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drawings/drawing3.xml" ContentType="application/vnd.openxmlformats-officedocument.drawing+xml"/>
  <Override PartName="/xl/comments8.xml" ContentType="application/vnd.openxmlformats-officedocument.spreadsheetml.comments+xml"/>
  <Override PartName="/xl/threadedComments/threadedComment3.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omments11.xml" ContentType="application/vnd.openxmlformats-officedocument.spreadsheetml.comments+xml"/>
  <Override PartName="/xl/drawings/drawing6.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8.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comments13.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11.xml" ContentType="application/vnd.openxmlformats-officedocument.drawing+xml"/>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drawings/drawing12.xml" ContentType="application/vnd.openxmlformats-officedocument.drawing+xml"/>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drawings/drawing13.xml" ContentType="application/vnd.openxmlformats-officedocument.drawing+xml"/>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drawings/drawing14.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6.xml" ContentType="application/vnd.openxmlformats-officedocument.drawing+xml"/>
  <Override PartName="/xl/comments18.xml" ContentType="application/vnd.openxmlformats-officedocument.spreadsheetml.comments+xml"/>
  <Override PartName="/xl/drawings/drawing17.xml" ContentType="application/vnd.openxmlformats-officedocument.drawing+xml"/>
  <Override PartName="/xl/comments19.xml" ContentType="application/vnd.openxmlformats-officedocument.spreadsheetml.comments+xml"/>
  <Override PartName="/xl/threadedComments/threadedComment6.xml" ContentType="application/vnd.ms-excel.threadedcomments+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21.xml" ContentType="application/vnd.openxmlformats-officedocument.spreadsheetml.comments+xml"/>
  <Override PartName="/xl/threadedComments/threadedComment7.xml" ContentType="application/vnd.ms-excel.threadedcomments+xml"/>
  <Override PartName="/xl/drawings/drawing21.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omments23.xml" ContentType="application/vnd.openxmlformats-officedocument.spreadsheetml.comments+xml"/>
  <Override PartName="/xl/threadedComments/threadedComment9.xml" ContentType="application/vnd.ms-excel.threadedcomments+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omments24.xml" ContentType="application/vnd.openxmlformats-officedocument.spreadsheetml.comments+xml"/>
  <Override PartName="/xl/threadedComments/threadedComment10.xml" ContentType="application/vnd.ms-excel.threadedcomments+xml"/>
  <Override PartName="/xl/drawings/drawing2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5.xml" ContentType="application/vnd.openxmlformats-officedocument.drawing+xml"/>
  <Override PartName="/xl/comments26.xml" ContentType="application/vnd.openxmlformats-officedocument.spreadsheetml.comments+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omments27.xml" ContentType="application/vnd.openxmlformats-officedocument.spreadsheetml.comments+xml"/>
  <Override PartName="/xl/threadedComments/threadedComment11.xml" ContentType="application/vnd.ms-excel.threadedcomments+xml"/>
  <Override PartName="/xl/comments28.xml" ContentType="application/vnd.openxmlformats-officedocument.spreadsheetml.comments+xml"/>
  <Override PartName="/xl/threadedComments/threadedComment12.xml" ContentType="application/vnd.ms-excel.threadedcomments+xml"/>
  <Override PartName="/xl/comments29.xml" ContentType="application/vnd.openxmlformats-officedocument.spreadsheetml.comments+xml"/>
  <Override PartName="/xl/drawings/drawing26.xml" ContentType="application/vnd.openxmlformats-officedocument.drawing+xml"/>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drawings/drawing27.xml" ContentType="application/vnd.openxmlformats-officedocument.drawing+xml"/>
  <Override PartName="/xl/comments3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omments37.xml" ContentType="application/vnd.openxmlformats-officedocument.spreadsheetml.comments+xml"/>
  <Override PartName="/xl/threadedComments/threadedComment13.xml" ContentType="application/vnd.ms-excel.threadedcomments+xml"/>
  <Override PartName="/xl/comments38.xml" ContentType="application/vnd.openxmlformats-officedocument.spreadsheetml.comments+xml"/>
  <Override PartName="/xl/drawings/drawing28.xml" ContentType="application/vnd.openxmlformats-officedocument.drawing+xml"/>
  <Override PartName="/xl/comments39.xml" ContentType="application/vnd.openxmlformats-officedocument.spreadsheetml.comments+xml"/>
  <Override PartName="/xl/threadedComments/threadedComment14.xml" ContentType="application/vnd.ms-excel.threadedcomments+xml"/>
  <Override PartName="/xl/drawings/drawing29.xml" ContentType="application/vnd.openxmlformats-officedocument.drawing+xml"/>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drawings/drawing30.xml" ContentType="application/vnd.openxmlformats-officedocument.drawing+xml"/>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comments4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51ABED52-9CD1-45CD-8FE2-A7BB8138122F}" xr6:coauthVersionLast="47" xr6:coauthVersionMax="47" xr10:uidLastSave="{00000000-0000-0000-0000-000000000000}"/>
  <bookViews>
    <workbookView xWindow="-120" yWindow="-120" windowWidth="29040" windowHeight="15840" firstSheet="43" activeTab="44" xr2:uid="{B0CD32B5-D115-4E38-A23A-B9D77071DE38}"/>
  </bookViews>
  <sheets>
    <sheet name="Index" sheetId="53" r:id="rId1"/>
    <sheet name="ChangeLog" sheetId="52" r:id="rId2"/>
    <sheet name="NameConv" sheetId="16" r:id="rId3"/>
    <sheet name="REGIONS" sheetId="4" r:id="rId4"/>
    <sheet name="2006EB" sheetId="5" r:id="rId5"/>
    <sheet name="2012EB" sheetId="77" r:id="rId6"/>
    <sheet name="Liq Fuel Prices" sheetId="54" r:id="rId7"/>
    <sheet name="Coal price" sheetId="40" r:id="rId8"/>
    <sheet name="Oil price" sheetId="45" r:id="rId9"/>
    <sheet name="Gas Price" sheetId="42" r:id="rId10"/>
    <sheet name="Fugitive emissions" sheetId="59" r:id="rId11"/>
    <sheet name="Distribution" sheetId="55" r:id="rId12"/>
    <sheet name="SUP" sheetId="6" r:id="rId13"/>
    <sheet name="ITEMS_STech" sheetId="8" r:id="rId14"/>
    <sheet name="TS STech" sheetId="9" r:id="rId15"/>
    <sheet name="TS STechPEX" sheetId="65" r:id="rId16"/>
    <sheet name="TID STech" sheetId="10" r:id="rId17"/>
    <sheet name="ITEMS_Comm" sheetId="11" r:id="rId18"/>
    <sheet name="TS ZTech" sheetId="14" r:id="rId19"/>
    <sheet name="TID ZTech" sheetId="15" r:id="rId20"/>
    <sheet name="Crude refineries" sheetId="21" r:id="rId21"/>
    <sheet name="Cleaner Fuels Phase-2" sheetId="76" r:id="rId22"/>
    <sheet name="GTL and CTL" sheetId="22" r:id="rId23"/>
    <sheet name="SummaryRef" sheetId="20" r:id="rId24"/>
    <sheet name="RefineriesRES" sheetId="41" r:id="rId25"/>
    <sheet name="SasolRES2012" sheetId="1" r:id="rId26"/>
    <sheet name="SasolRES-2017" sheetId="80" r:id="rId27"/>
    <sheet name="GAS 2000-2029 CY" sheetId="81" r:id="rId28"/>
    <sheet name="SASOL CC 2019 report" sheetId="83" r:id="rId29"/>
    <sheet name="Secunda Emissions 2019" sheetId="82" r:id="rId30"/>
    <sheet name="RefineriesData" sheetId="26" r:id="rId31"/>
    <sheet name="Aviation Synfuel Data" sheetId="94" r:id="rId32"/>
    <sheet name="Aviation Synfuel-Items" sheetId="91" r:id="rId33"/>
    <sheet name="Aviation Synfuel-TSData" sheetId="92" r:id="rId34"/>
    <sheet name="Aviation Synfuel-TIDData" sheetId="93" r:id="rId35"/>
    <sheet name="Hydrogen-Other" sheetId="51" r:id="rId36"/>
    <sheet name="Hydrogen-ELT" sheetId="79" r:id="rId37"/>
    <sheet name="H2Storage" sheetId="85" r:id="rId38"/>
    <sheet name="H2Storage-Items" sheetId="86" r:id="rId39"/>
    <sheet name="H2Storage-TSData" sheetId="87" r:id="rId40"/>
    <sheet name="H2Storage-TIDData" sheetId="88" r:id="rId41"/>
    <sheet name="UPS" sheetId="7" r:id="rId42"/>
    <sheet name="ITEMS_UPS" sheetId="24" r:id="rId43"/>
    <sheet name="ITEMS_GRP" sheetId="23" r:id="rId44"/>
    <sheet name="TS_TTech" sheetId="28" r:id="rId45"/>
    <sheet name="TID_TTech" sheetId="29" r:id="rId46"/>
    <sheet name="ITEMS_XTech" sheetId="34" r:id="rId47"/>
    <sheet name="ITEMS_CommX" sheetId="27" r:id="rId48"/>
    <sheet name="TS_XTech" sheetId="35" r:id="rId49"/>
    <sheet name="TID_XTech" sheetId="36" r:id="rId50"/>
    <sheet name="ITEMS_XEmiss" sheetId="37" r:id="rId51"/>
    <sheet name="TS XEmiss" sheetId="38" r:id="rId52"/>
    <sheet name="TID XEmiss" sheetId="39" r:id="rId53"/>
    <sheet name="ExchangeRateDetail" sheetId="66" r:id="rId54"/>
    <sheet name="Deflator" sheetId="19" r:id="rId55"/>
    <sheet name="SUPRES" sheetId="30" r:id="rId56"/>
    <sheet name="ITEMS_XFEmiss" sheetId="56" r:id="rId57"/>
    <sheet name="TS XFEmiss" sheetId="57" r:id="rId58"/>
    <sheet name="TID XFEmiss" sheetId="58" r:id="rId59"/>
    <sheet name="Emission Control_Technologies" sheetId="61" r:id="rId60"/>
    <sheet name="Items_TEmiss" sheetId="62" r:id="rId61"/>
    <sheet name="TS TEmiss" sheetId="63" r:id="rId62"/>
    <sheet name="ITEMS UC" sheetId="68" r:id="rId63"/>
    <sheet name="TS UC" sheetId="69" r:id="rId64"/>
    <sheet name="TID UC" sheetId="70" r:id="rId65"/>
    <sheet name="WAT-Items" sheetId="71" r:id="rId66"/>
    <sheet name="WAT-TSData" sheetId="72" r:id="rId67"/>
    <sheet name="WAT-TIDData" sheetId="73" r:id="rId68"/>
    <sheet name="HGN-TSData xtras" sheetId="90" r:id="rId69"/>
    <sheet name="HGN-TIDData xtras" sheetId="89" r:id="rId70"/>
    <sheet name="CPI_1960-2013" sheetId="75" r:id="rId71"/>
    <sheet name="Sheet1" sheetId="74" r:id="rId72"/>
  </sheets>
  <externalReferences>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__FDS_HYPERLINK_TOGGLE_STATE__" hidden="1">"ON"</definedName>
    <definedName name="_AMO_RefreshMultipleList" hidden="1">"'296899469 426988102 362274166 589584065 285770244'"</definedName>
    <definedName name="_AMO_SingleObject_296899469__A1" localSheetId="29"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NameConv!$G$2:$CQ$76</definedName>
    <definedName name="_xlnm._FilterDatabase" localSheetId="44" hidden="1">TS_TTech!$B$1:$C$309</definedName>
    <definedName name="_xlnm._FilterDatabase" localSheetId="67" hidden="1">'WAT-TIDData'!$A$1:$I$120</definedName>
    <definedName name="ACT_EFF">NameConv!$N$4</definedName>
    <definedName name="AGR">[1]Index!$C$7</definedName>
    <definedName name="COM">[1]Index!$C$8</definedName>
    <definedName name="CV_Coal">'[2]Calorific values'!$B$18</definedName>
    <definedName name="CV_GasSASOL">'[2]Calorific values'!$B$8</definedName>
    <definedName name="Demand.Sectors" localSheetId="27">[3]Index!$D$2:$J$2</definedName>
    <definedName name="Demand.Sectors" localSheetId="37">Index!$D$2:$J$2</definedName>
    <definedName name="Demand.Sectors" localSheetId="28">[3]Index!$D$2:$J$2</definedName>
    <definedName name="Demand.Sectors" localSheetId="29">[3]Index!$D$2:$J$2</definedName>
    <definedName name="Demand.Sectors">Index!$D$2:$J$2</definedName>
    <definedName name="diesel.cv">[4]units!$B$2</definedName>
    <definedName name="drate">'[5]TechWATv5 (supwat5)'!$E$3</definedName>
    <definedName name="emissions_data">NameConv!$AX$5:$BN$44</definedName>
    <definedName name="emissions_data_parameters">NameConv!$AX$4:$BN$4</definedName>
    <definedName name="emissions_start" localSheetId="27">[3]NameConv!$AY$4</definedName>
    <definedName name="emissions_start" localSheetId="37">NameConv!$AY$4</definedName>
    <definedName name="emissions_start" localSheetId="28">[3]NameConv!$AY$4</definedName>
    <definedName name="emissions_start" localSheetId="29">[3]NameConv!$AY$4</definedName>
    <definedName name="emissions_start">NameConv!$AY$4</definedName>
    <definedName name="emissions_types" localSheetId="27">[3]NameConv!$AX$3</definedName>
    <definedName name="emissions_types" localSheetId="37">NameConv!$AX$3</definedName>
    <definedName name="emissions_types" localSheetId="28">[3]NameConv!$AX$3</definedName>
    <definedName name="emissions_types" localSheetId="29">[3]NameConv!$AX$3</definedName>
    <definedName name="emissions_types">NameConv!$AX$3</definedName>
    <definedName name="eps">NameConv!$D$2</definedName>
    <definedName name="Evaluate">H2Storage!$F$24</definedName>
    <definedName name="FuelNames" localSheetId="27">[3]NameConv!$B$5:$C$44</definedName>
    <definedName name="FuelNames" localSheetId="37">NameConv!$B$5:$C$44</definedName>
    <definedName name="FuelNames" localSheetId="28">[3]NameConv!$B$5:$C$44</definedName>
    <definedName name="FuelNames" localSheetId="29">[3]NameConv!$B$5:$C$44</definedName>
    <definedName name="FuelNames">NameConv!$B$5:$C$44</definedName>
    <definedName name="gwpch4">'[2]SASOL CC 2019 report'!$E$98</definedName>
    <definedName name="gwpn2o">'[2]SASOL CC 2019 report'!$E$97</definedName>
    <definedName name="H2.LHV.MJ_kg">'Hydrogen-ELT'!$D$39</definedName>
    <definedName name="inchtocentimetre" localSheetId="27">[3]Distribution!$A$17</definedName>
    <definedName name="inchtocentimetre" localSheetId="37">Distribution!$A$17</definedName>
    <definedName name="inchtocentimetre" localSheetId="28">[3]Distribution!$A$17</definedName>
    <definedName name="inchtocentimetre" localSheetId="29">[3]Distribution!$A$17</definedName>
    <definedName name="inchtocentimetre">Distribution!$A$17</definedName>
    <definedName name="IND">[1]Index!$C$9</definedName>
    <definedName name="LOCAL_MYSQL_DATE_FORMAT" localSheetId="3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7">[3]Index!$A$2</definedName>
    <definedName name="Model_RUN_code" localSheetId="37">Index!$A$2</definedName>
    <definedName name="Model_RUN_code" localSheetId="28">[3]Index!$A$2</definedName>
    <definedName name="Model_RUN_code" localSheetId="29">[3]Index!$A$2</definedName>
    <definedName name="Model_RUN_code">Index!$A$2</definedName>
    <definedName name="NCAP_COST">NameConv!$AI$4</definedName>
    <definedName name="NCAP_TLIFE">NameConv!$AB$4</definedName>
    <definedName name="New_basic_data_start">'[6]New Capacity basic data'!$B$9</definedName>
    <definedName name="Pal_Workbook_GUID" localSheetId="70" hidden="1">"JGWG76XASHMY4J7EVNW4KA69"</definedName>
    <definedName name="Pal_Workbook_GUID" localSheetId="11" hidden="1">"VPJDZVPESBNLN75EMHY6J774"</definedName>
    <definedName name="Pal_Workbook_GUID" localSheetId="10" hidden="1">"VPJDZVPESBNLN75EMHY6J774"</definedName>
    <definedName name="Pal_Workbook_GUID" hidden="1">"E2D7SR7Q3BDXUD24G1M1SK63"</definedName>
    <definedName name="par_TID_Ntech">TS_TTech!$A$9:$I$15</definedName>
    <definedName name="par_TS_ETech">'TS ZTech'!$A$10:$J$17</definedName>
    <definedName name="petrol.cv">[4]units!$B$3</definedName>
    <definedName name="PRC_RESID">NameConv!$U$4</definedName>
    <definedName name="_xlnm.Print_Area" localSheetId="2">NameConv!$A$3:$AY$77</definedName>
    <definedName name="_xlnm.Print_Area" localSheetId="25">SasolRES2012!$B$2:$M$69</definedName>
    <definedName name="_xlnm.Print_Area" localSheetId="26">'SasolRES-2017'!$B$2:$M$69</definedName>
    <definedName name="REF.crude.CAP_rel.2020">'Crude refineries'!$F$56</definedName>
    <definedName name="REF.crude.CAP_rel.2021">'Crude refineries'!$G$56</definedName>
    <definedName name="REF.crude.CAP_rel.2022">'Crude refineries'!$H$56</definedName>
    <definedName name="REF.crude.CAP_rel.2025">'Crude refineries'!$I$56</definedName>
    <definedName name="REF.crude.CAP_rel.2030">'Crude refineries'!$J$56</definedName>
    <definedName name="REF.crude.CAP_rel.2040">'Crude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 localSheetId="27">[3]Index!$D$2</definedName>
    <definedName name="Sector.Agriculture" localSheetId="37">Index!$D$2</definedName>
    <definedName name="Sector.Agriculture" localSheetId="28">[3]Index!$D$2</definedName>
    <definedName name="Sector.Agriculture" localSheetId="29">[3]Index!$D$2</definedName>
    <definedName name="Sector.Agriculture">Index!$D$2</definedName>
    <definedName name="Sector.Commercial" localSheetId="27">[3]Index!$E$2</definedName>
    <definedName name="Sector.Commercial" localSheetId="37">Index!$E$2</definedName>
    <definedName name="Sector.Commercial" localSheetId="28">[3]Index!$E$2</definedName>
    <definedName name="Sector.Commercial" localSheetId="29">[3]Index!$E$2</definedName>
    <definedName name="Sector.Commercial">Index!$E$2</definedName>
    <definedName name="Sector.Industry" localSheetId="27">[3]Index!$F$2</definedName>
    <definedName name="Sector.Industry" localSheetId="37">Index!$F$2</definedName>
    <definedName name="Sector.Industry" localSheetId="28">[3]Index!$F$2</definedName>
    <definedName name="Sector.Industry" localSheetId="29">[3]Index!$F$2</definedName>
    <definedName name="Sector.Industry">Index!$F$2</definedName>
    <definedName name="Sector.Power" localSheetId="27">[3]Index!$I$2</definedName>
    <definedName name="Sector.Power" localSheetId="37">Index!$I$2</definedName>
    <definedName name="Sector.Power" localSheetId="28">[3]Index!$I$2</definedName>
    <definedName name="Sector.Power" localSheetId="29">[3]Index!$I$2</definedName>
    <definedName name="Sector.Power">Index!$I$2</definedName>
    <definedName name="Sector.Residential" localSheetId="27">[3]Index!$H$2</definedName>
    <definedName name="Sector.Residential" localSheetId="37">Index!$H$2</definedName>
    <definedName name="Sector.Residential" localSheetId="28">[3]Index!$H$2</definedName>
    <definedName name="Sector.Residential" localSheetId="29">[3]Index!$H$2</definedName>
    <definedName name="Sector.Residential">Index!$H$2</definedName>
    <definedName name="Sector.Supply" localSheetId="27">[3]Index!$J$2</definedName>
    <definedName name="Sector.Supply" localSheetId="37">Index!$J$2</definedName>
    <definedName name="Sector.Supply" localSheetId="28">[3]Index!$J$2</definedName>
    <definedName name="Sector.Supply" localSheetId="29">[3]Index!$J$2</definedName>
    <definedName name="Sector.Supply">Index!$J$2</definedName>
    <definedName name="Sector.Transport" localSheetId="27">[3]Index!$G$2</definedName>
    <definedName name="Sector.Transport" localSheetId="37">Index!$G$2</definedName>
    <definedName name="Sector.Transport" localSheetId="28">[3]Index!$G$2</definedName>
    <definedName name="Sector.Transport" localSheetId="29">[3]Index!$G$2</definedName>
    <definedName name="Sector.Transport">Index!$G$2</definedName>
    <definedName name="sector_prefix" localSheetId="27">[3]UPS!$B$6</definedName>
    <definedName name="sector_prefix" localSheetId="37">UPS!$B$6</definedName>
    <definedName name="sector_prefix" localSheetId="28">[3]UPS!$B$6</definedName>
    <definedName name="sector_prefix" localSheetId="29">[3]UPS!$B$6</definedName>
    <definedName name="sector_prefix">UPS!$B$6</definedName>
    <definedName name="solver_adj" localSheetId="25" hidden="1">SasolRES2012!$F$48</definedName>
    <definedName name="solver_adj" localSheetId="26" hidden="1">'SasolRES-2017'!$F$48</definedName>
    <definedName name="solver_cvg" localSheetId="25" hidden="1">0.0001</definedName>
    <definedName name="solver_cvg" localSheetId="26" hidden="1">0.0001</definedName>
    <definedName name="solver_drv" localSheetId="25" hidden="1">1</definedName>
    <definedName name="solver_drv" localSheetId="26" hidden="1">1</definedName>
    <definedName name="solver_eng" localSheetId="12" hidden="1">1</definedName>
    <definedName name="solver_est" localSheetId="25" hidden="1">1</definedName>
    <definedName name="solver_est" localSheetId="26" hidden="1">1</definedName>
    <definedName name="solver_itr" localSheetId="25" hidden="1">100</definedName>
    <definedName name="solver_itr" localSheetId="26" hidden="1">100</definedName>
    <definedName name="solver_lin" localSheetId="25" hidden="1">2</definedName>
    <definedName name="solver_lin" localSheetId="26" hidden="1">2</definedName>
    <definedName name="solver_neg" localSheetId="25" hidden="1">2</definedName>
    <definedName name="solver_neg" localSheetId="26" hidden="1">2</definedName>
    <definedName name="solver_neg" localSheetId="12" hidden="1">1</definedName>
    <definedName name="solver_num" localSheetId="25" hidden="1">0</definedName>
    <definedName name="solver_num" localSheetId="26" hidden="1">0</definedName>
    <definedName name="solver_num" localSheetId="12" hidden="1">0</definedName>
    <definedName name="solver_nwt" localSheetId="25" hidden="1">1</definedName>
    <definedName name="solver_nwt" localSheetId="26" hidden="1">1</definedName>
    <definedName name="solver_opt" localSheetId="25" hidden="1">SasolRES2012!$P$9</definedName>
    <definedName name="solver_opt" localSheetId="26" hidden="1">'SasolRES-2017'!$P$9</definedName>
    <definedName name="solver_opt" localSheetId="12" hidden="1">SUP!$A$93</definedName>
    <definedName name="solver_pre" localSheetId="25" hidden="1">0.000001</definedName>
    <definedName name="solver_pre" localSheetId="26" hidden="1">0.000001</definedName>
    <definedName name="solver_scl" localSheetId="25" hidden="1">2</definedName>
    <definedName name="solver_scl" localSheetId="26" hidden="1">2</definedName>
    <definedName name="solver_sho" localSheetId="25" hidden="1">2</definedName>
    <definedName name="solver_sho" localSheetId="26" hidden="1">2</definedName>
    <definedName name="solver_tim" localSheetId="25" hidden="1">100</definedName>
    <definedName name="solver_tim" localSheetId="26" hidden="1">100</definedName>
    <definedName name="solver_tol" localSheetId="25" hidden="1">0.05</definedName>
    <definedName name="solver_tol" localSheetId="26" hidden="1">0.05</definedName>
    <definedName name="solver_typ" localSheetId="25" hidden="1">3</definedName>
    <definedName name="solver_typ" localSheetId="26" hidden="1">3</definedName>
    <definedName name="solver_typ" localSheetId="12" hidden="1">1</definedName>
    <definedName name="solver_val" localSheetId="25" hidden="1">0</definedName>
    <definedName name="solver_val" localSheetId="26" hidden="1">0</definedName>
    <definedName name="solver_val" localSheetId="12" hidden="1">0</definedName>
    <definedName name="solver_ver" localSheetId="12" hidden="1">3</definedName>
    <definedName name="TRA">[1]Index!$C$11</definedName>
    <definedName name="XLSIMSIM" localSheetId="59" hidden="1">{"Sim",3,"Output 1","'Reworked data'!$AI$84","Output 2","'Reworked data'!$AJ$84","Output 3","'Reworked data'!$AK$84","1","2","100","0"}</definedName>
    <definedName name="XLSIMSIM" localSheetId="5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27" hidden="1">{"Sim",3,"Output 1","'Reworked data'!$AI$84","Output 2","'Reworked data'!$AJ$84","Output 3","'Reworked data'!$AK$84","1","2","100","0"}</definedName>
    <definedName name="XLSIMSIM" localSheetId="37" hidden="1">{"Sim",3,"Output 1","'Reworked data'!$AI$84","Output 2","'Reworked data'!$AJ$84","Output 3","'Reworked data'!$AK$84","1","2","100","0"}</definedName>
    <definedName name="XLSIMSIM" localSheetId="28" hidden="1">{"Sim",3,"Output 1","'Reworked data'!$AI$84","Output 2","'Reworked data'!$AJ$84","Output 3","'Reworked data'!$AK$84","1","2","100","0"}</definedName>
    <definedName name="XLSIMSIM" localSheetId="2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1" i="93" l="1"/>
  <c r="C19" i="93"/>
  <c r="F51" i="79"/>
  <c r="J8" i="79"/>
  <c r="F8" i="79"/>
  <c r="J6" i="79"/>
  <c r="F7" i="79"/>
  <c r="F6" i="79"/>
  <c r="G51" i="79"/>
  <c r="H51" i="79"/>
  <c r="I51" i="79"/>
  <c r="J51" i="79"/>
  <c r="G52" i="79"/>
  <c r="H52" i="79"/>
  <c r="I52" i="79"/>
  <c r="J52" i="79"/>
  <c r="F52" i="79"/>
  <c r="G53" i="79"/>
  <c r="H53" i="79"/>
  <c r="I53" i="79"/>
  <c r="J53" i="79"/>
  <c r="G54" i="79"/>
  <c r="H54" i="79"/>
  <c r="I54" i="79"/>
  <c r="J54" i="79"/>
  <c r="F54" i="79"/>
  <c r="F53" i="79"/>
  <c r="F41" i="79"/>
  <c r="G41" i="79"/>
  <c r="H41" i="79"/>
  <c r="F42" i="79"/>
  <c r="G42" i="79"/>
  <c r="H42" i="79"/>
  <c r="K4" i="92" a="1"/>
  <c r="K4" i="92"/>
  <c r="L4" i="92" a="1"/>
  <c r="L4" i="92" s="1"/>
  <c r="M4" i="92" a="1"/>
  <c r="M4" i="92" s="1"/>
  <c r="N4" i="92" a="1"/>
  <c r="N4" i="92" s="1"/>
  <c r="O4" i="92" a="1"/>
  <c r="O4" i="92" s="1"/>
  <c r="P4" i="92" a="1"/>
  <c r="P4" i="92" s="1"/>
  <c r="Q4" i="92" a="1"/>
  <c r="Q4" i="92"/>
  <c r="R4" i="92" a="1"/>
  <c r="R4" i="92" s="1"/>
  <c r="S4" i="92" a="1"/>
  <c r="S4" i="92" s="1"/>
  <c r="T4" i="92" a="1"/>
  <c r="T4" i="92" s="1"/>
  <c r="U4" i="92" a="1"/>
  <c r="U4" i="92" s="1"/>
  <c r="V4" i="92" a="1"/>
  <c r="V4" i="92" s="1"/>
  <c r="W4" i="92" a="1"/>
  <c r="W4" i="92" s="1"/>
  <c r="X4" i="92" a="1"/>
  <c r="X4" i="92" s="1"/>
  <c r="Y4" i="92" a="1"/>
  <c r="Y4" i="92" s="1"/>
  <c r="Z4" i="92" a="1"/>
  <c r="Z4" i="92" s="1"/>
  <c r="AA4" i="92" a="1"/>
  <c r="AA4" i="92" s="1"/>
  <c r="AB4" i="92" a="1"/>
  <c r="AB4" i="92" s="1"/>
  <c r="AC4" i="92" a="1"/>
  <c r="AC4" i="92" s="1"/>
  <c r="AD4" i="92" a="1"/>
  <c r="AD4" i="92" s="1"/>
  <c r="AE4" i="92" a="1"/>
  <c r="AE4" i="92" s="1"/>
  <c r="AF4" i="92" a="1"/>
  <c r="AF4" i="92" s="1"/>
  <c r="AG4" i="92" a="1"/>
  <c r="AG4" i="92" s="1"/>
  <c r="AH4" i="92" a="1"/>
  <c r="AH4" i="92" s="1"/>
  <c r="AI4" i="92" a="1"/>
  <c r="AI4" i="92" s="1"/>
  <c r="AJ4" i="92" a="1"/>
  <c r="AJ4" i="92" s="1"/>
  <c r="AK4" i="92" a="1"/>
  <c r="AK4" i="92" s="1"/>
  <c r="AL4" i="92" a="1"/>
  <c r="AL4" i="92" s="1"/>
  <c r="AM4" i="92" a="1"/>
  <c r="AM4" i="92" s="1"/>
  <c r="AN4" i="92" a="1"/>
  <c r="AN4" i="92" s="1"/>
  <c r="AO4" i="92" a="1"/>
  <c r="AO4" i="92" s="1"/>
  <c r="AP4" i="92" a="1"/>
  <c r="AP4" i="92" s="1"/>
  <c r="J4" i="92" a="1"/>
  <c r="J4" i="92" s="1"/>
  <c r="D35" i="94"/>
  <c r="M41" i="79" l="1"/>
  <c r="J41" i="79" s="1"/>
  <c r="C20" i="93"/>
  <c r="C21" i="93" s="1"/>
  <c r="C22" i="93" s="1"/>
  <c r="C17" i="92" l="1"/>
  <c r="C18" i="92" s="1"/>
  <c r="C19" i="92" s="1"/>
  <c r="C15" i="93"/>
  <c r="C16" i="93" s="1"/>
  <c r="C17" i="93" s="1"/>
  <c r="C18" i="93" s="1"/>
  <c r="J13" i="94"/>
  <c r="K13" i="94"/>
  <c r="L13" i="94"/>
  <c r="M13" i="94"/>
  <c r="J14" i="94"/>
  <c r="K14" i="94"/>
  <c r="L14" i="94"/>
  <c r="M14" i="94"/>
  <c r="I13" i="94"/>
  <c r="I14" i="94"/>
  <c r="C16" i="92"/>
  <c r="Y26" i="21"/>
  <c r="I69" i="6" l="1"/>
  <c r="J69" i="6"/>
  <c r="K69" i="6"/>
  <c r="M85" i="6" l="1"/>
  <c r="M92" i="6"/>
  <c r="I25" i="51" l="1"/>
  <c r="L25" i="51"/>
  <c r="N25" i="51"/>
  <c r="M25" i="51"/>
  <c r="AI33" i="51"/>
  <c r="AH33" i="51"/>
  <c r="AG33" i="51"/>
  <c r="AG32" i="51"/>
  <c r="AH31" i="51"/>
  <c r="AI31" i="51" s="1"/>
  <c r="AI30" i="51"/>
  <c r="AI32" i="51" s="1"/>
  <c r="AH30" i="51"/>
  <c r="AH32" i="51" s="1"/>
  <c r="Y19" i="51"/>
  <c r="Y18" i="51"/>
  <c r="Z22" i="51"/>
  <c r="Z21" i="51"/>
  <c r="Y21" i="51"/>
  <c r="Y17" i="51"/>
  <c r="C44" i="85"/>
  <c r="C46" i="85"/>
  <c r="C45" i="85"/>
  <c r="C42" i="85"/>
  <c r="E15" i="85"/>
  <c r="E16" i="85"/>
  <c r="E14" i="85"/>
  <c r="Y24" i="51" l="1"/>
  <c r="Y23" i="51"/>
  <c r="E129" i="7" l="1"/>
  <c r="F56" i="11"/>
  <c r="I59" i="6"/>
  <c r="F79" i="6"/>
  <c r="AF3" i="19"/>
  <c r="AE3" i="19"/>
  <c r="W70" i="7"/>
  <c r="W69" i="7"/>
  <c r="R118" i="9" l="1"/>
  <c r="M118" i="9"/>
  <c r="J118" i="9"/>
  <c r="R117" i="9"/>
  <c r="M117" i="9"/>
  <c r="J117" i="9"/>
  <c r="F70" i="21"/>
  <c r="E55" i="21"/>
  <c r="F52" i="21"/>
  <c r="G52" i="21" s="1"/>
  <c r="G54" i="21"/>
  <c r="H54" i="21"/>
  <c r="I54" i="21" s="1"/>
  <c r="J54" i="21" s="1"/>
  <c r="K54" i="21" s="1"/>
  <c r="L54" i="21" s="1"/>
  <c r="H51" i="21"/>
  <c r="I51" i="21" s="1"/>
  <c r="H53" i="21"/>
  <c r="J51" i="21"/>
  <c r="AB133" i="35"/>
  <c r="J133" i="35"/>
  <c r="G55" i="21" l="1"/>
  <c r="F55" i="21"/>
  <c r="H52" i="21"/>
  <c r="H55" i="21" s="1"/>
  <c r="K15" i="94"/>
  <c r="I15" i="94"/>
  <c r="J15" i="94"/>
  <c r="H15" i="94"/>
  <c r="G15" i="94"/>
  <c r="A111" i="94"/>
  <c r="B109" i="94"/>
  <c r="B106" i="94"/>
  <c r="F120" i="94"/>
  <c r="E120" i="94"/>
  <c r="D120" i="94"/>
  <c r="B101" i="94"/>
  <c r="D110" i="94"/>
  <c r="D118" i="94" s="1"/>
  <c r="F27" i="85"/>
  <c r="D27" i="85"/>
  <c r="F14" i="85"/>
  <c r="M42" i="79"/>
  <c r="J42" i="79" s="1"/>
  <c r="I42" i="79" s="1"/>
  <c r="H59" i="79"/>
  <c r="H61" i="79" s="1"/>
  <c r="H11" i="79" s="1"/>
  <c r="G59" i="79"/>
  <c r="G61" i="79" s="1"/>
  <c r="G11" i="79" s="1"/>
  <c r="F59" i="79"/>
  <c r="F61" i="79" s="1"/>
  <c r="F11" i="79" s="1"/>
  <c r="H58" i="79"/>
  <c r="H60" i="79" s="1"/>
  <c r="H10" i="79" s="1"/>
  <c r="I10" i="79" s="1"/>
  <c r="G58" i="79"/>
  <c r="G60" i="79" s="1"/>
  <c r="G10" i="79" s="1"/>
  <c r="F58" i="79"/>
  <c r="F60" i="79" s="1"/>
  <c r="F10" i="79" s="1"/>
  <c r="F16" i="85" l="1"/>
  <c r="F15" i="85"/>
  <c r="I11" i="79"/>
  <c r="J11" i="79" s="1"/>
  <c r="J10" i="79"/>
  <c r="I41" i="79"/>
  <c r="D26" i="63" l="1"/>
  <c r="D25" i="63"/>
  <c r="D24" i="63"/>
  <c r="G14" i="79" l="1"/>
  <c r="G15" i="79"/>
  <c r="G16" i="79"/>
  <c r="G17" i="79" s="1"/>
  <c r="J40" i="79"/>
  <c r="I40" i="79"/>
  <c r="G40" i="79"/>
  <c r="G57" i="79" s="1"/>
  <c r="H40" i="79"/>
  <c r="H57" i="79" s="1"/>
  <c r="F40" i="79"/>
  <c r="F57" i="79" s="1"/>
  <c r="D9" i="79"/>
  <c r="I46" i="79" l="1"/>
  <c r="J46" i="79"/>
  <c r="AC5" i="92" a="1"/>
  <c r="AC5" i="92" s="1"/>
  <c r="J5" i="92" a="1"/>
  <c r="J5" i="92" s="1"/>
  <c r="K5" i="92" a="1"/>
  <c r="K5" i="92" s="1"/>
  <c r="L5" i="92" a="1"/>
  <c r="L5" i="92" s="1"/>
  <c r="M5" i="92" a="1"/>
  <c r="M5" i="92" s="1"/>
  <c r="N5" i="92" a="1"/>
  <c r="N5" i="92" s="1"/>
  <c r="Q5" i="92" a="1"/>
  <c r="Q5" i="92" s="1"/>
  <c r="D9" i="92"/>
  <c r="D8" i="92"/>
  <c r="D7" i="92"/>
  <c r="D6" i="92"/>
  <c r="S6" i="92" s="1" a="1"/>
  <c r="S6" i="92" s="1"/>
  <c r="D8" i="93"/>
  <c r="D12" i="93" s="1"/>
  <c r="D17" i="93" s="1"/>
  <c r="D20" i="93" s="1"/>
  <c r="D7" i="93"/>
  <c r="D11" i="93" s="1"/>
  <c r="D5" i="93"/>
  <c r="D14" i="93" s="1"/>
  <c r="D4" i="93"/>
  <c r="D13" i="93" s="1"/>
  <c r="D12" i="94"/>
  <c r="D13" i="94"/>
  <c r="D14" i="94"/>
  <c r="D11" i="94"/>
  <c r="H19" i="94"/>
  <c r="I19" i="94" s="1"/>
  <c r="J19" i="94" s="1"/>
  <c r="K19" i="94" s="1"/>
  <c r="L19" i="94" s="1"/>
  <c r="M19" i="94" s="1"/>
  <c r="H20" i="94"/>
  <c r="I20" i="94" s="1"/>
  <c r="J20" i="94" s="1"/>
  <c r="K20" i="94" s="1"/>
  <c r="L20" i="94" s="1"/>
  <c r="M20" i="94" s="1"/>
  <c r="H21" i="94"/>
  <c r="I21" i="94" s="1"/>
  <c r="J21" i="94" s="1"/>
  <c r="K21" i="94" s="1"/>
  <c r="L21" i="94" s="1"/>
  <c r="M21" i="94" s="1"/>
  <c r="G18" i="94"/>
  <c r="H18" i="94" s="1"/>
  <c r="I18" i="94" s="1"/>
  <c r="J18" i="94" s="1"/>
  <c r="K18" i="94" s="1"/>
  <c r="L18" i="94" s="1"/>
  <c r="M18" i="94" s="1"/>
  <c r="O154" i="94"/>
  <c r="R153" i="94"/>
  <c r="R152" i="94"/>
  <c r="R151" i="94"/>
  <c r="R150" i="94"/>
  <c r="R149" i="94"/>
  <c r="R148" i="94"/>
  <c r="R147" i="94"/>
  <c r="R146" i="94"/>
  <c r="R145" i="94"/>
  <c r="R144" i="94"/>
  <c r="R143" i="94"/>
  <c r="R142" i="94"/>
  <c r="V135" i="94"/>
  <c r="C135" i="94"/>
  <c r="C134" i="94"/>
  <c r="C133" i="94"/>
  <c r="C132" i="94"/>
  <c r="A110" i="94"/>
  <c r="C91" i="94"/>
  <c r="C99" i="94" s="1"/>
  <c r="C87" i="94"/>
  <c r="C97" i="94" s="1"/>
  <c r="A75" i="94"/>
  <c r="A76" i="94" s="1"/>
  <c r="D70" i="94"/>
  <c r="C70" i="94"/>
  <c r="D59" i="94"/>
  <c r="C59" i="94"/>
  <c r="C80" i="94" s="1"/>
  <c r="C81" i="94" s="1"/>
  <c r="I39" i="94"/>
  <c r="J39" i="94" s="1"/>
  <c r="J40" i="94" s="1"/>
  <c r="D52" i="94"/>
  <c r="C52" i="94"/>
  <c r="G32" i="94"/>
  <c r="B32" i="94"/>
  <c r="G31" i="94"/>
  <c r="B31" i="94"/>
  <c r="I29" i="94"/>
  <c r="I28" i="94"/>
  <c r="J28" i="94" s="1"/>
  <c r="K2" i="92"/>
  <c r="L2" i="92" s="1"/>
  <c r="M2" i="92" s="1"/>
  <c r="N2" i="92" s="1"/>
  <c r="O2" i="92" s="1"/>
  <c r="P2" i="92" s="1"/>
  <c r="Q2" i="92" s="1"/>
  <c r="R2" i="92" s="1"/>
  <c r="S2" i="92" s="1"/>
  <c r="T2" i="92" s="1"/>
  <c r="U2" i="92" s="1"/>
  <c r="V2" i="92" s="1"/>
  <c r="W2" i="92" s="1"/>
  <c r="X2" i="92" s="1"/>
  <c r="Y2" i="92" s="1"/>
  <c r="Z2" i="92" s="1"/>
  <c r="AA2" i="92" s="1"/>
  <c r="AB2" i="92" s="1"/>
  <c r="AC2" i="92" s="1"/>
  <c r="AD2" i="92" s="1"/>
  <c r="AE2" i="92" s="1"/>
  <c r="AF2" i="92" s="1"/>
  <c r="AG2" i="92" s="1"/>
  <c r="AH2" i="92" s="1"/>
  <c r="AI2" i="92" s="1"/>
  <c r="AJ2" i="92" s="1"/>
  <c r="AK2" i="92" s="1"/>
  <c r="AL2" i="92" s="1"/>
  <c r="AM2" i="92" s="1"/>
  <c r="AN2" i="92" s="1"/>
  <c r="AO2" i="92" s="1"/>
  <c r="AP2" i="92" s="1"/>
  <c r="B311" i="28"/>
  <c r="K2" i="87"/>
  <c r="L2" i="87" s="1"/>
  <c r="M2" i="87" s="1"/>
  <c r="N2" i="87" s="1"/>
  <c r="O2" i="87" s="1"/>
  <c r="P2" i="87" s="1"/>
  <c r="Q2" i="87" s="1"/>
  <c r="R2" i="87" s="1"/>
  <c r="S2" i="87" s="1"/>
  <c r="T2" i="87" s="1"/>
  <c r="U2" i="87" s="1"/>
  <c r="V2" i="87" s="1"/>
  <c r="W2" i="87" s="1"/>
  <c r="X2" i="87" s="1"/>
  <c r="Y2" i="87" s="1"/>
  <c r="Z2" i="87" s="1"/>
  <c r="AA2" i="87" s="1"/>
  <c r="AB2" i="87" s="1"/>
  <c r="AC2" i="87" s="1"/>
  <c r="AD2" i="87" s="1"/>
  <c r="AE2" i="87" s="1"/>
  <c r="AF2" i="87" s="1"/>
  <c r="AG2" i="87" s="1"/>
  <c r="AH2" i="87" s="1"/>
  <c r="AI2" i="87" s="1"/>
  <c r="AJ2" i="87" s="1"/>
  <c r="AK2" i="87" s="1"/>
  <c r="AL2" i="87" s="1"/>
  <c r="AM2" i="87" s="1"/>
  <c r="AN2" i="87" s="1"/>
  <c r="AO2" i="87" s="1"/>
  <c r="AP2" i="87" s="1"/>
  <c r="L345" i="29"/>
  <c r="E345" i="29" s="1"/>
  <c r="L344" i="29"/>
  <c r="H344" i="29" s="1"/>
  <c r="L343" i="29"/>
  <c r="F343" i="29" s="1"/>
  <c r="H343" i="29"/>
  <c r="G343" i="29"/>
  <c r="E343" i="29"/>
  <c r="B343" i="29"/>
  <c r="H342" i="29"/>
  <c r="F342" i="29"/>
  <c r="E342" i="29"/>
  <c r="B342" i="29"/>
  <c r="G342" i="29" s="1"/>
  <c r="O338" i="29"/>
  <c r="K338" i="29"/>
  <c r="K339" i="29" s="1"/>
  <c r="H338" i="29"/>
  <c r="F338" i="29"/>
  <c r="B338" i="29"/>
  <c r="G338" i="29" s="1"/>
  <c r="H337" i="29"/>
  <c r="G337" i="29"/>
  <c r="F337" i="29"/>
  <c r="B337" i="29"/>
  <c r="BD167" i="7"/>
  <c r="BD168" i="7"/>
  <c r="BD169" i="7" s="1"/>
  <c r="BD171" i="7"/>
  <c r="D35" i="24"/>
  <c r="B32" i="24"/>
  <c r="D32" i="24"/>
  <c r="B33" i="24"/>
  <c r="D33" i="24"/>
  <c r="B34" i="24"/>
  <c r="D34" i="24"/>
  <c r="B35" i="24"/>
  <c r="Q165" i="7"/>
  <c r="F17" i="79"/>
  <c r="Q168" i="7" s="1"/>
  <c r="J47" i="79" l="1"/>
  <c r="J48" i="79"/>
  <c r="I47" i="79"/>
  <c r="I48" i="79"/>
  <c r="X5" i="92" a="1"/>
  <c r="X5" i="92" s="1"/>
  <c r="W5" i="92" a="1"/>
  <c r="W5" i="92" s="1"/>
  <c r="AM5" i="92" a="1"/>
  <c r="AM5" i="92" s="1"/>
  <c r="S7" i="92" a="1"/>
  <c r="S7" i="92" s="1"/>
  <c r="AK5" i="92" a="1"/>
  <c r="AK5" i="92" s="1"/>
  <c r="AE5" i="92" a="1"/>
  <c r="AE5" i="92" s="1"/>
  <c r="U6" i="92" a="1"/>
  <c r="U6" i="92" s="1"/>
  <c r="AF6" i="92" a="1"/>
  <c r="AF6" i="92" s="1"/>
  <c r="X6" i="92" a="1"/>
  <c r="X6" i="92" s="1"/>
  <c r="AA6" i="92" a="1"/>
  <c r="AA6" i="92" s="1"/>
  <c r="Y6" i="92" a="1"/>
  <c r="Y6" i="92" s="1"/>
  <c r="AI6" i="92" a="1"/>
  <c r="AI6" i="92" s="1"/>
  <c r="AJ6" i="92" a="1"/>
  <c r="AJ6" i="92" s="1"/>
  <c r="AE6" i="92" a="1"/>
  <c r="AE6" i="92" s="1"/>
  <c r="W6" i="92" a="1"/>
  <c r="W6" i="92" s="1"/>
  <c r="AH6" i="92" a="1"/>
  <c r="AH6" i="92" s="1"/>
  <c r="AK6" i="92" a="1"/>
  <c r="AK6" i="92" s="1"/>
  <c r="Z6" i="92" a="1"/>
  <c r="Z6" i="92" s="1"/>
  <c r="V6" i="92" a="1"/>
  <c r="V6" i="92" s="1"/>
  <c r="AB6" i="92" a="1"/>
  <c r="AB6" i="92" s="1"/>
  <c r="AC6" i="92" a="1"/>
  <c r="AC6" i="92" s="1"/>
  <c r="AD6" i="92" a="1"/>
  <c r="AD6" i="92" s="1"/>
  <c r="AM6" i="92" a="1"/>
  <c r="AM6" i="92" s="1"/>
  <c r="AI7" i="92" a="1"/>
  <c r="AI7" i="92" s="1"/>
  <c r="AC7" i="92" a="1"/>
  <c r="AC7" i="92" s="1"/>
  <c r="AM7" i="92" a="1"/>
  <c r="AM7" i="92" s="1"/>
  <c r="AE7" i="92" a="1"/>
  <c r="AE7" i="92" s="1"/>
  <c r="Z7" i="92" a="1"/>
  <c r="Z7" i="92" s="1"/>
  <c r="U7" i="92" a="1"/>
  <c r="U7" i="92" s="1"/>
  <c r="AF7" i="92" a="1"/>
  <c r="AF7" i="92" s="1"/>
  <c r="AD7" i="92" a="1"/>
  <c r="AD7" i="92" s="1"/>
  <c r="V7" i="92" a="1"/>
  <c r="V7" i="92" s="1"/>
  <c r="W7" i="92" a="1"/>
  <c r="W7" i="92" s="1"/>
  <c r="AJ7" i="92" a="1"/>
  <c r="AJ7" i="92" s="1"/>
  <c r="AK7" i="92" a="1"/>
  <c r="AK7" i="92" s="1"/>
  <c r="X7" i="92" a="1"/>
  <c r="X7" i="92" s="1"/>
  <c r="R7" i="92" a="1"/>
  <c r="R7" i="92" s="1"/>
  <c r="Y7" i="92" a="1"/>
  <c r="Y7" i="92" s="1"/>
  <c r="AH7" i="92" a="1"/>
  <c r="AH7" i="92" s="1"/>
  <c r="AA7" i="92" a="1"/>
  <c r="AA7" i="92" s="1"/>
  <c r="AB7" i="92" a="1"/>
  <c r="AB7" i="92" s="1"/>
  <c r="AF5" i="92" a="1"/>
  <c r="AF5" i="92" s="1"/>
  <c r="S5" i="92" a="1"/>
  <c r="S5" i="92" s="1"/>
  <c r="AD5" i="92" a="1"/>
  <c r="AD5" i="92" s="1"/>
  <c r="P5" i="92" a="1"/>
  <c r="P5" i="92" s="1"/>
  <c r="AA5" i="92" a="1"/>
  <c r="AA5" i="92" s="1"/>
  <c r="O5" i="92" a="1"/>
  <c r="O5" i="92" s="1"/>
  <c r="Z5" i="92" a="1"/>
  <c r="Z5" i="92" s="1"/>
  <c r="Y5" i="92" a="1"/>
  <c r="Y5" i="92" s="1"/>
  <c r="AJ5" i="92" a="1"/>
  <c r="AJ5" i="92" s="1"/>
  <c r="V5" i="92" a="1"/>
  <c r="V5" i="92" s="1"/>
  <c r="AI5" i="92" a="1"/>
  <c r="AI5" i="92" s="1"/>
  <c r="U5" i="92" a="1"/>
  <c r="U5" i="92" s="1"/>
  <c r="AH5" i="92" a="1"/>
  <c r="AH5" i="92" s="1"/>
  <c r="T5" i="92" a="1"/>
  <c r="T5" i="92" s="1"/>
  <c r="Z3" i="92" a="1"/>
  <c r="Z3" i="92" s="1"/>
  <c r="R11" i="92" a="1"/>
  <c r="R11" i="92" s="1"/>
  <c r="J13" i="92" a="1"/>
  <c r="J13" i="92" s="1"/>
  <c r="Q12" i="92" a="1"/>
  <c r="Q12" i="92" s="1"/>
  <c r="N14" i="92" a="1"/>
  <c r="N14" i="92" s="1"/>
  <c r="Y8" i="92" a="1"/>
  <c r="Y8" i="92" s="1"/>
  <c r="Q15" i="92" a="1"/>
  <c r="Q15" i="92" s="1"/>
  <c r="R15" i="92" a="1"/>
  <c r="R15" i="92" s="1"/>
  <c r="L15" i="92" a="1"/>
  <c r="L15" i="92" s="1"/>
  <c r="P13" i="92" a="1"/>
  <c r="P13" i="92" s="1"/>
  <c r="L12" i="92" a="1"/>
  <c r="L12" i="92" s="1"/>
  <c r="P10" i="92" a="1"/>
  <c r="P10" i="92" s="1"/>
  <c r="P3" i="92" a="1"/>
  <c r="P3" i="92" s="1"/>
  <c r="AK15" i="92" a="1"/>
  <c r="AK15" i="92" s="1"/>
  <c r="Y15" i="92" a="1"/>
  <c r="Y15" i="92" s="1"/>
  <c r="AK14" i="92" a="1"/>
  <c r="AK14" i="92" s="1"/>
  <c r="Y14" i="92" a="1"/>
  <c r="Y14" i="92" s="1"/>
  <c r="AF13" i="92" a="1"/>
  <c r="AF13" i="92" s="1"/>
  <c r="S13" i="92" a="1"/>
  <c r="S13" i="92" s="1"/>
  <c r="Y12" i="92" a="1"/>
  <c r="Y12" i="92" s="1"/>
  <c r="AK11" i="92" a="1"/>
  <c r="AK11" i="92" s="1"/>
  <c r="Y11" i="92" a="1"/>
  <c r="Y11" i="92" s="1"/>
  <c r="AK10" i="92" a="1"/>
  <c r="AK10" i="92" s="1"/>
  <c r="Y10" i="92" a="1"/>
  <c r="Y10" i="92" s="1"/>
  <c r="AK3" i="92" a="1"/>
  <c r="AK3" i="92" s="1"/>
  <c r="Y3" i="92" a="1"/>
  <c r="Y3" i="92" s="1"/>
  <c r="R14" i="92" a="1"/>
  <c r="R14" i="92" s="1"/>
  <c r="K15" i="92" a="1"/>
  <c r="K15" i="92" s="1"/>
  <c r="O13" i="92" a="1"/>
  <c r="O13" i="92" s="1"/>
  <c r="K12" i="92" a="1"/>
  <c r="K12" i="92" s="1"/>
  <c r="O10" i="92" a="1"/>
  <c r="O10" i="92" s="1"/>
  <c r="O3" i="92" a="1"/>
  <c r="O3" i="92" s="1"/>
  <c r="AJ15" i="92" a="1"/>
  <c r="AJ15" i="92" s="1"/>
  <c r="X15" i="92" a="1"/>
  <c r="X15" i="92" s="1"/>
  <c r="AJ14" i="92" a="1"/>
  <c r="AJ14" i="92" s="1"/>
  <c r="X14" i="92" a="1"/>
  <c r="X14" i="92" s="1"/>
  <c r="AE13" i="92" a="1"/>
  <c r="AE13" i="92" s="1"/>
  <c r="AM12" i="92" a="1"/>
  <c r="AM12" i="92" s="1"/>
  <c r="X12" i="92" a="1"/>
  <c r="X12" i="92" s="1"/>
  <c r="AJ11" i="92" a="1"/>
  <c r="AJ11" i="92" s="1"/>
  <c r="X11" i="92" a="1"/>
  <c r="X11" i="92" s="1"/>
  <c r="AJ10" i="92" a="1"/>
  <c r="AJ10" i="92" s="1"/>
  <c r="X10" i="92" a="1"/>
  <c r="X10" i="92" s="1"/>
  <c r="AJ3" i="92" a="1"/>
  <c r="AJ3" i="92" s="1"/>
  <c r="X3" i="92" a="1"/>
  <c r="X3" i="92" s="1"/>
  <c r="J15" i="92" a="1"/>
  <c r="J15" i="92" s="1"/>
  <c r="N13" i="92" a="1"/>
  <c r="N13" i="92" s="1"/>
  <c r="J12" i="92" a="1"/>
  <c r="J12" i="92" s="1"/>
  <c r="N10" i="92" a="1"/>
  <c r="N10" i="92" s="1"/>
  <c r="N3" i="92" a="1"/>
  <c r="N3" i="92" s="1"/>
  <c r="AI15" i="92" a="1"/>
  <c r="AI15" i="92" s="1"/>
  <c r="W15" i="92" a="1"/>
  <c r="W15" i="92" s="1"/>
  <c r="AI14" i="92" a="1"/>
  <c r="AI14" i="92" s="1"/>
  <c r="W14" i="92" a="1"/>
  <c r="W14" i="92" s="1"/>
  <c r="AD13" i="92" a="1"/>
  <c r="AD13" i="92" s="1"/>
  <c r="AK12" i="92" a="1"/>
  <c r="AK12" i="92" s="1"/>
  <c r="W12" i="92" a="1"/>
  <c r="W12" i="92" s="1"/>
  <c r="AI11" i="92" a="1"/>
  <c r="AI11" i="92" s="1"/>
  <c r="W11" i="92" a="1"/>
  <c r="W11" i="92" s="1"/>
  <c r="AI10" i="92" a="1"/>
  <c r="AI10" i="92" s="1"/>
  <c r="W10" i="92" a="1"/>
  <c r="W10" i="92" s="1"/>
  <c r="AI3" i="92" a="1"/>
  <c r="AI3" i="92" s="1"/>
  <c r="W3" i="92" a="1"/>
  <c r="W3" i="92" s="1"/>
  <c r="Q14" i="92" a="1"/>
  <c r="Q14" i="92" s="1"/>
  <c r="M13" i="92" a="1"/>
  <c r="M13" i="92" s="1"/>
  <c r="Q11" i="92" a="1"/>
  <c r="Q11" i="92" s="1"/>
  <c r="M10" i="92" a="1"/>
  <c r="M10" i="92" s="1"/>
  <c r="M3" i="92" a="1"/>
  <c r="M3" i="92" s="1"/>
  <c r="AH15" i="92" a="1"/>
  <c r="AH15" i="92" s="1"/>
  <c r="V15" i="92" a="1"/>
  <c r="V15" i="92" s="1"/>
  <c r="AH14" i="92" a="1"/>
  <c r="AH14" i="92" s="1"/>
  <c r="V14" i="92" a="1"/>
  <c r="V14" i="92" s="1"/>
  <c r="AC13" i="92" a="1"/>
  <c r="AC13" i="92" s="1"/>
  <c r="AJ12" i="92" a="1"/>
  <c r="AJ12" i="92" s="1"/>
  <c r="V12" i="92" a="1"/>
  <c r="V12" i="92" s="1"/>
  <c r="AH11" i="92" a="1"/>
  <c r="AH11" i="92" s="1"/>
  <c r="V11" i="92" a="1"/>
  <c r="V11" i="92" s="1"/>
  <c r="AH10" i="92" a="1"/>
  <c r="AH10" i="92" s="1"/>
  <c r="V10" i="92" a="1"/>
  <c r="V10" i="92" s="1"/>
  <c r="AH3" i="92" a="1"/>
  <c r="AH3" i="92" s="1"/>
  <c r="V3" i="92" a="1"/>
  <c r="V3" i="92" s="1"/>
  <c r="P14" i="92" a="1"/>
  <c r="P14" i="92" s="1"/>
  <c r="L13" i="92" a="1"/>
  <c r="L13" i="92" s="1"/>
  <c r="P11" i="92" a="1"/>
  <c r="P11" i="92" s="1"/>
  <c r="L10" i="92" a="1"/>
  <c r="L10" i="92" s="1"/>
  <c r="L3" i="92" a="1"/>
  <c r="L3" i="92" s="1"/>
  <c r="AG15" i="92" a="1"/>
  <c r="AG15" i="92" s="1"/>
  <c r="U15" i="92" a="1"/>
  <c r="U15" i="92" s="1"/>
  <c r="AG14" i="92" a="1"/>
  <c r="AG14" i="92" s="1"/>
  <c r="U14" i="92" a="1"/>
  <c r="U14" i="92" s="1"/>
  <c r="AA13" i="92" a="1"/>
  <c r="AA13" i="92" s="1"/>
  <c r="AI12" i="92" a="1"/>
  <c r="AI12" i="92" s="1"/>
  <c r="U12" i="92" a="1"/>
  <c r="U12" i="92" s="1"/>
  <c r="AG11" i="92" a="1"/>
  <c r="AG11" i="92" s="1"/>
  <c r="U11" i="92" a="1"/>
  <c r="U11" i="92" s="1"/>
  <c r="AG10" i="92" a="1"/>
  <c r="AG10" i="92" s="1"/>
  <c r="U10" i="92" a="1"/>
  <c r="U10" i="92" s="1"/>
  <c r="AG3" i="92" a="1"/>
  <c r="AG3" i="92" s="1"/>
  <c r="U3" i="92" a="1"/>
  <c r="U3" i="92" s="1"/>
  <c r="R10" i="92" a="1"/>
  <c r="R10" i="92" s="1"/>
  <c r="O14" i="92" a="1"/>
  <c r="O14" i="92" s="1"/>
  <c r="K13" i="92" a="1"/>
  <c r="K13" i="92" s="1"/>
  <c r="O11" i="92" a="1"/>
  <c r="O11" i="92" s="1"/>
  <c r="K10" i="92" a="1"/>
  <c r="K10" i="92" s="1"/>
  <c r="K3" i="92" a="1"/>
  <c r="K3" i="92" s="1"/>
  <c r="AF15" i="92" a="1"/>
  <c r="AF15" i="92" s="1"/>
  <c r="T15" i="92" a="1"/>
  <c r="T15" i="92" s="1"/>
  <c r="AF14" i="92" a="1"/>
  <c r="AF14" i="92" s="1"/>
  <c r="T14" i="92" a="1"/>
  <c r="T14" i="92" s="1"/>
  <c r="Z13" i="92" a="1"/>
  <c r="Z13" i="92" s="1"/>
  <c r="AH12" i="92" a="1"/>
  <c r="AH12" i="92" s="1"/>
  <c r="T12" i="92" a="1"/>
  <c r="T12" i="92" s="1"/>
  <c r="AF11" i="92" a="1"/>
  <c r="AF11" i="92" s="1"/>
  <c r="T11" i="92" a="1"/>
  <c r="T11" i="92" s="1"/>
  <c r="AF10" i="92" a="1"/>
  <c r="AF10" i="92" s="1"/>
  <c r="T10" i="92" a="1"/>
  <c r="T10" i="92" s="1"/>
  <c r="AF3" i="92" a="1"/>
  <c r="AF3" i="92" s="1"/>
  <c r="T3" i="92" a="1"/>
  <c r="T3" i="92" s="1"/>
  <c r="N11" i="92" a="1"/>
  <c r="N11" i="92" s="1"/>
  <c r="J10" i="92" a="1"/>
  <c r="J10" i="92" s="1"/>
  <c r="J3" i="92" a="1"/>
  <c r="J3" i="92" s="1"/>
  <c r="AE15" i="92" a="1"/>
  <c r="AE15" i="92" s="1"/>
  <c r="S15" i="92" a="1"/>
  <c r="S15" i="92" s="1"/>
  <c r="AE14" i="92" a="1"/>
  <c r="AE14" i="92" s="1"/>
  <c r="S14" i="92" a="1"/>
  <c r="S14" i="92" s="1"/>
  <c r="Y13" i="92" a="1"/>
  <c r="Y13" i="92" s="1"/>
  <c r="AF12" i="92" a="1"/>
  <c r="AF12" i="92" s="1"/>
  <c r="S12" i="92" a="1"/>
  <c r="S12" i="92" s="1"/>
  <c r="AE11" i="92" a="1"/>
  <c r="AE11" i="92" s="1"/>
  <c r="S11" i="92" a="1"/>
  <c r="S11" i="92" s="1"/>
  <c r="AE10" i="92" a="1"/>
  <c r="AE10" i="92" s="1"/>
  <c r="S10" i="92" a="1"/>
  <c r="S10" i="92" s="1"/>
  <c r="AE3" i="92" a="1"/>
  <c r="AE3" i="92" s="1"/>
  <c r="S3" i="92" a="1"/>
  <c r="S3" i="92" s="1"/>
  <c r="AP15" i="92" a="1"/>
  <c r="AP15" i="92" s="1"/>
  <c r="AD15" i="92" a="1"/>
  <c r="AD15" i="92" s="1"/>
  <c r="AP14" i="92" a="1"/>
  <c r="AP14" i="92" s="1"/>
  <c r="AD14" i="92" a="1"/>
  <c r="AD14" i="92" s="1"/>
  <c r="AM13" i="92" a="1"/>
  <c r="AM13" i="92" s="1"/>
  <c r="X13" i="92" a="1"/>
  <c r="X13" i="92" s="1"/>
  <c r="AE12" i="92" a="1"/>
  <c r="AE12" i="92" s="1"/>
  <c r="AP11" i="92" a="1"/>
  <c r="AP11" i="92" s="1"/>
  <c r="AD11" i="92" a="1"/>
  <c r="AD11" i="92" s="1"/>
  <c r="AP10" i="92" a="1"/>
  <c r="AP10" i="92" s="1"/>
  <c r="AD10" i="92" a="1"/>
  <c r="AD10" i="92" s="1"/>
  <c r="AP3" i="92" a="1"/>
  <c r="AP3" i="92" s="1"/>
  <c r="AD3" i="92" a="1"/>
  <c r="AD3" i="92" s="1"/>
  <c r="P15" i="92" a="1"/>
  <c r="P15" i="92" s="1"/>
  <c r="L14" i="92" a="1"/>
  <c r="L14" i="92" s="1"/>
  <c r="P12" i="92" a="1"/>
  <c r="P12" i="92" s="1"/>
  <c r="L11" i="92" a="1"/>
  <c r="L11" i="92" s="1"/>
  <c r="AO15" i="92" a="1"/>
  <c r="AO15" i="92" s="1"/>
  <c r="AC15" i="92" a="1"/>
  <c r="AC15" i="92" s="1"/>
  <c r="AO14" i="92" a="1"/>
  <c r="AO14" i="92" s="1"/>
  <c r="AC14" i="92" a="1"/>
  <c r="AC14" i="92" s="1"/>
  <c r="AK13" i="92" a="1"/>
  <c r="AK13" i="92" s="1"/>
  <c r="W13" i="92" a="1"/>
  <c r="W13" i="92" s="1"/>
  <c r="AD12" i="92" a="1"/>
  <c r="AD12" i="92" s="1"/>
  <c r="AO11" i="92" a="1"/>
  <c r="AO11" i="92" s="1"/>
  <c r="AC11" i="92" a="1"/>
  <c r="AC11" i="92" s="1"/>
  <c r="AO10" i="92" a="1"/>
  <c r="AO10" i="92" s="1"/>
  <c r="AC10" i="92" a="1"/>
  <c r="AC10" i="92" s="1"/>
  <c r="AO3" i="92" a="1"/>
  <c r="AO3" i="92" s="1"/>
  <c r="AC3" i="92" a="1"/>
  <c r="AC3" i="92" s="1"/>
  <c r="M11" i="92" a="1"/>
  <c r="M11" i="92" s="1"/>
  <c r="S9" i="92" a="1"/>
  <c r="S9" i="92" s="1"/>
  <c r="O15" i="92" a="1"/>
  <c r="O15" i="92" s="1"/>
  <c r="K14" i="92" a="1"/>
  <c r="K14" i="92" s="1"/>
  <c r="O12" i="92" a="1"/>
  <c r="O12" i="92" s="1"/>
  <c r="K11" i="92" a="1"/>
  <c r="K11" i="92" s="1"/>
  <c r="AN15" i="92" a="1"/>
  <c r="AN15" i="92" s="1"/>
  <c r="AB15" i="92" a="1"/>
  <c r="AB15" i="92" s="1"/>
  <c r="AN14" i="92" a="1"/>
  <c r="AN14" i="92" s="1"/>
  <c r="AB14" i="92" a="1"/>
  <c r="AB14" i="92" s="1"/>
  <c r="AJ13" i="92" a="1"/>
  <c r="AJ13" i="92" s="1"/>
  <c r="V13" i="92" a="1"/>
  <c r="V13" i="92" s="1"/>
  <c r="AC12" i="92" a="1"/>
  <c r="AC12" i="92" s="1"/>
  <c r="AN11" i="92" a="1"/>
  <c r="AN11" i="92" s="1"/>
  <c r="AB11" i="92" a="1"/>
  <c r="AB11" i="92" s="1"/>
  <c r="AN10" i="92" a="1"/>
  <c r="AN10" i="92" s="1"/>
  <c r="AB10" i="92" a="1"/>
  <c r="AB10" i="92" s="1"/>
  <c r="AN3" i="92" a="1"/>
  <c r="AN3" i="92" s="1"/>
  <c r="AB3" i="92" a="1"/>
  <c r="AB3" i="92" s="1"/>
  <c r="M14" i="92" a="1"/>
  <c r="M14" i="92" s="1"/>
  <c r="N15" i="92" a="1"/>
  <c r="N15" i="92" s="1"/>
  <c r="J14" i="92" a="1"/>
  <c r="J14" i="92" s="1"/>
  <c r="N12" i="92" a="1"/>
  <c r="N12" i="92" s="1"/>
  <c r="J11" i="92" a="1"/>
  <c r="J11" i="92" s="1"/>
  <c r="AM15" i="92" a="1"/>
  <c r="AM15" i="92" s="1"/>
  <c r="AA15" i="92" a="1"/>
  <c r="AA15" i="92" s="1"/>
  <c r="AM14" i="92" a="1"/>
  <c r="AM14" i="92" s="1"/>
  <c r="AA14" i="92" a="1"/>
  <c r="AA14" i="92" s="1"/>
  <c r="AI13" i="92" a="1"/>
  <c r="AI13" i="92" s="1"/>
  <c r="U13" i="92" a="1"/>
  <c r="U13" i="92" s="1"/>
  <c r="AA12" i="92" a="1"/>
  <c r="AA12" i="92" s="1"/>
  <c r="AM11" i="92" a="1"/>
  <c r="AM11" i="92" s="1"/>
  <c r="AA11" i="92" a="1"/>
  <c r="AA11" i="92" s="1"/>
  <c r="AM10" i="92" a="1"/>
  <c r="AM10" i="92" s="1"/>
  <c r="AA10" i="92" a="1"/>
  <c r="AA10" i="92" s="1"/>
  <c r="AM3" i="92" a="1"/>
  <c r="AM3" i="92" s="1"/>
  <c r="AA3" i="92" a="1"/>
  <c r="AA3" i="92" s="1"/>
  <c r="R3" i="92" a="1"/>
  <c r="R3" i="92" s="1"/>
  <c r="M15" i="92" a="1"/>
  <c r="M15" i="92" s="1"/>
  <c r="Q13" i="92" a="1"/>
  <c r="Q13" i="92" s="1"/>
  <c r="M12" i="92" a="1"/>
  <c r="M12" i="92" s="1"/>
  <c r="Q10" i="92" a="1"/>
  <c r="Q10" i="92" s="1"/>
  <c r="Q3" i="92" a="1"/>
  <c r="Q3" i="92" s="1"/>
  <c r="AL15" i="92" a="1"/>
  <c r="AL15" i="92" s="1"/>
  <c r="Z15" i="92" a="1"/>
  <c r="Z15" i="92" s="1"/>
  <c r="AL14" i="92" a="1"/>
  <c r="AL14" i="92" s="1"/>
  <c r="Z14" i="92" a="1"/>
  <c r="Z14" i="92" s="1"/>
  <c r="AH13" i="92" a="1"/>
  <c r="AH13" i="92" s="1"/>
  <c r="T13" i="92" a="1"/>
  <c r="T13" i="92" s="1"/>
  <c r="Z12" i="92" a="1"/>
  <c r="Z12" i="92" s="1"/>
  <c r="AL11" i="92" a="1"/>
  <c r="AL11" i="92" s="1"/>
  <c r="Z11" i="92" a="1"/>
  <c r="Z11" i="92" s="1"/>
  <c r="AL10" i="92" a="1"/>
  <c r="AL10" i="92" s="1"/>
  <c r="Z10" i="92" a="1"/>
  <c r="Z10" i="92" s="1"/>
  <c r="AL3" i="92" a="1"/>
  <c r="AL3" i="92" s="1"/>
  <c r="K8" i="92" a="1"/>
  <c r="K8" i="92" s="1"/>
  <c r="M7" i="92" a="1"/>
  <c r="M7" i="92" s="1"/>
  <c r="J7" i="92" a="1"/>
  <c r="J7" i="92" s="1"/>
  <c r="AH8" i="92" a="1"/>
  <c r="AH8" i="92" s="1"/>
  <c r="Q9" i="92" a="1"/>
  <c r="Q9" i="92" s="1"/>
  <c r="P8" i="92" a="1"/>
  <c r="P8" i="92" s="1"/>
  <c r="O8" i="92" a="1"/>
  <c r="O8" i="92" s="1"/>
  <c r="N8" i="92" a="1"/>
  <c r="N8" i="92" s="1"/>
  <c r="L8" i="92" a="1"/>
  <c r="L8" i="92" s="1"/>
  <c r="J6" i="92" a="1"/>
  <c r="J6" i="92" s="1"/>
  <c r="P9" i="92" a="1"/>
  <c r="P9" i="92" s="1"/>
  <c r="AJ9" i="92" a="1"/>
  <c r="AJ9" i="92" s="1"/>
  <c r="AA9" i="92" a="1"/>
  <c r="AA9" i="92" s="1"/>
  <c r="X8" i="92" a="1"/>
  <c r="X8" i="92" s="1"/>
  <c r="L7" i="92" a="1"/>
  <c r="L7" i="92" s="1"/>
  <c r="M8" i="92" a="1"/>
  <c r="M8" i="92" s="1"/>
  <c r="K7" i="92" a="1"/>
  <c r="K7" i="92" s="1"/>
  <c r="Z9" i="92" a="1"/>
  <c r="Z9" i="92" s="1"/>
  <c r="AF8" i="92" a="1"/>
  <c r="AF8" i="92" s="1"/>
  <c r="T7" i="92" a="1"/>
  <c r="T7" i="92" s="1"/>
  <c r="AI9" i="92" a="1"/>
  <c r="AI9" i="92" s="1"/>
  <c r="Y9" i="92" a="1"/>
  <c r="Y9" i="92" s="1"/>
  <c r="AE8" i="92" a="1"/>
  <c r="AE8" i="92" s="1"/>
  <c r="W8" i="92" a="1"/>
  <c r="W8" i="92" s="1"/>
  <c r="N9" i="92" a="1"/>
  <c r="N9" i="92" s="1"/>
  <c r="Q6" i="92" a="1"/>
  <c r="Q6" i="92" s="1"/>
  <c r="AH9" i="92" a="1"/>
  <c r="AH9" i="92" s="1"/>
  <c r="V8" i="92" a="1"/>
  <c r="V8" i="92" s="1"/>
  <c r="M9" i="92" a="1"/>
  <c r="M9" i="92" s="1"/>
  <c r="X9" i="92" a="1"/>
  <c r="X9" i="92" s="1"/>
  <c r="AM8" i="92" a="1"/>
  <c r="AM8" i="92" s="1"/>
  <c r="AD8" i="92" a="1"/>
  <c r="AD8" i="92" s="1"/>
  <c r="U8" i="92" a="1"/>
  <c r="U8" i="92" s="1"/>
  <c r="O9" i="92" a="1"/>
  <c r="O9" i="92" s="1"/>
  <c r="P6" i="92" a="1"/>
  <c r="P6" i="92" s="1"/>
  <c r="L9" i="92" a="1"/>
  <c r="L9" i="92" s="1"/>
  <c r="J8" i="92" a="1"/>
  <c r="J8" i="92" s="1"/>
  <c r="AF9" i="92" a="1"/>
  <c r="AF9" i="92" s="1"/>
  <c r="T8" i="92" a="1"/>
  <c r="T8" i="92" s="1"/>
  <c r="K9" i="92" a="1"/>
  <c r="K9" i="92" s="1"/>
  <c r="Q7" i="92" a="1"/>
  <c r="Q7" i="92" s="1"/>
  <c r="O6" i="92" a="1"/>
  <c r="O6" i="92" s="1"/>
  <c r="AE9" i="92" a="1"/>
  <c r="AE9" i="92" s="1"/>
  <c r="W9" i="92" a="1"/>
  <c r="W9" i="92" s="1"/>
  <c r="AK8" i="92" a="1"/>
  <c r="AK8" i="92" s="1"/>
  <c r="AC8" i="92" a="1"/>
  <c r="AC8" i="92" s="1"/>
  <c r="S8" i="92" a="1"/>
  <c r="S8" i="92" s="1"/>
  <c r="J9" i="92" a="1"/>
  <c r="J9" i="92" s="1"/>
  <c r="P7" i="92" a="1"/>
  <c r="P7" i="92" s="1"/>
  <c r="N6" i="92" a="1"/>
  <c r="N6" i="92" s="1"/>
  <c r="V9" i="92" a="1"/>
  <c r="V9" i="92" s="1"/>
  <c r="AM9" i="92" a="1"/>
  <c r="AM9" i="92" s="1"/>
  <c r="AD9" i="92" a="1"/>
  <c r="AD9" i="92" s="1"/>
  <c r="U9" i="92" a="1"/>
  <c r="U9" i="92" s="1"/>
  <c r="AJ8" i="92" a="1"/>
  <c r="AJ8" i="92" s="1"/>
  <c r="AA8" i="92" a="1"/>
  <c r="AA8" i="92" s="1"/>
  <c r="O7" i="92" a="1"/>
  <c r="O7" i="92" s="1"/>
  <c r="M6" i="92" a="1"/>
  <c r="M6" i="92" s="1"/>
  <c r="Q8" i="92" a="1"/>
  <c r="Q8" i="92" s="1"/>
  <c r="N7" i="92" a="1"/>
  <c r="N7" i="92" s="1"/>
  <c r="L6" i="92" a="1"/>
  <c r="L6" i="92" s="1"/>
  <c r="T9" i="92" a="1"/>
  <c r="T9" i="92" s="1"/>
  <c r="Z8" i="92" a="1"/>
  <c r="Z8" i="92" s="1"/>
  <c r="T6" i="92" a="1"/>
  <c r="T6" i="92" s="1"/>
  <c r="K6" i="92" a="1"/>
  <c r="K6" i="92" s="1"/>
  <c r="AK9" i="92" a="1"/>
  <c r="AK9" i="92" s="1"/>
  <c r="AC9" i="92" a="1"/>
  <c r="AC9" i="92" s="1"/>
  <c r="AI8" i="92" a="1"/>
  <c r="AI8" i="92" s="1"/>
  <c r="C84" i="94"/>
  <c r="C131" i="94"/>
  <c r="I27" i="94"/>
  <c r="I31" i="94" s="1"/>
  <c r="G13" i="94" s="1"/>
  <c r="AP6" i="92" s="1" a="1"/>
  <c r="AP6" i="92" s="1"/>
  <c r="J29" i="94"/>
  <c r="C72" i="94"/>
  <c r="D111" i="94"/>
  <c r="D112" i="94" s="1"/>
  <c r="D113" i="94" s="1"/>
  <c r="D28" i="94"/>
  <c r="C82" i="94"/>
  <c r="C96" i="94"/>
  <c r="C71" i="94"/>
  <c r="K340" i="29"/>
  <c r="L339" i="29"/>
  <c r="B345" i="29"/>
  <c r="D345" i="29"/>
  <c r="F345" i="29"/>
  <c r="E344" i="29"/>
  <c r="B344" i="29"/>
  <c r="G344" i="29" s="1"/>
  <c r="F344" i="29"/>
  <c r="AN6" i="92" l="1" a="1"/>
  <c r="AN6" i="92" s="1"/>
  <c r="AL6" i="92" a="1"/>
  <c r="AL6" i="92" s="1"/>
  <c r="AG6" i="92" a="1"/>
  <c r="AG6" i="92" s="1"/>
  <c r="AO6" i="92" a="1"/>
  <c r="AO6" i="92" s="1"/>
  <c r="D116" i="94"/>
  <c r="E116" i="94" s="1"/>
  <c r="R6" i="92" a="1"/>
  <c r="R6" i="92" s="1"/>
  <c r="I32" i="94"/>
  <c r="G14" i="94" s="1"/>
  <c r="D36" i="94"/>
  <c r="G5" i="94" s="1"/>
  <c r="D29" i="94"/>
  <c r="D27" i="94" s="1"/>
  <c r="C83" i="94"/>
  <c r="H339" i="29"/>
  <c r="D339" i="29"/>
  <c r="F339" i="29"/>
  <c r="B339" i="29"/>
  <c r="G339" i="29" s="1"/>
  <c r="L340" i="29"/>
  <c r="K341" i="29"/>
  <c r="H345" i="29"/>
  <c r="G345" i="29"/>
  <c r="E118" i="94" l="1"/>
  <c r="F116" i="94"/>
  <c r="F118" i="94" s="1"/>
  <c r="H5" i="94"/>
  <c r="F32" i="94"/>
  <c r="F31" i="94"/>
  <c r="C25" i="94"/>
  <c r="H25" i="94"/>
  <c r="G10" i="94" s="1"/>
  <c r="R5" i="92" s="1" a="1"/>
  <c r="R5" i="92" s="1"/>
  <c r="D31" i="94"/>
  <c r="G11" i="94" s="1"/>
  <c r="R8" i="92" s="1" a="1"/>
  <c r="R8" i="92" s="1"/>
  <c r="D32" i="94"/>
  <c r="G12" i="94" s="1"/>
  <c r="R9" i="92" s="1" a="1"/>
  <c r="R9" i="92" s="1"/>
  <c r="L341" i="29"/>
  <c r="K342" i="29"/>
  <c r="E340" i="29"/>
  <c r="D340" i="29"/>
  <c r="H340" i="29"/>
  <c r="F340" i="29"/>
  <c r="B340" i="29"/>
  <c r="G340" i="29" s="1"/>
  <c r="AG7" i="92" l="1" a="1"/>
  <c r="AG7" i="92" s="1"/>
  <c r="H11" i="94"/>
  <c r="H12" i="94"/>
  <c r="H10" i="94"/>
  <c r="AB5" i="92" s="1" a="1"/>
  <c r="AB5" i="92" s="1"/>
  <c r="I5" i="94"/>
  <c r="K343" i="29"/>
  <c r="H341" i="29"/>
  <c r="F341" i="29"/>
  <c r="E341" i="29"/>
  <c r="B341" i="29"/>
  <c r="G341" i="29" s="1"/>
  <c r="AL7" i="92" l="1" a="1"/>
  <c r="AL7" i="92" s="1"/>
  <c r="I12" i="94"/>
  <c r="AB9" i="92" a="1"/>
  <c r="AB9" i="92" s="1"/>
  <c r="I11" i="94"/>
  <c r="AB8" i="92" a="1"/>
  <c r="AB8" i="92" s="1"/>
  <c r="I10" i="94"/>
  <c r="AG5" i="92" s="1" a="1"/>
  <c r="AG5" i="92" s="1"/>
  <c r="J5" i="94"/>
  <c r="K344" i="29"/>
  <c r="J11" i="94" l="1"/>
  <c r="AG8" i="92" a="1"/>
  <c r="AG8" i="92" s="1"/>
  <c r="J12" i="94"/>
  <c r="AG9" i="92" a="1"/>
  <c r="AG9" i="92" s="1"/>
  <c r="AN7" i="92" a="1"/>
  <c r="AN7" i="92" s="1"/>
  <c r="K5" i="94"/>
  <c r="J10" i="94"/>
  <c r="AL5" i="92" s="1" a="1"/>
  <c r="AL5" i="92" s="1"/>
  <c r="K345" i="29"/>
  <c r="AO7" i="92" l="1" a="1"/>
  <c r="AO7" i="92" s="1"/>
  <c r="K12" i="94"/>
  <c r="AL9" i="92" a="1"/>
  <c r="AL9" i="92" s="1"/>
  <c r="K11" i="94"/>
  <c r="AL8" i="92" a="1"/>
  <c r="AL8" i="92" s="1"/>
  <c r="K10" i="94"/>
  <c r="AN5" i="92" s="1" a="1"/>
  <c r="AN5" i="92" s="1"/>
  <c r="L5" i="94"/>
  <c r="H168" i="7"/>
  <c r="D22" i="79"/>
  <c r="A168" i="7"/>
  <c r="R168" i="7"/>
  <c r="I168" i="7"/>
  <c r="I13" i="79"/>
  <c r="J13" i="79" s="1"/>
  <c r="I15" i="79"/>
  <c r="J15" i="79" s="1"/>
  <c r="I14" i="79"/>
  <c r="H15" i="79"/>
  <c r="F15" i="79"/>
  <c r="G168" i="7" s="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27" i="11"/>
  <c r="F28" i="11"/>
  <c r="F15" i="11"/>
  <c r="F16" i="11"/>
  <c r="F17" i="11"/>
  <c r="F18" i="11"/>
  <c r="F19" i="11"/>
  <c r="F20" i="11"/>
  <c r="F21" i="11"/>
  <c r="F22" i="11"/>
  <c r="F23" i="11"/>
  <c r="F24" i="11"/>
  <c r="F25" i="11"/>
  <c r="F26" i="11"/>
  <c r="F14" i="11"/>
  <c r="M17" i="11"/>
  <c r="L17" i="11" s="1"/>
  <c r="N17" i="11"/>
  <c r="O17" i="11"/>
  <c r="P17" i="11"/>
  <c r="M18" i="11"/>
  <c r="L18" i="11" s="1"/>
  <c r="N18" i="11"/>
  <c r="O18" i="11"/>
  <c r="P18" i="11"/>
  <c r="M19" i="11"/>
  <c r="L19" i="11" s="1"/>
  <c r="N19" i="11"/>
  <c r="O19" i="11"/>
  <c r="P19" i="11"/>
  <c r="M20" i="11"/>
  <c r="N20" i="11"/>
  <c r="O20" i="11"/>
  <c r="L20" i="11" s="1"/>
  <c r="P20" i="11"/>
  <c r="M21" i="11"/>
  <c r="L21" i="11" s="1"/>
  <c r="N21" i="11"/>
  <c r="O21" i="11"/>
  <c r="P21" i="11"/>
  <c r="M22" i="11"/>
  <c r="N22" i="11"/>
  <c r="L22" i="11" s="1"/>
  <c r="O22" i="11"/>
  <c r="P22" i="11"/>
  <c r="M23" i="11"/>
  <c r="L23" i="11" s="1"/>
  <c r="N23" i="11"/>
  <c r="O23" i="11"/>
  <c r="P23" i="11"/>
  <c r="L24" i="11"/>
  <c r="M24" i="11"/>
  <c r="N24" i="11"/>
  <c r="O24" i="11"/>
  <c r="P24" i="11"/>
  <c r="M25" i="11"/>
  <c r="N25" i="11"/>
  <c r="L25" i="11" s="1"/>
  <c r="O25" i="11"/>
  <c r="P25" i="11"/>
  <c r="M26" i="11"/>
  <c r="N26" i="11"/>
  <c r="L26" i="11" s="1"/>
  <c r="O26" i="11"/>
  <c r="P26" i="11"/>
  <c r="M27" i="11"/>
  <c r="L27" i="11" s="1"/>
  <c r="N27" i="11"/>
  <c r="O27" i="11"/>
  <c r="P27" i="11"/>
  <c r="M28" i="11"/>
  <c r="N28" i="11"/>
  <c r="O28" i="11"/>
  <c r="P28" i="11"/>
  <c r="L28" i="11" s="1"/>
  <c r="M29" i="11"/>
  <c r="L29" i="11" s="1"/>
  <c r="N29" i="11"/>
  <c r="O29" i="11"/>
  <c r="P29" i="11"/>
  <c r="M30" i="11"/>
  <c r="L30" i="11" s="1"/>
  <c r="N30" i="11"/>
  <c r="O30" i="11"/>
  <c r="P30" i="11"/>
  <c r="M31" i="11"/>
  <c r="L31" i="11" s="1"/>
  <c r="N31" i="11"/>
  <c r="O31" i="11"/>
  <c r="P31" i="11"/>
  <c r="M32" i="11"/>
  <c r="L32" i="11" s="1"/>
  <c r="N32" i="11"/>
  <c r="O32" i="11"/>
  <c r="P32" i="11"/>
  <c r="M33" i="11"/>
  <c r="L33" i="11" s="1"/>
  <c r="N33" i="11"/>
  <c r="O33" i="11"/>
  <c r="P33" i="11"/>
  <c r="L34" i="11"/>
  <c r="M34" i="11"/>
  <c r="N34" i="11"/>
  <c r="O34" i="11"/>
  <c r="P34" i="11"/>
  <c r="M35" i="11"/>
  <c r="L35" i="11" s="1"/>
  <c r="N35" i="11"/>
  <c r="O35" i="11"/>
  <c r="P35" i="11"/>
  <c r="L36" i="11"/>
  <c r="M36" i="11"/>
  <c r="N36" i="11"/>
  <c r="O36" i="11"/>
  <c r="P36" i="11"/>
  <c r="M37" i="11"/>
  <c r="N37" i="11"/>
  <c r="L37" i="11" s="1"/>
  <c r="O37" i="11"/>
  <c r="P37" i="11"/>
  <c r="M38" i="11"/>
  <c r="N38" i="11"/>
  <c r="L38" i="11" s="1"/>
  <c r="O38" i="11"/>
  <c r="P38" i="11"/>
  <c r="M39" i="11"/>
  <c r="L39" i="11" s="1"/>
  <c r="N39" i="11"/>
  <c r="O39" i="11"/>
  <c r="P39" i="11"/>
  <c r="M40" i="11"/>
  <c r="N40" i="11"/>
  <c r="L40" i="11" s="1"/>
  <c r="O40" i="11"/>
  <c r="P40" i="11"/>
  <c r="M41" i="11"/>
  <c r="L41" i="11" s="1"/>
  <c r="N41" i="11"/>
  <c r="O41" i="11"/>
  <c r="P41" i="11"/>
  <c r="M42" i="11"/>
  <c r="L42" i="11" s="1"/>
  <c r="N42" i="11"/>
  <c r="O42" i="11"/>
  <c r="P42" i="11"/>
  <c r="M43" i="11"/>
  <c r="L43" i="11" s="1"/>
  <c r="N43" i="11"/>
  <c r="O43" i="11"/>
  <c r="P43" i="11"/>
  <c r="M44" i="11"/>
  <c r="L44" i="11" s="1"/>
  <c r="N44" i="11"/>
  <c r="O44" i="11"/>
  <c r="P44" i="11"/>
  <c r="M45" i="11"/>
  <c r="L45" i="11" s="1"/>
  <c r="N45" i="11"/>
  <c r="O45" i="11"/>
  <c r="P45" i="11"/>
  <c r="L46" i="11"/>
  <c r="M46" i="11"/>
  <c r="N46" i="11"/>
  <c r="O46" i="11"/>
  <c r="P46" i="11"/>
  <c r="M47" i="11"/>
  <c r="L47" i="11" s="1"/>
  <c r="N47" i="11"/>
  <c r="O47" i="11"/>
  <c r="P47" i="11"/>
  <c r="L48" i="11"/>
  <c r="M48" i="11"/>
  <c r="N48" i="11"/>
  <c r="O48" i="11"/>
  <c r="P48" i="11"/>
  <c r="M49" i="11"/>
  <c r="N49" i="11"/>
  <c r="L49" i="11" s="1"/>
  <c r="O49" i="11"/>
  <c r="P49" i="11"/>
  <c r="M50" i="11"/>
  <c r="N50" i="11"/>
  <c r="L50" i="11" s="1"/>
  <c r="O50" i="11"/>
  <c r="P50" i="11"/>
  <c r="M51" i="11"/>
  <c r="L51" i="11" s="1"/>
  <c r="N51" i="11"/>
  <c r="O51" i="11"/>
  <c r="P51" i="11"/>
  <c r="M52" i="11"/>
  <c r="N52" i="11"/>
  <c r="L52" i="11" s="1"/>
  <c r="O52" i="11"/>
  <c r="P52" i="11"/>
  <c r="M53" i="11"/>
  <c r="L53" i="11" s="1"/>
  <c r="N53" i="11"/>
  <c r="O53" i="11"/>
  <c r="P53" i="11"/>
  <c r="P14" i="11"/>
  <c r="M16" i="11"/>
  <c r="L16" i="11" s="1"/>
  <c r="M15" i="11"/>
  <c r="N15" i="11"/>
  <c r="O15" i="11"/>
  <c r="P15" i="11"/>
  <c r="N16" i="11"/>
  <c r="O16" i="11"/>
  <c r="P16" i="11"/>
  <c r="N14" i="11"/>
  <c r="O14" i="11"/>
  <c r="M14" i="11"/>
  <c r="L15" i="11"/>
  <c r="J3" i="90" a="1"/>
  <c r="J3" i="90" s="1"/>
  <c r="K2" i="90"/>
  <c r="B80" i="34"/>
  <c r="A165" i="7"/>
  <c r="AO10" i="87"/>
  <c r="AP10" i="87" s="1"/>
  <c r="AO11" i="87"/>
  <c r="AP11" i="87" s="1"/>
  <c r="J13" i="87" a="1"/>
  <c r="J13" i="87" s="1"/>
  <c r="J14" i="87" a="1"/>
  <c r="J14" i="87" s="1"/>
  <c r="K14" i="87" a="1"/>
  <c r="K14" i="87" s="1"/>
  <c r="AO3" i="87"/>
  <c r="AP3" i="87" s="1"/>
  <c r="AO4" i="87"/>
  <c r="AP4" i="87" s="1"/>
  <c r="AO5" i="87"/>
  <c r="AP5" i="87" s="1"/>
  <c r="AO6" i="87"/>
  <c r="AP6" i="87" s="1"/>
  <c r="AO7" i="87"/>
  <c r="AP7" i="87"/>
  <c r="J12" i="87" a="1"/>
  <c r="J12" i="87" s="1"/>
  <c r="I4" i="88"/>
  <c r="I3" i="88"/>
  <c r="J8" i="87" a="1"/>
  <c r="J8" i="87" s="1"/>
  <c r="J9" i="87" a="1"/>
  <c r="J9" i="87" s="1"/>
  <c r="B24" i="85"/>
  <c r="B25" i="85" s="1"/>
  <c r="AS260" i="28"/>
  <c r="L11" i="94" l="1"/>
  <c r="AN8" i="92" a="1"/>
  <c r="AN8" i="92" s="1"/>
  <c r="L12" i="94"/>
  <c r="AN9" i="92" a="1"/>
  <c r="AN9" i="92" s="1"/>
  <c r="AP7" i="92" a="1"/>
  <c r="AP7" i="92" s="1"/>
  <c r="X169" i="7"/>
  <c r="AB169" i="7"/>
  <c r="Y169" i="7"/>
  <c r="Z169" i="7"/>
  <c r="AC169" i="7"/>
  <c r="AA169" i="7"/>
  <c r="M5" i="94"/>
  <c r="L10" i="94"/>
  <c r="AO5" i="92" s="1" a="1"/>
  <c r="AO5" i="92" s="1"/>
  <c r="L14" i="11"/>
  <c r="K9" i="87" a="1"/>
  <c r="K9" i="87" s="1"/>
  <c r="L14" i="87" a="1"/>
  <c r="L14" i="87" s="1"/>
  <c r="L9" i="87" a="1"/>
  <c r="L9" i="87" s="1"/>
  <c r="L8" i="87" a="1"/>
  <c r="L8" i="87" s="1"/>
  <c r="L13" i="87" a="1"/>
  <c r="L13" i="87" s="1"/>
  <c r="L12" i="87" a="1"/>
  <c r="L12" i="87" s="1"/>
  <c r="K12" i="87" a="1"/>
  <c r="K12" i="87" s="1"/>
  <c r="K13" i="87" a="1"/>
  <c r="K13" i="87" s="1"/>
  <c r="K8" i="87" a="1"/>
  <c r="K8" i="87" s="1"/>
  <c r="K3" i="90" a="1"/>
  <c r="K3" i="90" s="1"/>
  <c r="L2" i="90"/>
  <c r="AV157" i="28"/>
  <c r="AV158" i="28" s="1"/>
  <c r="AV159" i="28" s="1"/>
  <c r="AV160" i="28" s="1"/>
  <c r="AV161" i="28" s="1"/>
  <c r="AV162" i="28" s="1"/>
  <c r="AV163" i="28" s="1"/>
  <c r="AV164" i="28" s="1"/>
  <c r="AV257" i="28"/>
  <c r="AV258" i="28" s="1"/>
  <c r="M12" i="94" l="1"/>
  <c r="AP9" i="92" s="1" a="1"/>
  <c r="AP9" i="92" s="1"/>
  <c r="AO9" i="92" a="1"/>
  <c r="AO9" i="92" s="1"/>
  <c r="M11" i="94"/>
  <c r="AP8" i="92" s="1" a="1"/>
  <c r="AP8" i="92" s="1"/>
  <c r="AO8" i="92" a="1"/>
  <c r="AO8" i="92" s="1"/>
  <c r="M10" i="94"/>
  <c r="AP5" i="92" s="1" a="1"/>
  <c r="AP5" i="92" s="1"/>
  <c r="M14" i="87" a="1"/>
  <c r="M14" i="87" s="1"/>
  <c r="M9" i="87" a="1"/>
  <c r="M9" i="87" s="1"/>
  <c r="M8" i="87" a="1"/>
  <c r="M8" i="87" s="1"/>
  <c r="M13" i="87" a="1"/>
  <c r="M13" i="87" s="1"/>
  <c r="M12" i="87" a="1"/>
  <c r="M12" i="87" s="1"/>
  <c r="L3" i="90" a="1"/>
  <c r="L3" i="90" s="1"/>
  <c r="M2" i="90"/>
  <c r="AS160" i="28"/>
  <c r="AS161" i="28" s="1"/>
  <c r="AS162" i="28" s="1"/>
  <c r="AS164" i="28" s="1"/>
  <c r="AS165" i="28" s="1"/>
  <c r="AS166" i="28" s="1"/>
  <c r="AS167" i="28" s="1"/>
  <c r="AS168" i="28" s="1"/>
  <c r="N14" i="87" l="1" a="1"/>
  <c r="N14" i="87" s="1"/>
  <c r="N9" i="87" a="1"/>
  <c r="N9" i="87" s="1"/>
  <c r="N13" i="87" a="1"/>
  <c r="N13" i="87" s="1"/>
  <c r="N8" i="87" a="1"/>
  <c r="N8" i="87" s="1"/>
  <c r="N12" i="87" a="1"/>
  <c r="N12" i="87" s="1"/>
  <c r="M3" i="90" a="1"/>
  <c r="M3" i="90" s="1"/>
  <c r="N2" i="90"/>
  <c r="AS163" i="28"/>
  <c r="D12" i="85"/>
  <c r="D15" i="85" s="1"/>
  <c r="D13" i="85"/>
  <c r="D16" i="85" s="1"/>
  <c r="D11" i="85"/>
  <c r="D14" i="85" s="1"/>
  <c r="F11" i="85"/>
  <c r="F12" i="85" s="1"/>
  <c r="F13" i="85" s="1"/>
  <c r="C50" i="85"/>
  <c r="C38" i="85"/>
  <c r="E28" i="85" s="1"/>
  <c r="E29" i="85" s="1"/>
  <c r="O14" i="87" l="1" a="1"/>
  <c r="O14" i="87" s="1"/>
  <c r="O9" i="87" a="1"/>
  <c r="O9" i="87" s="1"/>
  <c r="O13" i="87" a="1"/>
  <c r="O13" i="87" s="1"/>
  <c r="O8" i="87" a="1"/>
  <c r="O8" i="87" s="1"/>
  <c r="O12" i="87" a="1"/>
  <c r="O12" i="87" s="1"/>
  <c r="N3" i="90" a="1"/>
  <c r="N3" i="90" s="1"/>
  <c r="O2" i="90"/>
  <c r="G14" i="85"/>
  <c r="D28" i="85"/>
  <c r="D29" i="85" s="1"/>
  <c r="F3" i="85" s="1"/>
  <c r="G11" i="85"/>
  <c r="H3" i="85"/>
  <c r="F28" i="85"/>
  <c r="G15" i="85"/>
  <c r="H15" i="85" s="1"/>
  <c r="I15" i="85" s="1"/>
  <c r="J15" i="85" s="1"/>
  <c r="P14" i="87" l="1" a="1"/>
  <c r="P14" i="87" s="1"/>
  <c r="P9" i="87" a="1"/>
  <c r="P9" i="87" s="1"/>
  <c r="P13" i="87" a="1"/>
  <c r="P13" i="87" s="1"/>
  <c r="P8" i="87" a="1"/>
  <c r="P8" i="87" s="1"/>
  <c r="P12" i="87" a="1"/>
  <c r="P12" i="87" s="1"/>
  <c r="O3" i="90" a="1"/>
  <c r="O3" i="90" s="1"/>
  <c r="P2" i="90"/>
  <c r="H14" i="85"/>
  <c r="G16" i="85"/>
  <c r="F4" i="85"/>
  <c r="H11" i="85"/>
  <c r="G12" i="85"/>
  <c r="G13" i="85" s="1"/>
  <c r="F29" i="85"/>
  <c r="E30" i="85"/>
  <c r="G3" i="85"/>
  <c r="H4" i="85"/>
  <c r="B29" i="85" l="1"/>
  <c r="F30" i="85"/>
  <c r="Q14" i="87" a="1"/>
  <c r="Q14" i="87" s="1"/>
  <c r="Q9" i="87" a="1"/>
  <c r="Q9" i="87" s="1"/>
  <c r="Q12" i="87" a="1"/>
  <c r="Q12" i="87" s="1"/>
  <c r="R9" i="87" a="1"/>
  <c r="R9" i="87" s="1"/>
  <c r="Q13" i="87" a="1"/>
  <c r="Q13" i="87" s="1"/>
  <c r="Q8" i="87" a="1"/>
  <c r="Q8" i="87" s="1"/>
  <c r="Q2" i="90"/>
  <c r="P3" i="90" a="1"/>
  <c r="P3" i="90" s="1"/>
  <c r="I14" i="85"/>
  <c r="H16" i="85"/>
  <c r="G4" i="85"/>
  <c r="I11" i="85"/>
  <c r="H12" i="85"/>
  <c r="H13" i="85" s="1"/>
  <c r="I3" i="85"/>
  <c r="J3" i="85"/>
  <c r="R14" i="87" l="1" a="1"/>
  <c r="R14" i="87" s="1"/>
  <c r="R12" i="87" a="1"/>
  <c r="R12" i="87" s="1"/>
  <c r="R13" i="87" a="1"/>
  <c r="R13" i="87" s="1"/>
  <c r="R8" i="87" a="1"/>
  <c r="R8" i="87" s="1"/>
  <c r="R2" i="90"/>
  <c r="Q3" i="90" a="1"/>
  <c r="Q3" i="90" s="1"/>
  <c r="J14" i="85"/>
  <c r="I16" i="85"/>
  <c r="J4" i="85"/>
  <c r="I4" i="85"/>
  <c r="J11" i="85"/>
  <c r="J12" i="85" s="1"/>
  <c r="J13" i="85" s="1"/>
  <c r="I12" i="85"/>
  <c r="I13" i="85" s="1"/>
  <c r="S9" i="87" l="1" a="1"/>
  <c r="S9" i="87" s="1"/>
  <c r="S12" i="87" a="1"/>
  <c r="S12" i="87" s="1"/>
  <c r="S14" i="87" a="1"/>
  <c r="S14" i="87" s="1"/>
  <c r="S8" i="87" a="1"/>
  <c r="S8" i="87" s="1"/>
  <c r="S13" i="87" a="1"/>
  <c r="S13" i="87" s="1"/>
  <c r="S2" i="90"/>
  <c r="S3" i="90" s="1" a="1"/>
  <c r="S3" i="90" s="1"/>
  <c r="R3" i="90" a="1"/>
  <c r="R3" i="90" s="1"/>
  <c r="J16" i="85"/>
  <c r="D23" i="63"/>
  <c r="T12" i="87" l="1" a="1"/>
  <c r="T12" i="87" s="1"/>
  <c r="T9" i="87" a="1"/>
  <c r="T9" i="87" s="1"/>
  <c r="T14" i="87" a="1"/>
  <c r="T14" i="87" s="1"/>
  <c r="T13" i="87" a="1"/>
  <c r="T13" i="87" s="1"/>
  <c r="T8" i="87" a="1"/>
  <c r="T8" i="87" s="1"/>
  <c r="T2" i="90"/>
  <c r="G71" i="6"/>
  <c r="G70" i="6"/>
  <c r="F70" i="6"/>
  <c r="G68" i="6"/>
  <c r="F68" i="6"/>
  <c r="K59" i="6"/>
  <c r="J59" i="6"/>
  <c r="G59" i="6"/>
  <c r="CT100" i="45"/>
  <c r="CT99" i="45"/>
  <c r="CT98" i="45"/>
  <c r="CQ100" i="45"/>
  <c r="CQ99" i="45"/>
  <c r="CQ98" i="45"/>
  <c r="CN99" i="45"/>
  <c r="CN100" i="45"/>
  <c r="CN98" i="45"/>
  <c r="CR97" i="45"/>
  <c r="CS97" i="45"/>
  <c r="CP97" i="45"/>
  <c r="CO97" i="45"/>
  <c r="CJ99" i="45"/>
  <c r="CJ100" i="45"/>
  <c r="CJ98" i="45"/>
  <c r="K58" i="6"/>
  <c r="J58" i="6"/>
  <c r="CP123" i="45"/>
  <c r="CQ123" i="45" s="1"/>
  <c r="CP124" i="45"/>
  <c r="CQ124" i="45" s="1"/>
  <c r="CP122" i="45"/>
  <c r="CQ122" i="45" s="1"/>
  <c r="CN123" i="45"/>
  <c r="CO123" i="45" s="1"/>
  <c r="CN124" i="45"/>
  <c r="CO124" i="45" s="1"/>
  <c r="CN122" i="45"/>
  <c r="CL123" i="45"/>
  <c r="CM123" i="45" s="1"/>
  <c r="CL124" i="45"/>
  <c r="CK123" i="45"/>
  <c r="CK124" i="45"/>
  <c r="CK122" i="45"/>
  <c r="CL122" i="45"/>
  <c r="CM124" i="45"/>
  <c r="CJ124" i="45"/>
  <c r="CJ123" i="45"/>
  <c r="CJ122" i="45"/>
  <c r="CP129" i="45"/>
  <c r="CQ129" i="45" s="1"/>
  <c r="CP130" i="45"/>
  <c r="CQ130" i="45" s="1"/>
  <c r="CP128" i="45"/>
  <c r="CQ128" i="45" s="1"/>
  <c r="CJ118" i="45"/>
  <c r="CJ117" i="45"/>
  <c r="CJ116" i="45"/>
  <c r="CQ115" i="45"/>
  <c r="CP115" i="45"/>
  <c r="CN129" i="45"/>
  <c r="CO129" i="45" s="1"/>
  <c r="CN130" i="45"/>
  <c r="CO130" i="45" s="1"/>
  <c r="CN128" i="45"/>
  <c r="CK129" i="45"/>
  <c r="CL129" i="45"/>
  <c r="CM129" i="45" s="1"/>
  <c r="CK130" i="45"/>
  <c r="CL130" i="45"/>
  <c r="CM130" i="45" s="1"/>
  <c r="CL128" i="45"/>
  <c r="CK128" i="45"/>
  <c r="CL109" i="45"/>
  <c r="CL115" i="45" s="1"/>
  <c r="CM109" i="45"/>
  <c r="CM115" i="45" s="1"/>
  <c r="CN109" i="45"/>
  <c r="CN115" i="45" s="1"/>
  <c r="CO109" i="45"/>
  <c r="CO115" i="45" s="1"/>
  <c r="CP109" i="45"/>
  <c r="CQ109" i="45"/>
  <c r="CR109" i="45"/>
  <c r="CR115" i="45" s="1"/>
  <c r="CK109" i="45"/>
  <c r="CK115" i="45" s="1"/>
  <c r="CJ112" i="45"/>
  <c r="CJ111" i="45"/>
  <c r="CJ110" i="45"/>
  <c r="CJ129" i="45"/>
  <c r="CJ130" i="45"/>
  <c r="CJ128" i="45"/>
  <c r="CJ105" i="45"/>
  <c r="CJ106" i="45"/>
  <c r="CJ104" i="45"/>
  <c r="CL103" i="45"/>
  <c r="CM103" i="45"/>
  <c r="CN103" i="45"/>
  <c r="CO103" i="45"/>
  <c r="CP103" i="45"/>
  <c r="CQ103" i="45"/>
  <c r="CR103" i="45"/>
  <c r="CK103" i="45"/>
  <c r="U13" i="87" l="1" a="1"/>
  <c r="U13" i="87" s="1"/>
  <c r="U12" i="87" a="1"/>
  <c r="U12" i="87" s="1"/>
  <c r="U9" i="87" a="1"/>
  <c r="U9" i="87" s="1"/>
  <c r="U14" i="87" a="1"/>
  <c r="U14" i="87" s="1"/>
  <c r="U8" i="87" a="1"/>
  <c r="U8" i="87" s="1"/>
  <c r="U2" i="90"/>
  <c r="T3" i="90" a="1"/>
  <c r="T3" i="90" s="1"/>
  <c r="CM122" i="45"/>
  <c r="CO122" i="45"/>
  <c r="CM128" i="45"/>
  <c r="CO128" i="45"/>
  <c r="V13" i="87" l="1" a="1"/>
  <c r="V13" i="87" s="1"/>
  <c r="V12" i="87" a="1"/>
  <c r="V12" i="87" s="1"/>
  <c r="V9" i="87" a="1"/>
  <c r="V9" i="87" s="1"/>
  <c r="V14" i="87" a="1"/>
  <c r="V14" i="87" s="1"/>
  <c r="V8" i="87" a="1"/>
  <c r="V8" i="87" s="1"/>
  <c r="V2" i="90"/>
  <c r="U3" i="90" a="1"/>
  <c r="U3" i="90" s="1"/>
  <c r="I76" i="6"/>
  <c r="W13" i="87" l="1" a="1"/>
  <c r="W13" i="87" s="1"/>
  <c r="W12" i="87" a="1"/>
  <c r="W12" i="87" s="1"/>
  <c r="W9" i="87" a="1"/>
  <c r="W9" i="87" s="1"/>
  <c r="W14" i="87" a="1"/>
  <c r="W14" i="87" s="1"/>
  <c r="W8" i="87" a="1"/>
  <c r="W8" i="87" s="1"/>
  <c r="W2" i="90"/>
  <c r="V3" i="90" a="1"/>
  <c r="V3" i="90" s="1"/>
  <c r="AO115" i="54"/>
  <c r="AO116" i="54"/>
  <c r="AO114" i="54"/>
  <c r="X13" i="87" l="1" a="1"/>
  <c r="X13" i="87" s="1"/>
  <c r="X12" i="87" a="1"/>
  <c r="X12" i="87" s="1"/>
  <c r="X8" i="87" a="1"/>
  <c r="X8" i="87" s="1"/>
  <c r="X9" i="87" a="1"/>
  <c r="X9" i="87" s="1"/>
  <c r="X14" i="87" a="1"/>
  <c r="X14" i="87" s="1"/>
  <c r="W3" i="90" a="1"/>
  <c r="W3" i="90" s="1"/>
  <c r="X2" i="90"/>
  <c r="E7" i="54" a="1"/>
  <c r="E7" i="54" s="1"/>
  <c r="AM115" i="54"/>
  <c r="AN115" i="54"/>
  <c r="AM116" i="54"/>
  <c r="AN116" i="54"/>
  <c r="AM114" i="54"/>
  <c r="AN114" i="54"/>
  <c r="M118" i="54" a="1"/>
  <c r="N119" i="54" s="1"/>
  <c r="N116" i="54"/>
  <c r="M116" i="54"/>
  <c r="L116" i="54"/>
  <c r="N115" i="54"/>
  <c r="M115" i="54"/>
  <c r="L115" i="54"/>
  <c r="N114" i="54"/>
  <c r="M114" i="54"/>
  <c r="L114" i="54"/>
  <c r="Y8" i="87" l="1" a="1"/>
  <c r="Y8" i="87" s="1"/>
  <c r="Y14" i="87" a="1"/>
  <c r="Y14" i="87" s="1"/>
  <c r="Y13" i="87" a="1"/>
  <c r="Y13" i="87" s="1"/>
  <c r="Y12" i="87" a="1"/>
  <c r="Y12" i="87" s="1"/>
  <c r="Y9" i="87" a="1"/>
  <c r="Y9" i="87" s="1"/>
  <c r="X3" i="90" a="1"/>
  <c r="X3" i="90" s="1"/>
  <c r="Y2" i="90"/>
  <c r="F9" i="54"/>
  <c r="E9" i="54"/>
  <c r="F8" i="54"/>
  <c r="E8" i="54"/>
  <c r="F7" i="54"/>
  <c r="N120" i="54"/>
  <c r="N118" i="54"/>
  <c r="M119" i="54"/>
  <c r="M120" i="54"/>
  <c r="M118" i="54"/>
  <c r="Z14" i="87" l="1" a="1"/>
  <c r="Z14" i="87" s="1"/>
  <c r="Z8" i="87" a="1"/>
  <c r="Z8" i="87" s="1"/>
  <c r="Z13" i="87" a="1"/>
  <c r="Z13" i="87" s="1"/>
  <c r="Z12" i="87" a="1"/>
  <c r="Z12" i="87" s="1"/>
  <c r="Z9" i="87" a="1"/>
  <c r="Z9" i="87" s="1"/>
  <c r="Y3" i="90" a="1"/>
  <c r="Y3" i="90" s="1"/>
  <c r="Z2" i="90"/>
  <c r="P15" i="6"/>
  <c r="Q15" i="6"/>
  <c r="P16" i="6"/>
  <c r="Q16" i="6"/>
  <c r="CK93" i="45"/>
  <c r="O15" i="6" s="1"/>
  <c r="CL93" i="45"/>
  <c r="CM93" i="45"/>
  <c r="CK94" i="45"/>
  <c r="O16" i="6" s="1"/>
  <c r="CL94" i="45"/>
  <c r="CM94" i="45"/>
  <c r="CM92" i="45"/>
  <c r="Q14" i="6" s="1"/>
  <c r="CL92" i="45"/>
  <c r="P14" i="6" s="1"/>
  <c r="CK92" i="45"/>
  <c r="O14" i="6" s="1"/>
  <c r="CJ93" i="45"/>
  <c r="CJ94" i="45"/>
  <c r="CJ92" i="45"/>
  <c r="AA14" i="87" l="1" a="1"/>
  <c r="AA14" i="87" s="1"/>
  <c r="AA8" i="87" a="1"/>
  <c r="AA8" i="87" s="1"/>
  <c r="AA13" i="87" a="1"/>
  <c r="AA13" i="87" s="1"/>
  <c r="AA12" i="87" a="1"/>
  <c r="AA12" i="87" s="1"/>
  <c r="AA9" i="87" a="1"/>
  <c r="AA9" i="87" s="1"/>
  <c r="Z3" i="90" a="1"/>
  <c r="Z3" i="90" s="1"/>
  <c r="AA2" i="90"/>
  <c r="CM88" i="45"/>
  <c r="CM87" i="45"/>
  <c r="CM86" i="45"/>
  <c r="CR86" i="45"/>
  <c r="CR87" i="45" s="1"/>
  <c r="CR88" i="45" s="1"/>
  <c r="CO87" i="45"/>
  <c r="CP87" i="45"/>
  <c r="CP88" i="45"/>
  <c r="CO88" i="45"/>
  <c r="CK87" i="45"/>
  <c r="CK88" i="45" s="1"/>
  <c r="AB14" i="87" l="1" a="1"/>
  <c r="AB14" i="87" s="1"/>
  <c r="AB12" i="87" a="1"/>
  <c r="AB12" i="87" s="1"/>
  <c r="AB13" i="87" a="1"/>
  <c r="AB13" i="87" s="1"/>
  <c r="AB8" i="87" a="1"/>
  <c r="AB8" i="87" s="1"/>
  <c r="AB9" i="87" a="1"/>
  <c r="AB9" i="87" s="1"/>
  <c r="AA3" i="90" a="1"/>
  <c r="AA3" i="90" s="1"/>
  <c r="AB2" i="90"/>
  <c r="B79" i="34"/>
  <c r="S32" i="16"/>
  <c r="AC14" i="87" l="1" a="1"/>
  <c r="AC14" i="87" s="1"/>
  <c r="AC8" i="87" a="1"/>
  <c r="AC8" i="87" s="1"/>
  <c r="AC13" i="87" a="1"/>
  <c r="AC13" i="87" s="1"/>
  <c r="AC12" i="87" a="1"/>
  <c r="AC12" i="87" s="1"/>
  <c r="AC9" i="87" a="1"/>
  <c r="AC9" i="87" s="1"/>
  <c r="AC2" i="90"/>
  <c r="AB3" i="90" a="1"/>
  <c r="AB3" i="90" s="1"/>
  <c r="R64" i="9"/>
  <c r="AD12" i="87" l="1" a="1"/>
  <c r="AD12" i="87" s="1"/>
  <c r="AD14" i="87" a="1"/>
  <c r="AD14" i="87" s="1"/>
  <c r="AD8" i="87" a="1"/>
  <c r="AD8" i="87" s="1"/>
  <c r="AD9" i="87" a="1"/>
  <c r="AD9" i="87" s="1"/>
  <c r="AD13" i="87" a="1"/>
  <c r="AD13" i="87" s="1"/>
  <c r="AD2" i="90"/>
  <c r="AC3" i="90" a="1"/>
  <c r="AC3" i="90" s="1"/>
  <c r="AE8" i="77"/>
  <c r="AU8" i="77"/>
  <c r="AE9" i="87" l="1" a="1"/>
  <c r="AE9" i="87" s="1"/>
  <c r="AE12" i="87" a="1"/>
  <c r="AE12" i="87" s="1"/>
  <c r="AE14" i="87" a="1"/>
  <c r="AE14" i="87" s="1"/>
  <c r="AE8" i="87" a="1"/>
  <c r="AE8" i="87" s="1"/>
  <c r="AE13" i="87" a="1"/>
  <c r="AE13" i="87" s="1"/>
  <c r="AE2" i="90"/>
  <c r="AD3" i="90" a="1"/>
  <c r="AD3" i="90" s="1"/>
  <c r="D60" i="76"/>
  <c r="C60" i="76"/>
  <c r="D59" i="76"/>
  <c r="C59" i="76"/>
  <c r="D58" i="76"/>
  <c r="C58" i="76"/>
  <c r="D57" i="76"/>
  <c r="AF12" i="87" l="1" a="1"/>
  <c r="AF12" i="87" s="1"/>
  <c r="AF9" i="87" a="1"/>
  <c r="AF9" i="87" s="1"/>
  <c r="AF14" i="87" a="1"/>
  <c r="AF14" i="87" s="1"/>
  <c r="AF8" i="87" a="1"/>
  <c r="AF8" i="87" s="1"/>
  <c r="AF13" i="87" a="1"/>
  <c r="AF13" i="87" s="1"/>
  <c r="AF2" i="90"/>
  <c r="AE3" i="90" a="1"/>
  <c r="AE3" i="90" s="1"/>
  <c r="Q11" i="21"/>
  <c r="Q14" i="21"/>
  <c r="Q15" i="21"/>
  <c r="AG12" i="87" l="1" a="1"/>
  <c r="AG12" i="87" s="1"/>
  <c r="AG14" i="87" a="1"/>
  <c r="AG14" i="87" s="1"/>
  <c r="AG8" i="87" a="1"/>
  <c r="AG8" i="87" s="1"/>
  <c r="AG9" i="87" a="1"/>
  <c r="AG9" i="87" s="1"/>
  <c r="AG13" i="87" a="1"/>
  <c r="AG13" i="87" s="1"/>
  <c r="AG2" i="90"/>
  <c r="AF3" i="90" a="1"/>
  <c r="AF3" i="90" s="1"/>
  <c r="K18" i="26"/>
  <c r="AH9" i="87" l="1" a="1"/>
  <c r="AH9" i="87" s="1"/>
  <c r="AH12" i="87" a="1"/>
  <c r="AH12" i="87" s="1"/>
  <c r="AH8" i="87" a="1"/>
  <c r="AH8" i="87" s="1"/>
  <c r="AH14" i="87" a="1"/>
  <c r="AH14" i="87" s="1"/>
  <c r="AH13" i="87" a="1"/>
  <c r="AH13" i="87" s="1"/>
  <c r="AH2" i="90"/>
  <c r="AG3" i="90" a="1"/>
  <c r="AG3" i="90" s="1"/>
  <c r="V116" i="59"/>
  <c r="V125" i="59" s="1"/>
  <c r="V135" i="59" s="1"/>
  <c r="J52" i="57" s="1"/>
  <c r="V123" i="59"/>
  <c r="V122" i="59"/>
  <c r="AI13" i="87" l="1" a="1"/>
  <c r="AI13" i="87" s="1"/>
  <c r="AI9" i="87" a="1"/>
  <c r="AI9" i="87" s="1"/>
  <c r="AI12" i="87" a="1"/>
  <c r="AI12" i="87" s="1"/>
  <c r="AI14" i="87" a="1"/>
  <c r="AI14" i="87" s="1"/>
  <c r="AI8" i="87" a="1"/>
  <c r="AI8" i="87" s="1"/>
  <c r="AH3" i="90" a="1"/>
  <c r="AH3" i="90" s="1"/>
  <c r="AI2" i="90"/>
  <c r="V126" i="59"/>
  <c r="V130" i="59"/>
  <c r="J53" i="57" s="1"/>
  <c r="D219" i="26"/>
  <c r="AJ13" i="87" l="1" a="1"/>
  <c r="AJ13" i="87" s="1"/>
  <c r="AJ9" i="87" a="1"/>
  <c r="AJ9" i="87" s="1"/>
  <c r="AJ12" i="87" a="1"/>
  <c r="AJ12" i="87" s="1"/>
  <c r="AJ14" i="87" a="1"/>
  <c r="AJ14" i="87" s="1"/>
  <c r="AJ8" i="87" a="1"/>
  <c r="AJ8" i="87" s="1"/>
  <c r="AJ2" i="90"/>
  <c r="AI3" i="90" a="1"/>
  <c r="AI3" i="90" s="1"/>
  <c r="V131" i="59"/>
  <c r="J49" i="57" s="1"/>
  <c r="V136" i="59"/>
  <c r="J48" i="57" s="1"/>
  <c r="AC210" i="26"/>
  <c r="AK13" i="87" l="1" a="1"/>
  <c r="AK13" i="87" s="1"/>
  <c r="AK8" i="87" a="1"/>
  <c r="AK8" i="87" s="1"/>
  <c r="AK9" i="87" a="1"/>
  <c r="AK9" i="87" s="1"/>
  <c r="AK12" i="87" a="1"/>
  <c r="AK12" i="87" s="1"/>
  <c r="AK14" i="87" a="1"/>
  <c r="AK14" i="87" s="1"/>
  <c r="AJ3" i="90" a="1"/>
  <c r="AJ3" i="90" s="1"/>
  <c r="AK2" i="90"/>
  <c r="G205" i="26"/>
  <c r="O64" i="9"/>
  <c r="AL12" i="87" l="1" a="1"/>
  <c r="AL12" i="87" s="1"/>
  <c r="AL14" i="87" a="1"/>
  <c r="AL14" i="87" s="1"/>
  <c r="AL8" i="87" a="1"/>
  <c r="AL8" i="87" s="1"/>
  <c r="AL13" i="87" a="1"/>
  <c r="AL13" i="87" s="1"/>
  <c r="AL9" i="87" a="1"/>
  <c r="AL9" i="87" s="1"/>
  <c r="AK3" i="90" a="1"/>
  <c r="AK3" i="90" s="1"/>
  <c r="AL2" i="90"/>
  <c r="E249" i="26"/>
  <c r="AM14" i="87" l="1" a="1"/>
  <c r="AM14" i="87" s="1"/>
  <c r="AM13" i="87" a="1"/>
  <c r="AM13" i="87" s="1"/>
  <c r="AM9" i="87" a="1"/>
  <c r="AM9" i="87" s="1"/>
  <c r="AM12" i="87" a="1"/>
  <c r="AM12" i="87" s="1"/>
  <c r="AM8" i="87" a="1"/>
  <c r="AM8" i="87" s="1"/>
  <c r="AL3" i="90" a="1"/>
  <c r="AL3" i="90" s="1"/>
  <c r="AM2" i="90"/>
  <c r="B169" i="29"/>
  <c r="AN14" i="87" l="1" a="1"/>
  <c r="AN14" i="87" s="1"/>
  <c r="AO14" i="87" s="1"/>
  <c r="AP14" i="87" s="1"/>
  <c r="AN12" i="87" a="1"/>
  <c r="AN12" i="87" s="1"/>
  <c r="AO12" i="87" s="1"/>
  <c r="AP12" i="87" s="1"/>
  <c r="AN8" i="87" a="1"/>
  <c r="AN8" i="87" s="1"/>
  <c r="AO8" i="87" s="1"/>
  <c r="AP8" i="87" s="1"/>
  <c r="AN13" i="87" a="1"/>
  <c r="AN13" i="87" s="1"/>
  <c r="AO13" i="87" s="1"/>
  <c r="AP13" i="87" s="1"/>
  <c r="AN9" i="87" a="1"/>
  <c r="AN9" i="87" s="1"/>
  <c r="AO9" i="87" s="1"/>
  <c r="AP9" i="87" s="1"/>
  <c r="AM3" i="90" a="1"/>
  <c r="AM3" i="90" s="1"/>
  <c r="AN2" i="90"/>
  <c r="AO2" i="90" l="1"/>
  <c r="AP2" i="90" s="1"/>
  <c r="AN3" i="90" a="1"/>
  <c r="AN3" i="90" s="1"/>
  <c r="AO3" i="90" s="1"/>
  <c r="AP3" i="90" s="1"/>
  <c r="L85" i="29"/>
  <c r="L86" i="29" s="1"/>
  <c r="L87" i="29" s="1"/>
  <c r="L88" i="29" s="1"/>
  <c r="L89" i="29" s="1"/>
  <c r="B73" i="29"/>
  <c r="L74" i="29"/>
  <c r="B79" i="29"/>
  <c r="O82" i="29"/>
  <c r="O83" i="29" s="1"/>
  <c r="O84" i="29" s="1"/>
  <c r="O85" i="29" s="1"/>
  <c r="O86" i="29" s="1"/>
  <c r="O87" i="29" s="1"/>
  <c r="O88" i="29" s="1"/>
  <c r="O89" i="29" s="1"/>
  <c r="B84" i="29"/>
  <c r="B93" i="29"/>
  <c r="O94" i="29"/>
  <c r="O95" i="29" s="1"/>
  <c r="B89" i="29" l="1"/>
  <c r="L90" i="29"/>
  <c r="B90" i="29" s="1"/>
  <c r="B85" i="29"/>
  <c r="B74" i="29"/>
  <c r="L75" i="29"/>
  <c r="B75" i="29" s="1"/>
  <c r="F217" i="26"/>
  <c r="Y232" i="26" s="1"/>
  <c r="S214" i="26"/>
  <c r="W214" i="26"/>
  <c r="B91" i="29" l="1"/>
  <c r="B86" i="29"/>
  <c r="L76" i="29"/>
  <c r="L77" i="29" s="1"/>
  <c r="B87" i="29"/>
  <c r="B76" i="29" l="1"/>
  <c r="B88" i="29"/>
  <c r="L78" i="29"/>
  <c r="B77" i="29"/>
  <c r="H14" i="79"/>
  <c r="S60" i="7"/>
  <c r="T80" i="7"/>
  <c r="T70" i="7"/>
  <c r="B78" i="29" l="1"/>
  <c r="S80" i="7"/>
  <c r="S70" i="7"/>
  <c r="Y216" i="26" l="1"/>
  <c r="D205" i="26"/>
  <c r="G217" i="26" s="1"/>
  <c r="D217" i="26" s="1"/>
  <c r="H60" i="7" s="1"/>
  <c r="Y217" i="26"/>
  <c r="Y219" i="26"/>
  <c r="Y218" i="26"/>
  <c r="U218" i="26"/>
  <c r="E205" i="26" s="1"/>
  <c r="C222" i="26"/>
  <c r="N210" i="26" s="1"/>
  <c r="Y223" i="26"/>
  <c r="C223" i="26"/>
  <c r="N211" i="26" s="1"/>
  <c r="C224" i="26"/>
  <c r="N212" i="26" s="1"/>
  <c r="C225" i="26"/>
  <c r="N213" i="26" s="1"/>
  <c r="C226" i="26"/>
  <c r="N214" i="26" s="1"/>
  <c r="C227" i="26"/>
  <c r="N215" i="26" s="1"/>
  <c r="C228" i="26"/>
  <c r="N216" i="26" s="1"/>
  <c r="U223" i="26"/>
  <c r="AA220" i="26" l="1"/>
  <c r="AG220" i="26"/>
  <c r="AE220" i="26"/>
  <c r="AC220" i="26"/>
  <c r="AC218" i="26"/>
  <c r="AA225" i="26"/>
  <c r="AA227" i="26" s="1"/>
  <c r="AC224" i="26"/>
  <c r="AC223" i="26"/>
  <c r="AC219" i="26"/>
  <c r="G206" i="26" s="1"/>
  <c r="D206" i="26" s="1"/>
  <c r="AG218" i="26"/>
  <c r="AC232" i="26" l="1"/>
  <c r="G204" i="26" s="1"/>
  <c r="G202" i="26" s="1"/>
  <c r="AC216" i="26"/>
  <c r="E31" i="26"/>
  <c r="D31" i="26"/>
  <c r="F88" i="26"/>
  <c r="E88" i="26"/>
  <c r="C88" i="26"/>
  <c r="F89" i="26"/>
  <c r="E89" i="26"/>
  <c r="C91" i="26"/>
  <c r="D91" i="26"/>
  <c r="E91" i="26"/>
  <c r="F91" i="26"/>
  <c r="F90" i="26"/>
  <c r="C90" i="26"/>
  <c r="D90" i="26"/>
  <c r="E90" i="26"/>
  <c r="R18" i="26" s="1"/>
  <c r="R34" i="26" l="1"/>
  <c r="S49" i="82" l="1"/>
  <c r="T49" i="82" s="1"/>
  <c r="S50" i="82"/>
  <c r="S48" i="82"/>
  <c r="T48" i="82" s="1"/>
  <c r="T50" i="82"/>
  <c r="D29" i="26"/>
  <c r="K94" i="29" l="1"/>
  <c r="R13" i="26"/>
  <c r="S14" i="26"/>
  <c r="S13" i="26"/>
  <c r="K95" i="29" l="1"/>
  <c r="L94" i="29"/>
  <c r="D12" i="26"/>
  <c r="B94" i="29" l="1"/>
  <c r="L95" i="29"/>
  <c r="C95" i="82"/>
  <c r="D71" i="26"/>
  <c r="B95" i="29" l="1"/>
  <c r="J30" i="26" l="1"/>
  <c r="J31" i="26"/>
  <c r="J32" i="26"/>
  <c r="J29" i="26"/>
  <c r="D22" i="26" l="1"/>
  <c r="D23" i="26" l="1"/>
  <c r="P20" i="26"/>
  <c r="J34" i="26" l="1"/>
  <c r="D66" i="26"/>
  <c r="D21" i="26"/>
  <c r="R39" i="26"/>
  <c r="R59" i="82"/>
  <c r="R58" i="82"/>
  <c r="R57" i="82"/>
  <c r="J35" i="26" l="1"/>
  <c r="M13" i="26"/>
  <c r="R55" i="82"/>
  <c r="O21" i="26" l="1"/>
  <c r="O24" i="26" s="1"/>
  <c r="R170" i="26" l="1"/>
  <c r="R62" i="26"/>
  <c r="R155" i="26" s="1"/>
  <c r="R84" i="26" l="1"/>
  <c r="N55" i="26" l="1"/>
  <c r="H90" i="7" l="1"/>
  <c r="O27" i="26" l="1"/>
  <c r="B78" i="34" l="1"/>
  <c r="L4" i="83" l="1"/>
  <c r="K4" i="83"/>
  <c r="J4" i="83"/>
  <c r="D94" i="83"/>
  <c r="D93" i="83"/>
  <c r="D92" i="83"/>
  <c r="D91" i="83"/>
  <c r="D90" i="83"/>
  <c r="D89" i="83"/>
  <c r="D88" i="83"/>
  <c r="D87" i="83"/>
  <c r="G86" i="83"/>
  <c r="F86" i="83"/>
  <c r="E86" i="83"/>
  <c r="D86" i="83"/>
  <c r="G83" i="83"/>
  <c r="F83" i="83"/>
  <c r="E83" i="83"/>
  <c r="D83" i="83"/>
  <c r="M40" i="83"/>
  <c r="L40" i="83"/>
  <c r="K40" i="83"/>
  <c r="J40" i="83"/>
  <c r="M39" i="83"/>
  <c r="L39" i="83"/>
  <c r="K39" i="83"/>
  <c r="J39" i="83"/>
  <c r="M38" i="83"/>
  <c r="L38" i="83"/>
  <c r="K38" i="83"/>
  <c r="J38" i="83"/>
  <c r="M37" i="83"/>
  <c r="L37" i="83"/>
  <c r="K37" i="83"/>
  <c r="J37" i="83"/>
  <c r="M36" i="83"/>
  <c r="L36" i="83"/>
  <c r="K36" i="83"/>
  <c r="J36" i="83"/>
  <c r="M35" i="83"/>
  <c r="L35" i="83"/>
  <c r="K35" i="83"/>
  <c r="J35" i="83"/>
  <c r="M34" i="83"/>
  <c r="L34" i="83"/>
  <c r="K34" i="83"/>
  <c r="J34" i="83"/>
  <c r="M33" i="83"/>
  <c r="L33" i="83"/>
  <c r="K33" i="83"/>
  <c r="J33" i="83"/>
  <c r="M32" i="83"/>
  <c r="L32" i="83"/>
  <c r="K32" i="83"/>
  <c r="J32" i="83"/>
  <c r="M31" i="83"/>
  <c r="L31" i="83"/>
  <c r="K31" i="83"/>
  <c r="J31" i="83"/>
  <c r="M30" i="83"/>
  <c r="L30" i="83"/>
  <c r="K30" i="83"/>
  <c r="J30" i="83"/>
  <c r="M29" i="83"/>
  <c r="L29" i="83"/>
  <c r="K29" i="83"/>
  <c r="J29" i="83"/>
  <c r="M28" i="83"/>
  <c r="L28" i="83"/>
  <c r="K28" i="83"/>
  <c r="J28" i="83"/>
  <c r="M27" i="83"/>
  <c r="L27" i="83"/>
  <c r="K27" i="83"/>
  <c r="J27" i="83"/>
  <c r="M26" i="83"/>
  <c r="L26" i="83"/>
  <c r="K26" i="83"/>
  <c r="J26" i="83"/>
  <c r="M25" i="83"/>
  <c r="L25" i="83"/>
  <c r="K25" i="83"/>
  <c r="J25" i="83"/>
  <c r="M24" i="83"/>
  <c r="L24" i="83"/>
  <c r="K24" i="83"/>
  <c r="J24" i="83"/>
  <c r="M23" i="83"/>
  <c r="L23" i="83"/>
  <c r="K23" i="83"/>
  <c r="J23" i="83"/>
  <c r="M22" i="83"/>
  <c r="L22" i="83"/>
  <c r="K22" i="83"/>
  <c r="J22" i="83"/>
  <c r="M21" i="83"/>
  <c r="L21" i="83"/>
  <c r="K21" i="83"/>
  <c r="K93" i="83" s="1"/>
  <c r="J21" i="83"/>
  <c r="M20" i="83"/>
  <c r="M92" i="83" s="1"/>
  <c r="L20" i="83"/>
  <c r="K20" i="83"/>
  <c r="J20" i="83"/>
  <c r="M19" i="83"/>
  <c r="L19" i="83"/>
  <c r="K19" i="83"/>
  <c r="J19" i="83"/>
  <c r="M18" i="83"/>
  <c r="L18" i="83"/>
  <c r="L90" i="83" s="1"/>
  <c r="K18" i="83"/>
  <c r="J18" i="83"/>
  <c r="M17" i="83"/>
  <c r="M44" i="83" s="1"/>
  <c r="L17" i="83"/>
  <c r="K17" i="83"/>
  <c r="J17" i="83"/>
  <c r="J44" i="83" s="1"/>
  <c r="M16" i="83"/>
  <c r="L16" i="83"/>
  <c r="K16" i="83"/>
  <c r="J16" i="83"/>
  <c r="M15" i="83"/>
  <c r="L15" i="83"/>
  <c r="K15" i="83"/>
  <c r="K42" i="83" s="1"/>
  <c r="J15" i="83"/>
  <c r="M14" i="83"/>
  <c r="M86" i="83" s="1"/>
  <c r="L14" i="83"/>
  <c r="K14" i="83"/>
  <c r="J14" i="83"/>
  <c r="J86" i="83" s="1"/>
  <c r="J45" i="83" l="1"/>
  <c r="M88" i="83"/>
  <c r="L44" i="83"/>
  <c r="L87" i="83"/>
  <c r="K92" i="83"/>
  <c r="L88" i="83"/>
  <c r="L93" i="83"/>
  <c r="J88" i="83"/>
  <c r="J91" i="83"/>
  <c r="J93" i="83"/>
  <c r="K45" i="83"/>
  <c r="J92" i="83"/>
  <c r="M94" i="83"/>
  <c r="L86" i="83"/>
  <c r="M91" i="83"/>
  <c r="K91" i="83"/>
  <c r="M87" i="83"/>
  <c r="M93" i="83"/>
  <c r="J94" i="83"/>
  <c r="M90" i="83"/>
  <c r="K86" i="83"/>
  <c r="K44" i="83"/>
  <c r="L94" i="83"/>
  <c r="L91" i="83"/>
  <c r="L92" i="83"/>
  <c r="K88" i="83"/>
  <c r="J42" i="83"/>
  <c r="K94" i="83"/>
  <c r="J89" i="83"/>
  <c r="K89" i="83"/>
  <c r="J43" i="83"/>
  <c r="L45" i="83"/>
  <c r="M45" i="83"/>
  <c r="L42" i="83"/>
  <c r="M42" i="83"/>
  <c r="K43" i="83"/>
  <c r="J87" i="83"/>
  <c r="L89" i="83"/>
  <c r="L43" i="83"/>
  <c r="K87" i="83"/>
  <c r="M89" i="83"/>
  <c r="M43" i="83"/>
  <c r="J90" i="83"/>
  <c r="K90" i="83"/>
  <c r="I29" i="26" l="1"/>
  <c r="I30" i="26"/>
  <c r="R56" i="82" l="1"/>
  <c r="E49" i="82" l="1"/>
  <c r="F69" i="82" l="1"/>
  <c r="H69" i="82" s="1"/>
  <c r="F63" i="82"/>
  <c r="H63" i="82" s="1"/>
  <c r="F62" i="82"/>
  <c r="H62" i="82" s="1"/>
  <c r="F61" i="82"/>
  <c r="H61" i="82" s="1"/>
  <c r="F60" i="82"/>
  <c r="H60" i="82" s="1"/>
  <c r="D45" i="26"/>
  <c r="H25" i="80" l="1"/>
  <c r="B69" i="81" l="1"/>
  <c r="S68" i="81" s="1"/>
  <c r="AE58" i="81"/>
  <c r="AD58" i="81"/>
  <c r="AC58" i="81"/>
  <c r="AB58" i="81"/>
  <c r="AA58" i="81"/>
  <c r="Z58" i="81"/>
  <c r="Y58" i="81"/>
  <c r="X58" i="81"/>
  <c r="W58" i="81"/>
  <c r="V58" i="81"/>
  <c r="U58" i="81"/>
  <c r="T58" i="81"/>
  <c r="S58" i="81"/>
  <c r="R58" i="81"/>
  <c r="Q58" i="81"/>
  <c r="P58" i="81"/>
  <c r="O58" i="81"/>
  <c r="N58" i="81"/>
  <c r="M58" i="81"/>
  <c r="L58" i="81"/>
  <c r="K58" i="81"/>
  <c r="J58" i="81"/>
  <c r="I58" i="81"/>
  <c r="H58" i="81"/>
  <c r="G58" i="81"/>
  <c r="F58" i="81"/>
  <c r="AE57" i="81"/>
  <c r="AD57" i="81"/>
  <c r="AC57" i="81"/>
  <c r="AB57" i="81"/>
  <c r="AA57" i="81"/>
  <c r="Z57" i="81"/>
  <c r="Y57" i="81"/>
  <c r="X57" i="81"/>
  <c r="W57" i="81"/>
  <c r="V57" i="81"/>
  <c r="U57" i="81"/>
  <c r="T57" i="81"/>
  <c r="S57" i="81"/>
  <c r="R57" i="81"/>
  <c r="Q57" i="81"/>
  <c r="P57" i="81"/>
  <c r="O57" i="81"/>
  <c r="N57" i="81"/>
  <c r="M57" i="81"/>
  <c r="L57" i="81"/>
  <c r="K57" i="81"/>
  <c r="J57" i="81"/>
  <c r="I57" i="81"/>
  <c r="H57" i="81"/>
  <c r="G57" i="81"/>
  <c r="F57" i="81"/>
  <c r="AE56" i="81"/>
  <c r="AD56" i="81"/>
  <c r="AC56" i="81"/>
  <c r="AB56" i="81"/>
  <c r="AA56" i="81"/>
  <c r="Z56" i="81"/>
  <c r="Y56" i="81"/>
  <c r="X56" i="81"/>
  <c r="W56" i="81"/>
  <c r="V56" i="81"/>
  <c r="U56" i="81"/>
  <c r="T56" i="81"/>
  <c r="S56" i="81"/>
  <c r="R56" i="81"/>
  <c r="Q56" i="81"/>
  <c r="P56" i="81"/>
  <c r="O56" i="81"/>
  <c r="N56" i="81"/>
  <c r="M56" i="81"/>
  <c r="L56" i="81"/>
  <c r="K56" i="81"/>
  <c r="J56" i="81"/>
  <c r="I56" i="81"/>
  <c r="H56" i="81"/>
  <c r="G56" i="81"/>
  <c r="F56" i="81"/>
  <c r="AE55" i="81"/>
  <c r="AD55" i="81"/>
  <c r="AC55" i="81"/>
  <c r="AB55" i="81"/>
  <c r="AA55" i="81"/>
  <c r="Z55" i="81"/>
  <c r="Y55" i="81"/>
  <c r="X55" i="81"/>
  <c r="W55" i="81"/>
  <c r="V55" i="81"/>
  <c r="U55" i="81"/>
  <c r="T55" i="81"/>
  <c r="S55" i="81"/>
  <c r="R55" i="81"/>
  <c r="Q55" i="81"/>
  <c r="P55" i="81"/>
  <c r="O55" i="81"/>
  <c r="N55" i="81"/>
  <c r="M55" i="81"/>
  <c r="L55" i="81"/>
  <c r="K55" i="81"/>
  <c r="J55" i="81"/>
  <c r="I55" i="81"/>
  <c r="H55" i="81"/>
  <c r="G55" i="81"/>
  <c r="F55" i="81"/>
  <c r="AE54" i="81"/>
  <c r="AD54" i="81"/>
  <c r="AC54" i="81"/>
  <c r="AB54" i="81"/>
  <c r="AA54" i="81"/>
  <c r="Z54" i="81"/>
  <c r="Y54" i="81"/>
  <c r="X54" i="81"/>
  <c r="W54" i="81"/>
  <c r="V54" i="81"/>
  <c r="U54" i="81"/>
  <c r="T54" i="81"/>
  <c r="S54" i="81"/>
  <c r="R54" i="81"/>
  <c r="Q54" i="81"/>
  <c r="P54" i="81"/>
  <c r="O54" i="81"/>
  <c r="N54" i="81"/>
  <c r="M54" i="81"/>
  <c r="L54" i="81"/>
  <c r="K54" i="81"/>
  <c r="J54" i="81"/>
  <c r="I54" i="81"/>
  <c r="H54" i="81"/>
  <c r="G54" i="81"/>
  <c r="F54" i="81"/>
  <c r="AE53" i="81"/>
  <c r="AD53" i="81"/>
  <c r="AC53" i="81"/>
  <c r="AB53" i="81"/>
  <c r="AA53" i="81"/>
  <c r="Z53" i="81"/>
  <c r="Y53" i="81"/>
  <c r="X53" i="81"/>
  <c r="W53" i="81"/>
  <c r="V53" i="81"/>
  <c r="U53" i="81"/>
  <c r="T53" i="81"/>
  <c r="S53" i="81"/>
  <c r="R53" i="81"/>
  <c r="Q53" i="81"/>
  <c r="P53" i="81"/>
  <c r="O53" i="81"/>
  <c r="N53" i="81"/>
  <c r="M53" i="81"/>
  <c r="L53" i="81"/>
  <c r="K53" i="81"/>
  <c r="J53" i="81"/>
  <c r="I53" i="81"/>
  <c r="H53" i="81"/>
  <c r="G53" i="81"/>
  <c r="F53" i="81"/>
  <c r="AE52" i="81"/>
  <c r="AD52" i="81"/>
  <c r="AC52" i="81"/>
  <c r="AB52" i="81"/>
  <c r="AA52" i="81"/>
  <c r="Z52" i="81"/>
  <c r="Y52" i="81"/>
  <c r="X52" i="81"/>
  <c r="W52" i="81"/>
  <c r="V52" i="81"/>
  <c r="U52" i="81"/>
  <c r="T52" i="81"/>
  <c r="S52" i="81"/>
  <c r="R52" i="81"/>
  <c r="Q52" i="81"/>
  <c r="P52" i="81"/>
  <c r="O52" i="81"/>
  <c r="N52" i="81"/>
  <c r="M52" i="81"/>
  <c r="L52" i="81"/>
  <c r="K52" i="81"/>
  <c r="J52" i="81"/>
  <c r="I52" i="81"/>
  <c r="H52" i="81"/>
  <c r="G52" i="81"/>
  <c r="F52" i="81"/>
  <c r="AE50" i="81"/>
  <c r="AD50" i="81"/>
  <c r="AC50" i="81"/>
  <c r="AB50" i="81"/>
  <c r="AA50" i="81"/>
  <c r="Z50" i="81"/>
  <c r="Y50" i="81"/>
  <c r="X50" i="81"/>
  <c r="W50" i="81"/>
  <c r="V50" i="81"/>
  <c r="U50" i="81"/>
  <c r="T50" i="81"/>
  <c r="S50" i="81"/>
  <c r="R50" i="81"/>
  <c r="Q50" i="81"/>
  <c r="P50" i="81"/>
  <c r="O50" i="81"/>
  <c r="N50" i="81"/>
  <c r="N64" i="81" s="1"/>
  <c r="M50" i="81"/>
  <c r="L50" i="81"/>
  <c r="K50" i="81"/>
  <c r="J50" i="81"/>
  <c r="I50" i="81"/>
  <c r="H50" i="81"/>
  <c r="G50" i="81"/>
  <c r="F50" i="81"/>
  <c r="S47" i="81"/>
  <c r="S46" i="81"/>
  <c r="S45" i="81"/>
  <c r="S42" i="81"/>
  <c r="S41" i="81"/>
  <c r="S39" i="81"/>
  <c r="S38" i="81"/>
  <c r="S64" i="81" l="1"/>
  <c r="S62" i="81"/>
  <c r="S67" i="81"/>
  <c r="S49" i="81"/>
  <c r="N61" i="81"/>
  <c r="S66" i="81"/>
  <c r="N62" i="81"/>
  <c r="S61" i="81"/>
  <c r="N63" i="81"/>
  <c r="S63" i="81"/>
  <c r="P27" i="26" l="1"/>
  <c r="N104" i="26" l="1"/>
  <c r="F24" i="80" l="1"/>
  <c r="D14" i="26"/>
  <c r="E22" i="26" s="1"/>
  <c r="F45" i="80" l="1"/>
  <c r="H41" i="80"/>
  <c r="H21" i="80" l="1"/>
  <c r="H22" i="80" s="1"/>
  <c r="D8" i="80" l="1"/>
  <c r="D51" i="26" s="1"/>
  <c r="H65" i="26" l="1"/>
  <c r="D60" i="26"/>
  <c r="D10" i="80"/>
  <c r="K68" i="80"/>
  <c r="M64" i="80"/>
  <c r="N62" i="80"/>
  <c r="N61" i="80"/>
  <c r="N60" i="80"/>
  <c r="N59" i="80"/>
  <c r="M52" i="80"/>
  <c r="M53" i="80" s="1"/>
  <c r="Q48" i="80"/>
  <c r="Q47" i="80"/>
  <c r="H45" i="80"/>
  <c r="Q44" i="80"/>
  <c r="K44" i="80"/>
  <c r="H40" i="80"/>
  <c r="H39" i="80"/>
  <c r="Q38" i="80"/>
  <c r="Q39" i="80" s="1"/>
  <c r="Q40" i="80" s="1"/>
  <c r="H36" i="80"/>
  <c r="K32" i="80"/>
  <c r="K33" i="80" s="1"/>
  <c r="L25" i="80"/>
  <c r="L24" i="80"/>
  <c r="M23" i="80"/>
  <c r="L23" i="80"/>
  <c r="R15" i="80"/>
  <c r="F14" i="80"/>
  <c r="D13" i="80"/>
  <c r="D14" i="80" s="1"/>
  <c r="R12" i="80"/>
  <c r="S12" i="80" s="1"/>
  <c r="K11" i="80"/>
  <c r="K15" i="80" s="1"/>
  <c r="O8" i="80"/>
  <c r="Q49" i="80" l="1"/>
  <c r="K21" i="80"/>
  <c r="F47" i="80" s="1"/>
  <c r="H27" i="80"/>
  <c r="M65" i="80"/>
  <c r="O57" i="80"/>
  <c r="K16" i="80"/>
  <c r="K17" i="80"/>
  <c r="K12" i="80"/>
  <c r="K13" i="80"/>
  <c r="K18" i="80"/>
  <c r="L22" i="80"/>
  <c r="K14" i="80"/>
  <c r="A118" i="52"/>
  <c r="K57" i="80" l="1"/>
  <c r="O56" i="80"/>
  <c r="H70" i="7" l="1"/>
  <c r="H165" i="7" l="1"/>
  <c r="D60" i="55" l="1"/>
  <c r="C60" i="55"/>
  <c r="B60" i="55"/>
  <c r="A60" i="55"/>
  <c r="D59" i="55"/>
  <c r="C59" i="55"/>
  <c r="B59" i="55"/>
  <c r="A59" i="55"/>
  <c r="D58" i="55"/>
  <c r="C58" i="55"/>
  <c r="B58" i="55"/>
  <c r="A58" i="55"/>
  <c r="D57" i="55"/>
  <c r="D56" i="55"/>
  <c r="B56" i="55"/>
  <c r="A56" i="55"/>
  <c r="D55" i="55"/>
  <c r="B55" i="55"/>
  <c r="A55" i="55"/>
  <c r="D54" i="55"/>
  <c r="B54" i="55"/>
  <c r="A54" i="55"/>
  <c r="D53" i="55"/>
  <c r="B53" i="55"/>
  <c r="A53" i="55"/>
  <c r="D52" i="55"/>
  <c r="B52" i="55"/>
  <c r="A52" i="55"/>
  <c r="D51" i="55"/>
  <c r="B51" i="55"/>
  <c r="A51" i="55"/>
  <c r="D50" i="55"/>
  <c r="C50" i="55"/>
  <c r="B50" i="55"/>
  <c r="A50" i="55"/>
  <c r="A49" i="55"/>
  <c r="Z37" i="16"/>
  <c r="Y37" i="16"/>
  <c r="X37" i="16"/>
  <c r="W37" i="16"/>
  <c r="V37" i="16"/>
  <c r="U37" i="16"/>
  <c r="Z36" i="16"/>
  <c r="Y36" i="16"/>
  <c r="X36" i="16"/>
  <c r="W36" i="16"/>
  <c r="V36" i="16"/>
  <c r="U36" i="16"/>
  <c r="Z18" i="16"/>
  <c r="Y18" i="16"/>
  <c r="X18" i="16"/>
  <c r="W18" i="16"/>
  <c r="V18" i="16"/>
  <c r="U18" i="16"/>
  <c r="Y16" i="16"/>
  <c r="X16" i="16"/>
  <c r="W16" i="16"/>
  <c r="V16" i="16"/>
  <c r="U16" i="16"/>
  <c r="AE37" i="6"/>
  <c r="AD37" i="6"/>
  <c r="AC37" i="6"/>
  <c r="AB37" i="6"/>
  <c r="AA37" i="6"/>
  <c r="Z37" i="6"/>
  <c r="AE36" i="6"/>
  <c r="AD36" i="6"/>
  <c r="AC36" i="6"/>
  <c r="AB36" i="6"/>
  <c r="AA36" i="6"/>
  <c r="Z36" i="6"/>
  <c r="AE35" i="6"/>
  <c r="AD35" i="6"/>
  <c r="AC35" i="6"/>
  <c r="AB35" i="6"/>
  <c r="AA35" i="6"/>
  <c r="Z35" i="6"/>
  <c r="AE34" i="6"/>
  <c r="AD34" i="6"/>
  <c r="AC34" i="6"/>
  <c r="AB34" i="6"/>
  <c r="AA34" i="6"/>
  <c r="Z34" i="6"/>
  <c r="AE33" i="6"/>
  <c r="AD33" i="6"/>
  <c r="AC33" i="6"/>
  <c r="AB33" i="6"/>
  <c r="AA33" i="6"/>
  <c r="Z33" i="6"/>
  <c r="AE32" i="6"/>
  <c r="AD32" i="6"/>
  <c r="AC32" i="6"/>
  <c r="AB32" i="6"/>
  <c r="AA32" i="6"/>
  <c r="AA31" i="6"/>
  <c r="AE30" i="6"/>
  <c r="AD30" i="6"/>
  <c r="AC30" i="6"/>
  <c r="AB30" i="6"/>
  <c r="AA30" i="6"/>
  <c r="Z30" i="6"/>
  <c r="AE29" i="6"/>
  <c r="AD29" i="6"/>
  <c r="AC29" i="6"/>
  <c r="AB29" i="6"/>
  <c r="AA29" i="6"/>
  <c r="Z29" i="6"/>
  <c r="AE28" i="6"/>
  <c r="AD28" i="6"/>
  <c r="AC28" i="6"/>
  <c r="AB28" i="6"/>
  <c r="AA28" i="6"/>
  <c r="Z28" i="6"/>
  <c r="AE27" i="6"/>
  <c r="AD27" i="6"/>
  <c r="AC27" i="6"/>
  <c r="AB27" i="6"/>
  <c r="AA27" i="6"/>
  <c r="Z27" i="6"/>
  <c r="AE26" i="6"/>
  <c r="AD26" i="6"/>
  <c r="AC26" i="6"/>
  <c r="AB26" i="6"/>
  <c r="AA26" i="6"/>
  <c r="Z26" i="6"/>
  <c r="AE25" i="6"/>
  <c r="AD25" i="6"/>
  <c r="AC25" i="6"/>
  <c r="AB25" i="6"/>
  <c r="AA25" i="6"/>
  <c r="AA24" i="6"/>
  <c r="AE23" i="6"/>
  <c r="AD23" i="6"/>
  <c r="AC23" i="6"/>
  <c r="AB23" i="6"/>
  <c r="AA23" i="6"/>
  <c r="Z23" i="6"/>
  <c r="AE22" i="6"/>
  <c r="AD22" i="6"/>
  <c r="AC22" i="6"/>
  <c r="AB22" i="6"/>
  <c r="AA22" i="6"/>
  <c r="Z22" i="6"/>
  <c r="AE21" i="6"/>
  <c r="AD21" i="6"/>
  <c r="AC21" i="6"/>
  <c r="AB21" i="6"/>
  <c r="AA21" i="6"/>
  <c r="Z21" i="6"/>
  <c r="AE20" i="6"/>
  <c r="AD20" i="6"/>
  <c r="AC20" i="6"/>
  <c r="AB20" i="6"/>
  <c r="AA20" i="6"/>
  <c r="Z20" i="6"/>
  <c r="AE19" i="6"/>
  <c r="AD19" i="6"/>
  <c r="AC19" i="6"/>
  <c r="AB19" i="6"/>
  <c r="AA19" i="6"/>
  <c r="Z19" i="6"/>
  <c r="AE18" i="6"/>
  <c r="AD18" i="6"/>
  <c r="AC18" i="6"/>
  <c r="AB18" i="6"/>
  <c r="AA18" i="6"/>
  <c r="AA17" i="6"/>
  <c r="P2" i="61"/>
  <c r="D180" i="26"/>
  <c r="I254" i="26"/>
  <c r="I253" i="26"/>
  <c r="D20" i="79" l="1"/>
  <c r="D19" i="79" s="1"/>
  <c r="J14" i="79"/>
  <c r="I12" i="79"/>
  <c r="J12" i="79" s="1"/>
  <c r="F14" i="79"/>
  <c r="F168" i="7"/>
  <c r="G165" i="7" l="1"/>
  <c r="F165" i="7"/>
  <c r="F46" i="79"/>
  <c r="G46" i="79"/>
  <c r="G47" i="79" s="1"/>
  <c r="H46" i="79"/>
  <c r="H47" i="79" s="1"/>
  <c r="D45" i="79"/>
  <c r="G49" i="79" l="1"/>
  <c r="I50" i="79"/>
  <c r="I7" i="79" s="1"/>
  <c r="I9" i="79" s="1"/>
  <c r="I49" i="79"/>
  <c r="I6" i="79" s="1"/>
  <c r="J50" i="79"/>
  <c r="J7" i="79" s="1"/>
  <c r="J9" i="79" s="1"/>
  <c r="J49" i="79"/>
  <c r="H49" i="79"/>
  <c r="H6" i="79" s="1"/>
  <c r="H48" i="79"/>
  <c r="H50" i="79" s="1"/>
  <c r="G48" i="79"/>
  <c r="G50" i="79" s="1"/>
  <c r="F47" i="79"/>
  <c r="F49" i="79" s="1"/>
  <c r="F48" i="79"/>
  <c r="F50" i="79" s="1"/>
  <c r="I8" i="79"/>
  <c r="K194" i="26"/>
  <c r="D181" i="26"/>
  <c r="G6" i="79" l="1"/>
  <c r="G8" i="79" s="1"/>
  <c r="H7" i="79"/>
  <c r="H9" i="79" s="1"/>
  <c r="H8" i="79"/>
  <c r="H73" i="21"/>
  <c r="H75" i="21" s="1"/>
  <c r="G7" i="79" l="1"/>
  <c r="G9" i="79" s="1"/>
  <c r="M165" i="7"/>
  <c r="X165" i="7" s="1"/>
  <c r="O165" i="7"/>
  <c r="H74" i="21"/>
  <c r="AE225" i="26"/>
  <c r="W225" i="26"/>
  <c r="AG219" i="26"/>
  <c r="AG216" i="26" s="1"/>
  <c r="AG224" i="26"/>
  <c r="AG223" i="26"/>
  <c r="F9" i="79" l="1"/>
  <c r="O168" i="7" s="1"/>
  <c r="M168" i="7"/>
  <c r="X168" i="7" s="1"/>
  <c r="Y168" i="7" s="1"/>
  <c r="Z168" i="7" s="1"/>
  <c r="AA168" i="7" s="1"/>
  <c r="AB168" i="7" s="1"/>
  <c r="AC168" i="7" s="1"/>
  <c r="AE227" i="26"/>
  <c r="D54" i="21"/>
  <c r="D53" i="21"/>
  <c r="D52" i="21"/>
  <c r="D51" i="21"/>
  <c r="N17" i="16" l="1"/>
  <c r="N18" i="16"/>
  <c r="S16" i="16"/>
  <c r="O95" i="55" l="1"/>
  <c r="AI16" i="16"/>
  <c r="X237" i="26" l="1"/>
  <c r="X238" i="26"/>
  <c r="X239" i="26"/>
  <c r="X240" i="26"/>
  <c r="X241" i="26"/>
  <c r="X242" i="26"/>
  <c r="X236" i="26"/>
  <c r="AU12" i="77" l="1"/>
  <c r="W12" i="77"/>
  <c r="U12" i="77"/>
  <c r="T12" i="77"/>
  <c r="S12" i="77"/>
  <c r="R12" i="77"/>
  <c r="Q12" i="77"/>
  <c r="P12" i="77"/>
  <c r="O12" i="77"/>
  <c r="N12" i="77"/>
  <c r="M12" i="77"/>
  <c r="L12" i="77"/>
  <c r="K12" i="77"/>
  <c r="J12" i="77"/>
  <c r="I12" i="77"/>
  <c r="H12" i="77"/>
  <c r="G12" i="77"/>
  <c r="F12" i="77"/>
  <c r="D12" i="77"/>
  <c r="C12" i="77"/>
  <c r="BD12" i="77"/>
  <c r="BC12" i="77"/>
  <c r="BB12" i="77"/>
  <c r="BA12" i="77"/>
  <c r="AZ12" i="77"/>
  <c r="AY12" i="77"/>
  <c r="AX12" i="77"/>
  <c r="AW12" i="77"/>
  <c r="AV12" i="77"/>
  <c r="AT12" i="77"/>
  <c r="AS12" i="77"/>
  <c r="AR12" i="77"/>
  <c r="AQ12" i="77"/>
  <c r="AP12" i="77"/>
  <c r="AO12" i="77"/>
  <c r="AN12" i="77"/>
  <c r="AM12" i="77"/>
  <c r="AL12" i="77"/>
  <c r="AK12" i="77"/>
  <c r="AJ12" i="77"/>
  <c r="AI12" i="77"/>
  <c r="AH12" i="77"/>
  <c r="AG12" i="77"/>
  <c r="AF12" i="77"/>
  <c r="AE12" i="77"/>
  <c r="AB12" i="77"/>
  <c r="X8" i="77"/>
  <c r="X12" i="77" s="1"/>
  <c r="AB7" i="28" l="1"/>
  <c r="K44" i="42"/>
  <c r="K42" i="42"/>
  <c r="K41" i="42"/>
  <c r="K39" i="42"/>
  <c r="K37" i="42"/>
  <c r="K36" i="42"/>
  <c r="K34" i="42"/>
  <c r="K33" i="42"/>
  <c r="K31" i="42"/>
  <c r="K30" i="42"/>
  <c r="K28" i="42"/>
  <c r="K27" i="42"/>
  <c r="AM36" i="7"/>
  <c r="AN36" i="7" s="1"/>
  <c r="AO36" i="7" s="1"/>
  <c r="AP36" i="7" s="1"/>
  <c r="AQ36" i="7" s="1"/>
  <c r="AR36" i="7" s="1"/>
  <c r="AS36" i="7" s="1"/>
  <c r="AT36" i="7" s="1"/>
  <c r="AU36" i="7" s="1"/>
  <c r="AV36" i="7" s="1"/>
  <c r="AW36" i="7" s="1"/>
  <c r="AX36" i="7" s="1"/>
  <c r="AY36" i="7" s="1"/>
  <c r="AC7" i="28" l="1"/>
  <c r="B12" i="77"/>
  <c r="E6" i="77"/>
  <c r="E12" i="77" s="1"/>
  <c r="AD7" i="28" l="1"/>
  <c r="M55" i="6"/>
  <c r="AE7" i="28" l="1"/>
  <c r="D69" i="40"/>
  <c r="AF7" i="28" l="1"/>
  <c r="V5" i="77"/>
  <c r="AG7" i="28" l="1"/>
  <c r="AF9" i="6"/>
  <c r="AF8" i="6"/>
  <c r="AF10" i="6"/>
  <c r="S31" i="76"/>
  <c r="H29" i="76"/>
  <c r="H24" i="76"/>
  <c r="P25" i="76"/>
  <c r="P24" i="76"/>
  <c r="Q24" i="76"/>
  <c r="Q25" i="76"/>
  <c r="S24" i="76"/>
  <c r="S25" i="76"/>
  <c r="R25" i="76"/>
  <c r="R24" i="76"/>
  <c r="B16" i="76"/>
  <c r="B17" i="76"/>
  <c r="C17" i="76" s="1"/>
  <c r="C16" i="76"/>
  <c r="C71" i="42"/>
  <c r="D71" i="42" s="1"/>
  <c r="E71" i="42" s="1"/>
  <c r="D21" i="42"/>
  <c r="AJ32" i="6"/>
  <c r="AI32" i="6"/>
  <c r="AH32" i="6"/>
  <c r="AG32" i="6"/>
  <c r="AF32" i="6"/>
  <c r="AJ25" i="6"/>
  <c r="AI25" i="6"/>
  <c r="AH25" i="6"/>
  <c r="AG25" i="6"/>
  <c r="AF25" i="6"/>
  <c r="AQ71" i="54"/>
  <c r="AQ73" i="54" s="1"/>
  <c r="AL73" i="54"/>
  <c r="I123" i="9"/>
  <c r="I122" i="9"/>
  <c r="AR73" i="54"/>
  <c r="M27" i="54"/>
  <c r="Z75" i="54"/>
  <c r="AC57" i="75"/>
  <c r="AB57" i="75"/>
  <c r="AA57" i="75"/>
  <c r="Z57" i="75"/>
  <c r="Y57" i="75"/>
  <c r="X57" i="75"/>
  <c r="W57" i="75"/>
  <c r="V57" i="75"/>
  <c r="U57" i="75"/>
  <c r="T57" i="75"/>
  <c r="S57" i="75"/>
  <c r="R57" i="75"/>
  <c r="Q57" i="75"/>
  <c r="AC56" i="75"/>
  <c r="AB56" i="75"/>
  <c r="AA56" i="75"/>
  <c r="AA58" i="75" s="1"/>
  <c r="AA59" i="75" s="1"/>
  <c r="Z56" i="75"/>
  <c r="Y56" i="75"/>
  <c r="Y58" i="75" s="1"/>
  <c r="Y59" i="75" s="1"/>
  <c r="X56" i="75"/>
  <c r="W56" i="75"/>
  <c r="V56" i="75"/>
  <c r="U56" i="75"/>
  <c r="T56" i="75"/>
  <c r="S56" i="75"/>
  <c r="R56" i="75"/>
  <c r="Q56" i="75"/>
  <c r="AC55" i="75"/>
  <c r="AB55" i="75"/>
  <c r="AA55" i="75"/>
  <c r="Z55" i="75"/>
  <c r="Y55" i="75"/>
  <c r="X55" i="75"/>
  <c r="W55" i="75"/>
  <c r="V55" i="75"/>
  <c r="U55" i="75"/>
  <c r="T55" i="75"/>
  <c r="S55" i="75"/>
  <c r="R55" i="75"/>
  <c r="Q55" i="75"/>
  <c r="AC54" i="75"/>
  <c r="AB54" i="75"/>
  <c r="W1" i="75"/>
  <c r="AA54" i="75"/>
  <c r="Z54" i="75"/>
  <c r="Y54" i="75"/>
  <c r="X54" i="75"/>
  <c r="W54" i="75"/>
  <c r="V54" i="75"/>
  <c r="U54" i="75"/>
  <c r="T54" i="75"/>
  <c r="S54" i="75"/>
  <c r="R54" i="75"/>
  <c r="Q54" i="75"/>
  <c r="AC53" i="75"/>
  <c r="AB53" i="75"/>
  <c r="AA53" i="75"/>
  <c r="Z53" i="75"/>
  <c r="Y53" i="75"/>
  <c r="X53" i="75"/>
  <c r="W53" i="75"/>
  <c r="V53" i="75"/>
  <c r="U53" i="75"/>
  <c r="T53" i="75"/>
  <c r="S53" i="75"/>
  <c r="R53" i="75"/>
  <c r="Q53" i="75"/>
  <c r="AC52" i="75"/>
  <c r="AB52" i="75"/>
  <c r="AA52" i="75"/>
  <c r="Z52" i="75"/>
  <c r="Y52" i="75"/>
  <c r="X52" i="75"/>
  <c r="W52" i="75"/>
  <c r="V52" i="75"/>
  <c r="U52" i="75"/>
  <c r="T52" i="75"/>
  <c r="S52" i="75"/>
  <c r="R52" i="75"/>
  <c r="Q52" i="75"/>
  <c r="AC51" i="75"/>
  <c r="AB51" i="75"/>
  <c r="AH2" i="75" s="1"/>
  <c r="AA51" i="75"/>
  <c r="Z51" i="75"/>
  <c r="Y51" i="75"/>
  <c r="X51" i="75"/>
  <c r="W51" i="75"/>
  <c r="V51" i="75"/>
  <c r="U51" i="75"/>
  <c r="T51" i="75"/>
  <c r="S51" i="75"/>
  <c r="R51" i="75"/>
  <c r="Q51" i="75"/>
  <c r="AC50" i="75"/>
  <c r="AB50" i="75"/>
  <c r="AA50" i="75"/>
  <c r="Z50" i="75"/>
  <c r="Y50" i="75"/>
  <c r="X50" i="75"/>
  <c r="W50" i="75"/>
  <c r="V50" i="75"/>
  <c r="U50" i="75"/>
  <c r="T50" i="75"/>
  <c r="S50" i="75"/>
  <c r="R50" i="75"/>
  <c r="Q50" i="75"/>
  <c r="AC49" i="75"/>
  <c r="AB49" i="75"/>
  <c r="AA49" i="75"/>
  <c r="Z49" i="75"/>
  <c r="Y49" i="75"/>
  <c r="X49" i="75"/>
  <c r="W49" i="75"/>
  <c r="V49" i="75"/>
  <c r="U49" i="75"/>
  <c r="T49" i="75"/>
  <c r="S49" i="75"/>
  <c r="R49" i="75"/>
  <c r="Q49" i="75"/>
  <c r="AC48" i="75"/>
  <c r="AB48" i="75"/>
  <c r="AA48" i="75"/>
  <c r="Z48" i="75"/>
  <c r="Y48" i="75"/>
  <c r="X48" i="75"/>
  <c r="W48" i="75"/>
  <c r="V48" i="75"/>
  <c r="U48" i="75"/>
  <c r="T48" i="75"/>
  <c r="S48" i="75"/>
  <c r="R48" i="75"/>
  <c r="Q48" i="75"/>
  <c r="AC47" i="75"/>
  <c r="AB47" i="75"/>
  <c r="AA47" i="75"/>
  <c r="Z47" i="75"/>
  <c r="Y47" i="75"/>
  <c r="X47" i="75"/>
  <c r="W47" i="75"/>
  <c r="V47" i="75"/>
  <c r="U47" i="75"/>
  <c r="T47" i="75"/>
  <c r="S47" i="75"/>
  <c r="R47" i="75"/>
  <c r="Q47" i="75"/>
  <c r="AC46" i="75"/>
  <c r="AB46" i="75"/>
  <c r="AA46" i="75"/>
  <c r="Z46" i="75"/>
  <c r="Y46" i="75"/>
  <c r="X46" i="75"/>
  <c r="W46" i="75"/>
  <c r="V46" i="75"/>
  <c r="U46" i="75"/>
  <c r="T46" i="75"/>
  <c r="S46" i="75"/>
  <c r="R46" i="75"/>
  <c r="Q46" i="75"/>
  <c r="AC45" i="75"/>
  <c r="AB45" i="75"/>
  <c r="AA45" i="75"/>
  <c r="Z45" i="75"/>
  <c r="Y45" i="75"/>
  <c r="X45" i="75"/>
  <c r="W45" i="75"/>
  <c r="V45" i="75"/>
  <c r="U45" i="75"/>
  <c r="T45" i="75"/>
  <c r="S45" i="75"/>
  <c r="R45" i="75"/>
  <c r="Q45" i="75"/>
  <c r="AC44" i="75"/>
  <c r="AB44" i="75"/>
  <c r="AA44" i="75"/>
  <c r="Z44" i="75"/>
  <c r="Y44" i="75"/>
  <c r="X44" i="75"/>
  <c r="W44" i="75"/>
  <c r="V44" i="75"/>
  <c r="U44" i="75"/>
  <c r="T44" i="75"/>
  <c r="S44" i="75"/>
  <c r="R44" i="75"/>
  <c r="Q44" i="75"/>
  <c r="AC43" i="75"/>
  <c r="AB43" i="75"/>
  <c r="AA43" i="75"/>
  <c r="Z43" i="75"/>
  <c r="Y43" i="75"/>
  <c r="X43" i="75"/>
  <c r="W43" i="75"/>
  <c r="V43" i="75"/>
  <c r="U43" i="75"/>
  <c r="T43" i="75"/>
  <c r="S43" i="75"/>
  <c r="R43" i="75"/>
  <c r="Q43" i="75"/>
  <c r="AC42" i="75"/>
  <c r="AB42" i="75"/>
  <c r="AA42" i="75"/>
  <c r="Z42" i="75"/>
  <c r="Y42" i="75"/>
  <c r="X42" i="75"/>
  <c r="W42" i="75"/>
  <c r="V42" i="75"/>
  <c r="U42" i="75"/>
  <c r="T42" i="75"/>
  <c r="S42" i="75"/>
  <c r="R42" i="75"/>
  <c r="Q42" i="75"/>
  <c r="AC41" i="75"/>
  <c r="AB41" i="75"/>
  <c r="AA41" i="75"/>
  <c r="Z41" i="75"/>
  <c r="Y41" i="75"/>
  <c r="X41" i="75"/>
  <c r="W41" i="75"/>
  <c r="V41" i="75"/>
  <c r="U41" i="75"/>
  <c r="T41" i="75"/>
  <c r="S41" i="75"/>
  <c r="R41" i="75"/>
  <c r="Q41" i="75"/>
  <c r="AC40" i="75"/>
  <c r="AB40" i="75"/>
  <c r="AA40" i="75"/>
  <c r="Z40" i="75"/>
  <c r="Y40" i="75"/>
  <c r="X40" i="75"/>
  <c r="W40" i="75"/>
  <c r="V40" i="75"/>
  <c r="U40" i="75"/>
  <c r="T40" i="75"/>
  <c r="S40" i="75"/>
  <c r="R40" i="75"/>
  <c r="Q40" i="75"/>
  <c r="AC39" i="75"/>
  <c r="AB39" i="75"/>
  <c r="AA39" i="75"/>
  <c r="Z39" i="75"/>
  <c r="Y39" i="75"/>
  <c r="X39" i="75"/>
  <c r="W39" i="75"/>
  <c r="V39" i="75"/>
  <c r="U39" i="75"/>
  <c r="T39" i="75"/>
  <c r="S39" i="75"/>
  <c r="R39" i="75"/>
  <c r="Q39" i="75"/>
  <c r="AC38" i="75"/>
  <c r="AB38" i="75"/>
  <c r="AA38" i="75"/>
  <c r="Z38" i="75"/>
  <c r="Y38" i="75"/>
  <c r="X38" i="75"/>
  <c r="W38" i="75"/>
  <c r="V38" i="75"/>
  <c r="U38" i="75"/>
  <c r="T38" i="75"/>
  <c r="S38" i="75"/>
  <c r="R38" i="75"/>
  <c r="Q38" i="75"/>
  <c r="AC37" i="75"/>
  <c r="AB37" i="75"/>
  <c r="AA37" i="75"/>
  <c r="Z37" i="75"/>
  <c r="Y37" i="75"/>
  <c r="X37" i="75"/>
  <c r="W37" i="75"/>
  <c r="V37" i="75"/>
  <c r="U37" i="75"/>
  <c r="T37" i="75"/>
  <c r="S37" i="75"/>
  <c r="R37" i="75"/>
  <c r="Q37" i="75"/>
  <c r="AC36" i="75"/>
  <c r="AB36" i="75"/>
  <c r="AA36" i="75"/>
  <c r="Z36" i="75"/>
  <c r="Y36" i="75"/>
  <c r="X36" i="75"/>
  <c r="W36" i="75"/>
  <c r="V36" i="75"/>
  <c r="U36" i="75"/>
  <c r="T36" i="75"/>
  <c r="S36" i="75"/>
  <c r="R36" i="75"/>
  <c r="Q36" i="75"/>
  <c r="AC35" i="75"/>
  <c r="AB35" i="75"/>
  <c r="AA35" i="75"/>
  <c r="Z35" i="75"/>
  <c r="Y35" i="75"/>
  <c r="X35" i="75"/>
  <c r="W35" i="75"/>
  <c r="V35" i="75"/>
  <c r="U35" i="75"/>
  <c r="T35" i="75"/>
  <c r="S35" i="75"/>
  <c r="R35" i="75"/>
  <c r="Q35" i="75"/>
  <c r="AC34" i="75"/>
  <c r="AB34" i="75"/>
  <c r="AA34" i="75"/>
  <c r="Z34" i="75"/>
  <c r="Y34" i="75"/>
  <c r="X34" i="75"/>
  <c r="W34" i="75"/>
  <c r="V34" i="75"/>
  <c r="U34" i="75"/>
  <c r="T34" i="75"/>
  <c r="S34" i="75"/>
  <c r="R34" i="75"/>
  <c r="Q34" i="75"/>
  <c r="AC33" i="75"/>
  <c r="AB33" i="75"/>
  <c r="AA33" i="75"/>
  <c r="Z33" i="75"/>
  <c r="Y33" i="75"/>
  <c r="X33" i="75"/>
  <c r="W33" i="75"/>
  <c r="V33" i="75"/>
  <c r="U33" i="75"/>
  <c r="T33" i="75"/>
  <c r="S33" i="75"/>
  <c r="R33" i="75"/>
  <c r="Q33" i="75"/>
  <c r="AC32" i="75"/>
  <c r="AB32" i="75"/>
  <c r="AA32" i="75"/>
  <c r="Z32" i="75"/>
  <c r="Y32" i="75"/>
  <c r="X32" i="75"/>
  <c r="W32" i="75"/>
  <c r="V32" i="75"/>
  <c r="U32" i="75"/>
  <c r="T32" i="75"/>
  <c r="S32" i="75"/>
  <c r="R32" i="75"/>
  <c r="Q32" i="75"/>
  <c r="AC31" i="75"/>
  <c r="AB31" i="75"/>
  <c r="AA31" i="75"/>
  <c r="Z31" i="75"/>
  <c r="Y31" i="75"/>
  <c r="X31" i="75"/>
  <c r="W31" i="75"/>
  <c r="V31" i="75"/>
  <c r="U31" i="75"/>
  <c r="T31" i="75"/>
  <c r="S31" i="75"/>
  <c r="R31" i="75"/>
  <c r="Q31" i="75"/>
  <c r="AC30" i="75"/>
  <c r="AB30" i="75"/>
  <c r="AA30" i="75"/>
  <c r="Z30" i="75"/>
  <c r="Y30" i="75"/>
  <c r="X30" i="75"/>
  <c r="W30" i="75"/>
  <c r="V30" i="75"/>
  <c r="U30" i="75"/>
  <c r="T30" i="75"/>
  <c r="S30" i="75"/>
  <c r="R30" i="75"/>
  <c r="Q30" i="75"/>
  <c r="AC29" i="75"/>
  <c r="AB29" i="75"/>
  <c r="AA29" i="75"/>
  <c r="Z29" i="75"/>
  <c r="Y29" i="75"/>
  <c r="X29" i="75"/>
  <c r="W29" i="75"/>
  <c r="V29" i="75"/>
  <c r="U29" i="75"/>
  <c r="T29" i="75"/>
  <c r="S29" i="75"/>
  <c r="R29" i="75"/>
  <c r="Q29" i="75"/>
  <c r="AC28" i="75"/>
  <c r="AB28" i="75"/>
  <c r="AA28" i="75"/>
  <c r="Z28" i="75"/>
  <c r="Y28" i="75"/>
  <c r="X28" i="75"/>
  <c r="W28" i="75"/>
  <c r="V28" i="75"/>
  <c r="U28" i="75"/>
  <c r="T28" i="75"/>
  <c r="S28" i="75"/>
  <c r="R28" i="75"/>
  <c r="Q28" i="75"/>
  <c r="AC27" i="75"/>
  <c r="AB27" i="75"/>
  <c r="AA27" i="75"/>
  <c r="Z27" i="75"/>
  <c r="Y27" i="75"/>
  <c r="X27" i="75"/>
  <c r="W27" i="75"/>
  <c r="V27" i="75"/>
  <c r="U27" i="75"/>
  <c r="T27" i="75"/>
  <c r="S27" i="75"/>
  <c r="R27" i="75"/>
  <c r="Q27" i="75"/>
  <c r="AC26" i="75"/>
  <c r="AB26" i="75"/>
  <c r="AA26" i="75"/>
  <c r="Z26" i="75"/>
  <c r="Y26" i="75"/>
  <c r="X26" i="75"/>
  <c r="W26" i="75"/>
  <c r="V26" i="75"/>
  <c r="U26" i="75"/>
  <c r="T26" i="75"/>
  <c r="S26" i="75"/>
  <c r="R26" i="75"/>
  <c r="Q26" i="75"/>
  <c r="AC25" i="75"/>
  <c r="AB25" i="75"/>
  <c r="AA25" i="75"/>
  <c r="Z25" i="75"/>
  <c r="Y25" i="75"/>
  <c r="X25" i="75"/>
  <c r="W25" i="75"/>
  <c r="V25" i="75"/>
  <c r="U25" i="75"/>
  <c r="T25" i="75"/>
  <c r="S25" i="75"/>
  <c r="R25" i="75"/>
  <c r="Q25" i="75"/>
  <c r="AC24" i="75"/>
  <c r="AB24" i="75"/>
  <c r="AA24" i="75"/>
  <c r="Z24" i="75"/>
  <c r="Y24" i="75"/>
  <c r="X24" i="75"/>
  <c r="W24" i="75"/>
  <c r="V24" i="75"/>
  <c r="U24" i="75"/>
  <c r="T24" i="75"/>
  <c r="S24" i="75"/>
  <c r="R24" i="75"/>
  <c r="Q24" i="75"/>
  <c r="AC23" i="75"/>
  <c r="AB23" i="75"/>
  <c r="AA23" i="75"/>
  <c r="Z23" i="75"/>
  <c r="Y23" i="75"/>
  <c r="X23" i="75"/>
  <c r="W23" i="75"/>
  <c r="V23" i="75"/>
  <c r="U23" i="75"/>
  <c r="T23" i="75"/>
  <c r="S23" i="75"/>
  <c r="R23" i="75"/>
  <c r="Q23" i="75"/>
  <c r="AC22" i="75"/>
  <c r="AB22" i="75"/>
  <c r="AA22" i="75"/>
  <c r="Z22" i="75"/>
  <c r="Y22" i="75"/>
  <c r="X22" i="75"/>
  <c r="W22" i="75"/>
  <c r="V22" i="75"/>
  <c r="U22" i="75"/>
  <c r="T22" i="75"/>
  <c r="S22" i="75"/>
  <c r="R22" i="75"/>
  <c r="Q22" i="75"/>
  <c r="AC21" i="75"/>
  <c r="AB21" i="75"/>
  <c r="AA21" i="75"/>
  <c r="Z21" i="75"/>
  <c r="Y21" i="75"/>
  <c r="X21" i="75"/>
  <c r="W21" i="75"/>
  <c r="V21" i="75"/>
  <c r="U21" i="75"/>
  <c r="T21" i="75"/>
  <c r="S21" i="75"/>
  <c r="R21" i="75"/>
  <c r="Q21" i="75"/>
  <c r="AC20" i="75"/>
  <c r="AB20" i="75"/>
  <c r="AA20" i="75"/>
  <c r="Z20" i="75"/>
  <c r="Y20" i="75"/>
  <c r="X20" i="75"/>
  <c r="W20" i="75"/>
  <c r="V20" i="75"/>
  <c r="U20" i="75"/>
  <c r="T20" i="75"/>
  <c r="S20" i="75"/>
  <c r="R20" i="75"/>
  <c r="Q20" i="75"/>
  <c r="AC19" i="75"/>
  <c r="AB19" i="75"/>
  <c r="AA19" i="75"/>
  <c r="Z19" i="75"/>
  <c r="Y19" i="75"/>
  <c r="X19" i="75"/>
  <c r="W19" i="75"/>
  <c r="V19" i="75"/>
  <c r="U19" i="75"/>
  <c r="T19" i="75"/>
  <c r="S19" i="75"/>
  <c r="R19" i="75"/>
  <c r="Q19" i="75"/>
  <c r="AC18" i="75"/>
  <c r="AB18" i="75"/>
  <c r="AA18" i="75"/>
  <c r="Z18" i="75"/>
  <c r="Y18" i="75"/>
  <c r="X18" i="75"/>
  <c r="W18" i="75"/>
  <c r="V18" i="75"/>
  <c r="U18" i="75"/>
  <c r="T18" i="75"/>
  <c r="S18" i="75"/>
  <c r="R18" i="75"/>
  <c r="Q18" i="75"/>
  <c r="AC17" i="75"/>
  <c r="AB17" i="75"/>
  <c r="AA17" i="75"/>
  <c r="Z17" i="75"/>
  <c r="Y17" i="75"/>
  <c r="X17" i="75"/>
  <c r="W17" i="75"/>
  <c r="V17" i="75"/>
  <c r="U17" i="75"/>
  <c r="T17" i="75"/>
  <c r="S17" i="75"/>
  <c r="R17" i="75"/>
  <c r="Q17" i="75"/>
  <c r="AC16" i="75"/>
  <c r="AB16" i="75"/>
  <c r="AA16" i="75"/>
  <c r="Z16" i="75"/>
  <c r="Y16" i="75"/>
  <c r="X16" i="75"/>
  <c r="W16" i="75"/>
  <c r="V16" i="75"/>
  <c r="U16" i="75"/>
  <c r="T16" i="75"/>
  <c r="S16" i="75"/>
  <c r="R16" i="75"/>
  <c r="Q16" i="75"/>
  <c r="AC15" i="75"/>
  <c r="AB15" i="75"/>
  <c r="AA15" i="75"/>
  <c r="Z15" i="75"/>
  <c r="Y15" i="75"/>
  <c r="X15" i="75"/>
  <c r="W15" i="75"/>
  <c r="V15" i="75"/>
  <c r="U15" i="75"/>
  <c r="T15" i="75"/>
  <c r="S15" i="75"/>
  <c r="R15" i="75"/>
  <c r="Q15" i="75"/>
  <c r="AC14" i="75"/>
  <c r="AB14" i="75"/>
  <c r="AA14" i="75"/>
  <c r="Z14" i="75"/>
  <c r="Y14" i="75"/>
  <c r="X14" i="75"/>
  <c r="W14" i="75"/>
  <c r="V14" i="75"/>
  <c r="U14" i="75"/>
  <c r="T14" i="75"/>
  <c r="S14" i="75"/>
  <c r="R14" i="75"/>
  <c r="Q14" i="75"/>
  <c r="AC13" i="75"/>
  <c r="AB13" i="75"/>
  <c r="AA13" i="75"/>
  <c r="Z13" i="75"/>
  <c r="Y13" i="75"/>
  <c r="X13" i="75"/>
  <c r="W13" i="75"/>
  <c r="V13" i="75"/>
  <c r="U13" i="75"/>
  <c r="T13" i="75"/>
  <c r="S13" i="75"/>
  <c r="R13" i="75"/>
  <c r="Q13" i="75"/>
  <c r="AC12" i="75"/>
  <c r="AB12" i="75"/>
  <c r="AA12" i="75"/>
  <c r="Z12" i="75"/>
  <c r="Y12" i="75"/>
  <c r="X12" i="75"/>
  <c r="W12" i="75"/>
  <c r="V12" i="75"/>
  <c r="U12" i="75"/>
  <c r="T12" i="75"/>
  <c r="S12" i="75"/>
  <c r="R12" i="75"/>
  <c r="Q12" i="75"/>
  <c r="AC11" i="75"/>
  <c r="AB11" i="75"/>
  <c r="AA11" i="75"/>
  <c r="Z11" i="75"/>
  <c r="Y11" i="75"/>
  <c r="X11" i="75"/>
  <c r="W11" i="75"/>
  <c r="V11" i="75"/>
  <c r="U11" i="75"/>
  <c r="T11" i="75"/>
  <c r="S11" i="75"/>
  <c r="R11" i="75"/>
  <c r="Q11" i="75"/>
  <c r="AC10" i="75"/>
  <c r="AB10" i="75"/>
  <c r="AA10" i="75"/>
  <c r="Z10" i="75"/>
  <c r="Y10" i="75"/>
  <c r="X10" i="75"/>
  <c r="W10" i="75"/>
  <c r="V10" i="75"/>
  <c r="U10" i="75"/>
  <c r="T10" i="75"/>
  <c r="S10" i="75"/>
  <c r="R10" i="75"/>
  <c r="Q10" i="75"/>
  <c r="AC9" i="75"/>
  <c r="AB9" i="75"/>
  <c r="AA9" i="75"/>
  <c r="Z9" i="75"/>
  <c r="Y9" i="75"/>
  <c r="X9" i="75"/>
  <c r="W9" i="75"/>
  <c r="V9" i="75"/>
  <c r="U9" i="75"/>
  <c r="T9" i="75"/>
  <c r="S9" i="75"/>
  <c r="R9" i="75"/>
  <c r="Q9" i="75"/>
  <c r="AC8" i="75"/>
  <c r="AB8" i="75"/>
  <c r="AA8" i="75"/>
  <c r="Z8" i="75"/>
  <c r="Y8" i="75"/>
  <c r="X8" i="75"/>
  <c r="W8" i="75"/>
  <c r="V8" i="75"/>
  <c r="U8" i="75"/>
  <c r="T8" i="75"/>
  <c r="S8" i="75"/>
  <c r="R8" i="75"/>
  <c r="Q8" i="75"/>
  <c r="AC7" i="75"/>
  <c r="AB7" i="75"/>
  <c r="AA7" i="75"/>
  <c r="Z7" i="75"/>
  <c r="Y7" i="75"/>
  <c r="X7" i="75"/>
  <c r="W7" i="75"/>
  <c r="V7" i="75"/>
  <c r="U7" i="75"/>
  <c r="T7" i="75"/>
  <c r="S7" i="75"/>
  <c r="R7" i="75"/>
  <c r="Q7" i="75"/>
  <c r="AC6" i="75"/>
  <c r="AB6" i="75"/>
  <c r="AA6" i="75"/>
  <c r="Z6" i="75"/>
  <c r="Y6" i="75"/>
  <c r="X6" i="75"/>
  <c r="W6" i="75"/>
  <c r="V6" i="75"/>
  <c r="U6" i="75"/>
  <c r="T6" i="75"/>
  <c r="S6" i="75"/>
  <c r="R6" i="75"/>
  <c r="Q6" i="75"/>
  <c r="AC5" i="75"/>
  <c r="AB5" i="75"/>
  <c r="AA5" i="75"/>
  <c r="Z5" i="75"/>
  <c r="Y5" i="75"/>
  <c r="X5" i="75"/>
  <c r="W5" i="75"/>
  <c r="V5" i="75"/>
  <c r="U5" i="75"/>
  <c r="T5" i="75"/>
  <c r="S5" i="75"/>
  <c r="R5" i="75"/>
  <c r="Q5" i="75"/>
  <c r="AC4" i="75"/>
  <c r="AB4" i="75"/>
  <c r="AA4" i="75"/>
  <c r="Z4" i="75"/>
  <c r="Y4" i="75"/>
  <c r="X4" i="75"/>
  <c r="W4" i="75"/>
  <c r="V4" i="75"/>
  <c r="U4" i="75"/>
  <c r="T4" i="75"/>
  <c r="S4" i="75"/>
  <c r="R4" i="75"/>
  <c r="Q4" i="75"/>
  <c r="AI1" i="75"/>
  <c r="AJ1" i="75" s="1"/>
  <c r="AK1" i="75" s="1"/>
  <c r="AL1" i="75" s="1"/>
  <c r="AG2" i="75"/>
  <c r="U58" i="75"/>
  <c r="U59" i="75" s="1"/>
  <c r="J15" i="63"/>
  <c r="C19" i="69"/>
  <c r="C20" i="69"/>
  <c r="C21" i="69"/>
  <c r="C22" i="69"/>
  <c r="C23" i="69"/>
  <c r="C24" i="69"/>
  <c r="C25" i="69"/>
  <c r="A1" i="73"/>
  <c r="A1" i="72"/>
  <c r="A1" i="71"/>
  <c r="AB2" i="72"/>
  <c r="AC2" i="72" s="1"/>
  <c r="AD2" i="72" s="1"/>
  <c r="AE2" i="72" s="1"/>
  <c r="AF2" i="72" s="1"/>
  <c r="AG2" i="72" s="1"/>
  <c r="AH2" i="72" s="1"/>
  <c r="AI2" i="72" s="1"/>
  <c r="AJ2" i="72" s="1"/>
  <c r="AK2" i="72" s="1"/>
  <c r="AL2" i="72" s="1"/>
  <c r="C11" i="70"/>
  <c r="J20" i="69"/>
  <c r="J21" i="69"/>
  <c r="J22" i="69"/>
  <c r="J23" i="69"/>
  <c r="J24" i="69"/>
  <c r="J19" i="69"/>
  <c r="J11" i="69"/>
  <c r="J12" i="69"/>
  <c r="J13" i="69"/>
  <c r="J14" i="69"/>
  <c r="J15" i="69"/>
  <c r="J10" i="69"/>
  <c r="C15" i="69"/>
  <c r="C14" i="69"/>
  <c r="C13" i="69"/>
  <c r="C12" i="69"/>
  <c r="C11" i="69"/>
  <c r="C9" i="70"/>
  <c r="C18" i="69"/>
  <c r="B17" i="69"/>
  <c r="B10" i="70" s="1"/>
  <c r="C10" i="69"/>
  <c r="C16" i="69" s="1"/>
  <c r="C9" i="69"/>
  <c r="B8" i="69"/>
  <c r="B8" i="70" s="1"/>
  <c r="AK41" i="6"/>
  <c r="AL41" i="6"/>
  <c r="AM41" i="6"/>
  <c r="AN41" i="6"/>
  <c r="AO41" i="6"/>
  <c r="AP41" i="6"/>
  <c r="AQ41" i="6"/>
  <c r="AJ41" i="6"/>
  <c r="Z53" i="6"/>
  <c r="AB53" i="6"/>
  <c r="AJ53" i="6" s="1"/>
  <c r="AC53" i="6"/>
  <c r="AK53" i="6" s="1"/>
  <c r="AD53" i="6"/>
  <c r="AE53" i="6"/>
  <c r="AM53" i="6" s="1"/>
  <c r="AF53" i="6"/>
  <c r="AG53" i="6"/>
  <c r="AO53" i="6" s="1"/>
  <c r="AH53" i="6"/>
  <c r="AP53" i="6" s="1"/>
  <c r="AI53" i="6"/>
  <c r="AQ53" i="6" s="1"/>
  <c r="AC52" i="6"/>
  <c r="AD52" i="6"/>
  <c r="AL52" i="6" s="1"/>
  <c r="AE52" i="6"/>
  <c r="AF52" i="6"/>
  <c r="AN52" i="6" s="1"/>
  <c r="AG52" i="6"/>
  <c r="AO52" i="6" s="1"/>
  <c r="AH52" i="6"/>
  <c r="AI52" i="6"/>
  <c r="AB52" i="6"/>
  <c r="W51" i="6"/>
  <c r="AA53" i="6"/>
  <c r="AA52" i="6"/>
  <c r="S63" i="6"/>
  <c r="D14" i="63"/>
  <c r="F15" i="63"/>
  <c r="F14" i="63"/>
  <c r="C6" i="10"/>
  <c r="D6" i="10" s="1"/>
  <c r="E6" i="10" s="1"/>
  <c r="F6" i="10" s="1"/>
  <c r="G6" i="10" s="1"/>
  <c r="H6" i="10" s="1"/>
  <c r="I6" i="10" s="1"/>
  <c r="I15" i="10" s="1"/>
  <c r="E10" i="15"/>
  <c r="D12" i="15" s="1"/>
  <c r="C11" i="15"/>
  <c r="C12" i="15"/>
  <c r="C10" i="15"/>
  <c r="R165" i="7"/>
  <c r="R159" i="7"/>
  <c r="R153" i="7"/>
  <c r="R147" i="7"/>
  <c r="R143" i="7"/>
  <c r="R140" i="7"/>
  <c r="R137" i="7"/>
  <c r="R134" i="7"/>
  <c r="R131" i="7"/>
  <c r="R128" i="7"/>
  <c r="R125" i="7"/>
  <c r="R114" i="7"/>
  <c r="R80" i="7"/>
  <c r="R70" i="7"/>
  <c r="B298" i="28"/>
  <c r="B282" i="28"/>
  <c r="B266" i="28"/>
  <c r="B250" i="28"/>
  <c r="B205" i="28"/>
  <c r="B204" i="28"/>
  <c r="B203" i="28"/>
  <c r="B202" i="28"/>
  <c r="B201" i="28"/>
  <c r="B200" i="28"/>
  <c r="B170" i="28"/>
  <c r="B150" i="28"/>
  <c r="B130" i="28"/>
  <c r="B107" i="28"/>
  <c r="B86" i="28"/>
  <c r="B67" i="28"/>
  <c r="B47" i="28"/>
  <c r="C15" i="15"/>
  <c r="C18" i="15" s="1"/>
  <c r="C57" i="15" s="1"/>
  <c r="C14" i="15"/>
  <c r="C17" i="15" s="1"/>
  <c r="E13" i="15"/>
  <c r="C13" i="15"/>
  <c r="C16" i="15" s="1"/>
  <c r="C59" i="15" s="1"/>
  <c r="D56"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19" i="15"/>
  <c r="D145" i="29"/>
  <c r="D144" i="29"/>
  <c r="D118" i="29"/>
  <c r="D117" i="29"/>
  <c r="J226" i="28"/>
  <c r="D125" i="28"/>
  <c r="D124" i="28"/>
  <c r="D104" i="28"/>
  <c r="D40" i="72" s="1"/>
  <c r="D62" i="72" s="1"/>
  <c r="D103" i="28"/>
  <c r="D41" i="72" s="1"/>
  <c r="B85" i="28"/>
  <c r="AS208" i="28"/>
  <c r="AS209" i="28"/>
  <c r="AS216" i="28" s="1"/>
  <c r="AS210" i="28"/>
  <c r="AS217" i="28" s="1"/>
  <c r="B217" i="28" s="1"/>
  <c r="AS211" i="28"/>
  <c r="AS218" i="28" s="1"/>
  <c r="AS225" i="28" s="1"/>
  <c r="AS212" i="28"/>
  <c r="AS219" i="28" s="1"/>
  <c r="AS207" i="28"/>
  <c r="AS214" i="28" s="1"/>
  <c r="I165" i="7"/>
  <c r="I159" i="7"/>
  <c r="I153" i="7"/>
  <c r="I147" i="7"/>
  <c r="I114" i="7"/>
  <c r="I102" i="7"/>
  <c r="I80" i="7"/>
  <c r="Y94" i="66"/>
  <c r="Y95" i="66" s="1"/>
  <c r="Y96" i="66" s="1"/>
  <c r="Y97" i="66" s="1"/>
  <c r="Y98" i="66" s="1"/>
  <c r="Y99" i="66" s="1"/>
  <c r="Y100" i="66" s="1"/>
  <c r="Y101" i="66" s="1"/>
  <c r="Y102" i="66" s="1"/>
  <c r="Y103" i="66" s="1"/>
  <c r="Y104" i="66" s="1"/>
  <c r="Y105" i="66" s="1"/>
  <c r="Y106" i="66" s="1"/>
  <c r="Y107" i="66" s="1"/>
  <c r="Y108" i="66" s="1"/>
  <c r="Y109" i="66" s="1"/>
  <c r="Y110" i="66" s="1"/>
  <c r="X94" i="66"/>
  <c r="X95" i="66" s="1"/>
  <c r="X96" i="66" s="1"/>
  <c r="X97" i="66" s="1"/>
  <c r="X98" i="66" s="1"/>
  <c r="X99" i="66" s="1"/>
  <c r="X100" i="66" s="1"/>
  <c r="X101" i="66" s="1"/>
  <c r="X102" i="66" s="1"/>
  <c r="X103" i="66" s="1"/>
  <c r="X104" i="66" s="1"/>
  <c r="X105" i="66" s="1"/>
  <c r="X106" i="66" s="1"/>
  <c r="X107" i="66" s="1"/>
  <c r="X108" i="66" s="1"/>
  <c r="X109" i="66" s="1"/>
  <c r="X110" i="66" s="1"/>
  <c r="V94" i="66"/>
  <c r="V95" i="66" s="1"/>
  <c r="V96" i="66" s="1"/>
  <c r="V97" i="66" s="1"/>
  <c r="V98" i="66" s="1"/>
  <c r="V99" i="66" s="1"/>
  <c r="V100" i="66" s="1"/>
  <c r="V101" i="66" s="1"/>
  <c r="V102" i="66" s="1"/>
  <c r="V103" i="66" s="1"/>
  <c r="V104" i="66" s="1"/>
  <c r="V105" i="66" s="1"/>
  <c r="V106" i="66" s="1"/>
  <c r="V107" i="66" s="1"/>
  <c r="V108" i="66" s="1"/>
  <c r="V109" i="66" s="1"/>
  <c r="V110" i="66" s="1"/>
  <c r="I6181" i="66"/>
  <c r="H6181" i="66"/>
  <c r="G6181" i="66"/>
  <c r="E6181" i="66"/>
  <c r="F6181" i="66" s="1"/>
  <c r="F6180" i="66" s="1"/>
  <c r="F6179" i="66" s="1"/>
  <c r="F6178" i="66" s="1"/>
  <c r="F6177" i="66" s="1"/>
  <c r="F6176" i="66" s="1"/>
  <c r="F6175" i="66" s="1"/>
  <c r="F6174" i="66" s="1"/>
  <c r="F6173" i="66" s="1"/>
  <c r="F6172" i="66" s="1"/>
  <c r="F6171" i="66" s="1"/>
  <c r="F6170" i="66" s="1"/>
  <c r="F6169" i="66" s="1"/>
  <c r="F6168" i="66" s="1"/>
  <c r="F6167" i="66" s="1"/>
  <c r="F6166" i="66" s="1"/>
  <c r="F6165" i="66" s="1"/>
  <c r="F6164" i="66" s="1"/>
  <c r="F6163" i="66" s="1"/>
  <c r="F6162" i="66" s="1"/>
  <c r="F6161" i="66" s="1"/>
  <c r="F6160" i="66" s="1"/>
  <c r="F6159" i="66" s="1"/>
  <c r="F6158" i="66" s="1"/>
  <c r="F6157" i="66" s="1"/>
  <c r="F6156" i="66" s="1"/>
  <c r="F6155" i="66" s="1"/>
  <c r="F6154" i="66" s="1"/>
  <c r="F6153" i="66" s="1"/>
  <c r="F6152" i="66" s="1"/>
  <c r="F6151" i="66" s="1"/>
  <c r="F6150" i="66" s="1"/>
  <c r="F6149" i="66" s="1"/>
  <c r="F6148" i="66" s="1"/>
  <c r="F6147" i="66" s="1"/>
  <c r="F6146" i="66" s="1"/>
  <c r="F6145" i="66" s="1"/>
  <c r="F6144" i="66" s="1"/>
  <c r="F6143" i="66" s="1"/>
  <c r="F6142" i="66" s="1"/>
  <c r="F6141" i="66" s="1"/>
  <c r="F6140" i="66" s="1"/>
  <c r="F6139" i="66" s="1"/>
  <c r="F6138" i="66" s="1"/>
  <c r="F6137" i="66" s="1"/>
  <c r="F6136" i="66" s="1"/>
  <c r="F6135" i="66" s="1"/>
  <c r="F6134" i="66" s="1"/>
  <c r="F6133" i="66" s="1"/>
  <c r="F6132" i="66" s="1"/>
  <c r="F6131" i="66" s="1"/>
  <c r="F6130" i="66" s="1"/>
  <c r="F6129" i="66" s="1"/>
  <c r="F6128" i="66" s="1"/>
  <c r="F6127" i="66" s="1"/>
  <c r="F6126" i="66" s="1"/>
  <c r="F6125" i="66" s="1"/>
  <c r="F6124" i="66" s="1"/>
  <c r="F6123" i="66" s="1"/>
  <c r="F6122" i="66" s="1"/>
  <c r="F6121" i="66" s="1"/>
  <c r="F6120" i="66" s="1"/>
  <c r="F6119" i="66" s="1"/>
  <c r="F6118" i="66" s="1"/>
  <c r="F6117" i="66" s="1"/>
  <c r="F6116" i="66" s="1"/>
  <c r="F6115" i="66" s="1"/>
  <c r="F6114" i="66" s="1"/>
  <c r="F6113" i="66" s="1"/>
  <c r="F6112" i="66" s="1"/>
  <c r="F6111" i="66" s="1"/>
  <c r="F6110" i="66" s="1"/>
  <c r="F6109" i="66" s="1"/>
  <c r="F6108" i="66" s="1"/>
  <c r="F6107" i="66" s="1"/>
  <c r="F6106" i="66" s="1"/>
  <c r="F6105" i="66" s="1"/>
  <c r="F6104" i="66" s="1"/>
  <c r="F6103" i="66" s="1"/>
  <c r="F6102" i="66" s="1"/>
  <c r="F6101" i="66" s="1"/>
  <c r="F6100" i="66" s="1"/>
  <c r="F6099" i="66" s="1"/>
  <c r="F6098" i="66" s="1"/>
  <c r="F6097" i="66" s="1"/>
  <c r="F6096" i="66" s="1"/>
  <c r="F6095" i="66" s="1"/>
  <c r="F6094" i="66" s="1"/>
  <c r="F6093" i="66" s="1"/>
  <c r="F6092" i="66" s="1"/>
  <c r="F6091" i="66" s="1"/>
  <c r="F6090" i="66" s="1"/>
  <c r="F6089" i="66" s="1"/>
  <c r="F6088" i="66" s="1"/>
  <c r="F6087" i="66" s="1"/>
  <c r="F6086" i="66" s="1"/>
  <c r="F6085" i="66" s="1"/>
  <c r="F6084" i="66" s="1"/>
  <c r="F6083" i="66" s="1"/>
  <c r="F6082" i="66" s="1"/>
  <c r="F6081" i="66" s="1"/>
  <c r="F6080" i="66" s="1"/>
  <c r="F6079" i="66" s="1"/>
  <c r="F6078" i="66" s="1"/>
  <c r="F6077" i="66" s="1"/>
  <c r="F6076" i="66" s="1"/>
  <c r="F6075" i="66" s="1"/>
  <c r="F6074" i="66" s="1"/>
  <c r="F6073" i="66" s="1"/>
  <c r="F6072" i="66" s="1"/>
  <c r="F6071" i="66" s="1"/>
  <c r="F6070" i="66" s="1"/>
  <c r="F6069" i="66" s="1"/>
  <c r="F6068" i="66" s="1"/>
  <c r="F6067" i="66" s="1"/>
  <c r="F6066" i="66" s="1"/>
  <c r="F6065" i="66" s="1"/>
  <c r="F6064" i="66" s="1"/>
  <c r="F6063" i="66" s="1"/>
  <c r="F6062" i="66" s="1"/>
  <c r="F6061" i="66" s="1"/>
  <c r="F6060" i="66" s="1"/>
  <c r="F6059" i="66" s="1"/>
  <c r="F6058" i="66" s="1"/>
  <c r="F6057" i="66" s="1"/>
  <c r="F6056" i="66" s="1"/>
  <c r="F6055" i="66" s="1"/>
  <c r="F6054" i="66" s="1"/>
  <c r="F6053" i="66" s="1"/>
  <c r="F6052" i="66" s="1"/>
  <c r="F6051" i="66" s="1"/>
  <c r="F6050" i="66" s="1"/>
  <c r="F6049" i="66" s="1"/>
  <c r="F6048" i="66" s="1"/>
  <c r="F6047" i="66" s="1"/>
  <c r="F6046" i="66" s="1"/>
  <c r="F6045" i="66" s="1"/>
  <c r="F6044" i="66" s="1"/>
  <c r="F6043" i="66" s="1"/>
  <c r="F6042" i="66" s="1"/>
  <c r="F6041" i="66" s="1"/>
  <c r="F6040" i="66" s="1"/>
  <c r="F6039" i="66" s="1"/>
  <c r="F6038" i="66" s="1"/>
  <c r="F6037" i="66" s="1"/>
  <c r="F6036" i="66" s="1"/>
  <c r="F6035" i="66" s="1"/>
  <c r="F6034" i="66" s="1"/>
  <c r="F6033" i="66" s="1"/>
  <c r="F6032" i="66" s="1"/>
  <c r="F6031" i="66" s="1"/>
  <c r="F6030" i="66" s="1"/>
  <c r="F6029" i="66" s="1"/>
  <c r="F6028" i="66" s="1"/>
  <c r="F6027" i="66" s="1"/>
  <c r="F6026" i="66" s="1"/>
  <c r="F6025" i="66" s="1"/>
  <c r="F6024" i="66" s="1"/>
  <c r="F6023" i="66" s="1"/>
  <c r="F6022" i="66" s="1"/>
  <c r="F6021" i="66" s="1"/>
  <c r="F6020" i="66" s="1"/>
  <c r="F6019" i="66" s="1"/>
  <c r="F6018" i="66" s="1"/>
  <c r="F6017" i="66" s="1"/>
  <c r="F6016" i="66" s="1"/>
  <c r="F6015" i="66" s="1"/>
  <c r="F6014" i="66" s="1"/>
  <c r="F6013" i="66" s="1"/>
  <c r="F6012" i="66" s="1"/>
  <c r="F6011" i="66" s="1"/>
  <c r="F6010" i="66" s="1"/>
  <c r="F6009" i="66" s="1"/>
  <c r="F6008" i="66" s="1"/>
  <c r="F6007" i="66" s="1"/>
  <c r="F6006" i="66" s="1"/>
  <c r="F6005" i="66" s="1"/>
  <c r="F6004" i="66" s="1"/>
  <c r="F6003" i="66" s="1"/>
  <c r="F6002" i="66" s="1"/>
  <c r="F6001" i="66" s="1"/>
  <c r="F6000" i="66" s="1"/>
  <c r="F5999" i="66" s="1"/>
  <c r="F5998" i="66" s="1"/>
  <c r="F5997" i="66" s="1"/>
  <c r="F5996" i="66" s="1"/>
  <c r="F5995" i="66" s="1"/>
  <c r="F5994" i="66" s="1"/>
  <c r="F5993" i="66" s="1"/>
  <c r="F5992" i="66" s="1"/>
  <c r="F5991" i="66" s="1"/>
  <c r="F5990" i="66" s="1"/>
  <c r="F5989" i="66" s="1"/>
  <c r="F5988" i="66" s="1"/>
  <c r="F5987" i="66" s="1"/>
  <c r="F5986" i="66" s="1"/>
  <c r="F5985" i="66" s="1"/>
  <c r="F5984" i="66" s="1"/>
  <c r="F5983" i="66" s="1"/>
  <c r="F5982" i="66" s="1"/>
  <c r="F5981" i="66" s="1"/>
  <c r="F5980" i="66" s="1"/>
  <c r="F5979" i="66" s="1"/>
  <c r="F5978" i="66" s="1"/>
  <c r="F5977" i="66" s="1"/>
  <c r="F5976" i="66" s="1"/>
  <c r="F5975" i="66" s="1"/>
  <c r="F5974" i="66" s="1"/>
  <c r="F5973" i="66" s="1"/>
  <c r="F5972" i="66" s="1"/>
  <c r="F5971" i="66" s="1"/>
  <c r="F5970" i="66" s="1"/>
  <c r="F5969" i="66" s="1"/>
  <c r="F5968" i="66" s="1"/>
  <c r="F5967" i="66" s="1"/>
  <c r="F5966" i="66" s="1"/>
  <c r="F5965" i="66" s="1"/>
  <c r="F5964" i="66" s="1"/>
  <c r="F5963" i="66" s="1"/>
  <c r="F5962" i="66" s="1"/>
  <c r="F5961" i="66" s="1"/>
  <c r="F5960" i="66" s="1"/>
  <c r="F5959" i="66" s="1"/>
  <c r="F5958" i="66" s="1"/>
  <c r="F5957" i="66" s="1"/>
  <c r="F5956" i="66" s="1"/>
  <c r="F5955" i="66" s="1"/>
  <c r="F5954" i="66" s="1"/>
  <c r="F5953" i="66" s="1"/>
  <c r="F5952" i="66" s="1"/>
  <c r="F5951" i="66" s="1"/>
  <c r="F5950" i="66" s="1"/>
  <c r="F5949" i="66" s="1"/>
  <c r="F5948" i="66" s="1"/>
  <c r="F5947" i="66" s="1"/>
  <c r="F5946" i="66" s="1"/>
  <c r="F5945" i="66" s="1"/>
  <c r="F5944" i="66" s="1"/>
  <c r="F5943" i="66" s="1"/>
  <c r="F5942" i="66" s="1"/>
  <c r="F5941" i="66" s="1"/>
  <c r="F5940" i="66" s="1"/>
  <c r="F5939" i="66" s="1"/>
  <c r="F5938" i="66" s="1"/>
  <c r="F5937" i="66" s="1"/>
  <c r="F5936" i="66" s="1"/>
  <c r="F5935" i="66" s="1"/>
  <c r="F5934" i="66" s="1"/>
  <c r="F5933" i="66" s="1"/>
  <c r="F5932" i="66" s="1"/>
  <c r="F5931" i="66" s="1"/>
  <c r="I6180" i="66"/>
  <c r="H6180" i="66"/>
  <c r="G6180" i="66"/>
  <c r="E6180" i="66"/>
  <c r="I6179" i="66"/>
  <c r="H6179" i="66"/>
  <c r="G6179" i="66"/>
  <c r="E6179" i="66"/>
  <c r="I6178" i="66"/>
  <c r="H6178" i="66"/>
  <c r="G6178" i="66"/>
  <c r="E6178" i="66"/>
  <c r="I6177" i="66"/>
  <c r="H6177" i="66"/>
  <c r="G6177" i="66"/>
  <c r="E6177" i="66"/>
  <c r="I6176" i="66"/>
  <c r="H6176" i="66"/>
  <c r="G6176" i="66"/>
  <c r="E6176" i="66"/>
  <c r="I6175" i="66"/>
  <c r="H6175" i="66"/>
  <c r="G6175" i="66"/>
  <c r="E6175" i="66"/>
  <c r="I6174" i="66"/>
  <c r="H6174" i="66"/>
  <c r="G6174" i="66"/>
  <c r="E6174" i="66"/>
  <c r="I6173" i="66"/>
  <c r="H6173" i="66"/>
  <c r="G6173" i="66"/>
  <c r="E6173" i="66"/>
  <c r="I6172" i="66"/>
  <c r="H6172" i="66"/>
  <c r="G6172" i="66"/>
  <c r="E6172" i="66"/>
  <c r="I6171" i="66"/>
  <c r="H6171" i="66"/>
  <c r="G6171" i="66"/>
  <c r="E6171" i="66"/>
  <c r="I6170" i="66"/>
  <c r="H6170" i="66"/>
  <c r="G6170" i="66"/>
  <c r="E6170" i="66"/>
  <c r="I6169" i="66"/>
  <c r="H6169" i="66"/>
  <c r="G6169" i="66"/>
  <c r="E6169" i="66"/>
  <c r="I6168" i="66"/>
  <c r="H6168" i="66"/>
  <c r="G6168" i="66"/>
  <c r="E6168" i="66"/>
  <c r="I6167" i="66"/>
  <c r="H6167" i="66"/>
  <c r="G6167" i="66"/>
  <c r="E6167" i="66"/>
  <c r="I6166" i="66"/>
  <c r="H6166" i="66"/>
  <c r="G6166" i="66"/>
  <c r="E6166" i="66"/>
  <c r="I6165" i="66"/>
  <c r="H6165" i="66"/>
  <c r="G6165" i="66"/>
  <c r="E6165" i="66"/>
  <c r="I6164" i="66"/>
  <c r="H6164" i="66"/>
  <c r="G6164" i="66"/>
  <c r="E6164" i="66"/>
  <c r="I6163" i="66"/>
  <c r="H6163" i="66"/>
  <c r="G6163" i="66"/>
  <c r="E6163" i="66"/>
  <c r="I6162" i="66"/>
  <c r="H6162" i="66"/>
  <c r="G6162" i="66"/>
  <c r="E6162" i="66"/>
  <c r="I6161" i="66"/>
  <c r="H6161" i="66"/>
  <c r="G6161" i="66"/>
  <c r="E6161" i="66"/>
  <c r="I6160" i="66"/>
  <c r="H6160" i="66"/>
  <c r="G6160" i="66"/>
  <c r="E6160" i="66"/>
  <c r="I6159" i="66"/>
  <c r="H6159" i="66"/>
  <c r="G6159" i="66"/>
  <c r="E6159" i="66"/>
  <c r="I6158" i="66"/>
  <c r="H6158" i="66"/>
  <c r="G6158" i="66"/>
  <c r="E6158" i="66"/>
  <c r="I6157" i="66"/>
  <c r="H6157" i="66"/>
  <c r="G6157" i="66"/>
  <c r="E6157" i="66"/>
  <c r="I6156" i="66"/>
  <c r="H6156" i="66"/>
  <c r="G6156" i="66"/>
  <c r="E6156" i="66"/>
  <c r="I6155" i="66"/>
  <c r="H6155" i="66"/>
  <c r="G6155" i="66"/>
  <c r="E6155" i="66"/>
  <c r="I6154" i="66"/>
  <c r="H6154" i="66"/>
  <c r="G6154" i="66"/>
  <c r="E6154" i="66"/>
  <c r="I6153" i="66"/>
  <c r="H6153" i="66"/>
  <c r="G6153" i="66"/>
  <c r="E6153" i="66"/>
  <c r="I6152" i="66"/>
  <c r="H6152" i="66"/>
  <c r="G6152" i="66"/>
  <c r="E6152" i="66"/>
  <c r="I6151" i="66"/>
  <c r="H6151" i="66"/>
  <c r="G6151" i="66"/>
  <c r="E6151" i="66"/>
  <c r="I6150" i="66"/>
  <c r="H6150" i="66"/>
  <c r="G6150" i="66"/>
  <c r="E6150" i="66"/>
  <c r="I6149" i="66"/>
  <c r="H6149" i="66"/>
  <c r="G6149" i="66"/>
  <c r="E6149" i="66"/>
  <c r="I6148" i="66"/>
  <c r="H6148" i="66"/>
  <c r="G6148" i="66"/>
  <c r="E6148" i="66"/>
  <c r="I6147" i="66"/>
  <c r="H6147" i="66"/>
  <c r="G6147" i="66"/>
  <c r="E6147" i="66"/>
  <c r="I6146" i="66"/>
  <c r="H6146" i="66"/>
  <c r="G6146" i="66"/>
  <c r="E6146" i="66"/>
  <c r="I6145" i="66"/>
  <c r="H6145" i="66"/>
  <c r="G6145" i="66"/>
  <c r="E6145" i="66"/>
  <c r="I6144" i="66"/>
  <c r="H6144" i="66"/>
  <c r="G6144" i="66"/>
  <c r="E6144" i="66"/>
  <c r="I6143" i="66"/>
  <c r="H6143" i="66"/>
  <c r="G6143" i="66"/>
  <c r="E6143" i="66"/>
  <c r="I6142" i="66"/>
  <c r="H6142" i="66"/>
  <c r="G6142" i="66"/>
  <c r="E6142" i="66"/>
  <c r="I6141" i="66"/>
  <c r="H6141" i="66"/>
  <c r="D6141" i="66" s="1"/>
  <c r="G6141" i="66"/>
  <c r="E6141" i="66"/>
  <c r="I6140" i="66"/>
  <c r="H6140" i="66"/>
  <c r="G6140" i="66"/>
  <c r="E6140" i="66"/>
  <c r="I6139" i="66"/>
  <c r="H6139" i="66"/>
  <c r="G6139" i="66"/>
  <c r="E6139" i="66"/>
  <c r="I6138" i="66"/>
  <c r="H6138" i="66"/>
  <c r="G6138" i="66"/>
  <c r="E6138" i="66"/>
  <c r="I6137" i="66"/>
  <c r="H6137" i="66"/>
  <c r="G6137" i="66"/>
  <c r="E6137" i="66"/>
  <c r="I6136" i="66"/>
  <c r="H6136" i="66"/>
  <c r="G6136" i="66"/>
  <c r="E6136" i="66"/>
  <c r="I6135" i="66"/>
  <c r="H6135" i="66"/>
  <c r="G6135" i="66"/>
  <c r="E6135" i="66"/>
  <c r="I6134" i="66"/>
  <c r="H6134" i="66"/>
  <c r="G6134" i="66"/>
  <c r="E6134" i="66"/>
  <c r="I6133" i="66"/>
  <c r="H6133" i="66"/>
  <c r="G6133" i="66"/>
  <c r="E6133" i="66"/>
  <c r="I6132" i="66"/>
  <c r="H6132" i="66"/>
  <c r="G6132" i="66"/>
  <c r="E6132" i="66"/>
  <c r="I6131" i="66"/>
  <c r="H6131" i="66"/>
  <c r="G6131" i="66"/>
  <c r="E6131" i="66"/>
  <c r="I6130" i="66"/>
  <c r="H6130" i="66"/>
  <c r="G6130" i="66"/>
  <c r="E6130" i="66"/>
  <c r="I6129" i="66"/>
  <c r="H6129" i="66"/>
  <c r="G6129" i="66"/>
  <c r="E6129" i="66"/>
  <c r="I6128" i="66"/>
  <c r="H6128" i="66"/>
  <c r="G6128" i="66"/>
  <c r="E6128" i="66"/>
  <c r="I6127" i="66"/>
  <c r="H6127" i="66"/>
  <c r="G6127" i="66"/>
  <c r="E6127" i="66"/>
  <c r="I6126" i="66"/>
  <c r="H6126" i="66"/>
  <c r="G6126" i="66"/>
  <c r="E6126" i="66"/>
  <c r="I6125" i="66"/>
  <c r="H6125" i="66"/>
  <c r="G6125" i="66"/>
  <c r="E6125" i="66"/>
  <c r="I6124" i="66"/>
  <c r="H6124" i="66"/>
  <c r="G6124" i="66"/>
  <c r="E6124" i="66"/>
  <c r="I6123" i="66"/>
  <c r="H6123" i="66"/>
  <c r="G6123" i="66"/>
  <c r="E6123" i="66"/>
  <c r="I6122" i="66"/>
  <c r="H6122" i="66"/>
  <c r="G6122" i="66"/>
  <c r="E6122" i="66"/>
  <c r="I6121" i="66"/>
  <c r="H6121" i="66"/>
  <c r="G6121" i="66"/>
  <c r="E6121" i="66"/>
  <c r="I6120" i="66"/>
  <c r="H6120" i="66"/>
  <c r="G6120" i="66"/>
  <c r="E6120" i="66"/>
  <c r="I6119" i="66"/>
  <c r="H6119" i="66"/>
  <c r="G6119" i="66"/>
  <c r="E6119" i="66"/>
  <c r="I6118" i="66"/>
  <c r="H6118" i="66"/>
  <c r="G6118" i="66"/>
  <c r="E6118" i="66"/>
  <c r="I6117" i="66"/>
  <c r="H6117" i="66"/>
  <c r="G6117" i="66"/>
  <c r="E6117" i="66"/>
  <c r="I6116" i="66"/>
  <c r="H6116" i="66"/>
  <c r="G6116" i="66"/>
  <c r="E6116" i="66"/>
  <c r="I6115" i="66"/>
  <c r="H6115" i="66"/>
  <c r="G6115" i="66"/>
  <c r="E6115" i="66"/>
  <c r="I6114" i="66"/>
  <c r="H6114" i="66"/>
  <c r="G6114" i="66"/>
  <c r="E6114" i="66"/>
  <c r="I6113" i="66"/>
  <c r="H6113" i="66"/>
  <c r="G6113" i="66"/>
  <c r="E6113" i="66"/>
  <c r="I6112" i="66"/>
  <c r="H6112" i="66"/>
  <c r="G6112" i="66"/>
  <c r="E6112" i="66"/>
  <c r="I6111" i="66"/>
  <c r="H6111" i="66"/>
  <c r="G6111" i="66"/>
  <c r="E6111" i="66"/>
  <c r="I6110" i="66"/>
  <c r="H6110" i="66"/>
  <c r="G6110" i="66"/>
  <c r="E6110" i="66"/>
  <c r="I6109" i="66"/>
  <c r="H6109" i="66"/>
  <c r="G6109" i="66"/>
  <c r="E6109" i="66"/>
  <c r="I6108" i="66"/>
  <c r="H6108" i="66"/>
  <c r="G6108" i="66"/>
  <c r="E6108" i="66"/>
  <c r="I6107" i="66"/>
  <c r="H6107" i="66"/>
  <c r="G6107" i="66"/>
  <c r="E6107" i="66"/>
  <c r="I6106" i="66"/>
  <c r="H6106" i="66"/>
  <c r="G6106" i="66"/>
  <c r="E6106" i="66"/>
  <c r="I6105" i="66"/>
  <c r="H6105" i="66"/>
  <c r="G6105" i="66"/>
  <c r="E6105" i="66"/>
  <c r="I6104" i="66"/>
  <c r="H6104" i="66"/>
  <c r="G6104" i="66"/>
  <c r="E6104" i="66"/>
  <c r="I6103" i="66"/>
  <c r="H6103" i="66"/>
  <c r="G6103" i="66"/>
  <c r="E6103" i="66"/>
  <c r="I6102" i="66"/>
  <c r="H6102" i="66"/>
  <c r="G6102" i="66"/>
  <c r="E6102" i="66"/>
  <c r="I6101" i="66"/>
  <c r="H6101" i="66"/>
  <c r="G6101" i="66"/>
  <c r="E6101" i="66"/>
  <c r="I6100" i="66"/>
  <c r="H6100" i="66"/>
  <c r="G6100" i="66"/>
  <c r="E6100" i="66"/>
  <c r="I6099" i="66"/>
  <c r="H6099" i="66"/>
  <c r="G6099" i="66"/>
  <c r="E6099" i="66"/>
  <c r="I6098" i="66"/>
  <c r="H6098" i="66"/>
  <c r="G6098" i="66"/>
  <c r="E6098" i="66"/>
  <c r="I6097" i="66"/>
  <c r="H6097" i="66"/>
  <c r="G6097" i="66"/>
  <c r="E6097" i="66"/>
  <c r="I6096" i="66"/>
  <c r="H6096" i="66"/>
  <c r="G6096" i="66"/>
  <c r="E6096" i="66"/>
  <c r="I6095" i="66"/>
  <c r="H6095" i="66"/>
  <c r="G6095" i="66"/>
  <c r="E6095" i="66"/>
  <c r="I6094" i="66"/>
  <c r="H6094" i="66"/>
  <c r="G6094" i="66"/>
  <c r="E6094" i="66"/>
  <c r="I6093" i="66"/>
  <c r="H6093" i="66"/>
  <c r="G6093" i="66"/>
  <c r="E6093" i="66"/>
  <c r="I6092" i="66"/>
  <c r="H6092" i="66"/>
  <c r="G6092" i="66"/>
  <c r="E6092" i="66"/>
  <c r="I6091" i="66"/>
  <c r="H6091" i="66"/>
  <c r="G6091" i="66"/>
  <c r="E6091" i="66"/>
  <c r="I6090" i="66"/>
  <c r="H6090" i="66"/>
  <c r="G6090" i="66"/>
  <c r="E6090" i="66"/>
  <c r="I6089" i="66"/>
  <c r="H6089" i="66"/>
  <c r="G6089" i="66"/>
  <c r="E6089" i="66"/>
  <c r="I6088" i="66"/>
  <c r="H6088" i="66"/>
  <c r="G6088" i="66"/>
  <c r="E6088" i="66"/>
  <c r="I6087" i="66"/>
  <c r="H6087" i="66"/>
  <c r="G6087" i="66"/>
  <c r="E6087" i="66"/>
  <c r="I6086" i="66"/>
  <c r="H6086" i="66"/>
  <c r="G6086" i="66"/>
  <c r="E6086" i="66"/>
  <c r="I6085" i="66"/>
  <c r="H6085" i="66"/>
  <c r="G6085" i="66"/>
  <c r="E6085" i="66"/>
  <c r="I6084" i="66"/>
  <c r="H6084" i="66"/>
  <c r="G6084" i="66"/>
  <c r="E6084" i="66"/>
  <c r="I6083" i="66"/>
  <c r="H6083" i="66"/>
  <c r="G6083" i="66"/>
  <c r="E6083" i="66"/>
  <c r="I6082" i="66"/>
  <c r="H6082" i="66"/>
  <c r="G6082" i="66"/>
  <c r="E6082" i="66"/>
  <c r="I6081" i="66"/>
  <c r="H6081" i="66"/>
  <c r="G6081" i="66"/>
  <c r="E6081" i="66"/>
  <c r="I6080" i="66"/>
  <c r="H6080" i="66"/>
  <c r="G6080" i="66"/>
  <c r="E6080" i="66"/>
  <c r="I6079" i="66"/>
  <c r="H6079" i="66"/>
  <c r="G6079" i="66"/>
  <c r="E6079" i="66"/>
  <c r="I6078" i="66"/>
  <c r="H6078" i="66"/>
  <c r="G6078" i="66"/>
  <c r="E6078" i="66"/>
  <c r="I6077" i="66"/>
  <c r="H6077" i="66"/>
  <c r="G6077" i="66"/>
  <c r="E6077" i="66"/>
  <c r="I6076" i="66"/>
  <c r="H6076" i="66"/>
  <c r="G6076" i="66"/>
  <c r="E6076" i="66"/>
  <c r="I6075" i="66"/>
  <c r="H6075" i="66"/>
  <c r="G6075" i="66"/>
  <c r="E6075" i="66"/>
  <c r="I6074" i="66"/>
  <c r="H6074" i="66"/>
  <c r="G6074" i="66"/>
  <c r="E6074" i="66"/>
  <c r="I6073" i="66"/>
  <c r="H6073" i="66"/>
  <c r="G6073" i="66"/>
  <c r="E6073" i="66"/>
  <c r="I6072" i="66"/>
  <c r="H6072" i="66"/>
  <c r="G6072" i="66"/>
  <c r="E6072" i="66"/>
  <c r="I6071" i="66"/>
  <c r="H6071" i="66"/>
  <c r="G6071" i="66"/>
  <c r="E6071" i="66"/>
  <c r="I6070" i="66"/>
  <c r="H6070" i="66"/>
  <c r="G6070" i="66"/>
  <c r="E6070" i="66"/>
  <c r="I6069" i="66"/>
  <c r="H6069" i="66"/>
  <c r="G6069" i="66"/>
  <c r="E6069" i="66"/>
  <c r="I6068" i="66"/>
  <c r="H6068" i="66"/>
  <c r="G6068" i="66"/>
  <c r="E6068" i="66"/>
  <c r="I6067" i="66"/>
  <c r="H6067" i="66"/>
  <c r="G6067" i="66"/>
  <c r="E6067" i="66"/>
  <c r="I6066" i="66"/>
  <c r="H6066" i="66"/>
  <c r="G6066" i="66"/>
  <c r="E6066" i="66"/>
  <c r="I6065" i="66"/>
  <c r="H6065" i="66"/>
  <c r="G6065" i="66"/>
  <c r="E6065" i="66"/>
  <c r="I6064" i="66"/>
  <c r="H6064" i="66"/>
  <c r="G6064" i="66"/>
  <c r="E6064" i="66"/>
  <c r="I6063" i="66"/>
  <c r="H6063" i="66"/>
  <c r="G6063" i="66"/>
  <c r="E6063" i="66"/>
  <c r="I6062" i="66"/>
  <c r="H6062" i="66"/>
  <c r="G6062" i="66"/>
  <c r="E6062" i="66"/>
  <c r="I6061" i="66"/>
  <c r="H6061" i="66"/>
  <c r="G6061" i="66"/>
  <c r="E6061" i="66"/>
  <c r="I6060" i="66"/>
  <c r="H6060" i="66"/>
  <c r="G6060" i="66"/>
  <c r="E6060" i="66"/>
  <c r="I6059" i="66"/>
  <c r="H6059" i="66"/>
  <c r="G6059" i="66"/>
  <c r="E6059" i="66"/>
  <c r="I6058" i="66"/>
  <c r="H6058" i="66"/>
  <c r="G6058" i="66"/>
  <c r="E6058" i="66"/>
  <c r="I6057" i="66"/>
  <c r="H6057" i="66"/>
  <c r="G6057" i="66"/>
  <c r="E6057" i="66"/>
  <c r="I6056" i="66"/>
  <c r="H6056" i="66"/>
  <c r="G6056" i="66"/>
  <c r="E6056" i="66"/>
  <c r="I6055" i="66"/>
  <c r="H6055" i="66"/>
  <c r="G6055" i="66"/>
  <c r="E6055" i="66"/>
  <c r="I6054" i="66"/>
  <c r="H6054" i="66"/>
  <c r="G6054" i="66"/>
  <c r="E6054" i="66"/>
  <c r="I6053" i="66"/>
  <c r="H6053" i="66"/>
  <c r="G6053" i="66"/>
  <c r="E6053" i="66"/>
  <c r="I6052" i="66"/>
  <c r="H6052" i="66"/>
  <c r="G6052" i="66"/>
  <c r="E6052" i="66"/>
  <c r="I6051" i="66"/>
  <c r="H6051" i="66"/>
  <c r="G6051" i="66"/>
  <c r="E6051" i="66"/>
  <c r="I6050" i="66"/>
  <c r="H6050" i="66"/>
  <c r="G6050" i="66"/>
  <c r="E6050" i="66"/>
  <c r="I6049" i="66"/>
  <c r="H6049" i="66"/>
  <c r="G6049" i="66"/>
  <c r="E6049" i="66"/>
  <c r="I6048" i="66"/>
  <c r="H6048" i="66"/>
  <c r="G6048" i="66"/>
  <c r="E6048" i="66"/>
  <c r="I6047" i="66"/>
  <c r="H6047" i="66"/>
  <c r="G6047" i="66"/>
  <c r="E6047" i="66"/>
  <c r="I6046" i="66"/>
  <c r="H6046" i="66"/>
  <c r="G6046" i="66"/>
  <c r="E6046" i="66"/>
  <c r="I6045" i="66"/>
  <c r="H6045" i="66"/>
  <c r="G6045" i="66"/>
  <c r="E6045" i="66"/>
  <c r="I6044" i="66"/>
  <c r="H6044" i="66"/>
  <c r="G6044" i="66"/>
  <c r="E6044" i="66"/>
  <c r="I6043" i="66"/>
  <c r="H6043" i="66"/>
  <c r="G6043" i="66"/>
  <c r="E6043" i="66"/>
  <c r="I6042" i="66"/>
  <c r="H6042" i="66"/>
  <c r="G6042" i="66"/>
  <c r="E6042" i="66"/>
  <c r="I6041" i="66"/>
  <c r="H6041" i="66"/>
  <c r="G6041" i="66"/>
  <c r="E6041" i="66"/>
  <c r="I6040" i="66"/>
  <c r="H6040" i="66"/>
  <c r="G6040" i="66"/>
  <c r="E6040" i="66"/>
  <c r="I6039" i="66"/>
  <c r="H6039" i="66"/>
  <c r="G6039" i="66"/>
  <c r="E6039" i="66"/>
  <c r="I6038" i="66"/>
  <c r="H6038" i="66"/>
  <c r="G6038" i="66"/>
  <c r="E6038" i="66"/>
  <c r="I6037" i="66"/>
  <c r="H6037" i="66"/>
  <c r="G6037" i="66"/>
  <c r="E6037" i="66"/>
  <c r="I6036" i="66"/>
  <c r="H6036" i="66"/>
  <c r="G6036" i="66"/>
  <c r="E6036" i="66"/>
  <c r="I6035" i="66"/>
  <c r="H6035" i="66"/>
  <c r="G6035" i="66"/>
  <c r="E6035" i="66"/>
  <c r="I6034" i="66"/>
  <c r="H6034" i="66"/>
  <c r="G6034" i="66"/>
  <c r="E6034" i="66"/>
  <c r="I6033" i="66"/>
  <c r="H6033" i="66"/>
  <c r="G6033" i="66"/>
  <c r="E6033" i="66"/>
  <c r="I6032" i="66"/>
  <c r="H6032" i="66"/>
  <c r="G6032" i="66"/>
  <c r="E6032" i="66"/>
  <c r="I6031" i="66"/>
  <c r="H6031" i="66"/>
  <c r="G6031" i="66"/>
  <c r="E6031" i="66"/>
  <c r="I6030" i="66"/>
  <c r="H6030" i="66"/>
  <c r="G6030" i="66"/>
  <c r="E6030" i="66"/>
  <c r="I6029" i="66"/>
  <c r="H6029" i="66"/>
  <c r="G6029" i="66"/>
  <c r="E6029" i="66"/>
  <c r="I6028" i="66"/>
  <c r="H6028" i="66"/>
  <c r="G6028" i="66"/>
  <c r="E6028" i="66"/>
  <c r="I6027" i="66"/>
  <c r="H6027" i="66"/>
  <c r="G6027" i="66"/>
  <c r="E6027" i="66"/>
  <c r="I6026" i="66"/>
  <c r="H6026" i="66"/>
  <c r="G6026" i="66"/>
  <c r="E6026" i="66"/>
  <c r="I6025" i="66"/>
  <c r="H6025" i="66"/>
  <c r="G6025" i="66"/>
  <c r="E6025" i="66"/>
  <c r="I6024" i="66"/>
  <c r="H6024" i="66"/>
  <c r="G6024" i="66"/>
  <c r="E6024" i="66"/>
  <c r="I6023" i="66"/>
  <c r="H6023" i="66"/>
  <c r="G6023" i="66"/>
  <c r="E6023" i="66"/>
  <c r="I6022" i="66"/>
  <c r="H6022" i="66"/>
  <c r="G6022" i="66"/>
  <c r="E6022" i="66"/>
  <c r="I6021" i="66"/>
  <c r="H6021" i="66"/>
  <c r="G6021" i="66"/>
  <c r="E6021" i="66"/>
  <c r="I6020" i="66"/>
  <c r="H6020" i="66"/>
  <c r="G6020" i="66"/>
  <c r="E6020" i="66"/>
  <c r="I6019" i="66"/>
  <c r="H6019" i="66"/>
  <c r="G6019" i="66"/>
  <c r="E6019" i="66"/>
  <c r="I6018" i="66"/>
  <c r="H6018" i="66"/>
  <c r="G6018" i="66"/>
  <c r="E6018" i="66"/>
  <c r="I6017" i="66"/>
  <c r="H6017" i="66"/>
  <c r="G6017" i="66"/>
  <c r="E6017" i="66"/>
  <c r="I6016" i="66"/>
  <c r="H6016" i="66"/>
  <c r="G6016" i="66"/>
  <c r="E6016" i="66"/>
  <c r="I6015" i="66"/>
  <c r="H6015" i="66"/>
  <c r="G6015" i="66"/>
  <c r="E6015" i="66"/>
  <c r="I6014" i="66"/>
  <c r="H6014" i="66"/>
  <c r="G6014" i="66"/>
  <c r="E6014" i="66"/>
  <c r="I6013" i="66"/>
  <c r="H6013" i="66"/>
  <c r="G6013" i="66"/>
  <c r="E6013" i="66"/>
  <c r="I6012" i="66"/>
  <c r="H6012" i="66"/>
  <c r="G6012" i="66"/>
  <c r="E6012" i="66"/>
  <c r="I6011" i="66"/>
  <c r="H6011" i="66"/>
  <c r="G6011" i="66"/>
  <c r="E6011" i="66"/>
  <c r="I6010" i="66"/>
  <c r="H6010" i="66"/>
  <c r="G6010" i="66"/>
  <c r="E6010" i="66"/>
  <c r="I6009" i="66"/>
  <c r="H6009" i="66"/>
  <c r="G6009" i="66"/>
  <c r="E6009" i="66"/>
  <c r="I6008" i="66"/>
  <c r="H6008" i="66"/>
  <c r="G6008" i="66"/>
  <c r="E6008" i="66"/>
  <c r="I6007" i="66"/>
  <c r="H6007" i="66"/>
  <c r="G6007" i="66"/>
  <c r="E6007" i="66"/>
  <c r="I6006" i="66"/>
  <c r="H6006" i="66"/>
  <c r="G6006" i="66"/>
  <c r="E6006" i="66"/>
  <c r="I6005" i="66"/>
  <c r="H6005" i="66"/>
  <c r="G6005" i="66"/>
  <c r="E6005" i="66"/>
  <c r="I6004" i="66"/>
  <c r="H6004" i="66"/>
  <c r="G6004" i="66"/>
  <c r="E6004" i="66"/>
  <c r="I6003" i="66"/>
  <c r="H6003" i="66"/>
  <c r="G6003" i="66"/>
  <c r="E6003" i="66"/>
  <c r="I6002" i="66"/>
  <c r="H6002" i="66"/>
  <c r="G6002" i="66"/>
  <c r="E6002" i="66"/>
  <c r="I6001" i="66"/>
  <c r="H6001" i="66"/>
  <c r="G6001" i="66"/>
  <c r="E6001" i="66"/>
  <c r="I6000" i="66"/>
  <c r="H6000" i="66"/>
  <c r="G6000" i="66"/>
  <c r="E6000" i="66"/>
  <c r="I5999" i="66"/>
  <c r="H5999" i="66"/>
  <c r="G5999" i="66"/>
  <c r="E5999" i="66"/>
  <c r="I5998" i="66"/>
  <c r="H5998" i="66"/>
  <c r="G5998" i="66"/>
  <c r="E5998" i="66"/>
  <c r="I5997" i="66"/>
  <c r="H5997" i="66"/>
  <c r="G5997" i="66"/>
  <c r="E5997" i="66"/>
  <c r="I5996" i="66"/>
  <c r="H5996" i="66"/>
  <c r="G5996" i="66"/>
  <c r="E5996" i="66"/>
  <c r="I5995" i="66"/>
  <c r="H5995" i="66"/>
  <c r="G5995" i="66"/>
  <c r="E5995" i="66"/>
  <c r="I5994" i="66"/>
  <c r="H5994" i="66"/>
  <c r="G5994" i="66"/>
  <c r="E5994" i="66"/>
  <c r="I5993" i="66"/>
  <c r="H5993" i="66"/>
  <c r="G5993" i="66"/>
  <c r="E5993" i="66"/>
  <c r="I5992" i="66"/>
  <c r="H5992" i="66"/>
  <c r="G5992" i="66"/>
  <c r="E5992" i="66"/>
  <c r="I5991" i="66"/>
  <c r="H5991" i="66"/>
  <c r="G5991" i="66"/>
  <c r="E5991" i="66"/>
  <c r="I5990" i="66"/>
  <c r="H5990" i="66"/>
  <c r="G5990" i="66"/>
  <c r="E5990" i="66"/>
  <c r="I5989" i="66"/>
  <c r="H5989" i="66"/>
  <c r="G5989" i="66"/>
  <c r="E5989" i="66"/>
  <c r="I5988" i="66"/>
  <c r="H5988" i="66"/>
  <c r="G5988" i="66"/>
  <c r="E5988" i="66"/>
  <c r="I5987" i="66"/>
  <c r="H5987" i="66"/>
  <c r="G5987" i="66"/>
  <c r="E5987" i="66"/>
  <c r="I5986" i="66"/>
  <c r="H5986" i="66"/>
  <c r="G5986" i="66"/>
  <c r="E5986" i="66"/>
  <c r="I5985" i="66"/>
  <c r="H5985" i="66"/>
  <c r="G5985" i="66"/>
  <c r="E5985" i="66"/>
  <c r="I5984" i="66"/>
  <c r="H5984" i="66"/>
  <c r="G5984" i="66"/>
  <c r="E5984" i="66"/>
  <c r="I5983" i="66"/>
  <c r="H5983" i="66"/>
  <c r="G5983" i="66"/>
  <c r="E5983" i="66"/>
  <c r="I5982" i="66"/>
  <c r="H5982" i="66"/>
  <c r="G5982" i="66"/>
  <c r="E5982" i="66"/>
  <c r="I5981" i="66"/>
  <c r="H5981" i="66"/>
  <c r="G5981" i="66"/>
  <c r="E5981" i="66"/>
  <c r="I5980" i="66"/>
  <c r="H5980" i="66"/>
  <c r="G5980" i="66"/>
  <c r="E5980" i="66"/>
  <c r="I5979" i="66"/>
  <c r="H5979" i="66"/>
  <c r="G5979" i="66"/>
  <c r="E5979" i="66"/>
  <c r="I5978" i="66"/>
  <c r="H5978" i="66"/>
  <c r="G5978" i="66"/>
  <c r="E5978" i="66"/>
  <c r="I5977" i="66"/>
  <c r="H5977" i="66"/>
  <c r="G5977" i="66"/>
  <c r="E5977" i="66"/>
  <c r="I5976" i="66"/>
  <c r="H5976" i="66"/>
  <c r="G5976" i="66"/>
  <c r="E5976" i="66"/>
  <c r="I5975" i="66"/>
  <c r="H5975" i="66"/>
  <c r="G5975" i="66"/>
  <c r="E5975" i="66"/>
  <c r="I5974" i="66"/>
  <c r="H5974" i="66"/>
  <c r="G5974" i="66"/>
  <c r="E5974" i="66"/>
  <c r="I5973" i="66"/>
  <c r="H5973" i="66"/>
  <c r="G5973" i="66"/>
  <c r="E5973" i="66"/>
  <c r="I5972" i="66"/>
  <c r="H5972" i="66"/>
  <c r="G5972" i="66"/>
  <c r="E5972" i="66"/>
  <c r="I5971" i="66"/>
  <c r="H5971" i="66"/>
  <c r="G5971" i="66"/>
  <c r="E5971" i="66"/>
  <c r="I5970" i="66"/>
  <c r="H5970" i="66"/>
  <c r="G5970" i="66"/>
  <c r="E5970" i="66"/>
  <c r="I5969" i="66"/>
  <c r="H5969" i="66"/>
  <c r="G5969" i="66"/>
  <c r="E5969" i="66"/>
  <c r="I5968" i="66"/>
  <c r="H5968" i="66"/>
  <c r="G5968" i="66"/>
  <c r="E5968" i="66"/>
  <c r="I5967" i="66"/>
  <c r="H5967" i="66"/>
  <c r="G5967" i="66"/>
  <c r="E5967" i="66"/>
  <c r="I5966" i="66"/>
  <c r="H5966" i="66"/>
  <c r="G5966" i="66"/>
  <c r="E5966" i="66"/>
  <c r="I5965" i="66"/>
  <c r="H5965" i="66"/>
  <c r="G5965" i="66"/>
  <c r="E5965" i="66"/>
  <c r="I5964" i="66"/>
  <c r="H5964" i="66"/>
  <c r="G5964" i="66"/>
  <c r="E5964" i="66"/>
  <c r="I5963" i="66"/>
  <c r="H5963" i="66"/>
  <c r="G5963" i="66"/>
  <c r="E5963" i="66"/>
  <c r="I5962" i="66"/>
  <c r="H5962" i="66"/>
  <c r="G5962" i="66"/>
  <c r="E5962" i="66"/>
  <c r="I5961" i="66"/>
  <c r="H5961" i="66"/>
  <c r="G5961" i="66"/>
  <c r="E5961" i="66"/>
  <c r="I5960" i="66"/>
  <c r="H5960" i="66"/>
  <c r="G5960" i="66"/>
  <c r="E5960" i="66"/>
  <c r="I5959" i="66"/>
  <c r="H5959" i="66"/>
  <c r="G5959" i="66"/>
  <c r="E5959" i="66"/>
  <c r="I5958" i="66"/>
  <c r="H5958" i="66"/>
  <c r="G5958" i="66"/>
  <c r="E5958" i="66"/>
  <c r="I5957" i="66"/>
  <c r="H5957" i="66"/>
  <c r="G5957" i="66"/>
  <c r="E5957" i="66"/>
  <c r="I5956" i="66"/>
  <c r="H5956" i="66"/>
  <c r="G5956" i="66"/>
  <c r="E5956" i="66"/>
  <c r="I5955" i="66"/>
  <c r="H5955" i="66"/>
  <c r="G5955" i="66"/>
  <c r="E5955" i="66"/>
  <c r="I5954" i="66"/>
  <c r="H5954" i="66"/>
  <c r="G5954" i="66"/>
  <c r="E5954" i="66"/>
  <c r="I5953" i="66"/>
  <c r="H5953" i="66"/>
  <c r="G5953" i="66"/>
  <c r="E5953" i="66"/>
  <c r="I5952" i="66"/>
  <c r="H5952" i="66"/>
  <c r="G5952" i="66"/>
  <c r="E5952" i="66"/>
  <c r="I5951" i="66"/>
  <c r="H5951" i="66"/>
  <c r="G5951" i="66"/>
  <c r="E5951" i="66"/>
  <c r="I5950" i="66"/>
  <c r="H5950" i="66"/>
  <c r="G5950" i="66"/>
  <c r="E5950" i="66"/>
  <c r="I5949" i="66"/>
  <c r="H5949" i="66"/>
  <c r="G5949" i="66"/>
  <c r="E5949" i="66"/>
  <c r="I5948" i="66"/>
  <c r="H5948" i="66"/>
  <c r="G5948" i="66"/>
  <c r="E5948" i="66"/>
  <c r="I5947" i="66"/>
  <c r="H5947" i="66"/>
  <c r="G5947" i="66"/>
  <c r="E5947" i="66"/>
  <c r="I5946" i="66"/>
  <c r="H5946" i="66"/>
  <c r="G5946" i="66"/>
  <c r="E5946" i="66"/>
  <c r="I5945" i="66"/>
  <c r="H5945" i="66"/>
  <c r="G5945" i="66"/>
  <c r="E5945" i="66"/>
  <c r="I5944" i="66"/>
  <c r="H5944" i="66"/>
  <c r="G5944" i="66"/>
  <c r="E5944" i="66"/>
  <c r="I5943" i="66"/>
  <c r="H5943" i="66"/>
  <c r="G5943" i="66"/>
  <c r="E5943" i="66"/>
  <c r="I5942" i="66"/>
  <c r="H5942" i="66"/>
  <c r="G5942" i="66"/>
  <c r="E5942" i="66"/>
  <c r="I5941" i="66"/>
  <c r="H5941" i="66"/>
  <c r="G5941" i="66"/>
  <c r="E5941" i="66"/>
  <c r="I5940" i="66"/>
  <c r="H5940" i="66"/>
  <c r="G5940" i="66"/>
  <c r="E5940" i="66"/>
  <c r="I5939" i="66"/>
  <c r="H5939" i="66"/>
  <c r="G5939" i="66"/>
  <c r="E5939" i="66"/>
  <c r="I5938" i="66"/>
  <c r="H5938" i="66"/>
  <c r="G5938" i="66"/>
  <c r="E5938" i="66"/>
  <c r="I5937" i="66"/>
  <c r="H5937" i="66"/>
  <c r="G5937" i="66"/>
  <c r="E5937" i="66"/>
  <c r="I5936" i="66"/>
  <c r="H5936" i="66"/>
  <c r="G5936" i="66"/>
  <c r="E5936" i="66"/>
  <c r="I5935" i="66"/>
  <c r="H5935" i="66"/>
  <c r="G5935" i="66"/>
  <c r="E5935" i="66"/>
  <c r="I5934" i="66"/>
  <c r="H5934" i="66"/>
  <c r="G5934" i="66"/>
  <c r="E5934" i="66"/>
  <c r="I5933" i="66"/>
  <c r="H5933" i="66"/>
  <c r="G5933" i="66"/>
  <c r="E5933" i="66"/>
  <c r="I5932" i="66"/>
  <c r="H5932" i="66"/>
  <c r="G5932" i="66"/>
  <c r="E5932" i="66"/>
  <c r="I5931" i="66"/>
  <c r="H5931" i="66"/>
  <c r="G5931" i="66"/>
  <c r="E5931" i="66"/>
  <c r="I5930" i="66"/>
  <c r="H5930" i="66"/>
  <c r="G5930" i="66"/>
  <c r="E5930" i="66"/>
  <c r="I5929" i="66"/>
  <c r="H5929" i="66"/>
  <c r="G5929" i="66"/>
  <c r="E5929" i="66"/>
  <c r="I5928" i="66"/>
  <c r="H5928" i="66"/>
  <c r="G5928" i="66"/>
  <c r="E5928" i="66"/>
  <c r="I5927" i="66"/>
  <c r="H5927" i="66"/>
  <c r="G5927" i="66"/>
  <c r="E5927" i="66"/>
  <c r="I5926" i="66"/>
  <c r="H5926" i="66"/>
  <c r="G5926" i="66"/>
  <c r="E5926" i="66"/>
  <c r="I5925" i="66"/>
  <c r="H5925" i="66"/>
  <c r="G5925" i="66"/>
  <c r="E5925" i="66"/>
  <c r="I5924" i="66"/>
  <c r="H5924" i="66"/>
  <c r="G5924" i="66"/>
  <c r="E5924" i="66"/>
  <c r="I5923" i="66"/>
  <c r="H5923" i="66"/>
  <c r="G5923" i="66"/>
  <c r="E5923" i="66"/>
  <c r="I5922" i="66"/>
  <c r="H5922" i="66"/>
  <c r="G5922" i="66"/>
  <c r="E5922" i="66"/>
  <c r="I5921" i="66"/>
  <c r="H5921" i="66"/>
  <c r="G5921" i="66"/>
  <c r="E5921" i="66"/>
  <c r="I5920" i="66"/>
  <c r="H5920" i="66"/>
  <c r="G5920" i="66"/>
  <c r="E5920" i="66"/>
  <c r="I5919" i="66"/>
  <c r="H5919" i="66"/>
  <c r="G5919" i="66"/>
  <c r="E5919" i="66"/>
  <c r="I5918" i="66"/>
  <c r="H5918" i="66"/>
  <c r="G5918" i="66"/>
  <c r="E5918" i="66"/>
  <c r="I5917" i="66"/>
  <c r="H5917" i="66"/>
  <c r="G5917" i="66"/>
  <c r="E5917" i="66"/>
  <c r="I5916" i="66"/>
  <c r="H5916" i="66"/>
  <c r="G5916" i="66"/>
  <c r="E5916" i="66"/>
  <c r="I5915" i="66"/>
  <c r="H5915" i="66"/>
  <c r="G5915" i="66"/>
  <c r="E5915" i="66"/>
  <c r="I5914" i="66"/>
  <c r="H5914" i="66"/>
  <c r="G5914" i="66"/>
  <c r="E5914" i="66"/>
  <c r="I5913" i="66"/>
  <c r="H5913" i="66"/>
  <c r="G5913" i="66"/>
  <c r="E5913" i="66"/>
  <c r="I5912" i="66"/>
  <c r="H5912" i="66"/>
  <c r="G5912" i="66"/>
  <c r="E5912" i="66"/>
  <c r="I5911" i="66"/>
  <c r="H5911" i="66"/>
  <c r="G5911" i="66"/>
  <c r="E5911" i="66"/>
  <c r="I5910" i="66"/>
  <c r="H5910" i="66"/>
  <c r="G5910" i="66"/>
  <c r="E5910" i="66"/>
  <c r="I5909" i="66"/>
  <c r="H5909" i="66"/>
  <c r="G5909" i="66"/>
  <c r="E5909" i="66"/>
  <c r="I5908" i="66"/>
  <c r="H5908" i="66"/>
  <c r="G5908" i="66"/>
  <c r="E5908" i="66"/>
  <c r="I5907" i="66"/>
  <c r="H5907" i="66"/>
  <c r="G5907" i="66"/>
  <c r="E5907" i="66"/>
  <c r="I5906" i="66"/>
  <c r="H5906" i="66"/>
  <c r="G5906" i="66"/>
  <c r="E5906" i="66"/>
  <c r="I5905" i="66"/>
  <c r="H5905" i="66"/>
  <c r="G5905" i="66"/>
  <c r="E5905" i="66"/>
  <c r="I5904" i="66"/>
  <c r="H5904" i="66"/>
  <c r="G5904" i="66"/>
  <c r="E5904" i="66"/>
  <c r="I5903" i="66"/>
  <c r="H5903" i="66"/>
  <c r="G5903" i="66"/>
  <c r="E5903" i="66"/>
  <c r="I5902" i="66"/>
  <c r="H5902" i="66"/>
  <c r="G5902" i="66"/>
  <c r="E5902" i="66"/>
  <c r="I5901" i="66"/>
  <c r="H5901" i="66"/>
  <c r="G5901" i="66"/>
  <c r="E5901" i="66"/>
  <c r="I5900" i="66"/>
  <c r="H5900" i="66"/>
  <c r="G5900" i="66"/>
  <c r="E5900" i="66"/>
  <c r="I5899" i="66"/>
  <c r="H5899" i="66"/>
  <c r="G5899" i="66"/>
  <c r="E5899" i="66"/>
  <c r="I5898" i="66"/>
  <c r="H5898" i="66"/>
  <c r="G5898" i="66"/>
  <c r="E5898" i="66"/>
  <c r="I5897" i="66"/>
  <c r="H5897" i="66"/>
  <c r="G5897" i="66"/>
  <c r="E5897" i="66"/>
  <c r="I5896" i="66"/>
  <c r="H5896" i="66"/>
  <c r="G5896" i="66"/>
  <c r="E5896" i="66"/>
  <c r="I5895" i="66"/>
  <c r="H5895" i="66"/>
  <c r="G5895" i="66"/>
  <c r="E5895" i="66"/>
  <c r="I5894" i="66"/>
  <c r="H5894" i="66"/>
  <c r="G5894" i="66"/>
  <c r="E5894" i="66"/>
  <c r="I5893" i="66"/>
  <c r="H5893" i="66"/>
  <c r="G5893" i="66"/>
  <c r="E5893" i="66"/>
  <c r="I5892" i="66"/>
  <c r="H5892" i="66"/>
  <c r="G5892" i="66"/>
  <c r="E5892" i="66"/>
  <c r="I5891" i="66"/>
  <c r="H5891" i="66"/>
  <c r="G5891" i="66"/>
  <c r="E5891" i="66"/>
  <c r="I5890" i="66"/>
  <c r="H5890" i="66"/>
  <c r="G5890" i="66"/>
  <c r="E5890" i="66"/>
  <c r="I5889" i="66"/>
  <c r="H5889" i="66"/>
  <c r="G5889" i="66"/>
  <c r="E5889" i="66"/>
  <c r="I5888" i="66"/>
  <c r="H5888" i="66"/>
  <c r="G5888" i="66"/>
  <c r="E5888" i="66"/>
  <c r="I5887" i="66"/>
  <c r="H5887" i="66"/>
  <c r="G5887" i="66"/>
  <c r="E5887" i="66"/>
  <c r="I5886" i="66"/>
  <c r="H5886" i="66"/>
  <c r="G5886" i="66"/>
  <c r="E5886" i="66"/>
  <c r="I5885" i="66"/>
  <c r="H5885" i="66"/>
  <c r="G5885" i="66"/>
  <c r="E5885" i="66"/>
  <c r="I5884" i="66"/>
  <c r="H5884" i="66"/>
  <c r="G5884" i="66"/>
  <c r="E5884" i="66"/>
  <c r="I5883" i="66"/>
  <c r="H5883" i="66"/>
  <c r="G5883" i="66"/>
  <c r="E5883" i="66"/>
  <c r="I5882" i="66"/>
  <c r="H5882" i="66"/>
  <c r="G5882" i="66"/>
  <c r="E5882" i="66"/>
  <c r="I5881" i="66"/>
  <c r="H5881" i="66"/>
  <c r="G5881" i="66"/>
  <c r="E5881" i="66"/>
  <c r="I5880" i="66"/>
  <c r="H5880" i="66"/>
  <c r="G5880" i="66"/>
  <c r="E5880" i="66"/>
  <c r="I5879" i="66"/>
  <c r="H5879" i="66"/>
  <c r="G5879" i="66"/>
  <c r="E5879" i="66"/>
  <c r="I5878" i="66"/>
  <c r="H5878" i="66"/>
  <c r="G5878" i="66"/>
  <c r="E5878" i="66"/>
  <c r="I5877" i="66"/>
  <c r="H5877" i="66"/>
  <c r="G5877" i="66"/>
  <c r="E5877" i="66"/>
  <c r="I5876" i="66"/>
  <c r="H5876" i="66"/>
  <c r="G5876" i="66"/>
  <c r="E5876" i="66"/>
  <c r="I5875" i="66"/>
  <c r="H5875" i="66"/>
  <c r="G5875" i="66"/>
  <c r="E5875" i="66"/>
  <c r="I5874" i="66"/>
  <c r="H5874" i="66"/>
  <c r="G5874" i="66"/>
  <c r="E5874" i="66"/>
  <c r="I5873" i="66"/>
  <c r="H5873" i="66"/>
  <c r="G5873" i="66"/>
  <c r="E5873" i="66"/>
  <c r="I5872" i="66"/>
  <c r="H5872" i="66"/>
  <c r="G5872" i="66"/>
  <c r="E5872" i="66"/>
  <c r="I5871" i="66"/>
  <c r="H5871" i="66"/>
  <c r="G5871" i="66"/>
  <c r="E5871" i="66"/>
  <c r="I5870" i="66"/>
  <c r="H5870" i="66"/>
  <c r="G5870" i="66"/>
  <c r="E5870" i="66"/>
  <c r="I5869" i="66"/>
  <c r="H5869" i="66"/>
  <c r="G5869" i="66"/>
  <c r="E5869" i="66"/>
  <c r="I5868" i="66"/>
  <c r="H5868" i="66"/>
  <c r="G5868" i="66"/>
  <c r="E5868" i="66"/>
  <c r="I5867" i="66"/>
  <c r="H5867" i="66"/>
  <c r="G5867" i="66"/>
  <c r="E5867" i="66"/>
  <c r="I5866" i="66"/>
  <c r="H5866" i="66"/>
  <c r="G5866" i="66"/>
  <c r="E5866" i="66"/>
  <c r="I5865" i="66"/>
  <c r="H5865" i="66"/>
  <c r="G5865" i="66"/>
  <c r="E5865" i="66"/>
  <c r="I5864" i="66"/>
  <c r="H5864" i="66"/>
  <c r="G5864" i="66"/>
  <c r="E5864" i="66"/>
  <c r="I5863" i="66"/>
  <c r="H5863" i="66"/>
  <c r="G5863" i="66"/>
  <c r="E5863" i="66"/>
  <c r="I5862" i="66"/>
  <c r="H5862" i="66"/>
  <c r="G5862" i="66"/>
  <c r="E5862" i="66"/>
  <c r="I5861" i="66"/>
  <c r="H5861" i="66"/>
  <c r="G5861" i="66"/>
  <c r="E5861" i="66"/>
  <c r="I5860" i="66"/>
  <c r="H5860" i="66"/>
  <c r="G5860" i="66"/>
  <c r="E5860" i="66"/>
  <c r="I5859" i="66"/>
  <c r="H5859" i="66"/>
  <c r="G5859" i="66"/>
  <c r="E5859" i="66"/>
  <c r="I5858" i="66"/>
  <c r="H5858" i="66"/>
  <c r="G5858" i="66"/>
  <c r="E5858" i="66"/>
  <c r="I5857" i="66"/>
  <c r="H5857" i="66"/>
  <c r="G5857" i="66"/>
  <c r="E5857" i="66"/>
  <c r="I5856" i="66"/>
  <c r="H5856" i="66"/>
  <c r="G5856" i="66"/>
  <c r="E5856" i="66"/>
  <c r="I5855" i="66"/>
  <c r="H5855" i="66"/>
  <c r="G5855" i="66"/>
  <c r="E5855" i="66"/>
  <c r="I5854" i="66"/>
  <c r="H5854" i="66"/>
  <c r="G5854" i="66"/>
  <c r="E5854" i="66"/>
  <c r="I5853" i="66"/>
  <c r="H5853" i="66"/>
  <c r="G5853" i="66"/>
  <c r="E5853" i="66"/>
  <c r="I5852" i="66"/>
  <c r="H5852" i="66"/>
  <c r="G5852" i="66"/>
  <c r="E5852" i="66"/>
  <c r="I5851" i="66"/>
  <c r="H5851" i="66"/>
  <c r="G5851" i="66"/>
  <c r="E5851" i="66"/>
  <c r="I5850" i="66"/>
  <c r="H5850" i="66"/>
  <c r="G5850" i="66"/>
  <c r="E5850" i="66"/>
  <c r="I5849" i="66"/>
  <c r="H5849" i="66"/>
  <c r="G5849" i="66"/>
  <c r="E5849" i="66"/>
  <c r="I5848" i="66"/>
  <c r="H5848" i="66"/>
  <c r="G5848" i="66"/>
  <c r="E5848" i="66"/>
  <c r="I5847" i="66"/>
  <c r="H5847" i="66"/>
  <c r="G5847" i="66"/>
  <c r="E5847" i="66"/>
  <c r="I5846" i="66"/>
  <c r="H5846" i="66"/>
  <c r="G5846" i="66"/>
  <c r="E5846" i="66"/>
  <c r="I5845" i="66"/>
  <c r="H5845" i="66"/>
  <c r="G5845" i="66"/>
  <c r="E5845" i="66"/>
  <c r="I5844" i="66"/>
  <c r="H5844" i="66"/>
  <c r="G5844" i="66"/>
  <c r="E5844" i="66"/>
  <c r="I5843" i="66"/>
  <c r="H5843" i="66"/>
  <c r="G5843" i="66"/>
  <c r="E5843" i="66"/>
  <c r="I5842" i="66"/>
  <c r="H5842" i="66"/>
  <c r="G5842" i="66"/>
  <c r="E5842" i="66"/>
  <c r="I5841" i="66"/>
  <c r="H5841" i="66"/>
  <c r="G5841" i="66"/>
  <c r="E5841" i="66"/>
  <c r="I5840" i="66"/>
  <c r="H5840" i="66"/>
  <c r="G5840" i="66"/>
  <c r="E5840" i="66"/>
  <c r="I5839" i="66"/>
  <c r="H5839" i="66"/>
  <c r="G5839" i="66"/>
  <c r="E5839" i="66"/>
  <c r="I5838" i="66"/>
  <c r="H5838" i="66"/>
  <c r="G5838" i="66"/>
  <c r="E5838" i="66"/>
  <c r="I5837" i="66"/>
  <c r="H5837" i="66"/>
  <c r="G5837" i="66"/>
  <c r="E5837" i="66"/>
  <c r="I5836" i="66"/>
  <c r="H5836" i="66"/>
  <c r="G5836" i="66"/>
  <c r="E5836" i="66"/>
  <c r="I5835" i="66"/>
  <c r="H5835" i="66"/>
  <c r="G5835" i="66"/>
  <c r="E5835" i="66"/>
  <c r="I5834" i="66"/>
  <c r="H5834" i="66"/>
  <c r="G5834" i="66"/>
  <c r="E5834" i="66"/>
  <c r="I5833" i="66"/>
  <c r="H5833" i="66"/>
  <c r="G5833" i="66"/>
  <c r="E5833" i="66"/>
  <c r="I5832" i="66"/>
  <c r="H5832" i="66"/>
  <c r="G5832" i="66"/>
  <c r="E5832" i="66"/>
  <c r="I5831" i="66"/>
  <c r="H5831" i="66"/>
  <c r="G5831" i="66"/>
  <c r="E5831" i="66"/>
  <c r="I5830" i="66"/>
  <c r="H5830" i="66"/>
  <c r="G5830" i="66"/>
  <c r="E5830" i="66"/>
  <c r="I5829" i="66"/>
  <c r="H5829" i="66"/>
  <c r="G5829" i="66"/>
  <c r="E5829" i="66"/>
  <c r="I5828" i="66"/>
  <c r="H5828" i="66"/>
  <c r="G5828" i="66"/>
  <c r="E5828" i="66"/>
  <c r="I5827" i="66"/>
  <c r="H5827" i="66"/>
  <c r="G5827" i="66"/>
  <c r="E5827" i="66"/>
  <c r="I5826" i="66"/>
  <c r="H5826" i="66"/>
  <c r="G5826" i="66"/>
  <c r="E5826" i="66"/>
  <c r="I5825" i="66"/>
  <c r="H5825" i="66"/>
  <c r="G5825" i="66"/>
  <c r="E5825" i="66"/>
  <c r="I5824" i="66"/>
  <c r="H5824" i="66"/>
  <c r="G5824" i="66"/>
  <c r="E5824" i="66"/>
  <c r="I5823" i="66"/>
  <c r="H5823" i="66"/>
  <c r="G5823" i="66"/>
  <c r="E5823" i="66"/>
  <c r="I5822" i="66"/>
  <c r="H5822" i="66"/>
  <c r="G5822" i="66"/>
  <c r="E5822" i="66"/>
  <c r="I5821" i="66"/>
  <c r="H5821" i="66"/>
  <c r="G5821" i="66"/>
  <c r="E5821" i="66"/>
  <c r="I5820" i="66"/>
  <c r="H5820" i="66"/>
  <c r="G5820" i="66"/>
  <c r="E5820" i="66"/>
  <c r="I5819" i="66"/>
  <c r="H5819" i="66"/>
  <c r="G5819" i="66"/>
  <c r="E5819" i="66"/>
  <c r="I5818" i="66"/>
  <c r="H5818" i="66"/>
  <c r="G5818" i="66"/>
  <c r="E5818" i="66"/>
  <c r="I5817" i="66"/>
  <c r="H5817" i="66"/>
  <c r="G5817" i="66"/>
  <c r="E5817" i="66"/>
  <c r="I5816" i="66"/>
  <c r="H5816" i="66"/>
  <c r="G5816" i="66"/>
  <c r="E5816" i="66"/>
  <c r="I5815" i="66"/>
  <c r="H5815" i="66"/>
  <c r="G5815" i="66"/>
  <c r="E5815" i="66"/>
  <c r="I5814" i="66"/>
  <c r="H5814" i="66"/>
  <c r="G5814" i="66"/>
  <c r="E5814" i="66"/>
  <c r="I5813" i="66"/>
  <c r="H5813" i="66"/>
  <c r="G5813" i="66"/>
  <c r="E5813" i="66"/>
  <c r="I5812" i="66"/>
  <c r="H5812" i="66"/>
  <c r="G5812" i="66"/>
  <c r="E5812" i="66"/>
  <c r="I5811" i="66"/>
  <c r="H5811" i="66"/>
  <c r="G5811" i="66"/>
  <c r="E5811" i="66"/>
  <c r="I5810" i="66"/>
  <c r="H5810" i="66"/>
  <c r="G5810" i="66"/>
  <c r="E5810" i="66"/>
  <c r="I5809" i="66"/>
  <c r="H5809" i="66"/>
  <c r="G5809" i="66"/>
  <c r="E5809" i="66"/>
  <c r="I5808" i="66"/>
  <c r="H5808" i="66"/>
  <c r="G5808" i="66"/>
  <c r="E5808" i="66"/>
  <c r="I5807" i="66"/>
  <c r="H5807" i="66"/>
  <c r="G5807" i="66"/>
  <c r="E5807" i="66"/>
  <c r="I5806" i="66"/>
  <c r="H5806" i="66"/>
  <c r="G5806" i="66"/>
  <c r="E5806" i="66"/>
  <c r="I5805" i="66"/>
  <c r="H5805" i="66"/>
  <c r="G5805" i="66"/>
  <c r="E5805" i="66"/>
  <c r="I5804" i="66"/>
  <c r="H5804" i="66"/>
  <c r="G5804" i="66"/>
  <c r="E5804" i="66"/>
  <c r="I5803" i="66"/>
  <c r="H5803" i="66"/>
  <c r="G5803" i="66"/>
  <c r="E5803" i="66"/>
  <c r="I5802" i="66"/>
  <c r="H5802" i="66"/>
  <c r="G5802" i="66"/>
  <c r="E5802" i="66"/>
  <c r="I5801" i="66"/>
  <c r="H5801" i="66"/>
  <c r="G5801" i="66"/>
  <c r="E5801" i="66"/>
  <c r="I5800" i="66"/>
  <c r="H5800" i="66"/>
  <c r="G5800" i="66"/>
  <c r="E5800" i="66"/>
  <c r="I5799" i="66"/>
  <c r="H5799" i="66"/>
  <c r="G5799" i="66"/>
  <c r="E5799" i="66"/>
  <c r="I5798" i="66"/>
  <c r="H5798" i="66"/>
  <c r="G5798" i="66"/>
  <c r="E5798" i="66"/>
  <c r="I5797" i="66"/>
  <c r="H5797" i="66"/>
  <c r="G5797" i="66"/>
  <c r="E5797" i="66"/>
  <c r="I5796" i="66"/>
  <c r="H5796" i="66"/>
  <c r="G5796" i="66"/>
  <c r="E5796" i="66"/>
  <c r="I5795" i="66"/>
  <c r="H5795" i="66"/>
  <c r="G5795" i="66"/>
  <c r="E5795" i="66"/>
  <c r="I5794" i="66"/>
  <c r="H5794" i="66"/>
  <c r="G5794" i="66"/>
  <c r="E5794" i="66"/>
  <c r="I5793" i="66"/>
  <c r="H5793" i="66"/>
  <c r="G5793" i="66"/>
  <c r="E5793" i="66"/>
  <c r="I5792" i="66"/>
  <c r="H5792" i="66"/>
  <c r="G5792" i="66"/>
  <c r="E5792" i="66"/>
  <c r="I5791" i="66"/>
  <c r="H5791" i="66"/>
  <c r="G5791" i="66"/>
  <c r="E5791" i="66"/>
  <c r="I5790" i="66"/>
  <c r="H5790" i="66"/>
  <c r="G5790" i="66"/>
  <c r="E5790" i="66"/>
  <c r="I5789" i="66"/>
  <c r="H5789" i="66"/>
  <c r="G5789" i="66"/>
  <c r="E5789" i="66"/>
  <c r="I5788" i="66"/>
  <c r="H5788" i="66"/>
  <c r="G5788" i="66"/>
  <c r="E5788" i="66"/>
  <c r="I5787" i="66"/>
  <c r="H5787" i="66"/>
  <c r="G5787" i="66"/>
  <c r="E5787" i="66"/>
  <c r="I5786" i="66"/>
  <c r="H5786" i="66"/>
  <c r="G5786" i="66"/>
  <c r="E5786" i="66"/>
  <c r="I5785" i="66"/>
  <c r="H5785" i="66"/>
  <c r="G5785" i="66"/>
  <c r="E5785" i="66"/>
  <c r="I5784" i="66"/>
  <c r="H5784" i="66"/>
  <c r="G5784" i="66"/>
  <c r="E5784" i="66"/>
  <c r="I5783" i="66"/>
  <c r="H5783" i="66"/>
  <c r="G5783" i="66"/>
  <c r="E5783" i="66"/>
  <c r="I5782" i="66"/>
  <c r="H5782" i="66"/>
  <c r="G5782" i="66"/>
  <c r="E5782" i="66"/>
  <c r="I5781" i="66"/>
  <c r="H5781" i="66"/>
  <c r="G5781" i="66"/>
  <c r="E5781" i="66"/>
  <c r="I5780" i="66"/>
  <c r="H5780" i="66"/>
  <c r="G5780" i="66"/>
  <c r="E5780" i="66"/>
  <c r="I5779" i="66"/>
  <c r="H5779" i="66"/>
  <c r="G5779" i="66"/>
  <c r="E5779" i="66"/>
  <c r="I5778" i="66"/>
  <c r="H5778" i="66"/>
  <c r="G5778" i="66"/>
  <c r="E5778" i="66"/>
  <c r="I5777" i="66"/>
  <c r="H5777" i="66"/>
  <c r="G5777" i="66"/>
  <c r="E5777" i="66"/>
  <c r="I5776" i="66"/>
  <c r="H5776" i="66"/>
  <c r="G5776" i="66"/>
  <c r="E5776" i="66"/>
  <c r="I5775" i="66"/>
  <c r="H5775" i="66"/>
  <c r="G5775" i="66"/>
  <c r="E5775" i="66"/>
  <c r="I5774" i="66"/>
  <c r="H5774" i="66"/>
  <c r="G5774" i="66"/>
  <c r="E5774" i="66"/>
  <c r="I5773" i="66"/>
  <c r="H5773" i="66"/>
  <c r="G5773" i="66"/>
  <c r="E5773" i="66"/>
  <c r="I5772" i="66"/>
  <c r="H5772" i="66"/>
  <c r="G5772" i="66"/>
  <c r="E5772" i="66"/>
  <c r="I5771" i="66"/>
  <c r="H5771" i="66"/>
  <c r="G5771" i="66"/>
  <c r="E5771" i="66"/>
  <c r="I5770" i="66"/>
  <c r="H5770" i="66"/>
  <c r="G5770" i="66"/>
  <c r="E5770" i="66"/>
  <c r="I5769" i="66"/>
  <c r="H5769" i="66"/>
  <c r="G5769" i="66"/>
  <c r="E5769" i="66"/>
  <c r="I5768" i="66"/>
  <c r="H5768" i="66"/>
  <c r="G5768" i="66"/>
  <c r="E5768" i="66"/>
  <c r="I5767" i="66"/>
  <c r="H5767" i="66"/>
  <c r="G5767" i="66"/>
  <c r="E5767" i="66"/>
  <c r="I5766" i="66"/>
  <c r="H5766" i="66"/>
  <c r="G5766" i="66"/>
  <c r="E5766" i="66"/>
  <c r="I5765" i="66"/>
  <c r="H5765" i="66"/>
  <c r="G5765" i="66"/>
  <c r="E5765" i="66"/>
  <c r="I5764" i="66"/>
  <c r="H5764" i="66"/>
  <c r="G5764" i="66"/>
  <c r="E5764" i="66"/>
  <c r="I5763" i="66"/>
  <c r="H5763" i="66"/>
  <c r="G5763" i="66"/>
  <c r="E5763" i="66"/>
  <c r="I5762" i="66"/>
  <c r="H5762" i="66"/>
  <c r="G5762" i="66"/>
  <c r="E5762" i="66"/>
  <c r="I5761" i="66"/>
  <c r="H5761" i="66"/>
  <c r="G5761" i="66"/>
  <c r="E5761" i="66"/>
  <c r="I5760" i="66"/>
  <c r="H5760" i="66"/>
  <c r="G5760" i="66"/>
  <c r="E5760" i="66"/>
  <c r="I5759" i="66"/>
  <c r="H5759" i="66"/>
  <c r="G5759" i="66"/>
  <c r="E5759" i="66"/>
  <c r="I5758" i="66"/>
  <c r="H5758" i="66"/>
  <c r="G5758" i="66"/>
  <c r="E5758" i="66"/>
  <c r="I5757" i="66"/>
  <c r="H5757" i="66"/>
  <c r="G5757" i="66"/>
  <c r="E5757" i="66"/>
  <c r="I5756" i="66"/>
  <c r="H5756" i="66"/>
  <c r="G5756" i="66"/>
  <c r="E5756" i="66"/>
  <c r="I5755" i="66"/>
  <c r="H5755" i="66"/>
  <c r="G5755" i="66"/>
  <c r="E5755" i="66"/>
  <c r="I5754" i="66"/>
  <c r="H5754" i="66"/>
  <c r="G5754" i="66"/>
  <c r="E5754" i="66"/>
  <c r="I5753" i="66"/>
  <c r="H5753" i="66"/>
  <c r="G5753" i="66"/>
  <c r="E5753" i="66"/>
  <c r="I5752" i="66"/>
  <c r="H5752" i="66"/>
  <c r="G5752" i="66"/>
  <c r="E5752" i="66"/>
  <c r="I5751" i="66"/>
  <c r="H5751" i="66"/>
  <c r="G5751" i="66"/>
  <c r="E5751" i="66"/>
  <c r="I5750" i="66"/>
  <c r="H5750" i="66"/>
  <c r="G5750" i="66"/>
  <c r="E5750" i="66"/>
  <c r="I5749" i="66"/>
  <c r="H5749" i="66"/>
  <c r="G5749" i="66"/>
  <c r="E5749" i="66"/>
  <c r="I5748" i="66"/>
  <c r="H5748" i="66"/>
  <c r="G5748" i="66"/>
  <c r="E5748" i="66"/>
  <c r="I5747" i="66"/>
  <c r="H5747" i="66"/>
  <c r="G5747" i="66"/>
  <c r="E5747" i="66"/>
  <c r="I5746" i="66"/>
  <c r="H5746" i="66"/>
  <c r="G5746" i="66"/>
  <c r="E5746" i="66"/>
  <c r="I5745" i="66"/>
  <c r="H5745" i="66"/>
  <c r="G5745" i="66"/>
  <c r="E5745" i="66"/>
  <c r="I5744" i="66"/>
  <c r="H5744" i="66"/>
  <c r="G5744" i="66"/>
  <c r="E5744" i="66"/>
  <c r="I5743" i="66"/>
  <c r="H5743" i="66"/>
  <c r="G5743" i="66"/>
  <c r="E5743" i="66"/>
  <c r="I5742" i="66"/>
  <c r="H5742" i="66"/>
  <c r="G5742" i="66"/>
  <c r="E5742" i="66"/>
  <c r="I5741" i="66"/>
  <c r="H5741" i="66"/>
  <c r="G5741" i="66"/>
  <c r="E5741" i="66"/>
  <c r="I5740" i="66"/>
  <c r="H5740" i="66"/>
  <c r="G5740" i="66"/>
  <c r="E5740" i="66"/>
  <c r="I5739" i="66"/>
  <c r="H5739" i="66"/>
  <c r="G5739" i="66"/>
  <c r="E5739" i="66"/>
  <c r="I5738" i="66"/>
  <c r="H5738" i="66"/>
  <c r="G5738" i="66"/>
  <c r="E5738" i="66"/>
  <c r="I5737" i="66"/>
  <c r="H5737" i="66"/>
  <c r="G5737" i="66"/>
  <c r="E5737" i="66"/>
  <c r="I5736" i="66"/>
  <c r="H5736" i="66"/>
  <c r="G5736" i="66"/>
  <c r="E5736" i="66"/>
  <c r="I5735" i="66"/>
  <c r="H5735" i="66"/>
  <c r="G5735" i="66"/>
  <c r="E5735" i="66"/>
  <c r="I5734" i="66"/>
  <c r="H5734" i="66"/>
  <c r="G5734" i="66"/>
  <c r="E5734" i="66"/>
  <c r="I5733" i="66"/>
  <c r="H5733" i="66"/>
  <c r="G5733" i="66"/>
  <c r="E5733" i="66"/>
  <c r="I5732" i="66"/>
  <c r="H5732" i="66"/>
  <c r="G5732" i="66"/>
  <c r="E5732" i="66"/>
  <c r="I5731" i="66"/>
  <c r="H5731" i="66"/>
  <c r="G5731" i="66"/>
  <c r="E5731" i="66"/>
  <c r="I5730" i="66"/>
  <c r="H5730" i="66"/>
  <c r="G5730" i="66"/>
  <c r="E5730" i="66"/>
  <c r="I5729" i="66"/>
  <c r="H5729" i="66"/>
  <c r="G5729" i="66"/>
  <c r="E5729" i="66"/>
  <c r="I5728" i="66"/>
  <c r="H5728" i="66"/>
  <c r="G5728" i="66"/>
  <c r="E5728" i="66"/>
  <c r="I5727" i="66"/>
  <c r="H5727" i="66"/>
  <c r="G5727" i="66"/>
  <c r="E5727" i="66"/>
  <c r="I5726" i="66"/>
  <c r="H5726" i="66"/>
  <c r="G5726" i="66"/>
  <c r="E5726" i="66"/>
  <c r="I5725" i="66"/>
  <c r="H5725" i="66"/>
  <c r="G5725" i="66"/>
  <c r="E5725" i="66"/>
  <c r="I5724" i="66"/>
  <c r="H5724" i="66"/>
  <c r="G5724" i="66"/>
  <c r="E5724" i="66"/>
  <c r="I5723" i="66"/>
  <c r="H5723" i="66"/>
  <c r="G5723" i="66"/>
  <c r="E5723" i="66"/>
  <c r="I5722" i="66"/>
  <c r="H5722" i="66"/>
  <c r="G5722" i="66"/>
  <c r="E5722" i="66"/>
  <c r="I5721" i="66"/>
  <c r="H5721" i="66"/>
  <c r="G5721" i="66"/>
  <c r="E5721" i="66"/>
  <c r="I5720" i="66"/>
  <c r="H5720" i="66"/>
  <c r="G5720" i="66"/>
  <c r="E5720" i="66"/>
  <c r="I5719" i="66"/>
  <c r="H5719" i="66"/>
  <c r="G5719" i="66"/>
  <c r="E5719" i="66"/>
  <c r="I5718" i="66"/>
  <c r="H5718" i="66"/>
  <c r="G5718" i="66"/>
  <c r="E5718" i="66"/>
  <c r="I5717" i="66"/>
  <c r="H5717" i="66"/>
  <c r="G5717" i="66"/>
  <c r="E5717" i="66"/>
  <c r="I5716" i="66"/>
  <c r="H5716" i="66"/>
  <c r="G5716" i="66"/>
  <c r="E5716" i="66"/>
  <c r="I5715" i="66"/>
  <c r="H5715" i="66"/>
  <c r="G5715" i="66"/>
  <c r="E5715" i="66"/>
  <c r="I5714" i="66"/>
  <c r="H5714" i="66"/>
  <c r="G5714" i="66"/>
  <c r="E5714" i="66"/>
  <c r="I5713" i="66"/>
  <c r="H5713" i="66"/>
  <c r="G5713" i="66"/>
  <c r="E5713" i="66"/>
  <c r="I5712" i="66"/>
  <c r="H5712" i="66"/>
  <c r="G5712" i="66"/>
  <c r="E5712" i="66"/>
  <c r="I5711" i="66"/>
  <c r="H5711" i="66"/>
  <c r="G5711" i="66"/>
  <c r="E5711" i="66"/>
  <c r="I5710" i="66"/>
  <c r="H5710" i="66"/>
  <c r="G5710" i="66"/>
  <c r="E5710" i="66"/>
  <c r="I5709" i="66"/>
  <c r="H5709" i="66"/>
  <c r="G5709" i="66"/>
  <c r="E5709" i="66"/>
  <c r="I5708" i="66"/>
  <c r="H5708" i="66"/>
  <c r="G5708" i="66"/>
  <c r="E5708" i="66"/>
  <c r="I5707" i="66"/>
  <c r="H5707" i="66"/>
  <c r="G5707" i="66"/>
  <c r="E5707" i="66"/>
  <c r="I5706" i="66"/>
  <c r="H5706" i="66"/>
  <c r="G5706" i="66"/>
  <c r="E5706" i="66"/>
  <c r="I5705" i="66"/>
  <c r="H5705" i="66"/>
  <c r="G5705" i="66"/>
  <c r="E5705" i="66"/>
  <c r="I5704" i="66"/>
  <c r="H5704" i="66"/>
  <c r="G5704" i="66"/>
  <c r="E5704" i="66"/>
  <c r="I5703" i="66"/>
  <c r="H5703" i="66"/>
  <c r="G5703" i="66"/>
  <c r="E5703" i="66"/>
  <c r="I5702" i="66"/>
  <c r="H5702" i="66"/>
  <c r="G5702" i="66"/>
  <c r="E5702" i="66"/>
  <c r="I5701" i="66"/>
  <c r="H5701" i="66"/>
  <c r="G5701" i="66"/>
  <c r="E5701" i="66"/>
  <c r="I5700" i="66"/>
  <c r="H5700" i="66"/>
  <c r="G5700" i="66"/>
  <c r="E5700" i="66"/>
  <c r="I5699" i="66"/>
  <c r="H5699" i="66"/>
  <c r="G5699" i="66"/>
  <c r="E5699" i="66"/>
  <c r="I5698" i="66"/>
  <c r="H5698" i="66"/>
  <c r="G5698" i="66"/>
  <c r="E5698" i="66"/>
  <c r="I5697" i="66"/>
  <c r="H5697" i="66"/>
  <c r="G5697" i="66"/>
  <c r="E5697" i="66"/>
  <c r="I5696" i="66"/>
  <c r="H5696" i="66"/>
  <c r="G5696" i="66"/>
  <c r="E5696" i="66"/>
  <c r="I5695" i="66"/>
  <c r="H5695" i="66"/>
  <c r="G5695" i="66"/>
  <c r="E5695" i="66"/>
  <c r="I5694" i="66"/>
  <c r="H5694" i="66"/>
  <c r="G5694" i="66"/>
  <c r="E5694" i="66"/>
  <c r="I5693" i="66"/>
  <c r="H5693" i="66"/>
  <c r="G5693" i="66"/>
  <c r="E5693" i="66"/>
  <c r="I5692" i="66"/>
  <c r="H5692" i="66"/>
  <c r="G5692" i="66"/>
  <c r="E5692" i="66"/>
  <c r="I5691" i="66"/>
  <c r="H5691" i="66"/>
  <c r="G5691" i="66"/>
  <c r="E5691" i="66"/>
  <c r="I5690" i="66"/>
  <c r="H5690" i="66"/>
  <c r="G5690" i="66"/>
  <c r="E5690" i="66"/>
  <c r="I5689" i="66"/>
  <c r="H5689" i="66"/>
  <c r="G5689" i="66"/>
  <c r="E5689" i="66"/>
  <c r="I5688" i="66"/>
  <c r="H5688" i="66"/>
  <c r="G5688" i="66"/>
  <c r="E5688" i="66"/>
  <c r="I5687" i="66"/>
  <c r="H5687" i="66"/>
  <c r="G5687" i="66"/>
  <c r="E5687" i="66"/>
  <c r="I5686" i="66"/>
  <c r="H5686" i="66"/>
  <c r="G5686" i="66"/>
  <c r="E5686" i="66"/>
  <c r="I5685" i="66"/>
  <c r="H5685" i="66"/>
  <c r="G5685" i="66"/>
  <c r="E5685" i="66"/>
  <c r="I5684" i="66"/>
  <c r="H5684" i="66"/>
  <c r="G5684" i="66"/>
  <c r="E5684" i="66"/>
  <c r="I5683" i="66"/>
  <c r="H5683" i="66"/>
  <c r="G5683" i="66"/>
  <c r="E5683" i="66"/>
  <c r="I5682" i="66"/>
  <c r="H5682" i="66"/>
  <c r="G5682" i="66"/>
  <c r="E5682" i="66"/>
  <c r="I5681" i="66"/>
  <c r="H5681" i="66"/>
  <c r="G5681" i="66"/>
  <c r="E5681" i="66"/>
  <c r="I5680" i="66"/>
  <c r="H5680" i="66"/>
  <c r="G5680" i="66"/>
  <c r="E5680" i="66"/>
  <c r="I5679" i="66"/>
  <c r="H5679" i="66"/>
  <c r="G5679" i="66"/>
  <c r="E5679" i="66"/>
  <c r="I5678" i="66"/>
  <c r="H5678" i="66"/>
  <c r="G5678" i="66"/>
  <c r="E5678" i="66"/>
  <c r="I5677" i="66"/>
  <c r="H5677" i="66"/>
  <c r="G5677" i="66"/>
  <c r="E5677" i="66"/>
  <c r="I5676" i="66"/>
  <c r="H5676" i="66"/>
  <c r="G5676" i="66"/>
  <c r="E5676" i="66"/>
  <c r="I5675" i="66"/>
  <c r="H5675" i="66"/>
  <c r="G5675" i="66"/>
  <c r="E5675" i="66"/>
  <c r="I5674" i="66"/>
  <c r="H5674" i="66"/>
  <c r="G5674" i="66"/>
  <c r="E5674" i="66"/>
  <c r="I5673" i="66"/>
  <c r="H5673" i="66"/>
  <c r="G5673" i="66"/>
  <c r="E5673" i="66"/>
  <c r="I5672" i="66"/>
  <c r="H5672" i="66"/>
  <c r="G5672" i="66"/>
  <c r="E5672" i="66"/>
  <c r="I5671" i="66"/>
  <c r="H5671" i="66"/>
  <c r="G5671" i="66"/>
  <c r="D5671" i="66" s="1"/>
  <c r="E5671" i="66"/>
  <c r="I5670" i="66"/>
  <c r="H5670" i="66"/>
  <c r="G5670" i="66"/>
  <c r="E5670" i="66"/>
  <c r="I5669" i="66"/>
  <c r="H5669" i="66"/>
  <c r="G5669" i="66"/>
  <c r="E5669" i="66"/>
  <c r="I5668" i="66"/>
  <c r="H5668" i="66"/>
  <c r="G5668" i="66"/>
  <c r="E5668" i="66"/>
  <c r="I5667" i="66"/>
  <c r="H5667" i="66"/>
  <c r="G5667" i="66"/>
  <c r="E5667" i="66"/>
  <c r="I5666" i="66"/>
  <c r="H5666" i="66"/>
  <c r="G5666" i="66"/>
  <c r="E5666" i="66"/>
  <c r="I5665" i="66"/>
  <c r="H5665" i="66"/>
  <c r="G5665" i="66"/>
  <c r="E5665" i="66"/>
  <c r="I5664" i="66"/>
  <c r="H5664" i="66"/>
  <c r="G5664" i="66"/>
  <c r="E5664" i="66"/>
  <c r="I5663" i="66"/>
  <c r="H5663" i="66"/>
  <c r="G5663" i="66"/>
  <c r="E5663" i="66"/>
  <c r="I5662" i="66"/>
  <c r="H5662" i="66"/>
  <c r="G5662" i="66"/>
  <c r="E5662" i="66"/>
  <c r="I5661" i="66"/>
  <c r="H5661" i="66"/>
  <c r="G5661" i="66"/>
  <c r="E5661" i="66"/>
  <c r="I5660" i="66"/>
  <c r="H5660" i="66"/>
  <c r="G5660" i="66"/>
  <c r="E5660" i="66"/>
  <c r="I5659" i="66"/>
  <c r="H5659" i="66"/>
  <c r="G5659" i="66"/>
  <c r="E5659" i="66"/>
  <c r="I5658" i="66"/>
  <c r="H5658" i="66"/>
  <c r="G5658" i="66"/>
  <c r="E5658" i="66"/>
  <c r="I5657" i="66"/>
  <c r="H5657" i="66"/>
  <c r="G5657" i="66"/>
  <c r="E5657" i="66"/>
  <c r="I5656" i="66"/>
  <c r="H5656" i="66"/>
  <c r="G5656" i="66"/>
  <c r="E5656" i="66"/>
  <c r="I5655" i="66"/>
  <c r="H5655" i="66"/>
  <c r="G5655" i="66"/>
  <c r="E5655" i="66"/>
  <c r="I5654" i="66"/>
  <c r="H5654" i="66"/>
  <c r="G5654" i="66"/>
  <c r="E5654" i="66"/>
  <c r="I5653" i="66"/>
  <c r="H5653" i="66"/>
  <c r="G5653" i="66"/>
  <c r="E5653" i="66"/>
  <c r="I5652" i="66"/>
  <c r="H5652" i="66"/>
  <c r="G5652" i="66"/>
  <c r="E5652" i="66"/>
  <c r="I5651" i="66"/>
  <c r="H5651" i="66"/>
  <c r="G5651" i="66"/>
  <c r="E5651" i="66"/>
  <c r="I5650" i="66"/>
  <c r="H5650" i="66"/>
  <c r="G5650" i="66"/>
  <c r="E5650" i="66"/>
  <c r="I5649" i="66"/>
  <c r="H5649" i="66"/>
  <c r="G5649" i="66"/>
  <c r="E5649" i="66"/>
  <c r="I5648" i="66"/>
  <c r="H5648" i="66"/>
  <c r="G5648" i="66"/>
  <c r="E5648" i="66"/>
  <c r="I5647" i="66"/>
  <c r="H5647" i="66"/>
  <c r="G5647" i="66"/>
  <c r="E5647" i="66"/>
  <c r="I5646" i="66"/>
  <c r="H5646" i="66"/>
  <c r="G5646" i="66"/>
  <c r="E5646" i="66"/>
  <c r="I5645" i="66"/>
  <c r="H5645" i="66"/>
  <c r="G5645" i="66"/>
  <c r="E5645" i="66"/>
  <c r="I5644" i="66"/>
  <c r="H5644" i="66"/>
  <c r="G5644" i="66"/>
  <c r="E5644" i="66"/>
  <c r="I5643" i="66"/>
  <c r="H5643" i="66"/>
  <c r="G5643" i="66"/>
  <c r="E5643" i="66"/>
  <c r="I5642" i="66"/>
  <c r="H5642" i="66"/>
  <c r="G5642" i="66"/>
  <c r="E5642" i="66"/>
  <c r="I5641" i="66"/>
  <c r="H5641" i="66"/>
  <c r="G5641" i="66"/>
  <c r="E5641" i="66"/>
  <c r="I5640" i="66"/>
  <c r="H5640" i="66"/>
  <c r="G5640" i="66"/>
  <c r="E5640" i="66"/>
  <c r="I5639" i="66"/>
  <c r="H5639" i="66"/>
  <c r="G5639" i="66"/>
  <c r="E5639" i="66"/>
  <c r="I5638" i="66"/>
  <c r="H5638" i="66"/>
  <c r="G5638" i="66"/>
  <c r="E5638" i="66"/>
  <c r="I5637" i="66"/>
  <c r="H5637" i="66"/>
  <c r="G5637" i="66"/>
  <c r="E5637" i="66"/>
  <c r="I5636" i="66"/>
  <c r="H5636" i="66"/>
  <c r="G5636" i="66"/>
  <c r="E5636" i="66"/>
  <c r="I5635" i="66"/>
  <c r="H5635" i="66"/>
  <c r="G5635" i="66"/>
  <c r="E5635" i="66"/>
  <c r="I5634" i="66"/>
  <c r="H5634" i="66"/>
  <c r="G5634" i="66"/>
  <c r="E5634" i="66"/>
  <c r="I5633" i="66"/>
  <c r="H5633" i="66"/>
  <c r="G5633" i="66"/>
  <c r="E5633" i="66"/>
  <c r="I5632" i="66"/>
  <c r="H5632" i="66"/>
  <c r="G5632" i="66"/>
  <c r="E5632" i="66"/>
  <c r="I5631" i="66"/>
  <c r="H5631" i="66"/>
  <c r="G5631" i="66"/>
  <c r="E5631" i="66"/>
  <c r="I5630" i="66"/>
  <c r="H5630" i="66"/>
  <c r="G5630" i="66"/>
  <c r="E5630" i="66"/>
  <c r="I5629" i="66"/>
  <c r="H5629" i="66"/>
  <c r="G5629" i="66"/>
  <c r="E5629" i="66"/>
  <c r="I5628" i="66"/>
  <c r="H5628" i="66"/>
  <c r="G5628" i="66"/>
  <c r="E5628" i="66"/>
  <c r="I5627" i="66"/>
  <c r="H5627" i="66"/>
  <c r="G5627" i="66"/>
  <c r="E5627" i="66"/>
  <c r="I5626" i="66"/>
  <c r="H5626" i="66"/>
  <c r="G5626" i="66"/>
  <c r="E5626" i="66"/>
  <c r="I5625" i="66"/>
  <c r="H5625" i="66"/>
  <c r="G5625" i="66"/>
  <c r="E5625" i="66"/>
  <c r="I5624" i="66"/>
  <c r="H5624" i="66"/>
  <c r="G5624" i="66"/>
  <c r="E5624" i="66"/>
  <c r="I5623" i="66"/>
  <c r="H5623" i="66"/>
  <c r="G5623" i="66"/>
  <c r="E5623" i="66"/>
  <c r="I5622" i="66"/>
  <c r="H5622" i="66"/>
  <c r="G5622" i="66"/>
  <c r="E5622" i="66"/>
  <c r="I5621" i="66"/>
  <c r="H5621" i="66"/>
  <c r="G5621" i="66"/>
  <c r="E5621" i="66"/>
  <c r="I5620" i="66"/>
  <c r="H5620" i="66"/>
  <c r="G5620" i="66"/>
  <c r="E5620" i="66"/>
  <c r="I5619" i="66"/>
  <c r="H5619" i="66"/>
  <c r="G5619" i="66"/>
  <c r="E5619" i="66"/>
  <c r="I5618" i="66"/>
  <c r="H5618" i="66"/>
  <c r="G5618" i="66"/>
  <c r="E5618" i="66"/>
  <c r="I5617" i="66"/>
  <c r="H5617" i="66"/>
  <c r="G5617" i="66"/>
  <c r="E5617" i="66"/>
  <c r="I5616" i="66"/>
  <c r="H5616" i="66"/>
  <c r="G5616" i="66"/>
  <c r="E5616" i="66"/>
  <c r="I5615" i="66"/>
  <c r="H5615" i="66"/>
  <c r="G5615" i="66"/>
  <c r="E5615" i="66"/>
  <c r="I5614" i="66"/>
  <c r="H5614" i="66"/>
  <c r="G5614" i="66"/>
  <c r="E5614" i="66"/>
  <c r="I5613" i="66"/>
  <c r="H5613" i="66"/>
  <c r="G5613" i="66"/>
  <c r="E5613" i="66"/>
  <c r="I5612" i="66"/>
  <c r="H5612" i="66"/>
  <c r="G5612" i="66"/>
  <c r="E5612" i="66"/>
  <c r="I5611" i="66"/>
  <c r="H5611" i="66"/>
  <c r="G5611" i="66"/>
  <c r="E5611" i="66"/>
  <c r="I5610" i="66"/>
  <c r="H5610" i="66"/>
  <c r="G5610" i="66"/>
  <c r="E5610" i="66"/>
  <c r="I5609" i="66"/>
  <c r="H5609" i="66"/>
  <c r="G5609" i="66"/>
  <c r="E5609" i="66"/>
  <c r="I5608" i="66"/>
  <c r="H5608" i="66"/>
  <c r="G5608" i="66"/>
  <c r="E5608" i="66"/>
  <c r="I5607" i="66"/>
  <c r="H5607" i="66"/>
  <c r="G5607" i="66"/>
  <c r="E5607" i="66"/>
  <c r="I5606" i="66"/>
  <c r="H5606" i="66"/>
  <c r="G5606" i="66"/>
  <c r="E5606" i="66"/>
  <c r="I5605" i="66"/>
  <c r="H5605" i="66"/>
  <c r="G5605" i="66"/>
  <c r="E5605" i="66"/>
  <c r="I5604" i="66"/>
  <c r="H5604" i="66"/>
  <c r="G5604" i="66"/>
  <c r="E5604" i="66"/>
  <c r="I5603" i="66"/>
  <c r="H5603" i="66"/>
  <c r="G5603" i="66"/>
  <c r="E5603" i="66"/>
  <c r="I5602" i="66"/>
  <c r="H5602" i="66"/>
  <c r="G5602" i="66"/>
  <c r="E5602" i="66"/>
  <c r="I5601" i="66"/>
  <c r="H5601" i="66"/>
  <c r="G5601" i="66"/>
  <c r="E5601" i="66"/>
  <c r="I5600" i="66"/>
  <c r="H5600" i="66"/>
  <c r="G5600" i="66"/>
  <c r="E5600" i="66"/>
  <c r="I5599" i="66"/>
  <c r="H5599" i="66"/>
  <c r="G5599" i="66"/>
  <c r="E5599" i="66"/>
  <c r="I5598" i="66"/>
  <c r="H5598" i="66"/>
  <c r="G5598" i="66"/>
  <c r="E5598" i="66"/>
  <c r="I5597" i="66"/>
  <c r="H5597" i="66"/>
  <c r="G5597" i="66"/>
  <c r="E5597" i="66"/>
  <c r="I5596" i="66"/>
  <c r="H5596" i="66"/>
  <c r="G5596" i="66"/>
  <c r="E5596" i="66"/>
  <c r="I5595" i="66"/>
  <c r="H5595" i="66"/>
  <c r="G5595" i="66"/>
  <c r="E5595" i="66"/>
  <c r="I5594" i="66"/>
  <c r="H5594" i="66"/>
  <c r="G5594" i="66"/>
  <c r="E5594" i="66"/>
  <c r="I5593" i="66"/>
  <c r="H5593" i="66"/>
  <c r="G5593" i="66"/>
  <c r="E5593" i="66"/>
  <c r="I5592" i="66"/>
  <c r="H5592" i="66"/>
  <c r="G5592" i="66"/>
  <c r="E5592" i="66"/>
  <c r="I5591" i="66"/>
  <c r="H5591" i="66"/>
  <c r="G5591" i="66"/>
  <c r="E5591" i="66"/>
  <c r="I5590" i="66"/>
  <c r="H5590" i="66"/>
  <c r="G5590" i="66"/>
  <c r="E5590" i="66"/>
  <c r="I5589" i="66"/>
  <c r="H5589" i="66"/>
  <c r="G5589" i="66"/>
  <c r="E5589" i="66"/>
  <c r="I5588" i="66"/>
  <c r="H5588" i="66"/>
  <c r="G5588" i="66"/>
  <c r="E5588" i="66"/>
  <c r="I5587" i="66"/>
  <c r="H5587" i="66"/>
  <c r="G5587" i="66"/>
  <c r="E5587" i="66"/>
  <c r="I5586" i="66"/>
  <c r="H5586" i="66"/>
  <c r="G5586" i="66"/>
  <c r="E5586" i="66"/>
  <c r="I5585" i="66"/>
  <c r="H5585" i="66"/>
  <c r="G5585" i="66"/>
  <c r="E5585" i="66"/>
  <c r="I5584" i="66"/>
  <c r="H5584" i="66"/>
  <c r="G5584" i="66"/>
  <c r="E5584" i="66"/>
  <c r="I5583" i="66"/>
  <c r="H5583" i="66"/>
  <c r="G5583" i="66"/>
  <c r="E5583" i="66"/>
  <c r="I5582" i="66"/>
  <c r="H5582" i="66"/>
  <c r="G5582" i="66"/>
  <c r="E5582" i="66"/>
  <c r="I5581" i="66"/>
  <c r="H5581" i="66"/>
  <c r="G5581" i="66"/>
  <c r="E5581" i="66"/>
  <c r="I5580" i="66"/>
  <c r="H5580" i="66"/>
  <c r="G5580" i="66"/>
  <c r="E5580" i="66"/>
  <c r="I5579" i="66"/>
  <c r="H5579" i="66"/>
  <c r="G5579" i="66"/>
  <c r="E5579" i="66"/>
  <c r="I5578" i="66"/>
  <c r="H5578" i="66"/>
  <c r="G5578" i="66"/>
  <c r="E5578" i="66"/>
  <c r="I5577" i="66"/>
  <c r="H5577" i="66"/>
  <c r="G5577" i="66"/>
  <c r="E5577" i="66"/>
  <c r="I5576" i="66"/>
  <c r="H5576" i="66"/>
  <c r="G5576" i="66"/>
  <c r="E5576" i="66"/>
  <c r="I5575" i="66"/>
  <c r="H5575" i="66"/>
  <c r="G5575" i="66"/>
  <c r="E5575" i="66"/>
  <c r="I5574" i="66"/>
  <c r="H5574" i="66"/>
  <c r="G5574" i="66"/>
  <c r="E5574" i="66"/>
  <c r="I5573" i="66"/>
  <c r="H5573" i="66"/>
  <c r="G5573" i="66"/>
  <c r="E5573" i="66"/>
  <c r="I5572" i="66"/>
  <c r="H5572" i="66"/>
  <c r="G5572" i="66"/>
  <c r="E5572" i="66"/>
  <c r="I5571" i="66"/>
  <c r="H5571" i="66"/>
  <c r="G5571" i="66"/>
  <c r="E5571" i="66"/>
  <c r="I5570" i="66"/>
  <c r="H5570" i="66"/>
  <c r="G5570" i="66"/>
  <c r="E5570" i="66"/>
  <c r="I5569" i="66"/>
  <c r="H5569" i="66"/>
  <c r="G5569" i="66"/>
  <c r="E5569" i="66"/>
  <c r="I5568" i="66"/>
  <c r="H5568" i="66"/>
  <c r="G5568" i="66"/>
  <c r="E5568" i="66"/>
  <c r="I5567" i="66"/>
  <c r="H5567" i="66"/>
  <c r="G5567" i="66"/>
  <c r="E5567" i="66"/>
  <c r="I5566" i="66"/>
  <c r="H5566" i="66"/>
  <c r="G5566" i="66"/>
  <c r="E5566" i="66"/>
  <c r="I5565" i="66"/>
  <c r="H5565" i="66"/>
  <c r="G5565" i="66"/>
  <c r="E5565" i="66"/>
  <c r="I5564" i="66"/>
  <c r="H5564" i="66"/>
  <c r="G5564" i="66"/>
  <c r="E5564" i="66"/>
  <c r="I5563" i="66"/>
  <c r="H5563" i="66"/>
  <c r="G5563" i="66"/>
  <c r="E5563" i="66"/>
  <c r="I5562" i="66"/>
  <c r="H5562" i="66"/>
  <c r="G5562" i="66"/>
  <c r="E5562" i="66"/>
  <c r="I5561" i="66"/>
  <c r="H5561" i="66"/>
  <c r="G5561" i="66"/>
  <c r="E5561" i="66"/>
  <c r="I5560" i="66"/>
  <c r="H5560" i="66"/>
  <c r="G5560" i="66"/>
  <c r="E5560" i="66"/>
  <c r="I5559" i="66"/>
  <c r="H5559" i="66"/>
  <c r="G5559" i="66"/>
  <c r="E5559" i="66"/>
  <c r="I5558" i="66"/>
  <c r="H5558" i="66"/>
  <c r="G5558" i="66"/>
  <c r="E5558" i="66"/>
  <c r="I5557" i="66"/>
  <c r="H5557" i="66"/>
  <c r="G5557" i="66"/>
  <c r="E5557" i="66"/>
  <c r="I5556" i="66"/>
  <c r="H5556" i="66"/>
  <c r="G5556" i="66"/>
  <c r="E5556" i="66"/>
  <c r="I5555" i="66"/>
  <c r="H5555" i="66"/>
  <c r="G5555" i="66"/>
  <c r="E5555" i="66"/>
  <c r="I5554" i="66"/>
  <c r="H5554" i="66"/>
  <c r="G5554" i="66"/>
  <c r="E5554" i="66"/>
  <c r="I5553" i="66"/>
  <c r="H5553" i="66"/>
  <c r="G5553" i="66"/>
  <c r="E5553" i="66"/>
  <c r="I5552" i="66"/>
  <c r="H5552" i="66"/>
  <c r="G5552" i="66"/>
  <c r="E5552" i="66"/>
  <c r="I5551" i="66"/>
  <c r="H5551" i="66"/>
  <c r="G5551" i="66"/>
  <c r="E5551" i="66"/>
  <c r="I5550" i="66"/>
  <c r="H5550" i="66"/>
  <c r="G5550" i="66"/>
  <c r="E5550" i="66"/>
  <c r="I5549" i="66"/>
  <c r="H5549" i="66"/>
  <c r="G5549" i="66"/>
  <c r="E5549" i="66"/>
  <c r="I5548" i="66"/>
  <c r="H5548" i="66"/>
  <c r="G5548" i="66"/>
  <c r="E5548" i="66"/>
  <c r="I5547" i="66"/>
  <c r="H5547" i="66"/>
  <c r="G5547" i="66"/>
  <c r="E5547" i="66"/>
  <c r="I5546" i="66"/>
  <c r="H5546" i="66"/>
  <c r="G5546" i="66"/>
  <c r="E5546" i="66"/>
  <c r="I5545" i="66"/>
  <c r="H5545" i="66"/>
  <c r="G5545" i="66"/>
  <c r="E5545" i="66"/>
  <c r="I5544" i="66"/>
  <c r="H5544" i="66"/>
  <c r="G5544" i="66"/>
  <c r="E5544" i="66"/>
  <c r="I5543" i="66"/>
  <c r="H5543" i="66"/>
  <c r="G5543" i="66"/>
  <c r="E5543" i="66"/>
  <c r="I5542" i="66"/>
  <c r="H5542" i="66"/>
  <c r="G5542" i="66"/>
  <c r="E5542" i="66"/>
  <c r="I5541" i="66"/>
  <c r="H5541" i="66"/>
  <c r="G5541" i="66"/>
  <c r="E5541" i="66"/>
  <c r="I5540" i="66"/>
  <c r="H5540" i="66"/>
  <c r="G5540" i="66"/>
  <c r="E5540" i="66"/>
  <c r="I5539" i="66"/>
  <c r="H5539" i="66"/>
  <c r="G5539" i="66"/>
  <c r="D5539" i="66" s="1"/>
  <c r="E5539" i="66"/>
  <c r="I5538" i="66"/>
  <c r="H5538" i="66"/>
  <c r="G5538" i="66"/>
  <c r="E5538" i="66"/>
  <c r="I5537" i="66"/>
  <c r="H5537" i="66"/>
  <c r="G5537" i="66"/>
  <c r="E5537" i="66"/>
  <c r="I5536" i="66"/>
  <c r="H5536" i="66"/>
  <c r="G5536" i="66"/>
  <c r="E5536" i="66"/>
  <c r="I5535" i="66"/>
  <c r="H5535" i="66"/>
  <c r="G5535" i="66"/>
  <c r="E5535" i="66"/>
  <c r="I5534" i="66"/>
  <c r="H5534" i="66"/>
  <c r="G5534" i="66"/>
  <c r="E5534" i="66"/>
  <c r="I5533" i="66"/>
  <c r="H5533" i="66"/>
  <c r="G5533" i="66"/>
  <c r="E5533" i="66"/>
  <c r="I5532" i="66"/>
  <c r="H5532" i="66"/>
  <c r="G5532" i="66"/>
  <c r="E5532" i="66"/>
  <c r="I5531" i="66"/>
  <c r="H5531" i="66"/>
  <c r="G5531" i="66"/>
  <c r="E5531" i="66"/>
  <c r="I5530" i="66"/>
  <c r="H5530" i="66"/>
  <c r="G5530" i="66"/>
  <c r="E5530" i="66"/>
  <c r="I5529" i="66"/>
  <c r="H5529" i="66"/>
  <c r="G5529" i="66"/>
  <c r="E5529" i="66"/>
  <c r="I5528" i="66"/>
  <c r="H5528" i="66"/>
  <c r="G5528" i="66"/>
  <c r="E5528" i="66"/>
  <c r="I5527" i="66"/>
  <c r="H5527" i="66"/>
  <c r="G5527" i="66"/>
  <c r="E5527" i="66"/>
  <c r="I5526" i="66"/>
  <c r="H5526" i="66"/>
  <c r="G5526" i="66"/>
  <c r="E5526" i="66"/>
  <c r="I5525" i="66"/>
  <c r="H5525" i="66"/>
  <c r="G5525" i="66"/>
  <c r="E5525" i="66"/>
  <c r="I5524" i="66"/>
  <c r="H5524" i="66"/>
  <c r="G5524" i="66"/>
  <c r="D5524" i="66" s="1"/>
  <c r="E5524" i="66"/>
  <c r="I5523" i="66"/>
  <c r="H5523" i="66"/>
  <c r="G5523" i="66"/>
  <c r="E5523" i="66"/>
  <c r="I5522" i="66"/>
  <c r="H5522" i="66"/>
  <c r="G5522" i="66"/>
  <c r="E5522" i="66"/>
  <c r="I5521" i="66"/>
  <c r="H5521" i="66"/>
  <c r="G5521" i="66"/>
  <c r="E5521" i="66"/>
  <c r="I5520" i="66"/>
  <c r="H5520" i="66"/>
  <c r="G5520" i="66"/>
  <c r="E5520" i="66"/>
  <c r="I5519" i="66"/>
  <c r="H5519" i="66"/>
  <c r="G5519" i="66"/>
  <c r="E5519" i="66"/>
  <c r="I5518" i="66"/>
  <c r="H5518" i="66"/>
  <c r="G5518" i="66"/>
  <c r="E5518" i="66"/>
  <c r="I5517" i="66"/>
  <c r="H5517" i="66"/>
  <c r="G5517" i="66"/>
  <c r="E5517" i="66"/>
  <c r="I5516" i="66"/>
  <c r="H5516" i="66"/>
  <c r="G5516" i="66"/>
  <c r="E5516" i="66"/>
  <c r="I5515" i="66"/>
  <c r="H5515" i="66"/>
  <c r="G5515" i="66"/>
  <c r="E5515" i="66"/>
  <c r="I5514" i="66"/>
  <c r="H5514" i="66"/>
  <c r="G5514" i="66"/>
  <c r="E5514" i="66"/>
  <c r="I5513" i="66"/>
  <c r="H5513" i="66"/>
  <c r="G5513" i="66"/>
  <c r="E5513" i="66"/>
  <c r="I5512" i="66"/>
  <c r="H5512" i="66"/>
  <c r="G5512" i="66"/>
  <c r="E5512" i="66"/>
  <c r="I5511" i="66"/>
  <c r="H5511" i="66"/>
  <c r="G5511" i="66"/>
  <c r="E5511" i="66"/>
  <c r="I5510" i="66"/>
  <c r="H5510" i="66"/>
  <c r="G5510" i="66"/>
  <c r="E5510" i="66"/>
  <c r="I5509" i="66"/>
  <c r="H5509" i="66"/>
  <c r="G5509" i="66"/>
  <c r="E5509" i="66"/>
  <c r="I5508" i="66"/>
  <c r="H5508" i="66"/>
  <c r="G5508" i="66"/>
  <c r="E5508" i="66"/>
  <c r="I5507" i="66"/>
  <c r="H5507" i="66"/>
  <c r="G5507" i="66"/>
  <c r="E5507" i="66"/>
  <c r="I5506" i="66"/>
  <c r="H5506" i="66"/>
  <c r="G5506" i="66"/>
  <c r="E5506" i="66"/>
  <c r="I5505" i="66"/>
  <c r="H5505" i="66"/>
  <c r="G5505" i="66"/>
  <c r="E5505" i="66"/>
  <c r="I5504" i="66"/>
  <c r="H5504" i="66"/>
  <c r="G5504" i="66"/>
  <c r="E5504" i="66"/>
  <c r="I5503" i="66"/>
  <c r="H5503" i="66"/>
  <c r="G5503" i="66"/>
  <c r="E5503" i="66"/>
  <c r="I5502" i="66"/>
  <c r="H5502" i="66"/>
  <c r="G5502" i="66"/>
  <c r="E5502" i="66"/>
  <c r="I5501" i="66"/>
  <c r="H5501" i="66"/>
  <c r="G5501" i="66"/>
  <c r="E5501" i="66"/>
  <c r="I5500" i="66"/>
  <c r="H5500" i="66"/>
  <c r="G5500" i="66"/>
  <c r="E5500" i="66"/>
  <c r="I5499" i="66"/>
  <c r="H5499" i="66"/>
  <c r="G5499" i="66"/>
  <c r="E5499" i="66"/>
  <c r="I5498" i="66"/>
  <c r="H5498" i="66"/>
  <c r="G5498" i="66"/>
  <c r="E5498" i="66"/>
  <c r="I5497" i="66"/>
  <c r="H5497" i="66"/>
  <c r="G5497" i="66"/>
  <c r="E5497" i="66"/>
  <c r="I5496" i="66"/>
  <c r="H5496" i="66"/>
  <c r="G5496" i="66"/>
  <c r="E5496" i="66"/>
  <c r="I5495" i="66"/>
  <c r="H5495" i="66"/>
  <c r="G5495" i="66"/>
  <c r="E5495" i="66"/>
  <c r="I5494" i="66"/>
  <c r="H5494" i="66"/>
  <c r="G5494" i="66"/>
  <c r="D5494" i="66" s="1"/>
  <c r="E5494" i="66"/>
  <c r="I5493" i="66"/>
  <c r="H5493" i="66"/>
  <c r="G5493" i="66"/>
  <c r="E5493" i="66"/>
  <c r="I5492" i="66"/>
  <c r="H5492" i="66"/>
  <c r="G5492" i="66"/>
  <c r="E5492" i="66"/>
  <c r="I5491" i="66"/>
  <c r="H5491" i="66"/>
  <c r="G5491" i="66"/>
  <c r="E5491" i="66"/>
  <c r="I5490" i="66"/>
  <c r="H5490" i="66"/>
  <c r="G5490" i="66"/>
  <c r="E5490" i="66"/>
  <c r="I5489" i="66"/>
  <c r="H5489" i="66"/>
  <c r="G5489" i="66"/>
  <c r="E5489" i="66"/>
  <c r="I5488" i="66"/>
  <c r="H5488" i="66"/>
  <c r="G5488" i="66"/>
  <c r="E5488" i="66"/>
  <c r="I5487" i="66"/>
  <c r="H5487" i="66"/>
  <c r="G5487" i="66"/>
  <c r="E5487" i="66"/>
  <c r="I5486" i="66"/>
  <c r="H5486" i="66"/>
  <c r="G5486" i="66"/>
  <c r="E5486" i="66"/>
  <c r="I5485" i="66"/>
  <c r="H5485" i="66"/>
  <c r="G5485" i="66"/>
  <c r="E5485" i="66"/>
  <c r="I5484" i="66"/>
  <c r="H5484" i="66"/>
  <c r="G5484" i="66"/>
  <c r="E5484" i="66"/>
  <c r="I5483" i="66"/>
  <c r="H5483" i="66"/>
  <c r="G5483" i="66"/>
  <c r="E5483" i="66"/>
  <c r="I5482" i="66"/>
  <c r="H5482" i="66"/>
  <c r="G5482" i="66"/>
  <c r="E5482" i="66"/>
  <c r="I5481" i="66"/>
  <c r="H5481" i="66"/>
  <c r="G5481" i="66"/>
  <c r="E5481" i="66"/>
  <c r="I5480" i="66"/>
  <c r="H5480" i="66"/>
  <c r="G5480" i="66"/>
  <c r="E5480" i="66"/>
  <c r="I5479" i="66"/>
  <c r="H5479" i="66"/>
  <c r="G5479" i="66"/>
  <c r="E5479" i="66"/>
  <c r="I5478" i="66"/>
  <c r="H5478" i="66"/>
  <c r="G5478" i="66"/>
  <c r="E5478" i="66"/>
  <c r="I5477" i="66"/>
  <c r="H5477" i="66"/>
  <c r="G5477" i="66"/>
  <c r="E5477" i="66"/>
  <c r="I5476" i="66"/>
  <c r="H5476" i="66"/>
  <c r="G5476" i="66"/>
  <c r="E5476" i="66"/>
  <c r="I5475" i="66"/>
  <c r="H5475" i="66"/>
  <c r="G5475" i="66"/>
  <c r="E5475" i="66"/>
  <c r="I5474" i="66"/>
  <c r="H5474" i="66"/>
  <c r="G5474" i="66"/>
  <c r="E5474" i="66"/>
  <c r="I5473" i="66"/>
  <c r="H5473" i="66"/>
  <c r="G5473" i="66"/>
  <c r="E5473" i="66"/>
  <c r="I5472" i="66"/>
  <c r="H5472" i="66"/>
  <c r="G5472" i="66"/>
  <c r="E5472" i="66"/>
  <c r="I5471" i="66"/>
  <c r="H5471" i="66"/>
  <c r="G5471" i="66"/>
  <c r="E5471" i="66"/>
  <c r="I5470" i="66"/>
  <c r="H5470" i="66"/>
  <c r="G5470" i="66"/>
  <c r="E5470" i="66"/>
  <c r="I5469" i="66"/>
  <c r="H5469" i="66"/>
  <c r="G5469" i="66"/>
  <c r="E5469" i="66"/>
  <c r="I5468" i="66"/>
  <c r="H5468" i="66"/>
  <c r="G5468" i="66"/>
  <c r="E5468" i="66"/>
  <c r="I5467" i="66"/>
  <c r="H5467" i="66"/>
  <c r="G5467" i="66"/>
  <c r="E5467" i="66"/>
  <c r="I5466" i="66"/>
  <c r="H5466" i="66"/>
  <c r="G5466" i="66"/>
  <c r="E5466" i="66"/>
  <c r="I5465" i="66"/>
  <c r="H5465" i="66"/>
  <c r="G5465" i="66"/>
  <c r="E5465" i="66"/>
  <c r="I5464" i="66"/>
  <c r="H5464" i="66"/>
  <c r="G5464" i="66"/>
  <c r="E5464" i="66"/>
  <c r="I5463" i="66"/>
  <c r="H5463" i="66"/>
  <c r="G5463" i="66"/>
  <c r="E5463" i="66"/>
  <c r="I5462" i="66"/>
  <c r="H5462" i="66"/>
  <c r="G5462" i="66"/>
  <c r="E5462" i="66"/>
  <c r="I5461" i="66"/>
  <c r="H5461" i="66"/>
  <c r="G5461" i="66"/>
  <c r="E5461" i="66"/>
  <c r="I5460" i="66"/>
  <c r="H5460" i="66"/>
  <c r="G5460" i="66"/>
  <c r="E5460" i="66"/>
  <c r="I5459" i="66"/>
  <c r="H5459" i="66"/>
  <c r="G5459" i="66"/>
  <c r="E5459" i="66"/>
  <c r="I5458" i="66"/>
  <c r="H5458" i="66"/>
  <c r="G5458" i="66"/>
  <c r="E5458" i="66"/>
  <c r="I5457" i="66"/>
  <c r="H5457" i="66"/>
  <c r="G5457" i="66"/>
  <c r="E5457" i="66"/>
  <c r="I5456" i="66"/>
  <c r="H5456" i="66"/>
  <c r="G5456" i="66"/>
  <c r="E5456" i="66"/>
  <c r="I5455" i="66"/>
  <c r="H5455" i="66"/>
  <c r="G5455" i="66"/>
  <c r="E5455" i="66"/>
  <c r="I5454" i="66"/>
  <c r="H5454" i="66"/>
  <c r="G5454" i="66"/>
  <c r="E5454" i="66"/>
  <c r="I5453" i="66"/>
  <c r="H5453" i="66"/>
  <c r="G5453" i="66"/>
  <c r="E5453" i="66"/>
  <c r="I5452" i="66"/>
  <c r="H5452" i="66"/>
  <c r="G5452" i="66"/>
  <c r="E5452" i="66"/>
  <c r="I5451" i="66"/>
  <c r="H5451" i="66"/>
  <c r="G5451" i="66"/>
  <c r="E5451" i="66"/>
  <c r="I5450" i="66"/>
  <c r="H5450" i="66"/>
  <c r="G5450" i="66"/>
  <c r="E5450" i="66"/>
  <c r="I5449" i="66"/>
  <c r="H5449" i="66"/>
  <c r="G5449" i="66"/>
  <c r="E5449" i="66"/>
  <c r="I5448" i="66"/>
  <c r="H5448" i="66"/>
  <c r="G5448" i="66"/>
  <c r="E5448" i="66"/>
  <c r="I5447" i="66"/>
  <c r="H5447" i="66"/>
  <c r="G5447" i="66"/>
  <c r="E5447" i="66"/>
  <c r="I5446" i="66"/>
  <c r="H5446" i="66"/>
  <c r="G5446" i="66"/>
  <c r="E5446" i="66"/>
  <c r="I5445" i="66"/>
  <c r="H5445" i="66"/>
  <c r="G5445" i="66"/>
  <c r="E5445" i="66"/>
  <c r="I5444" i="66"/>
  <c r="H5444" i="66"/>
  <c r="G5444" i="66"/>
  <c r="E5444" i="66"/>
  <c r="I5443" i="66"/>
  <c r="H5443" i="66"/>
  <c r="G5443" i="66"/>
  <c r="E5443" i="66"/>
  <c r="I5442" i="66"/>
  <c r="H5442" i="66"/>
  <c r="G5442" i="66"/>
  <c r="E5442" i="66"/>
  <c r="I5441" i="66"/>
  <c r="H5441" i="66"/>
  <c r="G5441" i="66"/>
  <c r="E5441" i="66"/>
  <c r="I5440" i="66"/>
  <c r="H5440" i="66"/>
  <c r="G5440" i="66"/>
  <c r="E5440" i="66"/>
  <c r="I5439" i="66"/>
  <c r="H5439" i="66"/>
  <c r="G5439" i="66"/>
  <c r="E5439" i="66"/>
  <c r="I5438" i="66"/>
  <c r="H5438" i="66"/>
  <c r="G5438" i="66"/>
  <c r="E5438" i="66"/>
  <c r="I5437" i="66"/>
  <c r="H5437" i="66"/>
  <c r="G5437" i="66"/>
  <c r="E5437" i="66"/>
  <c r="I5436" i="66"/>
  <c r="H5436" i="66"/>
  <c r="G5436" i="66"/>
  <c r="E5436" i="66"/>
  <c r="I5435" i="66"/>
  <c r="H5435" i="66"/>
  <c r="G5435" i="66"/>
  <c r="E5435" i="66"/>
  <c r="I5434" i="66"/>
  <c r="H5434" i="66"/>
  <c r="G5434" i="66"/>
  <c r="E5434" i="66"/>
  <c r="I5433" i="66"/>
  <c r="H5433" i="66"/>
  <c r="G5433" i="66"/>
  <c r="E5433" i="66"/>
  <c r="I5432" i="66"/>
  <c r="H5432" i="66"/>
  <c r="G5432" i="66"/>
  <c r="E5432" i="66"/>
  <c r="I5431" i="66"/>
  <c r="H5431" i="66"/>
  <c r="G5431" i="66"/>
  <c r="E5431" i="66"/>
  <c r="I5430" i="66"/>
  <c r="H5430" i="66"/>
  <c r="G5430" i="66"/>
  <c r="E5430" i="66"/>
  <c r="I5429" i="66"/>
  <c r="H5429" i="66"/>
  <c r="G5429" i="66"/>
  <c r="E5429" i="66"/>
  <c r="I5428" i="66"/>
  <c r="H5428" i="66"/>
  <c r="G5428" i="66"/>
  <c r="E5428" i="66"/>
  <c r="I5427" i="66"/>
  <c r="H5427" i="66"/>
  <c r="G5427" i="66"/>
  <c r="E5427" i="66"/>
  <c r="I5426" i="66"/>
  <c r="H5426" i="66"/>
  <c r="G5426" i="66"/>
  <c r="E5426" i="66"/>
  <c r="I5425" i="66"/>
  <c r="H5425" i="66"/>
  <c r="G5425" i="66"/>
  <c r="E5425" i="66"/>
  <c r="I5424" i="66"/>
  <c r="H5424" i="66"/>
  <c r="G5424" i="66"/>
  <c r="E5424" i="66"/>
  <c r="I5423" i="66"/>
  <c r="H5423" i="66"/>
  <c r="G5423" i="66"/>
  <c r="E5423" i="66"/>
  <c r="I5422" i="66"/>
  <c r="H5422" i="66"/>
  <c r="G5422" i="66"/>
  <c r="E5422" i="66"/>
  <c r="I5421" i="66"/>
  <c r="H5421" i="66"/>
  <c r="G5421" i="66"/>
  <c r="E5421" i="66"/>
  <c r="I5420" i="66"/>
  <c r="H5420" i="66"/>
  <c r="G5420" i="66"/>
  <c r="E5420" i="66"/>
  <c r="I5419" i="66"/>
  <c r="H5419" i="66"/>
  <c r="G5419" i="66"/>
  <c r="E5419" i="66"/>
  <c r="I5418" i="66"/>
  <c r="H5418" i="66"/>
  <c r="G5418" i="66"/>
  <c r="E5418" i="66"/>
  <c r="I5417" i="66"/>
  <c r="H5417" i="66"/>
  <c r="G5417" i="66"/>
  <c r="E5417" i="66"/>
  <c r="I5416" i="66"/>
  <c r="H5416" i="66"/>
  <c r="G5416" i="66"/>
  <c r="E5416" i="66"/>
  <c r="I5415" i="66"/>
  <c r="H5415" i="66"/>
  <c r="G5415" i="66"/>
  <c r="E5415" i="66"/>
  <c r="I5414" i="66"/>
  <c r="H5414" i="66"/>
  <c r="G5414" i="66"/>
  <c r="E5414" i="66"/>
  <c r="I5413" i="66"/>
  <c r="H5413" i="66"/>
  <c r="G5413" i="66"/>
  <c r="E5413" i="66"/>
  <c r="I5412" i="66"/>
  <c r="H5412" i="66"/>
  <c r="G5412" i="66"/>
  <c r="E5412" i="66"/>
  <c r="I5411" i="66"/>
  <c r="H5411" i="66"/>
  <c r="G5411" i="66"/>
  <c r="E5411" i="66"/>
  <c r="I5410" i="66"/>
  <c r="H5410" i="66"/>
  <c r="G5410" i="66"/>
  <c r="E5410" i="66"/>
  <c r="I5409" i="66"/>
  <c r="H5409" i="66"/>
  <c r="G5409" i="66"/>
  <c r="E5409" i="66"/>
  <c r="I5408" i="66"/>
  <c r="H5408" i="66"/>
  <c r="G5408" i="66"/>
  <c r="E5408" i="66"/>
  <c r="I5407" i="66"/>
  <c r="H5407" i="66"/>
  <c r="G5407" i="66"/>
  <c r="E5407" i="66"/>
  <c r="I5406" i="66"/>
  <c r="H5406" i="66"/>
  <c r="G5406" i="66"/>
  <c r="E5406" i="66"/>
  <c r="I5405" i="66"/>
  <c r="H5405" i="66"/>
  <c r="G5405" i="66"/>
  <c r="E5405" i="66"/>
  <c r="I5404" i="66"/>
  <c r="H5404" i="66"/>
  <c r="G5404" i="66"/>
  <c r="D5404" i="66" s="1"/>
  <c r="E5404" i="66"/>
  <c r="I5403" i="66"/>
  <c r="H5403" i="66"/>
  <c r="G5403" i="66"/>
  <c r="E5403" i="66"/>
  <c r="I5402" i="66"/>
  <c r="H5402" i="66"/>
  <c r="G5402" i="66"/>
  <c r="E5402" i="66"/>
  <c r="I5401" i="66"/>
  <c r="H5401" i="66"/>
  <c r="G5401" i="66"/>
  <c r="E5401" i="66"/>
  <c r="I5400" i="66"/>
  <c r="H5400" i="66"/>
  <c r="G5400" i="66"/>
  <c r="E5400" i="66"/>
  <c r="I5399" i="66"/>
  <c r="H5399" i="66"/>
  <c r="G5399" i="66"/>
  <c r="E5399" i="66"/>
  <c r="I5398" i="66"/>
  <c r="H5398" i="66"/>
  <c r="G5398" i="66"/>
  <c r="E5398" i="66"/>
  <c r="I5397" i="66"/>
  <c r="H5397" i="66"/>
  <c r="G5397" i="66"/>
  <c r="E5397" i="66"/>
  <c r="I5396" i="66"/>
  <c r="H5396" i="66"/>
  <c r="G5396" i="66"/>
  <c r="E5396" i="66"/>
  <c r="I5395" i="66"/>
  <c r="H5395" i="66"/>
  <c r="G5395" i="66"/>
  <c r="E5395" i="66"/>
  <c r="I5394" i="66"/>
  <c r="H5394" i="66"/>
  <c r="G5394" i="66"/>
  <c r="E5394" i="66"/>
  <c r="I5393" i="66"/>
  <c r="H5393" i="66"/>
  <c r="G5393" i="66"/>
  <c r="E5393" i="66"/>
  <c r="I5392" i="66"/>
  <c r="H5392" i="66"/>
  <c r="G5392" i="66"/>
  <c r="E5392" i="66"/>
  <c r="I5391" i="66"/>
  <c r="H5391" i="66"/>
  <c r="G5391" i="66"/>
  <c r="E5391" i="66"/>
  <c r="I5390" i="66"/>
  <c r="H5390" i="66"/>
  <c r="G5390" i="66"/>
  <c r="E5390" i="66"/>
  <c r="I5389" i="66"/>
  <c r="H5389" i="66"/>
  <c r="G5389" i="66"/>
  <c r="D5389" i="66" s="1"/>
  <c r="E5389" i="66"/>
  <c r="I5388" i="66"/>
  <c r="H5388" i="66"/>
  <c r="G5388" i="66"/>
  <c r="E5388" i="66"/>
  <c r="I5387" i="66"/>
  <c r="H5387" i="66"/>
  <c r="G5387" i="66"/>
  <c r="E5387" i="66"/>
  <c r="I5386" i="66"/>
  <c r="H5386" i="66"/>
  <c r="G5386" i="66"/>
  <c r="D5386" i="66" s="1"/>
  <c r="E5386" i="66"/>
  <c r="I5385" i="66"/>
  <c r="H5385" i="66"/>
  <c r="G5385" i="66"/>
  <c r="E5385" i="66"/>
  <c r="I5384" i="66"/>
  <c r="H5384" i="66"/>
  <c r="G5384" i="66"/>
  <c r="E5384" i="66"/>
  <c r="I5383" i="66"/>
  <c r="H5383" i="66"/>
  <c r="G5383" i="66"/>
  <c r="E5383" i="66"/>
  <c r="I5382" i="66"/>
  <c r="H5382" i="66"/>
  <c r="G5382" i="66"/>
  <c r="E5382" i="66"/>
  <c r="I5381" i="66"/>
  <c r="H5381" i="66"/>
  <c r="G5381" i="66"/>
  <c r="E5381" i="66"/>
  <c r="I5380" i="66"/>
  <c r="H5380" i="66"/>
  <c r="G5380" i="66"/>
  <c r="E5380" i="66"/>
  <c r="I5379" i="66"/>
  <c r="H5379" i="66"/>
  <c r="G5379" i="66"/>
  <c r="E5379" i="66"/>
  <c r="I5378" i="66"/>
  <c r="H5378" i="66"/>
  <c r="G5378" i="66"/>
  <c r="E5378" i="66"/>
  <c r="I5377" i="66"/>
  <c r="H5377" i="66"/>
  <c r="G5377" i="66"/>
  <c r="E5377" i="66"/>
  <c r="I5376" i="66"/>
  <c r="H5376" i="66"/>
  <c r="G5376" i="66"/>
  <c r="E5376" i="66"/>
  <c r="I5375" i="66"/>
  <c r="H5375" i="66"/>
  <c r="G5375" i="66"/>
  <c r="E5375" i="66"/>
  <c r="I5374" i="66"/>
  <c r="H5374" i="66"/>
  <c r="G5374" i="66"/>
  <c r="E5374" i="66"/>
  <c r="I5373" i="66"/>
  <c r="H5373" i="66"/>
  <c r="G5373" i="66"/>
  <c r="E5373" i="66"/>
  <c r="I5372" i="66"/>
  <c r="H5372" i="66"/>
  <c r="G5372" i="66"/>
  <c r="E5372" i="66"/>
  <c r="I5371" i="66"/>
  <c r="H5371" i="66"/>
  <c r="G5371" i="66"/>
  <c r="E5371" i="66"/>
  <c r="I5370" i="66"/>
  <c r="H5370" i="66"/>
  <c r="G5370" i="66"/>
  <c r="E5370" i="66"/>
  <c r="I5369" i="66"/>
  <c r="H5369" i="66"/>
  <c r="G5369" i="66"/>
  <c r="E5369" i="66"/>
  <c r="I5368" i="66"/>
  <c r="H5368" i="66"/>
  <c r="G5368" i="66"/>
  <c r="E5368" i="66"/>
  <c r="I5367" i="66"/>
  <c r="H5367" i="66"/>
  <c r="G5367" i="66"/>
  <c r="E5367" i="66"/>
  <c r="I5366" i="66"/>
  <c r="H5366" i="66"/>
  <c r="G5366" i="66"/>
  <c r="E5366" i="66"/>
  <c r="I5365" i="66"/>
  <c r="H5365" i="66"/>
  <c r="G5365" i="66"/>
  <c r="E5365" i="66"/>
  <c r="I5364" i="66"/>
  <c r="H5364" i="66"/>
  <c r="G5364" i="66"/>
  <c r="E5364" i="66"/>
  <c r="I5363" i="66"/>
  <c r="H5363" i="66"/>
  <c r="G5363" i="66"/>
  <c r="E5363" i="66"/>
  <c r="I5362" i="66"/>
  <c r="H5362" i="66"/>
  <c r="G5362" i="66"/>
  <c r="D5362" i="66" s="1"/>
  <c r="E5362" i="66"/>
  <c r="I5361" i="66"/>
  <c r="H5361" i="66"/>
  <c r="G5361" i="66"/>
  <c r="E5361" i="66"/>
  <c r="I5360" i="66"/>
  <c r="H5360" i="66"/>
  <c r="G5360" i="66"/>
  <c r="E5360" i="66"/>
  <c r="I5359" i="66"/>
  <c r="H5359" i="66"/>
  <c r="G5359" i="66"/>
  <c r="E5359" i="66"/>
  <c r="I5358" i="66"/>
  <c r="H5358" i="66"/>
  <c r="G5358" i="66"/>
  <c r="E5358" i="66"/>
  <c r="I5357" i="66"/>
  <c r="H5357" i="66"/>
  <c r="G5357" i="66"/>
  <c r="E5357" i="66"/>
  <c r="I5356" i="66"/>
  <c r="H5356" i="66"/>
  <c r="G5356" i="66"/>
  <c r="E5356" i="66"/>
  <c r="I5355" i="66"/>
  <c r="H5355" i="66"/>
  <c r="G5355" i="66"/>
  <c r="E5355" i="66"/>
  <c r="I5354" i="66"/>
  <c r="H5354" i="66"/>
  <c r="G5354" i="66"/>
  <c r="E5354" i="66"/>
  <c r="I5353" i="66"/>
  <c r="H5353" i="66"/>
  <c r="G5353" i="66"/>
  <c r="E5353" i="66"/>
  <c r="I5352" i="66"/>
  <c r="H5352" i="66"/>
  <c r="G5352" i="66"/>
  <c r="E5352" i="66"/>
  <c r="I5351" i="66"/>
  <c r="H5351" i="66"/>
  <c r="G5351" i="66"/>
  <c r="E5351" i="66"/>
  <c r="I5350" i="66"/>
  <c r="H5350" i="66"/>
  <c r="G5350" i="66"/>
  <c r="D5350" i="66" s="1"/>
  <c r="E5350" i="66"/>
  <c r="I5349" i="66"/>
  <c r="H5349" i="66"/>
  <c r="G5349" i="66"/>
  <c r="E5349" i="66"/>
  <c r="I5348" i="66"/>
  <c r="H5348" i="66"/>
  <c r="G5348" i="66"/>
  <c r="E5348" i="66"/>
  <c r="I5347" i="66"/>
  <c r="H5347" i="66"/>
  <c r="G5347" i="66"/>
  <c r="E5347" i="66"/>
  <c r="I5346" i="66"/>
  <c r="H5346" i="66"/>
  <c r="G5346" i="66"/>
  <c r="E5346" i="66"/>
  <c r="I5345" i="66"/>
  <c r="H5345" i="66"/>
  <c r="G5345" i="66"/>
  <c r="E5345" i="66"/>
  <c r="I5344" i="66"/>
  <c r="H5344" i="66"/>
  <c r="G5344" i="66"/>
  <c r="E5344" i="66"/>
  <c r="I5343" i="66"/>
  <c r="H5343" i="66"/>
  <c r="G5343" i="66"/>
  <c r="E5343" i="66"/>
  <c r="I5342" i="66"/>
  <c r="H5342" i="66"/>
  <c r="G5342" i="66"/>
  <c r="E5342" i="66"/>
  <c r="I5341" i="66"/>
  <c r="H5341" i="66"/>
  <c r="G5341" i="66"/>
  <c r="E5341" i="66"/>
  <c r="I5340" i="66"/>
  <c r="H5340" i="66"/>
  <c r="G5340" i="66"/>
  <c r="E5340" i="66"/>
  <c r="I5339" i="66"/>
  <c r="H5339" i="66"/>
  <c r="G5339" i="66"/>
  <c r="E5339" i="66"/>
  <c r="I5338" i="66"/>
  <c r="H5338" i="66"/>
  <c r="G5338" i="66"/>
  <c r="E5338" i="66"/>
  <c r="I5337" i="66"/>
  <c r="H5337" i="66"/>
  <c r="G5337" i="66"/>
  <c r="E5337" i="66"/>
  <c r="I5336" i="66"/>
  <c r="H5336" i="66"/>
  <c r="G5336" i="66"/>
  <c r="E5336" i="66"/>
  <c r="I5335" i="66"/>
  <c r="H5335" i="66"/>
  <c r="G5335" i="66"/>
  <c r="D5335" i="66" s="1"/>
  <c r="E5335" i="66"/>
  <c r="I5334" i="66"/>
  <c r="H5334" i="66"/>
  <c r="G5334" i="66"/>
  <c r="E5334" i="66"/>
  <c r="I5333" i="66"/>
  <c r="H5333" i="66"/>
  <c r="G5333" i="66"/>
  <c r="E5333" i="66"/>
  <c r="I5332" i="66"/>
  <c r="H5332" i="66"/>
  <c r="G5332" i="66"/>
  <c r="E5332" i="66"/>
  <c r="I5331" i="66"/>
  <c r="H5331" i="66"/>
  <c r="G5331" i="66"/>
  <c r="E5331" i="66"/>
  <c r="I5330" i="66"/>
  <c r="H5330" i="66"/>
  <c r="G5330" i="66"/>
  <c r="E5330" i="66"/>
  <c r="I5329" i="66"/>
  <c r="H5329" i="66"/>
  <c r="G5329" i="66"/>
  <c r="E5329" i="66"/>
  <c r="I5328" i="66"/>
  <c r="H5328" i="66"/>
  <c r="G5328" i="66"/>
  <c r="E5328" i="66"/>
  <c r="I5327" i="66"/>
  <c r="H5327" i="66"/>
  <c r="G5327" i="66"/>
  <c r="E5327" i="66"/>
  <c r="I5326" i="66"/>
  <c r="H5326" i="66"/>
  <c r="G5326" i="66"/>
  <c r="E5326" i="66"/>
  <c r="I5325" i="66"/>
  <c r="H5325" i="66"/>
  <c r="G5325" i="66"/>
  <c r="E5325" i="66"/>
  <c r="I5324" i="66"/>
  <c r="H5324" i="66"/>
  <c r="G5324" i="66"/>
  <c r="E5324" i="66"/>
  <c r="I5323" i="66"/>
  <c r="H5323" i="66"/>
  <c r="G5323" i="66"/>
  <c r="D5323" i="66" s="1"/>
  <c r="E5323" i="66"/>
  <c r="I5322" i="66"/>
  <c r="H5322" i="66"/>
  <c r="G5322" i="66"/>
  <c r="E5322" i="66"/>
  <c r="I5321" i="66"/>
  <c r="H5321" i="66"/>
  <c r="G5321" i="66"/>
  <c r="E5321" i="66"/>
  <c r="I5320" i="66"/>
  <c r="H5320" i="66"/>
  <c r="G5320" i="66"/>
  <c r="E5320" i="66"/>
  <c r="I5319" i="66"/>
  <c r="H5319" i="66"/>
  <c r="G5319" i="66"/>
  <c r="E5319" i="66"/>
  <c r="I5318" i="66"/>
  <c r="H5318" i="66"/>
  <c r="G5318" i="66"/>
  <c r="E5318" i="66"/>
  <c r="I5317" i="66"/>
  <c r="H5317" i="66"/>
  <c r="G5317" i="66"/>
  <c r="D5317" i="66" s="1"/>
  <c r="E5317" i="66"/>
  <c r="I5316" i="66"/>
  <c r="H5316" i="66"/>
  <c r="G5316" i="66"/>
  <c r="E5316" i="66"/>
  <c r="I5315" i="66"/>
  <c r="H5315" i="66"/>
  <c r="G5315" i="66"/>
  <c r="E5315" i="66"/>
  <c r="I5314" i="66"/>
  <c r="H5314" i="66"/>
  <c r="G5314" i="66"/>
  <c r="E5314" i="66"/>
  <c r="I5313" i="66"/>
  <c r="H5313" i="66"/>
  <c r="G5313" i="66"/>
  <c r="E5313" i="66"/>
  <c r="I5312" i="66"/>
  <c r="H5312" i="66"/>
  <c r="G5312" i="66"/>
  <c r="E5312" i="66"/>
  <c r="I5311" i="66"/>
  <c r="H5311" i="66"/>
  <c r="G5311" i="66"/>
  <c r="E5311" i="66"/>
  <c r="I5310" i="66"/>
  <c r="H5310" i="66"/>
  <c r="G5310" i="66"/>
  <c r="E5310" i="66"/>
  <c r="I5309" i="66"/>
  <c r="H5309" i="66"/>
  <c r="G5309" i="66"/>
  <c r="E5309" i="66"/>
  <c r="I5308" i="66"/>
  <c r="H5308" i="66"/>
  <c r="G5308" i="66"/>
  <c r="E5308" i="66"/>
  <c r="I5307" i="66"/>
  <c r="H5307" i="66"/>
  <c r="G5307" i="66"/>
  <c r="E5307" i="66"/>
  <c r="I5306" i="66"/>
  <c r="H5306" i="66"/>
  <c r="G5306" i="66"/>
  <c r="E5306" i="66"/>
  <c r="I5305" i="66"/>
  <c r="H5305" i="66"/>
  <c r="G5305" i="66"/>
  <c r="E5305" i="66"/>
  <c r="I5304" i="66"/>
  <c r="H5304" i="66"/>
  <c r="G5304" i="66"/>
  <c r="E5304" i="66"/>
  <c r="I5303" i="66"/>
  <c r="H5303" i="66"/>
  <c r="G5303" i="66"/>
  <c r="E5303" i="66"/>
  <c r="I5302" i="66"/>
  <c r="H5302" i="66"/>
  <c r="G5302" i="66"/>
  <c r="E5302" i="66"/>
  <c r="I5301" i="66"/>
  <c r="H5301" i="66"/>
  <c r="G5301" i="66"/>
  <c r="E5301" i="66"/>
  <c r="I5300" i="66"/>
  <c r="H5300" i="66"/>
  <c r="G5300" i="66"/>
  <c r="E5300" i="66"/>
  <c r="I5299" i="66"/>
  <c r="H5299" i="66"/>
  <c r="G5299" i="66"/>
  <c r="E5299" i="66"/>
  <c r="I5298" i="66"/>
  <c r="H5298" i="66"/>
  <c r="G5298" i="66"/>
  <c r="E5298" i="66"/>
  <c r="I5297" i="66"/>
  <c r="H5297" i="66"/>
  <c r="G5297" i="66"/>
  <c r="E5297" i="66"/>
  <c r="I5296" i="66"/>
  <c r="H5296" i="66"/>
  <c r="G5296" i="66"/>
  <c r="E5296" i="66"/>
  <c r="I5295" i="66"/>
  <c r="H5295" i="66"/>
  <c r="G5295" i="66"/>
  <c r="E5295" i="66"/>
  <c r="I5294" i="66"/>
  <c r="H5294" i="66"/>
  <c r="G5294" i="66"/>
  <c r="E5294" i="66"/>
  <c r="I5293" i="66"/>
  <c r="H5293" i="66"/>
  <c r="G5293" i="66"/>
  <c r="E5293" i="66"/>
  <c r="I5292" i="66"/>
  <c r="H5292" i="66"/>
  <c r="G5292" i="66"/>
  <c r="E5292" i="66"/>
  <c r="I5291" i="66"/>
  <c r="H5291" i="66"/>
  <c r="G5291" i="66"/>
  <c r="E5291" i="66"/>
  <c r="I5290" i="66"/>
  <c r="H5290" i="66"/>
  <c r="G5290" i="66"/>
  <c r="E5290" i="66"/>
  <c r="I5289" i="66"/>
  <c r="H5289" i="66"/>
  <c r="G5289" i="66"/>
  <c r="E5289" i="66"/>
  <c r="I5288" i="66"/>
  <c r="H5288" i="66"/>
  <c r="G5288" i="66"/>
  <c r="E5288" i="66"/>
  <c r="I5287" i="66"/>
  <c r="H5287" i="66"/>
  <c r="G5287" i="66"/>
  <c r="E5287" i="66"/>
  <c r="I5286" i="66"/>
  <c r="H5286" i="66"/>
  <c r="G5286" i="66"/>
  <c r="E5286" i="66"/>
  <c r="I5285" i="66"/>
  <c r="H5285" i="66"/>
  <c r="G5285" i="66"/>
  <c r="E5285" i="66"/>
  <c r="I5284" i="66"/>
  <c r="H5284" i="66"/>
  <c r="G5284" i="66"/>
  <c r="E5284" i="66"/>
  <c r="I5283" i="66"/>
  <c r="H5283" i="66"/>
  <c r="G5283" i="66"/>
  <c r="E5283" i="66"/>
  <c r="I5282" i="66"/>
  <c r="H5282" i="66"/>
  <c r="G5282" i="66"/>
  <c r="E5282" i="66"/>
  <c r="I5281" i="66"/>
  <c r="H5281" i="66"/>
  <c r="G5281" i="66"/>
  <c r="D5281" i="66" s="1"/>
  <c r="E5281" i="66"/>
  <c r="I5280" i="66"/>
  <c r="H5280" i="66"/>
  <c r="G5280" i="66"/>
  <c r="E5280" i="66"/>
  <c r="I5279" i="66"/>
  <c r="H5279" i="66"/>
  <c r="G5279" i="66"/>
  <c r="E5279" i="66"/>
  <c r="I5278" i="66"/>
  <c r="H5278" i="66"/>
  <c r="G5278" i="66"/>
  <c r="D5278" i="66" s="1"/>
  <c r="E5278" i="66"/>
  <c r="I5277" i="66"/>
  <c r="H5277" i="66"/>
  <c r="G5277" i="66"/>
  <c r="E5277" i="66"/>
  <c r="I5276" i="66"/>
  <c r="H5276" i="66"/>
  <c r="G5276" i="66"/>
  <c r="E5276" i="66"/>
  <c r="I5275" i="66"/>
  <c r="H5275" i="66"/>
  <c r="G5275" i="66"/>
  <c r="E5275" i="66"/>
  <c r="I5274" i="66"/>
  <c r="H5274" i="66"/>
  <c r="G5274" i="66"/>
  <c r="E5274" i="66"/>
  <c r="I5273" i="66"/>
  <c r="H5273" i="66"/>
  <c r="G5273" i="66"/>
  <c r="E5273" i="66"/>
  <c r="I5272" i="66"/>
  <c r="H5272" i="66"/>
  <c r="G5272" i="66"/>
  <c r="E5272" i="66"/>
  <c r="I5271" i="66"/>
  <c r="H5271" i="66"/>
  <c r="G5271" i="66"/>
  <c r="E5271" i="66"/>
  <c r="I5270" i="66"/>
  <c r="H5270" i="66"/>
  <c r="G5270" i="66"/>
  <c r="E5270" i="66"/>
  <c r="I5269" i="66"/>
  <c r="H5269" i="66"/>
  <c r="G5269" i="66"/>
  <c r="E5269" i="66"/>
  <c r="I5268" i="66"/>
  <c r="H5268" i="66"/>
  <c r="G5268" i="66"/>
  <c r="E5268" i="66"/>
  <c r="I5267" i="66"/>
  <c r="H5267" i="66"/>
  <c r="G5267" i="66"/>
  <c r="E5267" i="66"/>
  <c r="I5266" i="66"/>
  <c r="H5266" i="66"/>
  <c r="G5266" i="66"/>
  <c r="E5266" i="66"/>
  <c r="I5265" i="66"/>
  <c r="H5265" i="66"/>
  <c r="G5265" i="66"/>
  <c r="E5265" i="66"/>
  <c r="I5264" i="66"/>
  <c r="H5264" i="66"/>
  <c r="G5264" i="66"/>
  <c r="E5264" i="66"/>
  <c r="I5263" i="66"/>
  <c r="H5263" i="66"/>
  <c r="G5263" i="66"/>
  <c r="E5263" i="66"/>
  <c r="I5262" i="66"/>
  <c r="H5262" i="66"/>
  <c r="G5262" i="66"/>
  <c r="E5262" i="66"/>
  <c r="I5261" i="66"/>
  <c r="H5261" i="66"/>
  <c r="G5261" i="66"/>
  <c r="E5261" i="66"/>
  <c r="I5260" i="66"/>
  <c r="H5260" i="66"/>
  <c r="G5260" i="66"/>
  <c r="E5260" i="66"/>
  <c r="I5259" i="66"/>
  <c r="H5259" i="66"/>
  <c r="G5259" i="66"/>
  <c r="E5259" i="66"/>
  <c r="I5258" i="66"/>
  <c r="H5258" i="66"/>
  <c r="G5258" i="66"/>
  <c r="E5258" i="66"/>
  <c r="I5257" i="66"/>
  <c r="H5257" i="66"/>
  <c r="G5257" i="66"/>
  <c r="E5257" i="66"/>
  <c r="I5256" i="66"/>
  <c r="H5256" i="66"/>
  <c r="G5256" i="66"/>
  <c r="E5256" i="66"/>
  <c r="I5255" i="66"/>
  <c r="H5255" i="66"/>
  <c r="G5255" i="66"/>
  <c r="E5255" i="66"/>
  <c r="I5254" i="66"/>
  <c r="H5254" i="66"/>
  <c r="G5254" i="66"/>
  <c r="E5254" i="66"/>
  <c r="I5253" i="66"/>
  <c r="H5253" i="66"/>
  <c r="G5253" i="66"/>
  <c r="E5253" i="66"/>
  <c r="I5252" i="66"/>
  <c r="H5252" i="66"/>
  <c r="G5252" i="66"/>
  <c r="E5252" i="66"/>
  <c r="I5251" i="66"/>
  <c r="H5251" i="66"/>
  <c r="G5251" i="66"/>
  <c r="E5251" i="66"/>
  <c r="I5250" i="66"/>
  <c r="H5250" i="66"/>
  <c r="G5250" i="66"/>
  <c r="E5250" i="66"/>
  <c r="I5249" i="66"/>
  <c r="H5249" i="66"/>
  <c r="G5249" i="66"/>
  <c r="E5249" i="66"/>
  <c r="I5248" i="66"/>
  <c r="H5248" i="66"/>
  <c r="G5248" i="66"/>
  <c r="E5248" i="66"/>
  <c r="I5247" i="66"/>
  <c r="H5247" i="66"/>
  <c r="G5247" i="66"/>
  <c r="E5247" i="66"/>
  <c r="I5246" i="66"/>
  <c r="H5246" i="66"/>
  <c r="G5246" i="66"/>
  <c r="E5246" i="66"/>
  <c r="I5245" i="66"/>
  <c r="H5245" i="66"/>
  <c r="G5245" i="66"/>
  <c r="E5245" i="66"/>
  <c r="I5244" i="66"/>
  <c r="H5244" i="66"/>
  <c r="G5244" i="66"/>
  <c r="E5244" i="66"/>
  <c r="I5243" i="66"/>
  <c r="H5243" i="66"/>
  <c r="G5243" i="66"/>
  <c r="E5243" i="66"/>
  <c r="I5242" i="66"/>
  <c r="H5242" i="66"/>
  <c r="G5242" i="66"/>
  <c r="E5242" i="66"/>
  <c r="I5241" i="66"/>
  <c r="H5241" i="66"/>
  <c r="G5241" i="66"/>
  <c r="E5241" i="66"/>
  <c r="I5240" i="66"/>
  <c r="H5240" i="66"/>
  <c r="G5240" i="66"/>
  <c r="E5240" i="66"/>
  <c r="I5239" i="66"/>
  <c r="H5239" i="66"/>
  <c r="G5239" i="66"/>
  <c r="E5239" i="66"/>
  <c r="I5238" i="66"/>
  <c r="H5238" i="66"/>
  <c r="G5238" i="66"/>
  <c r="E5238" i="66"/>
  <c r="I5237" i="66"/>
  <c r="H5237" i="66"/>
  <c r="G5237" i="66"/>
  <c r="E5237" i="66"/>
  <c r="I5236" i="66"/>
  <c r="H5236" i="66"/>
  <c r="G5236" i="66"/>
  <c r="E5236" i="66"/>
  <c r="I5235" i="66"/>
  <c r="H5235" i="66"/>
  <c r="G5235" i="66"/>
  <c r="E5235" i="66"/>
  <c r="I5234" i="66"/>
  <c r="H5234" i="66"/>
  <c r="G5234" i="66"/>
  <c r="E5234" i="66"/>
  <c r="I5233" i="66"/>
  <c r="H5233" i="66"/>
  <c r="G5233" i="66"/>
  <c r="D5233" i="66" s="1"/>
  <c r="E5233" i="66"/>
  <c r="I5232" i="66"/>
  <c r="H5232" i="66"/>
  <c r="G5232" i="66"/>
  <c r="E5232" i="66"/>
  <c r="I5231" i="66"/>
  <c r="H5231" i="66"/>
  <c r="G5231" i="66"/>
  <c r="E5231" i="66"/>
  <c r="I5230" i="66"/>
  <c r="H5230" i="66"/>
  <c r="G5230" i="66"/>
  <c r="E5230" i="66"/>
  <c r="I5229" i="66"/>
  <c r="H5229" i="66"/>
  <c r="G5229" i="66"/>
  <c r="E5229" i="66"/>
  <c r="I5228" i="66"/>
  <c r="H5228" i="66"/>
  <c r="G5228" i="66"/>
  <c r="E5228" i="66"/>
  <c r="I5227" i="66"/>
  <c r="H5227" i="66"/>
  <c r="G5227" i="66"/>
  <c r="E5227" i="66"/>
  <c r="I5226" i="66"/>
  <c r="H5226" i="66"/>
  <c r="G5226" i="66"/>
  <c r="E5226" i="66"/>
  <c r="I5225" i="66"/>
  <c r="H5225" i="66"/>
  <c r="G5225" i="66"/>
  <c r="E5225" i="66"/>
  <c r="I5224" i="66"/>
  <c r="H5224" i="66"/>
  <c r="G5224" i="66"/>
  <c r="E5224" i="66"/>
  <c r="I5223" i="66"/>
  <c r="H5223" i="66"/>
  <c r="G5223" i="66"/>
  <c r="E5223" i="66"/>
  <c r="I5222" i="66"/>
  <c r="H5222" i="66"/>
  <c r="G5222" i="66"/>
  <c r="E5222" i="66"/>
  <c r="I5221" i="66"/>
  <c r="H5221" i="66"/>
  <c r="G5221" i="66"/>
  <c r="E5221" i="66"/>
  <c r="I5220" i="66"/>
  <c r="H5220" i="66"/>
  <c r="G5220" i="66"/>
  <c r="E5220" i="66"/>
  <c r="I5219" i="66"/>
  <c r="H5219" i="66"/>
  <c r="G5219" i="66"/>
  <c r="E5219" i="66"/>
  <c r="I5218" i="66"/>
  <c r="H5218" i="66"/>
  <c r="G5218" i="66"/>
  <c r="E5218" i="66"/>
  <c r="I5217" i="66"/>
  <c r="H5217" i="66"/>
  <c r="G5217" i="66"/>
  <c r="E5217" i="66"/>
  <c r="I5216" i="66"/>
  <c r="H5216" i="66"/>
  <c r="G5216" i="66"/>
  <c r="E5216" i="66"/>
  <c r="I5215" i="66"/>
  <c r="H5215" i="66"/>
  <c r="G5215" i="66"/>
  <c r="E5215" i="66"/>
  <c r="I5214" i="66"/>
  <c r="H5214" i="66"/>
  <c r="G5214" i="66"/>
  <c r="E5214" i="66"/>
  <c r="I5213" i="66"/>
  <c r="H5213" i="66"/>
  <c r="G5213" i="66"/>
  <c r="E5213" i="66"/>
  <c r="I5212" i="66"/>
  <c r="H5212" i="66"/>
  <c r="G5212" i="66"/>
  <c r="E5212" i="66"/>
  <c r="I5211" i="66"/>
  <c r="H5211" i="66"/>
  <c r="G5211" i="66"/>
  <c r="E5211" i="66"/>
  <c r="I5210" i="66"/>
  <c r="H5210" i="66"/>
  <c r="G5210" i="66"/>
  <c r="E5210" i="66"/>
  <c r="I5209" i="66"/>
  <c r="H5209" i="66"/>
  <c r="G5209" i="66"/>
  <c r="D5209" i="66" s="1"/>
  <c r="E5209" i="66"/>
  <c r="I5208" i="66"/>
  <c r="H5208" i="66"/>
  <c r="G5208" i="66"/>
  <c r="E5208" i="66"/>
  <c r="I5207" i="66"/>
  <c r="H5207" i="66"/>
  <c r="G5207" i="66"/>
  <c r="E5207" i="66"/>
  <c r="I5206" i="66"/>
  <c r="H5206" i="66"/>
  <c r="G5206" i="66"/>
  <c r="D5206" i="66" s="1"/>
  <c r="E5206" i="66"/>
  <c r="I5205" i="66"/>
  <c r="H5205" i="66"/>
  <c r="G5205" i="66"/>
  <c r="E5205" i="66"/>
  <c r="I5204" i="66"/>
  <c r="H5204" i="66"/>
  <c r="G5204" i="66"/>
  <c r="E5204" i="66"/>
  <c r="I5203" i="66"/>
  <c r="H5203" i="66"/>
  <c r="G5203" i="66"/>
  <c r="E5203" i="66"/>
  <c r="I5202" i="66"/>
  <c r="H5202" i="66"/>
  <c r="G5202" i="66"/>
  <c r="E5202" i="66"/>
  <c r="I5201" i="66"/>
  <c r="H5201" i="66"/>
  <c r="G5201" i="66"/>
  <c r="E5201" i="66"/>
  <c r="I5200" i="66"/>
  <c r="H5200" i="66"/>
  <c r="G5200" i="66"/>
  <c r="E5200" i="66"/>
  <c r="I5199" i="66"/>
  <c r="H5199" i="66"/>
  <c r="G5199" i="66"/>
  <c r="E5199" i="66"/>
  <c r="I5198" i="66"/>
  <c r="H5198" i="66"/>
  <c r="G5198" i="66"/>
  <c r="E5198" i="66"/>
  <c r="I5197" i="66"/>
  <c r="H5197" i="66"/>
  <c r="G5197" i="66"/>
  <c r="E5197" i="66"/>
  <c r="I5196" i="66"/>
  <c r="H5196" i="66"/>
  <c r="G5196" i="66"/>
  <c r="E5196" i="66"/>
  <c r="I5195" i="66"/>
  <c r="H5195" i="66"/>
  <c r="G5195" i="66"/>
  <c r="E5195" i="66"/>
  <c r="I5194" i="66"/>
  <c r="H5194" i="66"/>
  <c r="G5194" i="66"/>
  <c r="D5194" i="66" s="1"/>
  <c r="E5194" i="66"/>
  <c r="I5193" i="66"/>
  <c r="H5193" i="66"/>
  <c r="G5193" i="66"/>
  <c r="E5193" i="66"/>
  <c r="I5192" i="66"/>
  <c r="H5192" i="66"/>
  <c r="G5192" i="66"/>
  <c r="E5192" i="66"/>
  <c r="I5191" i="66"/>
  <c r="H5191" i="66"/>
  <c r="G5191" i="66"/>
  <c r="D5191" i="66" s="1"/>
  <c r="E5191" i="66"/>
  <c r="I5190" i="66"/>
  <c r="H5190" i="66"/>
  <c r="G5190" i="66"/>
  <c r="E5190" i="66"/>
  <c r="I5189" i="66"/>
  <c r="H5189" i="66"/>
  <c r="G5189" i="66"/>
  <c r="E5189" i="66"/>
  <c r="I5188" i="66"/>
  <c r="H5188" i="66"/>
  <c r="G5188" i="66"/>
  <c r="D5188" i="66" s="1"/>
  <c r="E5188" i="66"/>
  <c r="I5187" i="66"/>
  <c r="H5187" i="66"/>
  <c r="G5187" i="66"/>
  <c r="E5187" i="66"/>
  <c r="I5186" i="66"/>
  <c r="H5186" i="66"/>
  <c r="G5186" i="66"/>
  <c r="E5186" i="66"/>
  <c r="I5185" i="66"/>
  <c r="H5185" i="66"/>
  <c r="G5185" i="66"/>
  <c r="E5185" i="66"/>
  <c r="I5184" i="66"/>
  <c r="H5184" i="66"/>
  <c r="G5184" i="66"/>
  <c r="E5184" i="66"/>
  <c r="I5183" i="66"/>
  <c r="H5183" i="66"/>
  <c r="G5183" i="66"/>
  <c r="E5183" i="66"/>
  <c r="I5182" i="66"/>
  <c r="H5182" i="66"/>
  <c r="G5182" i="66"/>
  <c r="D5182" i="66" s="1"/>
  <c r="E5182" i="66"/>
  <c r="I5181" i="66"/>
  <c r="H5181" i="66"/>
  <c r="G5181" i="66"/>
  <c r="E5181" i="66"/>
  <c r="I5180" i="66"/>
  <c r="H5180" i="66"/>
  <c r="G5180" i="66"/>
  <c r="E5180" i="66"/>
  <c r="I5179" i="66"/>
  <c r="H5179" i="66"/>
  <c r="G5179" i="66"/>
  <c r="E5179" i="66"/>
  <c r="I5178" i="66"/>
  <c r="H5178" i="66"/>
  <c r="G5178" i="66"/>
  <c r="E5178" i="66"/>
  <c r="I5177" i="66"/>
  <c r="H5177" i="66"/>
  <c r="G5177" i="66"/>
  <c r="E5177" i="66"/>
  <c r="I5176" i="66"/>
  <c r="H5176" i="66"/>
  <c r="G5176" i="66"/>
  <c r="E5176" i="66"/>
  <c r="I5175" i="66"/>
  <c r="H5175" i="66"/>
  <c r="G5175" i="66"/>
  <c r="E5175" i="66"/>
  <c r="I5174" i="66"/>
  <c r="H5174" i="66"/>
  <c r="G5174" i="66"/>
  <c r="E5174" i="66"/>
  <c r="I5173" i="66"/>
  <c r="H5173" i="66"/>
  <c r="G5173" i="66"/>
  <c r="E5173" i="66"/>
  <c r="I5172" i="66"/>
  <c r="H5172" i="66"/>
  <c r="G5172" i="66"/>
  <c r="E5172" i="66"/>
  <c r="I5171" i="66"/>
  <c r="H5171" i="66"/>
  <c r="G5171" i="66"/>
  <c r="E5171" i="66"/>
  <c r="I5170" i="66"/>
  <c r="H5170" i="66"/>
  <c r="G5170" i="66"/>
  <c r="E5170" i="66"/>
  <c r="I5169" i="66"/>
  <c r="H5169" i="66"/>
  <c r="G5169" i="66"/>
  <c r="E5169" i="66"/>
  <c r="I5168" i="66"/>
  <c r="H5168" i="66"/>
  <c r="G5168" i="66"/>
  <c r="E5168" i="66"/>
  <c r="I5167" i="66"/>
  <c r="H5167" i="66"/>
  <c r="G5167" i="66"/>
  <c r="E5167" i="66"/>
  <c r="I5166" i="66"/>
  <c r="H5166" i="66"/>
  <c r="G5166" i="66"/>
  <c r="E5166" i="66"/>
  <c r="I5165" i="66"/>
  <c r="H5165" i="66"/>
  <c r="G5165" i="66"/>
  <c r="E5165" i="66"/>
  <c r="I5164" i="66"/>
  <c r="H5164" i="66"/>
  <c r="G5164" i="66"/>
  <c r="D5164" i="66" s="1"/>
  <c r="E5164" i="66"/>
  <c r="I5163" i="66"/>
  <c r="H5163" i="66"/>
  <c r="G5163" i="66"/>
  <c r="E5163" i="66"/>
  <c r="I5162" i="66"/>
  <c r="H5162" i="66"/>
  <c r="G5162" i="66"/>
  <c r="E5162" i="66"/>
  <c r="I5161" i="66"/>
  <c r="H5161" i="66"/>
  <c r="G5161" i="66"/>
  <c r="E5161" i="66"/>
  <c r="I5160" i="66"/>
  <c r="H5160" i="66"/>
  <c r="G5160" i="66"/>
  <c r="E5160" i="66"/>
  <c r="I5159" i="66"/>
  <c r="H5159" i="66"/>
  <c r="G5159" i="66"/>
  <c r="E5159" i="66"/>
  <c r="I5158" i="66"/>
  <c r="H5158" i="66"/>
  <c r="G5158" i="66"/>
  <c r="D5158" i="66" s="1"/>
  <c r="E5158" i="66"/>
  <c r="I5157" i="66"/>
  <c r="H5157" i="66"/>
  <c r="G5157" i="66"/>
  <c r="E5157" i="66"/>
  <c r="I5156" i="66"/>
  <c r="H5156" i="66"/>
  <c r="G5156" i="66"/>
  <c r="E5156" i="66"/>
  <c r="I5155" i="66"/>
  <c r="H5155" i="66"/>
  <c r="G5155" i="66"/>
  <c r="E5155" i="66"/>
  <c r="I5154" i="66"/>
  <c r="H5154" i="66"/>
  <c r="G5154" i="66"/>
  <c r="E5154" i="66"/>
  <c r="I5153" i="66"/>
  <c r="H5153" i="66"/>
  <c r="G5153" i="66"/>
  <c r="E5153" i="66"/>
  <c r="I5152" i="66"/>
  <c r="H5152" i="66"/>
  <c r="G5152" i="66"/>
  <c r="E5152" i="66"/>
  <c r="I5151" i="66"/>
  <c r="H5151" i="66"/>
  <c r="G5151" i="66"/>
  <c r="E5151" i="66"/>
  <c r="I5150" i="66"/>
  <c r="H5150" i="66"/>
  <c r="G5150" i="66"/>
  <c r="E5150" i="66"/>
  <c r="I5149" i="66"/>
  <c r="H5149" i="66"/>
  <c r="G5149" i="66"/>
  <c r="E5149" i="66"/>
  <c r="I5148" i="66"/>
  <c r="H5148" i="66"/>
  <c r="G5148" i="66"/>
  <c r="E5148" i="66"/>
  <c r="I5147" i="66"/>
  <c r="H5147" i="66"/>
  <c r="G5147" i="66"/>
  <c r="E5147" i="66"/>
  <c r="I5146" i="66"/>
  <c r="H5146" i="66"/>
  <c r="G5146" i="66"/>
  <c r="D5146" i="66" s="1"/>
  <c r="E5146" i="66"/>
  <c r="I5145" i="66"/>
  <c r="H5145" i="66"/>
  <c r="G5145" i="66"/>
  <c r="E5145" i="66"/>
  <c r="I5144" i="66"/>
  <c r="H5144" i="66"/>
  <c r="G5144" i="66"/>
  <c r="E5144" i="66"/>
  <c r="I5143" i="66"/>
  <c r="H5143" i="66"/>
  <c r="G5143" i="66"/>
  <c r="E5143" i="66"/>
  <c r="I5142" i="66"/>
  <c r="H5142" i="66"/>
  <c r="G5142" i="66"/>
  <c r="E5142" i="66"/>
  <c r="I5141" i="66"/>
  <c r="H5141" i="66"/>
  <c r="G5141" i="66"/>
  <c r="E5141" i="66"/>
  <c r="I5140" i="66"/>
  <c r="H5140" i="66"/>
  <c r="G5140" i="66"/>
  <c r="E5140" i="66"/>
  <c r="I5139" i="66"/>
  <c r="H5139" i="66"/>
  <c r="G5139" i="66"/>
  <c r="E5139" i="66"/>
  <c r="I5138" i="66"/>
  <c r="H5138" i="66"/>
  <c r="G5138" i="66"/>
  <c r="E5138" i="66"/>
  <c r="I5137" i="66"/>
  <c r="H5137" i="66"/>
  <c r="G5137" i="66"/>
  <c r="E5137" i="66"/>
  <c r="I5136" i="66"/>
  <c r="H5136" i="66"/>
  <c r="G5136" i="66"/>
  <c r="E5136" i="66"/>
  <c r="I5135" i="66"/>
  <c r="H5135" i="66"/>
  <c r="G5135" i="66"/>
  <c r="E5135" i="66"/>
  <c r="I5134" i="66"/>
  <c r="H5134" i="66"/>
  <c r="G5134" i="66"/>
  <c r="D5134" i="66" s="1"/>
  <c r="E5134" i="66"/>
  <c r="I5133" i="66"/>
  <c r="H5133" i="66"/>
  <c r="G5133" i="66"/>
  <c r="E5133" i="66"/>
  <c r="I5132" i="66"/>
  <c r="H5132" i="66"/>
  <c r="G5132" i="66"/>
  <c r="E5132" i="66"/>
  <c r="I5131" i="66"/>
  <c r="H5131" i="66"/>
  <c r="G5131" i="66"/>
  <c r="E5131" i="66"/>
  <c r="I5130" i="66"/>
  <c r="H5130" i="66"/>
  <c r="G5130" i="66"/>
  <c r="E5130" i="66"/>
  <c r="I5129" i="66"/>
  <c r="H5129" i="66"/>
  <c r="G5129" i="66"/>
  <c r="E5129" i="66"/>
  <c r="I5128" i="66"/>
  <c r="H5128" i="66"/>
  <c r="G5128" i="66"/>
  <c r="E5128" i="66"/>
  <c r="I5127" i="66"/>
  <c r="H5127" i="66"/>
  <c r="G5127" i="66"/>
  <c r="E5127" i="66"/>
  <c r="I5126" i="66"/>
  <c r="H5126" i="66"/>
  <c r="G5126" i="66"/>
  <c r="E5126" i="66"/>
  <c r="I5125" i="66"/>
  <c r="H5125" i="66"/>
  <c r="G5125" i="66"/>
  <c r="E5125" i="66"/>
  <c r="I5124" i="66"/>
  <c r="H5124" i="66"/>
  <c r="G5124" i="66"/>
  <c r="E5124" i="66"/>
  <c r="I5123" i="66"/>
  <c r="H5123" i="66"/>
  <c r="G5123" i="66"/>
  <c r="E5123" i="66"/>
  <c r="I5122" i="66"/>
  <c r="H5122" i="66"/>
  <c r="G5122" i="66"/>
  <c r="E5122" i="66"/>
  <c r="I5121" i="66"/>
  <c r="H5121" i="66"/>
  <c r="G5121" i="66"/>
  <c r="E5121" i="66"/>
  <c r="I5120" i="66"/>
  <c r="H5120" i="66"/>
  <c r="G5120" i="66"/>
  <c r="E5120" i="66"/>
  <c r="I5119" i="66"/>
  <c r="H5119" i="66"/>
  <c r="G5119" i="66"/>
  <c r="E5119" i="66"/>
  <c r="I5118" i="66"/>
  <c r="H5118" i="66"/>
  <c r="G5118" i="66"/>
  <c r="E5118" i="66"/>
  <c r="I5117" i="66"/>
  <c r="H5117" i="66"/>
  <c r="G5117" i="66"/>
  <c r="E5117" i="66"/>
  <c r="I5116" i="66"/>
  <c r="H5116" i="66"/>
  <c r="G5116" i="66"/>
  <c r="D5116" i="66" s="1"/>
  <c r="E5116" i="66"/>
  <c r="I5115" i="66"/>
  <c r="H5115" i="66"/>
  <c r="G5115" i="66"/>
  <c r="E5115" i="66"/>
  <c r="I5114" i="66"/>
  <c r="H5114" i="66"/>
  <c r="G5114" i="66"/>
  <c r="E5114" i="66"/>
  <c r="I5113" i="66"/>
  <c r="H5113" i="66"/>
  <c r="G5113" i="66"/>
  <c r="E5113" i="66"/>
  <c r="I5112" i="66"/>
  <c r="H5112" i="66"/>
  <c r="G5112" i="66"/>
  <c r="E5112" i="66"/>
  <c r="I5111" i="66"/>
  <c r="H5111" i="66"/>
  <c r="G5111" i="66"/>
  <c r="E5111" i="66"/>
  <c r="I5110" i="66"/>
  <c r="H5110" i="66"/>
  <c r="G5110" i="66"/>
  <c r="D5110" i="66" s="1"/>
  <c r="E5110" i="66"/>
  <c r="I5109" i="66"/>
  <c r="H5109" i="66"/>
  <c r="G5109" i="66"/>
  <c r="E5109" i="66"/>
  <c r="I5108" i="66"/>
  <c r="H5108" i="66"/>
  <c r="G5108" i="66"/>
  <c r="E5108" i="66"/>
  <c r="I5107" i="66"/>
  <c r="H5107" i="66"/>
  <c r="G5107" i="66"/>
  <c r="E5107" i="66"/>
  <c r="I5106" i="66"/>
  <c r="H5106" i="66"/>
  <c r="G5106" i="66"/>
  <c r="E5106" i="66"/>
  <c r="I5105" i="66"/>
  <c r="H5105" i="66"/>
  <c r="G5105" i="66"/>
  <c r="E5105" i="66"/>
  <c r="I5104" i="66"/>
  <c r="H5104" i="66"/>
  <c r="G5104" i="66"/>
  <c r="E5104" i="66"/>
  <c r="I5103" i="66"/>
  <c r="H5103" i="66"/>
  <c r="G5103" i="66"/>
  <c r="E5103" i="66"/>
  <c r="I5102" i="66"/>
  <c r="H5102" i="66"/>
  <c r="G5102" i="66"/>
  <c r="E5102" i="66"/>
  <c r="I5101" i="66"/>
  <c r="H5101" i="66"/>
  <c r="G5101" i="66"/>
  <c r="E5101" i="66"/>
  <c r="I5100" i="66"/>
  <c r="H5100" i="66"/>
  <c r="G5100" i="66"/>
  <c r="E5100" i="66"/>
  <c r="I5099" i="66"/>
  <c r="H5099" i="66"/>
  <c r="G5099" i="66"/>
  <c r="E5099" i="66"/>
  <c r="I5098" i="66"/>
  <c r="H5098" i="66"/>
  <c r="G5098" i="66"/>
  <c r="E5098" i="66"/>
  <c r="I5097" i="66"/>
  <c r="H5097" i="66"/>
  <c r="G5097" i="66"/>
  <c r="E5097" i="66"/>
  <c r="I5096" i="66"/>
  <c r="H5096" i="66"/>
  <c r="G5096" i="66"/>
  <c r="E5096" i="66"/>
  <c r="I5095" i="66"/>
  <c r="H5095" i="66"/>
  <c r="G5095" i="66"/>
  <c r="E5095" i="66"/>
  <c r="I5094" i="66"/>
  <c r="H5094" i="66"/>
  <c r="G5094" i="66"/>
  <c r="E5094" i="66"/>
  <c r="I5093" i="66"/>
  <c r="H5093" i="66"/>
  <c r="G5093" i="66"/>
  <c r="E5093" i="66"/>
  <c r="I5092" i="66"/>
  <c r="H5092" i="66"/>
  <c r="G5092" i="66"/>
  <c r="E5092" i="66"/>
  <c r="I5091" i="66"/>
  <c r="H5091" i="66"/>
  <c r="G5091" i="66"/>
  <c r="E5091" i="66"/>
  <c r="I5090" i="66"/>
  <c r="H5090" i="66"/>
  <c r="G5090" i="66"/>
  <c r="E5090" i="66"/>
  <c r="I5089" i="66"/>
  <c r="H5089" i="66"/>
  <c r="G5089" i="66"/>
  <c r="E5089" i="66"/>
  <c r="I5088" i="66"/>
  <c r="H5088" i="66"/>
  <c r="G5088" i="66"/>
  <c r="E5088" i="66"/>
  <c r="I5087" i="66"/>
  <c r="H5087" i="66"/>
  <c r="G5087" i="66"/>
  <c r="E5087" i="66"/>
  <c r="I5086" i="66"/>
  <c r="H5086" i="66"/>
  <c r="G5086" i="66"/>
  <c r="D5086" i="66" s="1"/>
  <c r="E5086" i="66"/>
  <c r="I5085" i="66"/>
  <c r="H5085" i="66"/>
  <c r="G5085" i="66"/>
  <c r="E5085" i="66"/>
  <c r="I5084" i="66"/>
  <c r="H5084" i="66"/>
  <c r="G5084" i="66"/>
  <c r="E5084" i="66"/>
  <c r="I5083" i="66"/>
  <c r="H5083" i="66"/>
  <c r="G5083" i="66"/>
  <c r="E5083" i="66"/>
  <c r="I5082" i="66"/>
  <c r="H5082" i="66"/>
  <c r="G5082" i="66"/>
  <c r="E5082" i="66"/>
  <c r="I5081" i="66"/>
  <c r="H5081" i="66"/>
  <c r="G5081" i="66"/>
  <c r="E5081" i="66"/>
  <c r="I5080" i="66"/>
  <c r="H5080" i="66"/>
  <c r="G5080" i="66"/>
  <c r="E5080" i="66"/>
  <c r="I5079" i="66"/>
  <c r="H5079" i="66"/>
  <c r="G5079" i="66"/>
  <c r="E5079" i="66"/>
  <c r="I5078" i="66"/>
  <c r="H5078" i="66"/>
  <c r="G5078" i="66"/>
  <c r="E5078" i="66"/>
  <c r="I5077" i="66"/>
  <c r="H5077" i="66"/>
  <c r="G5077" i="66"/>
  <c r="E5077" i="66"/>
  <c r="I5076" i="66"/>
  <c r="H5076" i="66"/>
  <c r="G5076" i="66"/>
  <c r="E5076" i="66"/>
  <c r="I5075" i="66"/>
  <c r="H5075" i="66"/>
  <c r="G5075" i="66"/>
  <c r="E5075" i="66"/>
  <c r="I5074" i="66"/>
  <c r="H5074" i="66"/>
  <c r="G5074" i="66"/>
  <c r="D5074" i="66" s="1"/>
  <c r="E5074" i="66"/>
  <c r="I5073" i="66"/>
  <c r="H5073" i="66"/>
  <c r="G5073" i="66"/>
  <c r="E5073" i="66"/>
  <c r="I5072" i="66"/>
  <c r="H5072" i="66"/>
  <c r="G5072" i="66"/>
  <c r="E5072" i="66"/>
  <c r="I5071" i="66"/>
  <c r="H5071" i="66"/>
  <c r="G5071" i="66"/>
  <c r="E5071" i="66"/>
  <c r="I5070" i="66"/>
  <c r="H5070" i="66"/>
  <c r="G5070" i="66"/>
  <c r="E5070" i="66"/>
  <c r="I5069" i="66"/>
  <c r="H5069" i="66"/>
  <c r="G5069" i="66"/>
  <c r="E5069" i="66"/>
  <c r="I5068" i="66"/>
  <c r="H5068" i="66"/>
  <c r="G5068" i="66"/>
  <c r="E5068" i="66"/>
  <c r="I5067" i="66"/>
  <c r="H5067" i="66"/>
  <c r="G5067" i="66"/>
  <c r="E5067" i="66"/>
  <c r="I5066" i="66"/>
  <c r="H5066" i="66"/>
  <c r="G5066" i="66"/>
  <c r="E5066" i="66"/>
  <c r="I5065" i="66"/>
  <c r="H5065" i="66"/>
  <c r="G5065" i="66"/>
  <c r="E5065" i="66"/>
  <c r="I5064" i="66"/>
  <c r="H5064" i="66"/>
  <c r="G5064" i="66"/>
  <c r="E5064" i="66"/>
  <c r="I5063" i="66"/>
  <c r="H5063" i="66"/>
  <c r="G5063" i="66"/>
  <c r="E5063" i="66"/>
  <c r="I5062" i="66"/>
  <c r="H5062" i="66"/>
  <c r="G5062" i="66"/>
  <c r="E5062" i="66"/>
  <c r="I5061" i="66"/>
  <c r="H5061" i="66"/>
  <c r="G5061" i="66"/>
  <c r="E5061" i="66"/>
  <c r="I5060" i="66"/>
  <c r="H5060" i="66"/>
  <c r="G5060" i="66"/>
  <c r="E5060" i="66"/>
  <c r="I5059" i="66"/>
  <c r="H5059" i="66"/>
  <c r="G5059" i="66"/>
  <c r="E5059" i="66"/>
  <c r="I5058" i="66"/>
  <c r="H5058" i="66"/>
  <c r="G5058" i="66"/>
  <c r="E5058" i="66"/>
  <c r="I5057" i="66"/>
  <c r="H5057" i="66"/>
  <c r="G5057" i="66"/>
  <c r="E5057" i="66"/>
  <c r="I5056" i="66"/>
  <c r="H5056" i="66"/>
  <c r="G5056" i="66"/>
  <c r="E5056" i="66"/>
  <c r="I5055" i="66"/>
  <c r="H5055" i="66"/>
  <c r="G5055" i="66"/>
  <c r="E5055" i="66"/>
  <c r="I5054" i="66"/>
  <c r="H5054" i="66"/>
  <c r="G5054" i="66"/>
  <c r="E5054" i="66"/>
  <c r="I5053" i="66"/>
  <c r="H5053" i="66"/>
  <c r="G5053" i="66"/>
  <c r="E5053" i="66"/>
  <c r="I5052" i="66"/>
  <c r="H5052" i="66"/>
  <c r="G5052" i="66"/>
  <c r="E5052" i="66"/>
  <c r="I5051" i="66"/>
  <c r="H5051" i="66"/>
  <c r="G5051" i="66"/>
  <c r="E5051" i="66"/>
  <c r="I5050" i="66"/>
  <c r="H5050" i="66"/>
  <c r="G5050" i="66"/>
  <c r="E5050" i="66"/>
  <c r="I5049" i="66"/>
  <c r="H5049" i="66"/>
  <c r="G5049" i="66"/>
  <c r="E5049" i="66"/>
  <c r="I5048" i="66"/>
  <c r="H5048" i="66"/>
  <c r="G5048" i="66"/>
  <c r="E5048" i="66"/>
  <c r="I5047" i="66"/>
  <c r="H5047" i="66"/>
  <c r="G5047" i="66"/>
  <c r="E5047" i="66"/>
  <c r="I5046" i="66"/>
  <c r="H5046" i="66"/>
  <c r="G5046" i="66"/>
  <c r="E5046" i="66"/>
  <c r="I5045" i="66"/>
  <c r="H5045" i="66"/>
  <c r="G5045" i="66"/>
  <c r="E5045" i="66"/>
  <c r="I5044" i="66"/>
  <c r="H5044" i="66"/>
  <c r="G5044" i="66"/>
  <c r="E5044" i="66"/>
  <c r="I5043" i="66"/>
  <c r="H5043" i="66"/>
  <c r="G5043" i="66"/>
  <c r="E5043" i="66"/>
  <c r="I5042" i="66"/>
  <c r="H5042" i="66"/>
  <c r="G5042" i="66"/>
  <c r="E5042" i="66"/>
  <c r="I5041" i="66"/>
  <c r="H5041" i="66"/>
  <c r="G5041" i="66"/>
  <c r="E5041" i="66"/>
  <c r="I5040" i="66"/>
  <c r="H5040" i="66"/>
  <c r="G5040" i="66"/>
  <c r="E5040" i="66"/>
  <c r="I5039" i="66"/>
  <c r="H5039" i="66"/>
  <c r="G5039" i="66"/>
  <c r="E5039" i="66"/>
  <c r="I5038" i="66"/>
  <c r="H5038" i="66"/>
  <c r="G5038" i="66"/>
  <c r="E5038" i="66"/>
  <c r="I5037" i="66"/>
  <c r="H5037" i="66"/>
  <c r="G5037" i="66"/>
  <c r="E5037" i="66"/>
  <c r="I5036" i="66"/>
  <c r="H5036" i="66"/>
  <c r="G5036" i="66"/>
  <c r="E5036" i="66"/>
  <c r="I5035" i="66"/>
  <c r="H5035" i="66"/>
  <c r="G5035" i="66"/>
  <c r="D5035" i="66" s="1"/>
  <c r="E5035" i="66"/>
  <c r="I5034" i="66"/>
  <c r="H5034" i="66"/>
  <c r="G5034" i="66"/>
  <c r="E5034" i="66"/>
  <c r="I5033" i="66"/>
  <c r="H5033" i="66"/>
  <c r="G5033" i="66"/>
  <c r="E5033" i="66"/>
  <c r="I5032" i="66"/>
  <c r="H5032" i="66"/>
  <c r="G5032" i="66"/>
  <c r="E5032" i="66"/>
  <c r="I5031" i="66"/>
  <c r="H5031" i="66"/>
  <c r="G5031" i="66"/>
  <c r="E5031" i="66"/>
  <c r="I5030" i="66"/>
  <c r="H5030" i="66"/>
  <c r="G5030" i="66"/>
  <c r="E5030" i="66"/>
  <c r="I5029" i="66"/>
  <c r="H5029" i="66"/>
  <c r="G5029" i="66"/>
  <c r="D5029" i="66" s="1"/>
  <c r="E5029" i="66"/>
  <c r="I5028" i="66"/>
  <c r="H5028" i="66"/>
  <c r="G5028" i="66"/>
  <c r="E5028" i="66"/>
  <c r="I5027" i="66"/>
  <c r="H5027" i="66"/>
  <c r="G5027" i="66"/>
  <c r="E5027" i="66"/>
  <c r="I5026" i="66"/>
  <c r="H5026" i="66"/>
  <c r="G5026" i="66"/>
  <c r="D5026" i="66" s="1"/>
  <c r="E5026" i="66"/>
  <c r="I5025" i="66"/>
  <c r="H5025" i="66"/>
  <c r="G5025" i="66"/>
  <c r="E5025" i="66"/>
  <c r="I5024" i="66"/>
  <c r="H5024" i="66"/>
  <c r="G5024" i="66"/>
  <c r="E5024" i="66"/>
  <c r="I5023" i="66"/>
  <c r="H5023" i="66"/>
  <c r="G5023" i="66"/>
  <c r="E5023" i="66"/>
  <c r="I5022" i="66"/>
  <c r="H5022" i="66"/>
  <c r="G5022" i="66"/>
  <c r="E5022" i="66"/>
  <c r="I5021" i="66"/>
  <c r="H5021" i="66"/>
  <c r="G5021" i="66"/>
  <c r="E5021" i="66"/>
  <c r="I5020" i="66"/>
  <c r="H5020" i="66"/>
  <c r="G5020" i="66"/>
  <c r="E5020" i="66"/>
  <c r="I5019" i="66"/>
  <c r="H5019" i="66"/>
  <c r="G5019" i="66"/>
  <c r="E5019" i="66"/>
  <c r="I5018" i="66"/>
  <c r="H5018" i="66"/>
  <c r="G5018" i="66"/>
  <c r="E5018" i="66"/>
  <c r="I5017" i="66"/>
  <c r="H5017" i="66"/>
  <c r="G5017" i="66"/>
  <c r="E5017" i="66"/>
  <c r="I5016" i="66"/>
  <c r="H5016" i="66"/>
  <c r="G5016" i="66"/>
  <c r="E5016" i="66"/>
  <c r="I5015" i="66"/>
  <c r="H5015" i="66"/>
  <c r="G5015" i="66"/>
  <c r="E5015" i="66"/>
  <c r="I5014" i="66"/>
  <c r="H5014" i="66"/>
  <c r="G5014" i="66"/>
  <c r="E5014" i="66"/>
  <c r="I5013" i="66"/>
  <c r="H5013" i="66"/>
  <c r="G5013" i="66"/>
  <c r="E5013" i="66"/>
  <c r="I5012" i="66"/>
  <c r="H5012" i="66"/>
  <c r="G5012" i="66"/>
  <c r="E5012" i="66"/>
  <c r="I5011" i="66"/>
  <c r="H5011" i="66"/>
  <c r="G5011" i="66"/>
  <c r="E5011" i="66"/>
  <c r="I5010" i="66"/>
  <c r="H5010" i="66"/>
  <c r="G5010" i="66"/>
  <c r="E5010" i="66"/>
  <c r="I5009" i="66"/>
  <c r="H5009" i="66"/>
  <c r="G5009" i="66"/>
  <c r="E5009" i="66"/>
  <c r="I5008" i="66"/>
  <c r="H5008" i="66"/>
  <c r="G5008" i="66"/>
  <c r="E5008" i="66"/>
  <c r="I5007" i="66"/>
  <c r="H5007" i="66"/>
  <c r="G5007" i="66"/>
  <c r="E5007" i="66"/>
  <c r="I5006" i="66"/>
  <c r="H5006" i="66"/>
  <c r="G5006" i="66"/>
  <c r="E5006" i="66"/>
  <c r="I5005" i="66"/>
  <c r="H5005" i="66"/>
  <c r="G5005" i="66"/>
  <c r="E5005" i="66"/>
  <c r="I5004" i="66"/>
  <c r="H5004" i="66"/>
  <c r="G5004" i="66"/>
  <c r="E5004" i="66"/>
  <c r="I5003" i="66"/>
  <c r="H5003" i="66"/>
  <c r="G5003" i="66"/>
  <c r="E5003" i="66"/>
  <c r="I5002" i="66"/>
  <c r="H5002" i="66"/>
  <c r="G5002" i="66"/>
  <c r="E5002" i="66"/>
  <c r="I5001" i="66"/>
  <c r="H5001" i="66"/>
  <c r="G5001" i="66"/>
  <c r="E5001" i="66"/>
  <c r="I5000" i="66"/>
  <c r="H5000" i="66"/>
  <c r="G5000" i="66"/>
  <c r="E5000" i="66"/>
  <c r="I4999" i="66"/>
  <c r="H4999" i="66"/>
  <c r="G4999" i="66"/>
  <c r="D4999" i="66" s="1"/>
  <c r="E4999" i="66"/>
  <c r="I4998" i="66"/>
  <c r="H4998" i="66"/>
  <c r="G4998" i="66"/>
  <c r="E4998" i="66"/>
  <c r="I4997" i="66"/>
  <c r="H4997" i="66"/>
  <c r="G4997" i="66"/>
  <c r="E4997" i="66"/>
  <c r="I4996" i="66"/>
  <c r="H4996" i="66"/>
  <c r="G4996" i="66"/>
  <c r="D4996" i="66" s="1"/>
  <c r="E4996" i="66"/>
  <c r="I4995" i="66"/>
  <c r="H4995" i="66"/>
  <c r="G4995" i="66"/>
  <c r="E4995" i="66"/>
  <c r="I4994" i="66"/>
  <c r="H4994" i="66"/>
  <c r="G4994" i="66"/>
  <c r="E4994" i="66"/>
  <c r="I4993" i="66"/>
  <c r="H4993" i="66"/>
  <c r="G4993" i="66"/>
  <c r="D4993" i="66" s="1"/>
  <c r="E4993" i="66"/>
  <c r="I4992" i="66"/>
  <c r="H4992" i="66"/>
  <c r="G4992" i="66"/>
  <c r="E4992" i="66"/>
  <c r="I4991" i="66"/>
  <c r="H4991" i="66"/>
  <c r="G4991" i="66"/>
  <c r="E4991" i="66"/>
  <c r="I4990" i="66"/>
  <c r="H4990" i="66"/>
  <c r="G4990" i="66"/>
  <c r="E4990" i="66"/>
  <c r="I4989" i="66"/>
  <c r="H4989" i="66"/>
  <c r="G4989" i="66"/>
  <c r="E4989" i="66"/>
  <c r="I4988" i="66"/>
  <c r="H4988" i="66"/>
  <c r="G4988" i="66"/>
  <c r="E4988" i="66"/>
  <c r="I4987" i="66"/>
  <c r="H4987" i="66"/>
  <c r="G4987" i="66"/>
  <c r="E4987" i="66"/>
  <c r="I4986" i="66"/>
  <c r="H4986" i="66"/>
  <c r="G4986" i="66"/>
  <c r="E4986" i="66"/>
  <c r="I4985" i="66"/>
  <c r="H4985" i="66"/>
  <c r="G4985" i="66"/>
  <c r="E4985" i="66"/>
  <c r="I4984" i="66"/>
  <c r="H4984" i="66"/>
  <c r="G4984" i="66"/>
  <c r="D4984" i="66" s="1"/>
  <c r="E4984" i="66"/>
  <c r="I4983" i="66"/>
  <c r="H4983" i="66"/>
  <c r="G4983" i="66"/>
  <c r="E4983" i="66"/>
  <c r="I4982" i="66"/>
  <c r="H4982" i="66"/>
  <c r="G4982" i="66"/>
  <c r="E4982" i="66"/>
  <c r="I4981" i="66"/>
  <c r="H4981" i="66"/>
  <c r="G4981" i="66"/>
  <c r="D4981" i="66" s="1"/>
  <c r="E4981" i="66"/>
  <c r="I4980" i="66"/>
  <c r="H4980" i="66"/>
  <c r="G4980" i="66"/>
  <c r="E4980" i="66"/>
  <c r="I4979" i="66"/>
  <c r="H4979" i="66"/>
  <c r="G4979" i="66"/>
  <c r="E4979" i="66"/>
  <c r="I4978" i="66"/>
  <c r="H4978" i="66"/>
  <c r="G4978" i="66"/>
  <c r="D4978" i="66" s="1"/>
  <c r="E4978" i="66"/>
  <c r="I4977" i="66"/>
  <c r="H4977" i="66"/>
  <c r="G4977" i="66"/>
  <c r="E4977" i="66"/>
  <c r="I4976" i="66"/>
  <c r="H4976" i="66"/>
  <c r="G4976" i="66"/>
  <c r="E4976" i="66"/>
  <c r="I4975" i="66"/>
  <c r="H4975" i="66"/>
  <c r="G4975" i="66"/>
  <c r="E4975" i="66"/>
  <c r="I4974" i="66"/>
  <c r="H4974" i="66"/>
  <c r="G4974" i="66"/>
  <c r="E4974" i="66"/>
  <c r="I4973" i="66"/>
  <c r="H4973" i="66"/>
  <c r="G4973" i="66"/>
  <c r="E4973" i="66"/>
  <c r="I4972" i="66"/>
  <c r="H4972" i="66"/>
  <c r="G4972" i="66"/>
  <c r="E4972" i="66"/>
  <c r="I4971" i="66"/>
  <c r="H4971" i="66"/>
  <c r="G4971" i="66"/>
  <c r="E4971" i="66"/>
  <c r="I4970" i="66"/>
  <c r="H4970" i="66"/>
  <c r="G4970" i="66"/>
  <c r="E4970" i="66"/>
  <c r="I4969" i="66"/>
  <c r="H4969" i="66"/>
  <c r="G4969" i="66"/>
  <c r="E4969" i="66"/>
  <c r="I4968" i="66"/>
  <c r="H4968" i="66"/>
  <c r="G4968" i="66"/>
  <c r="E4968" i="66"/>
  <c r="I4967" i="66"/>
  <c r="H4967" i="66"/>
  <c r="G4967" i="66"/>
  <c r="E4967" i="66"/>
  <c r="I4966" i="66"/>
  <c r="H4966" i="66"/>
  <c r="G4966" i="66"/>
  <c r="D4966" i="66" s="1"/>
  <c r="E4966" i="66"/>
  <c r="I4965" i="66"/>
  <c r="H4965" i="66"/>
  <c r="G4965" i="66"/>
  <c r="E4965" i="66"/>
  <c r="I4964" i="66"/>
  <c r="H4964" i="66"/>
  <c r="G4964" i="66"/>
  <c r="E4964" i="66"/>
  <c r="I4963" i="66"/>
  <c r="H4963" i="66"/>
  <c r="G4963" i="66"/>
  <c r="E4963" i="66"/>
  <c r="I4962" i="66"/>
  <c r="H4962" i="66"/>
  <c r="G4962" i="66"/>
  <c r="E4962" i="66"/>
  <c r="I4961" i="66"/>
  <c r="H4961" i="66"/>
  <c r="G4961" i="66"/>
  <c r="E4961" i="66"/>
  <c r="I4960" i="66"/>
  <c r="H4960" i="66"/>
  <c r="G4960" i="66"/>
  <c r="E4960" i="66"/>
  <c r="I4959" i="66"/>
  <c r="H4959" i="66"/>
  <c r="G4959" i="66"/>
  <c r="E4959" i="66"/>
  <c r="I4958" i="66"/>
  <c r="H4958" i="66"/>
  <c r="G4958" i="66"/>
  <c r="E4958" i="66"/>
  <c r="I4957" i="66"/>
  <c r="H4957" i="66"/>
  <c r="G4957" i="66"/>
  <c r="D4957" i="66" s="1"/>
  <c r="E4957" i="66"/>
  <c r="I4956" i="66"/>
  <c r="H4956" i="66"/>
  <c r="G4956" i="66"/>
  <c r="E4956" i="66"/>
  <c r="I4955" i="66"/>
  <c r="H4955" i="66"/>
  <c r="G4955" i="66"/>
  <c r="E4955" i="66"/>
  <c r="I4954" i="66"/>
  <c r="H4954" i="66"/>
  <c r="G4954" i="66"/>
  <c r="E4954" i="66"/>
  <c r="I4953" i="66"/>
  <c r="H4953" i="66"/>
  <c r="G4953" i="66"/>
  <c r="E4953" i="66"/>
  <c r="I4952" i="66"/>
  <c r="H4952" i="66"/>
  <c r="G4952" i="66"/>
  <c r="E4952" i="66"/>
  <c r="I4951" i="66"/>
  <c r="H4951" i="66"/>
  <c r="G4951" i="66"/>
  <c r="E4951" i="66"/>
  <c r="I4950" i="66"/>
  <c r="H4950" i="66"/>
  <c r="G4950" i="66"/>
  <c r="E4950" i="66"/>
  <c r="I4949" i="66"/>
  <c r="H4949" i="66"/>
  <c r="G4949" i="66"/>
  <c r="E4949" i="66"/>
  <c r="I4948" i="66"/>
  <c r="H4948" i="66"/>
  <c r="G4948" i="66"/>
  <c r="D4948" i="66" s="1"/>
  <c r="E4948" i="66"/>
  <c r="I4947" i="66"/>
  <c r="H4947" i="66"/>
  <c r="G4947" i="66"/>
  <c r="E4947" i="66"/>
  <c r="I4946" i="66"/>
  <c r="H4946" i="66"/>
  <c r="G4946" i="66"/>
  <c r="E4946" i="66"/>
  <c r="I4945" i="66"/>
  <c r="H4945" i="66"/>
  <c r="G4945" i="66"/>
  <c r="E4945" i="66"/>
  <c r="I4944" i="66"/>
  <c r="H4944" i="66"/>
  <c r="G4944" i="66"/>
  <c r="E4944" i="66"/>
  <c r="I4943" i="66"/>
  <c r="H4943" i="66"/>
  <c r="G4943" i="66"/>
  <c r="E4943" i="66"/>
  <c r="I4942" i="66"/>
  <c r="H4942" i="66"/>
  <c r="G4942" i="66"/>
  <c r="D4942" i="66" s="1"/>
  <c r="E4942" i="66"/>
  <c r="I4941" i="66"/>
  <c r="H4941" i="66"/>
  <c r="G4941" i="66"/>
  <c r="E4941" i="66"/>
  <c r="I4940" i="66"/>
  <c r="H4940" i="66"/>
  <c r="G4940" i="66"/>
  <c r="E4940" i="66"/>
  <c r="I4939" i="66"/>
  <c r="H4939" i="66"/>
  <c r="G4939" i="66"/>
  <c r="E4939" i="66"/>
  <c r="I4938" i="66"/>
  <c r="H4938" i="66"/>
  <c r="G4938" i="66"/>
  <c r="E4938" i="66"/>
  <c r="I4937" i="66"/>
  <c r="H4937" i="66"/>
  <c r="G4937" i="66"/>
  <c r="E4937" i="66"/>
  <c r="I4936" i="66"/>
  <c r="H4936" i="66"/>
  <c r="G4936" i="66"/>
  <c r="E4936" i="66"/>
  <c r="I4935" i="66"/>
  <c r="H4935" i="66"/>
  <c r="G4935" i="66"/>
  <c r="E4935" i="66"/>
  <c r="I4934" i="66"/>
  <c r="H4934" i="66"/>
  <c r="G4934" i="66"/>
  <c r="E4934" i="66"/>
  <c r="I4933" i="66"/>
  <c r="H4933" i="66"/>
  <c r="G4933" i="66"/>
  <c r="D4933" i="66" s="1"/>
  <c r="E4933" i="66"/>
  <c r="I4932" i="66"/>
  <c r="H4932" i="66"/>
  <c r="G4932" i="66"/>
  <c r="E4932" i="66"/>
  <c r="I4931" i="66"/>
  <c r="H4931" i="66"/>
  <c r="G4931" i="66"/>
  <c r="E4931" i="66"/>
  <c r="I4930" i="66"/>
  <c r="H4930" i="66"/>
  <c r="G4930" i="66"/>
  <c r="E4930" i="66"/>
  <c r="I4929" i="66"/>
  <c r="H4929" i="66"/>
  <c r="G4929" i="66"/>
  <c r="E4929" i="66"/>
  <c r="I4928" i="66"/>
  <c r="H4928" i="66"/>
  <c r="G4928" i="66"/>
  <c r="E4928" i="66"/>
  <c r="I4927" i="66"/>
  <c r="H4927" i="66"/>
  <c r="G4927" i="66"/>
  <c r="D4927" i="66" s="1"/>
  <c r="E4927" i="66"/>
  <c r="I4926" i="66"/>
  <c r="H4926" i="66"/>
  <c r="G4926" i="66"/>
  <c r="E4926" i="66"/>
  <c r="I4925" i="66"/>
  <c r="H4925" i="66"/>
  <c r="G4925" i="66"/>
  <c r="E4925" i="66"/>
  <c r="I4924" i="66"/>
  <c r="H4924" i="66"/>
  <c r="G4924" i="66"/>
  <c r="E4924" i="66"/>
  <c r="I4923" i="66"/>
  <c r="H4923" i="66"/>
  <c r="G4923" i="66"/>
  <c r="E4923" i="66"/>
  <c r="I4922" i="66"/>
  <c r="H4922" i="66"/>
  <c r="G4922" i="66"/>
  <c r="E4922" i="66"/>
  <c r="I4921" i="66"/>
  <c r="H4921" i="66"/>
  <c r="G4921" i="66"/>
  <c r="D4921" i="66" s="1"/>
  <c r="E4921" i="66"/>
  <c r="I4920" i="66"/>
  <c r="H4920" i="66"/>
  <c r="G4920" i="66"/>
  <c r="E4920" i="66"/>
  <c r="I4919" i="66"/>
  <c r="H4919" i="66"/>
  <c r="G4919" i="66"/>
  <c r="E4919" i="66"/>
  <c r="I4918" i="66"/>
  <c r="H4918" i="66"/>
  <c r="G4918" i="66"/>
  <c r="D4918" i="66" s="1"/>
  <c r="E4918" i="66"/>
  <c r="I4917" i="66"/>
  <c r="H4917" i="66"/>
  <c r="G4917" i="66"/>
  <c r="E4917" i="66"/>
  <c r="I4916" i="66"/>
  <c r="H4916" i="66"/>
  <c r="G4916" i="66"/>
  <c r="E4916" i="66"/>
  <c r="I4915" i="66"/>
  <c r="H4915" i="66"/>
  <c r="G4915" i="66"/>
  <c r="E4915" i="66"/>
  <c r="I4914" i="66"/>
  <c r="H4914" i="66"/>
  <c r="G4914" i="66"/>
  <c r="E4914" i="66"/>
  <c r="I4913" i="66"/>
  <c r="H4913" i="66"/>
  <c r="G4913" i="66"/>
  <c r="E4913" i="66"/>
  <c r="I4912" i="66"/>
  <c r="H4912" i="66"/>
  <c r="G4912" i="66"/>
  <c r="E4912" i="66"/>
  <c r="I4911" i="66"/>
  <c r="H4911" i="66"/>
  <c r="G4911" i="66"/>
  <c r="E4911" i="66"/>
  <c r="I4910" i="66"/>
  <c r="H4910" i="66"/>
  <c r="G4910" i="66"/>
  <c r="E4910" i="66"/>
  <c r="I4909" i="66"/>
  <c r="H4909" i="66"/>
  <c r="G4909" i="66"/>
  <c r="E4909" i="66"/>
  <c r="I4908" i="66"/>
  <c r="H4908" i="66"/>
  <c r="G4908" i="66"/>
  <c r="E4908" i="66"/>
  <c r="I4907" i="66"/>
  <c r="H4907" i="66"/>
  <c r="G4907" i="66"/>
  <c r="E4907" i="66"/>
  <c r="I4906" i="66"/>
  <c r="H4906" i="66"/>
  <c r="G4906" i="66"/>
  <c r="D4906" i="66" s="1"/>
  <c r="E4906" i="66"/>
  <c r="I4905" i="66"/>
  <c r="H4905" i="66"/>
  <c r="G4905" i="66"/>
  <c r="E4905" i="66"/>
  <c r="I4904" i="66"/>
  <c r="H4904" i="66"/>
  <c r="G4904" i="66"/>
  <c r="E4904" i="66"/>
  <c r="I4903" i="66"/>
  <c r="H4903" i="66"/>
  <c r="G4903" i="66"/>
  <c r="E4903" i="66"/>
  <c r="I4902" i="66"/>
  <c r="H4902" i="66"/>
  <c r="G4902" i="66"/>
  <c r="E4902" i="66"/>
  <c r="I4901" i="66"/>
  <c r="H4901" i="66"/>
  <c r="G4901" i="66"/>
  <c r="E4901" i="66"/>
  <c r="I4900" i="66"/>
  <c r="H4900" i="66"/>
  <c r="G4900" i="66"/>
  <c r="E4900" i="66"/>
  <c r="I4899" i="66"/>
  <c r="H4899" i="66"/>
  <c r="G4899" i="66"/>
  <c r="E4899" i="66"/>
  <c r="I4898" i="66"/>
  <c r="H4898" i="66"/>
  <c r="G4898" i="66"/>
  <c r="E4898" i="66"/>
  <c r="I4897" i="66"/>
  <c r="H4897" i="66"/>
  <c r="G4897" i="66"/>
  <c r="D4897" i="66" s="1"/>
  <c r="E4897" i="66"/>
  <c r="I4896" i="66"/>
  <c r="H4896" i="66"/>
  <c r="G4896" i="66"/>
  <c r="E4896" i="66"/>
  <c r="I4895" i="66"/>
  <c r="H4895" i="66"/>
  <c r="G4895" i="66"/>
  <c r="E4895" i="66"/>
  <c r="I4894" i="66"/>
  <c r="H4894" i="66"/>
  <c r="G4894" i="66"/>
  <c r="D4894" i="66" s="1"/>
  <c r="E4894" i="66"/>
  <c r="I4893" i="66"/>
  <c r="H4893" i="66"/>
  <c r="G4893" i="66"/>
  <c r="E4893" i="66"/>
  <c r="I4892" i="66"/>
  <c r="H4892" i="66"/>
  <c r="G4892" i="66"/>
  <c r="E4892" i="66"/>
  <c r="I4891" i="66"/>
  <c r="H4891" i="66"/>
  <c r="G4891" i="66"/>
  <c r="D4891" i="66" s="1"/>
  <c r="E4891" i="66"/>
  <c r="I4890" i="66"/>
  <c r="H4890" i="66"/>
  <c r="G4890" i="66"/>
  <c r="E4890" i="66"/>
  <c r="I4889" i="66"/>
  <c r="H4889" i="66"/>
  <c r="G4889" i="66"/>
  <c r="E4889" i="66"/>
  <c r="I4888" i="66"/>
  <c r="H4888" i="66"/>
  <c r="G4888" i="66"/>
  <c r="D4888" i="66" s="1"/>
  <c r="E4888" i="66"/>
  <c r="I4887" i="66"/>
  <c r="H4887" i="66"/>
  <c r="G4887" i="66"/>
  <c r="E4887" i="66"/>
  <c r="I4886" i="66"/>
  <c r="H4886" i="66"/>
  <c r="G4886" i="66"/>
  <c r="E4886" i="66"/>
  <c r="I4885" i="66"/>
  <c r="H4885" i="66"/>
  <c r="G4885" i="66"/>
  <c r="E4885" i="66"/>
  <c r="I4884" i="66"/>
  <c r="H4884" i="66"/>
  <c r="G4884" i="66"/>
  <c r="E4884" i="66"/>
  <c r="I4883" i="66"/>
  <c r="H4883" i="66"/>
  <c r="G4883" i="66"/>
  <c r="E4883" i="66"/>
  <c r="I4882" i="66"/>
  <c r="H4882" i="66"/>
  <c r="G4882" i="66"/>
  <c r="E4882" i="66"/>
  <c r="I4881" i="66"/>
  <c r="H4881" i="66"/>
  <c r="G4881" i="66"/>
  <c r="E4881" i="66"/>
  <c r="I4880" i="66"/>
  <c r="H4880" i="66"/>
  <c r="G4880" i="66"/>
  <c r="E4880" i="66"/>
  <c r="I4879" i="66"/>
  <c r="H4879" i="66"/>
  <c r="G4879" i="66"/>
  <c r="E4879" i="66"/>
  <c r="I4878" i="66"/>
  <c r="H4878" i="66"/>
  <c r="G4878" i="66"/>
  <c r="E4878" i="66"/>
  <c r="I4877" i="66"/>
  <c r="H4877" i="66"/>
  <c r="G4877" i="66"/>
  <c r="E4877" i="66"/>
  <c r="I4876" i="66"/>
  <c r="H4876" i="66"/>
  <c r="G4876" i="66"/>
  <c r="E4876" i="66"/>
  <c r="I4875" i="66"/>
  <c r="H4875" i="66"/>
  <c r="G4875" i="66"/>
  <c r="E4875" i="66"/>
  <c r="I4874" i="66"/>
  <c r="H4874" i="66"/>
  <c r="G4874" i="66"/>
  <c r="E4874" i="66"/>
  <c r="I4873" i="66"/>
  <c r="H4873" i="66"/>
  <c r="G4873" i="66"/>
  <c r="D4873" i="66" s="1"/>
  <c r="E4873" i="66"/>
  <c r="I4872" i="66"/>
  <c r="H4872" i="66"/>
  <c r="G4872" i="66"/>
  <c r="E4872" i="66"/>
  <c r="I4871" i="66"/>
  <c r="H4871" i="66"/>
  <c r="G4871" i="66"/>
  <c r="E4871" i="66"/>
  <c r="I4870" i="66"/>
  <c r="H4870" i="66"/>
  <c r="G4870" i="66"/>
  <c r="E4870" i="66"/>
  <c r="I4869" i="66"/>
  <c r="H4869" i="66"/>
  <c r="G4869" i="66"/>
  <c r="E4869" i="66"/>
  <c r="I4868" i="66"/>
  <c r="H4868" i="66"/>
  <c r="G4868" i="66"/>
  <c r="E4868" i="66"/>
  <c r="I4867" i="66"/>
  <c r="H4867" i="66"/>
  <c r="G4867" i="66"/>
  <c r="D4867" i="66" s="1"/>
  <c r="E4867" i="66"/>
  <c r="I4866" i="66"/>
  <c r="H4866" i="66"/>
  <c r="G4866" i="66"/>
  <c r="E4866" i="66"/>
  <c r="I4865" i="66"/>
  <c r="H4865" i="66"/>
  <c r="G4865" i="66"/>
  <c r="E4865" i="66"/>
  <c r="I4864" i="66"/>
  <c r="H4864" i="66"/>
  <c r="G4864" i="66"/>
  <c r="E4864" i="66"/>
  <c r="I4863" i="66"/>
  <c r="H4863" i="66"/>
  <c r="G4863" i="66"/>
  <c r="E4863" i="66"/>
  <c r="I4862" i="66"/>
  <c r="H4862" i="66"/>
  <c r="G4862" i="66"/>
  <c r="E4862" i="66"/>
  <c r="I4861" i="66"/>
  <c r="H4861" i="66"/>
  <c r="G4861" i="66"/>
  <c r="E4861" i="66"/>
  <c r="I4860" i="66"/>
  <c r="H4860" i="66"/>
  <c r="G4860" i="66"/>
  <c r="E4860" i="66"/>
  <c r="I4859" i="66"/>
  <c r="H4859" i="66"/>
  <c r="G4859" i="66"/>
  <c r="E4859" i="66"/>
  <c r="I4858" i="66"/>
  <c r="H4858" i="66"/>
  <c r="G4858" i="66"/>
  <c r="E4858" i="66"/>
  <c r="I4857" i="66"/>
  <c r="H4857" i="66"/>
  <c r="G4857" i="66"/>
  <c r="E4857" i="66"/>
  <c r="I4856" i="66"/>
  <c r="H4856" i="66"/>
  <c r="G4856" i="66"/>
  <c r="E4856" i="66"/>
  <c r="I4855" i="66"/>
  <c r="H4855" i="66"/>
  <c r="G4855" i="66"/>
  <c r="E4855" i="66"/>
  <c r="I4854" i="66"/>
  <c r="H4854" i="66"/>
  <c r="G4854" i="66"/>
  <c r="E4854" i="66"/>
  <c r="I4853" i="66"/>
  <c r="H4853" i="66"/>
  <c r="G4853" i="66"/>
  <c r="E4853" i="66"/>
  <c r="I4852" i="66"/>
  <c r="H4852" i="66"/>
  <c r="G4852" i="66"/>
  <c r="E4852" i="66"/>
  <c r="I4851" i="66"/>
  <c r="H4851" i="66"/>
  <c r="G4851" i="66"/>
  <c r="E4851" i="66"/>
  <c r="I4850" i="66"/>
  <c r="H4850" i="66"/>
  <c r="G4850" i="66"/>
  <c r="E4850" i="66"/>
  <c r="I4849" i="66"/>
  <c r="H4849" i="66"/>
  <c r="G4849" i="66"/>
  <c r="E4849" i="66"/>
  <c r="I4848" i="66"/>
  <c r="H4848" i="66"/>
  <c r="G4848" i="66"/>
  <c r="E4848" i="66"/>
  <c r="I4847" i="66"/>
  <c r="H4847" i="66"/>
  <c r="G4847" i="66"/>
  <c r="E4847" i="66"/>
  <c r="I4846" i="66"/>
  <c r="H4846" i="66"/>
  <c r="G4846" i="66"/>
  <c r="D4846" i="66" s="1"/>
  <c r="E4846" i="66"/>
  <c r="I4845" i="66"/>
  <c r="H4845" i="66"/>
  <c r="G4845" i="66"/>
  <c r="E4845" i="66"/>
  <c r="I4844" i="66"/>
  <c r="H4844" i="66"/>
  <c r="G4844" i="66"/>
  <c r="E4844" i="66"/>
  <c r="I4843" i="66"/>
  <c r="H4843" i="66"/>
  <c r="G4843" i="66"/>
  <c r="E4843" i="66"/>
  <c r="I4842" i="66"/>
  <c r="H4842" i="66"/>
  <c r="G4842" i="66"/>
  <c r="E4842" i="66"/>
  <c r="I4841" i="66"/>
  <c r="H4841" i="66"/>
  <c r="G4841" i="66"/>
  <c r="E4841" i="66"/>
  <c r="I4840" i="66"/>
  <c r="H4840" i="66"/>
  <c r="G4840" i="66"/>
  <c r="E4840" i="66"/>
  <c r="I4839" i="66"/>
  <c r="H4839" i="66"/>
  <c r="G4839" i="66"/>
  <c r="E4839" i="66"/>
  <c r="I4838" i="66"/>
  <c r="H4838" i="66"/>
  <c r="G4838" i="66"/>
  <c r="E4838" i="66"/>
  <c r="I4837" i="66"/>
  <c r="H4837" i="66"/>
  <c r="G4837" i="66"/>
  <c r="D4837" i="66" s="1"/>
  <c r="E4837" i="66"/>
  <c r="I4836" i="66"/>
  <c r="H4836" i="66"/>
  <c r="G4836" i="66"/>
  <c r="E4836" i="66"/>
  <c r="I4835" i="66"/>
  <c r="H4835" i="66"/>
  <c r="G4835" i="66"/>
  <c r="E4835" i="66"/>
  <c r="I4834" i="66"/>
  <c r="H4834" i="66"/>
  <c r="G4834" i="66"/>
  <c r="D4834" i="66" s="1"/>
  <c r="E4834" i="66"/>
  <c r="I4833" i="66"/>
  <c r="H4833" i="66"/>
  <c r="G4833" i="66"/>
  <c r="E4833" i="66"/>
  <c r="I4832" i="66"/>
  <c r="H4832" i="66"/>
  <c r="G4832" i="66"/>
  <c r="E4832" i="66"/>
  <c r="I4831" i="66"/>
  <c r="H4831" i="66"/>
  <c r="G4831" i="66"/>
  <c r="E4831" i="66"/>
  <c r="I4830" i="66"/>
  <c r="H4830" i="66"/>
  <c r="G4830" i="66"/>
  <c r="E4830" i="66"/>
  <c r="I4829" i="66"/>
  <c r="H4829" i="66"/>
  <c r="G4829" i="66"/>
  <c r="E4829" i="66"/>
  <c r="I4828" i="66"/>
  <c r="H4828" i="66"/>
  <c r="G4828" i="66"/>
  <c r="E4828" i="66"/>
  <c r="I4827" i="66"/>
  <c r="H4827" i="66"/>
  <c r="G4827" i="66"/>
  <c r="E4827" i="66"/>
  <c r="I4826" i="66"/>
  <c r="H4826" i="66"/>
  <c r="G4826" i="66"/>
  <c r="E4826" i="66"/>
  <c r="I4825" i="66"/>
  <c r="H4825" i="66"/>
  <c r="G4825" i="66"/>
  <c r="E4825" i="66"/>
  <c r="I4824" i="66"/>
  <c r="H4824" i="66"/>
  <c r="G4824" i="66"/>
  <c r="E4824" i="66"/>
  <c r="I4823" i="66"/>
  <c r="H4823" i="66"/>
  <c r="G4823" i="66"/>
  <c r="E4823" i="66"/>
  <c r="I4822" i="66"/>
  <c r="H4822" i="66"/>
  <c r="G4822" i="66"/>
  <c r="E4822" i="66"/>
  <c r="I4821" i="66"/>
  <c r="H4821" i="66"/>
  <c r="G4821" i="66"/>
  <c r="E4821" i="66"/>
  <c r="I4820" i="66"/>
  <c r="H4820" i="66"/>
  <c r="G4820" i="66"/>
  <c r="E4820" i="66"/>
  <c r="I4819" i="66"/>
  <c r="H4819" i="66"/>
  <c r="G4819" i="66"/>
  <c r="D4819" i="66" s="1"/>
  <c r="E4819" i="66"/>
  <c r="I4818" i="66"/>
  <c r="H4818" i="66"/>
  <c r="G4818" i="66"/>
  <c r="E4818" i="66"/>
  <c r="I4817" i="66"/>
  <c r="H4817" i="66"/>
  <c r="G4817" i="66"/>
  <c r="E4817" i="66"/>
  <c r="I4816" i="66"/>
  <c r="H4816" i="66"/>
  <c r="G4816" i="66"/>
  <c r="E4816" i="66"/>
  <c r="I4815" i="66"/>
  <c r="H4815" i="66"/>
  <c r="G4815" i="66"/>
  <c r="E4815" i="66"/>
  <c r="I4814" i="66"/>
  <c r="H4814" i="66"/>
  <c r="G4814" i="66"/>
  <c r="E4814" i="66"/>
  <c r="I4813" i="66"/>
  <c r="H4813" i="66"/>
  <c r="G4813" i="66"/>
  <c r="E4813" i="66"/>
  <c r="I4812" i="66"/>
  <c r="H4812" i="66"/>
  <c r="G4812" i="66"/>
  <c r="E4812" i="66"/>
  <c r="I4811" i="66"/>
  <c r="H4811" i="66"/>
  <c r="G4811" i="66"/>
  <c r="E4811" i="66"/>
  <c r="I4810" i="66"/>
  <c r="H4810" i="66"/>
  <c r="G4810" i="66"/>
  <c r="D4810" i="66" s="1"/>
  <c r="E4810" i="66"/>
  <c r="I4809" i="66"/>
  <c r="H4809" i="66"/>
  <c r="G4809" i="66"/>
  <c r="E4809" i="66"/>
  <c r="I4808" i="66"/>
  <c r="H4808" i="66"/>
  <c r="G4808" i="66"/>
  <c r="E4808" i="66"/>
  <c r="I4807" i="66"/>
  <c r="H4807" i="66"/>
  <c r="G4807" i="66"/>
  <c r="E4807" i="66"/>
  <c r="I4806" i="66"/>
  <c r="H4806" i="66"/>
  <c r="G4806" i="66"/>
  <c r="E4806" i="66"/>
  <c r="I4805" i="66"/>
  <c r="H4805" i="66"/>
  <c r="G4805" i="66"/>
  <c r="E4805" i="66"/>
  <c r="I4804" i="66"/>
  <c r="H4804" i="66"/>
  <c r="G4804" i="66"/>
  <c r="E4804" i="66"/>
  <c r="I4803" i="66"/>
  <c r="H4803" i="66"/>
  <c r="G4803" i="66"/>
  <c r="E4803" i="66"/>
  <c r="I4802" i="66"/>
  <c r="H4802" i="66"/>
  <c r="G4802" i="66"/>
  <c r="E4802" i="66"/>
  <c r="I4801" i="66"/>
  <c r="H4801" i="66"/>
  <c r="G4801" i="66"/>
  <c r="D4801" i="66" s="1"/>
  <c r="E4801" i="66"/>
  <c r="I4800" i="66"/>
  <c r="H4800" i="66"/>
  <c r="G4800" i="66"/>
  <c r="E4800" i="66"/>
  <c r="I4799" i="66"/>
  <c r="H4799" i="66"/>
  <c r="G4799" i="66"/>
  <c r="E4799" i="66"/>
  <c r="I4798" i="66"/>
  <c r="H4798" i="66"/>
  <c r="G4798" i="66"/>
  <c r="D4798" i="66" s="1"/>
  <c r="E4798" i="66"/>
  <c r="I4797" i="66"/>
  <c r="H4797" i="66"/>
  <c r="G4797" i="66"/>
  <c r="E4797" i="66"/>
  <c r="I4796" i="66"/>
  <c r="H4796" i="66"/>
  <c r="G4796" i="66"/>
  <c r="E4796" i="66"/>
  <c r="I4795" i="66"/>
  <c r="H4795" i="66"/>
  <c r="G4795" i="66"/>
  <c r="E4795" i="66"/>
  <c r="I4794" i="66"/>
  <c r="H4794" i="66"/>
  <c r="G4794" i="66"/>
  <c r="E4794" i="66"/>
  <c r="I4793" i="66"/>
  <c r="H4793" i="66"/>
  <c r="G4793" i="66"/>
  <c r="E4793" i="66"/>
  <c r="I4792" i="66"/>
  <c r="H4792" i="66"/>
  <c r="G4792" i="66"/>
  <c r="E4792" i="66"/>
  <c r="I4791" i="66"/>
  <c r="H4791" i="66"/>
  <c r="G4791" i="66"/>
  <c r="E4791" i="66"/>
  <c r="I4790" i="66"/>
  <c r="H4790" i="66"/>
  <c r="G4790" i="66"/>
  <c r="E4790" i="66"/>
  <c r="I4789" i="66"/>
  <c r="H4789" i="66"/>
  <c r="G4789" i="66"/>
  <c r="D4789" i="66" s="1"/>
  <c r="E4789" i="66"/>
  <c r="I4788" i="66"/>
  <c r="H4788" i="66"/>
  <c r="G4788" i="66"/>
  <c r="E4788" i="66"/>
  <c r="I4787" i="66"/>
  <c r="H4787" i="66"/>
  <c r="G4787" i="66"/>
  <c r="E4787" i="66"/>
  <c r="I4786" i="66"/>
  <c r="H4786" i="66"/>
  <c r="G4786" i="66"/>
  <c r="D4786" i="66" s="1"/>
  <c r="E4786" i="66"/>
  <c r="I4785" i="66"/>
  <c r="H4785" i="66"/>
  <c r="G4785" i="66"/>
  <c r="E4785" i="66"/>
  <c r="I4784" i="66"/>
  <c r="H4784" i="66"/>
  <c r="G4784" i="66"/>
  <c r="E4784" i="66"/>
  <c r="I4783" i="66"/>
  <c r="H4783" i="66"/>
  <c r="G4783" i="66"/>
  <c r="E4783" i="66"/>
  <c r="I4782" i="66"/>
  <c r="H4782" i="66"/>
  <c r="G4782" i="66"/>
  <c r="E4782" i="66"/>
  <c r="I4781" i="66"/>
  <c r="H4781" i="66"/>
  <c r="G4781" i="66"/>
  <c r="E4781" i="66"/>
  <c r="I4780" i="66"/>
  <c r="H4780" i="66"/>
  <c r="G4780" i="66"/>
  <c r="E4780" i="66"/>
  <c r="I4779" i="66"/>
  <c r="H4779" i="66"/>
  <c r="G4779" i="66"/>
  <c r="E4779" i="66"/>
  <c r="I4778" i="66"/>
  <c r="H4778" i="66"/>
  <c r="G4778" i="66"/>
  <c r="E4778" i="66"/>
  <c r="I4777" i="66"/>
  <c r="H4777" i="66"/>
  <c r="G4777" i="66"/>
  <c r="E4777" i="66"/>
  <c r="I4776" i="66"/>
  <c r="H4776" i="66"/>
  <c r="G4776" i="66"/>
  <c r="E4776" i="66"/>
  <c r="I4775" i="66"/>
  <c r="H4775" i="66"/>
  <c r="G4775" i="66"/>
  <c r="E4775" i="66"/>
  <c r="I4774" i="66"/>
  <c r="H4774" i="66"/>
  <c r="G4774" i="66"/>
  <c r="D4774" i="66" s="1"/>
  <c r="E4774" i="66"/>
  <c r="I4773" i="66"/>
  <c r="H4773" i="66"/>
  <c r="G4773" i="66"/>
  <c r="E4773" i="66"/>
  <c r="I4772" i="66"/>
  <c r="H4772" i="66"/>
  <c r="G4772" i="66"/>
  <c r="E4772" i="66"/>
  <c r="I4771" i="66"/>
  <c r="H4771" i="66"/>
  <c r="G4771" i="66"/>
  <c r="E4771" i="66"/>
  <c r="I4770" i="66"/>
  <c r="H4770" i="66"/>
  <c r="G4770" i="66"/>
  <c r="E4770" i="66"/>
  <c r="I4769" i="66"/>
  <c r="H4769" i="66"/>
  <c r="G4769" i="66"/>
  <c r="E4769" i="66"/>
  <c r="I4768" i="66"/>
  <c r="H4768" i="66"/>
  <c r="G4768" i="66"/>
  <c r="E4768" i="66"/>
  <c r="I4767" i="66"/>
  <c r="H4767" i="66"/>
  <c r="G4767" i="66"/>
  <c r="E4767" i="66"/>
  <c r="I4766" i="66"/>
  <c r="H4766" i="66"/>
  <c r="G4766" i="66"/>
  <c r="E4766" i="66"/>
  <c r="I4765" i="66"/>
  <c r="H4765" i="66"/>
  <c r="G4765" i="66"/>
  <c r="E4765" i="66"/>
  <c r="I4764" i="66"/>
  <c r="H4764" i="66"/>
  <c r="G4764" i="66"/>
  <c r="E4764" i="66"/>
  <c r="I4763" i="66"/>
  <c r="H4763" i="66"/>
  <c r="G4763" i="66"/>
  <c r="E4763" i="66"/>
  <c r="I4762" i="66"/>
  <c r="H4762" i="66"/>
  <c r="G4762" i="66"/>
  <c r="E4762" i="66"/>
  <c r="I4761" i="66"/>
  <c r="H4761" i="66"/>
  <c r="G4761" i="66"/>
  <c r="E4761" i="66"/>
  <c r="I4760" i="66"/>
  <c r="H4760" i="66"/>
  <c r="G4760" i="66"/>
  <c r="E4760" i="66"/>
  <c r="I4759" i="66"/>
  <c r="H4759" i="66"/>
  <c r="G4759" i="66"/>
  <c r="E4759" i="66"/>
  <c r="I4758" i="66"/>
  <c r="H4758" i="66"/>
  <c r="G4758" i="66"/>
  <c r="E4758" i="66"/>
  <c r="I4757" i="66"/>
  <c r="H4757" i="66"/>
  <c r="G4757" i="66"/>
  <c r="E4757" i="66"/>
  <c r="I4756" i="66"/>
  <c r="H4756" i="66"/>
  <c r="G4756" i="66"/>
  <c r="D4756" i="66" s="1"/>
  <c r="E4756" i="66"/>
  <c r="I4755" i="66"/>
  <c r="H4755" i="66"/>
  <c r="G4755" i="66"/>
  <c r="E4755" i="66"/>
  <c r="I4754" i="66"/>
  <c r="H4754" i="66"/>
  <c r="G4754" i="66"/>
  <c r="E4754" i="66"/>
  <c r="I4753" i="66"/>
  <c r="H4753" i="66"/>
  <c r="G4753" i="66"/>
  <c r="E4753" i="66"/>
  <c r="I4752" i="66"/>
  <c r="H4752" i="66"/>
  <c r="G4752" i="66"/>
  <c r="E4752" i="66"/>
  <c r="I4751" i="66"/>
  <c r="H4751" i="66"/>
  <c r="G4751" i="66"/>
  <c r="E4751" i="66"/>
  <c r="I4750" i="66"/>
  <c r="H4750" i="66"/>
  <c r="G4750" i="66"/>
  <c r="E4750" i="66"/>
  <c r="I4749" i="66"/>
  <c r="H4749" i="66"/>
  <c r="G4749" i="66"/>
  <c r="E4749" i="66"/>
  <c r="I4748" i="66"/>
  <c r="H4748" i="66"/>
  <c r="G4748" i="66"/>
  <c r="E4748" i="66"/>
  <c r="I4747" i="66"/>
  <c r="H4747" i="66"/>
  <c r="G4747" i="66"/>
  <c r="E4747" i="66"/>
  <c r="I4746" i="66"/>
  <c r="H4746" i="66"/>
  <c r="G4746" i="66"/>
  <c r="E4746" i="66"/>
  <c r="I4745" i="66"/>
  <c r="H4745" i="66"/>
  <c r="G4745" i="66"/>
  <c r="E4745" i="66"/>
  <c r="I4744" i="66"/>
  <c r="H4744" i="66"/>
  <c r="G4744" i="66"/>
  <c r="E4744" i="66"/>
  <c r="I4743" i="66"/>
  <c r="H4743" i="66"/>
  <c r="G4743" i="66"/>
  <c r="E4743" i="66"/>
  <c r="I4742" i="66"/>
  <c r="H4742" i="66"/>
  <c r="G4742" i="66"/>
  <c r="E4742" i="66"/>
  <c r="I4741" i="66"/>
  <c r="H4741" i="66"/>
  <c r="G4741" i="66"/>
  <c r="E4741" i="66"/>
  <c r="I4740" i="66"/>
  <c r="H4740" i="66"/>
  <c r="G4740" i="66"/>
  <c r="E4740" i="66"/>
  <c r="I4739" i="66"/>
  <c r="H4739" i="66"/>
  <c r="G4739" i="66"/>
  <c r="E4739" i="66"/>
  <c r="I4738" i="66"/>
  <c r="H4738" i="66"/>
  <c r="G4738" i="66"/>
  <c r="E4738" i="66"/>
  <c r="I4737" i="66"/>
  <c r="H4737" i="66"/>
  <c r="G4737" i="66"/>
  <c r="E4737" i="66"/>
  <c r="I4736" i="66"/>
  <c r="H4736" i="66"/>
  <c r="G4736" i="66"/>
  <c r="E4736" i="66"/>
  <c r="I4735" i="66"/>
  <c r="H4735" i="66"/>
  <c r="G4735" i="66"/>
  <c r="E4735" i="66"/>
  <c r="I4734" i="66"/>
  <c r="H4734" i="66"/>
  <c r="G4734" i="66"/>
  <c r="E4734" i="66"/>
  <c r="I4733" i="66"/>
  <c r="H4733" i="66"/>
  <c r="G4733" i="66"/>
  <c r="E4733" i="66"/>
  <c r="I4732" i="66"/>
  <c r="H4732" i="66"/>
  <c r="G4732" i="66"/>
  <c r="E4732" i="66"/>
  <c r="I4731" i="66"/>
  <c r="H4731" i="66"/>
  <c r="G4731" i="66"/>
  <c r="E4731" i="66"/>
  <c r="I4730" i="66"/>
  <c r="H4730" i="66"/>
  <c r="G4730" i="66"/>
  <c r="E4730" i="66"/>
  <c r="I4729" i="66"/>
  <c r="H4729" i="66"/>
  <c r="G4729" i="66"/>
  <c r="E4729" i="66"/>
  <c r="I4728" i="66"/>
  <c r="H4728" i="66"/>
  <c r="G4728" i="66"/>
  <c r="E4728" i="66"/>
  <c r="I4727" i="66"/>
  <c r="H4727" i="66"/>
  <c r="G4727" i="66"/>
  <c r="E4727" i="66"/>
  <c r="I4726" i="66"/>
  <c r="H4726" i="66"/>
  <c r="G4726" i="66"/>
  <c r="E4726" i="66"/>
  <c r="I4725" i="66"/>
  <c r="H4725" i="66"/>
  <c r="G4725" i="66"/>
  <c r="E4725" i="66"/>
  <c r="I4724" i="66"/>
  <c r="H4724" i="66"/>
  <c r="G4724" i="66"/>
  <c r="E4724" i="66"/>
  <c r="I4723" i="66"/>
  <c r="H4723" i="66"/>
  <c r="G4723" i="66"/>
  <c r="E4723" i="66"/>
  <c r="I4722" i="66"/>
  <c r="H4722" i="66"/>
  <c r="G4722" i="66"/>
  <c r="E4722" i="66"/>
  <c r="I4721" i="66"/>
  <c r="H4721" i="66"/>
  <c r="G4721" i="66"/>
  <c r="E4721" i="66"/>
  <c r="I4720" i="66"/>
  <c r="H4720" i="66"/>
  <c r="G4720" i="66"/>
  <c r="E4720" i="66"/>
  <c r="I4719" i="66"/>
  <c r="H4719" i="66"/>
  <c r="G4719" i="66"/>
  <c r="E4719" i="66"/>
  <c r="I4718" i="66"/>
  <c r="H4718" i="66"/>
  <c r="G4718" i="66"/>
  <c r="E4718" i="66"/>
  <c r="I4717" i="66"/>
  <c r="H4717" i="66"/>
  <c r="G4717" i="66"/>
  <c r="E4717" i="66"/>
  <c r="I4716" i="66"/>
  <c r="H4716" i="66"/>
  <c r="G4716" i="66"/>
  <c r="E4716" i="66"/>
  <c r="I4715" i="66"/>
  <c r="H4715" i="66"/>
  <c r="G4715" i="66"/>
  <c r="E4715" i="66"/>
  <c r="I4714" i="66"/>
  <c r="H4714" i="66"/>
  <c r="G4714" i="66"/>
  <c r="E4714" i="66"/>
  <c r="I4713" i="66"/>
  <c r="H4713" i="66"/>
  <c r="G4713" i="66"/>
  <c r="E4713" i="66"/>
  <c r="I4712" i="66"/>
  <c r="H4712" i="66"/>
  <c r="G4712" i="66"/>
  <c r="E4712" i="66"/>
  <c r="I4711" i="66"/>
  <c r="H4711" i="66"/>
  <c r="G4711" i="66"/>
  <c r="E4711" i="66"/>
  <c r="I4710" i="66"/>
  <c r="H4710" i="66"/>
  <c r="G4710" i="66"/>
  <c r="E4710" i="66"/>
  <c r="I4709" i="66"/>
  <c r="H4709" i="66"/>
  <c r="G4709" i="66"/>
  <c r="E4709" i="66"/>
  <c r="I4708" i="66"/>
  <c r="H4708" i="66"/>
  <c r="G4708" i="66"/>
  <c r="E4708" i="66"/>
  <c r="I4707" i="66"/>
  <c r="H4707" i="66"/>
  <c r="G4707" i="66"/>
  <c r="E4707" i="66"/>
  <c r="I4706" i="66"/>
  <c r="H4706" i="66"/>
  <c r="G4706" i="66"/>
  <c r="E4706" i="66"/>
  <c r="I4705" i="66"/>
  <c r="H4705" i="66"/>
  <c r="G4705" i="66"/>
  <c r="E4705" i="66"/>
  <c r="I4704" i="66"/>
  <c r="H4704" i="66"/>
  <c r="G4704" i="66"/>
  <c r="E4704" i="66"/>
  <c r="I4703" i="66"/>
  <c r="H4703" i="66"/>
  <c r="G4703" i="66"/>
  <c r="E4703" i="66"/>
  <c r="I4702" i="66"/>
  <c r="H4702" i="66"/>
  <c r="G4702" i="66"/>
  <c r="E4702" i="66"/>
  <c r="I4701" i="66"/>
  <c r="H4701" i="66"/>
  <c r="G4701" i="66"/>
  <c r="E4701" i="66"/>
  <c r="I4700" i="66"/>
  <c r="H4700" i="66"/>
  <c r="G4700" i="66"/>
  <c r="E4700" i="66"/>
  <c r="I4699" i="66"/>
  <c r="H4699" i="66"/>
  <c r="G4699" i="66"/>
  <c r="E4699" i="66"/>
  <c r="I4698" i="66"/>
  <c r="H4698" i="66"/>
  <c r="G4698" i="66"/>
  <c r="E4698" i="66"/>
  <c r="I4697" i="66"/>
  <c r="H4697" i="66"/>
  <c r="G4697" i="66"/>
  <c r="E4697" i="66"/>
  <c r="I4696" i="66"/>
  <c r="H4696" i="66"/>
  <c r="G4696" i="66"/>
  <c r="E4696" i="66"/>
  <c r="I4695" i="66"/>
  <c r="H4695" i="66"/>
  <c r="G4695" i="66"/>
  <c r="E4695" i="66"/>
  <c r="I4694" i="66"/>
  <c r="H4694" i="66"/>
  <c r="G4694" i="66"/>
  <c r="E4694" i="66"/>
  <c r="I4693" i="66"/>
  <c r="H4693" i="66"/>
  <c r="G4693" i="66"/>
  <c r="E4693" i="66"/>
  <c r="I4692" i="66"/>
  <c r="H4692" i="66"/>
  <c r="G4692" i="66"/>
  <c r="E4692" i="66"/>
  <c r="I4691" i="66"/>
  <c r="H4691" i="66"/>
  <c r="G4691" i="66"/>
  <c r="E4691" i="66"/>
  <c r="I4690" i="66"/>
  <c r="H4690" i="66"/>
  <c r="G4690" i="66"/>
  <c r="E4690" i="66"/>
  <c r="I4689" i="66"/>
  <c r="H4689" i="66"/>
  <c r="G4689" i="66"/>
  <c r="E4689" i="66"/>
  <c r="I4688" i="66"/>
  <c r="H4688" i="66"/>
  <c r="G4688" i="66"/>
  <c r="E4688" i="66"/>
  <c r="I4687" i="66"/>
  <c r="H4687" i="66"/>
  <c r="G4687" i="66"/>
  <c r="E4687" i="66"/>
  <c r="I4686" i="66"/>
  <c r="H4686" i="66"/>
  <c r="G4686" i="66"/>
  <c r="E4686" i="66"/>
  <c r="I4685" i="66"/>
  <c r="H4685" i="66"/>
  <c r="G4685" i="66"/>
  <c r="E4685" i="66"/>
  <c r="I4684" i="66"/>
  <c r="H4684" i="66"/>
  <c r="G4684" i="66"/>
  <c r="E4684" i="66"/>
  <c r="I4683" i="66"/>
  <c r="H4683" i="66"/>
  <c r="G4683" i="66"/>
  <c r="E4683" i="66"/>
  <c r="I4682" i="66"/>
  <c r="H4682" i="66"/>
  <c r="G4682" i="66"/>
  <c r="E4682" i="66"/>
  <c r="I4681" i="66"/>
  <c r="H4681" i="66"/>
  <c r="G4681" i="66"/>
  <c r="E4681" i="66"/>
  <c r="I4680" i="66"/>
  <c r="H4680" i="66"/>
  <c r="G4680" i="66"/>
  <c r="E4680" i="66"/>
  <c r="I4679" i="66"/>
  <c r="H4679" i="66"/>
  <c r="G4679" i="66"/>
  <c r="E4679" i="66"/>
  <c r="I4678" i="66"/>
  <c r="H4678" i="66"/>
  <c r="G4678" i="66"/>
  <c r="E4678" i="66"/>
  <c r="I4677" i="66"/>
  <c r="H4677" i="66"/>
  <c r="G4677" i="66"/>
  <c r="E4677" i="66"/>
  <c r="I4676" i="66"/>
  <c r="H4676" i="66"/>
  <c r="G4676" i="66"/>
  <c r="E4676" i="66"/>
  <c r="I4675" i="66"/>
  <c r="H4675" i="66"/>
  <c r="G4675" i="66"/>
  <c r="E4675" i="66"/>
  <c r="I4674" i="66"/>
  <c r="H4674" i="66"/>
  <c r="G4674" i="66"/>
  <c r="E4674" i="66"/>
  <c r="I4673" i="66"/>
  <c r="H4673" i="66"/>
  <c r="G4673" i="66"/>
  <c r="E4673" i="66"/>
  <c r="I4672" i="66"/>
  <c r="H4672" i="66"/>
  <c r="G4672" i="66"/>
  <c r="E4672" i="66"/>
  <c r="I4671" i="66"/>
  <c r="H4671" i="66"/>
  <c r="G4671" i="66"/>
  <c r="E4671" i="66"/>
  <c r="I4670" i="66"/>
  <c r="H4670" i="66"/>
  <c r="G4670" i="66"/>
  <c r="E4670" i="66"/>
  <c r="I4669" i="66"/>
  <c r="H4669" i="66"/>
  <c r="G4669" i="66"/>
  <c r="E4669" i="66"/>
  <c r="I4668" i="66"/>
  <c r="H4668" i="66"/>
  <c r="G4668" i="66"/>
  <c r="E4668" i="66"/>
  <c r="I4667" i="66"/>
  <c r="H4667" i="66"/>
  <c r="G4667" i="66"/>
  <c r="E4667" i="66"/>
  <c r="I4666" i="66"/>
  <c r="H4666" i="66"/>
  <c r="G4666" i="66"/>
  <c r="E4666" i="66"/>
  <c r="I4665" i="66"/>
  <c r="H4665" i="66"/>
  <c r="G4665" i="66"/>
  <c r="E4665" i="66"/>
  <c r="I4664" i="66"/>
  <c r="H4664" i="66"/>
  <c r="G4664" i="66"/>
  <c r="E4664" i="66"/>
  <c r="I4663" i="66"/>
  <c r="H4663" i="66"/>
  <c r="G4663" i="66"/>
  <c r="E4663" i="66"/>
  <c r="I4662" i="66"/>
  <c r="H4662" i="66"/>
  <c r="G4662" i="66"/>
  <c r="E4662" i="66"/>
  <c r="I4661" i="66"/>
  <c r="H4661" i="66"/>
  <c r="G4661" i="66"/>
  <c r="E4661" i="66"/>
  <c r="I4660" i="66"/>
  <c r="H4660" i="66"/>
  <c r="G4660" i="66"/>
  <c r="E4660" i="66"/>
  <c r="I4659" i="66"/>
  <c r="H4659" i="66"/>
  <c r="G4659" i="66"/>
  <c r="E4659" i="66"/>
  <c r="I4658" i="66"/>
  <c r="H4658" i="66"/>
  <c r="G4658" i="66"/>
  <c r="E4658" i="66"/>
  <c r="I4657" i="66"/>
  <c r="H4657" i="66"/>
  <c r="G4657" i="66"/>
  <c r="E4657" i="66"/>
  <c r="I4656" i="66"/>
  <c r="H4656" i="66"/>
  <c r="G4656" i="66"/>
  <c r="E4656" i="66"/>
  <c r="I4655" i="66"/>
  <c r="H4655" i="66"/>
  <c r="G4655" i="66"/>
  <c r="E4655" i="66"/>
  <c r="I4654" i="66"/>
  <c r="H4654" i="66"/>
  <c r="G4654" i="66"/>
  <c r="E4654" i="66"/>
  <c r="I4653" i="66"/>
  <c r="H4653" i="66"/>
  <c r="G4653" i="66"/>
  <c r="E4653" i="66"/>
  <c r="I4652" i="66"/>
  <c r="H4652" i="66"/>
  <c r="G4652" i="66"/>
  <c r="E4652" i="66"/>
  <c r="I4651" i="66"/>
  <c r="H4651" i="66"/>
  <c r="G4651" i="66"/>
  <c r="E4651" i="66"/>
  <c r="I4650" i="66"/>
  <c r="H4650" i="66"/>
  <c r="G4650" i="66"/>
  <c r="E4650" i="66"/>
  <c r="I4649" i="66"/>
  <c r="H4649" i="66"/>
  <c r="G4649" i="66"/>
  <c r="E4649" i="66"/>
  <c r="I4648" i="66"/>
  <c r="H4648" i="66"/>
  <c r="G4648" i="66"/>
  <c r="E4648" i="66"/>
  <c r="I4647" i="66"/>
  <c r="H4647" i="66"/>
  <c r="G4647" i="66"/>
  <c r="E4647" i="66"/>
  <c r="I4646" i="66"/>
  <c r="H4646" i="66"/>
  <c r="G4646" i="66"/>
  <c r="E4646" i="66"/>
  <c r="I4645" i="66"/>
  <c r="H4645" i="66"/>
  <c r="G4645" i="66"/>
  <c r="E4645" i="66"/>
  <c r="I4644" i="66"/>
  <c r="H4644" i="66"/>
  <c r="G4644" i="66"/>
  <c r="E4644" i="66"/>
  <c r="I4643" i="66"/>
  <c r="H4643" i="66"/>
  <c r="G4643" i="66"/>
  <c r="E4643" i="66"/>
  <c r="I4642" i="66"/>
  <c r="H4642" i="66"/>
  <c r="G4642" i="66"/>
  <c r="E4642" i="66"/>
  <c r="I4641" i="66"/>
  <c r="H4641" i="66"/>
  <c r="G4641" i="66"/>
  <c r="E4641" i="66"/>
  <c r="I4640" i="66"/>
  <c r="H4640" i="66"/>
  <c r="G4640" i="66"/>
  <c r="E4640" i="66"/>
  <c r="I4639" i="66"/>
  <c r="H4639" i="66"/>
  <c r="G4639" i="66"/>
  <c r="E4639" i="66"/>
  <c r="I4638" i="66"/>
  <c r="H4638" i="66"/>
  <c r="G4638" i="66"/>
  <c r="E4638" i="66"/>
  <c r="I4637" i="66"/>
  <c r="H4637" i="66"/>
  <c r="G4637" i="66"/>
  <c r="E4637" i="66"/>
  <c r="I4636" i="66"/>
  <c r="H4636" i="66"/>
  <c r="G4636" i="66"/>
  <c r="E4636" i="66"/>
  <c r="I4635" i="66"/>
  <c r="H4635" i="66"/>
  <c r="G4635" i="66"/>
  <c r="E4635" i="66"/>
  <c r="I4634" i="66"/>
  <c r="H4634" i="66"/>
  <c r="G4634" i="66"/>
  <c r="E4634" i="66"/>
  <c r="I4633" i="66"/>
  <c r="H4633" i="66"/>
  <c r="G4633" i="66"/>
  <c r="E4633" i="66"/>
  <c r="I4632" i="66"/>
  <c r="H4632" i="66"/>
  <c r="G4632" i="66"/>
  <c r="E4632" i="66"/>
  <c r="I4631" i="66"/>
  <c r="H4631" i="66"/>
  <c r="G4631" i="66"/>
  <c r="E4631" i="66"/>
  <c r="I4630" i="66"/>
  <c r="H4630" i="66"/>
  <c r="G4630" i="66"/>
  <c r="E4630" i="66"/>
  <c r="I4629" i="66"/>
  <c r="H4629" i="66"/>
  <c r="G4629" i="66"/>
  <c r="E4629" i="66"/>
  <c r="I4628" i="66"/>
  <c r="H4628" i="66"/>
  <c r="G4628" i="66"/>
  <c r="E4628" i="66"/>
  <c r="I4627" i="66"/>
  <c r="H4627" i="66"/>
  <c r="G4627" i="66"/>
  <c r="E4627" i="66"/>
  <c r="I4626" i="66"/>
  <c r="H4626" i="66"/>
  <c r="G4626" i="66"/>
  <c r="E4626" i="66"/>
  <c r="I4625" i="66"/>
  <c r="H4625" i="66"/>
  <c r="G4625" i="66"/>
  <c r="E4625" i="66"/>
  <c r="I4624" i="66"/>
  <c r="H4624" i="66"/>
  <c r="G4624" i="66"/>
  <c r="E4624" i="66"/>
  <c r="I4623" i="66"/>
  <c r="H4623" i="66"/>
  <c r="G4623" i="66"/>
  <c r="E4623" i="66"/>
  <c r="I4622" i="66"/>
  <c r="H4622" i="66"/>
  <c r="G4622" i="66"/>
  <c r="E4622" i="66"/>
  <c r="I4621" i="66"/>
  <c r="H4621" i="66"/>
  <c r="G4621" i="66"/>
  <c r="E4621" i="66"/>
  <c r="I4620" i="66"/>
  <c r="H4620" i="66"/>
  <c r="G4620" i="66"/>
  <c r="E4620" i="66"/>
  <c r="I4619" i="66"/>
  <c r="H4619" i="66"/>
  <c r="G4619" i="66"/>
  <c r="E4619" i="66"/>
  <c r="I4618" i="66"/>
  <c r="H4618" i="66"/>
  <c r="G4618" i="66"/>
  <c r="E4618" i="66"/>
  <c r="I4617" i="66"/>
  <c r="H4617" i="66"/>
  <c r="G4617" i="66"/>
  <c r="E4617" i="66"/>
  <c r="I4616" i="66"/>
  <c r="H4616" i="66"/>
  <c r="G4616" i="66"/>
  <c r="E4616" i="66"/>
  <c r="I4615" i="66"/>
  <c r="H4615" i="66"/>
  <c r="G4615" i="66"/>
  <c r="E4615" i="66"/>
  <c r="I4614" i="66"/>
  <c r="H4614" i="66"/>
  <c r="G4614" i="66"/>
  <c r="E4614" i="66"/>
  <c r="I4613" i="66"/>
  <c r="H4613" i="66"/>
  <c r="G4613" i="66"/>
  <c r="E4613" i="66"/>
  <c r="I4612" i="66"/>
  <c r="H4612" i="66"/>
  <c r="G4612" i="66"/>
  <c r="E4612" i="66"/>
  <c r="I4611" i="66"/>
  <c r="H4611" i="66"/>
  <c r="G4611" i="66"/>
  <c r="E4611" i="66"/>
  <c r="I4610" i="66"/>
  <c r="H4610" i="66"/>
  <c r="G4610" i="66"/>
  <c r="E4610" i="66"/>
  <c r="I4609" i="66"/>
  <c r="H4609" i="66"/>
  <c r="G4609" i="66"/>
  <c r="E4609" i="66"/>
  <c r="I4608" i="66"/>
  <c r="H4608" i="66"/>
  <c r="G4608" i="66"/>
  <c r="E4608" i="66"/>
  <c r="I4607" i="66"/>
  <c r="H4607" i="66"/>
  <c r="G4607" i="66"/>
  <c r="E4607" i="66"/>
  <c r="I4606" i="66"/>
  <c r="H4606" i="66"/>
  <c r="G4606" i="66"/>
  <c r="E4606" i="66"/>
  <c r="I4605" i="66"/>
  <c r="H4605" i="66"/>
  <c r="G4605" i="66"/>
  <c r="E4605" i="66"/>
  <c r="I4604" i="66"/>
  <c r="H4604" i="66"/>
  <c r="G4604" i="66"/>
  <c r="E4604" i="66"/>
  <c r="I4603" i="66"/>
  <c r="H4603" i="66"/>
  <c r="G4603" i="66"/>
  <c r="E4603" i="66"/>
  <c r="I4602" i="66"/>
  <c r="H4602" i="66"/>
  <c r="G4602" i="66"/>
  <c r="E4602" i="66"/>
  <c r="I4601" i="66"/>
  <c r="H4601" i="66"/>
  <c r="G4601" i="66"/>
  <c r="E4601" i="66"/>
  <c r="I4600" i="66"/>
  <c r="H4600" i="66"/>
  <c r="G4600" i="66"/>
  <c r="E4600" i="66"/>
  <c r="I4599" i="66"/>
  <c r="H4599" i="66"/>
  <c r="G4599" i="66"/>
  <c r="E4599" i="66"/>
  <c r="I4598" i="66"/>
  <c r="H4598" i="66"/>
  <c r="G4598" i="66"/>
  <c r="E4598" i="66"/>
  <c r="I4597" i="66"/>
  <c r="H4597" i="66"/>
  <c r="G4597" i="66"/>
  <c r="E4597" i="66"/>
  <c r="I4596" i="66"/>
  <c r="H4596" i="66"/>
  <c r="G4596" i="66"/>
  <c r="E4596" i="66"/>
  <c r="I4595" i="66"/>
  <c r="H4595" i="66"/>
  <c r="G4595" i="66"/>
  <c r="E4595" i="66"/>
  <c r="I4594" i="66"/>
  <c r="H4594" i="66"/>
  <c r="G4594" i="66"/>
  <c r="E4594" i="66"/>
  <c r="I4593" i="66"/>
  <c r="H4593" i="66"/>
  <c r="G4593" i="66"/>
  <c r="E4593" i="66"/>
  <c r="I4592" i="66"/>
  <c r="H4592" i="66"/>
  <c r="G4592" i="66"/>
  <c r="E4592" i="66"/>
  <c r="I4591" i="66"/>
  <c r="H4591" i="66"/>
  <c r="G4591" i="66"/>
  <c r="E4591" i="66"/>
  <c r="I4590" i="66"/>
  <c r="H4590" i="66"/>
  <c r="G4590" i="66"/>
  <c r="E4590" i="66"/>
  <c r="I4589" i="66"/>
  <c r="H4589" i="66"/>
  <c r="G4589" i="66"/>
  <c r="E4589" i="66"/>
  <c r="I4588" i="66"/>
  <c r="H4588" i="66"/>
  <c r="G4588" i="66"/>
  <c r="E4588" i="66"/>
  <c r="I4587" i="66"/>
  <c r="H4587" i="66"/>
  <c r="G4587" i="66"/>
  <c r="E4587" i="66"/>
  <c r="I4586" i="66"/>
  <c r="H4586" i="66"/>
  <c r="G4586" i="66"/>
  <c r="E4586" i="66"/>
  <c r="I4585" i="66"/>
  <c r="H4585" i="66"/>
  <c r="G4585" i="66"/>
  <c r="E4585" i="66"/>
  <c r="I4584" i="66"/>
  <c r="H4584" i="66"/>
  <c r="G4584" i="66"/>
  <c r="E4584" i="66"/>
  <c r="I4583" i="66"/>
  <c r="H4583" i="66"/>
  <c r="G4583" i="66"/>
  <c r="E4583" i="66"/>
  <c r="I4582" i="66"/>
  <c r="H4582" i="66"/>
  <c r="G4582" i="66"/>
  <c r="E4582" i="66"/>
  <c r="I4581" i="66"/>
  <c r="H4581" i="66"/>
  <c r="G4581" i="66"/>
  <c r="E4581" i="66"/>
  <c r="I4580" i="66"/>
  <c r="H4580" i="66"/>
  <c r="G4580" i="66"/>
  <c r="E4580" i="66"/>
  <c r="I4579" i="66"/>
  <c r="H4579" i="66"/>
  <c r="G4579" i="66"/>
  <c r="E4579" i="66"/>
  <c r="I4578" i="66"/>
  <c r="H4578" i="66"/>
  <c r="G4578" i="66"/>
  <c r="E4578" i="66"/>
  <c r="I4577" i="66"/>
  <c r="H4577" i="66"/>
  <c r="G4577" i="66"/>
  <c r="E4577" i="66"/>
  <c r="I4576" i="66"/>
  <c r="H4576" i="66"/>
  <c r="G4576" i="66"/>
  <c r="E4576" i="66"/>
  <c r="I4575" i="66"/>
  <c r="H4575" i="66"/>
  <c r="G4575" i="66"/>
  <c r="E4575" i="66"/>
  <c r="I4574" i="66"/>
  <c r="H4574" i="66"/>
  <c r="G4574" i="66"/>
  <c r="E4574" i="66"/>
  <c r="I4573" i="66"/>
  <c r="H4573" i="66"/>
  <c r="G4573" i="66"/>
  <c r="E4573" i="66"/>
  <c r="I4572" i="66"/>
  <c r="H4572" i="66"/>
  <c r="G4572" i="66"/>
  <c r="E4572" i="66"/>
  <c r="I4571" i="66"/>
  <c r="H4571" i="66"/>
  <c r="G4571" i="66"/>
  <c r="E4571" i="66"/>
  <c r="I4570" i="66"/>
  <c r="H4570" i="66"/>
  <c r="G4570" i="66"/>
  <c r="E4570" i="66"/>
  <c r="I4569" i="66"/>
  <c r="H4569" i="66"/>
  <c r="G4569" i="66"/>
  <c r="E4569" i="66"/>
  <c r="I4568" i="66"/>
  <c r="H4568" i="66"/>
  <c r="G4568" i="66"/>
  <c r="E4568" i="66"/>
  <c r="I4567" i="66"/>
  <c r="H4567" i="66"/>
  <c r="G4567" i="66"/>
  <c r="E4567" i="66"/>
  <c r="I4566" i="66"/>
  <c r="H4566" i="66"/>
  <c r="G4566" i="66"/>
  <c r="E4566" i="66"/>
  <c r="I4565" i="66"/>
  <c r="H4565" i="66"/>
  <c r="G4565" i="66"/>
  <c r="E4565" i="66"/>
  <c r="I4564" i="66"/>
  <c r="H4564" i="66"/>
  <c r="G4564" i="66"/>
  <c r="E4564" i="66"/>
  <c r="I4563" i="66"/>
  <c r="H4563" i="66"/>
  <c r="G4563" i="66"/>
  <c r="E4563" i="66"/>
  <c r="I4562" i="66"/>
  <c r="H4562" i="66"/>
  <c r="G4562" i="66"/>
  <c r="E4562" i="66"/>
  <c r="I4561" i="66"/>
  <c r="H4561" i="66"/>
  <c r="G4561" i="66"/>
  <c r="E4561" i="66"/>
  <c r="I4560" i="66"/>
  <c r="H4560" i="66"/>
  <c r="G4560" i="66"/>
  <c r="E4560" i="66"/>
  <c r="I4559" i="66"/>
  <c r="H4559" i="66"/>
  <c r="G4559" i="66"/>
  <c r="E4559" i="66"/>
  <c r="I4558" i="66"/>
  <c r="H4558" i="66"/>
  <c r="G4558" i="66"/>
  <c r="E4558" i="66"/>
  <c r="I4557" i="66"/>
  <c r="H4557" i="66"/>
  <c r="G4557" i="66"/>
  <c r="E4557" i="66"/>
  <c r="I4556" i="66"/>
  <c r="H4556" i="66"/>
  <c r="G4556" i="66"/>
  <c r="E4556" i="66"/>
  <c r="I4555" i="66"/>
  <c r="H4555" i="66"/>
  <c r="G4555" i="66"/>
  <c r="E4555" i="66"/>
  <c r="I4554" i="66"/>
  <c r="H4554" i="66"/>
  <c r="G4554" i="66"/>
  <c r="E4554" i="66"/>
  <c r="I4553" i="66"/>
  <c r="H4553" i="66"/>
  <c r="G4553" i="66"/>
  <c r="E4553" i="66"/>
  <c r="I4552" i="66"/>
  <c r="H4552" i="66"/>
  <c r="G4552" i="66"/>
  <c r="E4552" i="66"/>
  <c r="I4551" i="66"/>
  <c r="H4551" i="66"/>
  <c r="G4551" i="66"/>
  <c r="E4551" i="66"/>
  <c r="I4550" i="66"/>
  <c r="H4550" i="66"/>
  <c r="G4550" i="66"/>
  <c r="E4550" i="66"/>
  <c r="I4549" i="66"/>
  <c r="H4549" i="66"/>
  <c r="G4549" i="66"/>
  <c r="E4549" i="66"/>
  <c r="I4548" i="66"/>
  <c r="H4548" i="66"/>
  <c r="G4548" i="66"/>
  <c r="E4548" i="66"/>
  <c r="I4547" i="66"/>
  <c r="H4547" i="66"/>
  <c r="G4547" i="66"/>
  <c r="E4547" i="66"/>
  <c r="I4546" i="66"/>
  <c r="H4546" i="66"/>
  <c r="G4546" i="66"/>
  <c r="E4546" i="66"/>
  <c r="I4545" i="66"/>
  <c r="H4545" i="66"/>
  <c r="G4545" i="66"/>
  <c r="E4545" i="66"/>
  <c r="I4544" i="66"/>
  <c r="H4544" i="66"/>
  <c r="G4544" i="66"/>
  <c r="E4544" i="66"/>
  <c r="I4543" i="66"/>
  <c r="H4543" i="66"/>
  <c r="G4543" i="66"/>
  <c r="E4543" i="66"/>
  <c r="I4542" i="66"/>
  <c r="H4542" i="66"/>
  <c r="G4542" i="66"/>
  <c r="E4542" i="66"/>
  <c r="I4541" i="66"/>
  <c r="H4541" i="66"/>
  <c r="G4541" i="66"/>
  <c r="E4541" i="66"/>
  <c r="I4540" i="66"/>
  <c r="H4540" i="66"/>
  <c r="G4540" i="66"/>
  <c r="E4540" i="66"/>
  <c r="I4539" i="66"/>
  <c r="H4539" i="66"/>
  <c r="G4539" i="66"/>
  <c r="E4539" i="66"/>
  <c r="I4538" i="66"/>
  <c r="H4538" i="66"/>
  <c r="G4538" i="66"/>
  <c r="E4538" i="66"/>
  <c r="I4537" i="66"/>
  <c r="H4537" i="66"/>
  <c r="G4537" i="66"/>
  <c r="E4537" i="66"/>
  <c r="I4536" i="66"/>
  <c r="H4536" i="66"/>
  <c r="G4536" i="66"/>
  <c r="E4536" i="66"/>
  <c r="I4535" i="66"/>
  <c r="H4535" i="66"/>
  <c r="G4535" i="66"/>
  <c r="E4535" i="66"/>
  <c r="I4534" i="66"/>
  <c r="H4534" i="66"/>
  <c r="G4534" i="66"/>
  <c r="E4534" i="66"/>
  <c r="I4533" i="66"/>
  <c r="H4533" i="66"/>
  <c r="G4533" i="66"/>
  <c r="E4533" i="66"/>
  <c r="I4532" i="66"/>
  <c r="H4532" i="66"/>
  <c r="G4532" i="66"/>
  <c r="E4532" i="66"/>
  <c r="I4531" i="66"/>
  <c r="H4531" i="66"/>
  <c r="G4531" i="66"/>
  <c r="E4531" i="66"/>
  <c r="I4530" i="66"/>
  <c r="H4530" i="66"/>
  <c r="G4530" i="66"/>
  <c r="E4530" i="66"/>
  <c r="I4529" i="66"/>
  <c r="H4529" i="66"/>
  <c r="G4529" i="66"/>
  <c r="E4529" i="66"/>
  <c r="I4528" i="66"/>
  <c r="H4528" i="66"/>
  <c r="G4528" i="66"/>
  <c r="E4528" i="66"/>
  <c r="I4527" i="66"/>
  <c r="H4527" i="66"/>
  <c r="G4527" i="66"/>
  <c r="E4527" i="66"/>
  <c r="I4526" i="66"/>
  <c r="H4526" i="66"/>
  <c r="G4526" i="66"/>
  <c r="E4526" i="66"/>
  <c r="I4525" i="66"/>
  <c r="H4525" i="66"/>
  <c r="G4525" i="66"/>
  <c r="E4525" i="66"/>
  <c r="I4524" i="66"/>
  <c r="H4524" i="66"/>
  <c r="G4524" i="66"/>
  <c r="E4524" i="66"/>
  <c r="I4523" i="66"/>
  <c r="H4523" i="66"/>
  <c r="G4523" i="66"/>
  <c r="E4523" i="66"/>
  <c r="I4522" i="66"/>
  <c r="H4522" i="66"/>
  <c r="G4522" i="66"/>
  <c r="E4522" i="66"/>
  <c r="I4521" i="66"/>
  <c r="H4521" i="66"/>
  <c r="G4521" i="66"/>
  <c r="E4521" i="66"/>
  <c r="I4520" i="66"/>
  <c r="H4520" i="66"/>
  <c r="G4520" i="66"/>
  <c r="E4520" i="66"/>
  <c r="I4519" i="66"/>
  <c r="H4519" i="66"/>
  <c r="G4519" i="66"/>
  <c r="E4519" i="66"/>
  <c r="I4518" i="66"/>
  <c r="H4518" i="66"/>
  <c r="G4518" i="66"/>
  <c r="E4518" i="66"/>
  <c r="I4517" i="66"/>
  <c r="H4517" i="66"/>
  <c r="G4517" i="66"/>
  <c r="E4517" i="66"/>
  <c r="I4516" i="66"/>
  <c r="H4516" i="66"/>
  <c r="G4516" i="66"/>
  <c r="E4516" i="66"/>
  <c r="I4515" i="66"/>
  <c r="H4515" i="66"/>
  <c r="G4515" i="66"/>
  <c r="E4515" i="66"/>
  <c r="I4514" i="66"/>
  <c r="H4514" i="66"/>
  <c r="G4514" i="66"/>
  <c r="E4514" i="66"/>
  <c r="I4513" i="66"/>
  <c r="H4513" i="66"/>
  <c r="G4513" i="66"/>
  <c r="E4513" i="66"/>
  <c r="I4512" i="66"/>
  <c r="H4512" i="66"/>
  <c r="G4512" i="66"/>
  <c r="E4512" i="66"/>
  <c r="I4511" i="66"/>
  <c r="H4511" i="66"/>
  <c r="G4511" i="66"/>
  <c r="E4511" i="66"/>
  <c r="I4510" i="66"/>
  <c r="H4510" i="66"/>
  <c r="G4510" i="66"/>
  <c r="E4510" i="66"/>
  <c r="I4509" i="66"/>
  <c r="H4509" i="66"/>
  <c r="G4509" i="66"/>
  <c r="E4509" i="66"/>
  <c r="I4508" i="66"/>
  <c r="H4508" i="66"/>
  <c r="G4508" i="66"/>
  <c r="E4508" i="66"/>
  <c r="I4507" i="66"/>
  <c r="H4507" i="66"/>
  <c r="G4507" i="66"/>
  <c r="E4507" i="66"/>
  <c r="I4506" i="66"/>
  <c r="H4506" i="66"/>
  <c r="G4506" i="66"/>
  <c r="E4506" i="66"/>
  <c r="I4505" i="66"/>
  <c r="H4505" i="66"/>
  <c r="G4505" i="66"/>
  <c r="E4505" i="66"/>
  <c r="I4504" i="66"/>
  <c r="H4504" i="66"/>
  <c r="G4504" i="66"/>
  <c r="E4504" i="66"/>
  <c r="I4503" i="66"/>
  <c r="H4503" i="66"/>
  <c r="G4503" i="66"/>
  <c r="E4503" i="66"/>
  <c r="I4502" i="66"/>
  <c r="H4502" i="66"/>
  <c r="G4502" i="66"/>
  <c r="E4502" i="66"/>
  <c r="I4501" i="66"/>
  <c r="H4501" i="66"/>
  <c r="G4501" i="66"/>
  <c r="E4501" i="66"/>
  <c r="I4500" i="66"/>
  <c r="H4500" i="66"/>
  <c r="G4500" i="66"/>
  <c r="E4500" i="66"/>
  <c r="I4499" i="66"/>
  <c r="H4499" i="66"/>
  <c r="G4499" i="66"/>
  <c r="E4499" i="66"/>
  <c r="I4498" i="66"/>
  <c r="H4498" i="66"/>
  <c r="G4498" i="66"/>
  <c r="E4498" i="66"/>
  <c r="I4497" i="66"/>
  <c r="H4497" i="66"/>
  <c r="G4497" i="66"/>
  <c r="E4497" i="66"/>
  <c r="I4496" i="66"/>
  <c r="H4496" i="66"/>
  <c r="G4496" i="66"/>
  <c r="E4496" i="66"/>
  <c r="I4495" i="66"/>
  <c r="H4495" i="66"/>
  <c r="G4495" i="66"/>
  <c r="E4495" i="66"/>
  <c r="I4494" i="66"/>
  <c r="H4494" i="66"/>
  <c r="G4494" i="66"/>
  <c r="E4494" i="66"/>
  <c r="I4493" i="66"/>
  <c r="H4493" i="66"/>
  <c r="G4493" i="66"/>
  <c r="E4493" i="66"/>
  <c r="I4492" i="66"/>
  <c r="H4492" i="66"/>
  <c r="G4492" i="66"/>
  <c r="E4492" i="66"/>
  <c r="I4491" i="66"/>
  <c r="H4491" i="66"/>
  <c r="G4491" i="66"/>
  <c r="E4491" i="66"/>
  <c r="I4490" i="66"/>
  <c r="H4490" i="66"/>
  <c r="G4490" i="66"/>
  <c r="E4490" i="66"/>
  <c r="I4489" i="66"/>
  <c r="H4489" i="66"/>
  <c r="G4489" i="66"/>
  <c r="E4489" i="66"/>
  <c r="I4488" i="66"/>
  <c r="H4488" i="66"/>
  <c r="G4488" i="66"/>
  <c r="E4488" i="66"/>
  <c r="I4487" i="66"/>
  <c r="H4487" i="66"/>
  <c r="G4487" i="66"/>
  <c r="E4487" i="66"/>
  <c r="I4486" i="66"/>
  <c r="H4486" i="66"/>
  <c r="G4486" i="66"/>
  <c r="E4486" i="66"/>
  <c r="I4485" i="66"/>
  <c r="H4485" i="66"/>
  <c r="G4485" i="66"/>
  <c r="E4485" i="66"/>
  <c r="I4484" i="66"/>
  <c r="H4484" i="66"/>
  <c r="G4484" i="66"/>
  <c r="E4484" i="66"/>
  <c r="I4483" i="66"/>
  <c r="H4483" i="66"/>
  <c r="G4483" i="66"/>
  <c r="E4483" i="66"/>
  <c r="I4482" i="66"/>
  <c r="H4482" i="66"/>
  <c r="G4482" i="66"/>
  <c r="E4482" i="66"/>
  <c r="I4481" i="66"/>
  <c r="H4481" i="66"/>
  <c r="G4481" i="66"/>
  <c r="E4481" i="66"/>
  <c r="I4480" i="66"/>
  <c r="H4480" i="66"/>
  <c r="G4480" i="66"/>
  <c r="E4480" i="66"/>
  <c r="I4479" i="66"/>
  <c r="H4479" i="66"/>
  <c r="G4479" i="66"/>
  <c r="E4479" i="66"/>
  <c r="I4478" i="66"/>
  <c r="H4478" i="66"/>
  <c r="G4478" i="66"/>
  <c r="E4478" i="66"/>
  <c r="I4477" i="66"/>
  <c r="H4477" i="66"/>
  <c r="G4477" i="66"/>
  <c r="E4477" i="66"/>
  <c r="I4476" i="66"/>
  <c r="H4476" i="66"/>
  <c r="G4476" i="66"/>
  <c r="E4476" i="66"/>
  <c r="I4475" i="66"/>
  <c r="H4475" i="66"/>
  <c r="G4475" i="66"/>
  <c r="E4475" i="66"/>
  <c r="I4474" i="66"/>
  <c r="H4474" i="66"/>
  <c r="G4474" i="66"/>
  <c r="E4474" i="66"/>
  <c r="I4473" i="66"/>
  <c r="H4473" i="66"/>
  <c r="G4473" i="66"/>
  <c r="E4473" i="66"/>
  <c r="I4472" i="66"/>
  <c r="H4472" i="66"/>
  <c r="G4472" i="66"/>
  <c r="E4472" i="66"/>
  <c r="I4471" i="66"/>
  <c r="H4471" i="66"/>
  <c r="G4471" i="66"/>
  <c r="E4471" i="66"/>
  <c r="I4470" i="66"/>
  <c r="H4470" i="66"/>
  <c r="G4470" i="66"/>
  <c r="E4470" i="66"/>
  <c r="I4469" i="66"/>
  <c r="H4469" i="66"/>
  <c r="G4469" i="66"/>
  <c r="E4469" i="66"/>
  <c r="I4468" i="66"/>
  <c r="H4468" i="66"/>
  <c r="G4468" i="66"/>
  <c r="E4468" i="66"/>
  <c r="I4467" i="66"/>
  <c r="H4467" i="66"/>
  <c r="G4467" i="66"/>
  <c r="E4467" i="66"/>
  <c r="I4466" i="66"/>
  <c r="H4466" i="66"/>
  <c r="G4466" i="66"/>
  <c r="E4466" i="66"/>
  <c r="I4465" i="66"/>
  <c r="H4465" i="66"/>
  <c r="G4465" i="66"/>
  <c r="E4465" i="66"/>
  <c r="I4464" i="66"/>
  <c r="H4464" i="66"/>
  <c r="G4464" i="66"/>
  <c r="E4464" i="66"/>
  <c r="I4463" i="66"/>
  <c r="H4463" i="66"/>
  <c r="G4463" i="66"/>
  <c r="E4463" i="66"/>
  <c r="I4462" i="66"/>
  <c r="H4462" i="66"/>
  <c r="G4462" i="66"/>
  <c r="E4462" i="66"/>
  <c r="I4461" i="66"/>
  <c r="H4461" i="66"/>
  <c r="G4461" i="66"/>
  <c r="E4461" i="66"/>
  <c r="I4460" i="66"/>
  <c r="H4460" i="66"/>
  <c r="G4460" i="66"/>
  <c r="E4460" i="66"/>
  <c r="I4459" i="66"/>
  <c r="H4459" i="66"/>
  <c r="G4459" i="66"/>
  <c r="E4459" i="66"/>
  <c r="I4458" i="66"/>
  <c r="H4458" i="66"/>
  <c r="G4458" i="66"/>
  <c r="E4458" i="66"/>
  <c r="I4457" i="66"/>
  <c r="H4457" i="66"/>
  <c r="G4457" i="66"/>
  <c r="E4457" i="66"/>
  <c r="I4456" i="66"/>
  <c r="H4456" i="66"/>
  <c r="G4456" i="66"/>
  <c r="E4456" i="66"/>
  <c r="I4455" i="66"/>
  <c r="H4455" i="66"/>
  <c r="G4455" i="66"/>
  <c r="E4455" i="66"/>
  <c r="I4454" i="66"/>
  <c r="H4454" i="66"/>
  <c r="G4454" i="66"/>
  <c r="E4454" i="66"/>
  <c r="I4453" i="66"/>
  <c r="H4453" i="66"/>
  <c r="G4453" i="66"/>
  <c r="E4453" i="66"/>
  <c r="I4452" i="66"/>
  <c r="H4452" i="66"/>
  <c r="G4452" i="66"/>
  <c r="E4452" i="66"/>
  <c r="I4451" i="66"/>
  <c r="H4451" i="66"/>
  <c r="G4451" i="66"/>
  <c r="E4451" i="66"/>
  <c r="I4450" i="66"/>
  <c r="H4450" i="66"/>
  <c r="G4450" i="66"/>
  <c r="E4450" i="66"/>
  <c r="I4449" i="66"/>
  <c r="H4449" i="66"/>
  <c r="G4449" i="66"/>
  <c r="E4449" i="66"/>
  <c r="I4448" i="66"/>
  <c r="H4448" i="66"/>
  <c r="G4448" i="66"/>
  <c r="E4448" i="66"/>
  <c r="I4447" i="66"/>
  <c r="H4447" i="66"/>
  <c r="G4447" i="66"/>
  <c r="E4447" i="66"/>
  <c r="I4446" i="66"/>
  <c r="H4446" i="66"/>
  <c r="G4446" i="66"/>
  <c r="E4446" i="66"/>
  <c r="I4445" i="66"/>
  <c r="H4445" i="66"/>
  <c r="G4445" i="66"/>
  <c r="E4445" i="66"/>
  <c r="I4444" i="66"/>
  <c r="H4444" i="66"/>
  <c r="G4444" i="66"/>
  <c r="E4444" i="66"/>
  <c r="I4443" i="66"/>
  <c r="H4443" i="66"/>
  <c r="G4443" i="66"/>
  <c r="E4443" i="66"/>
  <c r="I4442" i="66"/>
  <c r="H4442" i="66"/>
  <c r="G4442" i="66"/>
  <c r="E4442" i="66"/>
  <c r="I4441" i="66"/>
  <c r="H4441" i="66"/>
  <c r="G4441" i="66"/>
  <c r="E4441" i="66"/>
  <c r="I4440" i="66"/>
  <c r="H4440" i="66"/>
  <c r="G4440" i="66"/>
  <c r="E4440" i="66"/>
  <c r="I4439" i="66"/>
  <c r="H4439" i="66"/>
  <c r="G4439" i="66"/>
  <c r="E4439" i="66"/>
  <c r="I4438" i="66"/>
  <c r="H4438" i="66"/>
  <c r="G4438" i="66"/>
  <c r="E4438" i="66"/>
  <c r="I4437" i="66"/>
  <c r="H4437" i="66"/>
  <c r="G4437" i="66"/>
  <c r="E4437" i="66"/>
  <c r="I4436" i="66"/>
  <c r="H4436" i="66"/>
  <c r="G4436" i="66"/>
  <c r="E4436" i="66"/>
  <c r="I4435" i="66"/>
  <c r="H4435" i="66"/>
  <c r="G4435" i="66"/>
  <c r="E4435" i="66"/>
  <c r="I4434" i="66"/>
  <c r="H4434" i="66"/>
  <c r="G4434" i="66"/>
  <c r="E4434" i="66"/>
  <c r="I4433" i="66"/>
  <c r="H4433" i="66"/>
  <c r="G4433" i="66"/>
  <c r="E4433" i="66"/>
  <c r="I4432" i="66"/>
  <c r="H4432" i="66"/>
  <c r="G4432" i="66"/>
  <c r="E4432" i="66"/>
  <c r="I4431" i="66"/>
  <c r="H4431" i="66"/>
  <c r="G4431" i="66"/>
  <c r="E4431" i="66"/>
  <c r="I4430" i="66"/>
  <c r="H4430" i="66"/>
  <c r="G4430" i="66"/>
  <c r="E4430" i="66"/>
  <c r="I4429" i="66"/>
  <c r="H4429" i="66"/>
  <c r="G4429" i="66"/>
  <c r="E4429" i="66"/>
  <c r="I4428" i="66"/>
  <c r="H4428" i="66"/>
  <c r="G4428" i="66"/>
  <c r="E4428" i="66"/>
  <c r="I4427" i="66"/>
  <c r="H4427" i="66"/>
  <c r="G4427" i="66"/>
  <c r="E4427" i="66"/>
  <c r="I4426" i="66"/>
  <c r="H4426" i="66"/>
  <c r="G4426" i="66"/>
  <c r="E4426" i="66"/>
  <c r="I4425" i="66"/>
  <c r="H4425" i="66"/>
  <c r="G4425" i="66"/>
  <c r="E4425" i="66"/>
  <c r="I4424" i="66"/>
  <c r="H4424" i="66"/>
  <c r="G4424" i="66"/>
  <c r="E4424" i="66"/>
  <c r="I4423" i="66"/>
  <c r="H4423" i="66"/>
  <c r="G4423" i="66"/>
  <c r="E4423" i="66"/>
  <c r="I4422" i="66"/>
  <c r="H4422" i="66"/>
  <c r="G4422" i="66"/>
  <c r="E4422" i="66"/>
  <c r="I4421" i="66"/>
  <c r="H4421" i="66"/>
  <c r="G4421" i="66"/>
  <c r="E4421" i="66"/>
  <c r="I4420" i="66"/>
  <c r="H4420" i="66"/>
  <c r="G4420" i="66"/>
  <c r="E4420" i="66"/>
  <c r="I4419" i="66"/>
  <c r="H4419" i="66"/>
  <c r="G4419" i="66"/>
  <c r="E4419" i="66"/>
  <c r="I4418" i="66"/>
  <c r="H4418" i="66"/>
  <c r="G4418" i="66"/>
  <c r="E4418" i="66"/>
  <c r="I4417" i="66"/>
  <c r="H4417" i="66"/>
  <c r="G4417" i="66"/>
  <c r="E4417" i="66"/>
  <c r="I4416" i="66"/>
  <c r="H4416" i="66"/>
  <c r="G4416" i="66"/>
  <c r="E4416" i="66"/>
  <c r="I4415" i="66"/>
  <c r="H4415" i="66"/>
  <c r="G4415" i="66"/>
  <c r="E4415" i="66"/>
  <c r="I4414" i="66"/>
  <c r="H4414" i="66"/>
  <c r="G4414" i="66"/>
  <c r="E4414" i="66"/>
  <c r="I4413" i="66"/>
  <c r="H4413" i="66"/>
  <c r="G4413" i="66"/>
  <c r="E4413" i="66"/>
  <c r="I4412" i="66"/>
  <c r="H4412" i="66"/>
  <c r="G4412" i="66"/>
  <c r="E4412" i="66"/>
  <c r="I4411" i="66"/>
  <c r="H4411" i="66"/>
  <c r="G4411" i="66"/>
  <c r="E4411" i="66"/>
  <c r="I4410" i="66"/>
  <c r="H4410" i="66"/>
  <c r="G4410" i="66"/>
  <c r="E4410" i="66"/>
  <c r="I4409" i="66"/>
  <c r="H4409" i="66"/>
  <c r="G4409" i="66"/>
  <c r="E4409" i="66"/>
  <c r="I4408" i="66"/>
  <c r="H4408" i="66"/>
  <c r="G4408" i="66"/>
  <c r="E4408" i="66"/>
  <c r="I4407" i="66"/>
  <c r="H4407" i="66"/>
  <c r="G4407" i="66"/>
  <c r="E4407" i="66"/>
  <c r="I4406" i="66"/>
  <c r="H4406" i="66"/>
  <c r="G4406" i="66"/>
  <c r="E4406" i="66"/>
  <c r="I4405" i="66"/>
  <c r="H4405" i="66"/>
  <c r="G4405" i="66"/>
  <c r="E4405" i="66"/>
  <c r="I4404" i="66"/>
  <c r="H4404" i="66"/>
  <c r="G4404" i="66"/>
  <c r="E4404" i="66"/>
  <c r="I4403" i="66"/>
  <c r="H4403" i="66"/>
  <c r="G4403" i="66"/>
  <c r="E4403" i="66"/>
  <c r="I4402" i="66"/>
  <c r="H4402" i="66"/>
  <c r="G4402" i="66"/>
  <c r="E4402" i="66"/>
  <c r="I4401" i="66"/>
  <c r="H4401" i="66"/>
  <c r="G4401" i="66"/>
  <c r="E4401" i="66"/>
  <c r="I4400" i="66"/>
  <c r="H4400" i="66"/>
  <c r="G4400" i="66"/>
  <c r="E4400" i="66"/>
  <c r="I4399" i="66"/>
  <c r="H4399" i="66"/>
  <c r="G4399" i="66"/>
  <c r="E4399" i="66"/>
  <c r="I4398" i="66"/>
  <c r="H4398" i="66"/>
  <c r="G4398" i="66"/>
  <c r="E4398" i="66"/>
  <c r="I4397" i="66"/>
  <c r="H4397" i="66"/>
  <c r="G4397" i="66"/>
  <c r="E4397" i="66"/>
  <c r="I4396" i="66"/>
  <c r="H4396" i="66"/>
  <c r="G4396" i="66"/>
  <c r="E4396" i="66"/>
  <c r="I4395" i="66"/>
  <c r="H4395" i="66"/>
  <c r="G4395" i="66"/>
  <c r="E4395" i="66"/>
  <c r="I4394" i="66"/>
  <c r="H4394" i="66"/>
  <c r="G4394" i="66"/>
  <c r="E4394" i="66"/>
  <c r="I4393" i="66"/>
  <c r="H4393" i="66"/>
  <c r="G4393" i="66"/>
  <c r="E4393" i="66"/>
  <c r="I4392" i="66"/>
  <c r="H4392" i="66"/>
  <c r="G4392" i="66"/>
  <c r="E4392" i="66"/>
  <c r="I4391" i="66"/>
  <c r="H4391" i="66"/>
  <c r="G4391" i="66"/>
  <c r="E4391" i="66"/>
  <c r="I4390" i="66"/>
  <c r="H4390" i="66"/>
  <c r="G4390" i="66"/>
  <c r="E4390" i="66"/>
  <c r="I4389" i="66"/>
  <c r="H4389" i="66"/>
  <c r="G4389" i="66"/>
  <c r="E4389" i="66"/>
  <c r="I4388" i="66"/>
  <c r="H4388" i="66"/>
  <c r="G4388" i="66"/>
  <c r="E4388" i="66"/>
  <c r="I4387" i="66"/>
  <c r="H4387" i="66"/>
  <c r="G4387" i="66"/>
  <c r="E4387" i="66"/>
  <c r="I4386" i="66"/>
  <c r="H4386" i="66"/>
  <c r="G4386" i="66"/>
  <c r="E4386" i="66"/>
  <c r="I4385" i="66"/>
  <c r="H4385" i="66"/>
  <c r="G4385" i="66"/>
  <c r="E4385" i="66"/>
  <c r="I4384" i="66"/>
  <c r="H4384" i="66"/>
  <c r="G4384" i="66"/>
  <c r="E4384" i="66"/>
  <c r="I4383" i="66"/>
  <c r="H4383" i="66"/>
  <c r="G4383" i="66"/>
  <c r="E4383" i="66"/>
  <c r="I4382" i="66"/>
  <c r="H4382" i="66"/>
  <c r="G4382" i="66"/>
  <c r="E4382" i="66"/>
  <c r="I4381" i="66"/>
  <c r="H4381" i="66"/>
  <c r="G4381" i="66"/>
  <c r="E4381" i="66"/>
  <c r="I4380" i="66"/>
  <c r="H4380" i="66"/>
  <c r="G4380" i="66"/>
  <c r="E4380" i="66"/>
  <c r="I4379" i="66"/>
  <c r="H4379" i="66"/>
  <c r="G4379" i="66"/>
  <c r="E4379" i="66"/>
  <c r="I4378" i="66"/>
  <c r="H4378" i="66"/>
  <c r="G4378" i="66"/>
  <c r="E4378" i="66"/>
  <c r="I4377" i="66"/>
  <c r="H4377" i="66"/>
  <c r="G4377" i="66"/>
  <c r="E4377" i="66"/>
  <c r="I4376" i="66"/>
  <c r="H4376" i="66"/>
  <c r="G4376" i="66"/>
  <c r="E4376" i="66"/>
  <c r="I4375" i="66"/>
  <c r="H4375" i="66"/>
  <c r="G4375" i="66"/>
  <c r="E4375" i="66"/>
  <c r="I4374" i="66"/>
  <c r="H4374" i="66"/>
  <c r="G4374" i="66"/>
  <c r="E4374" i="66"/>
  <c r="I4373" i="66"/>
  <c r="H4373" i="66"/>
  <c r="G4373" i="66"/>
  <c r="E4373" i="66"/>
  <c r="I4372" i="66"/>
  <c r="H4372" i="66"/>
  <c r="G4372" i="66"/>
  <c r="E4372" i="66"/>
  <c r="I4371" i="66"/>
  <c r="H4371" i="66"/>
  <c r="G4371" i="66"/>
  <c r="E4371" i="66"/>
  <c r="I4370" i="66"/>
  <c r="H4370" i="66"/>
  <c r="G4370" i="66"/>
  <c r="E4370" i="66"/>
  <c r="I4369" i="66"/>
  <c r="H4369" i="66"/>
  <c r="G4369" i="66"/>
  <c r="E4369" i="66"/>
  <c r="I4368" i="66"/>
  <c r="H4368" i="66"/>
  <c r="G4368" i="66"/>
  <c r="E4368" i="66"/>
  <c r="I4367" i="66"/>
  <c r="H4367" i="66"/>
  <c r="G4367" i="66"/>
  <c r="E4367" i="66"/>
  <c r="I4366" i="66"/>
  <c r="H4366" i="66"/>
  <c r="G4366" i="66"/>
  <c r="E4366" i="66"/>
  <c r="I4365" i="66"/>
  <c r="H4365" i="66"/>
  <c r="G4365" i="66"/>
  <c r="E4365" i="66"/>
  <c r="I4364" i="66"/>
  <c r="H4364" i="66"/>
  <c r="G4364" i="66"/>
  <c r="E4364" i="66"/>
  <c r="I4363" i="66"/>
  <c r="H4363" i="66"/>
  <c r="G4363" i="66"/>
  <c r="E4363" i="66"/>
  <c r="I4362" i="66"/>
  <c r="H4362" i="66"/>
  <c r="G4362" i="66"/>
  <c r="E4362" i="66"/>
  <c r="I4361" i="66"/>
  <c r="H4361" i="66"/>
  <c r="G4361" i="66"/>
  <c r="E4361" i="66"/>
  <c r="I4360" i="66"/>
  <c r="H4360" i="66"/>
  <c r="G4360" i="66"/>
  <c r="E4360" i="66"/>
  <c r="I4359" i="66"/>
  <c r="H4359" i="66"/>
  <c r="G4359" i="66"/>
  <c r="E4359" i="66"/>
  <c r="I4358" i="66"/>
  <c r="H4358" i="66"/>
  <c r="G4358" i="66"/>
  <c r="E4358" i="66"/>
  <c r="I4357" i="66"/>
  <c r="H4357" i="66"/>
  <c r="G4357" i="66"/>
  <c r="E4357" i="66"/>
  <c r="I4356" i="66"/>
  <c r="H4356" i="66"/>
  <c r="G4356" i="66"/>
  <c r="E4356" i="66"/>
  <c r="I4355" i="66"/>
  <c r="H4355" i="66"/>
  <c r="G4355" i="66"/>
  <c r="E4355" i="66"/>
  <c r="I4354" i="66"/>
  <c r="H4354" i="66"/>
  <c r="G4354" i="66"/>
  <c r="E4354" i="66"/>
  <c r="I4353" i="66"/>
  <c r="H4353" i="66"/>
  <c r="G4353" i="66"/>
  <c r="E4353" i="66"/>
  <c r="I4352" i="66"/>
  <c r="H4352" i="66"/>
  <c r="G4352" i="66"/>
  <c r="E4352" i="66"/>
  <c r="I4351" i="66"/>
  <c r="H4351" i="66"/>
  <c r="G4351" i="66"/>
  <c r="E4351" i="66"/>
  <c r="I4350" i="66"/>
  <c r="H4350" i="66"/>
  <c r="G4350" i="66"/>
  <c r="E4350" i="66"/>
  <c r="I4349" i="66"/>
  <c r="H4349" i="66"/>
  <c r="G4349" i="66"/>
  <c r="E4349" i="66"/>
  <c r="I4348" i="66"/>
  <c r="H4348" i="66"/>
  <c r="G4348" i="66"/>
  <c r="E4348" i="66"/>
  <c r="I4347" i="66"/>
  <c r="H4347" i="66"/>
  <c r="G4347" i="66"/>
  <c r="E4347" i="66"/>
  <c r="I4346" i="66"/>
  <c r="H4346" i="66"/>
  <c r="G4346" i="66"/>
  <c r="E4346" i="66"/>
  <c r="I4345" i="66"/>
  <c r="H4345" i="66"/>
  <c r="G4345" i="66"/>
  <c r="E4345" i="66"/>
  <c r="I4344" i="66"/>
  <c r="H4344" i="66"/>
  <c r="G4344" i="66"/>
  <c r="E4344" i="66"/>
  <c r="I4343" i="66"/>
  <c r="H4343" i="66"/>
  <c r="G4343" i="66"/>
  <c r="E4343" i="66"/>
  <c r="I4342" i="66"/>
  <c r="H4342" i="66"/>
  <c r="G4342" i="66"/>
  <c r="E4342" i="66"/>
  <c r="I4341" i="66"/>
  <c r="H4341" i="66"/>
  <c r="G4341" i="66"/>
  <c r="E4341" i="66"/>
  <c r="I4340" i="66"/>
  <c r="H4340" i="66"/>
  <c r="G4340" i="66"/>
  <c r="E4340" i="66"/>
  <c r="I4339" i="66"/>
  <c r="H4339" i="66"/>
  <c r="G4339" i="66"/>
  <c r="E4339" i="66"/>
  <c r="I4338" i="66"/>
  <c r="H4338" i="66"/>
  <c r="G4338" i="66"/>
  <c r="E4338" i="66"/>
  <c r="I4337" i="66"/>
  <c r="H4337" i="66"/>
  <c r="G4337" i="66"/>
  <c r="E4337" i="66"/>
  <c r="I4336" i="66"/>
  <c r="H4336" i="66"/>
  <c r="G4336" i="66"/>
  <c r="E4336" i="66"/>
  <c r="I4335" i="66"/>
  <c r="H4335" i="66"/>
  <c r="G4335" i="66"/>
  <c r="E4335" i="66"/>
  <c r="I4334" i="66"/>
  <c r="H4334" i="66"/>
  <c r="G4334" i="66"/>
  <c r="E4334" i="66"/>
  <c r="I4333" i="66"/>
  <c r="H4333" i="66"/>
  <c r="G4333" i="66"/>
  <c r="E4333" i="66"/>
  <c r="I4332" i="66"/>
  <c r="H4332" i="66"/>
  <c r="G4332" i="66"/>
  <c r="E4332" i="66"/>
  <c r="I4331" i="66"/>
  <c r="H4331" i="66"/>
  <c r="G4331" i="66"/>
  <c r="E4331" i="66"/>
  <c r="I4330" i="66"/>
  <c r="H4330" i="66"/>
  <c r="G4330" i="66"/>
  <c r="E4330" i="66"/>
  <c r="I4329" i="66"/>
  <c r="H4329" i="66"/>
  <c r="G4329" i="66"/>
  <c r="E4329" i="66"/>
  <c r="I4328" i="66"/>
  <c r="H4328" i="66"/>
  <c r="G4328" i="66"/>
  <c r="E4328" i="66"/>
  <c r="I4327" i="66"/>
  <c r="H4327" i="66"/>
  <c r="G4327" i="66"/>
  <c r="E4327" i="66"/>
  <c r="I4326" i="66"/>
  <c r="H4326" i="66"/>
  <c r="G4326" i="66"/>
  <c r="E4326" i="66"/>
  <c r="I4325" i="66"/>
  <c r="H4325" i="66"/>
  <c r="G4325" i="66"/>
  <c r="E4325" i="66"/>
  <c r="I4324" i="66"/>
  <c r="H4324" i="66"/>
  <c r="G4324" i="66"/>
  <c r="E4324" i="66"/>
  <c r="I4323" i="66"/>
  <c r="H4323" i="66"/>
  <c r="G4323" i="66"/>
  <c r="E4323" i="66"/>
  <c r="I4322" i="66"/>
  <c r="H4322" i="66"/>
  <c r="G4322" i="66"/>
  <c r="E4322" i="66"/>
  <c r="I4321" i="66"/>
  <c r="H4321" i="66"/>
  <c r="G4321" i="66"/>
  <c r="E4321" i="66"/>
  <c r="I4320" i="66"/>
  <c r="H4320" i="66"/>
  <c r="G4320" i="66"/>
  <c r="E4320" i="66"/>
  <c r="I4319" i="66"/>
  <c r="H4319" i="66"/>
  <c r="G4319" i="66"/>
  <c r="E4319" i="66"/>
  <c r="I4318" i="66"/>
  <c r="H4318" i="66"/>
  <c r="G4318" i="66"/>
  <c r="E4318" i="66"/>
  <c r="I4317" i="66"/>
  <c r="H4317" i="66"/>
  <c r="G4317" i="66"/>
  <c r="E4317" i="66"/>
  <c r="I4316" i="66"/>
  <c r="H4316" i="66"/>
  <c r="G4316" i="66"/>
  <c r="E4316" i="66"/>
  <c r="I4315" i="66"/>
  <c r="H4315" i="66"/>
  <c r="G4315" i="66"/>
  <c r="E4315" i="66"/>
  <c r="I4314" i="66"/>
  <c r="H4314" i="66"/>
  <c r="G4314" i="66"/>
  <c r="E4314" i="66"/>
  <c r="I4313" i="66"/>
  <c r="H4313" i="66"/>
  <c r="G4313" i="66"/>
  <c r="E4313" i="66"/>
  <c r="I4312" i="66"/>
  <c r="H4312" i="66"/>
  <c r="G4312" i="66"/>
  <c r="E4312" i="66"/>
  <c r="I4311" i="66"/>
  <c r="H4311" i="66"/>
  <c r="G4311" i="66"/>
  <c r="E4311" i="66"/>
  <c r="I4310" i="66"/>
  <c r="H4310" i="66"/>
  <c r="G4310" i="66"/>
  <c r="E4310" i="66"/>
  <c r="I4309" i="66"/>
  <c r="H4309" i="66"/>
  <c r="G4309" i="66"/>
  <c r="E4309" i="66"/>
  <c r="I4308" i="66"/>
  <c r="H4308" i="66"/>
  <c r="G4308" i="66"/>
  <c r="E4308" i="66"/>
  <c r="I4307" i="66"/>
  <c r="H4307" i="66"/>
  <c r="G4307" i="66"/>
  <c r="E4307" i="66"/>
  <c r="I4306" i="66"/>
  <c r="H4306" i="66"/>
  <c r="G4306" i="66"/>
  <c r="E4306" i="66"/>
  <c r="I4305" i="66"/>
  <c r="H4305" i="66"/>
  <c r="G4305" i="66"/>
  <c r="E4305" i="66"/>
  <c r="I4304" i="66"/>
  <c r="H4304" i="66"/>
  <c r="G4304" i="66"/>
  <c r="E4304" i="66"/>
  <c r="I4303" i="66"/>
  <c r="H4303" i="66"/>
  <c r="G4303" i="66"/>
  <c r="E4303" i="66"/>
  <c r="I4302" i="66"/>
  <c r="H4302" i="66"/>
  <c r="G4302" i="66"/>
  <c r="E4302" i="66"/>
  <c r="I4301" i="66"/>
  <c r="H4301" i="66"/>
  <c r="G4301" i="66"/>
  <c r="E4301" i="66"/>
  <c r="I4300" i="66"/>
  <c r="H4300" i="66"/>
  <c r="G4300" i="66"/>
  <c r="E4300" i="66"/>
  <c r="I4299" i="66"/>
  <c r="H4299" i="66"/>
  <c r="G4299" i="66"/>
  <c r="E4299" i="66"/>
  <c r="I4298" i="66"/>
  <c r="H4298" i="66"/>
  <c r="G4298" i="66"/>
  <c r="E4298" i="66"/>
  <c r="I4297" i="66"/>
  <c r="H4297" i="66"/>
  <c r="G4297" i="66"/>
  <c r="E4297" i="66"/>
  <c r="I4296" i="66"/>
  <c r="H4296" i="66"/>
  <c r="G4296" i="66"/>
  <c r="E4296" i="66"/>
  <c r="I4295" i="66"/>
  <c r="H4295" i="66"/>
  <c r="G4295" i="66"/>
  <c r="E4295" i="66"/>
  <c r="I4294" i="66"/>
  <c r="H4294" i="66"/>
  <c r="G4294" i="66"/>
  <c r="E4294" i="66"/>
  <c r="I4293" i="66"/>
  <c r="H4293" i="66"/>
  <c r="G4293" i="66"/>
  <c r="E4293" i="66"/>
  <c r="I4292" i="66"/>
  <c r="H4292" i="66"/>
  <c r="G4292" i="66"/>
  <c r="E4292" i="66"/>
  <c r="I4291" i="66"/>
  <c r="H4291" i="66"/>
  <c r="G4291" i="66"/>
  <c r="E4291" i="66"/>
  <c r="I4290" i="66"/>
  <c r="H4290" i="66"/>
  <c r="G4290" i="66"/>
  <c r="E4290" i="66"/>
  <c r="I4289" i="66"/>
  <c r="H4289" i="66"/>
  <c r="G4289" i="66"/>
  <c r="E4289" i="66"/>
  <c r="I4288" i="66"/>
  <c r="H4288" i="66"/>
  <c r="G4288" i="66"/>
  <c r="E4288" i="66"/>
  <c r="I4287" i="66"/>
  <c r="H4287" i="66"/>
  <c r="G4287" i="66"/>
  <c r="E4287" i="66"/>
  <c r="I4286" i="66"/>
  <c r="H4286" i="66"/>
  <c r="G4286" i="66"/>
  <c r="E4286" i="66"/>
  <c r="I4285" i="66"/>
  <c r="H4285" i="66"/>
  <c r="G4285" i="66"/>
  <c r="E4285" i="66"/>
  <c r="I4284" i="66"/>
  <c r="H4284" i="66"/>
  <c r="G4284" i="66"/>
  <c r="E4284" i="66"/>
  <c r="I4283" i="66"/>
  <c r="H4283" i="66"/>
  <c r="G4283" i="66"/>
  <c r="E4283" i="66"/>
  <c r="I4282" i="66"/>
  <c r="H4282" i="66"/>
  <c r="G4282" i="66"/>
  <c r="E4282" i="66"/>
  <c r="I4281" i="66"/>
  <c r="H4281" i="66"/>
  <c r="G4281" i="66"/>
  <c r="E4281" i="66"/>
  <c r="I4280" i="66"/>
  <c r="H4280" i="66"/>
  <c r="G4280" i="66"/>
  <c r="E4280" i="66"/>
  <c r="I4279" i="66"/>
  <c r="H4279" i="66"/>
  <c r="G4279" i="66"/>
  <c r="E4279" i="66"/>
  <c r="I4278" i="66"/>
  <c r="H4278" i="66"/>
  <c r="G4278" i="66"/>
  <c r="E4278" i="66"/>
  <c r="I4277" i="66"/>
  <c r="H4277" i="66"/>
  <c r="G4277" i="66"/>
  <c r="E4277" i="66"/>
  <c r="I4276" i="66"/>
  <c r="H4276" i="66"/>
  <c r="G4276" i="66"/>
  <c r="E4276" i="66"/>
  <c r="I4275" i="66"/>
  <c r="H4275" i="66"/>
  <c r="G4275" i="66"/>
  <c r="E4275" i="66"/>
  <c r="I4274" i="66"/>
  <c r="H4274" i="66"/>
  <c r="G4274" i="66"/>
  <c r="E4274" i="66"/>
  <c r="I4273" i="66"/>
  <c r="H4273" i="66"/>
  <c r="G4273" i="66"/>
  <c r="E4273" i="66"/>
  <c r="I4272" i="66"/>
  <c r="H4272" i="66"/>
  <c r="G4272" i="66"/>
  <c r="E4272" i="66"/>
  <c r="I4271" i="66"/>
  <c r="H4271" i="66"/>
  <c r="G4271" i="66"/>
  <c r="E4271" i="66"/>
  <c r="I4270" i="66"/>
  <c r="H4270" i="66"/>
  <c r="G4270" i="66"/>
  <c r="E4270" i="66"/>
  <c r="I4269" i="66"/>
  <c r="H4269" i="66"/>
  <c r="G4269" i="66"/>
  <c r="E4269" i="66"/>
  <c r="I4268" i="66"/>
  <c r="H4268" i="66"/>
  <c r="G4268" i="66"/>
  <c r="E4268" i="66"/>
  <c r="I4267" i="66"/>
  <c r="H4267" i="66"/>
  <c r="G4267" i="66"/>
  <c r="E4267" i="66"/>
  <c r="I4266" i="66"/>
  <c r="H4266" i="66"/>
  <c r="G4266" i="66"/>
  <c r="E4266" i="66"/>
  <c r="I4265" i="66"/>
  <c r="H4265" i="66"/>
  <c r="G4265" i="66"/>
  <c r="E4265" i="66"/>
  <c r="I4264" i="66"/>
  <c r="H4264" i="66"/>
  <c r="G4264" i="66"/>
  <c r="E4264" i="66"/>
  <c r="I4263" i="66"/>
  <c r="H4263" i="66"/>
  <c r="G4263" i="66"/>
  <c r="E4263" i="66"/>
  <c r="I4262" i="66"/>
  <c r="H4262" i="66"/>
  <c r="G4262" i="66"/>
  <c r="E4262" i="66"/>
  <c r="I4261" i="66"/>
  <c r="H4261" i="66"/>
  <c r="G4261" i="66"/>
  <c r="E4261" i="66"/>
  <c r="I4260" i="66"/>
  <c r="H4260" i="66"/>
  <c r="G4260" i="66"/>
  <c r="E4260" i="66"/>
  <c r="I4259" i="66"/>
  <c r="H4259" i="66"/>
  <c r="G4259" i="66"/>
  <c r="E4259" i="66"/>
  <c r="I4258" i="66"/>
  <c r="H4258" i="66"/>
  <c r="G4258" i="66"/>
  <c r="E4258" i="66"/>
  <c r="I4257" i="66"/>
  <c r="H4257" i="66"/>
  <c r="G4257" i="66"/>
  <c r="E4257" i="66"/>
  <c r="I4256" i="66"/>
  <c r="H4256" i="66"/>
  <c r="G4256" i="66"/>
  <c r="E4256" i="66"/>
  <c r="I4255" i="66"/>
  <c r="H4255" i="66"/>
  <c r="G4255" i="66"/>
  <c r="E4255" i="66"/>
  <c r="I4254" i="66"/>
  <c r="H4254" i="66"/>
  <c r="G4254" i="66"/>
  <c r="E4254" i="66"/>
  <c r="I4253" i="66"/>
  <c r="H4253" i="66"/>
  <c r="G4253" i="66"/>
  <c r="E4253" i="66"/>
  <c r="I4252" i="66"/>
  <c r="H4252" i="66"/>
  <c r="G4252" i="66"/>
  <c r="E4252" i="66"/>
  <c r="I4251" i="66"/>
  <c r="H4251" i="66"/>
  <c r="G4251" i="66"/>
  <c r="E4251" i="66"/>
  <c r="I4250" i="66"/>
  <c r="H4250" i="66"/>
  <c r="G4250" i="66"/>
  <c r="E4250" i="66"/>
  <c r="I4249" i="66"/>
  <c r="H4249" i="66"/>
  <c r="G4249" i="66"/>
  <c r="E4249" i="66"/>
  <c r="I4248" i="66"/>
  <c r="H4248" i="66"/>
  <c r="G4248" i="66"/>
  <c r="E4248" i="66"/>
  <c r="I4247" i="66"/>
  <c r="H4247" i="66"/>
  <c r="G4247" i="66"/>
  <c r="E4247" i="66"/>
  <c r="I4246" i="66"/>
  <c r="H4246" i="66"/>
  <c r="G4246" i="66"/>
  <c r="E4246" i="66"/>
  <c r="I4245" i="66"/>
  <c r="H4245" i="66"/>
  <c r="G4245" i="66"/>
  <c r="E4245" i="66"/>
  <c r="I4244" i="66"/>
  <c r="H4244" i="66"/>
  <c r="G4244" i="66"/>
  <c r="E4244" i="66"/>
  <c r="I4243" i="66"/>
  <c r="H4243" i="66"/>
  <c r="G4243" i="66"/>
  <c r="E4243" i="66"/>
  <c r="I4242" i="66"/>
  <c r="H4242" i="66"/>
  <c r="G4242" i="66"/>
  <c r="E4242" i="66"/>
  <c r="I4241" i="66"/>
  <c r="H4241" i="66"/>
  <c r="G4241" i="66"/>
  <c r="E4241" i="66"/>
  <c r="I4240" i="66"/>
  <c r="H4240" i="66"/>
  <c r="G4240" i="66"/>
  <c r="E4240" i="66"/>
  <c r="I4239" i="66"/>
  <c r="H4239" i="66"/>
  <c r="G4239" i="66"/>
  <c r="E4239" i="66"/>
  <c r="I4238" i="66"/>
  <c r="H4238" i="66"/>
  <c r="G4238" i="66"/>
  <c r="E4238" i="66"/>
  <c r="I4237" i="66"/>
  <c r="H4237" i="66"/>
  <c r="G4237" i="66"/>
  <c r="E4237" i="66"/>
  <c r="I4236" i="66"/>
  <c r="H4236" i="66"/>
  <c r="G4236" i="66"/>
  <c r="E4236" i="66"/>
  <c r="I4235" i="66"/>
  <c r="H4235" i="66"/>
  <c r="G4235" i="66"/>
  <c r="E4235" i="66"/>
  <c r="I4234" i="66"/>
  <c r="H4234" i="66"/>
  <c r="G4234" i="66"/>
  <c r="E4234" i="66"/>
  <c r="I4233" i="66"/>
  <c r="H4233" i="66"/>
  <c r="G4233" i="66"/>
  <c r="E4233" i="66"/>
  <c r="I4232" i="66"/>
  <c r="H4232" i="66"/>
  <c r="G4232" i="66"/>
  <c r="E4232" i="66"/>
  <c r="I4231" i="66"/>
  <c r="H4231" i="66"/>
  <c r="G4231" i="66"/>
  <c r="E4231" i="66"/>
  <c r="I4230" i="66"/>
  <c r="H4230" i="66"/>
  <c r="G4230" i="66"/>
  <c r="E4230" i="66"/>
  <c r="I4229" i="66"/>
  <c r="H4229" i="66"/>
  <c r="G4229" i="66"/>
  <c r="E4229" i="66"/>
  <c r="I4228" i="66"/>
  <c r="H4228" i="66"/>
  <c r="G4228" i="66"/>
  <c r="E4228" i="66"/>
  <c r="I4227" i="66"/>
  <c r="H4227" i="66"/>
  <c r="G4227" i="66"/>
  <c r="E4227" i="66"/>
  <c r="I4226" i="66"/>
  <c r="H4226" i="66"/>
  <c r="G4226" i="66"/>
  <c r="E4226" i="66"/>
  <c r="I4225" i="66"/>
  <c r="H4225" i="66"/>
  <c r="G4225" i="66"/>
  <c r="E4225" i="66"/>
  <c r="I4224" i="66"/>
  <c r="H4224" i="66"/>
  <c r="G4224" i="66"/>
  <c r="E4224" i="66"/>
  <c r="I4223" i="66"/>
  <c r="H4223" i="66"/>
  <c r="G4223" i="66"/>
  <c r="E4223" i="66"/>
  <c r="I4222" i="66"/>
  <c r="H4222" i="66"/>
  <c r="G4222" i="66"/>
  <c r="E4222" i="66"/>
  <c r="I4221" i="66"/>
  <c r="H4221" i="66"/>
  <c r="G4221" i="66"/>
  <c r="E4221" i="66"/>
  <c r="I4220" i="66"/>
  <c r="H4220" i="66"/>
  <c r="G4220" i="66"/>
  <c r="E4220" i="66"/>
  <c r="I4219" i="66"/>
  <c r="H4219" i="66"/>
  <c r="G4219" i="66"/>
  <c r="E4219" i="66"/>
  <c r="I4218" i="66"/>
  <c r="H4218" i="66"/>
  <c r="G4218" i="66"/>
  <c r="E4218" i="66"/>
  <c r="I4217" i="66"/>
  <c r="H4217" i="66"/>
  <c r="G4217" i="66"/>
  <c r="E4217" i="66"/>
  <c r="I4216" i="66"/>
  <c r="H4216" i="66"/>
  <c r="G4216" i="66"/>
  <c r="E4216" i="66"/>
  <c r="I4215" i="66"/>
  <c r="H4215" i="66"/>
  <c r="G4215" i="66"/>
  <c r="E4215" i="66"/>
  <c r="I4214" i="66"/>
  <c r="H4214" i="66"/>
  <c r="G4214" i="66"/>
  <c r="E4214" i="66"/>
  <c r="I4213" i="66"/>
  <c r="H4213" i="66"/>
  <c r="G4213" i="66"/>
  <c r="E4213" i="66"/>
  <c r="I4212" i="66"/>
  <c r="H4212" i="66"/>
  <c r="G4212" i="66"/>
  <c r="E4212" i="66"/>
  <c r="I4211" i="66"/>
  <c r="H4211" i="66"/>
  <c r="G4211" i="66"/>
  <c r="E4211" i="66"/>
  <c r="I4210" i="66"/>
  <c r="H4210" i="66"/>
  <c r="G4210" i="66"/>
  <c r="E4210" i="66"/>
  <c r="I4209" i="66"/>
  <c r="H4209" i="66"/>
  <c r="G4209" i="66"/>
  <c r="E4209" i="66"/>
  <c r="I4208" i="66"/>
  <c r="H4208" i="66"/>
  <c r="G4208" i="66"/>
  <c r="E4208" i="66"/>
  <c r="I4207" i="66"/>
  <c r="H4207" i="66"/>
  <c r="G4207" i="66"/>
  <c r="E4207" i="66"/>
  <c r="I4206" i="66"/>
  <c r="H4206" i="66"/>
  <c r="G4206" i="66"/>
  <c r="E4206" i="66"/>
  <c r="I4205" i="66"/>
  <c r="H4205" i="66"/>
  <c r="G4205" i="66"/>
  <c r="E4205" i="66"/>
  <c r="I4204" i="66"/>
  <c r="H4204" i="66"/>
  <c r="G4204" i="66"/>
  <c r="E4204" i="66"/>
  <c r="I4203" i="66"/>
  <c r="H4203" i="66"/>
  <c r="G4203" i="66"/>
  <c r="E4203" i="66"/>
  <c r="I4202" i="66"/>
  <c r="H4202" i="66"/>
  <c r="G4202" i="66"/>
  <c r="E4202" i="66"/>
  <c r="I4201" i="66"/>
  <c r="H4201" i="66"/>
  <c r="G4201" i="66"/>
  <c r="E4201" i="66"/>
  <c r="I4200" i="66"/>
  <c r="H4200" i="66"/>
  <c r="G4200" i="66"/>
  <c r="E4200" i="66"/>
  <c r="I4199" i="66"/>
  <c r="H4199" i="66"/>
  <c r="G4199" i="66"/>
  <c r="E4199" i="66"/>
  <c r="I4198" i="66"/>
  <c r="H4198" i="66"/>
  <c r="G4198" i="66"/>
  <c r="E4198" i="66"/>
  <c r="I4197" i="66"/>
  <c r="H4197" i="66"/>
  <c r="G4197" i="66"/>
  <c r="E4197" i="66"/>
  <c r="I4196" i="66"/>
  <c r="H4196" i="66"/>
  <c r="G4196" i="66"/>
  <c r="E4196" i="66"/>
  <c r="I4195" i="66"/>
  <c r="H4195" i="66"/>
  <c r="G4195" i="66"/>
  <c r="E4195" i="66"/>
  <c r="I4194" i="66"/>
  <c r="H4194" i="66"/>
  <c r="G4194" i="66"/>
  <c r="E4194" i="66"/>
  <c r="I4193" i="66"/>
  <c r="H4193" i="66"/>
  <c r="G4193" i="66"/>
  <c r="E4193" i="66"/>
  <c r="I4192" i="66"/>
  <c r="H4192" i="66"/>
  <c r="G4192" i="66"/>
  <c r="E4192" i="66"/>
  <c r="I4191" i="66"/>
  <c r="H4191" i="66"/>
  <c r="G4191" i="66"/>
  <c r="E4191" i="66"/>
  <c r="I4190" i="66"/>
  <c r="H4190" i="66"/>
  <c r="G4190" i="66"/>
  <c r="E4190" i="66"/>
  <c r="I4189" i="66"/>
  <c r="H4189" i="66"/>
  <c r="G4189" i="66"/>
  <c r="E4189" i="66"/>
  <c r="I4188" i="66"/>
  <c r="H4188" i="66"/>
  <c r="G4188" i="66"/>
  <c r="E4188" i="66"/>
  <c r="I4187" i="66"/>
  <c r="H4187" i="66"/>
  <c r="G4187" i="66"/>
  <c r="E4187" i="66"/>
  <c r="I4186" i="66"/>
  <c r="H4186" i="66"/>
  <c r="G4186" i="66"/>
  <c r="E4186" i="66"/>
  <c r="I4185" i="66"/>
  <c r="H4185" i="66"/>
  <c r="G4185" i="66"/>
  <c r="E4185" i="66"/>
  <c r="I4184" i="66"/>
  <c r="H4184" i="66"/>
  <c r="G4184" i="66"/>
  <c r="E4184" i="66"/>
  <c r="I4183" i="66"/>
  <c r="H4183" i="66"/>
  <c r="G4183" i="66"/>
  <c r="E4183" i="66"/>
  <c r="I4182" i="66"/>
  <c r="H4182" i="66"/>
  <c r="G4182" i="66"/>
  <c r="E4182" i="66"/>
  <c r="I4181" i="66"/>
  <c r="H4181" i="66"/>
  <c r="G4181" i="66"/>
  <c r="E4181" i="66"/>
  <c r="I4180" i="66"/>
  <c r="H4180" i="66"/>
  <c r="G4180" i="66"/>
  <c r="E4180" i="66"/>
  <c r="I4179" i="66"/>
  <c r="H4179" i="66"/>
  <c r="G4179" i="66"/>
  <c r="E4179" i="66"/>
  <c r="I4178" i="66"/>
  <c r="H4178" i="66"/>
  <c r="G4178" i="66"/>
  <c r="E4178" i="66"/>
  <c r="I4177" i="66"/>
  <c r="H4177" i="66"/>
  <c r="G4177" i="66"/>
  <c r="E4177" i="66"/>
  <c r="I4176" i="66"/>
  <c r="H4176" i="66"/>
  <c r="G4176" i="66"/>
  <c r="E4176" i="66"/>
  <c r="I4175" i="66"/>
  <c r="H4175" i="66"/>
  <c r="G4175" i="66"/>
  <c r="E4175" i="66"/>
  <c r="I4174" i="66"/>
  <c r="H4174" i="66"/>
  <c r="G4174" i="66"/>
  <c r="E4174" i="66"/>
  <c r="I4173" i="66"/>
  <c r="H4173" i="66"/>
  <c r="G4173" i="66"/>
  <c r="E4173" i="66"/>
  <c r="I4172" i="66"/>
  <c r="H4172" i="66"/>
  <c r="G4172" i="66"/>
  <c r="E4172" i="66"/>
  <c r="I4171" i="66"/>
  <c r="H4171" i="66"/>
  <c r="G4171" i="66"/>
  <c r="E4171" i="66"/>
  <c r="I4170" i="66"/>
  <c r="H4170" i="66"/>
  <c r="G4170" i="66"/>
  <c r="E4170" i="66"/>
  <c r="I4169" i="66"/>
  <c r="H4169" i="66"/>
  <c r="G4169" i="66"/>
  <c r="E4169" i="66"/>
  <c r="I4168" i="66"/>
  <c r="H4168" i="66"/>
  <c r="G4168" i="66"/>
  <c r="E4168" i="66"/>
  <c r="I4167" i="66"/>
  <c r="H4167" i="66"/>
  <c r="G4167" i="66"/>
  <c r="E4167" i="66"/>
  <c r="I4166" i="66"/>
  <c r="H4166" i="66"/>
  <c r="G4166" i="66"/>
  <c r="E4166" i="66"/>
  <c r="I4165" i="66"/>
  <c r="H4165" i="66"/>
  <c r="G4165" i="66"/>
  <c r="E4165" i="66"/>
  <c r="I4164" i="66"/>
  <c r="H4164" i="66"/>
  <c r="G4164" i="66"/>
  <c r="E4164" i="66"/>
  <c r="I4163" i="66"/>
  <c r="H4163" i="66"/>
  <c r="G4163" i="66"/>
  <c r="E4163" i="66"/>
  <c r="I4162" i="66"/>
  <c r="H4162" i="66"/>
  <c r="G4162" i="66"/>
  <c r="E4162" i="66"/>
  <c r="I4161" i="66"/>
  <c r="H4161" i="66"/>
  <c r="G4161" i="66"/>
  <c r="E4161" i="66"/>
  <c r="I4160" i="66"/>
  <c r="H4160" i="66"/>
  <c r="G4160" i="66"/>
  <c r="E4160" i="66"/>
  <c r="I4159" i="66"/>
  <c r="H4159" i="66"/>
  <c r="G4159" i="66"/>
  <c r="E4159" i="66"/>
  <c r="I4158" i="66"/>
  <c r="H4158" i="66"/>
  <c r="G4158" i="66"/>
  <c r="E4158" i="66"/>
  <c r="I4157" i="66"/>
  <c r="H4157" i="66"/>
  <c r="G4157" i="66"/>
  <c r="E4157" i="66"/>
  <c r="I4156" i="66"/>
  <c r="H4156" i="66"/>
  <c r="G4156" i="66"/>
  <c r="E4156" i="66"/>
  <c r="I4155" i="66"/>
  <c r="H4155" i="66"/>
  <c r="G4155" i="66"/>
  <c r="E4155" i="66"/>
  <c r="I4154" i="66"/>
  <c r="H4154" i="66"/>
  <c r="G4154" i="66"/>
  <c r="E4154" i="66"/>
  <c r="I4153" i="66"/>
  <c r="H4153" i="66"/>
  <c r="G4153" i="66"/>
  <c r="E4153" i="66"/>
  <c r="I4152" i="66"/>
  <c r="H4152" i="66"/>
  <c r="G4152" i="66"/>
  <c r="E4152" i="66"/>
  <c r="I4151" i="66"/>
  <c r="H4151" i="66"/>
  <c r="G4151" i="66"/>
  <c r="E4151" i="66"/>
  <c r="I4150" i="66"/>
  <c r="H4150" i="66"/>
  <c r="G4150" i="66"/>
  <c r="E4150" i="66"/>
  <c r="I4149" i="66"/>
  <c r="H4149" i="66"/>
  <c r="G4149" i="66"/>
  <c r="E4149" i="66"/>
  <c r="I4148" i="66"/>
  <c r="H4148" i="66"/>
  <c r="G4148" i="66"/>
  <c r="E4148" i="66"/>
  <c r="I4147" i="66"/>
  <c r="H4147" i="66"/>
  <c r="G4147" i="66"/>
  <c r="E4147" i="66"/>
  <c r="I4146" i="66"/>
  <c r="H4146" i="66"/>
  <c r="G4146" i="66"/>
  <c r="E4146" i="66"/>
  <c r="I4145" i="66"/>
  <c r="H4145" i="66"/>
  <c r="G4145" i="66"/>
  <c r="E4145" i="66"/>
  <c r="I4144" i="66"/>
  <c r="H4144" i="66"/>
  <c r="G4144" i="66"/>
  <c r="E4144" i="66"/>
  <c r="I4143" i="66"/>
  <c r="H4143" i="66"/>
  <c r="G4143" i="66"/>
  <c r="E4143" i="66"/>
  <c r="I4142" i="66"/>
  <c r="H4142" i="66"/>
  <c r="G4142" i="66"/>
  <c r="E4142" i="66"/>
  <c r="I4141" i="66"/>
  <c r="H4141" i="66"/>
  <c r="G4141" i="66"/>
  <c r="E4141" i="66"/>
  <c r="I4140" i="66"/>
  <c r="H4140" i="66"/>
  <c r="G4140" i="66"/>
  <c r="E4140" i="66"/>
  <c r="I4139" i="66"/>
  <c r="H4139" i="66"/>
  <c r="G4139" i="66"/>
  <c r="E4139" i="66"/>
  <c r="I4138" i="66"/>
  <c r="H4138" i="66"/>
  <c r="G4138" i="66"/>
  <c r="E4138" i="66"/>
  <c r="I4137" i="66"/>
  <c r="H4137" i="66"/>
  <c r="G4137" i="66"/>
  <c r="E4137" i="66"/>
  <c r="I4136" i="66"/>
  <c r="H4136" i="66"/>
  <c r="G4136" i="66"/>
  <c r="E4136" i="66"/>
  <c r="I4135" i="66"/>
  <c r="H4135" i="66"/>
  <c r="G4135" i="66"/>
  <c r="E4135" i="66"/>
  <c r="I4134" i="66"/>
  <c r="H4134" i="66"/>
  <c r="G4134" i="66"/>
  <c r="E4134" i="66"/>
  <c r="I4133" i="66"/>
  <c r="H4133" i="66"/>
  <c r="G4133" i="66"/>
  <c r="E4133" i="66"/>
  <c r="I4132" i="66"/>
  <c r="H4132" i="66"/>
  <c r="G4132" i="66"/>
  <c r="E4132" i="66"/>
  <c r="I4131" i="66"/>
  <c r="H4131" i="66"/>
  <c r="G4131" i="66"/>
  <c r="E4131" i="66"/>
  <c r="I4130" i="66"/>
  <c r="H4130" i="66"/>
  <c r="G4130" i="66"/>
  <c r="E4130" i="66"/>
  <c r="I4129" i="66"/>
  <c r="H4129" i="66"/>
  <c r="G4129" i="66"/>
  <c r="E4129" i="66"/>
  <c r="I4128" i="66"/>
  <c r="H4128" i="66"/>
  <c r="G4128" i="66"/>
  <c r="E4128" i="66"/>
  <c r="I4127" i="66"/>
  <c r="H4127" i="66"/>
  <c r="G4127" i="66"/>
  <c r="E4127" i="66"/>
  <c r="I4126" i="66"/>
  <c r="H4126" i="66"/>
  <c r="G4126" i="66"/>
  <c r="E4126" i="66"/>
  <c r="I4125" i="66"/>
  <c r="H4125" i="66"/>
  <c r="G4125" i="66"/>
  <c r="E4125" i="66"/>
  <c r="I4124" i="66"/>
  <c r="H4124" i="66"/>
  <c r="G4124" i="66"/>
  <c r="E4124" i="66"/>
  <c r="I4123" i="66"/>
  <c r="H4123" i="66"/>
  <c r="G4123" i="66"/>
  <c r="E4123" i="66"/>
  <c r="I4122" i="66"/>
  <c r="H4122" i="66"/>
  <c r="G4122" i="66"/>
  <c r="E4122" i="66"/>
  <c r="I4121" i="66"/>
  <c r="H4121" i="66"/>
  <c r="G4121" i="66"/>
  <c r="E4121" i="66"/>
  <c r="I4120" i="66"/>
  <c r="H4120" i="66"/>
  <c r="G4120" i="66"/>
  <c r="E4120" i="66"/>
  <c r="I4119" i="66"/>
  <c r="H4119" i="66"/>
  <c r="G4119" i="66"/>
  <c r="E4119" i="66"/>
  <c r="I4118" i="66"/>
  <c r="H4118" i="66"/>
  <c r="G4118" i="66"/>
  <c r="E4118" i="66"/>
  <c r="I4117" i="66"/>
  <c r="H4117" i="66"/>
  <c r="G4117" i="66"/>
  <c r="E4117" i="66"/>
  <c r="I4116" i="66"/>
  <c r="H4116" i="66"/>
  <c r="G4116" i="66"/>
  <c r="E4116" i="66"/>
  <c r="I4115" i="66"/>
  <c r="H4115" i="66"/>
  <c r="G4115" i="66"/>
  <c r="E4115" i="66"/>
  <c r="I4114" i="66"/>
  <c r="H4114" i="66"/>
  <c r="G4114" i="66"/>
  <c r="E4114" i="66"/>
  <c r="I4113" i="66"/>
  <c r="H4113" i="66"/>
  <c r="G4113" i="66"/>
  <c r="E4113" i="66"/>
  <c r="I4112" i="66"/>
  <c r="H4112" i="66"/>
  <c r="G4112" i="66"/>
  <c r="E4112" i="66"/>
  <c r="I4111" i="66"/>
  <c r="H4111" i="66"/>
  <c r="G4111" i="66"/>
  <c r="E4111" i="66"/>
  <c r="I4110" i="66"/>
  <c r="H4110" i="66"/>
  <c r="G4110" i="66"/>
  <c r="E4110" i="66"/>
  <c r="I4109" i="66"/>
  <c r="H4109" i="66"/>
  <c r="G4109" i="66"/>
  <c r="E4109" i="66"/>
  <c r="I4108" i="66"/>
  <c r="H4108" i="66"/>
  <c r="G4108" i="66"/>
  <c r="E4108" i="66"/>
  <c r="I4107" i="66"/>
  <c r="H4107" i="66"/>
  <c r="G4107" i="66"/>
  <c r="E4107" i="66"/>
  <c r="I4106" i="66"/>
  <c r="H4106" i="66"/>
  <c r="G4106" i="66"/>
  <c r="E4106" i="66"/>
  <c r="I4105" i="66"/>
  <c r="H4105" i="66"/>
  <c r="G4105" i="66"/>
  <c r="E4105" i="66"/>
  <c r="I4104" i="66"/>
  <c r="H4104" i="66"/>
  <c r="G4104" i="66"/>
  <c r="E4104" i="66"/>
  <c r="I4103" i="66"/>
  <c r="H4103" i="66"/>
  <c r="G4103" i="66"/>
  <c r="E4103" i="66"/>
  <c r="I4102" i="66"/>
  <c r="H4102" i="66"/>
  <c r="G4102" i="66"/>
  <c r="E4102" i="66"/>
  <c r="I4101" i="66"/>
  <c r="H4101" i="66"/>
  <c r="G4101" i="66"/>
  <c r="E4101" i="66"/>
  <c r="I4100" i="66"/>
  <c r="H4100" i="66"/>
  <c r="G4100" i="66"/>
  <c r="E4100" i="66"/>
  <c r="I4099" i="66"/>
  <c r="H4099" i="66"/>
  <c r="G4099" i="66"/>
  <c r="E4099" i="66"/>
  <c r="I4098" i="66"/>
  <c r="H4098" i="66"/>
  <c r="G4098" i="66"/>
  <c r="E4098" i="66"/>
  <c r="I4097" i="66"/>
  <c r="H4097" i="66"/>
  <c r="G4097" i="66"/>
  <c r="E4097" i="66"/>
  <c r="I4096" i="66"/>
  <c r="H4096" i="66"/>
  <c r="G4096" i="66"/>
  <c r="E4096" i="66"/>
  <c r="I4095" i="66"/>
  <c r="H4095" i="66"/>
  <c r="G4095" i="66"/>
  <c r="E4095" i="66"/>
  <c r="I4094" i="66"/>
  <c r="H4094" i="66"/>
  <c r="G4094" i="66"/>
  <c r="E4094" i="66"/>
  <c r="I4093" i="66"/>
  <c r="H4093" i="66"/>
  <c r="G4093" i="66"/>
  <c r="E4093" i="66"/>
  <c r="I4092" i="66"/>
  <c r="H4092" i="66"/>
  <c r="G4092" i="66"/>
  <c r="E4092" i="66"/>
  <c r="I4091" i="66"/>
  <c r="H4091" i="66"/>
  <c r="G4091" i="66"/>
  <c r="E4091" i="66"/>
  <c r="I4090" i="66"/>
  <c r="H4090" i="66"/>
  <c r="G4090" i="66"/>
  <c r="E4090" i="66"/>
  <c r="I4089" i="66"/>
  <c r="H4089" i="66"/>
  <c r="G4089" i="66"/>
  <c r="E4089" i="66"/>
  <c r="I4088" i="66"/>
  <c r="H4088" i="66"/>
  <c r="G4088" i="66"/>
  <c r="E4088" i="66"/>
  <c r="I4087" i="66"/>
  <c r="H4087" i="66"/>
  <c r="G4087" i="66"/>
  <c r="E4087" i="66"/>
  <c r="I4086" i="66"/>
  <c r="H4086" i="66"/>
  <c r="G4086" i="66"/>
  <c r="E4086" i="66"/>
  <c r="I4085" i="66"/>
  <c r="H4085" i="66"/>
  <c r="G4085" i="66"/>
  <c r="E4085" i="66"/>
  <c r="I4084" i="66"/>
  <c r="H4084" i="66"/>
  <c r="G4084" i="66"/>
  <c r="E4084" i="66"/>
  <c r="I4083" i="66"/>
  <c r="H4083" i="66"/>
  <c r="G4083" i="66"/>
  <c r="E4083" i="66"/>
  <c r="I4082" i="66"/>
  <c r="H4082" i="66"/>
  <c r="G4082" i="66"/>
  <c r="E4082" i="66"/>
  <c r="I4081" i="66"/>
  <c r="H4081" i="66"/>
  <c r="G4081" i="66"/>
  <c r="E4081" i="66"/>
  <c r="I4080" i="66"/>
  <c r="H4080" i="66"/>
  <c r="G4080" i="66"/>
  <c r="E4080" i="66"/>
  <c r="I4079" i="66"/>
  <c r="H4079" i="66"/>
  <c r="G4079" i="66"/>
  <c r="E4079" i="66"/>
  <c r="I4078" i="66"/>
  <c r="H4078" i="66"/>
  <c r="G4078" i="66"/>
  <c r="E4078" i="66"/>
  <c r="I4077" i="66"/>
  <c r="H4077" i="66"/>
  <c r="G4077" i="66"/>
  <c r="E4077" i="66"/>
  <c r="I4076" i="66"/>
  <c r="H4076" i="66"/>
  <c r="G4076" i="66"/>
  <c r="E4076" i="66"/>
  <c r="I4075" i="66"/>
  <c r="H4075" i="66"/>
  <c r="G4075" i="66"/>
  <c r="E4075" i="66"/>
  <c r="I4074" i="66"/>
  <c r="H4074" i="66"/>
  <c r="G4074" i="66"/>
  <c r="E4074" i="66"/>
  <c r="I4073" i="66"/>
  <c r="H4073" i="66"/>
  <c r="G4073" i="66"/>
  <c r="E4073" i="66"/>
  <c r="I4072" i="66"/>
  <c r="H4072" i="66"/>
  <c r="G4072" i="66"/>
  <c r="E4072" i="66"/>
  <c r="I4071" i="66"/>
  <c r="H4071" i="66"/>
  <c r="G4071" i="66"/>
  <c r="E4071" i="66"/>
  <c r="I4070" i="66"/>
  <c r="H4070" i="66"/>
  <c r="G4070" i="66"/>
  <c r="E4070" i="66"/>
  <c r="I4069" i="66"/>
  <c r="H4069" i="66"/>
  <c r="G4069" i="66"/>
  <c r="E4069" i="66"/>
  <c r="I4068" i="66"/>
  <c r="H4068" i="66"/>
  <c r="G4068" i="66"/>
  <c r="E4068" i="66"/>
  <c r="I4067" i="66"/>
  <c r="H4067" i="66"/>
  <c r="G4067" i="66"/>
  <c r="E4067" i="66"/>
  <c r="I4066" i="66"/>
  <c r="H4066" i="66"/>
  <c r="G4066" i="66"/>
  <c r="E4066" i="66"/>
  <c r="I4065" i="66"/>
  <c r="H4065" i="66"/>
  <c r="G4065" i="66"/>
  <c r="E4065" i="66"/>
  <c r="I4064" i="66"/>
  <c r="H4064" i="66"/>
  <c r="G4064" i="66"/>
  <c r="E4064" i="66"/>
  <c r="I4063" i="66"/>
  <c r="H4063" i="66"/>
  <c r="G4063" i="66"/>
  <c r="E4063" i="66"/>
  <c r="I4062" i="66"/>
  <c r="H4062" i="66"/>
  <c r="G4062" i="66"/>
  <c r="E4062" i="66"/>
  <c r="I4061" i="66"/>
  <c r="H4061" i="66"/>
  <c r="G4061" i="66"/>
  <c r="E4061" i="66"/>
  <c r="I4060" i="66"/>
  <c r="H4060" i="66"/>
  <c r="G4060" i="66"/>
  <c r="E4060" i="66"/>
  <c r="I4059" i="66"/>
  <c r="H4059" i="66"/>
  <c r="G4059" i="66"/>
  <c r="E4059" i="66"/>
  <c r="I4058" i="66"/>
  <c r="H4058" i="66"/>
  <c r="G4058" i="66"/>
  <c r="E4058" i="66"/>
  <c r="I4057" i="66"/>
  <c r="H4057" i="66"/>
  <c r="G4057" i="66"/>
  <c r="E4057" i="66"/>
  <c r="I4056" i="66"/>
  <c r="H4056" i="66"/>
  <c r="G4056" i="66"/>
  <c r="E4056" i="66"/>
  <c r="I4055" i="66"/>
  <c r="H4055" i="66"/>
  <c r="G4055" i="66"/>
  <c r="E4055" i="66"/>
  <c r="I4054" i="66"/>
  <c r="H4054" i="66"/>
  <c r="G4054" i="66"/>
  <c r="E4054" i="66"/>
  <c r="I4053" i="66"/>
  <c r="H4053" i="66"/>
  <c r="G4053" i="66"/>
  <c r="E4053" i="66"/>
  <c r="I4052" i="66"/>
  <c r="H4052" i="66"/>
  <c r="G4052" i="66"/>
  <c r="E4052" i="66"/>
  <c r="I4051" i="66"/>
  <c r="H4051" i="66"/>
  <c r="G4051" i="66"/>
  <c r="E4051" i="66"/>
  <c r="I4050" i="66"/>
  <c r="H4050" i="66"/>
  <c r="G4050" i="66"/>
  <c r="E4050" i="66"/>
  <c r="I4049" i="66"/>
  <c r="H4049" i="66"/>
  <c r="G4049" i="66"/>
  <c r="E4049" i="66"/>
  <c r="I4048" i="66"/>
  <c r="H4048" i="66"/>
  <c r="G4048" i="66"/>
  <c r="E4048" i="66"/>
  <c r="I4047" i="66"/>
  <c r="H4047" i="66"/>
  <c r="G4047" i="66"/>
  <c r="E4047" i="66"/>
  <c r="I4046" i="66"/>
  <c r="H4046" i="66"/>
  <c r="G4046" i="66"/>
  <c r="E4046" i="66"/>
  <c r="I4045" i="66"/>
  <c r="H4045" i="66"/>
  <c r="G4045" i="66"/>
  <c r="E4045" i="66"/>
  <c r="I4044" i="66"/>
  <c r="H4044" i="66"/>
  <c r="G4044" i="66"/>
  <c r="E4044" i="66"/>
  <c r="I4043" i="66"/>
  <c r="H4043" i="66"/>
  <c r="G4043" i="66"/>
  <c r="E4043" i="66"/>
  <c r="I4042" i="66"/>
  <c r="H4042" i="66"/>
  <c r="G4042" i="66"/>
  <c r="E4042" i="66"/>
  <c r="I4041" i="66"/>
  <c r="H4041" i="66"/>
  <c r="G4041" i="66"/>
  <c r="E4041" i="66"/>
  <c r="I4040" i="66"/>
  <c r="H4040" i="66"/>
  <c r="G4040" i="66"/>
  <c r="E4040" i="66"/>
  <c r="I4039" i="66"/>
  <c r="H4039" i="66"/>
  <c r="G4039" i="66"/>
  <c r="E4039" i="66"/>
  <c r="I4038" i="66"/>
  <c r="H4038" i="66"/>
  <c r="G4038" i="66"/>
  <c r="E4038" i="66"/>
  <c r="I4037" i="66"/>
  <c r="H4037" i="66"/>
  <c r="G4037" i="66"/>
  <c r="E4037" i="66"/>
  <c r="I4036" i="66"/>
  <c r="H4036" i="66"/>
  <c r="G4036" i="66"/>
  <c r="E4036" i="66"/>
  <c r="I4035" i="66"/>
  <c r="H4035" i="66"/>
  <c r="G4035" i="66"/>
  <c r="E4035" i="66"/>
  <c r="I4034" i="66"/>
  <c r="H4034" i="66"/>
  <c r="G4034" i="66"/>
  <c r="E4034" i="66"/>
  <c r="I4033" i="66"/>
  <c r="H4033" i="66"/>
  <c r="G4033" i="66"/>
  <c r="E4033" i="66"/>
  <c r="I4032" i="66"/>
  <c r="H4032" i="66"/>
  <c r="G4032" i="66"/>
  <c r="E4032" i="66"/>
  <c r="I4031" i="66"/>
  <c r="H4031" i="66"/>
  <c r="G4031" i="66"/>
  <c r="E4031" i="66"/>
  <c r="I4030" i="66"/>
  <c r="H4030" i="66"/>
  <c r="G4030" i="66"/>
  <c r="E4030" i="66"/>
  <c r="I4029" i="66"/>
  <c r="H4029" i="66"/>
  <c r="G4029" i="66"/>
  <c r="E4029" i="66"/>
  <c r="I4028" i="66"/>
  <c r="H4028" i="66"/>
  <c r="G4028" i="66"/>
  <c r="E4028" i="66"/>
  <c r="I4027" i="66"/>
  <c r="H4027" i="66"/>
  <c r="G4027" i="66"/>
  <c r="E4027" i="66"/>
  <c r="I4026" i="66"/>
  <c r="H4026" i="66"/>
  <c r="G4026" i="66"/>
  <c r="E4026" i="66"/>
  <c r="I4025" i="66"/>
  <c r="H4025" i="66"/>
  <c r="G4025" i="66"/>
  <c r="E4025" i="66"/>
  <c r="I4024" i="66"/>
  <c r="H4024" i="66"/>
  <c r="G4024" i="66"/>
  <c r="E4024" i="66"/>
  <c r="I4023" i="66"/>
  <c r="H4023" i="66"/>
  <c r="G4023" i="66"/>
  <c r="E4023" i="66"/>
  <c r="I4022" i="66"/>
  <c r="H4022" i="66"/>
  <c r="G4022" i="66"/>
  <c r="E4022" i="66"/>
  <c r="I4021" i="66"/>
  <c r="H4021" i="66"/>
  <c r="G4021" i="66"/>
  <c r="E4021" i="66"/>
  <c r="I4020" i="66"/>
  <c r="H4020" i="66"/>
  <c r="G4020" i="66"/>
  <c r="E4020" i="66"/>
  <c r="I4019" i="66"/>
  <c r="H4019" i="66"/>
  <c r="G4019" i="66"/>
  <c r="E4019" i="66"/>
  <c r="I4018" i="66"/>
  <c r="H4018" i="66"/>
  <c r="G4018" i="66"/>
  <c r="E4018" i="66"/>
  <c r="I4017" i="66"/>
  <c r="H4017" i="66"/>
  <c r="G4017" i="66"/>
  <c r="E4017" i="66"/>
  <c r="I4016" i="66"/>
  <c r="H4016" i="66"/>
  <c r="G4016" i="66"/>
  <c r="E4016" i="66"/>
  <c r="I4015" i="66"/>
  <c r="H4015" i="66"/>
  <c r="G4015" i="66"/>
  <c r="E4015" i="66"/>
  <c r="I4014" i="66"/>
  <c r="H4014" i="66"/>
  <c r="G4014" i="66"/>
  <c r="E4014" i="66"/>
  <c r="I4013" i="66"/>
  <c r="H4013" i="66"/>
  <c r="G4013" i="66"/>
  <c r="E4013" i="66"/>
  <c r="I4012" i="66"/>
  <c r="H4012" i="66"/>
  <c r="G4012" i="66"/>
  <c r="E4012" i="66"/>
  <c r="I4011" i="66"/>
  <c r="H4011" i="66"/>
  <c r="G4011" i="66"/>
  <c r="E4011" i="66"/>
  <c r="I4010" i="66"/>
  <c r="H4010" i="66"/>
  <c r="G4010" i="66"/>
  <c r="E4010" i="66"/>
  <c r="I4009" i="66"/>
  <c r="H4009" i="66"/>
  <c r="G4009" i="66"/>
  <c r="E4009" i="66"/>
  <c r="I4008" i="66"/>
  <c r="H4008" i="66"/>
  <c r="G4008" i="66"/>
  <c r="E4008" i="66"/>
  <c r="I4007" i="66"/>
  <c r="H4007" i="66"/>
  <c r="G4007" i="66"/>
  <c r="E4007" i="66"/>
  <c r="I4006" i="66"/>
  <c r="H4006" i="66"/>
  <c r="G4006" i="66"/>
  <c r="E4006" i="66"/>
  <c r="I4005" i="66"/>
  <c r="H4005" i="66"/>
  <c r="G4005" i="66"/>
  <c r="E4005" i="66"/>
  <c r="I4004" i="66"/>
  <c r="H4004" i="66"/>
  <c r="G4004" i="66"/>
  <c r="E4004" i="66"/>
  <c r="I4003" i="66"/>
  <c r="H4003" i="66"/>
  <c r="G4003" i="66"/>
  <c r="E4003" i="66"/>
  <c r="I4002" i="66"/>
  <c r="H4002" i="66"/>
  <c r="G4002" i="66"/>
  <c r="E4002" i="66"/>
  <c r="I4001" i="66"/>
  <c r="H4001" i="66"/>
  <c r="G4001" i="66"/>
  <c r="D4001" i="66" s="1"/>
  <c r="E4001" i="66"/>
  <c r="I4000" i="66"/>
  <c r="H4000" i="66"/>
  <c r="G4000" i="66"/>
  <c r="E4000" i="66"/>
  <c r="I3999" i="66"/>
  <c r="H3999" i="66"/>
  <c r="G3999" i="66"/>
  <c r="E3999" i="66"/>
  <c r="I3998" i="66"/>
  <c r="H3998" i="66"/>
  <c r="G3998" i="66"/>
  <c r="E3998" i="66"/>
  <c r="I3997" i="66"/>
  <c r="H3997" i="66"/>
  <c r="G3997" i="66"/>
  <c r="E3997" i="66"/>
  <c r="I3996" i="66"/>
  <c r="H3996" i="66"/>
  <c r="G3996" i="66"/>
  <c r="E3996" i="66"/>
  <c r="I3995" i="66"/>
  <c r="H3995" i="66"/>
  <c r="G3995" i="66"/>
  <c r="E3995" i="66"/>
  <c r="I3994" i="66"/>
  <c r="H3994" i="66"/>
  <c r="G3994" i="66"/>
  <c r="E3994" i="66"/>
  <c r="I3993" i="66"/>
  <c r="H3993" i="66"/>
  <c r="G3993" i="66"/>
  <c r="E3993" i="66"/>
  <c r="I3992" i="66"/>
  <c r="H3992" i="66"/>
  <c r="G3992" i="66"/>
  <c r="E3992" i="66"/>
  <c r="I3991" i="66"/>
  <c r="H3991" i="66"/>
  <c r="G3991" i="66"/>
  <c r="E3991" i="66"/>
  <c r="I3990" i="66"/>
  <c r="H3990" i="66"/>
  <c r="G3990" i="66"/>
  <c r="E3990" i="66"/>
  <c r="I3989" i="66"/>
  <c r="H3989" i="66"/>
  <c r="G3989" i="66"/>
  <c r="E3989" i="66"/>
  <c r="I3988" i="66"/>
  <c r="H3988" i="66"/>
  <c r="G3988" i="66"/>
  <c r="E3988" i="66"/>
  <c r="I3987" i="66"/>
  <c r="H3987" i="66"/>
  <c r="G3987" i="66"/>
  <c r="E3987" i="66"/>
  <c r="I3986" i="66"/>
  <c r="H3986" i="66"/>
  <c r="G3986" i="66"/>
  <c r="E3986" i="66"/>
  <c r="I3985" i="66"/>
  <c r="H3985" i="66"/>
  <c r="G3985" i="66"/>
  <c r="E3985" i="66"/>
  <c r="I3984" i="66"/>
  <c r="H3984" i="66"/>
  <c r="G3984" i="66"/>
  <c r="E3984" i="66"/>
  <c r="I3983" i="66"/>
  <c r="H3983" i="66"/>
  <c r="G3983" i="66"/>
  <c r="D3983" i="66" s="1"/>
  <c r="E3983" i="66"/>
  <c r="I3982" i="66"/>
  <c r="H3982" i="66"/>
  <c r="G3982" i="66"/>
  <c r="E3982" i="66"/>
  <c r="I3981" i="66"/>
  <c r="H3981" i="66"/>
  <c r="G3981" i="66"/>
  <c r="E3981" i="66"/>
  <c r="I3980" i="66"/>
  <c r="H3980" i="66"/>
  <c r="G3980" i="66"/>
  <c r="E3980" i="66"/>
  <c r="I3979" i="66"/>
  <c r="H3979" i="66"/>
  <c r="G3979" i="66"/>
  <c r="E3979" i="66"/>
  <c r="I3978" i="66"/>
  <c r="H3978" i="66"/>
  <c r="G3978" i="66"/>
  <c r="E3978" i="66"/>
  <c r="I3977" i="66"/>
  <c r="H3977" i="66"/>
  <c r="G3977" i="66"/>
  <c r="E3977" i="66"/>
  <c r="I3976" i="66"/>
  <c r="H3976" i="66"/>
  <c r="G3976" i="66"/>
  <c r="E3976" i="66"/>
  <c r="I3975" i="66"/>
  <c r="H3975" i="66"/>
  <c r="G3975" i="66"/>
  <c r="E3975" i="66"/>
  <c r="I3974" i="66"/>
  <c r="H3974" i="66"/>
  <c r="G3974" i="66"/>
  <c r="E3974" i="66"/>
  <c r="I3973" i="66"/>
  <c r="H3973" i="66"/>
  <c r="G3973" i="66"/>
  <c r="E3973" i="66"/>
  <c r="I3972" i="66"/>
  <c r="H3972" i="66"/>
  <c r="G3972" i="66"/>
  <c r="E3972" i="66"/>
  <c r="I3971" i="66"/>
  <c r="H3971" i="66"/>
  <c r="G3971" i="66"/>
  <c r="E3971" i="66"/>
  <c r="I3970" i="66"/>
  <c r="H3970" i="66"/>
  <c r="G3970" i="66"/>
  <c r="E3970" i="66"/>
  <c r="I3969" i="66"/>
  <c r="H3969" i="66"/>
  <c r="G3969" i="66"/>
  <c r="E3969" i="66"/>
  <c r="I3968" i="66"/>
  <c r="H3968" i="66"/>
  <c r="G3968" i="66"/>
  <c r="D3968" i="66" s="1"/>
  <c r="E3968" i="66"/>
  <c r="I3967" i="66"/>
  <c r="H3967" i="66"/>
  <c r="G3967" i="66"/>
  <c r="E3967" i="66"/>
  <c r="I3966" i="66"/>
  <c r="H3966" i="66"/>
  <c r="G3966" i="66"/>
  <c r="E3966" i="66"/>
  <c r="I3965" i="66"/>
  <c r="H3965" i="66"/>
  <c r="G3965" i="66"/>
  <c r="E3965" i="66"/>
  <c r="I3964" i="66"/>
  <c r="H3964" i="66"/>
  <c r="G3964" i="66"/>
  <c r="E3964" i="66"/>
  <c r="I3963" i="66"/>
  <c r="H3963" i="66"/>
  <c r="G3963" i="66"/>
  <c r="E3963" i="66"/>
  <c r="I3962" i="66"/>
  <c r="H3962" i="66"/>
  <c r="G3962" i="66"/>
  <c r="E3962" i="66"/>
  <c r="I3961" i="66"/>
  <c r="H3961" i="66"/>
  <c r="G3961" i="66"/>
  <c r="E3961" i="66"/>
  <c r="I3960" i="66"/>
  <c r="H3960" i="66"/>
  <c r="G3960" i="66"/>
  <c r="E3960" i="66"/>
  <c r="I3959" i="66"/>
  <c r="H3959" i="66"/>
  <c r="G3959" i="66"/>
  <c r="D3959" i="66" s="1"/>
  <c r="E3959" i="66"/>
  <c r="I3958" i="66"/>
  <c r="H3958" i="66"/>
  <c r="G3958" i="66"/>
  <c r="E3958" i="66"/>
  <c r="I3957" i="66"/>
  <c r="H3957" i="66"/>
  <c r="G3957" i="66"/>
  <c r="E3957" i="66"/>
  <c r="I3956" i="66"/>
  <c r="H3956" i="66"/>
  <c r="G3956" i="66"/>
  <c r="E3956" i="66"/>
  <c r="I3955" i="66"/>
  <c r="H3955" i="66"/>
  <c r="G3955" i="66"/>
  <c r="E3955" i="66"/>
  <c r="I3954" i="66"/>
  <c r="H3954" i="66"/>
  <c r="G3954" i="66"/>
  <c r="E3954" i="66"/>
  <c r="I3953" i="66"/>
  <c r="H3953" i="66"/>
  <c r="G3953" i="66"/>
  <c r="E3953" i="66"/>
  <c r="I3952" i="66"/>
  <c r="H3952" i="66"/>
  <c r="G3952" i="66"/>
  <c r="E3952" i="66"/>
  <c r="I3951" i="66"/>
  <c r="H3951" i="66"/>
  <c r="G3951" i="66"/>
  <c r="E3951" i="66"/>
  <c r="I3950" i="66"/>
  <c r="H3950" i="66"/>
  <c r="G3950" i="66"/>
  <c r="D3950" i="66" s="1"/>
  <c r="E3950" i="66"/>
  <c r="I3949" i="66"/>
  <c r="H3949" i="66"/>
  <c r="G3949" i="66"/>
  <c r="E3949" i="66"/>
  <c r="I3948" i="66"/>
  <c r="H3948" i="66"/>
  <c r="G3948" i="66"/>
  <c r="E3948" i="66"/>
  <c r="I3947" i="66"/>
  <c r="H3947" i="66"/>
  <c r="G3947" i="66"/>
  <c r="E3947" i="66"/>
  <c r="I3946" i="66"/>
  <c r="H3946" i="66"/>
  <c r="G3946" i="66"/>
  <c r="E3946" i="66"/>
  <c r="I3945" i="66"/>
  <c r="H3945" i="66"/>
  <c r="G3945" i="66"/>
  <c r="E3945" i="66"/>
  <c r="I3944" i="66"/>
  <c r="H3944" i="66"/>
  <c r="G3944" i="66"/>
  <c r="E3944" i="66"/>
  <c r="I3943" i="66"/>
  <c r="H3943" i="66"/>
  <c r="G3943" i="66"/>
  <c r="E3943" i="66"/>
  <c r="I3942" i="66"/>
  <c r="H3942" i="66"/>
  <c r="G3942" i="66"/>
  <c r="E3942" i="66"/>
  <c r="I3941" i="66"/>
  <c r="H3941" i="66"/>
  <c r="G3941" i="66"/>
  <c r="E3941" i="66"/>
  <c r="I3940" i="66"/>
  <c r="H3940" i="66"/>
  <c r="G3940" i="66"/>
  <c r="E3940" i="66"/>
  <c r="I3939" i="66"/>
  <c r="H3939" i="66"/>
  <c r="G3939" i="66"/>
  <c r="E3939" i="66"/>
  <c r="I3938" i="66"/>
  <c r="H3938" i="66"/>
  <c r="G3938" i="66"/>
  <c r="E3938" i="66"/>
  <c r="I3937" i="66"/>
  <c r="H3937" i="66"/>
  <c r="G3937" i="66"/>
  <c r="E3937" i="66"/>
  <c r="I3936" i="66"/>
  <c r="H3936" i="66"/>
  <c r="G3936" i="66"/>
  <c r="E3936" i="66"/>
  <c r="I3935" i="66"/>
  <c r="H3935" i="66"/>
  <c r="G3935" i="66"/>
  <c r="D3935" i="66" s="1"/>
  <c r="E3935" i="66"/>
  <c r="I3934" i="66"/>
  <c r="H3934" i="66"/>
  <c r="G3934" i="66"/>
  <c r="E3934" i="66"/>
  <c r="I3933" i="66"/>
  <c r="H3933" i="66"/>
  <c r="G3933" i="66"/>
  <c r="E3933" i="66"/>
  <c r="I3932" i="66"/>
  <c r="H3932" i="66"/>
  <c r="G3932" i="66"/>
  <c r="E3932" i="66"/>
  <c r="I3931" i="66"/>
  <c r="H3931" i="66"/>
  <c r="G3931" i="66"/>
  <c r="E3931" i="66"/>
  <c r="I3930" i="66"/>
  <c r="H3930" i="66"/>
  <c r="G3930" i="66"/>
  <c r="E3930" i="66"/>
  <c r="I3929" i="66"/>
  <c r="H3929" i="66"/>
  <c r="G3929" i="66"/>
  <c r="E3929" i="66"/>
  <c r="I3928" i="66"/>
  <c r="H3928" i="66"/>
  <c r="G3928" i="66"/>
  <c r="E3928" i="66"/>
  <c r="I3927" i="66"/>
  <c r="H3927" i="66"/>
  <c r="G3927" i="66"/>
  <c r="E3927" i="66"/>
  <c r="I3926" i="66"/>
  <c r="H3926" i="66"/>
  <c r="G3926" i="66"/>
  <c r="E3926" i="66"/>
  <c r="I3925" i="66"/>
  <c r="H3925" i="66"/>
  <c r="G3925" i="66"/>
  <c r="E3925" i="66"/>
  <c r="I3924" i="66"/>
  <c r="H3924" i="66"/>
  <c r="G3924" i="66"/>
  <c r="E3924" i="66"/>
  <c r="I3923" i="66"/>
  <c r="H3923" i="66"/>
  <c r="G3923" i="66"/>
  <c r="E3923" i="66"/>
  <c r="I3922" i="66"/>
  <c r="H3922" i="66"/>
  <c r="G3922" i="66"/>
  <c r="E3922" i="66"/>
  <c r="I3921" i="66"/>
  <c r="H3921" i="66"/>
  <c r="G3921" i="66"/>
  <c r="E3921" i="66"/>
  <c r="I3920" i="66"/>
  <c r="H3920" i="66"/>
  <c r="G3920" i="66"/>
  <c r="E3920" i="66"/>
  <c r="I3919" i="66"/>
  <c r="H3919" i="66"/>
  <c r="G3919" i="66"/>
  <c r="E3919" i="66"/>
  <c r="I3918" i="66"/>
  <c r="H3918" i="66"/>
  <c r="G3918" i="66"/>
  <c r="E3918" i="66"/>
  <c r="I3917" i="66"/>
  <c r="H3917" i="66"/>
  <c r="G3917" i="66"/>
  <c r="E3917" i="66"/>
  <c r="I3916" i="66"/>
  <c r="H3916" i="66"/>
  <c r="G3916" i="66"/>
  <c r="E3916" i="66"/>
  <c r="I3915" i="66"/>
  <c r="H3915" i="66"/>
  <c r="D3915" i="66" s="1"/>
  <c r="G3915" i="66"/>
  <c r="E3915" i="66"/>
  <c r="I3914" i="66"/>
  <c r="H3914" i="66"/>
  <c r="G3914" i="66"/>
  <c r="E3914" i="66"/>
  <c r="I3913" i="66"/>
  <c r="H3913" i="66"/>
  <c r="G3913" i="66"/>
  <c r="E3913" i="66"/>
  <c r="I3912" i="66"/>
  <c r="H3912" i="66"/>
  <c r="G3912" i="66"/>
  <c r="E3912" i="66"/>
  <c r="I3911" i="66"/>
  <c r="H3911" i="66"/>
  <c r="G3911" i="66"/>
  <c r="E3911" i="66"/>
  <c r="I3910" i="66"/>
  <c r="H3910" i="66"/>
  <c r="G3910" i="66"/>
  <c r="E3910" i="66"/>
  <c r="I3909" i="66"/>
  <c r="H3909" i="66"/>
  <c r="G3909" i="66"/>
  <c r="E3909" i="66"/>
  <c r="I3908" i="66"/>
  <c r="H3908" i="66"/>
  <c r="G3908" i="66"/>
  <c r="E3908" i="66"/>
  <c r="I3907" i="66"/>
  <c r="H3907" i="66"/>
  <c r="G3907" i="66"/>
  <c r="E3907" i="66"/>
  <c r="I3906" i="66"/>
  <c r="H3906" i="66"/>
  <c r="G3906" i="66"/>
  <c r="E3906" i="66"/>
  <c r="I3905" i="66"/>
  <c r="H3905" i="66"/>
  <c r="G3905" i="66"/>
  <c r="E3905" i="66"/>
  <c r="I3904" i="66"/>
  <c r="H3904" i="66"/>
  <c r="G3904" i="66"/>
  <c r="E3904" i="66"/>
  <c r="I3903" i="66"/>
  <c r="H3903" i="66"/>
  <c r="G3903" i="66"/>
  <c r="E3903" i="66"/>
  <c r="I3902" i="66"/>
  <c r="H3902" i="66"/>
  <c r="G3902" i="66"/>
  <c r="E3902" i="66"/>
  <c r="I3901" i="66"/>
  <c r="H3901" i="66"/>
  <c r="G3901" i="66"/>
  <c r="E3901" i="66"/>
  <c r="I3900" i="66"/>
  <c r="H3900" i="66"/>
  <c r="G3900" i="66"/>
  <c r="E3900" i="66"/>
  <c r="I3899" i="66"/>
  <c r="H3899" i="66"/>
  <c r="G3899" i="66"/>
  <c r="E3899" i="66"/>
  <c r="I3898" i="66"/>
  <c r="H3898" i="66"/>
  <c r="G3898" i="66"/>
  <c r="E3898" i="66"/>
  <c r="I3897" i="66"/>
  <c r="H3897" i="66"/>
  <c r="G3897" i="66"/>
  <c r="E3897" i="66"/>
  <c r="I3896" i="66"/>
  <c r="H3896" i="66"/>
  <c r="G3896" i="66"/>
  <c r="E3896" i="66"/>
  <c r="I3895" i="66"/>
  <c r="H3895" i="66"/>
  <c r="G3895" i="66"/>
  <c r="E3895" i="66"/>
  <c r="I3894" i="66"/>
  <c r="H3894" i="66"/>
  <c r="G3894" i="66"/>
  <c r="E3894" i="66"/>
  <c r="I3893" i="66"/>
  <c r="H3893" i="66"/>
  <c r="G3893" i="66"/>
  <c r="E3893" i="66"/>
  <c r="I3892" i="66"/>
  <c r="H3892" i="66"/>
  <c r="G3892" i="66"/>
  <c r="E3892" i="66"/>
  <c r="I3891" i="66"/>
  <c r="H3891" i="66"/>
  <c r="G3891" i="66"/>
  <c r="E3891" i="66"/>
  <c r="I3890" i="66"/>
  <c r="H3890" i="66"/>
  <c r="G3890" i="66"/>
  <c r="E3890" i="66"/>
  <c r="I3889" i="66"/>
  <c r="H3889" i="66"/>
  <c r="G3889" i="66"/>
  <c r="E3889" i="66"/>
  <c r="I3888" i="66"/>
  <c r="H3888" i="66"/>
  <c r="G3888" i="66"/>
  <c r="E3888" i="66"/>
  <c r="I3887" i="66"/>
  <c r="H3887" i="66"/>
  <c r="G3887" i="66"/>
  <c r="D3887" i="66" s="1"/>
  <c r="E3887" i="66"/>
  <c r="I3886" i="66"/>
  <c r="H3886" i="66"/>
  <c r="G3886" i="66"/>
  <c r="E3886" i="66"/>
  <c r="I3885" i="66"/>
  <c r="H3885" i="66"/>
  <c r="G3885" i="66"/>
  <c r="E3885" i="66"/>
  <c r="I3884" i="66"/>
  <c r="H3884" i="66"/>
  <c r="G3884" i="66"/>
  <c r="E3884" i="66"/>
  <c r="I3883" i="66"/>
  <c r="H3883" i="66"/>
  <c r="G3883" i="66"/>
  <c r="E3883" i="66"/>
  <c r="I3882" i="66"/>
  <c r="H3882" i="66"/>
  <c r="G3882" i="66"/>
  <c r="E3882" i="66"/>
  <c r="I3881" i="66"/>
  <c r="H3881" i="66"/>
  <c r="G3881" i="66"/>
  <c r="E3881" i="66"/>
  <c r="I3880" i="66"/>
  <c r="H3880" i="66"/>
  <c r="G3880" i="66"/>
  <c r="E3880" i="66"/>
  <c r="I3879" i="66"/>
  <c r="H3879" i="66"/>
  <c r="G3879" i="66"/>
  <c r="E3879" i="66"/>
  <c r="I3878" i="66"/>
  <c r="H3878" i="66"/>
  <c r="G3878" i="66"/>
  <c r="E3878" i="66"/>
  <c r="I3877" i="66"/>
  <c r="H3877" i="66"/>
  <c r="G3877" i="66"/>
  <c r="E3877" i="66"/>
  <c r="I3876" i="66"/>
  <c r="H3876" i="66"/>
  <c r="G3876" i="66"/>
  <c r="E3876" i="66"/>
  <c r="I3875" i="66"/>
  <c r="H3875" i="66"/>
  <c r="G3875" i="66"/>
  <c r="D3875" i="66" s="1"/>
  <c r="E3875" i="66"/>
  <c r="I3874" i="66"/>
  <c r="H3874" i="66"/>
  <c r="G3874" i="66"/>
  <c r="E3874" i="66"/>
  <c r="I3873" i="66"/>
  <c r="H3873" i="66"/>
  <c r="G3873" i="66"/>
  <c r="E3873" i="66"/>
  <c r="I3872" i="66"/>
  <c r="H3872" i="66"/>
  <c r="G3872" i="66"/>
  <c r="E3872" i="66"/>
  <c r="I3871" i="66"/>
  <c r="H3871" i="66"/>
  <c r="G3871" i="66"/>
  <c r="E3871" i="66"/>
  <c r="I3870" i="66"/>
  <c r="H3870" i="66"/>
  <c r="G3870" i="66"/>
  <c r="E3870" i="66"/>
  <c r="I3869" i="66"/>
  <c r="H3869" i="66"/>
  <c r="G3869" i="66"/>
  <c r="E3869" i="66"/>
  <c r="I3868" i="66"/>
  <c r="H3868" i="66"/>
  <c r="G3868" i="66"/>
  <c r="E3868" i="66"/>
  <c r="I3867" i="66"/>
  <c r="H3867" i="66"/>
  <c r="G3867" i="66"/>
  <c r="E3867" i="66"/>
  <c r="I3866" i="66"/>
  <c r="H3866" i="66"/>
  <c r="G3866" i="66"/>
  <c r="E3866" i="66"/>
  <c r="I3865" i="66"/>
  <c r="H3865" i="66"/>
  <c r="G3865" i="66"/>
  <c r="E3865" i="66"/>
  <c r="I3864" i="66"/>
  <c r="H3864" i="66"/>
  <c r="G3864" i="66"/>
  <c r="E3864" i="66"/>
  <c r="I3863" i="66"/>
  <c r="H3863" i="66"/>
  <c r="G3863" i="66"/>
  <c r="E3863" i="66"/>
  <c r="I3862" i="66"/>
  <c r="H3862" i="66"/>
  <c r="G3862" i="66"/>
  <c r="E3862" i="66"/>
  <c r="I3861" i="66"/>
  <c r="H3861" i="66"/>
  <c r="G3861" i="66"/>
  <c r="E3861" i="66"/>
  <c r="I3860" i="66"/>
  <c r="H3860" i="66"/>
  <c r="G3860" i="66"/>
  <c r="E3860" i="66"/>
  <c r="I3859" i="66"/>
  <c r="H3859" i="66"/>
  <c r="G3859" i="66"/>
  <c r="E3859" i="66"/>
  <c r="I3858" i="66"/>
  <c r="H3858" i="66"/>
  <c r="D3858" i="66" s="1"/>
  <c r="G3858" i="66"/>
  <c r="E3858" i="66"/>
  <c r="I3857" i="66"/>
  <c r="H3857" i="66"/>
  <c r="G3857" i="66"/>
  <c r="E3857" i="66"/>
  <c r="I3856" i="66"/>
  <c r="H3856" i="66"/>
  <c r="G3856" i="66"/>
  <c r="E3856" i="66"/>
  <c r="I3855" i="66"/>
  <c r="H3855" i="66"/>
  <c r="G3855" i="66"/>
  <c r="E3855" i="66"/>
  <c r="I3854" i="66"/>
  <c r="H3854" i="66"/>
  <c r="G3854" i="66"/>
  <c r="E3854" i="66"/>
  <c r="I3853" i="66"/>
  <c r="H3853" i="66"/>
  <c r="G3853" i="66"/>
  <c r="E3853" i="66"/>
  <c r="I3852" i="66"/>
  <c r="H3852" i="66"/>
  <c r="G3852" i="66"/>
  <c r="E3852" i="66"/>
  <c r="I3851" i="66"/>
  <c r="H3851" i="66"/>
  <c r="G3851" i="66"/>
  <c r="E3851" i="66"/>
  <c r="I3850" i="66"/>
  <c r="H3850" i="66"/>
  <c r="G3850" i="66"/>
  <c r="E3850" i="66"/>
  <c r="I3849" i="66"/>
  <c r="H3849" i="66"/>
  <c r="G3849" i="66"/>
  <c r="E3849" i="66"/>
  <c r="I3848" i="66"/>
  <c r="H3848" i="66"/>
  <c r="G3848" i="66"/>
  <c r="E3848" i="66"/>
  <c r="I3847" i="66"/>
  <c r="H3847" i="66"/>
  <c r="G3847" i="66"/>
  <c r="E3847" i="66"/>
  <c r="I3846" i="66"/>
  <c r="H3846" i="66"/>
  <c r="D3846" i="66" s="1"/>
  <c r="G3846" i="66"/>
  <c r="E3846" i="66"/>
  <c r="I3845" i="66"/>
  <c r="H3845" i="66"/>
  <c r="G3845" i="66"/>
  <c r="E3845" i="66"/>
  <c r="I3844" i="66"/>
  <c r="H3844" i="66"/>
  <c r="G3844" i="66"/>
  <c r="E3844" i="66"/>
  <c r="I3843" i="66"/>
  <c r="H3843" i="66"/>
  <c r="G3843" i="66"/>
  <c r="E3843" i="66"/>
  <c r="I3842" i="66"/>
  <c r="H3842" i="66"/>
  <c r="G3842" i="66"/>
  <c r="D3842" i="66" s="1"/>
  <c r="E3842" i="66"/>
  <c r="I3841" i="66"/>
  <c r="H3841" i="66"/>
  <c r="G3841" i="66"/>
  <c r="E3841" i="66"/>
  <c r="I3840" i="66"/>
  <c r="H3840" i="66"/>
  <c r="G3840" i="66"/>
  <c r="E3840" i="66"/>
  <c r="I3839" i="66"/>
  <c r="H3839" i="66"/>
  <c r="G3839" i="66"/>
  <c r="E3839" i="66"/>
  <c r="I3838" i="66"/>
  <c r="H3838" i="66"/>
  <c r="G3838" i="66"/>
  <c r="E3838" i="66"/>
  <c r="I3837" i="66"/>
  <c r="H3837" i="66"/>
  <c r="G3837" i="66"/>
  <c r="E3837" i="66"/>
  <c r="I3836" i="66"/>
  <c r="H3836" i="66"/>
  <c r="G3836" i="66"/>
  <c r="E3836" i="66"/>
  <c r="I3835" i="66"/>
  <c r="H3835" i="66"/>
  <c r="G3835" i="66"/>
  <c r="E3835" i="66"/>
  <c r="I3834" i="66"/>
  <c r="H3834" i="66"/>
  <c r="G3834" i="66"/>
  <c r="E3834" i="66"/>
  <c r="I3833" i="66"/>
  <c r="H3833" i="66"/>
  <c r="G3833" i="66"/>
  <c r="E3833" i="66"/>
  <c r="I3832" i="66"/>
  <c r="H3832" i="66"/>
  <c r="G3832" i="66"/>
  <c r="E3832" i="66"/>
  <c r="I3831" i="66"/>
  <c r="H3831" i="66"/>
  <c r="G3831" i="66"/>
  <c r="E3831" i="66"/>
  <c r="I3830" i="66"/>
  <c r="H3830" i="66"/>
  <c r="G3830" i="66"/>
  <c r="E3830" i="66"/>
  <c r="I3829" i="66"/>
  <c r="H3829" i="66"/>
  <c r="G3829" i="66"/>
  <c r="E3829" i="66"/>
  <c r="I3828" i="66"/>
  <c r="H3828" i="66"/>
  <c r="G3828" i="66"/>
  <c r="E3828" i="66"/>
  <c r="I3827" i="66"/>
  <c r="H3827" i="66"/>
  <c r="G3827" i="66"/>
  <c r="E3827" i="66"/>
  <c r="I3826" i="66"/>
  <c r="H3826" i="66"/>
  <c r="G3826" i="66"/>
  <c r="E3826" i="66"/>
  <c r="I3825" i="66"/>
  <c r="H3825" i="66"/>
  <c r="G3825" i="66"/>
  <c r="E3825" i="66"/>
  <c r="I3824" i="66"/>
  <c r="H3824" i="66"/>
  <c r="G3824" i="66"/>
  <c r="E3824" i="66"/>
  <c r="I3823" i="66"/>
  <c r="H3823" i="66"/>
  <c r="G3823" i="66"/>
  <c r="E3823" i="66"/>
  <c r="I3822" i="66"/>
  <c r="H3822" i="66"/>
  <c r="D3822" i="66" s="1"/>
  <c r="G3822" i="66"/>
  <c r="E3822" i="66"/>
  <c r="I3821" i="66"/>
  <c r="H3821" i="66"/>
  <c r="G3821" i="66"/>
  <c r="D3821" i="66" s="1"/>
  <c r="E3821" i="66"/>
  <c r="I3820" i="66"/>
  <c r="H3820" i="66"/>
  <c r="G3820" i="66"/>
  <c r="E3820" i="66"/>
  <c r="I3819" i="66"/>
  <c r="H3819" i="66"/>
  <c r="G3819" i="66"/>
  <c r="E3819" i="66"/>
  <c r="I3818" i="66"/>
  <c r="H3818" i="66"/>
  <c r="G3818" i="66"/>
  <c r="E3818" i="66"/>
  <c r="I3817" i="66"/>
  <c r="H3817" i="66"/>
  <c r="G3817" i="66"/>
  <c r="E3817" i="66"/>
  <c r="I3816" i="66"/>
  <c r="H3816" i="66"/>
  <c r="G3816" i="66"/>
  <c r="E3816" i="66"/>
  <c r="I3815" i="66"/>
  <c r="H3815" i="66"/>
  <c r="G3815" i="66"/>
  <c r="E3815" i="66"/>
  <c r="I3814" i="66"/>
  <c r="H3814" i="66"/>
  <c r="G3814" i="66"/>
  <c r="E3814" i="66"/>
  <c r="I3813" i="66"/>
  <c r="H3813" i="66"/>
  <c r="G3813" i="66"/>
  <c r="E3813" i="66"/>
  <c r="I3812" i="66"/>
  <c r="H3812" i="66"/>
  <c r="G3812" i="66"/>
  <c r="E3812" i="66"/>
  <c r="I3811" i="66"/>
  <c r="H3811" i="66"/>
  <c r="G3811" i="66"/>
  <c r="E3811" i="66"/>
  <c r="I3810" i="66"/>
  <c r="H3810" i="66"/>
  <c r="G3810" i="66"/>
  <c r="E3810" i="66"/>
  <c r="I3809" i="66"/>
  <c r="H3809" i="66"/>
  <c r="G3809" i="66"/>
  <c r="D3809" i="66" s="1"/>
  <c r="E3809" i="66"/>
  <c r="I3808" i="66"/>
  <c r="H3808" i="66"/>
  <c r="G3808" i="66"/>
  <c r="E3808" i="66"/>
  <c r="I3807" i="66"/>
  <c r="H3807" i="66"/>
  <c r="G3807" i="66"/>
  <c r="E3807" i="66"/>
  <c r="I3806" i="66"/>
  <c r="H3806" i="66"/>
  <c r="G3806" i="66"/>
  <c r="D3806" i="66" s="1"/>
  <c r="E3806" i="66"/>
  <c r="I3805" i="66"/>
  <c r="H3805" i="66"/>
  <c r="G3805" i="66"/>
  <c r="E3805" i="66"/>
  <c r="I3804" i="66"/>
  <c r="H3804" i="66"/>
  <c r="G3804" i="66"/>
  <c r="E3804" i="66"/>
  <c r="I3803" i="66"/>
  <c r="H3803" i="66"/>
  <c r="G3803" i="66"/>
  <c r="E3803" i="66"/>
  <c r="I3802" i="66"/>
  <c r="H3802" i="66"/>
  <c r="G3802" i="66"/>
  <c r="E3802" i="66"/>
  <c r="I3801" i="66"/>
  <c r="H3801" i="66"/>
  <c r="G3801" i="66"/>
  <c r="E3801" i="66"/>
  <c r="I3800" i="66"/>
  <c r="H3800" i="66"/>
  <c r="G3800" i="66"/>
  <c r="D3800" i="66" s="1"/>
  <c r="E3800" i="66"/>
  <c r="I3799" i="66"/>
  <c r="H3799" i="66"/>
  <c r="G3799" i="66"/>
  <c r="E3799" i="66"/>
  <c r="I3798" i="66"/>
  <c r="H3798" i="66"/>
  <c r="G3798" i="66"/>
  <c r="E3798" i="66"/>
  <c r="I3797" i="66"/>
  <c r="H3797" i="66"/>
  <c r="G3797" i="66"/>
  <c r="E3797" i="66"/>
  <c r="I3796" i="66"/>
  <c r="H3796" i="66"/>
  <c r="G3796" i="66"/>
  <c r="E3796" i="66"/>
  <c r="I3795" i="66"/>
  <c r="H3795" i="66"/>
  <c r="G3795" i="66"/>
  <c r="E3795" i="66"/>
  <c r="I3794" i="66"/>
  <c r="H3794" i="66"/>
  <c r="G3794" i="66"/>
  <c r="E3794" i="66"/>
  <c r="I3793" i="66"/>
  <c r="H3793" i="66"/>
  <c r="G3793" i="66"/>
  <c r="E3793" i="66"/>
  <c r="I3792" i="66"/>
  <c r="H3792" i="66"/>
  <c r="D3792" i="66" s="1"/>
  <c r="G3792" i="66"/>
  <c r="E3792" i="66"/>
  <c r="I3791" i="66"/>
  <c r="H3791" i="66"/>
  <c r="G3791" i="66"/>
  <c r="E3791" i="66"/>
  <c r="I3790" i="66"/>
  <c r="H3790" i="66"/>
  <c r="G3790" i="66"/>
  <c r="E3790" i="66"/>
  <c r="I3789" i="66"/>
  <c r="H3789" i="66"/>
  <c r="G3789" i="66"/>
  <c r="E3789" i="66"/>
  <c r="I3788" i="66"/>
  <c r="H3788" i="66"/>
  <c r="G3788" i="66"/>
  <c r="E3788" i="66"/>
  <c r="I3787" i="66"/>
  <c r="H3787" i="66"/>
  <c r="G3787" i="66"/>
  <c r="E3787" i="66"/>
  <c r="I3786" i="66"/>
  <c r="H3786" i="66"/>
  <c r="G3786" i="66"/>
  <c r="E3786" i="66"/>
  <c r="I3785" i="66"/>
  <c r="H3785" i="66"/>
  <c r="G3785" i="66"/>
  <c r="E3785" i="66"/>
  <c r="I3784" i="66"/>
  <c r="H3784" i="66"/>
  <c r="G3784" i="66"/>
  <c r="E3784" i="66"/>
  <c r="I3783" i="66"/>
  <c r="H3783" i="66"/>
  <c r="G3783" i="66"/>
  <c r="E3783" i="66"/>
  <c r="I3782" i="66"/>
  <c r="H3782" i="66"/>
  <c r="G3782" i="66"/>
  <c r="E3782" i="66"/>
  <c r="I3781" i="66"/>
  <c r="H3781" i="66"/>
  <c r="G3781" i="66"/>
  <c r="E3781" i="66"/>
  <c r="I3780" i="66"/>
  <c r="H3780" i="66"/>
  <c r="G3780" i="66"/>
  <c r="E3780" i="66"/>
  <c r="I3779" i="66"/>
  <c r="H3779" i="66"/>
  <c r="G3779" i="66"/>
  <c r="E3779" i="66"/>
  <c r="I3778" i="66"/>
  <c r="H3778" i="66"/>
  <c r="G3778" i="66"/>
  <c r="E3778" i="66"/>
  <c r="I3777" i="66"/>
  <c r="H3777" i="66"/>
  <c r="G3777" i="66"/>
  <c r="E3777" i="66"/>
  <c r="I3776" i="66"/>
  <c r="H3776" i="66"/>
  <c r="G3776" i="66"/>
  <c r="E3776" i="66"/>
  <c r="I3775" i="66"/>
  <c r="H3775" i="66"/>
  <c r="G3775" i="66"/>
  <c r="E3775" i="66"/>
  <c r="I3774" i="66"/>
  <c r="H3774" i="66"/>
  <c r="G3774" i="66"/>
  <c r="E3774" i="66"/>
  <c r="I3773" i="66"/>
  <c r="H3773" i="66"/>
  <c r="G3773" i="66"/>
  <c r="D3773" i="66" s="1"/>
  <c r="E3773" i="66"/>
  <c r="I3772" i="66"/>
  <c r="H3772" i="66"/>
  <c r="G3772" i="66"/>
  <c r="E3772" i="66"/>
  <c r="I3771" i="66"/>
  <c r="H3771" i="66"/>
  <c r="G3771" i="66"/>
  <c r="E3771" i="66"/>
  <c r="I3770" i="66"/>
  <c r="H3770" i="66"/>
  <c r="G3770" i="66"/>
  <c r="E3770" i="66"/>
  <c r="I3769" i="66"/>
  <c r="H3769" i="66"/>
  <c r="G3769" i="66"/>
  <c r="E3769" i="66"/>
  <c r="I3768" i="66"/>
  <c r="H3768" i="66"/>
  <c r="G3768" i="66"/>
  <c r="E3768" i="66"/>
  <c r="I3767" i="66"/>
  <c r="H3767" i="66"/>
  <c r="G3767" i="66"/>
  <c r="E3767" i="66"/>
  <c r="I3766" i="66"/>
  <c r="H3766" i="66"/>
  <c r="G3766" i="66"/>
  <c r="E3766" i="66"/>
  <c r="I3765" i="66"/>
  <c r="H3765" i="66"/>
  <c r="G3765" i="66"/>
  <c r="E3765" i="66"/>
  <c r="I3764" i="66"/>
  <c r="H3764" i="66"/>
  <c r="G3764" i="66"/>
  <c r="E3764" i="66"/>
  <c r="I3763" i="66"/>
  <c r="H3763" i="66"/>
  <c r="G3763" i="66"/>
  <c r="E3763" i="66"/>
  <c r="I3762" i="66"/>
  <c r="H3762" i="66"/>
  <c r="G3762" i="66"/>
  <c r="E3762" i="66"/>
  <c r="I3761" i="66"/>
  <c r="H3761" i="66"/>
  <c r="G3761" i="66"/>
  <c r="E3761" i="66"/>
  <c r="I3760" i="66"/>
  <c r="H3760" i="66"/>
  <c r="G3760" i="66"/>
  <c r="E3760" i="66"/>
  <c r="I3759" i="66"/>
  <c r="H3759" i="66"/>
  <c r="D3759" i="66" s="1"/>
  <c r="G3759" i="66"/>
  <c r="E3759" i="66"/>
  <c r="I3758" i="66"/>
  <c r="H3758" i="66"/>
  <c r="G3758" i="66"/>
  <c r="E3758" i="66"/>
  <c r="I3757" i="66"/>
  <c r="H3757" i="66"/>
  <c r="G3757" i="66"/>
  <c r="E3757" i="66"/>
  <c r="I3756" i="66"/>
  <c r="H3756" i="66"/>
  <c r="G3756" i="66"/>
  <c r="E3756" i="66"/>
  <c r="I3755" i="66"/>
  <c r="H3755" i="66"/>
  <c r="G3755" i="66"/>
  <c r="E3755" i="66"/>
  <c r="I3754" i="66"/>
  <c r="H3754" i="66"/>
  <c r="G3754" i="66"/>
  <c r="E3754" i="66"/>
  <c r="I3753" i="66"/>
  <c r="H3753" i="66"/>
  <c r="G3753" i="66"/>
  <c r="E3753" i="66"/>
  <c r="I3752" i="66"/>
  <c r="H3752" i="66"/>
  <c r="G3752" i="66"/>
  <c r="E3752" i="66"/>
  <c r="I3751" i="66"/>
  <c r="H3751" i="66"/>
  <c r="G3751" i="66"/>
  <c r="E3751" i="66"/>
  <c r="I3750" i="66"/>
  <c r="H3750" i="66"/>
  <c r="G3750" i="66"/>
  <c r="E3750" i="66"/>
  <c r="I3749" i="66"/>
  <c r="H3749" i="66"/>
  <c r="G3749" i="66"/>
  <c r="E3749" i="66"/>
  <c r="I3748" i="66"/>
  <c r="H3748" i="66"/>
  <c r="G3748" i="66"/>
  <c r="E3748" i="66"/>
  <c r="I3747" i="66"/>
  <c r="H3747" i="66"/>
  <c r="G3747" i="66"/>
  <c r="E3747" i="66"/>
  <c r="I3746" i="66"/>
  <c r="H3746" i="66"/>
  <c r="G3746" i="66"/>
  <c r="E3746" i="66"/>
  <c r="I3745" i="66"/>
  <c r="H3745" i="66"/>
  <c r="G3745" i="66"/>
  <c r="E3745" i="66"/>
  <c r="I3744" i="66"/>
  <c r="H3744" i="66"/>
  <c r="G3744" i="66"/>
  <c r="E3744" i="66"/>
  <c r="I3743" i="66"/>
  <c r="H3743" i="66"/>
  <c r="G3743" i="66"/>
  <c r="E3743" i="66"/>
  <c r="I3742" i="66"/>
  <c r="H3742" i="66"/>
  <c r="G3742" i="66"/>
  <c r="E3742" i="66"/>
  <c r="I3741" i="66"/>
  <c r="H3741" i="66"/>
  <c r="G3741" i="66"/>
  <c r="E3741" i="66"/>
  <c r="I3740" i="66"/>
  <c r="H3740" i="66"/>
  <c r="G3740" i="66"/>
  <c r="E3740" i="66"/>
  <c r="I3739" i="66"/>
  <c r="H3739" i="66"/>
  <c r="G3739" i="66"/>
  <c r="E3739" i="66"/>
  <c r="I3738" i="66"/>
  <c r="H3738" i="66"/>
  <c r="G3738" i="66"/>
  <c r="E3738" i="66"/>
  <c r="I3737" i="66"/>
  <c r="H3737" i="66"/>
  <c r="G3737" i="66"/>
  <c r="E3737" i="66"/>
  <c r="I3736" i="66"/>
  <c r="H3736" i="66"/>
  <c r="G3736" i="66"/>
  <c r="E3736" i="66"/>
  <c r="I3735" i="66"/>
  <c r="H3735" i="66"/>
  <c r="D3735" i="66" s="1"/>
  <c r="G3735" i="66"/>
  <c r="E3735" i="66"/>
  <c r="I3734" i="66"/>
  <c r="H3734" i="66"/>
  <c r="G3734" i="66"/>
  <c r="E3734" i="66"/>
  <c r="I3733" i="66"/>
  <c r="H3733" i="66"/>
  <c r="G3733" i="66"/>
  <c r="E3733" i="66"/>
  <c r="I3732" i="66"/>
  <c r="H3732" i="66"/>
  <c r="G3732" i="66"/>
  <c r="E3732" i="66"/>
  <c r="I3731" i="66"/>
  <c r="H3731" i="66"/>
  <c r="G3731" i="66"/>
  <c r="E3731" i="66"/>
  <c r="I3730" i="66"/>
  <c r="H3730" i="66"/>
  <c r="G3730" i="66"/>
  <c r="E3730" i="66"/>
  <c r="I3729" i="66"/>
  <c r="H3729" i="66"/>
  <c r="G3729" i="66"/>
  <c r="E3729" i="66"/>
  <c r="I3728" i="66"/>
  <c r="H3728" i="66"/>
  <c r="G3728" i="66"/>
  <c r="E3728" i="66"/>
  <c r="I3727" i="66"/>
  <c r="H3727" i="66"/>
  <c r="G3727" i="66"/>
  <c r="E3727" i="66"/>
  <c r="I3726" i="66"/>
  <c r="H3726" i="66"/>
  <c r="G3726" i="66"/>
  <c r="E3726" i="66"/>
  <c r="I3725" i="66"/>
  <c r="H3725" i="66"/>
  <c r="G3725" i="66"/>
  <c r="E3725" i="66"/>
  <c r="I3724" i="66"/>
  <c r="H3724" i="66"/>
  <c r="G3724" i="66"/>
  <c r="E3724" i="66"/>
  <c r="I3723" i="66"/>
  <c r="H3723" i="66"/>
  <c r="G3723" i="66"/>
  <c r="E3723" i="66"/>
  <c r="I3722" i="66"/>
  <c r="H3722" i="66"/>
  <c r="G3722" i="66"/>
  <c r="D3722" i="66" s="1"/>
  <c r="E3722" i="66"/>
  <c r="I3721" i="66"/>
  <c r="H3721" i="66"/>
  <c r="G3721" i="66"/>
  <c r="E3721" i="66"/>
  <c r="I3720" i="66"/>
  <c r="H3720" i="66"/>
  <c r="G3720" i="66"/>
  <c r="E3720" i="66"/>
  <c r="I3719" i="66"/>
  <c r="H3719" i="66"/>
  <c r="G3719" i="66"/>
  <c r="D3719" i="66" s="1"/>
  <c r="E3719" i="66"/>
  <c r="I3718" i="66"/>
  <c r="H3718" i="66"/>
  <c r="G3718" i="66"/>
  <c r="E3718" i="66"/>
  <c r="I3717" i="66"/>
  <c r="H3717" i="66"/>
  <c r="G3717" i="66"/>
  <c r="E3717" i="66"/>
  <c r="I3716" i="66"/>
  <c r="H3716" i="66"/>
  <c r="G3716" i="66"/>
  <c r="D3716" i="66" s="1"/>
  <c r="E3716" i="66"/>
  <c r="I3715" i="66"/>
  <c r="H3715" i="66"/>
  <c r="G3715" i="66"/>
  <c r="E3715" i="66"/>
  <c r="I3714" i="66"/>
  <c r="H3714" i="66"/>
  <c r="G3714" i="66"/>
  <c r="E3714" i="66"/>
  <c r="I3713" i="66"/>
  <c r="H3713" i="66"/>
  <c r="G3713" i="66"/>
  <c r="E3713" i="66"/>
  <c r="I3712" i="66"/>
  <c r="H3712" i="66"/>
  <c r="G3712" i="66"/>
  <c r="E3712" i="66"/>
  <c r="I3711" i="66"/>
  <c r="H3711" i="66"/>
  <c r="G3711" i="66"/>
  <c r="E3711" i="66"/>
  <c r="I3710" i="66"/>
  <c r="H3710" i="66"/>
  <c r="G3710" i="66"/>
  <c r="E3710" i="66"/>
  <c r="I3709" i="66"/>
  <c r="H3709" i="66"/>
  <c r="G3709" i="66"/>
  <c r="E3709" i="66"/>
  <c r="I3708" i="66"/>
  <c r="H3708" i="66"/>
  <c r="G3708" i="66"/>
  <c r="E3708" i="66"/>
  <c r="I3707" i="66"/>
  <c r="H3707" i="66"/>
  <c r="G3707" i="66"/>
  <c r="E3707" i="66"/>
  <c r="I3706" i="66"/>
  <c r="H3706" i="66"/>
  <c r="G3706" i="66"/>
  <c r="E3706" i="66"/>
  <c r="I3705" i="66"/>
  <c r="H3705" i="66"/>
  <c r="G3705" i="66"/>
  <c r="E3705" i="66"/>
  <c r="I3704" i="66"/>
  <c r="H3704" i="66"/>
  <c r="G3704" i="66"/>
  <c r="E3704" i="66"/>
  <c r="I3703" i="66"/>
  <c r="H3703" i="66"/>
  <c r="G3703" i="66"/>
  <c r="E3703" i="66"/>
  <c r="I3702" i="66"/>
  <c r="H3702" i="66"/>
  <c r="G3702" i="66"/>
  <c r="E3702" i="66"/>
  <c r="I3701" i="66"/>
  <c r="H3701" i="66"/>
  <c r="G3701" i="66"/>
  <c r="E3701" i="66"/>
  <c r="I3700" i="66"/>
  <c r="H3700" i="66"/>
  <c r="G3700" i="66"/>
  <c r="E3700" i="66"/>
  <c r="I3699" i="66"/>
  <c r="H3699" i="66"/>
  <c r="G3699" i="66"/>
  <c r="E3699" i="66"/>
  <c r="I3698" i="66"/>
  <c r="H3698" i="66"/>
  <c r="G3698" i="66"/>
  <c r="D3698" i="66" s="1"/>
  <c r="E3698" i="66"/>
  <c r="I3697" i="66"/>
  <c r="H3697" i="66"/>
  <c r="G3697" i="66"/>
  <c r="E3697" i="66"/>
  <c r="I3696" i="66"/>
  <c r="H3696" i="66"/>
  <c r="G3696" i="66"/>
  <c r="E3696" i="66"/>
  <c r="I3695" i="66"/>
  <c r="H3695" i="66"/>
  <c r="G3695" i="66"/>
  <c r="E3695" i="66"/>
  <c r="I3694" i="66"/>
  <c r="H3694" i="66"/>
  <c r="G3694" i="66"/>
  <c r="E3694" i="66"/>
  <c r="I3693" i="66"/>
  <c r="H3693" i="66"/>
  <c r="G3693" i="66"/>
  <c r="E3693" i="66"/>
  <c r="I3692" i="66"/>
  <c r="H3692" i="66"/>
  <c r="G3692" i="66"/>
  <c r="E3692" i="66"/>
  <c r="I3691" i="66"/>
  <c r="H3691" i="66"/>
  <c r="G3691" i="66"/>
  <c r="E3691" i="66"/>
  <c r="I3690" i="66"/>
  <c r="H3690" i="66"/>
  <c r="G3690" i="66"/>
  <c r="E3690" i="66"/>
  <c r="I3689" i="66"/>
  <c r="H3689" i="66"/>
  <c r="G3689" i="66"/>
  <c r="E3689" i="66"/>
  <c r="I3688" i="66"/>
  <c r="H3688" i="66"/>
  <c r="G3688" i="66"/>
  <c r="E3688" i="66"/>
  <c r="I3687" i="66"/>
  <c r="H3687" i="66"/>
  <c r="G3687" i="66"/>
  <c r="E3687" i="66"/>
  <c r="I3686" i="66"/>
  <c r="H3686" i="66"/>
  <c r="G3686" i="66"/>
  <c r="E3686" i="66"/>
  <c r="I3685" i="66"/>
  <c r="H3685" i="66"/>
  <c r="G3685" i="66"/>
  <c r="E3685" i="66"/>
  <c r="I3684" i="66"/>
  <c r="H3684" i="66"/>
  <c r="G3684" i="66"/>
  <c r="E3684" i="66"/>
  <c r="I3683" i="66"/>
  <c r="H3683" i="66"/>
  <c r="G3683" i="66"/>
  <c r="E3683" i="66"/>
  <c r="I3682" i="66"/>
  <c r="H3682" i="66"/>
  <c r="G3682" i="66"/>
  <c r="E3682" i="66"/>
  <c r="I3681" i="66"/>
  <c r="H3681" i="66"/>
  <c r="G3681" i="66"/>
  <c r="E3681" i="66"/>
  <c r="I3680" i="66"/>
  <c r="H3680" i="66"/>
  <c r="G3680" i="66"/>
  <c r="E3680" i="66"/>
  <c r="I3679" i="66"/>
  <c r="H3679" i="66"/>
  <c r="G3679" i="66"/>
  <c r="E3679" i="66"/>
  <c r="I3678" i="66"/>
  <c r="H3678" i="66"/>
  <c r="G3678" i="66"/>
  <c r="E3678" i="66"/>
  <c r="I3677" i="66"/>
  <c r="H3677" i="66"/>
  <c r="G3677" i="66"/>
  <c r="D3677" i="66" s="1"/>
  <c r="E3677" i="66"/>
  <c r="I3676" i="66"/>
  <c r="H3676" i="66"/>
  <c r="G3676" i="66"/>
  <c r="E3676" i="66"/>
  <c r="I3675" i="66"/>
  <c r="H3675" i="66"/>
  <c r="G3675" i="66"/>
  <c r="E3675" i="66"/>
  <c r="I3674" i="66"/>
  <c r="H3674" i="66"/>
  <c r="G3674" i="66"/>
  <c r="D3674" i="66" s="1"/>
  <c r="E3674" i="66"/>
  <c r="I3673" i="66"/>
  <c r="H3673" i="66"/>
  <c r="G3673" i="66"/>
  <c r="E3673" i="66"/>
  <c r="I3672" i="66"/>
  <c r="H3672" i="66"/>
  <c r="D3672" i="66" s="1"/>
  <c r="G3672" i="66"/>
  <c r="E3672" i="66"/>
  <c r="I3671" i="66"/>
  <c r="H3671" i="66"/>
  <c r="G3671" i="66"/>
  <c r="E3671" i="66"/>
  <c r="I3670" i="66"/>
  <c r="H3670" i="66"/>
  <c r="G3670" i="66"/>
  <c r="E3670" i="66"/>
  <c r="I3669" i="66"/>
  <c r="H3669" i="66"/>
  <c r="D3669" i="66" s="1"/>
  <c r="G3669" i="66"/>
  <c r="E3669" i="66"/>
  <c r="I3668" i="66"/>
  <c r="H3668" i="66"/>
  <c r="G3668" i="66"/>
  <c r="E3668" i="66"/>
  <c r="I3667" i="66"/>
  <c r="H3667" i="66"/>
  <c r="G3667" i="66"/>
  <c r="E3667" i="66"/>
  <c r="I3666" i="66"/>
  <c r="H3666" i="66"/>
  <c r="G3666" i="66"/>
  <c r="E3666" i="66"/>
  <c r="I3665" i="66"/>
  <c r="H3665" i="66"/>
  <c r="G3665" i="66"/>
  <c r="E3665" i="66"/>
  <c r="I3664" i="66"/>
  <c r="H3664" i="66"/>
  <c r="G3664" i="66"/>
  <c r="E3664" i="66"/>
  <c r="I3663" i="66"/>
  <c r="H3663" i="66"/>
  <c r="D3663" i="66" s="1"/>
  <c r="G3663" i="66"/>
  <c r="E3663" i="66"/>
  <c r="I3662" i="66"/>
  <c r="H3662" i="66"/>
  <c r="G3662" i="66"/>
  <c r="E3662" i="66"/>
  <c r="I3661" i="66"/>
  <c r="H3661" i="66"/>
  <c r="G3661" i="66"/>
  <c r="E3661" i="66"/>
  <c r="I3660" i="66"/>
  <c r="H3660" i="66"/>
  <c r="G3660" i="66"/>
  <c r="E3660" i="66"/>
  <c r="I3659" i="66"/>
  <c r="H3659" i="66"/>
  <c r="G3659" i="66"/>
  <c r="E3659" i="66"/>
  <c r="I3658" i="66"/>
  <c r="H3658" i="66"/>
  <c r="G3658" i="66"/>
  <c r="E3658" i="66"/>
  <c r="I3657" i="66"/>
  <c r="H3657" i="66"/>
  <c r="G3657" i="66"/>
  <c r="E3657" i="66"/>
  <c r="I3656" i="66"/>
  <c r="H3656" i="66"/>
  <c r="G3656" i="66"/>
  <c r="E3656" i="66"/>
  <c r="I3655" i="66"/>
  <c r="H3655" i="66"/>
  <c r="G3655" i="66"/>
  <c r="E3655" i="66"/>
  <c r="I3654" i="66"/>
  <c r="H3654" i="66"/>
  <c r="D3654" i="66" s="1"/>
  <c r="G3654" i="66"/>
  <c r="E3654" i="66"/>
  <c r="I3653" i="66"/>
  <c r="H3653" i="66"/>
  <c r="G3653" i="66"/>
  <c r="E3653" i="66"/>
  <c r="I3652" i="66"/>
  <c r="H3652" i="66"/>
  <c r="G3652" i="66"/>
  <c r="E3652" i="66"/>
  <c r="I3651" i="66"/>
  <c r="H3651" i="66"/>
  <c r="G3651" i="66"/>
  <c r="E3651" i="66"/>
  <c r="I3650" i="66"/>
  <c r="H3650" i="66"/>
  <c r="G3650" i="66"/>
  <c r="E3650" i="66"/>
  <c r="I3649" i="66"/>
  <c r="H3649" i="66"/>
  <c r="G3649" i="66"/>
  <c r="E3649" i="66"/>
  <c r="I3648" i="66"/>
  <c r="H3648" i="66"/>
  <c r="G3648" i="66"/>
  <c r="E3648" i="66"/>
  <c r="I3647" i="66"/>
  <c r="H3647" i="66"/>
  <c r="G3647" i="66"/>
  <c r="E3647" i="66"/>
  <c r="I3646" i="66"/>
  <c r="H3646" i="66"/>
  <c r="G3646" i="66"/>
  <c r="E3646" i="66"/>
  <c r="I3645" i="66"/>
  <c r="H3645" i="66"/>
  <c r="G3645" i="66"/>
  <c r="E3645" i="66"/>
  <c r="I3644" i="66"/>
  <c r="H3644" i="66"/>
  <c r="G3644" i="66"/>
  <c r="E3644" i="66"/>
  <c r="I3643" i="66"/>
  <c r="H3643" i="66"/>
  <c r="G3643" i="66"/>
  <c r="E3643" i="66"/>
  <c r="I3642" i="66"/>
  <c r="H3642" i="66"/>
  <c r="D3642" i="66" s="1"/>
  <c r="G3642" i="66"/>
  <c r="E3642" i="66"/>
  <c r="I3641" i="66"/>
  <c r="H3641" i="66"/>
  <c r="G3641" i="66"/>
  <c r="E3641" i="66"/>
  <c r="I3640" i="66"/>
  <c r="H3640" i="66"/>
  <c r="G3640" i="66"/>
  <c r="E3640" i="66"/>
  <c r="I3639" i="66"/>
  <c r="H3639" i="66"/>
  <c r="G3639" i="66"/>
  <c r="E3639" i="66"/>
  <c r="I3638" i="66"/>
  <c r="H3638" i="66"/>
  <c r="G3638" i="66"/>
  <c r="D3638" i="66" s="1"/>
  <c r="E3638" i="66"/>
  <c r="I3637" i="66"/>
  <c r="H3637" i="66"/>
  <c r="G3637" i="66"/>
  <c r="E3637" i="66"/>
  <c r="I3636" i="66"/>
  <c r="H3636" i="66"/>
  <c r="G3636" i="66"/>
  <c r="E3636" i="66"/>
  <c r="I3635" i="66"/>
  <c r="H3635" i="66"/>
  <c r="G3635" i="66"/>
  <c r="E3635" i="66"/>
  <c r="I3634" i="66"/>
  <c r="H3634" i="66"/>
  <c r="G3634" i="66"/>
  <c r="E3634" i="66"/>
  <c r="I3633" i="66"/>
  <c r="H3633" i="66"/>
  <c r="G3633" i="66"/>
  <c r="E3633" i="66"/>
  <c r="I3632" i="66"/>
  <c r="H3632" i="66"/>
  <c r="G3632" i="66"/>
  <c r="E3632" i="66"/>
  <c r="I3631" i="66"/>
  <c r="H3631" i="66"/>
  <c r="G3631" i="66"/>
  <c r="E3631" i="66"/>
  <c r="I3630" i="66"/>
  <c r="H3630" i="66"/>
  <c r="D3630" i="66" s="1"/>
  <c r="G3630" i="66"/>
  <c r="E3630" i="66"/>
  <c r="I3629" i="66"/>
  <c r="H3629" i="66"/>
  <c r="G3629" i="66"/>
  <c r="E3629" i="66"/>
  <c r="I3628" i="66"/>
  <c r="H3628" i="66"/>
  <c r="G3628" i="66"/>
  <c r="E3628" i="66"/>
  <c r="I3627" i="66"/>
  <c r="H3627" i="66"/>
  <c r="G3627" i="66"/>
  <c r="E3627" i="66"/>
  <c r="I3626" i="66"/>
  <c r="H3626" i="66"/>
  <c r="G3626" i="66"/>
  <c r="E3626" i="66"/>
  <c r="I3625" i="66"/>
  <c r="H3625" i="66"/>
  <c r="G3625" i="66"/>
  <c r="E3625" i="66"/>
  <c r="I3624" i="66"/>
  <c r="H3624" i="66"/>
  <c r="D3624" i="66" s="1"/>
  <c r="G3624" i="66"/>
  <c r="E3624" i="66"/>
  <c r="I3623" i="66"/>
  <c r="H3623" i="66"/>
  <c r="G3623" i="66"/>
  <c r="E3623" i="66"/>
  <c r="I3622" i="66"/>
  <c r="H3622" i="66"/>
  <c r="G3622" i="66"/>
  <c r="E3622" i="66"/>
  <c r="I3621" i="66"/>
  <c r="H3621" i="66"/>
  <c r="G3621" i="66"/>
  <c r="E3621" i="66"/>
  <c r="I3620" i="66"/>
  <c r="H3620" i="66"/>
  <c r="G3620" i="66"/>
  <c r="E3620" i="66"/>
  <c r="I3619" i="66"/>
  <c r="H3619" i="66"/>
  <c r="G3619" i="66"/>
  <c r="E3619" i="66"/>
  <c r="I3618" i="66"/>
  <c r="H3618" i="66"/>
  <c r="G3618" i="66"/>
  <c r="E3618" i="66"/>
  <c r="I3617" i="66"/>
  <c r="H3617" i="66"/>
  <c r="G3617" i="66"/>
  <c r="E3617" i="66"/>
  <c r="I3616" i="66"/>
  <c r="H3616" i="66"/>
  <c r="G3616" i="66"/>
  <c r="E3616" i="66"/>
  <c r="I3615" i="66"/>
  <c r="H3615" i="66"/>
  <c r="G3615" i="66"/>
  <c r="E3615" i="66"/>
  <c r="I3614" i="66"/>
  <c r="H3614" i="66"/>
  <c r="G3614" i="66"/>
  <c r="E3614" i="66"/>
  <c r="I3613" i="66"/>
  <c r="H3613" i="66"/>
  <c r="G3613" i="66"/>
  <c r="D3613" i="66" s="1"/>
  <c r="E3613" i="66"/>
  <c r="I3612" i="66"/>
  <c r="H3612" i="66"/>
  <c r="G3612" i="66"/>
  <c r="E3612" i="66"/>
  <c r="I3611" i="66"/>
  <c r="H3611" i="66"/>
  <c r="G3611" i="66"/>
  <c r="E3611" i="66"/>
  <c r="I3610" i="66"/>
  <c r="H3610" i="66"/>
  <c r="G3610" i="66"/>
  <c r="E3610" i="66"/>
  <c r="I3609" i="66"/>
  <c r="H3609" i="66"/>
  <c r="G3609" i="66"/>
  <c r="E3609" i="66"/>
  <c r="I3608" i="66"/>
  <c r="H3608" i="66"/>
  <c r="G3608" i="66"/>
  <c r="D3608" i="66" s="1"/>
  <c r="E3608" i="66"/>
  <c r="I3607" i="66"/>
  <c r="H3607" i="66"/>
  <c r="G3607" i="66"/>
  <c r="E3607" i="66"/>
  <c r="I3606" i="66"/>
  <c r="H3606" i="66"/>
  <c r="G3606" i="66"/>
  <c r="E3606" i="66"/>
  <c r="I3605" i="66"/>
  <c r="H3605" i="66"/>
  <c r="G3605" i="66"/>
  <c r="E3605" i="66"/>
  <c r="I3604" i="66"/>
  <c r="H3604" i="66"/>
  <c r="G3604" i="66"/>
  <c r="E3604" i="66"/>
  <c r="I3603" i="66"/>
  <c r="H3603" i="66"/>
  <c r="G3603" i="66"/>
  <c r="E3603" i="66"/>
  <c r="I3602" i="66"/>
  <c r="H3602" i="66"/>
  <c r="G3602" i="66"/>
  <c r="D3602" i="66" s="1"/>
  <c r="E3602" i="66"/>
  <c r="I3601" i="66"/>
  <c r="H3601" i="66"/>
  <c r="G3601" i="66"/>
  <c r="E3601" i="66"/>
  <c r="I3600" i="66"/>
  <c r="H3600" i="66"/>
  <c r="G3600" i="66"/>
  <c r="E3600" i="66"/>
  <c r="I3599" i="66"/>
  <c r="H3599" i="66"/>
  <c r="G3599" i="66"/>
  <c r="E3599" i="66"/>
  <c r="I3598" i="66"/>
  <c r="H3598" i="66"/>
  <c r="G3598" i="66"/>
  <c r="E3598" i="66"/>
  <c r="I3597" i="66"/>
  <c r="H3597" i="66"/>
  <c r="G3597" i="66"/>
  <c r="E3597" i="66"/>
  <c r="I3596" i="66"/>
  <c r="H3596" i="66"/>
  <c r="G3596" i="66"/>
  <c r="E3596" i="66"/>
  <c r="I3595" i="66"/>
  <c r="H3595" i="66"/>
  <c r="G3595" i="66"/>
  <c r="E3595" i="66"/>
  <c r="I3594" i="66"/>
  <c r="H3594" i="66"/>
  <c r="G3594" i="66"/>
  <c r="E3594" i="66"/>
  <c r="I3593" i="66"/>
  <c r="H3593" i="66"/>
  <c r="G3593" i="66"/>
  <c r="D3593" i="66" s="1"/>
  <c r="E3593" i="66"/>
  <c r="I3592" i="66"/>
  <c r="H3592" i="66"/>
  <c r="G3592" i="66"/>
  <c r="E3592" i="66"/>
  <c r="I3591" i="66"/>
  <c r="H3591" i="66"/>
  <c r="G3591" i="66"/>
  <c r="E3591" i="66"/>
  <c r="I3590" i="66"/>
  <c r="H3590" i="66"/>
  <c r="G3590" i="66"/>
  <c r="E3590" i="66"/>
  <c r="I3589" i="66"/>
  <c r="H3589" i="66"/>
  <c r="G3589" i="66"/>
  <c r="E3589" i="66"/>
  <c r="I3588" i="66"/>
  <c r="H3588" i="66"/>
  <c r="G3588" i="66"/>
  <c r="E3588" i="66"/>
  <c r="I3587" i="66"/>
  <c r="H3587" i="66"/>
  <c r="G3587" i="66"/>
  <c r="D3587" i="66" s="1"/>
  <c r="E3587" i="66"/>
  <c r="I3586" i="66"/>
  <c r="H3586" i="66"/>
  <c r="G3586" i="66"/>
  <c r="E3586" i="66"/>
  <c r="I3585" i="66"/>
  <c r="H3585" i="66"/>
  <c r="G3585" i="66"/>
  <c r="E3585" i="66"/>
  <c r="I3584" i="66"/>
  <c r="H3584" i="66"/>
  <c r="G3584" i="66"/>
  <c r="E3584" i="66"/>
  <c r="I3583" i="66"/>
  <c r="H3583" i="66"/>
  <c r="G3583" i="66"/>
  <c r="E3583" i="66"/>
  <c r="I3582" i="66"/>
  <c r="H3582" i="66"/>
  <c r="D3582" i="66" s="1"/>
  <c r="G3582" i="66"/>
  <c r="E3582" i="66"/>
  <c r="I3581" i="66"/>
  <c r="H3581" i="66"/>
  <c r="G3581" i="66"/>
  <c r="E3581" i="66"/>
  <c r="I3580" i="66"/>
  <c r="H3580" i="66"/>
  <c r="G3580" i="66"/>
  <c r="E3580" i="66"/>
  <c r="I3579" i="66"/>
  <c r="H3579" i="66"/>
  <c r="G3579" i="66"/>
  <c r="E3579" i="66"/>
  <c r="I3578" i="66"/>
  <c r="H3578" i="66"/>
  <c r="G3578" i="66"/>
  <c r="E3578" i="66"/>
  <c r="I3577" i="66"/>
  <c r="H3577" i="66"/>
  <c r="G3577" i="66"/>
  <c r="E3577" i="66"/>
  <c r="I3576" i="66"/>
  <c r="H3576" i="66"/>
  <c r="G3576" i="66"/>
  <c r="E3576" i="66"/>
  <c r="I3575" i="66"/>
  <c r="H3575" i="66"/>
  <c r="G3575" i="66"/>
  <c r="E3575" i="66"/>
  <c r="I3574" i="66"/>
  <c r="H3574" i="66"/>
  <c r="G3574" i="66"/>
  <c r="E3574" i="66"/>
  <c r="I3573" i="66"/>
  <c r="H3573" i="66"/>
  <c r="G3573" i="66"/>
  <c r="E3573" i="66"/>
  <c r="I3572" i="66"/>
  <c r="H3572" i="66"/>
  <c r="G3572" i="66"/>
  <c r="E3572" i="66"/>
  <c r="I3571" i="66"/>
  <c r="H3571" i="66"/>
  <c r="G3571" i="66"/>
  <c r="E3571" i="66"/>
  <c r="I3570" i="66"/>
  <c r="H3570" i="66"/>
  <c r="G3570" i="66"/>
  <c r="E3570" i="66"/>
  <c r="I3569" i="66"/>
  <c r="H3569" i="66"/>
  <c r="G3569" i="66"/>
  <c r="E3569" i="66"/>
  <c r="I3568" i="66"/>
  <c r="H3568" i="66"/>
  <c r="G3568" i="66"/>
  <c r="E3568" i="66"/>
  <c r="I3567" i="66"/>
  <c r="H3567" i="66"/>
  <c r="G3567" i="66"/>
  <c r="E3567" i="66"/>
  <c r="I3566" i="66"/>
  <c r="H3566" i="66"/>
  <c r="G3566" i="66"/>
  <c r="E3566" i="66"/>
  <c r="I3565" i="66"/>
  <c r="H3565" i="66"/>
  <c r="G3565" i="66"/>
  <c r="E3565" i="66"/>
  <c r="I3564" i="66"/>
  <c r="H3564" i="66"/>
  <c r="G3564" i="66"/>
  <c r="E3564" i="66"/>
  <c r="I3563" i="66"/>
  <c r="H3563" i="66"/>
  <c r="G3563" i="66"/>
  <c r="D3563" i="66" s="1"/>
  <c r="E3563" i="66"/>
  <c r="I3562" i="66"/>
  <c r="H3562" i="66"/>
  <c r="G3562" i="66"/>
  <c r="E3562" i="66"/>
  <c r="I3561" i="66"/>
  <c r="H3561" i="66"/>
  <c r="G3561" i="66"/>
  <c r="E3561" i="66"/>
  <c r="I3560" i="66"/>
  <c r="H3560" i="66"/>
  <c r="G3560" i="66"/>
  <c r="E3560" i="66"/>
  <c r="I3559" i="66"/>
  <c r="H3559" i="66"/>
  <c r="G3559" i="66"/>
  <c r="E3559" i="66"/>
  <c r="I3558" i="66"/>
  <c r="H3558" i="66"/>
  <c r="G3558" i="66"/>
  <c r="E3558" i="66"/>
  <c r="I3557" i="66"/>
  <c r="H3557" i="66"/>
  <c r="G3557" i="66"/>
  <c r="E3557" i="66"/>
  <c r="I3556" i="66"/>
  <c r="H3556" i="66"/>
  <c r="G3556" i="66"/>
  <c r="E3556" i="66"/>
  <c r="I3555" i="66"/>
  <c r="H3555" i="66"/>
  <c r="G3555" i="66"/>
  <c r="E3555" i="66"/>
  <c r="I3554" i="66"/>
  <c r="H3554" i="66"/>
  <c r="G3554" i="66"/>
  <c r="E3554" i="66"/>
  <c r="I3553" i="66"/>
  <c r="H3553" i="66"/>
  <c r="G3553" i="66"/>
  <c r="E3553" i="66"/>
  <c r="I3552" i="66"/>
  <c r="H3552" i="66"/>
  <c r="G3552" i="66"/>
  <c r="E3552" i="66"/>
  <c r="I3551" i="66"/>
  <c r="H3551" i="66"/>
  <c r="G3551" i="66"/>
  <c r="E3551" i="66"/>
  <c r="I3550" i="66"/>
  <c r="H3550" i="66"/>
  <c r="G3550" i="66"/>
  <c r="E3550" i="66"/>
  <c r="I3549" i="66"/>
  <c r="H3549" i="66"/>
  <c r="G3549" i="66"/>
  <c r="E3549" i="66"/>
  <c r="I3548" i="66"/>
  <c r="H3548" i="66"/>
  <c r="G3548" i="66"/>
  <c r="D3548" i="66" s="1"/>
  <c r="E3548" i="66"/>
  <c r="I3547" i="66"/>
  <c r="H3547" i="66"/>
  <c r="G3547" i="66"/>
  <c r="E3547" i="66"/>
  <c r="I3546" i="66"/>
  <c r="H3546" i="66"/>
  <c r="G3546" i="66"/>
  <c r="E3546" i="66"/>
  <c r="I3545" i="66"/>
  <c r="H3545" i="66"/>
  <c r="G3545" i="66"/>
  <c r="E3545" i="66"/>
  <c r="I3544" i="66"/>
  <c r="H3544" i="66"/>
  <c r="G3544" i="66"/>
  <c r="D3544" i="66" s="1"/>
  <c r="E3544" i="66"/>
  <c r="I3543" i="66"/>
  <c r="H3543" i="66"/>
  <c r="G3543" i="66"/>
  <c r="E3543" i="66"/>
  <c r="I3542" i="66"/>
  <c r="H3542" i="66"/>
  <c r="G3542" i="66"/>
  <c r="D3542" i="66" s="1"/>
  <c r="E3542" i="66"/>
  <c r="I3541" i="66"/>
  <c r="H3541" i="66"/>
  <c r="G3541" i="66"/>
  <c r="E3541" i="66"/>
  <c r="I3540" i="66"/>
  <c r="H3540" i="66"/>
  <c r="D3540" i="66" s="1"/>
  <c r="G3540" i="66"/>
  <c r="E3540" i="66"/>
  <c r="I3539" i="66"/>
  <c r="H3539" i="66"/>
  <c r="G3539" i="66"/>
  <c r="E3539" i="66"/>
  <c r="I3538" i="66"/>
  <c r="H3538" i="66"/>
  <c r="G3538" i="66"/>
  <c r="E3538" i="66"/>
  <c r="I3537" i="66"/>
  <c r="H3537" i="66"/>
  <c r="G3537" i="66"/>
  <c r="E3537" i="66"/>
  <c r="I3536" i="66"/>
  <c r="H3536" i="66"/>
  <c r="G3536" i="66"/>
  <c r="E3536" i="66"/>
  <c r="I3535" i="66"/>
  <c r="H3535" i="66"/>
  <c r="G3535" i="66"/>
  <c r="E3535" i="66"/>
  <c r="I3534" i="66"/>
  <c r="H3534" i="66"/>
  <c r="G3534" i="66"/>
  <c r="E3534" i="66"/>
  <c r="I3533" i="66"/>
  <c r="H3533" i="66"/>
  <c r="G3533" i="66"/>
  <c r="E3533" i="66"/>
  <c r="I3532" i="66"/>
  <c r="H3532" i="66"/>
  <c r="G3532" i="66"/>
  <c r="E3532" i="66"/>
  <c r="I3531" i="66"/>
  <c r="H3531" i="66"/>
  <c r="G3531" i="66"/>
  <c r="E3531" i="66"/>
  <c r="I3530" i="66"/>
  <c r="H3530" i="66"/>
  <c r="G3530" i="66"/>
  <c r="D3530" i="66" s="1"/>
  <c r="E3530" i="66"/>
  <c r="I3529" i="66"/>
  <c r="H3529" i="66"/>
  <c r="G3529" i="66"/>
  <c r="E3529" i="66"/>
  <c r="I3528" i="66"/>
  <c r="H3528" i="66"/>
  <c r="G3528" i="66"/>
  <c r="E3528" i="66"/>
  <c r="I3527" i="66"/>
  <c r="H3527" i="66"/>
  <c r="G3527" i="66"/>
  <c r="E3527" i="66"/>
  <c r="I3526" i="66"/>
  <c r="H3526" i="66"/>
  <c r="G3526" i="66"/>
  <c r="E3526" i="66"/>
  <c r="I3525" i="66"/>
  <c r="H3525" i="66"/>
  <c r="G3525" i="66"/>
  <c r="E3525" i="66"/>
  <c r="I3524" i="66"/>
  <c r="H3524" i="66"/>
  <c r="G3524" i="66"/>
  <c r="E3524" i="66"/>
  <c r="I3523" i="66"/>
  <c r="H3523" i="66"/>
  <c r="G3523" i="66"/>
  <c r="E3523" i="66"/>
  <c r="I3522" i="66"/>
  <c r="H3522" i="66"/>
  <c r="G3522" i="66"/>
  <c r="E3522" i="66"/>
  <c r="I3521" i="66"/>
  <c r="H3521" i="66"/>
  <c r="G3521" i="66"/>
  <c r="E3521" i="66"/>
  <c r="I3520" i="66"/>
  <c r="H3520" i="66"/>
  <c r="G3520" i="66"/>
  <c r="E3520" i="66"/>
  <c r="I3519" i="66"/>
  <c r="H3519" i="66"/>
  <c r="G3519" i="66"/>
  <c r="E3519" i="66"/>
  <c r="I3518" i="66"/>
  <c r="H3518" i="66"/>
  <c r="G3518" i="66"/>
  <c r="E3518" i="66"/>
  <c r="I3517" i="66"/>
  <c r="H3517" i="66"/>
  <c r="G3517" i="66"/>
  <c r="D3517" i="66" s="1"/>
  <c r="E3517" i="66"/>
  <c r="I3516" i="66"/>
  <c r="H3516" i="66"/>
  <c r="D3516" i="66" s="1"/>
  <c r="G3516" i="66"/>
  <c r="E3516" i="66"/>
  <c r="I3515" i="66"/>
  <c r="H3515" i="66"/>
  <c r="G3515" i="66"/>
  <c r="E3515" i="66"/>
  <c r="I3514" i="66"/>
  <c r="H3514" i="66"/>
  <c r="G3514" i="66"/>
  <c r="E3514" i="66"/>
  <c r="I3513" i="66"/>
  <c r="H3513" i="66"/>
  <c r="G3513" i="66"/>
  <c r="E3513" i="66"/>
  <c r="I3512" i="66"/>
  <c r="H3512" i="66"/>
  <c r="G3512" i="66"/>
  <c r="E3512" i="66"/>
  <c r="I3511" i="66"/>
  <c r="H3511" i="66"/>
  <c r="G3511" i="66"/>
  <c r="E3511" i="66"/>
  <c r="I3510" i="66"/>
  <c r="H3510" i="66"/>
  <c r="D3510" i="66" s="1"/>
  <c r="G3510" i="66"/>
  <c r="E3510" i="66"/>
  <c r="I3509" i="66"/>
  <c r="H3509" i="66"/>
  <c r="G3509" i="66"/>
  <c r="E3509" i="66"/>
  <c r="I3508" i="66"/>
  <c r="H3508" i="66"/>
  <c r="G3508" i="66"/>
  <c r="D3508" i="66" s="1"/>
  <c r="E3508" i="66"/>
  <c r="I3507" i="66"/>
  <c r="H3507" i="66"/>
  <c r="G3507" i="66"/>
  <c r="E3507" i="66"/>
  <c r="I3506" i="66"/>
  <c r="H3506" i="66"/>
  <c r="G3506" i="66"/>
  <c r="E3506" i="66"/>
  <c r="I3505" i="66"/>
  <c r="H3505" i="66"/>
  <c r="G3505" i="66"/>
  <c r="E3505" i="66"/>
  <c r="I3504" i="66"/>
  <c r="H3504" i="66"/>
  <c r="D3504" i="66" s="1"/>
  <c r="G3504" i="66"/>
  <c r="E3504" i="66"/>
  <c r="I3503" i="66"/>
  <c r="H3503" i="66"/>
  <c r="G3503" i="66"/>
  <c r="E3503" i="66"/>
  <c r="I3502" i="66"/>
  <c r="D3502" i="66" s="1"/>
  <c r="H3502" i="66"/>
  <c r="G3502" i="66"/>
  <c r="E3502" i="66"/>
  <c r="I3501" i="66"/>
  <c r="H3501" i="66"/>
  <c r="G3501" i="66"/>
  <c r="E3501" i="66"/>
  <c r="I3500" i="66"/>
  <c r="H3500" i="66"/>
  <c r="G3500" i="66"/>
  <c r="E3500" i="66"/>
  <c r="I3499" i="66"/>
  <c r="H3499" i="66"/>
  <c r="G3499" i="66"/>
  <c r="E3499" i="66"/>
  <c r="I3498" i="66"/>
  <c r="H3498" i="66"/>
  <c r="G3498" i="66"/>
  <c r="E3498" i="66"/>
  <c r="I3497" i="66"/>
  <c r="H3497" i="66"/>
  <c r="G3497" i="66"/>
  <c r="E3497" i="66"/>
  <c r="I3496" i="66"/>
  <c r="H3496" i="66"/>
  <c r="G3496" i="66"/>
  <c r="E3496" i="66"/>
  <c r="I3495" i="66"/>
  <c r="H3495" i="66"/>
  <c r="G3495" i="66"/>
  <c r="E3495" i="66"/>
  <c r="I3494" i="66"/>
  <c r="H3494" i="66"/>
  <c r="G3494" i="66"/>
  <c r="E3494" i="66"/>
  <c r="I3493" i="66"/>
  <c r="H3493" i="66"/>
  <c r="G3493" i="66"/>
  <c r="E3493" i="66"/>
  <c r="I3492" i="66"/>
  <c r="H3492" i="66"/>
  <c r="G3492" i="66"/>
  <c r="E3492" i="66"/>
  <c r="I3491" i="66"/>
  <c r="H3491" i="66"/>
  <c r="G3491" i="66"/>
  <c r="D3491" i="66" s="1"/>
  <c r="E3491" i="66"/>
  <c r="I3490" i="66"/>
  <c r="H3490" i="66"/>
  <c r="G3490" i="66"/>
  <c r="E3490" i="66"/>
  <c r="I3489" i="66"/>
  <c r="H3489" i="66"/>
  <c r="G3489" i="66"/>
  <c r="E3489" i="66"/>
  <c r="I3488" i="66"/>
  <c r="H3488" i="66"/>
  <c r="G3488" i="66"/>
  <c r="D3488" i="66" s="1"/>
  <c r="E3488" i="66"/>
  <c r="I3487" i="66"/>
  <c r="H3487" i="66"/>
  <c r="G3487" i="66"/>
  <c r="E3487" i="66"/>
  <c r="I3486" i="66"/>
  <c r="H3486" i="66"/>
  <c r="G3486" i="66"/>
  <c r="E3486" i="66"/>
  <c r="I3485" i="66"/>
  <c r="H3485" i="66"/>
  <c r="G3485" i="66"/>
  <c r="E3485" i="66"/>
  <c r="I3484" i="66"/>
  <c r="H3484" i="66"/>
  <c r="G3484" i="66"/>
  <c r="E3484" i="66"/>
  <c r="I3483" i="66"/>
  <c r="H3483" i="66"/>
  <c r="G3483" i="66"/>
  <c r="E3483" i="66"/>
  <c r="I3482" i="66"/>
  <c r="H3482" i="66"/>
  <c r="G3482" i="66"/>
  <c r="E3482" i="66"/>
  <c r="I3481" i="66"/>
  <c r="H3481" i="66"/>
  <c r="G3481" i="66"/>
  <c r="E3481" i="66"/>
  <c r="I3480" i="66"/>
  <c r="H3480" i="66"/>
  <c r="D3480" i="66" s="1"/>
  <c r="G3480" i="66"/>
  <c r="E3480" i="66"/>
  <c r="I3479" i="66"/>
  <c r="H3479" i="66"/>
  <c r="G3479" i="66"/>
  <c r="E3479" i="66"/>
  <c r="I3478" i="66"/>
  <c r="H3478" i="66"/>
  <c r="G3478" i="66"/>
  <c r="E3478" i="66"/>
  <c r="I3477" i="66"/>
  <c r="H3477" i="66"/>
  <c r="G3477" i="66"/>
  <c r="E3477" i="66"/>
  <c r="I3476" i="66"/>
  <c r="H3476" i="66"/>
  <c r="G3476" i="66"/>
  <c r="E3476" i="66"/>
  <c r="I3475" i="66"/>
  <c r="H3475" i="66"/>
  <c r="G3475" i="66"/>
  <c r="E3475" i="66"/>
  <c r="I3474" i="66"/>
  <c r="H3474" i="66"/>
  <c r="G3474" i="66"/>
  <c r="E3474" i="66"/>
  <c r="I3473" i="66"/>
  <c r="H3473" i="66"/>
  <c r="G3473" i="66"/>
  <c r="D3473" i="66" s="1"/>
  <c r="E3473" i="66"/>
  <c r="I3472" i="66"/>
  <c r="H3472" i="66"/>
  <c r="G3472" i="66"/>
  <c r="E3472" i="66"/>
  <c r="I3471" i="66"/>
  <c r="H3471" i="66"/>
  <c r="G3471" i="66"/>
  <c r="E3471" i="66"/>
  <c r="I3470" i="66"/>
  <c r="H3470" i="66"/>
  <c r="G3470" i="66"/>
  <c r="E3470" i="66"/>
  <c r="I3469" i="66"/>
  <c r="H3469" i="66"/>
  <c r="G3469" i="66"/>
  <c r="E3469" i="66"/>
  <c r="I3468" i="66"/>
  <c r="H3468" i="66"/>
  <c r="D3468" i="66" s="1"/>
  <c r="G3468" i="66"/>
  <c r="E3468" i="66"/>
  <c r="I3467" i="66"/>
  <c r="H3467" i="66"/>
  <c r="G3467" i="66"/>
  <c r="D3467" i="66" s="1"/>
  <c r="E3467" i="66"/>
  <c r="I3466" i="66"/>
  <c r="H3466" i="66"/>
  <c r="G3466" i="66"/>
  <c r="E3466" i="66"/>
  <c r="I3465" i="66"/>
  <c r="H3465" i="66"/>
  <c r="G3465" i="66"/>
  <c r="E3465" i="66"/>
  <c r="I3464" i="66"/>
  <c r="H3464" i="66"/>
  <c r="G3464" i="66"/>
  <c r="E3464" i="66"/>
  <c r="I3463" i="66"/>
  <c r="H3463" i="66"/>
  <c r="G3463" i="66"/>
  <c r="E3463" i="66"/>
  <c r="I3462" i="66"/>
  <c r="H3462" i="66"/>
  <c r="G3462" i="66"/>
  <c r="E3462" i="66"/>
  <c r="I3461" i="66"/>
  <c r="H3461" i="66"/>
  <c r="G3461" i="66"/>
  <c r="D3461" i="66" s="1"/>
  <c r="E3461" i="66"/>
  <c r="I3460" i="66"/>
  <c r="H3460" i="66"/>
  <c r="G3460" i="66"/>
  <c r="E3460" i="66"/>
  <c r="I3459" i="66"/>
  <c r="H3459" i="66"/>
  <c r="G3459" i="66"/>
  <c r="E3459" i="66"/>
  <c r="I3458" i="66"/>
  <c r="H3458" i="66"/>
  <c r="G3458" i="66"/>
  <c r="E3458" i="66"/>
  <c r="I3457" i="66"/>
  <c r="H3457" i="66"/>
  <c r="G3457" i="66"/>
  <c r="E3457" i="66"/>
  <c r="I3456" i="66"/>
  <c r="H3456" i="66"/>
  <c r="D3456" i="66" s="1"/>
  <c r="G3456" i="66"/>
  <c r="E3456" i="66"/>
  <c r="I3455" i="66"/>
  <c r="H3455" i="66"/>
  <c r="G3455" i="66"/>
  <c r="E3455" i="66"/>
  <c r="I3454" i="66"/>
  <c r="H3454" i="66"/>
  <c r="G3454" i="66"/>
  <c r="E3454" i="66"/>
  <c r="I3453" i="66"/>
  <c r="H3453" i="66"/>
  <c r="G3453" i="66"/>
  <c r="E3453" i="66"/>
  <c r="I3452" i="66"/>
  <c r="H3452" i="66"/>
  <c r="G3452" i="66"/>
  <c r="E3452" i="66"/>
  <c r="I3451" i="66"/>
  <c r="H3451" i="66"/>
  <c r="G3451" i="66"/>
  <c r="E3451" i="66"/>
  <c r="I3450" i="66"/>
  <c r="H3450" i="66"/>
  <c r="G3450" i="66"/>
  <c r="E3450" i="66"/>
  <c r="I3449" i="66"/>
  <c r="H3449" i="66"/>
  <c r="G3449" i="66"/>
  <c r="D3449" i="66" s="1"/>
  <c r="E3449" i="66"/>
  <c r="I3448" i="66"/>
  <c r="H3448" i="66"/>
  <c r="G3448" i="66"/>
  <c r="E3448" i="66"/>
  <c r="I3447" i="66"/>
  <c r="H3447" i="66"/>
  <c r="G3447" i="66"/>
  <c r="E3447" i="66"/>
  <c r="I3446" i="66"/>
  <c r="H3446" i="66"/>
  <c r="G3446" i="66"/>
  <c r="E3446" i="66"/>
  <c r="I3445" i="66"/>
  <c r="H3445" i="66"/>
  <c r="G3445" i="66"/>
  <c r="E3445" i="66"/>
  <c r="I3444" i="66"/>
  <c r="H3444" i="66"/>
  <c r="G3444" i="66"/>
  <c r="E3444" i="66"/>
  <c r="I3443" i="66"/>
  <c r="H3443" i="66"/>
  <c r="G3443" i="66"/>
  <c r="E3443" i="66"/>
  <c r="I3442" i="66"/>
  <c r="H3442" i="66"/>
  <c r="G3442" i="66"/>
  <c r="E3442" i="66"/>
  <c r="I3441" i="66"/>
  <c r="H3441" i="66"/>
  <c r="G3441" i="66"/>
  <c r="E3441" i="66"/>
  <c r="I3440" i="66"/>
  <c r="H3440" i="66"/>
  <c r="G3440" i="66"/>
  <c r="E3440" i="66"/>
  <c r="I3439" i="66"/>
  <c r="H3439" i="66"/>
  <c r="G3439" i="66"/>
  <c r="E3439" i="66"/>
  <c r="I3438" i="66"/>
  <c r="H3438" i="66"/>
  <c r="D3438" i="66" s="1"/>
  <c r="G3438" i="66"/>
  <c r="E3438" i="66"/>
  <c r="I3437" i="66"/>
  <c r="H3437" i="66"/>
  <c r="G3437" i="66"/>
  <c r="D3437" i="66" s="1"/>
  <c r="E3437" i="66"/>
  <c r="I3436" i="66"/>
  <c r="H3436" i="66"/>
  <c r="G3436" i="66"/>
  <c r="E3436" i="66"/>
  <c r="I3435" i="66"/>
  <c r="H3435" i="66"/>
  <c r="D3435" i="66" s="1"/>
  <c r="G3435" i="66"/>
  <c r="E3435" i="66"/>
  <c r="I3434" i="66"/>
  <c r="H3434" i="66"/>
  <c r="G3434" i="66"/>
  <c r="E3434" i="66"/>
  <c r="I3433" i="66"/>
  <c r="H3433" i="66"/>
  <c r="G3433" i="66"/>
  <c r="E3433" i="66"/>
  <c r="I3432" i="66"/>
  <c r="H3432" i="66"/>
  <c r="D3432" i="66" s="1"/>
  <c r="G3432" i="66"/>
  <c r="E3432" i="66"/>
  <c r="I3431" i="66"/>
  <c r="H3431" i="66"/>
  <c r="G3431" i="66"/>
  <c r="E3431" i="66"/>
  <c r="I3430" i="66"/>
  <c r="H3430" i="66"/>
  <c r="G3430" i="66"/>
  <c r="E3430" i="66"/>
  <c r="I3429" i="66"/>
  <c r="H3429" i="66"/>
  <c r="D3429" i="66" s="1"/>
  <c r="G3429" i="66"/>
  <c r="E3429" i="66"/>
  <c r="I3428" i="66"/>
  <c r="H3428" i="66"/>
  <c r="G3428" i="66"/>
  <c r="E3428" i="66"/>
  <c r="I3427" i="66"/>
  <c r="H3427" i="66"/>
  <c r="G3427" i="66"/>
  <c r="E3427" i="66"/>
  <c r="I3426" i="66"/>
  <c r="H3426" i="66"/>
  <c r="G3426" i="66"/>
  <c r="E3426" i="66"/>
  <c r="I3425" i="66"/>
  <c r="H3425" i="66"/>
  <c r="G3425" i="66"/>
  <c r="D3425" i="66" s="1"/>
  <c r="E3425" i="66"/>
  <c r="I3424" i="66"/>
  <c r="H3424" i="66"/>
  <c r="G3424" i="66"/>
  <c r="E3424" i="66"/>
  <c r="I3423" i="66"/>
  <c r="H3423" i="66"/>
  <c r="G3423" i="66"/>
  <c r="E3423" i="66"/>
  <c r="I3422" i="66"/>
  <c r="H3422" i="66"/>
  <c r="G3422" i="66"/>
  <c r="E3422" i="66"/>
  <c r="I3421" i="66"/>
  <c r="H3421" i="66"/>
  <c r="G3421" i="66"/>
  <c r="E3421" i="66"/>
  <c r="I3420" i="66"/>
  <c r="H3420" i="66"/>
  <c r="G3420" i="66"/>
  <c r="E3420" i="66"/>
  <c r="I3419" i="66"/>
  <c r="H3419" i="66"/>
  <c r="G3419" i="66"/>
  <c r="E3419" i="66"/>
  <c r="I3418" i="66"/>
  <c r="D3418" i="66" s="1"/>
  <c r="H3418" i="66"/>
  <c r="G3418" i="66"/>
  <c r="E3418" i="66"/>
  <c r="I3417" i="66"/>
  <c r="H3417" i="66"/>
  <c r="G3417" i="66"/>
  <c r="E3417" i="66"/>
  <c r="I3416" i="66"/>
  <c r="H3416" i="66"/>
  <c r="G3416" i="66"/>
  <c r="E3416" i="66"/>
  <c r="I3415" i="66"/>
  <c r="H3415" i="66"/>
  <c r="G3415" i="66"/>
  <c r="E3415" i="66"/>
  <c r="I3414" i="66"/>
  <c r="H3414" i="66"/>
  <c r="G3414" i="66"/>
  <c r="E3414" i="66"/>
  <c r="I3413" i="66"/>
  <c r="H3413" i="66"/>
  <c r="G3413" i="66"/>
  <c r="E3413" i="66"/>
  <c r="I3412" i="66"/>
  <c r="H3412" i="66"/>
  <c r="G3412" i="66"/>
  <c r="E3412" i="66"/>
  <c r="I3411" i="66"/>
  <c r="H3411" i="66"/>
  <c r="D3411" i="66" s="1"/>
  <c r="G3411" i="66"/>
  <c r="E3411" i="66"/>
  <c r="I3410" i="66"/>
  <c r="H3410" i="66"/>
  <c r="G3410" i="66"/>
  <c r="E3410" i="66"/>
  <c r="I3409" i="66"/>
  <c r="H3409" i="66"/>
  <c r="G3409" i="66"/>
  <c r="E3409" i="66"/>
  <c r="I3408" i="66"/>
  <c r="H3408" i="66"/>
  <c r="D3408" i="66" s="1"/>
  <c r="G3408" i="66"/>
  <c r="E3408" i="66"/>
  <c r="I3407" i="66"/>
  <c r="H3407" i="66"/>
  <c r="G3407" i="66"/>
  <c r="E3407" i="66"/>
  <c r="I3406" i="66"/>
  <c r="H3406" i="66"/>
  <c r="G3406" i="66"/>
  <c r="E3406" i="66"/>
  <c r="I3405" i="66"/>
  <c r="H3405" i="66"/>
  <c r="G3405" i="66"/>
  <c r="E3405" i="66"/>
  <c r="I3404" i="66"/>
  <c r="H3404" i="66"/>
  <c r="G3404" i="66"/>
  <c r="E3404" i="66"/>
  <c r="I3403" i="66"/>
  <c r="H3403" i="66"/>
  <c r="G3403" i="66"/>
  <c r="E3403" i="66"/>
  <c r="I3402" i="66"/>
  <c r="H3402" i="66"/>
  <c r="D3402" i="66" s="1"/>
  <c r="G3402" i="66"/>
  <c r="E3402" i="66"/>
  <c r="I3401" i="66"/>
  <c r="H3401" i="66"/>
  <c r="G3401" i="66"/>
  <c r="D3401" i="66" s="1"/>
  <c r="E3401" i="66"/>
  <c r="I3400" i="66"/>
  <c r="H3400" i="66"/>
  <c r="G3400" i="66"/>
  <c r="E3400" i="66"/>
  <c r="I3399" i="66"/>
  <c r="H3399" i="66"/>
  <c r="D3399" i="66" s="1"/>
  <c r="G3399" i="66"/>
  <c r="E3399" i="66"/>
  <c r="I3398" i="66"/>
  <c r="H3398" i="66"/>
  <c r="G3398" i="66"/>
  <c r="E3398" i="66"/>
  <c r="I3397" i="66"/>
  <c r="H3397" i="66"/>
  <c r="G3397" i="66"/>
  <c r="E3397" i="66"/>
  <c r="I3396" i="66"/>
  <c r="H3396" i="66"/>
  <c r="G3396" i="66"/>
  <c r="E3396" i="66"/>
  <c r="I3395" i="66"/>
  <c r="H3395" i="66"/>
  <c r="G3395" i="66"/>
  <c r="E3395" i="66"/>
  <c r="I3394" i="66"/>
  <c r="H3394" i="66"/>
  <c r="G3394" i="66"/>
  <c r="E3394" i="66"/>
  <c r="I3393" i="66"/>
  <c r="H3393" i="66"/>
  <c r="D3393" i="66" s="1"/>
  <c r="G3393" i="66"/>
  <c r="E3393" i="66"/>
  <c r="I3392" i="66"/>
  <c r="H3392" i="66"/>
  <c r="G3392" i="66"/>
  <c r="E3392" i="66"/>
  <c r="I3391" i="66"/>
  <c r="H3391" i="66"/>
  <c r="G3391" i="66"/>
  <c r="E3391" i="66"/>
  <c r="I3390" i="66"/>
  <c r="H3390" i="66"/>
  <c r="G3390" i="66"/>
  <c r="E3390" i="66"/>
  <c r="I3389" i="66"/>
  <c r="H3389" i="66"/>
  <c r="G3389" i="66"/>
  <c r="E3389" i="66"/>
  <c r="I3388" i="66"/>
  <c r="H3388" i="66"/>
  <c r="G3388" i="66"/>
  <c r="E3388" i="66"/>
  <c r="I3387" i="66"/>
  <c r="H3387" i="66"/>
  <c r="G3387" i="66"/>
  <c r="E3387" i="66"/>
  <c r="I3386" i="66"/>
  <c r="H3386" i="66"/>
  <c r="G3386" i="66"/>
  <c r="E3386" i="66"/>
  <c r="I3385" i="66"/>
  <c r="H3385" i="66"/>
  <c r="G3385" i="66"/>
  <c r="E3385" i="66"/>
  <c r="I3384" i="66"/>
  <c r="H3384" i="66"/>
  <c r="D3384" i="66" s="1"/>
  <c r="G3384" i="66"/>
  <c r="E3384" i="66"/>
  <c r="I3383" i="66"/>
  <c r="H3383" i="66"/>
  <c r="G3383" i="66"/>
  <c r="E3383" i="66"/>
  <c r="I3382" i="66"/>
  <c r="D3382" i="66" s="1"/>
  <c r="H3382" i="66"/>
  <c r="G3382" i="66"/>
  <c r="E3382" i="66"/>
  <c r="I3381" i="66"/>
  <c r="H3381" i="66"/>
  <c r="D3381" i="66" s="1"/>
  <c r="G3381" i="66"/>
  <c r="E3381" i="66"/>
  <c r="I3380" i="66"/>
  <c r="H3380" i="66"/>
  <c r="G3380" i="66"/>
  <c r="E3380" i="66"/>
  <c r="I3379" i="66"/>
  <c r="H3379" i="66"/>
  <c r="G3379" i="66"/>
  <c r="E3379" i="66"/>
  <c r="I3378" i="66"/>
  <c r="H3378" i="66"/>
  <c r="G3378" i="66"/>
  <c r="E3378" i="66"/>
  <c r="I3377" i="66"/>
  <c r="H3377" i="66"/>
  <c r="G3377" i="66"/>
  <c r="E3377" i="66"/>
  <c r="I3376" i="66"/>
  <c r="H3376" i="66"/>
  <c r="G3376" i="66"/>
  <c r="E3376" i="66"/>
  <c r="I3375" i="66"/>
  <c r="H3375" i="66"/>
  <c r="D3375" i="66" s="1"/>
  <c r="G3375" i="66"/>
  <c r="E3375" i="66"/>
  <c r="I3374" i="66"/>
  <c r="H3374" i="66"/>
  <c r="G3374" i="66"/>
  <c r="E3374" i="66"/>
  <c r="I3373" i="66"/>
  <c r="H3373" i="66"/>
  <c r="G3373" i="66"/>
  <c r="E3373" i="66"/>
  <c r="I3372" i="66"/>
  <c r="H3372" i="66"/>
  <c r="G3372" i="66"/>
  <c r="E3372" i="66"/>
  <c r="I3371" i="66"/>
  <c r="H3371" i="66"/>
  <c r="G3371" i="66"/>
  <c r="E3371" i="66"/>
  <c r="I3370" i="66"/>
  <c r="H3370" i="66"/>
  <c r="G3370" i="66"/>
  <c r="E3370" i="66"/>
  <c r="I3369" i="66"/>
  <c r="H3369" i="66"/>
  <c r="G3369" i="66"/>
  <c r="E3369" i="66"/>
  <c r="I3368" i="66"/>
  <c r="H3368" i="66"/>
  <c r="G3368" i="66"/>
  <c r="E3368" i="66"/>
  <c r="I3367" i="66"/>
  <c r="H3367" i="66"/>
  <c r="G3367" i="66"/>
  <c r="E3367" i="66"/>
  <c r="I3366" i="66"/>
  <c r="H3366" i="66"/>
  <c r="D3366" i="66" s="1"/>
  <c r="G3366" i="66"/>
  <c r="E3366" i="66"/>
  <c r="I3365" i="66"/>
  <c r="H3365" i="66"/>
  <c r="G3365" i="66"/>
  <c r="E3365" i="66"/>
  <c r="I3364" i="66"/>
  <c r="H3364" i="66"/>
  <c r="G3364" i="66"/>
  <c r="E3364" i="66"/>
  <c r="I3363" i="66"/>
  <c r="H3363" i="66"/>
  <c r="D3363" i="66" s="1"/>
  <c r="G3363" i="66"/>
  <c r="E3363" i="66"/>
  <c r="I3362" i="66"/>
  <c r="H3362" i="66"/>
  <c r="G3362" i="66"/>
  <c r="E3362" i="66"/>
  <c r="I3361" i="66"/>
  <c r="H3361" i="66"/>
  <c r="G3361" i="66"/>
  <c r="E3361" i="66"/>
  <c r="I3360" i="66"/>
  <c r="H3360" i="66"/>
  <c r="G3360" i="66"/>
  <c r="E3360" i="66"/>
  <c r="I3359" i="66"/>
  <c r="H3359" i="66"/>
  <c r="G3359" i="66"/>
  <c r="E3359" i="66"/>
  <c r="I3358" i="66"/>
  <c r="H3358" i="66"/>
  <c r="G3358" i="66"/>
  <c r="E3358" i="66"/>
  <c r="I3357" i="66"/>
  <c r="H3357" i="66"/>
  <c r="G3357" i="66"/>
  <c r="E3357" i="66"/>
  <c r="I3356" i="66"/>
  <c r="H3356" i="66"/>
  <c r="G3356" i="66"/>
  <c r="E3356" i="66"/>
  <c r="I3355" i="66"/>
  <c r="H3355" i="66"/>
  <c r="G3355" i="66"/>
  <c r="E3355" i="66"/>
  <c r="I3354" i="66"/>
  <c r="H3354" i="66"/>
  <c r="G3354" i="66"/>
  <c r="D3354" i="66" s="1"/>
  <c r="E3354" i="66"/>
  <c r="I3353" i="66"/>
  <c r="H3353" i="66"/>
  <c r="G3353" i="66"/>
  <c r="E3353" i="66"/>
  <c r="I3352" i="66"/>
  <c r="H3352" i="66"/>
  <c r="G3352" i="66"/>
  <c r="E3352" i="66"/>
  <c r="I3351" i="66"/>
  <c r="H3351" i="66"/>
  <c r="D3351" i="66" s="1"/>
  <c r="G3351" i="66"/>
  <c r="E3351" i="66"/>
  <c r="I3350" i="66"/>
  <c r="H3350" i="66"/>
  <c r="G3350" i="66"/>
  <c r="E3350" i="66"/>
  <c r="I3349" i="66"/>
  <c r="H3349" i="66"/>
  <c r="G3349" i="66"/>
  <c r="E3349" i="66"/>
  <c r="I3348" i="66"/>
  <c r="H3348" i="66"/>
  <c r="G3348" i="66"/>
  <c r="E3348" i="66"/>
  <c r="I3347" i="66"/>
  <c r="H3347" i="66"/>
  <c r="G3347" i="66"/>
  <c r="D3347" i="66" s="1"/>
  <c r="E3347" i="66"/>
  <c r="I3346" i="66"/>
  <c r="H3346" i="66"/>
  <c r="G3346" i="66"/>
  <c r="E3346" i="66"/>
  <c r="I3345" i="66"/>
  <c r="H3345" i="66"/>
  <c r="G3345" i="66"/>
  <c r="E3345" i="66"/>
  <c r="I3344" i="66"/>
  <c r="H3344" i="66"/>
  <c r="G3344" i="66"/>
  <c r="E3344" i="66"/>
  <c r="I3343" i="66"/>
  <c r="H3343" i="66"/>
  <c r="G3343" i="66"/>
  <c r="E3343" i="66"/>
  <c r="I3342" i="66"/>
  <c r="H3342" i="66"/>
  <c r="G3342" i="66"/>
  <c r="E3342" i="66"/>
  <c r="I3341" i="66"/>
  <c r="H3341" i="66"/>
  <c r="G3341" i="66"/>
  <c r="E3341" i="66"/>
  <c r="I3340" i="66"/>
  <c r="H3340" i="66"/>
  <c r="G3340" i="66"/>
  <c r="E3340" i="66"/>
  <c r="I3339" i="66"/>
  <c r="H3339" i="66"/>
  <c r="D3339" i="66" s="1"/>
  <c r="G3339" i="66"/>
  <c r="E3339" i="66"/>
  <c r="I3338" i="66"/>
  <c r="H3338" i="66"/>
  <c r="G3338" i="66"/>
  <c r="E3338" i="66"/>
  <c r="I3337" i="66"/>
  <c r="D3337" i="66" s="1"/>
  <c r="H3337" i="66"/>
  <c r="G3337" i="66"/>
  <c r="E3337" i="66"/>
  <c r="I3336" i="66"/>
  <c r="H3336" i="66"/>
  <c r="D3336" i="66" s="1"/>
  <c r="G3336" i="66"/>
  <c r="E3336" i="66"/>
  <c r="I3335" i="66"/>
  <c r="H3335" i="66"/>
  <c r="G3335" i="66"/>
  <c r="E3335" i="66"/>
  <c r="I3334" i="66"/>
  <c r="H3334" i="66"/>
  <c r="G3334" i="66"/>
  <c r="E3334" i="66"/>
  <c r="I3333" i="66"/>
  <c r="H3333" i="66"/>
  <c r="D3333" i="66" s="1"/>
  <c r="G3333" i="66"/>
  <c r="E3333" i="66"/>
  <c r="I3332" i="66"/>
  <c r="H3332" i="66"/>
  <c r="G3332" i="66"/>
  <c r="E3332" i="66"/>
  <c r="I3331" i="66"/>
  <c r="H3331" i="66"/>
  <c r="G3331" i="66"/>
  <c r="E3331" i="66"/>
  <c r="I3330" i="66"/>
  <c r="H3330" i="66"/>
  <c r="G3330" i="66"/>
  <c r="D3330" i="66" s="1"/>
  <c r="E3330" i="66"/>
  <c r="I3329" i="66"/>
  <c r="H3329" i="66"/>
  <c r="G3329" i="66"/>
  <c r="E3329" i="66"/>
  <c r="I3328" i="66"/>
  <c r="H3328" i="66"/>
  <c r="G3328" i="66"/>
  <c r="E3328" i="66"/>
  <c r="I3327" i="66"/>
  <c r="H3327" i="66"/>
  <c r="G3327" i="66"/>
  <c r="E3327" i="66"/>
  <c r="I3326" i="66"/>
  <c r="H3326" i="66"/>
  <c r="G3326" i="66"/>
  <c r="E3326" i="66"/>
  <c r="I3325" i="66"/>
  <c r="H3325" i="66"/>
  <c r="G3325" i="66"/>
  <c r="E3325" i="66"/>
  <c r="I3324" i="66"/>
  <c r="H3324" i="66"/>
  <c r="G3324" i="66"/>
  <c r="E3324" i="66"/>
  <c r="I3323" i="66"/>
  <c r="H3323" i="66"/>
  <c r="G3323" i="66"/>
  <c r="D3323" i="66" s="1"/>
  <c r="E3323" i="66"/>
  <c r="I3322" i="66"/>
  <c r="H3322" i="66"/>
  <c r="G3322" i="66"/>
  <c r="E3322" i="66"/>
  <c r="I3321" i="66"/>
  <c r="H3321" i="66"/>
  <c r="G3321" i="66"/>
  <c r="E3321" i="66"/>
  <c r="I3320" i="66"/>
  <c r="H3320" i="66"/>
  <c r="G3320" i="66"/>
  <c r="E3320" i="66"/>
  <c r="I3319" i="66"/>
  <c r="H3319" i="66"/>
  <c r="G3319" i="66"/>
  <c r="E3319" i="66"/>
  <c r="I3318" i="66"/>
  <c r="H3318" i="66"/>
  <c r="G3318" i="66"/>
  <c r="E3318" i="66"/>
  <c r="I3317" i="66"/>
  <c r="H3317" i="66"/>
  <c r="G3317" i="66"/>
  <c r="E3317" i="66"/>
  <c r="I3316" i="66"/>
  <c r="H3316" i="66"/>
  <c r="G3316" i="66"/>
  <c r="E3316" i="66"/>
  <c r="I3315" i="66"/>
  <c r="H3315" i="66"/>
  <c r="G3315" i="66"/>
  <c r="D3315" i="66" s="1"/>
  <c r="E3315" i="66"/>
  <c r="I3314" i="66"/>
  <c r="H3314" i="66"/>
  <c r="G3314" i="66"/>
  <c r="E3314" i="66"/>
  <c r="I3313" i="66"/>
  <c r="H3313" i="66"/>
  <c r="G3313" i="66"/>
  <c r="E3313" i="66"/>
  <c r="I3312" i="66"/>
  <c r="H3312" i="66"/>
  <c r="G3312" i="66"/>
  <c r="E3312" i="66"/>
  <c r="I3311" i="66"/>
  <c r="H3311" i="66"/>
  <c r="G3311" i="66"/>
  <c r="E3311" i="66"/>
  <c r="I3310" i="66"/>
  <c r="H3310" i="66"/>
  <c r="G3310" i="66"/>
  <c r="E3310" i="66"/>
  <c r="I3309" i="66"/>
  <c r="H3309" i="66"/>
  <c r="D3309" i="66" s="1"/>
  <c r="G3309" i="66"/>
  <c r="E3309" i="66"/>
  <c r="I3308" i="66"/>
  <c r="H3308" i="66"/>
  <c r="G3308" i="66"/>
  <c r="E3308" i="66"/>
  <c r="I3307" i="66"/>
  <c r="H3307" i="66"/>
  <c r="G3307" i="66"/>
  <c r="E3307" i="66"/>
  <c r="I3306" i="66"/>
  <c r="H3306" i="66"/>
  <c r="D3306" i="66" s="1"/>
  <c r="G3306" i="66"/>
  <c r="E3306" i="66"/>
  <c r="I3305" i="66"/>
  <c r="H3305" i="66"/>
  <c r="G3305" i="66"/>
  <c r="D3305" i="66" s="1"/>
  <c r="E3305" i="66"/>
  <c r="I3304" i="66"/>
  <c r="H3304" i="66"/>
  <c r="G3304" i="66"/>
  <c r="E3304" i="66"/>
  <c r="I3303" i="66"/>
  <c r="H3303" i="66"/>
  <c r="G3303" i="66"/>
  <c r="E3303" i="66"/>
  <c r="I3302" i="66"/>
  <c r="H3302" i="66"/>
  <c r="G3302" i="66"/>
  <c r="E3302" i="66"/>
  <c r="I3301" i="66"/>
  <c r="H3301" i="66"/>
  <c r="G3301" i="66"/>
  <c r="E3301" i="66"/>
  <c r="I3300" i="66"/>
  <c r="H3300" i="66"/>
  <c r="G3300" i="66"/>
  <c r="D3300" i="66" s="1"/>
  <c r="E3300" i="66"/>
  <c r="I3299" i="66"/>
  <c r="H3299" i="66"/>
  <c r="G3299" i="66"/>
  <c r="D3299" i="66" s="1"/>
  <c r="E3299" i="66"/>
  <c r="I3298" i="66"/>
  <c r="H3298" i="66"/>
  <c r="G3298" i="66"/>
  <c r="E3298" i="66"/>
  <c r="I3297" i="66"/>
  <c r="H3297" i="66"/>
  <c r="G3297" i="66"/>
  <c r="D3297" i="66" s="1"/>
  <c r="E3297" i="66"/>
  <c r="I3296" i="66"/>
  <c r="H3296" i="66"/>
  <c r="G3296" i="66"/>
  <c r="E3296" i="66"/>
  <c r="I3295" i="66"/>
  <c r="H3295" i="66"/>
  <c r="G3295" i="66"/>
  <c r="E3295" i="66"/>
  <c r="I3294" i="66"/>
  <c r="H3294" i="66"/>
  <c r="D3294" i="66" s="1"/>
  <c r="G3294" i="66"/>
  <c r="E3294" i="66"/>
  <c r="I3293" i="66"/>
  <c r="H3293" i="66"/>
  <c r="G3293" i="66"/>
  <c r="E3293" i="66"/>
  <c r="I3292" i="66"/>
  <c r="H3292" i="66"/>
  <c r="G3292" i="66"/>
  <c r="E3292" i="66"/>
  <c r="I3291" i="66"/>
  <c r="H3291" i="66"/>
  <c r="G3291" i="66"/>
  <c r="E3291" i="66"/>
  <c r="I3290" i="66"/>
  <c r="H3290" i="66"/>
  <c r="G3290" i="66"/>
  <c r="E3290" i="66"/>
  <c r="I3289" i="66"/>
  <c r="H3289" i="66"/>
  <c r="G3289" i="66"/>
  <c r="E3289" i="66"/>
  <c r="I3288" i="66"/>
  <c r="H3288" i="66"/>
  <c r="G3288" i="66"/>
  <c r="E3288" i="66"/>
  <c r="I3287" i="66"/>
  <c r="H3287" i="66"/>
  <c r="G3287" i="66"/>
  <c r="E3287" i="66"/>
  <c r="I3286" i="66"/>
  <c r="H3286" i="66"/>
  <c r="G3286" i="66"/>
  <c r="E3286" i="66"/>
  <c r="I3285" i="66"/>
  <c r="H3285" i="66"/>
  <c r="D3285" i="66" s="1"/>
  <c r="G3285" i="66"/>
  <c r="E3285" i="66"/>
  <c r="I3284" i="66"/>
  <c r="H3284" i="66"/>
  <c r="G3284" i="66"/>
  <c r="E3284" i="66"/>
  <c r="I3283" i="66"/>
  <c r="H3283" i="66"/>
  <c r="G3283" i="66"/>
  <c r="E3283" i="66"/>
  <c r="I3282" i="66"/>
  <c r="H3282" i="66"/>
  <c r="G3282" i="66"/>
  <c r="E3282" i="66"/>
  <c r="I3281" i="66"/>
  <c r="H3281" i="66"/>
  <c r="G3281" i="66"/>
  <c r="E3281" i="66"/>
  <c r="I3280" i="66"/>
  <c r="H3280" i="66"/>
  <c r="G3280" i="66"/>
  <c r="E3280" i="66"/>
  <c r="I3279" i="66"/>
  <c r="H3279" i="66"/>
  <c r="G3279" i="66"/>
  <c r="E3279" i="66"/>
  <c r="I3278" i="66"/>
  <c r="H3278" i="66"/>
  <c r="G3278" i="66"/>
  <c r="E3278" i="66"/>
  <c r="I3277" i="66"/>
  <c r="H3277" i="66"/>
  <c r="G3277" i="66"/>
  <c r="E3277" i="66"/>
  <c r="I3276" i="66"/>
  <c r="H3276" i="66"/>
  <c r="G3276" i="66"/>
  <c r="E3276" i="66"/>
  <c r="I3275" i="66"/>
  <c r="H3275" i="66"/>
  <c r="G3275" i="66"/>
  <c r="E3275" i="66"/>
  <c r="I3274" i="66"/>
  <c r="H3274" i="66"/>
  <c r="G3274" i="66"/>
  <c r="E3274" i="66"/>
  <c r="I3273" i="66"/>
  <c r="H3273" i="66"/>
  <c r="D3273" i="66" s="1"/>
  <c r="G3273" i="66"/>
  <c r="E3273" i="66"/>
  <c r="I3272" i="66"/>
  <c r="H3272" i="66"/>
  <c r="G3272" i="66"/>
  <c r="D3272" i="66" s="1"/>
  <c r="E3272" i="66"/>
  <c r="I3271" i="66"/>
  <c r="H3271" i="66"/>
  <c r="G3271" i="66"/>
  <c r="E3271" i="66"/>
  <c r="I3270" i="66"/>
  <c r="H3270" i="66"/>
  <c r="G3270" i="66"/>
  <c r="E3270" i="66"/>
  <c r="I3269" i="66"/>
  <c r="H3269" i="66"/>
  <c r="G3269" i="66"/>
  <c r="D3269" i="66" s="1"/>
  <c r="E3269" i="66"/>
  <c r="I3268" i="66"/>
  <c r="H3268" i="66"/>
  <c r="G3268" i="66"/>
  <c r="E3268" i="66"/>
  <c r="I3267" i="66"/>
  <c r="H3267" i="66"/>
  <c r="G3267" i="66"/>
  <c r="E3267" i="66"/>
  <c r="I3266" i="66"/>
  <c r="H3266" i="66"/>
  <c r="G3266" i="66"/>
  <c r="E3266" i="66"/>
  <c r="I3265" i="66"/>
  <c r="H3265" i="66"/>
  <c r="G3265" i="66"/>
  <c r="E3265" i="66"/>
  <c r="I3264" i="66"/>
  <c r="H3264" i="66"/>
  <c r="G3264" i="66"/>
  <c r="E3264" i="66"/>
  <c r="I3263" i="66"/>
  <c r="H3263" i="66"/>
  <c r="G3263" i="66"/>
  <c r="E3263" i="66"/>
  <c r="I3262" i="66"/>
  <c r="H3262" i="66"/>
  <c r="G3262" i="66"/>
  <c r="E3262" i="66"/>
  <c r="I3261" i="66"/>
  <c r="H3261" i="66"/>
  <c r="D3261" i="66" s="1"/>
  <c r="G3261" i="66"/>
  <c r="E3261" i="66"/>
  <c r="I3260" i="66"/>
  <c r="H3260" i="66"/>
  <c r="G3260" i="66"/>
  <c r="E3260" i="66"/>
  <c r="I3259" i="66"/>
  <c r="H3259" i="66"/>
  <c r="G3259" i="66"/>
  <c r="E3259" i="66"/>
  <c r="I3258" i="66"/>
  <c r="H3258" i="66"/>
  <c r="G3258" i="66"/>
  <c r="E3258" i="66"/>
  <c r="I3257" i="66"/>
  <c r="H3257" i="66"/>
  <c r="G3257" i="66"/>
  <c r="E3257" i="66"/>
  <c r="I3256" i="66"/>
  <c r="H3256" i="66"/>
  <c r="G3256" i="66"/>
  <c r="E3256" i="66"/>
  <c r="I3255" i="66"/>
  <c r="H3255" i="66"/>
  <c r="G3255" i="66"/>
  <c r="E3255" i="66"/>
  <c r="I3254" i="66"/>
  <c r="H3254" i="66"/>
  <c r="G3254" i="66"/>
  <c r="E3254" i="66"/>
  <c r="I3253" i="66"/>
  <c r="H3253" i="66"/>
  <c r="G3253" i="66"/>
  <c r="E3253" i="66"/>
  <c r="I3252" i="66"/>
  <c r="H3252" i="66"/>
  <c r="G3252" i="66"/>
  <c r="E3252" i="66"/>
  <c r="I3251" i="66"/>
  <c r="H3251" i="66"/>
  <c r="G3251" i="66"/>
  <c r="D3251" i="66" s="1"/>
  <c r="E3251" i="66"/>
  <c r="I3250" i="66"/>
  <c r="H3250" i="66"/>
  <c r="G3250" i="66"/>
  <c r="E3250" i="66"/>
  <c r="I3249" i="66"/>
  <c r="H3249" i="66"/>
  <c r="D3249" i="66" s="1"/>
  <c r="G3249" i="66"/>
  <c r="E3249" i="66"/>
  <c r="I3248" i="66"/>
  <c r="H3248" i="66"/>
  <c r="G3248" i="66"/>
  <c r="D3248" i="66" s="1"/>
  <c r="E3248" i="66"/>
  <c r="I3247" i="66"/>
  <c r="H3247" i="66"/>
  <c r="G3247" i="66"/>
  <c r="E3247" i="66"/>
  <c r="I3246" i="66"/>
  <c r="H3246" i="66"/>
  <c r="G3246" i="66"/>
  <c r="E3246" i="66"/>
  <c r="I3245" i="66"/>
  <c r="H3245" i="66"/>
  <c r="G3245" i="66"/>
  <c r="E3245" i="66"/>
  <c r="I3244" i="66"/>
  <c r="H3244" i="66"/>
  <c r="G3244" i="66"/>
  <c r="E3244" i="66"/>
  <c r="I3243" i="66"/>
  <c r="H3243" i="66"/>
  <c r="G3243" i="66"/>
  <c r="D3243" i="66" s="1"/>
  <c r="E3243" i="66"/>
  <c r="I3242" i="66"/>
  <c r="H3242" i="66"/>
  <c r="G3242" i="66"/>
  <c r="E3242" i="66"/>
  <c r="I3241" i="66"/>
  <c r="H3241" i="66"/>
  <c r="G3241" i="66"/>
  <c r="E3241" i="66"/>
  <c r="I3240" i="66"/>
  <c r="H3240" i="66"/>
  <c r="G3240" i="66"/>
  <c r="E3240" i="66"/>
  <c r="I3239" i="66"/>
  <c r="H3239" i="66"/>
  <c r="G3239" i="66"/>
  <c r="E3239" i="66"/>
  <c r="I3238" i="66"/>
  <c r="H3238" i="66"/>
  <c r="G3238" i="66"/>
  <c r="E3238" i="66"/>
  <c r="I3237" i="66"/>
  <c r="H3237" i="66"/>
  <c r="D3237" i="66" s="1"/>
  <c r="G3237" i="66"/>
  <c r="E3237" i="66"/>
  <c r="I3236" i="66"/>
  <c r="H3236" i="66"/>
  <c r="G3236" i="66"/>
  <c r="E3236" i="66"/>
  <c r="I3235" i="66"/>
  <c r="H3235" i="66"/>
  <c r="G3235" i="66"/>
  <c r="E3235" i="66"/>
  <c r="I3234" i="66"/>
  <c r="H3234" i="66"/>
  <c r="G3234" i="66"/>
  <c r="E3234" i="66"/>
  <c r="I3233" i="66"/>
  <c r="H3233" i="66"/>
  <c r="G3233" i="66"/>
  <c r="D3233" i="66" s="1"/>
  <c r="E3233" i="66"/>
  <c r="I3232" i="66"/>
  <c r="H3232" i="66"/>
  <c r="G3232" i="66"/>
  <c r="E3232" i="66"/>
  <c r="I3231" i="66"/>
  <c r="H3231" i="66"/>
  <c r="G3231" i="66"/>
  <c r="E3231" i="66"/>
  <c r="I3230" i="66"/>
  <c r="H3230" i="66"/>
  <c r="G3230" i="66"/>
  <c r="E3230" i="66"/>
  <c r="I3229" i="66"/>
  <c r="D3229" i="66" s="1"/>
  <c r="H3229" i="66"/>
  <c r="G3229" i="66"/>
  <c r="E3229" i="66"/>
  <c r="I3228" i="66"/>
  <c r="H3228" i="66"/>
  <c r="G3228" i="66"/>
  <c r="E3228" i="66"/>
  <c r="I3227" i="66"/>
  <c r="H3227" i="66"/>
  <c r="G3227" i="66"/>
  <c r="E3227" i="66"/>
  <c r="I3226" i="66"/>
  <c r="H3226" i="66"/>
  <c r="G3226" i="66"/>
  <c r="E3226" i="66"/>
  <c r="I3225" i="66"/>
  <c r="H3225" i="66"/>
  <c r="D3225" i="66" s="1"/>
  <c r="G3225" i="66"/>
  <c r="E3225" i="66"/>
  <c r="I3224" i="66"/>
  <c r="H3224" i="66"/>
  <c r="G3224" i="66"/>
  <c r="D3224" i="66" s="1"/>
  <c r="E3224" i="66"/>
  <c r="I3223" i="66"/>
  <c r="H3223" i="66"/>
  <c r="G3223" i="66"/>
  <c r="E3223" i="66"/>
  <c r="I3222" i="66"/>
  <c r="H3222" i="66"/>
  <c r="G3222" i="66"/>
  <c r="E3222" i="66"/>
  <c r="I3221" i="66"/>
  <c r="H3221" i="66"/>
  <c r="G3221" i="66"/>
  <c r="E3221" i="66"/>
  <c r="I3220" i="66"/>
  <c r="H3220" i="66"/>
  <c r="G3220" i="66"/>
  <c r="E3220" i="66"/>
  <c r="I3219" i="66"/>
  <c r="H3219" i="66"/>
  <c r="G3219" i="66"/>
  <c r="E3219" i="66"/>
  <c r="I3218" i="66"/>
  <c r="H3218" i="66"/>
  <c r="G3218" i="66"/>
  <c r="E3218" i="66"/>
  <c r="I3217" i="66"/>
  <c r="H3217" i="66"/>
  <c r="G3217" i="66"/>
  <c r="E3217" i="66"/>
  <c r="I3216" i="66"/>
  <c r="H3216" i="66"/>
  <c r="G3216" i="66"/>
  <c r="E3216" i="66"/>
  <c r="I3215" i="66"/>
  <c r="H3215" i="66"/>
  <c r="G3215" i="66"/>
  <c r="E3215" i="66"/>
  <c r="I3214" i="66"/>
  <c r="H3214" i="66"/>
  <c r="G3214" i="66"/>
  <c r="E3214" i="66"/>
  <c r="I3213" i="66"/>
  <c r="H3213" i="66"/>
  <c r="G3213" i="66"/>
  <c r="D3213" i="66" s="1"/>
  <c r="E3213" i="66"/>
  <c r="I3212" i="66"/>
  <c r="H3212" i="66"/>
  <c r="G3212" i="66"/>
  <c r="E3212" i="66"/>
  <c r="I3211" i="66"/>
  <c r="H3211" i="66"/>
  <c r="G3211" i="66"/>
  <c r="E3211" i="66"/>
  <c r="I3210" i="66"/>
  <c r="H3210" i="66"/>
  <c r="G3210" i="66"/>
  <c r="E3210" i="66"/>
  <c r="I3209" i="66"/>
  <c r="H3209" i="66"/>
  <c r="G3209" i="66"/>
  <c r="E3209" i="66"/>
  <c r="I3208" i="66"/>
  <c r="H3208" i="66"/>
  <c r="G3208" i="66"/>
  <c r="E3208" i="66"/>
  <c r="I3207" i="66"/>
  <c r="H3207" i="66"/>
  <c r="G3207" i="66"/>
  <c r="D3207" i="66" s="1"/>
  <c r="E3207" i="66"/>
  <c r="I3206" i="66"/>
  <c r="H3206" i="66"/>
  <c r="G3206" i="66"/>
  <c r="D3206" i="66" s="1"/>
  <c r="E3206" i="66"/>
  <c r="I3205" i="66"/>
  <c r="H3205" i="66"/>
  <c r="G3205" i="66"/>
  <c r="E3205" i="66"/>
  <c r="I3204" i="66"/>
  <c r="H3204" i="66"/>
  <c r="G3204" i="66"/>
  <c r="D3204" i="66" s="1"/>
  <c r="E3204" i="66"/>
  <c r="I3203" i="66"/>
  <c r="H3203" i="66"/>
  <c r="G3203" i="66"/>
  <c r="E3203" i="66"/>
  <c r="I3202" i="66"/>
  <c r="H3202" i="66"/>
  <c r="G3202" i="66"/>
  <c r="E3202" i="66"/>
  <c r="I3201" i="66"/>
  <c r="H3201" i="66"/>
  <c r="G3201" i="66"/>
  <c r="D3201" i="66" s="1"/>
  <c r="E3201" i="66"/>
  <c r="I3200" i="66"/>
  <c r="H3200" i="66"/>
  <c r="G3200" i="66"/>
  <c r="E3200" i="66"/>
  <c r="I3199" i="66"/>
  <c r="H3199" i="66"/>
  <c r="G3199" i="66"/>
  <c r="E3199" i="66"/>
  <c r="I3198" i="66"/>
  <c r="H3198" i="66"/>
  <c r="G3198" i="66"/>
  <c r="D3198" i="66" s="1"/>
  <c r="E3198" i="66"/>
  <c r="I3197" i="66"/>
  <c r="H3197" i="66"/>
  <c r="G3197" i="66"/>
  <c r="D3197" i="66" s="1"/>
  <c r="E3197" i="66"/>
  <c r="I3196" i="66"/>
  <c r="H3196" i="66"/>
  <c r="G3196" i="66"/>
  <c r="E3196" i="66"/>
  <c r="I3195" i="66"/>
  <c r="H3195" i="66"/>
  <c r="G3195" i="66"/>
  <c r="D3195" i="66" s="1"/>
  <c r="E3195" i="66"/>
  <c r="I3194" i="66"/>
  <c r="H3194" i="66"/>
  <c r="G3194" i="66"/>
  <c r="E3194" i="66"/>
  <c r="I3193" i="66"/>
  <c r="H3193" i="66"/>
  <c r="G3193" i="66"/>
  <c r="E3193" i="66"/>
  <c r="I3192" i="66"/>
  <c r="H3192" i="66"/>
  <c r="G3192" i="66"/>
  <c r="E3192" i="66"/>
  <c r="I3191" i="66"/>
  <c r="H3191" i="66"/>
  <c r="G3191" i="66"/>
  <c r="E3191" i="66"/>
  <c r="I3190" i="66"/>
  <c r="H3190" i="66"/>
  <c r="G3190" i="66"/>
  <c r="E3190" i="66"/>
  <c r="I3189" i="66"/>
  <c r="H3189" i="66"/>
  <c r="G3189" i="66"/>
  <c r="D3189" i="66" s="1"/>
  <c r="E3189" i="66"/>
  <c r="I3188" i="66"/>
  <c r="H3188" i="66"/>
  <c r="G3188" i="66"/>
  <c r="D3188" i="66" s="1"/>
  <c r="E3188" i="66"/>
  <c r="I3187" i="66"/>
  <c r="H3187" i="66"/>
  <c r="G3187" i="66"/>
  <c r="E3187" i="66"/>
  <c r="I3186" i="66"/>
  <c r="H3186" i="66"/>
  <c r="G3186" i="66"/>
  <c r="D3186" i="66" s="1"/>
  <c r="E3186" i="66"/>
  <c r="I3185" i="66"/>
  <c r="H3185" i="66"/>
  <c r="G3185" i="66"/>
  <c r="D3185" i="66" s="1"/>
  <c r="E3185" i="66"/>
  <c r="I3184" i="66"/>
  <c r="H3184" i="66"/>
  <c r="G3184" i="66"/>
  <c r="E3184" i="66"/>
  <c r="I3183" i="66"/>
  <c r="H3183" i="66"/>
  <c r="G3183" i="66"/>
  <c r="D3183" i="66" s="1"/>
  <c r="E3183" i="66"/>
  <c r="I3182" i="66"/>
  <c r="H3182" i="66"/>
  <c r="G3182" i="66"/>
  <c r="E3182" i="66"/>
  <c r="I3181" i="66"/>
  <c r="H3181" i="66"/>
  <c r="G3181" i="66"/>
  <c r="E3181" i="66"/>
  <c r="I3180" i="66"/>
  <c r="H3180" i="66"/>
  <c r="G3180" i="66"/>
  <c r="D3180" i="66" s="1"/>
  <c r="E3180" i="66"/>
  <c r="I3179" i="66"/>
  <c r="H3179" i="66"/>
  <c r="G3179" i="66"/>
  <c r="E3179" i="66"/>
  <c r="I3178" i="66"/>
  <c r="H3178" i="66"/>
  <c r="G3178" i="66"/>
  <c r="E3178" i="66"/>
  <c r="I3177" i="66"/>
  <c r="H3177" i="66"/>
  <c r="G3177" i="66"/>
  <c r="E3177" i="66"/>
  <c r="I3176" i="66"/>
  <c r="H3176" i="66"/>
  <c r="G3176" i="66"/>
  <c r="E3176" i="66"/>
  <c r="I3175" i="66"/>
  <c r="H3175" i="66"/>
  <c r="G3175" i="66"/>
  <c r="E3175" i="66"/>
  <c r="I3174" i="66"/>
  <c r="H3174" i="66"/>
  <c r="G3174" i="66"/>
  <c r="D3174" i="66" s="1"/>
  <c r="E3174" i="66"/>
  <c r="I3173" i="66"/>
  <c r="H3173" i="66"/>
  <c r="G3173" i="66"/>
  <c r="D3173" i="66" s="1"/>
  <c r="E3173" i="66"/>
  <c r="I3172" i="66"/>
  <c r="H3172" i="66"/>
  <c r="G3172" i="66"/>
  <c r="E3172" i="66"/>
  <c r="I3171" i="66"/>
  <c r="H3171" i="66"/>
  <c r="G3171" i="66"/>
  <c r="D3171" i="66" s="1"/>
  <c r="E3171" i="66"/>
  <c r="I3170" i="66"/>
  <c r="H3170" i="66"/>
  <c r="G3170" i="66"/>
  <c r="E3170" i="66"/>
  <c r="I3169" i="66"/>
  <c r="H3169" i="66"/>
  <c r="G3169" i="66"/>
  <c r="E3169" i="66"/>
  <c r="I3168" i="66"/>
  <c r="H3168" i="66"/>
  <c r="G3168" i="66"/>
  <c r="E3168" i="66"/>
  <c r="I3167" i="66"/>
  <c r="H3167" i="66"/>
  <c r="G3167" i="66"/>
  <c r="E3167" i="66"/>
  <c r="I3166" i="66"/>
  <c r="H3166" i="66"/>
  <c r="G3166" i="66"/>
  <c r="E3166" i="66"/>
  <c r="I3165" i="66"/>
  <c r="H3165" i="66"/>
  <c r="G3165" i="66"/>
  <c r="D3165" i="66" s="1"/>
  <c r="E3165" i="66"/>
  <c r="I3164" i="66"/>
  <c r="H3164" i="66"/>
  <c r="G3164" i="66"/>
  <c r="E3164" i="66"/>
  <c r="I3163" i="66"/>
  <c r="H3163" i="66"/>
  <c r="G3163" i="66"/>
  <c r="E3163" i="66"/>
  <c r="I3162" i="66"/>
  <c r="H3162" i="66"/>
  <c r="G3162" i="66"/>
  <c r="D3162" i="66" s="1"/>
  <c r="E3162" i="66"/>
  <c r="I3161" i="66"/>
  <c r="H3161" i="66"/>
  <c r="G3161" i="66"/>
  <c r="E3161" i="66"/>
  <c r="I3160" i="66"/>
  <c r="H3160" i="66"/>
  <c r="G3160" i="66"/>
  <c r="E3160" i="66"/>
  <c r="I3159" i="66"/>
  <c r="H3159" i="66"/>
  <c r="G3159" i="66"/>
  <c r="E3159" i="66"/>
  <c r="I3158" i="66"/>
  <c r="H3158" i="66"/>
  <c r="G3158" i="66"/>
  <c r="E3158" i="66"/>
  <c r="I3157" i="66"/>
  <c r="H3157" i="66"/>
  <c r="G3157" i="66"/>
  <c r="D3157" i="66" s="1"/>
  <c r="E3157" i="66"/>
  <c r="I3156" i="66"/>
  <c r="H3156" i="66"/>
  <c r="G3156" i="66"/>
  <c r="D3156" i="66" s="1"/>
  <c r="E3156" i="66"/>
  <c r="I3155" i="66"/>
  <c r="H3155" i="66"/>
  <c r="G3155" i="66"/>
  <c r="D3155" i="66" s="1"/>
  <c r="E3155" i="66"/>
  <c r="I3154" i="66"/>
  <c r="H3154" i="66"/>
  <c r="G3154" i="66"/>
  <c r="E3154" i="66"/>
  <c r="I3153" i="66"/>
  <c r="H3153" i="66"/>
  <c r="G3153" i="66"/>
  <c r="D3153" i="66" s="1"/>
  <c r="E3153" i="66"/>
  <c r="I3152" i="66"/>
  <c r="H3152" i="66"/>
  <c r="G3152" i="66"/>
  <c r="E3152" i="66"/>
  <c r="I3151" i="66"/>
  <c r="H3151" i="66"/>
  <c r="G3151" i="66"/>
  <c r="E3151" i="66"/>
  <c r="I3150" i="66"/>
  <c r="H3150" i="66"/>
  <c r="G3150" i="66"/>
  <c r="D3150" i="66" s="1"/>
  <c r="E3150" i="66"/>
  <c r="I3149" i="66"/>
  <c r="H3149" i="66"/>
  <c r="G3149" i="66"/>
  <c r="E3149" i="66"/>
  <c r="I3148" i="66"/>
  <c r="H3148" i="66"/>
  <c r="G3148" i="66"/>
  <c r="E3148" i="66"/>
  <c r="I3147" i="66"/>
  <c r="H3147" i="66"/>
  <c r="G3147" i="66"/>
  <c r="D3147" i="66" s="1"/>
  <c r="E3147" i="66"/>
  <c r="I3146" i="66"/>
  <c r="H3146" i="66"/>
  <c r="G3146" i="66"/>
  <c r="D3146" i="66" s="1"/>
  <c r="E3146" i="66"/>
  <c r="I3145" i="66"/>
  <c r="H3145" i="66"/>
  <c r="G3145" i="66"/>
  <c r="E3145" i="66"/>
  <c r="I3144" i="66"/>
  <c r="H3144" i="66"/>
  <c r="G3144" i="66"/>
  <c r="E3144" i="66"/>
  <c r="I3143" i="66"/>
  <c r="H3143" i="66"/>
  <c r="G3143" i="66"/>
  <c r="D3143" i="66" s="1"/>
  <c r="E3143" i="66"/>
  <c r="I3142" i="66"/>
  <c r="H3142" i="66"/>
  <c r="G3142" i="66"/>
  <c r="E3142" i="66"/>
  <c r="I3141" i="66"/>
  <c r="H3141" i="66"/>
  <c r="G3141" i="66"/>
  <c r="D3141" i="66" s="1"/>
  <c r="E3141" i="66"/>
  <c r="I3140" i="66"/>
  <c r="H3140" i="66"/>
  <c r="G3140" i="66"/>
  <c r="E3140" i="66"/>
  <c r="I3139" i="66"/>
  <c r="D3139" i="66" s="1"/>
  <c r="H3139" i="66"/>
  <c r="G3139" i="66"/>
  <c r="E3139" i="66"/>
  <c r="I3138" i="66"/>
  <c r="H3138" i="66"/>
  <c r="G3138" i="66"/>
  <c r="D3138" i="66" s="1"/>
  <c r="E3138" i="66"/>
  <c r="I3137" i="66"/>
  <c r="H3137" i="66"/>
  <c r="G3137" i="66"/>
  <c r="E3137" i="66"/>
  <c r="I3136" i="66"/>
  <c r="H3136" i="66"/>
  <c r="G3136" i="66"/>
  <c r="E3136" i="66"/>
  <c r="I3135" i="66"/>
  <c r="H3135" i="66"/>
  <c r="G3135" i="66"/>
  <c r="D3135" i="66" s="1"/>
  <c r="E3135" i="66"/>
  <c r="I3134" i="66"/>
  <c r="H3134" i="66"/>
  <c r="G3134" i="66"/>
  <c r="E3134" i="66"/>
  <c r="I3133" i="66"/>
  <c r="H3133" i="66"/>
  <c r="G3133" i="66"/>
  <c r="E3133" i="66"/>
  <c r="I3132" i="66"/>
  <c r="H3132" i="66"/>
  <c r="G3132" i="66"/>
  <c r="D3132" i="66" s="1"/>
  <c r="E3132" i="66"/>
  <c r="I3131" i="66"/>
  <c r="H3131" i="66"/>
  <c r="G3131" i="66"/>
  <c r="E3131" i="66"/>
  <c r="I3130" i="66"/>
  <c r="H3130" i="66"/>
  <c r="G3130" i="66"/>
  <c r="E3130" i="66"/>
  <c r="I3129" i="66"/>
  <c r="H3129" i="66"/>
  <c r="G3129" i="66"/>
  <c r="D3129" i="66" s="1"/>
  <c r="E3129" i="66"/>
  <c r="I3128" i="66"/>
  <c r="H3128" i="66"/>
  <c r="G3128" i="66"/>
  <c r="D3128" i="66" s="1"/>
  <c r="E3128" i="66"/>
  <c r="I3127" i="66"/>
  <c r="H3127" i="66"/>
  <c r="G3127" i="66"/>
  <c r="E3127" i="66"/>
  <c r="I3126" i="66"/>
  <c r="H3126" i="66"/>
  <c r="G3126" i="66"/>
  <c r="D3126" i="66" s="1"/>
  <c r="E3126" i="66"/>
  <c r="I3125" i="66"/>
  <c r="H3125" i="66"/>
  <c r="G3125" i="66"/>
  <c r="D3125" i="66" s="1"/>
  <c r="E3125" i="66"/>
  <c r="I3124" i="66"/>
  <c r="H3124" i="66"/>
  <c r="G3124" i="66"/>
  <c r="E3124" i="66"/>
  <c r="I3123" i="66"/>
  <c r="H3123" i="66"/>
  <c r="G3123" i="66"/>
  <c r="D3123" i="66" s="1"/>
  <c r="E3123" i="66"/>
  <c r="I3122" i="66"/>
  <c r="H3122" i="66"/>
  <c r="G3122" i="66"/>
  <c r="E3122" i="66"/>
  <c r="I3121" i="66"/>
  <c r="H3121" i="66"/>
  <c r="G3121" i="66"/>
  <c r="E3121" i="66"/>
  <c r="I3120" i="66"/>
  <c r="H3120" i="66"/>
  <c r="G3120" i="66"/>
  <c r="E3120" i="66"/>
  <c r="I3119" i="66"/>
  <c r="H3119" i="66"/>
  <c r="G3119" i="66"/>
  <c r="E3119" i="66"/>
  <c r="I3118" i="66"/>
  <c r="H3118" i="66"/>
  <c r="G3118" i="66"/>
  <c r="E3118" i="66"/>
  <c r="I3117" i="66"/>
  <c r="H3117" i="66"/>
  <c r="G3117" i="66"/>
  <c r="D3117" i="66" s="1"/>
  <c r="E3117" i="66"/>
  <c r="I3116" i="66"/>
  <c r="H3116" i="66"/>
  <c r="G3116" i="66"/>
  <c r="E3116" i="66"/>
  <c r="I3115" i="66"/>
  <c r="H3115" i="66"/>
  <c r="G3115" i="66"/>
  <c r="E3115" i="66"/>
  <c r="I3114" i="66"/>
  <c r="H3114" i="66"/>
  <c r="G3114" i="66"/>
  <c r="D3114" i="66" s="1"/>
  <c r="E3114" i="66"/>
  <c r="I3113" i="66"/>
  <c r="H3113" i="66"/>
  <c r="G3113" i="66"/>
  <c r="E3113" i="66"/>
  <c r="I3112" i="66"/>
  <c r="H3112" i="66"/>
  <c r="G3112" i="66"/>
  <c r="E3112" i="66"/>
  <c r="I3111" i="66"/>
  <c r="H3111" i="66"/>
  <c r="G3111" i="66"/>
  <c r="D3111" i="66" s="1"/>
  <c r="E3111" i="66"/>
  <c r="I3110" i="66"/>
  <c r="H3110" i="66"/>
  <c r="G3110" i="66"/>
  <c r="D3110" i="66" s="1"/>
  <c r="E3110" i="66"/>
  <c r="I3109" i="66"/>
  <c r="D3109" i="66" s="1"/>
  <c r="H3109" i="66"/>
  <c r="G3109" i="66"/>
  <c r="E3109" i="66"/>
  <c r="I3108" i="66"/>
  <c r="H3108" i="66"/>
  <c r="G3108" i="66"/>
  <c r="D3108" i="66" s="1"/>
  <c r="E3108" i="66"/>
  <c r="I3107" i="66"/>
  <c r="H3107" i="66"/>
  <c r="G3107" i="66"/>
  <c r="E3107" i="66"/>
  <c r="I3106" i="66"/>
  <c r="H3106" i="66"/>
  <c r="G3106" i="66"/>
  <c r="E3106" i="66"/>
  <c r="I3105" i="66"/>
  <c r="H3105" i="66"/>
  <c r="G3105" i="66"/>
  <c r="D3105" i="66" s="1"/>
  <c r="E3105" i="66"/>
  <c r="I3104" i="66"/>
  <c r="H3104" i="66"/>
  <c r="G3104" i="66"/>
  <c r="E3104" i="66"/>
  <c r="I3103" i="66"/>
  <c r="H3103" i="66"/>
  <c r="G3103" i="66"/>
  <c r="E3103" i="66"/>
  <c r="I3102" i="66"/>
  <c r="H3102" i="66"/>
  <c r="G3102" i="66"/>
  <c r="D3102" i="66" s="1"/>
  <c r="E3102" i="66"/>
  <c r="I3101" i="66"/>
  <c r="H3101" i="66"/>
  <c r="G3101" i="66"/>
  <c r="D3101" i="66" s="1"/>
  <c r="E3101" i="66"/>
  <c r="I3100" i="66"/>
  <c r="H3100" i="66"/>
  <c r="G3100" i="66"/>
  <c r="E3100" i="66"/>
  <c r="I3099" i="66"/>
  <c r="H3099" i="66"/>
  <c r="G3099" i="66"/>
  <c r="D3099" i="66" s="1"/>
  <c r="E3099" i="66"/>
  <c r="I3098" i="66"/>
  <c r="H3098" i="66"/>
  <c r="G3098" i="66"/>
  <c r="E3098" i="66"/>
  <c r="I3097" i="66"/>
  <c r="H3097" i="66"/>
  <c r="G3097" i="66"/>
  <c r="E3097" i="66"/>
  <c r="I3096" i="66"/>
  <c r="H3096" i="66"/>
  <c r="G3096" i="66"/>
  <c r="E3096" i="66"/>
  <c r="I3095" i="66"/>
  <c r="H3095" i="66"/>
  <c r="G3095" i="66"/>
  <c r="E3095" i="66"/>
  <c r="I3094" i="66"/>
  <c r="H3094" i="66"/>
  <c r="G3094" i="66"/>
  <c r="E3094" i="66"/>
  <c r="I3093" i="66"/>
  <c r="H3093" i="66"/>
  <c r="G3093" i="66"/>
  <c r="D3093" i="66" s="1"/>
  <c r="E3093" i="66"/>
  <c r="I3092" i="66"/>
  <c r="H3092" i="66"/>
  <c r="G3092" i="66"/>
  <c r="D3092" i="66" s="1"/>
  <c r="E3092" i="66"/>
  <c r="I3091" i="66"/>
  <c r="H3091" i="66"/>
  <c r="G3091" i="66"/>
  <c r="E3091" i="66"/>
  <c r="I3090" i="66"/>
  <c r="H3090" i="66"/>
  <c r="G3090" i="66"/>
  <c r="D3090" i="66" s="1"/>
  <c r="E3090" i="66"/>
  <c r="I3089" i="66"/>
  <c r="H3089" i="66"/>
  <c r="G3089" i="66"/>
  <c r="E3089" i="66"/>
  <c r="I3088" i="66"/>
  <c r="H3088" i="66"/>
  <c r="G3088" i="66"/>
  <c r="E3088" i="66"/>
  <c r="I3087" i="66"/>
  <c r="H3087" i="66"/>
  <c r="G3087" i="66"/>
  <c r="D3087" i="66" s="1"/>
  <c r="E3087" i="66"/>
  <c r="I3086" i="66"/>
  <c r="H3086" i="66"/>
  <c r="G3086" i="66"/>
  <c r="E3086" i="66"/>
  <c r="I3085" i="66"/>
  <c r="H3085" i="66"/>
  <c r="G3085" i="66"/>
  <c r="D3085" i="66" s="1"/>
  <c r="E3085" i="66"/>
  <c r="I3084" i="66"/>
  <c r="H3084" i="66"/>
  <c r="G3084" i="66"/>
  <c r="D3084" i="66" s="1"/>
  <c r="E3084" i="66"/>
  <c r="I3083" i="66"/>
  <c r="H3083" i="66"/>
  <c r="G3083" i="66"/>
  <c r="E3083" i="66"/>
  <c r="I3082" i="66"/>
  <c r="H3082" i="66"/>
  <c r="G3082" i="66"/>
  <c r="E3082" i="66"/>
  <c r="I3081" i="66"/>
  <c r="H3081" i="66"/>
  <c r="G3081" i="66"/>
  <c r="E3081" i="66"/>
  <c r="I3080" i="66"/>
  <c r="H3080" i="66"/>
  <c r="G3080" i="66"/>
  <c r="E3080" i="66"/>
  <c r="I3079" i="66"/>
  <c r="H3079" i="66"/>
  <c r="G3079" i="66"/>
  <c r="E3079" i="66"/>
  <c r="I3078" i="66"/>
  <c r="H3078" i="66"/>
  <c r="G3078" i="66"/>
  <c r="D3078" i="66" s="1"/>
  <c r="E3078" i="66"/>
  <c r="I3077" i="66"/>
  <c r="H3077" i="66"/>
  <c r="G3077" i="66"/>
  <c r="E3077" i="66"/>
  <c r="I3076" i="66"/>
  <c r="H3076" i="66"/>
  <c r="G3076" i="66"/>
  <c r="E3076" i="66"/>
  <c r="I3075" i="66"/>
  <c r="H3075" i="66"/>
  <c r="G3075" i="66"/>
  <c r="D3075" i="66" s="1"/>
  <c r="E3075" i="66"/>
  <c r="I3074" i="66"/>
  <c r="H3074" i="66"/>
  <c r="G3074" i="66"/>
  <c r="E3074" i="66"/>
  <c r="I3073" i="66"/>
  <c r="H3073" i="66"/>
  <c r="G3073" i="66"/>
  <c r="E3073" i="66"/>
  <c r="I3072" i="66"/>
  <c r="H3072" i="66"/>
  <c r="G3072" i="66"/>
  <c r="E3072" i="66"/>
  <c r="I3071" i="66"/>
  <c r="H3071" i="66"/>
  <c r="G3071" i="66"/>
  <c r="E3071" i="66"/>
  <c r="I3070" i="66"/>
  <c r="H3070" i="66"/>
  <c r="G3070" i="66"/>
  <c r="E3070" i="66"/>
  <c r="I3069" i="66"/>
  <c r="H3069" i="66"/>
  <c r="G3069" i="66"/>
  <c r="D3069" i="66" s="1"/>
  <c r="E3069" i="66"/>
  <c r="I3068" i="66"/>
  <c r="H3068" i="66"/>
  <c r="G3068" i="66"/>
  <c r="E3068" i="66"/>
  <c r="I3067" i="66"/>
  <c r="H3067" i="66"/>
  <c r="G3067" i="66"/>
  <c r="E3067" i="66"/>
  <c r="I3066" i="66"/>
  <c r="H3066" i="66"/>
  <c r="G3066" i="66"/>
  <c r="D3066" i="66" s="1"/>
  <c r="E3066" i="66"/>
  <c r="I3065" i="66"/>
  <c r="H3065" i="66"/>
  <c r="G3065" i="66"/>
  <c r="E3065" i="66"/>
  <c r="I3064" i="66"/>
  <c r="H3064" i="66"/>
  <c r="G3064" i="66"/>
  <c r="E3064" i="66"/>
  <c r="I3063" i="66"/>
  <c r="H3063" i="66"/>
  <c r="G3063" i="66"/>
  <c r="D3063" i="66" s="1"/>
  <c r="E3063" i="66"/>
  <c r="I3062" i="66"/>
  <c r="H3062" i="66"/>
  <c r="G3062" i="66"/>
  <c r="E3062" i="66"/>
  <c r="I3061" i="66"/>
  <c r="H3061" i="66"/>
  <c r="G3061" i="66"/>
  <c r="E3061" i="66"/>
  <c r="I3060" i="66"/>
  <c r="H3060" i="66"/>
  <c r="G3060" i="66"/>
  <c r="D3060" i="66" s="1"/>
  <c r="E3060" i="66"/>
  <c r="I3059" i="66"/>
  <c r="H3059" i="66"/>
  <c r="G3059" i="66"/>
  <c r="E3059" i="66"/>
  <c r="I3058" i="66"/>
  <c r="H3058" i="66"/>
  <c r="G3058" i="66"/>
  <c r="E3058" i="66"/>
  <c r="I3057" i="66"/>
  <c r="H3057" i="66"/>
  <c r="G3057" i="66"/>
  <c r="D3057" i="66" s="1"/>
  <c r="E3057" i="66"/>
  <c r="I3056" i="66"/>
  <c r="H3056" i="66"/>
  <c r="G3056" i="66"/>
  <c r="E3056" i="66"/>
  <c r="I3055" i="66"/>
  <c r="H3055" i="66"/>
  <c r="G3055" i="66"/>
  <c r="D3055" i="66" s="1"/>
  <c r="E3055" i="66"/>
  <c r="I3054" i="66"/>
  <c r="H3054" i="66"/>
  <c r="G3054" i="66"/>
  <c r="D3054" i="66" s="1"/>
  <c r="E3054" i="66"/>
  <c r="I3053" i="66"/>
  <c r="H3053" i="66"/>
  <c r="G3053" i="66"/>
  <c r="E3053" i="66"/>
  <c r="I3052" i="66"/>
  <c r="H3052" i="66"/>
  <c r="G3052" i="66"/>
  <c r="E3052" i="66"/>
  <c r="I3051" i="66"/>
  <c r="H3051" i="66"/>
  <c r="G3051" i="66"/>
  <c r="D3051" i="66" s="1"/>
  <c r="E3051" i="66"/>
  <c r="I3050" i="66"/>
  <c r="H3050" i="66"/>
  <c r="G3050" i="66"/>
  <c r="D3050" i="66" s="1"/>
  <c r="E3050" i="66"/>
  <c r="I3049" i="66"/>
  <c r="H3049" i="66"/>
  <c r="G3049" i="66"/>
  <c r="E3049" i="66"/>
  <c r="I3048" i="66"/>
  <c r="H3048" i="66"/>
  <c r="G3048" i="66"/>
  <c r="E3048" i="66"/>
  <c r="I3047" i="66"/>
  <c r="H3047" i="66"/>
  <c r="G3047" i="66"/>
  <c r="E3047" i="66"/>
  <c r="I3046" i="66"/>
  <c r="H3046" i="66"/>
  <c r="G3046" i="66"/>
  <c r="E3046" i="66"/>
  <c r="I3045" i="66"/>
  <c r="H3045" i="66"/>
  <c r="G3045" i="66"/>
  <c r="D3045" i="66" s="1"/>
  <c r="E3045" i="66"/>
  <c r="I3044" i="66"/>
  <c r="H3044" i="66"/>
  <c r="G3044" i="66"/>
  <c r="E3044" i="66"/>
  <c r="I3043" i="66"/>
  <c r="H3043" i="66"/>
  <c r="G3043" i="66"/>
  <c r="E3043" i="66"/>
  <c r="I3042" i="66"/>
  <c r="H3042" i="66"/>
  <c r="G3042" i="66"/>
  <c r="D3042" i="66" s="1"/>
  <c r="E3042" i="66"/>
  <c r="I3041" i="66"/>
  <c r="H3041" i="66"/>
  <c r="G3041" i="66"/>
  <c r="E3041" i="66"/>
  <c r="I3040" i="66"/>
  <c r="H3040" i="66"/>
  <c r="G3040" i="66"/>
  <c r="E3040" i="66"/>
  <c r="I3039" i="66"/>
  <c r="H3039" i="66"/>
  <c r="G3039" i="66"/>
  <c r="D3039" i="66" s="1"/>
  <c r="E3039" i="66"/>
  <c r="I3038" i="66"/>
  <c r="H3038" i="66"/>
  <c r="G3038" i="66"/>
  <c r="E3038" i="66"/>
  <c r="I3037" i="66"/>
  <c r="H3037" i="66"/>
  <c r="G3037" i="66"/>
  <c r="E3037" i="66"/>
  <c r="I3036" i="66"/>
  <c r="H3036" i="66"/>
  <c r="G3036" i="66"/>
  <c r="E3036" i="66"/>
  <c r="I3035" i="66"/>
  <c r="H3035" i="66"/>
  <c r="G3035" i="66"/>
  <c r="D3035" i="66" s="1"/>
  <c r="E3035" i="66"/>
  <c r="I3034" i="66"/>
  <c r="H3034" i="66"/>
  <c r="G3034" i="66"/>
  <c r="E3034" i="66"/>
  <c r="I3033" i="66"/>
  <c r="H3033" i="66"/>
  <c r="G3033" i="66"/>
  <c r="D3033" i="66" s="1"/>
  <c r="E3033" i="66"/>
  <c r="I3032" i="66"/>
  <c r="H3032" i="66"/>
  <c r="G3032" i="66"/>
  <c r="E3032" i="66"/>
  <c r="I3031" i="66"/>
  <c r="H3031" i="66"/>
  <c r="G3031" i="66"/>
  <c r="E3031" i="66"/>
  <c r="I3030" i="66"/>
  <c r="H3030" i="66"/>
  <c r="G3030" i="66"/>
  <c r="D3030" i="66" s="1"/>
  <c r="E3030" i="66"/>
  <c r="I3029" i="66"/>
  <c r="H3029" i="66"/>
  <c r="G3029" i="66"/>
  <c r="D3029" i="66" s="1"/>
  <c r="E3029" i="66"/>
  <c r="I3028" i="66"/>
  <c r="H3028" i="66"/>
  <c r="G3028" i="66"/>
  <c r="E3028" i="66"/>
  <c r="I3027" i="66"/>
  <c r="H3027" i="66"/>
  <c r="G3027" i="66"/>
  <c r="D3027" i="66" s="1"/>
  <c r="E3027" i="66"/>
  <c r="I3026" i="66"/>
  <c r="H3026" i="66"/>
  <c r="G3026" i="66"/>
  <c r="E3026" i="66"/>
  <c r="I3025" i="66"/>
  <c r="H3025" i="66"/>
  <c r="G3025" i="66"/>
  <c r="E3025" i="66"/>
  <c r="I3024" i="66"/>
  <c r="H3024" i="66"/>
  <c r="G3024" i="66"/>
  <c r="E3024" i="66"/>
  <c r="I3023" i="66"/>
  <c r="H3023" i="66"/>
  <c r="G3023" i="66"/>
  <c r="E3023" i="66"/>
  <c r="I3022" i="66"/>
  <c r="D3022" i="66" s="1"/>
  <c r="H3022" i="66"/>
  <c r="G3022" i="66"/>
  <c r="E3022" i="66"/>
  <c r="I3021" i="66"/>
  <c r="H3021" i="66"/>
  <c r="G3021" i="66"/>
  <c r="D3021" i="66" s="1"/>
  <c r="E3021" i="66"/>
  <c r="I3020" i="66"/>
  <c r="H3020" i="66"/>
  <c r="G3020" i="66"/>
  <c r="E3020" i="66"/>
  <c r="I3019" i="66"/>
  <c r="H3019" i="66"/>
  <c r="G3019" i="66"/>
  <c r="E3019" i="66"/>
  <c r="I3018" i="66"/>
  <c r="H3018" i="66"/>
  <c r="G3018" i="66"/>
  <c r="E3018" i="66"/>
  <c r="I3017" i="66"/>
  <c r="H3017" i="66"/>
  <c r="G3017" i="66"/>
  <c r="D3017" i="66" s="1"/>
  <c r="E3017" i="66"/>
  <c r="I3016" i="66"/>
  <c r="H3016" i="66"/>
  <c r="G3016" i="66"/>
  <c r="E3016" i="66"/>
  <c r="I3015" i="66"/>
  <c r="H3015" i="66"/>
  <c r="G3015" i="66"/>
  <c r="D3015" i="66" s="1"/>
  <c r="E3015" i="66"/>
  <c r="I3014" i="66"/>
  <c r="H3014" i="66"/>
  <c r="G3014" i="66"/>
  <c r="E3014" i="66"/>
  <c r="I3013" i="66"/>
  <c r="H3013" i="66"/>
  <c r="G3013" i="66"/>
  <c r="E3013" i="66"/>
  <c r="I3012" i="66"/>
  <c r="H3012" i="66"/>
  <c r="G3012" i="66"/>
  <c r="D3012" i="66" s="1"/>
  <c r="E3012" i="66"/>
  <c r="I3011" i="66"/>
  <c r="H3011" i="66"/>
  <c r="G3011" i="66"/>
  <c r="D3011" i="66" s="1"/>
  <c r="E3011" i="66"/>
  <c r="I3010" i="66"/>
  <c r="D3010" i="66" s="1"/>
  <c r="H3010" i="66"/>
  <c r="G3010" i="66"/>
  <c r="E3010" i="66"/>
  <c r="I3009" i="66"/>
  <c r="H3009" i="66"/>
  <c r="G3009" i="66"/>
  <c r="D3009" i="66" s="1"/>
  <c r="E3009" i="66"/>
  <c r="I3008" i="66"/>
  <c r="H3008" i="66"/>
  <c r="G3008" i="66"/>
  <c r="E3008" i="66"/>
  <c r="I3007" i="66"/>
  <c r="H3007" i="66"/>
  <c r="G3007" i="66"/>
  <c r="E3007" i="66"/>
  <c r="I3006" i="66"/>
  <c r="H3006" i="66"/>
  <c r="G3006" i="66"/>
  <c r="D3006" i="66" s="1"/>
  <c r="E3006" i="66"/>
  <c r="I3005" i="66"/>
  <c r="H3005" i="66"/>
  <c r="G3005" i="66"/>
  <c r="E3005" i="66"/>
  <c r="I3004" i="66"/>
  <c r="H3004" i="66"/>
  <c r="G3004" i="66"/>
  <c r="E3004" i="66"/>
  <c r="I3003" i="66"/>
  <c r="H3003" i="66"/>
  <c r="G3003" i="66"/>
  <c r="D3003" i="66" s="1"/>
  <c r="E3003" i="66"/>
  <c r="I3002" i="66"/>
  <c r="H3002" i="66"/>
  <c r="G3002" i="66"/>
  <c r="E3002" i="66"/>
  <c r="I3001" i="66"/>
  <c r="H3001" i="66"/>
  <c r="G3001" i="66"/>
  <c r="E3001" i="66"/>
  <c r="I3000" i="66"/>
  <c r="H3000" i="66"/>
  <c r="G3000" i="66"/>
  <c r="E3000" i="66"/>
  <c r="I2999" i="66"/>
  <c r="H2999" i="66"/>
  <c r="G2999" i="66"/>
  <c r="E2999" i="66"/>
  <c r="I2998" i="66"/>
  <c r="H2998" i="66"/>
  <c r="G2998" i="66"/>
  <c r="E2998" i="66"/>
  <c r="I2997" i="66"/>
  <c r="H2997" i="66"/>
  <c r="G2997" i="66"/>
  <c r="D2997" i="66" s="1"/>
  <c r="E2997" i="66"/>
  <c r="I2996" i="66"/>
  <c r="H2996" i="66"/>
  <c r="G2996" i="66"/>
  <c r="E2996" i="66"/>
  <c r="I2995" i="66"/>
  <c r="H2995" i="66"/>
  <c r="G2995" i="66"/>
  <c r="E2995" i="66"/>
  <c r="I2994" i="66"/>
  <c r="H2994" i="66"/>
  <c r="G2994" i="66"/>
  <c r="D2994" i="66" s="1"/>
  <c r="E2994" i="66"/>
  <c r="I2993" i="66"/>
  <c r="H2993" i="66"/>
  <c r="G2993" i="66"/>
  <c r="D2993" i="66" s="1"/>
  <c r="E2993" i="66"/>
  <c r="I2992" i="66"/>
  <c r="D2992" i="66" s="1"/>
  <c r="H2992" i="66"/>
  <c r="G2992" i="66"/>
  <c r="E2992" i="66"/>
  <c r="I2991" i="66"/>
  <c r="H2991" i="66"/>
  <c r="G2991" i="66"/>
  <c r="D2991" i="66" s="1"/>
  <c r="E2991" i="66"/>
  <c r="I2990" i="66"/>
  <c r="H2990" i="66"/>
  <c r="G2990" i="66"/>
  <c r="E2990" i="66"/>
  <c r="I2989" i="66"/>
  <c r="H2989" i="66"/>
  <c r="G2989" i="66"/>
  <c r="E2989" i="66"/>
  <c r="I2988" i="66"/>
  <c r="H2988" i="66"/>
  <c r="G2988" i="66"/>
  <c r="D2988" i="66" s="1"/>
  <c r="E2988" i="66"/>
  <c r="I2987" i="66"/>
  <c r="H2987" i="66"/>
  <c r="G2987" i="66"/>
  <c r="E2987" i="66"/>
  <c r="I2986" i="66"/>
  <c r="H2986" i="66"/>
  <c r="G2986" i="66"/>
  <c r="E2986" i="66"/>
  <c r="I2985" i="66"/>
  <c r="H2985" i="66"/>
  <c r="G2985" i="66"/>
  <c r="D2985" i="66" s="1"/>
  <c r="E2985" i="66"/>
  <c r="I2984" i="66"/>
  <c r="H2984" i="66"/>
  <c r="G2984" i="66"/>
  <c r="D2984" i="66" s="1"/>
  <c r="E2984" i="66"/>
  <c r="I2983" i="66"/>
  <c r="H2983" i="66"/>
  <c r="G2983" i="66"/>
  <c r="E2983" i="66"/>
  <c r="I2982" i="66"/>
  <c r="H2982" i="66"/>
  <c r="G2982" i="66"/>
  <c r="E2982" i="66"/>
  <c r="I2981" i="66"/>
  <c r="H2981" i="66"/>
  <c r="G2981" i="66"/>
  <c r="E2981" i="66"/>
  <c r="I2980" i="66"/>
  <c r="H2980" i="66"/>
  <c r="G2980" i="66"/>
  <c r="E2980" i="66"/>
  <c r="I2979" i="66"/>
  <c r="H2979" i="66"/>
  <c r="G2979" i="66"/>
  <c r="D2979" i="66" s="1"/>
  <c r="E2979" i="66"/>
  <c r="I2978" i="66"/>
  <c r="H2978" i="66"/>
  <c r="G2978" i="66"/>
  <c r="D2978" i="66" s="1"/>
  <c r="E2978" i="66"/>
  <c r="I2977" i="66"/>
  <c r="H2977" i="66"/>
  <c r="G2977" i="66"/>
  <c r="E2977" i="66"/>
  <c r="I2976" i="66"/>
  <c r="H2976" i="66"/>
  <c r="G2976" i="66"/>
  <c r="D2976" i="66" s="1"/>
  <c r="E2976" i="66"/>
  <c r="I2975" i="66"/>
  <c r="H2975" i="66"/>
  <c r="G2975" i="66"/>
  <c r="E2975" i="66"/>
  <c r="I2974" i="66"/>
  <c r="H2974" i="66"/>
  <c r="G2974" i="66"/>
  <c r="E2974" i="66"/>
  <c r="I2973" i="66"/>
  <c r="H2973" i="66"/>
  <c r="G2973" i="66"/>
  <c r="D2973" i="66" s="1"/>
  <c r="E2973" i="66"/>
  <c r="I2972" i="66"/>
  <c r="H2972" i="66"/>
  <c r="G2972" i="66"/>
  <c r="E2972" i="66"/>
  <c r="I2971" i="66"/>
  <c r="H2971" i="66"/>
  <c r="G2971" i="66"/>
  <c r="D2971" i="66" s="1"/>
  <c r="E2971" i="66"/>
  <c r="I2970" i="66"/>
  <c r="H2970" i="66"/>
  <c r="G2970" i="66"/>
  <c r="D2970" i="66" s="1"/>
  <c r="E2970" i="66"/>
  <c r="I2969" i="66"/>
  <c r="H2969" i="66"/>
  <c r="G2969" i="66"/>
  <c r="E2969" i="66"/>
  <c r="I2968" i="66"/>
  <c r="H2968" i="66"/>
  <c r="G2968" i="66"/>
  <c r="D2968" i="66" s="1"/>
  <c r="E2968" i="66"/>
  <c r="I2967" i="66"/>
  <c r="H2967" i="66"/>
  <c r="G2967" i="66"/>
  <c r="D2967" i="66" s="1"/>
  <c r="E2967" i="66"/>
  <c r="I2966" i="66"/>
  <c r="H2966" i="66"/>
  <c r="G2966" i="66"/>
  <c r="E2966" i="66"/>
  <c r="I2965" i="66"/>
  <c r="D2965" i="66" s="1"/>
  <c r="H2965" i="66"/>
  <c r="G2965" i="66"/>
  <c r="E2965" i="66"/>
  <c r="I2964" i="66"/>
  <c r="H2964" i="66"/>
  <c r="G2964" i="66"/>
  <c r="D2964" i="66" s="1"/>
  <c r="E2964" i="66"/>
  <c r="I2963" i="66"/>
  <c r="H2963" i="66"/>
  <c r="G2963" i="66"/>
  <c r="D2963" i="66" s="1"/>
  <c r="E2963" i="66"/>
  <c r="I2962" i="66"/>
  <c r="H2962" i="66"/>
  <c r="G2962" i="66"/>
  <c r="E2962" i="66"/>
  <c r="I2961" i="66"/>
  <c r="H2961" i="66"/>
  <c r="G2961" i="66"/>
  <c r="D2961" i="66" s="1"/>
  <c r="E2961" i="66"/>
  <c r="I2960" i="66"/>
  <c r="H2960" i="66"/>
  <c r="G2960" i="66"/>
  <c r="E2960" i="66"/>
  <c r="I2959" i="66"/>
  <c r="D2959" i="66" s="1"/>
  <c r="H2959" i="66"/>
  <c r="G2959" i="66"/>
  <c r="E2959" i="66"/>
  <c r="I2958" i="66"/>
  <c r="H2958" i="66"/>
  <c r="G2958" i="66"/>
  <c r="D2958" i="66" s="1"/>
  <c r="E2958" i="66"/>
  <c r="I2957" i="66"/>
  <c r="H2957" i="66"/>
  <c r="G2957" i="66"/>
  <c r="D2957" i="66" s="1"/>
  <c r="E2957" i="66"/>
  <c r="I2956" i="66"/>
  <c r="H2956" i="66"/>
  <c r="G2956" i="66"/>
  <c r="E2956" i="66"/>
  <c r="I2955" i="66"/>
  <c r="H2955" i="66"/>
  <c r="G2955" i="66"/>
  <c r="D2955" i="66" s="1"/>
  <c r="E2955" i="66"/>
  <c r="I2954" i="66"/>
  <c r="H2954" i="66"/>
  <c r="G2954" i="66"/>
  <c r="E2954" i="66"/>
  <c r="I2953" i="66"/>
  <c r="H2953" i="66"/>
  <c r="G2953" i="66"/>
  <c r="D2953" i="66" s="1"/>
  <c r="E2953" i="66"/>
  <c r="I2952" i="66"/>
  <c r="H2952" i="66"/>
  <c r="G2952" i="66"/>
  <c r="D2952" i="66" s="1"/>
  <c r="E2952" i="66"/>
  <c r="I2951" i="66"/>
  <c r="H2951" i="66"/>
  <c r="G2951" i="66"/>
  <c r="E2951" i="66"/>
  <c r="I2950" i="66"/>
  <c r="H2950" i="66"/>
  <c r="G2950" i="66"/>
  <c r="E2950" i="66"/>
  <c r="I2949" i="66"/>
  <c r="H2949" i="66"/>
  <c r="G2949" i="66"/>
  <c r="D2949" i="66" s="1"/>
  <c r="E2949" i="66"/>
  <c r="I2948" i="66"/>
  <c r="H2948" i="66"/>
  <c r="G2948" i="66"/>
  <c r="E2948" i="66"/>
  <c r="I2947" i="66"/>
  <c r="H2947" i="66"/>
  <c r="G2947" i="66"/>
  <c r="E2947" i="66"/>
  <c r="I2946" i="66"/>
  <c r="H2946" i="66"/>
  <c r="G2946" i="66"/>
  <c r="D2946" i="66" s="1"/>
  <c r="E2946" i="66"/>
  <c r="I2945" i="66"/>
  <c r="H2945" i="66"/>
  <c r="G2945" i="66"/>
  <c r="E2945" i="66"/>
  <c r="I2944" i="66"/>
  <c r="H2944" i="66"/>
  <c r="G2944" i="66"/>
  <c r="E2944" i="66"/>
  <c r="I2943" i="66"/>
  <c r="H2943" i="66"/>
  <c r="G2943" i="66"/>
  <c r="D2943" i="66" s="1"/>
  <c r="E2943" i="66"/>
  <c r="I2942" i="66"/>
  <c r="H2942" i="66"/>
  <c r="G2942" i="66"/>
  <c r="E2942" i="66"/>
  <c r="I2941" i="66"/>
  <c r="H2941" i="66"/>
  <c r="G2941" i="66"/>
  <c r="E2941" i="66"/>
  <c r="I2940" i="66"/>
  <c r="H2940" i="66"/>
  <c r="G2940" i="66"/>
  <c r="D2940" i="66" s="1"/>
  <c r="E2940" i="66"/>
  <c r="I2939" i="66"/>
  <c r="H2939" i="66"/>
  <c r="G2939" i="66"/>
  <c r="E2939" i="66"/>
  <c r="I2938" i="66"/>
  <c r="H2938" i="66"/>
  <c r="G2938" i="66"/>
  <c r="E2938" i="66"/>
  <c r="I2937" i="66"/>
  <c r="H2937" i="66"/>
  <c r="G2937" i="66"/>
  <c r="D2937" i="66" s="1"/>
  <c r="E2937" i="66"/>
  <c r="I2936" i="66"/>
  <c r="H2936" i="66"/>
  <c r="G2936" i="66"/>
  <c r="E2936" i="66"/>
  <c r="I2935" i="66"/>
  <c r="D2935" i="66" s="1"/>
  <c r="H2935" i="66"/>
  <c r="G2935" i="66"/>
  <c r="E2935" i="66"/>
  <c r="I2934" i="66"/>
  <c r="H2934" i="66"/>
  <c r="G2934" i="66"/>
  <c r="D2934" i="66" s="1"/>
  <c r="E2934" i="66"/>
  <c r="I2933" i="66"/>
  <c r="H2933" i="66"/>
  <c r="G2933" i="66"/>
  <c r="E2933" i="66"/>
  <c r="I2932" i="66"/>
  <c r="H2932" i="66"/>
  <c r="G2932" i="66"/>
  <c r="E2932" i="66"/>
  <c r="I2931" i="66"/>
  <c r="H2931" i="66"/>
  <c r="G2931" i="66"/>
  <c r="D2931" i="66" s="1"/>
  <c r="E2931" i="66"/>
  <c r="I2930" i="66"/>
  <c r="H2930" i="66"/>
  <c r="G2930" i="66"/>
  <c r="D2930" i="66" s="1"/>
  <c r="E2930" i="66"/>
  <c r="I2929" i="66"/>
  <c r="H2929" i="66"/>
  <c r="G2929" i="66"/>
  <c r="E2929" i="66"/>
  <c r="I2928" i="66"/>
  <c r="H2928" i="66"/>
  <c r="G2928" i="66"/>
  <c r="D2928" i="66" s="1"/>
  <c r="E2928" i="66"/>
  <c r="I2927" i="66"/>
  <c r="H2927" i="66"/>
  <c r="G2927" i="66"/>
  <c r="E2927" i="66"/>
  <c r="I2926" i="66"/>
  <c r="H2926" i="66"/>
  <c r="G2926" i="66"/>
  <c r="E2926" i="66"/>
  <c r="I2925" i="66"/>
  <c r="H2925" i="66"/>
  <c r="G2925" i="66"/>
  <c r="D2925" i="66" s="1"/>
  <c r="E2925" i="66"/>
  <c r="I2924" i="66"/>
  <c r="H2924" i="66"/>
  <c r="G2924" i="66"/>
  <c r="E2924" i="66"/>
  <c r="I2923" i="66"/>
  <c r="H2923" i="66"/>
  <c r="G2923" i="66"/>
  <c r="E2923" i="66"/>
  <c r="I2922" i="66"/>
  <c r="H2922" i="66"/>
  <c r="G2922" i="66"/>
  <c r="D2922" i="66" s="1"/>
  <c r="E2922" i="66"/>
  <c r="I2921" i="66"/>
  <c r="H2921" i="66"/>
  <c r="G2921" i="66"/>
  <c r="E2921" i="66"/>
  <c r="I2920" i="66"/>
  <c r="H2920" i="66"/>
  <c r="G2920" i="66"/>
  <c r="E2920" i="66"/>
  <c r="I2919" i="66"/>
  <c r="H2919" i="66"/>
  <c r="G2919" i="66"/>
  <c r="D2919" i="66" s="1"/>
  <c r="E2919" i="66"/>
  <c r="I2918" i="66"/>
  <c r="H2918" i="66"/>
  <c r="G2918" i="66"/>
  <c r="D2918" i="66" s="1"/>
  <c r="E2918" i="66"/>
  <c r="I2917" i="66"/>
  <c r="H2917" i="66"/>
  <c r="G2917" i="66"/>
  <c r="E2917" i="66"/>
  <c r="I2916" i="66"/>
  <c r="H2916" i="66"/>
  <c r="G2916" i="66"/>
  <c r="D2916" i="66" s="1"/>
  <c r="E2916" i="66"/>
  <c r="I2915" i="66"/>
  <c r="H2915" i="66"/>
  <c r="G2915" i="66"/>
  <c r="E2915" i="66"/>
  <c r="I2914" i="66"/>
  <c r="D2914" i="66" s="1"/>
  <c r="H2914" i="66"/>
  <c r="G2914" i="66"/>
  <c r="E2914" i="66"/>
  <c r="I2913" i="66"/>
  <c r="H2913" i="66"/>
  <c r="G2913" i="66"/>
  <c r="D2913" i="66" s="1"/>
  <c r="E2913" i="66"/>
  <c r="I2912" i="66"/>
  <c r="H2912" i="66"/>
  <c r="G2912" i="66"/>
  <c r="E2912" i="66"/>
  <c r="I2911" i="66"/>
  <c r="H2911" i="66"/>
  <c r="G2911" i="66"/>
  <c r="E2911" i="66"/>
  <c r="I2910" i="66"/>
  <c r="H2910" i="66"/>
  <c r="G2910" i="66"/>
  <c r="D2910" i="66" s="1"/>
  <c r="E2910" i="66"/>
  <c r="I2909" i="66"/>
  <c r="H2909" i="66"/>
  <c r="G2909" i="66"/>
  <c r="E2909" i="66"/>
  <c r="I2908" i="66"/>
  <c r="H2908" i="66"/>
  <c r="G2908" i="66"/>
  <c r="E2908" i="66"/>
  <c r="I2907" i="66"/>
  <c r="H2907" i="66"/>
  <c r="G2907" i="66"/>
  <c r="D2907" i="66" s="1"/>
  <c r="E2907" i="66"/>
  <c r="I2906" i="66"/>
  <c r="H2906" i="66"/>
  <c r="G2906" i="66"/>
  <c r="D2906" i="66" s="1"/>
  <c r="E2906" i="66"/>
  <c r="I2905" i="66"/>
  <c r="H2905" i="66"/>
  <c r="G2905" i="66"/>
  <c r="E2905" i="66"/>
  <c r="I2904" i="66"/>
  <c r="H2904" i="66"/>
  <c r="G2904" i="66"/>
  <c r="D2904" i="66" s="1"/>
  <c r="E2904" i="66"/>
  <c r="I2903" i="66"/>
  <c r="H2903" i="66"/>
  <c r="G2903" i="66"/>
  <c r="E2903" i="66"/>
  <c r="I2902" i="66"/>
  <c r="H2902" i="66"/>
  <c r="G2902" i="66"/>
  <c r="E2902" i="66"/>
  <c r="I2901" i="66"/>
  <c r="H2901" i="66"/>
  <c r="G2901" i="66"/>
  <c r="D2901" i="66" s="1"/>
  <c r="E2901" i="66"/>
  <c r="I2900" i="66"/>
  <c r="H2900" i="66"/>
  <c r="G2900" i="66"/>
  <c r="D2900" i="66" s="1"/>
  <c r="E2900" i="66"/>
  <c r="I2899" i="66"/>
  <c r="H2899" i="66"/>
  <c r="G2899" i="66"/>
  <c r="D2899" i="66" s="1"/>
  <c r="E2899" i="66"/>
  <c r="I2898" i="66"/>
  <c r="H2898" i="66"/>
  <c r="G2898" i="66"/>
  <c r="D2898" i="66" s="1"/>
  <c r="E2898" i="66"/>
  <c r="I2897" i="66"/>
  <c r="H2897" i="66"/>
  <c r="G2897" i="66"/>
  <c r="E2897" i="66"/>
  <c r="I2896" i="66"/>
  <c r="H2896" i="66"/>
  <c r="G2896" i="66"/>
  <c r="E2896" i="66"/>
  <c r="I2895" i="66"/>
  <c r="H2895" i="66"/>
  <c r="G2895" i="66"/>
  <c r="D2895" i="66" s="1"/>
  <c r="E2895" i="66"/>
  <c r="I2894" i="66"/>
  <c r="H2894" i="66"/>
  <c r="G2894" i="66"/>
  <c r="E2894" i="66"/>
  <c r="I2893" i="66"/>
  <c r="H2893" i="66"/>
  <c r="G2893" i="66"/>
  <c r="E2893" i="66"/>
  <c r="I2892" i="66"/>
  <c r="H2892" i="66"/>
  <c r="G2892" i="66"/>
  <c r="D2892" i="66" s="1"/>
  <c r="E2892" i="66"/>
  <c r="I2891" i="66"/>
  <c r="H2891" i="66"/>
  <c r="G2891" i="66"/>
  <c r="E2891" i="66"/>
  <c r="I2890" i="66"/>
  <c r="H2890" i="66"/>
  <c r="G2890" i="66"/>
  <c r="E2890" i="66"/>
  <c r="I2889" i="66"/>
  <c r="H2889" i="66"/>
  <c r="G2889" i="66"/>
  <c r="D2889" i="66" s="1"/>
  <c r="E2889" i="66"/>
  <c r="I2888" i="66"/>
  <c r="H2888" i="66"/>
  <c r="G2888" i="66"/>
  <c r="E2888" i="66"/>
  <c r="I2887" i="66"/>
  <c r="H2887" i="66"/>
  <c r="G2887" i="66"/>
  <c r="E2887" i="66"/>
  <c r="I2886" i="66"/>
  <c r="H2886" i="66"/>
  <c r="G2886" i="66"/>
  <c r="D2886" i="66" s="1"/>
  <c r="E2886" i="66"/>
  <c r="I2885" i="66"/>
  <c r="H2885" i="66"/>
  <c r="G2885" i="66"/>
  <c r="D2885" i="66" s="1"/>
  <c r="E2885" i="66"/>
  <c r="I2884" i="66"/>
  <c r="D2884" i="66" s="1"/>
  <c r="H2884" i="66"/>
  <c r="G2884" i="66"/>
  <c r="E2884" i="66"/>
  <c r="I2883" i="66"/>
  <c r="H2883" i="66"/>
  <c r="G2883" i="66"/>
  <c r="D2883" i="66" s="1"/>
  <c r="E2883" i="66"/>
  <c r="I2882" i="66"/>
  <c r="H2882" i="66"/>
  <c r="G2882" i="66"/>
  <c r="D2882" i="66" s="1"/>
  <c r="E2882" i="66"/>
  <c r="I2881" i="66"/>
  <c r="H2881" i="66"/>
  <c r="G2881" i="66"/>
  <c r="E2881" i="66"/>
  <c r="I2880" i="66"/>
  <c r="H2880" i="66"/>
  <c r="G2880" i="66"/>
  <c r="D2880" i="66" s="1"/>
  <c r="E2880" i="66"/>
  <c r="I2879" i="66"/>
  <c r="H2879" i="66"/>
  <c r="G2879" i="66"/>
  <c r="D2879" i="66" s="1"/>
  <c r="E2879" i="66"/>
  <c r="I2878" i="66"/>
  <c r="H2878" i="66"/>
  <c r="G2878" i="66"/>
  <c r="E2878" i="66"/>
  <c r="I2877" i="66"/>
  <c r="H2877" i="66"/>
  <c r="G2877" i="66"/>
  <c r="D2877" i="66" s="1"/>
  <c r="E2877" i="66"/>
  <c r="I2876" i="66"/>
  <c r="H2876" i="66"/>
  <c r="G2876" i="66"/>
  <c r="E2876" i="66"/>
  <c r="I2875" i="66"/>
  <c r="H2875" i="66"/>
  <c r="G2875" i="66"/>
  <c r="E2875" i="66"/>
  <c r="I2874" i="66"/>
  <c r="H2874" i="66"/>
  <c r="G2874" i="66"/>
  <c r="D2874" i="66" s="1"/>
  <c r="E2874" i="66"/>
  <c r="I2873" i="66"/>
  <c r="H2873" i="66"/>
  <c r="G2873" i="66"/>
  <c r="E2873" i="66"/>
  <c r="I2872" i="66"/>
  <c r="H2872" i="66"/>
  <c r="G2872" i="66"/>
  <c r="E2872" i="66"/>
  <c r="I2871" i="66"/>
  <c r="H2871" i="66"/>
  <c r="G2871" i="66"/>
  <c r="E2871" i="66"/>
  <c r="I2870" i="66"/>
  <c r="H2870" i="66"/>
  <c r="G2870" i="66"/>
  <c r="E2870" i="66"/>
  <c r="I2869" i="66"/>
  <c r="H2869" i="66"/>
  <c r="G2869" i="66"/>
  <c r="E2869" i="66"/>
  <c r="I2868" i="66"/>
  <c r="H2868" i="66"/>
  <c r="G2868" i="66"/>
  <c r="E2868" i="66"/>
  <c r="I2867" i="66"/>
  <c r="H2867" i="66"/>
  <c r="G2867" i="66"/>
  <c r="E2867" i="66"/>
  <c r="I2866" i="66"/>
  <c r="H2866" i="66"/>
  <c r="G2866" i="66"/>
  <c r="D2866" i="66" s="1"/>
  <c r="E2866" i="66"/>
  <c r="I2865" i="66"/>
  <c r="H2865" i="66"/>
  <c r="G2865" i="66"/>
  <c r="D2865" i="66" s="1"/>
  <c r="E2865" i="66"/>
  <c r="I2864" i="66"/>
  <c r="H2864" i="66"/>
  <c r="G2864" i="66"/>
  <c r="E2864" i="66"/>
  <c r="I2863" i="66"/>
  <c r="D2863" i="66" s="1"/>
  <c r="H2863" i="66"/>
  <c r="G2863" i="66"/>
  <c r="E2863" i="66"/>
  <c r="I2862" i="66"/>
  <c r="H2862" i="66"/>
  <c r="G2862" i="66"/>
  <c r="D2862" i="66" s="1"/>
  <c r="E2862" i="66"/>
  <c r="I2861" i="66"/>
  <c r="H2861" i="66"/>
  <c r="G2861" i="66"/>
  <c r="E2861" i="66"/>
  <c r="I2860" i="66"/>
  <c r="H2860" i="66"/>
  <c r="G2860" i="66"/>
  <c r="E2860" i="66"/>
  <c r="I2859" i="66"/>
  <c r="H2859" i="66"/>
  <c r="G2859" i="66"/>
  <c r="D2859" i="66" s="1"/>
  <c r="E2859" i="66"/>
  <c r="I2858" i="66"/>
  <c r="H2858" i="66"/>
  <c r="G2858" i="66"/>
  <c r="E2858" i="66"/>
  <c r="I2857" i="66"/>
  <c r="H2857" i="66"/>
  <c r="G2857" i="66"/>
  <c r="E2857" i="66"/>
  <c r="I2856" i="66"/>
  <c r="H2856" i="66"/>
  <c r="G2856" i="66"/>
  <c r="D2856" i="66" s="1"/>
  <c r="E2856" i="66"/>
  <c r="I2855" i="66"/>
  <c r="H2855" i="66"/>
  <c r="G2855" i="66"/>
  <c r="E2855" i="66"/>
  <c r="I2854" i="66"/>
  <c r="H2854" i="66"/>
  <c r="G2854" i="66"/>
  <c r="E2854" i="66"/>
  <c r="I2853" i="66"/>
  <c r="H2853" i="66"/>
  <c r="G2853" i="66"/>
  <c r="D2853" i="66" s="1"/>
  <c r="E2853" i="66"/>
  <c r="I2852" i="66"/>
  <c r="H2852" i="66"/>
  <c r="G2852" i="66"/>
  <c r="D2852" i="66" s="1"/>
  <c r="E2852" i="66"/>
  <c r="I2851" i="66"/>
  <c r="H2851" i="66"/>
  <c r="G2851" i="66"/>
  <c r="E2851" i="66"/>
  <c r="I2850" i="66"/>
  <c r="H2850" i="66"/>
  <c r="G2850" i="66"/>
  <c r="D2850" i="66" s="1"/>
  <c r="E2850" i="66"/>
  <c r="I2849" i="66"/>
  <c r="H2849" i="66"/>
  <c r="G2849" i="66"/>
  <c r="E2849" i="66"/>
  <c r="I2848" i="66"/>
  <c r="H2848" i="66"/>
  <c r="G2848" i="66"/>
  <c r="E2848" i="66"/>
  <c r="I2847" i="66"/>
  <c r="H2847" i="66"/>
  <c r="G2847" i="66"/>
  <c r="D2847" i="66" s="1"/>
  <c r="E2847" i="66"/>
  <c r="I2846" i="66"/>
  <c r="H2846" i="66"/>
  <c r="G2846" i="66"/>
  <c r="E2846" i="66"/>
  <c r="I2845" i="66"/>
  <c r="H2845" i="66"/>
  <c r="G2845" i="66"/>
  <c r="E2845" i="66"/>
  <c r="I2844" i="66"/>
  <c r="H2844" i="66"/>
  <c r="G2844" i="66"/>
  <c r="D2844" i="66" s="1"/>
  <c r="E2844" i="66"/>
  <c r="I2843" i="66"/>
  <c r="H2843" i="66"/>
  <c r="G2843" i="66"/>
  <c r="E2843" i="66"/>
  <c r="I2842" i="66"/>
  <c r="H2842" i="66"/>
  <c r="G2842" i="66"/>
  <c r="E2842" i="66"/>
  <c r="I2841" i="66"/>
  <c r="H2841" i="66"/>
  <c r="G2841" i="66"/>
  <c r="D2841" i="66" s="1"/>
  <c r="E2841" i="66"/>
  <c r="I2840" i="66"/>
  <c r="H2840" i="66"/>
  <c r="G2840" i="66"/>
  <c r="E2840" i="66"/>
  <c r="I2839" i="66"/>
  <c r="H2839" i="66"/>
  <c r="G2839" i="66"/>
  <c r="E2839" i="66"/>
  <c r="I2838" i="66"/>
  <c r="H2838" i="66"/>
  <c r="G2838" i="66"/>
  <c r="D2838" i="66" s="1"/>
  <c r="E2838" i="66"/>
  <c r="I2837" i="66"/>
  <c r="H2837" i="66"/>
  <c r="G2837" i="66"/>
  <c r="E2837" i="66"/>
  <c r="I2836" i="66"/>
  <c r="H2836" i="66"/>
  <c r="G2836" i="66"/>
  <c r="E2836" i="66"/>
  <c r="I2835" i="66"/>
  <c r="H2835" i="66"/>
  <c r="G2835" i="66"/>
  <c r="D2835" i="66" s="1"/>
  <c r="E2835" i="66"/>
  <c r="I2834" i="66"/>
  <c r="H2834" i="66"/>
  <c r="G2834" i="66"/>
  <c r="D2834" i="66" s="1"/>
  <c r="E2834" i="66"/>
  <c r="I2833" i="66"/>
  <c r="H2833" i="66"/>
  <c r="G2833" i="66"/>
  <c r="D2833" i="66" s="1"/>
  <c r="E2833" i="66"/>
  <c r="I2832" i="66"/>
  <c r="H2832" i="66"/>
  <c r="G2832" i="66"/>
  <c r="D2832" i="66" s="1"/>
  <c r="E2832" i="66"/>
  <c r="I2831" i="66"/>
  <c r="H2831" i="66"/>
  <c r="G2831" i="66"/>
  <c r="E2831" i="66"/>
  <c r="I2830" i="66"/>
  <c r="H2830" i="66"/>
  <c r="G2830" i="66"/>
  <c r="E2830" i="66"/>
  <c r="I2829" i="66"/>
  <c r="H2829" i="66"/>
  <c r="G2829" i="66"/>
  <c r="D2829" i="66" s="1"/>
  <c r="E2829" i="66"/>
  <c r="I2828" i="66"/>
  <c r="H2828" i="66"/>
  <c r="G2828" i="66"/>
  <c r="E2828" i="66"/>
  <c r="I2827" i="66"/>
  <c r="H2827" i="66"/>
  <c r="G2827" i="66"/>
  <c r="E2827" i="66"/>
  <c r="I2826" i="66"/>
  <c r="H2826" i="66"/>
  <c r="G2826" i="66"/>
  <c r="D2826" i="66" s="1"/>
  <c r="E2826" i="66"/>
  <c r="I2825" i="66"/>
  <c r="H2825" i="66"/>
  <c r="G2825" i="66"/>
  <c r="E2825" i="66"/>
  <c r="I2824" i="66"/>
  <c r="H2824" i="66"/>
  <c r="G2824" i="66"/>
  <c r="E2824" i="66"/>
  <c r="I2823" i="66"/>
  <c r="H2823" i="66"/>
  <c r="G2823" i="66"/>
  <c r="D2823" i="66" s="1"/>
  <c r="E2823" i="66"/>
  <c r="I2822" i="66"/>
  <c r="H2822" i="66"/>
  <c r="G2822" i="66"/>
  <c r="D2822" i="66" s="1"/>
  <c r="E2822" i="66"/>
  <c r="I2821" i="66"/>
  <c r="H2821" i="66"/>
  <c r="G2821" i="66"/>
  <c r="D2821" i="66" s="1"/>
  <c r="E2821" i="66"/>
  <c r="I2820" i="66"/>
  <c r="H2820" i="66"/>
  <c r="G2820" i="66"/>
  <c r="D2820" i="66" s="1"/>
  <c r="E2820" i="66"/>
  <c r="I2819" i="66"/>
  <c r="H2819" i="66"/>
  <c r="G2819" i="66"/>
  <c r="E2819" i="66"/>
  <c r="I2818" i="66"/>
  <c r="H2818" i="66"/>
  <c r="G2818" i="66"/>
  <c r="E2818" i="66"/>
  <c r="I2817" i="66"/>
  <c r="H2817" i="66"/>
  <c r="G2817" i="66"/>
  <c r="D2817" i="66" s="1"/>
  <c r="E2817" i="66"/>
  <c r="I2816" i="66"/>
  <c r="H2816" i="66"/>
  <c r="G2816" i="66"/>
  <c r="E2816" i="66"/>
  <c r="I2815" i="66"/>
  <c r="H2815" i="66"/>
  <c r="G2815" i="66"/>
  <c r="E2815" i="66"/>
  <c r="I2814" i="66"/>
  <c r="H2814" i="66"/>
  <c r="G2814" i="66"/>
  <c r="D2814" i="66" s="1"/>
  <c r="E2814" i="66"/>
  <c r="I2813" i="66"/>
  <c r="H2813" i="66"/>
  <c r="G2813" i="66"/>
  <c r="E2813" i="66"/>
  <c r="I2812" i="66"/>
  <c r="H2812" i="66"/>
  <c r="G2812" i="66"/>
  <c r="E2812" i="66"/>
  <c r="I2811" i="66"/>
  <c r="H2811" i="66"/>
  <c r="G2811" i="66"/>
  <c r="E2811" i="66"/>
  <c r="I2810" i="66"/>
  <c r="H2810" i="66"/>
  <c r="G2810" i="66"/>
  <c r="E2810" i="66"/>
  <c r="I2809" i="66"/>
  <c r="H2809" i="66"/>
  <c r="G2809" i="66"/>
  <c r="D2809" i="66" s="1"/>
  <c r="E2809" i="66"/>
  <c r="I2808" i="66"/>
  <c r="H2808" i="66"/>
  <c r="G2808" i="66"/>
  <c r="D2808" i="66" s="1"/>
  <c r="E2808" i="66"/>
  <c r="I2807" i="66"/>
  <c r="H2807" i="66"/>
  <c r="G2807" i="66"/>
  <c r="E2807" i="66"/>
  <c r="I2806" i="66"/>
  <c r="H2806" i="66"/>
  <c r="G2806" i="66"/>
  <c r="E2806" i="66"/>
  <c r="I2805" i="66"/>
  <c r="H2805" i="66"/>
  <c r="G2805" i="66"/>
  <c r="D2805" i="66" s="1"/>
  <c r="E2805" i="66"/>
  <c r="I2804" i="66"/>
  <c r="H2804" i="66"/>
  <c r="G2804" i="66"/>
  <c r="E2804" i="66"/>
  <c r="I2803" i="66"/>
  <c r="H2803" i="66"/>
  <c r="G2803" i="66"/>
  <c r="E2803" i="66"/>
  <c r="I2802" i="66"/>
  <c r="H2802" i="66"/>
  <c r="G2802" i="66"/>
  <c r="D2802" i="66" s="1"/>
  <c r="E2802" i="66"/>
  <c r="I2801" i="66"/>
  <c r="H2801" i="66"/>
  <c r="G2801" i="66"/>
  <c r="E2801" i="66"/>
  <c r="I2800" i="66"/>
  <c r="H2800" i="66"/>
  <c r="G2800" i="66"/>
  <c r="E2800" i="66"/>
  <c r="I2799" i="66"/>
  <c r="H2799" i="66"/>
  <c r="G2799" i="66"/>
  <c r="D2799" i="66" s="1"/>
  <c r="E2799" i="66"/>
  <c r="I2798" i="66"/>
  <c r="H2798" i="66"/>
  <c r="G2798" i="66"/>
  <c r="E2798" i="66"/>
  <c r="I2797" i="66"/>
  <c r="H2797" i="66"/>
  <c r="G2797" i="66"/>
  <c r="E2797" i="66"/>
  <c r="I2796" i="66"/>
  <c r="H2796" i="66"/>
  <c r="G2796" i="66"/>
  <c r="D2796" i="66" s="1"/>
  <c r="E2796" i="66"/>
  <c r="I2795" i="66"/>
  <c r="H2795" i="66"/>
  <c r="G2795" i="66"/>
  <c r="D2795" i="66" s="1"/>
  <c r="E2795" i="66"/>
  <c r="I2794" i="66"/>
  <c r="H2794" i="66"/>
  <c r="G2794" i="66"/>
  <c r="D2794" i="66" s="1"/>
  <c r="E2794" i="66"/>
  <c r="I2793" i="66"/>
  <c r="H2793" i="66"/>
  <c r="G2793" i="66"/>
  <c r="D2793" i="66" s="1"/>
  <c r="E2793" i="66"/>
  <c r="I2792" i="66"/>
  <c r="H2792" i="66"/>
  <c r="G2792" i="66"/>
  <c r="E2792" i="66"/>
  <c r="I2791" i="66"/>
  <c r="H2791" i="66"/>
  <c r="G2791" i="66"/>
  <c r="E2791" i="66"/>
  <c r="I2790" i="66"/>
  <c r="H2790" i="66"/>
  <c r="G2790" i="66"/>
  <c r="D2790" i="66" s="1"/>
  <c r="E2790" i="66"/>
  <c r="I2789" i="66"/>
  <c r="H2789" i="66"/>
  <c r="G2789" i="66"/>
  <c r="E2789" i="66"/>
  <c r="I2788" i="66"/>
  <c r="H2788" i="66"/>
  <c r="G2788" i="66"/>
  <c r="E2788" i="66"/>
  <c r="I2787" i="66"/>
  <c r="H2787" i="66"/>
  <c r="G2787" i="66"/>
  <c r="D2787" i="66" s="1"/>
  <c r="E2787" i="66"/>
  <c r="I2786" i="66"/>
  <c r="H2786" i="66"/>
  <c r="G2786" i="66"/>
  <c r="E2786" i="66"/>
  <c r="I2785" i="66"/>
  <c r="H2785" i="66"/>
  <c r="G2785" i="66"/>
  <c r="D2785" i="66" s="1"/>
  <c r="E2785" i="66"/>
  <c r="I2784" i="66"/>
  <c r="H2784" i="66"/>
  <c r="G2784" i="66"/>
  <c r="D2784" i="66" s="1"/>
  <c r="E2784" i="66"/>
  <c r="I2783" i="66"/>
  <c r="H2783" i="66"/>
  <c r="G2783" i="66"/>
  <c r="E2783" i="66"/>
  <c r="I2782" i="66"/>
  <c r="H2782" i="66"/>
  <c r="G2782" i="66"/>
  <c r="E2782" i="66"/>
  <c r="I2781" i="66"/>
  <c r="H2781" i="66"/>
  <c r="G2781" i="66"/>
  <c r="D2781" i="66" s="1"/>
  <c r="E2781" i="66"/>
  <c r="I2780" i="66"/>
  <c r="H2780" i="66"/>
  <c r="G2780" i="66"/>
  <c r="E2780" i="66"/>
  <c r="I2779" i="66"/>
  <c r="H2779" i="66"/>
  <c r="G2779" i="66"/>
  <c r="E2779" i="66"/>
  <c r="I2778" i="66"/>
  <c r="H2778" i="66"/>
  <c r="G2778" i="66"/>
  <c r="D2778" i="66" s="1"/>
  <c r="E2778" i="66"/>
  <c r="I2777" i="66"/>
  <c r="H2777" i="66"/>
  <c r="G2777" i="66"/>
  <c r="E2777" i="66"/>
  <c r="I2776" i="66"/>
  <c r="H2776" i="66"/>
  <c r="G2776" i="66"/>
  <c r="E2776" i="66"/>
  <c r="I2775" i="66"/>
  <c r="H2775" i="66"/>
  <c r="G2775" i="66"/>
  <c r="D2775" i="66" s="1"/>
  <c r="E2775" i="66"/>
  <c r="I2774" i="66"/>
  <c r="H2774" i="66"/>
  <c r="G2774" i="66"/>
  <c r="E2774" i="66"/>
  <c r="I2773" i="66"/>
  <c r="H2773" i="66"/>
  <c r="G2773" i="66"/>
  <c r="D2773" i="66" s="1"/>
  <c r="E2773" i="66"/>
  <c r="I2772" i="66"/>
  <c r="H2772" i="66"/>
  <c r="G2772" i="66"/>
  <c r="D2772" i="66" s="1"/>
  <c r="E2772" i="66"/>
  <c r="I2771" i="66"/>
  <c r="H2771" i="66"/>
  <c r="G2771" i="66"/>
  <c r="E2771" i="66"/>
  <c r="I2770" i="66"/>
  <c r="H2770" i="66"/>
  <c r="G2770" i="66"/>
  <c r="E2770" i="66"/>
  <c r="I2769" i="66"/>
  <c r="H2769" i="66"/>
  <c r="G2769" i="66"/>
  <c r="D2769" i="66" s="1"/>
  <c r="E2769" i="66"/>
  <c r="I2768" i="66"/>
  <c r="H2768" i="66"/>
  <c r="G2768" i="66"/>
  <c r="E2768" i="66"/>
  <c r="I2767" i="66"/>
  <c r="H2767" i="66"/>
  <c r="G2767" i="66"/>
  <c r="E2767" i="66"/>
  <c r="I2766" i="66"/>
  <c r="H2766" i="66"/>
  <c r="G2766" i="66"/>
  <c r="D2766" i="66" s="1"/>
  <c r="E2766" i="66"/>
  <c r="I2765" i="66"/>
  <c r="H2765" i="66"/>
  <c r="G2765" i="66"/>
  <c r="E2765" i="66"/>
  <c r="I2764" i="66"/>
  <c r="H2764" i="66"/>
  <c r="G2764" i="66"/>
  <c r="E2764" i="66"/>
  <c r="I2763" i="66"/>
  <c r="H2763" i="66"/>
  <c r="G2763" i="66"/>
  <c r="D2763" i="66" s="1"/>
  <c r="E2763" i="66"/>
  <c r="I2762" i="66"/>
  <c r="H2762" i="66"/>
  <c r="G2762" i="66"/>
  <c r="E2762" i="66"/>
  <c r="I2761" i="66"/>
  <c r="H2761" i="66"/>
  <c r="G2761" i="66"/>
  <c r="D2761" i="66" s="1"/>
  <c r="E2761" i="66"/>
  <c r="I2760" i="66"/>
  <c r="H2760" i="66"/>
  <c r="G2760" i="66"/>
  <c r="D2760" i="66" s="1"/>
  <c r="E2760" i="66"/>
  <c r="I2759" i="66"/>
  <c r="H2759" i="66"/>
  <c r="G2759" i="66"/>
  <c r="E2759" i="66"/>
  <c r="I2758" i="66"/>
  <c r="H2758" i="66"/>
  <c r="G2758" i="66"/>
  <c r="D2758" i="66" s="1"/>
  <c r="E2758" i="66"/>
  <c r="I2757" i="66"/>
  <c r="H2757" i="66"/>
  <c r="G2757" i="66"/>
  <c r="D2757" i="66" s="1"/>
  <c r="E2757" i="66"/>
  <c r="I2756" i="66"/>
  <c r="H2756" i="66"/>
  <c r="G2756" i="66"/>
  <c r="E2756" i="66"/>
  <c r="I2755" i="66"/>
  <c r="H2755" i="66"/>
  <c r="G2755" i="66"/>
  <c r="E2755" i="66"/>
  <c r="I2754" i="66"/>
  <c r="H2754" i="66"/>
  <c r="G2754" i="66"/>
  <c r="D2754" i="66" s="1"/>
  <c r="E2754" i="66"/>
  <c r="I2753" i="66"/>
  <c r="H2753" i="66"/>
  <c r="G2753" i="66"/>
  <c r="E2753" i="66"/>
  <c r="I2752" i="66"/>
  <c r="H2752" i="66"/>
  <c r="G2752" i="66"/>
  <c r="E2752" i="66"/>
  <c r="I2751" i="66"/>
  <c r="H2751" i="66"/>
  <c r="G2751" i="66"/>
  <c r="E2751" i="66"/>
  <c r="I2750" i="66"/>
  <c r="H2750" i="66"/>
  <c r="G2750" i="66"/>
  <c r="E2750" i="66"/>
  <c r="I2749" i="66"/>
  <c r="H2749" i="66"/>
  <c r="G2749" i="66"/>
  <c r="D2749" i="66" s="1"/>
  <c r="E2749" i="66"/>
  <c r="I2748" i="66"/>
  <c r="H2748" i="66"/>
  <c r="G2748" i="66"/>
  <c r="E2748" i="66"/>
  <c r="I2747" i="66"/>
  <c r="H2747" i="66"/>
  <c r="G2747" i="66"/>
  <c r="E2747" i="66"/>
  <c r="I2746" i="66"/>
  <c r="H2746" i="66"/>
  <c r="G2746" i="66"/>
  <c r="E2746" i="66"/>
  <c r="I2745" i="66"/>
  <c r="H2745" i="66"/>
  <c r="G2745" i="66"/>
  <c r="D2745" i="66" s="1"/>
  <c r="E2745" i="66"/>
  <c r="I2744" i="66"/>
  <c r="H2744" i="66"/>
  <c r="G2744" i="66"/>
  <c r="E2744" i="66"/>
  <c r="I2743" i="66"/>
  <c r="H2743" i="66"/>
  <c r="G2743" i="66"/>
  <c r="E2743" i="66"/>
  <c r="I2742" i="66"/>
  <c r="H2742" i="66"/>
  <c r="G2742" i="66"/>
  <c r="D2742" i="66" s="1"/>
  <c r="E2742" i="66"/>
  <c r="I2741" i="66"/>
  <c r="H2741" i="66"/>
  <c r="G2741" i="66"/>
  <c r="E2741" i="66"/>
  <c r="I2740" i="66"/>
  <c r="H2740" i="66"/>
  <c r="G2740" i="66"/>
  <c r="E2740" i="66"/>
  <c r="I2739" i="66"/>
  <c r="H2739" i="66"/>
  <c r="G2739" i="66"/>
  <c r="D2739" i="66" s="1"/>
  <c r="E2739" i="66"/>
  <c r="I2738" i="66"/>
  <c r="H2738" i="66"/>
  <c r="G2738" i="66"/>
  <c r="E2738" i="66"/>
  <c r="I2737" i="66"/>
  <c r="H2737" i="66"/>
  <c r="G2737" i="66"/>
  <c r="E2737" i="66"/>
  <c r="I2736" i="66"/>
  <c r="H2736" i="66"/>
  <c r="G2736" i="66"/>
  <c r="D2736" i="66" s="1"/>
  <c r="E2736" i="66"/>
  <c r="I2735" i="66"/>
  <c r="H2735" i="66"/>
  <c r="G2735" i="66"/>
  <c r="E2735" i="66"/>
  <c r="I2734" i="66"/>
  <c r="H2734" i="66"/>
  <c r="G2734" i="66"/>
  <c r="E2734" i="66"/>
  <c r="I2733" i="66"/>
  <c r="H2733" i="66"/>
  <c r="G2733" i="66"/>
  <c r="D2733" i="66" s="1"/>
  <c r="E2733" i="66"/>
  <c r="I2732" i="66"/>
  <c r="H2732" i="66"/>
  <c r="G2732" i="66"/>
  <c r="E2732" i="66"/>
  <c r="I2731" i="66"/>
  <c r="H2731" i="66"/>
  <c r="G2731" i="66"/>
  <c r="E2731" i="66"/>
  <c r="I2730" i="66"/>
  <c r="H2730" i="66"/>
  <c r="G2730" i="66"/>
  <c r="D2730" i="66" s="1"/>
  <c r="E2730" i="66"/>
  <c r="I2729" i="66"/>
  <c r="H2729" i="66"/>
  <c r="G2729" i="66"/>
  <c r="E2729" i="66"/>
  <c r="I2728" i="66"/>
  <c r="H2728" i="66"/>
  <c r="G2728" i="66"/>
  <c r="E2728" i="66"/>
  <c r="I2727" i="66"/>
  <c r="H2727" i="66"/>
  <c r="G2727" i="66"/>
  <c r="D2727" i="66" s="1"/>
  <c r="E2727" i="66"/>
  <c r="I2726" i="66"/>
  <c r="H2726" i="66"/>
  <c r="G2726" i="66"/>
  <c r="E2726" i="66"/>
  <c r="I2725" i="66"/>
  <c r="H2725" i="66"/>
  <c r="G2725" i="66"/>
  <c r="E2725" i="66"/>
  <c r="I2724" i="66"/>
  <c r="H2724" i="66"/>
  <c r="G2724" i="66"/>
  <c r="D2724" i="66" s="1"/>
  <c r="E2724" i="66"/>
  <c r="I2723" i="66"/>
  <c r="H2723" i="66"/>
  <c r="G2723" i="66"/>
  <c r="E2723" i="66"/>
  <c r="I2722" i="66"/>
  <c r="H2722" i="66"/>
  <c r="G2722" i="66"/>
  <c r="E2722" i="66"/>
  <c r="I2721" i="66"/>
  <c r="H2721" i="66"/>
  <c r="G2721" i="66"/>
  <c r="D2721" i="66" s="1"/>
  <c r="E2721" i="66"/>
  <c r="I2720" i="66"/>
  <c r="H2720" i="66"/>
  <c r="G2720" i="66"/>
  <c r="E2720" i="66"/>
  <c r="I2719" i="66"/>
  <c r="H2719" i="66"/>
  <c r="G2719" i="66"/>
  <c r="D2719" i="66" s="1"/>
  <c r="E2719" i="66"/>
  <c r="I2718" i="66"/>
  <c r="H2718" i="66"/>
  <c r="G2718" i="66"/>
  <c r="D2718" i="66" s="1"/>
  <c r="E2718" i="66"/>
  <c r="I2717" i="66"/>
  <c r="H2717" i="66"/>
  <c r="G2717" i="66"/>
  <c r="E2717" i="66"/>
  <c r="I2716" i="66"/>
  <c r="H2716" i="66"/>
  <c r="G2716" i="66"/>
  <c r="E2716" i="66"/>
  <c r="I2715" i="66"/>
  <c r="H2715" i="66"/>
  <c r="G2715" i="66"/>
  <c r="D2715" i="66" s="1"/>
  <c r="E2715" i="66"/>
  <c r="I2714" i="66"/>
  <c r="H2714" i="66"/>
  <c r="G2714" i="66"/>
  <c r="E2714" i="66"/>
  <c r="I2713" i="66"/>
  <c r="H2713" i="66"/>
  <c r="G2713" i="66"/>
  <c r="E2713" i="66"/>
  <c r="I2712" i="66"/>
  <c r="H2712" i="66"/>
  <c r="G2712" i="66"/>
  <c r="D2712" i="66" s="1"/>
  <c r="E2712" i="66"/>
  <c r="I2711" i="66"/>
  <c r="H2711" i="66"/>
  <c r="G2711" i="66"/>
  <c r="E2711" i="66"/>
  <c r="I2710" i="66"/>
  <c r="H2710" i="66"/>
  <c r="G2710" i="66"/>
  <c r="D2710" i="66" s="1"/>
  <c r="E2710" i="66"/>
  <c r="I2709" i="66"/>
  <c r="H2709" i="66"/>
  <c r="G2709" i="66"/>
  <c r="D2709" i="66" s="1"/>
  <c r="E2709" i="66"/>
  <c r="I2708" i="66"/>
  <c r="H2708" i="66"/>
  <c r="G2708" i="66"/>
  <c r="E2708" i="66"/>
  <c r="I2707" i="66"/>
  <c r="H2707" i="66"/>
  <c r="G2707" i="66"/>
  <c r="D2707" i="66" s="1"/>
  <c r="E2707" i="66"/>
  <c r="I2706" i="66"/>
  <c r="H2706" i="66"/>
  <c r="G2706" i="66"/>
  <c r="D2706" i="66" s="1"/>
  <c r="E2706" i="66"/>
  <c r="I2705" i="66"/>
  <c r="H2705" i="66"/>
  <c r="G2705" i="66"/>
  <c r="E2705" i="66"/>
  <c r="I2704" i="66"/>
  <c r="H2704" i="66"/>
  <c r="G2704" i="66"/>
  <c r="E2704" i="66"/>
  <c r="I2703" i="66"/>
  <c r="H2703" i="66"/>
  <c r="G2703" i="66"/>
  <c r="D2703" i="66" s="1"/>
  <c r="E2703" i="66"/>
  <c r="I2702" i="66"/>
  <c r="H2702" i="66"/>
  <c r="G2702" i="66"/>
  <c r="E2702" i="66"/>
  <c r="I2701" i="66"/>
  <c r="H2701" i="66"/>
  <c r="G2701" i="66"/>
  <c r="E2701" i="66"/>
  <c r="I2700" i="66"/>
  <c r="H2700" i="66"/>
  <c r="G2700" i="66"/>
  <c r="D2700" i="66" s="1"/>
  <c r="E2700" i="66"/>
  <c r="I2699" i="66"/>
  <c r="H2699" i="66"/>
  <c r="G2699" i="66"/>
  <c r="E2699" i="66"/>
  <c r="I2698" i="66"/>
  <c r="H2698" i="66"/>
  <c r="G2698" i="66"/>
  <c r="E2698" i="66"/>
  <c r="I2697" i="66"/>
  <c r="H2697" i="66"/>
  <c r="G2697" i="66"/>
  <c r="D2697" i="66" s="1"/>
  <c r="E2697" i="66"/>
  <c r="I2696" i="66"/>
  <c r="H2696" i="66"/>
  <c r="G2696" i="66"/>
  <c r="E2696" i="66"/>
  <c r="I2695" i="66"/>
  <c r="H2695" i="66"/>
  <c r="G2695" i="66"/>
  <c r="D2695" i="66" s="1"/>
  <c r="E2695" i="66"/>
  <c r="I2694" i="66"/>
  <c r="H2694" i="66"/>
  <c r="G2694" i="66"/>
  <c r="D2694" i="66" s="1"/>
  <c r="E2694" i="66"/>
  <c r="I2693" i="66"/>
  <c r="H2693" i="66"/>
  <c r="G2693" i="66"/>
  <c r="E2693" i="66"/>
  <c r="I2692" i="66"/>
  <c r="H2692" i="66"/>
  <c r="G2692" i="66"/>
  <c r="E2692" i="66"/>
  <c r="I2691" i="66"/>
  <c r="H2691" i="66"/>
  <c r="G2691" i="66"/>
  <c r="D2691" i="66" s="1"/>
  <c r="E2691" i="66"/>
  <c r="I2690" i="66"/>
  <c r="H2690" i="66"/>
  <c r="G2690" i="66"/>
  <c r="E2690" i="66"/>
  <c r="I2689" i="66"/>
  <c r="H2689" i="66"/>
  <c r="G2689" i="66"/>
  <c r="E2689" i="66"/>
  <c r="I2688" i="66"/>
  <c r="H2688" i="66"/>
  <c r="G2688" i="66"/>
  <c r="D2688" i="66" s="1"/>
  <c r="E2688" i="66"/>
  <c r="I2687" i="66"/>
  <c r="H2687" i="66"/>
  <c r="G2687" i="66"/>
  <c r="E2687" i="66"/>
  <c r="I2686" i="66"/>
  <c r="H2686" i="66"/>
  <c r="G2686" i="66"/>
  <c r="E2686" i="66"/>
  <c r="I2685" i="66"/>
  <c r="H2685" i="66"/>
  <c r="G2685" i="66"/>
  <c r="D2685" i="66" s="1"/>
  <c r="E2685" i="66"/>
  <c r="I2684" i="66"/>
  <c r="H2684" i="66"/>
  <c r="G2684" i="66"/>
  <c r="E2684" i="66"/>
  <c r="I2683" i="66"/>
  <c r="H2683" i="66"/>
  <c r="G2683" i="66"/>
  <c r="E2683" i="66"/>
  <c r="I2682" i="66"/>
  <c r="H2682" i="66"/>
  <c r="G2682" i="66"/>
  <c r="D2682" i="66" s="1"/>
  <c r="E2682" i="66"/>
  <c r="I2681" i="66"/>
  <c r="H2681" i="66"/>
  <c r="G2681" i="66"/>
  <c r="E2681" i="66"/>
  <c r="I2680" i="66"/>
  <c r="H2680" i="66"/>
  <c r="G2680" i="66"/>
  <c r="E2680" i="66"/>
  <c r="I2679" i="66"/>
  <c r="H2679" i="66"/>
  <c r="G2679" i="66"/>
  <c r="D2679" i="66" s="1"/>
  <c r="E2679" i="66"/>
  <c r="I2678" i="66"/>
  <c r="H2678" i="66"/>
  <c r="G2678" i="66"/>
  <c r="E2678" i="66"/>
  <c r="I2677" i="66"/>
  <c r="H2677" i="66"/>
  <c r="G2677" i="66"/>
  <c r="D2677" i="66" s="1"/>
  <c r="E2677" i="66"/>
  <c r="I2676" i="66"/>
  <c r="H2676" i="66"/>
  <c r="G2676" i="66"/>
  <c r="D2676" i="66" s="1"/>
  <c r="E2676" i="66"/>
  <c r="I2675" i="66"/>
  <c r="H2675" i="66"/>
  <c r="G2675" i="66"/>
  <c r="E2675" i="66"/>
  <c r="I2674" i="66"/>
  <c r="H2674" i="66"/>
  <c r="G2674" i="66"/>
  <c r="D2674" i="66" s="1"/>
  <c r="E2674" i="66"/>
  <c r="I2673" i="66"/>
  <c r="H2673" i="66"/>
  <c r="G2673" i="66"/>
  <c r="D2673" i="66" s="1"/>
  <c r="E2673" i="66"/>
  <c r="I2672" i="66"/>
  <c r="H2672" i="66"/>
  <c r="G2672" i="66"/>
  <c r="E2672" i="66"/>
  <c r="I2671" i="66"/>
  <c r="H2671" i="66"/>
  <c r="G2671" i="66"/>
  <c r="E2671" i="66"/>
  <c r="I2670" i="66"/>
  <c r="H2670" i="66"/>
  <c r="G2670" i="66"/>
  <c r="D2670" i="66" s="1"/>
  <c r="E2670" i="66"/>
  <c r="I2669" i="66"/>
  <c r="H2669" i="66"/>
  <c r="G2669" i="66"/>
  <c r="E2669" i="66"/>
  <c r="I2668" i="66"/>
  <c r="H2668" i="66"/>
  <c r="G2668" i="66"/>
  <c r="E2668" i="66"/>
  <c r="I2667" i="66"/>
  <c r="H2667" i="66"/>
  <c r="G2667" i="66"/>
  <c r="D2667" i="66" s="1"/>
  <c r="E2667" i="66"/>
  <c r="I2666" i="66"/>
  <c r="H2666" i="66"/>
  <c r="G2666" i="66"/>
  <c r="E2666" i="66"/>
  <c r="I2665" i="66"/>
  <c r="H2665" i="66"/>
  <c r="G2665" i="66"/>
  <c r="D2665" i="66" s="1"/>
  <c r="E2665" i="66"/>
  <c r="I2664" i="66"/>
  <c r="H2664" i="66"/>
  <c r="G2664" i="66"/>
  <c r="D2664" i="66" s="1"/>
  <c r="E2664" i="66"/>
  <c r="I2663" i="66"/>
  <c r="H2663" i="66"/>
  <c r="G2663" i="66"/>
  <c r="E2663" i="66"/>
  <c r="I2662" i="66"/>
  <c r="H2662" i="66"/>
  <c r="G2662" i="66"/>
  <c r="E2662" i="66"/>
  <c r="I2661" i="66"/>
  <c r="H2661" i="66"/>
  <c r="G2661" i="66"/>
  <c r="D2661" i="66" s="1"/>
  <c r="E2661" i="66"/>
  <c r="I2660" i="66"/>
  <c r="H2660" i="66"/>
  <c r="G2660" i="66"/>
  <c r="E2660" i="66"/>
  <c r="I2659" i="66"/>
  <c r="H2659" i="66"/>
  <c r="G2659" i="66"/>
  <c r="E2659" i="66"/>
  <c r="I2658" i="66"/>
  <c r="H2658" i="66"/>
  <c r="G2658" i="66"/>
  <c r="D2658" i="66" s="1"/>
  <c r="E2658" i="66"/>
  <c r="I2657" i="66"/>
  <c r="H2657" i="66"/>
  <c r="G2657" i="66"/>
  <c r="E2657" i="66"/>
  <c r="I2656" i="66"/>
  <c r="H2656" i="66"/>
  <c r="G2656" i="66"/>
  <c r="E2656" i="66"/>
  <c r="I2655" i="66"/>
  <c r="H2655" i="66"/>
  <c r="G2655" i="66"/>
  <c r="D2655" i="66" s="1"/>
  <c r="E2655" i="66"/>
  <c r="I2654" i="66"/>
  <c r="H2654" i="66"/>
  <c r="G2654" i="66"/>
  <c r="E2654" i="66"/>
  <c r="I2653" i="66"/>
  <c r="H2653" i="66"/>
  <c r="G2653" i="66"/>
  <c r="D2653" i="66" s="1"/>
  <c r="E2653" i="66"/>
  <c r="I2652" i="66"/>
  <c r="H2652" i="66"/>
  <c r="G2652" i="66"/>
  <c r="D2652" i="66" s="1"/>
  <c r="E2652" i="66"/>
  <c r="I2651" i="66"/>
  <c r="H2651" i="66"/>
  <c r="G2651" i="66"/>
  <c r="E2651" i="66"/>
  <c r="I2650" i="66"/>
  <c r="H2650" i="66"/>
  <c r="G2650" i="66"/>
  <c r="E2650" i="66"/>
  <c r="I2649" i="66"/>
  <c r="H2649" i="66"/>
  <c r="G2649" i="66"/>
  <c r="D2649" i="66" s="1"/>
  <c r="E2649" i="66"/>
  <c r="I2648" i="66"/>
  <c r="H2648" i="66"/>
  <c r="G2648" i="66"/>
  <c r="E2648" i="66"/>
  <c r="I2647" i="66"/>
  <c r="H2647" i="66"/>
  <c r="G2647" i="66"/>
  <c r="E2647" i="66"/>
  <c r="I2646" i="66"/>
  <c r="H2646" i="66"/>
  <c r="G2646" i="66"/>
  <c r="D2646" i="66" s="1"/>
  <c r="E2646" i="66"/>
  <c r="I2645" i="66"/>
  <c r="H2645" i="66"/>
  <c r="G2645" i="66"/>
  <c r="E2645" i="66"/>
  <c r="I2644" i="66"/>
  <c r="H2644" i="66"/>
  <c r="G2644" i="66"/>
  <c r="E2644" i="66"/>
  <c r="I2643" i="66"/>
  <c r="H2643" i="66"/>
  <c r="G2643" i="66"/>
  <c r="D2643" i="66" s="1"/>
  <c r="E2643" i="66"/>
  <c r="I2642" i="66"/>
  <c r="H2642" i="66"/>
  <c r="G2642" i="66"/>
  <c r="E2642" i="66"/>
  <c r="I2641" i="66"/>
  <c r="H2641" i="66"/>
  <c r="G2641" i="66"/>
  <c r="E2641" i="66"/>
  <c r="I2640" i="66"/>
  <c r="H2640" i="66"/>
  <c r="G2640" i="66"/>
  <c r="D2640" i="66" s="1"/>
  <c r="E2640" i="66"/>
  <c r="I2639" i="66"/>
  <c r="H2639" i="66"/>
  <c r="G2639" i="66"/>
  <c r="E2639" i="66"/>
  <c r="I2638" i="66"/>
  <c r="H2638" i="66"/>
  <c r="G2638" i="66"/>
  <c r="E2638" i="66"/>
  <c r="I2637" i="66"/>
  <c r="H2637" i="66"/>
  <c r="G2637" i="66"/>
  <c r="D2637" i="66" s="1"/>
  <c r="E2637" i="66"/>
  <c r="I2636" i="66"/>
  <c r="H2636" i="66"/>
  <c r="G2636" i="66"/>
  <c r="E2636" i="66"/>
  <c r="I2635" i="66"/>
  <c r="H2635" i="66"/>
  <c r="G2635" i="66"/>
  <c r="E2635" i="66"/>
  <c r="I2634" i="66"/>
  <c r="H2634" i="66"/>
  <c r="G2634" i="66"/>
  <c r="D2634" i="66" s="1"/>
  <c r="E2634" i="66"/>
  <c r="I2633" i="66"/>
  <c r="H2633" i="66"/>
  <c r="G2633" i="66"/>
  <c r="E2633" i="66"/>
  <c r="I2632" i="66"/>
  <c r="H2632" i="66"/>
  <c r="G2632" i="66"/>
  <c r="D2632" i="66" s="1"/>
  <c r="E2632" i="66"/>
  <c r="I2631" i="66"/>
  <c r="H2631" i="66"/>
  <c r="G2631" i="66"/>
  <c r="D2631" i="66" s="1"/>
  <c r="E2631" i="66"/>
  <c r="I2630" i="66"/>
  <c r="H2630" i="66"/>
  <c r="G2630" i="66"/>
  <c r="E2630" i="66"/>
  <c r="I2629" i="66"/>
  <c r="H2629" i="66"/>
  <c r="G2629" i="66"/>
  <c r="E2629" i="66"/>
  <c r="I2628" i="66"/>
  <c r="H2628" i="66"/>
  <c r="G2628" i="66"/>
  <c r="D2628" i="66" s="1"/>
  <c r="E2628" i="66"/>
  <c r="I2627" i="66"/>
  <c r="H2627" i="66"/>
  <c r="G2627" i="66"/>
  <c r="E2627" i="66"/>
  <c r="I2626" i="66"/>
  <c r="H2626" i="66"/>
  <c r="G2626" i="66"/>
  <c r="E2626" i="66"/>
  <c r="I2625" i="66"/>
  <c r="H2625" i="66"/>
  <c r="G2625" i="66"/>
  <c r="D2625" i="66" s="1"/>
  <c r="E2625" i="66"/>
  <c r="I2624" i="66"/>
  <c r="H2624" i="66"/>
  <c r="G2624" i="66"/>
  <c r="E2624" i="66"/>
  <c r="I2623" i="66"/>
  <c r="H2623" i="66"/>
  <c r="G2623" i="66"/>
  <c r="E2623" i="66"/>
  <c r="I2622" i="66"/>
  <c r="H2622" i="66"/>
  <c r="G2622" i="66"/>
  <c r="D2622" i="66" s="1"/>
  <c r="E2622" i="66"/>
  <c r="I2621" i="66"/>
  <c r="H2621" i="66"/>
  <c r="G2621" i="66"/>
  <c r="E2621" i="66"/>
  <c r="I2620" i="66"/>
  <c r="H2620" i="66"/>
  <c r="G2620" i="66"/>
  <c r="E2620" i="66"/>
  <c r="I2619" i="66"/>
  <c r="H2619" i="66"/>
  <c r="G2619" i="66"/>
  <c r="D2619" i="66" s="1"/>
  <c r="E2619" i="66"/>
  <c r="I2618" i="66"/>
  <c r="H2618" i="66"/>
  <c r="G2618" i="66"/>
  <c r="E2618" i="66"/>
  <c r="I2617" i="66"/>
  <c r="H2617" i="66"/>
  <c r="G2617" i="66"/>
  <c r="D2617" i="66" s="1"/>
  <c r="E2617" i="66"/>
  <c r="I2616" i="66"/>
  <c r="H2616" i="66"/>
  <c r="G2616" i="66"/>
  <c r="D2616" i="66" s="1"/>
  <c r="E2616" i="66"/>
  <c r="I2615" i="66"/>
  <c r="H2615" i="66"/>
  <c r="G2615" i="66"/>
  <c r="E2615" i="66"/>
  <c r="I2614" i="66"/>
  <c r="H2614" i="66"/>
  <c r="G2614" i="66"/>
  <c r="E2614" i="66"/>
  <c r="I2613" i="66"/>
  <c r="H2613" i="66"/>
  <c r="G2613" i="66"/>
  <c r="D2613" i="66" s="1"/>
  <c r="E2613" i="66"/>
  <c r="I2612" i="66"/>
  <c r="H2612" i="66"/>
  <c r="G2612" i="66"/>
  <c r="E2612" i="66"/>
  <c r="I2611" i="66"/>
  <c r="H2611" i="66"/>
  <c r="G2611" i="66"/>
  <c r="E2611" i="66"/>
  <c r="I2610" i="66"/>
  <c r="H2610" i="66"/>
  <c r="G2610" i="66"/>
  <c r="D2610" i="66" s="1"/>
  <c r="E2610" i="66"/>
  <c r="I2609" i="66"/>
  <c r="H2609" i="66"/>
  <c r="G2609" i="66"/>
  <c r="E2609" i="66"/>
  <c r="I2608" i="66"/>
  <c r="H2608" i="66"/>
  <c r="G2608" i="66"/>
  <c r="E2608" i="66"/>
  <c r="I2607" i="66"/>
  <c r="H2607" i="66"/>
  <c r="G2607" i="66"/>
  <c r="D2607" i="66" s="1"/>
  <c r="E2607" i="66"/>
  <c r="I2606" i="66"/>
  <c r="H2606" i="66"/>
  <c r="G2606" i="66"/>
  <c r="E2606" i="66"/>
  <c r="I2605" i="66"/>
  <c r="H2605" i="66"/>
  <c r="G2605" i="66"/>
  <c r="E2605" i="66"/>
  <c r="I2604" i="66"/>
  <c r="H2604" i="66"/>
  <c r="G2604" i="66"/>
  <c r="D2604" i="66" s="1"/>
  <c r="E2604" i="66"/>
  <c r="I2603" i="66"/>
  <c r="H2603" i="66"/>
  <c r="G2603" i="66"/>
  <c r="D2603" i="66" s="1"/>
  <c r="E2603" i="66"/>
  <c r="I2602" i="66"/>
  <c r="H2602" i="66"/>
  <c r="G2602" i="66"/>
  <c r="E2602" i="66"/>
  <c r="I2601" i="66"/>
  <c r="H2601" i="66"/>
  <c r="G2601" i="66"/>
  <c r="D2601" i="66" s="1"/>
  <c r="E2601" i="66"/>
  <c r="I2600" i="66"/>
  <c r="H2600" i="66"/>
  <c r="G2600" i="66"/>
  <c r="E2600" i="66"/>
  <c r="I2599" i="66"/>
  <c r="H2599" i="66"/>
  <c r="G2599" i="66"/>
  <c r="D2599" i="66" s="1"/>
  <c r="E2599" i="66"/>
  <c r="I2598" i="66"/>
  <c r="H2598" i="66"/>
  <c r="G2598" i="66"/>
  <c r="D2598" i="66" s="1"/>
  <c r="E2598" i="66"/>
  <c r="I2597" i="66"/>
  <c r="H2597" i="66"/>
  <c r="G2597" i="66"/>
  <c r="E2597" i="66"/>
  <c r="I2596" i="66"/>
  <c r="H2596" i="66"/>
  <c r="G2596" i="66"/>
  <c r="E2596" i="66"/>
  <c r="I2595" i="66"/>
  <c r="H2595" i="66"/>
  <c r="G2595" i="66"/>
  <c r="D2595" i="66" s="1"/>
  <c r="E2595" i="66"/>
  <c r="I2594" i="66"/>
  <c r="H2594" i="66"/>
  <c r="G2594" i="66"/>
  <c r="E2594" i="66"/>
  <c r="I2593" i="66"/>
  <c r="H2593" i="66"/>
  <c r="G2593" i="66"/>
  <c r="E2593" i="66"/>
  <c r="I2592" i="66"/>
  <c r="H2592" i="66"/>
  <c r="G2592" i="66"/>
  <c r="D2592" i="66" s="1"/>
  <c r="E2592" i="66"/>
  <c r="I2591" i="66"/>
  <c r="H2591" i="66"/>
  <c r="G2591" i="66"/>
  <c r="E2591" i="66"/>
  <c r="I2590" i="66"/>
  <c r="H2590" i="66"/>
  <c r="G2590" i="66"/>
  <c r="D2590" i="66" s="1"/>
  <c r="E2590" i="66"/>
  <c r="I2589" i="66"/>
  <c r="H2589" i="66"/>
  <c r="G2589" i="66"/>
  <c r="D2589" i="66" s="1"/>
  <c r="E2589" i="66"/>
  <c r="I2588" i="66"/>
  <c r="H2588" i="66"/>
  <c r="G2588" i="66"/>
  <c r="E2588" i="66"/>
  <c r="I2587" i="66"/>
  <c r="H2587" i="66"/>
  <c r="G2587" i="66"/>
  <c r="E2587" i="66"/>
  <c r="I2586" i="66"/>
  <c r="H2586" i="66"/>
  <c r="G2586" i="66"/>
  <c r="D2586" i="66" s="1"/>
  <c r="E2586" i="66"/>
  <c r="I2585" i="66"/>
  <c r="H2585" i="66"/>
  <c r="G2585" i="66"/>
  <c r="E2585" i="66"/>
  <c r="I2584" i="66"/>
  <c r="H2584" i="66"/>
  <c r="G2584" i="66"/>
  <c r="E2584" i="66"/>
  <c r="I2583" i="66"/>
  <c r="H2583" i="66"/>
  <c r="G2583" i="66"/>
  <c r="D2583" i="66" s="1"/>
  <c r="E2583" i="66"/>
  <c r="I2582" i="66"/>
  <c r="H2582" i="66"/>
  <c r="G2582" i="66"/>
  <c r="E2582" i="66"/>
  <c r="I2581" i="66"/>
  <c r="H2581" i="66"/>
  <c r="G2581" i="66"/>
  <c r="E2581" i="66"/>
  <c r="I2580" i="66"/>
  <c r="H2580" i="66"/>
  <c r="G2580" i="66"/>
  <c r="D2580" i="66" s="1"/>
  <c r="E2580" i="66"/>
  <c r="I2579" i="66"/>
  <c r="H2579" i="66"/>
  <c r="G2579" i="66"/>
  <c r="E2579" i="66"/>
  <c r="I2578" i="66"/>
  <c r="H2578" i="66"/>
  <c r="G2578" i="66"/>
  <c r="E2578" i="66"/>
  <c r="I2577" i="66"/>
  <c r="H2577" i="66"/>
  <c r="G2577" i="66"/>
  <c r="D2577" i="66" s="1"/>
  <c r="E2577" i="66"/>
  <c r="I2576" i="66"/>
  <c r="H2576" i="66"/>
  <c r="G2576" i="66"/>
  <c r="E2576" i="66"/>
  <c r="I2575" i="66"/>
  <c r="H2575" i="66"/>
  <c r="G2575" i="66"/>
  <c r="D2575" i="66" s="1"/>
  <c r="E2575" i="66"/>
  <c r="I2574" i="66"/>
  <c r="H2574" i="66"/>
  <c r="G2574" i="66"/>
  <c r="D2574" i="66" s="1"/>
  <c r="E2574" i="66"/>
  <c r="I2573" i="66"/>
  <c r="H2573" i="66"/>
  <c r="G2573" i="66"/>
  <c r="E2573" i="66"/>
  <c r="I2572" i="66"/>
  <c r="H2572" i="66"/>
  <c r="G2572" i="66"/>
  <c r="E2572" i="66"/>
  <c r="I2571" i="66"/>
  <c r="H2571" i="66"/>
  <c r="G2571" i="66"/>
  <c r="D2571" i="66" s="1"/>
  <c r="E2571" i="66"/>
  <c r="I2570" i="66"/>
  <c r="H2570" i="66"/>
  <c r="G2570" i="66"/>
  <c r="E2570" i="66"/>
  <c r="I2569" i="66"/>
  <c r="H2569" i="66"/>
  <c r="G2569" i="66"/>
  <c r="D2569" i="66" s="1"/>
  <c r="E2569" i="66"/>
  <c r="I2568" i="66"/>
  <c r="H2568" i="66"/>
  <c r="G2568" i="66"/>
  <c r="D2568" i="66" s="1"/>
  <c r="E2568" i="66"/>
  <c r="I2567" i="66"/>
  <c r="H2567" i="66"/>
  <c r="G2567" i="66"/>
  <c r="E2567" i="66"/>
  <c r="I2566" i="66"/>
  <c r="H2566" i="66"/>
  <c r="G2566" i="66"/>
  <c r="D2566" i="66" s="1"/>
  <c r="E2566" i="66"/>
  <c r="I2565" i="66"/>
  <c r="H2565" i="66"/>
  <c r="G2565" i="66"/>
  <c r="E2565" i="66"/>
  <c r="I2564" i="66"/>
  <c r="H2564" i="66"/>
  <c r="G2564" i="66"/>
  <c r="E2564" i="66"/>
  <c r="I2563" i="66"/>
  <c r="H2563" i="66"/>
  <c r="G2563" i="66"/>
  <c r="E2563" i="66"/>
  <c r="I2562" i="66"/>
  <c r="H2562" i="66"/>
  <c r="G2562" i="66"/>
  <c r="D2562" i="66" s="1"/>
  <c r="E2562" i="66"/>
  <c r="I2561" i="66"/>
  <c r="H2561" i="66"/>
  <c r="G2561" i="66"/>
  <c r="E2561" i="66"/>
  <c r="I2560" i="66"/>
  <c r="H2560" i="66"/>
  <c r="G2560" i="66"/>
  <c r="D2560" i="66" s="1"/>
  <c r="E2560" i="66"/>
  <c r="I2559" i="66"/>
  <c r="H2559" i="66"/>
  <c r="G2559" i="66"/>
  <c r="D2559" i="66" s="1"/>
  <c r="E2559" i="66"/>
  <c r="I2558" i="66"/>
  <c r="H2558" i="66"/>
  <c r="G2558" i="66"/>
  <c r="E2558" i="66"/>
  <c r="I2557" i="66"/>
  <c r="H2557" i="66"/>
  <c r="G2557" i="66"/>
  <c r="D2557" i="66" s="1"/>
  <c r="E2557" i="66"/>
  <c r="I2556" i="66"/>
  <c r="H2556" i="66"/>
  <c r="G2556" i="66"/>
  <c r="D2556" i="66" s="1"/>
  <c r="E2556" i="66"/>
  <c r="I2555" i="66"/>
  <c r="H2555" i="66"/>
  <c r="G2555" i="66"/>
  <c r="E2555" i="66"/>
  <c r="I2554" i="66"/>
  <c r="H2554" i="66"/>
  <c r="G2554" i="66"/>
  <c r="E2554" i="66"/>
  <c r="I2553" i="66"/>
  <c r="H2553" i="66"/>
  <c r="G2553" i="66"/>
  <c r="D2553" i="66" s="1"/>
  <c r="E2553" i="66"/>
  <c r="I2552" i="66"/>
  <c r="H2552" i="66"/>
  <c r="G2552" i="66"/>
  <c r="E2552" i="66"/>
  <c r="I2551" i="66"/>
  <c r="H2551" i="66"/>
  <c r="G2551" i="66"/>
  <c r="E2551" i="66"/>
  <c r="I2550" i="66"/>
  <c r="H2550" i="66"/>
  <c r="G2550" i="66"/>
  <c r="D2550" i="66" s="1"/>
  <c r="E2550" i="66"/>
  <c r="I2549" i="66"/>
  <c r="H2549" i="66"/>
  <c r="G2549" i="66"/>
  <c r="E2549" i="66"/>
  <c r="I2548" i="66"/>
  <c r="H2548" i="66"/>
  <c r="G2548" i="66"/>
  <c r="E2548" i="66"/>
  <c r="I2547" i="66"/>
  <c r="H2547" i="66"/>
  <c r="G2547" i="66"/>
  <c r="D2547" i="66" s="1"/>
  <c r="E2547" i="66"/>
  <c r="I2546" i="66"/>
  <c r="H2546" i="66"/>
  <c r="G2546" i="66"/>
  <c r="E2546" i="66"/>
  <c r="I2545" i="66"/>
  <c r="H2545" i="66"/>
  <c r="G2545" i="66"/>
  <c r="E2545" i="66"/>
  <c r="I2544" i="66"/>
  <c r="H2544" i="66"/>
  <c r="G2544" i="66"/>
  <c r="D2544" i="66" s="1"/>
  <c r="E2544" i="66"/>
  <c r="I2543" i="66"/>
  <c r="H2543" i="66"/>
  <c r="G2543" i="66"/>
  <c r="E2543" i="66"/>
  <c r="I2542" i="66"/>
  <c r="H2542" i="66"/>
  <c r="G2542" i="66"/>
  <c r="D2542" i="66" s="1"/>
  <c r="E2542" i="66"/>
  <c r="I2541" i="66"/>
  <c r="H2541" i="66"/>
  <c r="G2541" i="66"/>
  <c r="D2541" i="66" s="1"/>
  <c r="E2541" i="66"/>
  <c r="I2540" i="66"/>
  <c r="H2540" i="66"/>
  <c r="G2540" i="66"/>
  <c r="E2540" i="66"/>
  <c r="I2539" i="66"/>
  <c r="H2539" i="66"/>
  <c r="G2539" i="66"/>
  <c r="D2539" i="66" s="1"/>
  <c r="E2539" i="66"/>
  <c r="I2538" i="66"/>
  <c r="H2538" i="66"/>
  <c r="G2538" i="66"/>
  <c r="D2538" i="66" s="1"/>
  <c r="E2538" i="66"/>
  <c r="I2537" i="66"/>
  <c r="H2537" i="66"/>
  <c r="G2537" i="66"/>
  <c r="E2537" i="66"/>
  <c r="I2536" i="66"/>
  <c r="H2536" i="66"/>
  <c r="G2536" i="66"/>
  <c r="E2536" i="66"/>
  <c r="I2535" i="66"/>
  <c r="H2535" i="66"/>
  <c r="G2535" i="66"/>
  <c r="D2535" i="66" s="1"/>
  <c r="E2535" i="66"/>
  <c r="I2534" i="66"/>
  <c r="H2534" i="66"/>
  <c r="G2534" i="66"/>
  <c r="E2534" i="66"/>
  <c r="I2533" i="66"/>
  <c r="H2533" i="66"/>
  <c r="G2533" i="66"/>
  <c r="E2533" i="66"/>
  <c r="I2532" i="66"/>
  <c r="H2532" i="66"/>
  <c r="G2532" i="66"/>
  <c r="D2532" i="66" s="1"/>
  <c r="E2532" i="66"/>
  <c r="I2531" i="66"/>
  <c r="H2531" i="66"/>
  <c r="G2531" i="66"/>
  <c r="E2531" i="66"/>
  <c r="I2530" i="66"/>
  <c r="H2530" i="66"/>
  <c r="G2530" i="66"/>
  <c r="D2530" i="66" s="1"/>
  <c r="E2530" i="66"/>
  <c r="I2529" i="66"/>
  <c r="H2529" i="66"/>
  <c r="G2529" i="66"/>
  <c r="D2529" i="66" s="1"/>
  <c r="E2529" i="66"/>
  <c r="I2528" i="66"/>
  <c r="H2528" i="66"/>
  <c r="G2528" i="66"/>
  <c r="E2528" i="66"/>
  <c r="I2527" i="66"/>
  <c r="H2527" i="66"/>
  <c r="G2527" i="66"/>
  <c r="D2527" i="66" s="1"/>
  <c r="E2527" i="66"/>
  <c r="I2526" i="66"/>
  <c r="H2526" i="66"/>
  <c r="G2526" i="66"/>
  <c r="D2526" i="66" s="1"/>
  <c r="E2526" i="66"/>
  <c r="I2525" i="66"/>
  <c r="H2525" i="66"/>
  <c r="G2525" i="66"/>
  <c r="E2525" i="66"/>
  <c r="I2524" i="66"/>
  <c r="H2524" i="66"/>
  <c r="G2524" i="66"/>
  <c r="E2524" i="66"/>
  <c r="I2523" i="66"/>
  <c r="H2523" i="66"/>
  <c r="G2523" i="66"/>
  <c r="D2523" i="66" s="1"/>
  <c r="E2523" i="66"/>
  <c r="I2522" i="66"/>
  <c r="H2522" i="66"/>
  <c r="G2522" i="66"/>
  <c r="E2522" i="66"/>
  <c r="I2521" i="66"/>
  <c r="H2521" i="66"/>
  <c r="G2521" i="66"/>
  <c r="D2521" i="66" s="1"/>
  <c r="E2521" i="66"/>
  <c r="I2520" i="66"/>
  <c r="H2520" i="66"/>
  <c r="G2520" i="66"/>
  <c r="D2520" i="66" s="1"/>
  <c r="E2520" i="66"/>
  <c r="I2519" i="66"/>
  <c r="H2519" i="66"/>
  <c r="G2519" i="66"/>
  <c r="E2519" i="66"/>
  <c r="I2518" i="66"/>
  <c r="H2518" i="66"/>
  <c r="G2518" i="66"/>
  <c r="E2518" i="66"/>
  <c r="I2517" i="66"/>
  <c r="H2517" i="66"/>
  <c r="G2517" i="66"/>
  <c r="D2517" i="66" s="1"/>
  <c r="E2517" i="66"/>
  <c r="I2516" i="66"/>
  <c r="H2516" i="66"/>
  <c r="G2516" i="66"/>
  <c r="E2516" i="66"/>
  <c r="I2515" i="66"/>
  <c r="H2515" i="66"/>
  <c r="G2515" i="66"/>
  <c r="E2515" i="66"/>
  <c r="I2514" i="66"/>
  <c r="H2514" i="66"/>
  <c r="G2514" i="66"/>
  <c r="D2514" i="66" s="1"/>
  <c r="E2514" i="66"/>
  <c r="I2513" i="66"/>
  <c r="H2513" i="66"/>
  <c r="G2513" i="66"/>
  <c r="D2513" i="66" s="1"/>
  <c r="E2513" i="66"/>
  <c r="I2512" i="66"/>
  <c r="H2512" i="66"/>
  <c r="G2512" i="66"/>
  <c r="D2512" i="66" s="1"/>
  <c r="E2512" i="66"/>
  <c r="I2511" i="66"/>
  <c r="H2511" i="66"/>
  <c r="G2511" i="66"/>
  <c r="D2511" i="66" s="1"/>
  <c r="E2511" i="66"/>
  <c r="I2510" i="66"/>
  <c r="H2510" i="66"/>
  <c r="G2510" i="66"/>
  <c r="E2510" i="66"/>
  <c r="I2509" i="66"/>
  <c r="H2509" i="66"/>
  <c r="G2509" i="66"/>
  <c r="E2509" i="66"/>
  <c r="I2508" i="66"/>
  <c r="H2508" i="66"/>
  <c r="G2508" i="66"/>
  <c r="D2508" i="66" s="1"/>
  <c r="E2508" i="66"/>
  <c r="I2507" i="66"/>
  <c r="H2507" i="66"/>
  <c r="G2507" i="66"/>
  <c r="E2507" i="66"/>
  <c r="I2506" i="66"/>
  <c r="H2506" i="66"/>
  <c r="G2506" i="66"/>
  <c r="D2506" i="66" s="1"/>
  <c r="E2506" i="66"/>
  <c r="I2505" i="66"/>
  <c r="H2505" i="66"/>
  <c r="G2505" i="66"/>
  <c r="D2505" i="66" s="1"/>
  <c r="E2505" i="66"/>
  <c r="I2504" i="66"/>
  <c r="H2504" i="66"/>
  <c r="G2504" i="66"/>
  <c r="E2504" i="66"/>
  <c r="I2503" i="66"/>
  <c r="H2503" i="66"/>
  <c r="G2503" i="66"/>
  <c r="D2503" i="66" s="1"/>
  <c r="E2503" i="66"/>
  <c r="I2502" i="66"/>
  <c r="H2502" i="66"/>
  <c r="G2502" i="66"/>
  <c r="D2502" i="66" s="1"/>
  <c r="E2502" i="66"/>
  <c r="I2501" i="66"/>
  <c r="H2501" i="66"/>
  <c r="G2501" i="66"/>
  <c r="E2501" i="66"/>
  <c r="I2500" i="66"/>
  <c r="H2500" i="66"/>
  <c r="G2500" i="66"/>
  <c r="E2500" i="66"/>
  <c r="I2499" i="66"/>
  <c r="H2499" i="66"/>
  <c r="G2499" i="66"/>
  <c r="D2499" i="66" s="1"/>
  <c r="E2499" i="66"/>
  <c r="I2498" i="66"/>
  <c r="H2498" i="66"/>
  <c r="G2498" i="66"/>
  <c r="E2498" i="66"/>
  <c r="I2497" i="66"/>
  <c r="H2497" i="66"/>
  <c r="G2497" i="66"/>
  <c r="D2497" i="66" s="1"/>
  <c r="E2497" i="66"/>
  <c r="I2496" i="66"/>
  <c r="H2496" i="66"/>
  <c r="G2496" i="66"/>
  <c r="D2496" i="66" s="1"/>
  <c r="E2496" i="66"/>
  <c r="I2495" i="66"/>
  <c r="H2495" i="66"/>
  <c r="G2495" i="66"/>
  <c r="E2495" i="66"/>
  <c r="I2494" i="66"/>
  <c r="H2494" i="66"/>
  <c r="G2494" i="66"/>
  <c r="E2494" i="66"/>
  <c r="I2493" i="66"/>
  <c r="H2493" i="66"/>
  <c r="G2493" i="66"/>
  <c r="D2493" i="66" s="1"/>
  <c r="E2493" i="66"/>
  <c r="I2492" i="66"/>
  <c r="H2492" i="66"/>
  <c r="G2492" i="66"/>
  <c r="E2492" i="66"/>
  <c r="I2491" i="66"/>
  <c r="H2491" i="66"/>
  <c r="G2491" i="66"/>
  <c r="E2491" i="66"/>
  <c r="I2490" i="66"/>
  <c r="H2490" i="66"/>
  <c r="G2490" i="66"/>
  <c r="D2490" i="66" s="1"/>
  <c r="E2490" i="66"/>
  <c r="I2489" i="66"/>
  <c r="H2489" i="66"/>
  <c r="G2489" i="66"/>
  <c r="E2489" i="66"/>
  <c r="I2488" i="66"/>
  <c r="H2488" i="66"/>
  <c r="G2488" i="66"/>
  <c r="D2488" i="66" s="1"/>
  <c r="E2488" i="66"/>
  <c r="I2487" i="66"/>
  <c r="H2487" i="66"/>
  <c r="G2487" i="66"/>
  <c r="D2487" i="66" s="1"/>
  <c r="E2487" i="66"/>
  <c r="I2486" i="66"/>
  <c r="H2486" i="66"/>
  <c r="G2486" i="66"/>
  <c r="E2486" i="66"/>
  <c r="I2485" i="66"/>
  <c r="H2485" i="66"/>
  <c r="G2485" i="66"/>
  <c r="D2485" i="66" s="1"/>
  <c r="E2485" i="66"/>
  <c r="I2484" i="66"/>
  <c r="H2484" i="66"/>
  <c r="G2484" i="66"/>
  <c r="D2484" i="66" s="1"/>
  <c r="E2484" i="66"/>
  <c r="I2483" i="66"/>
  <c r="H2483" i="66"/>
  <c r="G2483" i="66"/>
  <c r="E2483" i="66"/>
  <c r="I2482" i="66"/>
  <c r="H2482" i="66"/>
  <c r="G2482" i="66"/>
  <c r="E2482" i="66"/>
  <c r="I2481" i="66"/>
  <c r="H2481" i="66"/>
  <c r="G2481" i="66"/>
  <c r="D2481" i="66" s="1"/>
  <c r="E2481" i="66"/>
  <c r="I2480" i="66"/>
  <c r="H2480" i="66"/>
  <c r="G2480" i="66"/>
  <c r="E2480" i="66"/>
  <c r="I2479" i="66"/>
  <c r="H2479" i="66"/>
  <c r="G2479" i="66"/>
  <c r="D2479" i="66" s="1"/>
  <c r="E2479" i="66"/>
  <c r="I2478" i="66"/>
  <c r="H2478" i="66"/>
  <c r="G2478" i="66"/>
  <c r="D2478" i="66" s="1"/>
  <c r="E2478" i="66"/>
  <c r="I2477" i="66"/>
  <c r="H2477" i="66"/>
  <c r="G2477" i="66"/>
  <c r="E2477" i="66"/>
  <c r="I2476" i="66"/>
  <c r="H2476" i="66"/>
  <c r="G2476" i="66"/>
  <c r="E2476" i="66"/>
  <c r="I2475" i="66"/>
  <c r="H2475" i="66"/>
  <c r="G2475" i="66"/>
  <c r="D2475" i="66" s="1"/>
  <c r="E2475" i="66"/>
  <c r="I2474" i="66"/>
  <c r="H2474" i="66"/>
  <c r="G2474" i="66"/>
  <c r="E2474" i="66"/>
  <c r="I2473" i="66"/>
  <c r="H2473" i="66"/>
  <c r="G2473" i="66"/>
  <c r="E2473" i="66"/>
  <c r="I2472" i="66"/>
  <c r="H2472" i="66"/>
  <c r="G2472" i="66"/>
  <c r="D2472" i="66" s="1"/>
  <c r="E2472" i="66"/>
  <c r="I2471" i="66"/>
  <c r="H2471" i="66"/>
  <c r="G2471" i="66"/>
  <c r="E2471" i="66"/>
  <c r="I2470" i="66"/>
  <c r="H2470" i="66"/>
  <c r="G2470" i="66"/>
  <c r="D2470" i="66" s="1"/>
  <c r="E2470" i="66"/>
  <c r="I2469" i="66"/>
  <c r="H2469" i="66"/>
  <c r="G2469" i="66"/>
  <c r="D2469" i="66" s="1"/>
  <c r="E2469" i="66"/>
  <c r="I2468" i="66"/>
  <c r="H2468" i="66"/>
  <c r="G2468" i="66"/>
  <c r="E2468" i="66"/>
  <c r="I2467" i="66"/>
  <c r="H2467" i="66"/>
  <c r="G2467" i="66"/>
  <c r="E2467" i="66"/>
  <c r="I2466" i="66"/>
  <c r="H2466" i="66"/>
  <c r="G2466" i="66"/>
  <c r="D2466" i="66" s="1"/>
  <c r="E2466" i="66"/>
  <c r="I2465" i="66"/>
  <c r="H2465" i="66"/>
  <c r="G2465" i="66"/>
  <c r="E2465" i="66"/>
  <c r="I2464" i="66"/>
  <c r="H2464" i="66"/>
  <c r="G2464" i="66"/>
  <c r="E2464" i="66"/>
  <c r="I2463" i="66"/>
  <c r="H2463" i="66"/>
  <c r="G2463" i="66"/>
  <c r="D2463" i="66" s="1"/>
  <c r="E2463" i="66"/>
  <c r="I2462" i="66"/>
  <c r="H2462" i="66"/>
  <c r="G2462" i="66"/>
  <c r="E2462" i="66"/>
  <c r="I2461" i="66"/>
  <c r="H2461" i="66"/>
  <c r="G2461" i="66"/>
  <c r="D2461" i="66" s="1"/>
  <c r="E2461" i="66"/>
  <c r="I2460" i="66"/>
  <c r="H2460" i="66"/>
  <c r="G2460" i="66"/>
  <c r="D2460" i="66" s="1"/>
  <c r="E2460" i="66"/>
  <c r="I2459" i="66"/>
  <c r="H2459" i="66"/>
  <c r="G2459" i="66"/>
  <c r="E2459" i="66"/>
  <c r="I2458" i="66"/>
  <c r="H2458" i="66"/>
  <c r="G2458" i="66"/>
  <c r="D2458" i="66" s="1"/>
  <c r="E2458" i="66"/>
  <c r="I2457" i="66"/>
  <c r="H2457" i="66"/>
  <c r="G2457" i="66"/>
  <c r="D2457" i="66" s="1"/>
  <c r="E2457" i="66"/>
  <c r="I2456" i="66"/>
  <c r="H2456" i="66"/>
  <c r="G2456" i="66"/>
  <c r="E2456" i="66"/>
  <c r="I2455" i="66"/>
  <c r="H2455" i="66"/>
  <c r="G2455" i="66"/>
  <c r="D2455" i="66" s="1"/>
  <c r="E2455" i="66"/>
  <c r="I2454" i="66"/>
  <c r="H2454" i="66"/>
  <c r="G2454" i="66"/>
  <c r="D2454" i="66" s="1"/>
  <c r="E2454" i="66"/>
  <c r="I2453" i="66"/>
  <c r="H2453" i="66"/>
  <c r="G2453" i="66"/>
  <c r="E2453" i="66"/>
  <c r="I2452" i="66"/>
  <c r="H2452" i="66"/>
  <c r="G2452" i="66"/>
  <c r="D2452" i="66" s="1"/>
  <c r="E2452" i="66"/>
  <c r="I2451" i="66"/>
  <c r="H2451" i="66"/>
  <c r="G2451" i="66"/>
  <c r="D2451" i="66" s="1"/>
  <c r="E2451" i="66"/>
  <c r="I2450" i="66"/>
  <c r="H2450" i="66"/>
  <c r="G2450" i="66"/>
  <c r="E2450" i="66"/>
  <c r="I2449" i="66"/>
  <c r="H2449" i="66"/>
  <c r="G2449" i="66"/>
  <c r="E2449" i="66"/>
  <c r="I2448" i="66"/>
  <c r="H2448" i="66"/>
  <c r="G2448" i="66"/>
  <c r="D2448" i="66" s="1"/>
  <c r="E2448" i="66"/>
  <c r="I2447" i="66"/>
  <c r="H2447" i="66"/>
  <c r="G2447" i="66"/>
  <c r="E2447" i="66"/>
  <c r="I2446" i="66"/>
  <c r="H2446" i="66"/>
  <c r="G2446" i="66"/>
  <c r="E2446" i="66"/>
  <c r="I2445" i="66"/>
  <c r="H2445" i="66"/>
  <c r="G2445" i="66"/>
  <c r="D2445" i="66" s="1"/>
  <c r="E2445" i="66"/>
  <c r="I2444" i="66"/>
  <c r="H2444" i="66"/>
  <c r="G2444" i="66"/>
  <c r="E2444" i="66"/>
  <c r="I2443" i="66"/>
  <c r="H2443" i="66"/>
  <c r="G2443" i="66"/>
  <c r="E2443" i="66"/>
  <c r="I2442" i="66"/>
  <c r="H2442" i="66"/>
  <c r="G2442" i="66"/>
  <c r="D2442" i="66" s="1"/>
  <c r="E2442" i="66"/>
  <c r="I2441" i="66"/>
  <c r="H2441" i="66"/>
  <c r="G2441" i="66"/>
  <c r="E2441" i="66"/>
  <c r="I2440" i="66"/>
  <c r="H2440" i="66"/>
  <c r="G2440" i="66"/>
  <c r="E2440" i="66"/>
  <c r="I2439" i="66"/>
  <c r="H2439" i="66"/>
  <c r="G2439" i="66"/>
  <c r="D2439" i="66" s="1"/>
  <c r="E2439" i="66"/>
  <c r="I2438" i="66"/>
  <c r="H2438" i="66"/>
  <c r="G2438" i="66"/>
  <c r="E2438" i="66"/>
  <c r="I2437" i="66"/>
  <c r="H2437" i="66"/>
  <c r="G2437" i="66"/>
  <c r="E2437" i="66"/>
  <c r="I2436" i="66"/>
  <c r="H2436" i="66"/>
  <c r="G2436" i="66"/>
  <c r="E2436" i="66"/>
  <c r="I2435" i="66"/>
  <c r="H2435" i="66"/>
  <c r="G2435" i="66"/>
  <c r="E2435" i="66"/>
  <c r="I2434" i="66"/>
  <c r="H2434" i="66"/>
  <c r="G2434" i="66"/>
  <c r="E2434" i="66"/>
  <c r="I2433" i="66"/>
  <c r="H2433" i="66"/>
  <c r="G2433" i="66"/>
  <c r="E2433" i="66"/>
  <c r="I2432" i="66"/>
  <c r="H2432" i="66"/>
  <c r="G2432" i="66"/>
  <c r="E2432" i="66"/>
  <c r="I2431" i="66"/>
  <c r="H2431" i="66"/>
  <c r="G2431" i="66"/>
  <c r="D2431" i="66" s="1"/>
  <c r="E2431" i="66"/>
  <c r="I2430" i="66"/>
  <c r="H2430" i="66"/>
  <c r="G2430" i="66"/>
  <c r="D2430" i="66" s="1"/>
  <c r="E2430" i="66"/>
  <c r="I2429" i="66"/>
  <c r="H2429" i="66"/>
  <c r="G2429" i="66"/>
  <c r="E2429" i="66"/>
  <c r="I2428" i="66"/>
  <c r="H2428" i="66"/>
  <c r="G2428" i="66"/>
  <c r="E2428" i="66"/>
  <c r="I2427" i="66"/>
  <c r="H2427" i="66"/>
  <c r="G2427" i="66"/>
  <c r="D2427" i="66" s="1"/>
  <c r="E2427" i="66"/>
  <c r="I2426" i="66"/>
  <c r="H2426" i="66"/>
  <c r="G2426" i="66"/>
  <c r="E2426" i="66"/>
  <c r="I2425" i="66"/>
  <c r="H2425" i="66"/>
  <c r="G2425" i="66"/>
  <c r="E2425" i="66"/>
  <c r="I2424" i="66"/>
  <c r="H2424" i="66"/>
  <c r="G2424" i="66"/>
  <c r="D2424" i="66" s="1"/>
  <c r="E2424" i="66"/>
  <c r="I2423" i="66"/>
  <c r="H2423" i="66"/>
  <c r="G2423" i="66"/>
  <c r="E2423" i="66"/>
  <c r="I2422" i="66"/>
  <c r="H2422" i="66"/>
  <c r="G2422" i="66"/>
  <c r="E2422" i="66"/>
  <c r="I2421" i="66"/>
  <c r="H2421" i="66"/>
  <c r="G2421" i="66"/>
  <c r="D2421" i="66" s="1"/>
  <c r="E2421" i="66"/>
  <c r="I2420" i="66"/>
  <c r="H2420" i="66"/>
  <c r="G2420" i="66"/>
  <c r="E2420" i="66"/>
  <c r="I2419" i="66"/>
  <c r="H2419" i="66"/>
  <c r="G2419" i="66"/>
  <c r="E2419" i="66"/>
  <c r="I2418" i="66"/>
  <c r="H2418" i="66"/>
  <c r="G2418" i="66"/>
  <c r="D2418" i="66" s="1"/>
  <c r="E2418" i="66"/>
  <c r="I2417" i="66"/>
  <c r="H2417" i="66"/>
  <c r="G2417" i="66"/>
  <c r="E2417" i="66"/>
  <c r="I2416" i="66"/>
  <c r="H2416" i="66"/>
  <c r="G2416" i="66"/>
  <c r="D2416" i="66" s="1"/>
  <c r="E2416" i="66"/>
  <c r="I2415" i="66"/>
  <c r="H2415" i="66"/>
  <c r="G2415" i="66"/>
  <c r="D2415" i="66" s="1"/>
  <c r="E2415" i="66"/>
  <c r="I2414" i="66"/>
  <c r="H2414" i="66"/>
  <c r="G2414" i="66"/>
  <c r="E2414" i="66"/>
  <c r="I2413" i="66"/>
  <c r="H2413" i="66"/>
  <c r="G2413" i="66"/>
  <c r="E2413" i="66"/>
  <c r="I2412" i="66"/>
  <c r="H2412" i="66"/>
  <c r="G2412" i="66"/>
  <c r="D2412" i="66" s="1"/>
  <c r="E2412" i="66"/>
  <c r="I2411" i="66"/>
  <c r="H2411" i="66"/>
  <c r="G2411" i="66"/>
  <c r="E2411" i="66"/>
  <c r="I2410" i="66"/>
  <c r="H2410" i="66"/>
  <c r="G2410" i="66"/>
  <c r="D2410" i="66" s="1"/>
  <c r="E2410" i="66"/>
  <c r="I2409" i="66"/>
  <c r="H2409" i="66"/>
  <c r="G2409" i="66"/>
  <c r="D2409" i="66" s="1"/>
  <c r="E2409" i="66"/>
  <c r="I2408" i="66"/>
  <c r="H2408" i="66"/>
  <c r="G2408" i="66"/>
  <c r="E2408" i="66"/>
  <c r="I2407" i="66"/>
  <c r="H2407" i="66"/>
  <c r="G2407" i="66"/>
  <c r="D2407" i="66" s="1"/>
  <c r="E2407" i="66"/>
  <c r="I2406" i="66"/>
  <c r="H2406" i="66"/>
  <c r="G2406" i="66"/>
  <c r="D2406" i="66" s="1"/>
  <c r="E2406" i="66"/>
  <c r="I2405" i="66"/>
  <c r="H2405" i="66"/>
  <c r="G2405" i="66"/>
  <c r="E2405" i="66"/>
  <c r="I2404" i="66"/>
  <c r="H2404" i="66"/>
  <c r="G2404" i="66"/>
  <c r="E2404" i="66"/>
  <c r="I2403" i="66"/>
  <c r="H2403" i="66"/>
  <c r="G2403" i="66"/>
  <c r="D2403" i="66" s="1"/>
  <c r="E2403" i="66"/>
  <c r="I2402" i="66"/>
  <c r="H2402" i="66"/>
  <c r="G2402" i="66"/>
  <c r="E2402" i="66"/>
  <c r="I2401" i="66"/>
  <c r="H2401" i="66"/>
  <c r="G2401" i="66"/>
  <c r="D2401" i="66" s="1"/>
  <c r="E2401" i="66"/>
  <c r="I2400" i="66"/>
  <c r="H2400" i="66"/>
  <c r="G2400" i="66"/>
  <c r="D2400" i="66" s="1"/>
  <c r="E2400" i="66"/>
  <c r="I2399" i="66"/>
  <c r="H2399" i="66"/>
  <c r="G2399" i="66"/>
  <c r="E2399" i="66"/>
  <c r="I2398" i="66"/>
  <c r="H2398" i="66"/>
  <c r="G2398" i="66"/>
  <c r="E2398" i="66"/>
  <c r="I2397" i="66"/>
  <c r="H2397" i="66"/>
  <c r="G2397" i="66"/>
  <c r="D2397" i="66" s="1"/>
  <c r="E2397" i="66"/>
  <c r="I2396" i="66"/>
  <c r="H2396" i="66"/>
  <c r="G2396" i="66"/>
  <c r="E2396" i="66"/>
  <c r="I2395" i="66"/>
  <c r="H2395" i="66"/>
  <c r="G2395" i="66"/>
  <c r="E2395" i="66"/>
  <c r="I2394" i="66"/>
  <c r="H2394" i="66"/>
  <c r="G2394" i="66"/>
  <c r="D2394" i="66" s="1"/>
  <c r="E2394" i="66"/>
  <c r="I2393" i="66"/>
  <c r="H2393" i="66"/>
  <c r="G2393" i="66"/>
  <c r="E2393" i="66"/>
  <c r="I2392" i="66"/>
  <c r="H2392" i="66"/>
  <c r="G2392" i="66"/>
  <c r="D2392" i="66" s="1"/>
  <c r="E2392" i="66"/>
  <c r="I2391" i="66"/>
  <c r="H2391" i="66"/>
  <c r="G2391" i="66"/>
  <c r="D2391" i="66" s="1"/>
  <c r="E2391" i="66"/>
  <c r="I2390" i="66"/>
  <c r="H2390" i="66"/>
  <c r="G2390" i="66"/>
  <c r="E2390" i="66"/>
  <c r="I2389" i="66"/>
  <c r="H2389" i="66"/>
  <c r="G2389" i="66"/>
  <c r="D2389" i="66" s="1"/>
  <c r="E2389" i="66"/>
  <c r="I2388" i="66"/>
  <c r="H2388" i="66"/>
  <c r="G2388" i="66"/>
  <c r="D2388" i="66" s="1"/>
  <c r="E2388" i="66"/>
  <c r="I2387" i="66"/>
  <c r="H2387" i="66"/>
  <c r="G2387" i="66"/>
  <c r="E2387" i="66"/>
  <c r="I2386" i="66"/>
  <c r="H2386" i="66"/>
  <c r="G2386" i="66"/>
  <c r="D2386" i="66" s="1"/>
  <c r="E2386" i="66"/>
  <c r="I2385" i="66"/>
  <c r="H2385" i="66"/>
  <c r="G2385" i="66"/>
  <c r="D2385" i="66" s="1"/>
  <c r="E2385" i="66"/>
  <c r="I2384" i="66"/>
  <c r="H2384" i="66"/>
  <c r="G2384" i="66"/>
  <c r="E2384" i="66"/>
  <c r="I2383" i="66"/>
  <c r="H2383" i="66"/>
  <c r="G2383" i="66"/>
  <c r="E2383" i="66"/>
  <c r="I2382" i="66"/>
  <c r="H2382" i="66"/>
  <c r="G2382" i="66"/>
  <c r="D2382" i="66" s="1"/>
  <c r="E2382" i="66"/>
  <c r="I2381" i="66"/>
  <c r="H2381" i="66"/>
  <c r="G2381" i="66"/>
  <c r="E2381" i="66"/>
  <c r="I2380" i="66"/>
  <c r="H2380" i="66"/>
  <c r="G2380" i="66"/>
  <c r="E2380" i="66"/>
  <c r="I2379" i="66"/>
  <c r="H2379" i="66"/>
  <c r="G2379" i="66"/>
  <c r="D2379" i="66" s="1"/>
  <c r="E2379" i="66"/>
  <c r="I2378" i="66"/>
  <c r="H2378" i="66"/>
  <c r="G2378" i="66"/>
  <c r="E2378" i="66"/>
  <c r="I2377" i="66"/>
  <c r="H2377" i="66"/>
  <c r="G2377" i="66"/>
  <c r="D2377" i="66" s="1"/>
  <c r="E2377" i="66"/>
  <c r="I2376" i="66"/>
  <c r="H2376" i="66"/>
  <c r="G2376" i="66"/>
  <c r="D2376" i="66" s="1"/>
  <c r="E2376" i="66"/>
  <c r="I2375" i="66"/>
  <c r="H2375" i="66"/>
  <c r="G2375" i="66"/>
  <c r="E2375" i="66"/>
  <c r="I2374" i="66"/>
  <c r="H2374" i="66"/>
  <c r="G2374" i="66"/>
  <c r="E2374" i="66"/>
  <c r="I2373" i="66"/>
  <c r="H2373" i="66"/>
  <c r="G2373" i="66"/>
  <c r="D2373" i="66" s="1"/>
  <c r="E2373" i="66"/>
  <c r="I2372" i="66"/>
  <c r="H2372" i="66"/>
  <c r="G2372" i="66"/>
  <c r="E2372" i="66"/>
  <c r="I2371" i="66"/>
  <c r="H2371" i="66"/>
  <c r="G2371" i="66"/>
  <c r="E2371" i="66"/>
  <c r="I2370" i="66"/>
  <c r="H2370" i="66"/>
  <c r="G2370" i="66"/>
  <c r="D2370" i="66" s="1"/>
  <c r="E2370" i="66"/>
  <c r="I2369" i="66"/>
  <c r="H2369" i="66"/>
  <c r="G2369" i="66"/>
  <c r="E2369" i="66"/>
  <c r="I2368" i="66"/>
  <c r="H2368" i="66"/>
  <c r="G2368" i="66"/>
  <c r="D2368" i="66" s="1"/>
  <c r="E2368" i="66"/>
  <c r="I2367" i="66"/>
  <c r="H2367" i="66"/>
  <c r="G2367" i="66"/>
  <c r="D2367" i="66" s="1"/>
  <c r="E2367" i="66"/>
  <c r="I2366" i="66"/>
  <c r="H2366" i="66"/>
  <c r="G2366" i="66"/>
  <c r="E2366" i="66"/>
  <c r="I2365" i="66"/>
  <c r="H2365" i="66"/>
  <c r="G2365" i="66"/>
  <c r="E2365" i="66"/>
  <c r="I2364" i="66"/>
  <c r="H2364" i="66"/>
  <c r="G2364" i="66"/>
  <c r="D2364" i="66" s="1"/>
  <c r="E2364" i="66"/>
  <c r="I2363" i="66"/>
  <c r="H2363" i="66"/>
  <c r="G2363" i="66"/>
  <c r="E2363" i="66"/>
  <c r="I2362" i="66"/>
  <c r="H2362" i="66"/>
  <c r="G2362" i="66"/>
  <c r="E2362" i="66"/>
  <c r="I2361" i="66"/>
  <c r="H2361" i="66"/>
  <c r="G2361" i="66"/>
  <c r="D2361" i="66" s="1"/>
  <c r="E2361" i="66"/>
  <c r="I2360" i="66"/>
  <c r="H2360" i="66"/>
  <c r="G2360" i="66"/>
  <c r="E2360" i="66"/>
  <c r="I2359" i="66"/>
  <c r="H2359" i="66"/>
  <c r="G2359" i="66"/>
  <c r="E2359" i="66"/>
  <c r="I2358" i="66"/>
  <c r="H2358" i="66"/>
  <c r="G2358" i="66"/>
  <c r="D2358" i="66" s="1"/>
  <c r="E2358" i="66"/>
  <c r="I2357" i="66"/>
  <c r="H2357" i="66"/>
  <c r="G2357" i="66"/>
  <c r="E2357" i="66"/>
  <c r="I2356" i="66"/>
  <c r="H2356" i="66"/>
  <c r="G2356" i="66"/>
  <c r="D2356" i="66" s="1"/>
  <c r="E2356" i="66"/>
  <c r="I2355" i="66"/>
  <c r="H2355" i="66"/>
  <c r="G2355" i="66"/>
  <c r="D2355" i="66" s="1"/>
  <c r="E2355" i="66"/>
  <c r="I2354" i="66"/>
  <c r="H2354" i="66"/>
  <c r="G2354" i="66"/>
  <c r="E2354" i="66"/>
  <c r="I2353" i="66"/>
  <c r="H2353" i="66"/>
  <c r="G2353" i="66"/>
  <c r="D2353" i="66" s="1"/>
  <c r="E2353" i="66"/>
  <c r="I2352" i="66"/>
  <c r="H2352" i="66"/>
  <c r="G2352" i="66"/>
  <c r="D2352" i="66" s="1"/>
  <c r="E2352" i="66"/>
  <c r="I2351" i="66"/>
  <c r="H2351" i="66"/>
  <c r="G2351" i="66"/>
  <c r="E2351" i="66"/>
  <c r="I2350" i="66"/>
  <c r="H2350" i="66"/>
  <c r="G2350" i="66"/>
  <c r="E2350" i="66"/>
  <c r="I2349" i="66"/>
  <c r="H2349" i="66"/>
  <c r="G2349" i="66"/>
  <c r="D2349" i="66" s="1"/>
  <c r="E2349" i="66"/>
  <c r="I2348" i="66"/>
  <c r="H2348" i="66"/>
  <c r="G2348" i="66"/>
  <c r="E2348" i="66"/>
  <c r="I2347" i="66"/>
  <c r="H2347" i="66"/>
  <c r="G2347" i="66"/>
  <c r="D2347" i="66" s="1"/>
  <c r="E2347" i="66"/>
  <c r="I2346" i="66"/>
  <c r="H2346" i="66"/>
  <c r="G2346" i="66"/>
  <c r="D2346" i="66" s="1"/>
  <c r="E2346" i="66"/>
  <c r="I2345" i="66"/>
  <c r="H2345" i="66"/>
  <c r="G2345" i="66"/>
  <c r="E2345" i="66"/>
  <c r="I2344" i="66"/>
  <c r="H2344" i="66"/>
  <c r="G2344" i="66"/>
  <c r="D2344" i="66" s="1"/>
  <c r="E2344" i="66"/>
  <c r="I2343" i="66"/>
  <c r="H2343" i="66"/>
  <c r="G2343" i="66"/>
  <c r="D2343" i="66" s="1"/>
  <c r="E2343" i="66"/>
  <c r="I2342" i="66"/>
  <c r="H2342" i="66"/>
  <c r="G2342" i="66"/>
  <c r="E2342" i="66"/>
  <c r="I2341" i="66"/>
  <c r="H2341" i="66"/>
  <c r="G2341" i="66"/>
  <c r="D2341" i="66" s="1"/>
  <c r="E2341" i="66"/>
  <c r="I2340" i="66"/>
  <c r="H2340" i="66"/>
  <c r="G2340" i="66"/>
  <c r="D2340" i="66" s="1"/>
  <c r="E2340" i="66"/>
  <c r="I2339" i="66"/>
  <c r="H2339" i="66"/>
  <c r="G2339" i="66"/>
  <c r="E2339" i="66"/>
  <c r="I2338" i="66"/>
  <c r="H2338" i="66"/>
  <c r="G2338" i="66"/>
  <c r="E2338" i="66"/>
  <c r="I2337" i="66"/>
  <c r="H2337" i="66"/>
  <c r="G2337" i="66"/>
  <c r="D2337" i="66" s="1"/>
  <c r="E2337" i="66"/>
  <c r="I2336" i="66"/>
  <c r="H2336" i="66"/>
  <c r="G2336" i="66"/>
  <c r="E2336" i="66"/>
  <c r="I2335" i="66"/>
  <c r="H2335" i="66"/>
  <c r="G2335" i="66"/>
  <c r="D2335" i="66" s="1"/>
  <c r="E2335" i="66"/>
  <c r="I2334" i="66"/>
  <c r="H2334" i="66"/>
  <c r="G2334" i="66"/>
  <c r="D2334" i="66" s="1"/>
  <c r="E2334" i="66"/>
  <c r="I2333" i="66"/>
  <c r="H2333" i="66"/>
  <c r="G2333" i="66"/>
  <c r="E2333" i="66"/>
  <c r="I2332" i="66"/>
  <c r="H2332" i="66"/>
  <c r="G2332" i="66"/>
  <c r="D2332" i="66" s="1"/>
  <c r="E2332" i="66"/>
  <c r="I2331" i="66"/>
  <c r="H2331" i="66"/>
  <c r="G2331" i="66"/>
  <c r="D2331" i="66" s="1"/>
  <c r="E2331" i="66"/>
  <c r="I2330" i="66"/>
  <c r="H2330" i="66"/>
  <c r="G2330" i="66"/>
  <c r="E2330" i="66"/>
  <c r="I2329" i="66"/>
  <c r="H2329" i="66"/>
  <c r="G2329" i="66"/>
  <c r="E2329" i="66"/>
  <c r="I2328" i="66"/>
  <c r="H2328" i="66"/>
  <c r="G2328" i="66"/>
  <c r="D2328" i="66" s="1"/>
  <c r="E2328" i="66"/>
  <c r="I2327" i="66"/>
  <c r="H2327" i="66"/>
  <c r="G2327" i="66"/>
  <c r="E2327" i="66"/>
  <c r="I2326" i="66"/>
  <c r="H2326" i="66"/>
  <c r="G2326" i="66"/>
  <c r="D2326" i="66" s="1"/>
  <c r="E2326" i="66"/>
  <c r="I2325" i="66"/>
  <c r="H2325" i="66"/>
  <c r="G2325" i="66"/>
  <c r="D2325" i="66" s="1"/>
  <c r="E2325" i="66"/>
  <c r="I2324" i="66"/>
  <c r="H2324" i="66"/>
  <c r="G2324" i="66"/>
  <c r="E2324" i="66"/>
  <c r="I2323" i="66"/>
  <c r="H2323" i="66"/>
  <c r="G2323" i="66"/>
  <c r="E2323" i="66"/>
  <c r="I2322" i="66"/>
  <c r="H2322" i="66"/>
  <c r="G2322" i="66"/>
  <c r="E2322" i="66"/>
  <c r="I2321" i="66"/>
  <c r="H2321" i="66"/>
  <c r="G2321" i="66"/>
  <c r="E2321" i="66"/>
  <c r="I2320" i="66"/>
  <c r="H2320" i="66"/>
  <c r="G2320" i="66"/>
  <c r="D2320" i="66" s="1"/>
  <c r="E2320" i="66"/>
  <c r="I2319" i="66"/>
  <c r="H2319" i="66"/>
  <c r="G2319" i="66"/>
  <c r="D2319" i="66" s="1"/>
  <c r="E2319" i="66"/>
  <c r="I2318" i="66"/>
  <c r="H2318" i="66"/>
  <c r="G2318" i="66"/>
  <c r="E2318" i="66"/>
  <c r="I2317" i="66"/>
  <c r="H2317" i="66"/>
  <c r="G2317" i="66"/>
  <c r="E2317" i="66"/>
  <c r="I2316" i="66"/>
  <c r="H2316" i="66"/>
  <c r="G2316" i="66"/>
  <c r="D2316" i="66" s="1"/>
  <c r="E2316" i="66"/>
  <c r="I2315" i="66"/>
  <c r="H2315" i="66"/>
  <c r="G2315" i="66"/>
  <c r="E2315" i="66"/>
  <c r="I2314" i="66"/>
  <c r="H2314" i="66"/>
  <c r="G2314" i="66"/>
  <c r="D2314" i="66" s="1"/>
  <c r="E2314" i="66"/>
  <c r="I2313" i="66"/>
  <c r="H2313" i="66"/>
  <c r="G2313" i="66"/>
  <c r="D2313" i="66" s="1"/>
  <c r="E2313" i="66"/>
  <c r="I2312" i="66"/>
  <c r="H2312" i="66"/>
  <c r="G2312" i="66"/>
  <c r="E2312" i="66"/>
  <c r="I2311" i="66"/>
  <c r="H2311" i="66"/>
  <c r="G2311" i="66"/>
  <c r="D2311" i="66" s="1"/>
  <c r="E2311" i="66"/>
  <c r="I2310" i="66"/>
  <c r="H2310" i="66"/>
  <c r="G2310" i="66"/>
  <c r="D2310" i="66" s="1"/>
  <c r="E2310" i="66"/>
  <c r="I2309" i="66"/>
  <c r="H2309" i="66"/>
  <c r="G2309" i="66"/>
  <c r="E2309" i="66"/>
  <c r="I2308" i="66"/>
  <c r="H2308" i="66"/>
  <c r="G2308" i="66"/>
  <c r="E2308" i="66"/>
  <c r="I2307" i="66"/>
  <c r="H2307" i="66"/>
  <c r="G2307" i="66"/>
  <c r="D2307" i="66" s="1"/>
  <c r="E2307" i="66"/>
  <c r="I2306" i="66"/>
  <c r="H2306" i="66"/>
  <c r="G2306" i="66"/>
  <c r="E2306" i="66"/>
  <c r="I2305" i="66"/>
  <c r="H2305" i="66"/>
  <c r="G2305" i="66"/>
  <c r="D2305" i="66" s="1"/>
  <c r="E2305" i="66"/>
  <c r="I2304" i="66"/>
  <c r="H2304" i="66"/>
  <c r="G2304" i="66"/>
  <c r="D2304" i="66" s="1"/>
  <c r="E2304" i="66"/>
  <c r="I2303" i="66"/>
  <c r="H2303" i="66"/>
  <c r="G2303" i="66"/>
  <c r="E2303" i="66"/>
  <c r="I2302" i="66"/>
  <c r="H2302" i="66"/>
  <c r="G2302" i="66"/>
  <c r="D2302" i="66" s="1"/>
  <c r="E2302" i="66"/>
  <c r="I2301" i="66"/>
  <c r="H2301" i="66"/>
  <c r="G2301" i="66"/>
  <c r="D2301" i="66" s="1"/>
  <c r="E2301" i="66"/>
  <c r="I2300" i="66"/>
  <c r="H2300" i="66"/>
  <c r="G2300" i="66"/>
  <c r="E2300" i="66"/>
  <c r="I2299" i="66"/>
  <c r="H2299" i="66"/>
  <c r="G2299" i="66"/>
  <c r="E2299" i="66"/>
  <c r="I2298" i="66"/>
  <c r="H2298" i="66"/>
  <c r="G2298" i="66"/>
  <c r="E2298" i="66"/>
  <c r="I2297" i="66"/>
  <c r="H2297" i="66"/>
  <c r="G2297" i="66"/>
  <c r="E2297" i="66"/>
  <c r="I2296" i="66"/>
  <c r="H2296" i="66"/>
  <c r="G2296" i="66"/>
  <c r="E2296" i="66"/>
  <c r="I2295" i="66"/>
  <c r="H2295" i="66"/>
  <c r="G2295" i="66"/>
  <c r="D2295" i="66" s="1"/>
  <c r="E2295" i="66"/>
  <c r="I2294" i="66"/>
  <c r="H2294" i="66"/>
  <c r="G2294" i="66"/>
  <c r="E2294" i="66"/>
  <c r="I2293" i="66"/>
  <c r="H2293" i="66"/>
  <c r="G2293" i="66"/>
  <c r="E2293" i="66"/>
  <c r="I2292" i="66"/>
  <c r="H2292" i="66"/>
  <c r="G2292" i="66"/>
  <c r="D2292" i="66" s="1"/>
  <c r="E2292" i="66"/>
  <c r="I2291" i="66"/>
  <c r="H2291" i="66"/>
  <c r="G2291" i="66"/>
  <c r="E2291" i="66"/>
  <c r="I2290" i="66"/>
  <c r="H2290" i="66"/>
  <c r="G2290" i="66"/>
  <c r="E2290" i="66"/>
  <c r="I2289" i="66"/>
  <c r="H2289" i="66"/>
  <c r="G2289" i="66"/>
  <c r="D2289" i="66" s="1"/>
  <c r="E2289" i="66"/>
  <c r="I2288" i="66"/>
  <c r="H2288" i="66"/>
  <c r="G2288" i="66"/>
  <c r="E2288" i="66"/>
  <c r="I2287" i="66"/>
  <c r="H2287" i="66"/>
  <c r="G2287" i="66"/>
  <c r="E2287" i="66"/>
  <c r="I2286" i="66"/>
  <c r="H2286" i="66"/>
  <c r="G2286" i="66"/>
  <c r="D2286" i="66" s="1"/>
  <c r="E2286" i="66"/>
  <c r="I2285" i="66"/>
  <c r="H2285" i="66"/>
  <c r="G2285" i="66"/>
  <c r="E2285" i="66"/>
  <c r="I2284" i="66"/>
  <c r="H2284" i="66"/>
  <c r="G2284" i="66"/>
  <c r="D2284" i="66" s="1"/>
  <c r="E2284" i="66"/>
  <c r="I2283" i="66"/>
  <c r="H2283" i="66"/>
  <c r="G2283" i="66"/>
  <c r="D2283" i="66" s="1"/>
  <c r="E2283" i="66"/>
  <c r="I2282" i="66"/>
  <c r="H2282" i="66"/>
  <c r="G2282" i="66"/>
  <c r="E2282" i="66"/>
  <c r="I2281" i="66"/>
  <c r="H2281" i="66"/>
  <c r="G2281" i="66"/>
  <c r="D2281" i="66" s="1"/>
  <c r="E2281" i="66"/>
  <c r="I2280" i="66"/>
  <c r="H2280" i="66"/>
  <c r="G2280" i="66"/>
  <c r="D2280" i="66" s="1"/>
  <c r="E2280" i="66"/>
  <c r="I2279" i="66"/>
  <c r="H2279" i="66"/>
  <c r="G2279" i="66"/>
  <c r="E2279" i="66"/>
  <c r="I2278" i="66"/>
  <c r="H2278" i="66"/>
  <c r="G2278" i="66"/>
  <c r="D2278" i="66" s="1"/>
  <c r="E2278" i="66"/>
  <c r="I2277" i="66"/>
  <c r="H2277" i="66"/>
  <c r="G2277" i="66"/>
  <c r="D2277" i="66" s="1"/>
  <c r="E2277" i="66"/>
  <c r="I2276" i="66"/>
  <c r="H2276" i="66"/>
  <c r="G2276" i="66"/>
  <c r="E2276" i="66"/>
  <c r="I2275" i="66"/>
  <c r="H2275" i="66"/>
  <c r="G2275" i="66"/>
  <c r="E2275" i="66"/>
  <c r="I2274" i="66"/>
  <c r="H2274" i="66"/>
  <c r="G2274" i="66"/>
  <c r="D2274" i="66" s="1"/>
  <c r="E2274" i="66"/>
  <c r="I2273" i="66"/>
  <c r="H2273" i="66"/>
  <c r="G2273" i="66"/>
  <c r="E2273" i="66"/>
  <c r="I2272" i="66"/>
  <c r="H2272" i="66"/>
  <c r="G2272" i="66"/>
  <c r="E2272" i="66"/>
  <c r="I2271" i="66"/>
  <c r="H2271" i="66"/>
  <c r="G2271" i="66"/>
  <c r="D2271" i="66" s="1"/>
  <c r="E2271" i="66"/>
  <c r="I2270" i="66"/>
  <c r="H2270" i="66"/>
  <c r="G2270" i="66"/>
  <c r="E2270" i="66"/>
  <c r="I2269" i="66"/>
  <c r="H2269" i="66"/>
  <c r="G2269" i="66"/>
  <c r="E2269" i="66"/>
  <c r="I2268" i="66"/>
  <c r="H2268" i="66"/>
  <c r="G2268" i="66"/>
  <c r="D2268" i="66" s="1"/>
  <c r="E2268" i="66"/>
  <c r="I2267" i="66"/>
  <c r="H2267" i="66"/>
  <c r="G2267" i="66"/>
  <c r="E2267" i="66"/>
  <c r="I2266" i="66"/>
  <c r="H2266" i="66"/>
  <c r="G2266" i="66"/>
  <c r="E2266" i="66"/>
  <c r="I2265" i="66"/>
  <c r="H2265" i="66"/>
  <c r="G2265" i="66"/>
  <c r="D2265" i="66" s="1"/>
  <c r="E2265" i="66"/>
  <c r="I2264" i="66"/>
  <c r="H2264" i="66"/>
  <c r="G2264" i="66"/>
  <c r="E2264" i="66"/>
  <c r="I2263" i="66"/>
  <c r="H2263" i="66"/>
  <c r="G2263" i="66"/>
  <c r="D2263" i="66" s="1"/>
  <c r="E2263" i="66"/>
  <c r="I2262" i="66"/>
  <c r="H2262" i="66"/>
  <c r="G2262" i="66"/>
  <c r="D2262" i="66" s="1"/>
  <c r="E2262" i="66"/>
  <c r="I2261" i="66"/>
  <c r="H2261" i="66"/>
  <c r="G2261" i="66"/>
  <c r="E2261" i="66"/>
  <c r="I2260" i="66"/>
  <c r="H2260" i="66"/>
  <c r="G2260" i="66"/>
  <c r="E2260" i="66"/>
  <c r="I2259" i="66"/>
  <c r="H2259" i="66"/>
  <c r="G2259" i="66"/>
  <c r="D2259" i="66" s="1"/>
  <c r="E2259" i="66"/>
  <c r="I2258" i="66"/>
  <c r="H2258" i="66"/>
  <c r="G2258" i="66"/>
  <c r="E2258" i="66"/>
  <c r="I2257" i="66"/>
  <c r="H2257" i="66"/>
  <c r="G2257" i="66"/>
  <c r="D2257" i="66" s="1"/>
  <c r="E2257" i="66"/>
  <c r="I2256" i="66"/>
  <c r="H2256" i="66"/>
  <c r="G2256" i="66"/>
  <c r="D2256" i="66" s="1"/>
  <c r="E2256" i="66"/>
  <c r="I2255" i="66"/>
  <c r="H2255" i="66"/>
  <c r="G2255" i="66"/>
  <c r="E2255" i="66"/>
  <c r="I2254" i="66"/>
  <c r="H2254" i="66"/>
  <c r="G2254" i="66"/>
  <c r="D2254" i="66" s="1"/>
  <c r="E2254" i="66"/>
  <c r="I2253" i="66"/>
  <c r="H2253" i="66"/>
  <c r="G2253" i="66"/>
  <c r="D2253" i="66" s="1"/>
  <c r="E2253" i="66"/>
  <c r="I2252" i="66"/>
  <c r="H2252" i="66"/>
  <c r="G2252" i="66"/>
  <c r="E2252" i="66"/>
  <c r="I2251" i="66"/>
  <c r="H2251" i="66"/>
  <c r="G2251" i="66"/>
  <c r="E2251" i="66"/>
  <c r="I2250" i="66"/>
  <c r="H2250" i="66"/>
  <c r="G2250" i="66"/>
  <c r="D2250" i="66" s="1"/>
  <c r="E2250" i="66"/>
  <c r="I2249" i="66"/>
  <c r="H2249" i="66"/>
  <c r="G2249" i="66"/>
  <c r="E2249" i="66"/>
  <c r="I2248" i="66"/>
  <c r="H2248" i="66"/>
  <c r="G2248" i="66"/>
  <c r="E2248" i="66"/>
  <c r="I2247" i="66"/>
  <c r="H2247" i="66"/>
  <c r="G2247" i="66"/>
  <c r="E2247" i="66"/>
  <c r="I2246" i="66"/>
  <c r="H2246" i="66"/>
  <c r="G2246" i="66"/>
  <c r="E2246" i="66"/>
  <c r="I2245" i="66"/>
  <c r="H2245" i="66"/>
  <c r="G2245" i="66"/>
  <c r="D2245" i="66" s="1"/>
  <c r="E2245" i="66"/>
  <c r="I2244" i="66"/>
  <c r="H2244" i="66"/>
  <c r="G2244" i="66"/>
  <c r="D2244" i="66" s="1"/>
  <c r="E2244" i="66"/>
  <c r="I2243" i="66"/>
  <c r="H2243" i="66"/>
  <c r="G2243" i="66"/>
  <c r="E2243" i="66"/>
  <c r="I2242" i="66"/>
  <c r="H2242" i="66"/>
  <c r="G2242" i="66"/>
  <c r="D2242" i="66" s="1"/>
  <c r="E2242" i="66"/>
  <c r="I2241" i="66"/>
  <c r="H2241" i="66"/>
  <c r="G2241" i="66"/>
  <c r="D2241" i="66" s="1"/>
  <c r="E2241" i="66"/>
  <c r="I2240" i="66"/>
  <c r="H2240" i="66"/>
  <c r="G2240" i="66"/>
  <c r="E2240" i="66"/>
  <c r="I2239" i="66"/>
  <c r="H2239" i="66"/>
  <c r="G2239" i="66"/>
  <c r="E2239" i="66"/>
  <c r="I2238" i="66"/>
  <c r="H2238" i="66"/>
  <c r="G2238" i="66"/>
  <c r="D2238" i="66" s="1"/>
  <c r="E2238" i="66"/>
  <c r="I2237" i="66"/>
  <c r="H2237" i="66"/>
  <c r="G2237" i="66"/>
  <c r="E2237" i="66"/>
  <c r="I2236" i="66"/>
  <c r="H2236" i="66"/>
  <c r="G2236" i="66"/>
  <c r="D2236" i="66" s="1"/>
  <c r="E2236" i="66"/>
  <c r="I2235" i="66"/>
  <c r="H2235" i="66"/>
  <c r="G2235" i="66"/>
  <c r="D2235" i="66" s="1"/>
  <c r="E2235" i="66"/>
  <c r="I2234" i="66"/>
  <c r="H2234" i="66"/>
  <c r="G2234" i="66"/>
  <c r="E2234" i="66"/>
  <c r="I2233" i="66"/>
  <c r="H2233" i="66"/>
  <c r="G2233" i="66"/>
  <c r="D2233" i="66" s="1"/>
  <c r="E2233" i="66"/>
  <c r="I2232" i="66"/>
  <c r="H2232" i="66"/>
  <c r="G2232" i="66"/>
  <c r="D2232" i="66" s="1"/>
  <c r="E2232" i="66"/>
  <c r="I2231" i="66"/>
  <c r="H2231" i="66"/>
  <c r="G2231" i="66"/>
  <c r="E2231" i="66"/>
  <c r="I2230" i="66"/>
  <c r="H2230" i="66"/>
  <c r="G2230" i="66"/>
  <c r="D2230" i="66" s="1"/>
  <c r="E2230" i="66"/>
  <c r="I2229" i="66"/>
  <c r="H2229" i="66"/>
  <c r="G2229" i="66"/>
  <c r="D2229" i="66" s="1"/>
  <c r="E2229" i="66"/>
  <c r="I2228" i="66"/>
  <c r="H2228" i="66"/>
  <c r="G2228" i="66"/>
  <c r="E2228" i="66"/>
  <c r="I2227" i="66"/>
  <c r="H2227" i="66"/>
  <c r="G2227" i="66"/>
  <c r="E2227" i="66"/>
  <c r="I2226" i="66"/>
  <c r="H2226" i="66"/>
  <c r="G2226" i="66"/>
  <c r="D2226" i="66" s="1"/>
  <c r="E2226" i="66"/>
  <c r="I2225" i="66"/>
  <c r="H2225" i="66"/>
  <c r="G2225" i="66"/>
  <c r="E2225" i="66"/>
  <c r="I2224" i="66"/>
  <c r="H2224" i="66"/>
  <c r="G2224" i="66"/>
  <c r="E2224" i="66"/>
  <c r="I2223" i="66"/>
  <c r="H2223" i="66"/>
  <c r="G2223" i="66"/>
  <c r="D2223" i="66" s="1"/>
  <c r="E2223" i="66"/>
  <c r="I2222" i="66"/>
  <c r="H2222" i="66"/>
  <c r="G2222" i="66"/>
  <c r="E2222" i="66"/>
  <c r="I2221" i="66"/>
  <c r="H2221" i="66"/>
  <c r="G2221" i="66"/>
  <c r="E2221" i="66"/>
  <c r="I2220" i="66"/>
  <c r="H2220" i="66"/>
  <c r="G2220" i="66"/>
  <c r="D2220" i="66" s="1"/>
  <c r="E2220" i="66"/>
  <c r="I2219" i="66"/>
  <c r="H2219" i="66"/>
  <c r="G2219" i="66"/>
  <c r="E2219" i="66"/>
  <c r="I2218" i="66"/>
  <c r="H2218" i="66"/>
  <c r="G2218" i="66"/>
  <c r="D2218" i="66" s="1"/>
  <c r="E2218" i="66"/>
  <c r="I2217" i="66"/>
  <c r="H2217" i="66"/>
  <c r="G2217" i="66"/>
  <c r="D2217" i="66" s="1"/>
  <c r="E2217" i="66"/>
  <c r="I2216" i="66"/>
  <c r="H2216" i="66"/>
  <c r="G2216" i="66"/>
  <c r="E2216" i="66"/>
  <c r="I2215" i="66"/>
  <c r="H2215" i="66"/>
  <c r="G2215" i="66"/>
  <c r="D2215" i="66" s="1"/>
  <c r="E2215" i="66"/>
  <c r="I2214" i="66"/>
  <c r="H2214" i="66"/>
  <c r="G2214" i="66"/>
  <c r="D2214" i="66" s="1"/>
  <c r="E2214" i="66"/>
  <c r="I2213" i="66"/>
  <c r="H2213" i="66"/>
  <c r="G2213" i="66"/>
  <c r="E2213" i="66"/>
  <c r="I2212" i="66"/>
  <c r="H2212" i="66"/>
  <c r="G2212" i="66"/>
  <c r="E2212" i="66"/>
  <c r="I2211" i="66"/>
  <c r="H2211" i="66"/>
  <c r="G2211" i="66"/>
  <c r="D2211" i="66" s="1"/>
  <c r="E2211" i="66"/>
  <c r="I2210" i="66"/>
  <c r="H2210" i="66"/>
  <c r="G2210" i="66"/>
  <c r="E2210" i="66"/>
  <c r="I2209" i="66"/>
  <c r="H2209" i="66"/>
  <c r="G2209" i="66"/>
  <c r="D2209" i="66" s="1"/>
  <c r="E2209" i="66"/>
  <c r="I2208" i="66"/>
  <c r="H2208" i="66"/>
  <c r="G2208" i="66"/>
  <c r="D2208" i="66" s="1"/>
  <c r="E2208" i="66"/>
  <c r="I2207" i="66"/>
  <c r="H2207" i="66"/>
  <c r="G2207" i="66"/>
  <c r="E2207" i="66"/>
  <c r="I2206" i="66"/>
  <c r="H2206" i="66"/>
  <c r="G2206" i="66"/>
  <c r="D2206" i="66" s="1"/>
  <c r="E2206" i="66"/>
  <c r="I2205" i="66"/>
  <c r="H2205" i="66"/>
  <c r="G2205" i="66"/>
  <c r="D2205" i="66" s="1"/>
  <c r="E2205" i="66"/>
  <c r="I2204" i="66"/>
  <c r="H2204" i="66"/>
  <c r="G2204" i="66"/>
  <c r="E2204" i="66"/>
  <c r="I2203" i="66"/>
  <c r="H2203" i="66"/>
  <c r="G2203" i="66"/>
  <c r="D2203" i="66" s="1"/>
  <c r="E2203" i="66"/>
  <c r="I2202" i="66"/>
  <c r="H2202" i="66"/>
  <c r="G2202" i="66"/>
  <c r="D2202" i="66" s="1"/>
  <c r="E2202" i="66"/>
  <c r="I2201" i="66"/>
  <c r="H2201" i="66"/>
  <c r="G2201" i="66"/>
  <c r="E2201" i="66"/>
  <c r="I2200" i="66"/>
  <c r="H2200" i="66"/>
  <c r="G2200" i="66"/>
  <c r="D2200" i="66" s="1"/>
  <c r="E2200" i="66"/>
  <c r="I2199" i="66"/>
  <c r="H2199" i="66"/>
  <c r="G2199" i="66"/>
  <c r="D2199" i="66" s="1"/>
  <c r="E2199" i="66"/>
  <c r="I2198" i="66"/>
  <c r="H2198" i="66"/>
  <c r="G2198" i="66"/>
  <c r="E2198" i="66"/>
  <c r="I2197" i="66"/>
  <c r="H2197" i="66"/>
  <c r="G2197" i="66"/>
  <c r="D2197" i="66" s="1"/>
  <c r="E2197" i="66"/>
  <c r="I2196" i="66"/>
  <c r="H2196" i="66"/>
  <c r="G2196" i="66"/>
  <c r="D2196" i="66" s="1"/>
  <c r="E2196" i="66"/>
  <c r="I2195" i="66"/>
  <c r="H2195" i="66"/>
  <c r="G2195" i="66"/>
  <c r="E2195" i="66"/>
  <c r="I2194" i="66"/>
  <c r="H2194" i="66"/>
  <c r="G2194" i="66"/>
  <c r="D2194" i="66" s="1"/>
  <c r="E2194" i="66"/>
  <c r="I2193" i="66"/>
  <c r="H2193" i="66"/>
  <c r="G2193" i="66"/>
  <c r="D2193" i="66" s="1"/>
  <c r="E2193" i="66"/>
  <c r="I2192" i="66"/>
  <c r="H2192" i="66"/>
  <c r="G2192" i="66"/>
  <c r="E2192" i="66"/>
  <c r="I2191" i="66"/>
  <c r="H2191" i="66"/>
  <c r="G2191" i="66"/>
  <c r="D2191" i="66" s="1"/>
  <c r="E2191" i="66"/>
  <c r="I2190" i="66"/>
  <c r="H2190" i="66"/>
  <c r="G2190" i="66"/>
  <c r="E2190" i="66"/>
  <c r="I2189" i="66"/>
  <c r="H2189" i="66"/>
  <c r="G2189" i="66"/>
  <c r="E2189" i="66"/>
  <c r="I2188" i="66"/>
  <c r="H2188" i="66"/>
  <c r="G2188" i="66"/>
  <c r="D2188" i="66" s="1"/>
  <c r="E2188" i="66"/>
  <c r="I2187" i="66"/>
  <c r="H2187" i="66"/>
  <c r="G2187" i="66"/>
  <c r="D2187" i="66" s="1"/>
  <c r="E2187" i="66"/>
  <c r="I2186" i="66"/>
  <c r="H2186" i="66"/>
  <c r="G2186" i="66"/>
  <c r="E2186" i="66"/>
  <c r="I2185" i="66"/>
  <c r="H2185" i="66"/>
  <c r="G2185" i="66"/>
  <c r="D2185" i="66" s="1"/>
  <c r="E2185" i="66"/>
  <c r="I2184" i="66"/>
  <c r="H2184" i="66"/>
  <c r="G2184" i="66"/>
  <c r="D2184" i="66" s="1"/>
  <c r="E2184" i="66"/>
  <c r="I2183" i="66"/>
  <c r="H2183" i="66"/>
  <c r="G2183" i="66"/>
  <c r="E2183" i="66"/>
  <c r="I2182" i="66"/>
  <c r="H2182" i="66"/>
  <c r="G2182" i="66"/>
  <c r="E2182" i="66"/>
  <c r="I2181" i="66"/>
  <c r="H2181" i="66"/>
  <c r="G2181" i="66"/>
  <c r="D2181" i="66" s="1"/>
  <c r="E2181" i="66"/>
  <c r="I2180" i="66"/>
  <c r="H2180" i="66"/>
  <c r="G2180" i="66"/>
  <c r="E2180" i="66"/>
  <c r="I2179" i="66"/>
  <c r="H2179" i="66"/>
  <c r="G2179" i="66"/>
  <c r="E2179" i="66"/>
  <c r="I2178" i="66"/>
  <c r="H2178" i="66"/>
  <c r="G2178" i="66"/>
  <c r="D2178" i="66" s="1"/>
  <c r="E2178" i="66"/>
  <c r="I2177" i="66"/>
  <c r="H2177" i="66"/>
  <c r="G2177" i="66"/>
  <c r="E2177" i="66"/>
  <c r="I2176" i="66"/>
  <c r="H2176" i="66"/>
  <c r="G2176" i="66"/>
  <c r="E2176" i="66"/>
  <c r="I2175" i="66"/>
  <c r="H2175" i="66"/>
  <c r="G2175" i="66"/>
  <c r="D2175" i="66" s="1"/>
  <c r="E2175" i="66"/>
  <c r="I2174" i="66"/>
  <c r="H2174" i="66"/>
  <c r="G2174" i="66"/>
  <c r="E2174" i="66"/>
  <c r="I2173" i="66"/>
  <c r="H2173" i="66"/>
  <c r="G2173" i="66"/>
  <c r="D2173" i="66" s="1"/>
  <c r="E2173" i="66"/>
  <c r="I2172" i="66"/>
  <c r="H2172" i="66"/>
  <c r="G2172" i="66"/>
  <c r="E2172" i="66"/>
  <c r="I2171" i="66"/>
  <c r="H2171" i="66"/>
  <c r="G2171" i="66"/>
  <c r="E2171" i="66"/>
  <c r="I2170" i="66"/>
  <c r="H2170" i="66"/>
  <c r="G2170" i="66"/>
  <c r="D2170" i="66" s="1"/>
  <c r="E2170" i="66"/>
  <c r="I2169" i="66"/>
  <c r="H2169" i="66"/>
  <c r="G2169" i="66"/>
  <c r="D2169" i="66" s="1"/>
  <c r="E2169" i="66"/>
  <c r="I2168" i="66"/>
  <c r="H2168" i="66"/>
  <c r="G2168" i="66"/>
  <c r="E2168" i="66"/>
  <c r="I2167" i="66"/>
  <c r="H2167" i="66"/>
  <c r="G2167" i="66"/>
  <c r="E2167" i="66"/>
  <c r="I2166" i="66"/>
  <c r="H2166" i="66"/>
  <c r="G2166" i="66"/>
  <c r="E2166" i="66"/>
  <c r="I2165" i="66"/>
  <c r="H2165" i="66"/>
  <c r="G2165" i="66"/>
  <c r="E2165" i="66"/>
  <c r="I2164" i="66"/>
  <c r="H2164" i="66"/>
  <c r="G2164" i="66"/>
  <c r="E2164" i="66"/>
  <c r="I2163" i="66"/>
  <c r="H2163" i="66"/>
  <c r="G2163" i="66"/>
  <c r="D2163" i="66" s="1"/>
  <c r="E2163" i="66"/>
  <c r="I2162" i="66"/>
  <c r="H2162" i="66"/>
  <c r="G2162" i="66"/>
  <c r="E2162" i="66"/>
  <c r="I2161" i="66"/>
  <c r="H2161" i="66"/>
  <c r="G2161" i="66"/>
  <c r="D2161" i="66" s="1"/>
  <c r="E2161" i="66"/>
  <c r="I2160" i="66"/>
  <c r="H2160" i="66"/>
  <c r="G2160" i="66"/>
  <c r="E2160" i="66"/>
  <c r="I2159" i="66"/>
  <c r="H2159" i="66"/>
  <c r="G2159" i="66"/>
  <c r="E2159" i="66"/>
  <c r="I2158" i="66"/>
  <c r="H2158" i="66"/>
  <c r="G2158" i="66"/>
  <c r="E2158" i="66"/>
  <c r="I2157" i="66"/>
  <c r="H2157" i="66"/>
  <c r="G2157" i="66"/>
  <c r="D2157" i="66" s="1"/>
  <c r="E2157" i="66"/>
  <c r="I2156" i="66"/>
  <c r="H2156" i="66"/>
  <c r="G2156" i="66"/>
  <c r="E2156" i="66"/>
  <c r="I2155" i="66"/>
  <c r="H2155" i="66"/>
  <c r="G2155" i="66"/>
  <c r="E2155" i="66"/>
  <c r="I2154" i="66"/>
  <c r="H2154" i="66"/>
  <c r="G2154" i="66"/>
  <c r="D2154" i="66" s="1"/>
  <c r="E2154" i="66"/>
  <c r="I2153" i="66"/>
  <c r="H2153" i="66"/>
  <c r="G2153" i="66"/>
  <c r="E2153" i="66"/>
  <c r="I2152" i="66"/>
  <c r="H2152" i="66"/>
  <c r="G2152" i="66"/>
  <c r="E2152" i="66"/>
  <c r="I2151" i="66"/>
  <c r="H2151" i="66"/>
  <c r="G2151" i="66"/>
  <c r="D2151" i="66" s="1"/>
  <c r="E2151" i="66"/>
  <c r="I2150" i="66"/>
  <c r="H2150" i="66"/>
  <c r="G2150" i="66"/>
  <c r="E2150" i="66"/>
  <c r="I2149" i="66"/>
  <c r="H2149" i="66"/>
  <c r="G2149" i="66"/>
  <c r="D2149" i="66" s="1"/>
  <c r="E2149" i="66"/>
  <c r="I2148" i="66"/>
  <c r="H2148" i="66"/>
  <c r="G2148" i="66"/>
  <c r="D2148" i="66" s="1"/>
  <c r="E2148" i="66"/>
  <c r="I2147" i="66"/>
  <c r="H2147" i="66"/>
  <c r="G2147" i="66"/>
  <c r="E2147" i="66"/>
  <c r="I2146" i="66"/>
  <c r="H2146" i="66"/>
  <c r="G2146" i="66"/>
  <c r="D2146" i="66" s="1"/>
  <c r="E2146" i="66"/>
  <c r="I2145" i="66"/>
  <c r="H2145" i="66"/>
  <c r="G2145" i="66"/>
  <c r="D2145" i="66" s="1"/>
  <c r="E2145" i="66"/>
  <c r="I2144" i="66"/>
  <c r="H2144" i="66"/>
  <c r="G2144" i="66"/>
  <c r="E2144" i="66"/>
  <c r="I2143" i="66"/>
  <c r="H2143" i="66"/>
  <c r="G2143" i="66"/>
  <c r="E2143" i="66"/>
  <c r="I2142" i="66"/>
  <c r="H2142" i="66"/>
  <c r="G2142" i="66"/>
  <c r="E2142" i="66"/>
  <c r="I2141" i="66"/>
  <c r="H2141" i="66"/>
  <c r="G2141" i="66"/>
  <c r="E2141" i="66"/>
  <c r="I2140" i="66"/>
  <c r="H2140" i="66"/>
  <c r="G2140" i="66"/>
  <c r="E2140" i="66"/>
  <c r="I2139" i="66"/>
  <c r="H2139" i="66"/>
  <c r="G2139" i="66"/>
  <c r="D2139" i="66" s="1"/>
  <c r="E2139" i="66"/>
  <c r="I2138" i="66"/>
  <c r="H2138" i="66"/>
  <c r="G2138" i="66"/>
  <c r="E2138" i="66"/>
  <c r="I2137" i="66"/>
  <c r="H2137" i="66"/>
  <c r="G2137" i="66"/>
  <c r="D2137" i="66" s="1"/>
  <c r="E2137" i="66"/>
  <c r="I2136" i="66"/>
  <c r="H2136" i="66"/>
  <c r="G2136" i="66"/>
  <c r="E2136" i="66"/>
  <c r="I2135" i="66"/>
  <c r="H2135" i="66"/>
  <c r="G2135" i="66"/>
  <c r="E2135" i="66"/>
  <c r="I2134" i="66"/>
  <c r="H2134" i="66"/>
  <c r="G2134" i="66"/>
  <c r="E2134" i="66"/>
  <c r="I2133" i="66"/>
  <c r="H2133" i="66"/>
  <c r="G2133" i="66"/>
  <c r="D2133" i="66" s="1"/>
  <c r="E2133" i="66"/>
  <c r="I2132" i="66"/>
  <c r="H2132" i="66"/>
  <c r="G2132" i="66"/>
  <c r="E2132" i="66"/>
  <c r="I2131" i="66"/>
  <c r="H2131" i="66"/>
  <c r="G2131" i="66"/>
  <c r="D2131" i="66" s="1"/>
  <c r="E2131" i="66"/>
  <c r="I2130" i="66"/>
  <c r="H2130" i="66"/>
  <c r="G2130" i="66"/>
  <c r="D2130" i="66" s="1"/>
  <c r="E2130" i="66"/>
  <c r="I2129" i="66"/>
  <c r="H2129" i="66"/>
  <c r="G2129" i="66"/>
  <c r="E2129" i="66"/>
  <c r="I2128" i="66"/>
  <c r="H2128" i="66"/>
  <c r="G2128" i="66"/>
  <c r="D2128" i="66" s="1"/>
  <c r="E2128" i="66"/>
  <c r="I2127" i="66"/>
  <c r="H2127" i="66"/>
  <c r="G2127" i="66"/>
  <c r="D2127" i="66" s="1"/>
  <c r="E2127" i="66"/>
  <c r="I2126" i="66"/>
  <c r="H2126" i="66"/>
  <c r="G2126" i="66"/>
  <c r="E2126" i="66"/>
  <c r="I2125" i="66"/>
  <c r="H2125" i="66"/>
  <c r="G2125" i="66"/>
  <c r="D2125" i="66" s="1"/>
  <c r="E2125" i="66"/>
  <c r="I2124" i="66"/>
  <c r="H2124" i="66"/>
  <c r="G2124" i="66"/>
  <c r="D2124" i="66" s="1"/>
  <c r="E2124" i="66"/>
  <c r="I2123" i="66"/>
  <c r="H2123" i="66"/>
  <c r="G2123" i="66"/>
  <c r="E2123" i="66"/>
  <c r="I2122" i="66"/>
  <c r="H2122" i="66"/>
  <c r="G2122" i="66"/>
  <c r="E2122" i="66"/>
  <c r="I2121" i="66"/>
  <c r="H2121" i="66"/>
  <c r="G2121" i="66"/>
  <c r="D2121" i="66" s="1"/>
  <c r="E2121" i="66"/>
  <c r="I2120" i="66"/>
  <c r="H2120" i="66"/>
  <c r="G2120" i="66"/>
  <c r="E2120" i="66"/>
  <c r="I2119" i="66"/>
  <c r="H2119" i="66"/>
  <c r="G2119" i="66"/>
  <c r="D2119" i="66" s="1"/>
  <c r="E2119" i="66"/>
  <c r="I2118" i="66"/>
  <c r="H2118" i="66"/>
  <c r="G2118" i="66"/>
  <c r="D2118" i="66" s="1"/>
  <c r="E2118" i="66"/>
  <c r="I2117" i="66"/>
  <c r="H2117" i="66"/>
  <c r="G2117" i="66"/>
  <c r="E2117" i="66"/>
  <c r="I2116" i="66"/>
  <c r="H2116" i="66"/>
  <c r="G2116" i="66"/>
  <c r="D2116" i="66" s="1"/>
  <c r="E2116" i="66"/>
  <c r="I2115" i="66"/>
  <c r="H2115" i="66"/>
  <c r="G2115" i="66"/>
  <c r="D2115" i="66" s="1"/>
  <c r="E2115" i="66"/>
  <c r="I2114" i="66"/>
  <c r="H2114" i="66"/>
  <c r="G2114" i="66"/>
  <c r="E2114" i="66"/>
  <c r="I2113" i="66"/>
  <c r="H2113" i="66"/>
  <c r="G2113" i="66"/>
  <c r="E2113" i="66"/>
  <c r="I2112" i="66"/>
  <c r="H2112" i="66"/>
  <c r="G2112" i="66"/>
  <c r="D2112" i="66" s="1"/>
  <c r="E2112" i="66"/>
  <c r="I2111" i="66"/>
  <c r="H2111" i="66"/>
  <c r="G2111" i="66"/>
  <c r="E2111" i="66"/>
  <c r="I2110" i="66"/>
  <c r="H2110" i="66"/>
  <c r="G2110" i="66"/>
  <c r="D2110" i="66" s="1"/>
  <c r="E2110" i="66"/>
  <c r="I2109" i="66"/>
  <c r="H2109" i="66"/>
  <c r="G2109" i="66"/>
  <c r="E2109" i="66"/>
  <c r="I2108" i="66"/>
  <c r="H2108" i="66"/>
  <c r="G2108" i="66"/>
  <c r="E2108" i="66"/>
  <c r="I2107" i="66"/>
  <c r="H2107" i="66"/>
  <c r="G2107" i="66"/>
  <c r="D2107" i="66" s="1"/>
  <c r="E2107" i="66"/>
  <c r="I2106" i="66"/>
  <c r="H2106" i="66"/>
  <c r="G2106" i="66"/>
  <c r="D2106" i="66" s="1"/>
  <c r="E2106" i="66"/>
  <c r="I2105" i="66"/>
  <c r="H2105" i="66"/>
  <c r="G2105" i="66"/>
  <c r="E2105" i="66"/>
  <c r="I2104" i="66"/>
  <c r="H2104" i="66"/>
  <c r="G2104" i="66"/>
  <c r="E2104" i="66"/>
  <c r="I2103" i="66"/>
  <c r="H2103" i="66"/>
  <c r="G2103" i="66"/>
  <c r="D2103" i="66" s="1"/>
  <c r="E2103" i="66"/>
  <c r="I2102" i="66"/>
  <c r="H2102" i="66"/>
  <c r="G2102" i="66"/>
  <c r="E2102" i="66"/>
  <c r="I2101" i="66"/>
  <c r="H2101" i="66"/>
  <c r="G2101" i="66"/>
  <c r="D2101" i="66" s="1"/>
  <c r="E2101" i="66"/>
  <c r="I2100" i="66"/>
  <c r="H2100" i="66"/>
  <c r="G2100" i="66"/>
  <c r="D2100" i="66" s="1"/>
  <c r="E2100" i="66"/>
  <c r="I2099" i="66"/>
  <c r="H2099" i="66"/>
  <c r="G2099" i="66"/>
  <c r="E2099" i="66"/>
  <c r="I2098" i="66"/>
  <c r="H2098" i="66"/>
  <c r="G2098" i="66"/>
  <c r="E2098" i="66"/>
  <c r="I2097" i="66"/>
  <c r="H2097" i="66"/>
  <c r="G2097" i="66"/>
  <c r="D2097" i="66" s="1"/>
  <c r="E2097" i="66"/>
  <c r="I2096" i="66"/>
  <c r="H2096" i="66"/>
  <c r="G2096" i="66"/>
  <c r="E2096" i="66"/>
  <c r="I2095" i="66"/>
  <c r="H2095" i="66"/>
  <c r="G2095" i="66"/>
  <c r="D2095" i="66" s="1"/>
  <c r="E2095" i="66"/>
  <c r="I2094" i="66"/>
  <c r="H2094" i="66"/>
  <c r="G2094" i="66"/>
  <c r="E2094" i="66"/>
  <c r="I2093" i="66"/>
  <c r="H2093" i="66"/>
  <c r="G2093" i="66"/>
  <c r="E2093" i="66"/>
  <c r="I2092" i="66"/>
  <c r="H2092" i="66"/>
  <c r="G2092" i="66"/>
  <c r="E2092" i="66"/>
  <c r="I2091" i="66"/>
  <c r="H2091" i="66"/>
  <c r="G2091" i="66"/>
  <c r="D2091" i="66" s="1"/>
  <c r="E2091" i="66"/>
  <c r="I2090" i="66"/>
  <c r="H2090" i="66"/>
  <c r="G2090" i="66"/>
  <c r="E2090" i="66"/>
  <c r="I2089" i="66"/>
  <c r="H2089" i="66"/>
  <c r="G2089" i="66"/>
  <c r="D2089" i="66" s="1"/>
  <c r="E2089" i="66"/>
  <c r="I2088" i="66"/>
  <c r="H2088" i="66"/>
  <c r="G2088" i="66"/>
  <c r="D2088" i="66" s="1"/>
  <c r="E2088" i="66"/>
  <c r="I2087" i="66"/>
  <c r="H2087" i="66"/>
  <c r="G2087" i="66"/>
  <c r="E2087" i="66"/>
  <c r="I2086" i="66"/>
  <c r="H2086" i="66"/>
  <c r="G2086" i="66"/>
  <c r="E2086" i="66"/>
  <c r="I2085" i="66"/>
  <c r="H2085" i="66"/>
  <c r="G2085" i="66"/>
  <c r="D2085" i="66" s="1"/>
  <c r="E2085" i="66"/>
  <c r="I2084" i="66"/>
  <c r="H2084" i="66"/>
  <c r="G2084" i="66"/>
  <c r="E2084" i="66"/>
  <c r="I2083" i="66"/>
  <c r="H2083" i="66"/>
  <c r="G2083" i="66"/>
  <c r="D2083" i="66" s="1"/>
  <c r="E2083" i="66"/>
  <c r="I2082" i="66"/>
  <c r="H2082" i="66"/>
  <c r="G2082" i="66"/>
  <c r="D2082" i="66" s="1"/>
  <c r="E2082" i="66"/>
  <c r="I2081" i="66"/>
  <c r="H2081" i="66"/>
  <c r="G2081" i="66"/>
  <c r="E2081" i="66"/>
  <c r="I2080" i="66"/>
  <c r="H2080" i="66"/>
  <c r="G2080" i="66"/>
  <c r="E2080" i="66"/>
  <c r="I2079" i="66"/>
  <c r="H2079" i="66"/>
  <c r="G2079" i="66"/>
  <c r="E2079" i="66"/>
  <c r="I2078" i="66"/>
  <c r="H2078" i="66"/>
  <c r="G2078" i="66"/>
  <c r="E2078" i="66"/>
  <c r="I2077" i="66"/>
  <c r="H2077" i="66"/>
  <c r="G2077" i="66"/>
  <c r="E2077" i="66"/>
  <c r="I2076" i="66"/>
  <c r="H2076" i="66"/>
  <c r="G2076" i="66"/>
  <c r="D2076" i="66" s="1"/>
  <c r="E2076" i="66"/>
  <c r="I2075" i="66"/>
  <c r="H2075" i="66"/>
  <c r="G2075" i="66"/>
  <c r="E2075" i="66"/>
  <c r="I2074" i="66"/>
  <c r="H2074" i="66"/>
  <c r="G2074" i="66"/>
  <c r="E2074" i="66"/>
  <c r="I2073" i="66"/>
  <c r="H2073" i="66"/>
  <c r="G2073" i="66"/>
  <c r="D2073" i="66" s="1"/>
  <c r="E2073" i="66"/>
  <c r="I2072" i="66"/>
  <c r="H2072" i="66"/>
  <c r="G2072" i="66"/>
  <c r="E2072" i="66"/>
  <c r="I2071" i="66"/>
  <c r="H2071" i="66"/>
  <c r="G2071" i="66"/>
  <c r="E2071" i="66"/>
  <c r="I2070" i="66"/>
  <c r="H2070" i="66"/>
  <c r="G2070" i="66"/>
  <c r="D2070" i="66" s="1"/>
  <c r="E2070" i="66"/>
  <c r="I2069" i="66"/>
  <c r="H2069" i="66"/>
  <c r="G2069" i="66"/>
  <c r="E2069" i="66"/>
  <c r="I2068" i="66"/>
  <c r="H2068" i="66"/>
  <c r="G2068" i="66"/>
  <c r="E2068" i="66"/>
  <c r="I2067" i="66"/>
  <c r="H2067" i="66"/>
  <c r="G2067" i="66"/>
  <c r="D2067" i="66" s="1"/>
  <c r="E2067" i="66"/>
  <c r="I2066" i="66"/>
  <c r="H2066" i="66"/>
  <c r="G2066" i="66"/>
  <c r="E2066" i="66"/>
  <c r="I2065" i="66"/>
  <c r="H2065" i="66"/>
  <c r="G2065" i="66"/>
  <c r="E2065" i="66"/>
  <c r="I2064" i="66"/>
  <c r="H2064" i="66"/>
  <c r="G2064" i="66"/>
  <c r="D2064" i="66" s="1"/>
  <c r="E2064" i="66"/>
  <c r="I2063" i="66"/>
  <c r="H2063" i="66"/>
  <c r="G2063" i="66"/>
  <c r="E2063" i="66"/>
  <c r="I2062" i="66"/>
  <c r="H2062" i="66"/>
  <c r="G2062" i="66"/>
  <c r="E2062" i="66"/>
  <c r="I2061" i="66"/>
  <c r="H2061" i="66"/>
  <c r="G2061" i="66"/>
  <c r="D2061" i="66" s="1"/>
  <c r="E2061" i="66"/>
  <c r="I2060" i="66"/>
  <c r="H2060" i="66"/>
  <c r="G2060" i="66"/>
  <c r="E2060" i="66"/>
  <c r="I2059" i="66"/>
  <c r="H2059" i="66"/>
  <c r="G2059" i="66"/>
  <c r="D2059" i="66" s="1"/>
  <c r="E2059" i="66"/>
  <c r="I2058" i="66"/>
  <c r="H2058" i="66"/>
  <c r="G2058" i="66"/>
  <c r="D2058" i="66" s="1"/>
  <c r="E2058" i="66"/>
  <c r="I2057" i="66"/>
  <c r="H2057" i="66"/>
  <c r="G2057" i="66"/>
  <c r="E2057" i="66"/>
  <c r="I2056" i="66"/>
  <c r="H2056" i="66"/>
  <c r="G2056" i="66"/>
  <c r="E2056" i="66"/>
  <c r="I2055" i="66"/>
  <c r="H2055" i="66"/>
  <c r="G2055" i="66"/>
  <c r="D2055" i="66" s="1"/>
  <c r="E2055" i="66"/>
  <c r="I2054" i="66"/>
  <c r="H2054" i="66"/>
  <c r="G2054" i="66"/>
  <c r="E2054" i="66"/>
  <c r="I2053" i="66"/>
  <c r="H2053" i="66"/>
  <c r="G2053" i="66"/>
  <c r="D2053" i="66" s="1"/>
  <c r="E2053" i="66"/>
  <c r="I2052" i="66"/>
  <c r="H2052" i="66"/>
  <c r="G2052" i="66"/>
  <c r="D2052" i="66" s="1"/>
  <c r="E2052" i="66"/>
  <c r="I2051" i="66"/>
  <c r="H2051" i="66"/>
  <c r="G2051" i="66"/>
  <c r="E2051" i="66"/>
  <c r="I2050" i="66"/>
  <c r="H2050" i="66"/>
  <c r="G2050" i="66"/>
  <c r="E2050" i="66"/>
  <c r="I2049" i="66"/>
  <c r="H2049" i="66"/>
  <c r="G2049" i="66"/>
  <c r="E2049" i="66"/>
  <c r="I2048" i="66"/>
  <c r="H2048" i="66"/>
  <c r="G2048" i="66"/>
  <c r="E2048" i="66"/>
  <c r="I2047" i="66"/>
  <c r="H2047" i="66"/>
  <c r="G2047" i="66"/>
  <c r="E2047" i="66"/>
  <c r="I2046" i="66"/>
  <c r="H2046" i="66"/>
  <c r="G2046" i="66"/>
  <c r="D2046" i="66" s="1"/>
  <c r="E2046" i="66"/>
  <c r="I2045" i="66"/>
  <c r="H2045" i="66"/>
  <c r="G2045" i="66"/>
  <c r="E2045" i="66"/>
  <c r="I2044" i="66"/>
  <c r="H2044" i="66"/>
  <c r="G2044" i="66"/>
  <c r="D2044" i="66" s="1"/>
  <c r="E2044" i="66"/>
  <c r="I2043" i="66"/>
  <c r="H2043" i="66"/>
  <c r="G2043" i="66"/>
  <c r="D2043" i="66" s="1"/>
  <c r="E2043" i="66"/>
  <c r="I2042" i="66"/>
  <c r="H2042" i="66"/>
  <c r="G2042" i="66"/>
  <c r="E2042" i="66"/>
  <c r="I2041" i="66"/>
  <c r="H2041" i="66"/>
  <c r="G2041" i="66"/>
  <c r="E2041" i="66"/>
  <c r="I2040" i="66"/>
  <c r="H2040" i="66"/>
  <c r="G2040" i="66"/>
  <c r="D2040" i="66" s="1"/>
  <c r="E2040" i="66"/>
  <c r="I2039" i="66"/>
  <c r="H2039" i="66"/>
  <c r="G2039" i="66"/>
  <c r="E2039" i="66"/>
  <c r="I2038" i="66"/>
  <c r="H2038" i="66"/>
  <c r="G2038" i="66"/>
  <c r="D2038" i="66" s="1"/>
  <c r="E2038" i="66"/>
  <c r="I2037" i="66"/>
  <c r="H2037" i="66"/>
  <c r="G2037" i="66"/>
  <c r="D2037" i="66" s="1"/>
  <c r="E2037" i="66"/>
  <c r="I2036" i="66"/>
  <c r="H2036" i="66"/>
  <c r="G2036" i="66"/>
  <c r="E2036" i="66"/>
  <c r="I2035" i="66"/>
  <c r="H2035" i="66"/>
  <c r="G2035" i="66"/>
  <c r="E2035" i="66"/>
  <c r="I2034" i="66"/>
  <c r="H2034" i="66"/>
  <c r="G2034" i="66"/>
  <c r="D2034" i="66" s="1"/>
  <c r="E2034" i="66"/>
  <c r="I2033" i="66"/>
  <c r="H2033" i="66"/>
  <c r="G2033" i="66"/>
  <c r="E2033" i="66"/>
  <c r="I2032" i="66"/>
  <c r="H2032" i="66"/>
  <c r="G2032" i="66"/>
  <c r="D2032" i="66" s="1"/>
  <c r="E2032" i="66"/>
  <c r="I2031" i="66"/>
  <c r="H2031" i="66"/>
  <c r="G2031" i="66"/>
  <c r="D2031" i="66" s="1"/>
  <c r="E2031" i="66"/>
  <c r="I2030" i="66"/>
  <c r="H2030" i="66"/>
  <c r="G2030" i="66"/>
  <c r="E2030" i="66"/>
  <c r="I2029" i="66"/>
  <c r="H2029" i="66"/>
  <c r="G2029" i="66"/>
  <c r="D2029" i="66" s="1"/>
  <c r="E2029" i="66"/>
  <c r="I2028" i="66"/>
  <c r="H2028" i="66"/>
  <c r="G2028" i="66"/>
  <c r="D2028" i="66" s="1"/>
  <c r="E2028" i="66"/>
  <c r="I2027" i="66"/>
  <c r="H2027" i="66"/>
  <c r="G2027" i="66"/>
  <c r="E2027" i="66"/>
  <c r="I2026" i="66"/>
  <c r="H2026" i="66"/>
  <c r="G2026" i="66"/>
  <c r="D2026" i="66" s="1"/>
  <c r="E2026" i="66"/>
  <c r="I2025" i="66"/>
  <c r="H2025" i="66"/>
  <c r="G2025" i="66"/>
  <c r="D2025" i="66" s="1"/>
  <c r="E2025" i="66"/>
  <c r="I2024" i="66"/>
  <c r="H2024" i="66"/>
  <c r="G2024" i="66"/>
  <c r="E2024" i="66"/>
  <c r="I2023" i="66"/>
  <c r="H2023" i="66"/>
  <c r="G2023" i="66"/>
  <c r="D2023" i="66" s="1"/>
  <c r="E2023" i="66"/>
  <c r="I2022" i="66"/>
  <c r="H2022" i="66"/>
  <c r="G2022" i="66"/>
  <c r="D2022" i="66" s="1"/>
  <c r="E2022" i="66"/>
  <c r="I2021" i="66"/>
  <c r="H2021" i="66"/>
  <c r="G2021" i="66"/>
  <c r="E2021" i="66"/>
  <c r="I2020" i="66"/>
  <c r="H2020" i="66"/>
  <c r="G2020" i="66"/>
  <c r="E2020" i="66"/>
  <c r="I2019" i="66"/>
  <c r="H2019" i="66"/>
  <c r="G2019" i="66"/>
  <c r="D2019" i="66" s="1"/>
  <c r="E2019" i="66"/>
  <c r="I2018" i="66"/>
  <c r="H2018" i="66"/>
  <c r="G2018" i="66"/>
  <c r="E2018" i="66"/>
  <c r="I2017" i="66"/>
  <c r="H2017" i="66"/>
  <c r="G2017" i="66"/>
  <c r="D2017" i="66" s="1"/>
  <c r="E2017" i="66"/>
  <c r="I2016" i="66"/>
  <c r="H2016" i="66"/>
  <c r="G2016" i="66"/>
  <c r="D2016" i="66" s="1"/>
  <c r="E2016" i="66"/>
  <c r="I2015" i="66"/>
  <c r="H2015" i="66"/>
  <c r="G2015" i="66"/>
  <c r="E2015" i="66"/>
  <c r="I2014" i="66"/>
  <c r="H2014" i="66"/>
  <c r="G2014" i="66"/>
  <c r="D2014" i="66" s="1"/>
  <c r="E2014" i="66"/>
  <c r="I2013" i="66"/>
  <c r="H2013" i="66"/>
  <c r="G2013" i="66"/>
  <c r="E2013" i="66"/>
  <c r="I2012" i="66"/>
  <c r="H2012" i="66"/>
  <c r="G2012" i="66"/>
  <c r="E2012" i="66"/>
  <c r="I2011" i="66"/>
  <c r="H2011" i="66"/>
  <c r="G2011" i="66"/>
  <c r="D2011" i="66" s="1"/>
  <c r="E2011" i="66"/>
  <c r="I2010" i="66"/>
  <c r="H2010" i="66"/>
  <c r="G2010" i="66"/>
  <c r="D2010" i="66" s="1"/>
  <c r="E2010" i="66"/>
  <c r="I2009" i="66"/>
  <c r="H2009" i="66"/>
  <c r="G2009" i="66"/>
  <c r="E2009" i="66"/>
  <c r="I2008" i="66"/>
  <c r="H2008" i="66"/>
  <c r="G2008" i="66"/>
  <c r="D2008" i="66" s="1"/>
  <c r="E2008" i="66"/>
  <c r="I2007" i="66"/>
  <c r="H2007" i="66"/>
  <c r="G2007" i="66"/>
  <c r="D2007" i="66" s="1"/>
  <c r="E2007" i="66"/>
  <c r="I2006" i="66"/>
  <c r="H2006" i="66"/>
  <c r="G2006" i="66"/>
  <c r="E2006" i="66"/>
  <c r="I2005" i="66"/>
  <c r="H2005" i="66"/>
  <c r="G2005" i="66"/>
  <c r="E2005" i="66"/>
  <c r="I2004" i="66"/>
  <c r="H2004" i="66"/>
  <c r="G2004" i="66"/>
  <c r="D2004" i="66" s="1"/>
  <c r="E2004" i="66"/>
  <c r="I2003" i="66"/>
  <c r="H2003" i="66"/>
  <c r="G2003" i="66"/>
  <c r="E2003" i="66"/>
  <c r="I2002" i="66"/>
  <c r="H2002" i="66"/>
  <c r="G2002" i="66"/>
  <c r="E2002" i="66"/>
  <c r="I2001" i="66"/>
  <c r="H2001" i="66"/>
  <c r="G2001" i="66"/>
  <c r="D2001" i="66" s="1"/>
  <c r="E2001" i="66"/>
  <c r="I2000" i="66"/>
  <c r="H2000" i="66"/>
  <c r="G2000" i="66"/>
  <c r="E2000" i="66"/>
  <c r="I1999" i="66"/>
  <c r="H1999" i="66"/>
  <c r="G1999" i="66"/>
  <c r="E1999" i="66"/>
  <c r="I1998" i="66"/>
  <c r="H1998" i="66"/>
  <c r="G1998" i="66"/>
  <c r="D1998" i="66" s="1"/>
  <c r="E1998" i="66"/>
  <c r="I1997" i="66"/>
  <c r="H1997" i="66"/>
  <c r="G1997" i="66"/>
  <c r="E1997" i="66"/>
  <c r="I1996" i="66"/>
  <c r="H1996" i="66"/>
  <c r="G1996" i="66"/>
  <c r="E1996" i="66"/>
  <c r="I1995" i="66"/>
  <c r="H1995" i="66"/>
  <c r="G1995" i="66"/>
  <c r="D1995" i="66" s="1"/>
  <c r="E1995" i="66"/>
  <c r="I1994" i="66"/>
  <c r="H1994" i="66"/>
  <c r="G1994" i="66"/>
  <c r="E1994" i="66"/>
  <c r="I1993" i="66"/>
  <c r="H1993" i="66"/>
  <c r="G1993" i="66"/>
  <c r="D1993" i="66" s="1"/>
  <c r="E1993" i="66"/>
  <c r="I1992" i="66"/>
  <c r="H1992" i="66"/>
  <c r="G1992" i="66"/>
  <c r="D1992" i="66" s="1"/>
  <c r="E1992" i="66"/>
  <c r="I1991" i="66"/>
  <c r="H1991" i="66"/>
  <c r="G1991" i="66"/>
  <c r="E1991" i="66"/>
  <c r="I1990" i="66"/>
  <c r="H1990" i="66"/>
  <c r="G1990" i="66"/>
  <c r="D1990" i="66" s="1"/>
  <c r="E1990" i="66"/>
  <c r="I1989" i="66"/>
  <c r="H1989" i="66"/>
  <c r="G1989" i="66"/>
  <c r="D1989" i="66" s="1"/>
  <c r="E1989" i="66"/>
  <c r="I1988" i="66"/>
  <c r="H1988" i="66"/>
  <c r="G1988" i="66"/>
  <c r="E1988" i="66"/>
  <c r="I1987" i="66"/>
  <c r="H1987" i="66"/>
  <c r="G1987" i="66"/>
  <c r="E1987" i="66"/>
  <c r="I1986" i="66"/>
  <c r="H1986" i="66"/>
  <c r="G1986" i="66"/>
  <c r="D1986" i="66" s="1"/>
  <c r="E1986" i="66"/>
  <c r="I1985" i="66"/>
  <c r="H1985" i="66"/>
  <c r="G1985" i="66"/>
  <c r="E1985" i="66"/>
  <c r="I1984" i="66"/>
  <c r="H1984" i="66"/>
  <c r="G1984" i="66"/>
  <c r="E1984" i="66"/>
  <c r="I1983" i="66"/>
  <c r="H1983" i="66"/>
  <c r="G1983" i="66"/>
  <c r="D1983" i="66" s="1"/>
  <c r="E1983" i="66"/>
  <c r="I1982" i="66"/>
  <c r="H1982" i="66"/>
  <c r="G1982" i="66"/>
  <c r="E1982" i="66"/>
  <c r="I1981" i="66"/>
  <c r="H1981" i="66"/>
  <c r="G1981" i="66"/>
  <c r="E1981" i="66"/>
  <c r="I1980" i="66"/>
  <c r="H1980" i="66"/>
  <c r="G1980" i="66"/>
  <c r="D1980" i="66" s="1"/>
  <c r="E1980" i="66"/>
  <c r="I1979" i="66"/>
  <c r="H1979" i="66"/>
  <c r="G1979" i="66"/>
  <c r="E1979" i="66"/>
  <c r="I1978" i="66"/>
  <c r="H1978" i="66"/>
  <c r="G1978" i="66"/>
  <c r="E1978" i="66"/>
  <c r="I1977" i="66"/>
  <c r="H1977" i="66"/>
  <c r="G1977" i="66"/>
  <c r="E1977" i="66"/>
  <c r="I1976" i="66"/>
  <c r="H1976" i="66"/>
  <c r="G1976" i="66"/>
  <c r="E1976" i="66"/>
  <c r="I1975" i="66"/>
  <c r="H1975" i="66"/>
  <c r="G1975" i="66"/>
  <c r="E1975" i="66"/>
  <c r="I1974" i="66"/>
  <c r="H1974" i="66"/>
  <c r="G1974" i="66"/>
  <c r="D1974" i="66" s="1"/>
  <c r="E1974" i="66"/>
  <c r="I1973" i="66"/>
  <c r="H1973" i="66"/>
  <c r="G1973" i="66"/>
  <c r="E1973" i="66"/>
  <c r="I1972" i="66"/>
  <c r="H1972" i="66"/>
  <c r="G1972" i="66"/>
  <c r="E1972" i="66"/>
  <c r="I1971" i="66"/>
  <c r="H1971" i="66"/>
  <c r="G1971" i="66"/>
  <c r="D1971" i="66" s="1"/>
  <c r="E1971" i="66"/>
  <c r="I1970" i="66"/>
  <c r="H1970" i="66"/>
  <c r="G1970" i="66"/>
  <c r="E1970" i="66"/>
  <c r="I1969" i="66"/>
  <c r="H1969" i="66"/>
  <c r="G1969" i="66"/>
  <c r="D1969" i="66" s="1"/>
  <c r="E1969" i="66"/>
  <c r="I1968" i="66"/>
  <c r="H1968" i="66"/>
  <c r="G1968" i="66"/>
  <c r="D1968" i="66" s="1"/>
  <c r="E1968" i="66"/>
  <c r="I1967" i="66"/>
  <c r="H1967" i="66"/>
  <c r="G1967" i="66"/>
  <c r="E1967" i="66"/>
  <c r="I1966" i="66"/>
  <c r="H1966" i="66"/>
  <c r="G1966" i="66"/>
  <c r="D1966" i="66" s="1"/>
  <c r="E1966" i="66"/>
  <c r="I1965" i="66"/>
  <c r="H1965" i="66"/>
  <c r="G1965" i="66"/>
  <c r="E1965" i="66"/>
  <c r="I1964" i="66"/>
  <c r="H1964" i="66"/>
  <c r="G1964" i="66"/>
  <c r="E1964" i="66"/>
  <c r="I1963" i="66"/>
  <c r="H1963" i="66"/>
  <c r="G1963" i="66"/>
  <c r="E1963" i="66"/>
  <c r="I1962" i="66"/>
  <c r="H1962" i="66"/>
  <c r="G1962" i="66"/>
  <c r="D1962" i="66" s="1"/>
  <c r="E1962" i="66"/>
  <c r="I1961" i="66"/>
  <c r="H1961" i="66"/>
  <c r="G1961" i="66"/>
  <c r="E1961" i="66"/>
  <c r="I1960" i="66"/>
  <c r="H1960" i="66"/>
  <c r="G1960" i="66"/>
  <c r="E1960" i="66"/>
  <c r="I1959" i="66"/>
  <c r="H1959" i="66"/>
  <c r="G1959" i="66"/>
  <c r="E1959" i="66"/>
  <c r="I1958" i="66"/>
  <c r="H1958" i="66"/>
  <c r="G1958" i="66"/>
  <c r="E1958" i="66"/>
  <c r="I1957" i="66"/>
  <c r="H1957" i="66"/>
  <c r="G1957" i="66"/>
  <c r="E1957" i="66"/>
  <c r="I1956" i="66"/>
  <c r="H1956" i="66"/>
  <c r="G1956" i="66"/>
  <c r="D1956" i="66" s="1"/>
  <c r="E1956" i="66"/>
  <c r="I1955" i="66"/>
  <c r="H1955" i="66"/>
  <c r="G1955" i="66"/>
  <c r="E1955" i="66"/>
  <c r="I1954" i="66"/>
  <c r="H1954" i="66"/>
  <c r="G1954" i="66"/>
  <c r="E1954" i="66"/>
  <c r="I1953" i="66"/>
  <c r="H1953" i="66"/>
  <c r="G1953" i="66"/>
  <c r="E1953" i="66"/>
  <c r="I1952" i="66"/>
  <c r="H1952" i="66"/>
  <c r="G1952" i="66"/>
  <c r="E1952" i="66"/>
  <c r="I1951" i="66"/>
  <c r="H1951" i="66"/>
  <c r="G1951" i="66"/>
  <c r="E1951" i="66"/>
  <c r="I1950" i="66"/>
  <c r="H1950" i="66"/>
  <c r="G1950" i="66"/>
  <c r="D1950" i="66" s="1"/>
  <c r="E1950" i="66"/>
  <c r="I1949" i="66"/>
  <c r="H1949" i="66"/>
  <c r="G1949" i="66"/>
  <c r="E1949" i="66"/>
  <c r="I1948" i="66"/>
  <c r="H1948" i="66"/>
  <c r="G1948" i="66"/>
  <c r="D1948" i="66" s="1"/>
  <c r="E1948" i="66"/>
  <c r="I1947" i="66"/>
  <c r="H1947" i="66"/>
  <c r="G1947" i="66"/>
  <c r="D1947" i="66" s="1"/>
  <c r="E1947" i="66"/>
  <c r="I1946" i="66"/>
  <c r="H1946" i="66"/>
  <c r="G1946" i="66"/>
  <c r="E1946" i="66"/>
  <c r="I1945" i="66"/>
  <c r="H1945" i="66"/>
  <c r="G1945" i="66"/>
  <c r="D1945" i="66" s="1"/>
  <c r="E1945" i="66"/>
  <c r="I1944" i="66"/>
  <c r="H1944" i="66"/>
  <c r="G1944" i="66"/>
  <c r="D1944" i="66" s="1"/>
  <c r="E1944" i="66"/>
  <c r="I1943" i="66"/>
  <c r="H1943" i="66"/>
  <c r="G1943" i="66"/>
  <c r="E1943" i="66"/>
  <c r="I1942" i="66"/>
  <c r="H1942" i="66"/>
  <c r="G1942" i="66"/>
  <c r="E1942" i="66"/>
  <c r="I1941" i="66"/>
  <c r="H1941" i="66"/>
  <c r="G1941" i="66"/>
  <c r="D1941" i="66" s="1"/>
  <c r="E1941" i="66"/>
  <c r="I1940" i="66"/>
  <c r="H1940" i="66"/>
  <c r="G1940" i="66"/>
  <c r="E1940" i="66"/>
  <c r="I1939" i="66"/>
  <c r="H1939" i="66"/>
  <c r="G1939" i="66"/>
  <c r="D1939" i="66" s="1"/>
  <c r="E1939" i="66"/>
  <c r="I1938" i="66"/>
  <c r="H1938" i="66"/>
  <c r="G1938" i="66"/>
  <c r="D1938" i="66" s="1"/>
  <c r="E1938" i="66"/>
  <c r="I1937" i="66"/>
  <c r="H1937" i="66"/>
  <c r="G1937" i="66"/>
  <c r="E1937" i="66"/>
  <c r="I1936" i="66"/>
  <c r="H1936" i="66"/>
  <c r="G1936" i="66"/>
  <c r="D1936" i="66" s="1"/>
  <c r="E1936" i="66"/>
  <c r="I1935" i="66"/>
  <c r="H1935" i="66"/>
  <c r="G1935" i="66"/>
  <c r="D1935" i="66" s="1"/>
  <c r="E1935" i="66"/>
  <c r="I1934" i="66"/>
  <c r="H1934" i="66"/>
  <c r="G1934" i="66"/>
  <c r="E1934" i="66"/>
  <c r="I1933" i="66"/>
  <c r="H1933" i="66"/>
  <c r="G1933" i="66"/>
  <c r="D1933" i="66" s="1"/>
  <c r="E1933" i="66"/>
  <c r="I1932" i="66"/>
  <c r="H1932" i="66"/>
  <c r="G1932" i="66"/>
  <c r="D1932" i="66" s="1"/>
  <c r="E1932" i="66"/>
  <c r="I1931" i="66"/>
  <c r="H1931" i="66"/>
  <c r="G1931" i="66"/>
  <c r="E1931" i="66"/>
  <c r="I1930" i="66"/>
  <c r="H1930" i="66"/>
  <c r="G1930" i="66"/>
  <c r="D1930" i="66" s="1"/>
  <c r="E1930" i="66"/>
  <c r="I1929" i="66"/>
  <c r="H1929" i="66"/>
  <c r="G1929" i="66"/>
  <c r="D1929" i="66" s="1"/>
  <c r="E1929" i="66"/>
  <c r="I1928" i="66"/>
  <c r="H1928" i="66"/>
  <c r="G1928" i="66"/>
  <c r="E1928" i="66"/>
  <c r="I1927" i="66"/>
  <c r="H1927" i="66"/>
  <c r="G1927" i="66"/>
  <c r="D1927" i="66" s="1"/>
  <c r="E1927" i="66"/>
  <c r="I1926" i="66"/>
  <c r="H1926" i="66"/>
  <c r="G1926" i="66"/>
  <c r="D1926" i="66" s="1"/>
  <c r="E1926" i="66"/>
  <c r="I1925" i="66"/>
  <c r="H1925" i="66"/>
  <c r="G1925" i="66"/>
  <c r="E1925" i="66"/>
  <c r="I1924" i="66"/>
  <c r="H1924" i="66"/>
  <c r="G1924" i="66"/>
  <c r="E1924" i="66"/>
  <c r="I1923" i="66"/>
  <c r="H1923" i="66"/>
  <c r="G1923" i="66"/>
  <c r="E1923" i="66"/>
  <c r="I1922" i="66"/>
  <c r="H1922" i="66"/>
  <c r="G1922" i="66"/>
  <c r="E1922" i="66"/>
  <c r="I1921" i="66"/>
  <c r="H1921" i="66"/>
  <c r="G1921" i="66"/>
  <c r="E1921" i="66"/>
  <c r="I1920" i="66"/>
  <c r="H1920" i="66"/>
  <c r="G1920" i="66"/>
  <c r="D1920" i="66" s="1"/>
  <c r="E1920" i="66"/>
  <c r="I1919" i="66"/>
  <c r="H1919" i="66"/>
  <c r="G1919" i="66"/>
  <c r="E1919" i="66"/>
  <c r="I1918" i="66"/>
  <c r="H1918" i="66"/>
  <c r="G1918" i="66"/>
  <c r="E1918" i="66"/>
  <c r="I1917" i="66"/>
  <c r="H1917" i="66"/>
  <c r="G1917" i="66"/>
  <c r="D1917" i="66" s="1"/>
  <c r="E1917" i="66"/>
  <c r="I1916" i="66"/>
  <c r="H1916" i="66"/>
  <c r="G1916" i="66"/>
  <c r="E1916" i="66"/>
  <c r="I1915" i="66"/>
  <c r="H1915" i="66"/>
  <c r="G1915" i="66"/>
  <c r="D1915" i="66" s="1"/>
  <c r="E1915" i="66"/>
  <c r="I1914" i="66"/>
  <c r="H1914" i="66"/>
  <c r="G1914" i="66"/>
  <c r="D1914" i="66" s="1"/>
  <c r="E1914" i="66"/>
  <c r="I1913" i="66"/>
  <c r="H1913" i="66"/>
  <c r="G1913" i="66"/>
  <c r="E1913" i="66"/>
  <c r="I1912" i="66"/>
  <c r="H1912" i="66"/>
  <c r="G1912" i="66"/>
  <c r="E1912" i="66"/>
  <c r="I1911" i="66"/>
  <c r="H1911" i="66"/>
  <c r="G1911" i="66"/>
  <c r="D1911" i="66" s="1"/>
  <c r="E1911" i="66"/>
  <c r="I1910" i="66"/>
  <c r="H1910" i="66"/>
  <c r="G1910" i="66"/>
  <c r="E1910" i="66"/>
  <c r="I1909" i="66"/>
  <c r="H1909" i="66"/>
  <c r="G1909" i="66"/>
  <c r="E1909" i="66"/>
  <c r="I1908" i="66"/>
  <c r="H1908" i="66"/>
  <c r="G1908" i="66"/>
  <c r="D1908" i="66" s="1"/>
  <c r="E1908" i="66"/>
  <c r="I1907" i="66"/>
  <c r="H1907" i="66"/>
  <c r="G1907" i="66"/>
  <c r="E1907" i="66"/>
  <c r="I1906" i="66"/>
  <c r="H1906" i="66"/>
  <c r="G1906" i="66"/>
  <c r="D1906" i="66" s="1"/>
  <c r="E1906" i="66"/>
  <c r="I1905" i="66"/>
  <c r="H1905" i="66"/>
  <c r="G1905" i="66"/>
  <c r="D1905" i="66" s="1"/>
  <c r="E1905" i="66"/>
  <c r="I1904" i="66"/>
  <c r="H1904" i="66"/>
  <c r="G1904" i="66"/>
  <c r="E1904" i="66"/>
  <c r="I1903" i="66"/>
  <c r="H1903" i="66"/>
  <c r="G1903" i="66"/>
  <c r="E1903" i="66"/>
  <c r="I1902" i="66"/>
  <c r="H1902" i="66"/>
  <c r="G1902" i="66"/>
  <c r="E1902" i="66"/>
  <c r="I1901" i="66"/>
  <c r="H1901" i="66"/>
  <c r="G1901" i="66"/>
  <c r="E1901" i="66"/>
  <c r="I1900" i="66"/>
  <c r="H1900" i="66"/>
  <c r="G1900" i="66"/>
  <c r="D1900" i="66" s="1"/>
  <c r="E1900" i="66"/>
  <c r="I1899" i="66"/>
  <c r="H1899" i="66"/>
  <c r="G1899" i="66"/>
  <c r="D1899" i="66" s="1"/>
  <c r="E1899" i="66"/>
  <c r="I1898" i="66"/>
  <c r="H1898" i="66"/>
  <c r="G1898" i="66"/>
  <c r="E1898" i="66"/>
  <c r="I1897" i="66"/>
  <c r="H1897" i="66"/>
  <c r="G1897" i="66"/>
  <c r="D1897" i="66" s="1"/>
  <c r="E1897" i="66"/>
  <c r="I1896" i="66"/>
  <c r="H1896" i="66"/>
  <c r="G1896" i="66"/>
  <c r="E1896" i="66"/>
  <c r="I1895" i="66"/>
  <c r="H1895" i="66"/>
  <c r="G1895" i="66"/>
  <c r="E1895" i="66"/>
  <c r="I1894" i="66"/>
  <c r="H1894" i="66"/>
  <c r="G1894" i="66"/>
  <c r="E1894" i="66"/>
  <c r="I1893" i="66"/>
  <c r="H1893" i="66"/>
  <c r="G1893" i="66"/>
  <c r="D1893" i="66" s="1"/>
  <c r="E1893" i="66"/>
  <c r="I1892" i="66"/>
  <c r="H1892" i="66"/>
  <c r="G1892" i="66"/>
  <c r="E1892" i="66"/>
  <c r="I1891" i="66"/>
  <c r="H1891" i="66"/>
  <c r="G1891" i="66"/>
  <c r="E1891" i="66"/>
  <c r="I1890" i="66"/>
  <c r="H1890" i="66"/>
  <c r="G1890" i="66"/>
  <c r="E1890" i="66"/>
  <c r="I1889" i="66"/>
  <c r="H1889" i="66"/>
  <c r="G1889" i="66"/>
  <c r="E1889" i="66"/>
  <c r="I1888" i="66"/>
  <c r="H1888" i="66"/>
  <c r="G1888" i="66"/>
  <c r="E1888" i="66"/>
  <c r="I1887" i="66"/>
  <c r="H1887" i="66"/>
  <c r="G1887" i="66"/>
  <c r="D1887" i="66" s="1"/>
  <c r="E1887" i="66"/>
  <c r="I1886" i="66"/>
  <c r="H1886" i="66"/>
  <c r="G1886" i="66"/>
  <c r="E1886" i="66"/>
  <c r="I1885" i="66"/>
  <c r="H1885" i="66"/>
  <c r="G1885" i="66"/>
  <c r="E1885" i="66"/>
  <c r="I1884" i="66"/>
  <c r="H1884" i="66"/>
  <c r="G1884" i="66"/>
  <c r="D1884" i="66" s="1"/>
  <c r="E1884" i="66"/>
  <c r="I1883" i="66"/>
  <c r="H1883" i="66"/>
  <c r="G1883" i="66"/>
  <c r="E1883" i="66"/>
  <c r="I1882" i="66"/>
  <c r="H1882" i="66"/>
  <c r="G1882" i="66"/>
  <c r="E1882" i="66"/>
  <c r="I1881" i="66"/>
  <c r="H1881" i="66"/>
  <c r="G1881" i="66"/>
  <c r="D1881" i="66" s="1"/>
  <c r="E1881" i="66"/>
  <c r="I1880" i="66"/>
  <c r="H1880" i="66"/>
  <c r="G1880" i="66"/>
  <c r="E1880" i="66"/>
  <c r="I1879" i="66"/>
  <c r="H1879" i="66"/>
  <c r="G1879" i="66"/>
  <c r="D1879" i="66" s="1"/>
  <c r="E1879" i="66"/>
  <c r="I1878" i="66"/>
  <c r="H1878" i="66"/>
  <c r="G1878" i="66"/>
  <c r="D1878" i="66" s="1"/>
  <c r="E1878" i="66"/>
  <c r="I1877" i="66"/>
  <c r="H1877" i="66"/>
  <c r="G1877" i="66"/>
  <c r="E1877" i="66"/>
  <c r="I1876" i="66"/>
  <c r="H1876" i="66"/>
  <c r="G1876" i="66"/>
  <c r="E1876" i="66"/>
  <c r="I1875" i="66"/>
  <c r="H1875" i="66"/>
  <c r="G1875" i="66"/>
  <c r="E1875" i="66"/>
  <c r="I1874" i="66"/>
  <c r="H1874" i="66"/>
  <c r="G1874" i="66"/>
  <c r="E1874" i="66"/>
  <c r="I1873" i="66"/>
  <c r="H1873" i="66"/>
  <c r="G1873" i="66"/>
  <c r="E1873" i="66"/>
  <c r="I1872" i="66"/>
  <c r="H1872" i="66"/>
  <c r="G1872" i="66"/>
  <c r="E1872" i="66"/>
  <c r="I1871" i="66"/>
  <c r="H1871" i="66"/>
  <c r="G1871" i="66"/>
  <c r="E1871" i="66"/>
  <c r="I1870" i="66"/>
  <c r="H1870" i="66"/>
  <c r="G1870" i="66"/>
  <c r="D1870" i="66" s="1"/>
  <c r="E1870" i="66"/>
  <c r="I1869" i="66"/>
  <c r="H1869" i="66"/>
  <c r="G1869" i="66"/>
  <c r="E1869" i="66"/>
  <c r="I1868" i="66"/>
  <c r="H1868" i="66"/>
  <c r="G1868" i="66"/>
  <c r="E1868" i="66"/>
  <c r="I1867" i="66"/>
  <c r="H1867" i="66"/>
  <c r="G1867" i="66"/>
  <c r="E1867" i="66"/>
  <c r="I1866" i="66"/>
  <c r="H1866" i="66"/>
  <c r="G1866" i="66"/>
  <c r="D1866" i="66" s="1"/>
  <c r="E1866" i="66"/>
  <c r="I1865" i="66"/>
  <c r="H1865" i="66"/>
  <c r="G1865" i="66"/>
  <c r="E1865" i="66"/>
  <c r="I1864" i="66"/>
  <c r="H1864" i="66"/>
  <c r="G1864" i="66"/>
  <c r="E1864" i="66"/>
  <c r="I1863" i="66"/>
  <c r="H1863" i="66"/>
  <c r="G1863" i="66"/>
  <c r="D1863" i="66" s="1"/>
  <c r="E1863" i="66"/>
  <c r="I1862" i="66"/>
  <c r="H1862" i="66"/>
  <c r="G1862" i="66"/>
  <c r="E1862" i="66"/>
  <c r="I1861" i="66"/>
  <c r="H1861" i="66"/>
  <c r="G1861" i="66"/>
  <c r="E1861" i="66"/>
  <c r="I1860" i="66"/>
  <c r="H1860" i="66"/>
  <c r="G1860" i="66"/>
  <c r="D1860" i="66" s="1"/>
  <c r="E1860" i="66"/>
  <c r="I1859" i="66"/>
  <c r="H1859" i="66"/>
  <c r="G1859" i="66"/>
  <c r="E1859" i="66"/>
  <c r="I1858" i="66"/>
  <c r="H1858" i="66"/>
  <c r="G1858" i="66"/>
  <c r="D1858" i="66" s="1"/>
  <c r="E1858" i="66"/>
  <c r="I1857" i="66"/>
  <c r="H1857" i="66"/>
  <c r="G1857" i="66"/>
  <c r="D1857" i="66" s="1"/>
  <c r="E1857" i="66"/>
  <c r="I1856" i="66"/>
  <c r="H1856" i="66"/>
  <c r="G1856" i="66"/>
  <c r="E1856" i="66"/>
  <c r="I1855" i="66"/>
  <c r="H1855" i="66"/>
  <c r="G1855" i="66"/>
  <c r="D1855" i="66" s="1"/>
  <c r="E1855" i="66"/>
  <c r="I1854" i="66"/>
  <c r="H1854" i="66"/>
  <c r="G1854" i="66"/>
  <c r="D1854" i="66" s="1"/>
  <c r="E1854" i="66"/>
  <c r="I1853" i="66"/>
  <c r="H1853" i="66"/>
  <c r="G1853" i="66"/>
  <c r="E1853" i="66"/>
  <c r="I1852" i="66"/>
  <c r="H1852" i="66"/>
  <c r="G1852" i="66"/>
  <c r="D1852" i="66" s="1"/>
  <c r="E1852" i="66"/>
  <c r="I1851" i="66"/>
  <c r="H1851" i="66"/>
  <c r="G1851" i="66"/>
  <c r="D1851" i="66" s="1"/>
  <c r="E1851" i="66"/>
  <c r="I1850" i="66"/>
  <c r="H1850" i="66"/>
  <c r="G1850" i="66"/>
  <c r="E1850" i="66"/>
  <c r="I1849" i="66"/>
  <c r="H1849" i="66"/>
  <c r="G1849" i="66"/>
  <c r="D1849" i="66" s="1"/>
  <c r="E1849" i="66"/>
  <c r="I1848" i="66"/>
  <c r="H1848" i="66"/>
  <c r="G1848" i="66"/>
  <c r="D1848" i="66" s="1"/>
  <c r="E1848" i="66"/>
  <c r="I1847" i="66"/>
  <c r="H1847" i="66"/>
  <c r="G1847" i="66"/>
  <c r="E1847" i="66"/>
  <c r="I1846" i="66"/>
  <c r="H1846" i="66"/>
  <c r="G1846" i="66"/>
  <c r="D1846" i="66" s="1"/>
  <c r="E1846" i="66"/>
  <c r="I1845" i="66"/>
  <c r="H1845" i="66"/>
  <c r="G1845" i="66"/>
  <c r="D1845" i="66" s="1"/>
  <c r="E1845" i="66"/>
  <c r="I1844" i="66"/>
  <c r="H1844" i="66"/>
  <c r="G1844" i="66"/>
  <c r="E1844" i="66"/>
  <c r="I1843" i="66"/>
  <c r="H1843" i="66"/>
  <c r="G1843" i="66"/>
  <c r="D1843" i="66" s="1"/>
  <c r="E1843" i="66"/>
  <c r="I1842" i="66"/>
  <c r="H1842" i="66"/>
  <c r="G1842" i="66"/>
  <c r="D1842" i="66" s="1"/>
  <c r="E1842" i="66"/>
  <c r="I1841" i="66"/>
  <c r="H1841" i="66"/>
  <c r="G1841" i="66"/>
  <c r="E1841" i="66"/>
  <c r="I1840" i="66"/>
  <c r="H1840" i="66"/>
  <c r="G1840" i="66"/>
  <c r="D1840" i="66" s="1"/>
  <c r="E1840" i="66"/>
  <c r="I1839" i="66"/>
  <c r="H1839" i="66"/>
  <c r="G1839" i="66"/>
  <c r="D1839" i="66" s="1"/>
  <c r="E1839" i="66"/>
  <c r="I1838" i="66"/>
  <c r="H1838" i="66"/>
  <c r="G1838" i="66"/>
  <c r="E1838" i="66"/>
  <c r="I1837" i="66"/>
  <c r="H1837" i="66"/>
  <c r="G1837" i="66"/>
  <c r="E1837" i="66"/>
  <c r="I1836" i="66"/>
  <c r="H1836" i="66"/>
  <c r="G1836" i="66"/>
  <c r="D1836" i="66" s="1"/>
  <c r="E1836" i="66"/>
  <c r="I1835" i="66"/>
  <c r="H1835" i="66"/>
  <c r="G1835" i="66"/>
  <c r="E1835" i="66"/>
  <c r="I1834" i="66"/>
  <c r="H1834" i="66"/>
  <c r="G1834" i="66"/>
  <c r="D1834" i="66" s="1"/>
  <c r="E1834" i="66"/>
  <c r="I1833" i="66"/>
  <c r="H1833" i="66"/>
  <c r="G1833" i="66"/>
  <c r="D1833" i="66" s="1"/>
  <c r="E1833" i="66"/>
  <c r="I1832" i="66"/>
  <c r="H1832" i="66"/>
  <c r="G1832" i="66"/>
  <c r="E1832" i="66"/>
  <c r="I1831" i="66"/>
  <c r="H1831" i="66"/>
  <c r="G1831" i="66"/>
  <c r="D1831" i="66" s="1"/>
  <c r="E1831" i="66"/>
  <c r="I1830" i="66"/>
  <c r="H1830" i="66"/>
  <c r="G1830" i="66"/>
  <c r="D1830" i="66" s="1"/>
  <c r="E1830" i="66"/>
  <c r="I1829" i="66"/>
  <c r="H1829" i="66"/>
  <c r="G1829" i="66"/>
  <c r="E1829" i="66"/>
  <c r="I1828" i="66"/>
  <c r="H1828" i="66"/>
  <c r="G1828" i="66"/>
  <c r="D1828" i="66" s="1"/>
  <c r="E1828" i="66"/>
  <c r="I1827" i="66"/>
  <c r="H1827" i="66"/>
  <c r="G1827" i="66"/>
  <c r="E1827" i="66"/>
  <c r="I1826" i="66"/>
  <c r="H1826" i="66"/>
  <c r="G1826" i="66"/>
  <c r="E1826" i="66"/>
  <c r="I1825" i="66"/>
  <c r="H1825" i="66"/>
  <c r="G1825" i="66"/>
  <c r="E1825" i="66"/>
  <c r="I1824" i="66"/>
  <c r="H1824" i="66"/>
  <c r="G1824" i="66"/>
  <c r="D1824" i="66" s="1"/>
  <c r="E1824" i="66"/>
  <c r="I1823" i="66"/>
  <c r="H1823" i="66"/>
  <c r="G1823" i="66"/>
  <c r="E1823" i="66"/>
  <c r="I1822" i="66"/>
  <c r="H1822" i="66"/>
  <c r="G1822" i="66"/>
  <c r="D1822" i="66" s="1"/>
  <c r="E1822" i="66"/>
  <c r="I1821" i="66"/>
  <c r="H1821" i="66"/>
  <c r="G1821" i="66"/>
  <c r="D1821" i="66" s="1"/>
  <c r="E1821" i="66"/>
  <c r="I1820" i="66"/>
  <c r="H1820" i="66"/>
  <c r="G1820" i="66"/>
  <c r="E1820" i="66"/>
  <c r="I1819" i="66"/>
  <c r="H1819" i="66"/>
  <c r="G1819" i="66"/>
  <c r="E1819" i="66"/>
  <c r="I1818" i="66"/>
  <c r="H1818" i="66"/>
  <c r="G1818" i="66"/>
  <c r="D1818" i="66" s="1"/>
  <c r="E1818" i="66"/>
  <c r="I1817" i="66"/>
  <c r="H1817" i="66"/>
  <c r="G1817" i="66"/>
  <c r="E1817" i="66"/>
  <c r="I1816" i="66"/>
  <c r="H1816" i="66"/>
  <c r="G1816" i="66"/>
  <c r="D1816" i="66" s="1"/>
  <c r="E1816" i="66"/>
  <c r="I1815" i="66"/>
  <c r="H1815" i="66"/>
  <c r="G1815" i="66"/>
  <c r="D1815" i="66" s="1"/>
  <c r="E1815" i="66"/>
  <c r="I1814" i="66"/>
  <c r="H1814" i="66"/>
  <c r="G1814" i="66"/>
  <c r="E1814" i="66"/>
  <c r="I1813" i="66"/>
  <c r="H1813" i="66"/>
  <c r="G1813" i="66"/>
  <c r="E1813" i="66"/>
  <c r="I1812" i="66"/>
  <c r="H1812" i="66"/>
  <c r="G1812" i="66"/>
  <c r="E1812" i="66"/>
  <c r="I1811" i="66"/>
  <c r="H1811" i="66"/>
  <c r="G1811" i="66"/>
  <c r="E1811" i="66"/>
  <c r="I1810" i="66"/>
  <c r="H1810" i="66"/>
  <c r="G1810" i="66"/>
  <c r="D1810" i="66" s="1"/>
  <c r="E1810" i="66"/>
  <c r="I1809" i="66"/>
  <c r="H1809" i="66"/>
  <c r="G1809" i="66"/>
  <c r="D1809" i="66" s="1"/>
  <c r="E1809" i="66"/>
  <c r="I1808" i="66"/>
  <c r="H1808" i="66"/>
  <c r="G1808" i="66"/>
  <c r="E1808" i="66"/>
  <c r="I1807" i="66"/>
  <c r="H1807" i="66"/>
  <c r="G1807" i="66"/>
  <c r="D1807" i="66" s="1"/>
  <c r="E1807" i="66"/>
  <c r="I1806" i="66"/>
  <c r="H1806" i="66"/>
  <c r="G1806" i="66"/>
  <c r="D1806" i="66" s="1"/>
  <c r="E1806" i="66"/>
  <c r="I1805" i="66"/>
  <c r="H1805" i="66"/>
  <c r="G1805" i="66"/>
  <c r="E1805" i="66"/>
  <c r="I1804" i="66"/>
  <c r="H1804" i="66"/>
  <c r="G1804" i="66"/>
  <c r="D1804" i="66" s="1"/>
  <c r="E1804" i="66"/>
  <c r="I1803" i="66"/>
  <c r="H1803" i="66"/>
  <c r="G1803" i="66"/>
  <c r="D1803" i="66" s="1"/>
  <c r="E1803" i="66"/>
  <c r="I1802" i="66"/>
  <c r="H1802" i="66"/>
  <c r="G1802" i="66"/>
  <c r="E1802" i="66"/>
  <c r="I1801" i="66"/>
  <c r="H1801" i="66"/>
  <c r="G1801" i="66"/>
  <c r="E1801" i="66"/>
  <c r="I1800" i="66"/>
  <c r="H1800" i="66"/>
  <c r="G1800" i="66"/>
  <c r="E1800" i="66"/>
  <c r="I1799" i="66"/>
  <c r="H1799" i="66"/>
  <c r="G1799" i="66"/>
  <c r="E1799" i="66"/>
  <c r="I1798" i="66"/>
  <c r="H1798" i="66"/>
  <c r="G1798" i="66"/>
  <c r="E1798" i="66"/>
  <c r="I1797" i="66"/>
  <c r="H1797" i="66"/>
  <c r="G1797" i="66"/>
  <c r="D1797" i="66" s="1"/>
  <c r="E1797" i="66"/>
  <c r="I1796" i="66"/>
  <c r="H1796" i="66"/>
  <c r="G1796" i="66"/>
  <c r="E1796" i="66"/>
  <c r="I1795" i="66"/>
  <c r="H1795" i="66"/>
  <c r="G1795" i="66"/>
  <c r="E1795" i="66"/>
  <c r="I1794" i="66"/>
  <c r="H1794" i="66"/>
  <c r="G1794" i="66"/>
  <c r="E1794" i="66"/>
  <c r="I1793" i="66"/>
  <c r="H1793" i="66"/>
  <c r="G1793" i="66"/>
  <c r="E1793" i="66"/>
  <c r="I1792" i="66"/>
  <c r="H1792" i="66"/>
  <c r="G1792" i="66"/>
  <c r="E1792" i="66"/>
  <c r="I1791" i="66"/>
  <c r="H1791" i="66"/>
  <c r="G1791" i="66"/>
  <c r="D1791" i="66" s="1"/>
  <c r="E1791" i="66"/>
  <c r="I1790" i="66"/>
  <c r="H1790" i="66"/>
  <c r="G1790" i="66"/>
  <c r="E1790" i="66"/>
  <c r="I1789" i="66"/>
  <c r="H1789" i="66"/>
  <c r="G1789" i="66"/>
  <c r="E1789" i="66"/>
  <c r="I1788" i="66"/>
  <c r="H1788" i="66"/>
  <c r="G1788" i="66"/>
  <c r="D1788" i="66" s="1"/>
  <c r="E1788" i="66"/>
  <c r="I1787" i="66"/>
  <c r="H1787" i="66"/>
  <c r="G1787" i="66"/>
  <c r="E1787" i="66"/>
  <c r="I1786" i="66"/>
  <c r="H1786" i="66"/>
  <c r="G1786" i="66"/>
  <c r="D1786" i="66" s="1"/>
  <c r="E1786" i="66"/>
  <c r="I1785" i="66"/>
  <c r="H1785" i="66"/>
  <c r="G1785" i="66"/>
  <c r="D1785" i="66" s="1"/>
  <c r="E1785" i="66"/>
  <c r="I1784" i="66"/>
  <c r="H1784" i="66"/>
  <c r="G1784" i="66"/>
  <c r="E1784" i="66"/>
  <c r="I1783" i="66"/>
  <c r="H1783" i="66"/>
  <c r="G1783" i="66"/>
  <c r="E1783" i="66"/>
  <c r="I1782" i="66"/>
  <c r="H1782" i="66"/>
  <c r="G1782" i="66"/>
  <c r="D1782" i="66" s="1"/>
  <c r="E1782" i="66"/>
  <c r="I1781" i="66"/>
  <c r="H1781" i="66"/>
  <c r="G1781" i="66"/>
  <c r="E1781" i="66"/>
  <c r="I1780" i="66"/>
  <c r="H1780" i="66"/>
  <c r="G1780" i="66"/>
  <c r="E1780" i="66"/>
  <c r="I1779" i="66"/>
  <c r="H1779" i="66"/>
  <c r="G1779" i="66"/>
  <c r="E1779" i="66"/>
  <c r="I1778" i="66"/>
  <c r="H1778" i="66"/>
  <c r="G1778" i="66"/>
  <c r="E1778" i="66"/>
  <c r="I1777" i="66"/>
  <c r="H1777" i="66"/>
  <c r="G1777" i="66"/>
  <c r="E1777" i="66"/>
  <c r="I1776" i="66"/>
  <c r="H1776" i="66"/>
  <c r="G1776" i="66"/>
  <c r="D1776" i="66" s="1"/>
  <c r="E1776" i="66"/>
  <c r="I1775" i="66"/>
  <c r="H1775" i="66"/>
  <c r="G1775" i="66"/>
  <c r="E1775" i="66"/>
  <c r="I1774" i="66"/>
  <c r="H1774" i="66"/>
  <c r="G1774" i="66"/>
  <c r="E1774" i="66"/>
  <c r="I1773" i="66"/>
  <c r="H1773" i="66"/>
  <c r="G1773" i="66"/>
  <c r="E1773" i="66"/>
  <c r="I1772" i="66"/>
  <c r="H1772" i="66"/>
  <c r="G1772" i="66"/>
  <c r="E1772" i="66"/>
  <c r="I1771" i="66"/>
  <c r="H1771" i="66"/>
  <c r="G1771" i="66"/>
  <c r="E1771" i="66"/>
  <c r="I1770" i="66"/>
  <c r="H1770" i="66"/>
  <c r="G1770" i="66"/>
  <c r="D1770" i="66" s="1"/>
  <c r="E1770" i="66"/>
  <c r="I1769" i="66"/>
  <c r="H1769" i="66"/>
  <c r="G1769" i="66"/>
  <c r="E1769" i="66"/>
  <c r="I1768" i="66"/>
  <c r="H1768" i="66"/>
  <c r="G1768" i="66"/>
  <c r="D1768" i="66" s="1"/>
  <c r="E1768" i="66"/>
  <c r="I1767" i="66"/>
  <c r="H1767" i="66"/>
  <c r="G1767" i="66"/>
  <c r="D1767" i="66" s="1"/>
  <c r="E1767" i="66"/>
  <c r="I1766" i="66"/>
  <c r="H1766" i="66"/>
  <c r="G1766" i="66"/>
  <c r="E1766" i="66"/>
  <c r="I1765" i="66"/>
  <c r="H1765" i="66"/>
  <c r="G1765" i="66"/>
  <c r="D1765" i="66" s="1"/>
  <c r="E1765" i="66"/>
  <c r="I1764" i="66"/>
  <c r="H1764" i="66"/>
  <c r="G1764" i="66"/>
  <c r="D1764" i="66" s="1"/>
  <c r="E1764" i="66"/>
  <c r="I1763" i="66"/>
  <c r="H1763" i="66"/>
  <c r="G1763" i="66"/>
  <c r="E1763" i="66"/>
  <c r="I1762" i="66"/>
  <c r="H1762" i="66"/>
  <c r="G1762" i="66"/>
  <c r="D1762" i="66" s="1"/>
  <c r="E1762" i="66"/>
  <c r="I1761" i="66"/>
  <c r="H1761" i="66"/>
  <c r="G1761" i="66"/>
  <c r="E1761" i="66"/>
  <c r="I1760" i="66"/>
  <c r="H1760" i="66"/>
  <c r="G1760" i="66"/>
  <c r="E1760" i="66"/>
  <c r="I1759" i="66"/>
  <c r="H1759" i="66"/>
  <c r="G1759" i="66"/>
  <c r="D1759" i="66" s="1"/>
  <c r="E1759" i="66"/>
  <c r="I1758" i="66"/>
  <c r="H1758" i="66"/>
  <c r="G1758" i="66"/>
  <c r="D1758" i="66" s="1"/>
  <c r="E1758" i="66"/>
  <c r="I1757" i="66"/>
  <c r="H1757" i="66"/>
  <c r="G1757" i="66"/>
  <c r="E1757" i="66"/>
  <c r="I1756" i="66"/>
  <c r="H1756" i="66"/>
  <c r="G1756" i="66"/>
  <c r="E1756" i="66"/>
  <c r="I1755" i="66"/>
  <c r="H1755" i="66"/>
  <c r="G1755" i="66"/>
  <c r="D1755" i="66" s="1"/>
  <c r="E1755" i="66"/>
  <c r="I1754" i="66"/>
  <c r="H1754" i="66"/>
  <c r="G1754" i="66"/>
  <c r="E1754" i="66"/>
  <c r="I1753" i="66"/>
  <c r="H1753" i="66"/>
  <c r="G1753" i="66"/>
  <c r="D1753" i="66" s="1"/>
  <c r="E1753" i="66"/>
  <c r="I1752" i="66"/>
  <c r="H1752" i="66"/>
  <c r="G1752" i="66"/>
  <c r="E1752" i="66"/>
  <c r="I1751" i="66"/>
  <c r="H1751" i="66"/>
  <c r="G1751" i="66"/>
  <c r="E1751" i="66"/>
  <c r="I1750" i="66"/>
  <c r="H1750" i="66"/>
  <c r="G1750" i="66"/>
  <c r="E1750" i="66"/>
  <c r="I1749" i="66"/>
  <c r="H1749" i="66"/>
  <c r="G1749" i="66"/>
  <c r="D1749" i="66" s="1"/>
  <c r="E1749" i="66"/>
  <c r="I1748" i="66"/>
  <c r="H1748" i="66"/>
  <c r="G1748" i="66"/>
  <c r="E1748" i="66"/>
  <c r="I1747" i="66"/>
  <c r="H1747" i="66"/>
  <c r="G1747" i="66"/>
  <c r="E1747" i="66"/>
  <c r="I1746" i="66"/>
  <c r="H1746" i="66"/>
  <c r="G1746" i="66"/>
  <c r="D1746" i="66" s="1"/>
  <c r="E1746" i="66"/>
  <c r="I1745" i="66"/>
  <c r="H1745" i="66"/>
  <c r="G1745" i="66"/>
  <c r="E1745" i="66"/>
  <c r="I1744" i="66"/>
  <c r="H1744" i="66"/>
  <c r="G1744" i="66"/>
  <c r="D1744" i="66" s="1"/>
  <c r="E1744" i="66"/>
  <c r="I1743" i="66"/>
  <c r="H1743" i="66"/>
  <c r="G1743" i="66"/>
  <c r="D1743" i="66" s="1"/>
  <c r="E1743" i="66"/>
  <c r="I1742" i="66"/>
  <c r="H1742" i="66"/>
  <c r="G1742" i="66"/>
  <c r="E1742" i="66"/>
  <c r="I1741" i="66"/>
  <c r="H1741" i="66"/>
  <c r="G1741" i="66"/>
  <c r="E1741" i="66"/>
  <c r="I1740" i="66"/>
  <c r="H1740" i="66"/>
  <c r="G1740" i="66"/>
  <c r="D1740" i="66" s="1"/>
  <c r="E1740" i="66"/>
  <c r="I1739" i="66"/>
  <c r="H1739" i="66"/>
  <c r="G1739" i="66"/>
  <c r="E1739" i="66"/>
  <c r="I1738" i="66"/>
  <c r="H1738" i="66"/>
  <c r="G1738" i="66"/>
  <c r="E1738" i="66"/>
  <c r="I1737" i="66"/>
  <c r="H1737" i="66"/>
  <c r="G1737" i="66"/>
  <c r="D1737" i="66" s="1"/>
  <c r="E1737" i="66"/>
  <c r="I1736" i="66"/>
  <c r="H1736" i="66"/>
  <c r="G1736" i="66"/>
  <c r="E1736" i="66"/>
  <c r="I1735" i="66"/>
  <c r="H1735" i="66"/>
  <c r="G1735" i="66"/>
  <c r="E1735" i="66"/>
  <c r="I1734" i="66"/>
  <c r="H1734" i="66"/>
  <c r="G1734" i="66"/>
  <c r="D1734" i="66" s="1"/>
  <c r="E1734" i="66"/>
  <c r="I1733" i="66"/>
  <c r="H1733" i="66"/>
  <c r="G1733" i="66"/>
  <c r="E1733" i="66"/>
  <c r="I1732" i="66"/>
  <c r="H1732" i="66"/>
  <c r="G1732" i="66"/>
  <c r="E1732" i="66"/>
  <c r="I1731" i="66"/>
  <c r="H1731" i="66"/>
  <c r="G1731" i="66"/>
  <c r="D1731" i="66" s="1"/>
  <c r="E1731" i="66"/>
  <c r="I1730" i="66"/>
  <c r="H1730" i="66"/>
  <c r="G1730" i="66"/>
  <c r="E1730" i="66"/>
  <c r="I1729" i="66"/>
  <c r="H1729" i="66"/>
  <c r="G1729" i="66"/>
  <c r="E1729" i="66"/>
  <c r="I1728" i="66"/>
  <c r="H1728" i="66"/>
  <c r="G1728" i="66"/>
  <c r="D1728" i="66" s="1"/>
  <c r="E1728" i="66"/>
  <c r="I1727" i="66"/>
  <c r="H1727" i="66"/>
  <c r="G1727" i="66"/>
  <c r="E1727" i="66"/>
  <c r="I1726" i="66"/>
  <c r="H1726" i="66"/>
  <c r="G1726" i="66"/>
  <c r="E1726" i="66"/>
  <c r="I1725" i="66"/>
  <c r="H1725" i="66"/>
  <c r="G1725" i="66"/>
  <c r="E1725" i="66"/>
  <c r="I1724" i="66"/>
  <c r="H1724" i="66"/>
  <c r="G1724" i="66"/>
  <c r="E1724" i="66"/>
  <c r="I1723" i="66"/>
  <c r="H1723" i="66"/>
  <c r="G1723" i="66"/>
  <c r="E1723" i="66"/>
  <c r="I1722" i="66"/>
  <c r="H1722" i="66"/>
  <c r="G1722" i="66"/>
  <c r="D1722" i="66" s="1"/>
  <c r="E1722" i="66"/>
  <c r="I1721" i="66"/>
  <c r="H1721" i="66"/>
  <c r="G1721" i="66"/>
  <c r="E1721" i="66"/>
  <c r="I1720" i="66"/>
  <c r="H1720" i="66"/>
  <c r="G1720" i="66"/>
  <c r="E1720" i="66"/>
  <c r="I1719" i="66"/>
  <c r="H1719" i="66"/>
  <c r="G1719" i="66"/>
  <c r="D1719" i="66" s="1"/>
  <c r="E1719" i="66"/>
  <c r="I1718" i="66"/>
  <c r="H1718" i="66"/>
  <c r="G1718" i="66"/>
  <c r="E1718" i="66"/>
  <c r="I1717" i="66"/>
  <c r="H1717" i="66"/>
  <c r="G1717" i="66"/>
  <c r="D1717" i="66" s="1"/>
  <c r="E1717" i="66"/>
  <c r="I1716" i="66"/>
  <c r="H1716" i="66"/>
  <c r="G1716" i="66"/>
  <c r="D1716" i="66" s="1"/>
  <c r="E1716" i="66"/>
  <c r="I1715" i="66"/>
  <c r="H1715" i="66"/>
  <c r="G1715" i="66"/>
  <c r="E1715" i="66"/>
  <c r="I1714" i="66"/>
  <c r="H1714" i="66"/>
  <c r="G1714" i="66"/>
  <c r="D1714" i="66" s="1"/>
  <c r="E1714" i="66"/>
  <c r="I1713" i="66"/>
  <c r="H1713" i="66"/>
  <c r="G1713" i="66"/>
  <c r="D1713" i="66" s="1"/>
  <c r="E1713" i="66"/>
  <c r="I1712" i="66"/>
  <c r="H1712" i="66"/>
  <c r="G1712" i="66"/>
  <c r="E1712" i="66"/>
  <c r="I1711" i="66"/>
  <c r="H1711" i="66"/>
  <c r="G1711" i="66"/>
  <c r="D1711" i="66" s="1"/>
  <c r="E1711" i="66"/>
  <c r="I1710" i="66"/>
  <c r="H1710" i="66"/>
  <c r="G1710" i="66"/>
  <c r="D1710" i="66" s="1"/>
  <c r="E1710" i="66"/>
  <c r="I1709" i="66"/>
  <c r="H1709" i="66"/>
  <c r="G1709" i="66"/>
  <c r="E1709" i="66"/>
  <c r="I1708" i="66"/>
  <c r="H1708" i="66"/>
  <c r="G1708" i="66"/>
  <c r="E1708" i="66"/>
  <c r="I1707" i="66"/>
  <c r="H1707" i="66"/>
  <c r="G1707" i="66"/>
  <c r="D1707" i="66" s="1"/>
  <c r="E1707" i="66"/>
  <c r="I1706" i="66"/>
  <c r="H1706" i="66"/>
  <c r="G1706" i="66"/>
  <c r="E1706" i="66"/>
  <c r="I1705" i="66"/>
  <c r="H1705" i="66"/>
  <c r="G1705" i="66"/>
  <c r="E1705" i="66"/>
  <c r="I1704" i="66"/>
  <c r="H1704" i="66"/>
  <c r="G1704" i="66"/>
  <c r="D1704" i="66" s="1"/>
  <c r="E1704" i="66"/>
  <c r="I1703" i="66"/>
  <c r="H1703" i="66"/>
  <c r="G1703" i="66"/>
  <c r="E1703" i="66"/>
  <c r="I1702" i="66"/>
  <c r="H1702" i="66"/>
  <c r="G1702" i="66"/>
  <c r="E1702" i="66"/>
  <c r="I1701" i="66"/>
  <c r="H1701" i="66"/>
  <c r="G1701" i="66"/>
  <c r="D1701" i="66" s="1"/>
  <c r="E1701" i="66"/>
  <c r="I1700" i="66"/>
  <c r="H1700" i="66"/>
  <c r="G1700" i="66"/>
  <c r="E1700" i="66"/>
  <c r="I1699" i="66"/>
  <c r="H1699" i="66"/>
  <c r="G1699" i="66"/>
  <c r="D1699" i="66" s="1"/>
  <c r="E1699" i="66"/>
  <c r="I1698" i="66"/>
  <c r="H1698" i="66"/>
  <c r="G1698" i="66"/>
  <c r="D1698" i="66" s="1"/>
  <c r="E1698" i="66"/>
  <c r="I1697" i="66"/>
  <c r="H1697" i="66"/>
  <c r="G1697" i="66"/>
  <c r="E1697" i="66"/>
  <c r="I1696" i="66"/>
  <c r="H1696" i="66"/>
  <c r="G1696" i="66"/>
  <c r="D1696" i="66" s="1"/>
  <c r="E1696" i="66"/>
  <c r="I1695" i="66"/>
  <c r="H1695" i="66"/>
  <c r="G1695" i="66"/>
  <c r="D1695" i="66" s="1"/>
  <c r="E1695" i="66"/>
  <c r="I1694" i="66"/>
  <c r="H1694" i="66"/>
  <c r="G1694" i="66"/>
  <c r="E1694" i="66"/>
  <c r="I1693" i="66"/>
  <c r="H1693" i="66"/>
  <c r="G1693" i="66"/>
  <c r="E1693" i="66"/>
  <c r="I1692" i="66"/>
  <c r="H1692" i="66"/>
  <c r="G1692" i="66"/>
  <c r="E1692" i="66"/>
  <c r="I1691" i="66"/>
  <c r="H1691" i="66"/>
  <c r="G1691" i="66"/>
  <c r="E1691" i="66"/>
  <c r="I1690" i="66"/>
  <c r="H1690" i="66"/>
  <c r="G1690" i="66"/>
  <c r="D1690" i="66" s="1"/>
  <c r="E1690" i="66"/>
  <c r="I1689" i="66"/>
  <c r="H1689" i="66"/>
  <c r="G1689" i="66"/>
  <c r="E1689" i="66"/>
  <c r="I1688" i="66"/>
  <c r="H1688" i="66"/>
  <c r="G1688" i="66"/>
  <c r="E1688" i="66"/>
  <c r="I1687" i="66"/>
  <c r="H1687" i="66"/>
  <c r="G1687" i="66"/>
  <c r="E1687" i="66"/>
  <c r="I1686" i="66"/>
  <c r="H1686" i="66"/>
  <c r="G1686" i="66"/>
  <c r="D1686" i="66" s="1"/>
  <c r="E1686" i="66"/>
  <c r="I1685" i="66"/>
  <c r="H1685" i="66"/>
  <c r="G1685" i="66"/>
  <c r="E1685" i="66"/>
  <c r="I1684" i="66"/>
  <c r="H1684" i="66"/>
  <c r="G1684" i="66"/>
  <c r="D1684" i="66" s="1"/>
  <c r="E1684" i="66"/>
  <c r="I1683" i="66"/>
  <c r="H1683" i="66"/>
  <c r="G1683" i="66"/>
  <c r="D1683" i="66" s="1"/>
  <c r="E1683" i="66"/>
  <c r="I1682" i="66"/>
  <c r="H1682" i="66"/>
  <c r="G1682" i="66"/>
  <c r="E1682" i="66"/>
  <c r="I1681" i="66"/>
  <c r="H1681" i="66"/>
  <c r="G1681" i="66"/>
  <c r="E1681" i="66"/>
  <c r="I1680" i="66"/>
  <c r="H1680" i="66"/>
  <c r="G1680" i="66"/>
  <c r="D1680" i="66" s="1"/>
  <c r="E1680" i="66"/>
  <c r="I1679" i="66"/>
  <c r="H1679" i="66"/>
  <c r="G1679" i="66"/>
  <c r="E1679" i="66"/>
  <c r="I1678" i="66"/>
  <c r="H1678" i="66"/>
  <c r="G1678" i="66"/>
  <c r="D1678" i="66" s="1"/>
  <c r="E1678" i="66"/>
  <c r="I1677" i="66"/>
  <c r="H1677" i="66"/>
  <c r="G1677" i="66"/>
  <c r="E1677" i="66"/>
  <c r="I1676" i="66"/>
  <c r="H1676" i="66"/>
  <c r="G1676" i="66"/>
  <c r="E1676" i="66"/>
  <c r="I1675" i="66"/>
  <c r="H1675" i="66"/>
  <c r="G1675" i="66"/>
  <c r="D1675" i="66" s="1"/>
  <c r="E1675" i="66"/>
  <c r="I1674" i="66"/>
  <c r="H1674" i="66"/>
  <c r="G1674" i="66"/>
  <c r="D1674" i="66" s="1"/>
  <c r="E1674" i="66"/>
  <c r="I1673" i="66"/>
  <c r="H1673" i="66"/>
  <c r="G1673" i="66"/>
  <c r="E1673" i="66"/>
  <c r="I1672" i="66"/>
  <c r="H1672" i="66"/>
  <c r="G1672" i="66"/>
  <c r="E1672" i="66"/>
  <c r="I1671" i="66"/>
  <c r="H1671" i="66"/>
  <c r="G1671" i="66"/>
  <c r="E1671" i="66"/>
  <c r="I1670" i="66"/>
  <c r="H1670" i="66"/>
  <c r="G1670" i="66"/>
  <c r="E1670" i="66"/>
  <c r="I1669" i="66"/>
  <c r="H1669" i="66"/>
  <c r="G1669" i="66"/>
  <c r="E1669" i="66"/>
  <c r="I1668" i="66"/>
  <c r="H1668" i="66"/>
  <c r="G1668" i="66"/>
  <c r="D1668" i="66" s="1"/>
  <c r="E1668" i="66"/>
  <c r="I1667" i="66"/>
  <c r="H1667" i="66"/>
  <c r="G1667" i="66"/>
  <c r="E1667" i="66"/>
  <c r="I1666" i="66"/>
  <c r="H1666" i="66"/>
  <c r="G1666" i="66"/>
  <c r="E1666" i="66"/>
  <c r="I1665" i="66"/>
  <c r="H1665" i="66"/>
  <c r="G1665" i="66"/>
  <c r="D1665" i="66" s="1"/>
  <c r="E1665" i="66"/>
  <c r="I1664" i="66"/>
  <c r="H1664" i="66"/>
  <c r="G1664" i="66"/>
  <c r="E1664" i="66"/>
  <c r="I1663" i="66"/>
  <c r="H1663" i="66"/>
  <c r="G1663" i="66"/>
  <c r="D1663" i="66" s="1"/>
  <c r="E1663" i="66"/>
  <c r="I1662" i="66"/>
  <c r="H1662" i="66"/>
  <c r="G1662" i="66"/>
  <c r="D1662" i="66" s="1"/>
  <c r="E1662" i="66"/>
  <c r="I1661" i="66"/>
  <c r="H1661" i="66"/>
  <c r="G1661" i="66"/>
  <c r="E1661" i="66"/>
  <c r="I1660" i="66"/>
  <c r="H1660" i="66"/>
  <c r="G1660" i="66"/>
  <c r="E1660" i="66"/>
  <c r="I1659" i="66"/>
  <c r="H1659" i="66"/>
  <c r="G1659" i="66"/>
  <c r="D1659" i="66" s="1"/>
  <c r="E1659" i="66"/>
  <c r="I1658" i="66"/>
  <c r="H1658" i="66"/>
  <c r="G1658" i="66"/>
  <c r="E1658" i="66"/>
  <c r="I1657" i="66"/>
  <c r="H1657" i="66"/>
  <c r="G1657" i="66"/>
  <c r="D1657" i="66" s="1"/>
  <c r="E1657" i="66"/>
  <c r="I1656" i="66"/>
  <c r="H1656" i="66"/>
  <c r="G1656" i="66"/>
  <c r="E1656" i="66"/>
  <c r="I1655" i="66"/>
  <c r="H1655" i="66"/>
  <c r="G1655" i="66"/>
  <c r="E1655" i="66"/>
  <c r="I1654" i="66"/>
  <c r="H1654" i="66"/>
  <c r="G1654" i="66"/>
  <c r="D1654" i="66" s="1"/>
  <c r="E1654" i="66"/>
  <c r="I1653" i="66"/>
  <c r="H1653" i="66"/>
  <c r="G1653" i="66"/>
  <c r="D1653" i="66" s="1"/>
  <c r="E1653" i="66"/>
  <c r="I1652" i="66"/>
  <c r="H1652" i="66"/>
  <c r="G1652" i="66"/>
  <c r="E1652" i="66"/>
  <c r="I1651" i="66"/>
  <c r="H1651" i="66"/>
  <c r="G1651" i="66"/>
  <c r="D1651" i="66" s="1"/>
  <c r="E1651" i="66"/>
  <c r="I1650" i="66"/>
  <c r="H1650" i="66"/>
  <c r="G1650" i="66"/>
  <c r="D1650" i="66" s="1"/>
  <c r="E1650" i="66"/>
  <c r="I1649" i="66"/>
  <c r="H1649" i="66"/>
  <c r="G1649" i="66"/>
  <c r="E1649" i="66"/>
  <c r="I1648" i="66"/>
  <c r="H1648" i="66"/>
  <c r="G1648" i="66"/>
  <c r="E1648" i="66"/>
  <c r="I1647" i="66"/>
  <c r="H1647" i="66"/>
  <c r="G1647" i="66"/>
  <c r="D1647" i="66" s="1"/>
  <c r="E1647" i="66"/>
  <c r="I1646" i="66"/>
  <c r="H1646" i="66"/>
  <c r="G1646" i="66"/>
  <c r="E1646" i="66"/>
  <c r="I1645" i="66"/>
  <c r="H1645" i="66"/>
  <c r="G1645" i="66"/>
  <c r="D1645" i="66" s="1"/>
  <c r="E1645" i="66"/>
  <c r="I1644" i="66"/>
  <c r="H1644" i="66"/>
  <c r="G1644" i="66"/>
  <c r="E1644" i="66"/>
  <c r="I1643" i="66"/>
  <c r="H1643" i="66"/>
  <c r="G1643" i="66"/>
  <c r="E1643" i="66"/>
  <c r="I1642" i="66"/>
  <c r="H1642" i="66"/>
  <c r="G1642" i="66"/>
  <c r="E1642" i="66"/>
  <c r="I1641" i="66"/>
  <c r="H1641" i="66"/>
  <c r="G1641" i="66"/>
  <c r="E1641" i="66"/>
  <c r="I1640" i="66"/>
  <c r="H1640" i="66"/>
  <c r="G1640" i="66"/>
  <c r="E1640" i="66"/>
  <c r="I1639" i="66"/>
  <c r="H1639" i="66"/>
  <c r="G1639" i="66"/>
  <c r="E1639" i="66"/>
  <c r="I1638" i="66"/>
  <c r="H1638" i="66"/>
  <c r="G1638" i="66"/>
  <c r="E1638" i="66"/>
  <c r="I1637" i="66"/>
  <c r="H1637" i="66"/>
  <c r="G1637" i="66"/>
  <c r="E1637" i="66"/>
  <c r="I1636" i="66"/>
  <c r="H1636" i="66"/>
  <c r="G1636" i="66"/>
  <c r="D1636" i="66" s="1"/>
  <c r="E1636" i="66"/>
  <c r="I1635" i="66"/>
  <c r="H1635" i="66"/>
  <c r="G1635" i="66"/>
  <c r="E1635" i="66"/>
  <c r="I1634" i="66"/>
  <c r="H1634" i="66"/>
  <c r="G1634" i="66"/>
  <c r="E1634" i="66"/>
  <c r="I1633" i="66"/>
  <c r="H1633" i="66"/>
  <c r="G1633" i="66"/>
  <c r="E1633" i="66"/>
  <c r="I1632" i="66"/>
  <c r="H1632" i="66"/>
  <c r="G1632" i="66"/>
  <c r="D1632" i="66" s="1"/>
  <c r="E1632" i="66"/>
  <c r="I1631" i="66"/>
  <c r="H1631" i="66"/>
  <c r="G1631" i="66"/>
  <c r="E1631" i="66"/>
  <c r="I1630" i="66"/>
  <c r="H1630" i="66"/>
  <c r="G1630" i="66"/>
  <c r="D1630" i="66" s="1"/>
  <c r="E1630" i="66"/>
  <c r="I1629" i="66"/>
  <c r="H1629" i="66"/>
  <c r="G1629" i="66"/>
  <c r="D1629" i="66" s="1"/>
  <c r="E1629" i="66"/>
  <c r="I1628" i="66"/>
  <c r="H1628" i="66"/>
  <c r="G1628" i="66"/>
  <c r="E1628" i="66"/>
  <c r="I1627" i="66"/>
  <c r="H1627" i="66"/>
  <c r="G1627" i="66"/>
  <c r="D1627" i="66" s="1"/>
  <c r="E1627" i="66"/>
  <c r="I1626" i="66"/>
  <c r="H1626" i="66"/>
  <c r="G1626" i="66"/>
  <c r="D1626" i="66" s="1"/>
  <c r="E1626" i="66"/>
  <c r="I1625" i="66"/>
  <c r="H1625" i="66"/>
  <c r="G1625" i="66"/>
  <c r="E1625" i="66"/>
  <c r="I1624" i="66"/>
  <c r="H1624" i="66"/>
  <c r="G1624" i="66"/>
  <c r="E1624" i="66"/>
  <c r="I1623" i="66"/>
  <c r="H1623" i="66"/>
  <c r="G1623" i="66"/>
  <c r="D1623" i="66" s="1"/>
  <c r="E1623" i="66"/>
  <c r="I1622" i="66"/>
  <c r="H1622" i="66"/>
  <c r="G1622" i="66"/>
  <c r="E1622" i="66"/>
  <c r="I1621" i="66"/>
  <c r="H1621" i="66"/>
  <c r="G1621" i="66"/>
  <c r="D1621" i="66" s="1"/>
  <c r="E1621" i="66"/>
  <c r="I1620" i="66"/>
  <c r="H1620" i="66"/>
  <c r="G1620" i="66"/>
  <c r="D1620" i="66" s="1"/>
  <c r="E1620" i="66"/>
  <c r="I1619" i="66"/>
  <c r="H1619" i="66"/>
  <c r="G1619" i="66"/>
  <c r="E1619" i="66"/>
  <c r="I1618" i="66"/>
  <c r="H1618" i="66"/>
  <c r="G1618" i="66"/>
  <c r="D1618" i="66" s="1"/>
  <c r="E1618" i="66"/>
  <c r="I1617" i="66"/>
  <c r="H1617" i="66"/>
  <c r="G1617" i="66"/>
  <c r="E1617" i="66"/>
  <c r="I1616" i="66"/>
  <c r="H1616" i="66"/>
  <c r="G1616" i="66"/>
  <c r="E1616" i="66"/>
  <c r="I1615" i="66"/>
  <c r="H1615" i="66"/>
  <c r="G1615" i="66"/>
  <c r="E1615" i="66"/>
  <c r="I1614" i="66"/>
  <c r="H1614" i="66"/>
  <c r="G1614" i="66"/>
  <c r="E1614" i="66"/>
  <c r="I1613" i="66"/>
  <c r="H1613" i="66"/>
  <c r="G1613" i="66"/>
  <c r="E1613" i="66"/>
  <c r="I1612" i="66"/>
  <c r="H1612" i="66"/>
  <c r="G1612" i="66"/>
  <c r="D1612" i="66" s="1"/>
  <c r="E1612" i="66"/>
  <c r="I1611" i="66"/>
  <c r="H1611" i="66"/>
  <c r="G1611" i="66"/>
  <c r="E1611" i="66"/>
  <c r="I1610" i="66"/>
  <c r="H1610" i="66"/>
  <c r="G1610" i="66"/>
  <c r="E1610" i="66"/>
  <c r="I1609" i="66"/>
  <c r="H1609" i="66"/>
  <c r="G1609" i="66"/>
  <c r="D1609" i="66" s="1"/>
  <c r="E1609" i="66"/>
  <c r="I1608" i="66"/>
  <c r="H1608" i="66"/>
  <c r="G1608" i="66"/>
  <c r="D1608" i="66" s="1"/>
  <c r="E1608" i="66"/>
  <c r="I1607" i="66"/>
  <c r="H1607" i="66"/>
  <c r="G1607" i="66"/>
  <c r="E1607" i="66"/>
  <c r="I1606" i="66"/>
  <c r="H1606" i="66"/>
  <c r="G1606" i="66"/>
  <c r="E1606" i="66"/>
  <c r="I1605" i="66"/>
  <c r="H1605" i="66"/>
  <c r="G1605" i="66"/>
  <c r="E1605" i="66"/>
  <c r="I1604" i="66"/>
  <c r="H1604" i="66"/>
  <c r="G1604" i="66"/>
  <c r="E1604" i="66"/>
  <c r="I1603" i="66"/>
  <c r="H1603" i="66"/>
  <c r="G1603" i="66"/>
  <c r="E1603" i="66"/>
  <c r="I1602" i="66"/>
  <c r="H1602" i="66"/>
  <c r="G1602" i="66"/>
  <c r="E1602" i="66"/>
  <c r="I1601" i="66"/>
  <c r="H1601" i="66"/>
  <c r="G1601" i="66"/>
  <c r="E1601" i="66"/>
  <c r="I1600" i="66"/>
  <c r="H1600" i="66"/>
  <c r="G1600" i="66"/>
  <c r="D1600" i="66" s="1"/>
  <c r="E1600" i="66"/>
  <c r="I1599" i="66"/>
  <c r="H1599" i="66"/>
  <c r="G1599" i="66"/>
  <c r="E1599" i="66"/>
  <c r="I1598" i="66"/>
  <c r="H1598" i="66"/>
  <c r="G1598" i="66"/>
  <c r="E1598" i="66"/>
  <c r="I1597" i="66"/>
  <c r="H1597" i="66"/>
  <c r="G1597" i="66"/>
  <c r="E1597" i="66"/>
  <c r="I1596" i="66"/>
  <c r="H1596" i="66"/>
  <c r="G1596" i="66"/>
  <c r="D1596" i="66" s="1"/>
  <c r="E1596" i="66"/>
  <c r="I1595" i="66"/>
  <c r="H1595" i="66"/>
  <c r="G1595" i="66"/>
  <c r="E1595" i="66"/>
  <c r="I1594" i="66"/>
  <c r="H1594" i="66"/>
  <c r="G1594" i="66"/>
  <c r="D1594" i="66" s="1"/>
  <c r="E1594" i="66"/>
  <c r="I1593" i="66"/>
  <c r="H1593" i="66"/>
  <c r="G1593" i="66"/>
  <c r="E1593" i="66"/>
  <c r="I1592" i="66"/>
  <c r="H1592" i="66"/>
  <c r="G1592" i="66"/>
  <c r="E1592" i="66"/>
  <c r="I1591" i="66"/>
  <c r="H1591" i="66"/>
  <c r="G1591" i="66"/>
  <c r="E1591" i="66"/>
  <c r="I1590" i="66"/>
  <c r="H1590" i="66"/>
  <c r="G1590" i="66"/>
  <c r="D1590" i="66" s="1"/>
  <c r="E1590" i="66"/>
  <c r="I1589" i="66"/>
  <c r="H1589" i="66"/>
  <c r="G1589" i="66"/>
  <c r="E1589" i="66"/>
  <c r="I1588" i="66"/>
  <c r="H1588" i="66"/>
  <c r="G1588" i="66"/>
  <c r="E1588" i="66"/>
  <c r="I1587" i="66"/>
  <c r="H1587" i="66"/>
  <c r="G1587" i="66"/>
  <c r="D1587" i="66" s="1"/>
  <c r="E1587" i="66"/>
  <c r="I1586" i="66"/>
  <c r="H1586" i="66"/>
  <c r="G1586" i="66"/>
  <c r="E1586" i="66"/>
  <c r="I1585" i="66"/>
  <c r="H1585" i="66"/>
  <c r="G1585" i="66"/>
  <c r="E1585" i="66"/>
  <c r="I1584" i="66"/>
  <c r="H1584" i="66"/>
  <c r="G1584" i="66"/>
  <c r="D1584" i="66" s="1"/>
  <c r="E1584" i="66"/>
  <c r="I1583" i="66"/>
  <c r="H1583" i="66"/>
  <c r="G1583" i="66"/>
  <c r="E1583" i="66"/>
  <c r="I1582" i="66"/>
  <c r="H1582" i="66"/>
  <c r="G1582" i="66"/>
  <c r="D1582" i="66" s="1"/>
  <c r="E1582" i="66"/>
  <c r="I1581" i="66"/>
  <c r="H1581" i="66"/>
  <c r="G1581" i="66"/>
  <c r="E1581" i="66"/>
  <c r="I1580" i="66"/>
  <c r="H1580" i="66"/>
  <c r="G1580" i="66"/>
  <c r="E1580" i="66"/>
  <c r="I1579" i="66"/>
  <c r="H1579" i="66"/>
  <c r="G1579" i="66"/>
  <c r="D1579" i="66" s="1"/>
  <c r="E1579" i="66"/>
  <c r="I1578" i="66"/>
  <c r="H1578" i="66"/>
  <c r="G1578" i="66"/>
  <c r="D1578" i="66" s="1"/>
  <c r="E1578" i="66"/>
  <c r="I1577" i="66"/>
  <c r="H1577" i="66"/>
  <c r="G1577" i="66"/>
  <c r="E1577" i="66"/>
  <c r="I1576" i="66"/>
  <c r="H1576" i="66"/>
  <c r="G1576" i="66"/>
  <c r="D1576" i="66" s="1"/>
  <c r="E1576" i="66"/>
  <c r="I1575" i="66"/>
  <c r="H1575" i="66"/>
  <c r="G1575" i="66"/>
  <c r="E1575" i="66"/>
  <c r="I1574" i="66"/>
  <c r="H1574" i="66"/>
  <c r="G1574" i="66"/>
  <c r="E1574" i="66"/>
  <c r="I1573" i="66"/>
  <c r="H1573" i="66"/>
  <c r="G1573" i="66"/>
  <c r="E1573" i="66"/>
  <c r="I1572" i="66"/>
  <c r="H1572" i="66"/>
  <c r="G1572" i="66"/>
  <c r="D1572" i="66" s="1"/>
  <c r="E1572" i="66"/>
  <c r="I1571" i="66"/>
  <c r="H1571" i="66"/>
  <c r="G1571" i="66"/>
  <c r="E1571" i="66"/>
  <c r="I1570" i="66"/>
  <c r="H1570" i="66"/>
  <c r="G1570" i="66"/>
  <c r="E1570" i="66"/>
  <c r="I1569" i="66"/>
  <c r="H1569" i="66"/>
  <c r="G1569" i="66"/>
  <c r="E1569" i="66"/>
  <c r="I1568" i="66"/>
  <c r="H1568" i="66"/>
  <c r="G1568" i="66"/>
  <c r="E1568" i="66"/>
  <c r="I1567" i="66"/>
  <c r="H1567" i="66"/>
  <c r="G1567" i="66"/>
  <c r="D1567" i="66" s="1"/>
  <c r="E1567" i="66"/>
  <c r="I1566" i="66"/>
  <c r="H1566" i="66"/>
  <c r="G1566" i="66"/>
  <c r="D1566" i="66" s="1"/>
  <c r="E1566" i="66"/>
  <c r="I1565" i="66"/>
  <c r="H1565" i="66"/>
  <c r="G1565" i="66"/>
  <c r="E1565" i="66"/>
  <c r="I1564" i="66"/>
  <c r="H1564" i="66"/>
  <c r="G1564" i="66"/>
  <c r="E1564" i="66"/>
  <c r="I1563" i="66"/>
  <c r="H1563" i="66"/>
  <c r="G1563" i="66"/>
  <c r="D1563" i="66" s="1"/>
  <c r="E1563" i="66"/>
  <c r="I1562" i="66"/>
  <c r="H1562" i="66"/>
  <c r="G1562" i="66"/>
  <c r="E1562" i="66"/>
  <c r="I1561" i="66"/>
  <c r="H1561" i="66"/>
  <c r="G1561" i="66"/>
  <c r="E1561" i="66"/>
  <c r="I1560" i="66"/>
  <c r="H1560" i="66"/>
  <c r="G1560" i="66"/>
  <c r="D1560" i="66" s="1"/>
  <c r="E1560" i="66"/>
  <c r="I1559" i="66"/>
  <c r="H1559" i="66"/>
  <c r="G1559" i="66"/>
  <c r="E1559" i="66"/>
  <c r="I1558" i="66"/>
  <c r="H1558" i="66"/>
  <c r="G1558" i="66"/>
  <c r="E1558" i="66"/>
  <c r="I1557" i="66"/>
  <c r="H1557" i="66"/>
  <c r="G1557" i="66"/>
  <c r="E1557" i="66"/>
  <c r="I1556" i="66"/>
  <c r="H1556" i="66"/>
  <c r="G1556" i="66"/>
  <c r="E1556" i="66"/>
  <c r="I1555" i="66"/>
  <c r="H1555" i="66"/>
  <c r="G1555" i="66"/>
  <c r="E1555" i="66"/>
  <c r="I1554" i="66"/>
  <c r="H1554" i="66"/>
  <c r="G1554" i="66"/>
  <c r="E1554" i="66"/>
  <c r="I1553" i="66"/>
  <c r="H1553" i="66"/>
  <c r="G1553" i="66"/>
  <c r="E1553" i="66"/>
  <c r="I1552" i="66"/>
  <c r="H1552" i="66"/>
  <c r="G1552" i="66"/>
  <c r="E1552" i="66"/>
  <c r="I1551" i="66"/>
  <c r="H1551" i="66"/>
  <c r="G1551" i="66"/>
  <c r="E1551" i="66"/>
  <c r="I1550" i="66"/>
  <c r="H1550" i="66"/>
  <c r="G1550" i="66"/>
  <c r="E1550" i="66"/>
  <c r="I1549" i="66"/>
  <c r="H1549" i="66"/>
  <c r="G1549" i="66"/>
  <c r="D1549" i="66" s="1"/>
  <c r="E1549" i="66"/>
  <c r="I1548" i="66"/>
  <c r="H1548" i="66"/>
  <c r="G1548" i="66"/>
  <c r="D1548" i="66" s="1"/>
  <c r="E1548" i="66"/>
  <c r="I1547" i="66"/>
  <c r="H1547" i="66"/>
  <c r="G1547" i="66"/>
  <c r="E1547" i="66"/>
  <c r="I1546" i="66"/>
  <c r="H1546" i="66"/>
  <c r="G1546" i="66"/>
  <c r="E1546" i="66"/>
  <c r="I1545" i="66"/>
  <c r="H1545" i="66"/>
  <c r="G1545" i="66"/>
  <c r="D1545" i="66" s="1"/>
  <c r="E1545" i="66"/>
  <c r="I1544" i="66"/>
  <c r="H1544" i="66"/>
  <c r="G1544" i="66"/>
  <c r="E1544" i="66"/>
  <c r="I1543" i="66"/>
  <c r="H1543" i="66"/>
  <c r="G1543" i="66"/>
  <c r="D1543" i="66" s="1"/>
  <c r="E1543" i="66"/>
  <c r="I1542" i="66"/>
  <c r="H1542" i="66"/>
  <c r="G1542" i="66"/>
  <c r="D1542" i="66" s="1"/>
  <c r="E1542" i="66"/>
  <c r="I1541" i="66"/>
  <c r="H1541" i="66"/>
  <c r="G1541" i="66"/>
  <c r="E1541" i="66"/>
  <c r="I1540" i="66"/>
  <c r="H1540" i="66"/>
  <c r="G1540" i="66"/>
  <c r="E1540" i="66"/>
  <c r="I1539" i="66"/>
  <c r="H1539" i="66"/>
  <c r="G1539" i="66"/>
  <c r="E1539" i="66"/>
  <c r="I1538" i="66"/>
  <c r="H1538" i="66"/>
  <c r="G1538" i="66"/>
  <c r="E1538" i="66"/>
  <c r="I1537" i="66"/>
  <c r="H1537" i="66"/>
  <c r="G1537" i="66"/>
  <c r="D1537" i="66" s="1"/>
  <c r="E1537" i="66"/>
  <c r="I1536" i="66"/>
  <c r="H1536" i="66"/>
  <c r="G1536" i="66"/>
  <c r="D1536" i="66" s="1"/>
  <c r="E1536" i="66"/>
  <c r="I1535" i="66"/>
  <c r="H1535" i="66"/>
  <c r="G1535" i="66"/>
  <c r="E1535" i="66"/>
  <c r="I1534" i="66"/>
  <c r="H1534" i="66"/>
  <c r="G1534" i="66"/>
  <c r="E1534" i="66"/>
  <c r="I1533" i="66"/>
  <c r="H1533" i="66"/>
  <c r="G1533" i="66"/>
  <c r="E1533" i="66"/>
  <c r="I1532" i="66"/>
  <c r="H1532" i="66"/>
  <c r="G1532" i="66"/>
  <c r="E1532" i="66"/>
  <c r="I1531" i="66"/>
  <c r="H1531" i="66"/>
  <c r="G1531" i="66"/>
  <c r="E1531" i="66"/>
  <c r="I1530" i="66"/>
  <c r="H1530" i="66"/>
  <c r="G1530" i="66"/>
  <c r="E1530" i="66"/>
  <c r="I1529" i="66"/>
  <c r="H1529" i="66"/>
  <c r="G1529" i="66"/>
  <c r="E1529" i="66"/>
  <c r="I1528" i="66"/>
  <c r="H1528" i="66"/>
  <c r="G1528" i="66"/>
  <c r="E1528" i="66"/>
  <c r="I1527" i="66"/>
  <c r="H1527" i="66"/>
  <c r="G1527" i="66"/>
  <c r="E1527" i="66"/>
  <c r="I1526" i="66"/>
  <c r="H1526" i="66"/>
  <c r="G1526" i="66"/>
  <c r="E1526" i="66"/>
  <c r="I1525" i="66"/>
  <c r="H1525" i="66"/>
  <c r="G1525" i="66"/>
  <c r="D1525" i="66" s="1"/>
  <c r="E1525" i="66"/>
  <c r="I1524" i="66"/>
  <c r="H1524" i="66"/>
  <c r="G1524" i="66"/>
  <c r="D1524" i="66" s="1"/>
  <c r="E1524" i="66"/>
  <c r="I1523" i="66"/>
  <c r="H1523" i="66"/>
  <c r="G1523" i="66"/>
  <c r="E1523" i="66"/>
  <c r="I1522" i="66"/>
  <c r="H1522" i="66"/>
  <c r="G1522" i="66"/>
  <c r="E1522" i="66"/>
  <c r="I1521" i="66"/>
  <c r="H1521" i="66"/>
  <c r="G1521" i="66"/>
  <c r="E1521" i="66"/>
  <c r="I1520" i="66"/>
  <c r="H1520" i="66"/>
  <c r="G1520" i="66"/>
  <c r="D1520" i="66" s="1"/>
  <c r="E1520" i="66"/>
  <c r="I1519" i="66"/>
  <c r="H1519" i="66"/>
  <c r="G1519" i="66"/>
  <c r="E1519" i="66"/>
  <c r="I1518" i="66"/>
  <c r="H1518" i="66"/>
  <c r="G1518" i="66"/>
  <c r="D1518" i="66" s="1"/>
  <c r="E1518" i="66"/>
  <c r="I1517" i="66"/>
  <c r="H1517" i="66"/>
  <c r="G1517" i="66"/>
  <c r="E1517" i="66"/>
  <c r="I1516" i="66"/>
  <c r="H1516" i="66"/>
  <c r="G1516" i="66"/>
  <c r="D1516" i="66" s="1"/>
  <c r="E1516" i="66"/>
  <c r="I1515" i="66"/>
  <c r="H1515" i="66"/>
  <c r="G1515" i="66"/>
  <c r="D1515" i="66" s="1"/>
  <c r="E1515" i="66"/>
  <c r="I1514" i="66"/>
  <c r="H1514" i="66"/>
  <c r="G1514" i="66"/>
  <c r="E1514" i="66"/>
  <c r="I1513" i="66"/>
  <c r="H1513" i="66"/>
  <c r="G1513" i="66"/>
  <c r="E1513" i="66"/>
  <c r="I1512" i="66"/>
  <c r="H1512" i="66"/>
  <c r="G1512" i="66"/>
  <c r="D1512" i="66" s="1"/>
  <c r="E1512" i="66"/>
  <c r="I1511" i="66"/>
  <c r="H1511" i="66"/>
  <c r="G1511" i="66"/>
  <c r="E1511" i="66"/>
  <c r="I1510" i="66"/>
  <c r="H1510" i="66"/>
  <c r="G1510" i="66"/>
  <c r="D1510" i="66" s="1"/>
  <c r="E1510" i="66"/>
  <c r="I1509" i="66"/>
  <c r="H1509" i="66"/>
  <c r="G1509" i="66"/>
  <c r="D1509" i="66" s="1"/>
  <c r="E1509" i="66"/>
  <c r="I1508" i="66"/>
  <c r="H1508" i="66"/>
  <c r="G1508" i="66"/>
  <c r="E1508" i="66"/>
  <c r="I1507" i="66"/>
  <c r="H1507" i="66"/>
  <c r="G1507" i="66"/>
  <c r="E1507" i="66"/>
  <c r="I1506" i="66"/>
  <c r="H1506" i="66"/>
  <c r="G1506" i="66"/>
  <c r="D1506" i="66" s="1"/>
  <c r="E1506" i="66"/>
  <c r="I1505" i="66"/>
  <c r="H1505" i="66"/>
  <c r="G1505" i="66"/>
  <c r="E1505" i="66"/>
  <c r="I1504" i="66"/>
  <c r="H1504" i="66"/>
  <c r="G1504" i="66"/>
  <c r="E1504" i="66"/>
  <c r="I1503" i="66"/>
  <c r="H1503" i="66"/>
  <c r="G1503" i="66"/>
  <c r="E1503" i="66"/>
  <c r="I1502" i="66"/>
  <c r="H1502" i="66"/>
  <c r="G1502" i="66"/>
  <c r="E1502" i="66"/>
  <c r="I1501" i="66"/>
  <c r="H1501" i="66"/>
  <c r="G1501" i="66"/>
  <c r="D1501" i="66" s="1"/>
  <c r="E1501" i="66"/>
  <c r="I1500" i="66"/>
  <c r="H1500" i="66"/>
  <c r="G1500" i="66"/>
  <c r="D1500" i="66" s="1"/>
  <c r="E1500" i="66"/>
  <c r="I1499" i="66"/>
  <c r="H1499" i="66"/>
  <c r="G1499" i="66"/>
  <c r="E1499" i="66"/>
  <c r="I1498" i="66"/>
  <c r="H1498" i="66"/>
  <c r="G1498" i="66"/>
  <c r="D1498" i="66" s="1"/>
  <c r="E1498" i="66"/>
  <c r="I1497" i="66"/>
  <c r="H1497" i="66"/>
  <c r="G1497" i="66"/>
  <c r="D1497" i="66" s="1"/>
  <c r="E1497" i="66"/>
  <c r="I1496" i="66"/>
  <c r="H1496" i="66"/>
  <c r="G1496" i="66"/>
  <c r="E1496" i="66"/>
  <c r="I1495" i="66"/>
  <c r="H1495" i="66"/>
  <c r="G1495" i="66"/>
  <c r="E1495" i="66"/>
  <c r="I1494" i="66"/>
  <c r="H1494" i="66"/>
  <c r="G1494" i="66"/>
  <c r="D1494" i="66" s="1"/>
  <c r="E1494" i="66"/>
  <c r="I1493" i="66"/>
  <c r="H1493" i="66"/>
  <c r="G1493" i="66"/>
  <c r="E1493" i="66"/>
  <c r="I1492" i="66"/>
  <c r="H1492" i="66"/>
  <c r="G1492" i="66"/>
  <c r="D1492" i="66" s="1"/>
  <c r="E1492" i="66"/>
  <c r="I1491" i="66"/>
  <c r="H1491" i="66"/>
  <c r="G1491" i="66"/>
  <c r="D1491" i="66" s="1"/>
  <c r="E1491" i="66"/>
  <c r="I1490" i="66"/>
  <c r="H1490" i="66"/>
  <c r="G1490" i="66"/>
  <c r="E1490" i="66"/>
  <c r="I1489" i="66"/>
  <c r="H1489" i="66"/>
  <c r="G1489" i="66"/>
  <c r="E1489" i="66"/>
  <c r="I1488" i="66"/>
  <c r="H1488" i="66"/>
  <c r="G1488" i="66"/>
  <c r="D1488" i="66" s="1"/>
  <c r="E1488" i="66"/>
  <c r="I1487" i="66"/>
  <c r="H1487" i="66"/>
  <c r="G1487" i="66"/>
  <c r="E1487" i="66"/>
  <c r="I1486" i="66"/>
  <c r="H1486" i="66"/>
  <c r="G1486" i="66"/>
  <c r="E1486" i="66"/>
  <c r="I1485" i="66"/>
  <c r="H1485" i="66"/>
  <c r="G1485" i="66"/>
  <c r="E1485" i="66"/>
  <c r="I1484" i="66"/>
  <c r="H1484" i="66"/>
  <c r="G1484" i="66"/>
  <c r="E1484" i="66"/>
  <c r="I1483" i="66"/>
  <c r="H1483" i="66"/>
  <c r="G1483" i="66"/>
  <c r="E1483" i="66"/>
  <c r="I1482" i="66"/>
  <c r="H1482" i="66"/>
  <c r="G1482" i="66"/>
  <c r="E1482" i="66"/>
  <c r="I1481" i="66"/>
  <c r="H1481" i="66"/>
  <c r="G1481" i="66"/>
  <c r="E1481" i="66"/>
  <c r="I1480" i="66"/>
  <c r="H1480" i="66"/>
  <c r="G1480" i="66"/>
  <c r="D1480" i="66" s="1"/>
  <c r="E1480" i="66"/>
  <c r="I1479" i="66"/>
  <c r="H1479" i="66"/>
  <c r="G1479" i="66"/>
  <c r="E1479" i="66"/>
  <c r="I1478" i="66"/>
  <c r="H1478" i="66"/>
  <c r="G1478" i="66"/>
  <c r="E1478" i="66"/>
  <c r="I1477" i="66"/>
  <c r="H1477" i="66"/>
  <c r="G1477" i="66"/>
  <c r="E1477" i="66"/>
  <c r="I1476" i="66"/>
  <c r="H1476" i="66"/>
  <c r="G1476" i="66"/>
  <c r="D1476" i="66" s="1"/>
  <c r="E1476" i="66"/>
  <c r="I1475" i="66"/>
  <c r="H1475" i="66"/>
  <c r="G1475" i="66"/>
  <c r="E1475" i="66"/>
  <c r="I1474" i="66"/>
  <c r="H1474" i="66"/>
  <c r="G1474" i="66"/>
  <c r="E1474" i="66"/>
  <c r="I1473" i="66"/>
  <c r="H1473" i="66"/>
  <c r="G1473" i="66"/>
  <c r="E1473" i="66"/>
  <c r="I1472" i="66"/>
  <c r="H1472" i="66"/>
  <c r="G1472" i="66"/>
  <c r="E1472" i="66"/>
  <c r="I1471" i="66"/>
  <c r="H1471" i="66"/>
  <c r="G1471" i="66"/>
  <c r="D1471" i="66" s="1"/>
  <c r="E1471" i="66"/>
  <c r="I1470" i="66"/>
  <c r="H1470" i="66"/>
  <c r="G1470" i="66"/>
  <c r="E1470" i="66"/>
  <c r="I1469" i="66"/>
  <c r="H1469" i="66"/>
  <c r="G1469" i="66"/>
  <c r="E1469" i="66"/>
  <c r="I1468" i="66"/>
  <c r="H1468" i="66"/>
  <c r="G1468" i="66"/>
  <c r="E1468" i="66"/>
  <c r="I1467" i="66"/>
  <c r="H1467" i="66"/>
  <c r="G1467" i="66"/>
  <c r="E1467" i="66"/>
  <c r="I1466" i="66"/>
  <c r="H1466" i="66"/>
  <c r="G1466" i="66"/>
  <c r="E1466" i="66"/>
  <c r="I1465" i="66"/>
  <c r="H1465" i="66"/>
  <c r="G1465" i="66"/>
  <c r="E1465" i="66"/>
  <c r="I1464" i="66"/>
  <c r="H1464" i="66"/>
  <c r="G1464" i="66"/>
  <c r="D1464" i="66" s="1"/>
  <c r="E1464" i="66"/>
  <c r="I1463" i="66"/>
  <c r="H1463" i="66"/>
  <c r="G1463" i="66"/>
  <c r="E1463" i="66"/>
  <c r="I1462" i="66"/>
  <c r="H1462" i="66"/>
  <c r="G1462" i="66"/>
  <c r="D1462" i="66" s="1"/>
  <c r="E1462" i="66"/>
  <c r="I1461" i="66"/>
  <c r="H1461" i="66"/>
  <c r="G1461" i="66"/>
  <c r="D1461" i="66" s="1"/>
  <c r="E1461" i="66"/>
  <c r="I1460" i="66"/>
  <c r="H1460" i="66"/>
  <c r="G1460" i="66"/>
  <c r="E1460" i="66"/>
  <c r="I1459" i="66"/>
  <c r="H1459" i="66"/>
  <c r="G1459" i="66"/>
  <c r="E1459" i="66"/>
  <c r="I1458" i="66"/>
  <c r="H1458" i="66"/>
  <c r="G1458" i="66"/>
  <c r="D1458" i="66" s="1"/>
  <c r="E1458" i="66"/>
  <c r="I1457" i="66"/>
  <c r="H1457" i="66"/>
  <c r="G1457" i="66"/>
  <c r="E1457" i="66"/>
  <c r="I1456" i="66"/>
  <c r="H1456" i="66"/>
  <c r="G1456" i="66"/>
  <c r="E1456" i="66"/>
  <c r="I1455" i="66"/>
  <c r="H1455" i="66"/>
  <c r="G1455" i="66"/>
  <c r="D1455" i="66" s="1"/>
  <c r="E1455" i="66"/>
  <c r="I1454" i="66"/>
  <c r="H1454" i="66"/>
  <c r="G1454" i="66"/>
  <c r="E1454" i="66"/>
  <c r="I1453" i="66"/>
  <c r="H1453" i="66"/>
  <c r="G1453" i="66"/>
  <c r="E1453" i="66"/>
  <c r="I1452" i="66"/>
  <c r="H1452" i="66"/>
  <c r="G1452" i="66"/>
  <c r="D1452" i="66" s="1"/>
  <c r="E1452" i="66"/>
  <c r="I1451" i="66"/>
  <c r="H1451" i="66"/>
  <c r="G1451" i="66"/>
  <c r="E1451" i="66"/>
  <c r="I1450" i="66"/>
  <c r="H1450" i="66"/>
  <c r="G1450" i="66"/>
  <c r="E1450" i="66"/>
  <c r="I1449" i="66"/>
  <c r="H1449" i="66"/>
  <c r="G1449" i="66"/>
  <c r="E1449" i="66"/>
  <c r="I1448" i="66"/>
  <c r="H1448" i="66"/>
  <c r="G1448" i="66"/>
  <c r="E1448" i="66"/>
  <c r="I1447" i="66"/>
  <c r="H1447" i="66"/>
  <c r="G1447" i="66"/>
  <c r="E1447" i="66"/>
  <c r="I1446" i="66"/>
  <c r="H1446" i="66"/>
  <c r="G1446" i="66"/>
  <c r="D1446" i="66" s="1"/>
  <c r="E1446" i="66"/>
  <c r="I1445" i="66"/>
  <c r="H1445" i="66"/>
  <c r="G1445" i="66"/>
  <c r="E1445" i="66"/>
  <c r="I1444" i="66"/>
  <c r="H1444" i="66"/>
  <c r="G1444" i="66"/>
  <c r="E1444" i="66"/>
  <c r="I1443" i="66"/>
  <c r="H1443" i="66"/>
  <c r="G1443" i="66"/>
  <c r="D1443" i="66" s="1"/>
  <c r="E1443" i="66"/>
  <c r="I1442" i="66"/>
  <c r="H1442" i="66"/>
  <c r="G1442" i="66"/>
  <c r="E1442" i="66"/>
  <c r="I1441" i="66"/>
  <c r="H1441" i="66"/>
  <c r="G1441" i="66"/>
  <c r="E1441" i="66"/>
  <c r="I1440" i="66"/>
  <c r="H1440" i="66"/>
  <c r="G1440" i="66"/>
  <c r="D1440" i="66" s="1"/>
  <c r="E1440" i="66"/>
  <c r="I1439" i="66"/>
  <c r="H1439" i="66"/>
  <c r="G1439" i="66"/>
  <c r="E1439" i="66"/>
  <c r="I1438" i="66"/>
  <c r="H1438" i="66"/>
  <c r="G1438" i="66"/>
  <c r="E1438" i="66"/>
  <c r="I1437" i="66"/>
  <c r="H1437" i="66"/>
  <c r="G1437" i="66"/>
  <c r="E1437" i="66"/>
  <c r="I1436" i="66"/>
  <c r="H1436" i="66"/>
  <c r="G1436" i="66"/>
  <c r="E1436" i="66"/>
  <c r="I1435" i="66"/>
  <c r="H1435" i="66"/>
  <c r="G1435" i="66"/>
  <c r="D1435" i="66" s="1"/>
  <c r="E1435" i="66"/>
  <c r="I1434" i="66"/>
  <c r="H1434" i="66"/>
  <c r="G1434" i="66"/>
  <c r="D1434" i="66" s="1"/>
  <c r="E1434" i="66"/>
  <c r="I1433" i="66"/>
  <c r="H1433" i="66"/>
  <c r="G1433" i="66"/>
  <c r="E1433" i="66"/>
  <c r="I1432" i="66"/>
  <c r="H1432" i="66"/>
  <c r="G1432" i="66"/>
  <c r="D1432" i="66" s="1"/>
  <c r="E1432" i="66"/>
  <c r="I1431" i="66"/>
  <c r="H1431" i="66"/>
  <c r="G1431" i="66"/>
  <c r="D1431" i="66" s="1"/>
  <c r="E1431" i="66"/>
  <c r="I1430" i="66"/>
  <c r="H1430" i="66"/>
  <c r="G1430" i="66"/>
  <c r="E1430" i="66"/>
  <c r="I1429" i="66"/>
  <c r="H1429" i="66"/>
  <c r="G1429" i="66"/>
  <c r="E1429" i="66"/>
  <c r="I1428" i="66"/>
  <c r="H1428" i="66"/>
  <c r="G1428" i="66"/>
  <c r="D1428" i="66" s="1"/>
  <c r="E1428" i="66"/>
  <c r="I1427" i="66"/>
  <c r="H1427" i="66"/>
  <c r="G1427" i="66"/>
  <c r="E1427" i="66"/>
  <c r="I1426" i="66"/>
  <c r="H1426" i="66"/>
  <c r="G1426" i="66"/>
  <c r="E1426" i="66"/>
  <c r="I1425" i="66"/>
  <c r="H1425" i="66"/>
  <c r="G1425" i="66"/>
  <c r="E1425" i="66"/>
  <c r="I1424" i="66"/>
  <c r="H1424" i="66"/>
  <c r="G1424" i="66"/>
  <c r="E1424" i="66"/>
  <c r="I1423" i="66"/>
  <c r="H1423" i="66"/>
  <c r="G1423" i="66"/>
  <c r="E1423" i="66"/>
  <c r="I1422" i="66"/>
  <c r="H1422" i="66"/>
  <c r="G1422" i="66"/>
  <c r="E1422" i="66"/>
  <c r="I1421" i="66"/>
  <c r="H1421" i="66"/>
  <c r="G1421" i="66"/>
  <c r="E1421" i="66"/>
  <c r="I1420" i="66"/>
  <c r="H1420" i="66"/>
  <c r="G1420" i="66"/>
  <c r="E1420" i="66"/>
  <c r="I1419" i="66"/>
  <c r="H1419" i="66"/>
  <c r="G1419" i="66"/>
  <c r="D1419" i="66" s="1"/>
  <c r="E1419" i="66"/>
  <c r="I1418" i="66"/>
  <c r="H1418" i="66"/>
  <c r="G1418" i="66"/>
  <c r="E1418" i="66"/>
  <c r="I1417" i="66"/>
  <c r="H1417" i="66"/>
  <c r="G1417" i="66"/>
  <c r="E1417" i="66"/>
  <c r="I1416" i="66"/>
  <c r="H1416" i="66"/>
  <c r="G1416" i="66"/>
  <c r="D1416" i="66" s="1"/>
  <c r="E1416" i="66"/>
  <c r="I1415" i="66"/>
  <c r="H1415" i="66"/>
  <c r="G1415" i="66"/>
  <c r="E1415" i="66"/>
  <c r="I1414" i="66"/>
  <c r="H1414" i="66"/>
  <c r="G1414" i="66"/>
  <c r="E1414" i="66"/>
  <c r="I1413" i="66"/>
  <c r="H1413" i="66"/>
  <c r="G1413" i="66"/>
  <c r="E1413" i="66"/>
  <c r="I1412" i="66"/>
  <c r="H1412" i="66"/>
  <c r="G1412" i="66"/>
  <c r="E1412" i="66"/>
  <c r="I1411" i="66"/>
  <c r="H1411" i="66"/>
  <c r="G1411" i="66"/>
  <c r="D1411" i="66" s="1"/>
  <c r="E1411" i="66"/>
  <c r="I1410" i="66"/>
  <c r="H1410" i="66"/>
  <c r="G1410" i="66"/>
  <c r="D1410" i="66" s="1"/>
  <c r="E1410" i="66"/>
  <c r="I1409" i="66"/>
  <c r="H1409" i="66"/>
  <c r="G1409" i="66"/>
  <c r="E1409" i="66"/>
  <c r="I1408" i="66"/>
  <c r="H1408" i="66"/>
  <c r="G1408" i="66"/>
  <c r="D1408" i="66" s="1"/>
  <c r="E1408" i="66"/>
  <c r="I1407" i="66"/>
  <c r="H1407" i="66"/>
  <c r="G1407" i="66"/>
  <c r="D1407" i="66" s="1"/>
  <c r="E1407" i="66"/>
  <c r="I1406" i="66"/>
  <c r="H1406" i="66"/>
  <c r="G1406" i="66"/>
  <c r="E1406" i="66"/>
  <c r="I1405" i="66"/>
  <c r="H1405" i="66"/>
  <c r="G1405" i="66"/>
  <c r="E1405" i="66"/>
  <c r="I1404" i="66"/>
  <c r="H1404" i="66"/>
  <c r="G1404" i="66"/>
  <c r="D1404" i="66" s="1"/>
  <c r="E1404" i="66"/>
  <c r="I1403" i="66"/>
  <c r="H1403" i="66"/>
  <c r="G1403" i="66"/>
  <c r="E1403" i="66"/>
  <c r="I1402" i="66"/>
  <c r="H1402" i="66"/>
  <c r="G1402" i="66"/>
  <c r="E1402" i="66"/>
  <c r="I1401" i="66"/>
  <c r="H1401" i="66"/>
  <c r="G1401" i="66"/>
  <c r="D1401" i="66" s="1"/>
  <c r="E1401" i="66"/>
  <c r="I1400" i="66"/>
  <c r="H1400" i="66"/>
  <c r="G1400" i="66"/>
  <c r="E1400" i="66"/>
  <c r="I1399" i="66"/>
  <c r="H1399" i="66"/>
  <c r="G1399" i="66"/>
  <c r="E1399" i="66"/>
  <c r="I1398" i="66"/>
  <c r="H1398" i="66"/>
  <c r="G1398" i="66"/>
  <c r="E1398" i="66"/>
  <c r="I1397" i="66"/>
  <c r="H1397" i="66"/>
  <c r="G1397" i="66"/>
  <c r="E1397" i="66"/>
  <c r="I1396" i="66"/>
  <c r="H1396" i="66"/>
  <c r="G1396" i="66"/>
  <c r="E1396" i="66"/>
  <c r="I1395" i="66"/>
  <c r="H1395" i="66"/>
  <c r="G1395" i="66"/>
  <c r="D1395" i="66" s="1"/>
  <c r="E1395" i="66"/>
  <c r="I1394" i="66"/>
  <c r="H1394" i="66"/>
  <c r="G1394" i="66"/>
  <c r="E1394" i="66"/>
  <c r="I1393" i="66"/>
  <c r="H1393" i="66"/>
  <c r="G1393" i="66"/>
  <c r="D1393" i="66" s="1"/>
  <c r="E1393" i="66"/>
  <c r="I1392" i="66"/>
  <c r="H1392" i="66"/>
  <c r="G1392" i="66"/>
  <c r="D1392" i="66" s="1"/>
  <c r="E1392" i="66"/>
  <c r="I1391" i="66"/>
  <c r="H1391" i="66"/>
  <c r="G1391" i="66"/>
  <c r="E1391" i="66"/>
  <c r="I1390" i="66"/>
  <c r="H1390" i="66"/>
  <c r="G1390" i="66"/>
  <c r="E1390" i="66"/>
  <c r="I1389" i="66"/>
  <c r="H1389" i="66"/>
  <c r="G1389" i="66"/>
  <c r="E1389" i="66"/>
  <c r="I1388" i="66"/>
  <c r="H1388" i="66"/>
  <c r="G1388" i="66"/>
  <c r="E1388" i="66"/>
  <c r="I1387" i="66"/>
  <c r="H1387" i="66"/>
  <c r="G1387" i="66"/>
  <c r="D1387" i="66" s="1"/>
  <c r="E1387" i="66"/>
  <c r="I1386" i="66"/>
  <c r="H1386" i="66"/>
  <c r="G1386" i="66"/>
  <c r="E1386" i="66"/>
  <c r="I1385" i="66"/>
  <c r="H1385" i="66"/>
  <c r="G1385" i="66"/>
  <c r="E1385" i="66"/>
  <c r="I1384" i="66"/>
  <c r="H1384" i="66"/>
  <c r="G1384" i="66"/>
  <c r="D1384" i="66" s="1"/>
  <c r="E1384" i="66"/>
  <c r="I1383" i="66"/>
  <c r="H1383" i="66"/>
  <c r="G1383" i="66"/>
  <c r="D1383" i="66" s="1"/>
  <c r="E1383" i="66"/>
  <c r="I1382" i="66"/>
  <c r="H1382" i="66"/>
  <c r="G1382" i="66"/>
  <c r="E1382" i="66"/>
  <c r="I1381" i="66"/>
  <c r="H1381" i="66"/>
  <c r="G1381" i="66"/>
  <c r="E1381" i="66"/>
  <c r="I1380" i="66"/>
  <c r="H1380" i="66"/>
  <c r="G1380" i="66"/>
  <c r="E1380" i="66"/>
  <c r="I1379" i="66"/>
  <c r="H1379" i="66"/>
  <c r="G1379" i="66"/>
  <c r="E1379" i="66"/>
  <c r="I1378" i="66"/>
  <c r="H1378" i="66"/>
  <c r="G1378" i="66"/>
  <c r="E1378" i="66"/>
  <c r="I1377" i="66"/>
  <c r="H1377" i="66"/>
  <c r="G1377" i="66"/>
  <c r="E1377" i="66"/>
  <c r="I1376" i="66"/>
  <c r="H1376" i="66"/>
  <c r="G1376" i="66"/>
  <c r="E1376" i="66"/>
  <c r="I1375" i="66"/>
  <c r="H1375" i="66"/>
  <c r="G1375" i="66"/>
  <c r="E1375" i="66"/>
  <c r="I1374" i="66"/>
  <c r="H1374" i="66"/>
  <c r="G1374" i="66"/>
  <c r="E1374" i="66"/>
  <c r="I1373" i="66"/>
  <c r="H1373" i="66"/>
  <c r="G1373" i="66"/>
  <c r="E1373" i="66"/>
  <c r="I1372" i="66"/>
  <c r="H1372" i="66"/>
  <c r="G1372" i="66"/>
  <c r="E1372" i="66"/>
  <c r="I1371" i="66"/>
  <c r="H1371" i="66"/>
  <c r="G1371" i="66"/>
  <c r="D1371" i="66" s="1"/>
  <c r="E1371" i="66"/>
  <c r="I1370" i="66"/>
  <c r="H1370" i="66"/>
  <c r="G1370" i="66"/>
  <c r="E1370" i="66"/>
  <c r="I1369" i="66"/>
  <c r="H1369" i="66"/>
  <c r="G1369" i="66"/>
  <c r="E1369" i="66"/>
  <c r="I1368" i="66"/>
  <c r="H1368" i="66"/>
  <c r="G1368" i="66"/>
  <c r="D1368" i="66" s="1"/>
  <c r="E1368" i="66"/>
  <c r="I1367" i="66"/>
  <c r="H1367" i="66"/>
  <c r="G1367" i="66"/>
  <c r="E1367" i="66"/>
  <c r="I1366" i="66"/>
  <c r="H1366" i="66"/>
  <c r="G1366" i="66"/>
  <c r="E1366" i="66"/>
  <c r="I1365" i="66"/>
  <c r="H1365" i="66"/>
  <c r="G1365" i="66"/>
  <c r="E1365" i="66"/>
  <c r="I1364" i="66"/>
  <c r="H1364" i="66"/>
  <c r="G1364" i="66"/>
  <c r="E1364" i="66"/>
  <c r="I1363" i="66"/>
  <c r="H1363" i="66"/>
  <c r="G1363" i="66"/>
  <c r="E1363" i="66"/>
  <c r="I1362" i="66"/>
  <c r="H1362" i="66"/>
  <c r="G1362" i="66"/>
  <c r="E1362" i="66"/>
  <c r="I1361" i="66"/>
  <c r="H1361" i="66"/>
  <c r="G1361" i="66"/>
  <c r="E1361" i="66"/>
  <c r="I1360" i="66"/>
  <c r="H1360" i="66"/>
  <c r="G1360" i="66"/>
  <c r="D1360" i="66" s="1"/>
  <c r="E1360" i="66"/>
  <c r="I1359" i="66"/>
  <c r="H1359" i="66"/>
  <c r="G1359" i="66"/>
  <c r="D1359" i="66" s="1"/>
  <c r="E1359" i="66"/>
  <c r="I1358" i="66"/>
  <c r="H1358" i="66"/>
  <c r="G1358" i="66"/>
  <c r="E1358" i="66"/>
  <c r="I1357" i="66"/>
  <c r="H1357" i="66"/>
  <c r="G1357" i="66"/>
  <c r="E1357" i="66"/>
  <c r="I1356" i="66"/>
  <c r="H1356" i="66"/>
  <c r="G1356" i="66"/>
  <c r="D1356" i="66" s="1"/>
  <c r="E1356" i="66"/>
  <c r="I1355" i="66"/>
  <c r="H1355" i="66"/>
  <c r="G1355" i="66"/>
  <c r="E1355" i="66"/>
  <c r="I1354" i="66"/>
  <c r="H1354" i="66"/>
  <c r="G1354" i="66"/>
  <c r="E1354" i="66"/>
  <c r="I1353" i="66"/>
  <c r="H1353" i="66"/>
  <c r="G1353" i="66"/>
  <c r="D1353" i="66" s="1"/>
  <c r="E1353" i="66"/>
  <c r="I1352" i="66"/>
  <c r="H1352" i="66"/>
  <c r="G1352" i="66"/>
  <c r="E1352" i="66"/>
  <c r="I1351" i="66"/>
  <c r="H1351" i="66"/>
  <c r="G1351" i="66"/>
  <c r="E1351" i="66"/>
  <c r="I1350" i="66"/>
  <c r="H1350" i="66"/>
  <c r="G1350" i="66"/>
  <c r="E1350" i="66"/>
  <c r="I1349" i="66"/>
  <c r="H1349" i="66"/>
  <c r="G1349" i="66"/>
  <c r="E1349" i="66"/>
  <c r="I1348" i="66"/>
  <c r="H1348" i="66"/>
  <c r="G1348" i="66"/>
  <c r="D1348" i="66" s="1"/>
  <c r="E1348" i="66"/>
  <c r="I1347" i="66"/>
  <c r="H1347" i="66"/>
  <c r="G1347" i="66"/>
  <c r="D1347" i="66" s="1"/>
  <c r="E1347" i="66"/>
  <c r="I1346" i="66"/>
  <c r="H1346" i="66"/>
  <c r="G1346" i="66"/>
  <c r="E1346" i="66"/>
  <c r="I1345" i="66"/>
  <c r="H1345" i="66"/>
  <c r="G1345" i="66"/>
  <c r="E1345" i="66"/>
  <c r="I1344" i="66"/>
  <c r="H1344" i="66"/>
  <c r="G1344" i="66"/>
  <c r="D1344" i="66" s="1"/>
  <c r="E1344" i="66"/>
  <c r="I1343" i="66"/>
  <c r="H1343" i="66"/>
  <c r="G1343" i="66"/>
  <c r="E1343" i="66"/>
  <c r="I1342" i="66"/>
  <c r="H1342" i="66"/>
  <c r="G1342" i="66"/>
  <c r="E1342" i="66"/>
  <c r="I1341" i="66"/>
  <c r="H1341" i="66"/>
  <c r="G1341" i="66"/>
  <c r="E1341" i="66"/>
  <c r="I1340" i="66"/>
  <c r="H1340" i="66"/>
  <c r="G1340" i="66"/>
  <c r="E1340" i="66"/>
  <c r="I1339" i="66"/>
  <c r="H1339" i="66"/>
  <c r="G1339" i="66"/>
  <c r="E1339" i="66"/>
  <c r="I1338" i="66"/>
  <c r="H1338" i="66"/>
  <c r="G1338" i="66"/>
  <c r="D1338" i="66" s="1"/>
  <c r="E1338" i="66"/>
  <c r="I1337" i="66"/>
  <c r="H1337" i="66"/>
  <c r="G1337" i="66"/>
  <c r="E1337" i="66"/>
  <c r="I1336" i="66"/>
  <c r="H1336" i="66"/>
  <c r="G1336" i="66"/>
  <c r="D1336" i="66" s="1"/>
  <c r="E1336" i="66"/>
  <c r="I1335" i="66"/>
  <c r="H1335" i="66"/>
  <c r="G1335" i="66"/>
  <c r="E1335" i="66"/>
  <c r="I1334" i="66"/>
  <c r="H1334" i="66"/>
  <c r="G1334" i="66"/>
  <c r="E1334" i="66"/>
  <c r="I1333" i="66"/>
  <c r="H1333" i="66"/>
  <c r="G1333" i="66"/>
  <c r="D1333" i="66" s="1"/>
  <c r="E1333" i="66"/>
  <c r="I1332" i="66"/>
  <c r="H1332" i="66"/>
  <c r="G1332" i="66"/>
  <c r="D1332" i="66" s="1"/>
  <c r="E1332" i="66"/>
  <c r="I1331" i="66"/>
  <c r="H1331" i="66"/>
  <c r="G1331" i="66"/>
  <c r="E1331" i="66"/>
  <c r="I1330" i="66"/>
  <c r="H1330" i="66"/>
  <c r="G1330" i="66"/>
  <c r="E1330" i="66"/>
  <c r="I1329" i="66"/>
  <c r="H1329" i="66"/>
  <c r="G1329" i="66"/>
  <c r="E1329" i="66"/>
  <c r="I1328" i="66"/>
  <c r="H1328" i="66"/>
  <c r="G1328" i="66"/>
  <c r="E1328" i="66"/>
  <c r="I1327" i="66"/>
  <c r="H1327" i="66"/>
  <c r="G1327" i="66"/>
  <c r="E1327" i="66"/>
  <c r="I1326" i="66"/>
  <c r="H1326" i="66"/>
  <c r="G1326" i="66"/>
  <c r="E1326" i="66"/>
  <c r="I1325" i="66"/>
  <c r="H1325" i="66"/>
  <c r="G1325" i="66"/>
  <c r="E1325" i="66"/>
  <c r="I1324" i="66"/>
  <c r="H1324" i="66"/>
  <c r="G1324" i="66"/>
  <c r="D1324" i="66" s="1"/>
  <c r="E1324" i="66"/>
  <c r="I1323" i="66"/>
  <c r="H1323" i="66"/>
  <c r="G1323" i="66"/>
  <c r="D1323" i="66" s="1"/>
  <c r="E1323" i="66"/>
  <c r="I1322" i="66"/>
  <c r="H1322" i="66"/>
  <c r="G1322" i="66"/>
  <c r="E1322" i="66"/>
  <c r="I1321" i="66"/>
  <c r="H1321" i="66"/>
  <c r="G1321" i="66"/>
  <c r="E1321" i="66"/>
  <c r="I1320" i="66"/>
  <c r="H1320" i="66"/>
  <c r="G1320" i="66"/>
  <c r="D1320" i="66" s="1"/>
  <c r="E1320" i="66"/>
  <c r="I1319" i="66"/>
  <c r="H1319" i="66"/>
  <c r="G1319" i="66"/>
  <c r="E1319" i="66"/>
  <c r="I1318" i="66"/>
  <c r="H1318" i="66"/>
  <c r="G1318" i="66"/>
  <c r="E1318" i="66"/>
  <c r="I1317" i="66"/>
  <c r="H1317" i="66"/>
  <c r="G1317" i="66"/>
  <c r="E1317" i="66"/>
  <c r="I1316" i="66"/>
  <c r="H1316" i="66"/>
  <c r="G1316" i="66"/>
  <c r="E1316" i="66"/>
  <c r="I1315" i="66"/>
  <c r="H1315" i="66"/>
  <c r="G1315" i="66"/>
  <c r="D1315" i="66" s="1"/>
  <c r="E1315" i="66"/>
  <c r="I1314" i="66"/>
  <c r="H1314" i="66"/>
  <c r="G1314" i="66"/>
  <c r="D1314" i="66" s="1"/>
  <c r="E1314" i="66"/>
  <c r="I1313" i="66"/>
  <c r="H1313" i="66"/>
  <c r="G1313" i="66"/>
  <c r="E1313" i="66"/>
  <c r="I1312" i="66"/>
  <c r="H1312" i="66"/>
  <c r="G1312" i="66"/>
  <c r="E1312" i="66"/>
  <c r="I1311" i="66"/>
  <c r="H1311" i="66"/>
  <c r="G1311" i="66"/>
  <c r="D1311" i="66" s="1"/>
  <c r="E1311" i="66"/>
  <c r="I1310" i="66"/>
  <c r="H1310" i="66"/>
  <c r="G1310" i="66"/>
  <c r="E1310" i="66"/>
  <c r="I1309" i="66"/>
  <c r="H1309" i="66"/>
  <c r="G1309" i="66"/>
  <c r="E1309" i="66"/>
  <c r="I1308" i="66"/>
  <c r="H1308" i="66"/>
  <c r="G1308" i="66"/>
  <c r="D1308" i="66" s="1"/>
  <c r="E1308" i="66"/>
  <c r="I1307" i="66"/>
  <c r="H1307" i="66"/>
  <c r="G1307" i="66"/>
  <c r="E1307" i="66"/>
  <c r="I1306" i="66"/>
  <c r="H1306" i="66"/>
  <c r="G1306" i="66"/>
  <c r="E1306" i="66"/>
  <c r="I1305" i="66"/>
  <c r="H1305" i="66"/>
  <c r="G1305" i="66"/>
  <c r="D1305" i="66" s="1"/>
  <c r="E1305" i="66"/>
  <c r="I1304" i="66"/>
  <c r="H1304" i="66"/>
  <c r="G1304" i="66"/>
  <c r="E1304" i="66"/>
  <c r="I1303" i="66"/>
  <c r="H1303" i="66"/>
  <c r="G1303" i="66"/>
  <c r="E1303" i="66"/>
  <c r="I1302" i="66"/>
  <c r="H1302" i="66"/>
  <c r="G1302" i="66"/>
  <c r="E1302" i="66"/>
  <c r="I1301" i="66"/>
  <c r="H1301" i="66"/>
  <c r="G1301" i="66"/>
  <c r="E1301" i="66"/>
  <c r="I1300" i="66"/>
  <c r="H1300" i="66"/>
  <c r="G1300" i="66"/>
  <c r="E1300" i="66"/>
  <c r="I1299" i="66"/>
  <c r="H1299" i="66"/>
  <c r="G1299" i="66"/>
  <c r="D1299" i="66" s="1"/>
  <c r="E1299" i="66"/>
  <c r="I1298" i="66"/>
  <c r="H1298" i="66"/>
  <c r="G1298" i="66"/>
  <c r="E1298" i="66"/>
  <c r="I1297" i="66"/>
  <c r="H1297" i="66"/>
  <c r="G1297" i="66"/>
  <c r="E1297" i="66"/>
  <c r="I1296" i="66"/>
  <c r="H1296" i="66"/>
  <c r="G1296" i="66"/>
  <c r="E1296" i="66"/>
  <c r="I1295" i="66"/>
  <c r="H1295" i="66"/>
  <c r="G1295" i="66"/>
  <c r="E1295" i="66"/>
  <c r="I1294" i="66"/>
  <c r="H1294" i="66"/>
  <c r="G1294" i="66"/>
  <c r="D1294" i="66" s="1"/>
  <c r="E1294" i="66"/>
  <c r="I1293" i="66"/>
  <c r="H1293" i="66"/>
  <c r="G1293" i="66"/>
  <c r="E1293" i="66"/>
  <c r="I1292" i="66"/>
  <c r="H1292" i="66"/>
  <c r="G1292" i="66"/>
  <c r="E1292" i="66"/>
  <c r="I1291" i="66"/>
  <c r="H1291" i="66"/>
  <c r="G1291" i="66"/>
  <c r="E1291" i="66"/>
  <c r="I1290" i="66"/>
  <c r="H1290" i="66"/>
  <c r="G1290" i="66"/>
  <c r="D1290" i="66" s="1"/>
  <c r="E1290" i="66"/>
  <c r="I1289" i="66"/>
  <c r="H1289" i="66"/>
  <c r="G1289" i="66"/>
  <c r="E1289" i="66"/>
  <c r="I1288" i="66"/>
  <c r="H1288" i="66"/>
  <c r="G1288" i="66"/>
  <c r="D1288" i="66" s="1"/>
  <c r="E1288" i="66"/>
  <c r="I1287" i="66"/>
  <c r="H1287" i="66"/>
  <c r="G1287" i="66"/>
  <c r="D1287" i="66" s="1"/>
  <c r="E1287" i="66"/>
  <c r="I1286" i="66"/>
  <c r="H1286" i="66"/>
  <c r="G1286" i="66"/>
  <c r="E1286" i="66"/>
  <c r="I1285" i="66"/>
  <c r="H1285" i="66"/>
  <c r="G1285" i="66"/>
  <c r="D1285" i="66" s="1"/>
  <c r="E1285" i="66"/>
  <c r="I1284" i="66"/>
  <c r="H1284" i="66"/>
  <c r="G1284" i="66"/>
  <c r="E1284" i="66"/>
  <c r="I1283" i="66"/>
  <c r="H1283" i="66"/>
  <c r="G1283" i="66"/>
  <c r="E1283" i="66"/>
  <c r="I1282" i="66"/>
  <c r="H1282" i="66"/>
  <c r="G1282" i="66"/>
  <c r="E1282" i="66"/>
  <c r="I1281" i="66"/>
  <c r="H1281" i="66"/>
  <c r="G1281" i="66"/>
  <c r="E1281" i="66"/>
  <c r="I1280" i="66"/>
  <c r="H1280" i="66"/>
  <c r="G1280" i="66"/>
  <c r="E1280" i="66"/>
  <c r="I1279" i="66"/>
  <c r="H1279" i="66"/>
  <c r="G1279" i="66"/>
  <c r="D1279" i="66" s="1"/>
  <c r="E1279" i="66"/>
  <c r="I1278" i="66"/>
  <c r="H1278" i="66"/>
  <c r="G1278" i="66"/>
  <c r="E1278" i="66"/>
  <c r="I1277" i="66"/>
  <c r="H1277" i="66"/>
  <c r="G1277" i="66"/>
  <c r="E1277" i="66"/>
  <c r="I1276" i="66"/>
  <c r="H1276" i="66"/>
  <c r="G1276" i="66"/>
  <c r="D1276" i="66" s="1"/>
  <c r="E1276" i="66"/>
  <c r="I1275" i="66"/>
  <c r="H1275" i="66"/>
  <c r="G1275" i="66"/>
  <c r="D1275" i="66" s="1"/>
  <c r="E1275" i="66"/>
  <c r="I1274" i="66"/>
  <c r="H1274" i="66"/>
  <c r="G1274" i="66"/>
  <c r="E1274" i="66"/>
  <c r="I1273" i="66"/>
  <c r="H1273" i="66"/>
  <c r="G1273" i="66"/>
  <c r="D1273" i="66" s="1"/>
  <c r="E1273" i="66"/>
  <c r="I1272" i="66"/>
  <c r="H1272" i="66"/>
  <c r="G1272" i="66"/>
  <c r="D1272" i="66" s="1"/>
  <c r="E1272" i="66"/>
  <c r="I1271" i="66"/>
  <c r="H1271" i="66"/>
  <c r="G1271" i="66"/>
  <c r="E1271" i="66"/>
  <c r="I1270" i="66"/>
  <c r="H1270" i="66"/>
  <c r="G1270" i="66"/>
  <c r="E1270" i="66"/>
  <c r="I1269" i="66"/>
  <c r="H1269" i="66"/>
  <c r="G1269" i="66"/>
  <c r="E1269" i="66"/>
  <c r="I1268" i="66"/>
  <c r="H1268" i="66"/>
  <c r="G1268" i="66"/>
  <c r="E1268" i="66"/>
  <c r="I1267" i="66"/>
  <c r="H1267" i="66"/>
  <c r="G1267" i="66"/>
  <c r="E1267" i="66"/>
  <c r="I1266" i="66"/>
  <c r="H1266" i="66"/>
  <c r="G1266" i="66"/>
  <c r="D1266" i="66" s="1"/>
  <c r="E1266" i="66"/>
  <c r="I1265" i="66"/>
  <c r="H1265" i="66"/>
  <c r="G1265" i="66"/>
  <c r="E1265" i="66"/>
  <c r="I1264" i="66"/>
  <c r="H1264" i="66"/>
  <c r="G1264" i="66"/>
  <c r="D1264" i="66" s="1"/>
  <c r="E1264" i="66"/>
  <c r="I1263" i="66"/>
  <c r="H1263" i="66"/>
  <c r="G1263" i="66"/>
  <c r="D1263" i="66" s="1"/>
  <c r="E1263" i="66"/>
  <c r="I1262" i="66"/>
  <c r="H1262" i="66"/>
  <c r="G1262" i="66"/>
  <c r="E1262" i="66"/>
  <c r="I1261" i="66"/>
  <c r="H1261" i="66"/>
  <c r="G1261" i="66"/>
  <c r="E1261" i="66"/>
  <c r="I1260" i="66"/>
  <c r="H1260" i="66"/>
  <c r="G1260" i="66"/>
  <c r="D1260" i="66" s="1"/>
  <c r="E1260" i="66"/>
  <c r="I1259" i="66"/>
  <c r="H1259" i="66"/>
  <c r="G1259" i="66"/>
  <c r="E1259" i="66"/>
  <c r="I1258" i="66"/>
  <c r="H1258" i="66"/>
  <c r="G1258" i="66"/>
  <c r="E1258" i="66"/>
  <c r="I1257" i="66"/>
  <c r="H1257" i="66"/>
  <c r="G1257" i="66"/>
  <c r="E1257" i="66"/>
  <c r="I1256" i="66"/>
  <c r="H1256" i="66"/>
  <c r="G1256" i="66"/>
  <c r="E1256" i="66"/>
  <c r="I1255" i="66"/>
  <c r="H1255" i="66"/>
  <c r="G1255" i="66"/>
  <c r="E1255" i="66"/>
  <c r="I1254" i="66"/>
  <c r="H1254" i="66"/>
  <c r="G1254" i="66"/>
  <c r="D1254" i="66" s="1"/>
  <c r="E1254" i="66"/>
  <c r="I1253" i="66"/>
  <c r="H1253" i="66"/>
  <c r="G1253" i="66"/>
  <c r="E1253" i="66"/>
  <c r="I1252" i="66"/>
  <c r="H1252" i="66"/>
  <c r="G1252" i="66"/>
  <c r="E1252" i="66"/>
  <c r="I1251" i="66"/>
  <c r="H1251" i="66"/>
  <c r="G1251" i="66"/>
  <c r="D1251" i="66" s="1"/>
  <c r="E1251" i="66"/>
  <c r="I1250" i="66"/>
  <c r="H1250" i="66"/>
  <c r="G1250" i="66"/>
  <c r="E1250" i="66"/>
  <c r="I1249" i="66"/>
  <c r="H1249" i="66"/>
  <c r="G1249" i="66"/>
  <c r="D1249" i="66" s="1"/>
  <c r="E1249" i="66"/>
  <c r="I1248" i="66"/>
  <c r="H1248" i="66"/>
  <c r="G1248" i="66"/>
  <c r="D1248" i="66" s="1"/>
  <c r="E1248" i="66"/>
  <c r="I1247" i="66"/>
  <c r="H1247" i="66"/>
  <c r="G1247" i="66"/>
  <c r="E1247" i="66"/>
  <c r="I1246" i="66"/>
  <c r="H1246" i="66"/>
  <c r="G1246" i="66"/>
  <c r="E1246" i="66"/>
  <c r="I1245" i="66"/>
  <c r="H1245" i="66"/>
  <c r="G1245" i="66"/>
  <c r="E1245" i="66"/>
  <c r="I1244" i="66"/>
  <c r="H1244" i="66"/>
  <c r="G1244" i="66"/>
  <c r="E1244" i="66"/>
  <c r="I1243" i="66"/>
  <c r="H1243" i="66"/>
  <c r="G1243" i="66"/>
  <c r="D1243" i="66" s="1"/>
  <c r="E1243" i="66"/>
  <c r="I1242" i="66"/>
  <c r="H1242" i="66"/>
  <c r="G1242" i="66"/>
  <c r="D1242" i="66" s="1"/>
  <c r="E1242" i="66"/>
  <c r="I1241" i="66"/>
  <c r="H1241" i="66"/>
  <c r="G1241" i="66"/>
  <c r="E1241" i="66"/>
  <c r="I1240" i="66"/>
  <c r="H1240" i="66"/>
  <c r="G1240" i="66"/>
  <c r="D1240" i="66" s="1"/>
  <c r="E1240" i="66"/>
  <c r="I1239" i="66"/>
  <c r="H1239" i="66"/>
  <c r="G1239" i="66"/>
  <c r="D1239" i="66" s="1"/>
  <c r="E1239" i="66"/>
  <c r="I1238" i="66"/>
  <c r="H1238" i="66"/>
  <c r="G1238" i="66"/>
  <c r="E1238" i="66"/>
  <c r="I1237" i="66"/>
  <c r="H1237" i="66"/>
  <c r="G1237" i="66"/>
  <c r="D1237" i="66" s="1"/>
  <c r="E1237" i="66"/>
  <c r="I1236" i="66"/>
  <c r="H1236" i="66"/>
  <c r="G1236" i="66"/>
  <c r="D1236" i="66" s="1"/>
  <c r="E1236" i="66"/>
  <c r="I1235" i="66"/>
  <c r="H1235" i="66"/>
  <c r="G1235" i="66"/>
  <c r="E1235" i="66"/>
  <c r="I1234" i="66"/>
  <c r="H1234" i="66"/>
  <c r="G1234" i="66"/>
  <c r="D1234" i="66" s="1"/>
  <c r="E1234" i="66"/>
  <c r="I1233" i="66"/>
  <c r="H1233" i="66"/>
  <c r="G1233" i="66"/>
  <c r="E1233" i="66"/>
  <c r="I1232" i="66"/>
  <c r="H1232" i="66"/>
  <c r="G1232" i="66"/>
  <c r="E1232" i="66"/>
  <c r="I1231" i="66"/>
  <c r="H1231" i="66"/>
  <c r="G1231" i="66"/>
  <c r="E1231" i="66"/>
  <c r="I1230" i="66"/>
  <c r="H1230" i="66"/>
  <c r="G1230" i="66"/>
  <c r="E1230" i="66"/>
  <c r="I1229" i="66"/>
  <c r="H1229" i="66"/>
  <c r="G1229" i="66"/>
  <c r="E1229" i="66"/>
  <c r="I1228" i="66"/>
  <c r="H1228" i="66"/>
  <c r="G1228" i="66"/>
  <c r="E1228" i="66"/>
  <c r="I1227" i="66"/>
  <c r="H1227" i="66"/>
  <c r="G1227" i="66"/>
  <c r="D1227" i="66" s="1"/>
  <c r="E1227" i="66"/>
  <c r="I1226" i="66"/>
  <c r="H1226" i="66"/>
  <c r="G1226" i="66"/>
  <c r="E1226" i="66"/>
  <c r="I1225" i="66"/>
  <c r="H1225" i="66"/>
  <c r="G1225" i="66"/>
  <c r="D1225" i="66" s="1"/>
  <c r="E1225" i="66"/>
  <c r="I1224" i="66"/>
  <c r="H1224" i="66"/>
  <c r="G1224" i="66"/>
  <c r="D1224" i="66" s="1"/>
  <c r="E1224" i="66"/>
  <c r="I1223" i="66"/>
  <c r="H1223" i="66"/>
  <c r="G1223" i="66"/>
  <c r="E1223" i="66"/>
  <c r="I1222" i="66"/>
  <c r="H1222" i="66"/>
  <c r="G1222" i="66"/>
  <c r="D1222" i="66" s="1"/>
  <c r="E1222" i="66"/>
  <c r="I1221" i="66"/>
  <c r="H1221" i="66"/>
  <c r="G1221" i="66"/>
  <c r="E1221" i="66"/>
  <c r="I1220" i="66"/>
  <c r="H1220" i="66"/>
  <c r="G1220" i="66"/>
  <c r="E1220" i="66"/>
  <c r="I1219" i="66"/>
  <c r="H1219" i="66"/>
  <c r="G1219" i="66"/>
  <c r="E1219" i="66"/>
  <c r="I1218" i="66"/>
  <c r="H1218" i="66"/>
  <c r="G1218" i="66"/>
  <c r="D1218" i="66" s="1"/>
  <c r="E1218" i="66"/>
  <c r="I1217" i="66"/>
  <c r="H1217" i="66"/>
  <c r="G1217" i="66"/>
  <c r="E1217" i="66"/>
  <c r="I1216" i="66"/>
  <c r="H1216" i="66"/>
  <c r="G1216" i="66"/>
  <c r="D1216" i="66" s="1"/>
  <c r="E1216" i="66"/>
  <c r="I1215" i="66"/>
  <c r="H1215" i="66"/>
  <c r="G1215" i="66"/>
  <c r="D1215" i="66" s="1"/>
  <c r="E1215" i="66"/>
  <c r="I1214" i="66"/>
  <c r="H1214" i="66"/>
  <c r="G1214" i="66"/>
  <c r="E1214" i="66"/>
  <c r="I1213" i="66"/>
  <c r="H1213" i="66"/>
  <c r="G1213" i="66"/>
  <c r="E1213" i="66"/>
  <c r="I1212" i="66"/>
  <c r="H1212" i="66"/>
  <c r="G1212" i="66"/>
  <c r="E1212" i="66"/>
  <c r="I1211" i="66"/>
  <c r="H1211" i="66"/>
  <c r="G1211" i="66"/>
  <c r="E1211" i="66"/>
  <c r="I1210" i="66"/>
  <c r="H1210" i="66"/>
  <c r="G1210" i="66"/>
  <c r="D1210" i="66" s="1"/>
  <c r="E1210" i="66"/>
  <c r="I1209" i="66"/>
  <c r="H1209" i="66"/>
  <c r="G1209" i="66"/>
  <c r="D1209" i="66" s="1"/>
  <c r="E1209" i="66"/>
  <c r="I1208" i="66"/>
  <c r="H1208" i="66"/>
  <c r="G1208" i="66"/>
  <c r="E1208" i="66"/>
  <c r="I1207" i="66"/>
  <c r="H1207" i="66"/>
  <c r="G1207" i="66"/>
  <c r="E1207" i="66"/>
  <c r="I1206" i="66"/>
  <c r="H1206" i="66"/>
  <c r="G1206" i="66"/>
  <c r="D1206" i="66" s="1"/>
  <c r="E1206" i="66"/>
  <c r="I1205" i="66"/>
  <c r="H1205" i="66"/>
  <c r="G1205" i="66"/>
  <c r="E1205" i="66"/>
  <c r="I1204" i="66"/>
  <c r="H1204" i="66"/>
  <c r="G1204" i="66"/>
  <c r="E1204" i="66"/>
  <c r="I1203" i="66"/>
  <c r="H1203" i="66"/>
  <c r="G1203" i="66"/>
  <c r="D1203" i="66" s="1"/>
  <c r="E1203" i="66"/>
  <c r="I1202" i="66"/>
  <c r="H1202" i="66"/>
  <c r="G1202" i="66"/>
  <c r="E1202" i="66"/>
  <c r="I1201" i="66"/>
  <c r="H1201" i="66"/>
  <c r="G1201" i="66"/>
  <c r="E1201" i="66"/>
  <c r="I1200" i="66"/>
  <c r="H1200" i="66"/>
  <c r="G1200" i="66"/>
  <c r="E1200" i="66"/>
  <c r="I1199" i="66"/>
  <c r="H1199" i="66"/>
  <c r="G1199" i="66"/>
  <c r="E1199" i="66"/>
  <c r="I1198" i="66"/>
  <c r="H1198" i="66"/>
  <c r="G1198" i="66"/>
  <c r="E1198" i="66"/>
  <c r="I1197" i="66"/>
  <c r="H1197" i="66"/>
  <c r="G1197" i="66"/>
  <c r="D1197" i="66" s="1"/>
  <c r="E1197" i="66"/>
  <c r="I1196" i="66"/>
  <c r="H1196" i="66"/>
  <c r="G1196" i="66"/>
  <c r="E1196" i="66"/>
  <c r="I1195" i="66"/>
  <c r="H1195" i="66"/>
  <c r="G1195" i="66"/>
  <c r="D1195" i="66" s="1"/>
  <c r="E1195" i="66"/>
  <c r="I1194" i="66"/>
  <c r="H1194" i="66"/>
  <c r="G1194" i="66"/>
  <c r="E1194" i="66"/>
  <c r="I1193" i="66"/>
  <c r="H1193" i="66"/>
  <c r="G1193" i="66"/>
  <c r="E1193" i="66"/>
  <c r="I1192" i="66"/>
  <c r="H1192" i="66"/>
  <c r="G1192" i="66"/>
  <c r="E1192" i="66"/>
  <c r="I1191" i="66"/>
  <c r="H1191" i="66"/>
  <c r="G1191" i="66"/>
  <c r="E1191" i="66"/>
  <c r="I1190" i="66"/>
  <c r="H1190" i="66"/>
  <c r="G1190" i="66"/>
  <c r="E1190" i="66"/>
  <c r="I1189" i="66"/>
  <c r="H1189" i="66"/>
  <c r="G1189" i="66"/>
  <c r="E1189" i="66"/>
  <c r="I1188" i="66"/>
  <c r="H1188" i="66"/>
  <c r="G1188" i="66"/>
  <c r="E1188" i="66"/>
  <c r="I1187" i="66"/>
  <c r="H1187" i="66"/>
  <c r="G1187" i="66"/>
  <c r="E1187" i="66"/>
  <c r="I1186" i="66"/>
  <c r="H1186" i="66"/>
  <c r="G1186" i="66"/>
  <c r="D1186" i="66" s="1"/>
  <c r="E1186" i="66"/>
  <c r="I1185" i="66"/>
  <c r="H1185" i="66"/>
  <c r="G1185" i="66"/>
  <c r="E1185" i="66"/>
  <c r="I1184" i="66"/>
  <c r="H1184" i="66"/>
  <c r="G1184" i="66"/>
  <c r="E1184" i="66"/>
  <c r="I1183" i="66"/>
  <c r="H1183" i="66"/>
  <c r="G1183" i="66"/>
  <c r="D1183" i="66" s="1"/>
  <c r="E1183" i="66"/>
  <c r="I1182" i="66"/>
  <c r="H1182" i="66"/>
  <c r="G1182" i="66"/>
  <c r="D1182" i="66" s="1"/>
  <c r="E1182" i="66"/>
  <c r="I1181" i="66"/>
  <c r="H1181" i="66"/>
  <c r="G1181" i="66"/>
  <c r="E1181" i="66"/>
  <c r="I1180" i="66"/>
  <c r="H1180" i="66"/>
  <c r="G1180" i="66"/>
  <c r="D1180" i="66" s="1"/>
  <c r="E1180" i="66"/>
  <c r="I1179" i="66"/>
  <c r="H1179" i="66"/>
  <c r="G1179" i="66"/>
  <c r="D1179" i="66" s="1"/>
  <c r="E1179" i="66"/>
  <c r="I1178" i="66"/>
  <c r="H1178" i="66"/>
  <c r="G1178" i="66"/>
  <c r="E1178" i="66"/>
  <c r="I1177" i="66"/>
  <c r="H1177" i="66"/>
  <c r="G1177" i="66"/>
  <c r="E1177" i="66"/>
  <c r="I1176" i="66"/>
  <c r="H1176" i="66"/>
  <c r="G1176" i="66"/>
  <c r="D1176" i="66" s="1"/>
  <c r="E1176" i="66"/>
  <c r="I1175" i="66"/>
  <c r="H1175" i="66"/>
  <c r="G1175" i="66"/>
  <c r="E1175" i="66"/>
  <c r="I1174" i="66"/>
  <c r="H1174" i="66"/>
  <c r="G1174" i="66"/>
  <c r="E1174" i="66"/>
  <c r="I1173" i="66"/>
  <c r="H1173" i="66"/>
  <c r="G1173" i="66"/>
  <c r="D1173" i="66" s="1"/>
  <c r="E1173" i="66"/>
  <c r="I1172" i="66"/>
  <c r="H1172" i="66"/>
  <c r="G1172" i="66"/>
  <c r="E1172" i="66"/>
  <c r="I1171" i="66"/>
  <c r="H1171" i="66"/>
  <c r="G1171" i="66"/>
  <c r="E1171" i="66"/>
  <c r="I1170" i="66"/>
  <c r="H1170" i="66"/>
  <c r="G1170" i="66"/>
  <c r="D1170" i="66" s="1"/>
  <c r="E1170" i="66"/>
  <c r="I1169" i="66"/>
  <c r="H1169" i="66"/>
  <c r="G1169" i="66"/>
  <c r="E1169" i="66"/>
  <c r="I1168" i="66"/>
  <c r="H1168" i="66"/>
  <c r="G1168" i="66"/>
  <c r="E1168" i="66"/>
  <c r="I1167" i="66"/>
  <c r="H1167" i="66"/>
  <c r="G1167" i="66"/>
  <c r="D1167" i="66" s="1"/>
  <c r="E1167" i="66"/>
  <c r="I1166" i="66"/>
  <c r="H1166" i="66"/>
  <c r="G1166" i="66"/>
  <c r="E1166" i="66"/>
  <c r="I1165" i="66"/>
  <c r="H1165" i="66"/>
  <c r="G1165" i="66"/>
  <c r="E1165" i="66"/>
  <c r="I1164" i="66"/>
  <c r="H1164" i="66"/>
  <c r="G1164" i="66"/>
  <c r="D1164" i="66" s="1"/>
  <c r="E1164" i="66"/>
  <c r="I1163" i="66"/>
  <c r="H1163" i="66"/>
  <c r="G1163" i="66"/>
  <c r="E1163" i="66"/>
  <c r="I1162" i="66"/>
  <c r="H1162" i="66"/>
  <c r="G1162" i="66"/>
  <c r="D1162" i="66" s="1"/>
  <c r="E1162" i="66"/>
  <c r="I1161" i="66"/>
  <c r="H1161" i="66"/>
  <c r="G1161" i="66"/>
  <c r="D1161" i="66" s="1"/>
  <c r="E1161" i="66"/>
  <c r="I1160" i="66"/>
  <c r="H1160" i="66"/>
  <c r="G1160" i="66"/>
  <c r="E1160" i="66"/>
  <c r="I1159" i="66"/>
  <c r="H1159" i="66"/>
  <c r="G1159" i="66"/>
  <c r="E1159" i="66"/>
  <c r="I1158" i="66"/>
  <c r="H1158" i="66"/>
  <c r="G1158" i="66"/>
  <c r="D1158" i="66" s="1"/>
  <c r="E1158" i="66"/>
  <c r="I1157" i="66"/>
  <c r="H1157" i="66"/>
  <c r="G1157" i="66"/>
  <c r="E1157" i="66"/>
  <c r="I1156" i="66"/>
  <c r="H1156" i="66"/>
  <c r="G1156" i="66"/>
  <c r="E1156" i="66"/>
  <c r="I1155" i="66"/>
  <c r="H1155" i="66"/>
  <c r="G1155" i="66"/>
  <c r="D1155" i="66" s="1"/>
  <c r="E1155" i="66"/>
  <c r="I1154" i="66"/>
  <c r="H1154" i="66"/>
  <c r="G1154" i="66"/>
  <c r="E1154" i="66"/>
  <c r="I1153" i="66"/>
  <c r="H1153" i="66"/>
  <c r="G1153" i="66"/>
  <c r="E1153" i="66"/>
  <c r="I1152" i="66"/>
  <c r="H1152" i="66"/>
  <c r="G1152" i="66"/>
  <c r="D1152" i="66" s="1"/>
  <c r="E1152" i="66"/>
  <c r="I1151" i="66"/>
  <c r="H1151" i="66"/>
  <c r="G1151" i="66"/>
  <c r="E1151" i="66"/>
  <c r="I1150" i="66"/>
  <c r="H1150" i="66"/>
  <c r="G1150" i="66"/>
  <c r="E1150" i="66"/>
  <c r="I1149" i="66"/>
  <c r="H1149" i="66"/>
  <c r="G1149" i="66"/>
  <c r="E1149" i="66"/>
  <c r="I1148" i="66"/>
  <c r="H1148" i="66"/>
  <c r="G1148" i="66"/>
  <c r="E1148" i="66"/>
  <c r="I1147" i="66"/>
  <c r="H1147" i="66"/>
  <c r="G1147" i="66"/>
  <c r="E1147" i="66"/>
  <c r="I1146" i="66"/>
  <c r="H1146" i="66"/>
  <c r="G1146" i="66"/>
  <c r="D1146" i="66" s="1"/>
  <c r="E1146" i="66"/>
  <c r="I1145" i="66"/>
  <c r="H1145" i="66"/>
  <c r="G1145" i="66"/>
  <c r="E1145" i="66"/>
  <c r="I1144" i="66"/>
  <c r="H1144" i="66"/>
  <c r="G1144" i="66"/>
  <c r="D1144" i="66" s="1"/>
  <c r="E1144" i="66"/>
  <c r="I1143" i="66"/>
  <c r="H1143" i="66"/>
  <c r="G1143" i="66"/>
  <c r="D1143" i="66" s="1"/>
  <c r="E1143" i="66"/>
  <c r="I1142" i="66"/>
  <c r="H1142" i="66"/>
  <c r="G1142" i="66"/>
  <c r="E1142" i="66"/>
  <c r="I1141" i="66"/>
  <c r="H1141" i="66"/>
  <c r="G1141" i="66"/>
  <c r="E1141" i="66"/>
  <c r="I1140" i="66"/>
  <c r="H1140" i="66"/>
  <c r="G1140" i="66"/>
  <c r="D1140" i="66" s="1"/>
  <c r="E1140" i="66"/>
  <c r="I1139" i="66"/>
  <c r="H1139" i="66"/>
  <c r="G1139" i="66"/>
  <c r="E1139" i="66"/>
  <c r="I1138" i="66"/>
  <c r="H1138" i="66"/>
  <c r="G1138" i="66"/>
  <c r="E1138" i="66"/>
  <c r="I1137" i="66"/>
  <c r="H1137" i="66"/>
  <c r="G1137" i="66"/>
  <c r="E1137" i="66"/>
  <c r="I1136" i="66"/>
  <c r="H1136" i="66"/>
  <c r="G1136" i="66"/>
  <c r="E1136" i="66"/>
  <c r="I1135" i="66"/>
  <c r="H1135" i="66"/>
  <c r="G1135" i="66"/>
  <c r="E1135" i="66"/>
  <c r="I1134" i="66"/>
  <c r="H1134" i="66"/>
  <c r="G1134" i="66"/>
  <c r="D1134" i="66" s="1"/>
  <c r="E1134" i="66"/>
  <c r="I1133" i="66"/>
  <c r="H1133" i="66"/>
  <c r="G1133" i="66"/>
  <c r="E1133" i="66"/>
  <c r="I1132" i="66"/>
  <c r="H1132" i="66"/>
  <c r="G1132" i="66"/>
  <c r="E1132" i="66"/>
  <c r="I1131" i="66"/>
  <c r="H1131" i="66"/>
  <c r="G1131" i="66"/>
  <c r="D1131" i="66" s="1"/>
  <c r="E1131" i="66"/>
  <c r="I1130" i="66"/>
  <c r="H1130" i="66"/>
  <c r="G1130" i="66"/>
  <c r="E1130" i="66"/>
  <c r="I1129" i="66"/>
  <c r="H1129" i="66"/>
  <c r="G1129" i="66"/>
  <c r="E1129" i="66"/>
  <c r="I1128" i="66"/>
  <c r="H1128" i="66"/>
  <c r="G1128" i="66"/>
  <c r="D1128" i="66" s="1"/>
  <c r="E1128" i="66"/>
  <c r="I1127" i="66"/>
  <c r="H1127" i="66"/>
  <c r="G1127" i="66"/>
  <c r="E1127" i="66"/>
  <c r="I1126" i="66"/>
  <c r="H1126" i="66"/>
  <c r="G1126" i="66"/>
  <c r="E1126" i="66"/>
  <c r="I1125" i="66"/>
  <c r="H1125" i="66"/>
  <c r="G1125" i="66"/>
  <c r="E1125" i="66"/>
  <c r="I1124" i="66"/>
  <c r="H1124" i="66"/>
  <c r="G1124" i="66"/>
  <c r="E1124" i="66"/>
  <c r="I1123" i="66"/>
  <c r="H1123" i="66"/>
  <c r="G1123" i="66"/>
  <c r="E1123" i="66"/>
  <c r="I1122" i="66"/>
  <c r="H1122" i="66"/>
  <c r="G1122" i="66"/>
  <c r="E1122" i="66"/>
  <c r="I1121" i="66"/>
  <c r="H1121" i="66"/>
  <c r="G1121" i="66"/>
  <c r="E1121" i="66"/>
  <c r="I1120" i="66"/>
  <c r="H1120" i="66"/>
  <c r="G1120" i="66"/>
  <c r="E1120" i="66"/>
  <c r="I1119" i="66"/>
  <c r="H1119" i="66"/>
  <c r="G1119" i="66"/>
  <c r="E1119" i="66"/>
  <c r="I1118" i="66"/>
  <c r="H1118" i="66"/>
  <c r="G1118" i="66"/>
  <c r="E1118" i="66"/>
  <c r="I1117" i="66"/>
  <c r="H1117" i="66"/>
  <c r="G1117" i="66"/>
  <c r="E1117" i="66"/>
  <c r="I1116" i="66"/>
  <c r="H1116" i="66"/>
  <c r="G1116" i="66"/>
  <c r="D1116" i="66" s="1"/>
  <c r="E1116" i="66"/>
  <c r="I1115" i="66"/>
  <c r="H1115" i="66"/>
  <c r="G1115" i="66"/>
  <c r="E1115" i="66"/>
  <c r="I1114" i="66"/>
  <c r="H1114" i="66"/>
  <c r="G1114" i="66"/>
  <c r="E1114" i="66"/>
  <c r="I1113" i="66"/>
  <c r="H1113" i="66"/>
  <c r="G1113" i="66"/>
  <c r="E1113" i="66"/>
  <c r="I1112" i="66"/>
  <c r="H1112" i="66"/>
  <c r="G1112" i="66"/>
  <c r="E1112" i="66"/>
  <c r="I1111" i="66"/>
  <c r="H1111" i="66"/>
  <c r="G1111" i="66"/>
  <c r="E1111" i="66"/>
  <c r="I1110" i="66"/>
  <c r="H1110" i="66"/>
  <c r="G1110" i="66"/>
  <c r="E1110" i="66"/>
  <c r="I1109" i="66"/>
  <c r="H1109" i="66"/>
  <c r="G1109" i="66"/>
  <c r="E1109" i="66"/>
  <c r="I1108" i="66"/>
  <c r="H1108" i="66"/>
  <c r="G1108" i="66"/>
  <c r="D1108" i="66" s="1"/>
  <c r="E1108" i="66"/>
  <c r="I1107" i="66"/>
  <c r="H1107" i="66"/>
  <c r="G1107" i="66"/>
  <c r="D1107" i="66" s="1"/>
  <c r="E1107" i="66"/>
  <c r="I1106" i="66"/>
  <c r="H1106" i="66"/>
  <c r="G1106" i="66"/>
  <c r="E1106" i="66"/>
  <c r="I1105" i="66"/>
  <c r="H1105" i="66"/>
  <c r="G1105" i="66"/>
  <c r="D1105" i="66" s="1"/>
  <c r="E1105" i="66"/>
  <c r="I1104" i="66"/>
  <c r="H1104" i="66"/>
  <c r="G1104" i="66"/>
  <c r="D1104" i="66" s="1"/>
  <c r="E1104" i="66"/>
  <c r="I1103" i="66"/>
  <c r="H1103" i="66"/>
  <c r="G1103" i="66"/>
  <c r="E1103" i="66"/>
  <c r="I1102" i="66"/>
  <c r="H1102" i="66"/>
  <c r="G1102" i="66"/>
  <c r="E1102" i="66"/>
  <c r="I1101" i="66"/>
  <c r="H1101" i="66"/>
  <c r="G1101" i="66"/>
  <c r="E1101" i="66"/>
  <c r="I1100" i="66"/>
  <c r="H1100" i="66"/>
  <c r="G1100" i="66"/>
  <c r="E1100" i="66"/>
  <c r="I1099" i="66"/>
  <c r="H1099" i="66"/>
  <c r="G1099" i="66"/>
  <c r="E1099" i="66"/>
  <c r="I1098" i="66"/>
  <c r="H1098" i="66"/>
  <c r="G1098" i="66"/>
  <c r="D1098" i="66" s="1"/>
  <c r="E1098" i="66"/>
  <c r="I1097" i="66"/>
  <c r="H1097" i="66"/>
  <c r="G1097" i="66"/>
  <c r="E1097" i="66"/>
  <c r="I1096" i="66"/>
  <c r="H1096" i="66"/>
  <c r="G1096" i="66"/>
  <c r="D1096" i="66" s="1"/>
  <c r="E1096" i="66"/>
  <c r="I1095" i="66"/>
  <c r="H1095" i="66"/>
  <c r="G1095" i="66"/>
  <c r="E1095" i="66"/>
  <c r="I1094" i="66"/>
  <c r="H1094" i="66"/>
  <c r="G1094" i="66"/>
  <c r="E1094" i="66"/>
  <c r="I1093" i="66"/>
  <c r="H1093" i="66"/>
  <c r="G1093" i="66"/>
  <c r="E1093" i="66"/>
  <c r="I1092" i="66"/>
  <c r="H1092" i="66"/>
  <c r="G1092" i="66"/>
  <c r="E1092" i="66"/>
  <c r="I1091" i="66"/>
  <c r="H1091" i="66"/>
  <c r="G1091" i="66"/>
  <c r="E1091" i="66"/>
  <c r="I1090" i="66"/>
  <c r="H1090" i="66"/>
  <c r="G1090" i="66"/>
  <c r="E1090" i="66"/>
  <c r="I1089" i="66"/>
  <c r="H1089" i="66"/>
  <c r="G1089" i="66"/>
  <c r="E1089" i="66"/>
  <c r="I1088" i="66"/>
  <c r="H1088" i="66"/>
  <c r="G1088" i="66"/>
  <c r="E1088" i="66"/>
  <c r="I1087" i="66"/>
  <c r="H1087" i="66"/>
  <c r="G1087" i="66"/>
  <c r="D1087" i="66" s="1"/>
  <c r="E1087" i="66"/>
  <c r="I1086" i="66"/>
  <c r="H1086" i="66"/>
  <c r="G1086" i="66"/>
  <c r="E1086" i="66"/>
  <c r="I1085" i="66"/>
  <c r="H1085" i="66"/>
  <c r="G1085" i="66"/>
  <c r="E1085" i="66"/>
  <c r="I1084" i="66"/>
  <c r="H1084" i="66"/>
  <c r="G1084" i="66"/>
  <c r="E1084" i="66"/>
  <c r="I1083" i="66"/>
  <c r="H1083" i="66"/>
  <c r="G1083" i="66"/>
  <c r="E1083" i="66"/>
  <c r="I1082" i="66"/>
  <c r="H1082" i="66"/>
  <c r="G1082" i="66"/>
  <c r="E1082" i="66"/>
  <c r="I1081" i="66"/>
  <c r="H1081" i="66"/>
  <c r="G1081" i="66"/>
  <c r="E1081" i="66"/>
  <c r="I1080" i="66"/>
  <c r="H1080" i="66"/>
  <c r="G1080" i="66"/>
  <c r="D1080" i="66" s="1"/>
  <c r="E1080" i="66"/>
  <c r="I1079" i="66"/>
  <c r="H1079" i="66"/>
  <c r="G1079" i="66"/>
  <c r="E1079" i="66"/>
  <c r="I1078" i="66"/>
  <c r="H1078" i="66"/>
  <c r="G1078" i="66"/>
  <c r="E1078" i="66"/>
  <c r="I1077" i="66"/>
  <c r="H1077" i="66"/>
  <c r="G1077" i="66"/>
  <c r="E1077" i="66"/>
  <c r="I1076" i="66"/>
  <c r="H1076" i="66"/>
  <c r="G1076" i="66"/>
  <c r="E1076" i="66"/>
  <c r="I1075" i="66"/>
  <c r="H1075" i="66"/>
  <c r="G1075" i="66"/>
  <c r="E1075" i="66"/>
  <c r="I1074" i="66"/>
  <c r="H1074" i="66"/>
  <c r="G1074" i="66"/>
  <c r="D1074" i="66" s="1"/>
  <c r="E1074" i="66"/>
  <c r="I1073" i="66"/>
  <c r="H1073" i="66"/>
  <c r="G1073" i="66"/>
  <c r="E1073" i="66"/>
  <c r="I1072" i="66"/>
  <c r="H1072" i="66"/>
  <c r="G1072" i="66"/>
  <c r="E1072" i="66"/>
  <c r="I1071" i="66"/>
  <c r="H1071" i="66"/>
  <c r="G1071" i="66"/>
  <c r="E1071" i="66"/>
  <c r="I1070" i="66"/>
  <c r="H1070" i="66"/>
  <c r="G1070" i="66"/>
  <c r="E1070" i="66"/>
  <c r="I1069" i="66"/>
  <c r="H1069" i="66"/>
  <c r="G1069" i="66"/>
  <c r="E1069" i="66"/>
  <c r="I1068" i="66"/>
  <c r="H1068" i="66"/>
  <c r="G1068" i="66"/>
  <c r="E1068" i="66"/>
  <c r="I1067" i="66"/>
  <c r="H1067" i="66"/>
  <c r="G1067" i="66"/>
  <c r="E1067" i="66"/>
  <c r="I1066" i="66"/>
  <c r="H1066" i="66"/>
  <c r="G1066" i="66"/>
  <c r="E1066" i="66"/>
  <c r="I1065" i="66"/>
  <c r="H1065" i="66"/>
  <c r="G1065" i="66"/>
  <c r="E1065" i="66"/>
  <c r="I1064" i="66"/>
  <c r="H1064" i="66"/>
  <c r="G1064" i="66"/>
  <c r="E1064" i="66"/>
  <c r="I1063" i="66"/>
  <c r="H1063" i="66"/>
  <c r="G1063" i="66"/>
  <c r="E1063" i="66"/>
  <c r="I1062" i="66"/>
  <c r="H1062" i="66"/>
  <c r="G1062" i="66"/>
  <c r="D1062" i="66" s="1"/>
  <c r="E1062" i="66"/>
  <c r="I1061" i="66"/>
  <c r="H1061" i="66"/>
  <c r="G1061" i="66"/>
  <c r="E1061" i="66"/>
  <c r="I1060" i="66"/>
  <c r="H1060" i="66"/>
  <c r="G1060" i="66"/>
  <c r="E1060" i="66"/>
  <c r="I1059" i="66"/>
  <c r="H1059" i="66"/>
  <c r="G1059" i="66"/>
  <c r="E1059" i="66"/>
  <c r="I1058" i="66"/>
  <c r="H1058" i="66"/>
  <c r="G1058" i="66"/>
  <c r="E1058" i="66"/>
  <c r="I1057" i="66"/>
  <c r="H1057" i="66"/>
  <c r="G1057" i="66"/>
  <c r="E1057" i="66"/>
  <c r="I1056" i="66"/>
  <c r="H1056" i="66"/>
  <c r="G1056" i="66"/>
  <c r="E1056" i="66"/>
  <c r="I1055" i="66"/>
  <c r="H1055" i="66"/>
  <c r="G1055" i="66"/>
  <c r="E1055" i="66"/>
  <c r="I1054" i="66"/>
  <c r="H1054" i="66"/>
  <c r="G1054" i="66"/>
  <c r="E1054" i="66"/>
  <c r="I1053" i="66"/>
  <c r="H1053" i="66"/>
  <c r="G1053" i="66"/>
  <c r="E1053" i="66"/>
  <c r="I1052" i="66"/>
  <c r="H1052" i="66"/>
  <c r="G1052" i="66"/>
  <c r="E1052" i="66"/>
  <c r="I1051" i="66"/>
  <c r="H1051" i="66"/>
  <c r="G1051" i="66"/>
  <c r="E1051" i="66"/>
  <c r="I1050" i="66"/>
  <c r="H1050" i="66"/>
  <c r="G1050" i="66"/>
  <c r="D1050" i="66" s="1"/>
  <c r="E1050" i="66"/>
  <c r="I1049" i="66"/>
  <c r="H1049" i="66"/>
  <c r="G1049" i="66"/>
  <c r="E1049" i="66"/>
  <c r="I1048" i="66"/>
  <c r="H1048" i="66"/>
  <c r="G1048" i="66"/>
  <c r="D1048" i="66" s="1"/>
  <c r="E1048" i="66"/>
  <c r="I1047" i="66"/>
  <c r="H1047" i="66"/>
  <c r="G1047" i="66"/>
  <c r="E1047" i="66"/>
  <c r="I1046" i="66"/>
  <c r="H1046" i="66"/>
  <c r="G1046" i="66"/>
  <c r="E1046" i="66"/>
  <c r="I1045" i="66"/>
  <c r="H1045" i="66"/>
  <c r="G1045" i="66"/>
  <c r="E1045" i="66"/>
  <c r="I1044" i="66"/>
  <c r="H1044" i="66"/>
  <c r="G1044" i="66"/>
  <c r="D1044" i="66" s="1"/>
  <c r="E1044" i="66"/>
  <c r="I1043" i="66"/>
  <c r="H1043" i="66"/>
  <c r="G1043" i="66"/>
  <c r="E1043" i="66"/>
  <c r="I1042" i="66"/>
  <c r="H1042" i="66"/>
  <c r="G1042" i="66"/>
  <c r="D1042" i="66" s="1"/>
  <c r="E1042" i="66"/>
  <c r="I1041" i="66"/>
  <c r="H1041" i="66"/>
  <c r="G1041" i="66"/>
  <c r="E1041" i="66"/>
  <c r="I1040" i="66"/>
  <c r="H1040" i="66"/>
  <c r="G1040" i="66"/>
  <c r="E1040" i="66"/>
  <c r="I1039" i="66"/>
  <c r="H1039" i="66"/>
  <c r="G1039" i="66"/>
  <c r="E1039" i="66"/>
  <c r="I1038" i="66"/>
  <c r="H1038" i="66"/>
  <c r="G1038" i="66"/>
  <c r="D1038" i="66" s="1"/>
  <c r="E1038" i="66"/>
  <c r="I1037" i="66"/>
  <c r="H1037" i="66"/>
  <c r="G1037" i="66"/>
  <c r="E1037" i="66"/>
  <c r="I1036" i="66"/>
  <c r="H1036" i="66"/>
  <c r="G1036" i="66"/>
  <c r="E1036" i="66"/>
  <c r="I1035" i="66"/>
  <c r="H1035" i="66"/>
  <c r="G1035" i="66"/>
  <c r="E1035" i="66"/>
  <c r="I1034" i="66"/>
  <c r="H1034" i="66"/>
  <c r="G1034" i="66"/>
  <c r="E1034" i="66"/>
  <c r="I1033" i="66"/>
  <c r="H1033" i="66"/>
  <c r="G1033" i="66"/>
  <c r="E1033" i="66"/>
  <c r="I1032" i="66"/>
  <c r="H1032" i="66"/>
  <c r="G1032" i="66"/>
  <c r="E1032" i="66"/>
  <c r="I1031" i="66"/>
  <c r="H1031" i="66"/>
  <c r="G1031" i="66"/>
  <c r="E1031" i="66"/>
  <c r="I1030" i="66"/>
  <c r="H1030" i="66"/>
  <c r="G1030" i="66"/>
  <c r="E1030" i="66"/>
  <c r="I1029" i="66"/>
  <c r="H1029" i="66"/>
  <c r="G1029" i="66"/>
  <c r="E1029" i="66"/>
  <c r="I1028" i="66"/>
  <c r="H1028" i="66"/>
  <c r="G1028" i="66"/>
  <c r="E1028" i="66"/>
  <c r="I1027" i="66"/>
  <c r="H1027" i="66"/>
  <c r="G1027" i="66"/>
  <c r="E1027" i="66"/>
  <c r="I1026" i="66"/>
  <c r="H1026" i="66"/>
  <c r="G1026" i="66"/>
  <c r="E1026" i="66"/>
  <c r="I1025" i="66"/>
  <c r="H1025" i="66"/>
  <c r="G1025" i="66"/>
  <c r="E1025" i="66"/>
  <c r="I1024" i="66"/>
  <c r="H1024" i="66"/>
  <c r="G1024" i="66"/>
  <c r="E1024" i="66"/>
  <c r="I1023" i="66"/>
  <c r="H1023" i="66"/>
  <c r="G1023" i="66"/>
  <c r="E1023" i="66"/>
  <c r="I1022" i="66"/>
  <c r="H1022" i="66"/>
  <c r="G1022" i="66"/>
  <c r="E1022" i="66"/>
  <c r="I1021" i="66"/>
  <c r="H1021" i="66"/>
  <c r="G1021" i="66"/>
  <c r="E1021" i="66"/>
  <c r="I1020" i="66"/>
  <c r="H1020" i="66"/>
  <c r="G1020" i="66"/>
  <c r="E1020" i="66"/>
  <c r="I1019" i="66"/>
  <c r="H1019" i="66"/>
  <c r="G1019" i="66"/>
  <c r="E1019" i="66"/>
  <c r="I1018" i="66"/>
  <c r="H1018" i="66"/>
  <c r="G1018" i="66"/>
  <c r="E1018" i="66"/>
  <c r="I1017" i="66"/>
  <c r="H1017" i="66"/>
  <c r="G1017" i="66"/>
  <c r="E1017" i="66"/>
  <c r="I1016" i="66"/>
  <c r="H1016" i="66"/>
  <c r="G1016" i="66"/>
  <c r="E1016" i="66"/>
  <c r="I1015" i="66"/>
  <c r="H1015" i="66"/>
  <c r="G1015" i="66"/>
  <c r="E1015" i="66"/>
  <c r="I1014" i="66"/>
  <c r="H1014" i="66"/>
  <c r="G1014" i="66"/>
  <c r="D1014" i="66" s="1"/>
  <c r="E1014" i="66"/>
  <c r="I1013" i="66"/>
  <c r="H1013" i="66"/>
  <c r="G1013" i="66"/>
  <c r="E1013" i="66"/>
  <c r="I1012" i="66"/>
  <c r="H1012" i="66"/>
  <c r="G1012" i="66"/>
  <c r="E1012" i="66"/>
  <c r="I1011" i="66"/>
  <c r="H1011" i="66"/>
  <c r="G1011" i="66"/>
  <c r="E1011" i="66"/>
  <c r="I1010" i="66"/>
  <c r="H1010" i="66"/>
  <c r="G1010" i="66"/>
  <c r="E1010" i="66"/>
  <c r="I1009" i="66"/>
  <c r="H1009" i="66"/>
  <c r="G1009" i="66"/>
  <c r="E1009" i="66"/>
  <c r="I1008" i="66"/>
  <c r="H1008" i="66"/>
  <c r="G1008" i="66"/>
  <c r="E1008" i="66"/>
  <c r="I1007" i="66"/>
  <c r="H1007" i="66"/>
  <c r="G1007" i="66"/>
  <c r="E1007" i="66"/>
  <c r="I1006" i="66"/>
  <c r="H1006" i="66"/>
  <c r="G1006" i="66"/>
  <c r="E1006" i="66"/>
  <c r="I1005" i="66"/>
  <c r="H1005" i="66"/>
  <c r="G1005" i="66"/>
  <c r="E1005" i="66"/>
  <c r="I1004" i="66"/>
  <c r="H1004" i="66"/>
  <c r="G1004" i="66"/>
  <c r="E1004" i="66"/>
  <c r="I1003" i="66"/>
  <c r="H1003" i="66"/>
  <c r="G1003" i="66"/>
  <c r="E1003" i="66"/>
  <c r="I1002" i="66"/>
  <c r="H1002" i="66"/>
  <c r="G1002" i="66"/>
  <c r="D1002" i="66" s="1"/>
  <c r="E1002" i="66"/>
  <c r="I1001" i="66"/>
  <c r="H1001" i="66"/>
  <c r="G1001" i="66"/>
  <c r="E1001" i="66"/>
  <c r="I1000" i="66"/>
  <c r="H1000" i="66"/>
  <c r="G1000" i="66"/>
  <c r="E1000" i="66"/>
  <c r="I999" i="66"/>
  <c r="H999" i="66"/>
  <c r="G999" i="66"/>
  <c r="D999" i="66" s="1"/>
  <c r="E999" i="66"/>
  <c r="I998" i="66"/>
  <c r="H998" i="66"/>
  <c r="G998" i="66"/>
  <c r="E998" i="66"/>
  <c r="I997" i="66"/>
  <c r="H997" i="66"/>
  <c r="G997" i="66"/>
  <c r="E997" i="66"/>
  <c r="I996" i="66"/>
  <c r="H996" i="66"/>
  <c r="G996" i="66"/>
  <c r="E996" i="66"/>
  <c r="I995" i="66"/>
  <c r="H995" i="66"/>
  <c r="G995" i="66"/>
  <c r="E995" i="66"/>
  <c r="I994" i="66"/>
  <c r="H994" i="66"/>
  <c r="G994" i="66"/>
  <c r="E994" i="66"/>
  <c r="I993" i="66"/>
  <c r="H993" i="66"/>
  <c r="G993" i="66"/>
  <c r="E993" i="66"/>
  <c r="I992" i="66"/>
  <c r="H992" i="66"/>
  <c r="G992" i="66"/>
  <c r="E992" i="66"/>
  <c r="I991" i="66"/>
  <c r="H991" i="66"/>
  <c r="G991" i="66"/>
  <c r="E991" i="66"/>
  <c r="I990" i="66"/>
  <c r="H990" i="66"/>
  <c r="G990" i="66"/>
  <c r="E990" i="66"/>
  <c r="I989" i="66"/>
  <c r="H989" i="66"/>
  <c r="G989" i="66"/>
  <c r="E989" i="66"/>
  <c r="I988" i="66"/>
  <c r="H988" i="66"/>
  <c r="G988" i="66"/>
  <c r="E988" i="66"/>
  <c r="I987" i="66"/>
  <c r="H987" i="66"/>
  <c r="G987" i="66"/>
  <c r="D987" i="66" s="1"/>
  <c r="E987" i="66"/>
  <c r="I986" i="66"/>
  <c r="H986" i="66"/>
  <c r="G986" i="66"/>
  <c r="E986" i="66"/>
  <c r="I985" i="66"/>
  <c r="H985" i="66"/>
  <c r="G985" i="66"/>
  <c r="E985" i="66"/>
  <c r="I984" i="66"/>
  <c r="H984" i="66"/>
  <c r="G984" i="66"/>
  <c r="E984" i="66"/>
  <c r="I983" i="66"/>
  <c r="H983" i="66"/>
  <c r="G983" i="66"/>
  <c r="E983" i="66"/>
  <c r="I982" i="66"/>
  <c r="H982" i="66"/>
  <c r="G982" i="66"/>
  <c r="D982" i="66" s="1"/>
  <c r="E982" i="66"/>
  <c r="I981" i="66"/>
  <c r="H981" i="66"/>
  <c r="G981" i="66"/>
  <c r="D981" i="66" s="1"/>
  <c r="E981" i="66"/>
  <c r="I980" i="66"/>
  <c r="H980" i="66"/>
  <c r="G980" i="66"/>
  <c r="E980" i="66"/>
  <c r="I979" i="66"/>
  <c r="H979" i="66"/>
  <c r="G979" i="66"/>
  <c r="E979" i="66"/>
  <c r="I978" i="66"/>
  <c r="H978" i="66"/>
  <c r="G978" i="66"/>
  <c r="D978" i="66" s="1"/>
  <c r="E978" i="66"/>
  <c r="I977" i="66"/>
  <c r="H977" i="66"/>
  <c r="G977" i="66"/>
  <c r="E977" i="66"/>
  <c r="I976" i="66"/>
  <c r="H976" i="66"/>
  <c r="G976" i="66"/>
  <c r="E976" i="66"/>
  <c r="I975" i="66"/>
  <c r="H975" i="66"/>
  <c r="G975" i="66"/>
  <c r="E975" i="66"/>
  <c r="I974" i="66"/>
  <c r="H974" i="66"/>
  <c r="G974" i="66"/>
  <c r="E974" i="66"/>
  <c r="I973" i="66"/>
  <c r="H973" i="66"/>
  <c r="G973" i="66"/>
  <c r="E973" i="66"/>
  <c r="I972" i="66"/>
  <c r="H972" i="66"/>
  <c r="G972" i="66"/>
  <c r="E972" i="66"/>
  <c r="I971" i="66"/>
  <c r="H971" i="66"/>
  <c r="G971" i="66"/>
  <c r="E971" i="66"/>
  <c r="I970" i="66"/>
  <c r="H970" i="66"/>
  <c r="G970" i="66"/>
  <c r="E970" i="66"/>
  <c r="I969" i="66"/>
  <c r="H969" i="66"/>
  <c r="G969" i="66"/>
  <c r="E969" i="66"/>
  <c r="I968" i="66"/>
  <c r="H968" i="66"/>
  <c r="G968" i="66"/>
  <c r="E968" i="66"/>
  <c r="I967" i="66"/>
  <c r="H967" i="66"/>
  <c r="G967" i="66"/>
  <c r="E967" i="66"/>
  <c r="I966" i="66"/>
  <c r="H966" i="66"/>
  <c r="G966" i="66"/>
  <c r="D966" i="66" s="1"/>
  <c r="E966" i="66"/>
  <c r="I965" i="66"/>
  <c r="H965" i="66"/>
  <c r="G965" i="66"/>
  <c r="E965" i="66"/>
  <c r="I964" i="66"/>
  <c r="H964" i="66"/>
  <c r="G964" i="66"/>
  <c r="E964" i="66"/>
  <c r="I963" i="66"/>
  <c r="H963" i="66"/>
  <c r="G963" i="66"/>
  <c r="D963" i="66" s="1"/>
  <c r="E963" i="66"/>
  <c r="I962" i="66"/>
  <c r="H962" i="66"/>
  <c r="G962" i="66"/>
  <c r="E962" i="66"/>
  <c r="I961" i="66"/>
  <c r="H961" i="66"/>
  <c r="G961" i="66"/>
  <c r="E961" i="66"/>
  <c r="I960" i="66"/>
  <c r="H960" i="66"/>
  <c r="G960" i="66"/>
  <c r="E960" i="66"/>
  <c r="I959" i="66"/>
  <c r="H959" i="66"/>
  <c r="G959" i="66"/>
  <c r="E959" i="66"/>
  <c r="I958" i="66"/>
  <c r="H958" i="66"/>
  <c r="G958" i="66"/>
  <c r="E958" i="66"/>
  <c r="I957" i="66"/>
  <c r="H957" i="66"/>
  <c r="G957" i="66"/>
  <c r="D957" i="66" s="1"/>
  <c r="E957" i="66"/>
  <c r="I956" i="66"/>
  <c r="H956" i="66"/>
  <c r="G956" i="66"/>
  <c r="E956" i="66"/>
  <c r="I955" i="66"/>
  <c r="H955" i="66"/>
  <c r="G955" i="66"/>
  <c r="E955" i="66"/>
  <c r="I954" i="66"/>
  <c r="H954" i="66"/>
  <c r="G954" i="66"/>
  <c r="E954" i="66"/>
  <c r="I953" i="66"/>
  <c r="H953" i="66"/>
  <c r="G953" i="66"/>
  <c r="E953" i="66"/>
  <c r="I952" i="66"/>
  <c r="H952" i="66"/>
  <c r="G952" i="66"/>
  <c r="D952" i="66" s="1"/>
  <c r="E952" i="66"/>
  <c r="I951" i="66"/>
  <c r="H951" i="66"/>
  <c r="G951" i="66"/>
  <c r="E951" i="66"/>
  <c r="I950" i="66"/>
  <c r="H950" i="66"/>
  <c r="G950" i="66"/>
  <c r="E950" i="66"/>
  <c r="I949" i="66"/>
  <c r="H949" i="66"/>
  <c r="G949" i="66"/>
  <c r="D949" i="66" s="1"/>
  <c r="E949" i="66"/>
  <c r="I948" i="66"/>
  <c r="H948" i="66"/>
  <c r="G948" i="66"/>
  <c r="D948" i="66" s="1"/>
  <c r="E948" i="66"/>
  <c r="I947" i="66"/>
  <c r="H947" i="66"/>
  <c r="G947" i="66"/>
  <c r="E947" i="66"/>
  <c r="I946" i="66"/>
  <c r="H946" i="66"/>
  <c r="G946" i="66"/>
  <c r="E946" i="66"/>
  <c r="I945" i="66"/>
  <c r="H945" i="66"/>
  <c r="G945" i="66"/>
  <c r="E945" i="66"/>
  <c r="I944" i="66"/>
  <c r="H944" i="66"/>
  <c r="G944" i="66"/>
  <c r="E944" i="66"/>
  <c r="I943" i="66"/>
  <c r="H943" i="66"/>
  <c r="G943" i="66"/>
  <c r="E943" i="66"/>
  <c r="I942" i="66"/>
  <c r="H942" i="66"/>
  <c r="G942" i="66"/>
  <c r="E942" i="66"/>
  <c r="I941" i="66"/>
  <c r="H941" i="66"/>
  <c r="G941" i="66"/>
  <c r="E941" i="66"/>
  <c r="I940" i="66"/>
  <c r="H940" i="66"/>
  <c r="G940" i="66"/>
  <c r="E940" i="66"/>
  <c r="I939" i="66"/>
  <c r="H939" i="66"/>
  <c r="G939" i="66"/>
  <c r="E939" i="66"/>
  <c r="I938" i="66"/>
  <c r="H938" i="66"/>
  <c r="G938" i="66"/>
  <c r="E938" i="66"/>
  <c r="I937" i="66"/>
  <c r="H937" i="66"/>
  <c r="G937" i="66"/>
  <c r="E937" i="66"/>
  <c r="I936" i="66"/>
  <c r="H936" i="66"/>
  <c r="G936" i="66"/>
  <c r="E936" i="66"/>
  <c r="I935" i="66"/>
  <c r="H935" i="66"/>
  <c r="G935" i="66"/>
  <c r="E935" i="66"/>
  <c r="I934" i="66"/>
  <c r="H934" i="66"/>
  <c r="G934" i="66"/>
  <c r="E934" i="66"/>
  <c r="I933" i="66"/>
  <c r="H933" i="66"/>
  <c r="G933" i="66"/>
  <c r="E933" i="66"/>
  <c r="I932" i="66"/>
  <c r="H932" i="66"/>
  <c r="G932" i="66"/>
  <c r="E932" i="66"/>
  <c r="I931" i="66"/>
  <c r="H931" i="66"/>
  <c r="G931" i="66"/>
  <c r="E931" i="66"/>
  <c r="I930" i="66"/>
  <c r="H930" i="66"/>
  <c r="G930" i="66"/>
  <c r="E930" i="66"/>
  <c r="I929" i="66"/>
  <c r="H929" i="66"/>
  <c r="G929" i="66"/>
  <c r="E929" i="66"/>
  <c r="I928" i="66"/>
  <c r="H928" i="66"/>
  <c r="G928" i="66"/>
  <c r="E928" i="66"/>
  <c r="I927" i="66"/>
  <c r="H927" i="66"/>
  <c r="G927" i="66"/>
  <c r="E927" i="66"/>
  <c r="I926" i="66"/>
  <c r="H926" i="66"/>
  <c r="G926" i="66"/>
  <c r="E926" i="66"/>
  <c r="I925" i="66"/>
  <c r="H925" i="66"/>
  <c r="G925" i="66"/>
  <c r="E925" i="66"/>
  <c r="I924" i="66"/>
  <c r="H924" i="66"/>
  <c r="G924" i="66"/>
  <c r="E924" i="66"/>
  <c r="I923" i="66"/>
  <c r="H923" i="66"/>
  <c r="G923" i="66"/>
  <c r="E923" i="66"/>
  <c r="I922" i="66"/>
  <c r="H922" i="66"/>
  <c r="G922" i="66"/>
  <c r="E922" i="66"/>
  <c r="I921" i="66"/>
  <c r="H921" i="66"/>
  <c r="G921" i="66"/>
  <c r="D921" i="66" s="1"/>
  <c r="E921" i="66"/>
  <c r="I920" i="66"/>
  <c r="H920" i="66"/>
  <c r="G920" i="66"/>
  <c r="E920" i="66"/>
  <c r="I919" i="66"/>
  <c r="H919" i="66"/>
  <c r="G919" i="66"/>
  <c r="D919" i="66" s="1"/>
  <c r="E919" i="66"/>
  <c r="I918" i="66"/>
  <c r="H918" i="66"/>
  <c r="G918" i="66"/>
  <c r="E918" i="66"/>
  <c r="I917" i="66"/>
  <c r="H917" i="66"/>
  <c r="G917" i="66"/>
  <c r="E917" i="66"/>
  <c r="I916" i="66"/>
  <c r="H916" i="66"/>
  <c r="G916" i="66"/>
  <c r="E916" i="66"/>
  <c r="I915" i="66"/>
  <c r="H915" i="66"/>
  <c r="G915" i="66"/>
  <c r="E915" i="66"/>
  <c r="I914" i="66"/>
  <c r="H914" i="66"/>
  <c r="G914" i="66"/>
  <c r="E914" i="66"/>
  <c r="I913" i="66"/>
  <c r="H913" i="66"/>
  <c r="G913" i="66"/>
  <c r="E913" i="66"/>
  <c r="I912" i="66"/>
  <c r="H912" i="66"/>
  <c r="G912" i="66"/>
  <c r="D912" i="66" s="1"/>
  <c r="E912" i="66"/>
  <c r="I911" i="66"/>
  <c r="H911" i="66"/>
  <c r="G911" i="66"/>
  <c r="E911" i="66"/>
  <c r="I910" i="66"/>
  <c r="H910" i="66"/>
  <c r="G910" i="66"/>
  <c r="E910" i="66"/>
  <c r="I909" i="66"/>
  <c r="H909" i="66"/>
  <c r="G909" i="66"/>
  <c r="E909" i="66"/>
  <c r="I908" i="66"/>
  <c r="H908" i="66"/>
  <c r="G908" i="66"/>
  <c r="E908" i="66"/>
  <c r="I907" i="66"/>
  <c r="H907" i="66"/>
  <c r="G907" i="66"/>
  <c r="E907" i="66"/>
  <c r="I906" i="66"/>
  <c r="H906" i="66"/>
  <c r="G906" i="66"/>
  <c r="E906" i="66"/>
  <c r="I905" i="66"/>
  <c r="H905" i="66"/>
  <c r="G905" i="66"/>
  <c r="E905" i="66"/>
  <c r="I904" i="66"/>
  <c r="H904" i="66"/>
  <c r="G904" i="66"/>
  <c r="E904" i="66"/>
  <c r="I903" i="66"/>
  <c r="H903" i="66"/>
  <c r="G903" i="66"/>
  <c r="E903" i="66"/>
  <c r="I902" i="66"/>
  <c r="H902" i="66"/>
  <c r="G902" i="66"/>
  <c r="E902" i="66"/>
  <c r="I901" i="66"/>
  <c r="H901" i="66"/>
  <c r="G901" i="66"/>
  <c r="E901" i="66"/>
  <c r="I900" i="66"/>
  <c r="H900" i="66"/>
  <c r="G900" i="66"/>
  <c r="E900" i="66"/>
  <c r="I899" i="66"/>
  <c r="H899" i="66"/>
  <c r="G899" i="66"/>
  <c r="E899" i="66"/>
  <c r="I898" i="66"/>
  <c r="H898" i="66"/>
  <c r="G898" i="66"/>
  <c r="D898" i="66" s="1"/>
  <c r="E898" i="66"/>
  <c r="I897" i="66"/>
  <c r="H897" i="66"/>
  <c r="G897" i="66"/>
  <c r="E897" i="66"/>
  <c r="I896" i="66"/>
  <c r="H896" i="66"/>
  <c r="G896" i="66"/>
  <c r="E896" i="66"/>
  <c r="I895" i="66"/>
  <c r="H895" i="66"/>
  <c r="G895" i="66"/>
  <c r="E895" i="66"/>
  <c r="I894" i="66"/>
  <c r="H894" i="66"/>
  <c r="G894" i="66"/>
  <c r="D894" i="66" s="1"/>
  <c r="E894" i="66"/>
  <c r="I893" i="66"/>
  <c r="H893" i="66"/>
  <c r="G893" i="66"/>
  <c r="E893" i="66"/>
  <c r="I892" i="66"/>
  <c r="H892" i="66"/>
  <c r="G892" i="66"/>
  <c r="E892" i="66"/>
  <c r="I891" i="66"/>
  <c r="H891" i="66"/>
  <c r="G891" i="66"/>
  <c r="D891" i="66" s="1"/>
  <c r="E891" i="66"/>
  <c r="I890" i="66"/>
  <c r="H890" i="66"/>
  <c r="G890" i="66"/>
  <c r="E890" i="66"/>
  <c r="I889" i="66"/>
  <c r="H889" i="66"/>
  <c r="G889" i="66"/>
  <c r="E889" i="66"/>
  <c r="I888" i="66"/>
  <c r="H888" i="66"/>
  <c r="G888" i="66"/>
  <c r="E888" i="66"/>
  <c r="I887" i="66"/>
  <c r="H887" i="66"/>
  <c r="G887" i="66"/>
  <c r="E887" i="66"/>
  <c r="I886" i="66"/>
  <c r="H886" i="66"/>
  <c r="G886" i="66"/>
  <c r="E886" i="66"/>
  <c r="I885" i="66"/>
  <c r="H885" i="66"/>
  <c r="G885" i="66"/>
  <c r="E885" i="66"/>
  <c r="I884" i="66"/>
  <c r="H884" i="66"/>
  <c r="G884" i="66"/>
  <c r="E884" i="66"/>
  <c r="I883" i="66"/>
  <c r="H883" i="66"/>
  <c r="G883" i="66"/>
  <c r="D883" i="66" s="1"/>
  <c r="E883" i="66"/>
  <c r="I882" i="66"/>
  <c r="H882" i="66"/>
  <c r="G882" i="66"/>
  <c r="E882" i="66"/>
  <c r="I881" i="66"/>
  <c r="H881" i="66"/>
  <c r="G881" i="66"/>
  <c r="E881" i="66"/>
  <c r="I880" i="66"/>
  <c r="H880" i="66"/>
  <c r="G880" i="66"/>
  <c r="E880" i="66"/>
  <c r="I879" i="66"/>
  <c r="H879" i="66"/>
  <c r="G879" i="66"/>
  <c r="E879" i="66"/>
  <c r="I878" i="66"/>
  <c r="H878" i="66"/>
  <c r="G878" i="66"/>
  <c r="E878" i="66"/>
  <c r="I877" i="66"/>
  <c r="H877" i="66"/>
  <c r="G877" i="66"/>
  <c r="E877" i="66"/>
  <c r="I876" i="66"/>
  <c r="H876" i="66"/>
  <c r="G876" i="66"/>
  <c r="E876" i="66"/>
  <c r="I875" i="66"/>
  <c r="H875" i="66"/>
  <c r="G875" i="66"/>
  <c r="E875" i="66"/>
  <c r="I874" i="66"/>
  <c r="H874" i="66"/>
  <c r="G874" i="66"/>
  <c r="E874" i="66"/>
  <c r="I873" i="66"/>
  <c r="H873" i="66"/>
  <c r="G873" i="66"/>
  <c r="E873" i="66"/>
  <c r="I872" i="66"/>
  <c r="H872" i="66"/>
  <c r="G872" i="66"/>
  <c r="E872" i="66"/>
  <c r="I871" i="66"/>
  <c r="H871" i="66"/>
  <c r="G871" i="66"/>
  <c r="E871" i="66"/>
  <c r="I870" i="66"/>
  <c r="H870" i="66"/>
  <c r="G870" i="66"/>
  <c r="D870" i="66" s="1"/>
  <c r="E870" i="66"/>
  <c r="I869" i="66"/>
  <c r="H869" i="66"/>
  <c r="G869" i="66"/>
  <c r="E869" i="66"/>
  <c r="I868" i="66"/>
  <c r="H868" i="66"/>
  <c r="G868" i="66"/>
  <c r="E868" i="66"/>
  <c r="I867" i="66"/>
  <c r="H867" i="66"/>
  <c r="G867" i="66"/>
  <c r="D867" i="66" s="1"/>
  <c r="E867" i="66"/>
  <c r="I866" i="66"/>
  <c r="H866" i="66"/>
  <c r="G866" i="66"/>
  <c r="E866" i="66"/>
  <c r="I865" i="66"/>
  <c r="H865" i="66"/>
  <c r="G865" i="66"/>
  <c r="D865" i="66" s="1"/>
  <c r="E865" i="66"/>
  <c r="I864" i="66"/>
  <c r="H864" i="66"/>
  <c r="G864" i="66"/>
  <c r="E864" i="66"/>
  <c r="I863" i="66"/>
  <c r="H863" i="66"/>
  <c r="G863" i="66"/>
  <c r="E863" i="66"/>
  <c r="I862" i="66"/>
  <c r="H862" i="66"/>
  <c r="G862" i="66"/>
  <c r="E862" i="66"/>
  <c r="I861" i="66"/>
  <c r="H861" i="66"/>
  <c r="G861" i="66"/>
  <c r="E861" i="66"/>
  <c r="I860" i="66"/>
  <c r="H860" i="66"/>
  <c r="G860" i="66"/>
  <c r="E860" i="66"/>
  <c r="I859" i="66"/>
  <c r="H859" i="66"/>
  <c r="G859" i="66"/>
  <c r="D859" i="66" s="1"/>
  <c r="E859" i="66"/>
  <c r="I858" i="66"/>
  <c r="H858" i="66"/>
  <c r="G858" i="66"/>
  <c r="E858" i="66"/>
  <c r="I857" i="66"/>
  <c r="H857" i="66"/>
  <c r="G857" i="66"/>
  <c r="E857" i="66"/>
  <c r="I856" i="66"/>
  <c r="H856" i="66"/>
  <c r="G856" i="66"/>
  <c r="E856" i="66"/>
  <c r="I855" i="66"/>
  <c r="H855" i="66"/>
  <c r="G855" i="66"/>
  <c r="D855" i="66" s="1"/>
  <c r="E855" i="66"/>
  <c r="I854" i="66"/>
  <c r="H854" i="66"/>
  <c r="G854" i="66"/>
  <c r="E854" i="66"/>
  <c r="I853" i="66"/>
  <c r="H853" i="66"/>
  <c r="G853" i="66"/>
  <c r="E853" i="66"/>
  <c r="I852" i="66"/>
  <c r="H852" i="66"/>
  <c r="G852" i="66"/>
  <c r="D852" i="66" s="1"/>
  <c r="E852" i="66"/>
  <c r="I851" i="66"/>
  <c r="H851" i="66"/>
  <c r="G851" i="66"/>
  <c r="E851" i="66"/>
  <c r="I850" i="66"/>
  <c r="H850" i="66"/>
  <c r="G850" i="66"/>
  <c r="E850" i="66"/>
  <c r="I849" i="66"/>
  <c r="H849" i="66"/>
  <c r="G849" i="66"/>
  <c r="E849" i="66"/>
  <c r="I848" i="66"/>
  <c r="H848" i="66"/>
  <c r="G848" i="66"/>
  <c r="E848" i="66"/>
  <c r="I847" i="66"/>
  <c r="H847" i="66"/>
  <c r="G847" i="66"/>
  <c r="E847" i="66"/>
  <c r="I846" i="66"/>
  <c r="H846" i="66"/>
  <c r="G846" i="66"/>
  <c r="E846" i="66"/>
  <c r="I845" i="66"/>
  <c r="H845" i="66"/>
  <c r="G845" i="66"/>
  <c r="E845" i="66"/>
  <c r="I844" i="66"/>
  <c r="H844" i="66"/>
  <c r="G844" i="66"/>
  <c r="E844" i="66"/>
  <c r="I843" i="66"/>
  <c r="H843" i="66"/>
  <c r="G843" i="66"/>
  <c r="E843" i="66"/>
  <c r="I842" i="66"/>
  <c r="H842" i="66"/>
  <c r="G842" i="66"/>
  <c r="E842" i="66"/>
  <c r="I841" i="66"/>
  <c r="H841" i="66"/>
  <c r="G841" i="66"/>
  <c r="E841" i="66"/>
  <c r="I840" i="66"/>
  <c r="H840" i="66"/>
  <c r="G840" i="66"/>
  <c r="E840" i="66"/>
  <c r="I839" i="66"/>
  <c r="H839" i="66"/>
  <c r="G839" i="66"/>
  <c r="E839" i="66"/>
  <c r="I838" i="66"/>
  <c r="H838" i="66"/>
  <c r="G838" i="66"/>
  <c r="E838" i="66"/>
  <c r="I837" i="66"/>
  <c r="H837" i="66"/>
  <c r="G837" i="66"/>
  <c r="E837" i="66"/>
  <c r="I836" i="66"/>
  <c r="H836" i="66"/>
  <c r="G836" i="66"/>
  <c r="E836" i="66"/>
  <c r="I835" i="66"/>
  <c r="H835" i="66"/>
  <c r="G835" i="66"/>
  <c r="E835" i="66"/>
  <c r="I834" i="66"/>
  <c r="H834" i="66"/>
  <c r="G834" i="66"/>
  <c r="E834" i="66"/>
  <c r="I833" i="66"/>
  <c r="H833" i="66"/>
  <c r="G833" i="66"/>
  <c r="E833" i="66"/>
  <c r="I832" i="66"/>
  <c r="H832" i="66"/>
  <c r="G832" i="66"/>
  <c r="D832" i="66" s="1"/>
  <c r="E832" i="66"/>
  <c r="I831" i="66"/>
  <c r="H831" i="66"/>
  <c r="G831" i="66"/>
  <c r="E831" i="66"/>
  <c r="I830" i="66"/>
  <c r="H830" i="66"/>
  <c r="G830" i="66"/>
  <c r="E830" i="66"/>
  <c r="I829" i="66"/>
  <c r="H829" i="66"/>
  <c r="G829" i="66"/>
  <c r="E829" i="66"/>
  <c r="I828" i="66"/>
  <c r="H828" i="66"/>
  <c r="G828" i="66"/>
  <c r="E828" i="66"/>
  <c r="I827" i="66"/>
  <c r="H827" i="66"/>
  <c r="G827" i="66"/>
  <c r="E827" i="66"/>
  <c r="I826" i="66"/>
  <c r="H826" i="66"/>
  <c r="G826" i="66"/>
  <c r="E826" i="66"/>
  <c r="I825" i="66"/>
  <c r="H825" i="66"/>
  <c r="G825" i="66"/>
  <c r="E825" i="66"/>
  <c r="I824" i="66"/>
  <c r="H824" i="66"/>
  <c r="G824" i="66"/>
  <c r="E824" i="66"/>
  <c r="I823" i="66"/>
  <c r="H823" i="66"/>
  <c r="G823" i="66"/>
  <c r="D823" i="66" s="1"/>
  <c r="E823" i="66"/>
  <c r="I822" i="66"/>
  <c r="H822" i="66"/>
  <c r="G822" i="66"/>
  <c r="E822" i="66"/>
  <c r="I821" i="66"/>
  <c r="H821" i="66"/>
  <c r="G821" i="66"/>
  <c r="E821" i="66"/>
  <c r="I820" i="66"/>
  <c r="H820" i="66"/>
  <c r="G820" i="66"/>
  <c r="E820" i="66"/>
  <c r="I819" i="66"/>
  <c r="H819" i="66"/>
  <c r="G819" i="66"/>
  <c r="D819" i="66" s="1"/>
  <c r="E819" i="66"/>
  <c r="I818" i="66"/>
  <c r="H818" i="66"/>
  <c r="G818" i="66"/>
  <c r="E818" i="66"/>
  <c r="I817" i="66"/>
  <c r="H817" i="66"/>
  <c r="G817" i="66"/>
  <c r="E817" i="66"/>
  <c r="I816" i="66"/>
  <c r="H816" i="66"/>
  <c r="G816" i="66"/>
  <c r="D816" i="66" s="1"/>
  <c r="E816" i="66"/>
  <c r="I815" i="66"/>
  <c r="H815" i="66"/>
  <c r="G815" i="66"/>
  <c r="E815" i="66"/>
  <c r="I814" i="66"/>
  <c r="H814" i="66"/>
  <c r="G814" i="66"/>
  <c r="E814" i="66"/>
  <c r="I813" i="66"/>
  <c r="H813" i="66"/>
  <c r="G813" i="66"/>
  <c r="E813" i="66"/>
  <c r="I812" i="66"/>
  <c r="H812" i="66"/>
  <c r="G812" i="66"/>
  <c r="E812" i="66"/>
  <c r="I811" i="66"/>
  <c r="H811" i="66"/>
  <c r="G811" i="66"/>
  <c r="E811" i="66"/>
  <c r="I810" i="66"/>
  <c r="H810" i="66"/>
  <c r="G810" i="66"/>
  <c r="E810" i="66"/>
  <c r="I809" i="66"/>
  <c r="H809" i="66"/>
  <c r="G809" i="66"/>
  <c r="E809" i="66"/>
  <c r="I808" i="66"/>
  <c r="H808" i="66"/>
  <c r="G808" i="66"/>
  <c r="E808" i="66"/>
  <c r="I807" i="66"/>
  <c r="H807" i="66"/>
  <c r="G807" i="66"/>
  <c r="E807" i="66"/>
  <c r="I806" i="66"/>
  <c r="H806" i="66"/>
  <c r="G806" i="66"/>
  <c r="E806" i="66"/>
  <c r="I805" i="66"/>
  <c r="H805" i="66"/>
  <c r="G805" i="66"/>
  <c r="E805" i="66"/>
  <c r="I804" i="66"/>
  <c r="H804" i="66"/>
  <c r="G804" i="66"/>
  <c r="E804" i="66"/>
  <c r="I803" i="66"/>
  <c r="H803" i="66"/>
  <c r="G803" i="66"/>
  <c r="E803" i="66"/>
  <c r="I802" i="66"/>
  <c r="H802" i="66"/>
  <c r="G802" i="66"/>
  <c r="E802" i="66"/>
  <c r="I801" i="66"/>
  <c r="H801" i="66"/>
  <c r="G801" i="66"/>
  <c r="E801" i="66"/>
  <c r="I800" i="66"/>
  <c r="H800" i="66"/>
  <c r="G800" i="66"/>
  <c r="E800" i="66"/>
  <c r="I799" i="66"/>
  <c r="H799" i="66"/>
  <c r="G799" i="66"/>
  <c r="E799" i="66"/>
  <c r="I798" i="66"/>
  <c r="H798" i="66"/>
  <c r="G798" i="66"/>
  <c r="D798" i="66" s="1"/>
  <c r="E798" i="66"/>
  <c r="I797" i="66"/>
  <c r="H797" i="66"/>
  <c r="G797" i="66"/>
  <c r="E797" i="66"/>
  <c r="I796" i="66"/>
  <c r="H796" i="66"/>
  <c r="G796" i="66"/>
  <c r="E796" i="66"/>
  <c r="I795" i="66"/>
  <c r="H795" i="66"/>
  <c r="G795" i="66"/>
  <c r="D795" i="66" s="1"/>
  <c r="E795" i="66"/>
  <c r="I794" i="66"/>
  <c r="H794" i="66"/>
  <c r="G794" i="66"/>
  <c r="E794" i="66"/>
  <c r="I793" i="66"/>
  <c r="H793" i="66"/>
  <c r="G793" i="66"/>
  <c r="E793" i="66"/>
  <c r="I792" i="66"/>
  <c r="H792" i="66"/>
  <c r="G792" i="66"/>
  <c r="E792" i="66"/>
  <c r="I791" i="66"/>
  <c r="H791" i="66"/>
  <c r="G791" i="66"/>
  <c r="E791" i="66"/>
  <c r="I790" i="66"/>
  <c r="H790" i="66"/>
  <c r="G790" i="66"/>
  <c r="E790" i="66"/>
  <c r="I789" i="66"/>
  <c r="H789" i="66"/>
  <c r="G789" i="66"/>
  <c r="E789" i="66"/>
  <c r="I788" i="66"/>
  <c r="H788" i="66"/>
  <c r="G788" i="66"/>
  <c r="E788" i="66"/>
  <c r="I787" i="66"/>
  <c r="H787" i="66"/>
  <c r="G787" i="66"/>
  <c r="E787" i="66"/>
  <c r="I786" i="66"/>
  <c r="H786" i="66"/>
  <c r="G786" i="66"/>
  <c r="D786" i="66" s="1"/>
  <c r="E786" i="66"/>
  <c r="I785" i="66"/>
  <c r="H785" i="66"/>
  <c r="G785" i="66"/>
  <c r="E785" i="66"/>
  <c r="I784" i="66"/>
  <c r="H784" i="66"/>
  <c r="G784" i="66"/>
  <c r="E784" i="66"/>
  <c r="I783" i="66"/>
  <c r="H783" i="66"/>
  <c r="G783" i="66"/>
  <c r="E783" i="66"/>
  <c r="I782" i="66"/>
  <c r="H782" i="66"/>
  <c r="G782" i="66"/>
  <c r="E782" i="66"/>
  <c r="I781" i="66"/>
  <c r="H781" i="66"/>
  <c r="G781" i="66"/>
  <c r="E781" i="66"/>
  <c r="I780" i="66"/>
  <c r="H780" i="66"/>
  <c r="G780" i="66"/>
  <c r="D780" i="66" s="1"/>
  <c r="E780" i="66"/>
  <c r="I779" i="66"/>
  <c r="H779" i="66"/>
  <c r="G779" i="66"/>
  <c r="E779" i="66"/>
  <c r="I778" i="66"/>
  <c r="H778" i="66"/>
  <c r="G778" i="66"/>
  <c r="E778" i="66"/>
  <c r="I777" i="66"/>
  <c r="H777" i="66"/>
  <c r="G777" i="66"/>
  <c r="E777" i="66"/>
  <c r="I776" i="66"/>
  <c r="H776" i="66"/>
  <c r="G776" i="66"/>
  <c r="E776" i="66"/>
  <c r="I775" i="66"/>
  <c r="H775" i="66"/>
  <c r="G775" i="66"/>
  <c r="E775" i="66"/>
  <c r="I774" i="66"/>
  <c r="H774" i="66"/>
  <c r="G774" i="66"/>
  <c r="E774" i="66"/>
  <c r="I773" i="66"/>
  <c r="H773" i="66"/>
  <c r="G773" i="66"/>
  <c r="E773" i="66"/>
  <c r="I772" i="66"/>
  <c r="H772" i="66"/>
  <c r="G772" i="66"/>
  <c r="E772" i="66"/>
  <c r="I771" i="66"/>
  <c r="H771" i="66"/>
  <c r="G771" i="66"/>
  <c r="E771" i="66"/>
  <c r="I770" i="66"/>
  <c r="H770" i="66"/>
  <c r="G770" i="66"/>
  <c r="E770" i="66"/>
  <c r="I769" i="66"/>
  <c r="H769" i="66"/>
  <c r="G769" i="66"/>
  <c r="D769" i="66" s="1"/>
  <c r="E769" i="66"/>
  <c r="I768" i="66"/>
  <c r="H768" i="66"/>
  <c r="G768" i="66"/>
  <c r="E768" i="66"/>
  <c r="I767" i="66"/>
  <c r="H767" i="66"/>
  <c r="G767" i="66"/>
  <c r="E767" i="66"/>
  <c r="I766" i="66"/>
  <c r="H766" i="66"/>
  <c r="G766" i="66"/>
  <c r="E766" i="66"/>
  <c r="I765" i="66"/>
  <c r="H765" i="66"/>
  <c r="G765" i="66"/>
  <c r="E765" i="66"/>
  <c r="I764" i="66"/>
  <c r="H764" i="66"/>
  <c r="G764" i="66"/>
  <c r="E764" i="66"/>
  <c r="I763" i="66"/>
  <c r="H763" i="66"/>
  <c r="G763" i="66"/>
  <c r="E763" i="66"/>
  <c r="I762" i="66"/>
  <c r="H762" i="66"/>
  <c r="G762" i="66"/>
  <c r="E762" i="66"/>
  <c r="I761" i="66"/>
  <c r="H761" i="66"/>
  <c r="G761" i="66"/>
  <c r="E761" i="66"/>
  <c r="I760" i="66"/>
  <c r="H760" i="66"/>
  <c r="G760" i="66"/>
  <c r="E760" i="66"/>
  <c r="I759" i="66"/>
  <c r="H759" i="66"/>
  <c r="G759" i="66"/>
  <c r="E759" i="66"/>
  <c r="I758" i="66"/>
  <c r="H758" i="66"/>
  <c r="G758" i="66"/>
  <c r="E758" i="66"/>
  <c r="I757" i="66"/>
  <c r="H757" i="66"/>
  <c r="G757" i="66"/>
  <c r="E757" i="66"/>
  <c r="I756" i="66"/>
  <c r="H756" i="66"/>
  <c r="G756" i="66"/>
  <c r="E756" i="66"/>
  <c r="I755" i="66"/>
  <c r="H755" i="66"/>
  <c r="G755" i="66"/>
  <c r="E755" i="66"/>
  <c r="I754" i="66"/>
  <c r="H754" i="66"/>
  <c r="G754" i="66"/>
  <c r="E754" i="66"/>
  <c r="I753" i="66"/>
  <c r="H753" i="66"/>
  <c r="G753" i="66"/>
  <c r="E753" i="66"/>
  <c r="I752" i="66"/>
  <c r="H752" i="66"/>
  <c r="G752" i="66"/>
  <c r="E752" i="66"/>
  <c r="I751" i="66"/>
  <c r="H751" i="66"/>
  <c r="G751" i="66"/>
  <c r="E751" i="66"/>
  <c r="I750" i="66"/>
  <c r="H750" i="66"/>
  <c r="G750" i="66"/>
  <c r="E750" i="66"/>
  <c r="I749" i="66"/>
  <c r="H749" i="66"/>
  <c r="G749" i="66"/>
  <c r="E749" i="66"/>
  <c r="I748" i="66"/>
  <c r="H748" i="66"/>
  <c r="G748" i="66"/>
  <c r="E748" i="66"/>
  <c r="I747" i="66"/>
  <c r="H747" i="66"/>
  <c r="G747" i="66"/>
  <c r="D747" i="66" s="1"/>
  <c r="E747" i="66"/>
  <c r="I746" i="66"/>
  <c r="H746" i="66"/>
  <c r="G746" i="66"/>
  <c r="E746" i="66"/>
  <c r="I745" i="66"/>
  <c r="H745" i="66"/>
  <c r="G745" i="66"/>
  <c r="E745" i="66"/>
  <c r="I744" i="66"/>
  <c r="H744" i="66"/>
  <c r="G744" i="66"/>
  <c r="E744" i="66"/>
  <c r="I743" i="66"/>
  <c r="H743" i="66"/>
  <c r="G743" i="66"/>
  <c r="E743" i="66"/>
  <c r="I742" i="66"/>
  <c r="H742" i="66"/>
  <c r="G742" i="66"/>
  <c r="E742" i="66"/>
  <c r="I741" i="66"/>
  <c r="H741" i="66"/>
  <c r="G741" i="66"/>
  <c r="E741" i="66"/>
  <c r="I740" i="66"/>
  <c r="H740" i="66"/>
  <c r="G740" i="66"/>
  <c r="E740" i="66"/>
  <c r="I739" i="66"/>
  <c r="H739" i="66"/>
  <c r="G739" i="66"/>
  <c r="E739" i="66"/>
  <c r="I738" i="66"/>
  <c r="H738" i="66"/>
  <c r="G738" i="66"/>
  <c r="E738" i="66"/>
  <c r="I737" i="66"/>
  <c r="H737" i="66"/>
  <c r="G737" i="66"/>
  <c r="E737" i="66"/>
  <c r="I736" i="66"/>
  <c r="H736" i="66"/>
  <c r="G736" i="66"/>
  <c r="E736" i="66"/>
  <c r="I735" i="66"/>
  <c r="H735" i="66"/>
  <c r="G735" i="66"/>
  <c r="E735" i="66"/>
  <c r="I734" i="66"/>
  <c r="H734" i="66"/>
  <c r="G734" i="66"/>
  <c r="E734" i="66"/>
  <c r="I733" i="66"/>
  <c r="H733" i="66"/>
  <c r="G733" i="66"/>
  <c r="E733" i="66"/>
  <c r="I732" i="66"/>
  <c r="H732" i="66"/>
  <c r="G732" i="66"/>
  <c r="E732" i="66"/>
  <c r="I731" i="66"/>
  <c r="H731" i="66"/>
  <c r="G731" i="66"/>
  <c r="E731" i="66"/>
  <c r="I730" i="66"/>
  <c r="H730" i="66"/>
  <c r="G730" i="66"/>
  <c r="E730" i="66"/>
  <c r="I729" i="66"/>
  <c r="H729" i="66"/>
  <c r="G729" i="66"/>
  <c r="D729" i="66" s="1"/>
  <c r="E729" i="66"/>
  <c r="I728" i="66"/>
  <c r="H728" i="66"/>
  <c r="G728" i="66"/>
  <c r="E728" i="66"/>
  <c r="I727" i="66"/>
  <c r="H727" i="66"/>
  <c r="G727" i="66"/>
  <c r="E727" i="66"/>
  <c r="I726" i="66"/>
  <c r="H726" i="66"/>
  <c r="G726" i="66"/>
  <c r="E726" i="66"/>
  <c r="I725" i="66"/>
  <c r="H725" i="66"/>
  <c r="G725" i="66"/>
  <c r="E725" i="66"/>
  <c r="I724" i="66"/>
  <c r="H724" i="66"/>
  <c r="G724" i="66"/>
  <c r="E724" i="66"/>
  <c r="I723" i="66"/>
  <c r="H723" i="66"/>
  <c r="G723" i="66"/>
  <c r="D723" i="66" s="1"/>
  <c r="E723" i="66"/>
  <c r="I722" i="66"/>
  <c r="H722" i="66"/>
  <c r="G722" i="66"/>
  <c r="E722" i="66"/>
  <c r="I721" i="66"/>
  <c r="H721" i="66"/>
  <c r="G721" i="66"/>
  <c r="E721" i="66"/>
  <c r="I720" i="66"/>
  <c r="H720" i="66"/>
  <c r="G720" i="66"/>
  <c r="E720" i="66"/>
  <c r="I719" i="66"/>
  <c r="H719" i="66"/>
  <c r="G719" i="66"/>
  <c r="E719" i="66"/>
  <c r="I718" i="66"/>
  <c r="H718" i="66"/>
  <c r="G718" i="66"/>
  <c r="E718" i="66"/>
  <c r="I717" i="66"/>
  <c r="H717" i="66"/>
  <c r="G717" i="66"/>
  <c r="E717" i="66"/>
  <c r="I716" i="66"/>
  <c r="H716" i="66"/>
  <c r="G716" i="66"/>
  <c r="E716" i="66"/>
  <c r="I715" i="66"/>
  <c r="H715" i="66"/>
  <c r="G715" i="66"/>
  <c r="E715" i="66"/>
  <c r="I714" i="66"/>
  <c r="H714" i="66"/>
  <c r="G714" i="66"/>
  <c r="D714" i="66" s="1"/>
  <c r="E714" i="66"/>
  <c r="I713" i="66"/>
  <c r="H713" i="66"/>
  <c r="G713" i="66"/>
  <c r="E713" i="66"/>
  <c r="I712" i="66"/>
  <c r="H712" i="66"/>
  <c r="G712" i="66"/>
  <c r="E712" i="66"/>
  <c r="I711" i="66"/>
  <c r="H711" i="66"/>
  <c r="G711" i="66"/>
  <c r="E711" i="66"/>
  <c r="I710" i="66"/>
  <c r="H710" i="66"/>
  <c r="G710" i="66"/>
  <c r="E710" i="66"/>
  <c r="I709" i="66"/>
  <c r="H709" i="66"/>
  <c r="G709" i="66"/>
  <c r="E709" i="66"/>
  <c r="I708" i="66"/>
  <c r="H708" i="66"/>
  <c r="G708" i="66"/>
  <c r="D708" i="66" s="1"/>
  <c r="E708" i="66"/>
  <c r="I707" i="66"/>
  <c r="H707" i="66"/>
  <c r="G707" i="66"/>
  <c r="E707" i="66"/>
  <c r="I706" i="66"/>
  <c r="H706" i="66"/>
  <c r="G706" i="66"/>
  <c r="E706" i="66"/>
  <c r="I705" i="66"/>
  <c r="H705" i="66"/>
  <c r="G705" i="66"/>
  <c r="E705" i="66"/>
  <c r="I704" i="66"/>
  <c r="H704" i="66"/>
  <c r="G704" i="66"/>
  <c r="E704" i="66"/>
  <c r="I703" i="66"/>
  <c r="H703" i="66"/>
  <c r="G703" i="66"/>
  <c r="E703" i="66"/>
  <c r="I702" i="66"/>
  <c r="H702" i="66"/>
  <c r="G702" i="66"/>
  <c r="D702" i="66" s="1"/>
  <c r="E702" i="66"/>
  <c r="I701" i="66"/>
  <c r="H701" i="66"/>
  <c r="G701" i="66"/>
  <c r="E701" i="66"/>
  <c r="I700" i="66"/>
  <c r="H700" i="66"/>
  <c r="G700" i="66"/>
  <c r="E700" i="66"/>
  <c r="I699" i="66"/>
  <c r="H699" i="66"/>
  <c r="G699" i="66"/>
  <c r="D699" i="66" s="1"/>
  <c r="E699" i="66"/>
  <c r="I698" i="66"/>
  <c r="H698" i="66"/>
  <c r="G698" i="66"/>
  <c r="E698" i="66"/>
  <c r="I697" i="66"/>
  <c r="H697" i="66"/>
  <c r="G697" i="66"/>
  <c r="E697" i="66"/>
  <c r="I696" i="66"/>
  <c r="H696" i="66"/>
  <c r="G696" i="66"/>
  <c r="E696" i="66"/>
  <c r="I695" i="66"/>
  <c r="H695" i="66"/>
  <c r="G695" i="66"/>
  <c r="E695" i="66"/>
  <c r="I694" i="66"/>
  <c r="H694" i="66"/>
  <c r="G694" i="66"/>
  <c r="E694" i="66"/>
  <c r="I693" i="66"/>
  <c r="H693" i="66"/>
  <c r="G693" i="66"/>
  <c r="E693" i="66"/>
  <c r="I692" i="66"/>
  <c r="H692" i="66"/>
  <c r="G692" i="66"/>
  <c r="E692" i="66"/>
  <c r="I691" i="66"/>
  <c r="H691" i="66"/>
  <c r="G691" i="66"/>
  <c r="E691" i="66"/>
  <c r="I690" i="66"/>
  <c r="H690" i="66"/>
  <c r="G690" i="66"/>
  <c r="E690" i="66"/>
  <c r="I689" i="66"/>
  <c r="H689" i="66"/>
  <c r="G689" i="66"/>
  <c r="E689" i="66"/>
  <c r="I688" i="66"/>
  <c r="H688" i="66"/>
  <c r="G688" i="66"/>
  <c r="E688" i="66"/>
  <c r="I687" i="66"/>
  <c r="H687" i="66"/>
  <c r="G687" i="66"/>
  <c r="E687" i="66"/>
  <c r="I686" i="66"/>
  <c r="H686" i="66"/>
  <c r="G686" i="66"/>
  <c r="E686" i="66"/>
  <c r="I685" i="66"/>
  <c r="H685" i="66"/>
  <c r="G685" i="66"/>
  <c r="E685" i="66"/>
  <c r="I684" i="66"/>
  <c r="H684" i="66"/>
  <c r="G684" i="66"/>
  <c r="D684" i="66" s="1"/>
  <c r="E684" i="66"/>
  <c r="I683" i="66"/>
  <c r="H683" i="66"/>
  <c r="G683" i="66"/>
  <c r="E683" i="66"/>
  <c r="I682" i="66"/>
  <c r="H682" i="66"/>
  <c r="G682" i="66"/>
  <c r="E682" i="66"/>
  <c r="I681" i="66"/>
  <c r="H681" i="66"/>
  <c r="G681" i="66"/>
  <c r="D681" i="66" s="1"/>
  <c r="E681" i="66"/>
  <c r="I680" i="66"/>
  <c r="H680" i="66"/>
  <c r="G680" i="66"/>
  <c r="E680" i="66"/>
  <c r="I679" i="66"/>
  <c r="H679" i="66"/>
  <c r="G679" i="66"/>
  <c r="E679" i="66"/>
  <c r="I678" i="66"/>
  <c r="H678" i="66"/>
  <c r="G678" i="66"/>
  <c r="E678" i="66"/>
  <c r="I677" i="66"/>
  <c r="H677" i="66"/>
  <c r="G677" i="66"/>
  <c r="E677" i="66"/>
  <c r="I676" i="66"/>
  <c r="H676" i="66"/>
  <c r="G676" i="66"/>
  <c r="E676" i="66"/>
  <c r="I675" i="66"/>
  <c r="H675" i="66"/>
  <c r="G675" i="66"/>
  <c r="E675" i="66"/>
  <c r="I674" i="66"/>
  <c r="H674" i="66"/>
  <c r="G674" i="66"/>
  <c r="E674" i="66"/>
  <c r="I673" i="66"/>
  <c r="H673" i="66"/>
  <c r="G673" i="66"/>
  <c r="E673" i="66"/>
  <c r="I672" i="66"/>
  <c r="H672" i="66"/>
  <c r="G672" i="66"/>
  <c r="E672" i="66"/>
  <c r="I671" i="66"/>
  <c r="H671" i="66"/>
  <c r="G671" i="66"/>
  <c r="E671" i="66"/>
  <c r="I670" i="66"/>
  <c r="H670" i="66"/>
  <c r="G670" i="66"/>
  <c r="E670" i="66"/>
  <c r="I669" i="66"/>
  <c r="H669" i="66"/>
  <c r="G669" i="66"/>
  <c r="E669" i="66"/>
  <c r="I668" i="66"/>
  <c r="H668" i="66"/>
  <c r="G668" i="66"/>
  <c r="E668" i="66"/>
  <c r="I667" i="66"/>
  <c r="H667" i="66"/>
  <c r="G667" i="66"/>
  <c r="E667" i="66"/>
  <c r="I666" i="66"/>
  <c r="H666" i="66"/>
  <c r="G666" i="66"/>
  <c r="E666" i="66"/>
  <c r="I665" i="66"/>
  <c r="H665" i="66"/>
  <c r="G665" i="66"/>
  <c r="E665" i="66"/>
  <c r="I664" i="66"/>
  <c r="H664" i="66"/>
  <c r="G664" i="66"/>
  <c r="E664" i="66"/>
  <c r="I663" i="66"/>
  <c r="H663" i="66"/>
  <c r="G663" i="66"/>
  <c r="D663" i="66" s="1"/>
  <c r="E663" i="66"/>
  <c r="I662" i="66"/>
  <c r="H662" i="66"/>
  <c r="G662" i="66"/>
  <c r="E662" i="66"/>
  <c r="I661" i="66"/>
  <c r="H661" i="66"/>
  <c r="G661" i="66"/>
  <c r="E661" i="66"/>
  <c r="I660" i="66"/>
  <c r="H660" i="66"/>
  <c r="G660" i="66"/>
  <c r="E660" i="66"/>
  <c r="I659" i="66"/>
  <c r="H659" i="66"/>
  <c r="G659" i="66"/>
  <c r="E659" i="66"/>
  <c r="I658" i="66"/>
  <c r="H658" i="66"/>
  <c r="G658" i="66"/>
  <c r="E658" i="66"/>
  <c r="I657" i="66"/>
  <c r="H657" i="66"/>
  <c r="G657" i="66"/>
  <c r="E657" i="66"/>
  <c r="I656" i="66"/>
  <c r="H656" i="66"/>
  <c r="G656" i="66"/>
  <c r="E656" i="66"/>
  <c r="I655" i="66"/>
  <c r="H655" i="66"/>
  <c r="G655" i="66"/>
  <c r="E655" i="66"/>
  <c r="I654" i="66"/>
  <c r="H654" i="66"/>
  <c r="G654" i="66"/>
  <c r="E654" i="66"/>
  <c r="I653" i="66"/>
  <c r="H653" i="66"/>
  <c r="G653" i="66"/>
  <c r="E653" i="66"/>
  <c r="I652" i="66"/>
  <c r="H652" i="66"/>
  <c r="G652" i="66"/>
  <c r="E652" i="66"/>
  <c r="I651" i="66"/>
  <c r="H651" i="66"/>
  <c r="G651" i="66"/>
  <c r="E651" i="66"/>
  <c r="I650" i="66"/>
  <c r="H650" i="66"/>
  <c r="G650" i="66"/>
  <c r="E650" i="66"/>
  <c r="I649" i="66"/>
  <c r="H649" i="66"/>
  <c r="G649" i="66"/>
  <c r="E649" i="66"/>
  <c r="I648" i="66"/>
  <c r="H648" i="66"/>
  <c r="G648" i="66"/>
  <c r="E648" i="66"/>
  <c r="I647" i="66"/>
  <c r="H647" i="66"/>
  <c r="G647" i="66"/>
  <c r="E647" i="66"/>
  <c r="I646" i="66"/>
  <c r="H646" i="66"/>
  <c r="G646" i="66"/>
  <c r="E646" i="66"/>
  <c r="I645" i="66"/>
  <c r="H645" i="66"/>
  <c r="G645" i="66"/>
  <c r="E645" i="66"/>
  <c r="I644" i="66"/>
  <c r="H644" i="66"/>
  <c r="G644" i="66"/>
  <c r="E644" i="66"/>
  <c r="I643" i="66"/>
  <c r="H643" i="66"/>
  <c r="G643" i="66"/>
  <c r="E643" i="66"/>
  <c r="I642" i="66"/>
  <c r="H642" i="66"/>
  <c r="G642" i="66"/>
  <c r="E642" i="66"/>
  <c r="I641" i="66"/>
  <c r="H641" i="66"/>
  <c r="G641" i="66"/>
  <c r="E641" i="66"/>
  <c r="I640" i="66"/>
  <c r="H640" i="66"/>
  <c r="G640" i="66"/>
  <c r="E640" i="66"/>
  <c r="I639" i="66"/>
  <c r="H639" i="66"/>
  <c r="G639" i="66"/>
  <c r="E639" i="66"/>
  <c r="I638" i="66"/>
  <c r="H638" i="66"/>
  <c r="G638" i="66"/>
  <c r="E638" i="66"/>
  <c r="I637" i="66"/>
  <c r="H637" i="66"/>
  <c r="G637" i="66"/>
  <c r="E637" i="66"/>
  <c r="I636" i="66"/>
  <c r="H636" i="66"/>
  <c r="G636" i="66"/>
  <c r="D636" i="66" s="1"/>
  <c r="E636" i="66"/>
  <c r="I635" i="66"/>
  <c r="H635" i="66"/>
  <c r="G635" i="66"/>
  <c r="E635" i="66"/>
  <c r="I634" i="66"/>
  <c r="H634" i="66"/>
  <c r="G634" i="66"/>
  <c r="E634" i="66"/>
  <c r="I633" i="66"/>
  <c r="H633" i="66"/>
  <c r="G633" i="66"/>
  <c r="E633" i="66"/>
  <c r="I632" i="66"/>
  <c r="H632" i="66"/>
  <c r="G632" i="66"/>
  <c r="E632" i="66"/>
  <c r="I631" i="66"/>
  <c r="H631" i="66"/>
  <c r="G631" i="66"/>
  <c r="E631" i="66"/>
  <c r="I630" i="66"/>
  <c r="H630" i="66"/>
  <c r="G630" i="66"/>
  <c r="E630" i="66"/>
  <c r="I629" i="66"/>
  <c r="H629" i="66"/>
  <c r="G629" i="66"/>
  <c r="E629" i="66"/>
  <c r="I628" i="66"/>
  <c r="H628" i="66"/>
  <c r="G628" i="66"/>
  <c r="E628" i="66"/>
  <c r="I627" i="66"/>
  <c r="H627" i="66"/>
  <c r="G627" i="66"/>
  <c r="E627" i="66"/>
  <c r="I626" i="66"/>
  <c r="H626" i="66"/>
  <c r="G626" i="66"/>
  <c r="E626" i="66"/>
  <c r="I625" i="66"/>
  <c r="H625" i="66"/>
  <c r="G625" i="66"/>
  <c r="E625" i="66"/>
  <c r="I624" i="66"/>
  <c r="H624" i="66"/>
  <c r="G624" i="66"/>
  <c r="E624" i="66"/>
  <c r="I623" i="66"/>
  <c r="H623" i="66"/>
  <c r="G623" i="66"/>
  <c r="E623" i="66"/>
  <c r="I622" i="66"/>
  <c r="H622" i="66"/>
  <c r="G622" i="66"/>
  <c r="E622" i="66"/>
  <c r="I621" i="66"/>
  <c r="H621" i="66"/>
  <c r="G621" i="66"/>
  <c r="D621" i="66" s="1"/>
  <c r="E621" i="66"/>
  <c r="I620" i="66"/>
  <c r="H620" i="66"/>
  <c r="G620" i="66"/>
  <c r="E620" i="66"/>
  <c r="I619" i="66"/>
  <c r="H619" i="66"/>
  <c r="G619" i="66"/>
  <c r="E619" i="66"/>
  <c r="I618" i="66"/>
  <c r="H618" i="66"/>
  <c r="G618" i="66"/>
  <c r="E618" i="66"/>
  <c r="I617" i="66"/>
  <c r="H617" i="66"/>
  <c r="G617" i="66"/>
  <c r="E617" i="66"/>
  <c r="I616" i="66"/>
  <c r="H616" i="66"/>
  <c r="G616" i="66"/>
  <c r="E616" i="66"/>
  <c r="I615" i="66"/>
  <c r="H615" i="66"/>
  <c r="G615" i="66"/>
  <c r="D615" i="66" s="1"/>
  <c r="E615" i="66"/>
  <c r="I614" i="66"/>
  <c r="H614" i="66"/>
  <c r="G614" i="66"/>
  <c r="E614" i="66"/>
  <c r="I613" i="66"/>
  <c r="H613" i="66"/>
  <c r="G613" i="66"/>
  <c r="E613" i="66"/>
  <c r="I612" i="66"/>
  <c r="H612" i="66"/>
  <c r="G612" i="66"/>
  <c r="D612" i="66" s="1"/>
  <c r="E612" i="66"/>
  <c r="I611" i="66"/>
  <c r="H611" i="66"/>
  <c r="G611" i="66"/>
  <c r="E611" i="66"/>
  <c r="I610" i="66"/>
  <c r="H610" i="66"/>
  <c r="G610" i="66"/>
  <c r="E610" i="66"/>
  <c r="I609" i="66"/>
  <c r="H609" i="66"/>
  <c r="G609" i="66"/>
  <c r="E609" i="66"/>
  <c r="I608" i="66"/>
  <c r="H608" i="66"/>
  <c r="G608" i="66"/>
  <c r="E608" i="66"/>
  <c r="I607" i="66"/>
  <c r="H607" i="66"/>
  <c r="G607" i="66"/>
  <c r="E607" i="66"/>
  <c r="I606" i="66"/>
  <c r="H606" i="66"/>
  <c r="G606" i="66"/>
  <c r="E606" i="66"/>
  <c r="I605" i="66"/>
  <c r="H605" i="66"/>
  <c r="G605" i="66"/>
  <c r="E605" i="66"/>
  <c r="I604" i="66"/>
  <c r="H604" i="66"/>
  <c r="G604" i="66"/>
  <c r="E604" i="66"/>
  <c r="I603" i="66"/>
  <c r="H603" i="66"/>
  <c r="G603" i="66"/>
  <c r="E603" i="66"/>
  <c r="I602" i="66"/>
  <c r="H602" i="66"/>
  <c r="G602" i="66"/>
  <c r="E602" i="66"/>
  <c r="I601" i="66"/>
  <c r="H601" i="66"/>
  <c r="G601" i="66"/>
  <c r="E601" i="66"/>
  <c r="I600" i="66"/>
  <c r="H600" i="66"/>
  <c r="G600" i="66"/>
  <c r="E600" i="66"/>
  <c r="I599" i="66"/>
  <c r="H599" i="66"/>
  <c r="G599" i="66"/>
  <c r="E599" i="66"/>
  <c r="I598" i="66"/>
  <c r="H598" i="66"/>
  <c r="G598" i="66"/>
  <c r="E598" i="66"/>
  <c r="I597" i="66"/>
  <c r="H597" i="66"/>
  <c r="G597" i="66"/>
  <c r="E597" i="66"/>
  <c r="I596" i="66"/>
  <c r="H596" i="66"/>
  <c r="G596" i="66"/>
  <c r="E596" i="66"/>
  <c r="I595" i="66"/>
  <c r="H595" i="66"/>
  <c r="G595" i="66"/>
  <c r="E595" i="66"/>
  <c r="I594" i="66"/>
  <c r="H594" i="66"/>
  <c r="G594" i="66"/>
  <c r="E594" i="66"/>
  <c r="I593" i="66"/>
  <c r="H593" i="66"/>
  <c r="G593" i="66"/>
  <c r="E593" i="66"/>
  <c r="I592" i="66"/>
  <c r="H592" i="66"/>
  <c r="G592" i="66"/>
  <c r="E592" i="66"/>
  <c r="I591" i="66"/>
  <c r="H591" i="66"/>
  <c r="G591" i="66"/>
  <c r="E591" i="66"/>
  <c r="I590" i="66"/>
  <c r="H590" i="66"/>
  <c r="G590" i="66"/>
  <c r="E590" i="66"/>
  <c r="I589" i="66"/>
  <c r="H589" i="66"/>
  <c r="G589" i="66"/>
  <c r="E589" i="66"/>
  <c r="I588" i="66"/>
  <c r="H588" i="66"/>
  <c r="G588" i="66"/>
  <c r="D588" i="66" s="1"/>
  <c r="E588" i="66"/>
  <c r="I587" i="66"/>
  <c r="H587" i="66"/>
  <c r="G587" i="66"/>
  <c r="E587" i="66"/>
  <c r="I586" i="66"/>
  <c r="H586" i="66"/>
  <c r="G586" i="66"/>
  <c r="E586" i="66"/>
  <c r="I585" i="66"/>
  <c r="H585" i="66"/>
  <c r="G585" i="66"/>
  <c r="E585" i="66"/>
  <c r="I584" i="66"/>
  <c r="H584" i="66"/>
  <c r="G584" i="66"/>
  <c r="E584" i="66"/>
  <c r="I583" i="66"/>
  <c r="H583" i="66"/>
  <c r="G583" i="66"/>
  <c r="E583" i="66"/>
  <c r="I582" i="66"/>
  <c r="H582" i="66"/>
  <c r="G582" i="66"/>
  <c r="E582" i="66"/>
  <c r="I581" i="66"/>
  <c r="H581" i="66"/>
  <c r="G581" i="66"/>
  <c r="E581" i="66"/>
  <c r="I580" i="66"/>
  <c r="H580" i="66"/>
  <c r="G580" i="66"/>
  <c r="E580" i="66"/>
  <c r="I579" i="66"/>
  <c r="H579" i="66"/>
  <c r="G579" i="66"/>
  <c r="E579" i="66"/>
  <c r="I578" i="66"/>
  <c r="H578" i="66"/>
  <c r="G578" i="66"/>
  <c r="E578" i="66"/>
  <c r="I577" i="66"/>
  <c r="H577" i="66"/>
  <c r="G577" i="66"/>
  <c r="E577" i="66"/>
  <c r="I576" i="66"/>
  <c r="H576" i="66"/>
  <c r="G576" i="66"/>
  <c r="E576" i="66"/>
  <c r="I575" i="66"/>
  <c r="H575" i="66"/>
  <c r="G575" i="66"/>
  <c r="E575" i="66"/>
  <c r="I574" i="66"/>
  <c r="H574" i="66"/>
  <c r="G574" i="66"/>
  <c r="E574" i="66"/>
  <c r="I573" i="66"/>
  <c r="H573" i="66"/>
  <c r="G573" i="66"/>
  <c r="E573" i="66"/>
  <c r="I572" i="66"/>
  <c r="H572" i="66"/>
  <c r="G572" i="66"/>
  <c r="E572" i="66"/>
  <c r="I571" i="66"/>
  <c r="H571" i="66"/>
  <c r="G571" i="66"/>
  <c r="E571" i="66"/>
  <c r="I570" i="66"/>
  <c r="H570" i="66"/>
  <c r="G570" i="66"/>
  <c r="E570" i="66"/>
  <c r="I569" i="66"/>
  <c r="H569" i="66"/>
  <c r="G569" i="66"/>
  <c r="E569" i="66"/>
  <c r="I568" i="66"/>
  <c r="H568" i="66"/>
  <c r="G568" i="66"/>
  <c r="E568" i="66"/>
  <c r="I567" i="66"/>
  <c r="H567" i="66"/>
  <c r="G567" i="66"/>
  <c r="E567" i="66"/>
  <c r="I566" i="66"/>
  <c r="H566" i="66"/>
  <c r="G566" i="66"/>
  <c r="E566" i="66"/>
  <c r="I565" i="66"/>
  <c r="H565" i="66"/>
  <c r="G565" i="66"/>
  <c r="E565" i="66"/>
  <c r="I564" i="66"/>
  <c r="H564" i="66"/>
  <c r="G564" i="66"/>
  <c r="D564" i="66" s="1"/>
  <c r="E564" i="66"/>
  <c r="I563" i="66"/>
  <c r="H563" i="66"/>
  <c r="G563" i="66"/>
  <c r="E563" i="66"/>
  <c r="I562" i="66"/>
  <c r="H562" i="66"/>
  <c r="G562" i="66"/>
  <c r="E562" i="66"/>
  <c r="I561" i="66"/>
  <c r="H561" i="66"/>
  <c r="G561" i="66"/>
  <c r="E561" i="66"/>
  <c r="I560" i="66"/>
  <c r="H560" i="66"/>
  <c r="G560" i="66"/>
  <c r="E560" i="66"/>
  <c r="I559" i="66"/>
  <c r="H559" i="66"/>
  <c r="G559" i="66"/>
  <c r="E559" i="66"/>
  <c r="I558" i="66"/>
  <c r="H558" i="66"/>
  <c r="G558" i="66"/>
  <c r="E558" i="66"/>
  <c r="I557" i="66"/>
  <c r="H557" i="66"/>
  <c r="G557" i="66"/>
  <c r="E557" i="66"/>
  <c r="I556" i="66"/>
  <c r="H556" i="66"/>
  <c r="G556" i="66"/>
  <c r="E556" i="66"/>
  <c r="I555" i="66"/>
  <c r="H555" i="66"/>
  <c r="G555" i="66"/>
  <c r="E555" i="66"/>
  <c r="I554" i="66"/>
  <c r="H554" i="66"/>
  <c r="G554" i="66"/>
  <c r="E554" i="66"/>
  <c r="I553" i="66"/>
  <c r="H553" i="66"/>
  <c r="G553" i="66"/>
  <c r="E553" i="66"/>
  <c r="I552" i="66"/>
  <c r="H552" i="66"/>
  <c r="G552" i="66"/>
  <c r="E552" i="66"/>
  <c r="I551" i="66"/>
  <c r="H551" i="66"/>
  <c r="G551" i="66"/>
  <c r="E551" i="66"/>
  <c r="I550" i="66"/>
  <c r="H550" i="66"/>
  <c r="G550" i="66"/>
  <c r="E550" i="66"/>
  <c r="I549" i="66"/>
  <c r="H549" i="66"/>
  <c r="G549" i="66"/>
  <c r="E549" i="66"/>
  <c r="I548" i="66"/>
  <c r="H548" i="66"/>
  <c r="G548" i="66"/>
  <c r="E548" i="66"/>
  <c r="I547" i="66"/>
  <c r="H547" i="66"/>
  <c r="G547" i="66"/>
  <c r="E547" i="66"/>
  <c r="I546" i="66"/>
  <c r="H546" i="66"/>
  <c r="G546" i="66"/>
  <c r="E546" i="66"/>
  <c r="I545" i="66"/>
  <c r="H545" i="66"/>
  <c r="G545" i="66"/>
  <c r="E545" i="66"/>
  <c r="I544" i="66"/>
  <c r="H544" i="66"/>
  <c r="G544" i="66"/>
  <c r="E544" i="66"/>
  <c r="I543" i="66"/>
  <c r="H543" i="66"/>
  <c r="G543" i="66"/>
  <c r="E543" i="66"/>
  <c r="I542" i="66"/>
  <c r="H542" i="66"/>
  <c r="G542" i="66"/>
  <c r="E542" i="66"/>
  <c r="I541" i="66"/>
  <c r="H541" i="66"/>
  <c r="G541" i="66"/>
  <c r="E541" i="66"/>
  <c r="I540" i="66"/>
  <c r="H540" i="66"/>
  <c r="G540" i="66"/>
  <c r="E540" i="66"/>
  <c r="I539" i="66"/>
  <c r="H539" i="66"/>
  <c r="G539" i="66"/>
  <c r="E539" i="66"/>
  <c r="I538" i="66"/>
  <c r="H538" i="66"/>
  <c r="G538" i="66"/>
  <c r="E538" i="66"/>
  <c r="I537" i="66"/>
  <c r="H537" i="66"/>
  <c r="G537" i="66"/>
  <c r="D537" i="66" s="1"/>
  <c r="E537" i="66"/>
  <c r="I536" i="66"/>
  <c r="H536" i="66"/>
  <c r="G536" i="66"/>
  <c r="E536" i="66"/>
  <c r="I535" i="66"/>
  <c r="H535" i="66"/>
  <c r="G535" i="66"/>
  <c r="E535" i="66"/>
  <c r="I534" i="66"/>
  <c r="H534" i="66"/>
  <c r="G534" i="66"/>
  <c r="E534" i="66"/>
  <c r="I533" i="66"/>
  <c r="H533" i="66"/>
  <c r="G533" i="66"/>
  <c r="E533" i="66"/>
  <c r="I532" i="66"/>
  <c r="H532" i="66"/>
  <c r="G532" i="66"/>
  <c r="E532" i="66"/>
  <c r="I531" i="66"/>
  <c r="H531" i="66"/>
  <c r="G531" i="66"/>
  <c r="E531" i="66"/>
  <c r="I530" i="66"/>
  <c r="H530" i="66"/>
  <c r="G530" i="66"/>
  <c r="E530" i="66"/>
  <c r="I529" i="66"/>
  <c r="H529" i="66"/>
  <c r="G529" i="66"/>
  <c r="E529" i="66"/>
  <c r="I528" i="66"/>
  <c r="H528" i="66"/>
  <c r="G528" i="66"/>
  <c r="E528" i="66"/>
  <c r="I527" i="66"/>
  <c r="H527" i="66"/>
  <c r="G527" i="66"/>
  <c r="E527" i="66"/>
  <c r="I526" i="66"/>
  <c r="H526" i="66"/>
  <c r="G526" i="66"/>
  <c r="E526" i="66"/>
  <c r="I525" i="66"/>
  <c r="H525" i="66"/>
  <c r="G525" i="66"/>
  <c r="E525" i="66"/>
  <c r="I524" i="66"/>
  <c r="H524" i="66"/>
  <c r="G524" i="66"/>
  <c r="E524" i="66"/>
  <c r="I523" i="66"/>
  <c r="H523" i="66"/>
  <c r="G523" i="66"/>
  <c r="E523" i="66"/>
  <c r="I522" i="66"/>
  <c r="H522" i="66"/>
  <c r="G522" i="66"/>
  <c r="E522" i="66"/>
  <c r="I521" i="66"/>
  <c r="H521" i="66"/>
  <c r="G521" i="66"/>
  <c r="E521" i="66"/>
  <c r="I520" i="66"/>
  <c r="H520" i="66"/>
  <c r="G520" i="66"/>
  <c r="E520" i="66"/>
  <c r="I519" i="66"/>
  <c r="H519" i="66"/>
  <c r="G519" i="66"/>
  <c r="E519" i="66"/>
  <c r="I518" i="66"/>
  <c r="H518" i="66"/>
  <c r="G518" i="66"/>
  <c r="E518" i="66"/>
  <c r="I517" i="66"/>
  <c r="H517" i="66"/>
  <c r="G517" i="66"/>
  <c r="E517" i="66"/>
  <c r="I516" i="66"/>
  <c r="H516" i="66"/>
  <c r="G516" i="66"/>
  <c r="E516" i="66"/>
  <c r="I515" i="66"/>
  <c r="H515" i="66"/>
  <c r="G515" i="66"/>
  <c r="E515" i="66"/>
  <c r="I514" i="66"/>
  <c r="H514" i="66"/>
  <c r="G514" i="66"/>
  <c r="E514" i="66"/>
  <c r="I513" i="66"/>
  <c r="H513" i="66"/>
  <c r="G513" i="66"/>
  <c r="E513" i="66"/>
  <c r="I512" i="66"/>
  <c r="H512" i="66"/>
  <c r="G512" i="66"/>
  <c r="E512" i="66"/>
  <c r="I511" i="66"/>
  <c r="H511" i="66"/>
  <c r="G511" i="66"/>
  <c r="E511" i="66"/>
  <c r="I510" i="66"/>
  <c r="H510" i="66"/>
  <c r="G510" i="66"/>
  <c r="E510" i="66"/>
  <c r="I509" i="66"/>
  <c r="H509" i="66"/>
  <c r="G509" i="66"/>
  <c r="E509" i="66"/>
  <c r="I508" i="66"/>
  <c r="H508" i="66"/>
  <c r="G508" i="66"/>
  <c r="E508" i="66"/>
  <c r="I507" i="66"/>
  <c r="H507" i="66"/>
  <c r="G507" i="66"/>
  <c r="D507" i="66" s="1"/>
  <c r="E507" i="66"/>
  <c r="I506" i="66"/>
  <c r="H506" i="66"/>
  <c r="G506" i="66"/>
  <c r="E506" i="66"/>
  <c r="I505" i="66"/>
  <c r="H505" i="66"/>
  <c r="G505" i="66"/>
  <c r="E505" i="66"/>
  <c r="I504" i="66"/>
  <c r="H504" i="66"/>
  <c r="G504" i="66"/>
  <c r="E504" i="66"/>
  <c r="I503" i="66"/>
  <c r="H503" i="66"/>
  <c r="G503" i="66"/>
  <c r="E503" i="66"/>
  <c r="I502" i="66"/>
  <c r="H502" i="66"/>
  <c r="G502" i="66"/>
  <c r="E502" i="66"/>
  <c r="I501" i="66"/>
  <c r="H501" i="66"/>
  <c r="G501" i="66"/>
  <c r="D501" i="66" s="1"/>
  <c r="E501" i="66"/>
  <c r="I500" i="66"/>
  <c r="H500" i="66"/>
  <c r="G500" i="66"/>
  <c r="E500" i="66"/>
  <c r="I499" i="66"/>
  <c r="H499" i="66"/>
  <c r="G499" i="66"/>
  <c r="E499" i="66"/>
  <c r="I498" i="66"/>
  <c r="H498" i="66"/>
  <c r="G498" i="66"/>
  <c r="E498" i="66"/>
  <c r="I497" i="66"/>
  <c r="H497" i="66"/>
  <c r="G497" i="66"/>
  <c r="E497" i="66"/>
  <c r="I496" i="66"/>
  <c r="H496" i="66"/>
  <c r="G496" i="66"/>
  <c r="E496" i="66"/>
  <c r="I495" i="66"/>
  <c r="H495" i="66"/>
  <c r="G495" i="66"/>
  <c r="E495" i="66"/>
  <c r="I494" i="66"/>
  <c r="H494" i="66"/>
  <c r="G494" i="66"/>
  <c r="E494" i="66"/>
  <c r="I493" i="66"/>
  <c r="H493" i="66"/>
  <c r="G493" i="66"/>
  <c r="E493" i="66"/>
  <c r="I492" i="66"/>
  <c r="H492" i="66"/>
  <c r="G492" i="66"/>
  <c r="D492" i="66" s="1"/>
  <c r="E492" i="66"/>
  <c r="I491" i="66"/>
  <c r="H491" i="66"/>
  <c r="G491" i="66"/>
  <c r="E491" i="66"/>
  <c r="I490" i="66"/>
  <c r="H490" i="66"/>
  <c r="G490" i="66"/>
  <c r="E490" i="66"/>
  <c r="I489" i="66"/>
  <c r="H489" i="66"/>
  <c r="G489" i="66"/>
  <c r="E489" i="66"/>
  <c r="I488" i="66"/>
  <c r="H488" i="66"/>
  <c r="G488" i="66"/>
  <c r="E488" i="66"/>
  <c r="I487" i="66"/>
  <c r="H487" i="66"/>
  <c r="G487" i="66"/>
  <c r="E487" i="66"/>
  <c r="I486" i="66"/>
  <c r="H486" i="66"/>
  <c r="G486" i="66"/>
  <c r="D486" i="66" s="1"/>
  <c r="E486" i="66"/>
  <c r="I485" i="66"/>
  <c r="H485" i="66"/>
  <c r="G485" i="66"/>
  <c r="E485" i="66"/>
  <c r="I484" i="66"/>
  <c r="H484" i="66"/>
  <c r="G484" i="66"/>
  <c r="E484" i="66"/>
  <c r="I483" i="66"/>
  <c r="H483" i="66"/>
  <c r="G483" i="66"/>
  <c r="E483" i="66"/>
  <c r="I482" i="66"/>
  <c r="H482" i="66"/>
  <c r="G482" i="66"/>
  <c r="E482" i="66"/>
  <c r="I481" i="66"/>
  <c r="H481" i="66"/>
  <c r="G481" i="66"/>
  <c r="E481" i="66"/>
  <c r="I480" i="66"/>
  <c r="H480" i="66"/>
  <c r="G480" i="66"/>
  <c r="E480" i="66"/>
  <c r="I479" i="66"/>
  <c r="H479" i="66"/>
  <c r="G479" i="66"/>
  <c r="E479" i="66"/>
  <c r="I478" i="66"/>
  <c r="H478" i="66"/>
  <c r="G478" i="66"/>
  <c r="E478" i="66"/>
  <c r="I477" i="66"/>
  <c r="H477" i="66"/>
  <c r="G477" i="66"/>
  <c r="D477" i="66" s="1"/>
  <c r="E477" i="66"/>
  <c r="I476" i="66"/>
  <c r="H476" i="66"/>
  <c r="G476" i="66"/>
  <c r="E476" i="66"/>
  <c r="I475" i="66"/>
  <c r="H475" i="66"/>
  <c r="G475" i="66"/>
  <c r="E475" i="66"/>
  <c r="I474" i="66"/>
  <c r="H474" i="66"/>
  <c r="G474" i="66"/>
  <c r="E474" i="66"/>
  <c r="I473" i="66"/>
  <c r="H473" i="66"/>
  <c r="G473" i="66"/>
  <c r="E473" i="66"/>
  <c r="I472" i="66"/>
  <c r="H472" i="66"/>
  <c r="G472" i="66"/>
  <c r="E472" i="66"/>
  <c r="I471" i="66"/>
  <c r="H471" i="66"/>
  <c r="G471" i="66"/>
  <c r="E471" i="66"/>
  <c r="I470" i="66"/>
  <c r="H470" i="66"/>
  <c r="G470" i="66"/>
  <c r="E470" i="66"/>
  <c r="I469" i="66"/>
  <c r="H469" i="66"/>
  <c r="G469" i="66"/>
  <c r="E469" i="66"/>
  <c r="I468" i="66"/>
  <c r="H468" i="66"/>
  <c r="G468" i="66"/>
  <c r="E468" i="66"/>
  <c r="I467" i="66"/>
  <c r="H467" i="66"/>
  <c r="G467" i="66"/>
  <c r="E467" i="66"/>
  <c r="I466" i="66"/>
  <c r="H466" i="66"/>
  <c r="G466" i="66"/>
  <c r="E466" i="66"/>
  <c r="I465" i="66"/>
  <c r="H465" i="66"/>
  <c r="G465" i="66"/>
  <c r="E465" i="66"/>
  <c r="I464" i="66"/>
  <c r="H464" i="66"/>
  <c r="G464" i="66"/>
  <c r="E464" i="66"/>
  <c r="I463" i="66"/>
  <c r="H463" i="66"/>
  <c r="G463" i="66"/>
  <c r="E463" i="66"/>
  <c r="I462" i="66"/>
  <c r="H462" i="66"/>
  <c r="G462" i="66"/>
  <c r="E462" i="66"/>
  <c r="I461" i="66"/>
  <c r="H461" i="66"/>
  <c r="G461" i="66"/>
  <c r="E461" i="66"/>
  <c r="I460" i="66"/>
  <c r="H460" i="66"/>
  <c r="G460" i="66"/>
  <c r="E460" i="66"/>
  <c r="I459" i="66"/>
  <c r="H459" i="66"/>
  <c r="G459" i="66"/>
  <c r="E459" i="66"/>
  <c r="I458" i="66"/>
  <c r="H458" i="66"/>
  <c r="G458" i="66"/>
  <c r="E458" i="66"/>
  <c r="I457" i="66"/>
  <c r="H457" i="66"/>
  <c r="G457" i="66"/>
  <c r="E457" i="66"/>
  <c r="I456" i="66"/>
  <c r="H456" i="66"/>
  <c r="G456" i="66"/>
  <c r="E456" i="66"/>
  <c r="I455" i="66"/>
  <c r="H455" i="66"/>
  <c r="G455" i="66"/>
  <c r="E455" i="66"/>
  <c r="I454" i="66"/>
  <c r="H454" i="66"/>
  <c r="G454" i="66"/>
  <c r="E454" i="66"/>
  <c r="I453" i="66"/>
  <c r="H453" i="66"/>
  <c r="G453" i="66"/>
  <c r="E453" i="66"/>
  <c r="I452" i="66"/>
  <c r="H452" i="66"/>
  <c r="G452" i="66"/>
  <c r="E452" i="66"/>
  <c r="I451" i="66"/>
  <c r="H451" i="66"/>
  <c r="G451" i="66"/>
  <c r="E451" i="66"/>
  <c r="I450" i="66"/>
  <c r="H450" i="66"/>
  <c r="G450" i="66"/>
  <c r="E450" i="66"/>
  <c r="I449" i="66"/>
  <c r="H449" i="66"/>
  <c r="G449" i="66"/>
  <c r="E449" i="66"/>
  <c r="I448" i="66"/>
  <c r="H448" i="66"/>
  <c r="G448" i="66"/>
  <c r="E448" i="66"/>
  <c r="I447" i="66"/>
  <c r="H447" i="66"/>
  <c r="G447" i="66"/>
  <c r="E447" i="66"/>
  <c r="I446" i="66"/>
  <c r="H446" i="66"/>
  <c r="G446" i="66"/>
  <c r="E446" i="66"/>
  <c r="I445" i="66"/>
  <c r="H445" i="66"/>
  <c r="G445" i="66"/>
  <c r="E445" i="66"/>
  <c r="I444" i="66"/>
  <c r="H444" i="66"/>
  <c r="G444" i="66"/>
  <c r="D444" i="66" s="1"/>
  <c r="E444" i="66"/>
  <c r="I443" i="66"/>
  <c r="H443" i="66"/>
  <c r="G443" i="66"/>
  <c r="E443" i="66"/>
  <c r="I442" i="66"/>
  <c r="H442" i="66"/>
  <c r="G442" i="66"/>
  <c r="E442" i="66"/>
  <c r="I441" i="66"/>
  <c r="H441" i="66"/>
  <c r="G441" i="66"/>
  <c r="E441" i="66"/>
  <c r="I440" i="66"/>
  <c r="H440" i="66"/>
  <c r="G440" i="66"/>
  <c r="E440" i="66"/>
  <c r="I439" i="66"/>
  <c r="H439" i="66"/>
  <c r="G439" i="66"/>
  <c r="E439" i="66"/>
  <c r="I438" i="66"/>
  <c r="H438" i="66"/>
  <c r="G438" i="66"/>
  <c r="E438" i="66"/>
  <c r="I437" i="66"/>
  <c r="H437" i="66"/>
  <c r="G437" i="66"/>
  <c r="E437" i="66"/>
  <c r="I436" i="66"/>
  <c r="H436" i="66"/>
  <c r="G436" i="66"/>
  <c r="E436" i="66"/>
  <c r="I435" i="66"/>
  <c r="H435" i="66"/>
  <c r="G435" i="66"/>
  <c r="E435" i="66"/>
  <c r="I434" i="66"/>
  <c r="H434" i="66"/>
  <c r="G434" i="66"/>
  <c r="E434" i="66"/>
  <c r="I433" i="66"/>
  <c r="H433" i="66"/>
  <c r="G433" i="66"/>
  <c r="E433" i="66"/>
  <c r="I432" i="66"/>
  <c r="H432" i="66"/>
  <c r="G432" i="66"/>
  <c r="E432" i="66"/>
  <c r="I431" i="66"/>
  <c r="H431" i="66"/>
  <c r="G431" i="66"/>
  <c r="E431" i="66"/>
  <c r="I430" i="66"/>
  <c r="H430" i="66"/>
  <c r="G430" i="66"/>
  <c r="E430" i="66"/>
  <c r="I429" i="66"/>
  <c r="H429" i="66"/>
  <c r="G429" i="66"/>
  <c r="E429" i="66"/>
  <c r="I428" i="66"/>
  <c r="H428" i="66"/>
  <c r="G428" i="66"/>
  <c r="E428" i="66"/>
  <c r="I427" i="66"/>
  <c r="H427" i="66"/>
  <c r="G427" i="66"/>
  <c r="E427" i="66"/>
  <c r="I426" i="66"/>
  <c r="H426" i="66"/>
  <c r="G426" i="66"/>
  <c r="E426" i="66"/>
  <c r="I425" i="66"/>
  <c r="H425" i="66"/>
  <c r="G425" i="66"/>
  <c r="E425" i="66"/>
  <c r="I424" i="66"/>
  <c r="H424" i="66"/>
  <c r="G424" i="66"/>
  <c r="E424" i="66"/>
  <c r="I423" i="66"/>
  <c r="H423" i="66"/>
  <c r="G423" i="66"/>
  <c r="E423" i="66"/>
  <c r="I422" i="66"/>
  <c r="H422" i="66"/>
  <c r="G422" i="66"/>
  <c r="E422" i="66"/>
  <c r="I421" i="66"/>
  <c r="H421" i="66"/>
  <c r="G421" i="66"/>
  <c r="E421" i="66"/>
  <c r="I420" i="66"/>
  <c r="H420" i="66"/>
  <c r="G420" i="66"/>
  <c r="E420" i="66"/>
  <c r="I419" i="66"/>
  <c r="H419" i="66"/>
  <c r="G419" i="66"/>
  <c r="E419" i="66"/>
  <c r="I418" i="66"/>
  <c r="H418" i="66"/>
  <c r="G418" i="66"/>
  <c r="E418" i="66"/>
  <c r="I417" i="66"/>
  <c r="H417" i="66"/>
  <c r="G417" i="66"/>
  <c r="E417" i="66"/>
  <c r="I416" i="66"/>
  <c r="H416" i="66"/>
  <c r="G416" i="66"/>
  <c r="E416" i="66"/>
  <c r="I415" i="66"/>
  <c r="H415" i="66"/>
  <c r="G415" i="66"/>
  <c r="E415" i="66"/>
  <c r="I414" i="66"/>
  <c r="H414" i="66"/>
  <c r="G414" i="66"/>
  <c r="E414" i="66"/>
  <c r="I413" i="66"/>
  <c r="H413" i="66"/>
  <c r="G413" i="66"/>
  <c r="E413" i="66"/>
  <c r="I412" i="66"/>
  <c r="H412" i="66"/>
  <c r="G412" i="66"/>
  <c r="E412" i="66"/>
  <c r="I411" i="66"/>
  <c r="H411" i="66"/>
  <c r="G411" i="66"/>
  <c r="E411" i="66"/>
  <c r="I410" i="66"/>
  <c r="H410" i="66"/>
  <c r="G410" i="66"/>
  <c r="E410" i="66"/>
  <c r="I409" i="66"/>
  <c r="H409" i="66"/>
  <c r="G409" i="66"/>
  <c r="E409" i="66"/>
  <c r="I408" i="66"/>
  <c r="H408" i="66"/>
  <c r="G408" i="66"/>
  <c r="E408" i="66"/>
  <c r="I407" i="66"/>
  <c r="H407" i="66"/>
  <c r="G407" i="66"/>
  <c r="E407" i="66"/>
  <c r="I406" i="66"/>
  <c r="H406" i="66"/>
  <c r="G406" i="66"/>
  <c r="E406" i="66"/>
  <c r="I405" i="66"/>
  <c r="H405" i="66"/>
  <c r="G405" i="66"/>
  <c r="D405" i="66" s="1"/>
  <c r="E405" i="66"/>
  <c r="I404" i="66"/>
  <c r="H404" i="66"/>
  <c r="G404" i="66"/>
  <c r="E404" i="66"/>
  <c r="I403" i="66"/>
  <c r="H403" i="66"/>
  <c r="G403" i="66"/>
  <c r="E403" i="66"/>
  <c r="I402" i="66"/>
  <c r="H402" i="66"/>
  <c r="G402" i="66"/>
  <c r="E402" i="66"/>
  <c r="I401" i="66"/>
  <c r="H401" i="66"/>
  <c r="G401" i="66"/>
  <c r="E401" i="66"/>
  <c r="I400" i="66"/>
  <c r="H400" i="66"/>
  <c r="G400" i="66"/>
  <c r="E400" i="66"/>
  <c r="I399" i="66"/>
  <c r="H399" i="66"/>
  <c r="G399" i="66"/>
  <c r="E399" i="66"/>
  <c r="I398" i="66"/>
  <c r="H398" i="66"/>
  <c r="G398" i="66"/>
  <c r="E398" i="66"/>
  <c r="I397" i="66"/>
  <c r="H397" i="66"/>
  <c r="G397" i="66"/>
  <c r="E397" i="66"/>
  <c r="I396" i="66"/>
  <c r="H396" i="66"/>
  <c r="G396" i="66"/>
  <c r="D396" i="66" s="1"/>
  <c r="E396" i="66"/>
  <c r="I395" i="66"/>
  <c r="H395" i="66"/>
  <c r="G395" i="66"/>
  <c r="E395" i="66"/>
  <c r="I394" i="66"/>
  <c r="H394" i="66"/>
  <c r="G394" i="66"/>
  <c r="E394" i="66"/>
  <c r="I393" i="66"/>
  <c r="H393" i="66"/>
  <c r="G393" i="66"/>
  <c r="E393" i="66"/>
  <c r="I392" i="66"/>
  <c r="H392" i="66"/>
  <c r="G392" i="66"/>
  <c r="E392" i="66"/>
  <c r="I391" i="66"/>
  <c r="H391" i="66"/>
  <c r="G391" i="66"/>
  <c r="E391" i="66"/>
  <c r="I390" i="66"/>
  <c r="H390" i="66"/>
  <c r="G390" i="66"/>
  <c r="E390" i="66"/>
  <c r="I389" i="66"/>
  <c r="H389" i="66"/>
  <c r="G389" i="66"/>
  <c r="E389" i="66"/>
  <c r="I388" i="66"/>
  <c r="H388" i="66"/>
  <c r="G388" i="66"/>
  <c r="D388" i="66" s="1"/>
  <c r="E388" i="66"/>
  <c r="I387" i="66"/>
  <c r="H387" i="66"/>
  <c r="G387" i="66"/>
  <c r="E387" i="66"/>
  <c r="I386" i="66"/>
  <c r="H386" i="66"/>
  <c r="G386" i="66"/>
  <c r="E386" i="66"/>
  <c r="I385" i="66"/>
  <c r="H385" i="66"/>
  <c r="G385" i="66"/>
  <c r="E385" i="66"/>
  <c r="I384" i="66"/>
  <c r="H384" i="66"/>
  <c r="G384" i="66"/>
  <c r="E384" i="66"/>
  <c r="I383" i="66"/>
  <c r="H383" i="66"/>
  <c r="G383" i="66"/>
  <c r="E383" i="66"/>
  <c r="I382" i="66"/>
  <c r="H382" i="66"/>
  <c r="G382" i="66"/>
  <c r="E382" i="66"/>
  <c r="I381" i="66"/>
  <c r="H381" i="66"/>
  <c r="G381" i="66"/>
  <c r="D381" i="66" s="1"/>
  <c r="E381" i="66"/>
  <c r="I380" i="66"/>
  <c r="H380" i="66"/>
  <c r="G380" i="66"/>
  <c r="E380" i="66"/>
  <c r="I379" i="66"/>
  <c r="H379" i="66"/>
  <c r="G379" i="66"/>
  <c r="E379" i="66"/>
  <c r="I378" i="66"/>
  <c r="H378" i="66"/>
  <c r="G378" i="66"/>
  <c r="E378" i="66"/>
  <c r="I377" i="66"/>
  <c r="H377" i="66"/>
  <c r="G377" i="66"/>
  <c r="E377" i="66"/>
  <c r="I376" i="66"/>
  <c r="H376" i="66"/>
  <c r="G376" i="66"/>
  <c r="E376" i="66"/>
  <c r="I375" i="66"/>
  <c r="H375" i="66"/>
  <c r="G375" i="66"/>
  <c r="D375" i="66" s="1"/>
  <c r="E375" i="66"/>
  <c r="I374" i="66"/>
  <c r="H374" i="66"/>
  <c r="G374" i="66"/>
  <c r="E374" i="66"/>
  <c r="I373" i="66"/>
  <c r="H373" i="66"/>
  <c r="G373" i="66"/>
  <c r="E373" i="66"/>
  <c r="I372" i="66"/>
  <c r="H372" i="66"/>
  <c r="G372" i="66"/>
  <c r="D372" i="66" s="1"/>
  <c r="E372" i="66"/>
  <c r="I371" i="66"/>
  <c r="H371" i="66"/>
  <c r="G371" i="66"/>
  <c r="E371" i="66"/>
  <c r="I370" i="66"/>
  <c r="H370" i="66"/>
  <c r="G370" i="66"/>
  <c r="E370" i="66"/>
  <c r="I369" i="66"/>
  <c r="H369" i="66"/>
  <c r="G369" i="66"/>
  <c r="E369" i="66"/>
  <c r="I368" i="66"/>
  <c r="H368" i="66"/>
  <c r="G368" i="66"/>
  <c r="E368" i="66"/>
  <c r="I367" i="66"/>
  <c r="H367" i="66"/>
  <c r="G367" i="66"/>
  <c r="E367" i="66"/>
  <c r="I366" i="66"/>
  <c r="H366" i="66"/>
  <c r="G366" i="66"/>
  <c r="E366" i="66"/>
  <c r="I365" i="66"/>
  <c r="H365" i="66"/>
  <c r="G365" i="66"/>
  <c r="E365" i="66"/>
  <c r="I364" i="66"/>
  <c r="H364" i="66"/>
  <c r="G364" i="66"/>
  <c r="E364" i="66"/>
  <c r="I363" i="66"/>
  <c r="H363" i="66"/>
  <c r="G363" i="66"/>
  <c r="E363" i="66"/>
  <c r="I362" i="66"/>
  <c r="H362" i="66"/>
  <c r="G362" i="66"/>
  <c r="E362" i="66"/>
  <c r="I361" i="66"/>
  <c r="H361" i="66"/>
  <c r="G361" i="66"/>
  <c r="E361" i="66"/>
  <c r="I360" i="66"/>
  <c r="H360" i="66"/>
  <c r="G360" i="66"/>
  <c r="E360" i="66"/>
  <c r="I359" i="66"/>
  <c r="H359" i="66"/>
  <c r="G359" i="66"/>
  <c r="E359" i="66"/>
  <c r="I358" i="66"/>
  <c r="H358" i="66"/>
  <c r="G358" i="66"/>
  <c r="E358" i="66"/>
  <c r="I357" i="66"/>
  <c r="H357" i="66"/>
  <c r="G357" i="66"/>
  <c r="E357" i="66"/>
  <c r="I356" i="66"/>
  <c r="H356" i="66"/>
  <c r="G356" i="66"/>
  <c r="E356" i="66"/>
  <c r="I355" i="66"/>
  <c r="H355" i="66"/>
  <c r="G355" i="66"/>
  <c r="E355" i="66"/>
  <c r="I354" i="66"/>
  <c r="H354" i="66"/>
  <c r="G354" i="66"/>
  <c r="E354" i="66"/>
  <c r="I353" i="66"/>
  <c r="H353" i="66"/>
  <c r="G353" i="66"/>
  <c r="E353" i="66"/>
  <c r="I352" i="66"/>
  <c r="H352" i="66"/>
  <c r="G352" i="66"/>
  <c r="E352" i="66"/>
  <c r="I351" i="66"/>
  <c r="H351" i="66"/>
  <c r="G351" i="66"/>
  <c r="E351" i="66"/>
  <c r="I350" i="66"/>
  <c r="H350" i="66"/>
  <c r="G350" i="66"/>
  <c r="E350" i="66"/>
  <c r="I349" i="66"/>
  <c r="H349" i="66"/>
  <c r="G349" i="66"/>
  <c r="E349" i="66"/>
  <c r="I348" i="66"/>
  <c r="H348" i="66"/>
  <c r="G348" i="66"/>
  <c r="E348" i="66"/>
  <c r="I347" i="66"/>
  <c r="H347" i="66"/>
  <c r="G347" i="66"/>
  <c r="E347" i="66"/>
  <c r="I346" i="66"/>
  <c r="H346" i="66"/>
  <c r="G346" i="66"/>
  <c r="E346" i="66"/>
  <c r="I345" i="66"/>
  <c r="H345" i="66"/>
  <c r="G345" i="66"/>
  <c r="E345" i="66"/>
  <c r="I344" i="66"/>
  <c r="H344" i="66"/>
  <c r="G344" i="66"/>
  <c r="E344" i="66"/>
  <c r="I343" i="66"/>
  <c r="H343" i="66"/>
  <c r="G343" i="66"/>
  <c r="E343" i="66"/>
  <c r="I342" i="66"/>
  <c r="H342" i="66"/>
  <c r="G342" i="66"/>
  <c r="E342" i="66"/>
  <c r="I341" i="66"/>
  <c r="H341" i="66"/>
  <c r="G341" i="66"/>
  <c r="E341" i="66"/>
  <c r="I340" i="66"/>
  <c r="H340" i="66"/>
  <c r="G340" i="66"/>
  <c r="E340" i="66"/>
  <c r="I339" i="66"/>
  <c r="H339" i="66"/>
  <c r="G339" i="66"/>
  <c r="E339" i="66"/>
  <c r="I338" i="66"/>
  <c r="H338" i="66"/>
  <c r="G338" i="66"/>
  <c r="E338" i="66"/>
  <c r="I337" i="66"/>
  <c r="H337" i="66"/>
  <c r="G337" i="66"/>
  <c r="E337" i="66"/>
  <c r="I336" i="66"/>
  <c r="H336" i="66"/>
  <c r="G336" i="66"/>
  <c r="E336" i="66"/>
  <c r="I335" i="66"/>
  <c r="H335" i="66"/>
  <c r="G335" i="66"/>
  <c r="E335" i="66"/>
  <c r="I334" i="66"/>
  <c r="H334" i="66"/>
  <c r="G334" i="66"/>
  <c r="E334" i="66"/>
  <c r="I333" i="66"/>
  <c r="H333" i="66"/>
  <c r="G333" i="66"/>
  <c r="E333" i="66"/>
  <c r="I332" i="66"/>
  <c r="H332" i="66"/>
  <c r="G332" i="66"/>
  <c r="E332" i="66"/>
  <c r="I331" i="66"/>
  <c r="H331" i="66"/>
  <c r="G331" i="66"/>
  <c r="E331" i="66"/>
  <c r="I330" i="66"/>
  <c r="H330" i="66"/>
  <c r="G330" i="66"/>
  <c r="D330" i="66" s="1"/>
  <c r="E330" i="66"/>
  <c r="I329" i="66"/>
  <c r="H329" i="66"/>
  <c r="G329" i="66"/>
  <c r="E329" i="66"/>
  <c r="I328" i="66"/>
  <c r="H328" i="66"/>
  <c r="G328" i="66"/>
  <c r="E328" i="66"/>
  <c r="I327" i="66"/>
  <c r="H327" i="66"/>
  <c r="G327" i="66"/>
  <c r="E327" i="66"/>
  <c r="I326" i="66"/>
  <c r="H326" i="66"/>
  <c r="G326" i="66"/>
  <c r="E326" i="66"/>
  <c r="I325" i="66"/>
  <c r="H325" i="66"/>
  <c r="G325" i="66"/>
  <c r="E325" i="66"/>
  <c r="I324" i="66"/>
  <c r="H324" i="66"/>
  <c r="G324" i="66"/>
  <c r="E324" i="66"/>
  <c r="I323" i="66"/>
  <c r="H323" i="66"/>
  <c r="G323" i="66"/>
  <c r="E323" i="66"/>
  <c r="I322" i="66"/>
  <c r="H322" i="66"/>
  <c r="G322" i="66"/>
  <c r="E322" i="66"/>
  <c r="I321" i="66"/>
  <c r="H321" i="66"/>
  <c r="G321" i="66"/>
  <c r="E321" i="66"/>
  <c r="I320" i="66"/>
  <c r="H320" i="66"/>
  <c r="G320" i="66"/>
  <c r="E320" i="66"/>
  <c r="I319" i="66"/>
  <c r="H319" i="66"/>
  <c r="G319" i="66"/>
  <c r="E319" i="66"/>
  <c r="I318" i="66"/>
  <c r="H318" i="66"/>
  <c r="G318" i="66"/>
  <c r="E318" i="66"/>
  <c r="I317" i="66"/>
  <c r="H317" i="66"/>
  <c r="G317" i="66"/>
  <c r="E317" i="66"/>
  <c r="I316" i="66"/>
  <c r="H316" i="66"/>
  <c r="G316" i="66"/>
  <c r="E316" i="66"/>
  <c r="I315" i="66"/>
  <c r="H315" i="66"/>
  <c r="G315" i="66"/>
  <c r="E315" i="66"/>
  <c r="I314" i="66"/>
  <c r="H314" i="66"/>
  <c r="G314" i="66"/>
  <c r="E314" i="66"/>
  <c r="I313" i="66"/>
  <c r="H313" i="66"/>
  <c r="G313" i="66"/>
  <c r="E313" i="66"/>
  <c r="I312" i="66"/>
  <c r="H312" i="66"/>
  <c r="G312" i="66"/>
  <c r="E312" i="66"/>
  <c r="I311" i="66"/>
  <c r="H311" i="66"/>
  <c r="G311" i="66"/>
  <c r="E311" i="66"/>
  <c r="I310" i="66"/>
  <c r="H310" i="66"/>
  <c r="G310" i="66"/>
  <c r="E310" i="66"/>
  <c r="I309" i="66"/>
  <c r="H309" i="66"/>
  <c r="G309" i="66"/>
  <c r="E309" i="66"/>
  <c r="I308" i="66"/>
  <c r="H308" i="66"/>
  <c r="G308" i="66"/>
  <c r="E308" i="66"/>
  <c r="I307" i="66"/>
  <c r="H307" i="66"/>
  <c r="G307" i="66"/>
  <c r="E307" i="66"/>
  <c r="I306" i="66"/>
  <c r="H306" i="66"/>
  <c r="G306" i="66"/>
  <c r="E306" i="66"/>
  <c r="I305" i="66"/>
  <c r="H305" i="66"/>
  <c r="G305" i="66"/>
  <c r="E305" i="66"/>
  <c r="I304" i="66"/>
  <c r="H304" i="66"/>
  <c r="G304" i="66"/>
  <c r="E304" i="66"/>
  <c r="I303" i="66"/>
  <c r="H303" i="66"/>
  <c r="G303" i="66"/>
  <c r="E303" i="66"/>
  <c r="I302" i="66"/>
  <c r="H302" i="66"/>
  <c r="G302" i="66"/>
  <c r="E302" i="66"/>
  <c r="I301" i="66"/>
  <c r="H301" i="66"/>
  <c r="G301" i="66"/>
  <c r="E301" i="66"/>
  <c r="I300" i="66"/>
  <c r="H300" i="66"/>
  <c r="G300" i="66"/>
  <c r="D300" i="66" s="1"/>
  <c r="E300" i="66"/>
  <c r="I299" i="66"/>
  <c r="H299" i="66"/>
  <c r="G299" i="66"/>
  <c r="E299" i="66"/>
  <c r="I298" i="66"/>
  <c r="H298" i="66"/>
  <c r="G298" i="66"/>
  <c r="E298" i="66"/>
  <c r="I297" i="66"/>
  <c r="H297" i="66"/>
  <c r="G297" i="66"/>
  <c r="D297" i="66" s="1"/>
  <c r="E297" i="66"/>
  <c r="I296" i="66"/>
  <c r="H296" i="66"/>
  <c r="G296" i="66"/>
  <c r="E296" i="66"/>
  <c r="I295" i="66"/>
  <c r="H295" i="66"/>
  <c r="G295" i="66"/>
  <c r="E295" i="66"/>
  <c r="I294" i="66"/>
  <c r="H294" i="66"/>
  <c r="G294" i="66"/>
  <c r="E294" i="66"/>
  <c r="I293" i="66"/>
  <c r="H293" i="66"/>
  <c r="G293" i="66"/>
  <c r="E293" i="66"/>
  <c r="I292" i="66"/>
  <c r="H292" i="66"/>
  <c r="G292" i="66"/>
  <c r="E292" i="66"/>
  <c r="I291" i="66"/>
  <c r="H291" i="66"/>
  <c r="G291" i="66"/>
  <c r="E291" i="66"/>
  <c r="I290" i="66"/>
  <c r="H290" i="66"/>
  <c r="G290" i="66"/>
  <c r="E290" i="66"/>
  <c r="I289" i="66"/>
  <c r="H289" i="66"/>
  <c r="G289" i="66"/>
  <c r="E289" i="66"/>
  <c r="I288" i="66"/>
  <c r="H288" i="66"/>
  <c r="G288" i="66"/>
  <c r="E288" i="66"/>
  <c r="I287" i="66"/>
  <c r="H287" i="66"/>
  <c r="G287" i="66"/>
  <c r="E287" i="66"/>
  <c r="I286" i="66"/>
  <c r="H286" i="66"/>
  <c r="G286" i="66"/>
  <c r="E286" i="66"/>
  <c r="I285" i="66"/>
  <c r="H285" i="66"/>
  <c r="G285" i="66"/>
  <c r="E285" i="66"/>
  <c r="I284" i="66"/>
  <c r="H284" i="66"/>
  <c r="G284" i="66"/>
  <c r="E284" i="66"/>
  <c r="I283" i="66"/>
  <c r="H283" i="66"/>
  <c r="G283" i="66"/>
  <c r="E283" i="66"/>
  <c r="I282" i="66"/>
  <c r="H282" i="66"/>
  <c r="G282" i="66"/>
  <c r="D282" i="66" s="1"/>
  <c r="E282" i="66"/>
  <c r="I281" i="66"/>
  <c r="H281" i="66"/>
  <c r="G281" i="66"/>
  <c r="E281" i="66"/>
  <c r="I280" i="66"/>
  <c r="H280" i="66"/>
  <c r="G280" i="66"/>
  <c r="E280" i="66"/>
  <c r="I279" i="66"/>
  <c r="H279" i="66"/>
  <c r="G279" i="66"/>
  <c r="E279" i="66"/>
  <c r="I278" i="66"/>
  <c r="H278" i="66"/>
  <c r="G278" i="66"/>
  <c r="E278" i="66"/>
  <c r="I277" i="66"/>
  <c r="H277" i="66"/>
  <c r="G277" i="66"/>
  <c r="E277" i="66"/>
  <c r="I276" i="66"/>
  <c r="H276" i="66"/>
  <c r="G276" i="66"/>
  <c r="E276" i="66"/>
  <c r="I275" i="66"/>
  <c r="H275" i="66"/>
  <c r="G275" i="66"/>
  <c r="E275" i="66"/>
  <c r="I274" i="66"/>
  <c r="H274" i="66"/>
  <c r="G274" i="66"/>
  <c r="E274" i="66"/>
  <c r="I273" i="66"/>
  <c r="H273" i="66"/>
  <c r="G273" i="66"/>
  <c r="E273" i="66"/>
  <c r="I272" i="66"/>
  <c r="H272" i="66"/>
  <c r="G272" i="66"/>
  <c r="E272" i="66"/>
  <c r="I271" i="66"/>
  <c r="H271" i="66"/>
  <c r="G271" i="66"/>
  <c r="E271" i="66"/>
  <c r="I270" i="66"/>
  <c r="H270" i="66"/>
  <c r="G270" i="66"/>
  <c r="E270" i="66"/>
  <c r="I269" i="66"/>
  <c r="H269" i="66"/>
  <c r="G269" i="66"/>
  <c r="E269" i="66"/>
  <c r="I268" i="66"/>
  <c r="H268" i="66"/>
  <c r="G268" i="66"/>
  <c r="E268" i="66"/>
  <c r="I267" i="66"/>
  <c r="H267" i="66"/>
  <c r="G267" i="66"/>
  <c r="E267" i="66"/>
  <c r="I266" i="66"/>
  <c r="H266" i="66"/>
  <c r="G266" i="66"/>
  <c r="E266" i="66"/>
  <c r="I265" i="66"/>
  <c r="H265" i="66"/>
  <c r="G265" i="66"/>
  <c r="E265" i="66"/>
  <c r="I264" i="66"/>
  <c r="H264" i="66"/>
  <c r="G264" i="66"/>
  <c r="E264" i="66"/>
  <c r="I263" i="66"/>
  <c r="H263" i="66"/>
  <c r="G263" i="66"/>
  <c r="E263" i="66"/>
  <c r="I262" i="66"/>
  <c r="H262" i="66"/>
  <c r="G262" i="66"/>
  <c r="E262" i="66"/>
  <c r="I261" i="66"/>
  <c r="H261" i="66"/>
  <c r="G261" i="66"/>
  <c r="E261" i="66"/>
  <c r="I260" i="66"/>
  <c r="H260" i="66"/>
  <c r="G260" i="66"/>
  <c r="E260" i="66"/>
  <c r="I259" i="66"/>
  <c r="H259" i="66"/>
  <c r="G259" i="66"/>
  <c r="E259" i="66"/>
  <c r="I258" i="66"/>
  <c r="H258" i="66"/>
  <c r="G258" i="66"/>
  <c r="E258" i="66"/>
  <c r="I257" i="66"/>
  <c r="H257" i="66"/>
  <c r="G257" i="66"/>
  <c r="E257" i="66"/>
  <c r="I256" i="66"/>
  <c r="H256" i="66"/>
  <c r="G256" i="66"/>
  <c r="E256" i="66"/>
  <c r="I255" i="66"/>
  <c r="H255" i="66"/>
  <c r="G255" i="66"/>
  <c r="E255" i="66"/>
  <c r="I254" i="66"/>
  <c r="H254" i="66"/>
  <c r="G254" i="66"/>
  <c r="E254" i="66"/>
  <c r="I253" i="66"/>
  <c r="H253" i="66"/>
  <c r="G253" i="66"/>
  <c r="E253" i="66"/>
  <c r="I252" i="66"/>
  <c r="H252" i="66"/>
  <c r="G252" i="66"/>
  <c r="E252" i="66"/>
  <c r="I251" i="66"/>
  <c r="H251" i="66"/>
  <c r="G251" i="66"/>
  <c r="E251" i="66"/>
  <c r="I250" i="66"/>
  <c r="H250" i="66"/>
  <c r="G250" i="66"/>
  <c r="E250" i="66"/>
  <c r="I249" i="66"/>
  <c r="H249" i="66"/>
  <c r="G249" i="66"/>
  <c r="E249" i="66"/>
  <c r="I248" i="66"/>
  <c r="H248" i="66"/>
  <c r="G248" i="66"/>
  <c r="E248" i="66"/>
  <c r="I247" i="66"/>
  <c r="H247" i="66"/>
  <c r="G247" i="66"/>
  <c r="E247" i="66"/>
  <c r="I246" i="66"/>
  <c r="H246" i="66"/>
  <c r="G246" i="66"/>
  <c r="E246" i="66"/>
  <c r="I245" i="66"/>
  <c r="H245" i="66"/>
  <c r="G245" i="66"/>
  <c r="E245" i="66"/>
  <c r="I244" i="66"/>
  <c r="H244" i="66"/>
  <c r="G244" i="66"/>
  <c r="E244" i="66"/>
  <c r="I243" i="66"/>
  <c r="H243" i="66"/>
  <c r="G243" i="66"/>
  <c r="E243" i="66"/>
  <c r="I242" i="66"/>
  <c r="H242" i="66"/>
  <c r="G242" i="66"/>
  <c r="E242" i="66"/>
  <c r="I241" i="66"/>
  <c r="H241" i="66"/>
  <c r="G241" i="66"/>
  <c r="E241" i="66"/>
  <c r="I240" i="66"/>
  <c r="H240" i="66"/>
  <c r="G240" i="66"/>
  <c r="E240" i="66"/>
  <c r="I239" i="66"/>
  <c r="H239" i="66"/>
  <c r="G239" i="66"/>
  <c r="E239" i="66"/>
  <c r="I238" i="66"/>
  <c r="H238" i="66"/>
  <c r="G238" i="66"/>
  <c r="E238" i="66"/>
  <c r="I237" i="66"/>
  <c r="H237" i="66"/>
  <c r="G237" i="66"/>
  <c r="E237" i="66"/>
  <c r="I236" i="66"/>
  <c r="H236" i="66"/>
  <c r="G236" i="66"/>
  <c r="E236" i="66"/>
  <c r="I235" i="66"/>
  <c r="H235" i="66"/>
  <c r="G235" i="66"/>
  <c r="E235" i="66"/>
  <c r="I234" i="66"/>
  <c r="H234" i="66"/>
  <c r="G234" i="66"/>
  <c r="E234" i="66"/>
  <c r="I233" i="66"/>
  <c r="H233" i="66"/>
  <c r="G233" i="66"/>
  <c r="E233" i="66"/>
  <c r="I232" i="66"/>
  <c r="H232" i="66"/>
  <c r="G232" i="66"/>
  <c r="E232" i="66"/>
  <c r="I231" i="66"/>
  <c r="H231" i="66"/>
  <c r="G231" i="66"/>
  <c r="E231" i="66"/>
  <c r="I230" i="66"/>
  <c r="H230" i="66"/>
  <c r="G230" i="66"/>
  <c r="E230" i="66"/>
  <c r="I229" i="66"/>
  <c r="H229" i="66"/>
  <c r="G229" i="66"/>
  <c r="E229" i="66"/>
  <c r="I228" i="66"/>
  <c r="H228" i="66"/>
  <c r="G228" i="66"/>
  <c r="E228" i="66"/>
  <c r="I227" i="66"/>
  <c r="H227" i="66"/>
  <c r="G227" i="66"/>
  <c r="E227" i="66"/>
  <c r="I226" i="66"/>
  <c r="H226" i="66"/>
  <c r="G226" i="66"/>
  <c r="E226" i="66"/>
  <c r="I225" i="66"/>
  <c r="H225" i="66"/>
  <c r="G225" i="66"/>
  <c r="E225" i="66"/>
  <c r="I224" i="66"/>
  <c r="H224" i="66"/>
  <c r="G224" i="66"/>
  <c r="E224" i="66"/>
  <c r="I223" i="66"/>
  <c r="H223" i="66"/>
  <c r="G223" i="66"/>
  <c r="E223" i="66"/>
  <c r="I222" i="66"/>
  <c r="H222" i="66"/>
  <c r="G222" i="66"/>
  <c r="E222" i="66"/>
  <c r="I221" i="66"/>
  <c r="H221" i="66"/>
  <c r="G221" i="66"/>
  <c r="E221" i="66"/>
  <c r="I220" i="66"/>
  <c r="H220" i="66"/>
  <c r="G220" i="66"/>
  <c r="E220" i="66"/>
  <c r="I219" i="66"/>
  <c r="H219" i="66"/>
  <c r="G219" i="66"/>
  <c r="E219" i="66"/>
  <c r="I218" i="66"/>
  <c r="H218" i="66"/>
  <c r="G218" i="66"/>
  <c r="E218" i="66"/>
  <c r="I217" i="66"/>
  <c r="H217" i="66"/>
  <c r="G217" i="66"/>
  <c r="E217" i="66"/>
  <c r="I216" i="66"/>
  <c r="H216" i="66"/>
  <c r="G216" i="66"/>
  <c r="E216" i="66"/>
  <c r="I215" i="66"/>
  <c r="H215" i="66"/>
  <c r="G215" i="66"/>
  <c r="E215" i="66"/>
  <c r="I214" i="66"/>
  <c r="H214" i="66"/>
  <c r="G214" i="66"/>
  <c r="E214" i="66"/>
  <c r="I213" i="66"/>
  <c r="H213" i="66"/>
  <c r="G213" i="66"/>
  <c r="E213" i="66"/>
  <c r="I212" i="66"/>
  <c r="H212" i="66"/>
  <c r="G212" i="66"/>
  <c r="E212" i="66"/>
  <c r="I211" i="66"/>
  <c r="H211" i="66"/>
  <c r="G211" i="66"/>
  <c r="E211" i="66"/>
  <c r="I210" i="66"/>
  <c r="H210" i="66"/>
  <c r="G210" i="66"/>
  <c r="E210" i="66"/>
  <c r="I209" i="66"/>
  <c r="H209" i="66"/>
  <c r="G209" i="66"/>
  <c r="E209" i="66"/>
  <c r="I208" i="66"/>
  <c r="H208" i="66"/>
  <c r="G208" i="66"/>
  <c r="E208" i="66"/>
  <c r="I207" i="66"/>
  <c r="H207" i="66"/>
  <c r="G207" i="66"/>
  <c r="E207" i="66"/>
  <c r="I206" i="66"/>
  <c r="H206" i="66"/>
  <c r="G206" i="66"/>
  <c r="E206" i="66"/>
  <c r="I205" i="66"/>
  <c r="H205" i="66"/>
  <c r="G205" i="66"/>
  <c r="E205" i="66"/>
  <c r="I204" i="66"/>
  <c r="H204" i="66"/>
  <c r="G204" i="66"/>
  <c r="E204" i="66"/>
  <c r="I203" i="66"/>
  <c r="H203" i="66"/>
  <c r="G203" i="66"/>
  <c r="E203" i="66"/>
  <c r="I202" i="66"/>
  <c r="H202" i="66"/>
  <c r="G202" i="66"/>
  <c r="E202" i="66"/>
  <c r="I201" i="66"/>
  <c r="H201" i="66"/>
  <c r="G201" i="66"/>
  <c r="D201" i="66" s="1"/>
  <c r="E201" i="66"/>
  <c r="I200" i="66"/>
  <c r="H200" i="66"/>
  <c r="G200" i="66"/>
  <c r="E200" i="66"/>
  <c r="I199" i="66"/>
  <c r="H199" i="66"/>
  <c r="G199" i="66"/>
  <c r="E199" i="66"/>
  <c r="I198" i="66"/>
  <c r="H198" i="66"/>
  <c r="G198" i="66"/>
  <c r="E198" i="66"/>
  <c r="I197" i="66"/>
  <c r="H197" i="66"/>
  <c r="G197" i="66"/>
  <c r="E197" i="66"/>
  <c r="I196" i="66"/>
  <c r="H196" i="66"/>
  <c r="G196" i="66"/>
  <c r="E196" i="66"/>
  <c r="I195" i="66"/>
  <c r="H195" i="66"/>
  <c r="G195" i="66"/>
  <c r="E195" i="66"/>
  <c r="I194" i="66"/>
  <c r="H194" i="66"/>
  <c r="G194" i="66"/>
  <c r="E194" i="66"/>
  <c r="I193" i="66"/>
  <c r="H193" i="66"/>
  <c r="G193" i="66"/>
  <c r="E193" i="66"/>
  <c r="I192" i="66"/>
  <c r="H192" i="66"/>
  <c r="G192" i="66"/>
  <c r="E192" i="66"/>
  <c r="I191" i="66"/>
  <c r="H191" i="66"/>
  <c r="G191" i="66"/>
  <c r="E191" i="66"/>
  <c r="I190" i="66"/>
  <c r="H190" i="66"/>
  <c r="G190" i="66"/>
  <c r="E190" i="66"/>
  <c r="I189" i="66"/>
  <c r="H189" i="66"/>
  <c r="G189" i="66"/>
  <c r="D189" i="66" s="1"/>
  <c r="E189" i="66"/>
  <c r="I188" i="66"/>
  <c r="H188" i="66"/>
  <c r="G188" i="66"/>
  <c r="E188" i="66"/>
  <c r="I187" i="66"/>
  <c r="H187" i="66"/>
  <c r="G187" i="66"/>
  <c r="E187" i="66"/>
  <c r="I186" i="66"/>
  <c r="H186" i="66"/>
  <c r="G186" i="66"/>
  <c r="E186" i="66"/>
  <c r="I185" i="66"/>
  <c r="H185" i="66"/>
  <c r="G185" i="66"/>
  <c r="E185" i="66"/>
  <c r="I184" i="66"/>
  <c r="H184" i="66"/>
  <c r="G184" i="66"/>
  <c r="E184" i="66"/>
  <c r="I183" i="66"/>
  <c r="H183" i="66"/>
  <c r="G183" i="66"/>
  <c r="E183" i="66"/>
  <c r="I182" i="66"/>
  <c r="H182" i="66"/>
  <c r="G182" i="66"/>
  <c r="E182" i="66"/>
  <c r="I181" i="66"/>
  <c r="H181" i="66"/>
  <c r="G181" i="66"/>
  <c r="E181" i="66"/>
  <c r="I180" i="66"/>
  <c r="H180" i="66"/>
  <c r="G180" i="66"/>
  <c r="E180" i="66"/>
  <c r="I179" i="66"/>
  <c r="H179" i="66"/>
  <c r="G179" i="66"/>
  <c r="E179" i="66"/>
  <c r="I178" i="66"/>
  <c r="H178" i="66"/>
  <c r="G178" i="66"/>
  <c r="E178" i="66"/>
  <c r="I177" i="66"/>
  <c r="H177" i="66"/>
  <c r="G177" i="66"/>
  <c r="E177" i="66"/>
  <c r="I176" i="66"/>
  <c r="H176" i="66"/>
  <c r="G176" i="66"/>
  <c r="E176" i="66"/>
  <c r="I175" i="66"/>
  <c r="H175" i="66"/>
  <c r="G175" i="66"/>
  <c r="E175" i="66"/>
  <c r="I174" i="66"/>
  <c r="H174" i="66"/>
  <c r="G174" i="66"/>
  <c r="D174" i="66" s="1"/>
  <c r="E174" i="66"/>
  <c r="I173" i="66"/>
  <c r="H173" i="66"/>
  <c r="G173" i="66"/>
  <c r="E173" i="66"/>
  <c r="I172" i="66"/>
  <c r="H172" i="66"/>
  <c r="G172" i="66"/>
  <c r="E172" i="66"/>
  <c r="I171" i="66"/>
  <c r="H171" i="66"/>
  <c r="G171" i="66"/>
  <c r="E171" i="66"/>
  <c r="I170" i="66"/>
  <c r="H170" i="66"/>
  <c r="G170" i="66"/>
  <c r="E170" i="66"/>
  <c r="I169" i="66"/>
  <c r="H169" i="66"/>
  <c r="G169" i="66"/>
  <c r="D169" i="66" s="1"/>
  <c r="E169" i="66"/>
  <c r="I168" i="66"/>
  <c r="H168" i="66"/>
  <c r="G168" i="66"/>
  <c r="E168" i="66"/>
  <c r="I167" i="66"/>
  <c r="H167" i="66"/>
  <c r="G167" i="66"/>
  <c r="E167" i="66"/>
  <c r="I166" i="66"/>
  <c r="H166" i="66"/>
  <c r="G166" i="66"/>
  <c r="E166" i="66"/>
  <c r="I165" i="66"/>
  <c r="H165" i="66"/>
  <c r="G165" i="66"/>
  <c r="E165" i="66"/>
  <c r="I164" i="66"/>
  <c r="H164" i="66"/>
  <c r="G164" i="66"/>
  <c r="E164" i="66"/>
  <c r="I163" i="66"/>
  <c r="H163" i="66"/>
  <c r="G163" i="66"/>
  <c r="E163" i="66"/>
  <c r="I162" i="66"/>
  <c r="H162" i="66"/>
  <c r="G162" i="66"/>
  <c r="E162" i="66"/>
  <c r="I161" i="66"/>
  <c r="H161" i="66"/>
  <c r="G161" i="66"/>
  <c r="E161" i="66"/>
  <c r="I160" i="66"/>
  <c r="H160" i="66"/>
  <c r="G160" i="66"/>
  <c r="E160" i="66"/>
  <c r="I159" i="66"/>
  <c r="H159" i="66"/>
  <c r="G159" i="66"/>
  <c r="E159" i="66"/>
  <c r="I158" i="66"/>
  <c r="H158" i="66"/>
  <c r="G158" i="66"/>
  <c r="E158" i="66"/>
  <c r="I157" i="66"/>
  <c r="H157" i="66"/>
  <c r="G157" i="66"/>
  <c r="E157" i="66"/>
  <c r="I156" i="66"/>
  <c r="H156" i="66"/>
  <c r="G156" i="66"/>
  <c r="E156" i="66"/>
  <c r="I155" i="66"/>
  <c r="H155" i="66"/>
  <c r="G155" i="66"/>
  <c r="E155" i="66"/>
  <c r="I154" i="66"/>
  <c r="H154" i="66"/>
  <c r="G154" i="66"/>
  <c r="E154" i="66"/>
  <c r="I153" i="66"/>
  <c r="H153" i="66"/>
  <c r="G153" i="66"/>
  <c r="E153" i="66"/>
  <c r="I152" i="66"/>
  <c r="H152" i="66"/>
  <c r="G152" i="66"/>
  <c r="E152" i="66"/>
  <c r="I151" i="66"/>
  <c r="H151" i="66"/>
  <c r="G151" i="66"/>
  <c r="E151" i="66"/>
  <c r="I150" i="66"/>
  <c r="H150" i="66"/>
  <c r="G150" i="66"/>
  <c r="E150" i="66"/>
  <c r="I149" i="66"/>
  <c r="H149" i="66"/>
  <c r="G149" i="66"/>
  <c r="E149" i="66"/>
  <c r="I148" i="66"/>
  <c r="H148" i="66"/>
  <c r="G148" i="66"/>
  <c r="E148" i="66"/>
  <c r="I147" i="66"/>
  <c r="H147" i="66"/>
  <c r="G147" i="66"/>
  <c r="E147" i="66"/>
  <c r="I146" i="66"/>
  <c r="H146" i="66"/>
  <c r="G146" i="66"/>
  <c r="E146" i="66"/>
  <c r="I145" i="66"/>
  <c r="H145" i="66"/>
  <c r="G145" i="66"/>
  <c r="E145" i="66"/>
  <c r="I144" i="66"/>
  <c r="H144" i="66"/>
  <c r="G144" i="66"/>
  <c r="E144" i="66"/>
  <c r="I143" i="66"/>
  <c r="H143" i="66"/>
  <c r="G143" i="66"/>
  <c r="E143" i="66"/>
  <c r="I142" i="66"/>
  <c r="H142" i="66"/>
  <c r="G142" i="66"/>
  <c r="E142" i="66"/>
  <c r="I141" i="66"/>
  <c r="H141" i="66"/>
  <c r="G141" i="66"/>
  <c r="E141" i="66"/>
  <c r="I140" i="66"/>
  <c r="H140" i="66"/>
  <c r="G140" i="66"/>
  <c r="E140" i="66"/>
  <c r="I139" i="66"/>
  <c r="H139" i="66"/>
  <c r="G139" i="66"/>
  <c r="E139" i="66"/>
  <c r="I138" i="66"/>
  <c r="H138" i="66"/>
  <c r="G138" i="66"/>
  <c r="E138" i="66"/>
  <c r="I137" i="66"/>
  <c r="H137" i="66"/>
  <c r="G137" i="66"/>
  <c r="E137" i="66"/>
  <c r="I136" i="66"/>
  <c r="H136" i="66"/>
  <c r="G136" i="66"/>
  <c r="E136" i="66"/>
  <c r="I135" i="66"/>
  <c r="H135" i="66"/>
  <c r="G135" i="66"/>
  <c r="E135" i="66"/>
  <c r="I134" i="66"/>
  <c r="H134" i="66"/>
  <c r="G134" i="66"/>
  <c r="E134" i="66"/>
  <c r="I133" i="66"/>
  <c r="H133" i="66"/>
  <c r="G133" i="66"/>
  <c r="E133" i="66"/>
  <c r="I132" i="66"/>
  <c r="H132" i="66"/>
  <c r="G132" i="66"/>
  <c r="E132" i="66"/>
  <c r="I131" i="66"/>
  <c r="H131" i="66"/>
  <c r="G131" i="66"/>
  <c r="E131" i="66"/>
  <c r="I130" i="66"/>
  <c r="H130" i="66"/>
  <c r="G130" i="66"/>
  <c r="E130" i="66"/>
  <c r="I129" i="66"/>
  <c r="H129" i="66"/>
  <c r="G129" i="66"/>
  <c r="E129" i="66"/>
  <c r="I128" i="66"/>
  <c r="H128" i="66"/>
  <c r="G128" i="66"/>
  <c r="E128" i="66"/>
  <c r="I127" i="66"/>
  <c r="H127" i="66"/>
  <c r="G127" i="66"/>
  <c r="E127" i="66"/>
  <c r="I126" i="66"/>
  <c r="H126" i="66"/>
  <c r="G126" i="66"/>
  <c r="E126" i="66"/>
  <c r="I125" i="66"/>
  <c r="H125" i="66"/>
  <c r="G125" i="66"/>
  <c r="E125" i="66"/>
  <c r="I124" i="66"/>
  <c r="H124" i="66"/>
  <c r="G124" i="66"/>
  <c r="E124" i="66"/>
  <c r="I123" i="66"/>
  <c r="H123" i="66"/>
  <c r="G123" i="66"/>
  <c r="E123" i="66"/>
  <c r="I122" i="66"/>
  <c r="H122" i="66"/>
  <c r="G122" i="66"/>
  <c r="E122" i="66"/>
  <c r="I121" i="66"/>
  <c r="H121" i="66"/>
  <c r="G121" i="66"/>
  <c r="E121" i="66"/>
  <c r="I120" i="66"/>
  <c r="H120" i="66"/>
  <c r="G120" i="66"/>
  <c r="E120" i="66"/>
  <c r="I119" i="66"/>
  <c r="H119" i="66"/>
  <c r="G119" i="66"/>
  <c r="E119" i="66"/>
  <c r="I118" i="66"/>
  <c r="H118" i="66"/>
  <c r="G118" i="66"/>
  <c r="E118" i="66"/>
  <c r="I117" i="66"/>
  <c r="H117" i="66"/>
  <c r="G117" i="66"/>
  <c r="E117" i="66"/>
  <c r="I116" i="66"/>
  <c r="H116" i="66"/>
  <c r="G116" i="66"/>
  <c r="E116" i="66"/>
  <c r="I115" i="66"/>
  <c r="H115" i="66"/>
  <c r="G115" i="66"/>
  <c r="E115" i="66"/>
  <c r="I114" i="66"/>
  <c r="H114" i="66"/>
  <c r="G114" i="66"/>
  <c r="E114" i="66"/>
  <c r="I113" i="66"/>
  <c r="H113" i="66"/>
  <c r="G113" i="66"/>
  <c r="E113" i="66"/>
  <c r="I112" i="66"/>
  <c r="H112" i="66"/>
  <c r="G112" i="66"/>
  <c r="E112" i="66"/>
  <c r="I111" i="66"/>
  <c r="H111" i="66"/>
  <c r="G111" i="66"/>
  <c r="E111" i="66"/>
  <c r="I110" i="66"/>
  <c r="H110" i="66"/>
  <c r="G110" i="66"/>
  <c r="E110" i="66"/>
  <c r="I109" i="66"/>
  <c r="H109" i="66"/>
  <c r="G109" i="66"/>
  <c r="E109" i="66"/>
  <c r="I108" i="66"/>
  <c r="H108" i="66"/>
  <c r="G108" i="66"/>
  <c r="E108" i="66"/>
  <c r="I107" i="66"/>
  <c r="H107" i="66"/>
  <c r="G107" i="66"/>
  <c r="E107" i="66"/>
  <c r="I106" i="66"/>
  <c r="H106" i="66"/>
  <c r="G106" i="66"/>
  <c r="E106" i="66"/>
  <c r="I105" i="66"/>
  <c r="H105" i="66"/>
  <c r="G105" i="66"/>
  <c r="E105" i="66"/>
  <c r="I104" i="66"/>
  <c r="H104" i="66"/>
  <c r="G104" i="66"/>
  <c r="E104" i="66"/>
  <c r="I103" i="66"/>
  <c r="H103" i="66"/>
  <c r="G103" i="66"/>
  <c r="E103" i="66"/>
  <c r="I102" i="66"/>
  <c r="H102" i="66"/>
  <c r="G102" i="66"/>
  <c r="E102" i="66"/>
  <c r="I101" i="66"/>
  <c r="H101" i="66"/>
  <c r="G101" i="66"/>
  <c r="E101" i="66"/>
  <c r="I100" i="66"/>
  <c r="H100" i="66"/>
  <c r="G100" i="66"/>
  <c r="E100" i="66"/>
  <c r="I99" i="66"/>
  <c r="H99" i="66"/>
  <c r="G99" i="66"/>
  <c r="E99" i="66"/>
  <c r="I98" i="66"/>
  <c r="H98" i="66"/>
  <c r="G98" i="66"/>
  <c r="E98" i="66"/>
  <c r="I97" i="66"/>
  <c r="H97" i="66"/>
  <c r="G97" i="66"/>
  <c r="E97" i="66"/>
  <c r="I96" i="66"/>
  <c r="H96" i="66"/>
  <c r="G96" i="66"/>
  <c r="D96" i="66" s="1"/>
  <c r="E96" i="66"/>
  <c r="I95" i="66"/>
  <c r="H95" i="66"/>
  <c r="G95" i="66"/>
  <c r="E95" i="66"/>
  <c r="I94" i="66"/>
  <c r="H94" i="66"/>
  <c r="G94" i="66"/>
  <c r="E94" i="66"/>
  <c r="I93" i="66"/>
  <c r="H93" i="66"/>
  <c r="G93" i="66"/>
  <c r="E93" i="66"/>
  <c r="I92" i="66"/>
  <c r="H92" i="66"/>
  <c r="G92" i="66"/>
  <c r="E92" i="66"/>
  <c r="I91" i="66"/>
  <c r="H91" i="66"/>
  <c r="G91" i="66"/>
  <c r="E91" i="66"/>
  <c r="I90" i="66"/>
  <c r="H90" i="66"/>
  <c r="G90" i="66"/>
  <c r="E90" i="66"/>
  <c r="I89" i="66"/>
  <c r="H89" i="66"/>
  <c r="G89" i="66"/>
  <c r="E89" i="66"/>
  <c r="I88" i="66"/>
  <c r="H88" i="66"/>
  <c r="G88" i="66"/>
  <c r="E88" i="66"/>
  <c r="I87" i="66"/>
  <c r="H87" i="66"/>
  <c r="G87" i="66"/>
  <c r="E87" i="66"/>
  <c r="I86" i="66"/>
  <c r="H86" i="66"/>
  <c r="G86" i="66"/>
  <c r="E86" i="66"/>
  <c r="I85" i="66"/>
  <c r="H85" i="66"/>
  <c r="G85" i="66"/>
  <c r="E85" i="66"/>
  <c r="I84" i="66"/>
  <c r="H84" i="66"/>
  <c r="G84" i="66"/>
  <c r="E84" i="66"/>
  <c r="I83" i="66"/>
  <c r="H83" i="66"/>
  <c r="G83" i="66"/>
  <c r="E83" i="66"/>
  <c r="I82" i="66"/>
  <c r="H82" i="66"/>
  <c r="G82" i="66"/>
  <c r="E82" i="66"/>
  <c r="I81" i="66"/>
  <c r="H81" i="66"/>
  <c r="G81" i="66"/>
  <c r="E81" i="66"/>
  <c r="I80" i="66"/>
  <c r="H80" i="66"/>
  <c r="G80" i="66"/>
  <c r="E80" i="66"/>
  <c r="I79" i="66"/>
  <c r="H79" i="66"/>
  <c r="G79" i="66"/>
  <c r="E79" i="66"/>
  <c r="I78" i="66"/>
  <c r="H78" i="66"/>
  <c r="G78" i="66"/>
  <c r="E78" i="66"/>
  <c r="I77" i="66"/>
  <c r="H77" i="66"/>
  <c r="G77" i="66"/>
  <c r="E77" i="66"/>
  <c r="I76" i="66"/>
  <c r="H76" i="66"/>
  <c r="G76" i="66"/>
  <c r="E76" i="66"/>
  <c r="I75" i="66"/>
  <c r="H75" i="66"/>
  <c r="G75" i="66"/>
  <c r="E75" i="66"/>
  <c r="I74" i="66"/>
  <c r="H74" i="66"/>
  <c r="G74" i="66"/>
  <c r="E74" i="66"/>
  <c r="I73" i="66"/>
  <c r="H73" i="66"/>
  <c r="G73" i="66"/>
  <c r="E73" i="66"/>
  <c r="I72" i="66"/>
  <c r="H72" i="66"/>
  <c r="G72" i="66"/>
  <c r="E72" i="66"/>
  <c r="I71" i="66"/>
  <c r="H71" i="66"/>
  <c r="G71" i="66"/>
  <c r="E71" i="66"/>
  <c r="I70" i="66"/>
  <c r="H70" i="66"/>
  <c r="G70" i="66"/>
  <c r="E70" i="66"/>
  <c r="I69" i="66"/>
  <c r="H69" i="66"/>
  <c r="G69" i="66"/>
  <c r="E69" i="66"/>
  <c r="I68" i="66"/>
  <c r="H68" i="66"/>
  <c r="G68" i="66"/>
  <c r="E68" i="66"/>
  <c r="I67" i="66"/>
  <c r="H67" i="66"/>
  <c r="G67" i="66"/>
  <c r="E67" i="66"/>
  <c r="AW66" i="66"/>
  <c r="AV66" i="66"/>
  <c r="AN66" i="66"/>
  <c r="AO66" i="66" s="1"/>
  <c r="AM66" i="66"/>
  <c r="I66" i="66"/>
  <c r="H66" i="66"/>
  <c r="G66" i="66"/>
  <c r="E66" i="66"/>
  <c r="AX65" i="66"/>
  <c r="AO65" i="66"/>
  <c r="P32" i="66" s="1"/>
  <c r="P33" i="66" s="1"/>
  <c r="I65" i="66"/>
  <c r="H65" i="66"/>
  <c r="G65" i="66"/>
  <c r="E65" i="66"/>
  <c r="AX64" i="66"/>
  <c r="AO64" i="66"/>
  <c r="P31" i="66"/>
  <c r="AI64" i="66"/>
  <c r="R32" i="66" s="1"/>
  <c r="I64" i="66"/>
  <c r="H64" i="66"/>
  <c r="G64" i="66"/>
  <c r="E64" i="66"/>
  <c r="AX63" i="66"/>
  <c r="AO63" i="66"/>
  <c r="P30" i="66" s="1"/>
  <c r="AI63" i="66"/>
  <c r="R31" i="66" s="1"/>
  <c r="Q31" i="66" s="1"/>
  <c r="I63" i="66"/>
  <c r="H63" i="66"/>
  <c r="G63" i="66"/>
  <c r="E63" i="66"/>
  <c r="AX62" i="66"/>
  <c r="AO62" i="66"/>
  <c r="P29" i="66" s="1"/>
  <c r="AI62" i="66"/>
  <c r="R30" i="66" s="1"/>
  <c r="Q30" i="66" s="1"/>
  <c r="I62" i="66"/>
  <c r="H62" i="66"/>
  <c r="G62" i="66"/>
  <c r="E62" i="66"/>
  <c r="AX61" i="66"/>
  <c r="AO61" i="66"/>
  <c r="P28" i="66" s="1"/>
  <c r="AI61" i="66"/>
  <c r="R29" i="66" s="1"/>
  <c r="Q29" i="66" s="1"/>
  <c r="I61" i="66"/>
  <c r="H61" i="66"/>
  <c r="G61" i="66"/>
  <c r="E61" i="66"/>
  <c r="AX60" i="66"/>
  <c r="AO60" i="66"/>
  <c r="P27" i="66" s="1"/>
  <c r="AI60" i="66"/>
  <c r="R28" i="66" s="1"/>
  <c r="Q28" i="66" s="1"/>
  <c r="I60" i="66"/>
  <c r="H60" i="66"/>
  <c r="G60" i="66"/>
  <c r="E60" i="66"/>
  <c r="AX59" i="66"/>
  <c r="AO59" i="66"/>
  <c r="P26" i="66" s="1"/>
  <c r="AI59" i="66"/>
  <c r="R27" i="66" s="1"/>
  <c r="Q27" i="66" s="1"/>
  <c r="I59" i="66"/>
  <c r="H59" i="66"/>
  <c r="G59" i="66"/>
  <c r="E59" i="66"/>
  <c r="AX58" i="66"/>
  <c r="AO58" i="66"/>
  <c r="P25" i="66" s="1"/>
  <c r="AI58" i="66"/>
  <c r="R26" i="66" s="1"/>
  <c r="Q26" i="66" s="1"/>
  <c r="I58" i="66"/>
  <c r="H58" i="66"/>
  <c r="G58" i="66"/>
  <c r="E58" i="66"/>
  <c r="AX57" i="66"/>
  <c r="AO57" i="66"/>
  <c r="P24" i="66" s="1"/>
  <c r="AI57" i="66"/>
  <c r="R25" i="66" s="1"/>
  <c r="Q25" i="66" s="1"/>
  <c r="I57" i="66"/>
  <c r="H57" i="66"/>
  <c r="G57" i="66"/>
  <c r="E57" i="66"/>
  <c r="AX56" i="66"/>
  <c r="AO56" i="66"/>
  <c r="P23" i="66" s="1"/>
  <c r="AI56" i="66"/>
  <c r="R24" i="66" s="1"/>
  <c r="Q24" i="66" s="1"/>
  <c r="I56" i="66"/>
  <c r="H56" i="66"/>
  <c r="G56" i="66"/>
  <c r="E56" i="66"/>
  <c r="AX55" i="66"/>
  <c r="AO55" i="66"/>
  <c r="P22" i="66" s="1"/>
  <c r="AI55" i="66"/>
  <c r="R23" i="66" s="1"/>
  <c r="I55" i="66"/>
  <c r="H55" i="66"/>
  <c r="G55" i="66"/>
  <c r="E55" i="66"/>
  <c r="AX54" i="66"/>
  <c r="AO54" i="66"/>
  <c r="P21" i="66" s="1"/>
  <c r="AI54" i="66"/>
  <c r="R22" i="66" s="1"/>
  <c r="I54" i="66"/>
  <c r="H54" i="66"/>
  <c r="G54" i="66"/>
  <c r="D54" i="66" s="1"/>
  <c r="E54" i="66"/>
  <c r="AX53" i="66"/>
  <c r="AO53" i="66"/>
  <c r="P20" i="66" s="1"/>
  <c r="AI53" i="66"/>
  <c r="R21" i="66" s="1"/>
  <c r="I53" i="66"/>
  <c r="H53" i="66"/>
  <c r="G53" i="66"/>
  <c r="E53" i="66"/>
  <c r="AX52" i="66"/>
  <c r="AO52" i="66"/>
  <c r="P19" i="66" s="1"/>
  <c r="AI52" i="66"/>
  <c r="R20" i="66" s="1"/>
  <c r="I52" i="66"/>
  <c r="H52" i="66"/>
  <c r="G52" i="66"/>
  <c r="E52" i="66"/>
  <c r="AX51" i="66"/>
  <c r="AO51" i="66"/>
  <c r="P18" i="66" s="1"/>
  <c r="Q18" i="66" s="1"/>
  <c r="AI51" i="66"/>
  <c r="R19" i="66" s="1"/>
  <c r="I51" i="66"/>
  <c r="H51" i="66"/>
  <c r="G51" i="66"/>
  <c r="E51" i="66"/>
  <c r="AX50" i="66"/>
  <c r="AO50" i="66"/>
  <c r="P17" i="66" s="1"/>
  <c r="Q17" i="66" s="1"/>
  <c r="AI50" i="66"/>
  <c r="R18" i="66" s="1"/>
  <c r="I50" i="66"/>
  <c r="H50" i="66"/>
  <c r="G50" i="66"/>
  <c r="E50" i="66"/>
  <c r="AX49" i="66"/>
  <c r="AO49" i="66"/>
  <c r="P16" i="66" s="1"/>
  <c r="Q16" i="66" s="1"/>
  <c r="AI49" i="66"/>
  <c r="R17" i="66" s="1"/>
  <c r="I49" i="66"/>
  <c r="H49" i="66"/>
  <c r="G49" i="66"/>
  <c r="E49" i="66"/>
  <c r="AX48" i="66"/>
  <c r="AO48" i="66"/>
  <c r="P15" i="66" s="1"/>
  <c r="Q15" i="66" s="1"/>
  <c r="AI48" i="66"/>
  <c r="R16" i="66" s="1"/>
  <c r="I48" i="66"/>
  <c r="H48" i="66"/>
  <c r="G48" i="66"/>
  <c r="E48" i="66"/>
  <c r="AX47" i="66"/>
  <c r="AO47" i="66"/>
  <c r="P14" i="66" s="1"/>
  <c r="AI47" i="66"/>
  <c r="R15" i="66" s="1"/>
  <c r="I47" i="66"/>
  <c r="H47" i="66"/>
  <c r="G47" i="66"/>
  <c r="E47" i="66"/>
  <c r="AX46" i="66"/>
  <c r="AO46" i="66"/>
  <c r="P13" i="66" s="1"/>
  <c r="AI46" i="66"/>
  <c r="R14" i="66" s="1"/>
  <c r="Q14" i="66" s="1"/>
  <c r="I46" i="66"/>
  <c r="H46" i="66"/>
  <c r="G46" i="66"/>
  <c r="E46" i="66"/>
  <c r="AX45" i="66"/>
  <c r="AO45" i="66"/>
  <c r="P12" i="66" s="1"/>
  <c r="AI45" i="66"/>
  <c r="R13" i="66" s="1"/>
  <c r="Q13" i="66" s="1"/>
  <c r="I45" i="66"/>
  <c r="H45" i="66"/>
  <c r="G45" i="66"/>
  <c r="E45" i="66"/>
  <c r="AX44" i="66"/>
  <c r="AO44" i="66"/>
  <c r="P11" i="66" s="1"/>
  <c r="AI44" i="66"/>
  <c r="R12" i="66" s="1"/>
  <c r="Q12" i="66" s="1"/>
  <c r="I44" i="66"/>
  <c r="H44" i="66"/>
  <c r="G44" i="66"/>
  <c r="E44" i="66"/>
  <c r="AX43" i="66"/>
  <c r="AO43" i="66"/>
  <c r="P10" i="66" s="1"/>
  <c r="N10" i="66" s="1"/>
  <c r="AI43" i="66"/>
  <c r="R11" i="66" s="1"/>
  <c r="Q11" i="66" s="1"/>
  <c r="I43" i="66"/>
  <c r="H43" i="66"/>
  <c r="G43" i="66"/>
  <c r="E43" i="66"/>
  <c r="AX42" i="66"/>
  <c r="AO42" i="66"/>
  <c r="P9" i="66" s="1"/>
  <c r="AI42" i="66"/>
  <c r="R10" i="66" s="1"/>
  <c r="Q10" i="66" s="1"/>
  <c r="O10" i="66" s="1"/>
  <c r="I42" i="66"/>
  <c r="H42" i="66"/>
  <c r="G42" i="66"/>
  <c r="E42" i="66"/>
  <c r="AO41" i="66"/>
  <c r="AI41" i="66"/>
  <c r="R9" i="66" s="1"/>
  <c r="Q9" i="66" s="1"/>
  <c r="I41" i="66"/>
  <c r="H41" i="66"/>
  <c r="G41" i="66"/>
  <c r="E41" i="66"/>
  <c r="I40" i="66"/>
  <c r="H40" i="66"/>
  <c r="G40" i="66"/>
  <c r="E40" i="66"/>
  <c r="I39" i="66"/>
  <c r="H39" i="66"/>
  <c r="G39" i="66"/>
  <c r="E39" i="66"/>
  <c r="I38" i="66"/>
  <c r="H38" i="66"/>
  <c r="G38" i="66"/>
  <c r="E38" i="66"/>
  <c r="I37" i="66"/>
  <c r="H37" i="66"/>
  <c r="G37" i="66"/>
  <c r="E37" i="66"/>
  <c r="I36" i="66"/>
  <c r="H36" i="66"/>
  <c r="G36" i="66"/>
  <c r="E36" i="66"/>
  <c r="I35" i="66"/>
  <c r="H35" i="66"/>
  <c r="G35" i="66"/>
  <c r="E35" i="66"/>
  <c r="I34" i="66"/>
  <c r="H34" i="66"/>
  <c r="G34" i="66"/>
  <c r="E34" i="66"/>
  <c r="I33" i="66"/>
  <c r="H33" i="66"/>
  <c r="G33" i="66"/>
  <c r="E33" i="66"/>
  <c r="I32" i="66"/>
  <c r="H32" i="66"/>
  <c r="G32" i="66"/>
  <c r="E32" i="66"/>
  <c r="I31" i="66"/>
  <c r="H31" i="66"/>
  <c r="G31" i="66"/>
  <c r="E31" i="66"/>
  <c r="I30" i="66"/>
  <c r="H30" i="66"/>
  <c r="G30" i="66"/>
  <c r="E30" i="66"/>
  <c r="I29" i="66"/>
  <c r="H29" i="66"/>
  <c r="G29" i="66"/>
  <c r="E29" i="66"/>
  <c r="I28" i="66"/>
  <c r="H28" i="66"/>
  <c r="G28" i="66"/>
  <c r="E28" i="66"/>
  <c r="I27" i="66"/>
  <c r="H27" i="66"/>
  <c r="G27" i="66"/>
  <c r="E27" i="66"/>
  <c r="I26" i="66"/>
  <c r="H26" i="66"/>
  <c r="G26" i="66"/>
  <c r="E26" i="66"/>
  <c r="I25" i="66"/>
  <c r="H25" i="66"/>
  <c r="G25" i="66"/>
  <c r="E25" i="66"/>
  <c r="I24" i="66"/>
  <c r="H24" i="66"/>
  <c r="G24" i="66"/>
  <c r="E24" i="66"/>
  <c r="I23" i="66"/>
  <c r="H23" i="66"/>
  <c r="G23" i="66"/>
  <c r="E23" i="66"/>
  <c r="I22" i="66"/>
  <c r="H22" i="66"/>
  <c r="G22" i="66"/>
  <c r="E22" i="66"/>
  <c r="I21" i="66"/>
  <c r="H21" i="66"/>
  <c r="G21" i="66"/>
  <c r="E21" i="66"/>
  <c r="I20" i="66"/>
  <c r="H20" i="66"/>
  <c r="G20" i="66"/>
  <c r="E20" i="66"/>
  <c r="I19" i="66"/>
  <c r="H19" i="66"/>
  <c r="G19" i="66"/>
  <c r="E19" i="66"/>
  <c r="I18" i="66"/>
  <c r="H18" i="66"/>
  <c r="G18" i="66"/>
  <c r="E18" i="66"/>
  <c r="I17" i="66"/>
  <c r="H17" i="66"/>
  <c r="G17" i="66"/>
  <c r="E17" i="66"/>
  <c r="I16" i="66"/>
  <c r="H16" i="66"/>
  <c r="G16" i="66"/>
  <c r="E16" i="66"/>
  <c r="I15" i="66"/>
  <c r="H15" i="66"/>
  <c r="G15" i="66"/>
  <c r="E15" i="66"/>
  <c r="I14" i="66"/>
  <c r="H14" i="66"/>
  <c r="G14" i="66"/>
  <c r="E14" i="66"/>
  <c r="AL13" i="66"/>
  <c r="AL14" i="66" s="1"/>
  <c r="AL15" i="66" s="1"/>
  <c r="AL16" i="66" s="1"/>
  <c r="AL17" i="66" s="1"/>
  <c r="AL18" i="66" s="1"/>
  <c r="AL19" i="66" s="1"/>
  <c r="AL20" i="66" s="1"/>
  <c r="AL21" i="66" s="1"/>
  <c r="AL22" i="66" s="1"/>
  <c r="AL23" i="66" s="1"/>
  <c r="AL24" i="66" s="1"/>
  <c r="AL25" i="66" s="1"/>
  <c r="AL26" i="66" s="1"/>
  <c r="AL27" i="66" s="1"/>
  <c r="AL28" i="66" s="1"/>
  <c r="AL29" i="66" s="1"/>
  <c r="AL30" i="66" s="1"/>
  <c r="AL31" i="66" s="1"/>
  <c r="AL32" i="66" s="1"/>
  <c r="AL33" i="66" s="1"/>
  <c r="AL34" i="66" s="1"/>
  <c r="AL35" i="66" s="1"/>
  <c r="AL36" i="66" s="1"/>
  <c r="AL37" i="66" s="1"/>
  <c r="AL38" i="66" s="1"/>
  <c r="AL39" i="66" s="1"/>
  <c r="AL40" i="66" s="1"/>
  <c r="AL41" i="66" s="1"/>
  <c r="AL42" i="66" s="1"/>
  <c r="AL43" i="66" s="1"/>
  <c r="I13" i="66"/>
  <c r="H13" i="66"/>
  <c r="G13" i="66"/>
  <c r="E13" i="66"/>
  <c r="I12" i="66"/>
  <c r="H12" i="66"/>
  <c r="G12" i="66"/>
  <c r="E12" i="66"/>
  <c r="AP11" i="66"/>
  <c r="AQ11" i="66" s="1"/>
  <c r="I11" i="66"/>
  <c r="H11" i="66"/>
  <c r="G11" i="66"/>
  <c r="E11" i="66"/>
  <c r="K10" i="66"/>
  <c r="I10" i="66"/>
  <c r="H10" i="66"/>
  <c r="G10" i="66"/>
  <c r="E10" i="66"/>
  <c r="S9" i="66"/>
  <c r="I9" i="66"/>
  <c r="H9" i="66"/>
  <c r="G9" i="66"/>
  <c r="E9" i="66"/>
  <c r="U7" i="66"/>
  <c r="D6179" i="66"/>
  <c r="D1888" i="66"/>
  <c r="D5797" i="66"/>
  <c r="D5812" i="66"/>
  <c r="D5830" i="66"/>
  <c r="D5845" i="66"/>
  <c r="D5878" i="66"/>
  <c r="D5902" i="66"/>
  <c r="D5908" i="66"/>
  <c r="D5295" i="66"/>
  <c r="D4853" i="66"/>
  <c r="D5410" i="66"/>
  <c r="D3288" i="66"/>
  <c r="D3312" i="66"/>
  <c r="D3318" i="66"/>
  <c r="D3324" i="66"/>
  <c r="D3342" i="66"/>
  <c r="D3348" i="66"/>
  <c r="D3360" i="66"/>
  <c r="D3372" i="66"/>
  <c r="D3390" i="66"/>
  <c r="D3396" i="66"/>
  <c r="D3414" i="66"/>
  <c r="D3420" i="66"/>
  <c r="D3426" i="66"/>
  <c r="D3444" i="66"/>
  <c r="D3450" i="66"/>
  <c r="D3462" i="66"/>
  <c r="D3474" i="66"/>
  <c r="D3498" i="66"/>
  <c r="D3578" i="66"/>
  <c r="D3868" i="66"/>
  <c r="D3877" i="66"/>
  <c r="D3886" i="66"/>
  <c r="D3925" i="66"/>
  <c r="D3931" i="66"/>
  <c r="D3937" i="66"/>
  <c r="D3949" i="66"/>
  <c r="D3955" i="66"/>
  <c r="D3961" i="66"/>
  <c r="D3967" i="66"/>
  <c r="D3973" i="66"/>
  <c r="D3979" i="66"/>
  <c r="D3985" i="66"/>
  <c r="D4886" i="66"/>
  <c r="D4922" i="66"/>
  <c r="D3645" i="66"/>
  <c r="D6128" i="66"/>
  <c r="D6137" i="66"/>
  <c r="D3681" i="66"/>
  <c r="D3693" i="66"/>
  <c r="D5553" i="66"/>
  <c r="D5598" i="66"/>
  <c r="D5766" i="66"/>
  <c r="D3741" i="66"/>
  <c r="D5661" i="66"/>
  <c r="D5730" i="66"/>
  <c r="D6051" i="66"/>
  <c r="D6012" i="66"/>
  <c r="D6105" i="66"/>
  <c r="D1921" i="66"/>
  <c r="D2047" i="66"/>
  <c r="D2113" i="66"/>
  <c r="D2164" i="66"/>
  <c r="D3650" i="66"/>
  <c r="D3853" i="66"/>
  <c r="D4168" i="66"/>
  <c r="D2317" i="66"/>
  <c r="D2329" i="66"/>
  <c r="D2359" i="66"/>
  <c r="D2365" i="66"/>
  <c r="D2383" i="66"/>
  <c r="D2440" i="66"/>
  <c r="D2446" i="66"/>
  <c r="D2482" i="66"/>
  <c r="D2494" i="66"/>
  <c r="D2518" i="66"/>
  <c r="D2524" i="66"/>
  <c r="D2536" i="66"/>
  <c r="D2554" i="66"/>
  <c r="D2578" i="66"/>
  <c r="D2584" i="66"/>
  <c r="D2602" i="66"/>
  <c r="D2608" i="66"/>
  <c r="D2614" i="66"/>
  <c r="D2638" i="66"/>
  <c r="D2656" i="66"/>
  <c r="D2668" i="66"/>
  <c r="D2680" i="66"/>
  <c r="D2698" i="66"/>
  <c r="D2704" i="66"/>
  <c r="D2728" i="66"/>
  <c r="D2740" i="66"/>
  <c r="D2746" i="66"/>
  <c r="D2770" i="66"/>
  <c r="D2776" i="66"/>
  <c r="D3764" i="66"/>
  <c r="D3767" i="66"/>
  <c r="D3776" i="66"/>
  <c r="D3818" i="66"/>
  <c r="D4777" i="66"/>
  <c r="D4869" i="66"/>
  <c r="D4943" i="66"/>
  <c r="D4994" i="66"/>
  <c r="D5953" i="66"/>
  <c r="D5956" i="66"/>
  <c r="D5714" i="66"/>
  <c r="D5720" i="66"/>
  <c r="D5974" i="66"/>
  <c r="D6001" i="66"/>
  <c r="D2338" i="66"/>
  <c r="D2956" i="66"/>
  <c r="D3292" i="66"/>
  <c r="D3298" i="66"/>
  <c r="D3304" i="66"/>
  <c r="D3328" i="66"/>
  <c r="D3334" i="66"/>
  <c r="D3340" i="66"/>
  <c r="D3370" i="66"/>
  <c r="D3376" i="66"/>
  <c r="D3400" i="66"/>
  <c r="D3412" i="66"/>
  <c r="D3424" i="66"/>
  <c r="D3430" i="66"/>
  <c r="D3466" i="66"/>
  <c r="D3472" i="66"/>
  <c r="D3484" i="66"/>
  <c r="D3552" i="66"/>
  <c r="D3570" i="66"/>
  <c r="D3576" i="66"/>
  <c r="D3606" i="66"/>
  <c r="D3713" i="66"/>
  <c r="D3839" i="66"/>
  <c r="D3893" i="66"/>
  <c r="D3923" i="66"/>
  <c r="D3929" i="66"/>
  <c r="D3941" i="66"/>
  <c r="D3947" i="66"/>
  <c r="D3953" i="66"/>
  <c r="D3965" i="66"/>
  <c r="D3971" i="66"/>
  <c r="D3977" i="66"/>
  <c r="D3989" i="66"/>
  <c r="D4172" i="66"/>
  <c r="D5792" i="66"/>
  <c r="D5831" i="66"/>
  <c r="D5837" i="66"/>
  <c r="D5870" i="66"/>
  <c r="D5873" i="66"/>
  <c r="D5903" i="66"/>
  <c r="D5909" i="66"/>
  <c r="D4998" i="66"/>
  <c r="D5262" i="66"/>
  <c r="D5391" i="66"/>
  <c r="D5493" i="66"/>
  <c r="D5580" i="66"/>
  <c r="D5589" i="66"/>
  <c r="D5634" i="66"/>
  <c r="D5655" i="66"/>
  <c r="D3831" i="66"/>
  <c r="D3843" i="66"/>
  <c r="D5458" i="66"/>
  <c r="D5470" i="66"/>
  <c r="D5533" i="66"/>
  <c r="D5641" i="66"/>
  <c r="D5921" i="66"/>
  <c r="D6064" i="66"/>
  <c r="D1528" i="66"/>
  <c r="D1864" i="66"/>
  <c r="D1873" i="66"/>
  <c r="D3861" i="66"/>
  <c r="D3888" i="66"/>
  <c r="D3909" i="66"/>
  <c r="D3921" i="66"/>
  <c r="D3933" i="66"/>
  <c r="D3939" i="66"/>
  <c r="D3945" i="66"/>
  <c r="D3951" i="66"/>
  <c r="D3957" i="66"/>
  <c r="D3963" i="66"/>
  <c r="D3969" i="66"/>
  <c r="D3975" i="66"/>
  <c r="D3981" i="66"/>
  <c r="D3987" i="66"/>
  <c r="D3993" i="66"/>
  <c r="D4250" i="66"/>
  <c r="D5701" i="66"/>
  <c r="D3485" i="66"/>
  <c r="D3634" i="66"/>
  <c r="D3637" i="66"/>
  <c r="D3742" i="66"/>
  <c r="D4802" i="66"/>
  <c r="D4882" i="66"/>
  <c r="D4977" i="66"/>
  <c r="D4986" i="66"/>
  <c r="D4992" i="66"/>
  <c r="D5270" i="66"/>
  <c r="D5312" i="66"/>
  <c r="D5417" i="66"/>
  <c r="D5432" i="66"/>
  <c r="D5438" i="66"/>
  <c r="D5444" i="66"/>
  <c r="D5453" i="66"/>
  <c r="D5459" i="66"/>
  <c r="D5477" i="66"/>
  <c r="D5495" i="66"/>
  <c r="D5510" i="66"/>
  <c r="D5522" i="66"/>
  <c r="D5564" i="66"/>
  <c r="D5603" i="66"/>
  <c r="D5615" i="66"/>
  <c r="D5665" i="66"/>
  <c r="D5677" i="66"/>
  <c r="D5758" i="66"/>
  <c r="D5814" i="66"/>
  <c r="D5829" i="66"/>
  <c r="D5832" i="66"/>
  <c r="D5841" i="66"/>
  <c r="D5874" i="66"/>
  <c r="D5880" i="66"/>
  <c r="D6023" i="66"/>
  <c r="D6181" i="66"/>
  <c r="D2748" i="66"/>
  <c r="D3772" i="66"/>
  <c r="D3775" i="66"/>
  <c r="D3838" i="66"/>
  <c r="D4188" i="66"/>
  <c r="D4838" i="66"/>
  <c r="D4847" i="66"/>
  <c r="D4903" i="66"/>
  <c r="D4950" i="66"/>
  <c r="D5303" i="66"/>
  <c r="D5573" i="66"/>
  <c r="D5636" i="66"/>
  <c r="D5642" i="66"/>
  <c r="D5802" i="66"/>
  <c r="D5892" i="66"/>
  <c r="D5934" i="66"/>
  <c r="D5990" i="66"/>
  <c r="D6005" i="66"/>
  <c r="D6083" i="66"/>
  <c r="D3865" i="66"/>
  <c r="D1981" i="66"/>
  <c r="D2165" i="66"/>
  <c r="D2167" i="66"/>
  <c r="D1741" i="66"/>
  <c r="D2104" i="66"/>
  <c r="D2350" i="66"/>
  <c r="D2380" i="66"/>
  <c r="D2398" i="66"/>
  <c r="D2422" i="66"/>
  <c r="D2788" i="66"/>
  <c r="D2806" i="66"/>
  <c r="D2812" i="66"/>
  <c r="D2818" i="66"/>
  <c r="D2830" i="66"/>
  <c r="D2842" i="66"/>
  <c r="D2846" i="66"/>
  <c r="D2854" i="66"/>
  <c r="D2858" i="66"/>
  <c r="D2868" i="66"/>
  <c r="D2876" i="66"/>
  <c r="D2878" i="66"/>
  <c r="D2890" i="66"/>
  <c r="D2894" i="66"/>
  <c r="D2902" i="66"/>
  <c r="D2908" i="66"/>
  <c r="D2926" i="66"/>
  <c r="D2932" i="66"/>
  <c r="D2938" i="66"/>
  <c r="D2977" i="66"/>
  <c r="D3486" i="66"/>
  <c r="D3043" i="66"/>
  <c r="D3047" i="66"/>
  <c r="D3059" i="66"/>
  <c r="D3061" i="66"/>
  <c r="D3071" i="66"/>
  <c r="D3083" i="66"/>
  <c r="D3095" i="66"/>
  <c r="D3103" i="66"/>
  <c r="D3119" i="66"/>
  <c r="D3127" i="66"/>
  <c r="D3131" i="66"/>
  <c r="D3149" i="66"/>
  <c r="D3151" i="66"/>
  <c r="D3159" i="66"/>
  <c r="D3653" i="66"/>
  <c r="D3826" i="66"/>
  <c r="D1942" i="66"/>
  <c r="D2050" i="66"/>
  <c r="D2143" i="66"/>
  <c r="D2224" i="66"/>
  <c r="D3560" i="66"/>
  <c r="D3568" i="66"/>
  <c r="D3584" i="66"/>
  <c r="D2986" i="66"/>
  <c r="D3509" i="66"/>
  <c r="D3541" i="66"/>
  <c r="D3618" i="66"/>
  <c r="D3620" i="66"/>
  <c r="D3656" i="66"/>
  <c r="D3786" i="66"/>
  <c r="D3790" i="66"/>
  <c r="D3808" i="66"/>
  <c r="D3814" i="66"/>
  <c r="D3816" i="66"/>
  <c r="D3824" i="66"/>
  <c r="D3834" i="66"/>
  <c r="D3836" i="66"/>
  <c r="D3848" i="66"/>
  <c r="D3854" i="66"/>
  <c r="D3856" i="66"/>
  <c r="D3860" i="66"/>
  <c r="D3901" i="66"/>
  <c r="D4191" i="66"/>
  <c r="D4195" i="66"/>
  <c r="D4199" i="66"/>
  <c r="D2945" i="66"/>
  <c r="D3526" i="66"/>
  <c r="D3549" i="66"/>
  <c r="D3555" i="66"/>
  <c r="D3666" i="66"/>
  <c r="D3690" i="66"/>
  <c r="D3692" i="66"/>
  <c r="D3700" i="66"/>
  <c r="D3702" i="66"/>
  <c r="D3704" i="66"/>
  <c r="D3706" i="66"/>
  <c r="D3745" i="66"/>
  <c r="D3747" i="66"/>
  <c r="D4203" i="66"/>
  <c r="D3169" i="66"/>
  <c r="D3175" i="66"/>
  <c r="D3179" i="66"/>
  <c r="D3181" i="66"/>
  <c r="D3187" i="66"/>
  <c r="D3199" i="66"/>
  <c r="D3205" i="66"/>
  <c r="D3211" i="66"/>
  <c r="D3217" i="66"/>
  <c r="D3219" i="66"/>
  <c r="D3221" i="66"/>
  <c r="D3227" i="66"/>
  <c r="D3231" i="66"/>
  <c r="D3235" i="66"/>
  <c r="D3241" i="66"/>
  <c r="D3245" i="66"/>
  <c r="D3247" i="66"/>
  <c r="D3253" i="66"/>
  <c r="D3255" i="66"/>
  <c r="D3257" i="66"/>
  <c r="D3265" i="66"/>
  <c r="D3267" i="66"/>
  <c r="D3271" i="66"/>
  <c r="D3275" i="66"/>
  <c r="D3279" i="66"/>
  <c r="D3283" i="66"/>
  <c r="D3291" i="66"/>
  <c r="D3293" i="66"/>
  <c r="D3295" i="66"/>
  <c r="D3301" i="66"/>
  <c r="D3303" i="66"/>
  <c r="D3307" i="66"/>
  <c r="D3313" i="66"/>
  <c r="D3317" i="66"/>
  <c r="D3321" i="66"/>
  <c r="D3327" i="66"/>
  <c r="D3329" i="66"/>
  <c r="D3331" i="66"/>
  <c r="D3341" i="66"/>
  <c r="D3345" i="66"/>
  <c r="D3349" i="66"/>
  <c r="D3353" i="66"/>
  <c r="D3357" i="66"/>
  <c r="D3359" i="66"/>
  <c r="D3361" i="66"/>
  <c r="D3365" i="66"/>
  <c r="D3369" i="66"/>
  <c r="D3371" i="66"/>
  <c r="D3377" i="66"/>
  <c r="D3379" i="66"/>
  <c r="D3383" i="66"/>
  <c r="D3385" i="66"/>
  <c r="D3387" i="66"/>
  <c r="D3395" i="66"/>
  <c r="D3397" i="66"/>
  <c r="D3403" i="66"/>
  <c r="D3405" i="66"/>
  <c r="D3407" i="66"/>
  <c r="D3413" i="66"/>
  <c r="D3417" i="66"/>
  <c r="D3423" i="66"/>
  <c r="D3427" i="66"/>
  <c r="D3431" i="66"/>
  <c r="D3433" i="66"/>
  <c r="D3441" i="66"/>
  <c r="D3445" i="66"/>
  <c r="D3447" i="66"/>
  <c r="D3451" i="66"/>
  <c r="D3453" i="66"/>
  <c r="D3455" i="66"/>
  <c r="D3459" i="66"/>
  <c r="D3465" i="66"/>
  <c r="D3471" i="66"/>
  <c r="D3479" i="66"/>
  <c r="D3573" i="66"/>
  <c r="D3581" i="66"/>
  <c r="D3585" i="66"/>
  <c r="D3724" i="66"/>
  <c r="D3738" i="66"/>
  <c r="D3740" i="66"/>
  <c r="D4174" i="66"/>
  <c r="D3726" i="66"/>
  <c r="D3744" i="66"/>
  <c r="D3787" i="66"/>
  <c r="D3791" i="66"/>
  <c r="D3799" i="66"/>
  <c r="D5371" i="66"/>
  <c r="D3521" i="66"/>
  <c r="D3594" i="66"/>
  <c r="D3612" i="66"/>
  <c r="D3626" i="66"/>
  <c r="D3648" i="66"/>
  <c r="D3671" i="66"/>
  <c r="D3995" i="66"/>
  <c r="D3997" i="66"/>
  <c r="D3999" i="66"/>
  <c r="D4003" i="66"/>
  <c r="D4005" i="66"/>
  <c r="D4007" i="66"/>
  <c r="D4011" i="66"/>
  <c r="D4013" i="66"/>
  <c r="D4015" i="66"/>
  <c r="D4017" i="66"/>
  <c r="D4019" i="66"/>
  <c r="D4021" i="66"/>
  <c r="D4023" i="66"/>
  <c r="D4025" i="66"/>
  <c r="D4027" i="66"/>
  <c r="D4029" i="66"/>
  <c r="D4031" i="66"/>
  <c r="D4035" i="66"/>
  <c r="D4037" i="66"/>
  <c r="D4039" i="66"/>
  <c r="D4041" i="66"/>
  <c r="D4043" i="66"/>
  <c r="D4045" i="66"/>
  <c r="D4047" i="66"/>
  <c r="D4049" i="66"/>
  <c r="D4051" i="66"/>
  <c r="D4053" i="66"/>
  <c r="D4055" i="66"/>
  <c r="D4059" i="66"/>
  <c r="D4061" i="66"/>
  <c r="D4063" i="66"/>
  <c r="D4065" i="66"/>
  <c r="D4067" i="66"/>
  <c r="D4069" i="66"/>
  <c r="D4071" i="66"/>
  <c r="D4073" i="66"/>
  <c r="D4075" i="66"/>
  <c r="D4077" i="66"/>
  <c r="D4079" i="66"/>
  <c r="D4083" i="66"/>
  <c r="D4085" i="66"/>
  <c r="D4087" i="66"/>
  <c r="D4089" i="66"/>
  <c r="D4091" i="66"/>
  <c r="D4093" i="66"/>
  <c r="D4095" i="66"/>
  <c r="D4097" i="66"/>
  <c r="D4099" i="66"/>
  <c r="D4101" i="66"/>
  <c r="D4103" i="66"/>
  <c r="D4107" i="66"/>
  <c r="D4109" i="66"/>
  <c r="D4111" i="66"/>
  <c r="D4113" i="66"/>
  <c r="D4115" i="66"/>
  <c r="D4117" i="66"/>
  <c r="D4119" i="66"/>
  <c r="D4121" i="66"/>
  <c r="D4123" i="66"/>
  <c r="D4125" i="66"/>
  <c r="D4127" i="66"/>
  <c r="D4131" i="66"/>
  <c r="D4133" i="66"/>
  <c r="D4135" i="66"/>
  <c r="D4137" i="66"/>
  <c r="D4139" i="66"/>
  <c r="D4141" i="66"/>
  <c r="D4143" i="66"/>
  <c r="D4145" i="66"/>
  <c r="D4147" i="66"/>
  <c r="D4149" i="66"/>
  <c r="D4151" i="66"/>
  <c r="D4155" i="66"/>
  <c r="D4157" i="66"/>
  <c r="D4159" i="66"/>
  <c r="D4161" i="66"/>
  <c r="D3885" i="66"/>
  <c r="D4171" i="66"/>
  <c r="D4854" i="66"/>
  <c r="D5743" i="66"/>
  <c r="D5786" i="66"/>
  <c r="D5949" i="66"/>
  <c r="D3683" i="66"/>
  <c r="D3703" i="66"/>
  <c r="D3778" i="66"/>
  <c r="D3811" i="66"/>
  <c r="D3890" i="66"/>
  <c r="D3930" i="66"/>
  <c r="D3932" i="66"/>
  <c r="D3934" i="66"/>
  <c r="D3936" i="66"/>
  <c r="D3938" i="66"/>
  <c r="D3940" i="66"/>
  <c r="D3942" i="66"/>
  <c r="D3944" i="66"/>
  <c r="D3946" i="66"/>
  <c r="D3948" i="66"/>
  <c r="D3954" i="66"/>
  <c r="D3956" i="66"/>
  <c r="D3958" i="66"/>
  <c r="D3960" i="66"/>
  <c r="D3962" i="66"/>
  <c r="D3964" i="66"/>
  <c r="D3966" i="66"/>
  <c r="D3970" i="66"/>
  <c r="D3972" i="66"/>
  <c r="D3974" i="66"/>
  <c r="D3978" i="66"/>
  <c r="D3980" i="66"/>
  <c r="D4181" i="66"/>
  <c r="D4218" i="66"/>
  <c r="D4222" i="66"/>
  <c r="D4224" i="66"/>
  <c r="D4226" i="66"/>
  <c r="D4230" i="66"/>
  <c r="D4232" i="66"/>
  <c r="D4266" i="66"/>
  <c r="D4270" i="66"/>
  <c r="D4272" i="66"/>
  <c r="D4274" i="66"/>
  <c r="D4276" i="66"/>
  <c r="D4278" i="66"/>
  <c r="D4280" i="66"/>
  <c r="D4282" i="66"/>
  <c r="D4284" i="66"/>
  <c r="D4286" i="66"/>
  <c r="D4290" i="66"/>
  <c r="D4292" i="66"/>
  <c r="D4294" i="66"/>
  <c r="D4296" i="66"/>
  <c r="D4298" i="66"/>
  <c r="D4300" i="66"/>
  <c r="D4302" i="66"/>
  <c r="D4304" i="66"/>
  <c r="D4306" i="66"/>
  <c r="D4308" i="66"/>
  <c r="D4310" i="66"/>
  <c r="D4314" i="66"/>
  <c r="D4316" i="66"/>
  <c r="D4318" i="66"/>
  <c r="D4320" i="66"/>
  <c r="D4322" i="66"/>
  <c r="D4324" i="66"/>
  <c r="D4965" i="66"/>
  <c r="D5446" i="66"/>
  <c r="D5518" i="66"/>
  <c r="D5538" i="66"/>
  <c r="D5550" i="66"/>
  <c r="D5558" i="66"/>
  <c r="D5592" i="66"/>
  <c r="D5576" i="66"/>
  <c r="D3664" i="66"/>
  <c r="D3668" i="66"/>
  <c r="D3670" i="66"/>
  <c r="D3709" i="66"/>
  <c r="D3723" i="66"/>
  <c r="D3727" i="66"/>
  <c r="D3794" i="66"/>
  <c r="D3798" i="66"/>
  <c r="D3802" i="66"/>
  <c r="D3829" i="66"/>
  <c r="D3849" i="66"/>
  <c r="D4890" i="66"/>
  <c r="D4952" i="66"/>
  <c r="D5383" i="66"/>
  <c r="D5385" i="66"/>
  <c r="D5387" i="66"/>
  <c r="D5799" i="66"/>
  <c r="D5803" i="66"/>
  <c r="D5805" i="66"/>
  <c r="D5809" i="66"/>
  <c r="D5815" i="66"/>
  <c r="D5819" i="66"/>
  <c r="D5821" i="66"/>
  <c r="D5898" i="66"/>
  <c r="D5225" i="66"/>
  <c r="D5429" i="66"/>
  <c r="D5445" i="66"/>
  <c r="D5630" i="66"/>
  <c r="D5674" i="66"/>
  <c r="D5682" i="66"/>
  <c r="D5698" i="66"/>
  <c r="D5879" i="66"/>
  <c r="D5883" i="66"/>
  <c r="D5885" i="66"/>
  <c r="D6156" i="66"/>
  <c r="D5930" i="66"/>
  <c r="D6133" i="66"/>
  <c r="D4785" i="66"/>
  <c r="D4793" i="66"/>
  <c r="D4803" i="66"/>
  <c r="D4807" i="66"/>
  <c r="D4842" i="66"/>
  <c r="D4879" i="66"/>
  <c r="D4958" i="66"/>
  <c r="D5291" i="66"/>
  <c r="D5605" i="66"/>
  <c r="D6029" i="66"/>
  <c r="D6039" i="66"/>
  <c r="D6043" i="66"/>
  <c r="D6045" i="66"/>
  <c r="D6108" i="66"/>
  <c r="D5070" i="66"/>
  <c r="D5076" i="66"/>
  <c r="D5078" i="66"/>
  <c r="D5080" i="66"/>
  <c r="D5082" i="66"/>
  <c r="D5084" i="66"/>
  <c r="D5088" i="66"/>
  <c r="D5090" i="66"/>
  <c r="D5092" i="66"/>
  <c r="D5094" i="66"/>
  <c r="D5096" i="66"/>
  <c r="D5098" i="66"/>
  <c r="D5100" i="66"/>
  <c r="D5102" i="66"/>
  <c r="D5104" i="66"/>
  <c r="D5106" i="66"/>
  <c r="D5108" i="66"/>
  <c r="D5112" i="66"/>
  <c r="D5114" i="66"/>
  <c r="D5118" i="66"/>
  <c r="D5120" i="66"/>
  <c r="D5122" i="66"/>
  <c r="D5124" i="66"/>
  <c r="D5126" i="66"/>
  <c r="D5128" i="66"/>
  <c r="D5130" i="66"/>
  <c r="D5132" i="66"/>
  <c r="D5136" i="66"/>
  <c r="D5138" i="66"/>
  <c r="D5140" i="66"/>
  <c r="D5142" i="66"/>
  <c r="D5144" i="66"/>
  <c r="D5148" i="66"/>
  <c r="D5150" i="66"/>
  <c r="D5152" i="66"/>
  <c r="D5154" i="66"/>
  <c r="D5156" i="66"/>
  <c r="D5160" i="66"/>
  <c r="D5162" i="66"/>
  <c r="D5166" i="66"/>
  <c r="D5168" i="66"/>
  <c r="D5170" i="66"/>
  <c r="D5172" i="66"/>
  <c r="D5174" i="66"/>
  <c r="D5176" i="66"/>
  <c r="D5178" i="66"/>
  <c r="D5180" i="66"/>
  <c r="D5184" i="66"/>
  <c r="D5186" i="66"/>
  <c r="D5190" i="66"/>
  <c r="D5192" i="66"/>
  <c r="D5196" i="66"/>
  <c r="D5198" i="66"/>
  <c r="D5200" i="66"/>
  <c r="D5202" i="66"/>
  <c r="D5319" i="66"/>
  <c r="D5337" i="66"/>
  <c r="D5490" i="66"/>
  <c r="D5492" i="66"/>
  <c r="D5585" i="66"/>
  <c r="D5724" i="66"/>
  <c r="D5793" i="66"/>
  <c r="D5834" i="66"/>
  <c r="D5850" i="66"/>
  <c r="D5937" i="66"/>
  <c r="D5986" i="66"/>
  <c r="D4779" i="66"/>
  <c r="D4818" i="66"/>
  <c r="D4829" i="66"/>
  <c r="D4839" i="66"/>
  <c r="D4902" i="66"/>
  <c r="D4917" i="66"/>
  <c r="D4983" i="66"/>
  <c r="D4985" i="66"/>
  <c r="D5014" i="66"/>
  <c r="D5018" i="66"/>
  <c r="D5227" i="66"/>
  <c r="D5229" i="66"/>
  <c r="D5231" i="66"/>
  <c r="D5235" i="66"/>
  <c r="D5375" i="66"/>
  <c r="D5377" i="66"/>
  <c r="D5379" i="66"/>
  <c r="D5381" i="66"/>
  <c r="D5390" i="66"/>
  <c r="D5396" i="66"/>
  <c r="D5400" i="66"/>
  <c r="D5408" i="66"/>
  <c r="D5498" i="66"/>
  <c r="D5502" i="66"/>
  <c r="D5504" i="66"/>
  <c r="D5506" i="66"/>
  <c r="D5508" i="66"/>
  <c r="D5565" i="66"/>
  <c r="D5622" i="66"/>
  <c r="D5650" i="66"/>
  <c r="D5652" i="66"/>
  <c r="D5654" i="66"/>
  <c r="D5717" i="66"/>
  <c r="D5778" i="66"/>
  <c r="D5780" i="66"/>
  <c r="D5818" i="66"/>
  <c r="D5838" i="66"/>
  <c r="D5861" i="66"/>
  <c r="D5867" i="66"/>
  <c r="D5894" i="66"/>
  <c r="D5906" i="66"/>
  <c r="D6044" i="66"/>
  <c r="D6068" i="66"/>
  <c r="D6070" i="66"/>
  <c r="D6080" i="66"/>
  <c r="D6090" i="66"/>
  <c r="D6121" i="66"/>
  <c r="D6142" i="66"/>
  <c r="D4326" i="66"/>
  <c r="D4328" i="66"/>
  <c r="D4330" i="66"/>
  <c r="D4332" i="66"/>
  <c r="D4334" i="66"/>
  <c r="D4336" i="66"/>
  <c r="D4338" i="66"/>
  <c r="D4340" i="66"/>
  <c r="D4344" i="66"/>
  <c r="D4346" i="66"/>
  <c r="D4348" i="66"/>
  <c r="D4862" i="66"/>
  <c r="D4889" i="66"/>
  <c r="D4895" i="66"/>
  <c r="D4910" i="66"/>
  <c r="D4968" i="66"/>
  <c r="D4976" i="66"/>
  <c r="D5003" i="66"/>
  <c r="D5005" i="66"/>
  <c r="D5007" i="66"/>
  <c r="D5009" i="66"/>
  <c r="D5011" i="66"/>
  <c r="D5042" i="66"/>
  <c r="D5241" i="66"/>
  <c r="D5249" i="66"/>
  <c r="D5275" i="66"/>
  <c r="D5283" i="66"/>
  <c r="D5285" i="66"/>
  <c r="D5328" i="66"/>
  <c r="D5336" i="66"/>
  <c r="D5393" i="66"/>
  <c r="D5420" i="66"/>
  <c r="D5424" i="66"/>
  <c r="D5461" i="66"/>
  <c r="D5514" i="66"/>
  <c r="D5530" i="66"/>
  <c r="D5546" i="66"/>
  <c r="D5570" i="66"/>
  <c r="D5586" i="66"/>
  <c r="D5629" i="66"/>
  <c r="D5631" i="66"/>
  <c r="D5694" i="66"/>
  <c r="D5704" i="66"/>
  <c r="D5718" i="66"/>
  <c r="D5745" i="66"/>
  <c r="D5749" i="66"/>
  <c r="D5757" i="66"/>
  <c r="D5813" i="66"/>
  <c r="D5844" i="66"/>
  <c r="D5846" i="66"/>
  <c r="D5848" i="66"/>
  <c r="D5858" i="66"/>
  <c r="D5877" i="66"/>
  <c r="D5924" i="66"/>
  <c r="D5957" i="66"/>
  <c r="D5973" i="66"/>
  <c r="D6002" i="66"/>
  <c r="D6015" i="66"/>
  <c r="D6025" i="66"/>
  <c r="D6035" i="66"/>
  <c r="D6053" i="66"/>
  <c r="D6100" i="66"/>
  <c r="D6110" i="66"/>
  <c r="D6160" i="66"/>
  <c r="D6168" i="66"/>
  <c r="D6172" i="66"/>
  <c r="D4758" i="66"/>
  <c r="D4762" i="66"/>
  <c r="D4766" i="66"/>
  <c r="D4770" i="66"/>
  <c r="D4790" i="66"/>
  <c r="D4794" i="66"/>
  <c r="D4830" i="66"/>
  <c r="D4857" i="66"/>
  <c r="D4859" i="66"/>
  <c r="D4863" i="66"/>
  <c r="D4878" i="66"/>
  <c r="D4901" i="66"/>
  <c r="D4934" i="66"/>
  <c r="D4949" i="66"/>
  <c r="D5039" i="66"/>
  <c r="D5041" i="66"/>
  <c r="D5043" i="66"/>
  <c r="D5045" i="66"/>
  <c r="D5238" i="66"/>
  <c r="D5242" i="66"/>
  <c r="D5246" i="66"/>
  <c r="D5250" i="66"/>
  <c r="D5254" i="66"/>
  <c r="D5258" i="66"/>
  <c r="D5342" i="66"/>
  <c r="D5346" i="66"/>
  <c r="D5354" i="66"/>
  <c r="D5358" i="66"/>
  <c r="D5366" i="66"/>
  <c r="D5370" i="66"/>
  <c r="D5403" i="66"/>
  <c r="D5428" i="66"/>
  <c r="D5519" i="66"/>
  <c r="D5523" i="66"/>
  <c r="D5527" i="66"/>
  <c r="D5547" i="66"/>
  <c r="D5559" i="66"/>
  <c r="D5606" i="66"/>
  <c r="D5608" i="66"/>
  <c r="D5728" i="66"/>
  <c r="D5777" i="66"/>
  <c r="D5785" i="66"/>
  <c r="D5787" i="66"/>
  <c r="D5806" i="66"/>
  <c r="D5864" i="66"/>
  <c r="D5905" i="66"/>
  <c r="D5913" i="66"/>
  <c r="D5950" i="66"/>
  <c r="D5954" i="66"/>
  <c r="D5985" i="66"/>
  <c r="D6030" i="66"/>
  <c r="D6057" i="66"/>
  <c r="D6071" i="66"/>
  <c r="D6089" i="66"/>
  <c r="D6099" i="66"/>
  <c r="D6101" i="66"/>
  <c r="D6153" i="66"/>
  <c r="D4850" i="66"/>
  <c r="D4871" i="66"/>
  <c r="D4926" i="66"/>
  <c r="D4959" i="66"/>
  <c r="D5000" i="66"/>
  <c r="D5211" i="66"/>
  <c r="D5213" i="66"/>
  <c r="D5215" i="66"/>
  <c r="D5219" i="66"/>
  <c r="D5307" i="66"/>
  <c r="D5311" i="66"/>
  <c r="D5313" i="66"/>
  <c r="D5315" i="66"/>
  <c r="D5374" i="66"/>
  <c r="D5399" i="66"/>
  <c r="D5411" i="66"/>
  <c r="D5474" i="66"/>
  <c r="D5482" i="66"/>
  <c r="D5486" i="66"/>
  <c r="D5571" i="66"/>
  <c r="D5602" i="66"/>
  <c r="D5612" i="66"/>
  <c r="D5653" i="66"/>
  <c r="D5685" i="66"/>
  <c r="D5705" i="66"/>
  <c r="D5707" i="66"/>
  <c r="D5709" i="66"/>
  <c r="D5711" i="66"/>
  <c r="D5760" i="66"/>
  <c r="D5800" i="66"/>
  <c r="D5847" i="66"/>
  <c r="D5851" i="66"/>
  <c r="D5853" i="66"/>
  <c r="D5866" i="66"/>
  <c r="D5886" i="66"/>
  <c r="D5933" i="66"/>
  <c r="D5946" i="66"/>
  <c r="D5958" i="66"/>
  <c r="D5966" i="66"/>
  <c r="D6008" i="66"/>
  <c r="D6036" i="66"/>
  <c r="D6038" i="66"/>
  <c r="D6079" i="66"/>
  <c r="D6095" i="66"/>
  <c r="D6169" i="66"/>
  <c r="D805" i="66"/>
  <c r="D1669" i="66"/>
  <c r="D406" i="66"/>
  <c r="D1375" i="66"/>
  <c r="D1546" i="66"/>
  <c r="D1426" i="66"/>
  <c r="D1467" i="66"/>
  <c r="D2290" i="66"/>
  <c r="D695" i="66"/>
  <c r="D1561" i="66"/>
  <c r="D1723" i="66"/>
  <c r="D2308" i="66"/>
  <c r="D2362" i="66"/>
  <c r="D3619" i="66"/>
  <c r="D4893" i="66"/>
  <c r="D1012" i="66"/>
  <c r="D1198" i="66"/>
  <c r="D1597" i="66"/>
  <c r="D1603" i="66"/>
  <c r="D3572" i="66"/>
  <c r="D3617" i="66"/>
  <c r="D1522" i="66"/>
  <c r="D2020" i="66"/>
  <c r="D2969" i="66"/>
  <c r="D1444" i="66"/>
  <c r="D1459" i="66"/>
  <c r="D1570" i="66"/>
  <c r="D1882" i="66"/>
  <c r="D1909" i="66"/>
  <c r="D3493" i="66"/>
  <c r="D3553" i="66"/>
  <c r="D5982" i="66"/>
  <c r="D6062" i="66"/>
  <c r="D889" i="66"/>
  <c r="D1495" i="66"/>
  <c r="D1720" i="66"/>
  <c r="D1876" i="66"/>
  <c r="D2179" i="66"/>
  <c r="D3770" i="66"/>
  <c r="D3774" i="66"/>
  <c r="D3789" i="66"/>
  <c r="D3882" i="66"/>
  <c r="D3884" i="66"/>
  <c r="D2152" i="66"/>
  <c r="D3867" i="66"/>
  <c r="D3869" i="66"/>
  <c r="D3871" i="66"/>
  <c r="D913" i="66"/>
  <c r="D955" i="66"/>
  <c r="D1309" i="66"/>
  <c r="D1372" i="66"/>
  <c r="D1468" i="66"/>
  <c r="D1687" i="66"/>
  <c r="D1837" i="66"/>
  <c r="D1891" i="66"/>
  <c r="D2080" i="66"/>
  <c r="D2086" i="66"/>
  <c r="D2092" i="66"/>
  <c r="D3495" i="66"/>
  <c r="D3528" i="66"/>
  <c r="D3646" i="66"/>
  <c r="D3657" i="66"/>
  <c r="D3659" i="66"/>
  <c r="D3730" i="66"/>
  <c r="D3732" i="66"/>
  <c r="D3734" i="66"/>
  <c r="D3736" i="66"/>
  <c r="D3749" i="66"/>
  <c r="D3751" i="66"/>
  <c r="D3755" i="66"/>
  <c r="D1738" i="66"/>
  <c r="D1819" i="66"/>
  <c r="D1924" i="66"/>
  <c r="D1957" i="66"/>
  <c r="D2428" i="66"/>
  <c r="D2436" i="66"/>
  <c r="D2990" i="66"/>
  <c r="D3013" i="66"/>
  <c r="D3497" i="66"/>
  <c r="D3534" i="66"/>
  <c r="D3536" i="66"/>
  <c r="D3538" i="66"/>
  <c r="D3597" i="66"/>
  <c r="D3636" i="66"/>
  <c r="D3644" i="66"/>
  <c r="D3661" i="66"/>
  <c r="D3714" i="66"/>
  <c r="D3743" i="66"/>
  <c r="D3797" i="66"/>
  <c r="D3850" i="66"/>
  <c r="D3852" i="66"/>
  <c r="D6009" i="66"/>
  <c r="D1642" i="66"/>
  <c r="D1750" i="66"/>
  <c r="D1972" i="66"/>
  <c r="D2005" i="66"/>
  <c r="D2944" i="66"/>
  <c r="D3525" i="66"/>
  <c r="D3561" i="66"/>
  <c r="D3600" i="66"/>
  <c r="D3604" i="66"/>
  <c r="D3614" i="66"/>
  <c r="D3621" i="66"/>
  <c r="D3627" i="66"/>
  <c r="D3753" i="66"/>
  <c r="D3810" i="66"/>
  <c r="D1984" i="66"/>
  <c r="D2190" i="66"/>
  <c r="D2221" i="66"/>
  <c r="D2464" i="66"/>
  <c r="D3512" i="66"/>
  <c r="D3514" i="66"/>
  <c r="D3554" i="66"/>
  <c r="D3625" i="66"/>
  <c r="D3682" i="66"/>
  <c r="D3684" i="66"/>
  <c r="D3765" i="66"/>
  <c r="D3837" i="66"/>
  <c r="D4201" i="66"/>
  <c r="D4861" i="66"/>
  <c r="D1903" i="66"/>
  <c r="D1918" i="66"/>
  <c r="D2002" i="66"/>
  <c r="D2056" i="66"/>
  <c r="D2068" i="66"/>
  <c r="D2443" i="66"/>
  <c r="D2449" i="66"/>
  <c r="D2995" i="66"/>
  <c r="D3562" i="66"/>
  <c r="D3566" i="66"/>
  <c r="D3711" i="66"/>
  <c r="D3754" i="66"/>
  <c r="D3783" i="66"/>
  <c r="D3830" i="66"/>
  <c r="D3841" i="66"/>
  <c r="D3870" i="66"/>
  <c r="D4184" i="66"/>
  <c r="D4186" i="66"/>
  <c r="D2467" i="66"/>
  <c r="D2473" i="66"/>
  <c r="D2491" i="66"/>
  <c r="D2509" i="66"/>
  <c r="D2515" i="66"/>
  <c r="D2533" i="66"/>
  <c r="D2545" i="66"/>
  <c r="D2551" i="66"/>
  <c r="D2563" i="66"/>
  <c r="D2565" i="66"/>
  <c r="D2581" i="66"/>
  <c r="D2587" i="66"/>
  <c r="D2593" i="66"/>
  <c r="D2605" i="66"/>
  <c r="D2611" i="66"/>
  <c r="D2623" i="66"/>
  <c r="D2635" i="66"/>
  <c r="D2641" i="66"/>
  <c r="D2857" i="66"/>
  <c r="D2861" i="66"/>
  <c r="D2873" i="66"/>
  <c r="D2881" i="66"/>
  <c r="D2893" i="66"/>
  <c r="D2897" i="66"/>
  <c r="D2909" i="66"/>
  <c r="D2917" i="66"/>
  <c r="D2929" i="66"/>
  <c r="D2933" i="66"/>
  <c r="D2989" i="66"/>
  <c r="D3025" i="66"/>
  <c r="D3505" i="66"/>
  <c r="D3524" i="66"/>
  <c r="D3529" i="66"/>
  <c r="D3550" i="66"/>
  <c r="D3557" i="66"/>
  <c r="D3580" i="66"/>
  <c r="D3595" i="66"/>
  <c r="D3622" i="66"/>
  <c r="D3629" i="66"/>
  <c r="D3679" i="66"/>
  <c r="D3708" i="66"/>
  <c r="D3717" i="66"/>
  <c r="D3748" i="66"/>
  <c r="D3757" i="66"/>
  <c r="D3805" i="66"/>
  <c r="D3807" i="66"/>
  <c r="D3828" i="66"/>
  <c r="D3832" i="66"/>
  <c r="D3845" i="66"/>
  <c r="D3847" i="66"/>
  <c r="D3851" i="66"/>
  <c r="D3864" i="66"/>
  <c r="D3873" i="66"/>
  <c r="D3883" i="66"/>
  <c r="D4175" i="66"/>
  <c r="D4825" i="66"/>
  <c r="D4827" i="66"/>
  <c r="D4951" i="66"/>
  <c r="D4953" i="66"/>
  <c r="D4955" i="66"/>
  <c r="D3483" i="66"/>
  <c r="D3537" i="66"/>
  <c r="D3558" i="66"/>
  <c r="D3565" i="66"/>
  <c r="D3588" i="66"/>
  <c r="D3601" i="66"/>
  <c r="D3603" i="66"/>
  <c r="D3676" i="66"/>
  <c r="D3685" i="66"/>
  <c r="D3687" i="66"/>
  <c r="D3725" i="66"/>
  <c r="D3756" i="66"/>
  <c r="D3796" i="66"/>
  <c r="D3813" i="66"/>
  <c r="D3815" i="66"/>
  <c r="D3840" i="66"/>
  <c r="D3855" i="66"/>
  <c r="D3872" i="66"/>
  <c r="D3891" i="66"/>
  <c r="D4164" i="66"/>
  <c r="D4166" i="66"/>
  <c r="D4204" i="66"/>
  <c r="D4234" i="66"/>
  <c r="D4238" i="66"/>
  <c r="D4240" i="66"/>
  <c r="D4242" i="66"/>
  <c r="D4246" i="66"/>
  <c r="D4248" i="66"/>
  <c r="D4923" i="66"/>
  <c r="D5071" i="66"/>
  <c r="D5073" i="66"/>
  <c r="D5075" i="66"/>
  <c r="D5077" i="66"/>
  <c r="D5167" i="66"/>
  <c r="D5171" i="66"/>
  <c r="D5175" i="66"/>
  <c r="D5179" i="66"/>
  <c r="D5183" i="66"/>
  <c r="D5187" i="66"/>
  <c r="D5195" i="66"/>
  <c r="D5199" i="66"/>
  <c r="D5203" i="66"/>
  <c r="D5205" i="66"/>
  <c r="D5207" i="66"/>
  <c r="D5409" i="66"/>
  <c r="D5497" i="66"/>
  <c r="D2960" i="66"/>
  <c r="D3001" i="66"/>
  <c r="D3016" i="66"/>
  <c r="D3020" i="66"/>
  <c r="D3477" i="66"/>
  <c r="D3481" i="66"/>
  <c r="D3513" i="66"/>
  <c r="D3556" i="66"/>
  <c r="D3569" i="66"/>
  <c r="D3571" i="66"/>
  <c r="D3598" i="66"/>
  <c r="D3605" i="66"/>
  <c r="D3632" i="66"/>
  <c r="D3640" i="66"/>
  <c r="D3649" i="66"/>
  <c r="D3651" i="66"/>
  <c r="D3655" i="66"/>
  <c r="D3680" i="66"/>
  <c r="D3689" i="66"/>
  <c r="D3691" i="66"/>
  <c r="D3695" i="66"/>
  <c r="D3733" i="66"/>
  <c r="D3758" i="66"/>
  <c r="D3760" i="66"/>
  <c r="D3766" i="66"/>
  <c r="D3777" i="66"/>
  <c r="D3779" i="66"/>
  <c r="D3804" i="66"/>
  <c r="D3817" i="66"/>
  <c r="D3819" i="66"/>
  <c r="D3823" i="66"/>
  <c r="D3874" i="66"/>
  <c r="D3878" i="66"/>
  <c r="D3880" i="66"/>
  <c r="D3889" i="66"/>
  <c r="D3897" i="66"/>
  <c r="D3899" i="66"/>
  <c r="D3905" i="66"/>
  <c r="D3907" i="66"/>
  <c r="D4206" i="66"/>
  <c r="D4870" i="66"/>
  <c r="D4914" i="66"/>
  <c r="D4925" i="66"/>
  <c r="D5034" i="66"/>
  <c r="D5038" i="66"/>
  <c r="D5046" i="66"/>
  <c r="D5048" i="66"/>
  <c r="D5050" i="66"/>
  <c r="D5052" i="66"/>
  <c r="D5327" i="66"/>
  <c r="D5392" i="66"/>
  <c r="D3633" i="66"/>
  <c r="D3635" i="66"/>
  <c r="D3652" i="66"/>
  <c r="D3665" i="66"/>
  <c r="D3667" i="66"/>
  <c r="D3688" i="66"/>
  <c r="D3697" i="66"/>
  <c r="D3699" i="66"/>
  <c r="D3720" i="66"/>
  <c r="D3729" i="66"/>
  <c r="D3731" i="66"/>
  <c r="D3752" i="66"/>
  <c r="D3761" i="66"/>
  <c r="D3763" i="66"/>
  <c r="D3780" i="66"/>
  <c r="D3793" i="66"/>
  <c r="D3795" i="66"/>
  <c r="D3812" i="66"/>
  <c r="D3825" i="66"/>
  <c r="D3827" i="66"/>
  <c r="D3844" i="66"/>
  <c r="D3859" i="66"/>
  <c r="D3879" i="66"/>
  <c r="D3892" i="66"/>
  <c r="D3917" i="66"/>
  <c r="D4185" i="66"/>
  <c r="D4187" i="66"/>
  <c r="D4189" i="66"/>
  <c r="D4223" i="66"/>
  <c r="D4225" i="66"/>
  <c r="D4231" i="66"/>
  <c r="D4233" i="66"/>
  <c r="D4500" i="66"/>
  <c r="D4778" i="66"/>
  <c r="D4799" i="66"/>
  <c r="D4811" i="66"/>
  <c r="D4841" i="66"/>
  <c r="D4843" i="66"/>
  <c r="D4875" i="66"/>
  <c r="D4905" i="66"/>
  <c r="D4907" i="66"/>
  <c r="D4935" i="66"/>
  <c r="D4937" i="66"/>
  <c r="D4939" i="66"/>
  <c r="D5021" i="66"/>
  <c r="D5394" i="66"/>
  <c r="D5822" i="66"/>
  <c r="D3898" i="66"/>
  <c r="D3900" i="66"/>
  <c r="D3906" i="66"/>
  <c r="D3908" i="66"/>
  <c r="D4165" i="66"/>
  <c r="D4167" i="66"/>
  <c r="D4178" i="66"/>
  <c r="D4202" i="66"/>
  <c r="D4239" i="66"/>
  <c r="D4241" i="66"/>
  <c r="D4247" i="66"/>
  <c r="D4249" i="66"/>
  <c r="D4782" i="66"/>
  <c r="D4805" i="66"/>
  <c r="D4845" i="66"/>
  <c r="D4866" i="66"/>
  <c r="D4877" i="66"/>
  <c r="D4898" i="66"/>
  <c r="D4909" i="66"/>
  <c r="D4930" i="66"/>
  <c r="D4941" i="66"/>
  <c r="D5006" i="66"/>
  <c r="D5010" i="66"/>
  <c r="D5025" i="66"/>
  <c r="D5027" i="66"/>
  <c r="D5304" i="66"/>
  <c r="D5306" i="66"/>
  <c r="D5308" i="66"/>
  <c r="D5310" i="66"/>
  <c r="D3492" i="66"/>
  <c r="D3501" i="66"/>
  <c r="D3520" i="66"/>
  <c r="D3547" i="66"/>
  <c r="D3564" i="66"/>
  <c r="D3577" i="66"/>
  <c r="D3579" i="66"/>
  <c r="D3596" i="66"/>
  <c r="D3609" i="66"/>
  <c r="D3611" i="66"/>
  <c r="D3628" i="66"/>
  <c r="D3641" i="66"/>
  <c r="D3643" i="66"/>
  <c r="D3660" i="66"/>
  <c r="D3662" i="66"/>
  <c r="D3673" i="66"/>
  <c r="D3675" i="66"/>
  <c r="D3696" i="66"/>
  <c r="D3705" i="66"/>
  <c r="D3707" i="66"/>
  <c r="D3728" i="66"/>
  <c r="D3737" i="66"/>
  <c r="D3739" i="66"/>
  <c r="D3769" i="66"/>
  <c r="D3771" i="66"/>
  <c r="D3788" i="66"/>
  <c r="D3801" i="66"/>
  <c r="D3803" i="66"/>
  <c r="D3820" i="66"/>
  <c r="D3833" i="66"/>
  <c r="D3835" i="66"/>
  <c r="D3863" i="66"/>
  <c r="D3876" i="66"/>
  <c r="D3881" i="66"/>
  <c r="D3914" i="66"/>
  <c r="D3916" i="66"/>
  <c r="D3922" i="66"/>
  <c r="D3924" i="66"/>
  <c r="D4169" i="66"/>
  <c r="D4176" i="66"/>
  <c r="D4182" i="66"/>
  <c r="D4255" i="66"/>
  <c r="D4257" i="66"/>
  <c r="D4263" i="66"/>
  <c r="D4265" i="66"/>
  <c r="D4962" i="66"/>
  <c r="D5271" i="66"/>
  <c r="D5426" i="66"/>
  <c r="D5447" i="66"/>
  <c r="D5449" i="66"/>
  <c r="D5451" i="66"/>
  <c r="D5721" i="66"/>
  <c r="D5723" i="66"/>
  <c r="D5774" i="66"/>
  <c r="D6103" i="66"/>
  <c r="D3982" i="66"/>
  <c r="D3984" i="66"/>
  <c r="D3986" i="66"/>
  <c r="D3988" i="66"/>
  <c r="D3990" i="66"/>
  <c r="D3992" i="66"/>
  <c r="D3994" i="66"/>
  <c r="D3996" i="66"/>
  <c r="D3998" i="66"/>
  <c r="D4000" i="66"/>
  <c r="D4002" i="66"/>
  <c r="D4004" i="66"/>
  <c r="D4006" i="66"/>
  <c r="D4008" i="66"/>
  <c r="D4010" i="66"/>
  <c r="D4012" i="66"/>
  <c r="D4014" i="66"/>
  <c r="D4016" i="66"/>
  <c r="D4018" i="66"/>
  <c r="D4020" i="66"/>
  <c r="D4022" i="66"/>
  <c r="D4024" i="66"/>
  <c r="D4026" i="66"/>
  <c r="D4028" i="66"/>
  <c r="D4030" i="66"/>
  <c r="D4032" i="66"/>
  <c r="D4034" i="66"/>
  <c r="D4036" i="66"/>
  <c r="D4038" i="66"/>
  <c r="D4040" i="66"/>
  <c r="D4042" i="66"/>
  <c r="D4044" i="66"/>
  <c r="D4046" i="66"/>
  <c r="D4048" i="66"/>
  <c r="D4050" i="66"/>
  <c r="D4052" i="66"/>
  <c r="D4054" i="66"/>
  <c r="D4056" i="66"/>
  <c r="D4058" i="66"/>
  <c r="D4060" i="66"/>
  <c r="D4062" i="66"/>
  <c r="D4064" i="66"/>
  <c r="D4066" i="66"/>
  <c r="D4068" i="66"/>
  <c r="D4070" i="66"/>
  <c r="D4072" i="66"/>
  <c r="D4074" i="66"/>
  <c r="D4076" i="66"/>
  <c r="D4078" i="66"/>
  <c r="D4080" i="66"/>
  <c r="D4082" i="66"/>
  <c r="D4084" i="66"/>
  <c r="D4086" i="66"/>
  <c r="D4088" i="66"/>
  <c r="D4090" i="66"/>
  <c r="D4092" i="66"/>
  <c r="D4094" i="66"/>
  <c r="D4096" i="66"/>
  <c r="D4098" i="66"/>
  <c r="D4100" i="66"/>
  <c r="D4102" i="66"/>
  <c r="D4104" i="66"/>
  <c r="D4106" i="66"/>
  <c r="D4108" i="66"/>
  <c r="D4110" i="66"/>
  <c r="D4112" i="66"/>
  <c r="D4114" i="66"/>
  <c r="D4116" i="66"/>
  <c r="D4118" i="66"/>
  <c r="D4120" i="66"/>
  <c r="D4122" i="66"/>
  <c r="D4124" i="66"/>
  <c r="D4126" i="66"/>
  <c r="D4128" i="66"/>
  <c r="D4130" i="66"/>
  <c r="D4132" i="66"/>
  <c r="D4134" i="66"/>
  <c r="D4136" i="66"/>
  <c r="D4138" i="66"/>
  <c r="D4140" i="66"/>
  <c r="D4142" i="66"/>
  <c r="D4144" i="66"/>
  <c r="D4146" i="66"/>
  <c r="D4148" i="66"/>
  <c r="D4150" i="66"/>
  <c r="D4152" i="66"/>
  <c r="D4154" i="66"/>
  <c r="D4156" i="66"/>
  <c r="D4158" i="66"/>
  <c r="D4160" i="66"/>
  <c r="D4162" i="66"/>
  <c r="D4180" i="66"/>
  <c r="D4197" i="66"/>
  <c r="D4208" i="66"/>
  <c r="D4210" i="66"/>
  <c r="D4214" i="66"/>
  <c r="D4216" i="66"/>
  <c r="D4271" i="66"/>
  <c r="D4273" i="66"/>
  <c r="D4275" i="66"/>
  <c r="D4277" i="66"/>
  <c r="D4279" i="66"/>
  <c r="D4281" i="66"/>
  <c r="D4283" i="66"/>
  <c r="D4285" i="66"/>
  <c r="D4287" i="66"/>
  <c r="D4289" i="66"/>
  <c r="D4291" i="66"/>
  <c r="D4293" i="66"/>
  <c r="D4295" i="66"/>
  <c r="D4297" i="66"/>
  <c r="D4299" i="66"/>
  <c r="D4301" i="66"/>
  <c r="D4303" i="66"/>
  <c r="D4305" i="66"/>
  <c r="D4307" i="66"/>
  <c r="D4309" i="66"/>
  <c r="D4311" i="66"/>
  <c r="D4313" i="66"/>
  <c r="D4315" i="66"/>
  <c r="D4317" i="66"/>
  <c r="D4319" i="66"/>
  <c r="D4321" i="66"/>
  <c r="D4323" i="66"/>
  <c r="D4325" i="66"/>
  <c r="D4327" i="66"/>
  <c r="D4329" i="66"/>
  <c r="D4331" i="66"/>
  <c r="D4333" i="66"/>
  <c r="D4335" i="66"/>
  <c r="D4337" i="66"/>
  <c r="D4339" i="66"/>
  <c r="D4341" i="66"/>
  <c r="D4343" i="66"/>
  <c r="D4345" i="66"/>
  <c r="D4347" i="66"/>
  <c r="D4349" i="66"/>
  <c r="D4351" i="66"/>
  <c r="D4353" i="66"/>
  <c r="D4355" i="66"/>
  <c r="D4357" i="66"/>
  <c r="D4359" i="66"/>
  <c r="D4361" i="66"/>
  <c r="D4363" i="66"/>
  <c r="D4365" i="66"/>
  <c r="D4367" i="66"/>
  <c r="D4369" i="66"/>
  <c r="D4371" i="66"/>
  <c r="D4373" i="66"/>
  <c r="D4375" i="66"/>
  <c r="D4377" i="66"/>
  <c r="D4379" i="66"/>
  <c r="D4381" i="66"/>
  <c r="D4383" i="66"/>
  <c r="D4385" i="66"/>
  <c r="D4387" i="66"/>
  <c r="D4389" i="66"/>
  <c r="D4391" i="66"/>
  <c r="D4393" i="66"/>
  <c r="D4395" i="66"/>
  <c r="D4397" i="66"/>
  <c r="D4399" i="66"/>
  <c r="D4401" i="66"/>
  <c r="D4403" i="66"/>
  <c r="D4405" i="66"/>
  <c r="D4407" i="66"/>
  <c r="D4409" i="66"/>
  <c r="D4411" i="66"/>
  <c r="D4413" i="66"/>
  <c r="D4415" i="66"/>
  <c r="D4417" i="66"/>
  <c r="D4419" i="66"/>
  <c r="D4421" i="66"/>
  <c r="D4423" i="66"/>
  <c r="D4425" i="66"/>
  <c r="D4427" i="66"/>
  <c r="D4429" i="66"/>
  <c r="D4431" i="66"/>
  <c r="D4433" i="66"/>
  <c r="D4435" i="66"/>
  <c r="D4437" i="66"/>
  <c r="D4439" i="66"/>
  <c r="D4441" i="66"/>
  <c r="D4443" i="66"/>
  <c r="D4445" i="66"/>
  <c r="D4447" i="66"/>
  <c r="D4449" i="66"/>
  <c r="D4451" i="66"/>
  <c r="D4453" i="66"/>
  <c r="D4455" i="66"/>
  <c r="D4457" i="66"/>
  <c r="D4459" i="66"/>
  <c r="D4461" i="66"/>
  <c r="D4463" i="66"/>
  <c r="D4465" i="66"/>
  <c r="D4467" i="66"/>
  <c r="D4469" i="66"/>
  <c r="D4471" i="66"/>
  <c r="D4473" i="66"/>
  <c r="D4475" i="66"/>
  <c r="D4477" i="66"/>
  <c r="D4479" i="66"/>
  <c r="D4481" i="66"/>
  <c r="D4483" i="66"/>
  <c r="D4485" i="66"/>
  <c r="D4487" i="66"/>
  <c r="D4489" i="66"/>
  <c r="D4491" i="66"/>
  <c r="D4493" i="66"/>
  <c r="D4495" i="66"/>
  <c r="D4499" i="66"/>
  <c r="D4507" i="66"/>
  <c r="D4509" i="66"/>
  <c r="D4511" i="66"/>
  <c r="D4513" i="66"/>
  <c r="D4515" i="66"/>
  <c r="D4517" i="66"/>
  <c r="D4519" i="66"/>
  <c r="D4521" i="66"/>
  <c r="D4523" i="66"/>
  <c r="D4525" i="66"/>
  <c r="D4527" i="66"/>
  <c r="D4529" i="66"/>
  <c r="D4531" i="66"/>
  <c r="D4533" i="66"/>
  <c r="D4535" i="66"/>
  <c r="D4537" i="66"/>
  <c r="D4539" i="66"/>
  <c r="D4541" i="66"/>
  <c r="D4543" i="66"/>
  <c r="D4545" i="66"/>
  <c r="D4547" i="66"/>
  <c r="D4549" i="66"/>
  <c r="D4551" i="66"/>
  <c r="D4553" i="66"/>
  <c r="D4555" i="66"/>
  <c r="D4557" i="66"/>
  <c r="D4559" i="66"/>
  <c r="D4561" i="66"/>
  <c r="D4563" i="66"/>
  <c r="D4565" i="66"/>
  <c r="D4567" i="66"/>
  <c r="D4569" i="66"/>
  <c r="D4571" i="66"/>
  <c r="D4573" i="66"/>
  <c r="D4575" i="66"/>
  <c r="D4577" i="66"/>
  <c r="D4579" i="66"/>
  <c r="D4581" i="66"/>
  <c r="D4583" i="66"/>
  <c r="D4585" i="66"/>
  <c r="D4587" i="66"/>
  <c r="D4589" i="66"/>
  <c r="D4591" i="66"/>
  <c r="D4593" i="66"/>
  <c r="D4595" i="66"/>
  <c r="D4597" i="66"/>
  <c r="D4599" i="66"/>
  <c r="D4601" i="66"/>
  <c r="D4603" i="66"/>
  <c r="D4605" i="66"/>
  <c r="D4607" i="66"/>
  <c r="D4609" i="66"/>
  <c r="D4611" i="66"/>
  <c r="D4613" i="66"/>
  <c r="D4615" i="66"/>
  <c r="D4617" i="66"/>
  <c r="D4619" i="66"/>
  <c r="D4621" i="66"/>
  <c r="D4623" i="66"/>
  <c r="D4625" i="66"/>
  <c r="D4627" i="66"/>
  <c r="D4629" i="66"/>
  <c r="D4631" i="66"/>
  <c r="D4633" i="66"/>
  <c r="D4635" i="66"/>
  <c r="D4637" i="66"/>
  <c r="D4639" i="66"/>
  <c r="D4641" i="66"/>
  <c r="D4643" i="66"/>
  <c r="D4645" i="66"/>
  <c r="D4647" i="66"/>
  <c r="D4649" i="66"/>
  <c r="D4651" i="66"/>
  <c r="D4653" i="66"/>
  <c r="D4655" i="66"/>
  <c r="D4657" i="66"/>
  <c r="D4659" i="66"/>
  <c r="D4661" i="66"/>
  <c r="D4663" i="66"/>
  <c r="D4665" i="66"/>
  <c r="D4667" i="66"/>
  <c r="D4669" i="66"/>
  <c r="D4671" i="66"/>
  <c r="D4673" i="66"/>
  <c r="D4675" i="66"/>
  <c r="D4677" i="66"/>
  <c r="D4679" i="66"/>
  <c r="D4681" i="66"/>
  <c r="D4683" i="66"/>
  <c r="D4685" i="66"/>
  <c r="D4687" i="66"/>
  <c r="D4689" i="66"/>
  <c r="D4691" i="66"/>
  <c r="D4693" i="66"/>
  <c r="D4695" i="66"/>
  <c r="D4697" i="66"/>
  <c r="D4699" i="66"/>
  <c r="D4701" i="66"/>
  <c r="D4703" i="66"/>
  <c r="D4705" i="66"/>
  <c r="D4707" i="66"/>
  <c r="D4709" i="66"/>
  <c r="D4711" i="66"/>
  <c r="D4713" i="66"/>
  <c r="D4823" i="66"/>
  <c r="D4855" i="66"/>
  <c r="D4887" i="66"/>
  <c r="D4919" i="66"/>
  <c r="D4964" i="66"/>
  <c r="D5001" i="66"/>
  <c r="D5016" i="66"/>
  <c r="D5226" i="66"/>
  <c r="D5234" i="66"/>
  <c r="D5416" i="66"/>
  <c r="D6056" i="66"/>
  <c r="D6058" i="66"/>
  <c r="D4817" i="66"/>
  <c r="D4833" i="66"/>
  <c r="D4849" i="66"/>
  <c r="D4865" i="66"/>
  <c r="D4881" i="66"/>
  <c r="D4913" i="66"/>
  <c r="D4929" i="66"/>
  <c r="D4945" i="66"/>
  <c r="D5058" i="66"/>
  <c r="D5217" i="66"/>
  <c r="D5398" i="66"/>
  <c r="D5434" i="66"/>
  <c r="D5465" i="66"/>
  <c r="D5517" i="66"/>
  <c r="D5917" i="66"/>
  <c r="D4773" i="66"/>
  <c r="D4806" i="66"/>
  <c r="D4815" i="66"/>
  <c r="D4956" i="66"/>
  <c r="D4963" i="66"/>
  <c r="D4970" i="66"/>
  <c r="D4972" i="66"/>
  <c r="D4974" i="66"/>
  <c r="D4987" i="66"/>
  <c r="D4989" i="66"/>
  <c r="D5004" i="66"/>
  <c r="D5024" i="66"/>
  <c r="D5276" i="66"/>
  <c r="D5280" i="66"/>
  <c r="D5282" i="66"/>
  <c r="D5321" i="66"/>
  <c r="D5330" i="66"/>
  <c r="D5334" i="66"/>
  <c r="D5340" i="66"/>
  <c r="D5344" i="66"/>
  <c r="D5348" i="66"/>
  <c r="D5352" i="66"/>
  <c r="D5356" i="66"/>
  <c r="D5360" i="66"/>
  <c r="D5364" i="66"/>
  <c r="D5368" i="66"/>
  <c r="D5402" i="66"/>
  <c r="D5454" i="66"/>
  <c r="D5456" i="66"/>
  <c r="D5460" i="66"/>
  <c r="D5525" i="66"/>
  <c r="D5781" i="66"/>
  <c r="D5863" i="66"/>
  <c r="D5869" i="66"/>
  <c r="D5888" i="66"/>
  <c r="D5896" i="66"/>
  <c r="D5900" i="66"/>
  <c r="D6010" i="66"/>
  <c r="D6016" i="66"/>
  <c r="D6047" i="66"/>
  <c r="D6161" i="66"/>
  <c r="D6163" i="66"/>
  <c r="D4192" i="66"/>
  <c r="D4254" i="66"/>
  <c r="D4256" i="66"/>
  <c r="D4258" i="66"/>
  <c r="D4262" i="66"/>
  <c r="D4264" i="66"/>
  <c r="D4787" i="66"/>
  <c r="D4791" i="66"/>
  <c r="D4991" i="66"/>
  <c r="D5017" i="66"/>
  <c r="D5030" i="66"/>
  <c r="D5032" i="66"/>
  <c r="D5055" i="66"/>
  <c r="D5057" i="66"/>
  <c r="D5059" i="66"/>
  <c r="D5061" i="66"/>
  <c r="D5210" i="66"/>
  <c r="D5214" i="66"/>
  <c r="D5218" i="66"/>
  <c r="D5253" i="66"/>
  <c r="D5255" i="66"/>
  <c r="D5257" i="66"/>
  <c r="D5259" i="66"/>
  <c r="D5288" i="66"/>
  <c r="D5290" i="66"/>
  <c r="D5338" i="66"/>
  <c r="D5372" i="66"/>
  <c r="D5376" i="66"/>
  <c r="D5406" i="66"/>
  <c r="D5437" i="66"/>
  <c r="D5464" i="66"/>
  <c r="D5466" i="66"/>
  <c r="D5491" i="66"/>
  <c r="D5541" i="66"/>
  <c r="D5577" i="66"/>
  <c r="D5579" i="66"/>
  <c r="D5854" i="66"/>
  <c r="D5970" i="66"/>
  <c r="D6148" i="66"/>
  <c r="D6152" i="66"/>
  <c r="D4350" i="66"/>
  <c r="D4352" i="66"/>
  <c r="D4354" i="66"/>
  <c r="D4356" i="66"/>
  <c r="D4358" i="66"/>
  <c r="D4360" i="66"/>
  <c r="D4362" i="66"/>
  <c r="D4364" i="66"/>
  <c r="D4366" i="66"/>
  <c r="D4368" i="66"/>
  <c r="D4370" i="66"/>
  <c r="D4372" i="66"/>
  <c r="D4374" i="66"/>
  <c r="D4376" i="66"/>
  <c r="D4378" i="66"/>
  <c r="D4380" i="66"/>
  <c r="D4382" i="66"/>
  <c r="D4384" i="66"/>
  <c r="D4386" i="66"/>
  <c r="D4388" i="66"/>
  <c r="D4390" i="66"/>
  <c r="D4392" i="66"/>
  <c r="D4394" i="66"/>
  <c r="D4396" i="66"/>
  <c r="D4398" i="66"/>
  <c r="D4400" i="66"/>
  <c r="D4402" i="66"/>
  <c r="D4404" i="66"/>
  <c r="D4406" i="66"/>
  <c r="D4408" i="66"/>
  <c r="D4410" i="66"/>
  <c r="D4412" i="66"/>
  <c r="D4414" i="66"/>
  <c r="D4416" i="66"/>
  <c r="D4418" i="66"/>
  <c r="D4420" i="66"/>
  <c r="D4422" i="66"/>
  <c r="D4424" i="66"/>
  <c r="D4426" i="66"/>
  <c r="D4428" i="66"/>
  <c r="D4430" i="66"/>
  <c r="D4432" i="66"/>
  <c r="D4434" i="66"/>
  <c r="D4436" i="66"/>
  <c r="D4438" i="66"/>
  <c r="D4440" i="66"/>
  <c r="D4442" i="66"/>
  <c r="D4444" i="66"/>
  <c r="D4446" i="66"/>
  <c r="D4448" i="66"/>
  <c r="D4450" i="66"/>
  <c r="D4452" i="66"/>
  <c r="D4454" i="66"/>
  <c r="D4456" i="66"/>
  <c r="D4458" i="66"/>
  <c r="D4460" i="66"/>
  <c r="D4462" i="66"/>
  <c r="D4464" i="66"/>
  <c r="D4466" i="66"/>
  <c r="D4468" i="66"/>
  <c r="D4470" i="66"/>
  <c r="D4472" i="66"/>
  <c r="D4474" i="66"/>
  <c r="D4476" i="66"/>
  <c r="D4478" i="66"/>
  <c r="D4480" i="66"/>
  <c r="D4482" i="66"/>
  <c r="D4484" i="66"/>
  <c r="D4486" i="66"/>
  <c r="D4488" i="66"/>
  <c r="D4490" i="66"/>
  <c r="D4492" i="66"/>
  <c r="D4494" i="66"/>
  <c r="D4496" i="66"/>
  <c r="D4498" i="66"/>
  <c r="D4502" i="66"/>
  <c r="D4504" i="66"/>
  <c r="D4506" i="66"/>
  <c r="D4696" i="66"/>
  <c r="D4700" i="66"/>
  <c r="D4704" i="66"/>
  <c r="D4706" i="66"/>
  <c r="D4708" i="66"/>
  <c r="D4710" i="66"/>
  <c r="D4712" i="66"/>
  <c r="D4714" i="66"/>
  <c r="D4716" i="66"/>
  <c r="D4718" i="66"/>
  <c r="D4720" i="66"/>
  <c r="D4722" i="66"/>
  <c r="D4724" i="66"/>
  <c r="D4726" i="66"/>
  <c r="D4728" i="66"/>
  <c r="D4730" i="66"/>
  <c r="D4734" i="66"/>
  <c r="D4736" i="66"/>
  <c r="D4738" i="66"/>
  <c r="D4740" i="66"/>
  <c r="D4742" i="66"/>
  <c r="D4744" i="66"/>
  <c r="D4746" i="66"/>
  <c r="D4748" i="66"/>
  <c r="D4750" i="66"/>
  <c r="D4752" i="66"/>
  <c r="D4754" i="66"/>
  <c r="D4760" i="66"/>
  <c r="D4764" i="66"/>
  <c r="D4768" i="66"/>
  <c r="D4783" i="66"/>
  <c r="D4795" i="66"/>
  <c r="D4814" i="66"/>
  <c r="D4821" i="66"/>
  <c r="D4944" i="66"/>
  <c r="D4960" i="66"/>
  <c r="D4967" i="66"/>
  <c r="D4980" i="66"/>
  <c r="D4995" i="66"/>
  <c r="D4997" i="66"/>
  <c r="D5008" i="66"/>
  <c r="D5019" i="66"/>
  <c r="D5036" i="66"/>
  <c r="D5222" i="66"/>
  <c r="D5263" i="66"/>
  <c r="D5267" i="66"/>
  <c r="D5292" i="66"/>
  <c r="D5294" i="66"/>
  <c r="D5296" i="66"/>
  <c r="D5298" i="66"/>
  <c r="D5329" i="66"/>
  <c r="D5331" i="66"/>
  <c r="D5333" i="66"/>
  <c r="D5439" i="66"/>
  <c r="D5441" i="66"/>
  <c r="D5443" i="66"/>
  <c r="D5478" i="66"/>
  <c r="D5480" i="66"/>
  <c r="D5581" i="66"/>
  <c r="D5583" i="66"/>
  <c r="D5991" i="66"/>
  <c r="D5997" i="66"/>
  <c r="D6093" i="66"/>
  <c r="D6129" i="66"/>
  <c r="D6131" i="66"/>
  <c r="D6135" i="66"/>
  <c r="D5422" i="66"/>
  <c r="D5430" i="66"/>
  <c r="D5471" i="66"/>
  <c r="D5484" i="66"/>
  <c r="D5489" i="66"/>
  <c r="D5512" i="66"/>
  <c r="D5521" i="66"/>
  <c r="D5554" i="66"/>
  <c r="D5556" i="66"/>
  <c r="D5618" i="66"/>
  <c r="D5620" i="66"/>
  <c r="D5649" i="66"/>
  <c r="D5659" i="66"/>
  <c r="D5663" i="66"/>
  <c r="D5702" i="66"/>
  <c r="D5731" i="66"/>
  <c r="D5733" i="66"/>
  <c r="D5753" i="66"/>
  <c r="D5755" i="66"/>
  <c r="D5770" i="66"/>
  <c r="D5772" i="66"/>
  <c r="D5801" i="66"/>
  <c r="D5833" i="66"/>
  <c r="D5865" i="66"/>
  <c r="D5882" i="66"/>
  <c r="D5944" i="66"/>
  <c r="D5961" i="66"/>
  <c r="D6004" i="66"/>
  <c r="D6033" i="66"/>
  <c r="D5468" i="66"/>
  <c r="D5473" i="66"/>
  <c r="D5488" i="66"/>
  <c r="D5499" i="66"/>
  <c r="D5609" i="66"/>
  <c r="D5611" i="66"/>
  <c r="D5689" i="66"/>
  <c r="D5691" i="66"/>
  <c r="D5693" i="66"/>
  <c r="D5710" i="66"/>
  <c r="D5729" i="66"/>
  <c r="D5763" i="66"/>
  <c r="D5776" i="66"/>
  <c r="D5828" i="66"/>
  <c r="D5860" i="66"/>
  <c r="D5993" i="66"/>
  <c r="D6024" i="66"/>
  <c r="D6088" i="66"/>
  <c r="D5239" i="66"/>
  <c r="D5266" i="66"/>
  <c r="D5279" i="66"/>
  <c r="D5297" i="66"/>
  <c r="D5299" i="66"/>
  <c r="D5301" i="66"/>
  <c r="D5320" i="66"/>
  <c r="D5322" i="66"/>
  <c r="D5343" i="66"/>
  <c r="D5347" i="66"/>
  <c r="D5351" i="66"/>
  <c r="D5355" i="66"/>
  <c r="D5359" i="66"/>
  <c r="D5363" i="66"/>
  <c r="D5367" i="66"/>
  <c r="D5369" i="66"/>
  <c r="D5378" i="66"/>
  <c r="D5384" i="66"/>
  <c r="D5401" i="66"/>
  <c r="D5414" i="66"/>
  <c r="D5425" i="66"/>
  <c r="D5472" i="66"/>
  <c r="D5483" i="66"/>
  <c r="D5526" i="66"/>
  <c r="D5534" i="66"/>
  <c r="D5536" i="66"/>
  <c r="D5545" i="66"/>
  <c r="D5551" i="66"/>
  <c r="D5666" i="66"/>
  <c r="D5668" i="66"/>
  <c r="D5736" i="66"/>
  <c r="D5738" i="66"/>
  <c r="D5740" i="66"/>
  <c r="D5746" i="66"/>
  <c r="D5748" i="66"/>
  <c r="D5750" i="66"/>
  <c r="D5752" i="66"/>
  <c r="D5817" i="66"/>
  <c r="D5849" i="66"/>
  <c r="D5881" i="66"/>
  <c r="D5941" i="66"/>
  <c r="D5943" i="66"/>
  <c r="D5960" i="66"/>
  <c r="D5962" i="66"/>
  <c r="D5988" i="66"/>
  <c r="D6065" i="66"/>
  <c r="D6126" i="66"/>
  <c r="D6158" i="66"/>
  <c r="D5245" i="66"/>
  <c r="D5247" i="66"/>
  <c r="D5251" i="66"/>
  <c r="D5274" i="66"/>
  <c r="D5305" i="66"/>
  <c r="D5324" i="66"/>
  <c r="D5326" i="66"/>
  <c r="D5373" i="66"/>
  <c r="D5382" i="66"/>
  <c r="D5388" i="66"/>
  <c r="D5405" i="66"/>
  <c r="D5412" i="66"/>
  <c r="D5418" i="66"/>
  <c r="D5433" i="66"/>
  <c r="D5435" i="66"/>
  <c r="D5442" i="66"/>
  <c r="D5448" i="66"/>
  <c r="D5452" i="66"/>
  <c r="D5463" i="66"/>
  <c r="D5476" i="66"/>
  <c r="D5481" i="66"/>
  <c r="D5496" i="66"/>
  <c r="D5505" i="66"/>
  <c r="D5509" i="66"/>
  <c r="D5515" i="66"/>
  <c r="D5540" i="66"/>
  <c r="D5549" i="66"/>
  <c r="D5588" i="66"/>
  <c r="D5594" i="66"/>
  <c r="D5596" i="66"/>
  <c r="D5600" i="66"/>
  <c r="D5633" i="66"/>
  <c r="D5670" i="66"/>
  <c r="D5678" i="66"/>
  <c r="D5680" i="66"/>
  <c r="D5742" i="66"/>
  <c r="D5920" i="66"/>
  <c r="D5926" i="66"/>
  <c r="D5928" i="66"/>
  <c r="D5932" i="66"/>
  <c r="D5981" i="66"/>
  <c r="D5994" i="66"/>
  <c r="D5998" i="66"/>
  <c r="D6007" i="66"/>
  <c r="D6011" i="66"/>
  <c r="D6013" i="66"/>
  <c r="D6048" i="66"/>
  <c r="D6067" i="66"/>
  <c r="D6075" i="66"/>
  <c r="D6077" i="66"/>
  <c r="D6092" i="66"/>
  <c r="D6104" i="66"/>
  <c r="D6113" i="66"/>
  <c r="D6115" i="66"/>
  <c r="D6117" i="66"/>
  <c r="D6119" i="66"/>
  <c r="D6132" i="66"/>
  <c r="D6136" i="66"/>
  <c r="D6145" i="66"/>
  <c r="D6147" i="66"/>
  <c r="D6149" i="66"/>
  <c r="D6151" i="66"/>
  <c r="D6164" i="66"/>
  <c r="D5555" i="66"/>
  <c r="D5587" i="66"/>
  <c r="D5621" i="66"/>
  <c r="D5623" i="66"/>
  <c r="D5638" i="66"/>
  <c r="D5657" i="66"/>
  <c r="D5697" i="66"/>
  <c r="D5716" i="66"/>
  <c r="D5722" i="66"/>
  <c r="D5737" i="66"/>
  <c r="D5739" i="66"/>
  <c r="D5754" i="66"/>
  <c r="D5756" i="66"/>
  <c r="D5765" i="66"/>
  <c r="D5771" i="66"/>
  <c r="D5807" i="66"/>
  <c r="D5823" i="66"/>
  <c r="D5839" i="66"/>
  <c r="D5855" i="66"/>
  <c r="D5871" i="66"/>
  <c r="D5887" i="66"/>
  <c r="D5919" i="66"/>
  <c r="D5945" i="66"/>
  <c r="D5952" i="66"/>
  <c r="D5968" i="66"/>
  <c r="D5972" i="66"/>
  <c r="D5999" i="66"/>
  <c r="D6017" i="66"/>
  <c r="D6028" i="66"/>
  <c r="D6041" i="66"/>
  <c r="D6049" i="66"/>
  <c r="D6060" i="66"/>
  <c r="D6073" i="66"/>
  <c r="D6081" i="66"/>
  <c r="D6094" i="66"/>
  <c r="D6167" i="66"/>
  <c r="D6180" i="66"/>
  <c r="D5531" i="66"/>
  <c r="D5548" i="66"/>
  <c r="D5557" i="66"/>
  <c r="D5563" i="66"/>
  <c r="D5572" i="66"/>
  <c r="D5578" i="66"/>
  <c r="D5593" i="66"/>
  <c r="D5595" i="66"/>
  <c r="D5604" i="66"/>
  <c r="D5610" i="66"/>
  <c r="D5637" i="66"/>
  <c r="D5639" i="66"/>
  <c r="D5656" i="66"/>
  <c r="D5669" i="66"/>
  <c r="D5675" i="66"/>
  <c r="D5684" i="66"/>
  <c r="D5692" i="66"/>
  <c r="D5696" i="66"/>
  <c r="D5715" i="66"/>
  <c r="D5741" i="66"/>
  <c r="D5747" i="66"/>
  <c r="D5762" i="66"/>
  <c r="D5764" i="66"/>
  <c r="D5775" i="66"/>
  <c r="D5795" i="66"/>
  <c r="D5811" i="66"/>
  <c r="D5827" i="66"/>
  <c r="D5843" i="66"/>
  <c r="D5859" i="66"/>
  <c r="D5875" i="66"/>
  <c r="D5893" i="66"/>
  <c r="D5895" i="66"/>
  <c r="D5904" i="66"/>
  <c r="D5910" i="66"/>
  <c r="D5925" i="66"/>
  <c r="D5927" i="66"/>
  <c r="D5938" i="66"/>
  <c r="D5951" i="66"/>
  <c r="D5967" i="66"/>
  <c r="D5976" i="66"/>
  <c r="D5978" i="66"/>
  <c r="D6027" i="66"/>
  <c r="D6040" i="66"/>
  <c r="D6042" i="66"/>
  <c r="D6059" i="66"/>
  <c r="D6072" i="66"/>
  <c r="D6074" i="66"/>
  <c r="D6102" i="66"/>
  <c r="D6107" i="66"/>
  <c r="D6118" i="66"/>
  <c r="D6123" i="66"/>
  <c r="D6134" i="66"/>
  <c r="D6139" i="66"/>
  <c r="D6150" i="66"/>
  <c r="D6155" i="66"/>
  <c r="D6166" i="66"/>
  <c r="D6177" i="66"/>
  <c r="D5520" i="66"/>
  <c r="D5529" i="66"/>
  <c r="D5535" i="66"/>
  <c r="D5552" i="66"/>
  <c r="D5561" i="66"/>
  <c r="D5567" i="66"/>
  <c r="D5584" i="66"/>
  <c r="D5597" i="66"/>
  <c r="D5599" i="66"/>
  <c r="D5662" i="66"/>
  <c r="D5664" i="66"/>
  <c r="D5673" i="66"/>
  <c r="D5679" i="66"/>
  <c r="D5713" i="66"/>
  <c r="D5726" i="66"/>
  <c r="D5734" i="66"/>
  <c r="D5751" i="66"/>
  <c r="D5768" i="66"/>
  <c r="D5779" i="66"/>
  <c r="D5804" i="66"/>
  <c r="D5820" i="66"/>
  <c r="D5836" i="66"/>
  <c r="D5852" i="66"/>
  <c r="D5868" i="66"/>
  <c r="D5884" i="66"/>
  <c r="D5897" i="66"/>
  <c r="D5916" i="66"/>
  <c r="D5929" i="66"/>
  <c r="D5936" i="66"/>
  <c r="D5942" i="66"/>
  <c r="D5980" i="66"/>
  <c r="D5996" i="66"/>
  <c r="D6046" i="66"/>
  <c r="D6078" i="66"/>
  <c r="D6091" i="66"/>
  <c r="D6175" i="66"/>
  <c r="D5501" i="66"/>
  <c r="D5511" i="66"/>
  <c r="D5528" i="66"/>
  <c r="D5537" i="66"/>
  <c r="D5543" i="66"/>
  <c r="D5560" i="66"/>
  <c r="D5569" i="66"/>
  <c r="D5582" i="66"/>
  <c r="D5590" i="66"/>
  <c r="D5601" i="66"/>
  <c r="D5614" i="66"/>
  <c r="D5626" i="66"/>
  <c r="D5628" i="66"/>
  <c r="D5645" i="66"/>
  <c r="D5672" i="66"/>
  <c r="D5681" i="66"/>
  <c r="D5700" i="66"/>
  <c r="D5708" i="66"/>
  <c r="D5712" i="66"/>
  <c r="D5725" i="66"/>
  <c r="D5727" i="66"/>
  <c r="D5744" i="66"/>
  <c r="D5759" i="66"/>
  <c r="D5783" i="66"/>
  <c r="D5824" i="66"/>
  <c r="D5840" i="66"/>
  <c r="D5856" i="66"/>
  <c r="D5872" i="66"/>
  <c r="D5890" i="66"/>
  <c r="D5901" i="66"/>
  <c r="D5914" i="66"/>
  <c r="D5922" i="66"/>
  <c r="D5935" i="66"/>
  <c r="D5948" i="66"/>
  <c r="D5959" i="66"/>
  <c r="D5964" i="66"/>
  <c r="D5984" i="66"/>
  <c r="D6000" i="66"/>
  <c r="D6020" i="66"/>
  <c r="D6022" i="66"/>
  <c r="D6031" i="66"/>
  <c r="D6037" i="66"/>
  <c r="D6052" i="66"/>
  <c r="D6054" i="66"/>
  <c r="D6063" i="66"/>
  <c r="D6069" i="66"/>
  <c r="D6084" i="66"/>
  <c r="D6086" i="66"/>
  <c r="D6097" i="66"/>
  <c r="D6106" i="66"/>
  <c r="D6111" i="66"/>
  <c r="D6122" i="66"/>
  <c r="D6127" i="66"/>
  <c r="D6138" i="66"/>
  <c r="D6143" i="66"/>
  <c r="D6154" i="66"/>
  <c r="D6159" i="66"/>
  <c r="D6174" i="66"/>
  <c r="D724" i="66"/>
  <c r="D583" i="66"/>
  <c r="D757" i="66"/>
  <c r="D967" i="66"/>
  <c r="D1132" i="66"/>
  <c r="D1219" i="66"/>
  <c r="D1267" i="66"/>
  <c r="D1396" i="66"/>
  <c r="D1588" i="66"/>
  <c r="D1423" i="66"/>
  <c r="D1504" i="66"/>
  <c r="D1114" i="66"/>
  <c r="D1399" i="66"/>
  <c r="D1756" i="66"/>
  <c r="D1126" i="66"/>
  <c r="D1174" i="66"/>
  <c r="D1192" i="66"/>
  <c r="D1231" i="66"/>
  <c r="D1339" i="66"/>
  <c r="D1420" i="66"/>
  <c r="D1780" i="66"/>
  <c r="D1963" i="66"/>
  <c r="D1702" i="66"/>
  <c r="D2074" i="66"/>
  <c r="D2158" i="66"/>
  <c r="D1951" i="66"/>
  <c r="D1999" i="66"/>
  <c r="D1978" i="66"/>
  <c r="D1987" i="66"/>
  <c r="D1996" i="66"/>
  <c r="D2098" i="66"/>
  <c r="D1726" i="66"/>
  <c r="D2041" i="66"/>
  <c r="D2122" i="66"/>
  <c r="D2155" i="66"/>
  <c r="D2182" i="66"/>
  <c r="D2239" i="66"/>
  <c r="D2247" i="66"/>
  <c r="D2251" i="66"/>
  <c r="D2269" i="66"/>
  <c r="D2275" i="66"/>
  <c r="D2434" i="66"/>
  <c r="D2071" i="66"/>
  <c r="D2134" i="66"/>
  <c r="D2035" i="66"/>
  <c r="D2413" i="66"/>
  <c r="D2419" i="66"/>
  <c r="D2227" i="66"/>
  <c r="D2248" i="66"/>
  <c r="D2260" i="66"/>
  <c r="D2266" i="66"/>
  <c r="D2272" i="66"/>
  <c r="D2425" i="66"/>
  <c r="D2433" i="66"/>
  <c r="D2437" i="66"/>
  <c r="D2293" i="66"/>
  <c r="D2647" i="66"/>
  <c r="D2659" i="66"/>
  <c r="D2671" i="66"/>
  <c r="D2683" i="66"/>
  <c r="D2689" i="66"/>
  <c r="D2701" i="66"/>
  <c r="D2713" i="66"/>
  <c r="D2725" i="66"/>
  <c r="D2731" i="66"/>
  <c r="D2737" i="66"/>
  <c r="D2743" i="66"/>
  <c r="D2751" i="66"/>
  <c r="D2755" i="66"/>
  <c r="D2767" i="66"/>
  <c r="D2779" i="66"/>
  <c r="D2791" i="66"/>
  <c r="D2797" i="66"/>
  <c r="D2803" i="66"/>
  <c r="D2811" i="66"/>
  <c r="D2815" i="66"/>
  <c r="D2819" i="66"/>
  <c r="D2827" i="66"/>
  <c r="D2837" i="66"/>
  <c r="D2839" i="66"/>
  <c r="D2845" i="66"/>
  <c r="D2851" i="66"/>
  <c r="D2867" i="66"/>
  <c r="D2871" i="66"/>
  <c r="D2875" i="66"/>
  <c r="D2887" i="66"/>
  <c r="D2903" i="66"/>
  <c r="D2911" i="66"/>
  <c r="D2915" i="66"/>
  <c r="D2923" i="66"/>
  <c r="D2927" i="66"/>
  <c r="D2939" i="66"/>
  <c r="D2947" i="66"/>
  <c r="D2972" i="66"/>
  <c r="D2980" i="66"/>
  <c r="D2983" i="66"/>
  <c r="D2996" i="66"/>
  <c r="D2999" i="66"/>
  <c r="D3004" i="66"/>
  <c r="D3007" i="66"/>
  <c r="D3031" i="66"/>
  <c r="D3040" i="66"/>
  <c r="D3019" i="66"/>
  <c r="D3028" i="66"/>
  <c r="D3037" i="66"/>
  <c r="D3044" i="66"/>
  <c r="D3046" i="66"/>
  <c r="D3052" i="66"/>
  <c r="D3056" i="66"/>
  <c r="D3058" i="66"/>
  <c r="D3062" i="66"/>
  <c r="D3064" i="66"/>
  <c r="D3068" i="66"/>
  <c r="D3070" i="66"/>
  <c r="D3074" i="66"/>
  <c r="D3076" i="66"/>
  <c r="D3080" i="66"/>
  <c r="D3082" i="66"/>
  <c r="D3086" i="66"/>
  <c r="D3088" i="66"/>
  <c r="D3094" i="66"/>
  <c r="D3098" i="66"/>
  <c r="D3100" i="66"/>
  <c r="D3104" i="66"/>
  <c r="D3106" i="66"/>
  <c r="D3112" i="66"/>
  <c r="D3116" i="66"/>
  <c r="D3118" i="66"/>
  <c r="D3122" i="66"/>
  <c r="D3124" i="66"/>
  <c r="D3130" i="66"/>
  <c r="D3134" i="66"/>
  <c r="D3136" i="66"/>
  <c r="D3140" i="66"/>
  <c r="D3142" i="66"/>
  <c r="D3148" i="66"/>
  <c r="D3152" i="66"/>
  <c r="D3154" i="66"/>
  <c r="D3158" i="66"/>
  <c r="D3160" i="66"/>
  <c r="D3164" i="66"/>
  <c r="D3166" i="66"/>
  <c r="D3170" i="66"/>
  <c r="D3172" i="66"/>
  <c r="D3176" i="66"/>
  <c r="D3178" i="66"/>
  <c r="D3182" i="66"/>
  <c r="D3184" i="66"/>
  <c r="D3190" i="66"/>
  <c r="D3194" i="66"/>
  <c r="D3196" i="66"/>
  <c r="D3200" i="66"/>
  <c r="D3202" i="66"/>
  <c r="D3208" i="66"/>
  <c r="D3210" i="66"/>
  <c r="D3212" i="66"/>
  <c r="D3214" i="66"/>
  <c r="D3218" i="66"/>
  <c r="D3220" i="66"/>
  <c r="D3222" i="66"/>
  <c r="D3226" i="66"/>
  <c r="D3228" i="66"/>
  <c r="D3230" i="66"/>
  <c r="D3232" i="66"/>
  <c r="D3234" i="66"/>
  <c r="D3236" i="66"/>
  <c r="D3238" i="66"/>
  <c r="D3240" i="66"/>
  <c r="D3242" i="66"/>
  <c r="D3244" i="66"/>
  <c r="D3246" i="66"/>
  <c r="D3250" i="66"/>
  <c r="D3252" i="66"/>
  <c r="D3254" i="66"/>
  <c r="D3256" i="66"/>
  <c r="D3258" i="66"/>
  <c r="D3260" i="66"/>
  <c r="D3262" i="66"/>
  <c r="D3264" i="66"/>
  <c r="D3266" i="66"/>
  <c r="D3268" i="66"/>
  <c r="D3270" i="66"/>
  <c r="D3274" i="66"/>
  <c r="D3276" i="66"/>
  <c r="D3278" i="66"/>
  <c r="D3280" i="66"/>
  <c r="D3282" i="66"/>
  <c r="D3284" i="66"/>
  <c r="D3286" i="66"/>
  <c r="D3507" i="66"/>
  <c r="D3523" i="66"/>
  <c r="D3539" i="66"/>
  <c r="D3519" i="66"/>
  <c r="D3535" i="66"/>
  <c r="D3712" i="66"/>
  <c r="D3515" i="66"/>
  <c r="D3531" i="66"/>
  <c r="D3543" i="66"/>
  <c r="D3511" i="66"/>
  <c r="D3527" i="66"/>
  <c r="D3559" i="66"/>
  <c r="D3567" i="66"/>
  <c r="D3575" i="66"/>
  <c r="D3583" i="66"/>
  <c r="D3591" i="66"/>
  <c r="D3599" i="66"/>
  <c r="D3607" i="66"/>
  <c r="D3615" i="66"/>
  <c r="D3623" i="66"/>
  <c r="D3631" i="66"/>
  <c r="D3639" i="66"/>
  <c r="D3647" i="66"/>
  <c r="D3895" i="66"/>
  <c r="D3902" i="66"/>
  <c r="D3904" i="66"/>
  <c r="D3911" i="66"/>
  <c r="D3918" i="66"/>
  <c r="D3920" i="66"/>
  <c r="D3927" i="66"/>
  <c r="D4194" i="66"/>
  <c r="D3894" i="66"/>
  <c r="D3896" i="66"/>
  <c r="D3903" i="66"/>
  <c r="D3910" i="66"/>
  <c r="D3912" i="66"/>
  <c r="D3919" i="66"/>
  <c r="D3926" i="66"/>
  <c r="D3928" i="66"/>
  <c r="D4170" i="66"/>
  <c r="D4173" i="66"/>
  <c r="D4207" i="66"/>
  <c r="D4212" i="66"/>
  <c r="D4219" i="66"/>
  <c r="D4221" i="66"/>
  <c r="D4228" i="66"/>
  <c r="D4235" i="66"/>
  <c r="D4237" i="66"/>
  <c r="D4244" i="66"/>
  <c r="D4251" i="66"/>
  <c r="D4253" i="66"/>
  <c r="D4260" i="66"/>
  <c r="D4267" i="66"/>
  <c r="D4269" i="66"/>
  <c r="D4177" i="66"/>
  <c r="D4193" i="66"/>
  <c r="D4211" i="66"/>
  <c r="D4213" i="66"/>
  <c r="D4220" i="66"/>
  <c r="D4227" i="66"/>
  <c r="D4229" i="66"/>
  <c r="D4236" i="66"/>
  <c r="D4243" i="66"/>
  <c r="D4245" i="66"/>
  <c r="D4252" i="66"/>
  <c r="D4259" i="66"/>
  <c r="D4261" i="66"/>
  <c r="D4268" i="66"/>
  <c r="D4501" i="66"/>
  <c r="D4503" i="66"/>
  <c r="D4508" i="66"/>
  <c r="D4510" i="66"/>
  <c r="D4512" i="66"/>
  <c r="D4514" i="66"/>
  <c r="D4516" i="66"/>
  <c r="D4518" i="66"/>
  <c r="D4520" i="66"/>
  <c r="D4522" i="66"/>
  <c r="D4524" i="66"/>
  <c r="D4526" i="66"/>
  <c r="D4528" i="66"/>
  <c r="D4530" i="66"/>
  <c r="D4532" i="66"/>
  <c r="D4534" i="66"/>
  <c r="D4536" i="66"/>
  <c r="D4538" i="66"/>
  <c r="D4540" i="66"/>
  <c r="D4542" i="66"/>
  <c r="D4544" i="66"/>
  <c r="D4546" i="66"/>
  <c r="D4548" i="66"/>
  <c r="D4550" i="66"/>
  <c r="D4552" i="66"/>
  <c r="D4554" i="66"/>
  <c r="D4556" i="66"/>
  <c r="D4558" i="66"/>
  <c r="D4560" i="66"/>
  <c r="D4562" i="66"/>
  <c r="D4564" i="66"/>
  <c r="D4566" i="66"/>
  <c r="D4568" i="66"/>
  <c r="D4570" i="66"/>
  <c r="D4572" i="66"/>
  <c r="D4574" i="66"/>
  <c r="D4576" i="66"/>
  <c r="D4578" i="66"/>
  <c r="D4580" i="66"/>
  <c r="D4582" i="66"/>
  <c r="D4584" i="66"/>
  <c r="D4586" i="66"/>
  <c r="D4588" i="66"/>
  <c r="D4590" i="66"/>
  <c r="D4592" i="66"/>
  <c r="D4594" i="66"/>
  <c r="D4596" i="66"/>
  <c r="D4598" i="66"/>
  <c r="D4600" i="66"/>
  <c r="D4602" i="66"/>
  <c r="D4604" i="66"/>
  <c r="D4606" i="66"/>
  <c r="D4608" i="66"/>
  <c r="D4610" i="66"/>
  <c r="D4612" i="66"/>
  <c r="D4614" i="66"/>
  <c r="D4616" i="66"/>
  <c r="D4618" i="66"/>
  <c r="D4620" i="66"/>
  <c r="D4622" i="66"/>
  <c r="D4624" i="66"/>
  <c r="D4626" i="66"/>
  <c r="D4628" i="66"/>
  <c r="D4630" i="66"/>
  <c r="D4632" i="66"/>
  <c r="D4634" i="66"/>
  <c r="D4636" i="66"/>
  <c r="D4638" i="66"/>
  <c r="D4640" i="66"/>
  <c r="D4642" i="66"/>
  <c r="D4644" i="66"/>
  <c r="D4646" i="66"/>
  <c r="D4648" i="66"/>
  <c r="D4650" i="66"/>
  <c r="D4652" i="66"/>
  <c r="D4654" i="66"/>
  <c r="D4656" i="66"/>
  <c r="D4658" i="66"/>
  <c r="D4660" i="66"/>
  <c r="D4662" i="66"/>
  <c r="D4664" i="66"/>
  <c r="D4666" i="66"/>
  <c r="D4668" i="66"/>
  <c r="D4670" i="66"/>
  <c r="D4672" i="66"/>
  <c r="D4674" i="66"/>
  <c r="D4676" i="66"/>
  <c r="D4678" i="66"/>
  <c r="D4680" i="66"/>
  <c r="D4682" i="66"/>
  <c r="D4684" i="66"/>
  <c r="D4686" i="66"/>
  <c r="D4688" i="66"/>
  <c r="D4690" i="66"/>
  <c r="D4692" i="66"/>
  <c r="D4694" i="66"/>
  <c r="D4698" i="66"/>
  <c r="D4702" i="66"/>
  <c r="D4497" i="66"/>
  <c r="D4505" i="66"/>
  <c r="D4772" i="66"/>
  <c r="D4788" i="66"/>
  <c r="D4804" i="66"/>
  <c r="D4820" i="66"/>
  <c r="D4784" i="66"/>
  <c r="D4800" i="66"/>
  <c r="D4816" i="66"/>
  <c r="D4828" i="66"/>
  <c r="D4836" i="66"/>
  <c r="D4844" i="66"/>
  <c r="D4852" i="66"/>
  <c r="D4860" i="66"/>
  <c r="D4868" i="66"/>
  <c r="D4876" i="66"/>
  <c r="D4884" i="66"/>
  <c r="D4892" i="66"/>
  <c r="D4900" i="66"/>
  <c r="D4908" i="66"/>
  <c r="D4916" i="66"/>
  <c r="D4924" i="66"/>
  <c r="D4932" i="66"/>
  <c r="D4940" i="66"/>
  <c r="D4780" i="66"/>
  <c r="D4796" i="66"/>
  <c r="D4812" i="66"/>
  <c r="D4776" i="66"/>
  <c r="D4792" i="66"/>
  <c r="D4808" i="66"/>
  <c r="D4824" i="66"/>
  <c r="D4832" i="66"/>
  <c r="D4840" i="66"/>
  <c r="D4848" i="66"/>
  <c r="D4856" i="66"/>
  <c r="D4864" i="66"/>
  <c r="D4872" i="66"/>
  <c r="D4880" i="66"/>
  <c r="D4896" i="66"/>
  <c r="D4904" i="66"/>
  <c r="D4912" i="66"/>
  <c r="D4920" i="66"/>
  <c r="D4928" i="66"/>
  <c r="D4936" i="66"/>
  <c r="D5012" i="66"/>
  <c r="D5015" i="66"/>
  <c r="D5020" i="66"/>
  <c r="D5023" i="66"/>
  <c r="D5028" i="66"/>
  <c r="D5037" i="66"/>
  <c r="D5044" i="66"/>
  <c r="D5051" i="66"/>
  <c r="D5053" i="66"/>
  <c r="D5067" i="66"/>
  <c r="D5069" i="66"/>
  <c r="D4971" i="66"/>
  <c r="D5031" i="66"/>
  <c r="D5033" i="66"/>
  <c r="D5040" i="66"/>
  <c r="D5047" i="66"/>
  <c r="D5049" i="66"/>
  <c r="D5056" i="66"/>
  <c r="D5063" i="66"/>
  <c r="D5065" i="66"/>
  <c r="D5072" i="66"/>
  <c r="D5079" i="66"/>
  <c r="D5081" i="66"/>
  <c r="D5083" i="66"/>
  <c r="D5085" i="66"/>
  <c r="D5087" i="66"/>
  <c r="D5089" i="66"/>
  <c r="D5091" i="66"/>
  <c r="D5093" i="66"/>
  <c r="D5095" i="66"/>
  <c r="D5097" i="66"/>
  <c r="D5099" i="66"/>
  <c r="D5101" i="66"/>
  <c r="D5103" i="66"/>
  <c r="D5105" i="66"/>
  <c r="D5107" i="66"/>
  <c r="D5109" i="66"/>
  <c r="D5111" i="66"/>
  <c r="D5113" i="66"/>
  <c r="D5115" i="66"/>
  <c r="D5117" i="66"/>
  <c r="D5119" i="66"/>
  <c r="D5121" i="66"/>
  <c r="D5123" i="66"/>
  <c r="D5125" i="66"/>
  <c r="D5127" i="66"/>
  <c r="D5129" i="66"/>
  <c r="D5131" i="66"/>
  <c r="D5133" i="66"/>
  <c r="D5135" i="66"/>
  <c r="D5137" i="66"/>
  <c r="D5139" i="66"/>
  <c r="D5141" i="66"/>
  <c r="D5143" i="66"/>
  <c r="D5145" i="66"/>
  <c r="D5147" i="66"/>
  <c r="D5149" i="66"/>
  <c r="D5151" i="66"/>
  <c r="D5153" i="66"/>
  <c r="D5155" i="66"/>
  <c r="D5157" i="66"/>
  <c r="D5159" i="66"/>
  <c r="D5161" i="66"/>
  <c r="D5163" i="66"/>
  <c r="D5165" i="66"/>
  <c r="D5169" i="66"/>
  <c r="D5173" i="66"/>
  <c r="D5177" i="66"/>
  <c r="D5181" i="66"/>
  <c r="D5185" i="66"/>
  <c r="D5189" i="66"/>
  <c r="D5193" i="66"/>
  <c r="D5197" i="66"/>
  <c r="D5201" i="66"/>
  <c r="D5243" i="66"/>
  <c r="D5230" i="66"/>
  <c r="D5216" i="66"/>
  <c r="D5232" i="66"/>
  <c r="D5248" i="66"/>
  <c r="D5212" i="66"/>
  <c r="D5228" i="66"/>
  <c r="D5244" i="66"/>
  <c r="D5260" i="66"/>
  <c r="D5265" i="66"/>
  <c r="D5268" i="66"/>
  <c r="D5273" i="66"/>
  <c r="D5208" i="66"/>
  <c r="D5224" i="66"/>
  <c r="D5240" i="66"/>
  <c r="D5256" i="66"/>
  <c r="D5277" i="66"/>
  <c r="D5284" i="66"/>
  <c r="D5286" i="66"/>
  <c r="D5293" i="66"/>
  <c r="D5300" i="66"/>
  <c r="D5302" i="66"/>
  <c r="D5309" i="66"/>
  <c r="D5316" i="66"/>
  <c r="D5318" i="66"/>
  <c r="D5325" i="66"/>
  <c r="D5332" i="66"/>
  <c r="D5341" i="66"/>
  <c r="D5345" i="66"/>
  <c r="D5349" i="66"/>
  <c r="D5353" i="66"/>
  <c r="D5357" i="66"/>
  <c r="D5361" i="66"/>
  <c r="D5365" i="66"/>
  <c r="D5204" i="66"/>
  <c r="D5220" i="66"/>
  <c r="D5236" i="66"/>
  <c r="D5252" i="66"/>
  <c r="D5261" i="66"/>
  <c r="D5264" i="66"/>
  <c r="D5269" i="66"/>
  <c r="D5272" i="66"/>
  <c r="D5407" i="66"/>
  <c r="D5423" i="66"/>
  <c r="D5500" i="66"/>
  <c r="D5507" i="66"/>
  <c r="D5516" i="66"/>
  <c r="D5532" i="66"/>
  <c r="D5415" i="66"/>
  <c r="D5431" i="66"/>
  <c r="D5575" i="66"/>
  <c r="D5591" i="66"/>
  <c r="D5607" i="66"/>
  <c r="D5616" i="66"/>
  <c r="D5619" i="66"/>
  <c r="D5624" i="66"/>
  <c r="D5627" i="66"/>
  <c r="D5632" i="66"/>
  <c r="D5635" i="66"/>
  <c r="D5640" i="66"/>
  <c r="D5643" i="66"/>
  <c r="D5648" i="66"/>
  <c r="D5651" i="66"/>
  <c r="D5660" i="66"/>
  <c r="D5667" i="66"/>
  <c r="D5676" i="66"/>
  <c r="D5683" i="66"/>
  <c r="D5690" i="66"/>
  <c r="D5699" i="66"/>
  <c r="D5706" i="66"/>
  <c r="D5695" i="66"/>
  <c r="D5791" i="66"/>
  <c r="D5687" i="66"/>
  <c r="D5703" i="66"/>
  <c r="D5719" i="66"/>
  <c r="D5735" i="66"/>
  <c r="D5788" i="66"/>
  <c r="D5808" i="66"/>
  <c r="D5899" i="66"/>
  <c r="D5915" i="66"/>
  <c r="D5931" i="66"/>
  <c r="D5947" i="66"/>
  <c r="D5963" i="66"/>
  <c r="D5975" i="66"/>
  <c r="D5983" i="66"/>
  <c r="D5891" i="66"/>
  <c r="D5907" i="66"/>
  <c r="D5923" i="66"/>
  <c r="D5939" i="66"/>
  <c r="D5955" i="66"/>
  <c r="D5971" i="66"/>
  <c r="D5979" i="66"/>
  <c r="D5987" i="66"/>
  <c r="D5995" i="66"/>
  <c r="D6003" i="66"/>
  <c r="D6014" i="66"/>
  <c r="D6026" i="66"/>
  <c r="D6018" i="66"/>
  <c r="D6034" i="66"/>
  <c r="D6050" i="66"/>
  <c r="D6066" i="66"/>
  <c r="D6082" i="66"/>
  <c r="D6098" i="66"/>
  <c r="D6114" i="66"/>
  <c r="D6130" i="66"/>
  <c r="D6146" i="66"/>
  <c r="D6162" i="66"/>
  <c r="D6165" i="66"/>
  <c r="D6170" i="66"/>
  <c r="D6173" i="66"/>
  <c r="D6178" i="66"/>
  <c r="E51" i="6"/>
  <c r="F33" i="19" s="1"/>
  <c r="C72" i="42"/>
  <c r="C74" i="42" s="1"/>
  <c r="G13" i="6"/>
  <c r="H13" i="6" s="1"/>
  <c r="F17" i="63"/>
  <c r="J17" i="63"/>
  <c r="F18" i="63"/>
  <c r="J18" i="63"/>
  <c r="F19" i="63"/>
  <c r="J19" i="63"/>
  <c r="F20" i="63"/>
  <c r="J20" i="63"/>
  <c r="F21" i="63"/>
  <c r="J21" i="63"/>
  <c r="F22" i="63"/>
  <c r="J22" i="63"/>
  <c r="J16" i="63"/>
  <c r="F16" i="63"/>
  <c r="B11" i="63"/>
  <c r="D3" i="62"/>
  <c r="D4" i="62"/>
  <c r="D5" i="62"/>
  <c r="D6" i="62"/>
  <c r="D7" i="62"/>
  <c r="D8" i="62"/>
  <c r="D9" i="62"/>
  <c r="D2" i="62"/>
  <c r="H15" i="65"/>
  <c r="H16" i="65"/>
  <c r="H17" i="65"/>
  <c r="H18" i="65"/>
  <c r="H19" i="65"/>
  <c r="H20" i="65"/>
  <c r="H21" i="65"/>
  <c r="H22" i="65"/>
  <c r="H14" i="65"/>
  <c r="C9" i="65"/>
  <c r="D9" i="65" s="1"/>
  <c r="E9" i="65" s="1"/>
  <c r="F9" i="65" s="1"/>
  <c r="G9" i="65" s="1"/>
  <c r="H9" i="65" s="1"/>
  <c r="I9" i="65" s="1"/>
  <c r="J9" i="65" s="1"/>
  <c r="A13" i="65"/>
  <c r="G13" i="65" s="1"/>
  <c r="E20" i="6"/>
  <c r="E22" i="6"/>
  <c r="E28" i="6" s="1"/>
  <c r="E23" i="6"/>
  <c r="E24" i="6"/>
  <c r="E25" i="6"/>
  <c r="E31" i="6" s="1"/>
  <c r="E26" i="6"/>
  <c r="E32" i="6" s="1"/>
  <c r="A1" i="65"/>
  <c r="BR32" i="16"/>
  <c r="BS32" i="16" s="1"/>
  <c r="BR33" i="16"/>
  <c r="BS33" i="16" s="1"/>
  <c r="BT33" i="16" s="1"/>
  <c r="BU33" i="16" s="1"/>
  <c r="BV33" i="16" s="1"/>
  <c r="BR34" i="16"/>
  <c r="BS34" i="16" s="1"/>
  <c r="BT34" i="16" s="1"/>
  <c r="BU34" i="16" s="1"/>
  <c r="BV34" i="16" s="1"/>
  <c r="BW34" i="16" s="1"/>
  <c r="BE34" i="16"/>
  <c r="BR35" i="16"/>
  <c r="BR36" i="16"/>
  <c r="BR37" i="16"/>
  <c r="BS37" i="16" s="1"/>
  <c r="BT37" i="16" s="1"/>
  <c r="BU37" i="16" s="1"/>
  <c r="BR38" i="16"/>
  <c r="BS38" i="16" s="1"/>
  <c r="BT38" i="16" s="1"/>
  <c r="BU38" i="16" s="1"/>
  <c r="BR39" i="16"/>
  <c r="BR40" i="16"/>
  <c r="BR41" i="16"/>
  <c r="BR42" i="16"/>
  <c r="BR43" i="16"/>
  <c r="BS43" i="16" s="1"/>
  <c r="BT43" i="16" s="1"/>
  <c r="AY44" i="16"/>
  <c r="BR44" i="16" s="1"/>
  <c r="AZ44" i="16"/>
  <c r="BA44" i="16"/>
  <c r="BO45" i="16"/>
  <c r="BO44" i="16" s="1"/>
  <c r="BO43" i="16" s="1"/>
  <c r="BO42" i="16" s="1"/>
  <c r="BO41" i="16" s="1"/>
  <c r="BO40" i="16" s="1"/>
  <c r="BO39" i="16" s="1"/>
  <c r="BO38" i="16" s="1"/>
  <c r="AW6" i="16"/>
  <c r="AW7" i="16" s="1"/>
  <c r="AW8" i="16" s="1"/>
  <c r="AW9" i="16" s="1"/>
  <c r="AW10" i="16" s="1"/>
  <c r="AW11" i="16" s="1"/>
  <c r="AW12" i="16" s="1"/>
  <c r="AW13" i="16" s="1"/>
  <c r="AW14" i="16" s="1"/>
  <c r="AW15" i="16" s="1"/>
  <c r="AW16" i="16" s="1"/>
  <c r="AW17" i="16" s="1"/>
  <c r="AW18" i="16" s="1"/>
  <c r="AW19" i="16" s="1"/>
  <c r="AW20" i="16" s="1"/>
  <c r="AW21" i="16" s="1"/>
  <c r="AW22" i="16" s="1"/>
  <c r="AW23" i="16" s="1"/>
  <c r="AW24" i="16" s="1"/>
  <c r="AW25" i="16" s="1"/>
  <c r="AW26" i="16" s="1"/>
  <c r="AW27" i="16" s="1"/>
  <c r="AW28" i="16" s="1"/>
  <c r="AW29" i="16" s="1"/>
  <c r="AW30" i="16" s="1"/>
  <c r="AW31" i="16" s="1"/>
  <c r="AW32" i="16" s="1"/>
  <c r="AW33" i="16" s="1"/>
  <c r="AW34" i="16" s="1"/>
  <c r="AW35" i="16" s="1"/>
  <c r="AW36" i="16" s="1"/>
  <c r="AW37" i="16" s="1"/>
  <c r="AW38" i="16" s="1"/>
  <c r="AW39" i="16" s="1"/>
  <c r="AW40" i="16" s="1"/>
  <c r="AW41" i="16" s="1"/>
  <c r="AW42" i="16" s="1"/>
  <c r="AW43" i="16" s="1"/>
  <c r="AW44" i="16" s="1"/>
  <c r="AV5" i="16"/>
  <c r="AV6" i="16" s="1"/>
  <c r="AU5" i="16"/>
  <c r="AU6" i="16" s="1"/>
  <c r="AT5" i="16"/>
  <c r="AT6" i="16" s="1"/>
  <c r="AT7" i="16" s="1"/>
  <c r="AS5" i="16"/>
  <c r="AS6" i="16" s="1"/>
  <c r="AR5" i="16"/>
  <c r="AR6" i="16" s="1"/>
  <c r="AQ5" i="16"/>
  <c r="AQ6" i="16" s="1"/>
  <c r="AQ7" i="16" s="1"/>
  <c r="AQ8" i="16" s="1"/>
  <c r="AQ9" i="16" s="1"/>
  <c r="AQ10" i="16" s="1"/>
  <c r="AQ11" i="16" s="1"/>
  <c r="AQ12" i="16" s="1"/>
  <c r="AQ13" i="16" s="1"/>
  <c r="AQ14" i="16" s="1"/>
  <c r="AQ15" i="16" s="1"/>
  <c r="AP5" i="16"/>
  <c r="AP6" i="16" s="1"/>
  <c r="A6" i="16"/>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D72" i="6"/>
  <c r="D31" i="16"/>
  <c r="D93" i="6"/>
  <c r="B93" i="6" s="1"/>
  <c r="D92" i="6"/>
  <c r="B92" i="6" s="1"/>
  <c r="D91" i="6"/>
  <c r="D90" i="6"/>
  <c r="B90" i="6" s="1"/>
  <c r="C50" i="57" s="1"/>
  <c r="C54" i="57" s="1"/>
  <c r="A35" i="6"/>
  <c r="E35" i="6" s="1"/>
  <c r="P35" i="6"/>
  <c r="R34" i="6"/>
  <c r="S34" i="6"/>
  <c r="T34" i="6"/>
  <c r="P36" i="6"/>
  <c r="A37" i="6"/>
  <c r="E37" i="6" s="1"/>
  <c r="P37" i="6"/>
  <c r="A38" i="6"/>
  <c r="E38" i="6" s="1"/>
  <c r="P38" i="6"/>
  <c r="A39" i="6"/>
  <c r="E39" i="6" s="1"/>
  <c r="A40" i="6"/>
  <c r="E40" i="6" s="1"/>
  <c r="V39" i="6"/>
  <c r="V40" i="6"/>
  <c r="H5" i="7"/>
  <c r="H6" i="7" s="1"/>
  <c r="D147" i="7" s="1"/>
  <c r="D90" i="7"/>
  <c r="B90" i="7" s="1"/>
  <c r="K39" i="26"/>
  <c r="K40" i="26"/>
  <c r="K42" i="26"/>
  <c r="K43" i="26"/>
  <c r="K45" i="26"/>
  <c r="K46" i="26"/>
  <c r="K47" i="26"/>
  <c r="K48" i="26"/>
  <c r="K49" i="26"/>
  <c r="K50" i="26"/>
  <c r="K51" i="26"/>
  <c r="T6" i="7"/>
  <c r="D49" i="7" s="1"/>
  <c r="B49" i="7" s="1"/>
  <c r="K75" i="26"/>
  <c r="K76" i="26"/>
  <c r="K78" i="26"/>
  <c r="K79" i="26"/>
  <c r="K80" i="26"/>
  <c r="K81" i="26"/>
  <c r="K82" i="26"/>
  <c r="K83" i="26"/>
  <c r="D102" i="7"/>
  <c r="B102" i="7" s="1"/>
  <c r="K126" i="26"/>
  <c r="K127" i="26"/>
  <c r="K129" i="26"/>
  <c r="K130" i="26"/>
  <c r="K132" i="26"/>
  <c r="K133" i="26"/>
  <c r="K134" i="26"/>
  <c r="K135" i="26"/>
  <c r="K136" i="26"/>
  <c r="K137" i="26"/>
  <c r="K138" i="26"/>
  <c r="K157" i="26"/>
  <c r="K158" i="26"/>
  <c r="K159" i="26"/>
  <c r="K163" i="26"/>
  <c r="K164" i="26"/>
  <c r="K165" i="26"/>
  <c r="K166" i="26"/>
  <c r="K167" i="26"/>
  <c r="K168" i="26"/>
  <c r="K169" i="26"/>
  <c r="K180" i="26"/>
  <c r="K181" i="26"/>
  <c r="K182" i="26"/>
  <c r="K186" i="26"/>
  <c r="K187" i="26"/>
  <c r="K188" i="26"/>
  <c r="K189" i="26"/>
  <c r="K190" i="26"/>
  <c r="K191" i="26"/>
  <c r="K192" i="26"/>
  <c r="D60" i="7"/>
  <c r="B60" i="7" s="1"/>
  <c r="K204" i="26"/>
  <c r="K205" i="26"/>
  <c r="K206" i="26"/>
  <c r="K210" i="26"/>
  <c r="K211" i="26"/>
  <c r="K212" i="26"/>
  <c r="K213" i="26"/>
  <c r="K214" i="26"/>
  <c r="K215" i="26"/>
  <c r="K216" i="26"/>
  <c r="K224" i="26"/>
  <c r="K225" i="26"/>
  <c r="K226" i="26"/>
  <c r="K230" i="26"/>
  <c r="K231" i="26"/>
  <c r="K232" i="26"/>
  <c r="K233" i="26"/>
  <c r="K234" i="26"/>
  <c r="K235" i="26"/>
  <c r="K236" i="26"/>
  <c r="N241" i="26"/>
  <c r="D189" i="26"/>
  <c r="N191" i="26" s="1"/>
  <c r="D185" i="26"/>
  <c r="N187" i="26" s="1"/>
  <c r="O6" i="59"/>
  <c r="O7" i="59" s="1"/>
  <c r="O18" i="16" s="1"/>
  <c r="P18" i="16" s="1"/>
  <c r="Q18" i="16" s="1"/>
  <c r="R18" i="16" s="1"/>
  <c r="S18" i="16" s="1"/>
  <c r="T18" i="16" s="1"/>
  <c r="AV7" i="57"/>
  <c r="AY12" i="57"/>
  <c r="AY14" i="57"/>
  <c r="AX11" i="57"/>
  <c r="BD12" i="57" s="1"/>
  <c r="AW11" i="57"/>
  <c r="BC12" i="57" s="1"/>
  <c r="BE12" i="57" s="1"/>
  <c r="AY9" i="57"/>
  <c r="BD8" i="57"/>
  <c r="BF8" i="57"/>
  <c r="BC8" i="57"/>
  <c r="D71" i="6"/>
  <c r="B71" i="6" s="1"/>
  <c r="C28" i="8" s="1"/>
  <c r="D44" i="16"/>
  <c r="B28" i="8"/>
  <c r="S58" i="6"/>
  <c r="H71" i="6"/>
  <c r="K281" i="29"/>
  <c r="K297" i="29" s="1"/>
  <c r="O328" i="29"/>
  <c r="L333" i="29"/>
  <c r="L334" i="29" s="1"/>
  <c r="L335" i="29" s="1"/>
  <c r="B335" i="29" s="1"/>
  <c r="B332" i="29"/>
  <c r="B328" i="29"/>
  <c r="B327" i="29"/>
  <c r="B46" i="28"/>
  <c r="AV289" i="28"/>
  <c r="AV290" i="28" s="1"/>
  <c r="AV291" i="28" s="1"/>
  <c r="R5" i="7"/>
  <c r="R6" i="7" s="1"/>
  <c r="A1" i="57"/>
  <c r="A1" i="9"/>
  <c r="B8" i="53"/>
  <c r="A1" i="39" s="1"/>
  <c r="U26" i="26"/>
  <c r="U29" i="26"/>
  <c r="T16" i="26"/>
  <c r="C10" i="63"/>
  <c r="D22" i="63" s="1"/>
  <c r="C9" i="63"/>
  <c r="D21" i="63" s="1"/>
  <c r="C8" i="63"/>
  <c r="D20" i="63" s="1"/>
  <c r="C7" i="63"/>
  <c r="D19" i="63" s="1"/>
  <c r="C6" i="63"/>
  <c r="D18" i="63" s="1"/>
  <c r="C5" i="63"/>
  <c r="C4" i="63"/>
  <c r="F15" i="10"/>
  <c r="E57" i="6"/>
  <c r="F57" i="6" s="1"/>
  <c r="D21" i="8"/>
  <c r="B21" i="8"/>
  <c r="D64" i="6"/>
  <c r="B64" i="6" s="1"/>
  <c r="H95" i="6"/>
  <c r="H79" i="6"/>
  <c r="H54" i="6"/>
  <c r="Q113" i="59"/>
  <c r="D44" i="57"/>
  <c r="G4" i="55"/>
  <c r="G5" i="55"/>
  <c r="G6" i="55"/>
  <c r="G7" i="55"/>
  <c r="G3" i="55"/>
  <c r="D107" i="55"/>
  <c r="F36" i="55"/>
  <c r="F37" i="55"/>
  <c r="F38" i="55"/>
  <c r="F35" i="55"/>
  <c r="D113" i="55"/>
  <c r="B113" i="55"/>
  <c r="D112" i="55"/>
  <c r="B112" i="55"/>
  <c r="D111" i="55"/>
  <c r="B111" i="55"/>
  <c r="D110" i="55"/>
  <c r="B110" i="55"/>
  <c r="D109" i="55"/>
  <c r="B109" i="55"/>
  <c r="D108" i="55"/>
  <c r="B108" i="55"/>
  <c r="B107" i="55"/>
  <c r="C35" i="55"/>
  <c r="D128" i="7"/>
  <c r="B128" i="7" s="1"/>
  <c r="BI14" i="57"/>
  <c r="BH14" i="57"/>
  <c r="BI13" i="57"/>
  <c r="J86" i="57" s="1"/>
  <c r="J87" i="57" s="1"/>
  <c r="J88" i="57" s="1"/>
  <c r="J89" i="57" s="1"/>
  <c r="J90" i="57" s="1"/>
  <c r="J91" i="57" s="1"/>
  <c r="J92" i="57" s="1"/>
  <c r="BH13" i="57"/>
  <c r="J80" i="57" s="1"/>
  <c r="BI8" i="57"/>
  <c r="BI7" i="57"/>
  <c r="BH7" i="57"/>
  <c r="BH8" i="57"/>
  <c r="R54" i="61"/>
  <c r="S54" i="61"/>
  <c r="R56" i="61"/>
  <c r="C241" i="28"/>
  <c r="E37" i="57"/>
  <c r="E38" i="57"/>
  <c r="C37" i="58"/>
  <c r="C38" i="58"/>
  <c r="C39" i="58"/>
  <c r="C40" i="58"/>
  <c r="C41" i="58"/>
  <c r="C42" i="58"/>
  <c r="C36" i="58"/>
  <c r="AR25" i="57"/>
  <c r="AQ25" i="57"/>
  <c r="E62" i="61"/>
  <c r="F62" i="61"/>
  <c r="E63" i="61"/>
  <c r="F63" i="61"/>
  <c r="E64" i="61"/>
  <c r="F64" i="61"/>
  <c r="E66" i="61"/>
  <c r="F66" i="61"/>
  <c r="E67" i="61"/>
  <c r="F67" i="61"/>
  <c r="E68" i="61"/>
  <c r="F68" i="61"/>
  <c r="E70" i="61"/>
  <c r="F70" i="61"/>
  <c r="E71" i="61"/>
  <c r="F71" i="61"/>
  <c r="E72" i="61"/>
  <c r="F72" i="61"/>
  <c r="E73" i="61"/>
  <c r="F73" i="61"/>
  <c r="E74" i="61"/>
  <c r="F74" i="61"/>
  <c r="E75" i="61"/>
  <c r="F75" i="61"/>
  <c r="E76" i="61"/>
  <c r="F76" i="61"/>
  <c r="L14" i="61"/>
  <c r="L10" i="61"/>
  <c r="L11" i="61"/>
  <c r="L39" i="61"/>
  <c r="K39" i="61"/>
  <c r="K15" i="61"/>
  <c r="K48" i="61"/>
  <c r="Q41" i="61"/>
  <c r="P41" i="61"/>
  <c r="Q18" i="61"/>
  <c r="P18" i="61"/>
  <c r="Q4" i="61"/>
  <c r="P4" i="61"/>
  <c r="P23" i="61"/>
  <c r="E25" i="58"/>
  <c r="F25" i="58"/>
  <c r="G25" i="58"/>
  <c r="H25" i="58"/>
  <c r="H24" i="58"/>
  <c r="G24" i="58"/>
  <c r="F24" i="58"/>
  <c r="E24" i="58"/>
  <c r="H23" i="58"/>
  <c r="G23" i="58"/>
  <c r="F23" i="58"/>
  <c r="E23" i="58"/>
  <c r="H45" i="58"/>
  <c r="G45" i="58"/>
  <c r="F45" i="58"/>
  <c r="E45" i="58"/>
  <c r="H44" i="58"/>
  <c r="G44" i="58"/>
  <c r="F44" i="58"/>
  <c r="E44" i="58"/>
  <c r="C45" i="58"/>
  <c r="C44" i="58"/>
  <c r="E31" i="58"/>
  <c r="F31" i="58"/>
  <c r="G31" i="58"/>
  <c r="H31" i="58"/>
  <c r="E32" i="58"/>
  <c r="F32" i="58"/>
  <c r="G32" i="58"/>
  <c r="H32" i="58"/>
  <c r="E33" i="58"/>
  <c r="F33" i="58"/>
  <c r="G33" i="58"/>
  <c r="H33" i="58"/>
  <c r="E34" i="58"/>
  <c r="F34" i="58"/>
  <c r="G34" i="58"/>
  <c r="H34" i="58"/>
  <c r="BF12" i="57"/>
  <c r="C139" i="59"/>
  <c r="F139" i="59"/>
  <c r="J138" i="59"/>
  <c r="E130" i="59"/>
  <c r="E128" i="59"/>
  <c r="E129" i="59"/>
  <c r="J129" i="59" s="1"/>
  <c r="E131" i="59"/>
  <c r="E132" i="59"/>
  <c r="J132" i="59" s="1"/>
  <c r="E133" i="59"/>
  <c r="E134" i="59"/>
  <c r="E135" i="59"/>
  <c r="J135" i="59" s="1"/>
  <c r="E136" i="59"/>
  <c r="J136" i="59" s="1"/>
  <c r="E137" i="59"/>
  <c r="J137" i="59" s="1"/>
  <c r="G129" i="59"/>
  <c r="G130" i="59"/>
  <c r="G131" i="59"/>
  <c r="G132" i="59"/>
  <c r="G133" i="59"/>
  <c r="G134" i="59"/>
  <c r="G135" i="59"/>
  <c r="G136" i="59"/>
  <c r="G137" i="59"/>
  <c r="G138" i="59"/>
  <c r="G128" i="59"/>
  <c r="D65" i="59"/>
  <c r="N112" i="59"/>
  <c r="K99" i="59"/>
  <c r="K115" i="59"/>
  <c r="K116" i="59"/>
  <c r="K117" i="59"/>
  <c r="K118" i="59"/>
  <c r="K119" i="59"/>
  <c r="K120" i="59"/>
  <c r="K121" i="59"/>
  <c r="K122" i="59"/>
  <c r="K123" i="59"/>
  <c r="K124" i="59"/>
  <c r="J115" i="59"/>
  <c r="J116" i="59"/>
  <c r="J117" i="59"/>
  <c r="J118" i="59"/>
  <c r="J119" i="59"/>
  <c r="J120" i="59"/>
  <c r="J121" i="59"/>
  <c r="J122" i="59"/>
  <c r="J123" i="59"/>
  <c r="J124" i="59"/>
  <c r="I114" i="59"/>
  <c r="K114" i="59" s="1"/>
  <c r="D129" i="59"/>
  <c r="D130" i="59"/>
  <c r="D131" i="59"/>
  <c r="D132" i="59"/>
  <c r="D133" i="59"/>
  <c r="D134" i="59"/>
  <c r="D135" i="59"/>
  <c r="D136" i="59"/>
  <c r="D137" i="59"/>
  <c r="D138" i="59"/>
  <c r="D128" i="59"/>
  <c r="E64" i="59"/>
  <c r="E63" i="59"/>
  <c r="E65" i="59" s="1"/>
  <c r="G66" i="59" s="1"/>
  <c r="F62" i="59"/>
  <c r="E62" i="59"/>
  <c r="G64" i="59"/>
  <c r="A64" i="59"/>
  <c r="A68" i="59" s="1"/>
  <c r="D62" i="59"/>
  <c r="D64" i="59" s="1"/>
  <c r="D66" i="59" s="1"/>
  <c r="AA12" i="59"/>
  <c r="Z12" i="59"/>
  <c r="Y12" i="59"/>
  <c r="AA11" i="59"/>
  <c r="Z11" i="59"/>
  <c r="Y11" i="59"/>
  <c r="W7" i="59"/>
  <c r="W12" i="59"/>
  <c r="W13" i="59"/>
  <c r="X13" i="59"/>
  <c r="V13" i="59"/>
  <c r="X12" i="59"/>
  <c r="X11" i="59"/>
  <c r="W11" i="59"/>
  <c r="V11" i="59"/>
  <c r="X10" i="59"/>
  <c r="AZ12" i="57" s="1"/>
  <c r="W10" i="59"/>
  <c r="AX12" i="57" s="1"/>
  <c r="AX13" i="57" s="1"/>
  <c r="AZ13" i="57" s="1"/>
  <c r="V10" i="59"/>
  <c r="AW12" i="57" s="1"/>
  <c r="AW13" i="57" s="1"/>
  <c r="V12" i="59"/>
  <c r="V5" i="59"/>
  <c r="AW9" i="57" s="1"/>
  <c r="F124" i="59"/>
  <c r="F123" i="59"/>
  <c r="F122" i="59"/>
  <c r="D122" i="59" s="1"/>
  <c r="F121" i="59"/>
  <c r="L121" i="59" s="1"/>
  <c r="M121" i="59" s="1"/>
  <c r="F120" i="59"/>
  <c r="L120" i="59" s="1"/>
  <c r="M120" i="59" s="1"/>
  <c r="F119" i="59"/>
  <c r="L119" i="59" s="1"/>
  <c r="M119" i="59" s="1"/>
  <c r="F118" i="59"/>
  <c r="D118" i="59" s="1"/>
  <c r="F117" i="59"/>
  <c r="F116" i="59"/>
  <c r="F115" i="59"/>
  <c r="G116" i="59" s="1"/>
  <c r="F114" i="59"/>
  <c r="E114" i="59" s="1"/>
  <c r="Z8" i="59"/>
  <c r="AA8" i="59"/>
  <c r="Y8" i="59"/>
  <c r="Z6" i="59"/>
  <c r="Z7" i="59"/>
  <c r="AA7" i="59"/>
  <c r="Y7" i="59"/>
  <c r="AA6" i="59"/>
  <c r="BF9" i="57" s="1"/>
  <c r="Y6" i="59"/>
  <c r="Y5" i="59"/>
  <c r="BC9" i="57" s="1"/>
  <c r="BE9" i="57" s="1"/>
  <c r="X8" i="59"/>
  <c r="W8" i="59"/>
  <c r="V8" i="59"/>
  <c r="V7" i="59"/>
  <c r="X7" i="59"/>
  <c r="X6" i="59"/>
  <c r="AZ9" i="57" s="1"/>
  <c r="W6" i="59"/>
  <c r="V6" i="59"/>
  <c r="W5" i="59"/>
  <c r="AX9" i="57" s="1"/>
  <c r="AX10" i="57" s="1"/>
  <c r="AZ10" i="57" s="1"/>
  <c r="X5" i="59"/>
  <c r="Z5" i="59"/>
  <c r="BD9" i="57" s="1"/>
  <c r="AA5" i="59"/>
  <c r="AD22" i="59"/>
  <c r="O37" i="59"/>
  <c r="Q37" i="59" s="1"/>
  <c r="T37" i="59" s="1"/>
  <c r="O38" i="59"/>
  <c r="Q38" i="59" s="1"/>
  <c r="O39" i="59"/>
  <c r="Q39" i="59" s="1"/>
  <c r="O40" i="59"/>
  <c r="Q40" i="59" s="1"/>
  <c r="R40" i="59" s="1"/>
  <c r="O41" i="59"/>
  <c r="Q41" i="59" s="1"/>
  <c r="O42" i="59"/>
  <c r="Q42" i="59" s="1"/>
  <c r="O43" i="59"/>
  <c r="Q43" i="59" s="1"/>
  <c r="U43" i="59" s="1"/>
  <c r="O32" i="59"/>
  <c r="Q32" i="59" s="1"/>
  <c r="S32" i="59" s="1"/>
  <c r="O33" i="59"/>
  <c r="Q33" i="59" s="1"/>
  <c r="O34" i="59"/>
  <c r="Q34" i="59" s="1"/>
  <c r="W34" i="59" s="1"/>
  <c r="O35" i="59"/>
  <c r="Q35" i="59" s="1"/>
  <c r="O36" i="59"/>
  <c r="Q36" i="59" s="1"/>
  <c r="W36" i="59" s="1"/>
  <c r="O31" i="59"/>
  <c r="Q31" i="59" s="1"/>
  <c r="R31" i="59" s="1"/>
  <c r="G31" i="59"/>
  <c r="F31" i="59"/>
  <c r="G32" i="59"/>
  <c r="G33" i="59"/>
  <c r="G34" i="59"/>
  <c r="G35" i="59"/>
  <c r="G36" i="59"/>
  <c r="G37" i="59"/>
  <c r="G38" i="59"/>
  <c r="G39" i="59"/>
  <c r="G40" i="59"/>
  <c r="G41" i="59"/>
  <c r="G42" i="59"/>
  <c r="G43" i="59"/>
  <c r="G44" i="59"/>
  <c r="F36" i="59"/>
  <c r="F33" i="59"/>
  <c r="F32" i="59"/>
  <c r="F34" i="59"/>
  <c r="F35" i="59"/>
  <c r="F37" i="59"/>
  <c r="F38" i="59"/>
  <c r="F39" i="59"/>
  <c r="H39" i="59" s="1"/>
  <c r="F40" i="59"/>
  <c r="H40" i="59" s="1"/>
  <c r="F41" i="59"/>
  <c r="F42" i="59"/>
  <c r="F43" i="59"/>
  <c r="F44" i="59"/>
  <c r="N31" i="59"/>
  <c r="P31" i="59" s="1"/>
  <c r="AD16" i="59"/>
  <c r="AD24" i="59"/>
  <c r="AD23" i="59"/>
  <c r="AD12" i="59"/>
  <c r="AD13" i="59" s="1"/>
  <c r="AD8" i="59"/>
  <c r="AD2" i="59"/>
  <c r="AD21" i="59" s="1"/>
  <c r="M42" i="59"/>
  <c r="M43" i="59"/>
  <c r="M41" i="59"/>
  <c r="L41" i="59"/>
  <c r="M38" i="59"/>
  <c r="M39" i="59"/>
  <c r="M40" i="59"/>
  <c r="M37" i="59"/>
  <c r="M32" i="59"/>
  <c r="M33" i="59"/>
  <c r="M34" i="59"/>
  <c r="M35" i="59"/>
  <c r="M36" i="59"/>
  <c r="M31" i="59"/>
  <c r="L31" i="59"/>
  <c r="N32" i="59"/>
  <c r="P32" i="59" s="1"/>
  <c r="N33" i="59"/>
  <c r="P33" i="59" s="1"/>
  <c r="N34" i="59"/>
  <c r="P34" i="59" s="1"/>
  <c r="N35" i="59"/>
  <c r="P35" i="59" s="1"/>
  <c r="N36" i="59"/>
  <c r="P36" i="59" s="1"/>
  <c r="N37" i="59"/>
  <c r="P37" i="59" s="1"/>
  <c r="N38" i="59"/>
  <c r="P38" i="59" s="1"/>
  <c r="N39" i="59"/>
  <c r="P39" i="59" s="1"/>
  <c r="N40" i="59"/>
  <c r="P40" i="59" s="1"/>
  <c r="N41" i="59"/>
  <c r="P41" i="59" s="1"/>
  <c r="N42" i="59"/>
  <c r="P42" i="59" s="1"/>
  <c r="N43" i="59"/>
  <c r="P43" i="59" s="1"/>
  <c r="M45" i="16"/>
  <c r="H45" i="16"/>
  <c r="I45" i="16"/>
  <c r="J45" i="16"/>
  <c r="K45" i="16"/>
  <c r="L45" i="16"/>
  <c r="G45" i="16"/>
  <c r="E40" i="58"/>
  <c r="F40" i="58"/>
  <c r="G40" i="58"/>
  <c r="H40" i="58"/>
  <c r="E41" i="58"/>
  <c r="F41" i="58"/>
  <c r="G41" i="58"/>
  <c r="H41" i="58"/>
  <c r="E42" i="58"/>
  <c r="F42" i="58"/>
  <c r="G42" i="58"/>
  <c r="H42" i="58"/>
  <c r="H39" i="58"/>
  <c r="G39" i="58"/>
  <c r="F39" i="58"/>
  <c r="E39" i="58"/>
  <c r="H38" i="58"/>
  <c r="G38" i="58"/>
  <c r="F38" i="58"/>
  <c r="E38" i="58"/>
  <c r="H37" i="58"/>
  <c r="G37" i="58"/>
  <c r="F37" i="58"/>
  <c r="E37" i="58"/>
  <c r="H36" i="58"/>
  <c r="G36" i="58"/>
  <c r="F36" i="58"/>
  <c r="E36" i="58"/>
  <c r="S23" i="16"/>
  <c r="B48" i="8"/>
  <c r="K245" i="29"/>
  <c r="K251" i="29" s="1"/>
  <c r="K240" i="29"/>
  <c r="K241" i="29" s="1"/>
  <c r="K242" i="29" s="1"/>
  <c r="K243" i="29" s="1"/>
  <c r="B279" i="29"/>
  <c r="B278" i="29"/>
  <c r="B277" i="29"/>
  <c r="B276" i="29"/>
  <c r="B273" i="29"/>
  <c r="B272" i="29"/>
  <c r="B271" i="29"/>
  <c r="B270" i="29"/>
  <c r="G95" i="6"/>
  <c r="I95" i="6"/>
  <c r="J95" i="6"/>
  <c r="K95" i="6"/>
  <c r="F95" i="6"/>
  <c r="AN26" i="16"/>
  <c r="AO26" i="16"/>
  <c r="AQ13" i="45"/>
  <c r="AR13" i="45"/>
  <c r="AS13" i="45"/>
  <c r="AV13" i="45"/>
  <c r="AW13" i="45"/>
  <c r="AX13" i="45"/>
  <c r="BA13" i="45"/>
  <c r="BB13" i="45"/>
  <c r="BC13" i="45"/>
  <c r="BC12" i="45"/>
  <c r="BB12" i="45"/>
  <c r="BA12" i="45"/>
  <c r="AX12" i="45"/>
  <c r="AW12" i="45"/>
  <c r="AV12" i="45"/>
  <c r="AS12" i="45"/>
  <c r="AR12" i="45"/>
  <c r="AQ12" i="45"/>
  <c r="AJ12" i="45"/>
  <c r="AI12" i="45"/>
  <c r="AH12" i="45"/>
  <c r="AG12" i="45"/>
  <c r="AF12" i="45"/>
  <c r="AE12" i="45"/>
  <c r="AD12" i="45"/>
  <c r="AC12" i="45"/>
  <c r="AB12" i="45"/>
  <c r="AA12" i="45"/>
  <c r="Z12" i="45"/>
  <c r="Y12" i="45"/>
  <c r="X12" i="45"/>
  <c r="W12" i="45"/>
  <c r="V12" i="45"/>
  <c r="D12" i="45"/>
  <c r="N12" i="45"/>
  <c r="I12" i="45"/>
  <c r="F12" i="45"/>
  <c r="G12" i="45"/>
  <c r="H12" i="45"/>
  <c r="J12" i="45"/>
  <c r="K12" i="45"/>
  <c r="L12" i="45"/>
  <c r="M12" i="45"/>
  <c r="O12" i="45"/>
  <c r="P12" i="45"/>
  <c r="Q12" i="45"/>
  <c r="R12" i="45"/>
  <c r="E12" i="45"/>
  <c r="B26" i="52"/>
  <c r="N240" i="26"/>
  <c r="E235" i="26"/>
  <c r="E233" i="26"/>
  <c r="E234" i="26" s="1"/>
  <c r="E77" i="59"/>
  <c r="D77" i="59"/>
  <c r="E76" i="59"/>
  <c r="D76" i="59"/>
  <c r="E75" i="59"/>
  <c r="D75" i="59"/>
  <c r="A65" i="59"/>
  <c r="Z70" i="55"/>
  <c r="T76" i="55" s="1"/>
  <c r="T82" i="55" s="1"/>
  <c r="Q61" i="55"/>
  <c r="Q62" i="55" s="1"/>
  <c r="D103" i="6"/>
  <c r="B103" i="6" s="1"/>
  <c r="C60" i="8" s="1"/>
  <c r="D102" i="6"/>
  <c r="B102" i="6" s="1"/>
  <c r="C59" i="8" s="1"/>
  <c r="D101" i="6"/>
  <c r="D100" i="6"/>
  <c r="B100" i="6" s="1"/>
  <c r="C57" i="8" s="1"/>
  <c r="D99" i="6"/>
  <c r="B99" i="6" s="1"/>
  <c r="C56" i="8" s="1"/>
  <c r="D98" i="6"/>
  <c r="B98" i="6" s="1"/>
  <c r="C55" i="8" s="1"/>
  <c r="D97" i="6"/>
  <c r="D96" i="6"/>
  <c r="B96" i="6" s="1"/>
  <c r="C53" i="8" s="1"/>
  <c r="D88" i="6"/>
  <c r="D87" i="6"/>
  <c r="B87" i="6" s="1"/>
  <c r="C44" i="8" s="1"/>
  <c r="D86" i="6"/>
  <c r="D85" i="6"/>
  <c r="D84" i="6"/>
  <c r="D83" i="6"/>
  <c r="B83" i="6" s="1"/>
  <c r="C40" i="8" s="1"/>
  <c r="E18" i="69" s="1"/>
  <c r="D82" i="6"/>
  <c r="B82" i="6" s="1"/>
  <c r="C39" i="8" s="1"/>
  <c r="E9" i="69" s="1"/>
  <c r="D81" i="6"/>
  <c r="B81" i="6" s="1"/>
  <c r="C38" i="8" s="1"/>
  <c r="D80" i="6"/>
  <c r="D79" i="6"/>
  <c r="B79" i="6" s="1"/>
  <c r="C36" i="8" s="1"/>
  <c r="B78" i="6"/>
  <c r="D40" i="6" s="1"/>
  <c r="D77" i="6"/>
  <c r="D76" i="6"/>
  <c r="B76" i="6" s="1"/>
  <c r="C33" i="8" s="1"/>
  <c r="D74" i="6"/>
  <c r="D43" i="16"/>
  <c r="D73" i="6"/>
  <c r="D70" i="6"/>
  <c r="B70" i="6" s="1"/>
  <c r="C27" i="8" s="1"/>
  <c r="D69" i="6"/>
  <c r="D68" i="6"/>
  <c r="D67" i="6"/>
  <c r="D63" i="6"/>
  <c r="B63" i="6" s="1"/>
  <c r="D65" i="6"/>
  <c r="D61" i="6"/>
  <c r="D60" i="6"/>
  <c r="D59" i="6"/>
  <c r="B59" i="6" s="1"/>
  <c r="C49" i="57" s="1"/>
  <c r="C28" i="58" s="1"/>
  <c r="D58" i="6"/>
  <c r="B58" i="6" s="1"/>
  <c r="C15" i="10" s="1"/>
  <c r="B15" i="10" s="1"/>
  <c r="D62" i="6"/>
  <c r="S25" i="16"/>
  <c r="S26" i="16"/>
  <c r="T26" i="16"/>
  <c r="H29" i="58"/>
  <c r="G29" i="58"/>
  <c r="F29" i="58"/>
  <c r="E29" i="58"/>
  <c r="U5" i="6"/>
  <c r="V5" i="5"/>
  <c r="B95" i="6"/>
  <c r="C52" i="8" s="1"/>
  <c r="L323" i="29"/>
  <c r="B322" i="29"/>
  <c r="O320" i="29"/>
  <c r="O321" i="29" s="1"/>
  <c r="O322" i="29" s="1"/>
  <c r="L316" i="29"/>
  <c r="B316" i="29" s="1"/>
  <c r="B315" i="29"/>
  <c r="O313" i="29"/>
  <c r="O314" i="29" s="1"/>
  <c r="O315" i="29" s="1"/>
  <c r="O316" i="29" s="1"/>
  <c r="L313" i="29"/>
  <c r="L314" i="29" s="1"/>
  <c r="B314" i="29" s="1"/>
  <c r="B312" i="29"/>
  <c r="B23" i="24"/>
  <c r="D125" i="7"/>
  <c r="B125" i="7" s="1"/>
  <c r="C23" i="24" s="1"/>
  <c r="E126" i="7"/>
  <c r="L218" i="29"/>
  <c r="B218" i="29" s="1"/>
  <c r="B217" i="29"/>
  <c r="O208" i="29"/>
  <c r="O209" i="29" s="1"/>
  <c r="O210" i="29" s="1"/>
  <c r="O211" i="29" s="1"/>
  <c r="O212" i="29" s="1"/>
  <c r="O213" i="29" s="1"/>
  <c r="O214" i="29" s="1"/>
  <c r="O215" i="29" s="1"/>
  <c r="L200" i="29"/>
  <c r="B199" i="29"/>
  <c r="O197" i="29"/>
  <c r="O198" i="29"/>
  <c r="O199" i="29" s="1"/>
  <c r="O200" i="29" s="1"/>
  <c r="O201" i="29" s="1"/>
  <c r="O202" i="29" s="1"/>
  <c r="O203" i="29" s="1"/>
  <c r="O204" i="29" s="1"/>
  <c r="L197" i="29"/>
  <c r="L198" i="29" s="1"/>
  <c r="B196" i="29"/>
  <c r="L194" i="29"/>
  <c r="B194" i="29" s="1"/>
  <c r="B193" i="29"/>
  <c r="O184" i="29"/>
  <c r="O185" i="29" s="1"/>
  <c r="O186" i="29" s="1"/>
  <c r="O187" i="29" s="1"/>
  <c r="O188" i="29" s="1"/>
  <c r="O189" i="29" s="1"/>
  <c r="O190" i="29" s="1"/>
  <c r="O191" i="29" s="1"/>
  <c r="L176" i="29"/>
  <c r="B175" i="29"/>
  <c r="O173" i="29"/>
  <c r="O174" i="29" s="1"/>
  <c r="O175" i="29" s="1"/>
  <c r="O176" i="29" s="1"/>
  <c r="O177" i="29" s="1"/>
  <c r="O178" i="29" s="1"/>
  <c r="O179" i="29" s="1"/>
  <c r="O180" i="29" s="1"/>
  <c r="L173" i="29"/>
  <c r="L174" i="29" s="1"/>
  <c r="B174" i="29" s="1"/>
  <c r="B172" i="29"/>
  <c r="L231" i="29"/>
  <c r="D174" i="7"/>
  <c r="B174" i="7" s="1"/>
  <c r="C196" i="28" s="1"/>
  <c r="L230" i="29"/>
  <c r="S175" i="7"/>
  <c r="C234" i="28"/>
  <c r="AV177" i="28"/>
  <c r="AV178" i="28" s="1"/>
  <c r="AV179" i="28" s="1"/>
  <c r="AV180" i="28" s="1"/>
  <c r="AV181" i="28" s="1"/>
  <c r="AV182" i="28" s="1"/>
  <c r="AV183" i="28" s="1"/>
  <c r="AV184" i="28" s="1"/>
  <c r="B26" i="24"/>
  <c r="B16" i="24"/>
  <c r="D80" i="7"/>
  <c r="B80" i="7" s="1"/>
  <c r="C16" i="24" s="1"/>
  <c r="A80" i="7"/>
  <c r="D16" i="24" s="1"/>
  <c r="J154" i="7"/>
  <c r="D134" i="7"/>
  <c r="D153" i="7"/>
  <c r="D159" i="7"/>
  <c r="D39" i="7"/>
  <c r="D115" i="7"/>
  <c r="D173" i="7"/>
  <c r="D222" i="29" s="1"/>
  <c r="E144" i="7"/>
  <c r="E141" i="7"/>
  <c r="A70" i="7"/>
  <c r="D15" i="24" s="1"/>
  <c r="Y237" i="26"/>
  <c r="Y238" i="26"/>
  <c r="Y239" i="26"/>
  <c r="Y240" i="26"/>
  <c r="V39" i="22" s="1"/>
  <c r="Y241" i="26"/>
  <c r="V40" i="22" s="1"/>
  <c r="Y242" i="26"/>
  <c r="Y236" i="26"/>
  <c r="V35" i="22" s="1"/>
  <c r="R36" i="22"/>
  <c r="S36" i="22" s="1"/>
  <c r="R37" i="22"/>
  <c r="R38" i="22"/>
  <c r="S38" i="22" s="1"/>
  <c r="R39" i="22"/>
  <c r="S39" i="22" s="1"/>
  <c r="R40" i="22"/>
  <c r="S40" i="22" s="1"/>
  <c r="R41" i="22"/>
  <c r="S41" i="22" s="1"/>
  <c r="R35" i="22"/>
  <c r="AR250" i="28"/>
  <c r="AR251" i="28" s="1"/>
  <c r="AD137" i="7"/>
  <c r="Y145" i="7"/>
  <c r="L170" i="29"/>
  <c r="B170" i="29" s="1"/>
  <c r="O149" i="29"/>
  <c r="O150" i="29" s="1"/>
  <c r="O151" i="29" s="1"/>
  <c r="O152" i="29" s="1"/>
  <c r="O153" i="29" s="1"/>
  <c r="O154" i="29" s="1"/>
  <c r="O155" i="29" s="1"/>
  <c r="O156" i="29" s="1"/>
  <c r="O160" i="29"/>
  <c r="O161" i="29" s="1"/>
  <c r="O162" i="29" s="1"/>
  <c r="O163" i="29" s="1"/>
  <c r="O164" i="29" s="1"/>
  <c r="O165" i="29" s="1"/>
  <c r="O166" i="29" s="1"/>
  <c r="O167" i="29" s="1"/>
  <c r="K242" i="26"/>
  <c r="K243" i="26"/>
  <c r="B15" i="24"/>
  <c r="L229" i="26"/>
  <c r="L230" i="26"/>
  <c r="L231" i="26"/>
  <c r="L232" i="26"/>
  <c r="L233" i="26"/>
  <c r="L234" i="26"/>
  <c r="L235" i="26"/>
  <c r="L236" i="26"/>
  <c r="L228" i="26"/>
  <c r="K245" i="26"/>
  <c r="K244" i="26"/>
  <c r="K239" i="26"/>
  <c r="K238" i="26"/>
  <c r="K237" i="26"/>
  <c r="K228" i="26"/>
  <c r="A39" i="59"/>
  <c r="M5" i="7"/>
  <c r="M6" i="7" s="1"/>
  <c r="K55" i="26"/>
  <c r="K85" i="26"/>
  <c r="K142" i="26"/>
  <c r="K143" i="26"/>
  <c r="K144" i="26"/>
  <c r="K145" i="26"/>
  <c r="K146" i="26"/>
  <c r="K170" i="26"/>
  <c r="K179" i="26"/>
  <c r="K193" i="26"/>
  <c r="K199" i="26"/>
  <c r="K217" i="26"/>
  <c r="D4" i="7"/>
  <c r="E4" i="7" s="1"/>
  <c r="F4" i="7" s="1"/>
  <c r="AT16" i="28"/>
  <c r="J281" i="28"/>
  <c r="BR25" i="16"/>
  <c r="BS25" i="16" s="1"/>
  <c r="BT25" i="16" s="1"/>
  <c r="BU25" i="16" s="1"/>
  <c r="BR11" i="16"/>
  <c r="BS11" i="16" s="1"/>
  <c r="BT11" i="16" s="1"/>
  <c r="BU11" i="16" s="1"/>
  <c r="BV11" i="16" s="1"/>
  <c r="BW11" i="16" s="1"/>
  <c r="BX11" i="16" s="1"/>
  <c r="C35" i="11"/>
  <c r="D35" i="11"/>
  <c r="C36" i="11"/>
  <c r="D36" i="11"/>
  <c r="C37" i="11"/>
  <c r="D37" i="11"/>
  <c r="C38" i="11"/>
  <c r="D38" i="11"/>
  <c r="C39" i="11"/>
  <c r="D39" i="11"/>
  <c r="C40" i="11"/>
  <c r="D40" i="11"/>
  <c r="C41" i="11"/>
  <c r="D41" i="11"/>
  <c r="C42" i="11"/>
  <c r="D42" i="11"/>
  <c r="C43" i="11"/>
  <c r="D43" i="11"/>
  <c r="C44" i="11"/>
  <c r="D44" i="11"/>
  <c r="C45" i="11"/>
  <c r="D45" i="11"/>
  <c r="C46" i="11"/>
  <c r="D46" i="11"/>
  <c r="C47" i="11"/>
  <c r="D47" i="11"/>
  <c r="C48" i="11"/>
  <c r="D48" i="11"/>
  <c r="C49" i="11"/>
  <c r="D49" i="11"/>
  <c r="C50" i="11"/>
  <c r="D50" i="11"/>
  <c r="C51" i="11"/>
  <c r="D51" i="11"/>
  <c r="C52" i="11"/>
  <c r="D52" i="11"/>
  <c r="C53" i="11"/>
  <c r="D53" i="11"/>
  <c r="B57" i="6"/>
  <c r="B104" i="6"/>
  <c r="AR14" i="9" s="1"/>
  <c r="AS14" i="9" s="1"/>
  <c r="AR15" i="9" s="1"/>
  <c r="AS15" i="9" s="1"/>
  <c r="AR16" i="9" s="1"/>
  <c r="AS16" i="9" s="1"/>
  <c r="E54" i="6"/>
  <c r="F54" i="6"/>
  <c r="G54" i="6"/>
  <c r="I54" i="6"/>
  <c r="J54" i="6"/>
  <c r="K54" i="6"/>
  <c r="L54" i="6"/>
  <c r="M54" i="6"/>
  <c r="N54" i="6"/>
  <c r="O55" i="6"/>
  <c r="O54" i="6" s="1"/>
  <c r="P55" i="6"/>
  <c r="P54" i="6"/>
  <c r="Q55" i="6"/>
  <c r="Q54" i="6" s="1"/>
  <c r="M59" i="6"/>
  <c r="M60" i="6"/>
  <c r="C5" i="6"/>
  <c r="C6" i="6" s="1"/>
  <c r="D5" i="6"/>
  <c r="D6" i="6" s="1"/>
  <c r="E5" i="6"/>
  <c r="E6" i="6" s="1"/>
  <c r="F5" i="6"/>
  <c r="F6" i="6" s="1"/>
  <c r="G5" i="6"/>
  <c r="G6" i="6" s="1"/>
  <c r="H5" i="6"/>
  <c r="H6" i="6" s="1"/>
  <c r="I5" i="6"/>
  <c r="J5" i="6"/>
  <c r="J6" i="6"/>
  <c r="K5" i="6"/>
  <c r="L5" i="6"/>
  <c r="L6" i="6" s="1"/>
  <c r="M5" i="6"/>
  <c r="M6" i="6" s="1"/>
  <c r="Q5" i="6"/>
  <c r="Q6" i="6" s="1"/>
  <c r="R5" i="6"/>
  <c r="V5" i="6"/>
  <c r="V6" i="6" s="1"/>
  <c r="W5" i="6"/>
  <c r="W6" i="6" s="1"/>
  <c r="X5" i="6"/>
  <c r="Y5" i="6"/>
  <c r="AA5" i="6"/>
  <c r="AA6" i="6" s="1"/>
  <c r="AC5" i="6"/>
  <c r="AC6" i="6" s="1"/>
  <c r="AE5" i="6"/>
  <c r="AH5" i="6"/>
  <c r="AJ5" i="6"/>
  <c r="AK5" i="6"/>
  <c r="AK6" i="6" s="1"/>
  <c r="AL5" i="6"/>
  <c r="AM5" i="6"/>
  <c r="AM6" i="6" s="1"/>
  <c r="AN5" i="6"/>
  <c r="AN6" i="6" s="1"/>
  <c r="AO5" i="6"/>
  <c r="AP5" i="6"/>
  <c r="AP6" i="6" s="1"/>
  <c r="AQ5" i="6"/>
  <c r="M66" i="6"/>
  <c r="M67" i="6"/>
  <c r="H68" i="6"/>
  <c r="M68" i="6"/>
  <c r="M70" i="6"/>
  <c r="M72" i="6"/>
  <c r="M73" i="6"/>
  <c r="M74" i="6"/>
  <c r="G79" i="6"/>
  <c r="I79" i="6" s="1"/>
  <c r="J79" i="6" s="1"/>
  <c r="K79" i="6" s="1"/>
  <c r="AR5" i="6"/>
  <c r="AS5" i="6"/>
  <c r="AT5" i="6"/>
  <c r="AU5" i="6"/>
  <c r="AU6" i="6" s="1"/>
  <c r="AV5" i="6"/>
  <c r="AV6" i="6" s="1"/>
  <c r="AW5" i="6"/>
  <c r="AW6" i="6" s="1"/>
  <c r="AX5" i="6"/>
  <c r="AY5" i="6"/>
  <c r="AY6" i="6" s="1"/>
  <c r="M90" i="6"/>
  <c r="T175" i="7"/>
  <c r="AX24" i="16"/>
  <c r="C23" i="8"/>
  <c r="C32" i="8"/>
  <c r="C46" i="8"/>
  <c r="BR31" i="16"/>
  <c r="BS31" i="16" s="1"/>
  <c r="BT31" i="16" s="1"/>
  <c r="BU31" i="16" s="1"/>
  <c r="BV31" i="16" s="1"/>
  <c r="E30" i="58"/>
  <c r="F30" i="58"/>
  <c r="G30" i="58"/>
  <c r="H30" i="58"/>
  <c r="E22" i="58"/>
  <c r="F22" i="58"/>
  <c r="G22" i="58"/>
  <c r="H22" i="58"/>
  <c r="E27" i="58"/>
  <c r="F27" i="58"/>
  <c r="G27" i="58"/>
  <c r="H27" i="58"/>
  <c r="E28" i="58"/>
  <c r="F28" i="58"/>
  <c r="G28" i="58"/>
  <c r="H28" i="58"/>
  <c r="E11" i="58"/>
  <c r="F11" i="58"/>
  <c r="G11" i="58"/>
  <c r="H11" i="58"/>
  <c r="E12" i="58"/>
  <c r="F12" i="58"/>
  <c r="G12" i="58"/>
  <c r="H12" i="58"/>
  <c r="E13" i="58"/>
  <c r="F13" i="58"/>
  <c r="G13" i="58"/>
  <c r="H13" i="58"/>
  <c r="E14" i="58"/>
  <c r="F14" i="58"/>
  <c r="G14" i="58"/>
  <c r="H14" i="58"/>
  <c r="E15" i="58"/>
  <c r="F15" i="58"/>
  <c r="G15" i="58"/>
  <c r="H15" i="58"/>
  <c r="C16" i="58"/>
  <c r="E16" i="58"/>
  <c r="F16" i="58"/>
  <c r="G16" i="58"/>
  <c r="H16" i="58"/>
  <c r="C17" i="58"/>
  <c r="E17" i="58"/>
  <c r="F17" i="58"/>
  <c r="G17" i="58"/>
  <c r="H17" i="58"/>
  <c r="E18" i="58"/>
  <c r="F18" i="58"/>
  <c r="G18" i="58"/>
  <c r="H18" i="58"/>
  <c r="E20" i="58"/>
  <c r="F20" i="58"/>
  <c r="G20" i="58"/>
  <c r="H20" i="58"/>
  <c r="E21" i="58"/>
  <c r="F21" i="58"/>
  <c r="G21" i="58"/>
  <c r="H21" i="58"/>
  <c r="B25" i="24"/>
  <c r="B27" i="24"/>
  <c r="B28" i="24"/>
  <c r="D28" i="24"/>
  <c r="B29" i="24"/>
  <c r="D29" i="24"/>
  <c r="BR26" i="16"/>
  <c r="BS26" i="16" s="1"/>
  <c r="BT26" i="16" s="1"/>
  <c r="BU26" i="16" s="1"/>
  <c r="BV26" i="16" s="1"/>
  <c r="BW26" i="16" s="1"/>
  <c r="BX26" i="16" s="1"/>
  <c r="BY26" i="16" s="1"/>
  <c r="BZ26" i="16" s="1"/>
  <c r="CA26" i="16" s="1"/>
  <c r="H54" i="59"/>
  <c r="H53" i="59"/>
  <c r="H52" i="59"/>
  <c r="H51" i="59"/>
  <c r="H50" i="59"/>
  <c r="H49" i="59"/>
  <c r="E31" i="59"/>
  <c r="E32" i="59"/>
  <c r="E33" i="59"/>
  <c r="E35" i="59"/>
  <c r="E36" i="59"/>
  <c r="E37" i="59"/>
  <c r="E38" i="59"/>
  <c r="E40" i="59"/>
  <c r="E42" i="59"/>
  <c r="E43" i="59"/>
  <c r="E44" i="59"/>
  <c r="E39" i="59"/>
  <c r="E34" i="59"/>
  <c r="E9" i="59"/>
  <c r="E8" i="59"/>
  <c r="E7" i="59"/>
  <c r="E6" i="59"/>
  <c r="E5" i="59"/>
  <c r="H15" i="1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E49" i="42"/>
  <c r="E58" i="42"/>
  <c r="E60" i="42" s="1"/>
  <c r="Q39" i="42" s="1"/>
  <c r="E52" i="42"/>
  <c r="D131" i="7" s="1"/>
  <c r="B131" i="7" s="1"/>
  <c r="E55" i="42"/>
  <c r="D137" i="7" s="1"/>
  <c r="D23" i="16"/>
  <c r="D19" i="16"/>
  <c r="D24" i="16"/>
  <c r="D18" i="16"/>
  <c r="D22" i="16"/>
  <c r="AX26" i="16"/>
  <c r="D26" i="16"/>
  <c r="D13" i="16"/>
  <c r="D35" i="16"/>
  <c r="D20" i="16"/>
  <c r="D5" i="16"/>
  <c r="D8" i="16"/>
  <c r="D9" i="16"/>
  <c r="D10" i="16"/>
  <c r="D42" i="16"/>
  <c r="D12" i="16"/>
  <c r="D21" i="16"/>
  <c r="D33" i="16"/>
  <c r="D34" i="16"/>
  <c r="D36" i="16"/>
  <c r="D37" i="16"/>
  <c r="D38" i="16"/>
  <c r="A102" i="6" s="1"/>
  <c r="D59" i="8" s="1"/>
  <c r="D40" i="16"/>
  <c r="D39" i="16"/>
  <c r="D15" i="16"/>
  <c r="D16" i="16"/>
  <c r="A95" i="6" s="1"/>
  <c r="D52" i="8" s="1"/>
  <c r="D11" i="16"/>
  <c r="D25" i="16"/>
  <c r="D7" i="16"/>
  <c r="D6" i="16"/>
  <c r="D14" i="16"/>
  <c r="R65" i="6"/>
  <c r="R93" i="6"/>
  <c r="R77" i="6"/>
  <c r="R78" i="6"/>
  <c r="M9" i="10"/>
  <c r="AX5" i="16"/>
  <c r="AX6" i="16"/>
  <c r="AX7" i="16"/>
  <c r="AX8" i="16"/>
  <c r="AX9" i="16"/>
  <c r="AX10" i="16"/>
  <c r="AX11" i="16"/>
  <c r="AX12" i="16"/>
  <c r="AX13" i="16"/>
  <c r="AX14" i="16"/>
  <c r="AX15" i="16"/>
  <c r="AX16" i="16"/>
  <c r="AX17" i="16"/>
  <c r="AX18" i="16"/>
  <c r="AX19" i="16"/>
  <c r="AX20" i="16"/>
  <c r="AX21" i="16"/>
  <c r="AX22" i="16"/>
  <c r="AX23" i="16"/>
  <c r="AX25" i="16"/>
  <c r="AX27" i="16"/>
  <c r="AX28" i="16"/>
  <c r="AX29" i="16"/>
  <c r="AX30" i="16"/>
  <c r="AX31" i="16"/>
  <c r="AX32" i="16"/>
  <c r="AX33" i="16"/>
  <c r="AX34" i="16"/>
  <c r="AX35" i="16"/>
  <c r="AX36" i="16"/>
  <c r="AX37" i="16"/>
  <c r="AX38" i="16"/>
  <c r="AX39" i="16"/>
  <c r="AX40" i="16"/>
  <c r="AX41" i="16"/>
  <c r="AX42" i="16"/>
  <c r="AX43" i="16"/>
  <c r="AX44" i="16"/>
  <c r="BR6" i="16"/>
  <c r="BS6" i="16" s="1"/>
  <c r="BR7" i="16"/>
  <c r="BS7" i="16" s="1"/>
  <c r="BR8" i="16"/>
  <c r="BS8" i="16" s="1"/>
  <c r="BR9" i="16"/>
  <c r="BS9" i="16" s="1"/>
  <c r="BR10" i="16"/>
  <c r="BS10" i="16" s="1"/>
  <c r="BT10" i="16" s="1"/>
  <c r="BU10" i="16" s="1"/>
  <c r="BR12" i="16"/>
  <c r="BR13" i="16"/>
  <c r="BS13" i="16" s="1"/>
  <c r="BT13" i="16" s="1"/>
  <c r="BU13" i="16" s="1"/>
  <c r="BR14" i="16"/>
  <c r="BS14" i="16" s="1"/>
  <c r="BT14" i="16" s="1"/>
  <c r="BU14" i="16" s="1"/>
  <c r="BV14" i="16" s="1"/>
  <c r="BW14" i="16" s="1"/>
  <c r="BR15" i="16"/>
  <c r="BS15" i="16" s="1"/>
  <c r="BT15" i="16" s="1"/>
  <c r="BU15" i="16" s="1"/>
  <c r="BV15" i="16" s="1"/>
  <c r="BW15" i="16" s="1"/>
  <c r="BX15" i="16" s="1"/>
  <c r="BY15" i="16" s="1"/>
  <c r="BZ15" i="16" s="1"/>
  <c r="CA15" i="16" s="1"/>
  <c r="CB15" i="16" s="1"/>
  <c r="CC15" i="16" s="1"/>
  <c r="CD15" i="16" s="1"/>
  <c r="CE15" i="16" s="1"/>
  <c r="CF15" i="16" s="1"/>
  <c r="CG15" i="16" s="1"/>
  <c r="BR16" i="16"/>
  <c r="BS16" i="16" s="1"/>
  <c r="BT16" i="16" s="1"/>
  <c r="BR17" i="16"/>
  <c r="BS17" i="16" s="1"/>
  <c r="BT17" i="16" s="1"/>
  <c r="BR18" i="16"/>
  <c r="BR19" i="16"/>
  <c r="BS19" i="16" s="1"/>
  <c r="BT19" i="16" s="1"/>
  <c r="BU19" i="16" s="1"/>
  <c r="BV19" i="16" s="1"/>
  <c r="BW19" i="16" s="1"/>
  <c r="BX19" i="16" s="1"/>
  <c r="BY19" i="16" s="1"/>
  <c r="BZ19" i="16" s="1"/>
  <c r="CA19" i="16" s="1"/>
  <c r="CB19" i="16" s="1"/>
  <c r="CC19" i="16" s="1"/>
  <c r="CD19" i="16" s="1"/>
  <c r="CE19" i="16" s="1"/>
  <c r="CF19" i="16" s="1"/>
  <c r="CG19" i="16" s="1"/>
  <c r="BR20" i="16"/>
  <c r="BS20" i="16" s="1"/>
  <c r="BR21" i="16"/>
  <c r="BS21" i="16" s="1"/>
  <c r="BR22" i="16"/>
  <c r="BS22" i="16" s="1"/>
  <c r="BT22" i="16" s="1"/>
  <c r="BU22" i="16" s="1"/>
  <c r="BV22" i="16" s="1"/>
  <c r="BW22" i="16" s="1"/>
  <c r="BX22" i="16" s="1"/>
  <c r="BY22" i="16" s="1"/>
  <c r="BZ22" i="16" s="1"/>
  <c r="CA22" i="16" s="1"/>
  <c r="CB22" i="16" s="1"/>
  <c r="BR23" i="16"/>
  <c r="BS23" i="16" s="1"/>
  <c r="BT23" i="16" s="1"/>
  <c r="BU23" i="16" s="1"/>
  <c r="BV23" i="16" s="1"/>
  <c r="BW23" i="16" s="1"/>
  <c r="BR24" i="16"/>
  <c r="BS24" i="16" s="1"/>
  <c r="BT24" i="16" s="1"/>
  <c r="BU24" i="16" s="1"/>
  <c r="BV24" i="16" s="1"/>
  <c r="BW24" i="16" s="1"/>
  <c r="BX24" i="16" s="1"/>
  <c r="BR27" i="16"/>
  <c r="BS27" i="16" s="1"/>
  <c r="BT27" i="16" s="1"/>
  <c r="BR28" i="16"/>
  <c r="BS28" i="16" s="1"/>
  <c r="BR29" i="16"/>
  <c r="BS29" i="16" s="1"/>
  <c r="BT29" i="16" s="1"/>
  <c r="BU29" i="16" s="1"/>
  <c r="BR30" i="16"/>
  <c r="BS30" i="16" s="1"/>
  <c r="BT30" i="16" s="1"/>
  <c r="BU30" i="16" s="1"/>
  <c r="BE2" i="16"/>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CC2" i="16" s="1"/>
  <c r="CD2" i="16" s="1"/>
  <c r="CE2" i="16" s="1"/>
  <c r="CF2" i="16" s="1"/>
  <c r="CG2" i="16" s="1"/>
  <c r="BR46" i="16"/>
  <c r="CI4" i="16"/>
  <c r="CJ4" i="16" s="1"/>
  <c r="CK4" i="16" s="1"/>
  <c r="BS4" i="16"/>
  <c r="BT4" i="16" s="1"/>
  <c r="C34" i="11"/>
  <c r="D34" i="11"/>
  <c r="J52" i="55"/>
  <c r="J53" i="55" s="1"/>
  <c r="J54" i="55" s="1"/>
  <c r="AL36" i="16" s="1"/>
  <c r="I52" i="55"/>
  <c r="I53" i="55" s="1"/>
  <c r="L59" i="55"/>
  <c r="E37" i="7"/>
  <c r="M15" i="29" s="1"/>
  <c r="G49" i="42"/>
  <c r="E132" i="7" s="1"/>
  <c r="E135" i="7" s="1"/>
  <c r="G52" i="42"/>
  <c r="F52" i="42" s="1"/>
  <c r="G55" i="42"/>
  <c r="F55" i="42" s="1"/>
  <c r="G58" i="42"/>
  <c r="F58" i="42" s="1"/>
  <c r="G60" i="42"/>
  <c r="F60" i="42" s="1"/>
  <c r="BD39" i="7"/>
  <c r="BD40" i="7" s="1"/>
  <c r="BD41" i="7" s="1"/>
  <c r="BD42" i="7" s="1"/>
  <c r="BD43" i="7" s="1"/>
  <c r="BD44" i="7" s="1"/>
  <c r="BD45" i="7" s="1"/>
  <c r="BD46" i="7" s="1"/>
  <c r="BD47" i="7" s="1"/>
  <c r="BD48" i="7" s="1"/>
  <c r="BD49" i="7" s="1"/>
  <c r="BD50" i="7" s="1"/>
  <c r="BD51" i="7" s="1"/>
  <c r="BD52" i="7" s="1"/>
  <c r="BD53" i="7" s="1"/>
  <c r="BD54" i="7" s="1"/>
  <c r="BD55" i="7" s="1"/>
  <c r="BD56" i="7" s="1"/>
  <c r="BD57" i="7" s="1"/>
  <c r="BD58" i="7" s="1"/>
  <c r="BD59" i="7" s="1"/>
  <c r="BD60" i="7" s="1"/>
  <c r="BD61" i="7" s="1"/>
  <c r="BD62" i="7" s="1"/>
  <c r="BD63" i="7" s="1"/>
  <c r="BD64" i="7" s="1"/>
  <c r="BD65" i="7" s="1"/>
  <c r="BD66" i="7" s="1"/>
  <c r="BD67" i="7" s="1"/>
  <c r="BD68" i="7" s="1"/>
  <c r="BD69" i="7" s="1"/>
  <c r="BD70" i="7" s="1"/>
  <c r="BD71" i="7" s="1"/>
  <c r="BD72" i="7" s="1"/>
  <c r="BD73" i="7" s="1"/>
  <c r="BD74" i="7" s="1"/>
  <c r="BD75" i="7" s="1"/>
  <c r="BD76" i="7" s="1"/>
  <c r="BD77" i="7" s="1"/>
  <c r="BD78" i="7" s="1"/>
  <c r="BD79" i="7" s="1"/>
  <c r="BD80" i="7" s="1"/>
  <c r="BD81" i="7" s="1"/>
  <c r="BD82" i="7" s="1"/>
  <c r="BD83" i="7" s="1"/>
  <c r="BD84" i="7" s="1"/>
  <c r="BD85" i="7" s="1"/>
  <c r="BD86" i="7" s="1"/>
  <c r="BD87" i="7" s="1"/>
  <c r="BD88" i="7" s="1"/>
  <c r="BD89" i="7" s="1"/>
  <c r="BD90" i="7" s="1"/>
  <c r="BD91" i="7" s="1"/>
  <c r="BD92" i="7" s="1"/>
  <c r="BD93" i="7" s="1"/>
  <c r="BD94" i="7" s="1"/>
  <c r="BD95" i="7" s="1"/>
  <c r="BD96" i="7" s="1"/>
  <c r="BD97" i="7" s="1"/>
  <c r="BD98" i="7" s="1"/>
  <c r="BD99" i="7" s="1"/>
  <c r="BD100" i="7" s="1"/>
  <c r="BD101" i="7" s="1"/>
  <c r="BD102" i="7" s="1"/>
  <c r="BD103" i="7" s="1"/>
  <c r="BD104" i="7" s="1"/>
  <c r="BD105" i="7" s="1"/>
  <c r="BD106" i="7" s="1"/>
  <c r="BD107" i="7" s="1"/>
  <c r="BD108" i="7" s="1"/>
  <c r="BD109" i="7" s="1"/>
  <c r="BD110" i="7" s="1"/>
  <c r="BD111" i="7" s="1"/>
  <c r="BD112" i="7" s="1"/>
  <c r="BD113" i="7" s="1"/>
  <c r="BD114" i="7" s="1"/>
  <c r="BD115" i="7" s="1"/>
  <c r="BD116" i="7" s="1"/>
  <c r="BD117" i="7" s="1"/>
  <c r="BD118" i="7" s="1"/>
  <c r="BD119" i="7" s="1"/>
  <c r="BD120" i="7" s="1"/>
  <c r="BD121" i="7" s="1"/>
  <c r="BD122" i="7" s="1"/>
  <c r="BD123" i="7" s="1"/>
  <c r="BD124" i="7" s="1"/>
  <c r="BD125" i="7" s="1"/>
  <c r="BD126" i="7" s="1"/>
  <c r="BD127" i="7" s="1"/>
  <c r="BD128" i="7" s="1"/>
  <c r="BD129" i="7" s="1"/>
  <c r="BD130" i="7" s="1"/>
  <c r="BD131" i="7" s="1"/>
  <c r="BD132" i="7" s="1"/>
  <c r="BD133" i="7" s="1"/>
  <c r="BD134" i="7" s="1"/>
  <c r="BD135" i="7" s="1"/>
  <c r="BD136" i="7" s="1"/>
  <c r="BD137" i="7" s="1"/>
  <c r="BD138" i="7" s="1"/>
  <c r="BD139" i="7" s="1"/>
  <c r="BD140" i="7" s="1"/>
  <c r="BD141" i="7" s="1"/>
  <c r="F84" i="42"/>
  <c r="F68" i="42" s="1"/>
  <c r="H65" i="42"/>
  <c r="C68" i="42"/>
  <c r="M14" i="29"/>
  <c r="F22" i="55"/>
  <c r="H73" i="55" s="1"/>
  <c r="F23" i="55"/>
  <c r="F24" i="55"/>
  <c r="F25" i="55"/>
  <c r="F26" i="55"/>
  <c r="F27" i="55"/>
  <c r="F28" i="55"/>
  <c r="AL3" i="55"/>
  <c r="R4" i="55"/>
  <c r="AH4" i="55" s="1"/>
  <c r="AH5" i="55" s="1"/>
  <c r="AG21" i="55"/>
  <c r="AG27" i="55"/>
  <c r="AG28" i="55" s="1"/>
  <c r="AA39" i="55"/>
  <c r="C22" i="55"/>
  <c r="C36" i="55"/>
  <c r="H35" i="55"/>
  <c r="H39" i="55" s="1"/>
  <c r="F79" i="55"/>
  <c r="AJ20" i="16"/>
  <c r="AK20" i="16"/>
  <c r="AL20" i="16"/>
  <c r="AM20" i="16"/>
  <c r="AN20" i="16"/>
  <c r="AI20" i="16"/>
  <c r="AI18" i="16"/>
  <c r="AB16" i="16"/>
  <c r="C10" i="56"/>
  <c r="D29" i="57" s="1"/>
  <c r="D50" i="57" s="1"/>
  <c r="C9" i="56"/>
  <c r="D15" i="63" s="1"/>
  <c r="AU45" i="16"/>
  <c r="AT45" i="16" s="1"/>
  <c r="AS45" i="16" s="1"/>
  <c r="AR45" i="16" s="1"/>
  <c r="AQ45" i="16" s="1"/>
  <c r="AP45" i="16" s="1"/>
  <c r="H10" i="58"/>
  <c r="G10" i="58"/>
  <c r="F10" i="58"/>
  <c r="E10" i="58"/>
  <c r="J27" i="57"/>
  <c r="G73" i="55"/>
  <c r="G74" i="55" s="1"/>
  <c r="E73" i="55"/>
  <c r="G67" i="55"/>
  <c r="C46" i="55"/>
  <c r="E39" i="55"/>
  <c r="C28" i="55"/>
  <c r="C27" i="55"/>
  <c r="C26" i="55"/>
  <c r="C25" i="55"/>
  <c r="C24" i="55"/>
  <c r="C23" i="55"/>
  <c r="F4" i="55"/>
  <c r="H4" i="55" s="1"/>
  <c r="F5" i="55"/>
  <c r="H5" i="55" s="1"/>
  <c r="F6" i="55"/>
  <c r="H6" i="55" s="1"/>
  <c r="F7" i="55"/>
  <c r="H7" i="55" s="1"/>
  <c r="D8" i="55"/>
  <c r="U11" i="16"/>
  <c r="D4" i="6"/>
  <c r="E4" i="6" s="1"/>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H4" i="6" s="1"/>
  <c r="AI4" i="6" s="1"/>
  <c r="AJ4" i="6" s="1"/>
  <c r="AK4" i="6" s="1"/>
  <c r="AL4" i="6" s="1"/>
  <c r="AM4" i="6" s="1"/>
  <c r="AN4" i="6" s="1"/>
  <c r="AO4" i="6" s="1"/>
  <c r="AP4" i="6" s="1"/>
  <c r="AQ4" i="6" s="1"/>
  <c r="AR4" i="6" s="1"/>
  <c r="AS4" i="6" s="1"/>
  <c r="AT4" i="6" s="1"/>
  <c r="AU4" i="6" s="1"/>
  <c r="AV4" i="6" s="1"/>
  <c r="AW4" i="6" s="1"/>
  <c r="AX4" i="6" s="1"/>
  <c r="AY4" i="6" s="1"/>
  <c r="T16" i="16"/>
  <c r="AY11" i="45"/>
  <c r="AY21" i="45" s="1"/>
  <c r="AY10" i="45"/>
  <c r="AY9" i="45"/>
  <c r="AZ19" i="45" s="1"/>
  <c r="AY8" i="45"/>
  <c r="AZ18" i="45" s="1"/>
  <c r="AY6" i="45"/>
  <c r="AY15" i="45" s="1"/>
  <c r="AT11" i="45"/>
  <c r="AT10" i="45"/>
  <c r="AT9" i="45"/>
  <c r="AU19" i="45" s="1"/>
  <c r="AT8" i="45"/>
  <c r="AT6" i="45"/>
  <c r="AU15" i="45" s="1"/>
  <c r="AO11" i="45"/>
  <c r="AP21" i="45" s="1"/>
  <c r="AO10" i="45"/>
  <c r="AO9" i="45"/>
  <c r="AO8" i="45"/>
  <c r="AP18" i="45" s="1"/>
  <c r="AO6" i="45"/>
  <c r="AP15" i="45" s="1"/>
  <c r="AM30" i="45"/>
  <c r="AM29" i="45"/>
  <c r="AM28" i="45"/>
  <c r="AM27" i="45"/>
  <c r="AM25" i="45"/>
  <c r="BC21" i="45"/>
  <c r="BB21" i="45"/>
  <c r="BA21" i="45"/>
  <c r="AX21" i="45"/>
  <c r="AW21" i="45"/>
  <c r="AV21" i="45"/>
  <c r="AS21" i="45"/>
  <c r="AR21" i="45"/>
  <c r="AQ21" i="45"/>
  <c r="BC20" i="45"/>
  <c r="BB20" i="45"/>
  <c r="BA20" i="45"/>
  <c r="AX20" i="45"/>
  <c r="AW20" i="45"/>
  <c r="AV20" i="45"/>
  <c r="AS20" i="45"/>
  <c r="AR20" i="45"/>
  <c r="AQ20" i="45"/>
  <c r="BC19" i="45"/>
  <c r="BB19" i="45"/>
  <c r="BA19" i="45"/>
  <c r="AX19" i="45"/>
  <c r="AW19" i="45"/>
  <c r="AV19" i="45"/>
  <c r="AS19" i="45"/>
  <c r="AR19" i="45"/>
  <c r="AQ19" i="45"/>
  <c r="BC18" i="45"/>
  <c r="BB18" i="45"/>
  <c r="BA18" i="45"/>
  <c r="AX18" i="45"/>
  <c r="AW18" i="45"/>
  <c r="AV18" i="45"/>
  <c r="AS18" i="45"/>
  <c r="AR18" i="45"/>
  <c r="AQ18" i="45"/>
  <c r="BC15" i="45"/>
  <c r="BB15" i="45"/>
  <c r="BA15" i="45"/>
  <c r="AX15" i="45"/>
  <c r="AW15" i="45"/>
  <c r="AV15" i="45"/>
  <c r="AS15" i="45"/>
  <c r="AR15" i="45"/>
  <c r="AQ15" i="45"/>
  <c r="AN15" i="45"/>
  <c r="AM15" i="45"/>
  <c r="BK9" i="45"/>
  <c r="BK20" i="45"/>
  <c r="BL20" i="45" s="1"/>
  <c r="BM20" i="45" s="1"/>
  <c r="BN20" i="45" s="1"/>
  <c r="BO20" i="45" s="1"/>
  <c r="BP20" i="45" s="1"/>
  <c r="D38" i="1"/>
  <c r="K68" i="1" s="1"/>
  <c r="F45" i="1"/>
  <c r="H45" i="1"/>
  <c r="D60" i="42"/>
  <c r="E80" i="40"/>
  <c r="F80" i="40" s="1"/>
  <c r="G80" i="40" s="1"/>
  <c r="H80" i="40" s="1"/>
  <c r="I80" i="40" s="1"/>
  <c r="J80" i="40" s="1"/>
  <c r="B79" i="40"/>
  <c r="E71" i="40"/>
  <c r="F71" i="40" s="1"/>
  <c r="G71" i="40" s="1"/>
  <c r="H71" i="40" s="1"/>
  <c r="I71" i="40" s="1"/>
  <c r="J71" i="40" s="1"/>
  <c r="E56" i="40"/>
  <c r="E55" i="40"/>
  <c r="D57" i="40" s="1"/>
  <c r="A32" i="6"/>
  <c r="A31" i="6"/>
  <c r="A30" i="6"/>
  <c r="A29" i="6"/>
  <c r="A28" i="6"/>
  <c r="G102" i="26"/>
  <c r="D102" i="26"/>
  <c r="D116" i="26" s="1"/>
  <c r="D114" i="26"/>
  <c r="D110" i="26"/>
  <c r="D109" i="26"/>
  <c r="D99" i="26"/>
  <c r="D103" i="26"/>
  <c r="K23" i="42"/>
  <c r="D27" i="42"/>
  <c r="I27" i="42"/>
  <c r="L27" i="42" s="1"/>
  <c r="X27" i="42"/>
  <c r="I28" i="42"/>
  <c r="L28" i="42" s="1"/>
  <c r="D30" i="42"/>
  <c r="O30" i="42" s="1"/>
  <c r="M30" i="42" s="1"/>
  <c r="I30" i="42"/>
  <c r="L30" i="42" s="1"/>
  <c r="X30" i="42"/>
  <c r="I31" i="42"/>
  <c r="L31" i="42" s="1"/>
  <c r="E33" i="42"/>
  <c r="E34" i="42" s="1"/>
  <c r="I33" i="42"/>
  <c r="L33" i="42" s="1"/>
  <c r="X33" i="42"/>
  <c r="I34" i="42"/>
  <c r="L34" i="42" s="1"/>
  <c r="C36" i="42"/>
  <c r="C37" i="42" s="1"/>
  <c r="C39" i="42" s="1"/>
  <c r="F36" i="42"/>
  <c r="G36" i="42"/>
  <c r="L36" i="42" s="1"/>
  <c r="X36" i="42"/>
  <c r="G37" i="42"/>
  <c r="L37" i="42" s="1"/>
  <c r="F39" i="42"/>
  <c r="H39" i="42"/>
  <c r="C41" i="42"/>
  <c r="F41" i="42"/>
  <c r="G41" i="42"/>
  <c r="G42" i="42"/>
  <c r="F44" i="42"/>
  <c r="H44" i="42"/>
  <c r="Q51" i="42"/>
  <c r="Q52" i="42"/>
  <c r="Q53" i="42"/>
  <c r="Q54" i="42"/>
  <c r="Q56" i="42"/>
  <c r="Q57" i="42"/>
  <c r="Z19" i="54"/>
  <c r="Z11" i="54"/>
  <c r="Q17" i="54" a="1"/>
  <c r="R18" i="54" s="1"/>
  <c r="AB110" i="54"/>
  <c r="AA110" i="54"/>
  <c r="AR110" i="54" s="1"/>
  <c r="AU110" i="54" s="1"/>
  <c r="Z110" i="54"/>
  <c r="N110" i="54"/>
  <c r="M110" i="54"/>
  <c r="L110" i="54"/>
  <c r="AL110" i="54" s="1"/>
  <c r="AB109" i="54"/>
  <c r="AA109" i="54"/>
  <c r="Z109" i="54"/>
  <c r="N109" i="54"/>
  <c r="M109" i="54"/>
  <c r="L109" i="54"/>
  <c r="AL109" i="54" s="1"/>
  <c r="AB108" i="54"/>
  <c r="AA108" i="54"/>
  <c r="Z108" i="54"/>
  <c r="AQ108" i="54" s="1"/>
  <c r="AT108" i="54" s="1"/>
  <c r="N108" i="54"/>
  <c r="M108" i="54"/>
  <c r="L108" i="54"/>
  <c r="AL108" i="54" s="1"/>
  <c r="AB107" i="54"/>
  <c r="AA107" i="54"/>
  <c r="Z107" i="54"/>
  <c r="N107" i="54"/>
  <c r="M107" i="54"/>
  <c r="L107" i="54"/>
  <c r="AL107" i="54" s="1"/>
  <c r="AB106" i="54"/>
  <c r="AA106" i="54"/>
  <c r="AR106" i="54" s="1"/>
  <c r="AU106" i="54" s="1"/>
  <c r="Z106" i="54"/>
  <c r="N106" i="54"/>
  <c r="M106" i="54"/>
  <c r="L106" i="54"/>
  <c r="AB105" i="54"/>
  <c r="AA105" i="54"/>
  <c r="Z105" i="54"/>
  <c r="N105" i="54"/>
  <c r="M105" i="54"/>
  <c r="L105" i="54"/>
  <c r="AL105" i="54" s="1"/>
  <c r="AB104" i="54"/>
  <c r="AA104" i="54"/>
  <c r="Z104" i="54"/>
  <c r="N104" i="54"/>
  <c r="M104" i="54"/>
  <c r="L104" i="54"/>
  <c r="AL104" i="54" s="1"/>
  <c r="AB103" i="54"/>
  <c r="AA103" i="54"/>
  <c r="Z103" i="54"/>
  <c r="N103" i="54"/>
  <c r="AR103" i="54" s="1"/>
  <c r="AU103" i="54" s="1"/>
  <c r="M103" i="54"/>
  <c r="L103" i="54"/>
  <c r="AL103" i="54" s="1"/>
  <c r="AB102" i="54"/>
  <c r="AA102" i="54"/>
  <c r="Z102" i="54"/>
  <c r="N102" i="54"/>
  <c r="M102" i="54"/>
  <c r="L102" i="54"/>
  <c r="AL102" i="54" s="1"/>
  <c r="AB101" i="54"/>
  <c r="AA101" i="54"/>
  <c r="Z101" i="54"/>
  <c r="N101" i="54"/>
  <c r="M101" i="54"/>
  <c r="L101" i="54"/>
  <c r="AL101" i="54" s="1"/>
  <c r="AB100" i="54"/>
  <c r="AA100" i="54"/>
  <c r="Z100" i="54"/>
  <c r="N100" i="54"/>
  <c r="M100" i="54"/>
  <c r="L100" i="54"/>
  <c r="AL100" i="54" s="1"/>
  <c r="AB99" i="54"/>
  <c r="Y19" i="54" s="1"/>
  <c r="AA99" i="54"/>
  <c r="X19" i="54" s="1"/>
  <c r="Z99" i="54"/>
  <c r="W19" i="54" s="1"/>
  <c r="N99" i="54"/>
  <c r="X11" i="54" s="1"/>
  <c r="M99" i="54"/>
  <c r="L99" i="54"/>
  <c r="AB98" i="54"/>
  <c r="AA98" i="54"/>
  <c r="Z98" i="54"/>
  <c r="N98" i="54"/>
  <c r="M98" i="54"/>
  <c r="L98" i="54"/>
  <c r="AL98" i="54" s="1"/>
  <c r="AB97" i="54"/>
  <c r="AA97" i="54"/>
  <c r="Z97" i="54"/>
  <c r="N97" i="54"/>
  <c r="M97" i="54"/>
  <c r="L97" i="54"/>
  <c r="AL97" i="54" s="1"/>
  <c r="AB96" i="54"/>
  <c r="AA96" i="54"/>
  <c r="Z96" i="54"/>
  <c r="N96" i="54"/>
  <c r="M96" i="54"/>
  <c r="L96" i="54"/>
  <c r="AL96" i="54" s="1"/>
  <c r="AB95" i="54"/>
  <c r="AA95" i="54"/>
  <c r="Z95" i="54"/>
  <c r="N95" i="54"/>
  <c r="M95" i="54"/>
  <c r="L95" i="54"/>
  <c r="AL95" i="54" s="1"/>
  <c r="AB94" i="54"/>
  <c r="AA94" i="54"/>
  <c r="AR94" i="54" s="1"/>
  <c r="AU94" i="54" s="1"/>
  <c r="Z94" i="54"/>
  <c r="N94" i="54"/>
  <c r="M94" i="54"/>
  <c r="L94" i="54"/>
  <c r="AL94" i="54" s="1"/>
  <c r="AB93" i="54"/>
  <c r="AA93" i="54"/>
  <c r="Z93" i="54"/>
  <c r="N93" i="54"/>
  <c r="M93" i="54"/>
  <c r="L93" i="54"/>
  <c r="AL93" i="54" s="1"/>
  <c r="AB92" i="54"/>
  <c r="AA92" i="54"/>
  <c r="Z92" i="54"/>
  <c r="N92" i="54"/>
  <c r="M92" i="54"/>
  <c r="L92" i="54"/>
  <c r="AL92" i="54" s="1"/>
  <c r="AB91" i="54"/>
  <c r="AA91" i="54"/>
  <c r="Z91" i="54"/>
  <c r="N91" i="54"/>
  <c r="AR91" i="54" s="1"/>
  <c r="AU91" i="54" s="1"/>
  <c r="M91" i="54"/>
  <c r="L91" i="54"/>
  <c r="AL91" i="54" s="1"/>
  <c r="AB90" i="54"/>
  <c r="AA90" i="54"/>
  <c r="Z90" i="54"/>
  <c r="N90" i="54"/>
  <c r="M90" i="54"/>
  <c r="L90" i="54"/>
  <c r="AL90" i="54" s="1"/>
  <c r="AB89" i="54"/>
  <c r="AA89" i="54"/>
  <c r="Z89" i="54"/>
  <c r="N89" i="54"/>
  <c r="M89" i="54"/>
  <c r="L89" i="54"/>
  <c r="AL89" i="54" s="1"/>
  <c r="AB88" i="54"/>
  <c r="AA88" i="54"/>
  <c r="Z88" i="54"/>
  <c r="N88" i="54"/>
  <c r="M88" i="54"/>
  <c r="L88" i="54"/>
  <c r="AL88" i="54" s="1"/>
  <c r="AB87" i="54"/>
  <c r="AA87" i="54"/>
  <c r="Z87" i="54"/>
  <c r="N87" i="54"/>
  <c r="M87" i="54"/>
  <c r="L87" i="54"/>
  <c r="AL87" i="54" s="1"/>
  <c r="AB86" i="54"/>
  <c r="AA86" i="54"/>
  <c r="Z86" i="54"/>
  <c r="N86" i="54"/>
  <c r="M86" i="54"/>
  <c r="L86" i="54"/>
  <c r="AL86" i="54" s="1"/>
  <c r="AB85" i="54"/>
  <c r="AA85" i="54"/>
  <c r="Z85" i="54"/>
  <c r="N85" i="54"/>
  <c r="M85" i="54"/>
  <c r="L85" i="54"/>
  <c r="AL85" i="54" s="1"/>
  <c r="AB84" i="54"/>
  <c r="AA84" i="54"/>
  <c r="Z84" i="54"/>
  <c r="N84" i="54"/>
  <c r="M84" i="54"/>
  <c r="L84" i="54"/>
  <c r="AL84" i="54" s="1"/>
  <c r="AB83" i="54"/>
  <c r="AA83" i="54"/>
  <c r="Z83" i="54"/>
  <c r="N83" i="54"/>
  <c r="M83" i="54"/>
  <c r="L83" i="54"/>
  <c r="AL83" i="54" s="1"/>
  <c r="AB82" i="54"/>
  <c r="AA82" i="54"/>
  <c r="Z82" i="54"/>
  <c r="N82" i="54"/>
  <c r="M82" i="54"/>
  <c r="L82" i="54"/>
  <c r="AL82" i="54" s="1"/>
  <c r="AB81" i="54"/>
  <c r="AA81" i="54"/>
  <c r="Z81" i="54"/>
  <c r="N81" i="54"/>
  <c r="M81" i="54"/>
  <c r="L81" i="54"/>
  <c r="AL81" i="54" s="1"/>
  <c r="AB80" i="54"/>
  <c r="AA80" i="54"/>
  <c r="Z80" i="54"/>
  <c r="N80" i="54"/>
  <c r="M80" i="54"/>
  <c r="L80" i="54"/>
  <c r="AL80" i="54" s="1"/>
  <c r="AB79" i="54"/>
  <c r="AA79" i="54"/>
  <c r="Z79" i="54"/>
  <c r="N79" i="54"/>
  <c r="M79" i="54"/>
  <c r="L79" i="54"/>
  <c r="AL79" i="54" s="1"/>
  <c r="AB78" i="54"/>
  <c r="AA78" i="54"/>
  <c r="Z78" i="54"/>
  <c r="N78" i="54"/>
  <c r="M78" i="54"/>
  <c r="L78" i="54"/>
  <c r="AL78" i="54" s="1"/>
  <c r="AB77" i="54"/>
  <c r="AA77" i="54"/>
  <c r="Z77" i="54"/>
  <c r="N77" i="54"/>
  <c r="M77" i="54"/>
  <c r="L77" i="54"/>
  <c r="AL77" i="54" s="1"/>
  <c r="AB76" i="54"/>
  <c r="AA76" i="54"/>
  <c r="Z76" i="54"/>
  <c r="N76" i="54"/>
  <c r="M76" i="54"/>
  <c r="L76" i="54"/>
  <c r="AL76" i="54" s="1"/>
  <c r="AB75" i="54"/>
  <c r="AA75" i="54"/>
  <c r="N75" i="54"/>
  <c r="M75" i="54"/>
  <c r="AQ75" i="54" s="1"/>
  <c r="AT75" i="54" s="1"/>
  <c r="L75" i="54"/>
  <c r="AL75" i="54" s="1"/>
  <c r="N74" i="54"/>
  <c r="M74" i="54"/>
  <c r="L74" i="54"/>
  <c r="N73" i="54"/>
  <c r="M73" i="54"/>
  <c r="L73" i="54"/>
  <c r="N72" i="54"/>
  <c r="M72" i="54"/>
  <c r="L72" i="54"/>
  <c r="N71" i="54"/>
  <c r="M71" i="54"/>
  <c r="L71" i="54"/>
  <c r="N70" i="54"/>
  <c r="M70" i="54"/>
  <c r="L70" i="54"/>
  <c r="N69" i="54"/>
  <c r="M69" i="54"/>
  <c r="L69" i="54"/>
  <c r="N68" i="54"/>
  <c r="M68" i="54"/>
  <c r="L68" i="54"/>
  <c r="N67" i="54"/>
  <c r="M67" i="54"/>
  <c r="L67" i="54"/>
  <c r="N66" i="54"/>
  <c r="M66" i="54"/>
  <c r="L66" i="54"/>
  <c r="N65" i="54"/>
  <c r="M65" i="54"/>
  <c r="L65" i="54"/>
  <c r="N64" i="54"/>
  <c r="M64" i="54"/>
  <c r="L64" i="54"/>
  <c r="N63" i="54"/>
  <c r="M63" i="54"/>
  <c r="L63" i="54"/>
  <c r="N62" i="54"/>
  <c r="M62" i="54"/>
  <c r="L62" i="54"/>
  <c r="N61" i="54"/>
  <c r="M61" i="54"/>
  <c r="L61" i="54"/>
  <c r="N60" i="54"/>
  <c r="M60" i="54"/>
  <c r="L60" i="54"/>
  <c r="N59" i="54"/>
  <c r="M59" i="54"/>
  <c r="L59" i="54"/>
  <c r="N58" i="54"/>
  <c r="M58" i="54"/>
  <c r="L58" i="54"/>
  <c r="N57" i="54"/>
  <c r="M57" i="54"/>
  <c r="L57" i="54"/>
  <c r="N56" i="54"/>
  <c r="M56" i="54"/>
  <c r="L56" i="54"/>
  <c r="N55" i="54"/>
  <c r="M55" i="54"/>
  <c r="L55" i="54"/>
  <c r="N54" i="54"/>
  <c r="M54" i="54"/>
  <c r="L54" i="54"/>
  <c r="N53" i="54"/>
  <c r="M53" i="54"/>
  <c r="L53" i="54"/>
  <c r="N52" i="54"/>
  <c r="M52" i="54"/>
  <c r="L52" i="54"/>
  <c r="N51" i="54"/>
  <c r="M51" i="54"/>
  <c r="L51" i="54"/>
  <c r="N50" i="54"/>
  <c r="M50" i="54"/>
  <c r="L50" i="54"/>
  <c r="N49" i="54"/>
  <c r="M49" i="54"/>
  <c r="L49" i="54"/>
  <c r="N48" i="54"/>
  <c r="M48" i="54"/>
  <c r="L48" i="54"/>
  <c r="N47" i="54"/>
  <c r="M47" i="54"/>
  <c r="L47" i="54"/>
  <c r="N46" i="54"/>
  <c r="M46" i="54"/>
  <c r="L46" i="54"/>
  <c r="N45" i="54"/>
  <c r="M45" i="54"/>
  <c r="L45" i="54"/>
  <c r="N44" i="54"/>
  <c r="M44" i="54"/>
  <c r="L44" i="54"/>
  <c r="N43" i="54"/>
  <c r="M43" i="54"/>
  <c r="L43" i="54"/>
  <c r="N42" i="54"/>
  <c r="M42" i="54"/>
  <c r="L42" i="54"/>
  <c r="N41" i="54"/>
  <c r="M41" i="54"/>
  <c r="L41" i="54"/>
  <c r="N40" i="54"/>
  <c r="M40" i="54"/>
  <c r="L40" i="54"/>
  <c r="N39" i="54"/>
  <c r="M39" i="54"/>
  <c r="L39" i="54"/>
  <c r="N38" i="54"/>
  <c r="M38" i="54"/>
  <c r="L38" i="54"/>
  <c r="N37" i="54"/>
  <c r="M37" i="54"/>
  <c r="L37" i="54"/>
  <c r="N36" i="54"/>
  <c r="M36" i="54"/>
  <c r="L36" i="54"/>
  <c r="N35" i="54"/>
  <c r="M35" i="54"/>
  <c r="L35" i="54"/>
  <c r="N34" i="54"/>
  <c r="M34" i="54"/>
  <c r="L34" i="54"/>
  <c r="N33" i="54"/>
  <c r="M33" i="54"/>
  <c r="L33" i="54"/>
  <c r="N32" i="54"/>
  <c r="M32" i="54"/>
  <c r="L32" i="54"/>
  <c r="N31" i="54"/>
  <c r="M31" i="54"/>
  <c r="L31" i="54"/>
  <c r="N30" i="54"/>
  <c r="M30" i="54"/>
  <c r="L30" i="54"/>
  <c r="N29" i="54"/>
  <c r="M29" i="54"/>
  <c r="L29" i="54"/>
  <c r="N28" i="54"/>
  <c r="M28" i="54"/>
  <c r="L28" i="54"/>
  <c r="N27" i="54"/>
  <c r="L27" i="54"/>
  <c r="AJ14" i="54"/>
  <c r="AJ13" i="54"/>
  <c r="Y11" i="54"/>
  <c r="AI8" i="54"/>
  <c r="AC7" i="54"/>
  <c r="V7" i="54" s="1"/>
  <c r="W3" i="54"/>
  <c r="W2" i="54"/>
  <c r="X19" i="19"/>
  <c r="Y19" i="19" s="1"/>
  <c r="D156" i="26"/>
  <c r="W220" i="26"/>
  <c r="S220" i="26"/>
  <c r="U220" i="26" s="1"/>
  <c r="AV75" i="28"/>
  <c r="AV76" i="28" s="1"/>
  <c r="AV77" i="28" s="1"/>
  <c r="AV78" i="28" s="1"/>
  <c r="AV79" i="28" s="1"/>
  <c r="AV80" i="28" s="1"/>
  <c r="AV81" i="28" s="1"/>
  <c r="S219" i="26"/>
  <c r="T204" i="26"/>
  <c r="S227" i="26" s="1"/>
  <c r="S207" i="26"/>
  <c r="W228" i="26" s="1"/>
  <c r="T207" i="26"/>
  <c r="Y224" i="26"/>
  <c r="Y220" i="26"/>
  <c r="AK16" i="16"/>
  <c r="G123" i="26"/>
  <c r="C2" i="53"/>
  <c r="A2" i="53" s="1"/>
  <c r="I9" i="27" s="1"/>
  <c r="F60" i="16"/>
  <c r="F61" i="16" s="1"/>
  <c r="F62" i="16" s="1"/>
  <c r="F63" i="16" s="1"/>
  <c r="F64" i="16" s="1"/>
  <c r="F65" i="16" s="1"/>
  <c r="F66" i="16" s="1"/>
  <c r="C29" i="11"/>
  <c r="D29" i="11"/>
  <c r="C30" i="11"/>
  <c r="D30" i="11"/>
  <c r="C31" i="11"/>
  <c r="D31" i="11"/>
  <c r="C32" i="11"/>
  <c r="D32" i="11"/>
  <c r="C33" i="11"/>
  <c r="D33" i="11"/>
  <c r="C25" i="11"/>
  <c r="D25" i="11"/>
  <c r="C26" i="11"/>
  <c r="D26" i="11"/>
  <c r="C27" i="11"/>
  <c r="D27" i="11"/>
  <c r="C28" i="11"/>
  <c r="D28" i="11"/>
  <c r="B66" i="28"/>
  <c r="W44" i="16"/>
  <c r="B32" i="8"/>
  <c r="D32" i="8"/>
  <c r="N44" i="16"/>
  <c r="O44" i="16"/>
  <c r="P44" i="16"/>
  <c r="Q44" i="16"/>
  <c r="R44" i="16"/>
  <c r="S44" i="16"/>
  <c r="T44" i="16"/>
  <c r="U44" i="16"/>
  <c r="V44" i="16"/>
  <c r="X44" i="16"/>
  <c r="Y44" i="16"/>
  <c r="Z44" i="16"/>
  <c r="AA44" i="16"/>
  <c r="AB44" i="16"/>
  <c r="AC44" i="16"/>
  <c r="AD44" i="16"/>
  <c r="AE44" i="16"/>
  <c r="AF44" i="16"/>
  <c r="AG44" i="16"/>
  <c r="AH44" i="16"/>
  <c r="AI44" i="16"/>
  <c r="AJ44" i="16"/>
  <c r="AK44" i="16"/>
  <c r="AL44" i="16"/>
  <c r="AM44" i="16"/>
  <c r="AN44" i="16"/>
  <c r="AO44" i="16"/>
  <c r="B282" i="39"/>
  <c r="B283" i="39"/>
  <c r="B284" i="39"/>
  <c r="B285" i="39"/>
  <c r="B286" i="39"/>
  <c r="B287" i="39"/>
  <c r="B288" i="39"/>
  <c r="B289" i="39"/>
  <c r="B290" i="39"/>
  <c r="B291" i="39"/>
  <c r="B292" i="39"/>
  <c r="B293" i="39"/>
  <c r="B235" i="39"/>
  <c r="B236" i="39"/>
  <c r="B237" i="39"/>
  <c r="B238" i="39"/>
  <c r="B239" i="39"/>
  <c r="B240" i="39"/>
  <c r="B241" i="39"/>
  <c r="B242" i="39"/>
  <c r="B243" i="39"/>
  <c r="B244" i="39"/>
  <c r="B245" i="39"/>
  <c r="B246" i="39"/>
  <c r="B247" i="39"/>
  <c r="B248" i="39"/>
  <c r="B249" i="39"/>
  <c r="B250" i="39"/>
  <c r="B251" i="39"/>
  <c r="B252" i="39"/>
  <c r="B253" i="39"/>
  <c r="B254" i="39"/>
  <c r="B255" i="39"/>
  <c r="B256" i="39"/>
  <c r="B257" i="39"/>
  <c r="B258" i="39"/>
  <c r="B259" i="39"/>
  <c r="B260" i="39"/>
  <c r="B261" i="39"/>
  <c r="B262" i="39"/>
  <c r="B263" i="39"/>
  <c r="B264" i="39"/>
  <c r="B265" i="39"/>
  <c r="B266" i="39"/>
  <c r="B267" i="39"/>
  <c r="B268" i="39"/>
  <c r="B269" i="39"/>
  <c r="B270" i="39"/>
  <c r="B271" i="39"/>
  <c r="B272" i="39"/>
  <c r="B273" i="39"/>
  <c r="B274" i="39"/>
  <c r="B275" i="39"/>
  <c r="B276" i="39"/>
  <c r="B277" i="39"/>
  <c r="B278" i="39"/>
  <c r="B279" i="39"/>
  <c r="B280" i="39"/>
  <c r="B281" i="39"/>
  <c r="B266" i="38"/>
  <c r="B267" i="38"/>
  <c r="B268" i="38"/>
  <c r="B269" i="38"/>
  <c r="B270" i="38"/>
  <c r="B271" i="38"/>
  <c r="B272" i="38"/>
  <c r="B273" i="38"/>
  <c r="B274" i="38"/>
  <c r="B275" i="38"/>
  <c r="B276" i="38"/>
  <c r="B277" i="38"/>
  <c r="B278" i="38"/>
  <c r="B279" i="38"/>
  <c r="B280" i="38"/>
  <c r="B281" i="38"/>
  <c r="B282" i="38"/>
  <c r="B283" i="38"/>
  <c r="B284" i="38"/>
  <c r="B285" i="38"/>
  <c r="B286" i="38"/>
  <c r="B287" i="38"/>
  <c r="B288" i="38"/>
  <c r="B289" i="38"/>
  <c r="B290" i="38"/>
  <c r="B291" i="38"/>
  <c r="B292" i="38"/>
  <c r="B293" i="38"/>
  <c r="B235" i="38"/>
  <c r="B236" i="38"/>
  <c r="B237" i="38"/>
  <c r="B238" i="38"/>
  <c r="B239" i="38"/>
  <c r="B240" i="38"/>
  <c r="B241" i="38"/>
  <c r="B242" i="38"/>
  <c r="B243" i="38"/>
  <c r="B244" i="38"/>
  <c r="B245" i="38"/>
  <c r="B246" i="38"/>
  <c r="B247" i="38"/>
  <c r="B248" i="38"/>
  <c r="B249" i="38"/>
  <c r="B250" i="38"/>
  <c r="B251" i="38"/>
  <c r="B252" i="38"/>
  <c r="B253" i="38"/>
  <c r="B254" i="38"/>
  <c r="B255" i="38"/>
  <c r="B256" i="38"/>
  <c r="B257" i="38"/>
  <c r="B258" i="38"/>
  <c r="B259" i="38"/>
  <c r="B260" i="38"/>
  <c r="B261" i="38"/>
  <c r="B262" i="38"/>
  <c r="B263" i="38"/>
  <c r="B264" i="38"/>
  <c r="B265" i="38"/>
  <c r="J12" i="35"/>
  <c r="U6" i="16"/>
  <c r="V6" i="16"/>
  <c r="W6" i="16"/>
  <c r="X6" i="16"/>
  <c r="Y6" i="16"/>
  <c r="Z6" i="16"/>
  <c r="AA6" i="16"/>
  <c r="U7" i="16"/>
  <c r="V7" i="16"/>
  <c r="W7" i="16"/>
  <c r="X7" i="16"/>
  <c r="Y7" i="16"/>
  <c r="Z7" i="16"/>
  <c r="AA7" i="16"/>
  <c r="U8" i="16"/>
  <c r="V8" i="16"/>
  <c r="W8" i="16"/>
  <c r="X8" i="16"/>
  <c r="Y8" i="16"/>
  <c r="Z8" i="16"/>
  <c r="AA8" i="16"/>
  <c r="U9" i="16"/>
  <c r="V9" i="16"/>
  <c r="W9" i="16"/>
  <c r="X9" i="16"/>
  <c r="Y9" i="16"/>
  <c r="Z9" i="16"/>
  <c r="AA9" i="16"/>
  <c r="U10" i="16"/>
  <c r="V10" i="16"/>
  <c r="W10" i="16"/>
  <c r="X10" i="16"/>
  <c r="Y10" i="16"/>
  <c r="Z10" i="16"/>
  <c r="AA10" i="16"/>
  <c r="V11" i="16"/>
  <c r="W11" i="16"/>
  <c r="X11" i="16"/>
  <c r="Y11" i="16"/>
  <c r="Z11" i="16"/>
  <c r="AA11" i="16"/>
  <c r="U12" i="16"/>
  <c r="V12" i="16"/>
  <c r="W12" i="16"/>
  <c r="X12" i="16"/>
  <c r="Y12" i="16"/>
  <c r="Z12" i="16"/>
  <c r="AA12" i="16"/>
  <c r="U13" i="16"/>
  <c r="V13" i="16"/>
  <c r="W13" i="16"/>
  <c r="X13" i="16"/>
  <c r="Y13" i="16"/>
  <c r="Z13" i="16"/>
  <c r="AA13" i="16"/>
  <c r="U14" i="16"/>
  <c r="V14" i="16"/>
  <c r="W14" i="16"/>
  <c r="X14" i="16"/>
  <c r="Y14" i="16"/>
  <c r="Z14" i="16"/>
  <c r="AA14" i="16"/>
  <c r="U15" i="16"/>
  <c r="V15" i="16"/>
  <c r="W15" i="16"/>
  <c r="X15" i="16"/>
  <c r="Y15" i="16"/>
  <c r="Z15" i="16"/>
  <c r="AA15" i="16"/>
  <c r="Z16" i="16"/>
  <c r="AA16" i="16"/>
  <c r="U17" i="16"/>
  <c r="V17" i="16"/>
  <c r="W17" i="16"/>
  <c r="X17" i="16"/>
  <c r="Y17" i="16"/>
  <c r="Z17" i="16"/>
  <c r="AA17" i="16"/>
  <c r="AA18" i="16"/>
  <c r="U19" i="16"/>
  <c r="V19" i="16"/>
  <c r="W19" i="16"/>
  <c r="X19" i="16"/>
  <c r="Y19" i="16"/>
  <c r="Z19" i="16"/>
  <c r="AA19" i="16"/>
  <c r="U20" i="16"/>
  <c r="V20" i="16"/>
  <c r="W20" i="16"/>
  <c r="X20" i="16"/>
  <c r="Y20" i="16"/>
  <c r="Z20" i="16"/>
  <c r="AA20" i="16"/>
  <c r="U21" i="16"/>
  <c r="V21" i="16"/>
  <c r="W21" i="16"/>
  <c r="X21" i="16"/>
  <c r="Y21" i="16"/>
  <c r="Z21" i="16"/>
  <c r="AA21" i="16"/>
  <c r="U22" i="16"/>
  <c r="V22" i="16"/>
  <c r="W22" i="16"/>
  <c r="X22" i="16"/>
  <c r="Y22" i="16"/>
  <c r="Z22" i="16"/>
  <c r="AA22" i="16"/>
  <c r="U23" i="16"/>
  <c r="V23" i="16"/>
  <c r="W23" i="16"/>
  <c r="X23" i="16"/>
  <c r="Y23" i="16"/>
  <c r="Z23" i="16"/>
  <c r="AA23" i="16"/>
  <c r="U24" i="16"/>
  <c r="V24" i="16"/>
  <c r="W24" i="16"/>
  <c r="X24" i="16"/>
  <c r="Y24" i="16"/>
  <c r="Z24" i="16"/>
  <c r="AA24" i="16"/>
  <c r="U25" i="16"/>
  <c r="V25" i="16"/>
  <c r="W25" i="16"/>
  <c r="X25" i="16"/>
  <c r="Y25" i="16"/>
  <c r="Z25" i="16"/>
  <c r="AA25" i="16"/>
  <c r="U27" i="16"/>
  <c r="V27" i="16"/>
  <c r="W27" i="16"/>
  <c r="X27" i="16"/>
  <c r="Y27" i="16"/>
  <c r="Z27" i="16"/>
  <c r="AA27" i="16"/>
  <c r="U28" i="16"/>
  <c r="V28" i="16"/>
  <c r="W28" i="16"/>
  <c r="X28" i="16"/>
  <c r="Y28" i="16"/>
  <c r="Z28" i="16"/>
  <c r="AA28" i="16"/>
  <c r="U29" i="16"/>
  <c r="V29" i="16"/>
  <c r="W29" i="16"/>
  <c r="X29" i="16"/>
  <c r="Y29" i="16"/>
  <c r="Z29" i="16"/>
  <c r="AA29" i="16"/>
  <c r="U30" i="16"/>
  <c r="V30" i="16"/>
  <c r="W30" i="16"/>
  <c r="X30" i="16"/>
  <c r="Y30" i="16"/>
  <c r="Z30" i="16"/>
  <c r="AA30" i="16"/>
  <c r="U31" i="16"/>
  <c r="V31" i="16"/>
  <c r="W31" i="16"/>
  <c r="X31" i="16"/>
  <c r="Y31" i="16"/>
  <c r="Z31" i="16"/>
  <c r="AA31" i="16"/>
  <c r="U32" i="16"/>
  <c r="V32" i="16"/>
  <c r="W32" i="16"/>
  <c r="X32" i="16"/>
  <c r="Y32" i="16"/>
  <c r="Z32" i="16"/>
  <c r="AA32" i="16"/>
  <c r="U33" i="16"/>
  <c r="V33" i="16"/>
  <c r="W33" i="16"/>
  <c r="X33" i="16"/>
  <c r="Y33" i="16"/>
  <c r="Z33" i="16"/>
  <c r="AA33" i="16"/>
  <c r="U34" i="16"/>
  <c r="V34" i="16"/>
  <c r="W34" i="16"/>
  <c r="X34" i="16"/>
  <c r="Y34" i="16"/>
  <c r="Z34" i="16"/>
  <c r="AA34" i="16"/>
  <c r="U35" i="16"/>
  <c r="V35" i="16"/>
  <c r="W35" i="16"/>
  <c r="X35" i="16"/>
  <c r="Y35" i="16"/>
  <c r="Z35" i="16"/>
  <c r="AA35" i="16"/>
  <c r="AA36" i="16"/>
  <c r="AA37" i="16"/>
  <c r="U38" i="16"/>
  <c r="V38" i="16"/>
  <c r="W38" i="16"/>
  <c r="X38" i="16"/>
  <c r="Y38" i="16"/>
  <c r="Z38" i="16"/>
  <c r="AA38" i="16"/>
  <c r="U39" i="16"/>
  <c r="V39" i="16"/>
  <c r="W39" i="16"/>
  <c r="X39" i="16"/>
  <c r="Y39" i="16"/>
  <c r="Z39" i="16"/>
  <c r="AA39" i="16"/>
  <c r="U40" i="16"/>
  <c r="V40" i="16"/>
  <c r="W40" i="16"/>
  <c r="X40" i="16"/>
  <c r="Y40" i="16"/>
  <c r="Z40" i="16"/>
  <c r="AA40" i="16"/>
  <c r="U41" i="16"/>
  <c r="V41" i="16"/>
  <c r="W41" i="16"/>
  <c r="X41" i="16"/>
  <c r="Y41" i="16"/>
  <c r="Z41" i="16"/>
  <c r="AA41" i="16"/>
  <c r="U42" i="16"/>
  <c r="V42" i="16"/>
  <c r="W42" i="16"/>
  <c r="X42" i="16"/>
  <c r="Y42" i="16"/>
  <c r="Z42" i="16"/>
  <c r="AA42" i="16"/>
  <c r="U43" i="16"/>
  <c r="V43" i="16"/>
  <c r="W43" i="16"/>
  <c r="X43" i="16"/>
  <c r="Y43" i="16"/>
  <c r="Z43" i="16"/>
  <c r="AA43" i="16"/>
  <c r="V5" i="16"/>
  <c r="W5" i="16"/>
  <c r="X5" i="16"/>
  <c r="Y5" i="16"/>
  <c r="Z5" i="16"/>
  <c r="AA5" i="16"/>
  <c r="U5" i="16"/>
  <c r="AB6" i="16"/>
  <c r="AC6" i="16"/>
  <c r="AD6" i="16"/>
  <c r="AE6" i="16"/>
  <c r="AF6" i="16"/>
  <c r="AG6" i="16"/>
  <c r="AH6" i="16"/>
  <c r="AB7" i="16"/>
  <c r="AC7" i="16"/>
  <c r="AD7" i="16"/>
  <c r="AE7" i="16"/>
  <c r="AF7" i="16"/>
  <c r="AG7" i="16"/>
  <c r="AH7" i="16"/>
  <c r="AB8" i="16"/>
  <c r="AC8" i="16"/>
  <c r="AD8" i="16"/>
  <c r="AE8" i="16"/>
  <c r="AF8" i="16"/>
  <c r="AG8" i="16"/>
  <c r="AH8" i="16"/>
  <c r="AB9" i="16"/>
  <c r="AC9" i="16"/>
  <c r="AD9" i="16"/>
  <c r="AE9" i="16"/>
  <c r="AF9" i="16"/>
  <c r="AG9" i="16"/>
  <c r="AH9" i="16"/>
  <c r="AB10" i="16"/>
  <c r="AC10" i="16"/>
  <c r="AD10" i="16"/>
  <c r="AE10" i="16"/>
  <c r="AF10" i="16"/>
  <c r="AG10" i="16"/>
  <c r="AH10" i="16"/>
  <c r="AB11" i="16"/>
  <c r="AC11" i="16"/>
  <c r="AD11" i="16"/>
  <c r="AE11" i="16"/>
  <c r="AF11" i="16"/>
  <c r="AG11" i="16"/>
  <c r="AH11" i="16"/>
  <c r="AB12" i="16"/>
  <c r="AC12" i="16"/>
  <c r="AD12" i="16"/>
  <c r="AE12" i="16"/>
  <c r="AF12" i="16"/>
  <c r="AG12" i="16"/>
  <c r="AH12" i="16"/>
  <c r="AB13" i="16"/>
  <c r="AC13" i="16"/>
  <c r="AD13" i="16"/>
  <c r="AE13" i="16"/>
  <c r="AF13" i="16"/>
  <c r="AG13" i="16"/>
  <c r="AH13" i="16"/>
  <c r="AB14" i="16"/>
  <c r="AC14" i="16"/>
  <c r="AD14" i="16"/>
  <c r="AE14" i="16"/>
  <c r="AF14" i="16"/>
  <c r="AG14" i="16"/>
  <c r="AH14" i="16"/>
  <c r="AB15" i="16"/>
  <c r="AC15" i="16"/>
  <c r="AD15" i="16"/>
  <c r="AE15" i="16"/>
  <c r="AF15" i="16"/>
  <c r="AG15" i="16"/>
  <c r="AH15" i="16"/>
  <c r="AC16" i="16"/>
  <c r="AD16" i="16"/>
  <c r="AE16" i="16"/>
  <c r="AF16" i="16"/>
  <c r="AG16" i="16"/>
  <c r="AH16" i="16"/>
  <c r="AB17" i="16"/>
  <c r="AC17" i="16"/>
  <c r="AD17" i="16"/>
  <c r="AE17" i="16"/>
  <c r="AF17" i="16"/>
  <c r="AG17" i="16"/>
  <c r="AH17" i="16"/>
  <c r="AB18" i="16"/>
  <c r="AB19" i="16"/>
  <c r="AC19" i="16"/>
  <c r="AD19" i="16"/>
  <c r="AE19" i="16"/>
  <c r="AF19" i="16"/>
  <c r="AG19" i="16"/>
  <c r="AH19" i="16"/>
  <c r="AB20" i="16"/>
  <c r="AC20" i="16"/>
  <c r="AD20" i="16"/>
  <c r="AE20" i="16"/>
  <c r="AF20" i="16"/>
  <c r="AG20" i="16"/>
  <c r="AH20" i="16"/>
  <c r="AB21" i="16"/>
  <c r="AC21" i="16"/>
  <c r="AD21" i="16"/>
  <c r="AE21" i="16"/>
  <c r="AF21" i="16"/>
  <c r="AG21" i="16"/>
  <c r="AH21" i="16"/>
  <c r="AB22" i="16"/>
  <c r="AC22" i="16"/>
  <c r="AD22" i="16"/>
  <c r="AE22" i="16"/>
  <c r="AF22" i="16"/>
  <c r="AG22" i="16"/>
  <c r="AH22" i="16"/>
  <c r="AB23" i="16"/>
  <c r="AC23" i="16"/>
  <c r="AD23" i="16"/>
  <c r="AE23" i="16"/>
  <c r="AF23" i="16"/>
  <c r="AG23" i="16"/>
  <c r="AH23" i="16"/>
  <c r="AB24" i="16"/>
  <c r="AC24" i="16"/>
  <c r="AD24" i="16"/>
  <c r="AE24" i="16"/>
  <c r="AF24" i="16"/>
  <c r="AG24" i="16"/>
  <c r="AH24" i="16"/>
  <c r="AB25" i="16"/>
  <c r="AC25" i="16"/>
  <c r="AD25" i="16"/>
  <c r="AE25" i="16"/>
  <c r="AF25" i="16"/>
  <c r="AG25" i="16"/>
  <c r="AH25" i="16"/>
  <c r="AB27" i="16"/>
  <c r="AC27" i="16"/>
  <c r="AD27" i="16"/>
  <c r="AE27" i="16"/>
  <c r="AF27" i="16"/>
  <c r="AG27" i="16"/>
  <c r="AH27" i="16"/>
  <c r="AB28" i="16"/>
  <c r="AC28" i="16"/>
  <c r="AD28" i="16"/>
  <c r="AE28" i="16"/>
  <c r="AF28" i="16"/>
  <c r="AG28" i="16"/>
  <c r="AH28" i="16"/>
  <c r="AB29" i="16"/>
  <c r="AC29" i="16"/>
  <c r="AD29" i="16"/>
  <c r="AE29" i="16"/>
  <c r="AF29" i="16"/>
  <c r="AG29" i="16"/>
  <c r="AH29" i="16"/>
  <c r="AB30" i="16"/>
  <c r="AC30" i="16"/>
  <c r="AD30" i="16"/>
  <c r="AE30" i="16"/>
  <c r="AF30" i="16"/>
  <c r="AG30" i="16"/>
  <c r="AH30" i="16"/>
  <c r="AB31" i="16"/>
  <c r="AC31" i="16"/>
  <c r="AD31" i="16"/>
  <c r="AE31" i="16"/>
  <c r="AF31" i="16"/>
  <c r="AG31" i="16"/>
  <c r="AH31" i="16"/>
  <c r="AB32" i="16"/>
  <c r="AC32" i="16"/>
  <c r="AD32" i="16"/>
  <c r="AE32" i="16"/>
  <c r="AF32" i="16"/>
  <c r="AG32" i="16"/>
  <c r="AH32" i="16"/>
  <c r="AB33" i="16"/>
  <c r="AC33" i="16"/>
  <c r="AD33" i="16"/>
  <c r="AE33" i="16"/>
  <c r="AF33" i="16"/>
  <c r="AG33" i="16"/>
  <c r="AH33" i="16"/>
  <c r="AB34" i="16"/>
  <c r="AC34" i="16"/>
  <c r="AD34" i="16"/>
  <c r="AE34" i="16"/>
  <c r="AF34" i="16"/>
  <c r="AG34" i="16"/>
  <c r="AH34" i="16"/>
  <c r="AB35" i="16"/>
  <c r="AC35" i="16"/>
  <c r="AD35" i="16"/>
  <c r="AE35" i="16"/>
  <c r="AF35" i="16"/>
  <c r="AG35" i="16"/>
  <c r="AH35" i="16"/>
  <c r="AB36" i="16"/>
  <c r="AC36" i="16"/>
  <c r="AD36" i="16"/>
  <c r="AE36" i="16"/>
  <c r="AF36" i="16"/>
  <c r="AG36" i="16"/>
  <c r="AH36" i="16"/>
  <c r="AB37" i="16"/>
  <c r="AC37" i="16"/>
  <c r="AD37" i="16"/>
  <c r="AE37" i="16"/>
  <c r="AF37" i="16"/>
  <c r="AG37" i="16"/>
  <c r="AH37" i="16"/>
  <c r="AB38" i="16"/>
  <c r="AC38" i="16"/>
  <c r="AD38" i="16"/>
  <c r="AE38" i="16"/>
  <c r="AF38" i="16"/>
  <c r="AG38" i="16"/>
  <c r="AH38" i="16"/>
  <c r="AB39" i="16"/>
  <c r="AC39" i="16"/>
  <c r="AD39" i="16"/>
  <c r="AE39" i="16"/>
  <c r="AF39" i="16"/>
  <c r="AG39" i="16"/>
  <c r="AH39" i="16"/>
  <c r="AB40" i="16"/>
  <c r="AC40" i="16"/>
  <c r="AD40" i="16"/>
  <c r="AE40" i="16"/>
  <c r="AF40" i="16"/>
  <c r="AG40" i="16"/>
  <c r="AH40" i="16"/>
  <c r="AB41" i="16"/>
  <c r="AC41" i="16"/>
  <c r="AD41" i="16"/>
  <c r="AE41" i="16"/>
  <c r="AF41" i="16"/>
  <c r="AG41" i="16"/>
  <c r="AH41" i="16"/>
  <c r="AB42" i="16"/>
  <c r="AC42" i="16"/>
  <c r="AD42" i="16"/>
  <c r="AE42" i="16"/>
  <c r="AF42" i="16"/>
  <c r="AG42" i="16"/>
  <c r="AH42" i="16"/>
  <c r="AB43" i="16"/>
  <c r="AC43" i="16"/>
  <c r="AD43" i="16"/>
  <c r="AE43" i="16"/>
  <c r="AF43" i="16"/>
  <c r="AG43" i="16"/>
  <c r="AH43" i="16"/>
  <c r="AC5" i="16"/>
  <c r="AD5" i="16"/>
  <c r="AE5" i="16"/>
  <c r="AF5" i="16"/>
  <c r="AG5" i="16"/>
  <c r="AH5" i="16"/>
  <c r="AB5" i="16"/>
  <c r="C65" i="16"/>
  <c r="C66" i="16"/>
  <c r="Y139" i="7"/>
  <c r="Z139" i="7" s="1"/>
  <c r="X166" i="7"/>
  <c r="Y142" i="7"/>
  <c r="Z142" i="7"/>
  <c r="AA142" i="7"/>
  <c r="X142" i="7"/>
  <c r="J149" i="7"/>
  <c r="J155" i="7" s="1"/>
  <c r="X171" i="7"/>
  <c r="Y171" i="7" s="1"/>
  <c r="Z171" i="7" s="1"/>
  <c r="AA171" i="7" s="1"/>
  <c r="AB171" i="7" s="1"/>
  <c r="AC171" i="7" s="1"/>
  <c r="E174" i="7"/>
  <c r="E173" i="7"/>
  <c r="D223" i="29" s="1"/>
  <c r="B206" i="39"/>
  <c r="B207" i="39"/>
  <c r="B208" i="39"/>
  <c r="B209" i="39"/>
  <c r="B210" i="39"/>
  <c r="B211" i="39"/>
  <c r="B212" i="39"/>
  <c r="B213" i="39"/>
  <c r="B214" i="39"/>
  <c r="B215" i="39"/>
  <c r="B216" i="39"/>
  <c r="B217" i="39"/>
  <c r="B218" i="39"/>
  <c r="B219" i="39"/>
  <c r="B220" i="39"/>
  <c r="B221" i="39"/>
  <c r="B222" i="39"/>
  <c r="B223" i="39"/>
  <c r="B224" i="39"/>
  <c r="B225" i="39"/>
  <c r="B226" i="39"/>
  <c r="B227" i="39"/>
  <c r="B228" i="39"/>
  <c r="B229" i="39"/>
  <c r="B230" i="39"/>
  <c r="B231" i="39"/>
  <c r="B232" i="39"/>
  <c r="B233" i="39"/>
  <c r="B234" i="39"/>
  <c r="B191" i="39"/>
  <c r="B192" i="39"/>
  <c r="B193" i="39"/>
  <c r="B194" i="39"/>
  <c r="B195" i="39"/>
  <c r="B196" i="39"/>
  <c r="B197" i="39"/>
  <c r="B198" i="39"/>
  <c r="B199" i="39"/>
  <c r="B200" i="39"/>
  <c r="B201" i="39"/>
  <c r="B202" i="39"/>
  <c r="B203" i="39"/>
  <c r="B204" i="39"/>
  <c r="B205" i="39"/>
  <c r="B212" i="38"/>
  <c r="B213" i="38"/>
  <c r="B214" i="38"/>
  <c r="B215" i="38"/>
  <c r="B216" i="38"/>
  <c r="B217" i="38"/>
  <c r="B218" i="38"/>
  <c r="B219" i="38"/>
  <c r="B220" i="38"/>
  <c r="B221" i="38"/>
  <c r="B222" i="38"/>
  <c r="B223" i="38"/>
  <c r="B224" i="38"/>
  <c r="B225" i="38"/>
  <c r="B226" i="38"/>
  <c r="B227" i="38"/>
  <c r="B228" i="38"/>
  <c r="B229" i="38"/>
  <c r="B230" i="38"/>
  <c r="B231" i="38"/>
  <c r="B232" i="38"/>
  <c r="B233" i="38"/>
  <c r="B234" i="38"/>
  <c r="B204" i="38"/>
  <c r="B205" i="38"/>
  <c r="B206" i="38"/>
  <c r="B207" i="38"/>
  <c r="B208" i="38"/>
  <c r="B209" i="38"/>
  <c r="B210" i="38"/>
  <c r="B211" i="38"/>
  <c r="B191" i="38"/>
  <c r="B192" i="38"/>
  <c r="B193" i="38"/>
  <c r="B194" i="38"/>
  <c r="B195" i="38"/>
  <c r="B196" i="38"/>
  <c r="B197" i="38"/>
  <c r="B198" i="38"/>
  <c r="B199" i="38"/>
  <c r="B200" i="38"/>
  <c r="B201" i="38"/>
  <c r="B202" i="38"/>
  <c r="B203" i="38"/>
  <c r="C17" i="14"/>
  <c r="C15" i="11"/>
  <c r="D15" i="11"/>
  <c r="C16" i="11"/>
  <c r="D16" i="11"/>
  <c r="C17" i="11"/>
  <c r="D17" i="11"/>
  <c r="C18" i="11"/>
  <c r="D18" i="11"/>
  <c r="C19" i="11"/>
  <c r="D19" i="11"/>
  <c r="C20" i="11"/>
  <c r="D20" i="11"/>
  <c r="C21" i="11"/>
  <c r="D21" i="11"/>
  <c r="C22" i="11"/>
  <c r="D22" i="11"/>
  <c r="C23" i="11"/>
  <c r="D23" i="11"/>
  <c r="C24" i="11"/>
  <c r="D24" i="11"/>
  <c r="D14" i="11"/>
  <c r="C14" i="11"/>
  <c r="F37" i="51"/>
  <c r="F38" i="51" s="1"/>
  <c r="B91" i="51"/>
  <c r="B93" i="51" s="1"/>
  <c r="S159" i="7" s="1"/>
  <c r="B90" i="51"/>
  <c r="B92" i="51" s="1"/>
  <c r="AV273" i="28"/>
  <c r="AV274" i="28" s="1"/>
  <c r="AV275" i="28" s="1"/>
  <c r="AV276" i="28" s="1"/>
  <c r="AV277" i="28" s="1"/>
  <c r="L301" i="29"/>
  <c r="B301" i="29" s="1"/>
  <c r="L308" i="29"/>
  <c r="B308" i="29" s="1"/>
  <c r="B307" i="29"/>
  <c r="O305" i="29"/>
  <c r="O306" i="29" s="1"/>
  <c r="O307" i="29" s="1"/>
  <c r="B300" i="29"/>
  <c r="O298" i="29"/>
  <c r="O299" i="29" s="1"/>
  <c r="O300" i="29" s="1"/>
  <c r="O301" i="29" s="1"/>
  <c r="L298" i="29"/>
  <c r="B298" i="29" s="1"/>
  <c r="B297" i="29"/>
  <c r="L292" i="29"/>
  <c r="L293" i="29" s="1"/>
  <c r="B291" i="29"/>
  <c r="O289" i="29"/>
  <c r="O290" i="29" s="1"/>
  <c r="O291" i="29" s="1"/>
  <c r="O292" i="29" s="1"/>
  <c r="L285" i="29"/>
  <c r="B285" i="29" s="1"/>
  <c r="B284" i="29"/>
  <c r="O282" i="29"/>
  <c r="O283" i="29" s="1"/>
  <c r="O284" i="29" s="1"/>
  <c r="O285" i="29" s="1"/>
  <c r="L282" i="29"/>
  <c r="L283" i="29" s="1"/>
  <c r="B283" i="29" s="1"/>
  <c r="B281" i="29"/>
  <c r="AV259" i="28"/>
  <c r="AV260" i="28" s="1"/>
  <c r="AV261" i="28" s="1"/>
  <c r="Y7" i="51"/>
  <c r="B31" i="24"/>
  <c r="D31" i="24"/>
  <c r="U17" i="19"/>
  <c r="T17" i="19"/>
  <c r="S17" i="19"/>
  <c r="R17" i="19"/>
  <c r="Q17" i="19"/>
  <c r="P17" i="19"/>
  <c r="A80" i="51"/>
  <c r="A79" i="51"/>
  <c r="A66" i="51"/>
  <c r="A65" i="51"/>
  <c r="A64" i="51"/>
  <c r="A4" i="51"/>
  <c r="A6" i="51"/>
  <c r="A5" i="51"/>
  <c r="O6" i="7"/>
  <c r="D93" i="7" s="1"/>
  <c r="P6" i="7"/>
  <c r="S6" i="7"/>
  <c r="U6" i="7"/>
  <c r="E84" i="7" s="1"/>
  <c r="V6" i="7"/>
  <c r="W6" i="7"/>
  <c r="X6" i="7"/>
  <c r="E45" i="7" s="1"/>
  <c r="Y6" i="7"/>
  <c r="E57" i="7" s="1"/>
  <c r="Z6" i="7"/>
  <c r="E58" i="7" s="1"/>
  <c r="AO43" i="16"/>
  <c r="AN43" i="16"/>
  <c r="AM43" i="16"/>
  <c r="AL43" i="16"/>
  <c r="AK43" i="16"/>
  <c r="AJ43" i="16"/>
  <c r="AI43" i="16"/>
  <c r="T43" i="16"/>
  <c r="S43" i="16"/>
  <c r="R43" i="16"/>
  <c r="Q43" i="16"/>
  <c r="P43" i="16"/>
  <c r="O43" i="16"/>
  <c r="N43" i="16"/>
  <c r="AO42" i="16"/>
  <c r="AN42" i="16"/>
  <c r="AM42" i="16"/>
  <c r="AL42" i="16"/>
  <c r="AK42" i="16"/>
  <c r="AJ42" i="16"/>
  <c r="AI42" i="16"/>
  <c r="T42" i="16"/>
  <c r="S42" i="16"/>
  <c r="R42" i="16"/>
  <c r="Q42" i="16"/>
  <c r="P42" i="16"/>
  <c r="O42" i="16"/>
  <c r="N42" i="16"/>
  <c r="AO41" i="16"/>
  <c r="AN41" i="16"/>
  <c r="AM41" i="16"/>
  <c r="AL41" i="16"/>
  <c r="AK41" i="16"/>
  <c r="AJ41" i="16"/>
  <c r="AI41" i="16"/>
  <c r="T41" i="16"/>
  <c r="S41" i="16"/>
  <c r="R41" i="16"/>
  <c r="Q41" i="16"/>
  <c r="P41" i="16"/>
  <c r="O41" i="16"/>
  <c r="N41" i="16"/>
  <c r="AO40" i="16"/>
  <c r="AN40" i="16"/>
  <c r="AL40" i="16"/>
  <c r="T40" i="16"/>
  <c r="S40" i="16"/>
  <c r="R40" i="16"/>
  <c r="Q40" i="16"/>
  <c r="P40" i="16"/>
  <c r="O40" i="16"/>
  <c r="N40" i="16"/>
  <c r="AO39" i="16"/>
  <c r="AN39" i="16"/>
  <c r="AK39" i="16"/>
  <c r="T39" i="16"/>
  <c r="S39" i="16"/>
  <c r="R39" i="16"/>
  <c r="Q39" i="16"/>
  <c r="P39" i="16"/>
  <c r="O39" i="16"/>
  <c r="N39" i="16"/>
  <c r="AO38" i="16"/>
  <c r="AN38" i="16"/>
  <c r="AM38" i="16"/>
  <c r="AL38" i="16"/>
  <c r="AK38" i="16"/>
  <c r="AJ38" i="16"/>
  <c r="AI38" i="16"/>
  <c r="T38" i="16"/>
  <c r="S38" i="16"/>
  <c r="R38" i="16"/>
  <c r="Q38" i="16"/>
  <c r="P38" i="16"/>
  <c r="O38" i="16"/>
  <c r="N38" i="16"/>
  <c r="AO37" i="16"/>
  <c r="AN37" i="16"/>
  <c r="AM37" i="16"/>
  <c r="AK37" i="16"/>
  <c r="AJ37" i="16"/>
  <c r="AI37" i="16"/>
  <c r="T37" i="16"/>
  <c r="S37" i="16"/>
  <c r="R37" i="16"/>
  <c r="Q37" i="16"/>
  <c r="P37" i="16"/>
  <c r="O37" i="16"/>
  <c r="N37" i="16"/>
  <c r="AO36" i="16"/>
  <c r="AN36" i="16"/>
  <c r="AM36" i="16"/>
  <c r="AK36" i="16"/>
  <c r="AJ36" i="16"/>
  <c r="AI36" i="16"/>
  <c r="T36" i="16"/>
  <c r="S36" i="16"/>
  <c r="R36" i="16"/>
  <c r="Q36" i="16"/>
  <c r="P36" i="16"/>
  <c r="O36" i="16"/>
  <c r="N36" i="16"/>
  <c r="AO35" i="16"/>
  <c r="AN35" i="16"/>
  <c r="AM35" i="16"/>
  <c r="AL35" i="16"/>
  <c r="AK35" i="16"/>
  <c r="AJ35" i="16"/>
  <c r="AI35" i="16"/>
  <c r="T35" i="16"/>
  <c r="S35" i="16"/>
  <c r="R35" i="16"/>
  <c r="Q35" i="16"/>
  <c r="P35" i="16"/>
  <c r="O35" i="16"/>
  <c r="N35" i="16"/>
  <c r="AO34" i="16"/>
  <c r="AN34" i="16"/>
  <c r="AM34" i="16"/>
  <c r="AL34" i="16"/>
  <c r="AK34" i="16"/>
  <c r="AJ34" i="16"/>
  <c r="AI34" i="16"/>
  <c r="T34" i="16"/>
  <c r="S34" i="16"/>
  <c r="R34" i="16"/>
  <c r="Q34" i="16"/>
  <c r="P34" i="16"/>
  <c r="O34" i="16"/>
  <c r="N34" i="16"/>
  <c r="AO33" i="16"/>
  <c r="AN33" i="16"/>
  <c r="AM33" i="16"/>
  <c r="AL33" i="16"/>
  <c r="AK33" i="16"/>
  <c r="AJ33" i="16"/>
  <c r="AI33" i="16"/>
  <c r="T33" i="16"/>
  <c r="S33" i="16"/>
  <c r="R33" i="16"/>
  <c r="Q33" i="16"/>
  <c r="P33" i="16"/>
  <c r="O33" i="16"/>
  <c r="N33" i="16"/>
  <c r="AO32" i="16"/>
  <c r="AN32" i="16"/>
  <c r="AM32" i="16"/>
  <c r="AK32" i="16"/>
  <c r="AJ32" i="16"/>
  <c r="AI32" i="16"/>
  <c r="T32" i="16"/>
  <c r="R32" i="16"/>
  <c r="P32" i="16"/>
  <c r="O32" i="16"/>
  <c r="N32" i="16"/>
  <c r="AO31" i="16"/>
  <c r="AN31" i="16"/>
  <c r="AM31" i="16"/>
  <c r="AL31" i="16"/>
  <c r="AK31" i="16"/>
  <c r="AJ31" i="16"/>
  <c r="AI31" i="16"/>
  <c r="T31" i="16"/>
  <c r="S31" i="16"/>
  <c r="R31" i="16"/>
  <c r="Q31" i="16"/>
  <c r="P31" i="16"/>
  <c r="O31" i="16"/>
  <c r="N31" i="16"/>
  <c r="AO30" i="16"/>
  <c r="AN30" i="16"/>
  <c r="AM30" i="16"/>
  <c r="AL30" i="16"/>
  <c r="AK30" i="16"/>
  <c r="AJ30" i="16"/>
  <c r="AI30" i="16"/>
  <c r="T30" i="16"/>
  <c r="S30" i="16"/>
  <c r="R30" i="16"/>
  <c r="Q30" i="16"/>
  <c r="P30" i="16"/>
  <c r="O30" i="16"/>
  <c r="N30" i="16"/>
  <c r="AO29" i="16"/>
  <c r="AN29" i="16"/>
  <c r="AM29" i="16"/>
  <c r="AL29" i="16"/>
  <c r="AK29" i="16"/>
  <c r="AJ29" i="16"/>
  <c r="AI29" i="16"/>
  <c r="T29" i="16"/>
  <c r="S29" i="16"/>
  <c r="R29" i="16"/>
  <c r="Q29" i="16"/>
  <c r="P29" i="16"/>
  <c r="O29" i="16"/>
  <c r="N29" i="16"/>
  <c r="AO28" i="16"/>
  <c r="AN28" i="16"/>
  <c r="AM28" i="16"/>
  <c r="AL28" i="16"/>
  <c r="AK28" i="16"/>
  <c r="AJ28" i="16"/>
  <c r="AI28" i="16"/>
  <c r="T28" i="16"/>
  <c r="S28" i="16"/>
  <c r="R28" i="16"/>
  <c r="Q28" i="16"/>
  <c r="P28" i="16"/>
  <c r="O28" i="16"/>
  <c r="N28" i="16"/>
  <c r="C94" i="16"/>
  <c r="C95" i="16"/>
  <c r="C96" i="16"/>
  <c r="C97" i="16"/>
  <c r="C98" i="16"/>
  <c r="C85" i="16"/>
  <c r="C86" i="16"/>
  <c r="C87" i="16"/>
  <c r="C88" i="16"/>
  <c r="C89" i="16"/>
  <c r="C90" i="16"/>
  <c r="C91" i="16"/>
  <c r="C92" i="16"/>
  <c r="C93" i="16"/>
  <c r="C50" i="16"/>
  <c r="C51" i="16"/>
  <c r="C52" i="16"/>
  <c r="C53" i="16"/>
  <c r="C54" i="16"/>
  <c r="C55" i="16"/>
  <c r="C56" i="16"/>
  <c r="C57" i="16"/>
  <c r="C58" i="16"/>
  <c r="C59" i="16"/>
  <c r="C60" i="16"/>
  <c r="C61" i="16"/>
  <c r="C62" i="16"/>
  <c r="C63" i="16"/>
  <c r="C64" i="16"/>
  <c r="C67" i="16"/>
  <c r="C68" i="16"/>
  <c r="C69" i="16"/>
  <c r="C70" i="16"/>
  <c r="C71" i="16"/>
  <c r="C72" i="16"/>
  <c r="C73" i="16"/>
  <c r="C74" i="16"/>
  <c r="C75" i="16"/>
  <c r="C76" i="16"/>
  <c r="C77" i="16"/>
  <c r="C78" i="16"/>
  <c r="C79" i="16"/>
  <c r="C80" i="16"/>
  <c r="C81" i="16"/>
  <c r="C82" i="16"/>
  <c r="C83" i="16"/>
  <c r="C84" i="16"/>
  <c r="C49" i="16"/>
  <c r="D32" i="16"/>
  <c r="B187" i="39"/>
  <c r="B188" i="39"/>
  <c r="B189" i="39"/>
  <c r="B190" i="39"/>
  <c r="B161" i="39"/>
  <c r="B162" i="39"/>
  <c r="B163" i="39"/>
  <c r="B164" i="39"/>
  <c r="B165" i="39"/>
  <c r="B166" i="39"/>
  <c r="B167" i="39"/>
  <c r="B168" i="39"/>
  <c r="B169" i="39"/>
  <c r="B170" i="39"/>
  <c r="B171" i="39"/>
  <c r="B172" i="39"/>
  <c r="B173" i="39"/>
  <c r="B174" i="39"/>
  <c r="B175" i="39"/>
  <c r="B176" i="39"/>
  <c r="B177" i="39"/>
  <c r="B178" i="39"/>
  <c r="B179" i="39"/>
  <c r="B180" i="39"/>
  <c r="B181" i="39"/>
  <c r="B182" i="39"/>
  <c r="B183" i="39"/>
  <c r="B184" i="39"/>
  <c r="B185" i="39"/>
  <c r="B186" i="39"/>
  <c r="B187" i="38"/>
  <c r="B188" i="38"/>
  <c r="B189" i="38"/>
  <c r="B190" i="38"/>
  <c r="B161" i="38"/>
  <c r="B162" i="38"/>
  <c r="B163" i="38"/>
  <c r="B164" i="38"/>
  <c r="B165" i="38"/>
  <c r="B166" i="38"/>
  <c r="B167" i="38"/>
  <c r="B168" i="38"/>
  <c r="B169" i="38"/>
  <c r="B170" i="38"/>
  <c r="B171" i="38"/>
  <c r="B172" i="38"/>
  <c r="B173" i="38"/>
  <c r="B174" i="38"/>
  <c r="B175" i="38"/>
  <c r="B176" i="38"/>
  <c r="B177" i="38"/>
  <c r="B178" i="38"/>
  <c r="B179" i="38"/>
  <c r="B180" i="38"/>
  <c r="B181" i="38"/>
  <c r="B182" i="38"/>
  <c r="B183" i="38"/>
  <c r="B184" i="38"/>
  <c r="B185" i="38"/>
  <c r="B186" i="38"/>
  <c r="W103" i="42"/>
  <c r="W102" i="42"/>
  <c r="BK53" i="45"/>
  <c r="BL53" i="45" s="1"/>
  <c r="BM53" i="45" s="1"/>
  <c r="BN53" i="45" s="1"/>
  <c r="BO53" i="45" s="1"/>
  <c r="BP53" i="45" s="1"/>
  <c r="BQ53" i="45" s="1"/>
  <c r="BR53" i="45" s="1"/>
  <c r="BS53" i="45" s="1"/>
  <c r="BT53" i="45" s="1"/>
  <c r="BU53" i="45" s="1"/>
  <c r="BV53" i="45" s="1"/>
  <c r="BW53" i="45" s="1"/>
  <c r="B160" i="39"/>
  <c r="B160" i="38"/>
  <c r="S9" i="16"/>
  <c r="B137" i="39"/>
  <c r="B138" i="39"/>
  <c r="B139" i="39"/>
  <c r="B140" i="39"/>
  <c r="B141" i="39"/>
  <c r="B142" i="39"/>
  <c r="B143" i="39"/>
  <c r="B144" i="39"/>
  <c r="B145" i="39"/>
  <c r="B146" i="39"/>
  <c r="B147" i="39"/>
  <c r="B148" i="39"/>
  <c r="B149" i="39"/>
  <c r="B150" i="39"/>
  <c r="B151" i="39"/>
  <c r="B152" i="39"/>
  <c r="B153" i="39"/>
  <c r="B154" i="39"/>
  <c r="B155" i="39"/>
  <c r="B156" i="39"/>
  <c r="B157" i="39"/>
  <c r="B158" i="39"/>
  <c r="B159" i="39"/>
  <c r="B137" i="38"/>
  <c r="B138" i="38"/>
  <c r="B139" i="38"/>
  <c r="B140" i="38"/>
  <c r="B141" i="38"/>
  <c r="B142" i="38"/>
  <c r="B143" i="38"/>
  <c r="B144" i="38"/>
  <c r="B145" i="38"/>
  <c r="B146" i="38"/>
  <c r="B147" i="38"/>
  <c r="B148" i="38"/>
  <c r="B149" i="38"/>
  <c r="B150" i="38"/>
  <c r="B151" i="38"/>
  <c r="B152" i="38"/>
  <c r="B153" i="38"/>
  <c r="B154" i="38"/>
  <c r="B155" i="38"/>
  <c r="B156" i="38"/>
  <c r="B157" i="38"/>
  <c r="B158" i="38"/>
  <c r="B159" i="38"/>
  <c r="F65" i="45"/>
  <c r="AB117" i="42"/>
  <c r="AA105" i="42" s="1"/>
  <c r="B135" i="39"/>
  <c r="B136" i="39"/>
  <c r="B122" i="39"/>
  <c r="B123" i="39"/>
  <c r="B124" i="39"/>
  <c r="B125" i="39"/>
  <c r="B126" i="39"/>
  <c r="B127" i="39"/>
  <c r="B128" i="39"/>
  <c r="B129" i="39"/>
  <c r="B130" i="39"/>
  <c r="B131" i="39"/>
  <c r="B132" i="39"/>
  <c r="B133" i="39"/>
  <c r="B134" i="39"/>
  <c r="B122" i="38"/>
  <c r="B123" i="38"/>
  <c r="B124" i="38"/>
  <c r="B125" i="38"/>
  <c r="B126" i="38"/>
  <c r="B127" i="38"/>
  <c r="B128" i="38"/>
  <c r="B129" i="38"/>
  <c r="B130" i="38"/>
  <c r="B131" i="38"/>
  <c r="B132" i="38"/>
  <c r="B133" i="38"/>
  <c r="B134" i="38"/>
  <c r="B135" i="38"/>
  <c r="B136" i="38"/>
  <c r="B104" i="39"/>
  <c r="B105" i="39"/>
  <c r="B106" i="39"/>
  <c r="B107" i="39"/>
  <c r="B108" i="39"/>
  <c r="B109" i="39"/>
  <c r="B110" i="39"/>
  <c r="B111" i="39"/>
  <c r="B112" i="39"/>
  <c r="B113" i="39"/>
  <c r="B114" i="39"/>
  <c r="B115" i="39"/>
  <c r="B116" i="39"/>
  <c r="B117" i="39"/>
  <c r="B118" i="39"/>
  <c r="B119" i="39"/>
  <c r="B120" i="39"/>
  <c r="B121" i="39"/>
  <c r="B75" i="39"/>
  <c r="B76" i="39"/>
  <c r="B77" i="39"/>
  <c r="B78" i="39"/>
  <c r="B79" i="39"/>
  <c r="B80" i="39"/>
  <c r="B81" i="39"/>
  <c r="B82" i="39"/>
  <c r="B83" i="39"/>
  <c r="B84" i="39"/>
  <c r="B85" i="39"/>
  <c r="B86" i="39"/>
  <c r="B87" i="39"/>
  <c r="B88" i="39"/>
  <c r="B89" i="39"/>
  <c r="B90" i="39"/>
  <c r="B91" i="39"/>
  <c r="B92" i="39"/>
  <c r="B93" i="39"/>
  <c r="B94" i="39"/>
  <c r="B95" i="39"/>
  <c r="B96" i="39"/>
  <c r="B97" i="39"/>
  <c r="B98" i="39"/>
  <c r="B99" i="39"/>
  <c r="B100" i="39"/>
  <c r="B101" i="39"/>
  <c r="B102" i="39"/>
  <c r="B103" i="39"/>
  <c r="B43" i="39"/>
  <c r="B44" i="39"/>
  <c r="B45" i="39"/>
  <c r="B46" i="39"/>
  <c r="B47" i="39"/>
  <c r="B48" i="39"/>
  <c r="B49" i="39"/>
  <c r="B50" i="39"/>
  <c r="B51" i="39"/>
  <c r="B52" i="39"/>
  <c r="B53" i="39"/>
  <c r="B54" i="39"/>
  <c r="B55" i="39"/>
  <c r="B56" i="39"/>
  <c r="B57" i="39"/>
  <c r="B58" i="39"/>
  <c r="B59" i="39"/>
  <c r="B60" i="39"/>
  <c r="B61" i="39"/>
  <c r="B62" i="39"/>
  <c r="B63" i="39"/>
  <c r="B64" i="39"/>
  <c r="B65" i="39"/>
  <c r="B66" i="39"/>
  <c r="B67" i="39"/>
  <c r="B68" i="39"/>
  <c r="B69" i="39"/>
  <c r="B70" i="39"/>
  <c r="B71" i="39"/>
  <c r="B72" i="39"/>
  <c r="B73" i="39"/>
  <c r="B74"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I11" i="39"/>
  <c r="I12" i="39" s="1"/>
  <c r="I13" i="39" s="1"/>
  <c r="I14" i="39" s="1"/>
  <c r="I15" i="39" s="1"/>
  <c r="I16" i="39" s="1"/>
  <c r="I17" i="39" s="1"/>
  <c r="I18" i="39" s="1"/>
  <c r="I19" i="39" s="1"/>
  <c r="I20" i="39" s="1"/>
  <c r="I21" i="39" s="1"/>
  <c r="I22" i="39" s="1"/>
  <c r="I23" i="39" s="1"/>
  <c r="I24" i="39" s="1"/>
  <c r="I25" i="39" s="1"/>
  <c r="I26" i="39" s="1"/>
  <c r="I27" i="39" s="1"/>
  <c r="I28" i="39" s="1"/>
  <c r="I29" i="39" s="1"/>
  <c r="I30" i="39" s="1"/>
  <c r="I31" i="39" s="1"/>
  <c r="I32" i="39" s="1"/>
  <c r="I33" i="39" s="1"/>
  <c r="I34" i="39" s="1"/>
  <c r="I35" i="39" s="1"/>
  <c r="I36" i="39" s="1"/>
  <c r="I37" i="39" s="1"/>
  <c r="I38" i="39" s="1"/>
  <c r="I39" i="39" s="1"/>
  <c r="I40" i="39" s="1"/>
  <c r="I41" i="39" s="1"/>
  <c r="I42" i="39" s="1"/>
  <c r="I43" i="39" s="1"/>
  <c r="I44" i="39" s="1"/>
  <c r="I45" i="39" s="1"/>
  <c r="I46" i="39" s="1"/>
  <c r="I47" i="39" s="1"/>
  <c r="I48" i="39" s="1"/>
  <c r="I49" i="39" s="1"/>
  <c r="I50" i="39" s="1"/>
  <c r="I51" i="39" s="1"/>
  <c r="I52" i="39" s="1"/>
  <c r="I53" i="39" s="1"/>
  <c r="I54" i="39" s="1"/>
  <c r="I55" i="39" s="1"/>
  <c r="I56" i="39" s="1"/>
  <c r="I57" i="39" s="1"/>
  <c r="I58" i="39" s="1"/>
  <c r="I59" i="39" s="1"/>
  <c r="I60" i="39" s="1"/>
  <c r="I61" i="39" s="1"/>
  <c r="I62" i="39" s="1"/>
  <c r="I63" i="39" s="1"/>
  <c r="I64" i="39" s="1"/>
  <c r="I65" i="39" s="1"/>
  <c r="I66" i="39" s="1"/>
  <c r="I67" i="39" s="1"/>
  <c r="I68" i="39" s="1"/>
  <c r="I69" i="39" s="1"/>
  <c r="I70" i="39" s="1"/>
  <c r="I71" i="39" s="1"/>
  <c r="I72" i="39" s="1"/>
  <c r="I73" i="39" s="1"/>
  <c r="I74" i="39" s="1"/>
  <c r="I75" i="39" s="1"/>
  <c r="I76" i="39" s="1"/>
  <c r="I77" i="39" s="1"/>
  <c r="I78" i="39" s="1"/>
  <c r="I79" i="39" s="1"/>
  <c r="I80" i="39" s="1"/>
  <c r="I81" i="39" s="1"/>
  <c r="I82" i="39" s="1"/>
  <c r="I83" i="39" s="1"/>
  <c r="I84" i="39" s="1"/>
  <c r="I85" i="39" s="1"/>
  <c r="I86" i="39" s="1"/>
  <c r="I87" i="39" s="1"/>
  <c r="I88" i="39" s="1"/>
  <c r="I89" i="39" s="1"/>
  <c r="I90" i="39" s="1"/>
  <c r="I91" i="39" s="1"/>
  <c r="I92" i="39" s="1"/>
  <c r="I93" i="39" s="1"/>
  <c r="I94" i="39" s="1"/>
  <c r="I95" i="39" s="1"/>
  <c r="I96" i="39" s="1"/>
  <c r="I97" i="39" s="1"/>
  <c r="I98" i="39" s="1"/>
  <c r="I99" i="39" s="1"/>
  <c r="I100" i="39" s="1"/>
  <c r="I101" i="39" s="1"/>
  <c r="I102" i="39" s="1"/>
  <c r="I103" i="39" s="1"/>
  <c r="I104" i="39" s="1"/>
  <c r="I105" i="39" s="1"/>
  <c r="I106" i="39" s="1"/>
  <c r="I107" i="39" s="1"/>
  <c r="I108" i="39" s="1"/>
  <c r="I109" i="39" s="1"/>
  <c r="I110" i="39" s="1"/>
  <c r="I111" i="39" s="1"/>
  <c r="I112" i="39" s="1"/>
  <c r="I113" i="39" s="1"/>
  <c r="I114" i="39" s="1"/>
  <c r="I115" i="39" s="1"/>
  <c r="I116" i="39" s="1"/>
  <c r="I117" i="39" s="1"/>
  <c r="I118" i="39" s="1"/>
  <c r="I119" i="39" s="1"/>
  <c r="I120" i="39" s="1"/>
  <c r="I121" i="39" s="1"/>
  <c r="I122" i="39" s="1"/>
  <c r="I123" i="39" s="1"/>
  <c r="I124" i="39" s="1"/>
  <c r="I125" i="39" s="1"/>
  <c r="I126" i="39" s="1"/>
  <c r="I127" i="39" s="1"/>
  <c r="I128" i="39" s="1"/>
  <c r="I129" i="39" s="1"/>
  <c r="I130" i="39" s="1"/>
  <c r="I131" i="39" s="1"/>
  <c r="I132" i="39" s="1"/>
  <c r="I133" i="39" s="1"/>
  <c r="I134" i="39" s="1"/>
  <c r="I135" i="39" s="1"/>
  <c r="I136" i="39" s="1"/>
  <c r="I137" i="39" s="1"/>
  <c r="I138" i="39" s="1"/>
  <c r="I139" i="39" s="1"/>
  <c r="I140" i="39" s="1"/>
  <c r="I141" i="39" s="1"/>
  <c r="I142" i="39" s="1"/>
  <c r="I143" i="39" s="1"/>
  <c r="I144" i="39" s="1"/>
  <c r="I145" i="39" s="1"/>
  <c r="I146" i="39" s="1"/>
  <c r="I147" i="39" s="1"/>
  <c r="I148" i="39" s="1"/>
  <c r="I149" i="39" s="1"/>
  <c r="I150" i="39" s="1"/>
  <c r="I151" i="39" s="1"/>
  <c r="I152" i="39" s="1"/>
  <c r="I153" i="39" s="1"/>
  <c r="I154" i="39" s="1"/>
  <c r="I155" i="39" s="1"/>
  <c r="I156" i="39" s="1"/>
  <c r="I157" i="39" s="1"/>
  <c r="I158" i="39" s="1"/>
  <c r="I159" i="39" s="1"/>
  <c r="I160" i="39" s="1"/>
  <c r="I161" i="39" s="1"/>
  <c r="I162" i="39" s="1"/>
  <c r="I163" i="39" s="1"/>
  <c r="I164" i="39" s="1"/>
  <c r="I165" i="39" s="1"/>
  <c r="I166" i="39" s="1"/>
  <c r="I167" i="39" s="1"/>
  <c r="I168" i="39" s="1"/>
  <c r="I169" i="39" s="1"/>
  <c r="I170" i="39" s="1"/>
  <c r="I171" i="39" s="1"/>
  <c r="I172" i="39" s="1"/>
  <c r="I173" i="39" s="1"/>
  <c r="I174" i="39" s="1"/>
  <c r="I175" i="39" s="1"/>
  <c r="I176" i="39" s="1"/>
  <c r="I177" i="39" s="1"/>
  <c r="I178" i="39" s="1"/>
  <c r="I179" i="39" s="1"/>
  <c r="I180" i="39" s="1"/>
  <c r="I181" i="39" s="1"/>
  <c r="I182" i="39" s="1"/>
  <c r="I183" i="39" s="1"/>
  <c r="I184" i="39" s="1"/>
  <c r="I185" i="39" s="1"/>
  <c r="I186" i="39" s="1"/>
  <c r="I187" i="39" s="1"/>
  <c r="I188" i="39" s="1"/>
  <c r="I189" i="39" s="1"/>
  <c r="I190" i="39" s="1"/>
  <c r="I191" i="39" s="1"/>
  <c r="I192" i="39" s="1"/>
  <c r="I193" i="39" s="1"/>
  <c r="I194" i="39" s="1"/>
  <c r="I195" i="39" s="1"/>
  <c r="I196" i="39" s="1"/>
  <c r="I197" i="39" s="1"/>
  <c r="I198" i="39" s="1"/>
  <c r="I199" i="39" s="1"/>
  <c r="I200" i="39" s="1"/>
  <c r="I201" i="39" s="1"/>
  <c r="I202" i="39" s="1"/>
  <c r="I203" i="39" s="1"/>
  <c r="I204" i="39" s="1"/>
  <c r="I205" i="39" s="1"/>
  <c r="I206" i="39" s="1"/>
  <c r="I207" i="39" s="1"/>
  <c r="I208" i="39" s="1"/>
  <c r="I209" i="39" s="1"/>
  <c r="I210" i="39" s="1"/>
  <c r="I211" i="39" s="1"/>
  <c r="I212" i="39" s="1"/>
  <c r="I213" i="39" s="1"/>
  <c r="I214" i="39" s="1"/>
  <c r="I215" i="39" s="1"/>
  <c r="I216" i="39" s="1"/>
  <c r="I217" i="39" s="1"/>
  <c r="I218" i="39" s="1"/>
  <c r="I219" i="39" s="1"/>
  <c r="I220" i="39" s="1"/>
  <c r="I221" i="39" s="1"/>
  <c r="I222" i="39" s="1"/>
  <c r="I223" i="39" s="1"/>
  <c r="I224" i="39" s="1"/>
  <c r="I225" i="39" s="1"/>
  <c r="I226" i="39" s="1"/>
  <c r="I227" i="39" s="1"/>
  <c r="I228" i="39" s="1"/>
  <c r="I229" i="39" s="1"/>
  <c r="I230" i="39" s="1"/>
  <c r="I231" i="39" s="1"/>
  <c r="I232" i="39" s="1"/>
  <c r="I233" i="39" s="1"/>
  <c r="I234" i="39" s="1"/>
  <c r="I235" i="39" s="1"/>
  <c r="I236" i="39" s="1"/>
  <c r="I237" i="39" s="1"/>
  <c r="I238" i="39" s="1"/>
  <c r="I239" i="39" s="1"/>
  <c r="I240" i="39" s="1"/>
  <c r="I241" i="39" s="1"/>
  <c r="I242" i="39" s="1"/>
  <c r="I243" i="39" s="1"/>
  <c r="I244" i="39" s="1"/>
  <c r="I245" i="39" s="1"/>
  <c r="I246" i="39" s="1"/>
  <c r="I247" i="39" s="1"/>
  <c r="I248" i="39" s="1"/>
  <c r="I249" i="39" s="1"/>
  <c r="I250" i="39" s="1"/>
  <c r="I251" i="39" s="1"/>
  <c r="I252" i="39" s="1"/>
  <c r="I253" i="39" s="1"/>
  <c r="I254" i="39" s="1"/>
  <c r="I255" i="39" s="1"/>
  <c r="I256" i="39" s="1"/>
  <c r="I257" i="39" s="1"/>
  <c r="I258" i="39" s="1"/>
  <c r="I259" i="39" s="1"/>
  <c r="I260" i="39" s="1"/>
  <c r="I261" i="39" s="1"/>
  <c r="I262" i="39" s="1"/>
  <c r="I263" i="39" s="1"/>
  <c r="I264" i="39" s="1"/>
  <c r="I265" i="39" s="1"/>
  <c r="I266" i="39" s="1"/>
  <c r="I267" i="39" s="1"/>
  <c r="I268" i="39" s="1"/>
  <c r="I269" i="39" s="1"/>
  <c r="I270" i="39" s="1"/>
  <c r="I271" i="39" s="1"/>
  <c r="I272" i="39" s="1"/>
  <c r="I273" i="39" s="1"/>
  <c r="I274" i="39" s="1"/>
  <c r="I275" i="39" s="1"/>
  <c r="I276" i="39" s="1"/>
  <c r="I277" i="39" s="1"/>
  <c r="I278" i="39" s="1"/>
  <c r="I279" i="39" s="1"/>
  <c r="I280" i="39" s="1"/>
  <c r="I281" i="39" s="1"/>
  <c r="I282" i="39" s="1"/>
  <c r="I283" i="39" s="1"/>
  <c r="I284" i="39" s="1"/>
  <c r="I285" i="39" s="1"/>
  <c r="I286" i="39" s="1"/>
  <c r="I287" i="39" s="1"/>
  <c r="I288" i="39" s="1"/>
  <c r="I289" i="39" s="1"/>
  <c r="I290" i="39" s="1"/>
  <c r="I291" i="39" s="1"/>
  <c r="I292" i="39" s="1"/>
  <c r="I293" i="39" s="1"/>
  <c r="B12" i="39"/>
  <c r="B13" i="39"/>
  <c r="B121" i="38"/>
  <c r="B102" i="38"/>
  <c r="B103" i="38"/>
  <c r="B104" i="38"/>
  <c r="B105" i="38"/>
  <c r="B106" i="38"/>
  <c r="B107" i="38"/>
  <c r="B108" i="38"/>
  <c r="B109" i="38"/>
  <c r="B110" i="38"/>
  <c r="B111" i="38"/>
  <c r="B112" i="38"/>
  <c r="B113" i="38"/>
  <c r="B114" i="38"/>
  <c r="B115" i="38"/>
  <c r="B116" i="38"/>
  <c r="B117" i="38"/>
  <c r="B118" i="38"/>
  <c r="B119" i="38"/>
  <c r="B120"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48" i="38"/>
  <c r="B49" i="38"/>
  <c r="B50" i="38"/>
  <c r="B51" i="38"/>
  <c r="B52" i="38"/>
  <c r="B53" i="38"/>
  <c r="B54" i="38"/>
  <c r="B55" i="38"/>
  <c r="B56" i="38"/>
  <c r="B57" i="38"/>
  <c r="B58" i="38"/>
  <c r="B59" i="38"/>
  <c r="B60" i="38"/>
  <c r="B61" i="38"/>
  <c r="B62" i="38"/>
  <c r="B63"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M1" i="16"/>
  <c r="H1" i="16"/>
  <c r="I1" i="16"/>
  <c r="J1" i="16"/>
  <c r="K1" i="16"/>
  <c r="G1" i="16"/>
  <c r="AJ5" i="16"/>
  <c r="AK5" i="16"/>
  <c r="AL5" i="16"/>
  <c r="AM5" i="16"/>
  <c r="AN5" i="16"/>
  <c r="AO5" i="16"/>
  <c r="AJ6" i="16"/>
  <c r="AK6" i="16"/>
  <c r="AL6" i="16"/>
  <c r="AM6" i="16"/>
  <c r="AN6" i="16"/>
  <c r="AO6" i="16"/>
  <c r="AJ7" i="16"/>
  <c r="AK7" i="16"/>
  <c r="AL7" i="16"/>
  <c r="AM7" i="16"/>
  <c r="AN7" i="16"/>
  <c r="AO7" i="16"/>
  <c r="AJ8" i="16"/>
  <c r="AK8" i="16"/>
  <c r="AL8" i="16"/>
  <c r="AM8" i="16"/>
  <c r="AN8" i="16"/>
  <c r="AO8" i="16"/>
  <c r="AJ9" i="16"/>
  <c r="AK9" i="16"/>
  <c r="AL9" i="16"/>
  <c r="AM9" i="16"/>
  <c r="AN9" i="16"/>
  <c r="AO9" i="16"/>
  <c r="AJ10" i="16"/>
  <c r="AK10" i="16"/>
  <c r="AL10" i="16"/>
  <c r="AM10" i="16"/>
  <c r="AN10" i="16"/>
  <c r="AO10" i="16"/>
  <c r="AJ11" i="16"/>
  <c r="AK11" i="16"/>
  <c r="AL11" i="16"/>
  <c r="AM11" i="16"/>
  <c r="AN11" i="16"/>
  <c r="AO11" i="16"/>
  <c r="AJ12" i="16"/>
  <c r="AK12" i="16"/>
  <c r="AL12" i="16"/>
  <c r="AM12" i="16"/>
  <c r="AN12" i="16"/>
  <c r="AO12" i="16"/>
  <c r="AJ13" i="16"/>
  <c r="AK13" i="16"/>
  <c r="AL13" i="16"/>
  <c r="AM13" i="16"/>
  <c r="AN13" i="16"/>
  <c r="AO13" i="16"/>
  <c r="AJ14" i="16"/>
  <c r="AK14" i="16"/>
  <c r="AL14" i="16"/>
  <c r="AM14" i="16"/>
  <c r="AN14" i="16"/>
  <c r="AO14" i="16"/>
  <c r="AJ15" i="16"/>
  <c r="AK15" i="16"/>
  <c r="AL15" i="16"/>
  <c r="AM15" i="16"/>
  <c r="AN15" i="16"/>
  <c r="AO15" i="16"/>
  <c r="AN16" i="16"/>
  <c r="AJ17" i="16"/>
  <c r="AK17" i="16"/>
  <c r="AL17" i="16"/>
  <c r="AM17" i="16"/>
  <c r="AN17" i="16"/>
  <c r="AO17" i="16"/>
  <c r="AJ19" i="16"/>
  <c r="AK19" i="16"/>
  <c r="AL19" i="16"/>
  <c r="AM19" i="16"/>
  <c r="AN19" i="16"/>
  <c r="AO19" i="16"/>
  <c r="AO20" i="16"/>
  <c r="AJ21" i="16"/>
  <c r="AK21" i="16"/>
  <c r="AL21" i="16"/>
  <c r="AM21" i="16"/>
  <c r="AN21" i="16"/>
  <c r="AO21" i="16"/>
  <c r="AJ22" i="16"/>
  <c r="AK22" i="16"/>
  <c r="AL22" i="16"/>
  <c r="AM22" i="16"/>
  <c r="AN22" i="16"/>
  <c r="AO22" i="16"/>
  <c r="AJ23" i="16"/>
  <c r="AK23" i="16"/>
  <c r="AL23" i="16"/>
  <c r="AM23" i="16"/>
  <c r="AN23" i="16"/>
  <c r="AO23" i="16"/>
  <c r="AJ24" i="16"/>
  <c r="AK24" i="16"/>
  <c r="AL24" i="16"/>
  <c r="AM24" i="16"/>
  <c r="AN24" i="16"/>
  <c r="AO24" i="16"/>
  <c r="AJ25" i="16"/>
  <c r="AK25" i="16"/>
  <c r="AL25" i="16"/>
  <c r="AM25" i="16"/>
  <c r="AJ27" i="16"/>
  <c r="AK27" i="16"/>
  <c r="AL27" i="16"/>
  <c r="AM27" i="16"/>
  <c r="AN27" i="16"/>
  <c r="AO27" i="16"/>
  <c r="AI6" i="16"/>
  <c r="AI7" i="16"/>
  <c r="AI8" i="16"/>
  <c r="AI9" i="16"/>
  <c r="AI10" i="16"/>
  <c r="AI11" i="16"/>
  <c r="AI12" i="16"/>
  <c r="AI13" i="16"/>
  <c r="AI14" i="16"/>
  <c r="AI15" i="16"/>
  <c r="AI17" i="16"/>
  <c r="AI19" i="16"/>
  <c r="AI21" i="16"/>
  <c r="AI22" i="16"/>
  <c r="AI23" i="16"/>
  <c r="AI24" i="16"/>
  <c r="AI25" i="16"/>
  <c r="AI27" i="16"/>
  <c r="AI5" i="16"/>
  <c r="N5" i="16"/>
  <c r="N19" i="16"/>
  <c r="O19" i="16"/>
  <c r="P19" i="16"/>
  <c r="Q19" i="16"/>
  <c r="R19" i="16"/>
  <c r="S19" i="16"/>
  <c r="T19" i="16"/>
  <c r="N20" i="16"/>
  <c r="O20" i="16"/>
  <c r="P20" i="16"/>
  <c r="Q20" i="16"/>
  <c r="R20" i="16"/>
  <c r="S20" i="16"/>
  <c r="T20" i="16"/>
  <c r="N21" i="16"/>
  <c r="O21" i="16"/>
  <c r="P21" i="16"/>
  <c r="Q21" i="16"/>
  <c r="R21" i="16"/>
  <c r="S21" i="16"/>
  <c r="T21" i="16"/>
  <c r="N22" i="16"/>
  <c r="O22" i="16"/>
  <c r="P22" i="16"/>
  <c r="Q22" i="16"/>
  <c r="R22" i="16"/>
  <c r="S22" i="16"/>
  <c r="T22" i="16"/>
  <c r="N23" i="16"/>
  <c r="O23" i="16"/>
  <c r="P23" i="16"/>
  <c r="Q23" i="16"/>
  <c r="R23" i="16"/>
  <c r="T23" i="16"/>
  <c r="N24" i="16"/>
  <c r="O24" i="16"/>
  <c r="P24" i="16"/>
  <c r="Q24" i="16"/>
  <c r="R24" i="16"/>
  <c r="S24" i="16"/>
  <c r="T24" i="16"/>
  <c r="N25" i="16"/>
  <c r="O25" i="16"/>
  <c r="P25" i="16"/>
  <c r="Q25" i="16"/>
  <c r="R25" i="16"/>
  <c r="T25" i="16"/>
  <c r="N27" i="16"/>
  <c r="O27" i="16"/>
  <c r="P27" i="16"/>
  <c r="Q27" i="16"/>
  <c r="R27" i="16"/>
  <c r="S27" i="16"/>
  <c r="T27" i="16"/>
  <c r="T17" i="16"/>
  <c r="O17" i="16"/>
  <c r="P17" i="16"/>
  <c r="Q17" i="16"/>
  <c r="R17" i="16"/>
  <c r="S17" i="16"/>
  <c r="N6" i="16"/>
  <c r="O6" i="16"/>
  <c r="P6" i="16"/>
  <c r="Q6" i="16"/>
  <c r="R6" i="16"/>
  <c r="S6" i="16"/>
  <c r="T6" i="16"/>
  <c r="N7" i="16"/>
  <c r="O7" i="16"/>
  <c r="P7" i="16"/>
  <c r="Q7" i="16"/>
  <c r="R7" i="16"/>
  <c r="S7" i="16"/>
  <c r="T7" i="16"/>
  <c r="N8" i="16"/>
  <c r="O8" i="16"/>
  <c r="P8" i="16"/>
  <c r="Q8" i="16"/>
  <c r="R8" i="16"/>
  <c r="S8" i="16"/>
  <c r="T8" i="16"/>
  <c r="N9" i="16"/>
  <c r="O9" i="16"/>
  <c r="P9" i="16"/>
  <c r="Q9" i="16"/>
  <c r="R9" i="16"/>
  <c r="T9" i="16"/>
  <c r="N10" i="16"/>
  <c r="O10" i="16"/>
  <c r="P10" i="16"/>
  <c r="Q10" i="16"/>
  <c r="R10" i="16"/>
  <c r="S10" i="16"/>
  <c r="T10" i="16"/>
  <c r="N11" i="16"/>
  <c r="O11" i="16"/>
  <c r="P11" i="16"/>
  <c r="Q11" i="16"/>
  <c r="R11" i="16"/>
  <c r="S11" i="16"/>
  <c r="T11" i="16"/>
  <c r="N12" i="16"/>
  <c r="O12" i="16"/>
  <c r="P12" i="16"/>
  <c r="Q12" i="16"/>
  <c r="R12" i="16"/>
  <c r="S12" i="16"/>
  <c r="T12" i="16"/>
  <c r="N13" i="16"/>
  <c r="O13" i="16"/>
  <c r="P13" i="16"/>
  <c r="Q13" i="16"/>
  <c r="R13" i="16"/>
  <c r="S13" i="16"/>
  <c r="T13" i="16"/>
  <c r="N14" i="16"/>
  <c r="O14" i="16"/>
  <c r="P14" i="16"/>
  <c r="Q14" i="16"/>
  <c r="R14" i="16"/>
  <c r="S14" i="16"/>
  <c r="T14" i="16"/>
  <c r="N15" i="16"/>
  <c r="O15" i="16"/>
  <c r="P15" i="16"/>
  <c r="Q15" i="16"/>
  <c r="R15" i="16"/>
  <c r="S15" i="16"/>
  <c r="T15" i="16"/>
  <c r="O5" i="16"/>
  <c r="P5" i="16"/>
  <c r="Q5" i="16"/>
  <c r="R5" i="16"/>
  <c r="S5" i="16"/>
  <c r="T5" i="16"/>
  <c r="O4" i="16"/>
  <c r="V4" i="16" s="1"/>
  <c r="P4" i="16"/>
  <c r="Q4" i="16"/>
  <c r="X4" i="16" s="1"/>
  <c r="R4" i="16"/>
  <c r="AF4" i="16" s="1"/>
  <c r="S4" i="16"/>
  <c r="AG4" i="16" s="1"/>
  <c r="T4" i="16"/>
  <c r="AH4" i="16" s="1"/>
  <c r="N4" i="16"/>
  <c r="AI4" i="16" s="1"/>
  <c r="O2" i="16"/>
  <c r="P2" i="16"/>
  <c r="AD2" i="16" s="1"/>
  <c r="Q2" i="16"/>
  <c r="AE2" i="16" s="1"/>
  <c r="R2" i="16"/>
  <c r="Y2" i="16" s="1"/>
  <c r="S2" i="16"/>
  <c r="AG2" i="16" s="1"/>
  <c r="T2" i="16"/>
  <c r="AH2" i="16" s="1"/>
  <c r="N2" i="16"/>
  <c r="AB2" i="16" s="1"/>
  <c r="O3" i="16"/>
  <c r="AJ3" i="16" s="1"/>
  <c r="P3" i="16"/>
  <c r="Q3" i="16"/>
  <c r="R3" i="16"/>
  <c r="AM3" i="16" s="1"/>
  <c r="S3" i="16"/>
  <c r="AN3" i="16" s="1"/>
  <c r="T3" i="16"/>
  <c r="AO3" i="16" s="1"/>
  <c r="N3" i="16"/>
  <c r="AI3" i="16" s="1"/>
  <c r="J5" i="7"/>
  <c r="J6" i="7" s="1"/>
  <c r="B31" i="8"/>
  <c r="I5" i="7"/>
  <c r="I6" i="7" s="1"/>
  <c r="F77" i="45"/>
  <c r="E77" i="45"/>
  <c r="D77" i="45"/>
  <c r="F75" i="45"/>
  <c r="G75" i="45" s="1"/>
  <c r="H75" i="45" s="1"/>
  <c r="I75" i="45" s="1"/>
  <c r="J75" i="45" s="1"/>
  <c r="K75" i="45" s="1"/>
  <c r="L75" i="45" s="1"/>
  <c r="M75" i="45" s="1"/>
  <c r="N75" i="45" s="1"/>
  <c r="O75" i="45" s="1"/>
  <c r="P75" i="45" s="1"/>
  <c r="Q75" i="45" s="1"/>
  <c r="R75" i="45" s="1"/>
  <c r="S75" i="45" s="1"/>
  <c r="T75" i="45" s="1"/>
  <c r="U75" i="45" s="1"/>
  <c r="V75" i="45" s="1"/>
  <c r="W75" i="45" s="1"/>
  <c r="X75" i="45" s="1"/>
  <c r="Y75" i="45" s="1"/>
  <c r="Z75" i="45" s="1"/>
  <c r="AA75" i="45" s="1"/>
  <c r="AB75" i="45" s="1"/>
  <c r="AC75" i="45" s="1"/>
  <c r="AD75" i="45" s="1"/>
  <c r="AE75" i="45" s="1"/>
  <c r="AF75" i="45" s="1"/>
  <c r="AG75" i="45" s="1"/>
  <c r="AH75" i="45" s="1"/>
  <c r="AI75" i="45" s="1"/>
  <c r="AJ75" i="45" s="1"/>
  <c r="AK75" i="45" s="1"/>
  <c r="AL75" i="45" s="1"/>
  <c r="AM75" i="45" s="1"/>
  <c r="AN75" i="45" s="1"/>
  <c r="AX75" i="45" s="1"/>
  <c r="AY75" i="45" s="1"/>
  <c r="AZ75" i="45" s="1"/>
  <c r="BA75" i="45" s="1"/>
  <c r="BB75" i="45" s="1"/>
  <c r="B267" i="29"/>
  <c r="B266" i="29"/>
  <c r="B265" i="29"/>
  <c r="B264" i="29"/>
  <c r="C227" i="28"/>
  <c r="G84" i="42"/>
  <c r="G68" i="42" s="1"/>
  <c r="X69" i="42"/>
  <c r="X67" i="42"/>
  <c r="Y119" i="42"/>
  <c r="Z119" i="42" s="1"/>
  <c r="AA120" i="42" s="1"/>
  <c r="E68" i="42"/>
  <c r="D68" i="42"/>
  <c r="X103" i="42"/>
  <c r="X102" i="42"/>
  <c r="X112" i="42"/>
  <c r="W112" i="42"/>
  <c r="Z112" i="42"/>
  <c r="Y112" i="42"/>
  <c r="V112" i="42"/>
  <c r="U112" i="42"/>
  <c r="T112" i="42"/>
  <c r="S112" i="42"/>
  <c r="Z105" i="42"/>
  <c r="AB105" i="42" s="1"/>
  <c r="Y105" i="42"/>
  <c r="T105" i="42"/>
  <c r="V104" i="42"/>
  <c r="X104" i="42" s="1"/>
  <c r="U104" i="42"/>
  <c r="U105" i="42" s="1"/>
  <c r="S104" i="42"/>
  <c r="S105" i="42" s="1"/>
  <c r="E39" i="45"/>
  <c r="F39" i="45"/>
  <c r="G39" i="45"/>
  <c r="H39" i="45"/>
  <c r="I39" i="45"/>
  <c r="D39" i="45"/>
  <c r="N21" i="40"/>
  <c r="T30" i="45"/>
  <c r="T29" i="45"/>
  <c r="T28" i="45"/>
  <c r="T27" i="45"/>
  <c r="T25" i="45"/>
  <c r="F33" i="45"/>
  <c r="E33" i="45"/>
  <c r="D33" i="45"/>
  <c r="R23" i="45"/>
  <c r="Q23" i="45"/>
  <c r="P23" i="45"/>
  <c r="O23" i="45"/>
  <c r="N23" i="45"/>
  <c r="M23" i="45"/>
  <c r="L23" i="45"/>
  <c r="K23" i="45"/>
  <c r="J23" i="45"/>
  <c r="I23" i="45"/>
  <c r="H23" i="45"/>
  <c r="G23" i="45"/>
  <c r="F23" i="45"/>
  <c r="E23" i="45"/>
  <c r="D23" i="45"/>
  <c r="C23" i="45"/>
  <c r="R22" i="45"/>
  <c r="Q22" i="45"/>
  <c r="P22" i="45"/>
  <c r="O22" i="45"/>
  <c r="N22" i="45"/>
  <c r="M22" i="45"/>
  <c r="L22" i="45"/>
  <c r="K22" i="45"/>
  <c r="J22" i="45"/>
  <c r="I22" i="45"/>
  <c r="H22" i="45"/>
  <c r="G22" i="45"/>
  <c r="F22" i="45"/>
  <c r="E22" i="45"/>
  <c r="D22" i="45"/>
  <c r="C22" i="45"/>
  <c r="AJ21" i="45"/>
  <c r="AI21" i="45"/>
  <c r="AH21" i="45"/>
  <c r="AG21" i="45"/>
  <c r="AF21" i="45"/>
  <c r="AE21" i="45"/>
  <c r="AD21" i="45"/>
  <c r="AC21" i="45"/>
  <c r="AB21" i="45"/>
  <c r="AA21" i="45"/>
  <c r="Z21" i="45"/>
  <c r="Y21" i="45"/>
  <c r="X21" i="45"/>
  <c r="W21" i="45"/>
  <c r="V21" i="45"/>
  <c r="R21" i="45"/>
  <c r="Q21" i="45"/>
  <c r="P21" i="45"/>
  <c r="O21" i="45"/>
  <c r="N21" i="45"/>
  <c r="M21" i="45"/>
  <c r="L21" i="45"/>
  <c r="K21" i="45"/>
  <c r="J21" i="45"/>
  <c r="I21" i="45"/>
  <c r="H21" i="45"/>
  <c r="G21" i="45"/>
  <c r="F21" i="45"/>
  <c r="E21" i="45"/>
  <c r="D21" i="45"/>
  <c r="AJ20" i="45"/>
  <c r="AI20" i="45"/>
  <c r="AH20" i="45"/>
  <c r="AG20" i="45"/>
  <c r="AF20" i="45"/>
  <c r="AE20" i="45"/>
  <c r="AD20" i="45"/>
  <c r="AC20" i="45"/>
  <c r="AB20" i="45"/>
  <c r="AA20" i="45"/>
  <c r="Z20" i="45"/>
  <c r="Y20" i="45"/>
  <c r="X20" i="45"/>
  <c r="W20" i="45"/>
  <c r="V20" i="45"/>
  <c r="R20" i="45"/>
  <c r="Q20" i="45"/>
  <c r="P20" i="45"/>
  <c r="O20" i="45"/>
  <c r="N20" i="45"/>
  <c r="M20" i="45"/>
  <c r="L20" i="45"/>
  <c r="K20" i="45"/>
  <c r="J20" i="45"/>
  <c r="I20" i="45"/>
  <c r="H20" i="45"/>
  <c r="G20" i="45"/>
  <c r="F20" i="45"/>
  <c r="E20" i="45"/>
  <c r="D20" i="45"/>
  <c r="AJ19" i="45"/>
  <c r="AI19" i="45"/>
  <c r="AH19" i="45"/>
  <c r="AG19" i="45"/>
  <c r="AF19" i="45"/>
  <c r="AE19" i="45"/>
  <c r="AD19" i="45"/>
  <c r="AC19" i="45"/>
  <c r="AB19" i="45"/>
  <c r="AA19" i="45"/>
  <c r="Z19" i="45"/>
  <c r="Y19" i="45"/>
  <c r="X19" i="45"/>
  <c r="W19" i="45"/>
  <c r="V19" i="45"/>
  <c r="R19" i="45"/>
  <c r="Q19" i="45"/>
  <c r="P19" i="45"/>
  <c r="O19" i="45"/>
  <c r="N19" i="45"/>
  <c r="M19" i="45"/>
  <c r="L19" i="45"/>
  <c r="K19" i="45"/>
  <c r="J19" i="45"/>
  <c r="I19" i="45"/>
  <c r="H19" i="45"/>
  <c r="G19" i="45"/>
  <c r="F19" i="45"/>
  <c r="E19" i="45"/>
  <c r="D19" i="45"/>
  <c r="AJ18" i="45"/>
  <c r="AI18" i="45"/>
  <c r="AH18" i="45"/>
  <c r="AG18" i="45"/>
  <c r="AF18" i="45"/>
  <c r="AE18" i="45"/>
  <c r="AD18" i="45"/>
  <c r="AC18" i="45"/>
  <c r="AB18" i="45"/>
  <c r="AA18" i="45"/>
  <c r="Z18" i="45"/>
  <c r="Y18" i="45"/>
  <c r="X18" i="45"/>
  <c r="W18" i="45"/>
  <c r="V18" i="45"/>
  <c r="R18" i="45"/>
  <c r="Q18" i="45"/>
  <c r="P18" i="45"/>
  <c r="O18" i="45"/>
  <c r="N18" i="45"/>
  <c r="M18" i="45"/>
  <c r="L18" i="45"/>
  <c r="K18" i="45"/>
  <c r="J18" i="45"/>
  <c r="I18" i="45"/>
  <c r="H18" i="45"/>
  <c r="G18" i="45"/>
  <c r="F18" i="45"/>
  <c r="E18" i="45"/>
  <c r="D18" i="45"/>
  <c r="V15" i="45"/>
  <c r="W15" i="45"/>
  <c r="X15" i="45"/>
  <c r="Y15" i="45"/>
  <c r="Z15" i="45"/>
  <c r="AF15" i="45"/>
  <c r="AG15" i="45"/>
  <c r="AH15" i="45"/>
  <c r="AI15" i="45"/>
  <c r="AJ15" i="45"/>
  <c r="AA15" i="45"/>
  <c r="AB15" i="45"/>
  <c r="AC15" i="45"/>
  <c r="AD15" i="45"/>
  <c r="AE15" i="45"/>
  <c r="D15" i="45"/>
  <c r="E15" i="45"/>
  <c r="F15" i="45"/>
  <c r="G15" i="45"/>
  <c r="H15" i="45"/>
  <c r="N15" i="45"/>
  <c r="O15" i="45"/>
  <c r="P15" i="45"/>
  <c r="Q15" i="45"/>
  <c r="R15" i="45"/>
  <c r="I15" i="45"/>
  <c r="J15" i="45"/>
  <c r="K15" i="45"/>
  <c r="L15" i="45"/>
  <c r="M15" i="45"/>
  <c r="P26" i="19"/>
  <c r="O26" i="19" s="1"/>
  <c r="Q12" i="6"/>
  <c r="O12" i="6"/>
  <c r="F67" i="45"/>
  <c r="G67" i="45" s="1"/>
  <c r="H67" i="45" s="1"/>
  <c r="I67" i="45" s="1"/>
  <c r="J67" i="45" s="1"/>
  <c r="K67" i="45" s="1"/>
  <c r="L67" i="45" s="1"/>
  <c r="M67" i="45" s="1"/>
  <c r="N67" i="45" s="1"/>
  <c r="O67" i="45" s="1"/>
  <c r="P67" i="45" s="1"/>
  <c r="Q67" i="45" s="1"/>
  <c r="R67" i="45" s="1"/>
  <c r="S67" i="45" s="1"/>
  <c r="T67" i="45" s="1"/>
  <c r="U67" i="45" s="1"/>
  <c r="V67" i="45" s="1"/>
  <c r="W67" i="45" s="1"/>
  <c r="X67" i="45" s="1"/>
  <c r="Y67" i="45" s="1"/>
  <c r="F69" i="45"/>
  <c r="E69" i="45"/>
  <c r="D69" i="45"/>
  <c r="C9" i="28"/>
  <c r="D9" i="28" s="1"/>
  <c r="I30" i="40"/>
  <c r="H30" i="40"/>
  <c r="H33" i="40" s="1"/>
  <c r="H34" i="40" s="1"/>
  <c r="D30" i="40"/>
  <c r="D33" i="40" s="1"/>
  <c r="D34" i="40" s="1"/>
  <c r="D45" i="40"/>
  <c r="F45" i="40" s="1"/>
  <c r="D43" i="40"/>
  <c r="G30" i="40"/>
  <c r="F30" i="40"/>
  <c r="E30" i="40"/>
  <c r="A68" i="42"/>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C16" i="14"/>
  <c r="C14" i="14"/>
  <c r="C15" i="14" s="1"/>
  <c r="B9" i="8"/>
  <c r="B261" i="29"/>
  <c r="B255" i="29"/>
  <c r="B249" i="29"/>
  <c r="B243" i="29"/>
  <c r="B20" i="8"/>
  <c r="B22" i="8"/>
  <c r="B23" i="8"/>
  <c r="D23" i="8"/>
  <c r="B24" i="8"/>
  <c r="B25" i="8"/>
  <c r="B26" i="8"/>
  <c r="B27" i="8"/>
  <c r="B29" i="8"/>
  <c r="B30" i="8"/>
  <c r="B33" i="8"/>
  <c r="B49" i="8"/>
  <c r="B50" i="8"/>
  <c r="B34" i="8"/>
  <c r="B35" i="8"/>
  <c r="B36" i="8"/>
  <c r="B37" i="8"/>
  <c r="B38" i="8"/>
  <c r="B39" i="8"/>
  <c r="B40" i="8"/>
  <c r="B41" i="8"/>
  <c r="B42" i="8"/>
  <c r="B43" i="8"/>
  <c r="B44" i="8"/>
  <c r="B45" i="8"/>
  <c r="B46" i="8"/>
  <c r="D46" i="8"/>
  <c r="B47" i="8"/>
  <c r="B51" i="8"/>
  <c r="C51" i="8"/>
  <c r="D51" i="8"/>
  <c r="B52" i="8"/>
  <c r="B53" i="8"/>
  <c r="B54" i="8"/>
  <c r="B55" i="8"/>
  <c r="B56" i="8"/>
  <c r="B57" i="8"/>
  <c r="B58" i="8"/>
  <c r="B59" i="8"/>
  <c r="B60" i="8"/>
  <c r="B12" i="8"/>
  <c r="I13" i="8"/>
  <c r="I14" i="8" s="1"/>
  <c r="C9" i="29"/>
  <c r="D9" i="29" s="1"/>
  <c r="B260" i="29"/>
  <c r="B259" i="29"/>
  <c r="B258" i="29"/>
  <c r="B254" i="29"/>
  <c r="B253" i="29"/>
  <c r="B252" i="29"/>
  <c r="B248" i="29"/>
  <c r="B247" i="29"/>
  <c r="B246" i="29"/>
  <c r="B242" i="29"/>
  <c r="B241" i="29"/>
  <c r="B240" i="29"/>
  <c r="AR203" i="28"/>
  <c r="AR204" i="28" s="1"/>
  <c r="AR205" i="28" s="1"/>
  <c r="D18" i="28"/>
  <c r="B24" i="24"/>
  <c r="B13" i="8"/>
  <c r="B11" i="8"/>
  <c r="AX3" i="16"/>
  <c r="L1" i="16" s="1"/>
  <c r="C9" i="9"/>
  <c r="D9" i="9" s="1"/>
  <c r="E9" i="9" s="1"/>
  <c r="F9" i="9" s="1"/>
  <c r="G9" i="9" s="1"/>
  <c r="H9" i="9" s="1"/>
  <c r="I9" i="9" s="1"/>
  <c r="J9" i="9" s="1"/>
  <c r="B19" i="8"/>
  <c r="B12" i="38"/>
  <c r="D30" i="16"/>
  <c r="D29" i="16"/>
  <c r="D27" i="16"/>
  <c r="K37" i="26"/>
  <c r="K56" i="26"/>
  <c r="K57" i="26"/>
  <c r="K58" i="26"/>
  <c r="K59" i="26"/>
  <c r="K73" i="26"/>
  <c r="K86" i="26"/>
  <c r="K87" i="26"/>
  <c r="K88" i="26"/>
  <c r="K89" i="26"/>
  <c r="K122" i="26"/>
  <c r="K123" i="26"/>
  <c r="K148" i="26"/>
  <c r="K150" i="26"/>
  <c r="K161" i="26"/>
  <c r="K172" i="26"/>
  <c r="K173" i="26"/>
  <c r="K174" i="26"/>
  <c r="K175" i="26"/>
  <c r="K184" i="26"/>
  <c r="K196" i="26"/>
  <c r="K198" i="26"/>
  <c r="K200" i="26"/>
  <c r="K201" i="26"/>
  <c r="K208" i="26"/>
  <c r="K218" i="26"/>
  <c r="K219" i="26"/>
  <c r="K220" i="26"/>
  <c r="K221" i="26"/>
  <c r="N16" i="26"/>
  <c r="O16" i="26" s="1"/>
  <c r="Y33" i="26"/>
  <c r="Z33" i="26" s="1"/>
  <c r="AA33" i="26" s="1"/>
  <c r="N33" i="26" s="1"/>
  <c r="G15" i="22"/>
  <c r="P15" i="22" s="1"/>
  <c r="J15" i="22"/>
  <c r="L15" i="22"/>
  <c r="M31" i="26"/>
  <c r="G19" i="22"/>
  <c r="P19" i="22" s="1"/>
  <c r="R19" i="22" s="1"/>
  <c r="T19" i="22" s="1"/>
  <c r="M33" i="26" s="1"/>
  <c r="D56" i="26"/>
  <c r="D63" i="26" s="1"/>
  <c r="M22" i="26"/>
  <c r="T22" i="26" s="1"/>
  <c r="D97" i="26"/>
  <c r="M6" i="21"/>
  <c r="D81" i="26" s="1"/>
  <c r="D82" i="26"/>
  <c r="D62" i="26"/>
  <c r="N63" i="26" s="1"/>
  <c r="M14" i="21"/>
  <c r="W14" i="21" s="1"/>
  <c r="S14" i="21"/>
  <c r="M15" i="21"/>
  <c r="W15" i="21" s="1"/>
  <c r="Q35" i="21"/>
  <c r="S35" i="21" s="1"/>
  <c r="M17" i="21"/>
  <c r="W17" i="21" s="1"/>
  <c r="Q17" i="21"/>
  <c r="Q37" i="21" s="1"/>
  <c r="S37" i="21" s="1"/>
  <c r="M18" i="21"/>
  <c r="W18" i="21" s="1"/>
  <c r="Q18" i="21"/>
  <c r="Q38" i="21"/>
  <c r="S38" i="21" s="1"/>
  <c r="M21" i="21"/>
  <c r="W21" i="21" s="1"/>
  <c r="Y21" i="21" s="1"/>
  <c r="AB21" i="21" s="1"/>
  <c r="M22" i="21"/>
  <c r="M23" i="21"/>
  <c r="W23" i="21" s="1"/>
  <c r="Y23" i="21" s="1"/>
  <c r="AB23" i="21" s="1"/>
  <c r="D59" i="20" s="1"/>
  <c r="M12" i="21"/>
  <c r="Q12" i="21"/>
  <c r="Q32" i="21" s="1"/>
  <c r="S32" i="21" s="1"/>
  <c r="N85" i="26"/>
  <c r="H49" i="7" s="1"/>
  <c r="D106" i="26"/>
  <c r="D107" i="26" s="1"/>
  <c r="D108" i="26" s="1"/>
  <c r="D61" i="26"/>
  <c r="N95" i="26" s="1"/>
  <c r="N96" i="26"/>
  <c r="N97" i="26"/>
  <c r="N103" i="26"/>
  <c r="N132" i="26"/>
  <c r="N133" i="26"/>
  <c r="N134" i="26"/>
  <c r="N135" i="26"/>
  <c r="N136" i="26"/>
  <c r="D130" i="26"/>
  <c r="N137" i="26" s="1"/>
  <c r="N138" i="26"/>
  <c r="D5" i="21"/>
  <c r="D17" i="21" s="1"/>
  <c r="G5" i="21"/>
  <c r="G13" i="21" s="1"/>
  <c r="J5" i="21"/>
  <c r="J14" i="21" s="1"/>
  <c r="N161" i="26"/>
  <c r="Q31" i="21"/>
  <c r="Q13" i="21"/>
  <c r="Q33" i="21" s="1"/>
  <c r="S33" i="21" s="1"/>
  <c r="Q16" i="21"/>
  <c r="Q36" i="21" s="1"/>
  <c r="S36" i="21" s="1"/>
  <c r="Q19" i="21"/>
  <c r="Q39" i="21" s="1"/>
  <c r="S39" i="21" s="1"/>
  <c r="M25" i="21"/>
  <c r="W25" i="21" s="1"/>
  <c r="Y25" i="21" s="1"/>
  <c r="AB25" i="21" s="1"/>
  <c r="D61" i="20" s="1"/>
  <c r="Z8" i="21"/>
  <c r="D171" i="26" s="1"/>
  <c r="N170" i="26" s="1"/>
  <c r="N182" i="26"/>
  <c r="N186" i="26"/>
  <c r="N188" i="26"/>
  <c r="N189" i="26"/>
  <c r="N190" i="26"/>
  <c r="N192" i="26"/>
  <c r="N193" i="26"/>
  <c r="O18" i="22"/>
  <c r="J18" i="22"/>
  <c r="L18" i="22"/>
  <c r="O22" i="22"/>
  <c r="D7" i="20" s="1"/>
  <c r="J22" i="22"/>
  <c r="L22" i="22"/>
  <c r="O23" i="22"/>
  <c r="D8" i="20" s="1"/>
  <c r="J23" i="22"/>
  <c r="O27" i="22"/>
  <c r="Q27" i="22" s="1"/>
  <c r="S27" i="22" s="1"/>
  <c r="O28" i="22"/>
  <c r="O15" i="22"/>
  <c r="D4" i="20" s="1"/>
  <c r="O16" i="22"/>
  <c r="J16" i="22"/>
  <c r="Q16" i="22" s="1"/>
  <c r="S16" i="22" s="1"/>
  <c r="F47" i="20" s="1"/>
  <c r="O17" i="22"/>
  <c r="J17" i="22"/>
  <c r="O19" i="22"/>
  <c r="Q19" i="22" s="1"/>
  <c r="S19" i="22" s="1"/>
  <c r="F50" i="20" s="1"/>
  <c r="O20" i="22"/>
  <c r="D6" i="20" s="1"/>
  <c r="J20" i="22"/>
  <c r="O21" i="22"/>
  <c r="J21" i="22"/>
  <c r="O24" i="22"/>
  <c r="J24" i="22"/>
  <c r="O25" i="22"/>
  <c r="Q25" i="22"/>
  <c r="S25" i="22" s="1"/>
  <c r="F56" i="20" s="1"/>
  <c r="O26" i="22"/>
  <c r="Q26" i="22" s="1"/>
  <c r="S26" i="22" s="1"/>
  <c r="S29" i="22"/>
  <c r="F36" i="20" s="1"/>
  <c r="K122" i="6"/>
  <c r="N123" i="6" s="1"/>
  <c r="D17" i="29"/>
  <c r="D344" i="29" s="1"/>
  <c r="D16" i="29"/>
  <c r="D343" i="29" s="1"/>
  <c r="D19" i="28"/>
  <c r="J9" i="38"/>
  <c r="D45" i="16"/>
  <c r="B219" i="29"/>
  <c r="L226" i="29"/>
  <c r="L233" i="29" s="1"/>
  <c r="B233" i="29" s="1"/>
  <c r="L228" i="29"/>
  <c r="L235" i="29" s="1"/>
  <c r="L229" i="29"/>
  <c r="L236" i="29" s="1"/>
  <c r="L232" i="29"/>
  <c r="L237" i="29" s="1"/>
  <c r="L227" i="29"/>
  <c r="L234" i="29" s="1"/>
  <c r="J197" i="28"/>
  <c r="B20" i="24"/>
  <c r="D20" i="24"/>
  <c r="B21" i="24"/>
  <c r="D21" i="24"/>
  <c r="D19" i="24"/>
  <c r="B19" i="24"/>
  <c r="D17" i="16"/>
  <c r="AV137" i="28"/>
  <c r="AV138" i="28" s="1"/>
  <c r="AV139" i="28" s="1"/>
  <c r="AV140" i="28" s="1"/>
  <c r="AV141" i="28" s="1"/>
  <c r="AV142" i="28" s="1"/>
  <c r="AV143" i="28" s="1"/>
  <c r="L152" i="29"/>
  <c r="L153" i="29" s="1"/>
  <c r="L154" i="29" s="1"/>
  <c r="B151" i="29"/>
  <c r="L149" i="29"/>
  <c r="B149" i="29" s="1"/>
  <c r="K149" i="29"/>
  <c r="K150" i="29" s="1"/>
  <c r="K151" i="29" s="1"/>
  <c r="K152" i="29" s="1"/>
  <c r="K153" i="29" s="1"/>
  <c r="K154" i="29" s="1"/>
  <c r="K155" i="29" s="1"/>
  <c r="K156" i="29" s="1"/>
  <c r="K157" i="29" s="1"/>
  <c r="K158" i="29" s="1"/>
  <c r="K159" i="29" s="1"/>
  <c r="B148" i="29"/>
  <c r="L138" i="29"/>
  <c r="L139" i="29" s="1"/>
  <c r="B139" i="29" s="1"/>
  <c r="B137" i="29"/>
  <c r="O134" i="29"/>
  <c r="O135" i="29" s="1"/>
  <c r="O136" i="29" s="1"/>
  <c r="O137" i="29" s="1"/>
  <c r="O138" i="29" s="1"/>
  <c r="O139" i="29" s="1"/>
  <c r="O140" i="29" s="1"/>
  <c r="O141" i="29" s="1"/>
  <c r="O142" i="29" s="1"/>
  <c r="O143" i="29" s="1"/>
  <c r="L125" i="29"/>
  <c r="B124" i="29"/>
  <c r="O121" i="29"/>
  <c r="O122" i="29" s="1"/>
  <c r="O123" i="29" s="1"/>
  <c r="O124" i="29" s="1"/>
  <c r="O125" i="29" s="1"/>
  <c r="O126" i="29" s="1"/>
  <c r="O127" i="29" s="1"/>
  <c r="O128" i="29" s="1"/>
  <c r="O129" i="29" s="1"/>
  <c r="O130" i="29" s="1"/>
  <c r="L121" i="29"/>
  <c r="L122" i="29" s="1"/>
  <c r="B122" i="29" s="1"/>
  <c r="K121" i="29"/>
  <c r="K122" i="29" s="1"/>
  <c r="B120" i="29"/>
  <c r="L111" i="29"/>
  <c r="B110" i="29"/>
  <c r="O107" i="29"/>
  <c r="O108" i="29" s="1"/>
  <c r="O109" i="29" s="1"/>
  <c r="O110" i="29" s="1"/>
  <c r="O111" i="29" s="1"/>
  <c r="O112" i="29" s="1"/>
  <c r="O113" i="29" s="1"/>
  <c r="O114" i="29" s="1"/>
  <c r="O115" i="29" s="1"/>
  <c r="O116" i="29" s="1"/>
  <c r="L98" i="29"/>
  <c r="B97" i="29"/>
  <c r="O96" i="29"/>
  <c r="O97" i="29" s="1"/>
  <c r="O98" i="29" s="1"/>
  <c r="O99" i="29" s="1"/>
  <c r="O100" i="29" s="1"/>
  <c r="O101" i="29" s="1"/>
  <c r="O102" i="29" s="1"/>
  <c r="O103" i="29" s="1"/>
  <c r="O71" i="29"/>
  <c r="O72" i="29" s="1"/>
  <c r="O73" i="29" s="1"/>
  <c r="O74" i="29" s="1"/>
  <c r="O75" i="29" s="1"/>
  <c r="O76" i="29" s="1"/>
  <c r="O77" i="29" s="1"/>
  <c r="O78" i="29" s="1"/>
  <c r="L71" i="29"/>
  <c r="K71" i="29"/>
  <c r="B70" i="29"/>
  <c r="L61" i="29"/>
  <c r="L62" i="29" s="1"/>
  <c r="B62" i="29" s="1"/>
  <c r="B60" i="29"/>
  <c r="O58" i="29"/>
  <c r="O59" i="29" s="1"/>
  <c r="O60" i="29" s="1"/>
  <c r="O61" i="29" s="1"/>
  <c r="O62" i="29" s="1"/>
  <c r="O63" i="29" s="1"/>
  <c r="O64" i="29" s="1"/>
  <c r="O65" i="29" s="1"/>
  <c r="O66" i="29" s="1"/>
  <c r="L49" i="29"/>
  <c r="B48" i="29"/>
  <c r="O46" i="29"/>
  <c r="O47" i="29" s="1"/>
  <c r="O48" i="29" s="1"/>
  <c r="O49" i="29" s="1"/>
  <c r="O50" i="29" s="1"/>
  <c r="O51" i="29" s="1"/>
  <c r="O52" i="29" s="1"/>
  <c r="O53" i="29" s="1"/>
  <c r="O54" i="29" s="1"/>
  <c r="L46" i="29"/>
  <c r="K46" i="29"/>
  <c r="K47" i="29" s="1"/>
  <c r="K48" i="29" s="1"/>
  <c r="K49" i="29" s="1"/>
  <c r="K50" i="29" s="1"/>
  <c r="K51" i="29" s="1"/>
  <c r="K52" i="29" s="1"/>
  <c r="K53" i="29" s="1"/>
  <c r="K54" i="29" s="1"/>
  <c r="K55" i="29" s="1"/>
  <c r="K56" i="29" s="1"/>
  <c r="K57" i="29" s="1"/>
  <c r="K58" i="29" s="1"/>
  <c r="K59" i="29" s="1"/>
  <c r="K60" i="29" s="1"/>
  <c r="K61" i="29" s="1"/>
  <c r="K62" i="29" s="1"/>
  <c r="K63" i="29" s="1"/>
  <c r="K64" i="29" s="1"/>
  <c r="K65" i="29" s="1"/>
  <c r="K66" i="29" s="1"/>
  <c r="K67" i="29" s="1"/>
  <c r="K68" i="29" s="1"/>
  <c r="B45" i="29"/>
  <c r="L36" i="29"/>
  <c r="L37" i="29" s="1"/>
  <c r="L38" i="29" s="1"/>
  <c r="L39" i="29" s="1"/>
  <c r="L40" i="29" s="1"/>
  <c r="L41" i="29" s="1"/>
  <c r="L42" i="29" s="1"/>
  <c r="O33" i="29"/>
  <c r="O34" i="29" s="1"/>
  <c r="O35" i="29" s="1"/>
  <c r="O36" i="29" s="1"/>
  <c r="O37" i="29" s="1"/>
  <c r="O38" i="29" s="1"/>
  <c r="O39" i="29" s="1"/>
  <c r="O40" i="29" s="1"/>
  <c r="O41" i="29" s="1"/>
  <c r="K25" i="29"/>
  <c r="K28" i="29" s="1"/>
  <c r="L24" i="29"/>
  <c r="L25" i="29" s="1"/>
  <c r="L26" i="29" s="1"/>
  <c r="L27" i="29" s="1"/>
  <c r="L28" i="29" s="1"/>
  <c r="L29" i="29" s="1"/>
  <c r="K24" i="29"/>
  <c r="K27" i="29" s="1"/>
  <c r="K23" i="29"/>
  <c r="O21" i="29"/>
  <c r="O22" i="29" s="1"/>
  <c r="O23" i="29" s="1"/>
  <c r="O24" i="29" s="1"/>
  <c r="O25" i="29" s="1"/>
  <c r="O26" i="29" s="1"/>
  <c r="O27" i="29" s="1"/>
  <c r="O28" i="29" s="1"/>
  <c r="O29" i="29" s="1"/>
  <c r="L21" i="29"/>
  <c r="L22" i="29" s="1"/>
  <c r="M10" i="29"/>
  <c r="AV114" i="28"/>
  <c r="AV115" i="28" s="1"/>
  <c r="AV116" i="28" s="1"/>
  <c r="AV117" i="28" s="1"/>
  <c r="AV118" i="28" s="1"/>
  <c r="AV119" i="28" s="1"/>
  <c r="AV120" i="28" s="1"/>
  <c r="AV121" i="28" s="1"/>
  <c r="AV122" i="28" s="1"/>
  <c r="AV123" i="28" s="1"/>
  <c r="AR108" i="28"/>
  <c r="AS108" i="28" s="1"/>
  <c r="AV93" i="28"/>
  <c r="AV94" i="28" s="1"/>
  <c r="AV95" i="28" s="1"/>
  <c r="AV96" i="28" s="1"/>
  <c r="AV97" i="28" s="1"/>
  <c r="AV98" i="28" s="1"/>
  <c r="AV99" i="28" s="1"/>
  <c r="AV100" i="28" s="1"/>
  <c r="AV101" i="28" s="1"/>
  <c r="AV102" i="28" s="1"/>
  <c r="AR87" i="28"/>
  <c r="AR88" i="28" s="1"/>
  <c r="AR68" i="28"/>
  <c r="AS68" i="28" s="1"/>
  <c r="B68" i="28" s="1"/>
  <c r="AV54" i="28"/>
  <c r="AV55" i="28" s="1"/>
  <c r="AV56" i="28" s="1"/>
  <c r="AV57" i="28" s="1"/>
  <c r="AV58" i="28" s="1"/>
  <c r="AV59" i="28" s="1"/>
  <c r="AV60" i="28" s="1"/>
  <c r="AV61" i="28" s="1"/>
  <c r="AV62" i="28" s="1"/>
  <c r="AR48" i="28"/>
  <c r="AR49" i="28" s="1"/>
  <c r="AV33" i="28"/>
  <c r="AV34" i="28" s="1"/>
  <c r="AV35" i="28" s="1"/>
  <c r="AV36" i="28" s="1"/>
  <c r="AV37" i="28" s="1"/>
  <c r="AV38" i="28" s="1"/>
  <c r="AV39" i="28" s="1"/>
  <c r="AV40" i="28" s="1"/>
  <c r="AV41" i="28" s="1"/>
  <c r="AV42" i="28" s="1"/>
  <c r="AV43" i="28" s="1"/>
  <c r="AR27" i="28"/>
  <c r="AS27" i="28" s="1"/>
  <c r="K8" i="28"/>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D80" i="26"/>
  <c r="F254" i="26"/>
  <c r="L216" i="26"/>
  <c r="L215" i="26"/>
  <c r="L214" i="26"/>
  <c r="L213" i="26"/>
  <c r="L212" i="26"/>
  <c r="L211" i="26"/>
  <c r="L210" i="26"/>
  <c r="L209" i="26"/>
  <c r="L208" i="26"/>
  <c r="L192" i="26"/>
  <c r="L191" i="26"/>
  <c r="L190" i="26"/>
  <c r="L189" i="26"/>
  <c r="L188" i="26"/>
  <c r="L187" i="26"/>
  <c r="L186" i="26"/>
  <c r="L185" i="26"/>
  <c r="E171" i="26"/>
  <c r="L169" i="26"/>
  <c r="L168" i="26"/>
  <c r="L167" i="26"/>
  <c r="L166" i="26"/>
  <c r="L165" i="26"/>
  <c r="L164" i="26"/>
  <c r="L163" i="26"/>
  <c r="L162" i="26"/>
  <c r="L161" i="26"/>
  <c r="L184" i="26" s="1"/>
  <c r="B131" i="26"/>
  <c r="L138" i="26" s="1"/>
  <c r="L130" i="26"/>
  <c r="B130" i="26"/>
  <c r="L137" i="26" s="1"/>
  <c r="L129" i="26"/>
  <c r="B129" i="26"/>
  <c r="L136" i="26" s="1"/>
  <c r="B128" i="26"/>
  <c r="L135" i="26" s="1"/>
  <c r="B127" i="26"/>
  <c r="L134" i="26" s="1"/>
  <c r="E126" i="26"/>
  <c r="E129" i="26" s="1"/>
  <c r="E130" i="26" s="1"/>
  <c r="B126" i="26"/>
  <c r="L133" i="26" s="1"/>
  <c r="B125" i="26"/>
  <c r="L132" i="26" s="1"/>
  <c r="B119" i="26"/>
  <c r="B112" i="26"/>
  <c r="D100" i="26"/>
  <c r="P85" i="26"/>
  <c r="L83" i="26"/>
  <c r="L82" i="26"/>
  <c r="L81" i="26"/>
  <c r="L80" i="26"/>
  <c r="L79" i="26"/>
  <c r="L78" i="26"/>
  <c r="L76" i="26"/>
  <c r="L75" i="26"/>
  <c r="D59" i="26"/>
  <c r="L51" i="26"/>
  <c r="L50" i="26"/>
  <c r="L49" i="26"/>
  <c r="L48" i="26"/>
  <c r="L47" i="26"/>
  <c r="L46" i="26"/>
  <c r="L45" i="26"/>
  <c r="L41" i="26"/>
  <c r="L128" i="26" s="1"/>
  <c r="L40" i="26"/>
  <c r="L127" i="26" s="1"/>
  <c r="L39" i="26"/>
  <c r="L126" i="26" s="1"/>
  <c r="AC18" i="26"/>
  <c r="AB18" i="26"/>
  <c r="AC17" i="26"/>
  <c r="AB17" i="26"/>
  <c r="AC16" i="26"/>
  <c r="AB16" i="26"/>
  <c r="AC15" i="26"/>
  <c r="AB15" i="26"/>
  <c r="AC14" i="26"/>
  <c r="AB14" i="26"/>
  <c r="AD13" i="26"/>
  <c r="AC12" i="26"/>
  <c r="AB12" i="26"/>
  <c r="G6" i="7"/>
  <c r="A90" i="7"/>
  <c r="D12" i="24" s="1"/>
  <c r="A102" i="7"/>
  <c r="D14" i="24" s="1"/>
  <c r="A114" i="7"/>
  <c r="D17" i="24" s="1"/>
  <c r="A60" i="7"/>
  <c r="D11" i="24" s="1"/>
  <c r="A49" i="7"/>
  <c r="D10" i="24" s="1"/>
  <c r="A38" i="7"/>
  <c r="D9" i="24" s="1"/>
  <c r="B10" i="24"/>
  <c r="B11" i="24"/>
  <c r="B12" i="24"/>
  <c r="B14" i="24"/>
  <c r="B17" i="24"/>
  <c r="B9" i="24"/>
  <c r="D28" i="16"/>
  <c r="D41" i="16"/>
  <c r="J29" i="21"/>
  <c r="K29" i="21" s="1"/>
  <c r="F14" i="1"/>
  <c r="O8" i="1"/>
  <c r="H25" i="1"/>
  <c r="F24" i="1" s="1"/>
  <c r="A3" i="19"/>
  <c r="C13" i="14"/>
  <c r="K32" i="1"/>
  <c r="K33" i="1" s="1"/>
  <c r="Q38" i="1"/>
  <c r="Q39" i="1" s="1"/>
  <c r="Q40" i="1" s="1"/>
  <c r="G21" i="22"/>
  <c r="P21" i="22" s="1"/>
  <c r="L25" i="1"/>
  <c r="L24" i="1"/>
  <c r="L23" i="1"/>
  <c r="M23" i="1"/>
  <c r="D8" i="1"/>
  <c r="K11" i="1" s="1"/>
  <c r="K14" i="1" s="1"/>
  <c r="D9" i="1"/>
  <c r="Q48" i="1"/>
  <c r="Q44" i="1"/>
  <c r="Q47" i="1"/>
  <c r="K44" i="1"/>
  <c r="G16" i="22"/>
  <c r="P16" i="22" s="1"/>
  <c r="G17" i="22"/>
  <c r="P17" i="22" s="1"/>
  <c r="G18" i="22"/>
  <c r="P18" i="22" s="1"/>
  <c r="G20" i="22"/>
  <c r="P20" i="22" s="1"/>
  <c r="F6" i="20" s="1"/>
  <c r="G22" i="22"/>
  <c r="P22" i="22" s="1"/>
  <c r="F7" i="20" s="1"/>
  <c r="G23" i="22"/>
  <c r="P23" i="22" s="1"/>
  <c r="F8" i="20" s="1"/>
  <c r="G24" i="22"/>
  <c r="P24" i="22" s="1"/>
  <c r="G25" i="22"/>
  <c r="P25" i="22"/>
  <c r="R25" i="22" s="1"/>
  <c r="G26" i="22"/>
  <c r="P26" i="22" s="1"/>
  <c r="R26" i="22" s="1"/>
  <c r="T26" i="22" s="1"/>
  <c r="H57" i="20" s="1"/>
  <c r="G27" i="22"/>
  <c r="P27" i="22" s="1"/>
  <c r="R27" i="22" s="1"/>
  <c r="T27" i="22" s="1"/>
  <c r="H58" i="20" s="1"/>
  <c r="G28" i="22"/>
  <c r="P28" i="22" s="1"/>
  <c r="R28" i="22" s="1"/>
  <c r="T28" i="22" s="1"/>
  <c r="H59" i="20" s="1"/>
  <c r="G29" i="22"/>
  <c r="P29" i="22" s="1"/>
  <c r="D31" i="22"/>
  <c r="O30" i="22"/>
  <c r="G30" i="22"/>
  <c r="P30" i="22" s="1"/>
  <c r="O29" i="22"/>
  <c r="D9" i="20" s="1"/>
  <c r="S7" i="22"/>
  <c r="Q7" i="22"/>
  <c r="H6" i="22"/>
  <c r="O6" i="22" s="1"/>
  <c r="O7" i="22" s="1"/>
  <c r="S52" i="21"/>
  <c r="V52" i="21" s="1"/>
  <c r="S45" i="21"/>
  <c r="S44" i="21"/>
  <c r="Q43" i="21"/>
  <c r="S43" i="21" s="1"/>
  <c r="Q42" i="21"/>
  <c r="S42" i="21" s="1"/>
  <c r="Q41" i="21"/>
  <c r="S41" i="21" s="1"/>
  <c r="Q40" i="21"/>
  <c r="S40" i="21" s="1"/>
  <c r="L26" i="21"/>
  <c r="F26" i="21"/>
  <c r="C26" i="21"/>
  <c r="W24" i="21"/>
  <c r="Y24" i="21" s="1"/>
  <c r="AB24" i="21" s="1"/>
  <c r="W20" i="21"/>
  <c r="Y20" i="21" s="1"/>
  <c r="AB20" i="21" s="1"/>
  <c r="D56" i="20" s="1"/>
  <c r="W19" i="21"/>
  <c r="W16" i="21"/>
  <c r="W13" i="21"/>
  <c r="W11" i="21"/>
  <c r="H61" i="20"/>
  <c r="F61" i="20"/>
  <c r="A61" i="20"/>
  <c r="A60" i="20"/>
  <c r="A59" i="20"/>
  <c r="A58" i="20"/>
  <c r="A57" i="20"/>
  <c r="A56" i="20"/>
  <c r="A55" i="20"/>
  <c r="A54" i="20"/>
  <c r="A53" i="20"/>
  <c r="A52" i="20"/>
  <c r="A51" i="20"/>
  <c r="A49" i="20"/>
  <c r="A48" i="20"/>
  <c r="A47" i="20"/>
  <c r="A46" i="20"/>
  <c r="I39" i="20"/>
  <c r="F22" i="20"/>
  <c r="D22" i="20"/>
  <c r="B22" i="20"/>
  <c r="J9" i="14"/>
  <c r="U35" i="7"/>
  <c r="AR34" i="7"/>
  <c r="AQ34" i="7"/>
  <c r="AP34" i="7"/>
  <c r="AO34" i="7"/>
  <c r="AN34" i="7"/>
  <c r="AM34" i="7"/>
  <c r="AL34" i="7"/>
  <c r="AK34" i="7"/>
  <c r="AJ34" i="7"/>
  <c r="AI34" i="7"/>
  <c r="AH34" i="7"/>
  <c r="AG34" i="7"/>
  <c r="AF34" i="7"/>
  <c r="AE34" i="7"/>
  <c r="AD34" i="7"/>
  <c r="AC34" i="7"/>
  <c r="AB34" i="7"/>
  <c r="AA34" i="7"/>
  <c r="Z34" i="7"/>
  <c r="Y34" i="7"/>
  <c r="X34" i="7"/>
  <c r="W34" i="7"/>
  <c r="V34" i="7"/>
  <c r="U34" i="7"/>
  <c r="O13" i="7"/>
  <c r="O14" i="7" s="1"/>
  <c r="O15" i="7" s="1"/>
  <c r="O16" i="7" s="1"/>
  <c r="O17" i="7" s="1"/>
  <c r="H35" i="1"/>
  <c r="H36" i="1" s="1"/>
  <c r="H21" i="1"/>
  <c r="H22" i="1" s="1"/>
  <c r="R15" i="1"/>
  <c r="R12" i="1"/>
  <c r="S12" i="1" s="1"/>
  <c r="H40" i="1"/>
  <c r="H39" i="1"/>
  <c r="D13" i="1"/>
  <c r="D14" i="1" s="1"/>
  <c r="H41" i="1"/>
  <c r="N62" i="1"/>
  <c r="N61" i="1"/>
  <c r="N60" i="1"/>
  <c r="N59" i="1"/>
  <c r="M64" i="1"/>
  <c r="M52" i="1"/>
  <c r="M53" i="1" s="1"/>
  <c r="U20" i="19"/>
  <c r="U21" i="19" s="1"/>
  <c r="D55" i="42"/>
  <c r="AJ4" i="16"/>
  <c r="C12" i="58"/>
  <c r="AO2" i="16"/>
  <c r="Q33" i="42"/>
  <c r="A103" i="6"/>
  <c r="D60" i="8" s="1"/>
  <c r="E33" i="57"/>
  <c r="C11" i="58"/>
  <c r="E31" i="57"/>
  <c r="C10" i="58"/>
  <c r="E32" i="57"/>
  <c r="C13" i="58"/>
  <c r="E34" i="57"/>
  <c r="O40" i="6"/>
  <c r="C14" i="58"/>
  <c r="E35" i="57"/>
  <c r="E36" i="57"/>
  <c r="C15" i="58"/>
  <c r="E39" i="57"/>
  <c r="C18" i="58"/>
  <c r="A1" i="62"/>
  <c r="A1" i="63"/>
  <c r="L309" i="29"/>
  <c r="L310" i="29" s="1"/>
  <c r="B310" i="29" s="1"/>
  <c r="AO21" i="45"/>
  <c r="AR89" i="54"/>
  <c r="AU89" i="54" s="1"/>
  <c r="D121" i="59"/>
  <c r="D140" i="7"/>
  <c r="B140" i="7" s="1"/>
  <c r="Q30" i="42"/>
  <c r="W30" i="42" s="1"/>
  <c r="AH27" i="55"/>
  <c r="R37" i="59"/>
  <c r="AS34" i="7"/>
  <c r="AO15" i="45"/>
  <c r="AO12" i="45"/>
  <c r="AP12" i="45"/>
  <c r="E121" i="59"/>
  <c r="H132" i="59"/>
  <c r="AR6" i="6"/>
  <c r="G18" i="21"/>
  <c r="AC4" i="16"/>
  <c r="T31" i="59"/>
  <c r="V31" i="59"/>
  <c r="AO20" i="45"/>
  <c r="AP20" i="45"/>
  <c r="G122" i="59"/>
  <c r="E124" i="59"/>
  <c r="L124" i="59"/>
  <c r="M124" i="59" s="1"/>
  <c r="D124" i="59"/>
  <c r="Q13" i="61"/>
  <c r="Q14" i="61"/>
  <c r="Q21" i="61"/>
  <c r="P46" i="61"/>
  <c r="Q32" i="61"/>
  <c r="P32" i="61"/>
  <c r="Q29" i="61"/>
  <c r="P45" i="61"/>
  <c r="Q8" i="61"/>
  <c r="Q31" i="61"/>
  <c r="K6" i="6"/>
  <c r="S35" i="22"/>
  <c r="B69" i="6"/>
  <c r="C26" i="8" s="1"/>
  <c r="AT19" i="45"/>
  <c r="AZ21" i="45"/>
  <c r="T27" i="42"/>
  <c r="R27" i="42" s="1"/>
  <c r="R51" i="42" s="1"/>
  <c r="I71" i="6"/>
  <c r="J71" i="6" s="1"/>
  <c r="K71" i="6" s="1"/>
  <c r="AX6" i="6"/>
  <c r="R38" i="59"/>
  <c r="W38" i="59"/>
  <c r="E66" i="59"/>
  <c r="W40" i="59"/>
  <c r="E119" i="59"/>
  <c r="D119" i="59"/>
  <c r="A1" i="70"/>
  <c r="A1" i="69"/>
  <c r="A1" i="56"/>
  <c r="A1" i="28"/>
  <c r="B49" i="29"/>
  <c r="L50" i="29"/>
  <c r="B50" i="29" s="1"/>
  <c r="B198" i="29"/>
  <c r="B313" i="29"/>
  <c r="B334" i="29"/>
  <c r="B333" i="29"/>
  <c r="C56" i="15"/>
  <c r="AT34" i="7"/>
  <c r="C20" i="15"/>
  <c r="C24" i="15"/>
  <c r="C28" i="15"/>
  <c r="C30" i="15"/>
  <c r="C34" i="15"/>
  <c r="C38" i="15"/>
  <c r="C42" i="15"/>
  <c r="C46" i="15"/>
  <c r="C50" i="15"/>
  <c r="C54" i="15"/>
  <c r="C23" i="15"/>
  <c r="C27" i="15"/>
  <c r="C21" i="15"/>
  <c r="C25" i="15"/>
  <c r="C29" i="15"/>
  <c r="C31" i="15"/>
  <c r="C35" i="15"/>
  <c r="C39" i="15"/>
  <c r="C43" i="15"/>
  <c r="C47" i="15"/>
  <c r="C51" i="15"/>
  <c r="C55" i="15"/>
  <c r="C41" i="15"/>
  <c r="C49" i="15"/>
  <c r="C33" i="15"/>
  <c r="C22" i="15"/>
  <c r="C26" i="15"/>
  <c r="C32" i="15"/>
  <c r="C36" i="15"/>
  <c r="C40" i="15"/>
  <c r="C44" i="15"/>
  <c r="C48" i="15"/>
  <c r="C52" i="15"/>
  <c r="C37" i="15"/>
  <c r="C45" i="15"/>
  <c r="C53" i="15"/>
  <c r="C19" i="15"/>
  <c r="AU34" i="7"/>
  <c r="AV34" i="7"/>
  <c r="AW34" i="7"/>
  <c r="AX34" i="7"/>
  <c r="AY34" i="7"/>
  <c r="D57" i="15"/>
  <c r="D59" i="15"/>
  <c r="D60" i="15"/>
  <c r="J99" i="57"/>
  <c r="J101" i="57" s="1"/>
  <c r="J102" i="57" s="1"/>
  <c r="J84" i="57"/>
  <c r="J83" i="57"/>
  <c r="J96" i="57"/>
  <c r="J94" i="57"/>
  <c r="J97" i="57"/>
  <c r="L25" i="76"/>
  <c r="L26" i="76" s="1"/>
  <c r="L20" i="76"/>
  <c r="L21" i="76" s="1"/>
  <c r="D170" i="28" l="1"/>
  <c r="D311" i="28"/>
  <c r="F25" i="63"/>
  <c r="F24" i="63"/>
  <c r="F26" i="63"/>
  <c r="D305" i="28"/>
  <c r="AY305" i="28" s="1"/>
  <c r="D319" i="28"/>
  <c r="D40" i="7"/>
  <c r="D168" i="7"/>
  <c r="D185" i="28"/>
  <c r="D192" i="28" s="1"/>
  <c r="D195" i="28" s="1"/>
  <c r="D225" i="29" s="1"/>
  <c r="D232" i="29" s="1"/>
  <c r="D320" i="28"/>
  <c r="E150" i="7"/>
  <c r="B147" i="7" s="1"/>
  <c r="C31" i="24" s="1"/>
  <c r="D58" i="42"/>
  <c r="D58" i="15"/>
  <c r="A98" i="6"/>
  <c r="D55" i="8" s="1"/>
  <c r="BD142" i="7"/>
  <c r="BD143" i="7" s="1"/>
  <c r="BD144" i="7" s="1"/>
  <c r="BD145" i="7" s="1"/>
  <c r="D16" i="63"/>
  <c r="F23" i="63"/>
  <c r="J14" i="6"/>
  <c r="K14" i="6"/>
  <c r="L14" i="6"/>
  <c r="Y19" i="21"/>
  <c r="AB19" i="21" s="1"/>
  <c r="D55" i="20" s="1"/>
  <c r="D83" i="26"/>
  <c r="D159" i="26" s="1"/>
  <c r="L51" i="29"/>
  <c r="L52" i="29" s="1"/>
  <c r="L53" i="29" s="1"/>
  <c r="J69" i="57"/>
  <c r="D98" i="66"/>
  <c r="J82" i="57"/>
  <c r="W37" i="59"/>
  <c r="G119" i="59"/>
  <c r="L122" i="59"/>
  <c r="M122" i="59" s="1"/>
  <c r="G16" i="21"/>
  <c r="D114" i="59"/>
  <c r="K246" i="29"/>
  <c r="K247" i="29" s="1"/>
  <c r="K248" i="29" s="1"/>
  <c r="K249" i="29" s="1"/>
  <c r="Y15" i="21"/>
  <c r="AB15" i="21" s="1"/>
  <c r="D32" i="20" s="1"/>
  <c r="D58" i="66"/>
  <c r="AQ76" i="54"/>
  <c r="AT76" i="54" s="1"/>
  <c r="AQ80" i="54"/>
  <c r="AT80" i="54" s="1"/>
  <c r="AQ96" i="54"/>
  <c r="AT96" i="54" s="1"/>
  <c r="AQ98" i="54"/>
  <c r="AT98" i="54" s="1"/>
  <c r="AQ100" i="54"/>
  <c r="AT100" i="54" s="1"/>
  <c r="D20" i="66"/>
  <c r="W104" i="42"/>
  <c r="W105" i="42" s="1"/>
  <c r="H33" i="59"/>
  <c r="J81" i="57"/>
  <c r="AL15" i="54"/>
  <c r="AQ77" i="54"/>
  <c r="AT77" i="54" s="1"/>
  <c r="AQ93" i="54"/>
  <c r="AT93" i="54" s="1"/>
  <c r="AQ105" i="54"/>
  <c r="AT105" i="54" s="1"/>
  <c r="D700" i="66"/>
  <c r="D1306" i="66"/>
  <c r="U31" i="59"/>
  <c r="W31" i="59"/>
  <c r="J70" i="57"/>
  <c r="J71" i="57" s="1"/>
  <c r="J72" i="57" s="1"/>
  <c r="J73" i="57" s="1"/>
  <c r="J74" i="57" s="1"/>
  <c r="S31" i="59"/>
  <c r="C35" i="8"/>
  <c r="D68" i="66"/>
  <c r="D284" i="66"/>
  <c r="D323" i="66"/>
  <c r="D371" i="66"/>
  <c r="D443" i="66"/>
  <c r="D467" i="66"/>
  <c r="D500" i="66"/>
  <c r="D527" i="66"/>
  <c r="D548" i="66"/>
  <c r="D584" i="66"/>
  <c r="D605" i="66"/>
  <c r="D641" i="66"/>
  <c r="D644" i="66"/>
  <c r="D704" i="66"/>
  <c r="D725" i="66"/>
  <c r="D734" i="66"/>
  <c r="D749" i="66"/>
  <c r="D767" i="66"/>
  <c r="D785" i="66"/>
  <c r="D803" i="66"/>
  <c r="D809" i="66"/>
  <c r="D836" i="66"/>
  <c r="D842" i="66"/>
  <c r="D896" i="66"/>
  <c r="D923" i="66"/>
  <c r="D935" i="66"/>
  <c r="D944" i="66"/>
  <c r="D947" i="66"/>
  <c r="D956" i="66"/>
  <c r="D980" i="66"/>
  <c r="D983" i="66"/>
  <c r="D986" i="66"/>
  <c r="D998" i="66"/>
  <c r="D1010" i="66"/>
  <c r="D1013" i="66"/>
  <c r="D1016" i="66"/>
  <c r="D1025" i="66"/>
  <c r="D1028" i="66"/>
  <c r="D1031" i="66"/>
  <c r="D1034" i="66"/>
  <c r="D1040" i="66"/>
  <c r="D1055" i="66"/>
  <c r="D1058" i="66"/>
  <c r="D1064" i="66"/>
  <c r="D1073" i="66"/>
  <c r="D1082" i="66"/>
  <c r="D1097" i="66"/>
  <c r="D1106" i="66"/>
  <c r="D1112" i="66"/>
  <c r="D1118" i="66"/>
  <c r="D1139" i="66"/>
  <c r="D1142" i="66"/>
  <c r="D1151" i="66"/>
  <c r="D1154" i="66"/>
  <c r="D1160" i="66"/>
  <c r="D1163" i="66"/>
  <c r="D1166" i="66"/>
  <c r="D1169" i="66"/>
  <c r="D1175" i="66"/>
  <c r="D1178" i="66"/>
  <c r="D1181" i="66"/>
  <c r="D1184" i="66"/>
  <c r="D1187" i="66"/>
  <c r="D1196" i="66"/>
  <c r="D1199" i="66"/>
  <c r="D1208" i="66"/>
  <c r="D1211" i="66"/>
  <c r="D1217" i="66"/>
  <c r="D1220" i="66"/>
  <c r="D1223" i="66"/>
  <c r="D1226" i="66"/>
  <c r="D1232" i="66"/>
  <c r="D1235" i="66"/>
  <c r="D1238" i="66"/>
  <c r="D1244" i="66"/>
  <c r="D1247" i="66"/>
  <c r="D1250" i="66"/>
  <c r="D1256" i="66"/>
  <c r="D1268" i="66"/>
  <c r="D1274" i="66"/>
  <c r="D1277" i="66"/>
  <c r="D1292" i="66"/>
  <c r="D1295" i="66"/>
  <c r="D1298" i="66"/>
  <c r="D1304" i="66"/>
  <c r="D1316" i="66"/>
  <c r="D1331" i="66"/>
  <c r="D1337" i="66"/>
  <c r="D1340" i="66"/>
  <c r="D1343" i="66"/>
  <c r="D1349" i="66"/>
  <c r="D1352" i="66"/>
  <c r="D1358" i="66"/>
  <c r="D1364" i="66"/>
  <c r="D1376" i="66"/>
  <c r="D1379" i="66"/>
  <c r="D1382" i="66"/>
  <c r="D1388" i="66"/>
  <c r="D1391" i="66"/>
  <c r="D1397" i="66"/>
  <c r="D1400" i="66"/>
  <c r="D1403" i="66"/>
  <c r="D1406" i="66"/>
  <c r="D1409" i="66"/>
  <c r="D1412" i="66"/>
  <c r="D1418" i="66"/>
  <c r="D1424" i="66"/>
  <c r="D1433" i="66"/>
  <c r="D1442" i="66"/>
  <c r="D1448" i="66"/>
  <c r="D1451" i="66"/>
  <c r="D1454" i="66"/>
  <c r="D1457" i="66"/>
  <c r="D1460" i="66"/>
  <c r="D1466" i="66"/>
  <c r="D1469" i="66"/>
  <c r="D1472" i="66"/>
  <c r="D1478" i="66"/>
  <c r="D1484" i="66"/>
  <c r="D1487" i="66"/>
  <c r="D1496" i="66"/>
  <c r="D1505" i="66"/>
  <c r="D1514" i="66"/>
  <c r="D1517" i="66"/>
  <c r="D1523" i="66"/>
  <c r="D1526" i="66"/>
  <c r="D1529" i="66"/>
  <c r="D1538" i="66"/>
  <c r="D1544" i="66"/>
  <c r="D1547" i="66"/>
  <c r="D1550" i="66"/>
  <c r="D1556" i="66"/>
  <c r="D1559" i="66"/>
  <c r="D1562" i="66"/>
  <c r="D1568" i="66"/>
  <c r="D1571" i="66"/>
  <c r="D1574" i="66"/>
  <c r="D1580" i="66"/>
  <c r="D1595" i="66"/>
  <c r="D1607" i="66"/>
  <c r="D1610" i="66"/>
  <c r="D1622" i="66"/>
  <c r="D1634" i="66"/>
  <c r="D1637" i="66"/>
  <c r="D1640" i="66"/>
  <c r="D1643" i="66"/>
  <c r="D1646" i="66"/>
  <c r="D1652" i="66"/>
  <c r="D1661" i="66"/>
  <c r="D1664" i="66"/>
  <c r="D1667" i="66"/>
  <c r="D1670" i="66"/>
  <c r="D1673" i="66"/>
  <c r="D1688" i="66"/>
  <c r="H44" i="59"/>
  <c r="D23" i="58"/>
  <c r="D52" i="57"/>
  <c r="D53" i="57" s="1"/>
  <c r="AR78" i="54"/>
  <c r="AU78" i="54" s="1"/>
  <c r="AR86" i="54"/>
  <c r="AU86" i="54" s="1"/>
  <c r="H34" i="59"/>
  <c r="H36" i="59"/>
  <c r="D1691" i="66"/>
  <c r="D1694" i="66"/>
  <c r="D1697" i="66"/>
  <c r="D1700" i="66"/>
  <c r="D1706" i="66"/>
  <c r="D1709" i="66"/>
  <c r="D1712" i="66"/>
  <c r="D1715" i="66"/>
  <c r="D1718" i="66"/>
  <c r="D1721" i="66"/>
  <c r="D1727" i="66"/>
  <c r="D1730" i="66"/>
  <c r="D1733" i="66"/>
  <c r="D1736" i="66"/>
  <c r="D1742" i="66"/>
  <c r="D1748" i="66"/>
  <c r="D1751" i="66"/>
  <c r="D1754" i="66"/>
  <c r="D1763" i="66"/>
  <c r="D1766" i="66"/>
  <c r="D1775" i="66"/>
  <c r="D1784" i="66"/>
  <c r="D1787" i="66"/>
  <c r="D1790" i="66"/>
  <c r="D1799" i="66"/>
  <c r="D1802" i="66"/>
  <c r="D1805" i="66"/>
  <c r="D1808" i="66"/>
  <c r="D1811" i="66"/>
  <c r="D1814" i="66"/>
  <c r="D1817" i="66"/>
  <c r="D1823" i="66"/>
  <c r="D1826" i="66"/>
  <c r="D1832" i="66"/>
  <c r="D1835" i="66"/>
  <c r="D1838" i="66"/>
  <c r="D1841" i="66"/>
  <c r="D1847" i="66"/>
  <c r="D1850" i="66"/>
  <c r="D1856" i="66"/>
  <c r="D1859" i="66"/>
  <c r="D1862" i="66"/>
  <c r="D1868" i="66"/>
  <c r="D1871" i="66"/>
  <c r="D1877" i="66"/>
  <c r="D1880" i="66"/>
  <c r="D1883" i="66"/>
  <c r="D1886" i="66"/>
  <c r="D1889" i="66"/>
  <c r="D1895" i="66"/>
  <c r="D1898" i="66"/>
  <c r="D1901" i="66"/>
  <c r="D1910" i="66"/>
  <c r="D1913" i="66"/>
  <c r="D1919" i="66"/>
  <c r="D1922" i="66"/>
  <c r="D1928" i="66"/>
  <c r="D1931" i="66"/>
  <c r="D1934" i="66"/>
  <c r="D1937" i="66"/>
  <c r="D1940" i="66"/>
  <c r="D1946" i="66"/>
  <c r="D1949" i="66"/>
  <c r="D1952" i="66"/>
  <c r="D1955" i="66"/>
  <c r="D1958" i="66"/>
  <c r="D1961" i="66"/>
  <c r="D1964" i="66"/>
  <c r="D1967" i="66"/>
  <c r="D1970" i="66"/>
  <c r="D1973" i="66"/>
  <c r="D1979" i="66"/>
  <c r="D1982" i="66"/>
  <c r="D1985" i="66"/>
  <c r="D1988" i="66"/>
  <c r="D1991" i="66"/>
  <c r="D1994" i="66"/>
  <c r="D1997" i="66"/>
  <c r="D2000" i="66"/>
  <c r="D2003" i="66"/>
  <c r="D2006" i="66"/>
  <c r="D2009" i="66"/>
  <c r="D2012" i="66"/>
  <c r="D2015" i="66"/>
  <c r="D2018" i="66"/>
  <c r="D2021" i="66"/>
  <c r="D2024" i="66"/>
  <c r="D2033" i="66"/>
  <c r="D2042" i="66"/>
  <c r="D2045" i="66"/>
  <c r="D2048" i="66"/>
  <c r="D2051" i="66"/>
  <c r="D2054" i="66"/>
  <c r="D2057" i="66"/>
  <c r="D2060" i="66"/>
  <c r="D2063" i="66"/>
  <c r="D2066" i="66"/>
  <c r="D2069" i="66"/>
  <c r="D2072" i="66"/>
  <c r="D2075" i="66"/>
  <c r="D2078" i="66"/>
  <c r="D2084" i="66"/>
  <c r="D2087" i="66"/>
  <c r="D2090" i="66"/>
  <c r="D2093" i="66"/>
  <c r="D2096" i="66"/>
  <c r="D2099" i="66"/>
  <c r="D2105" i="66"/>
  <c r="D2108" i="66"/>
  <c r="D2111" i="66"/>
  <c r="D2117" i="66"/>
  <c r="D2120" i="66"/>
  <c r="D2123" i="66"/>
  <c r="D2126" i="66"/>
  <c r="D2129" i="66"/>
  <c r="D2132" i="66"/>
  <c r="D2135" i="66"/>
  <c r="D2138" i="66"/>
  <c r="D2141" i="66"/>
  <c r="D2150" i="66"/>
  <c r="D2153" i="66"/>
  <c r="D2156" i="66"/>
  <c r="D2159" i="66"/>
  <c r="D2162" i="66"/>
  <c r="D2171" i="66"/>
  <c r="D2174" i="66"/>
  <c r="D2177" i="66"/>
  <c r="D2183" i="66"/>
  <c r="D2186" i="66"/>
  <c r="D2189" i="66"/>
  <c r="D2192" i="66"/>
  <c r="D2198" i="66"/>
  <c r="D2201" i="66"/>
  <c r="D2204" i="66"/>
  <c r="D2210" i="66"/>
  <c r="D2213" i="66"/>
  <c r="D2216" i="66"/>
  <c r="D2219" i="66"/>
  <c r="D2222" i="66"/>
  <c r="D2225" i="66"/>
  <c r="D2234" i="66"/>
  <c r="D2237" i="66"/>
  <c r="D2240" i="66"/>
  <c r="D2246" i="66"/>
  <c r="D2249" i="66"/>
  <c r="D2255" i="66"/>
  <c r="D2258" i="66"/>
  <c r="D2261" i="66"/>
  <c r="D2264" i="66"/>
  <c r="D2270" i="66"/>
  <c r="D2273" i="66"/>
  <c r="D2282" i="66"/>
  <c r="D2285" i="66"/>
  <c r="D2288" i="66"/>
  <c r="D2291" i="66"/>
  <c r="D2294" i="66"/>
  <c r="D2300" i="66"/>
  <c r="D2312" i="66"/>
  <c r="D2318" i="66"/>
  <c r="D2324" i="66"/>
  <c r="D2330" i="66"/>
  <c r="D2336" i="66"/>
  <c r="D2342" i="66"/>
  <c r="D2348" i="66"/>
  <c r="D2354" i="66"/>
  <c r="D2360" i="66"/>
  <c r="D2366" i="66"/>
  <c r="D2372" i="66"/>
  <c r="D2378" i="66"/>
  <c r="D2390" i="66"/>
  <c r="D3000" i="66"/>
  <c r="D3018" i="66"/>
  <c r="D3024" i="66"/>
  <c r="D3036" i="66"/>
  <c r="D3048" i="66"/>
  <c r="D3072" i="66"/>
  <c r="D3081" i="66"/>
  <c r="D3096" i="66"/>
  <c r="D3120" i="66"/>
  <c r="D3144" i="66"/>
  <c r="D3168" i="66"/>
  <c r="D3177" i="66"/>
  <c r="D2596" i="66"/>
  <c r="D2626" i="66"/>
  <c r="D2629" i="66"/>
  <c r="D2650" i="66"/>
  <c r="D2662" i="66"/>
  <c r="D2686" i="66"/>
  <c r="D2722" i="66"/>
  <c r="D2734" i="66"/>
  <c r="D2752" i="66"/>
  <c r="D2782" i="66"/>
  <c r="D2836" i="66"/>
  <c r="D2860" i="66"/>
  <c r="D2869" i="66"/>
  <c r="D2905" i="66"/>
  <c r="D2941" i="66"/>
  <c r="D2974" i="66"/>
  <c r="D2998" i="66"/>
  <c r="D3067" i="66"/>
  <c r="D3079" i="66"/>
  <c r="D3091" i="66"/>
  <c r="D3115" i="66"/>
  <c r="D3133" i="66"/>
  <c r="D3163" i="66"/>
  <c r="D3193" i="66"/>
  <c r="D3223" i="66"/>
  <c r="D3259" i="66"/>
  <c r="D3277" i="66"/>
  <c r="D3289" i="66"/>
  <c r="D3322" i="66"/>
  <c r="D3325" i="66"/>
  <c r="D3346" i="66"/>
  <c r="D3355" i="66"/>
  <c r="D3373" i="66"/>
  <c r="D3406" i="66"/>
  <c r="D3409" i="66"/>
  <c r="D3421" i="66"/>
  <c r="D3454" i="66"/>
  <c r="D3457" i="66"/>
  <c r="D3469" i="66"/>
  <c r="D3487" i="66"/>
  <c r="D3496" i="66"/>
  <c r="D2396" i="66"/>
  <c r="D2402" i="66"/>
  <c r="D2408" i="66"/>
  <c r="D2411" i="66"/>
  <c r="D2414" i="66"/>
  <c r="D2417" i="66"/>
  <c r="D2420" i="66"/>
  <c r="D2423" i="66"/>
  <c r="D2426" i="66"/>
  <c r="D2429" i="66"/>
  <c r="D2432" i="66"/>
  <c r="D2435" i="66"/>
  <c r="D2438" i="66"/>
  <c r="D2441" i="66"/>
  <c r="D2447" i="66"/>
  <c r="D2465" i="66"/>
  <c r="D2471" i="66"/>
  <c r="D2477" i="66"/>
  <c r="D2483" i="66"/>
  <c r="D2489" i="66"/>
  <c r="D2495" i="66"/>
  <c r="D2501" i="66"/>
  <c r="D2507" i="66"/>
  <c r="D2519" i="66"/>
  <c r="D2525" i="66"/>
  <c r="D2531" i="66"/>
  <c r="D2537" i="66"/>
  <c r="D2543" i="66"/>
  <c r="D2549" i="66"/>
  <c r="D2555" i="66"/>
  <c r="D2561" i="66"/>
  <c r="D2567" i="66"/>
  <c r="D2573" i="66"/>
  <c r="D2579" i="66"/>
  <c r="D2585" i="66"/>
  <c r="D2591" i="66"/>
  <c r="D2597" i="66"/>
  <c r="D2609" i="66"/>
  <c r="D2615" i="66"/>
  <c r="D2621" i="66"/>
  <c r="D2627" i="66"/>
  <c r="D2633" i="66"/>
  <c r="D2639" i="66"/>
  <c r="D2645" i="66"/>
  <c r="D2651" i="66"/>
  <c r="D2657" i="66"/>
  <c r="D2669" i="66"/>
  <c r="D2675" i="66"/>
  <c r="D2681" i="66"/>
  <c r="D2693" i="66"/>
  <c r="D2699" i="66"/>
  <c r="D2705" i="66"/>
  <c r="D2717" i="66"/>
  <c r="D2723" i="66"/>
  <c r="D2729" i="66"/>
  <c r="D2741" i="66"/>
  <c r="D2747" i="66"/>
  <c r="D2753" i="66"/>
  <c r="D2765" i="66"/>
  <c r="D2771" i="66"/>
  <c r="D2777" i="66"/>
  <c r="D2783" i="66"/>
  <c r="D2789" i="66"/>
  <c r="D2801" i="66"/>
  <c r="D2804" i="66"/>
  <c r="D2807" i="66"/>
  <c r="D2810" i="66"/>
  <c r="D2813" i="66"/>
  <c r="D2825" i="66"/>
  <c r="D2831" i="66"/>
  <c r="D2843" i="66"/>
  <c r="D2849" i="66"/>
  <c r="D2855" i="66"/>
  <c r="D2870" i="66"/>
  <c r="D2891" i="66"/>
  <c r="D2921" i="66"/>
  <c r="D2924" i="66"/>
  <c r="D2951" i="66"/>
  <c r="D2975" i="66"/>
  <c r="D2981" i="66"/>
  <c r="D3008" i="66"/>
  <c r="D3023" i="66"/>
  <c r="D3077" i="66"/>
  <c r="D3107" i="66"/>
  <c r="D3161" i="66"/>
  <c r="D3192" i="66"/>
  <c r="D3216" i="66"/>
  <c r="D3378" i="66"/>
  <c r="D15" i="66"/>
  <c r="D60" i="66"/>
  <c r="D5857" i="66"/>
  <c r="D6019" i="66"/>
  <c r="D6055" i="66"/>
  <c r="D6076" i="66"/>
  <c r="D6157" i="66"/>
  <c r="D3590" i="66"/>
  <c r="D3203" i="66"/>
  <c r="D3209" i="66"/>
  <c r="D3281" i="66"/>
  <c r="D3290" i="66"/>
  <c r="D3335" i="66"/>
  <c r="D3419" i="66"/>
  <c r="D3503" i="66"/>
  <c r="D3545" i="66"/>
  <c r="D3551" i="66"/>
  <c r="D3701" i="66"/>
  <c r="D17" i="66"/>
  <c r="D46" i="66"/>
  <c r="Q58" i="75"/>
  <c r="Q59" i="75" s="1"/>
  <c r="U219" i="26"/>
  <c r="E206" i="26" s="1"/>
  <c r="S217" i="26"/>
  <c r="AE228" i="26"/>
  <c r="AA228" i="26"/>
  <c r="E252" i="26"/>
  <c r="D90" i="29"/>
  <c r="D168" i="29"/>
  <c r="D91" i="29"/>
  <c r="D169" i="29"/>
  <c r="K72" i="29"/>
  <c r="K73" i="29"/>
  <c r="B71" i="29"/>
  <c r="L72" i="29"/>
  <c r="D240" i="29"/>
  <c r="D79" i="29"/>
  <c r="D216" i="29"/>
  <c r="D334" i="29"/>
  <c r="W35" i="59"/>
  <c r="S35" i="59"/>
  <c r="R35" i="59"/>
  <c r="U35" i="59"/>
  <c r="T35" i="59"/>
  <c r="L116" i="59"/>
  <c r="M116" i="59" s="1"/>
  <c r="D116" i="59"/>
  <c r="AH21" i="55"/>
  <c r="AH22" i="55" s="1"/>
  <c r="AG22" i="55"/>
  <c r="AF21" i="55"/>
  <c r="AE21" i="55" s="1"/>
  <c r="AE22" i="55" s="1"/>
  <c r="I70" i="6"/>
  <c r="J70" i="6" s="1"/>
  <c r="K70" i="6" s="1"/>
  <c r="H70" i="6"/>
  <c r="B61" i="6"/>
  <c r="A61" i="6"/>
  <c r="A18" i="8" s="1"/>
  <c r="B97" i="6"/>
  <c r="C54" i="8" s="1"/>
  <c r="A97" i="6"/>
  <c r="H138" i="59"/>
  <c r="J134" i="59"/>
  <c r="K134" i="59" s="1"/>
  <c r="L134" i="59" s="1"/>
  <c r="I134" i="59"/>
  <c r="AU20" i="45"/>
  <c r="AT20" i="45"/>
  <c r="E117" i="59"/>
  <c r="L117" i="59"/>
  <c r="M117" i="59" s="1"/>
  <c r="G118" i="59"/>
  <c r="AT21" i="45"/>
  <c r="AU21" i="45"/>
  <c r="E106" i="7"/>
  <c r="F42" i="42"/>
  <c r="O41" i="42"/>
  <c r="M41" i="42" s="1"/>
  <c r="B98" i="29"/>
  <c r="L99" i="29"/>
  <c r="B99" i="29" s="1"/>
  <c r="AQ87" i="54"/>
  <c r="AT87" i="54" s="1"/>
  <c r="AQ89" i="54"/>
  <c r="AT89" i="54" s="1"/>
  <c r="AQ91" i="54"/>
  <c r="AT91" i="54" s="1"/>
  <c r="Y14" i="21"/>
  <c r="AB14" i="21" s="1"/>
  <c r="D31" i="20" s="1"/>
  <c r="W3" i="16"/>
  <c r="AD3" i="16"/>
  <c r="N116" i="59"/>
  <c r="AK3" i="16"/>
  <c r="J114" i="59"/>
  <c r="B176" i="29"/>
  <c r="L177" i="29"/>
  <c r="Q17" i="22"/>
  <c r="S17" i="22" s="1"/>
  <c r="F48" i="20" s="1"/>
  <c r="AR75" i="54"/>
  <c r="AU75" i="54" s="1"/>
  <c r="AR77" i="54"/>
  <c r="AU77" i="54" s="1"/>
  <c r="AR83" i="54"/>
  <c r="AU83" i="54" s="1"/>
  <c r="A96" i="6"/>
  <c r="D53" i="8" s="1"/>
  <c r="R33" i="59"/>
  <c r="W33" i="59"/>
  <c r="H137" i="59"/>
  <c r="D120" i="66"/>
  <c r="D156" i="66"/>
  <c r="D384" i="66"/>
  <c r="D450" i="66"/>
  <c r="D462" i="66"/>
  <c r="D504" i="66"/>
  <c r="D516" i="66"/>
  <c r="D540" i="66"/>
  <c r="D543" i="66"/>
  <c r="D567" i="66"/>
  <c r="D573" i="66"/>
  <c r="D576" i="66"/>
  <c r="D579" i="66"/>
  <c r="D585" i="66"/>
  <c r="D591" i="66"/>
  <c r="D609" i="66"/>
  <c r="D627" i="66"/>
  <c r="D75" i="66"/>
  <c r="D159" i="66"/>
  <c r="D198" i="66"/>
  <c r="D210" i="66"/>
  <c r="D246" i="66"/>
  <c r="D273" i="66"/>
  <c r="D294" i="66"/>
  <c r="D309" i="66"/>
  <c r="D318" i="66"/>
  <c r="D348" i="66"/>
  <c r="D378" i="66"/>
  <c r="D414" i="66"/>
  <c r="D423" i="66"/>
  <c r="D435" i="66"/>
  <c r="D453" i="66"/>
  <c r="D468" i="66"/>
  <c r="D474" i="66"/>
  <c r="D1335" i="66"/>
  <c r="D1386" i="66"/>
  <c r="D1527" i="66"/>
  <c r="D1530" i="66"/>
  <c r="D1557" i="66"/>
  <c r="D1593" i="66"/>
  <c r="D1599" i="66"/>
  <c r="D1656" i="66"/>
  <c r="D1671" i="66"/>
  <c r="D1692" i="66"/>
  <c r="D1812" i="66"/>
  <c r="D1827" i="66"/>
  <c r="D225" i="66"/>
  <c r="D234" i="66"/>
  <c r="D303" i="66"/>
  <c r="D312" i="66"/>
  <c r="D321" i="66"/>
  <c r="D333" i="66"/>
  <c r="D363" i="66"/>
  <c r="D927" i="66"/>
  <c r="D984" i="66"/>
  <c r="D1071" i="66"/>
  <c r="D1089" i="66"/>
  <c r="D1113" i="66"/>
  <c r="D1149" i="66"/>
  <c r="A1" i="23"/>
  <c r="E122" i="59"/>
  <c r="A71" i="6"/>
  <c r="D28" i="8" s="1"/>
  <c r="D143" i="7"/>
  <c r="B143" i="7" s="1"/>
  <c r="C29" i="24" s="1"/>
  <c r="M11" i="29"/>
  <c r="AO13" i="45"/>
  <c r="A69" i="6"/>
  <c r="D26" i="8" s="1"/>
  <c r="D10" i="66"/>
  <c r="D53" i="66"/>
  <c r="D171" i="66"/>
  <c r="D222" i="66"/>
  <c r="D249" i="66"/>
  <c r="D306" i="66"/>
  <c r="D315" i="66"/>
  <c r="D360" i="66"/>
  <c r="D369" i="66"/>
  <c r="D402" i="66"/>
  <c r="D420" i="66"/>
  <c r="Q36" i="42"/>
  <c r="J36" i="42" s="1"/>
  <c r="P27" i="19"/>
  <c r="D481" i="66"/>
  <c r="D532" i="66"/>
  <c r="D736" i="66"/>
  <c r="D748" i="66"/>
  <c r="D760" i="66"/>
  <c r="D772" i="66"/>
  <c r="D868" i="66"/>
  <c r="D871" i="66"/>
  <c r="D345" i="66"/>
  <c r="AO18" i="45"/>
  <c r="S90" i="6"/>
  <c r="S77" i="6"/>
  <c r="D24" i="66"/>
  <c r="D27" i="66"/>
  <c r="D33" i="66"/>
  <c r="D50" i="66"/>
  <c r="D62" i="66"/>
  <c r="D202" i="66"/>
  <c r="D238" i="66"/>
  <c r="D277" i="66"/>
  <c r="D286" i="66"/>
  <c r="D289" i="66"/>
  <c r="D328" i="66"/>
  <c r="D334" i="66"/>
  <c r="D358" i="66"/>
  <c r="D364" i="66"/>
  <c r="D373" i="66"/>
  <c r="D376" i="66"/>
  <c r="D394" i="66"/>
  <c r="D400" i="66"/>
  <c r="D412" i="66"/>
  <c r="D427" i="66"/>
  <c r="D433" i="66"/>
  <c r="D448" i="66"/>
  <c r="D454" i="66"/>
  <c r="D457" i="66"/>
  <c r="D478" i="66"/>
  <c r="D493" i="66"/>
  <c r="D505" i="66"/>
  <c r="D508" i="66"/>
  <c r="D514" i="66"/>
  <c r="D517" i="66"/>
  <c r="D520" i="66"/>
  <c r="D523" i="66"/>
  <c r="D526" i="66"/>
  <c r="D529" i="66"/>
  <c r="D535" i="66"/>
  <c r="D538" i="66"/>
  <c r="D541" i="66"/>
  <c r="D544" i="66"/>
  <c r="D547" i="66"/>
  <c r="D550" i="66"/>
  <c r="D553" i="66"/>
  <c r="D556" i="66"/>
  <c r="D559" i="66"/>
  <c r="D565" i="66"/>
  <c r="D568" i="66"/>
  <c r="D571" i="66"/>
  <c r="D577" i="66"/>
  <c r="D580" i="66"/>
  <c r="D586" i="66"/>
  <c r="D598" i="66"/>
  <c r="D604" i="66"/>
  <c r="D607" i="66"/>
  <c r="D616" i="66"/>
  <c r="D622" i="66"/>
  <c r="D628" i="66"/>
  <c r="D631" i="66"/>
  <c r="D643" i="66"/>
  <c r="D646" i="66"/>
  <c r="D649" i="66"/>
  <c r="D655" i="66"/>
  <c r="D658" i="66"/>
  <c r="D661" i="66"/>
  <c r="D664" i="66"/>
  <c r="D667" i="66"/>
  <c r="D673" i="66"/>
  <c r="D676" i="66"/>
  <c r="D679" i="66"/>
  <c r="D685" i="66"/>
  <c r="D691" i="66"/>
  <c r="Q26" i="19"/>
  <c r="F60" i="20"/>
  <c r="T32" i="59"/>
  <c r="T40" i="59"/>
  <c r="H131" i="59"/>
  <c r="D28" i="42"/>
  <c r="O27" i="42"/>
  <c r="M27" i="42" s="1"/>
  <c r="B86" i="6"/>
  <c r="C43" i="8" s="1"/>
  <c r="A86" i="6"/>
  <c r="D43" i="8" s="1"/>
  <c r="D659" i="66"/>
  <c r="D662" i="66"/>
  <c r="D722" i="66"/>
  <c r="D728" i="66"/>
  <c r="D776" i="66"/>
  <c r="D812" i="66"/>
  <c r="D950" i="66"/>
  <c r="D1004" i="66"/>
  <c r="D1109" i="66"/>
  <c r="S37" i="22"/>
  <c r="D158" i="66"/>
  <c r="D194" i="66"/>
  <c r="D707" i="66"/>
  <c r="D731" i="66"/>
  <c r="D752" i="66"/>
  <c r="D758" i="66"/>
  <c r="D773" i="66"/>
  <c r="D824" i="66"/>
  <c r="D827" i="66"/>
  <c r="D830" i="66"/>
  <c r="D848" i="66"/>
  <c r="D857" i="66"/>
  <c r="D977" i="66"/>
  <c r="D657" i="66"/>
  <c r="D660" i="66"/>
  <c r="D675" i="66"/>
  <c r="D678" i="66"/>
  <c r="D711" i="66"/>
  <c r="D732" i="66"/>
  <c r="D735" i="66"/>
  <c r="D741" i="66"/>
  <c r="D756" i="66"/>
  <c r="D765" i="66"/>
  <c r="D768" i="66"/>
  <c r="D771" i="66"/>
  <c r="D801" i="66"/>
  <c r="D813" i="66"/>
  <c r="D825" i="66"/>
  <c r="D831" i="66"/>
  <c r="D843" i="66"/>
  <c r="D849" i="66"/>
  <c r="D888" i="66"/>
  <c r="D918" i="66"/>
  <c r="D924" i="66"/>
  <c r="D942" i="66"/>
  <c r="D969" i="66"/>
  <c r="D1032" i="66"/>
  <c r="D1047" i="66"/>
  <c r="D814" i="66"/>
  <c r="D1069" i="66"/>
  <c r="D1204" i="66"/>
  <c r="D1228" i="66"/>
  <c r="D1282" i="66"/>
  <c r="D1327" i="66"/>
  <c r="D1369" i="66"/>
  <c r="D1378" i="66"/>
  <c r="D1414" i="66"/>
  <c r="D1552" i="66"/>
  <c r="D1624" i="66"/>
  <c r="D703" i="66"/>
  <c r="D706" i="66"/>
  <c r="D709" i="66"/>
  <c r="D712" i="66"/>
  <c r="D718" i="66"/>
  <c r="D727" i="66"/>
  <c r="D733" i="66"/>
  <c r="D739" i="66"/>
  <c r="D763" i="66"/>
  <c r="D781" i="66"/>
  <c r="D784" i="66"/>
  <c r="D787" i="66"/>
  <c r="D793" i="66"/>
  <c r="D802" i="66"/>
  <c r="D811" i="66"/>
  <c r="D817" i="66"/>
  <c r="D829" i="66"/>
  <c r="D835" i="66"/>
  <c r="D841" i="66"/>
  <c r="D847" i="66"/>
  <c r="D880" i="66"/>
  <c r="D886" i="66"/>
  <c r="D892" i="66"/>
  <c r="D904" i="66"/>
  <c r="D907" i="66"/>
  <c r="D910" i="66"/>
  <c r="D925" i="66"/>
  <c r="D928" i="66"/>
  <c r="D931" i="66"/>
  <c r="D937" i="66"/>
  <c r="D940" i="66"/>
  <c r="D946" i="66"/>
  <c r="D958" i="66"/>
  <c r="D970" i="66"/>
  <c r="D973" i="66"/>
  <c r="D979" i="66"/>
  <c r="D985" i="66"/>
  <c r="D988" i="66"/>
  <c r="D994" i="66"/>
  <c r="D997" i="66"/>
  <c r="D1000" i="66"/>
  <c r="D1003" i="66"/>
  <c r="D1009" i="66"/>
  <c r="D1018" i="66"/>
  <c r="D1024" i="66"/>
  <c r="D1027" i="66"/>
  <c r="D1030" i="66"/>
  <c r="D1033" i="66"/>
  <c r="D1036" i="66"/>
  <c r="D1039" i="66"/>
  <c r="D1051" i="66"/>
  <c r="D1054" i="66"/>
  <c r="D1057" i="66"/>
  <c r="D1063" i="66"/>
  <c r="D1066" i="66"/>
  <c r="D1072" i="66"/>
  <c r="D1075" i="66"/>
  <c r="D1081" i="66"/>
  <c r="D1084" i="66"/>
  <c r="D1090" i="66"/>
  <c r="D1093" i="66"/>
  <c r="D1099" i="66"/>
  <c r="D1102" i="66"/>
  <c r="D1120" i="66"/>
  <c r="D1123" i="66"/>
  <c r="D1135" i="66"/>
  <c r="D1138" i="66"/>
  <c r="D1147" i="66"/>
  <c r="D1150" i="66"/>
  <c r="D1153" i="66"/>
  <c r="D1156" i="66"/>
  <c r="D1159" i="66"/>
  <c r="D1165" i="66"/>
  <c r="D1168" i="66"/>
  <c r="D1171" i="66"/>
  <c r="D1177" i="66"/>
  <c r="D1189" i="66"/>
  <c r="D1201" i="66"/>
  <c r="D1207" i="66"/>
  <c r="D1213" i="66"/>
  <c r="D1246" i="66"/>
  <c r="D1252" i="66"/>
  <c r="D1255" i="66"/>
  <c r="D1258" i="66"/>
  <c r="D1261" i="66"/>
  <c r="D953" i="66"/>
  <c r="D1190" i="66"/>
  <c r="D1229" i="66"/>
  <c r="D1310" i="66"/>
  <c r="D1367" i="66"/>
  <c r="D1370" i="66"/>
  <c r="D1490" i="66"/>
  <c r="D1499" i="66"/>
  <c r="D1532" i="66"/>
  <c r="D1682" i="66"/>
  <c r="D1703" i="66"/>
  <c r="D1772" i="66"/>
  <c r="D1820" i="66"/>
  <c r="D1844" i="66"/>
  <c r="D1853" i="66"/>
  <c r="D1892" i="66"/>
  <c r="D1916" i="66"/>
  <c r="D1925" i="66"/>
  <c r="D1943" i="66"/>
  <c r="D1976" i="66"/>
  <c r="D2027" i="66"/>
  <c r="D2039" i="66"/>
  <c r="D2114" i="66"/>
  <c r="D2147" i="66"/>
  <c r="D2168" i="66"/>
  <c r="D2195" i="66"/>
  <c r="D2243" i="66"/>
  <c r="D2252" i="66"/>
  <c r="D2267" i="66"/>
  <c r="D2276" i="66"/>
  <c r="D2453" i="66"/>
  <c r="D2663" i="66"/>
  <c r="D2798" i="66"/>
  <c r="D2828" i="66"/>
  <c r="D2942" i="66"/>
  <c r="D3005" i="66"/>
  <c r="D3053" i="66"/>
  <c r="D899" i="66"/>
  <c r="D905" i="66"/>
  <c r="D911" i="66"/>
  <c r="D926" i="66"/>
  <c r="D929" i="66"/>
  <c r="D971" i="66"/>
  <c r="D989" i="66"/>
  <c r="D1037" i="66"/>
  <c r="D1049" i="66"/>
  <c r="D1067" i="66"/>
  <c r="D1079" i="66"/>
  <c r="D1091" i="66"/>
  <c r="D1103" i="66"/>
  <c r="D1124" i="66"/>
  <c r="D2687" i="66"/>
  <c r="D2711" i="66"/>
  <c r="D2735" i="66"/>
  <c r="D2759" i="66"/>
  <c r="D2948" i="66"/>
  <c r="D2987" i="66"/>
  <c r="D3014" i="66"/>
  <c r="D1380" i="66"/>
  <c r="D1398" i="66"/>
  <c r="D1470" i="66"/>
  <c r="D1503" i="66"/>
  <c r="D1638" i="66"/>
  <c r="D1456" i="66"/>
  <c r="D1507" i="66"/>
  <c r="D1519" i="66"/>
  <c r="D1540" i="66"/>
  <c r="D1573" i="66"/>
  <c r="D1585" i="66"/>
  <c r="D1633" i="66"/>
  <c r="D1666" i="66"/>
  <c r="D1708" i="66"/>
  <c r="D1747" i="66"/>
  <c r="D1813" i="66"/>
  <c r="D1954" i="66"/>
  <c r="D2062" i="66"/>
  <c r="D2065" i="66"/>
  <c r="D2077" i="66"/>
  <c r="D2140" i="66"/>
  <c r="D2287" i="66"/>
  <c r="D2296" i="66"/>
  <c r="D2299" i="66"/>
  <c r="D2323" i="66"/>
  <c r="D2371" i="66"/>
  <c r="D2374" i="66"/>
  <c r="D2395" i="66"/>
  <c r="D2404" i="66"/>
  <c r="D2476" i="66"/>
  <c r="D2500" i="66"/>
  <c r="D2548" i="66"/>
  <c r="D2572" i="66"/>
  <c r="D2620" i="66"/>
  <c r="D2644" i="66"/>
  <c r="D2692" i="66"/>
  <c r="D2716" i="66"/>
  <c r="D2764" i="66"/>
  <c r="D2800" i="66"/>
  <c r="D2824" i="66"/>
  <c r="D2848" i="66"/>
  <c r="D2872" i="66"/>
  <c r="D2896" i="66"/>
  <c r="D2920" i="66"/>
  <c r="D3034" i="66"/>
  <c r="D3049" i="66"/>
  <c r="D3073" i="66"/>
  <c r="D3097" i="66"/>
  <c r="D3121" i="66"/>
  <c r="D3145" i="66"/>
  <c r="D3310" i="66"/>
  <c r="D1270" i="66"/>
  <c r="D1291" i="66"/>
  <c r="D1297" i="66"/>
  <c r="D1300" i="66"/>
  <c r="D1303" i="66"/>
  <c r="D1312" i="66"/>
  <c r="D1318" i="66"/>
  <c r="D1321" i="66"/>
  <c r="D1345" i="66"/>
  <c r="D1351" i="66"/>
  <c r="D1363" i="66"/>
  <c r="D1366" i="66"/>
  <c r="D1390" i="66"/>
  <c r="D1402" i="66"/>
  <c r="D1405" i="66"/>
  <c r="D1417" i="66"/>
  <c r="D1591" i="66"/>
  <c r="D1606" i="66"/>
  <c r="D1615" i="66"/>
  <c r="D1639" i="66"/>
  <c r="D1648" i="66"/>
  <c r="D1660" i="66"/>
  <c r="D1672" i="66"/>
  <c r="D1693" i="66"/>
  <c r="D1729" i="66"/>
  <c r="D1732" i="66"/>
  <c r="D1735" i="66"/>
  <c r="D1789" i="66"/>
  <c r="D1801" i="66"/>
  <c r="D1861" i="66"/>
  <c r="D1867" i="66"/>
  <c r="D1894" i="66"/>
  <c r="D1960" i="66"/>
  <c r="D1975" i="66"/>
  <c r="D2962" i="66"/>
  <c r="AQ90" i="54"/>
  <c r="AT90" i="54" s="1"/>
  <c r="AQ92" i="54"/>
  <c r="AT92" i="54" s="1"/>
  <c r="D1553" i="66"/>
  <c r="D1592" i="66"/>
  <c r="D1601" i="66"/>
  <c r="D1628" i="66"/>
  <c r="D1676" i="66"/>
  <c r="D1757" i="66"/>
  <c r="D1778" i="66"/>
  <c r="D1874" i="66"/>
  <c r="D1907" i="66"/>
  <c r="D2036" i="66"/>
  <c r="D2081" i="66"/>
  <c r="D2102" i="66"/>
  <c r="D2144" i="66"/>
  <c r="D2207" i="66"/>
  <c r="D2228" i="66"/>
  <c r="D2306" i="66"/>
  <c r="D2384" i="66"/>
  <c r="D2459" i="66"/>
  <c r="D2792" i="66"/>
  <c r="D2816" i="66"/>
  <c r="D2840" i="66"/>
  <c r="D2864" i="66"/>
  <c r="D2888" i="66"/>
  <c r="D2912" i="66"/>
  <c r="D2936" i="66"/>
  <c r="D3041" i="66"/>
  <c r="D3065" i="66"/>
  <c r="D3089" i="66"/>
  <c r="D3113" i="66"/>
  <c r="D3137" i="66"/>
  <c r="D3167" i="66"/>
  <c r="D3191" i="66"/>
  <c r="D3215" i="66"/>
  <c r="D3239" i="66"/>
  <c r="D3263" i="66"/>
  <c r="D3287" i="66"/>
  <c r="D3311" i="66"/>
  <c r="D3314" i="66"/>
  <c r="D3389" i="66"/>
  <c r="D1631" i="66"/>
  <c r="D1745" i="66"/>
  <c r="D1760" i="66"/>
  <c r="D1769" i="66"/>
  <c r="D1781" i="66"/>
  <c r="D3443" i="66"/>
  <c r="AC58" i="75"/>
  <c r="AC59" i="75" s="1"/>
  <c r="D4717" i="66"/>
  <c r="D4732" i="66"/>
  <c r="I136" i="59"/>
  <c r="G24" i="21"/>
  <c r="AF27" i="55"/>
  <c r="AE27" i="55" s="1"/>
  <c r="B138" i="29"/>
  <c r="AL2" i="16"/>
  <c r="D9" i="66"/>
  <c r="J78" i="57"/>
  <c r="B309" i="29"/>
  <c r="G14" i="21"/>
  <c r="T30" i="42"/>
  <c r="R30" i="42" s="1"/>
  <c r="R52" i="42" s="1"/>
  <c r="X105" i="42"/>
  <c r="N124" i="59"/>
  <c r="H129" i="59"/>
  <c r="G22" i="21"/>
  <c r="E115" i="59"/>
  <c r="D69" i="66"/>
  <c r="D117" i="66"/>
  <c r="D144" i="66"/>
  <c r="D237" i="66"/>
  <c r="D240" i="66"/>
  <c r="D264" i="66"/>
  <c r="D276" i="66"/>
  <c r="D279" i="66"/>
  <c r="D327" i="66"/>
  <c r="D339" i="66"/>
  <c r="G11" i="21"/>
  <c r="R22" i="22"/>
  <c r="F20" i="20" s="1"/>
  <c r="J25" i="21"/>
  <c r="D10" i="20"/>
  <c r="L118" i="59"/>
  <c r="M118" i="59" s="1"/>
  <c r="B197" i="29"/>
  <c r="X2" i="16"/>
  <c r="AT13" i="45"/>
  <c r="K11" i="66"/>
  <c r="S10" i="66"/>
  <c r="D36" i="66"/>
  <c r="D67" i="66"/>
  <c r="D91" i="66"/>
  <c r="D94" i="66"/>
  <c r="D97" i="66"/>
  <c r="D100" i="66"/>
  <c r="D118" i="66"/>
  <c r="D163" i="66"/>
  <c r="D175" i="66"/>
  <c r="D187" i="66"/>
  <c r="D229" i="66"/>
  <c r="D232" i="66"/>
  <c r="D253" i="66"/>
  <c r="D262" i="66"/>
  <c r="D268" i="66"/>
  <c r="D274" i="66"/>
  <c r="D292" i="66"/>
  <c r="D304" i="66"/>
  <c r="D310" i="66"/>
  <c r="D319" i="66"/>
  <c r="D325" i="66"/>
  <c r="D331" i="66"/>
  <c r="D349" i="66"/>
  <c r="D352" i="66"/>
  <c r="D370" i="66"/>
  <c r="D382" i="66"/>
  <c r="D397" i="66"/>
  <c r="D403" i="66"/>
  <c r="D409" i="66"/>
  <c r="D415" i="66"/>
  <c r="D421" i="66"/>
  <c r="D430" i="66"/>
  <c r="D439" i="66"/>
  <c r="D445" i="66"/>
  <c r="D451" i="66"/>
  <c r="D460" i="66"/>
  <c r="D466" i="66"/>
  <c r="D469" i="66"/>
  <c r="D472" i="66"/>
  <c r="D475" i="66"/>
  <c r="D484" i="66"/>
  <c r="D496" i="66"/>
  <c r="J79" i="57"/>
  <c r="J75" i="57"/>
  <c r="J76" i="57" s="1"/>
  <c r="Q17" i="54"/>
  <c r="Z15" i="54" s="1"/>
  <c r="D6" i="21"/>
  <c r="Y17" i="21"/>
  <c r="AB17" i="21" s="1"/>
  <c r="N68" i="26" s="1"/>
  <c r="AR93" i="54"/>
  <c r="AU93" i="54" s="1"/>
  <c r="AQ95" i="54"/>
  <c r="AT95" i="54" s="1"/>
  <c r="AQ101" i="54"/>
  <c r="AT101" i="54" s="1"/>
  <c r="E83" i="7"/>
  <c r="E118" i="59"/>
  <c r="G21" i="21"/>
  <c r="L140" i="29"/>
  <c r="S42" i="22"/>
  <c r="AI2" i="16"/>
  <c r="Q20" i="22"/>
  <c r="AR95" i="54"/>
  <c r="AU95" i="54" s="1"/>
  <c r="A78" i="6"/>
  <c r="D35" i="8" s="1"/>
  <c r="A1" i="14"/>
  <c r="V7" i="66"/>
  <c r="W7" i="66"/>
  <c r="X7" i="66" s="1"/>
  <c r="Y7" i="66" s="1"/>
  <c r="Q32" i="66"/>
  <c r="R33" i="66"/>
  <c r="Q33" i="66" s="1"/>
  <c r="D125" i="66"/>
  <c r="D188" i="66"/>
  <c r="D215" i="66"/>
  <c r="D221" i="66"/>
  <c r="D227" i="66"/>
  <c r="D230" i="66"/>
  <c r="D236" i="66"/>
  <c r="D242" i="66"/>
  <c r="D245" i="66"/>
  <c r="D248" i="66"/>
  <c r="D269" i="66"/>
  <c r="D296" i="66"/>
  <c r="D365" i="66"/>
  <c r="D398" i="66"/>
  <c r="D404" i="66"/>
  <c r="D407" i="66"/>
  <c r="D422" i="66"/>
  <c r="D440" i="66"/>
  <c r="D452" i="66"/>
  <c r="D464" i="66"/>
  <c r="D482" i="66"/>
  <c r="D575" i="66"/>
  <c r="H41" i="59"/>
  <c r="BS44" i="16"/>
  <c r="BT44" i="16" s="1"/>
  <c r="BU44" i="16" s="1"/>
  <c r="BV44" i="16" s="1"/>
  <c r="BW44" i="16" s="1"/>
  <c r="BX44" i="16" s="1"/>
  <c r="BY44" i="16" s="1"/>
  <c r="BZ44" i="16" s="1"/>
  <c r="CA44" i="16" s="1"/>
  <c r="CB44" i="16" s="1"/>
  <c r="CC44" i="16" s="1"/>
  <c r="CD44" i="16" s="1"/>
  <c r="CE44" i="16" s="1"/>
  <c r="K138" i="59"/>
  <c r="L138" i="59" s="1"/>
  <c r="T54" i="61"/>
  <c r="D108" i="66"/>
  <c r="D141" i="66"/>
  <c r="D291" i="66"/>
  <c r="D270" i="66"/>
  <c r="D324" i="66"/>
  <c r="D354" i="66"/>
  <c r="D357" i="66"/>
  <c r="D366" i="66"/>
  <c r="D390" i="66"/>
  <c r="D417" i="66"/>
  <c r="D456" i="66"/>
  <c r="D498" i="66"/>
  <c r="D510" i="66"/>
  <c r="D525" i="66"/>
  <c r="D528" i="66"/>
  <c r="D531" i="66"/>
  <c r="D546" i="66"/>
  <c r="D549" i="66"/>
  <c r="D552" i="66"/>
  <c r="D582" i="66"/>
  <c r="D597" i="66"/>
  <c r="D600" i="66"/>
  <c r="D603" i="66"/>
  <c r="D606" i="66"/>
  <c r="D618" i="66"/>
  <c r="D624" i="66"/>
  <c r="D630" i="66"/>
  <c r="D633" i="66"/>
  <c r="D639" i="66"/>
  <c r="D645" i="66"/>
  <c r="D648" i="66"/>
  <c r="D651" i="66"/>
  <c r="D654" i="66"/>
  <c r="D669" i="66"/>
  <c r="D672" i="66"/>
  <c r="D687" i="66"/>
  <c r="D693" i="66"/>
  <c r="D696" i="66"/>
  <c r="D705" i="66"/>
  <c r="D717" i="66"/>
  <c r="D720" i="66"/>
  <c r="D738" i="66"/>
  <c r="D744" i="66"/>
  <c r="D750" i="66"/>
  <c r="D762" i="66"/>
  <c r="D789" i="66"/>
  <c r="D804" i="66"/>
  <c r="D810" i="66"/>
  <c r="D822" i="66"/>
  <c r="D834" i="66"/>
  <c r="D858" i="66"/>
  <c r="D861" i="66"/>
  <c r="D864" i="66"/>
  <c r="D873" i="66"/>
  <c r="D876" i="66"/>
  <c r="D882" i="66"/>
  <c r="D897" i="66"/>
  <c r="D900" i="66"/>
  <c r="D906" i="66"/>
  <c r="D915" i="66"/>
  <c r="D933" i="66"/>
  <c r="D936" i="66"/>
  <c r="D939" i="66"/>
  <c r="D945" i="66"/>
  <c r="D954" i="66"/>
  <c r="D996" i="66"/>
  <c r="D1008" i="66"/>
  <c r="D1026" i="66"/>
  <c r="D1035" i="66"/>
  <c r="D1041" i="66"/>
  <c r="D1056" i="66"/>
  <c r="D1065" i="66"/>
  <c r="D1068" i="66"/>
  <c r="D1122" i="66"/>
  <c r="D1137" i="66"/>
  <c r="D1188" i="66"/>
  <c r="D1194" i="66"/>
  <c r="D1200" i="66"/>
  <c r="D1212" i="66"/>
  <c r="D1230" i="66"/>
  <c r="D1233" i="66"/>
  <c r="D1245" i="66"/>
  <c r="D1296" i="66"/>
  <c r="D1317" i="66"/>
  <c r="D1326" i="66"/>
  <c r="D1341" i="66"/>
  <c r="D1350" i="66"/>
  <c r="D1362" i="66"/>
  <c r="D45" i="66"/>
  <c r="D196" i="66"/>
  <c r="D217" i="66"/>
  <c r="D301" i="66"/>
  <c r="D1447" i="66"/>
  <c r="D1450" i="66"/>
  <c r="D1465" i="66"/>
  <c r="D1474" i="66"/>
  <c r="D1483" i="66"/>
  <c r="D1486" i="66"/>
  <c r="D1489" i="66"/>
  <c r="D1513" i="66"/>
  <c r="D1531" i="66"/>
  <c r="D1534" i="66"/>
  <c r="D1555" i="66"/>
  <c r="D1558" i="66"/>
  <c r="D1564" i="66"/>
  <c r="D502" i="66"/>
  <c r="D697" i="66"/>
  <c r="D715" i="66"/>
  <c r="D754" i="66"/>
  <c r="D796" i="66"/>
  <c r="D844" i="66"/>
  <c r="D850" i="66"/>
  <c r="D853" i="66"/>
  <c r="D856" i="66"/>
  <c r="D874" i="66"/>
  <c r="D877" i="66"/>
  <c r="D916" i="66"/>
  <c r="D961" i="66"/>
  <c r="D964" i="66"/>
  <c r="I135" i="59"/>
  <c r="D42" i="66"/>
  <c r="D200" i="66"/>
  <c r="D206" i="66"/>
  <c r="D224" i="66"/>
  <c r="D254" i="66"/>
  <c r="D392" i="66"/>
  <c r="D419" i="66"/>
  <c r="D434" i="66"/>
  <c r="D344" i="66"/>
  <c r="D350" i="66"/>
  <c r="D377" i="66"/>
  <c r="D380" i="66"/>
  <c r="D386" i="66"/>
  <c r="D395" i="66"/>
  <c r="D401" i="66"/>
  <c r="D416" i="66"/>
  <c r="D428" i="66"/>
  <c r="D446" i="66"/>
  <c r="D470" i="66"/>
  <c r="D491" i="66"/>
  <c r="D494" i="66"/>
  <c r="D509" i="66"/>
  <c r="D518" i="66"/>
  <c r="D596" i="66"/>
  <c r="D623" i="66"/>
  <c r="D665" i="66"/>
  <c r="D701" i="66"/>
  <c r="D737" i="66"/>
  <c r="D740" i="66"/>
  <c r="D746" i="66"/>
  <c r="D764" i="66"/>
  <c r="D791" i="66"/>
  <c r="D818" i="66"/>
  <c r="D851" i="66"/>
  <c r="D860" i="66"/>
  <c r="D875" i="66"/>
  <c r="D878" i="66"/>
  <c r="D887" i="66"/>
  <c r="D902" i="66"/>
  <c r="D932" i="66"/>
  <c r="D962" i="66"/>
  <c r="D1019" i="66"/>
  <c r="D1061" i="66"/>
  <c r="D1088" i="66"/>
  <c r="D1115" i="66"/>
  <c r="D1130" i="66"/>
  <c r="D1145" i="66"/>
  <c r="D1148" i="66"/>
  <c r="D1172" i="66"/>
  <c r="D1214" i="66"/>
  <c r="D1259" i="66"/>
  <c r="D1262" i="66"/>
  <c r="D1265" i="66"/>
  <c r="D1280" i="66"/>
  <c r="D1283" i="66"/>
  <c r="D1289" i="66"/>
  <c r="D1313" i="66"/>
  <c r="D1334" i="66"/>
  <c r="D1346" i="66"/>
  <c r="D1355" i="66"/>
  <c r="D1373" i="66"/>
  <c r="D1415" i="66"/>
  <c r="D1421" i="66"/>
  <c r="D1427" i="66"/>
  <c r="D1430" i="66"/>
  <c r="D1436" i="66"/>
  <c r="D1463" i="66"/>
  <c r="D1508" i="66"/>
  <c r="D1511" i="66"/>
  <c r="D1535" i="66"/>
  <c r="D1565" i="66"/>
  <c r="D1586" i="66"/>
  <c r="D78" i="66"/>
  <c r="D93" i="66"/>
  <c r="D123" i="66"/>
  <c r="D342" i="66"/>
  <c r="D74" i="66"/>
  <c r="D92" i="66"/>
  <c r="D110" i="66"/>
  <c r="D122" i="66"/>
  <c r="D128" i="66"/>
  <c r="D134" i="66"/>
  <c r="D140" i="66"/>
  <c r="D146" i="66"/>
  <c r="D149" i="66"/>
  <c r="D155" i="66"/>
  <c r="D164" i="66"/>
  <c r="D173" i="66"/>
  <c r="D503" i="66"/>
  <c r="D506" i="66"/>
  <c r="D524" i="66"/>
  <c r="D539" i="66"/>
  <c r="D545" i="66"/>
  <c r="D551" i="66"/>
  <c r="D3362" i="66"/>
  <c r="D3392" i="66"/>
  <c r="D3440" i="66"/>
  <c r="D1011" i="66"/>
  <c r="D1020" i="66"/>
  <c r="D1029" i="66"/>
  <c r="D1095" i="66"/>
  <c r="D1101" i="66"/>
  <c r="D1110" i="66"/>
  <c r="D1119" i="66"/>
  <c r="D1185" i="66"/>
  <c r="D1221" i="66"/>
  <c r="D1257" i="66"/>
  <c r="D1269" i="66"/>
  <c r="D1278" i="66"/>
  <c r="D1281" i="66"/>
  <c r="D1284" i="66"/>
  <c r="D1293" i="66"/>
  <c r="D1302" i="66"/>
  <c r="D1329" i="66"/>
  <c r="D1365" i="66"/>
  <c r="D1374" i="66"/>
  <c r="D1377" i="66"/>
  <c r="D1413" i="66"/>
  <c r="D1422" i="66"/>
  <c r="D1425" i="66"/>
  <c r="D1437" i="66"/>
  <c r="D1449" i="66"/>
  <c r="D1521" i="66"/>
  <c r="D1554" i="66"/>
  <c r="D1602" i="66"/>
  <c r="D1677" i="66"/>
  <c r="D1725" i="66"/>
  <c r="D2142" i="66"/>
  <c r="D2322" i="66"/>
  <c r="D4179" i="66"/>
  <c r="D5013" i="66"/>
  <c r="D5436" i="66"/>
  <c r="V58" i="75"/>
  <c r="V59" i="75" s="1"/>
  <c r="D4198" i="66"/>
  <c r="D4288" i="66"/>
  <c r="D4312" i="66"/>
  <c r="D4342" i="66"/>
  <c r="D3316" i="66"/>
  <c r="D3319" i="66"/>
  <c r="D3343" i="66"/>
  <c r="D3352" i="66"/>
  <c r="D3358" i="66"/>
  <c r="D3364" i="66"/>
  <c r="D3367" i="66"/>
  <c r="D3388" i="66"/>
  <c r="D3391" i="66"/>
  <c r="D3394" i="66"/>
  <c r="D3415" i="66"/>
  <c r="D3436" i="66"/>
  <c r="D3439" i="66"/>
  <c r="D3442" i="66"/>
  <c r="D3448" i="66"/>
  <c r="D3460" i="66"/>
  <c r="D3463" i="66"/>
  <c r="D3475" i="66"/>
  <c r="D3478" i="66"/>
  <c r="D3490" i="66"/>
  <c r="D3499" i="66"/>
  <c r="D3589" i="66"/>
  <c r="D3610" i="66"/>
  <c r="D3616" i="66"/>
  <c r="D3715" i="66"/>
  <c r="D3718" i="66"/>
  <c r="D3781" i="66"/>
  <c r="D3784" i="66"/>
  <c r="D3913" i="66"/>
  <c r="D3943" i="66"/>
  <c r="D3952" i="66"/>
  <c r="D3976" i="66"/>
  <c r="D3991" i="66"/>
  <c r="D4009" i="66"/>
  <c r="D4033" i="66"/>
  <c r="D4057" i="66"/>
  <c r="D4081" i="66"/>
  <c r="D4105" i="66"/>
  <c r="D4129" i="66"/>
  <c r="D4153" i="66"/>
  <c r="D569" i="66"/>
  <c r="D572" i="66"/>
  <c r="D578" i="66"/>
  <c r="D581" i="66"/>
  <c r="D590" i="66"/>
  <c r="D599" i="66"/>
  <c r="D602" i="66"/>
  <c r="D608" i="66"/>
  <c r="D614" i="66"/>
  <c r="D620" i="66"/>
  <c r="D629" i="66"/>
  <c r="D647" i="66"/>
  <c r="D653" i="66"/>
  <c r="D656" i="66"/>
  <c r="D671" i="66"/>
  <c r="D674" i="66"/>
  <c r="D677" i="66"/>
  <c r="D680" i="66"/>
  <c r="D692" i="66"/>
  <c r="D710" i="66"/>
  <c r="D713" i="66"/>
  <c r="D716" i="66"/>
  <c r="D719" i="66"/>
  <c r="D743" i="66"/>
  <c r="D755" i="66"/>
  <c r="D761" i="66"/>
  <c r="D770" i="66"/>
  <c r="D779" i="66"/>
  <c r="D782" i="66"/>
  <c r="D788" i="66"/>
  <c r="D794" i="66"/>
  <c r="D797" i="66"/>
  <c r="D800" i="66"/>
  <c r="D815" i="66"/>
  <c r="D821" i="66"/>
  <c r="D833" i="66"/>
  <c r="D839" i="66"/>
  <c r="D845" i="66"/>
  <c r="D854" i="66"/>
  <c r="D863" i="66"/>
  <c r="D866" i="66"/>
  <c r="D869" i="66"/>
  <c r="D872" i="66"/>
  <c r="D881" i="66"/>
  <c r="D884" i="66"/>
  <c r="D890" i="66"/>
  <c r="D893" i="66"/>
  <c r="D908" i="66"/>
  <c r="D914" i="66"/>
  <c r="D917" i="66"/>
  <c r="D920" i="66"/>
  <c r="D941" i="66"/>
  <c r="D965" i="66"/>
  <c r="D992" i="66"/>
  <c r="D1022" i="66"/>
  <c r="D1043" i="66"/>
  <c r="D1046" i="66"/>
  <c r="D1052" i="66"/>
  <c r="D1085" i="66"/>
  <c r="D1127" i="66"/>
  <c r="D1133" i="66"/>
  <c r="D1136" i="66"/>
  <c r="D1193" i="66"/>
  <c r="D1202" i="66"/>
  <c r="D1205" i="66"/>
  <c r="D1301" i="66"/>
  <c r="D1439" i="66"/>
  <c r="D1445" i="66"/>
  <c r="D1541" i="66"/>
  <c r="D1613" i="66"/>
  <c r="D1658" i="66"/>
  <c r="D1739" i="66"/>
  <c r="D1793" i="66"/>
  <c r="D1796" i="66"/>
  <c r="D1865" i="66"/>
  <c r="D2399" i="66"/>
  <c r="D2456" i="66"/>
  <c r="D2504" i="66"/>
  <c r="D2522" i="66"/>
  <c r="D2720" i="66"/>
  <c r="D2744" i="66"/>
  <c r="D3038" i="66"/>
  <c r="D3302" i="66"/>
  <c r="D3308" i="66"/>
  <c r="U33" i="26"/>
  <c r="O31" i="26"/>
  <c r="O33" i="26"/>
  <c r="AD18" i="26"/>
  <c r="W39" i="59"/>
  <c r="R39" i="59"/>
  <c r="O27" i="19"/>
  <c r="N26" i="19"/>
  <c r="N27" i="19" s="1"/>
  <c r="J39" i="42"/>
  <c r="I7" i="42" s="1"/>
  <c r="Q55" i="42"/>
  <c r="W39" i="42"/>
  <c r="O8" i="59"/>
  <c r="G125" i="7" s="1"/>
  <c r="G128" i="7" s="1"/>
  <c r="G131" i="7" s="1"/>
  <c r="G137" i="7" s="1"/>
  <c r="G140" i="7" s="1"/>
  <c r="G143" i="7" s="1"/>
  <c r="D16" i="21"/>
  <c r="E138" i="7"/>
  <c r="S100" i="6"/>
  <c r="L123" i="29"/>
  <c r="B123" i="29" s="1"/>
  <c r="BS46" i="16"/>
  <c r="H136" i="59"/>
  <c r="N119" i="59"/>
  <c r="A1" i="29"/>
  <c r="G121" i="59"/>
  <c r="D14" i="21"/>
  <c r="S71" i="6"/>
  <c r="AH3" i="16"/>
  <c r="A81" i="6"/>
  <c r="D38" i="8" s="1"/>
  <c r="B282" i="29"/>
  <c r="D28" i="57"/>
  <c r="D36" i="57" s="1"/>
  <c r="D15" i="58" s="1"/>
  <c r="D13" i="21"/>
  <c r="AQ81" i="54"/>
  <c r="AT81" i="54" s="1"/>
  <c r="A79" i="6"/>
  <c r="D36" i="8" s="1"/>
  <c r="B61" i="29"/>
  <c r="S96" i="6"/>
  <c r="R16" i="22"/>
  <c r="T16" i="22" s="1"/>
  <c r="Q22" i="22"/>
  <c r="D20" i="20" s="1"/>
  <c r="AA16" i="45"/>
  <c r="AR79" i="54"/>
  <c r="AU79" i="54" s="1"/>
  <c r="AR81" i="54"/>
  <c r="AU81" i="54" s="1"/>
  <c r="AQ83" i="54"/>
  <c r="AT83" i="54" s="1"/>
  <c r="AQ85" i="54"/>
  <c r="AT85" i="54" s="1"/>
  <c r="AQ110" i="54"/>
  <c r="AT110" i="54" s="1"/>
  <c r="AR99" i="54"/>
  <c r="AU99" i="54" s="1"/>
  <c r="AA3" i="16"/>
  <c r="AL4" i="16"/>
  <c r="I16" i="45"/>
  <c r="F29" i="55"/>
  <c r="D117" i="59"/>
  <c r="S86" i="6"/>
  <c r="S70" i="6"/>
  <c r="N114" i="59"/>
  <c r="T20" i="19"/>
  <c r="S20" i="19" s="1"/>
  <c r="S21" i="19" s="1"/>
  <c r="U33" i="59"/>
  <c r="C47" i="8"/>
  <c r="AE4" i="16"/>
  <c r="AQ103" i="54"/>
  <c r="AT103" i="54" s="1"/>
  <c r="H38" i="59"/>
  <c r="G8" i="55"/>
  <c r="L9" i="66"/>
  <c r="D22" i="66"/>
  <c r="N120" i="59"/>
  <c r="AQ78" i="54"/>
  <c r="AT78" i="54" s="1"/>
  <c r="S33" i="59"/>
  <c r="D120" i="59"/>
  <c r="X13" i="19"/>
  <c r="AR82" i="54"/>
  <c r="AU82" i="54" s="1"/>
  <c r="AQ84" i="54"/>
  <c r="AT84" i="54" s="1"/>
  <c r="AQ107" i="54"/>
  <c r="AT107" i="54" s="1"/>
  <c r="AQ109" i="54"/>
  <c r="AT109" i="54" s="1"/>
  <c r="D40" i="66"/>
  <c r="H37" i="59"/>
  <c r="H130" i="59"/>
  <c r="E120" i="59"/>
  <c r="AK2" i="16"/>
  <c r="D45" i="57"/>
  <c r="D46" i="57" s="1"/>
  <c r="D25" i="58" s="1"/>
  <c r="I68" i="6"/>
  <c r="J68" i="6" s="1"/>
  <c r="K68" i="6" s="1"/>
  <c r="I129" i="59"/>
  <c r="Q19" i="54"/>
  <c r="G120" i="59"/>
  <c r="W2" i="16"/>
  <c r="AB3" i="16"/>
  <c r="R17" i="54"/>
  <c r="Z16" i="54" s="1"/>
  <c r="F49" i="42"/>
  <c r="Y18" i="21"/>
  <c r="AB18" i="21" s="1"/>
  <c r="N69" i="26" s="1"/>
  <c r="AR84" i="54"/>
  <c r="AU84" i="54" s="1"/>
  <c r="AR105" i="54"/>
  <c r="AU105" i="54" s="1"/>
  <c r="AR109" i="54"/>
  <c r="AU109" i="54" s="1"/>
  <c r="L10" i="66"/>
  <c r="S40" i="59"/>
  <c r="Q18" i="54"/>
  <c r="R24" i="22"/>
  <c r="T24" i="22" s="1"/>
  <c r="H55" i="20" s="1"/>
  <c r="B2" i="53"/>
  <c r="L115" i="59"/>
  <c r="M115" i="59" s="1"/>
  <c r="D115" i="59"/>
  <c r="R19" i="54"/>
  <c r="A90" i="6"/>
  <c r="D47" i="8" s="1"/>
  <c r="AJ17" i="54"/>
  <c r="AR98" i="54"/>
  <c r="AU98" i="54" s="1"/>
  <c r="AR102" i="54"/>
  <c r="AU102" i="54" s="1"/>
  <c r="A99" i="6"/>
  <c r="D56" i="8" s="1"/>
  <c r="D26" i="66"/>
  <c r="D183" i="66"/>
  <c r="D216" i="66"/>
  <c r="D1017" i="66"/>
  <c r="D726" i="66"/>
  <c r="D774" i="66"/>
  <c r="D783" i="66"/>
  <c r="D807" i="66"/>
  <c r="D837" i="66"/>
  <c r="D16" i="66"/>
  <c r="D19" i="66"/>
  <c r="D57" i="66"/>
  <c r="D115" i="66"/>
  <c r="D124" i="66"/>
  <c r="D133" i="66"/>
  <c r="D136" i="66"/>
  <c r="D142" i="66"/>
  <c r="D145" i="66"/>
  <c r="D148" i="66"/>
  <c r="D154" i="66"/>
  <c r="D157" i="66"/>
  <c r="D166" i="66"/>
  <c r="D172" i="66"/>
  <c r="D178" i="66"/>
  <c r="D181" i="66"/>
  <c r="D190" i="66"/>
  <c r="D193" i="66"/>
  <c r="D199" i="66"/>
  <c r="D205" i="66"/>
  <c r="D208" i="66"/>
  <c r="D211" i="66"/>
  <c r="D214" i="66"/>
  <c r="D220" i="66"/>
  <c r="D223" i="66"/>
  <c r="D226" i="66"/>
  <c r="D235" i="66"/>
  <c r="D241" i="66"/>
  <c r="D244" i="66"/>
  <c r="D250" i="66"/>
  <c r="D259" i="66"/>
  <c r="D271" i="66"/>
  <c r="D295" i="66"/>
  <c r="D298" i="66"/>
  <c r="D316" i="66"/>
  <c r="D346" i="66"/>
  <c r="D355" i="66"/>
  <c r="D490" i="66"/>
  <c r="D562" i="66"/>
  <c r="D66" i="66"/>
  <c r="D77" i="66"/>
  <c r="D83" i="66"/>
  <c r="D86" i="66"/>
  <c r="D101" i="66"/>
  <c r="D113" i="66"/>
  <c r="D119" i="66"/>
  <c r="D560" i="66"/>
  <c r="D635" i="66"/>
  <c r="D938" i="66"/>
  <c r="D61" i="66"/>
  <c r="D260" i="66"/>
  <c r="D272" i="66"/>
  <c r="D275" i="66"/>
  <c r="D278" i="66"/>
  <c r="D281" i="66"/>
  <c r="D293" i="66"/>
  <c r="D302" i="66"/>
  <c r="D317" i="66"/>
  <c r="D326" i="66"/>
  <c r="D515" i="66"/>
  <c r="D533" i="66"/>
  <c r="D209" i="66"/>
  <c r="D212" i="66"/>
  <c r="D218" i="66"/>
  <c r="D239" i="66"/>
  <c r="D353" i="66"/>
  <c r="D356" i="66"/>
  <c r="D359" i="66"/>
  <c r="D362" i="66"/>
  <c r="D368" i="66"/>
  <c r="D374" i="66"/>
  <c r="D410" i="66"/>
  <c r="D413" i="66"/>
  <c r="D425" i="66"/>
  <c r="D431" i="66"/>
  <c r="D437" i="66"/>
  <c r="D449" i="66"/>
  <c r="D455" i="66"/>
  <c r="D458" i="66"/>
  <c r="D461" i="66"/>
  <c r="D473" i="66"/>
  <c r="D476" i="66"/>
  <c r="D479" i="66"/>
  <c r="D485" i="66"/>
  <c r="D488" i="66"/>
  <c r="D497" i="66"/>
  <c r="D5221" i="66"/>
  <c r="D5395" i="66"/>
  <c r="D5413" i="66"/>
  <c r="D5467" i="66"/>
  <c r="D5644" i="66"/>
  <c r="D5647" i="66"/>
  <c r="D1604" i="66"/>
  <c r="D1649" i="66"/>
  <c r="D1679" i="66"/>
  <c r="D2279" i="66"/>
  <c r="D2351" i="66"/>
  <c r="D2363" i="66"/>
  <c r="D2624" i="66"/>
  <c r="D2636" i="66"/>
  <c r="D2672" i="66"/>
  <c r="D2684" i="66"/>
  <c r="D3338" i="66"/>
  <c r="D3350" i="66"/>
  <c r="D3356" i="66"/>
  <c r="D3782" i="66"/>
  <c r="D4813" i="66"/>
  <c r="D261" i="66"/>
  <c r="D285" i="66"/>
  <c r="D408" i="66"/>
  <c r="D411" i="66"/>
  <c r="D429" i="66"/>
  <c r="D432" i="66"/>
  <c r="D441" i="66"/>
  <c r="D447" i="66"/>
  <c r="D471" i="66"/>
  <c r="D480" i="66"/>
  <c r="D483" i="66"/>
  <c r="D1241" i="66"/>
  <c r="D1286" i="66"/>
  <c r="D1307" i="66"/>
  <c r="D1322" i="66"/>
  <c r="D1394" i="66"/>
  <c r="D1502" i="66"/>
  <c r="D2528" i="66"/>
  <c r="D2558" i="66"/>
  <c r="D4217" i="66"/>
  <c r="D4715" i="66"/>
  <c r="D13" i="66"/>
  <c r="D72" i="66"/>
  <c r="D114" i="66"/>
  <c r="D126" i="66"/>
  <c r="D351" i="66"/>
  <c r="D642" i="66"/>
  <c r="D666" i="66"/>
  <c r="D690" i="66"/>
  <c r="D951" i="66"/>
  <c r="D972" i="66"/>
  <c r="D990" i="66"/>
  <c r="D993" i="66"/>
  <c r="D1005" i="66"/>
  <c r="D5237" i="66"/>
  <c r="D5816" i="66"/>
  <c r="D5825" i="66"/>
  <c r="D5912" i="66"/>
  <c r="D4769" i="66"/>
  <c r="D4973" i="66"/>
  <c r="D4979" i="66"/>
  <c r="D5732" i="66"/>
  <c r="D1191" i="66"/>
  <c r="D1779" i="66"/>
  <c r="D1800" i="66"/>
  <c r="D1977" i="66"/>
  <c r="D367" i="66"/>
  <c r="D379" i="66"/>
  <c r="D385" i="66"/>
  <c r="D1605" i="66"/>
  <c r="D1617" i="66"/>
  <c r="D1635" i="66"/>
  <c r="D1644" i="66"/>
  <c r="D3762" i="66"/>
  <c r="X58" i="75"/>
  <c r="X59" i="75" s="1"/>
  <c r="D70" i="66"/>
  <c r="D73" i="66"/>
  <c r="D76" i="66"/>
  <c r="D85" i="66"/>
  <c r="D88" i="66"/>
  <c r="D109" i="66"/>
  <c r="D112" i="66"/>
  <c r="D121" i="66"/>
  <c r="D730" i="66"/>
  <c r="D742" i="66"/>
  <c r="D766" i="66"/>
  <c r="D799" i="66"/>
  <c r="D820" i="66"/>
  <c r="D826" i="66"/>
  <c r="D4749" i="66"/>
  <c r="D5625" i="66"/>
  <c r="D6144" i="66"/>
  <c r="D694" i="66"/>
  <c r="D943" i="66"/>
  <c r="D991" i="66"/>
  <c r="D1006" i="66"/>
  <c r="D1015" i="66"/>
  <c r="D1021" i="66"/>
  <c r="D1045" i="66"/>
  <c r="D1060" i="66"/>
  <c r="D1078" i="66"/>
  <c r="D1111" i="66"/>
  <c r="D1117" i="66"/>
  <c r="D1141" i="66"/>
  <c r="D1354" i="66"/>
  <c r="D1381" i="66"/>
  <c r="D1477" i="66"/>
  <c r="D1774" i="66"/>
  <c r="D2176" i="66"/>
  <c r="D4725" i="66"/>
  <c r="D5544" i="66"/>
  <c r="N101" i="26"/>
  <c r="AD12" i="26"/>
  <c r="V36" i="22"/>
  <c r="U30" i="26"/>
  <c r="I137" i="59"/>
  <c r="AD14" i="26"/>
  <c r="AD16" i="26"/>
  <c r="S228" i="26"/>
  <c r="P34" i="42"/>
  <c r="N34" i="42" s="1"/>
  <c r="U34" i="42"/>
  <c r="S34" i="42" s="1"/>
  <c r="S53" i="42" s="1"/>
  <c r="K124" i="29"/>
  <c r="K125" i="29" s="1"/>
  <c r="K126" i="29" s="1"/>
  <c r="K127" i="29" s="1"/>
  <c r="K128" i="29" s="1"/>
  <c r="K129" i="29" s="1"/>
  <c r="K130" i="29" s="1"/>
  <c r="K131" i="29" s="1"/>
  <c r="K123" i="29"/>
  <c r="F5" i="20"/>
  <c r="R18" i="22"/>
  <c r="F18" i="20" s="1"/>
  <c r="T33" i="42"/>
  <c r="R33" i="42" s="1"/>
  <c r="R53" i="42" s="1"/>
  <c r="K16" i="10"/>
  <c r="I16" i="10" s="1"/>
  <c r="C18" i="8"/>
  <c r="A1" i="15"/>
  <c r="T33" i="59"/>
  <c r="J17" i="21"/>
  <c r="AQ102" i="54"/>
  <c r="AT102" i="54" s="1"/>
  <c r="H35" i="59"/>
  <c r="R39" i="51"/>
  <c r="R28" i="51"/>
  <c r="M159" i="7" s="1"/>
  <c r="I15" i="8"/>
  <c r="A1" i="36"/>
  <c r="D24" i="58"/>
  <c r="A1" i="35"/>
  <c r="AF28" i="55"/>
  <c r="N117" i="59"/>
  <c r="L150" i="29"/>
  <c r="B150" i="29" s="1"/>
  <c r="AQ106" i="54"/>
  <c r="AT106" i="54" s="1"/>
  <c r="BX34" i="16"/>
  <c r="BY34" i="16" s="1"/>
  <c r="BZ34" i="16" s="1"/>
  <c r="CA34" i="16" s="1"/>
  <c r="CB34" i="16" s="1"/>
  <c r="CC34" i="16" s="1"/>
  <c r="CD34" i="16" s="1"/>
  <c r="CE34" i="16" s="1"/>
  <c r="CF34" i="16" s="1"/>
  <c r="CG34" i="16" s="1"/>
  <c r="B51" i="29"/>
  <c r="B173" i="29"/>
  <c r="G12" i="21"/>
  <c r="A1" i="37"/>
  <c r="A1" i="27"/>
  <c r="A1" i="10"/>
  <c r="T75" i="55"/>
  <c r="T81" i="55" s="1"/>
  <c r="AT12" i="45"/>
  <c r="AJ15" i="54"/>
  <c r="AJ16" i="54" s="1"/>
  <c r="G4" i="21"/>
  <c r="H135" i="59"/>
  <c r="S76" i="55"/>
  <c r="S82" i="55" s="1"/>
  <c r="Q15" i="22"/>
  <c r="D17" i="20" s="1"/>
  <c r="AQ82" i="54"/>
  <c r="AT82" i="54" s="1"/>
  <c r="D111" i="66"/>
  <c r="D132" i="66"/>
  <c r="D147" i="66"/>
  <c r="D150" i="66"/>
  <c r="D177" i="66"/>
  <c r="D186" i="66"/>
  <c r="D192" i="66"/>
  <c r="D195" i="66"/>
  <c r="D204" i="66"/>
  <c r="D207" i="66"/>
  <c r="D213" i="66"/>
  <c r="D219" i="66"/>
  <c r="D228" i="66"/>
  <c r="D243" i="66"/>
  <c r="D252" i="66"/>
  <c r="D255" i="66"/>
  <c r="D387" i="66"/>
  <c r="D393" i="66"/>
  <c r="D399" i="66"/>
  <c r="T77" i="55"/>
  <c r="T83" i="55" s="1"/>
  <c r="T86" i="55" s="1"/>
  <c r="T88" i="55" s="1"/>
  <c r="AU12" i="45"/>
  <c r="U39" i="59"/>
  <c r="G25" i="21"/>
  <c r="S75" i="55"/>
  <c r="S81" i="55" s="1"/>
  <c r="D16" i="45"/>
  <c r="AQ97" i="54"/>
  <c r="AT97" i="54" s="1"/>
  <c r="AQ99" i="54"/>
  <c r="AT99" i="54" s="1"/>
  <c r="Q12" i="54" a="1"/>
  <c r="R13" i="54" s="1"/>
  <c r="A1" i="11"/>
  <c r="AU13" i="45"/>
  <c r="AO19" i="45"/>
  <c r="AD21" i="55"/>
  <c r="AD22" i="55" s="1"/>
  <c r="A1" i="58"/>
  <c r="A1" i="8"/>
  <c r="S39" i="59"/>
  <c r="N122" i="59"/>
  <c r="A59" i="6"/>
  <c r="A16" i="8" s="1"/>
  <c r="AP19" i="45"/>
  <c r="O33" i="42"/>
  <c r="M33" i="42" s="1"/>
  <c r="AD15" i="26"/>
  <c r="AR97" i="54"/>
  <c r="AU97" i="54" s="1"/>
  <c r="D49" i="66"/>
  <c r="D52" i="66"/>
  <c r="AX66" i="66"/>
  <c r="D90" i="66"/>
  <c r="D99" i="66"/>
  <c r="D102" i="66"/>
  <c r="D25" i="66"/>
  <c r="D34" i="66"/>
  <c r="D37" i="66"/>
  <c r="T39" i="59"/>
  <c r="AY18" i="45"/>
  <c r="D52" i="42"/>
  <c r="A76" i="6"/>
  <c r="D33" i="8" s="1"/>
  <c r="AG4" i="55"/>
  <c r="AG5" i="55" s="1"/>
  <c r="A1" i="38"/>
  <c r="J19" i="21"/>
  <c r="O5" i="21"/>
  <c r="J9" i="21" s="1"/>
  <c r="J10" i="21" s="1"/>
  <c r="F27" i="63"/>
  <c r="U4" i="16"/>
  <c r="D4" i="21"/>
  <c r="H134" i="59"/>
  <c r="K129" i="59"/>
  <c r="L129" i="59" s="1"/>
  <c r="D14" i="66"/>
  <c r="D139" i="66"/>
  <c r="D27" i="63"/>
  <c r="T22" i="22"/>
  <c r="AI4" i="55"/>
  <c r="AI5" i="55" s="1"/>
  <c r="AN2" i="16"/>
  <c r="J11" i="21"/>
  <c r="V11" i="21" s="1"/>
  <c r="G20" i="21"/>
  <c r="G19" i="21"/>
  <c r="S54" i="21"/>
  <c r="S55" i="21" s="1"/>
  <c r="AQ88" i="54"/>
  <c r="AT88" i="54" s="1"/>
  <c r="AR90" i="54"/>
  <c r="AU90" i="54" s="1"/>
  <c r="AQ94" i="54"/>
  <c r="AT94" i="54" s="1"/>
  <c r="AT15" i="45"/>
  <c r="AT16" i="45" s="1"/>
  <c r="H133" i="59"/>
  <c r="D574" i="66"/>
  <c r="D592" i="66"/>
  <c r="D601" i="66"/>
  <c r="D610" i="66"/>
  <c r="D637" i="66"/>
  <c r="D640" i="66"/>
  <c r="AB4" i="16"/>
  <c r="A1" i="24"/>
  <c r="AP13" i="45"/>
  <c r="G15" i="21"/>
  <c r="AS87" i="28"/>
  <c r="B87" i="28" s="1"/>
  <c r="A1" i="68"/>
  <c r="N121" i="59"/>
  <c r="G17" i="21"/>
  <c r="A1" i="34"/>
  <c r="A82" i="6"/>
  <c r="D39" i="8" s="1"/>
  <c r="B121" i="29"/>
  <c r="G23" i="21"/>
  <c r="AR107" i="54"/>
  <c r="AU107" i="54" s="1"/>
  <c r="D235" i="26"/>
  <c r="N239" i="26" s="1"/>
  <c r="D72" i="42"/>
  <c r="D74" i="42" s="1"/>
  <c r="D48" i="66"/>
  <c r="D18" i="66"/>
  <c r="D299" i="66"/>
  <c r="D329" i="66"/>
  <c r="D332" i="66"/>
  <c r="D341" i="66"/>
  <c r="D347" i="66"/>
  <c r="C60" i="15"/>
  <c r="C58" i="15"/>
  <c r="D30" i="66"/>
  <c r="D151" i="66"/>
  <c r="D160" i="66"/>
  <c r="D247" i="66"/>
  <c r="D337" i="66"/>
  <c r="D343" i="66"/>
  <c r="D459" i="66"/>
  <c r="D513" i="66"/>
  <c r="D558" i="66"/>
  <c r="D1438" i="66"/>
  <c r="D1441" i="66"/>
  <c r="D2750" i="66"/>
  <c r="D3386" i="66"/>
  <c r="D3434" i="66"/>
  <c r="D3482" i="66"/>
  <c r="D3494" i="66"/>
  <c r="D3500" i="66"/>
  <c r="D3506" i="66"/>
  <c r="D3518" i="66"/>
  <c r="D4915" i="66"/>
  <c r="D4954" i="66"/>
  <c r="D4969" i="66"/>
  <c r="D4975" i="66"/>
  <c r="D5796" i="66"/>
  <c r="D5862" i="66"/>
  <c r="D5889" i="66"/>
  <c r="D6006" i="66"/>
  <c r="D6087" i="66"/>
  <c r="D6096" i="66"/>
  <c r="D6120" i="66"/>
  <c r="D47" i="66"/>
  <c r="D104" i="66"/>
  <c r="D107" i="66"/>
  <c r="D116" i="66"/>
  <c r="D131" i="66"/>
  <c r="D534" i="66"/>
  <c r="D968" i="66"/>
  <c r="D1007" i="66"/>
  <c r="D1705" i="66"/>
  <c r="D1792" i="66"/>
  <c r="D1912" i="66"/>
  <c r="D3410" i="66"/>
  <c r="D3458" i="66"/>
  <c r="D3746" i="66"/>
  <c r="D3857" i="66"/>
  <c r="D4753" i="66"/>
  <c r="D4765" i="66"/>
  <c r="D4858" i="66"/>
  <c r="D5002" i="66"/>
  <c r="D5062" i="66"/>
  <c r="D5784" i="66"/>
  <c r="D5790" i="66"/>
  <c r="D5835" i="66"/>
  <c r="R58" i="75"/>
  <c r="R59" i="75" s="1"/>
  <c r="D71" i="66"/>
  <c r="D80" i="66"/>
  <c r="D170" i="66"/>
  <c r="D266" i="66"/>
  <c r="D290" i="66"/>
  <c r="D487" i="66"/>
  <c r="D499" i="66"/>
  <c r="D759" i="66"/>
  <c r="D840" i="66"/>
  <c r="D1094" i="66"/>
  <c r="D1325" i="66"/>
  <c r="D1385" i="66"/>
  <c r="D1475" i="66"/>
  <c r="D1583" i="66"/>
  <c r="D5686" i="66"/>
  <c r="D31" i="66"/>
  <c r="D143" i="66"/>
  <c r="D152" i="66"/>
  <c r="D161" i="66"/>
  <c r="D167" i="66"/>
  <c r="D176" i="66"/>
  <c r="D179" i="66"/>
  <c r="D185" i="66"/>
  <c r="D251" i="66"/>
  <c r="D308" i="66"/>
  <c r="D314" i="66"/>
  <c r="D418" i="66"/>
  <c r="D909" i="66"/>
  <c r="D1328" i="66"/>
  <c r="D1493" i="66"/>
  <c r="D1577" i="66"/>
  <c r="D3489" i="66"/>
  <c r="D3678" i="66"/>
  <c r="D4721" i="66"/>
  <c r="D4733" i="66"/>
  <c r="D4751" i="66"/>
  <c r="D4775" i="66"/>
  <c r="D4781" i="66"/>
  <c r="D5767" i="66"/>
  <c r="D5782" i="66"/>
  <c r="D5794" i="66"/>
  <c r="D5965" i="66"/>
  <c r="D5992" i="66"/>
  <c r="D6085" i="66"/>
  <c r="D6124" i="66"/>
  <c r="D5450" i="66"/>
  <c r="D6112" i="66"/>
  <c r="D619" i="66"/>
  <c r="D721" i="66"/>
  <c r="D846" i="66"/>
  <c r="D1077" i="66"/>
  <c r="D1619" i="66"/>
  <c r="D1829" i="66"/>
  <c r="D2309" i="66"/>
  <c r="D2327" i="66"/>
  <c r="D2375" i="66"/>
  <c r="D2393" i="66"/>
  <c r="D3768" i="66"/>
  <c r="D4209" i="66"/>
  <c r="D4757" i="66"/>
  <c r="D4931" i="66"/>
  <c r="D5054" i="66"/>
  <c r="D4719" i="66"/>
  <c r="D4743" i="66"/>
  <c r="D32" i="66"/>
  <c r="D35" i="66"/>
  <c r="D38" i="66"/>
  <c r="D65" i="66"/>
  <c r="D153" i="66"/>
  <c r="D165" i="66"/>
  <c r="D554" i="66"/>
  <c r="D790" i="66"/>
  <c r="D934" i="66"/>
  <c r="D1083" i="66"/>
  <c r="D1485" i="66"/>
  <c r="D1569" i="66"/>
  <c r="D1752" i="66"/>
  <c r="D1773" i="66"/>
  <c r="D2180" i="66"/>
  <c r="D2333" i="66"/>
  <c r="D2444" i="66"/>
  <c r="D2480" i="66"/>
  <c r="D2492" i="66"/>
  <c r="D2552" i="66"/>
  <c r="D2600" i="66"/>
  <c r="D2618" i="66"/>
  <c r="D3592" i="66"/>
  <c r="D4737" i="66"/>
  <c r="D4755" i="66"/>
  <c r="D4947" i="66"/>
  <c r="D29" i="66"/>
  <c r="D43" i="66"/>
  <c r="D59" i="66"/>
  <c r="D82" i="66"/>
  <c r="D103" i="66"/>
  <c r="D106" i="66"/>
  <c r="D130" i="66"/>
  <c r="D530" i="66"/>
  <c r="D593" i="66"/>
  <c r="D617" i="66"/>
  <c r="D632" i="66"/>
  <c r="D775" i="66"/>
  <c r="D895" i="66"/>
  <c r="D976" i="66"/>
  <c r="D1533" i="66"/>
  <c r="D1872" i="66"/>
  <c r="D1890" i="66"/>
  <c r="D1896" i="66"/>
  <c r="D1923" i="66"/>
  <c r="D2079" i="66"/>
  <c r="D2136" i="66"/>
  <c r="D2462" i="66"/>
  <c r="D2540" i="66"/>
  <c r="D2576" i="66"/>
  <c r="D2588" i="66"/>
  <c r="D2648" i="66"/>
  <c r="D2696" i="66"/>
  <c r="D2714" i="66"/>
  <c r="D4797" i="66"/>
  <c r="D4851" i="66"/>
  <c r="D4899" i="66"/>
  <c r="D5064" i="66"/>
  <c r="D5289" i="66"/>
  <c r="D5475" i="66"/>
  <c r="D6032" i="66"/>
  <c r="AK2" i="75"/>
  <c r="D5574" i="66"/>
  <c r="D5876" i="66"/>
  <c r="Z58" i="75"/>
  <c r="Z59" i="75" s="1"/>
  <c r="D683" i="66"/>
  <c r="D686" i="66"/>
  <c r="D1794" i="66"/>
  <c r="D1953" i="66"/>
  <c r="D2166" i="66"/>
  <c r="D2654" i="66"/>
  <c r="D2732" i="66"/>
  <c r="D2768" i="66"/>
  <c r="D2780" i="66"/>
  <c r="D4183" i="66"/>
  <c r="D4723" i="66"/>
  <c r="D4741" i="66"/>
  <c r="D4747" i="66"/>
  <c r="D5223" i="66"/>
  <c r="D5421" i="66"/>
  <c r="B207" i="28"/>
  <c r="B210" i="28"/>
  <c r="B211" i="28"/>
  <c r="AH7" i="28"/>
  <c r="E73" i="7"/>
  <c r="E77" i="7"/>
  <c r="E86" i="7"/>
  <c r="E76" i="7"/>
  <c r="D38" i="7"/>
  <c r="B38" i="7" s="1"/>
  <c r="E94" i="7"/>
  <c r="BU4" i="16"/>
  <c r="BT46" i="16"/>
  <c r="CJ38" i="16" s="1"/>
  <c r="AF3" i="16"/>
  <c r="U3" i="16"/>
  <c r="Z2" i="16"/>
  <c r="Y3" i="16"/>
  <c r="AE3" i="16"/>
  <c r="X3" i="16"/>
  <c r="AL3" i="16"/>
  <c r="M7" i="54" a="1"/>
  <c r="M9" i="54" s="1"/>
  <c r="K96" i="29"/>
  <c r="K97" i="29"/>
  <c r="K98" i="29" s="1"/>
  <c r="K99" i="29" s="1"/>
  <c r="K100" i="29" s="1"/>
  <c r="K101" i="29" s="1"/>
  <c r="K102" i="29" s="1"/>
  <c r="K103" i="29" s="1"/>
  <c r="K104" i="29" s="1"/>
  <c r="P39" i="42"/>
  <c r="N39" i="42" s="1"/>
  <c r="U39" i="42"/>
  <c r="D5" i="20"/>
  <c r="D11" i="20" s="1"/>
  <c r="Q18" i="22"/>
  <c r="O31" i="22"/>
  <c r="AC2" i="16"/>
  <c r="AJ2" i="16"/>
  <c r="V2" i="16"/>
  <c r="B293" i="29"/>
  <c r="L294" i="29"/>
  <c r="BU43" i="16"/>
  <c r="BV43" i="16" s="1"/>
  <c r="BW43" i="16" s="1"/>
  <c r="BX43" i="16" s="1"/>
  <c r="BY43" i="16" s="1"/>
  <c r="BZ43" i="16" s="1"/>
  <c r="CA43" i="16" s="1"/>
  <c r="CB43" i="16" s="1"/>
  <c r="CC43" i="16" s="1"/>
  <c r="CD43" i="16" s="1"/>
  <c r="CE43" i="16" s="1"/>
  <c r="CF43" i="16" s="1"/>
  <c r="CG43" i="16" s="1"/>
  <c r="CH43" i="16" s="1"/>
  <c r="A85" i="6"/>
  <c r="D42" i="8" s="1"/>
  <c r="B85" i="6"/>
  <c r="C42" i="8" s="1"/>
  <c r="L123" i="59"/>
  <c r="M123" i="59" s="1"/>
  <c r="G123" i="59"/>
  <c r="N123" i="59"/>
  <c r="B177" i="29"/>
  <c r="L178" i="29"/>
  <c r="AR89" i="28"/>
  <c r="AR90" i="28"/>
  <c r="AR91" i="28" s="1"/>
  <c r="AR92" i="28" s="1"/>
  <c r="AR93" i="28" s="1"/>
  <c r="F4" i="20"/>
  <c r="R15" i="22"/>
  <c r="T15" i="22" s="1"/>
  <c r="Q7" i="54" a="1"/>
  <c r="B53" i="29"/>
  <c r="L54" i="29"/>
  <c r="B54" i="29" s="1"/>
  <c r="D116" i="7"/>
  <c r="D72" i="7"/>
  <c r="AB4" i="21"/>
  <c r="AB5" i="21" s="1"/>
  <c r="K160" i="29"/>
  <c r="K161" i="29" s="1"/>
  <c r="K162" i="29" s="1"/>
  <c r="B154" i="29"/>
  <c r="L155" i="29"/>
  <c r="L157" i="29" s="1"/>
  <c r="AL99" i="54"/>
  <c r="CL4" i="16"/>
  <c r="B52" i="29"/>
  <c r="H74" i="55"/>
  <c r="I74" i="55" s="1"/>
  <c r="I73" i="55"/>
  <c r="Y16" i="21"/>
  <c r="AB16" i="21" s="1"/>
  <c r="D33" i="20" s="1"/>
  <c r="F30" i="1"/>
  <c r="H32" i="1" s="1"/>
  <c r="H27" i="1"/>
  <c r="K21" i="1"/>
  <c r="F47" i="1" s="1"/>
  <c r="A92" i="6"/>
  <c r="D49" i="8" s="1"/>
  <c r="C49" i="8"/>
  <c r="B153" i="29"/>
  <c r="S72" i="6"/>
  <c r="AY12" i="45"/>
  <c r="E12" i="54" a="1"/>
  <c r="S88" i="6"/>
  <c r="J20" i="21"/>
  <c r="D40" i="45"/>
  <c r="AQ86" i="54"/>
  <c r="AT86" i="54" s="1"/>
  <c r="S84" i="6"/>
  <c r="AZ12" i="45"/>
  <c r="W11" i="54"/>
  <c r="U2" i="16"/>
  <c r="Y120" i="42"/>
  <c r="Y121" i="42" s="1"/>
  <c r="Z4" i="16"/>
  <c r="S68" i="6"/>
  <c r="S99" i="6"/>
  <c r="S82" i="6"/>
  <c r="L63" i="29"/>
  <c r="S78" i="6"/>
  <c r="S67" i="6"/>
  <c r="L299" i="29"/>
  <c r="B299" i="29" s="1"/>
  <c r="B292" i="29"/>
  <c r="D18" i="21"/>
  <c r="S73" i="6"/>
  <c r="S95" i="6"/>
  <c r="BP15" i="16"/>
  <c r="AF22" i="55"/>
  <c r="S103" i="6"/>
  <c r="S79" i="6"/>
  <c r="R23" i="22"/>
  <c r="T23" i="22" s="1"/>
  <c r="M65" i="1"/>
  <c r="H29" i="55"/>
  <c r="D310" i="29"/>
  <c r="AJ4" i="55"/>
  <c r="AZ15" i="45"/>
  <c r="AY16" i="45" s="1"/>
  <c r="AO16" i="45"/>
  <c r="O4" i="21"/>
  <c r="S97" i="6"/>
  <c r="D32" i="58"/>
  <c r="D12" i="21"/>
  <c r="R21" i="22"/>
  <c r="T21" i="22" s="1"/>
  <c r="H52" i="20" s="1"/>
  <c r="D335" i="29"/>
  <c r="E64" i="7"/>
  <c r="D218" i="29"/>
  <c r="L100" i="29"/>
  <c r="S59" i="6"/>
  <c r="J12" i="21"/>
  <c r="L55" i="29"/>
  <c r="S60" i="6"/>
  <c r="Y13" i="21"/>
  <c r="AB13" i="21" s="1"/>
  <c r="D48" i="20" s="1"/>
  <c r="S76" i="6"/>
  <c r="V32" i="59"/>
  <c r="D64" i="26"/>
  <c r="G7" i="7" s="1"/>
  <c r="AN4" i="16"/>
  <c r="J21" i="21"/>
  <c r="J18" i="21"/>
  <c r="F5930" i="66"/>
  <c r="F5929" i="66" s="1"/>
  <c r="F5928" i="66" s="1"/>
  <c r="F5927" i="66" s="1"/>
  <c r="F5926" i="66" s="1"/>
  <c r="F5925" i="66" s="1"/>
  <c r="F5924" i="66" s="1"/>
  <c r="F5923" i="66" s="1"/>
  <c r="F5922" i="66" s="1"/>
  <c r="F5921" i="66" s="1"/>
  <c r="F5920" i="66" s="1"/>
  <c r="F5919" i="66" s="1"/>
  <c r="F5918" i="66" s="1"/>
  <c r="F5917" i="66" s="1"/>
  <c r="F5916" i="66" s="1"/>
  <c r="F5915" i="66" s="1"/>
  <c r="F5914" i="66" s="1"/>
  <c r="F5913" i="66" s="1"/>
  <c r="F5912" i="66" s="1"/>
  <c r="F5911" i="66" s="1"/>
  <c r="F5910" i="66" s="1"/>
  <c r="F5909" i="66" s="1"/>
  <c r="F5908" i="66" s="1"/>
  <c r="F5907" i="66" s="1"/>
  <c r="F5906" i="66" s="1"/>
  <c r="F5905" i="66" s="1"/>
  <c r="F5904" i="66" s="1"/>
  <c r="F5903" i="66" s="1"/>
  <c r="F5902" i="66" s="1"/>
  <c r="F5901" i="66" s="1"/>
  <c r="F5900" i="66" s="1"/>
  <c r="F5899" i="66" s="1"/>
  <c r="F5898" i="66" s="1"/>
  <c r="F5897" i="66" s="1"/>
  <c r="F5896" i="66" s="1"/>
  <c r="F5895" i="66" s="1"/>
  <c r="F5894" i="66" s="1"/>
  <c r="F5893" i="66" s="1"/>
  <c r="F5892" i="66" s="1"/>
  <c r="F5891" i="66" s="1"/>
  <c r="F5890" i="66" s="1"/>
  <c r="F5889" i="66" s="1"/>
  <c r="F5888" i="66" s="1"/>
  <c r="F5887" i="66" s="1"/>
  <c r="F5886" i="66" s="1"/>
  <c r="F5885" i="66" s="1"/>
  <c r="F5884" i="66" s="1"/>
  <c r="F5883" i="66" s="1"/>
  <c r="F5882" i="66" s="1"/>
  <c r="F5881" i="66" s="1"/>
  <c r="F5880" i="66" s="1"/>
  <c r="F5879" i="66" s="1"/>
  <c r="F5878" i="66" s="1"/>
  <c r="F5877" i="66" s="1"/>
  <c r="F5876" i="66" s="1"/>
  <c r="F5875" i="66" s="1"/>
  <c r="F5874" i="66" s="1"/>
  <c r="F5873" i="66" s="1"/>
  <c r="F5872" i="66" s="1"/>
  <c r="F5871" i="66" s="1"/>
  <c r="F5870" i="66" s="1"/>
  <c r="F5869" i="66" s="1"/>
  <c r="F5868" i="66" s="1"/>
  <c r="F5867" i="66" s="1"/>
  <c r="F5866" i="66" s="1"/>
  <c r="F5865" i="66" s="1"/>
  <c r="F5864" i="66" s="1"/>
  <c r="F5863" i="66" s="1"/>
  <c r="F5862" i="66" s="1"/>
  <c r="F5861" i="66" s="1"/>
  <c r="F5860" i="66" s="1"/>
  <c r="F5859" i="66" s="1"/>
  <c r="F5858" i="66" s="1"/>
  <c r="F5857" i="66" s="1"/>
  <c r="F5856" i="66" s="1"/>
  <c r="F5855" i="66" s="1"/>
  <c r="F5854" i="66" s="1"/>
  <c r="F5853" i="66" s="1"/>
  <c r="F5852" i="66" s="1"/>
  <c r="F5851" i="66" s="1"/>
  <c r="F5850" i="66" s="1"/>
  <c r="F5849" i="66" s="1"/>
  <c r="F5848" i="66" s="1"/>
  <c r="F5847" i="66" s="1"/>
  <c r="F5846" i="66" s="1"/>
  <c r="F5845" i="66" s="1"/>
  <c r="F5844" i="66" s="1"/>
  <c r="F5843" i="66" s="1"/>
  <c r="F5842" i="66" s="1"/>
  <c r="F5841" i="66" s="1"/>
  <c r="F5840" i="66" s="1"/>
  <c r="F5839" i="66" s="1"/>
  <c r="F5838" i="66" s="1"/>
  <c r="F5837" i="66" s="1"/>
  <c r="F5836" i="66" s="1"/>
  <c r="F5835" i="66" s="1"/>
  <c r="F5834" i="66" s="1"/>
  <c r="F5833" i="66" s="1"/>
  <c r="F5832" i="66" s="1"/>
  <c r="F5831" i="66" s="1"/>
  <c r="F5830" i="66" s="1"/>
  <c r="F5829" i="66" s="1"/>
  <c r="F5828" i="66" s="1"/>
  <c r="F5827" i="66" s="1"/>
  <c r="F5826" i="66" s="1"/>
  <c r="F5825" i="66" s="1"/>
  <c r="F5824" i="66" s="1"/>
  <c r="F5823" i="66" s="1"/>
  <c r="F5822" i="66" s="1"/>
  <c r="F5821" i="66" s="1"/>
  <c r="F5820" i="66" s="1"/>
  <c r="F5819" i="66" s="1"/>
  <c r="F5818" i="66" s="1"/>
  <c r="F5817" i="66" s="1"/>
  <c r="F5816" i="66" s="1"/>
  <c r="F5815" i="66" s="1"/>
  <c r="F5814" i="66" s="1"/>
  <c r="F5813" i="66" s="1"/>
  <c r="F5812" i="66" s="1"/>
  <c r="F5811" i="66" s="1"/>
  <c r="F5810" i="66" s="1"/>
  <c r="F5809" i="66" s="1"/>
  <c r="F5808" i="66" s="1"/>
  <c r="F5807" i="66" s="1"/>
  <c r="F5806" i="66" s="1"/>
  <c r="F5805" i="66" s="1"/>
  <c r="F5804" i="66" s="1"/>
  <c r="F5803" i="66" s="1"/>
  <c r="F5802" i="66" s="1"/>
  <c r="F5801" i="66" s="1"/>
  <c r="F5800" i="66" s="1"/>
  <c r="F5799" i="66" s="1"/>
  <c r="F5798" i="66" s="1"/>
  <c r="F5797" i="66" s="1"/>
  <c r="F5796" i="66" s="1"/>
  <c r="F5795" i="66" s="1"/>
  <c r="F5794" i="66" s="1"/>
  <c r="F5793" i="66" s="1"/>
  <c r="F5792" i="66" s="1"/>
  <c r="F5791" i="66" s="1"/>
  <c r="F5790" i="66" s="1"/>
  <c r="F5789" i="66" s="1"/>
  <c r="F5788" i="66" s="1"/>
  <c r="F5787" i="66" s="1"/>
  <c r="F5786" i="66" s="1"/>
  <c r="F5785" i="66" s="1"/>
  <c r="F5784" i="66" s="1"/>
  <c r="F5783" i="66" s="1"/>
  <c r="F5782" i="66" s="1"/>
  <c r="F5781" i="66" s="1"/>
  <c r="F5780" i="66" s="1"/>
  <c r="F5779" i="66" s="1"/>
  <c r="F5778" i="66" s="1"/>
  <c r="F5777" i="66" s="1"/>
  <c r="F5776" i="66" s="1"/>
  <c r="F5775" i="66" s="1"/>
  <c r="F5774" i="66" s="1"/>
  <c r="F5773" i="66" s="1"/>
  <c r="F5772" i="66" s="1"/>
  <c r="F5771" i="66" s="1"/>
  <c r="F5770" i="66" s="1"/>
  <c r="F5769" i="66" s="1"/>
  <c r="F5768" i="66" s="1"/>
  <c r="F5767" i="66" s="1"/>
  <c r="F5766" i="66" s="1"/>
  <c r="F5765" i="66" s="1"/>
  <c r="F5764" i="66" s="1"/>
  <c r="F5763" i="66" s="1"/>
  <c r="F5762" i="66" s="1"/>
  <c r="F5761" i="66" s="1"/>
  <c r="F5760" i="66" s="1"/>
  <c r="F5759" i="66" s="1"/>
  <c r="F5758" i="66" s="1"/>
  <c r="F5757" i="66" s="1"/>
  <c r="F5756" i="66" s="1"/>
  <c r="F5755" i="66" s="1"/>
  <c r="F5754" i="66" s="1"/>
  <c r="F5753" i="66" s="1"/>
  <c r="F5752" i="66" s="1"/>
  <c r="F5751" i="66" s="1"/>
  <c r="F5750" i="66" s="1"/>
  <c r="F5749" i="66" s="1"/>
  <c r="F5748" i="66" s="1"/>
  <c r="F5747" i="66" s="1"/>
  <c r="F5746" i="66" s="1"/>
  <c r="F5745" i="66" s="1"/>
  <c r="F5744" i="66" s="1"/>
  <c r="F5743" i="66" s="1"/>
  <c r="F5742" i="66" s="1"/>
  <c r="F5741" i="66" s="1"/>
  <c r="F5740" i="66" s="1"/>
  <c r="F5739" i="66" s="1"/>
  <c r="F5738" i="66" s="1"/>
  <c r="F5737" i="66" s="1"/>
  <c r="F5736" i="66" s="1"/>
  <c r="F5735" i="66" s="1"/>
  <c r="F5734" i="66" s="1"/>
  <c r="F5733" i="66" s="1"/>
  <c r="F5732" i="66" s="1"/>
  <c r="F5731" i="66" s="1"/>
  <c r="F5730" i="66" s="1"/>
  <c r="F5729" i="66" s="1"/>
  <c r="F5728" i="66" s="1"/>
  <c r="F5727" i="66" s="1"/>
  <c r="F5726" i="66" s="1"/>
  <c r="F5725" i="66" s="1"/>
  <c r="F5724" i="66" s="1"/>
  <c r="F5723" i="66" s="1"/>
  <c r="F5722" i="66" s="1"/>
  <c r="F5721" i="66" s="1"/>
  <c r="F5720" i="66" s="1"/>
  <c r="F5719" i="66" s="1"/>
  <c r="F5718" i="66" s="1"/>
  <c r="F5717" i="66" s="1"/>
  <c r="F5716" i="66" s="1"/>
  <c r="F5715" i="66" s="1"/>
  <c r="F5714" i="66" s="1"/>
  <c r="F5713" i="66" s="1"/>
  <c r="F5712" i="66" s="1"/>
  <c r="F5711" i="66" s="1"/>
  <c r="F5710" i="66" s="1"/>
  <c r="F5709" i="66" s="1"/>
  <c r="F5708" i="66" s="1"/>
  <c r="F5707" i="66" s="1"/>
  <c r="F5706" i="66" s="1"/>
  <c r="F5705" i="66" s="1"/>
  <c r="F5704" i="66" s="1"/>
  <c r="F5703" i="66" s="1"/>
  <c r="F5702" i="66" s="1"/>
  <c r="F5701" i="66" s="1"/>
  <c r="F5700" i="66" s="1"/>
  <c r="F5699" i="66" s="1"/>
  <c r="F5698" i="66" s="1"/>
  <c r="F5697" i="66" s="1"/>
  <c r="F5696" i="66" s="1"/>
  <c r="F5695" i="66" s="1"/>
  <c r="F5694" i="66" s="1"/>
  <c r="F5693" i="66" s="1"/>
  <c r="F5692" i="66" s="1"/>
  <c r="F5691" i="66" s="1"/>
  <c r="F5690" i="66" s="1"/>
  <c r="F5689" i="66" s="1"/>
  <c r="F5688" i="66" s="1"/>
  <c r="F5687" i="66" s="1"/>
  <c r="F5686" i="66" s="1"/>
  <c r="F5685" i="66" s="1"/>
  <c r="F5684" i="66" s="1"/>
  <c r="F5683" i="66" s="1"/>
  <c r="F5682" i="66" s="1"/>
  <c r="F5681" i="66" s="1"/>
  <c r="F5680" i="66" s="1"/>
  <c r="M9" i="66"/>
  <c r="E49" i="57"/>
  <c r="E95" i="7"/>
  <c r="S81" i="6"/>
  <c r="D255" i="29"/>
  <c r="R20" i="22"/>
  <c r="S98" i="6"/>
  <c r="U32" i="59"/>
  <c r="Q49" i="1"/>
  <c r="AB19" i="26"/>
  <c r="AQ79" i="54"/>
  <c r="AT79" i="54" s="1"/>
  <c r="A65" i="6"/>
  <c r="D22" i="8" s="1"/>
  <c r="A87" i="6"/>
  <c r="D44" i="8" s="1"/>
  <c r="I128" i="59"/>
  <c r="D11" i="66"/>
  <c r="Q21" i="66"/>
  <c r="D135" i="66"/>
  <c r="D138" i="66"/>
  <c r="D168" i="66"/>
  <c r="D191" i="66"/>
  <c r="D197" i="66"/>
  <c r="D283" i="66"/>
  <c r="D313" i="66"/>
  <c r="D561" i="66"/>
  <c r="D594" i="66"/>
  <c r="D650" i="66"/>
  <c r="D778" i="66"/>
  <c r="D828" i="66"/>
  <c r="D885" i="66"/>
  <c r="D959" i="66"/>
  <c r="D1614" i="66"/>
  <c r="D2094" i="66"/>
  <c r="D2315" i="66"/>
  <c r="D2345" i="66"/>
  <c r="D2606" i="66"/>
  <c r="D2666" i="66"/>
  <c r="D3446" i="66"/>
  <c r="D3452" i="66"/>
  <c r="D3658" i="66"/>
  <c r="D3694" i="66"/>
  <c r="D4727" i="66"/>
  <c r="D4759" i="66"/>
  <c r="D4988" i="66"/>
  <c r="D5287" i="66"/>
  <c r="AG54" i="6"/>
  <c r="AO54" i="6" s="1"/>
  <c r="Q34" i="21"/>
  <c r="S34" i="21" s="1"/>
  <c r="E65" i="45"/>
  <c r="AR100" i="54"/>
  <c r="AU100" i="54" s="1"/>
  <c r="D21" i="66"/>
  <c r="D257" i="66"/>
  <c r="D511" i="66"/>
  <c r="D668" i="66"/>
  <c r="D689" i="66"/>
  <c r="D745" i="66"/>
  <c r="D808" i="66"/>
  <c r="D903" i="66"/>
  <c r="D974" i="66"/>
  <c r="D1611" i="66"/>
  <c r="D1641" i="66"/>
  <c r="D1689" i="66"/>
  <c r="D2160" i="66"/>
  <c r="D2298" i="66"/>
  <c r="D2339" i="66"/>
  <c r="D2369" i="66"/>
  <c r="D2630" i="66"/>
  <c r="D2660" i="66"/>
  <c r="D2690" i="66"/>
  <c r="D2950" i="66"/>
  <c r="D3416" i="66"/>
  <c r="D3470" i="66"/>
  <c r="D3476" i="66"/>
  <c r="D3721" i="66"/>
  <c r="D4200" i="66"/>
  <c r="D4739" i="66"/>
  <c r="D4771" i="66"/>
  <c r="D4911" i="66"/>
  <c r="D5060" i="66"/>
  <c r="D5314" i="66"/>
  <c r="D5419" i="66"/>
  <c r="D5457" i="66"/>
  <c r="D5469" i="66"/>
  <c r="D5761" i="66"/>
  <c r="D5826" i="66"/>
  <c r="D5969" i="66"/>
  <c r="D6109" i="66"/>
  <c r="F3" i="55"/>
  <c r="H3" i="55" s="1"/>
  <c r="I13" i="6"/>
  <c r="J13" i="6" s="1"/>
  <c r="E72" i="42" s="1"/>
  <c r="E74" i="42" s="1"/>
  <c r="D39" i="66"/>
  <c r="D64" i="66"/>
  <c r="D263" i="66"/>
  <c r="D426" i="66"/>
  <c r="D512" i="66"/>
  <c r="D589" i="66"/>
  <c r="D995" i="66"/>
  <c r="D1076" i="66"/>
  <c r="D1481" i="66"/>
  <c r="D1904" i="66"/>
  <c r="D2357" i="66"/>
  <c r="D2387" i="66"/>
  <c r="D2450" i="66"/>
  <c r="D2678" i="66"/>
  <c r="D2708" i="66"/>
  <c r="D2738" i="66"/>
  <c r="D3464" i="66"/>
  <c r="D3533" i="66"/>
  <c r="D4745" i="66"/>
  <c r="D4938" i="66"/>
  <c r="D5066" i="66"/>
  <c r="B212" i="28"/>
  <c r="K137" i="59"/>
  <c r="L137" i="59" s="1"/>
  <c r="D287" i="66"/>
  <c r="D521" i="66"/>
  <c r="D613" i="66"/>
  <c r="D698" i="66"/>
  <c r="D1129" i="66"/>
  <c r="D1761" i="66"/>
  <c r="D2381" i="66"/>
  <c r="D2474" i="66"/>
  <c r="D2702" i="66"/>
  <c r="D2762" i="66"/>
  <c r="D3686" i="66"/>
  <c r="D3710" i="66"/>
  <c r="D3862" i="66"/>
  <c r="D4215" i="66"/>
  <c r="D4731" i="66"/>
  <c r="D4763" i="66"/>
  <c r="D4822" i="66"/>
  <c r="D4831" i="66"/>
  <c r="D5568" i="66"/>
  <c r="D6140" i="66"/>
  <c r="E227" i="29"/>
  <c r="F39" i="55"/>
  <c r="D28" i="66"/>
  <c r="Q20" i="66"/>
  <c r="D89" i="66"/>
  <c r="D95" i="66"/>
  <c r="D184" i="66"/>
  <c r="D231" i="66"/>
  <c r="D258" i="66"/>
  <c r="D335" i="66"/>
  <c r="D465" i="66"/>
  <c r="D542" i="66"/>
  <c r="D595" i="66"/>
  <c r="D862" i="66"/>
  <c r="D1342" i="66"/>
  <c r="D1389" i="66"/>
  <c r="D1473" i="66"/>
  <c r="D1681" i="66"/>
  <c r="D1869" i="66"/>
  <c r="D2030" i="66"/>
  <c r="D2212" i="66"/>
  <c r="D2405" i="66"/>
  <c r="D2468" i="66"/>
  <c r="D2498" i="66"/>
  <c r="D2726" i="66"/>
  <c r="D2756" i="66"/>
  <c r="D2786" i="66"/>
  <c r="D2966" i="66"/>
  <c r="D3026" i="66"/>
  <c r="D3032" i="66"/>
  <c r="D5022" i="66"/>
  <c r="D5339" i="66"/>
  <c r="D5613" i="66"/>
  <c r="D5842" i="66"/>
  <c r="AQ104" i="54"/>
  <c r="AT104" i="54" s="1"/>
  <c r="H32" i="59"/>
  <c r="N11" i="66"/>
  <c r="N12" i="66" s="1"/>
  <c r="N13" i="66" s="1"/>
  <c r="N14" i="66" s="1"/>
  <c r="N15" i="66" s="1"/>
  <c r="N16" i="66" s="1"/>
  <c r="N17" i="66" s="1"/>
  <c r="N18" i="66" s="1"/>
  <c r="N19" i="66" s="1"/>
  <c r="N20" i="66" s="1"/>
  <c r="N21" i="66" s="1"/>
  <c r="N22" i="66" s="1"/>
  <c r="N23" i="66" s="1"/>
  <c r="N24" i="66" s="1"/>
  <c r="N25" i="66" s="1"/>
  <c r="N26" i="66" s="1"/>
  <c r="D6021" i="66"/>
  <c r="AB58" i="75"/>
  <c r="AB59" i="75" s="1"/>
  <c r="AR87" i="54"/>
  <c r="AU87" i="54" s="1"/>
  <c r="D12" i="66"/>
  <c r="Q22" i="66"/>
  <c r="D320" i="66"/>
  <c r="D489" i="66"/>
  <c r="D566" i="66"/>
  <c r="D634" i="66"/>
  <c r="D753" i="66"/>
  <c r="D922" i="66"/>
  <c r="D1053" i="66"/>
  <c r="D1100" i="66"/>
  <c r="D1357" i="66"/>
  <c r="D1479" i="66"/>
  <c r="D1598" i="66"/>
  <c r="D1616" i="66"/>
  <c r="D1771" i="66"/>
  <c r="D1783" i="66"/>
  <c r="D2486" i="66"/>
  <c r="D2516" i="66"/>
  <c r="D2546" i="66"/>
  <c r="D2774" i="66"/>
  <c r="D2954" i="66"/>
  <c r="D3002" i="66"/>
  <c r="D3326" i="66"/>
  <c r="D3332" i="66"/>
  <c r="D3522" i="66"/>
  <c r="D3546" i="66"/>
  <c r="D3785" i="66"/>
  <c r="D4885" i="66"/>
  <c r="D5485" i="66"/>
  <c r="D5503" i="66"/>
  <c r="D5542" i="66"/>
  <c r="D5658" i="66"/>
  <c r="D5911" i="66"/>
  <c r="S58" i="75"/>
  <c r="S59" i="75" s="1"/>
  <c r="B226" i="29"/>
  <c r="AF16" i="45"/>
  <c r="D23" i="66"/>
  <c r="D81" i="66"/>
  <c r="D137" i="66"/>
  <c r="D288" i="66"/>
  <c r="D338" i="66"/>
  <c r="D383" i="66"/>
  <c r="D442" i="66"/>
  <c r="D522" i="66"/>
  <c r="D682" i="66"/>
  <c r="D1092" i="66"/>
  <c r="D1319" i="66"/>
  <c r="D1429" i="66"/>
  <c r="D1551" i="66"/>
  <c r="D1589" i="66"/>
  <c r="D1798" i="66"/>
  <c r="D1875" i="66"/>
  <c r="D1902" i="66"/>
  <c r="D1965" i="66"/>
  <c r="D2231" i="66"/>
  <c r="D2510" i="66"/>
  <c r="D2570" i="66"/>
  <c r="D3296" i="66"/>
  <c r="D3866" i="66"/>
  <c r="D4163" i="66"/>
  <c r="D4826" i="66"/>
  <c r="D4835" i="66"/>
  <c r="O11" i="66"/>
  <c r="O12" i="66" s="1"/>
  <c r="O13" i="66" s="1"/>
  <c r="O14" i="66" s="1"/>
  <c r="O15" i="66" s="1"/>
  <c r="O16" i="66" s="1"/>
  <c r="O17" i="66" s="1"/>
  <c r="O18" i="66" s="1"/>
  <c r="D182" i="66"/>
  <c r="D336" i="66"/>
  <c r="D436" i="66"/>
  <c r="D626" i="66"/>
  <c r="D1059" i="66"/>
  <c r="D1125" i="66"/>
  <c r="D1253" i="66"/>
  <c r="D1482" i="66"/>
  <c r="D1539" i="66"/>
  <c r="D1581" i="66"/>
  <c r="D1625" i="66"/>
  <c r="D1685" i="66"/>
  <c r="D1724" i="66"/>
  <c r="D1777" i="66"/>
  <c r="D1795" i="66"/>
  <c r="D1959" i="66"/>
  <c r="D2049" i="66"/>
  <c r="D2303" i="66"/>
  <c r="D2534" i="66"/>
  <c r="D2564" i="66"/>
  <c r="D2594" i="66"/>
  <c r="D2982" i="66"/>
  <c r="D3320" i="66"/>
  <c r="D3374" i="66"/>
  <c r="D3380" i="66"/>
  <c r="D3750" i="66"/>
  <c r="D4190" i="66"/>
  <c r="D4205" i="66"/>
  <c r="D4729" i="66"/>
  <c r="D4735" i="66"/>
  <c r="D4761" i="66"/>
  <c r="D4767" i="66"/>
  <c r="D4874" i="66"/>
  <c r="D4883" i="66"/>
  <c r="D4990" i="66"/>
  <c r="D5462" i="66"/>
  <c r="D5566" i="66"/>
  <c r="D5646" i="66"/>
  <c r="D5789" i="66"/>
  <c r="Q23" i="22"/>
  <c r="D21" i="20" s="1"/>
  <c r="I31" i="40"/>
  <c r="AR14" i="65"/>
  <c r="AS14" i="65" s="1"/>
  <c r="A14" i="65" s="1"/>
  <c r="B14" i="65" s="1"/>
  <c r="H42" i="59"/>
  <c r="H31" i="59"/>
  <c r="Q23" i="66"/>
  <c r="D44" i="66"/>
  <c r="Q19" i="66"/>
  <c r="D56" i="66"/>
  <c r="D129" i="66"/>
  <c r="D3344" i="66"/>
  <c r="D3398" i="66"/>
  <c r="D3404" i="66"/>
  <c r="D4946" i="66"/>
  <c r="D5068" i="66"/>
  <c r="D5427" i="66"/>
  <c r="D5617" i="66"/>
  <c r="D5769" i="66"/>
  <c r="D5798" i="66"/>
  <c r="D6061" i="66"/>
  <c r="AJ2" i="75"/>
  <c r="T58" i="75"/>
  <c r="T59" i="75" s="1"/>
  <c r="D307" i="66"/>
  <c r="D389" i="66"/>
  <c r="D555" i="66"/>
  <c r="D792" i="66"/>
  <c r="D1575" i="66"/>
  <c r="D1655" i="66"/>
  <c r="D1825" i="66"/>
  <c r="D1885" i="66"/>
  <c r="D2013" i="66"/>
  <c r="D2109" i="66"/>
  <c r="D2172" i="66"/>
  <c r="D2297" i="66"/>
  <c r="D2321" i="66"/>
  <c r="D2582" i="66"/>
  <c r="D2612" i="66"/>
  <c r="D2642" i="66"/>
  <c r="D3368" i="66"/>
  <c r="D3422" i="66"/>
  <c r="D3428" i="66"/>
  <c r="D3532" i="66"/>
  <c r="D3574" i="66"/>
  <c r="D3586" i="66"/>
  <c r="D4196" i="66"/>
  <c r="D4809" i="66"/>
  <c r="D4961" i="66"/>
  <c r="D4982" i="66"/>
  <c r="D6171" i="66"/>
  <c r="AI2" i="75"/>
  <c r="W58" i="75"/>
  <c r="W59" i="75" s="1"/>
  <c r="CF44" i="16"/>
  <c r="CG44" i="16" s="1"/>
  <c r="BX14" i="16"/>
  <c r="B42" i="29"/>
  <c r="L43" i="29"/>
  <c r="P69" i="45"/>
  <c r="Q69" i="45" s="1"/>
  <c r="R69" i="45" s="1"/>
  <c r="S69" i="45" s="1"/>
  <c r="T69" i="45" s="1"/>
  <c r="U69" i="45" s="1"/>
  <c r="V69" i="45" s="1"/>
  <c r="W69" i="45" s="1"/>
  <c r="X69" i="45" s="1"/>
  <c r="Z67" i="45"/>
  <c r="AA67" i="45" s="1"/>
  <c r="AB67" i="45" s="1"/>
  <c r="AC67" i="45" s="1"/>
  <c r="AD67" i="45" s="1"/>
  <c r="AE67" i="45" s="1"/>
  <c r="AF67" i="45" s="1"/>
  <c r="AG67" i="45" s="1"/>
  <c r="AH67" i="45" s="1"/>
  <c r="AI67" i="45" s="1"/>
  <c r="CC22" i="16"/>
  <c r="CD22" i="16" s="1"/>
  <c r="CE22" i="16" s="1"/>
  <c r="CF22" i="16" s="1"/>
  <c r="CG22" i="16" s="1"/>
  <c r="CB26" i="16"/>
  <c r="CC26" i="16" s="1"/>
  <c r="CD26" i="16" s="1"/>
  <c r="CE26" i="16" s="1"/>
  <c r="CF26" i="16" s="1"/>
  <c r="CG26" i="16" s="1"/>
  <c r="BY11" i="16"/>
  <c r="BZ11" i="16" s="1"/>
  <c r="CA11" i="16" s="1"/>
  <c r="CB11" i="16" s="1"/>
  <c r="CC11" i="16" s="1"/>
  <c r="CD11" i="16" s="1"/>
  <c r="CE11" i="16" s="1"/>
  <c r="CF11" i="16" s="1"/>
  <c r="CG11" i="16" s="1"/>
  <c r="BX53" i="45"/>
  <c r="BY24" i="16"/>
  <c r="BZ24" i="16" s="1"/>
  <c r="CA24" i="16" s="1"/>
  <c r="CB24" i="16" s="1"/>
  <c r="CC24" i="16" s="1"/>
  <c r="CD24" i="16" s="1"/>
  <c r="CE24" i="16" s="1"/>
  <c r="CF24" i="16" s="1"/>
  <c r="CG24" i="16" s="1"/>
  <c r="BX23" i="16"/>
  <c r="K132" i="29"/>
  <c r="G31" i="22"/>
  <c r="E9" i="29"/>
  <c r="BV10" i="16"/>
  <c r="D194" i="29"/>
  <c r="D89" i="55"/>
  <c r="E95" i="55"/>
  <c r="F21" i="20"/>
  <c r="BV38" i="16"/>
  <c r="BU27" i="16"/>
  <c r="Y11" i="21"/>
  <c r="AB11" i="21" s="1"/>
  <c r="T29" i="22"/>
  <c r="F9" i="20"/>
  <c r="Q28" i="22"/>
  <c r="D12" i="20"/>
  <c r="E9" i="20" s="1"/>
  <c r="M26" i="21"/>
  <c r="N12" i="21" s="1"/>
  <c r="W12" i="21"/>
  <c r="Y12" i="21" s="1"/>
  <c r="AB12" i="21" s="1"/>
  <c r="E33" i="40"/>
  <c r="E34" i="40" s="1"/>
  <c r="E35" i="40" s="1"/>
  <c r="E31" i="40"/>
  <c r="F39" i="51"/>
  <c r="F40" i="51"/>
  <c r="AR96" i="54"/>
  <c r="AU96" i="54" s="1"/>
  <c r="AJ18" i="54"/>
  <c r="AR101" i="54"/>
  <c r="AU101" i="54" s="1"/>
  <c r="BV25" i="16"/>
  <c r="T36" i="59"/>
  <c r="S36" i="59"/>
  <c r="U36" i="59"/>
  <c r="R36" i="59"/>
  <c r="V40" i="59"/>
  <c r="V39" i="59"/>
  <c r="V36" i="59"/>
  <c r="V38" i="59"/>
  <c r="V41" i="59"/>
  <c r="V34" i="59"/>
  <c r="V43" i="59"/>
  <c r="V33" i="59"/>
  <c r="V37" i="59"/>
  <c r="V42" i="59"/>
  <c r="V35" i="59"/>
  <c r="BS41" i="16"/>
  <c r="T21" i="19"/>
  <c r="J33" i="42"/>
  <c r="I10" i="42" s="1"/>
  <c r="W33" i="42"/>
  <c r="BT20" i="16"/>
  <c r="L47" i="29"/>
  <c r="B46" i="29"/>
  <c r="B111" i="29"/>
  <c r="L112" i="29"/>
  <c r="F57" i="20"/>
  <c r="S31" i="21"/>
  <c r="D270" i="29"/>
  <c r="D246" i="29"/>
  <c r="D258" i="29"/>
  <c r="D261" i="29"/>
  <c r="D264" i="29"/>
  <c r="D273" i="29"/>
  <c r="D252" i="29"/>
  <c r="D249" i="29"/>
  <c r="D279" i="29"/>
  <c r="D267" i="29"/>
  <c r="D243" i="29"/>
  <c r="D276" i="29"/>
  <c r="AS12" i="38"/>
  <c r="H9" i="37"/>
  <c r="C9" i="37" s="1"/>
  <c r="D10" i="38" s="1"/>
  <c r="J10" i="38" s="1"/>
  <c r="M14" i="36"/>
  <c r="I10" i="34"/>
  <c r="AT15" i="35"/>
  <c r="L12" i="39"/>
  <c r="AR80" i="54"/>
  <c r="AU80" i="54" s="1"/>
  <c r="I12" i="54" a="1"/>
  <c r="E17" i="54" a="1"/>
  <c r="M17" i="54" a="1"/>
  <c r="M12" i="54" a="1"/>
  <c r="AR85" i="54"/>
  <c r="AU85" i="54" s="1"/>
  <c r="I17" i="54" a="1"/>
  <c r="T36" i="42"/>
  <c r="R36" i="42" s="1"/>
  <c r="R54" i="42" s="1"/>
  <c r="O36" i="42"/>
  <c r="M36" i="42" s="1"/>
  <c r="F37" i="42"/>
  <c r="BV30" i="16"/>
  <c r="BV13" i="16"/>
  <c r="B80" i="6"/>
  <c r="C37" i="8" s="1"/>
  <c r="A80" i="6"/>
  <c r="D37" i="8" s="1"/>
  <c r="K257" i="29"/>
  <c r="K252" i="29"/>
  <c r="K253" i="29" s="1"/>
  <c r="K254" i="29" s="1"/>
  <c r="K255" i="29" s="1"/>
  <c r="R43" i="59"/>
  <c r="W15" i="59" s="1"/>
  <c r="W43" i="59"/>
  <c r="T43" i="59"/>
  <c r="S43" i="59"/>
  <c r="W42" i="59"/>
  <c r="T42" i="59"/>
  <c r="R42" i="59"/>
  <c r="V15" i="59" s="1"/>
  <c r="S42" i="59"/>
  <c r="U42" i="59"/>
  <c r="AW10" i="57"/>
  <c r="J42" i="57" s="1"/>
  <c r="J43" i="57" s="1"/>
  <c r="J41" i="57"/>
  <c r="BB28" i="63"/>
  <c r="F28" i="63" s="1"/>
  <c r="BA28" i="63"/>
  <c r="BP43" i="16"/>
  <c r="H60" i="16"/>
  <c r="S22" i="22"/>
  <c r="H50" i="20"/>
  <c r="F10" i="20"/>
  <c r="BW31" i="16"/>
  <c r="AI27" i="55"/>
  <c r="AH28" i="55"/>
  <c r="P31" i="22"/>
  <c r="S55" i="61"/>
  <c r="R55" i="61"/>
  <c r="K26" i="29"/>
  <c r="K29" i="29"/>
  <c r="K30" i="29"/>
  <c r="H47" i="20"/>
  <c r="M21" i="26"/>
  <c r="D117" i="26"/>
  <c r="N16" i="45"/>
  <c r="N17" i="45" s="1"/>
  <c r="V16" i="45"/>
  <c r="AA17" i="45" s="1"/>
  <c r="AT18" i="45"/>
  <c r="AU18" i="45"/>
  <c r="AZ13" i="45"/>
  <c r="AY19" i="45"/>
  <c r="AY13" i="45"/>
  <c r="BT28" i="16"/>
  <c r="BS18" i="16"/>
  <c r="BT9" i="16"/>
  <c r="V41" i="22"/>
  <c r="L201" i="29"/>
  <c r="B200" i="29"/>
  <c r="U41" i="59"/>
  <c r="R41" i="59"/>
  <c r="S41" i="59"/>
  <c r="T41" i="59"/>
  <c r="W41" i="59"/>
  <c r="D17" i="63"/>
  <c r="C11" i="63"/>
  <c r="BW33" i="16"/>
  <c r="R20" i="19"/>
  <c r="V105" i="42"/>
  <c r="D36" i="20"/>
  <c r="D60" i="20"/>
  <c r="F12" i="20"/>
  <c r="G6" i="20" s="1"/>
  <c r="K13" i="1"/>
  <c r="K18" i="1"/>
  <c r="K17" i="1"/>
  <c r="K16" i="1"/>
  <c r="K12" i="1"/>
  <c r="K15" i="1"/>
  <c r="L22" i="1"/>
  <c r="L126" i="29"/>
  <c r="B125" i="29"/>
  <c r="R17" i="22"/>
  <c r="D57" i="20"/>
  <c r="C42" i="42"/>
  <c r="T41" i="42"/>
  <c r="R41" i="42" s="1"/>
  <c r="R56" i="42" s="1"/>
  <c r="J29" i="57"/>
  <c r="D54" i="57"/>
  <c r="D33" i="58" s="1"/>
  <c r="BV29" i="16"/>
  <c r="BT21" i="16"/>
  <c r="BU17" i="16"/>
  <c r="BT8" i="16"/>
  <c r="B323" i="29"/>
  <c r="L324" i="29"/>
  <c r="U34" i="59"/>
  <c r="T34" i="59"/>
  <c r="R34" i="59"/>
  <c r="S34" i="59"/>
  <c r="H128" i="59"/>
  <c r="D139" i="59"/>
  <c r="G139" i="59"/>
  <c r="J130" i="59"/>
  <c r="K130" i="59" s="1"/>
  <c r="L130" i="59" s="1"/>
  <c r="I130" i="59"/>
  <c r="B72" i="6"/>
  <c r="C29" i="8" s="1"/>
  <c r="A72" i="6"/>
  <c r="D29" i="8" s="1"/>
  <c r="BO37" i="16"/>
  <c r="CH38" i="16"/>
  <c r="BS39" i="16"/>
  <c r="CH39" i="16"/>
  <c r="BV37" i="16"/>
  <c r="BS35" i="16"/>
  <c r="F23" i="20"/>
  <c r="S20" i="22"/>
  <c r="E224" i="26" s="1"/>
  <c r="E212" i="26" s="1"/>
  <c r="D19" i="20"/>
  <c r="J22" i="21"/>
  <c r="J15" i="21"/>
  <c r="J4" i="21"/>
  <c r="J6" i="21"/>
  <c r="W22" i="21"/>
  <c r="Y22" i="21" s="1"/>
  <c r="AB22" i="21" s="1"/>
  <c r="N70" i="26" s="1"/>
  <c r="Y4" i="16"/>
  <c r="AM4" i="16"/>
  <c r="AD4" i="16"/>
  <c r="W4" i="16"/>
  <c r="V6" i="77"/>
  <c r="AL106" i="54"/>
  <c r="AI21" i="55"/>
  <c r="BS12" i="16"/>
  <c r="BT6" i="16"/>
  <c r="A67" i="6"/>
  <c r="D24" i="8" s="1"/>
  <c r="B67" i="6"/>
  <c r="C24" i="8" s="1"/>
  <c r="B74" i="6"/>
  <c r="C31" i="8" s="1"/>
  <c r="A74" i="6"/>
  <c r="D31" i="8" s="1"/>
  <c r="R32" i="59"/>
  <c r="H43" i="59"/>
  <c r="U38" i="59"/>
  <c r="S38" i="59"/>
  <c r="G115" i="59"/>
  <c r="L114" i="59"/>
  <c r="M114" i="59" s="1"/>
  <c r="G124" i="59"/>
  <c r="E123" i="59"/>
  <c r="CH40" i="16"/>
  <c r="R26" i="19"/>
  <c r="Q27" i="19"/>
  <c r="V20" i="19"/>
  <c r="AS27" i="45" s="1"/>
  <c r="D46" i="40"/>
  <c r="V3" i="16"/>
  <c r="AC3" i="16"/>
  <c r="AA4" i="16"/>
  <c r="AO4" i="16"/>
  <c r="E96" i="7"/>
  <c r="E85" i="7"/>
  <c r="I7" i="54" a="1"/>
  <c r="F37" i="7"/>
  <c r="G37" i="7" s="1"/>
  <c r="AT15" i="28" s="1"/>
  <c r="AT17" i="28"/>
  <c r="BT7" i="16"/>
  <c r="B68" i="6"/>
  <c r="C25" i="8" s="1"/>
  <c r="A68" i="6"/>
  <c r="D25" i="8" s="1"/>
  <c r="S37" i="59"/>
  <c r="U37" i="59"/>
  <c r="J133" i="59"/>
  <c r="K133" i="59" s="1"/>
  <c r="L133" i="59" s="1"/>
  <c r="I133" i="59"/>
  <c r="L15" i="61"/>
  <c r="BT32" i="16"/>
  <c r="O76" i="51"/>
  <c r="O71" i="51"/>
  <c r="O147" i="7" s="1"/>
  <c r="X150" i="7" s="1"/>
  <c r="Y150" i="7" s="1"/>
  <c r="Z150" i="7" s="1"/>
  <c r="AA150" i="7" s="1"/>
  <c r="R40" i="51"/>
  <c r="S34" i="51"/>
  <c r="S28" i="51"/>
  <c r="U28" i="51" s="1"/>
  <c r="Q78" i="51"/>
  <c r="Q75" i="51"/>
  <c r="Q70" i="51"/>
  <c r="R36" i="51"/>
  <c r="R34" i="51"/>
  <c r="P78" i="51"/>
  <c r="O75" i="51"/>
  <c r="T40" i="51"/>
  <c r="T35" i="51"/>
  <c r="S32" i="51"/>
  <c r="Q71" i="51"/>
  <c r="S40" i="51"/>
  <c r="S35" i="51"/>
  <c r="Q76" i="51"/>
  <c r="R30" i="51"/>
  <c r="M147" i="7" s="1"/>
  <c r="W36" i="42"/>
  <c r="J30" i="42"/>
  <c r="I9" i="42" s="1"/>
  <c r="F58" i="20"/>
  <c r="L11" i="39"/>
  <c r="M11" i="39" s="1"/>
  <c r="B152" i="29"/>
  <c r="AA2" i="16"/>
  <c r="D58" i="57"/>
  <c r="D37" i="58" s="1"/>
  <c r="D34" i="57"/>
  <c r="D13" i="58" s="1"/>
  <c r="D55" i="57"/>
  <c r="D34" i="58" s="1"/>
  <c r="D38" i="57"/>
  <c r="D17" i="58" s="1"/>
  <c r="D31" i="57"/>
  <c r="D10" i="58" s="1"/>
  <c r="D62" i="57"/>
  <c r="D41" i="58" s="1"/>
  <c r="D29" i="58"/>
  <c r="J23" i="21"/>
  <c r="V13" i="21"/>
  <c r="X13" i="21" s="1"/>
  <c r="Z13" i="21" s="1"/>
  <c r="AG3" i="16"/>
  <c r="T25" i="22"/>
  <c r="D10" i="1"/>
  <c r="AD17" i="26"/>
  <c r="Q24" i="22"/>
  <c r="S24" i="22" s="1"/>
  <c r="F55" i="20" s="1"/>
  <c r="Q21" i="22"/>
  <c r="D24" i="21"/>
  <c r="D15" i="21"/>
  <c r="D23" i="21"/>
  <c r="D22" i="21"/>
  <c r="D158" i="26"/>
  <c r="D21" i="21"/>
  <c r="Z3" i="16"/>
  <c r="AF2" i="16"/>
  <c r="AM2" i="16"/>
  <c r="AK4" i="16"/>
  <c r="D31" i="42"/>
  <c r="AZ20" i="45"/>
  <c r="AY20" i="45"/>
  <c r="BP19" i="16"/>
  <c r="BU16" i="16"/>
  <c r="Q27" i="42"/>
  <c r="D49" i="42"/>
  <c r="A70" i="6"/>
  <c r="D27" i="8" s="1"/>
  <c r="A77" i="6"/>
  <c r="D34" i="8" s="1"/>
  <c r="W32" i="59"/>
  <c r="U40" i="59"/>
  <c r="T38" i="59"/>
  <c r="E116" i="59"/>
  <c r="G117" i="59"/>
  <c r="D123" i="59"/>
  <c r="N118" i="59"/>
  <c r="N115" i="59"/>
  <c r="S91" i="6"/>
  <c r="S61" i="6"/>
  <c r="S74" i="6"/>
  <c r="S87" i="6"/>
  <c r="S83" i="6"/>
  <c r="S101" i="6"/>
  <c r="S85" i="6"/>
  <c r="S102" i="6"/>
  <c r="S80" i="6"/>
  <c r="S69" i="6"/>
  <c r="CH44" i="16"/>
  <c r="BS42" i="16"/>
  <c r="BS40" i="16"/>
  <c r="BS36" i="16"/>
  <c r="F31" i="40"/>
  <c r="AR76" i="54"/>
  <c r="AU76" i="54" s="1"/>
  <c r="AR92" i="54"/>
  <c r="AU92" i="54" s="1"/>
  <c r="AR108" i="54"/>
  <c r="AU108" i="54" s="1"/>
  <c r="I54" i="55"/>
  <c r="E94" i="55" s="1"/>
  <c r="W227" i="26"/>
  <c r="B88" i="6"/>
  <c r="C45" i="8" s="1"/>
  <c r="A88" i="6"/>
  <c r="D45" i="8" s="1"/>
  <c r="K135" i="59"/>
  <c r="L135" i="59" s="1"/>
  <c r="I131" i="59"/>
  <c r="AR88" i="54"/>
  <c r="AU88" i="54" s="1"/>
  <c r="AR104" i="54"/>
  <c r="AU104" i="54" s="1"/>
  <c r="A134" i="7"/>
  <c r="D26" i="24" s="1"/>
  <c r="B134" i="7"/>
  <c r="C26" i="24" s="1"/>
  <c r="F26" i="24" s="1"/>
  <c r="C39" i="55"/>
  <c r="G77" i="55" s="1"/>
  <c r="G78" i="55" s="1"/>
  <c r="G79" i="55" s="1"/>
  <c r="AL44" i="66"/>
  <c r="D55" i="66"/>
  <c r="D63" i="66"/>
  <c r="D84" i="66"/>
  <c r="D87" i="66"/>
  <c r="D162" i="66"/>
  <c r="D203" i="66"/>
  <c r="D256" i="66"/>
  <c r="D280" i="66"/>
  <c r="D311" i="66"/>
  <c r="D340" i="66"/>
  <c r="D391" i="66"/>
  <c r="D438" i="66"/>
  <c r="D495" i="66"/>
  <c r="D557" i="66"/>
  <c r="D587" i="66"/>
  <c r="D611" i="66"/>
  <c r="D638" i="66"/>
  <c r="D670" i="66"/>
  <c r="D751" i="66"/>
  <c r="D879" i="66"/>
  <c r="D930" i="66"/>
  <c r="D975" i="66"/>
  <c r="D1023" i="66"/>
  <c r="D1086" i="66"/>
  <c r="D1157" i="66"/>
  <c r="D1330" i="66"/>
  <c r="D1453" i="66"/>
  <c r="W4" i="54"/>
  <c r="A58" i="6"/>
  <c r="A27" i="28" s="1"/>
  <c r="K136" i="59"/>
  <c r="L136" i="59" s="1"/>
  <c r="K132" i="59"/>
  <c r="L132" i="59" s="1"/>
  <c r="D41" i="66"/>
  <c r="D79" i="66"/>
  <c r="D105" i="66"/>
  <c r="D127" i="66"/>
  <c r="D180" i="66"/>
  <c r="D233" i="66"/>
  <c r="D265" i="66"/>
  <c r="D305" i="66"/>
  <c r="D322" i="66"/>
  <c r="D361" i="66"/>
  <c r="D424" i="66"/>
  <c r="D463" i="66"/>
  <c r="D519" i="66"/>
  <c r="D536" i="66"/>
  <c r="D563" i="66"/>
  <c r="D625" i="66"/>
  <c r="D652" i="66"/>
  <c r="D688" i="66"/>
  <c r="D777" i="66"/>
  <c r="D838" i="66"/>
  <c r="D901" i="66"/>
  <c r="D960" i="66"/>
  <c r="D1001" i="66"/>
  <c r="D1070" i="66"/>
  <c r="D1121" i="66"/>
  <c r="D1271" i="66"/>
  <c r="D1361" i="66"/>
  <c r="D51" i="66"/>
  <c r="D267" i="66"/>
  <c r="D570" i="66"/>
  <c r="D806" i="66"/>
  <c r="D5397" i="66"/>
  <c r="D5455" i="66"/>
  <c r="D5487" i="66"/>
  <c r="D5688" i="66"/>
  <c r="D5810" i="66"/>
  <c r="D5918" i="66"/>
  <c r="D5940" i="66"/>
  <c r="D5977" i="66"/>
  <c r="D5989" i="66"/>
  <c r="D5513" i="66"/>
  <c r="D5773" i="66"/>
  <c r="D5380" i="66"/>
  <c r="D5440" i="66"/>
  <c r="D5479" i="66"/>
  <c r="D5562" i="66"/>
  <c r="D6125" i="66"/>
  <c r="D6116" i="66"/>
  <c r="D6176" i="66"/>
  <c r="AS221" i="28"/>
  <c r="B221" i="28" s="1"/>
  <c r="B214" i="28"/>
  <c r="AL2" i="75"/>
  <c r="AM1" i="75"/>
  <c r="E15" i="15"/>
  <c r="E14" i="15"/>
  <c r="D209" i="28"/>
  <c r="V37" i="22"/>
  <c r="V38" i="22"/>
  <c r="P30" i="61"/>
  <c r="P10" i="61"/>
  <c r="P34" i="61"/>
  <c r="P38" i="61"/>
  <c r="P35" i="61"/>
  <c r="Q25" i="61"/>
  <c r="Q10" i="61"/>
  <c r="Q24" i="61"/>
  <c r="Q12" i="61"/>
  <c r="P26" i="61"/>
  <c r="P14" i="61"/>
  <c r="Q30" i="61"/>
  <c r="P44" i="61"/>
  <c r="P25" i="61"/>
  <c r="Q37" i="61"/>
  <c r="Q36" i="61"/>
  <c r="I132" i="59"/>
  <c r="J131" i="59"/>
  <c r="K131" i="59" s="1"/>
  <c r="L131" i="59" s="1"/>
  <c r="P33" i="61"/>
  <c r="P8" i="61"/>
  <c r="Q45" i="61"/>
  <c r="Q11" i="61"/>
  <c r="Q9" i="61"/>
  <c r="Q27" i="61"/>
  <c r="Q38" i="61"/>
  <c r="Q47" i="61"/>
  <c r="P43" i="61"/>
  <c r="P7" i="61"/>
  <c r="P36" i="61"/>
  <c r="Q43" i="61"/>
  <c r="P22" i="61"/>
  <c r="P47" i="61"/>
  <c r="Q22" i="61"/>
  <c r="Q44" i="61"/>
  <c r="P21" i="61"/>
  <c r="P12" i="61"/>
  <c r="Q23" i="61"/>
  <c r="P27" i="61"/>
  <c r="P13" i="61"/>
  <c r="Q7" i="61"/>
  <c r="P37" i="61"/>
  <c r="P31" i="61"/>
  <c r="P9" i="61"/>
  <c r="P29" i="61"/>
  <c r="Q46" i="61"/>
  <c r="P11" i="61"/>
  <c r="Q26" i="61"/>
  <c r="P24" i="61"/>
  <c r="P42" i="61"/>
  <c r="Q42" i="61"/>
  <c r="Q33" i="61"/>
  <c r="Q34" i="61"/>
  <c r="Q28" i="61"/>
  <c r="Q35" i="61"/>
  <c r="AR29" i="28"/>
  <c r="AR30" i="28" s="1"/>
  <c r="AR28" i="28"/>
  <c r="AS28" i="28" s="1"/>
  <c r="AR51" i="28"/>
  <c r="AR52" i="28" s="1"/>
  <c r="AR50" i="28"/>
  <c r="AR109" i="28"/>
  <c r="AR69" i="28"/>
  <c r="AS69" i="28" s="1"/>
  <c r="AR70" i="28"/>
  <c r="AR71" i="28" s="1"/>
  <c r="AR72" i="28" s="1"/>
  <c r="AR73" i="28" s="1"/>
  <c r="AR74" i="28" s="1"/>
  <c r="AS48" i="28"/>
  <c r="AS49" i="28" s="1"/>
  <c r="D225" i="28"/>
  <c r="D217" i="28"/>
  <c r="E9" i="28"/>
  <c r="D204" i="28"/>
  <c r="D190" i="28"/>
  <c r="AA139" i="7"/>
  <c r="AC139" i="7" s="1"/>
  <c r="AC166" i="7" s="1"/>
  <c r="Z166" i="7"/>
  <c r="E42" i="7"/>
  <c r="E74" i="7"/>
  <c r="D229" i="29"/>
  <c r="Y166" i="7"/>
  <c r="D193" i="29"/>
  <c r="D306" i="28"/>
  <c r="AY306" i="28" s="1"/>
  <c r="E66" i="7"/>
  <c r="D165" i="28"/>
  <c r="D261" i="28"/>
  <c r="E122" i="7"/>
  <c r="E98" i="7"/>
  <c r="E118" i="7"/>
  <c r="A131" i="7"/>
  <c r="D25" i="24" s="1"/>
  <c r="AC142" i="7"/>
  <c r="X145" i="7" s="1"/>
  <c r="E53" i="7"/>
  <c r="E107" i="7"/>
  <c r="E220" i="29"/>
  <c r="D63" i="72"/>
  <c r="D74" i="73"/>
  <c r="D90" i="73" s="1"/>
  <c r="K282" i="29"/>
  <c r="K283" i="29" s="1"/>
  <c r="K284" i="29" s="1"/>
  <c r="K285" i="29" s="1"/>
  <c r="K286" i="29" s="1"/>
  <c r="K287" i="29" s="1"/>
  <c r="K288" i="29" s="1"/>
  <c r="K289" i="29" s="1"/>
  <c r="A128" i="7"/>
  <c r="D24" i="24" s="1"/>
  <c r="E100" i="7"/>
  <c r="E67" i="7"/>
  <c r="J147" i="7"/>
  <c r="B137" i="7"/>
  <c r="E67" i="42" s="1"/>
  <c r="D230" i="29"/>
  <c r="D71" i="7"/>
  <c r="E87" i="7"/>
  <c r="B173" i="7"/>
  <c r="A125" i="7"/>
  <c r="D23" i="24" s="1"/>
  <c r="A137" i="7"/>
  <c r="D27" i="24" s="1"/>
  <c r="E46" i="7"/>
  <c r="E99" i="7"/>
  <c r="E111" i="7"/>
  <c r="AR252" i="28"/>
  <c r="AR254" i="28" s="1"/>
  <c r="AS251" i="28"/>
  <c r="B251" i="28" s="1"/>
  <c r="C12" i="24"/>
  <c r="D252" i="26"/>
  <c r="N9" i="26"/>
  <c r="E97" i="7"/>
  <c r="E163" i="7"/>
  <c r="C25" i="24"/>
  <c r="D67" i="42"/>
  <c r="H252" i="26"/>
  <c r="N121" i="26"/>
  <c r="C14" i="24"/>
  <c r="C24" i="24"/>
  <c r="C67" i="42"/>
  <c r="Q128" i="7" s="1"/>
  <c r="Q125" i="7" s="1"/>
  <c r="AZ34" i="7"/>
  <c r="C22" i="23"/>
  <c r="D22" i="23" s="1"/>
  <c r="F16" i="24"/>
  <c r="E16" i="24"/>
  <c r="C18" i="23"/>
  <c r="D18" i="23" s="1"/>
  <c r="C193" i="28"/>
  <c r="C194" i="28" s="1"/>
  <c r="C195" i="28" s="1"/>
  <c r="C230" i="29"/>
  <c r="C20" i="24"/>
  <c r="C232" i="29"/>
  <c r="C231" i="29"/>
  <c r="C228" i="29"/>
  <c r="C227" i="29"/>
  <c r="C229" i="29"/>
  <c r="N203" i="26"/>
  <c r="J210" i="26" s="1"/>
  <c r="C11" i="24"/>
  <c r="G252" i="26"/>
  <c r="C28" i="24"/>
  <c r="F67" i="42"/>
  <c r="C241" i="29"/>
  <c r="C202" i="28"/>
  <c r="E23" i="24"/>
  <c r="F23" i="24"/>
  <c r="C242" i="29"/>
  <c r="C203" i="28"/>
  <c r="C243" i="29"/>
  <c r="C240" i="29"/>
  <c r="C201" i="28"/>
  <c r="C204" i="28"/>
  <c r="C239" i="29"/>
  <c r="C200" i="28"/>
  <c r="G4" i="7"/>
  <c r="H4" i="7" s="1"/>
  <c r="I4" i="7" s="1"/>
  <c r="J4" i="7" s="1"/>
  <c r="K4" i="7" s="1"/>
  <c r="L4" i="7" s="1"/>
  <c r="M4" i="7" s="1"/>
  <c r="N4" i="7" s="1"/>
  <c r="O4" i="7" s="1"/>
  <c r="P4" i="7" s="1"/>
  <c r="R4" i="7" s="1"/>
  <c r="S4" i="7" s="1"/>
  <c r="T4" i="7" s="1"/>
  <c r="U4" i="7" s="1"/>
  <c r="V4" i="7" s="1"/>
  <c r="W4" i="7" s="1"/>
  <c r="X4" i="7" s="1"/>
  <c r="Y4" i="7" s="1"/>
  <c r="Z4" i="7" s="1"/>
  <c r="AA4" i="7" s="1"/>
  <c r="AB4" i="7" s="1"/>
  <c r="AC4" i="7" s="1"/>
  <c r="AD4" i="7" s="1"/>
  <c r="AE4" i="7" s="1"/>
  <c r="AF4" i="7" s="1"/>
  <c r="AG4" i="7" s="1"/>
  <c r="AH4" i="7" s="1"/>
  <c r="AI4" i="7" s="1"/>
  <c r="AJ4" i="7" s="1"/>
  <c r="AK4" i="7" s="1"/>
  <c r="AL4" i="7" s="1"/>
  <c r="E75" i="7"/>
  <c r="E108" i="7"/>
  <c r="E65" i="7"/>
  <c r="D150" i="28"/>
  <c r="D86" i="28"/>
  <c r="D203" i="28"/>
  <c r="D67" i="28"/>
  <c r="D201" i="28"/>
  <c r="D47" i="28"/>
  <c r="D211" i="28"/>
  <c r="D282" i="28"/>
  <c r="D205" i="28"/>
  <c r="D210" i="28"/>
  <c r="D250" i="28"/>
  <c r="D214" i="28"/>
  <c r="D130" i="28"/>
  <c r="D107" i="28"/>
  <c r="D212" i="28"/>
  <c r="D68" i="28"/>
  <c r="D298" i="28"/>
  <c r="D197" i="28"/>
  <c r="D266" i="28"/>
  <c r="D207" i="28"/>
  <c r="D193" i="28"/>
  <c r="D200" i="28"/>
  <c r="D202" i="28"/>
  <c r="D219" i="28"/>
  <c r="B219" i="28"/>
  <c r="AS226" i="28"/>
  <c r="B218" i="28"/>
  <c r="D218" i="28"/>
  <c r="AS224" i="28"/>
  <c r="B216" i="28"/>
  <c r="AS223" i="28"/>
  <c r="D216" i="28"/>
  <c r="B209" i="28"/>
  <c r="D208" i="28"/>
  <c r="B208" i="28"/>
  <c r="AS215" i="28"/>
  <c r="B225" i="28"/>
  <c r="AS232" i="28"/>
  <c r="D108" i="28"/>
  <c r="B108" i="28"/>
  <c r="C205" i="28"/>
  <c r="AR207" i="28"/>
  <c r="D73" i="73"/>
  <c r="D89" i="73" s="1"/>
  <c r="J128" i="59"/>
  <c r="E139" i="59"/>
  <c r="P28" i="61"/>
  <c r="F33" i="40"/>
  <c r="F34" i="40" s="1"/>
  <c r="F35" i="40" s="1"/>
  <c r="G31" i="40"/>
  <c r="G90" i="6"/>
  <c r="F59" i="6"/>
  <c r="I33" i="40"/>
  <c r="I34" i="40" s="1"/>
  <c r="H31" i="40"/>
  <c r="G33" i="40"/>
  <c r="G34" i="40" s="1"/>
  <c r="D38" i="6"/>
  <c r="C50" i="8"/>
  <c r="A93" i="6"/>
  <c r="D50" i="8" s="1"/>
  <c r="AO9" i="6"/>
  <c r="AO10" i="6"/>
  <c r="AO8" i="6"/>
  <c r="AO6" i="6"/>
  <c r="Y8" i="6"/>
  <c r="Y10" i="6"/>
  <c r="Y9" i="6"/>
  <c r="Y6" i="6"/>
  <c r="I9" i="6"/>
  <c r="I8" i="6"/>
  <c r="I10" i="6"/>
  <c r="I6" i="6"/>
  <c r="D54" i="8"/>
  <c r="C21" i="8"/>
  <c r="D36" i="6"/>
  <c r="B4" i="6"/>
  <c r="C33" i="58"/>
  <c r="E54" i="57"/>
  <c r="A62" i="6"/>
  <c r="D19" i="8" s="1"/>
  <c r="B62" i="6"/>
  <c r="C48" i="57"/>
  <c r="B84" i="6"/>
  <c r="C41" i="8" s="1"/>
  <c r="A84" i="6"/>
  <c r="D41" i="8" s="1"/>
  <c r="A100" i="6"/>
  <c r="D57" i="8" s="1"/>
  <c r="AX10" i="6"/>
  <c r="AX8" i="6"/>
  <c r="AX9" i="6"/>
  <c r="G57" i="6"/>
  <c r="H57" i="6" s="1"/>
  <c r="I57" i="6" s="1"/>
  <c r="J57" i="6" s="1"/>
  <c r="K57" i="6" s="1"/>
  <c r="L57" i="6" s="1"/>
  <c r="M57" i="6" s="1"/>
  <c r="AT10" i="65"/>
  <c r="AT10" i="9"/>
  <c r="B65" i="6"/>
  <c r="D78" i="6"/>
  <c r="B77" i="6"/>
  <c r="A101" i="6"/>
  <c r="D58" i="8" s="1"/>
  <c r="B101" i="6"/>
  <c r="C58" i="8" s="1"/>
  <c r="A14" i="9"/>
  <c r="L16" i="10"/>
  <c r="F16" i="10"/>
  <c r="E50" i="57"/>
  <c r="C29" i="58"/>
  <c r="D35" i="6"/>
  <c r="C20" i="8"/>
  <c r="C42" i="57"/>
  <c r="A63" i="6"/>
  <c r="D20" i="8" s="1"/>
  <c r="AJ8" i="6"/>
  <c r="AJ9" i="6"/>
  <c r="AJ10" i="6"/>
  <c r="AJ6" i="6"/>
  <c r="A83" i="6"/>
  <c r="D40" i="8" s="1"/>
  <c r="AY9" i="6"/>
  <c r="AY8" i="6"/>
  <c r="AY10" i="6"/>
  <c r="A73" i="6"/>
  <c r="D30" i="8" s="1"/>
  <c r="B73" i="6"/>
  <c r="C30" i="8" s="1"/>
  <c r="X8" i="6"/>
  <c r="X10" i="6"/>
  <c r="X9" i="6"/>
  <c r="X6" i="6"/>
  <c r="U10" i="6"/>
  <c r="U9" i="6"/>
  <c r="U6" i="6"/>
  <c r="W10" i="6"/>
  <c r="W8" i="6"/>
  <c r="W9" i="6"/>
  <c r="B91" i="6"/>
  <c r="C48" i="8" s="1"/>
  <c r="A91" i="6"/>
  <c r="D48" i="8" s="1"/>
  <c r="AB54" i="6"/>
  <c r="AJ54" i="6" s="1"/>
  <c r="AJ52" i="6"/>
  <c r="AQ52" i="6"/>
  <c r="AI54" i="6"/>
  <c r="AQ54" i="6" s="1"/>
  <c r="A16" i="9"/>
  <c r="C16" i="9" s="1"/>
  <c r="AR17" i="9"/>
  <c r="AS17" i="9" s="1"/>
  <c r="AS9" i="6"/>
  <c r="AS8" i="6"/>
  <c r="AS10" i="6"/>
  <c r="AS6" i="6"/>
  <c r="AL8" i="6"/>
  <c r="AL9" i="6"/>
  <c r="AL10" i="6"/>
  <c r="AL6" i="6"/>
  <c r="R8" i="6"/>
  <c r="R10" i="6"/>
  <c r="R9" i="6"/>
  <c r="R6" i="6"/>
  <c r="G10" i="6"/>
  <c r="G8" i="6"/>
  <c r="G9" i="6"/>
  <c r="AK8" i="6"/>
  <c r="AK10" i="6"/>
  <c r="AK9" i="6"/>
  <c r="Q10" i="6"/>
  <c r="Q9" i="6"/>
  <c r="F8" i="6"/>
  <c r="F10" i="6"/>
  <c r="F9" i="6"/>
  <c r="C53" i="57"/>
  <c r="G60" i="6"/>
  <c r="AM10" i="6"/>
  <c r="AM8" i="6"/>
  <c r="AM9" i="6"/>
  <c r="V10" i="6"/>
  <c r="V9" i="6"/>
  <c r="V8" i="6"/>
  <c r="H10" i="6"/>
  <c r="H8" i="6"/>
  <c r="H9" i="6"/>
  <c r="AH10" i="6"/>
  <c r="AH9" i="6"/>
  <c r="AH8" i="6"/>
  <c r="AH6" i="6"/>
  <c r="M10" i="6"/>
  <c r="M8" i="6"/>
  <c r="M9" i="6"/>
  <c r="E9" i="6"/>
  <c r="E8" i="6"/>
  <c r="E10" i="6"/>
  <c r="AP52" i="6"/>
  <c r="AH54" i="6"/>
  <c r="AP54" i="6" s="1"/>
  <c r="AW8" i="6"/>
  <c r="AW10" i="6"/>
  <c r="AW9" i="6"/>
  <c r="AE10" i="6"/>
  <c r="AE8" i="6"/>
  <c r="AE9" i="6"/>
  <c r="AE6" i="6"/>
  <c r="G76" i="42"/>
  <c r="G77" i="42" s="1"/>
  <c r="F75" i="42"/>
  <c r="F74" i="42"/>
  <c r="C75" i="42"/>
  <c r="D75" i="42"/>
  <c r="AV8" i="6"/>
  <c r="AV9" i="6"/>
  <c r="AV10" i="6"/>
  <c r="AQ10" i="6"/>
  <c r="AQ8" i="6"/>
  <c r="AQ6" i="6"/>
  <c r="L9" i="6"/>
  <c r="L10" i="6"/>
  <c r="L8" i="6"/>
  <c r="D8" i="6"/>
  <c r="D10" i="6"/>
  <c r="D9" i="6"/>
  <c r="B60" i="6"/>
  <c r="C51" i="57" s="1"/>
  <c r="A60" i="6"/>
  <c r="A17" i="8" s="1"/>
  <c r="AL53" i="6"/>
  <c r="AD54" i="6"/>
  <c r="AL54" i="6" s="1"/>
  <c r="AU9" i="6"/>
  <c r="AU10" i="6"/>
  <c r="AU8" i="6"/>
  <c r="AE54" i="6"/>
  <c r="AM54" i="6" s="1"/>
  <c r="AM52" i="6"/>
  <c r="AT9" i="6"/>
  <c r="AT10" i="6"/>
  <c r="AT8" i="6"/>
  <c r="AT6" i="6"/>
  <c r="AA10" i="6"/>
  <c r="AA9" i="6"/>
  <c r="AA8" i="6"/>
  <c r="AP10" i="6"/>
  <c r="AP8" i="6"/>
  <c r="AP9" i="6"/>
  <c r="AC8" i="6"/>
  <c r="AC10" i="6"/>
  <c r="AC9" i="6"/>
  <c r="K10" i="6"/>
  <c r="K9" i="6"/>
  <c r="K8" i="6"/>
  <c r="C10" i="6"/>
  <c r="C8" i="6"/>
  <c r="C9" i="6"/>
  <c r="O78" i="51"/>
  <c r="R78" i="51" s="1"/>
  <c r="O74" i="51"/>
  <c r="O70" i="51"/>
  <c r="T37" i="51"/>
  <c r="T33" i="51"/>
  <c r="T29" i="51"/>
  <c r="Q77" i="51"/>
  <c r="Q73" i="51"/>
  <c r="Q69" i="51"/>
  <c r="S37" i="51"/>
  <c r="S33" i="51"/>
  <c r="S29" i="51"/>
  <c r="Q81" i="51"/>
  <c r="P77" i="51"/>
  <c r="P73" i="51"/>
  <c r="P69" i="51"/>
  <c r="R37" i="51"/>
  <c r="R33" i="51"/>
  <c r="R29" i="51"/>
  <c r="P81" i="51"/>
  <c r="O77" i="51"/>
  <c r="O73" i="51"/>
  <c r="O69" i="51"/>
  <c r="T36" i="51"/>
  <c r="T32" i="51"/>
  <c r="T28" i="51"/>
  <c r="Q79" i="51"/>
  <c r="P75" i="51"/>
  <c r="P71" i="51"/>
  <c r="S39" i="51"/>
  <c r="R35" i="51"/>
  <c r="R31" i="51"/>
  <c r="AN53" i="6"/>
  <c r="AF54" i="6"/>
  <c r="AN54" i="6" s="1"/>
  <c r="T34" i="51"/>
  <c r="P70" i="51"/>
  <c r="P76" i="51"/>
  <c r="S30" i="51"/>
  <c r="S36" i="51"/>
  <c r="O72" i="51"/>
  <c r="P79" i="51"/>
  <c r="D65" i="40"/>
  <c r="D70" i="40" s="1"/>
  <c r="T30" i="51"/>
  <c r="S38" i="51"/>
  <c r="P72" i="51"/>
  <c r="O80" i="51"/>
  <c r="AC54" i="6"/>
  <c r="AK54" i="6" s="1"/>
  <c r="S31" i="51"/>
  <c r="T38" i="51"/>
  <c r="Q72" i="51"/>
  <c r="P80" i="51"/>
  <c r="AK52" i="6"/>
  <c r="T31" i="51"/>
  <c r="P74" i="51"/>
  <c r="Q80" i="51"/>
  <c r="R32" i="51"/>
  <c r="T39" i="51"/>
  <c r="Q74" i="51"/>
  <c r="O81" i="51"/>
  <c r="AR10" i="6"/>
  <c r="AR9" i="6"/>
  <c r="AR8" i="6"/>
  <c r="AN9" i="6"/>
  <c r="AN8" i="6"/>
  <c r="AN10" i="6"/>
  <c r="J8" i="6"/>
  <c r="J9" i="6"/>
  <c r="J10" i="6"/>
  <c r="V9" i="54"/>
  <c r="D37" i="55"/>
  <c r="G37" i="55" s="1"/>
  <c r="D36" i="55"/>
  <c r="G36" i="55" s="1"/>
  <c r="D35" i="55"/>
  <c r="D38" i="55"/>
  <c r="G38" i="55" s="1"/>
  <c r="AS7" i="16"/>
  <c r="AJ16" i="16"/>
  <c r="AM16" i="16"/>
  <c r="AQ16" i="16"/>
  <c r="H61" i="16" s="1"/>
  <c r="AR7" i="16"/>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K312" i="29"/>
  <c r="K298" i="29"/>
  <c r="D70" i="7"/>
  <c r="B70" i="7" s="1"/>
  <c r="D91" i="7"/>
  <c r="D50" i="7"/>
  <c r="D103" i="7"/>
  <c r="AU7" i="16"/>
  <c r="N61" i="26"/>
  <c r="AP7" i="16"/>
  <c r="C10" i="24"/>
  <c r="D165" i="7"/>
  <c r="D149" i="7"/>
  <c r="D62" i="7"/>
  <c r="D51" i="7"/>
  <c r="D92" i="7"/>
  <c r="D155" i="7"/>
  <c r="D161" i="7"/>
  <c r="D82" i="7"/>
  <c r="D104" i="7"/>
  <c r="D323" i="29"/>
  <c r="D192" i="29"/>
  <c r="D42" i="29"/>
  <c r="D333" i="29"/>
  <c r="D67" i="29"/>
  <c r="D308" i="29"/>
  <c r="D293" i="29"/>
  <c r="D114" i="7"/>
  <c r="B114" i="7" s="1"/>
  <c r="D81" i="7"/>
  <c r="D61" i="7"/>
  <c r="L60" i="16"/>
  <c r="AT8" i="16"/>
  <c r="D292" i="28"/>
  <c r="AY292" i="28" s="1"/>
  <c r="D260" i="28"/>
  <c r="D42" i="28"/>
  <c r="D276" i="28"/>
  <c r="D164" i="28"/>
  <c r="D82" i="28"/>
  <c r="D63" i="28"/>
  <c r="D184" i="28"/>
  <c r="D191" i="28" s="1"/>
  <c r="D194" i="28" s="1"/>
  <c r="D224" i="29" s="1"/>
  <c r="D231" i="29" s="1"/>
  <c r="D144" i="28"/>
  <c r="E47" i="7"/>
  <c r="E112" i="7"/>
  <c r="E123" i="7"/>
  <c r="AV7" i="16"/>
  <c r="M61" i="16" s="1"/>
  <c r="D294" i="29"/>
  <c r="D43" i="29"/>
  <c r="D324" i="29"/>
  <c r="D217" i="29"/>
  <c r="D68" i="29"/>
  <c r="D309" i="29"/>
  <c r="D83" i="28"/>
  <c r="D43" i="28"/>
  <c r="D64" i="28"/>
  <c r="D145" i="28"/>
  <c r="D277" i="28"/>
  <c r="D293" i="28"/>
  <c r="AY293" i="28" s="1"/>
  <c r="D175" i="7"/>
  <c r="D236" i="29" s="1"/>
  <c r="E109" i="7"/>
  <c r="B175" i="7"/>
  <c r="E54" i="7"/>
  <c r="E43" i="7"/>
  <c r="E119" i="7"/>
  <c r="D160" i="7"/>
  <c r="D148" i="7"/>
  <c r="D105" i="7"/>
  <c r="E151" i="7"/>
  <c r="E157" i="7" s="1"/>
  <c r="M60" i="16"/>
  <c r="D154" i="7"/>
  <c r="E44" i="7"/>
  <c r="E120" i="7"/>
  <c r="E55" i="7"/>
  <c r="E52" i="7"/>
  <c r="E117" i="7"/>
  <c r="E41" i="7"/>
  <c r="E110" i="7"/>
  <c r="E121" i="7"/>
  <c r="E56" i="7"/>
  <c r="J100" i="57"/>
  <c r="C13" i="65"/>
  <c r="H13" i="65"/>
  <c r="B13" i="65"/>
  <c r="D13" i="65"/>
  <c r="E13" i="65"/>
  <c r="E30" i="6"/>
  <c r="E29" i="6"/>
  <c r="F13" i="65"/>
  <c r="E225" i="28" l="1"/>
  <c r="E311" i="28"/>
  <c r="C251" i="28"/>
  <c r="C30" i="23"/>
  <c r="D30" i="23" s="1"/>
  <c r="G134" i="7"/>
  <c r="E156" i="7"/>
  <c r="E162" i="7" s="1"/>
  <c r="E166" i="7" s="1"/>
  <c r="E169" i="7" s="1"/>
  <c r="B168" i="7" s="1"/>
  <c r="C35" i="24" s="1"/>
  <c r="G67" i="42"/>
  <c r="N154" i="26"/>
  <c r="BD146" i="7"/>
  <c r="BD147" i="7" s="1"/>
  <c r="F60" i="6"/>
  <c r="H59" i="6"/>
  <c r="S70" i="51"/>
  <c r="V25" i="21"/>
  <c r="D34" i="20"/>
  <c r="V16" i="21"/>
  <c r="X16" i="21" s="1"/>
  <c r="Z16" i="21" s="1"/>
  <c r="B33" i="20" s="1"/>
  <c r="N67" i="26"/>
  <c r="D51" i="20"/>
  <c r="J53" i="21"/>
  <c r="D54" i="20"/>
  <c r="D35" i="20"/>
  <c r="I52" i="21"/>
  <c r="F17" i="20"/>
  <c r="K163" i="29"/>
  <c r="K164" i="29" s="1"/>
  <c r="K165" i="29" s="1"/>
  <c r="K166" i="29" s="1"/>
  <c r="K167" i="29" s="1"/>
  <c r="K168" i="29" s="1"/>
  <c r="V19" i="21"/>
  <c r="X19" i="21" s="1"/>
  <c r="Z19" i="21" s="1"/>
  <c r="B55" i="20" s="1"/>
  <c r="D52" i="20"/>
  <c r="D65" i="57"/>
  <c r="D44" i="58" s="1"/>
  <c r="U32" i="51"/>
  <c r="D76" i="42"/>
  <c r="D77" i="42" s="1"/>
  <c r="M131" i="7" s="1"/>
  <c r="V17" i="21"/>
  <c r="B7" i="20" s="1"/>
  <c r="D42" i="57"/>
  <c r="D21" i="58" s="1"/>
  <c r="K13" i="6"/>
  <c r="L13" i="6" s="1"/>
  <c r="E211" i="28"/>
  <c r="E169" i="29"/>
  <c r="E89" i="29"/>
  <c r="M26" i="19"/>
  <c r="M27" i="19" s="1"/>
  <c r="V12" i="77"/>
  <c r="U8" i="6"/>
  <c r="M62" i="6" s="1"/>
  <c r="N62" i="6" s="1"/>
  <c r="O62" i="6" s="1"/>
  <c r="AA166" i="7"/>
  <c r="C93" i="29"/>
  <c r="N93" i="29" s="1"/>
  <c r="D93" i="29" s="1"/>
  <c r="C94" i="29"/>
  <c r="N94" i="29" s="1"/>
  <c r="D94" i="29" s="1"/>
  <c r="C95" i="29"/>
  <c r="N95" i="29" s="1"/>
  <c r="D95" i="29" s="1"/>
  <c r="C9" i="24"/>
  <c r="C11" i="23" s="1"/>
  <c r="D11" i="23" s="1"/>
  <c r="C72" i="29"/>
  <c r="N72" i="29" s="1"/>
  <c r="D72" i="29" s="1"/>
  <c r="E90" i="29"/>
  <c r="E91" i="29"/>
  <c r="B72" i="29"/>
  <c r="E310" i="29"/>
  <c r="C73" i="29"/>
  <c r="K74" i="29"/>
  <c r="N66" i="26"/>
  <c r="E266" i="28"/>
  <c r="E47" i="28"/>
  <c r="AC21" i="55"/>
  <c r="D49" i="20"/>
  <c r="AT17" i="45"/>
  <c r="Q12" i="54"/>
  <c r="CI44" i="16"/>
  <c r="V14" i="21"/>
  <c r="B5" i="20" s="1"/>
  <c r="E108" i="28"/>
  <c r="H37" i="7"/>
  <c r="I37" i="7" s="1"/>
  <c r="AT24" i="28"/>
  <c r="U28" i="42"/>
  <c r="S28" i="42" s="1"/>
  <c r="S51" i="42" s="1"/>
  <c r="P28" i="42"/>
  <c r="N28" i="42" s="1"/>
  <c r="B18" i="8"/>
  <c r="D18" i="8"/>
  <c r="AT22" i="28"/>
  <c r="X25" i="21"/>
  <c r="Z25" i="21" s="1"/>
  <c r="B61" i="20" s="1"/>
  <c r="I17" i="45"/>
  <c r="A26" i="29"/>
  <c r="S23" i="22"/>
  <c r="R12" i="54"/>
  <c r="CI43" i="16"/>
  <c r="L11" i="66"/>
  <c r="K12" i="66"/>
  <c r="S11" i="66"/>
  <c r="AF28" i="45"/>
  <c r="R14" i="54"/>
  <c r="AJ27" i="45"/>
  <c r="CI38" i="16"/>
  <c r="CJ44" i="16"/>
  <c r="D63" i="57"/>
  <c r="D42" i="58" s="1"/>
  <c r="S71" i="51"/>
  <c r="Z4" i="21"/>
  <c r="Z5" i="21" s="1"/>
  <c r="D41" i="57"/>
  <c r="D20" i="58" s="1"/>
  <c r="S47" i="21"/>
  <c r="B140" i="29"/>
  <c r="L141" i="29"/>
  <c r="M125" i="59"/>
  <c r="I2" i="45"/>
  <c r="T15" i="45" s="1"/>
  <c r="D61" i="57"/>
  <c r="D40" i="58" s="1"/>
  <c r="D49" i="57"/>
  <c r="D28" i="58" s="1"/>
  <c r="D31" i="58"/>
  <c r="D53" i="20"/>
  <c r="D35" i="57"/>
  <c r="D14" i="58" s="1"/>
  <c r="D60" i="57"/>
  <c r="D39" i="58" s="1"/>
  <c r="F11" i="20"/>
  <c r="G11" i="20" s="1"/>
  <c r="Q13" i="54"/>
  <c r="D32" i="57"/>
  <c r="D11" i="58" s="1"/>
  <c r="AE28" i="55"/>
  <c r="AD27" i="55"/>
  <c r="V12" i="21"/>
  <c r="X12" i="21" s="1"/>
  <c r="Z12" i="21" s="1"/>
  <c r="B47" i="20" s="1"/>
  <c r="Q14" i="54"/>
  <c r="A30" i="29"/>
  <c r="R31" i="22"/>
  <c r="AJ25" i="45"/>
  <c r="AH25" i="45"/>
  <c r="S15" i="22"/>
  <c r="E222" i="26" s="1"/>
  <c r="E210" i="26" s="1"/>
  <c r="D210" i="26" s="1"/>
  <c r="T18" i="22"/>
  <c r="M29" i="26" s="1"/>
  <c r="U35" i="51"/>
  <c r="U29" i="51"/>
  <c r="AR27" i="45"/>
  <c r="AS37" i="45" s="1"/>
  <c r="AW28" i="45"/>
  <c r="G26" i="21"/>
  <c r="H15" i="21" s="1"/>
  <c r="C69" i="28"/>
  <c r="AY17" i="45"/>
  <c r="Y28" i="45"/>
  <c r="H30" i="1"/>
  <c r="K47" i="1" s="1"/>
  <c r="V20" i="21"/>
  <c r="X20" i="21" s="1"/>
  <c r="Z20" i="21" s="1"/>
  <c r="B56" i="20" s="1"/>
  <c r="D87" i="28"/>
  <c r="V28" i="51"/>
  <c r="E200" i="28"/>
  <c r="AS88" i="28"/>
  <c r="J26" i="21"/>
  <c r="K17" i="21" s="1"/>
  <c r="E62" i="29"/>
  <c r="F8" i="55"/>
  <c r="H26" i="55" s="1"/>
  <c r="AY29" i="45"/>
  <c r="BP44" i="16"/>
  <c r="D33" i="57"/>
  <c r="D12" i="58" s="1"/>
  <c r="D39" i="57"/>
  <c r="D18" i="58" s="1"/>
  <c r="J28" i="57"/>
  <c r="D37" i="57"/>
  <c r="D16" i="58" s="1"/>
  <c r="D43" i="57"/>
  <c r="D22" i="58" s="1"/>
  <c r="D59" i="57"/>
  <c r="D38" i="58" s="1"/>
  <c r="D51" i="57"/>
  <c r="D30" i="58" s="1"/>
  <c r="D48" i="57"/>
  <c r="D27" i="58" s="1"/>
  <c r="D57" i="57"/>
  <c r="D36" i="58" s="1"/>
  <c r="D66" i="57"/>
  <c r="D45" i="58" s="1"/>
  <c r="AD19" i="26"/>
  <c r="E170" i="28"/>
  <c r="D221" i="28"/>
  <c r="E26" i="24"/>
  <c r="AS29" i="28"/>
  <c r="AB29" i="45"/>
  <c r="AV30" i="45"/>
  <c r="A15" i="10"/>
  <c r="E15" i="10" s="1"/>
  <c r="A21" i="29"/>
  <c r="E212" i="28"/>
  <c r="Z28" i="45"/>
  <c r="Z38" i="45" s="1"/>
  <c r="E141" i="29"/>
  <c r="A20" i="29"/>
  <c r="B20" i="29" s="1"/>
  <c r="V38" i="51"/>
  <c r="S81" i="51"/>
  <c r="A13" i="9"/>
  <c r="C13" i="9" s="1"/>
  <c r="E150" i="28"/>
  <c r="X154" i="7"/>
  <c r="A29" i="29"/>
  <c r="B29" i="29" s="1"/>
  <c r="E11" i="20"/>
  <c r="S74" i="51"/>
  <c r="A28" i="28"/>
  <c r="E205" i="28"/>
  <c r="AB139" i="7"/>
  <c r="AB166" i="7" s="1"/>
  <c r="V28" i="45"/>
  <c r="E294" i="29"/>
  <c r="D9" i="21"/>
  <c r="D10" i="21" s="1"/>
  <c r="G9" i="21"/>
  <c r="G10" i="21" s="1"/>
  <c r="O10" i="21" s="1"/>
  <c r="O11" i="21" s="1"/>
  <c r="A25" i="29"/>
  <c r="E298" i="28"/>
  <c r="AR15" i="65"/>
  <c r="AS15" i="65" s="1"/>
  <c r="BP24" i="16"/>
  <c r="A15" i="8"/>
  <c r="B15" i="8" s="1"/>
  <c r="E203" i="28"/>
  <c r="E219" i="28"/>
  <c r="H139" i="59"/>
  <c r="C257" i="29"/>
  <c r="A28" i="29"/>
  <c r="E250" i="28"/>
  <c r="E210" i="28"/>
  <c r="D88" i="55"/>
  <c r="R57" i="61"/>
  <c r="A23" i="29"/>
  <c r="AF4" i="55"/>
  <c r="AF5" i="55" s="1"/>
  <c r="H53" i="20"/>
  <c r="H34" i="20"/>
  <c r="I34" i="20" s="1"/>
  <c r="V33" i="51"/>
  <c r="E86" i="28"/>
  <c r="X29" i="45"/>
  <c r="BB30" i="45"/>
  <c r="E111" i="29"/>
  <c r="E10" i="20"/>
  <c r="AI7" i="28"/>
  <c r="AS228" i="28"/>
  <c r="AS235" i="28" s="1"/>
  <c r="X159" i="7"/>
  <c r="Y159" i="7" s="1"/>
  <c r="Z159" i="7" s="1"/>
  <c r="AA159" i="7" s="1"/>
  <c r="AL37" i="16"/>
  <c r="L286" i="29"/>
  <c r="L287" i="29" s="1"/>
  <c r="D287" i="29" s="1"/>
  <c r="I63" i="16"/>
  <c r="F252" i="26"/>
  <c r="D160" i="26"/>
  <c r="D170" i="26" s="1"/>
  <c r="N172" i="26" s="1"/>
  <c r="E44" i="76" s="1"/>
  <c r="CK43" i="16"/>
  <c r="BV4" i="16"/>
  <c r="BU46" i="16"/>
  <c r="CK37" i="16" s="1"/>
  <c r="V42" i="22"/>
  <c r="C14" i="65"/>
  <c r="R14" i="65" s="1"/>
  <c r="B157" i="29"/>
  <c r="D157" i="29"/>
  <c r="L158" i="29"/>
  <c r="E158" i="29" s="1"/>
  <c r="R71" i="51"/>
  <c r="V40" i="51"/>
  <c r="W32" i="21"/>
  <c r="H46" i="20"/>
  <c r="M28" i="26"/>
  <c r="H30" i="20"/>
  <c r="I30" i="20" s="1"/>
  <c r="AZ29" i="45"/>
  <c r="AZ39" i="45" s="1"/>
  <c r="AH27" i="45"/>
  <c r="W34" i="21"/>
  <c r="B55" i="29"/>
  <c r="D55" i="29"/>
  <c r="L56" i="29"/>
  <c r="CJ43" i="16"/>
  <c r="K105" i="29"/>
  <c r="C105" i="29" s="1"/>
  <c r="N105" i="29" s="1"/>
  <c r="I139" i="59"/>
  <c r="BC10" i="57" s="1"/>
  <c r="BD10" i="57" s="1"/>
  <c r="BF10" i="57" s="1"/>
  <c r="BE10" i="57" s="1"/>
  <c r="F5679" i="66"/>
  <c r="F5678" i="66" s="1"/>
  <c r="F5677" i="66" s="1"/>
  <c r="F5676" i="66" s="1"/>
  <c r="F5675" i="66" s="1"/>
  <c r="F5674" i="66" s="1"/>
  <c r="F5673" i="66" s="1"/>
  <c r="F5672" i="66" s="1"/>
  <c r="F5671" i="66" s="1"/>
  <c r="F5670" i="66" s="1"/>
  <c r="F5669" i="66" s="1"/>
  <c r="F5668" i="66" s="1"/>
  <c r="F5667" i="66" s="1"/>
  <c r="F5666" i="66" s="1"/>
  <c r="F5665" i="66" s="1"/>
  <c r="F5664" i="66" s="1"/>
  <c r="F5663" i="66" s="1"/>
  <c r="F5662" i="66" s="1"/>
  <c r="F5661" i="66" s="1"/>
  <c r="F5660" i="66" s="1"/>
  <c r="F5659" i="66" s="1"/>
  <c r="F5658" i="66" s="1"/>
  <c r="F5657" i="66" s="1"/>
  <c r="F5656" i="66" s="1"/>
  <c r="F5655" i="66" s="1"/>
  <c r="F5654" i="66" s="1"/>
  <c r="F5653" i="66" s="1"/>
  <c r="F5652" i="66" s="1"/>
  <c r="F5651" i="66" s="1"/>
  <c r="F5650" i="66" s="1"/>
  <c r="F5649" i="66" s="1"/>
  <c r="F5648" i="66" s="1"/>
  <c r="F5647" i="66" s="1"/>
  <c r="F5646" i="66" s="1"/>
  <c r="F5645" i="66" s="1"/>
  <c r="F5644" i="66" s="1"/>
  <c r="F5643" i="66" s="1"/>
  <c r="F5642" i="66" s="1"/>
  <c r="F5641" i="66" s="1"/>
  <c r="F5640" i="66" s="1"/>
  <c r="F5639" i="66" s="1"/>
  <c r="F5638" i="66" s="1"/>
  <c r="F5637" i="66" s="1"/>
  <c r="F5636" i="66" s="1"/>
  <c r="F5635" i="66" s="1"/>
  <c r="F5634" i="66" s="1"/>
  <c r="F5633" i="66" s="1"/>
  <c r="F5632" i="66" s="1"/>
  <c r="F5631" i="66" s="1"/>
  <c r="F5630" i="66" s="1"/>
  <c r="F5629" i="66" s="1"/>
  <c r="F5628" i="66" s="1"/>
  <c r="F5627" i="66" s="1"/>
  <c r="F5626" i="66" s="1"/>
  <c r="F5625" i="66" s="1"/>
  <c r="F5624" i="66" s="1"/>
  <c r="F5623" i="66" s="1"/>
  <c r="F5622" i="66" s="1"/>
  <c r="F5621" i="66" s="1"/>
  <c r="F5620" i="66" s="1"/>
  <c r="F5619" i="66" s="1"/>
  <c r="F5618" i="66" s="1"/>
  <c r="F5617" i="66" s="1"/>
  <c r="F5616" i="66" s="1"/>
  <c r="F5615" i="66" s="1"/>
  <c r="F5614" i="66" s="1"/>
  <c r="F5613" i="66" s="1"/>
  <c r="F5612" i="66" s="1"/>
  <c r="F5611" i="66" s="1"/>
  <c r="F5610" i="66" s="1"/>
  <c r="F5609" i="66" s="1"/>
  <c r="F5608" i="66" s="1"/>
  <c r="F5607" i="66" s="1"/>
  <c r="F5606" i="66" s="1"/>
  <c r="F5605" i="66" s="1"/>
  <c r="F5604" i="66" s="1"/>
  <c r="F5603" i="66" s="1"/>
  <c r="F5602" i="66" s="1"/>
  <c r="F5601" i="66" s="1"/>
  <c r="F5600" i="66" s="1"/>
  <c r="F5599" i="66" s="1"/>
  <c r="F5598" i="66" s="1"/>
  <c r="F5597" i="66" s="1"/>
  <c r="F5596" i="66" s="1"/>
  <c r="F5595" i="66" s="1"/>
  <c r="F5594" i="66" s="1"/>
  <c r="F5593" i="66" s="1"/>
  <c r="F5592" i="66" s="1"/>
  <c r="F5591" i="66" s="1"/>
  <c r="F5590" i="66" s="1"/>
  <c r="F5589" i="66" s="1"/>
  <c r="F5588" i="66" s="1"/>
  <c r="F5587" i="66" s="1"/>
  <c r="F5586" i="66" s="1"/>
  <c r="F5585" i="66" s="1"/>
  <c r="F5584" i="66" s="1"/>
  <c r="F5583" i="66" s="1"/>
  <c r="F5582" i="66" s="1"/>
  <c r="F5581" i="66" s="1"/>
  <c r="F5580" i="66" s="1"/>
  <c r="F5579" i="66" s="1"/>
  <c r="F5578" i="66" s="1"/>
  <c r="F5577" i="66" s="1"/>
  <c r="F5576" i="66" s="1"/>
  <c r="F5575" i="66" s="1"/>
  <c r="F5574" i="66" s="1"/>
  <c r="F5573" i="66" s="1"/>
  <c r="F5572" i="66" s="1"/>
  <c r="F5571" i="66" s="1"/>
  <c r="F5570" i="66" s="1"/>
  <c r="F5569" i="66" s="1"/>
  <c r="F5568" i="66" s="1"/>
  <c r="F5567" i="66" s="1"/>
  <c r="F5566" i="66" s="1"/>
  <c r="F5565" i="66" s="1"/>
  <c r="F5564" i="66" s="1"/>
  <c r="F5563" i="66" s="1"/>
  <c r="F5562" i="66" s="1"/>
  <c r="F5561" i="66" s="1"/>
  <c r="F5560" i="66" s="1"/>
  <c r="F5559" i="66" s="1"/>
  <c r="F5558" i="66" s="1"/>
  <c r="F5557" i="66" s="1"/>
  <c r="F5556" i="66" s="1"/>
  <c r="F5555" i="66" s="1"/>
  <c r="F5554" i="66" s="1"/>
  <c r="F5553" i="66" s="1"/>
  <c r="F5552" i="66" s="1"/>
  <c r="F5551" i="66" s="1"/>
  <c r="F5550" i="66" s="1"/>
  <c r="F5549" i="66" s="1"/>
  <c r="F5548" i="66" s="1"/>
  <c r="F5547" i="66" s="1"/>
  <c r="F5546" i="66" s="1"/>
  <c r="F5545" i="66" s="1"/>
  <c r="F5544" i="66" s="1"/>
  <c r="F5543" i="66" s="1"/>
  <c r="F5542" i="66" s="1"/>
  <c r="F5541" i="66" s="1"/>
  <c r="F5540" i="66" s="1"/>
  <c r="F5539" i="66" s="1"/>
  <c r="F5538" i="66" s="1"/>
  <c r="F5537" i="66" s="1"/>
  <c r="F5536" i="66" s="1"/>
  <c r="F5535" i="66" s="1"/>
  <c r="F5534" i="66" s="1"/>
  <c r="F5533" i="66" s="1"/>
  <c r="F5532" i="66" s="1"/>
  <c r="F5531" i="66" s="1"/>
  <c r="F5530" i="66" s="1"/>
  <c r="F5529" i="66" s="1"/>
  <c r="F5528" i="66" s="1"/>
  <c r="F5527" i="66" s="1"/>
  <c r="F5526" i="66" s="1"/>
  <c r="F5525" i="66" s="1"/>
  <c r="F5524" i="66" s="1"/>
  <c r="F5523" i="66" s="1"/>
  <c r="F5522" i="66" s="1"/>
  <c r="F5521" i="66" s="1"/>
  <c r="F5520" i="66" s="1"/>
  <c r="F5519" i="66" s="1"/>
  <c r="F5518" i="66" s="1"/>
  <c r="F5517" i="66" s="1"/>
  <c r="F5516" i="66" s="1"/>
  <c r="F5515" i="66" s="1"/>
  <c r="F5514" i="66" s="1"/>
  <c r="F5513" i="66" s="1"/>
  <c r="F5512" i="66" s="1"/>
  <c r="F5511" i="66" s="1"/>
  <c r="F5510" i="66" s="1"/>
  <c r="F5509" i="66" s="1"/>
  <c r="F5508" i="66" s="1"/>
  <c r="F5507" i="66" s="1"/>
  <c r="F5506" i="66" s="1"/>
  <c r="F5505" i="66" s="1"/>
  <c r="F5504" i="66" s="1"/>
  <c r="F5503" i="66" s="1"/>
  <c r="F5502" i="66" s="1"/>
  <c r="F5501" i="66" s="1"/>
  <c r="F5500" i="66" s="1"/>
  <c r="F5499" i="66" s="1"/>
  <c r="F5498" i="66" s="1"/>
  <c r="F5497" i="66" s="1"/>
  <c r="F5496" i="66" s="1"/>
  <c r="F5495" i="66" s="1"/>
  <c r="F5494" i="66" s="1"/>
  <c r="F5493" i="66" s="1"/>
  <c r="F5492" i="66" s="1"/>
  <c r="F5491" i="66" s="1"/>
  <c r="F5490" i="66" s="1"/>
  <c r="F5489" i="66" s="1"/>
  <c r="F5488" i="66" s="1"/>
  <c r="F5487" i="66" s="1"/>
  <c r="F5486" i="66" s="1"/>
  <c r="F5485" i="66" s="1"/>
  <c r="F5484" i="66" s="1"/>
  <c r="F5483" i="66" s="1"/>
  <c r="F5482" i="66" s="1"/>
  <c r="F5481" i="66" s="1"/>
  <c r="F5480" i="66" s="1"/>
  <c r="F5479" i="66" s="1"/>
  <c r="F5478" i="66" s="1"/>
  <c r="F5477" i="66" s="1"/>
  <c r="F5476" i="66" s="1"/>
  <c r="F5475" i="66" s="1"/>
  <c r="F5474" i="66" s="1"/>
  <c r="F5473" i="66" s="1"/>
  <c r="F5472" i="66" s="1"/>
  <c r="F5471" i="66" s="1"/>
  <c r="F5470" i="66" s="1"/>
  <c r="F5469" i="66" s="1"/>
  <c r="F5468" i="66" s="1"/>
  <c r="F5467" i="66" s="1"/>
  <c r="F5466" i="66" s="1"/>
  <c r="F5465" i="66" s="1"/>
  <c r="F5464" i="66" s="1"/>
  <c r="F5463" i="66" s="1"/>
  <c r="F5462" i="66" s="1"/>
  <c r="F5461" i="66" s="1"/>
  <c r="F5460" i="66" s="1"/>
  <c r="F5459" i="66" s="1"/>
  <c r="F5458" i="66" s="1"/>
  <c r="F5457" i="66" s="1"/>
  <c r="F5456" i="66" s="1"/>
  <c r="F5455" i="66" s="1"/>
  <c r="F5454" i="66" s="1"/>
  <c r="F5453" i="66" s="1"/>
  <c r="F5452" i="66" s="1"/>
  <c r="F5451" i="66" s="1"/>
  <c r="F5450" i="66" s="1"/>
  <c r="F5449" i="66" s="1"/>
  <c r="F5448" i="66" s="1"/>
  <c r="F5447" i="66" s="1"/>
  <c r="F5446" i="66" s="1"/>
  <c r="F5445" i="66" s="1"/>
  <c r="F5444" i="66" s="1"/>
  <c r="F5443" i="66" s="1"/>
  <c r="F5442" i="66" s="1"/>
  <c r="F5441" i="66" s="1"/>
  <c r="F5440" i="66" s="1"/>
  <c r="F5439" i="66" s="1"/>
  <c r="F5438" i="66" s="1"/>
  <c r="F5437" i="66" s="1"/>
  <c r="F5436" i="66" s="1"/>
  <c r="F5435" i="66" s="1"/>
  <c r="F5434" i="66" s="1"/>
  <c r="F5433" i="66" s="1"/>
  <c r="F5432" i="66" s="1"/>
  <c r="F5431" i="66" s="1"/>
  <c r="F5430" i="66" s="1"/>
  <c r="F5429" i="66" s="1"/>
  <c r="F5428" i="66" s="1"/>
  <c r="F5427" i="66" s="1"/>
  <c r="F5426" i="66" s="1"/>
  <c r="M10" i="66"/>
  <c r="L295" i="29"/>
  <c r="E295" i="29" s="1"/>
  <c r="B294" i="29"/>
  <c r="N9" i="54"/>
  <c r="M7" i="54"/>
  <c r="Y7" i="54" s="1"/>
  <c r="N8" i="54"/>
  <c r="M8" i="54"/>
  <c r="N7" i="54"/>
  <c r="Y8" i="54" s="1"/>
  <c r="CL43" i="16"/>
  <c r="CM4" i="16"/>
  <c r="L101" i="29"/>
  <c r="L104" i="29" s="1"/>
  <c r="B100" i="29"/>
  <c r="V18" i="21"/>
  <c r="E48" i="28"/>
  <c r="F9" i="28"/>
  <c r="E217" i="28"/>
  <c r="AC30" i="45"/>
  <c r="AW27" i="45"/>
  <c r="AF27" i="45"/>
  <c r="N22" i="21"/>
  <c r="AF17" i="45"/>
  <c r="N62" i="26"/>
  <c r="AH30" i="45"/>
  <c r="U29" i="45"/>
  <c r="S80" i="51"/>
  <c r="R70" i="51"/>
  <c r="E68" i="28"/>
  <c r="E282" i="28"/>
  <c r="AQ30" i="45"/>
  <c r="BP34" i="16"/>
  <c r="Z27" i="45"/>
  <c r="BP22" i="16"/>
  <c r="O19" i="66"/>
  <c r="O20" i="66" s="1"/>
  <c r="O21" i="66" s="1"/>
  <c r="O22" i="66" s="1"/>
  <c r="O23" i="66" s="1"/>
  <c r="O24" i="66" s="1"/>
  <c r="AJ5" i="55"/>
  <c r="AK4" i="55"/>
  <c r="B178" i="29"/>
  <c r="L179" i="29"/>
  <c r="S69" i="51"/>
  <c r="E207" i="28"/>
  <c r="E214" i="28"/>
  <c r="E218" i="28"/>
  <c r="U15" i="45"/>
  <c r="U34" i="51"/>
  <c r="Z25" i="45"/>
  <c r="T20" i="22"/>
  <c r="F19" i="20"/>
  <c r="F24" i="20" s="1"/>
  <c r="S18" i="22"/>
  <c r="D18" i="20"/>
  <c r="M61" i="6"/>
  <c r="N61" i="6" s="1"/>
  <c r="O61" i="6" s="1"/>
  <c r="P61" i="6" s="1"/>
  <c r="Q61" i="6" s="1"/>
  <c r="AX27" i="45"/>
  <c r="AH28" i="45"/>
  <c r="AB21" i="55"/>
  <c r="AC22" i="55"/>
  <c r="L156" i="29"/>
  <c r="B156" i="29" s="1"/>
  <c r="B155" i="29"/>
  <c r="V32" i="51"/>
  <c r="V34" i="51"/>
  <c r="BC29" i="45"/>
  <c r="AF29" i="45"/>
  <c r="V35" i="51"/>
  <c r="AD25" i="45"/>
  <c r="L64" i="29"/>
  <c r="B63" i="29"/>
  <c r="F14" i="54"/>
  <c r="F12" i="54"/>
  <c r="E14" i="54"/>
  <c r="E12" i="54"/>
  <c r="F13" i="54"/>
  <c r="E13" i="54"/>
  <c r="Q7" i="54"/>
  <c r="Z7" i="54" s="1"/>
  <c r="Q9" i="54"/>
  <c r="R7" i="54"/>
  <c r="Z8" i="54" s="1"/>
  <c r="Q8" i="54"/>
  <c r="R9" i="54"/>
  <c r="R8" i="54"/>
  <c r="S39" i="42"/>
  <c r="S55" i="42" s="1"/>
  <c r="X39" i="42"/>
  <c r="A9" i="37"/>
  <c r="D9" i="37" s="1"/>
  <c r="H10" i="37"/>
  <c r="I10" i="37" s="1"/>
  <c r="C10" i="37" s="1"/>
  <c r="A10" i="37" s="1"/>
  <c r="D10" i="37" s="1"/>
  <c r="I65" i="16"/>
  <c r="I64" i="16"/>
  <c r="I70" i="16"/>
  <c r="I69" i="16"/>
  <c r="R72" i="51"/>
  <c r="U31" i="51"/>
  <c r="M99" i="6"/>
  <c r="M95" i="6"/>
  <c r="M101" i="6"/>
  <c r="F90" i="6"/>
  <c r="F131" i="7"/>
  <c r="F134" i="7" s="1"/>
  <c r="AM2" i="75"/>
  <c r="AN1" i="75"/>
  <c r="P31" i="42"/>
  <c r="N31" i="42" s="1"/>
  <c r="U31" i="42"/>
  <c r="S31" i="42" s="1"/>
  <c r="S52" i="42" s="1"/>
  <c r="V22" i="21"/>
  <c r="X22" i="21" s="1"/>
  <c r="Z22" i="21" s="1"/>
  <c r="S21" i="22"/>
  <c r="F52" i="20" s="1"/>
  <c r="Q31" i="22"/>
  <c r="D25" i="20"/>
  <c r="E17" i="20" s="1"/>
  <c r="BU32" i="16"/>
  <c r="BV32" i="16" s="1"/>
  <c r="BW32" i="16" s="1"/>
  <c r="BX32" i="16" s="1"/>
  <c r="BY32" i="16" s="1"/>
  <c r="BZ32" i="16" s="1"/>
  <c r="CA32" i="16" s="1"/>
  <c r="CB32" i="16" s="1"/>
  <c r="CC32" i="16" s="1"/>
  <c r="CD32" i="16" s="1"/>
  <c r="CE32" i="16" s="1"/>
  <c r="CF32" i="16" s="1"/>
  <c r="CG32" i="16" s="1"/>
  <c r="J7" i="54"/>
  <c r="X8" i="54" s="1"/>
  <c r="J8" i="54"/>
  <c r="I7" i="54"/>
  <c r="J9" i="54"/>
  <c r="I9" i="54"/>
  <c r="I8" i="54"/>
  <c r="AS28" i="45"/>
  <c r="AG25" i="45"/>
  <c r="Y29" i="45"/>
  <c r="Y39" i="45" s="1"/>
  <c r="BB29" i="45"/>
  <c r="X27" i="45"/>
  <c r="U30" i="45"/>
  <c r="CI40" i="16"/>
  <c r="D58" i="20"/>
  <c r="D37" i="20"/>
  <c r="B4" i="20"/>
  <c r="X11" i="21"/>
  <c r="BO36" i="16"/>
  <c r="CI36" i="16" s="1"/>
  <c r="CJ37" i="16"/>
  <c r="CH37" i="16"/>
  <c r="CI37" i="16"/>
  <c r="L325" i="29"/>
  <c r="B324" i="29"/>
  <c r="E324" i="29"/>
  <c r="BU8" i="16"/>
  <c r="BU21" i="16"/>
  <c r="G7" i="20"/>
  <c r="L202" i="29"/>
  <c r="B201" i="29"/>
  <c r="T21" i="26"/>
  <c r="BX31" i="16"/>
  <c r="BW13" i="16"/>
  <c r="N19" i="54"/>
  <c r="M17" i="54"/>
  <c r="M19" i="54"/>
  <c r="N17" i="54"/>
  <c r="Y16" i="54" s="1"/>
  <c r="M18" i="54"/>
  <c r="N18" i="54"/>
  <c r="L113" i="29"/>
  <c r="E112" i="29"/>
  <c r="B112" i="29"/>
  <c r="L96" i="29"/>
  <c r="S147" i="7"/>
  <c r="F42" i="51"/>
  <c r="F54" i="20"/>
  <c r="E226" i="26"/>
  <c r="E214" i="26" s="1"/>
  <c r="F35" i="20"/>
  <c r="H36" i="20"/>
  <c r="I36" i="20" s="1"/>
  <c r="H60" i="20"/>
  <c r="M32" i="26"/>
  <c r="H35" i="20"/>
  <c r="H54" i="20"/>
  <c r="E61" i="29"/>
  <c r="E293" i="29"/>
  <c r="E258" i="29"/>
  <c r="E322" i="29"/>
  <c r="E243" i="29"/>
  <c r="E193" i="29"/>
  <c r="E332" i="29"/>
  <c r="E260" i="29"/>
  <c r="E60" i="29"/>
  <c r="E170" i="29"/>
  <c r="E252" i="29"/>
  <c r="E270" i="29"/>
  <c r="E271" i="29"/>
  <c r="E217" i="29"/>
  <c r="E248" i="29"/>
  <c r="E308" i="29"/>
  <c r="E264" i="29"/>
  <c r="E246" i="29"/>
  <c r="E278" i="29"/>
  <c r="E255" i="29"/>
  <c r="E333" i="29"/>
  <c r="E267" i="29"/>
  <c r="E240" i="29"/>
  <c r="E242" i="29"/>
  <c r="E253" i="29"/>
  <c r="E266" i="29"/>
  <c r="E292" i="29"/>
  <c r="E137" i="29"/>
  <c r="F9" i="29"/>
  <c r="E334" i="29"/>
  <c r="E110" i="29"/>
  <c r="E265" i="29"/>
  <c r="E273" i="29"/>
  <c r="E335" i="29"/>
  <c r="E63" i="29"/>
  <c r="E139" i="29"/>
  <c r="E276" i="29"/>
  <c r="E272" i="29"/>
  <c r="E194" i="29"/>
  <c r="E247" i="29"/>
  <c r="E138" i="29"/>
  <c r="E249" i="29"/>
  <c r="E241" i="29"/>
  <c r="E218" i="29"/>
  <c r="E309" i="29"/>
  <c r="E261" i="29"/>
  <c r="E323" i="29"/>
  <c r="E307" i="29"/>
  <c r="E277" i="29"/>
  <c r="E259" i="29"/>
  <c r="E279" i="29"/>
  <c r="E254" i="29"/>
  <c r="E291" i="29"/>
  <c r="E140" i="29"/>
  <c r="BY53" i="45"/>
  <c r="BP11" i="16"/>
  <c r="Z69" i="45"/>
  <c r="AA69" i="45" s="1"/>
  <c r="AB69" i="45" s="1"/>
  <c r="AC69" i="45" s="1"/>
  <c r="AD69" i="45" s="1"/>
  <c r="AJ67" i="45"/>
  <c r="AL45" i="66"/>
  <c r="BT36" i="16"/>
  <c r="BU36" i="16" s="1"/>
  <c r="BV36" i="16" s="1"/>
  <c r="BW36" i="16" s="1"/>
  <c r="BX36" i="16" s="1"/>
  <c r="BY36" i="16" s="1"/>
  <c r="BZ36" i="16" s="1"/>
  <c r="CA36" i="16" s="1"/>
  <c r="CB36" i="16" s="1"/>
  <c r="CC36" i="16" s="1"/>
  <c r="CD36" i="16" s="1"/>
  <c r="CE36" i="16" s="1"/>
  <c r="CF36" i="16" s="1"/>
  <c r="CG36" i="16" s="1"/>
  <c r="V23" i="21"/>
  <c r="X23" i="21" s="1"/>
  <c r="Z23" i="21" s="1"/>
  <c r="BU7" i="16"/>
  <c r="BV7" i="16" s="1"/>
  <c r="BW7" i="16" s="1"/>
  <c r="BX7" i="16" s="1"/>
  <c r="BY7" i="16" s="1"/>
  <c r="BZ7" i="16" s="1"/>
  <c r="CA7" i="16" s="1"/>
  <c r="CB7" i="16" s="1"/>
  <c r="CC7" i="16" s="1"/>
  <c r="CD7" i="16" s="1"/>
  <c r="CE7" i="16" s="1"/>
  <c r="CF7" i="16" s="1"/>
  <c r="CG7" i="16" s="1"/>
  <c r="R27" i="19"/>
  <c r="S26" i="19"/>
  <c r="BT12" i="16"/>
  <c r="BU12" i="16" s="1"/>
  <c r="BV12" i="16" s="1"/>
  <c r="BW12" i="16" s="1"/>
  <c r="BX12" i="16" s="1"/>
  <c r="BY12" i="16" s="1"/>
  <c r="BZ12" i="16" s="1"/>
  <c r="CA12" i="16" s="1"/>
  <c r="CB12" i="16" s="1"/>
  <c r="CC12" i="16" s="1"/>
  <c r="CD12" i="16" s="1"/>
  <c r="CE12" i="16" s="1"/>
  <c r="CF12" i="16" s="1"/>
  <c r="CG12" i="16" s="1"/>
  <c r="BW37" i="16"/>
  <c r="BX37" i="16" s="1"/>
  <c r="BY37" i="16" s="1"/>
  <c r="BZ37" i="16" s="1"/>
  <c r="CA37" i="16" s="1"/>
  <c r="CB37" i="16" s="1"/>
  <c r="CC37" i="16" s="1"/>
  <c r="CD37" i="16" s="1"/>
  <c r="CE37" i="16" s="1"/>
  <c r="CF37" i="16" s="1"/>
  <c r="CG37" i="16" s="1"/>
  <c r="BT39" i="16"/>
  <c r="BU39" i="16" s="1"/>
  <c r="BV39" i="16" s="1"/>
  <c r="BW39" i="16" s="1"/>
  <c r="BX39" i="16" s="1"/>
  <c r="BY39" i="16" s="1"/>
  <c r="BZ39" i="16" s="1"/>
  <c r="CA39" i="16" s="1"/>
  <c r="CB39" i="16" s="1"/>
  <c r="CC39" i="16" s="1"/>
  <c r="CD39" i="16" s="1"/>
  <c r="CE39" i="16" s="1"/>
  <c r="CF39" i="16" s="1"/>
  <c r="CG39" i="16" s="1"/>
  <c r="CI39" i="16"/>
  <c r="T17" i="22"/>
  <c r="F25" i="20"/>
  <c r="G21" i="20" s="1"/>
  <c r="BU28" i="16"/>
  <c r="BV28" i="16" s="1"/>
  <c r="BW28" i="16" s="1"/>
  <c r="BX28" i="16" s="1"/>
  <c r="BY28" i="16" s="1"/>
  <c r="BZ28" i="16" s="1"/>
  <c r="CA28" i="16" s="1"/>
  <c r="CB28" i="16" s="1"/>
  <c r="CC28" i="16" s="1"/>
  <c r="CD28" i="16" s="1"/>
  <c r="CE28" i="16" s="1"/>
  <c r="CF28" i="16" s="1"/>
  <c r="CG28" i="16" s="1"/>
  <c r="G4" i="20"/>
  <c r="K31" i="29"/>
  <c r="L30" i="29"/>
  <c r="AI28" i="55"/>
  <c r="AJ27" i="55"/>
  <c r="D28" i="63"/>
  <c r="BB29" i="63"/>
  <c r="F29" i="63" s="1"/>
  <c r="BA29" i="63"/>
  <c r="X15" i="59"/>
  <c r="AZ14" i="57" s="1"/>
  <c r="W16" i="59"/>
  <c r="AX14" i="57"/>
  <c r="I17" i="54"/>
  <c r="J19" i="54"/>
  <c r="J18" i="54"/>
  <c r="J17" i="54"/>
  <c r="X16" i="54" s="1"/>
  <c r="I19" i="54"/>
  <c r="I18" i="54"/>
  <c r="E19" i="54"/>
  <c r="F18" i="54"/>
  <c r="E18" i="54"/>
  <c r="F19" i="54"/>
  <c r="E17" i="54"/>
  <c r="F17" i="54"/>
  <c r="W16" i="54" s="1"/>
  <c r="D60" i="1"/>
  <c r="D61" i="1" s="1"/>
  <c r="R25" i="1" s="1"/>
  <c r="R22" i="1"/>
  <c r="BP26" i="16"/>
  <c r="B43" i="29"/>
  <c r="E43" i="29"/>
  <c r="BY14" i="16"/>
  <c r="I60" i="16"/>
  <c r="Q137" i="7"/>
  <c r="I72" i="16"/>
  <c r="I73" i="16"/>
  <c r="I78" i="16"/>
  <c r="I74" i="16"/>
  <c r="D79" i="40"/>
  <c r="D81" i="40" s="1"/>
  <c r="D72" i="40"/>
  <c r="V30" i="51"/>
  <c r="V39" i="51"/>
  <c r="U33" i="51"/>
  <c r="S77" i="51"/>
  <c r="R74" i="51"/>
  <c r="M103" i="6"/>
  <c r="M96" i="6"/>
  <c r="G35" i="40"/>
  <c r="A29" i="28"/>
  <c r="E69" i="28"/>
  <c r="BT40" i="16"/>
  <c r="BU40" i="16" s="1"/>
  <c r="BV40" i="16" s="1"/>
  <c r="BW40" i="16" s="1"/>
  <c r="BX40" i="16" s="1"/>
  <c r="BY40" i="16" s="1"/>
  <c r="BZ40" i="16" s="1"/>
  <c r="CA40" i="16" s="1"/>
  <c r="CB40" i="16" s="1"/>
  <c r="CC40" i="16" s="1"/>
  <c r="CD40" i="16" s="1"/>
  <c r="CE40" i="16" s="1"/>
  <c r="CF40" i="16" s="1"/>
  <c r="CG40" i="16" s="1"/>
  <c r="J27" i="42"/>
  <c r="W27" i="42"/>
  <c r="V21" i="21"/>
  <c r="V15" i="21"/>
  <c r="X15" i="21" s="1"/>
  <c r="Z15" i="21" s="1"/>
  <c r="O57" i="1"/>
  <c r="B48" i="20"/>
  <c r="AH29" i="45"/>
  <c r="AO28" i="45"/>
  <c r="AA27" i="45"/>
  <c r="S78" i="51"/>
  <c r="AN25" i="45"/>
  <c r="AI25" i="45"/>
  <c r="AI34" i="45" s="1"/>
  <c r="AI29" i="45"/>
  <c r="AN28" i="45"/>
  <c r="AO25" i="45"/>
  <c r="AG29" i="45"/>
  <c r="F51" i="20"/>
  <c r="F32" i="20"/>
  <c r="N27" i="66"/>
  <c r="BV17" i="16"/>
  <c r="BW29" i="16"/>
  <c r="U42" i="42"/>
  <c r="S42" i="42" s="1"/>
  <c r="S56" i="42" s="1"/>
  <c r="P42" i="42"/>
  <c r="N42" i="42" s="1"/>
  <c r="C44" i="42"/>
  <c r="D26" i="21"/>
  <c r="E24" i="21" s="1"/>
  <c r="BU9" i="16"/>
  <c r="G10" i="20"/>
  <c r="E225" i="26"/>
  <c r="E213" i="26" s="1"/>
  <c r="F34" i="20"/>
  <c r="F53" i="20"/>
  <c r="P37" i="42"/>
  <c r="N37" i="42" s="1"/>
  <c r="U37" i="42"/>
  <c r="S37" i="42" s="1"/>
  <c r="S54" i="42" s="1"/>
  <c r="W8" i="54"/>
  <c r="B47" i="29"/>
  <c r="BT41" i="16"/>
  <c r="N71" i="26"/>
  <c r="D47" i="20"/>
  <c r="E12" i="20"/>
  <c r="E6" i="20"/>
  <c r="E4" i="20"/>
  <c r="E7" i="20"/>
  <c r="E5" i="20"/>
  <c r="E8" i="20"/>
  <c r="D30" i="20"/>
  <c r="D46" i="20"/>
  <c r="AB26" i="21"/>
  <c r="AB6" i="21" s="1"/>
  <c r="D39" i="20"/>
  <c r="E36" i="20" s="1"/>
  <c r="BV27" i="16"/>
  <c r="E56" i="29"/>
  <c r="BY23" i="16"/>
  <c r="E42" i="29"/>
  <c r="I76" i="16"/>
  <c r="I77" i="16"/>
  <c r="I67" i="16"/>
  <c r="M97" i="6"/>
  <c r="M100" i="6"/>
  <c r="T39" i="6"/>
  <c r="T40" i="6" s="1"/>
  <c r="M98" i="6"/>
  <c r="A15" i="9"/>
  <c r="B15" i="9" s="1"/>
  <c r="D15" i="9" s="1"/>
  <c r="U30" i="51"/>
  <c r="A22" i="29"/>
  <c r="A27" i="29"/>
  <c r="A26" i="28"/>
  <c r="A24" i="29"/>
  <c r="BT42" i="16"/>
  <c r="BU42" i="16" s="1"/>
  <c r="BV42" i="16" s="1"/>
  <c r="BW42" i="16" s="1"/>
  <c r="BX42" i="16" s="1"/>
  <c r="BY42" i="16" s="1"/>
  <c r="BZ42" i="16" s="1"/>
  <c r="CA42" i="16" s="1"/>
  <c r="CB42" i="16" s="1"/>
  <c r="CC42" i="16" s="1"/>
  <c r="CD42" i="16" s="1"/>
  <c r="CE42" i="16" s="1"/>
  <c r="CF42" i="16" s="1"/>
  <c r="CG42" i="16" s="1"/>
  <c r="N125" i="59"/>
  <c r="BV16" i="16"/>
  <c r="BW16" i="16" s="1"/>
  <c r="BX16" i="16" s="1"/>
  <c r="BY16" i="16" s="1"/>
  <c r="BZ16" i="16" s="1"/>
  <c r="CA16" i="16" s="1"/>
  <c r="CB16" i="16" s="1"/>
  <c r="CC16" i="16" s="1"/>
  <c r="CD16" i="16" s="1"/>
  <c r="CE16" i="16" s="1"/>
  <c r="CF16" i="16" s="1"/>
  <c r="CG16" i="16" s="1"/>
  <c r="V24" i="21"/>
  <c r="U28" i="22"/>
  <c r="M30" i="26" s="1"/>
  <c r="H37" i="20"/>
  <c r="I37" i="20" s="1"/>
  <c r="H56" i="20"/>
  <c r="U40" i="51"/>
  <c r="AZ25" i="45"/>
  <c r="AR25" i="45"/>
  <c r="AW25" i="45"/>
  <c r="AX25" i="45"/>
  <c r="AA28" i="45"/>
  <c r="BC28" i="45"/>
  <c r="AB28" i="45"/>
  <c r="AS29" i="45"/>
  <c r="AZ30" i="45"/>
  <c r="BB25" i="45"/>
  <c r="AU29" i="45"/>
  <c r="AS25" i="45"/>
  <c r="Z30" i="45"/>
  <c r="AE27" i="45"/>
  <c r="AE30" i="45"/>
  <c r="W20" i="19"/>
  <c r="W25" i="45"/>
  <c r="AP30" i="45"/>
  <c r="V29" i="45"/>
  <c r="V39" i="45" s="1"/>
  <c r="BA25" i="45"/>
  <c r="AU30" i="45"/>
  <c r="AR30" i="45"/>
  <c r="AG27" i="45"/>
  <c r="AU25" i="45"/>
  <c r="AD30" i="45"/>
  <c r="AT28" i="45"/>
  <c r="V25" i="45"/>
  <c r="BA27" i="45"/>
  <c r="U28" i="45"/>
  <c r="AD27" i="45"/>
  <c r="AG28" i="45"/>
  <c r="AG38" i="45" s="1"/>
  <c r="AA25" i="45"/>
  <c r="X25" i="45"/>
  <c r="BC30" i="45"/>
  <c r="BC40" i="45" s="1"/>
  <c r="AW30" i="45"/>
  <c r="AX29" i="45"/>
  <c r="AT30" i="45"/>
  <c r="AE29" i="45"/>
  <c r="AU28" i="45"/>
  <c r="BC25" i="45"/>
  <c r="AP27" i="45"/>
  <c r="X30" i="45"/>
  <c r="V27" i="45"/>
  <c r="AR29" i="45"/>
  <c r="AE28" i="45"/>
  <c r="BA29" i="45"/>
  <c r="BA39" i="45" s="1"/>
  <c r="AG30" i="45"/>
  <c r="AZ27" i="45"/>
  <c r="AI28" i="45"/>
  <c r="AV27" i="45"/>
  <c r="AW37" i="45" s="1"/>
  <c r="U27" i="45"/>
  <c r="AF37" i="45" s="1"/>
  <c r="BA28" i="45"/>
  <c r="AA30" i="45"/>
  <c r="AB27" i="45"/>
  <c r="AX30" i="45"/>
  <c r="Y30" i="45"/>
  <c r="AV25" i="45"/>
  <c r="AB25" i="45"/>
  <c r="AV29" i="45"/>
  <c r="AV39" i="45" s="1"/>
  <c r="AN29" i="45"/>
  <c r="AY39" i="45" s="1"/>
  <c r="AO29" i="45"/>
  <c r="AS30" i="45"/>
  <c r="BB28" i="45"/>
  <c r="AA29" i="45"/>
  <c r="AA39" i="45" s="1"/>
  <c r="W27" i="45"/>
  <c r="AU27" i="45"/>
  <c r="AO30" i="45"/>
  <c r="AQ29" i="45"/>
  <c r="AJ29" i="45"/>
  <c r="W29" i="45"/>
  <c r="AF25" i="45"/>
  <c r="AC25" i="45"/>
  <c r="AZ28" i="45"/>
  <c r="AY30" i="45"/>
  <c r="U25" i="45"/>
  <c r="F62" i="45" s="1"/>
  <c r="AR28" i="45"/>
  <c r="AD28" i="45"/>
  <c r="V30" i="45"/>
  <c r="V17" i="19"/>
  <c r="AC27" i="45"/>
  <c r="Y25" i="45"/>
  <c r="Y34" i="45" s="1"/>
  <c r="AC28" i="45"/>
  <c r="AN30" i="45"/>
  <c r="AQ27" i="45"/>
  <c r="AB30" i="45"/>
  <c r="AQ25" i="45"/>
  <c r="AJ30" i="45"/>
  <c r="Y27" i="45"/>
  <c r="AN27" i="45"/>
  <c r="AO27" i="45"/>
  <c r="AT27" i="45"/>
  <c r="BB27" i="45"/>
  <c r="AD29" i="45"/>
  <c r="AP28" i="45"/>
  <c r="Z29" i="45"/>
  <c r="AW29" i="45"/>
  <c r="AI30" i="45"/>
  <c r="AT25" i="45"/>
  <c r="AT34" i="45" s="1"/>
  <c r="AC29" i="45"/>
  <c r="AC39" i="45" s="1"/>
  <c r="AP25" i="45"/>
  <c r="AT29" i="45"/>
  <c r="AV28" i="45"/>
  <c r="AI27" i="45"/>
  <c r="W30" i="45"/>
  <c r="AY27" i="45"/>
  <c r="BA30" i="45"/>
  <c r="BB40" i="45" s="1"/>
  <c r="AX28" i="45"/>
  <c r="AX38" i="45" s="1"/>
  <c r="AP29" i="45"/>
  <c r="AE25" i="45"/>
  <c r="AE34" i="45" s="1"/>
  <c r="AF30" i="45"/>
  <c r="BC27" i="45"/>
  <c r="W28" i="45"/>
  <c r="AJ28" i="45"/>
  <c r="AY25" i="45"/>
  <c r="AY34" i="45" s="1"/>
  <c r="V21" i="19"/>
  <c r="AQ28" i="45"/>
  <c r="X28" i="45"/>
  <c r="AY28" i="45"/>
  <c r="P125" i="59"/>
  <c r="J54" i="57"/>
  <c r="J55" i="57" s="1"/>
  <c r="BU6" i="16"/>
  <c r="AI22" i="55"/>
  <c r="AJ21" i="55"/>
  <c r="BT35" i="16"/>
  <c r="BU35" i="16" s="1"/>
  <c r="BV35" i="16" s="1"/>
  <c r="BW35" i="16" s="1"/>
  <c r="BX35" i="16" s="1"/>
  <c r="BY35" i="16" s="1"/>
  <c r="BZ35" i="16" s="1"/>
  <c r="CA35" i="16" s="1"/>
  <c r="CB35" i="16" s="1"/>
  <c r="CC35" i="16" s="1"/>
  <c r="CD35" i="16" s="1"/>
  <c r="CE35" i="16" s="1"/>
  <c r="CF35" i="16" s="1"/>
  <c r="CG35" i="16" s="1"/>
  <c r="B126" i="29"/>
  <c r="L127" i="29"/>
  <c r="G5" i="20"/>
  <c r="G12" i="20"/>
  <c r="G8" i="20"/>
  <c r="Q20" i="19"/>
  <c r="R21" i="19"/>
  <c r="BX33" i="16"/>
  <c r="BT18" i="16"/>
  <c r="BU18" i="16" s="1"/>
  <c r="BV18" i="16" s="1"/>
  <c r="BW18" i="16" s="1"/>
  <c r="BX18" i="16" s="1"/>
  <c r="BY18" i="16" s="1"/>
  <c r="BZ18" i="16" s="1"/>
  <c r="CA18" i="16" s="1"/>
  <c r="CB18" i="16" s="1"/>
  <c r="CC18" i="16" s="1"/>
  <c r="CD18" i="16" s="1"/>
  <c r="CE18" i="16" s="1"/>
  <c r="CF18" i="16" s="1"/>
  <c r="CG18" i="16" s="1"/>
  <c r="V16" i="59"/>
  <c r="AW15" i="57" s="1"/>
  <c r="AW14" i="57"/>
  <c r="J57" i="57" s="1"/>
  <c r="K258" i="29"/>
  <c r="K263" i="29"/>
  <c r="BW30" i="16"/>
  <c r="N12" i="54"/>
  <c r="M12" i="54"/>
  <c r="M13" i="54"/>
  <c r="N13" i="54"/>
  <c r="M14" i="54"/>
  <c r="N14" i="54"/>
  <c r="I12" i="54"/>
  <c r="J13" i="54"/>
  <c r="I14" i="54"/>
  <c r="J12" i="54"/>
  <c r="I13" i="54"/>
  <c r="J14" i="54"/>
  <c r="BU20" i="16"/>
  <c r="BW25" i="16"/>
  <c r="F43" i="51"/>
  <c r="F41" i="51"/>
  <c r="N13" i="21"/>
  <c r="N11" i="21"/>
  <c r="N18" i="21"/>
  <c r="N15" i="21"/>
  <c r="N19" i="21"/>
  <c r="N20" i="21"/>
  <c r="M27" i="21"/>
  <c r="N14" i="21"/>
  <c r="N17" i="21"/>
  <c r="N16" i="21"/>
  <c r="N24" i="21"/>
  <c r="N25" i="21"/>
  <c r="N21" i="21"/>
  <c r="N23" i="21"/>
  <c r="S28" i="22"/>
  <c r="D23" i="20"/>
  <c r="G9" i="20"/>
  <c r="BW38" i="16"/>
  <c r="BX38" i="16" s="1"/>
  <c r="BY38" i="16" s="1"/>
  <c r="BZ38" i="16" s="1"/>
  <c r="CA38" i="16" s="1"/>
  <c r="CB38" i="16" s="1"/>
  <c r="CC38" i="16" s="1"/>
  <c r="CD38" i="16" s="1"/>
  <c r="CE38" i="16" s="1"/>
  <c r="CF38" i="16" s="1"/>
  <c r="CG38" i="16" s="1"/>
  <c r="BW10" i="16"/>
  <c r="K133" i="29"/>
  <c r="C133" i="29" s="1"/>
  <c r="N133" i="29" s="1"/>
  <c r="D27" i="28"/>
  <c r="B27" i="28"/>
  <c r="E27" i="28"/>
  <c r="B69" i="28"/>
  <c r="D69" i="28"/>
  <c r="B49" i="28"/>
  <c r="D49" i="28"/>
  <c r="E49" i="28"/>
  <c r="C73" i="28"/>
  <c r="AR112" i="28"/>
  <c r="AR113" i="28" s="1"/>
  <c r="AR114" i="28" s="1"/>
  <c r="AR115" i="28" s="1"/>
  <c r="AR116" i="28" s="1"/>
  <c r="AR117" i="28" s="1"/>
  <c r="C117" i="28" s="1"/>
  <c r="AR110" i="28"/>
  <c r="C110" i="28" s="1"/>
  <c r="AR111" i="28"/>
  <c r="C111" i="28" s="1"/>
  <c r="C91" i="28"/>
  <c r="AS109" i="28"/>
  <c r="E109" i="28" s="1"/>
  <c r="E130" i="28"/>
  <c r="E201" i="28"/>
  <c r="E67" i="28"/>
  <c r="E107" i="28"/>
  <c r="E208" i="28"/>
  <c r="E221" i="28"/>
  <c r="E204" i="28"/>
  <c r="E87" i="28"/>
  <c r="AS70" i="28"/>
  <c r="F70" i="28" s="1"/>
  <c r="AS50" i="28"/>
  <c r="F50" i="28" s="1"/>
  <c r="F219" i="28"/>
  <c r="D48" i="28"/>
  <c r="B48" i="28"/>
  <c r="AR31" i="28"/>
  <c r="A30" i="28"/>
  <c r="AS30" i="28"/>
  <c r="AS252" i="28"/>
  <c r="AR253" i="28"/>
  <c r="C253" i="28" s="1"/>
  <c r="AB154" i="7"/>
  <c r="C71" i="28"/>
  <c r="Z154" i="7"/>
  <c r="C252" i="28"/>
  <c r="D251" i="28"/>
  <c r="C89" i="28"/>
  <c r="C92" i="28"/>
  <c r="E251" i="28"/>
  <c r="Y154" i="7"/>
  <c r="Q143" i="7"/>
  <c r="M143" i="7"/>
  <c r="C27" i="24"/>
  <c r="F27" i="24" s="1"/>
  <c r="C224" i="29"/>
  <c r="C220" i="29"/>
  <c r="C223" i="29"/>
  <c r="C190" i="28"/>
  <c r="C191" i="28" s="1"/>
  <c r="C192" i="28" s="1"/>
  <c r="C221" i="29"/>
  <c r="C19" i="24"/>
  <c r="C222" i="29"/>
  <c r="C225" i="29"/>
  <c r="AC154" i="7"/>
  <c r="J153" i="7"/>
  <c r="AA154" i="7"/>
  <c r="B4" i="7"/>
  <c r="O153" i="7"/>
  <c r="X156" i="7" s="1"/>
  <c r="Y156" i="7" s="1"/>
  <c r="Z156" i="7" s="1"/>
  <c r="AA156" i="7" s="1"/>
  <c r="AB156" i="7" s="1"/>
  <c r="C288" i="29"/>
  <c r="F20" i="24"/>
  <c r="E20" i="24"/>
  <c r="F143" i="7"/>
  <c r="C250" i="28"/>
  <c r="C107" i="28"/>
  <c r="C122" i="29"/>
  <c r="E122" i="29" s="1"/>
  <c r="C109" i="28"/>
  <c r="C125" i="29"/>
  <c r="E125" i="29" s="1"/>
  <c r="C124" i="29"/>
  <c r="C130" i="29"/>
  <c r="C126" i="29"/>
  <c r="E126" i="29" s="1"/>
  <c r="F14" i="24"/>
  <c r="C20" i="23"/>
  <c r="D20" i="23" s="1"/>
  <c r="C132" i="29"/>
  <c r="N132" i="29" s="1"/>
  <c r="C123" i="29"/>
  <c r="C131" i="29"/>
  <c r="E14" i="24"/>
  <c r="C120" i="29"/>
  <c r="E120" i="29" s="1"/>
  <c r="C127" i="29"/>
  <c r="C129" i="29"/>
  <c r="C16" i="23"/>
  <c r="D16" i="23" s="1"/>
  <c r="C108" i="28"/>
  <c r="C121" i="29"/>
  <c r="E121" i="29" s="1"/>
  <c r="C128" i="29"/>
  <c r="C13" i="23"/>
  <c r="D13" i="23" s="1"/>
  <c r="C70" i="29"/>
  <c r="E70" i="29" s="1"/>
  <c r="F11" i="24"/>
  <c r="C70" i="28"/>
  <c r="C71" i="29"/>
  <c r="E71" i="29" s="1"/>
  <c r="C9" i="23"/>
  <c r="D9" i="23" s="1"/>
  <c r="C67" i="28"/>
  <c r="C68" i="28"/>
  <c r="C72" i="28"/>
  <c r="C84" i="28"/>
  <c r="E11" i="24"/>
  <c r="J144" i="26"/>
  <c r="J140" i="26"/>
  <c r="J130" i="26"/>
  <c r="J147" i="26"/>
  <c r="J137" i="26"/>
  <c r="J135" i="26"/>
  <c r="J133" i="26"/>
  <c r="J149" i="26"/>
  <c r="J131" i="26"/>
  <c r="J128" i="26"/>
  <c r="J150" i="26"/>
  <c r="J123" i="26"/>
  <c r="J141" i="26"/>
  <c r="J126" i="26"/>
  <c r="J142" i="26"/>
  <c r="J145" i="26"/>
  <c r="J124" i="26"/>
  <c r="J129" i="26"/>
  <c r="J134" i="26"/>
  <c r="J136" i="26"/>
  <c r="J127" i="26"/>
  <c r="J122" i="26"/>
  <c r="J138" i="26"/>
  <c r="J132" i="26"/>
  <c r="J146" i="26"/>
  <c r="J143" i="26"/>
  <c r="J148" i="26"/>
  <c r="J139" i="26"/>
  <c r="J125" i="26"/>
  <c r="J41" i="26"/>
  <c r="J60" i="26"/>
  <c r="J53" i="26"/>
  <c r="J52" i="26"/>
  <c r="J48" i="26"/>
  <c r="J43" i="26"/>
  <c r="J38" i="26"/>
  <c r="J44" i="26"/>
  <c r="J46" i="26"/>
  <c r="J50" i="26"/>
  <c r="J58" i="26"/>
  <c r="J55" i="26"/>
  <c r="J54" i="26"/>
  <c r="J39" i="26"/>
  <c r="J42" i="26"/>
  <c r="J49" i="26"/>
  <c r="J37" i="26"/>
  <c r="J45" i="26"/>
  <c r="J59" i="26"/>
  <c r="J57" i="26"/>
  <c r="J40" i="26"/>
  <c r="J51" i="26"/>
  <c r="J47" i="26"/>
  <c r="J56" i="26"/>
  <c r="J208" i="26"/>
  <c r="J206" i="26"/>
  <c r="J219" i="26"/>
  <c r="J215" i="26"/>
  <c r="J218" i="26"/>
  <c r="J207" i="26"/>
  <c r="J220" i="26"/>
  <c r="J205" i="26"/>
  <c r="J214" i="26"/>
  <c r="J213" i="26"/>
  <c r="J216" i="26"/>
  <c r="J221" i="26"/>
  <c r="J204" i="26"/>
  <c r="J217" i="26"/>
  <c r="J209" i="26"/>
  <c r="J212" i="26"/>
  <c r="J211" i="26"/>
  <c r="F140" i="7"/>
  <c r="BA34" i="7"/>
  <c r="C97" i="29"/>
  <c r="E97" i="29" s="1"/>
  <c r="C98" i="29"/>
  <c r="E98" i="29" s="1"/>
  <c r="C101" i="29"/>
  <c r="C14" i="23"/>
  <c r="D14" i="23" s="1"/>
  <c r="C88" i="28"/>
  <c r="C87" i="28"/>
  <c r="C103" i="29"/>
  <c r="C90" i="28"/>
  <c r="C96" i="29"/>
  <c r="E96" i="29" s="1"/>
  <c r="C100" i="29"/>
  <c r="E100" i="29" s="1"/>
  <c r="E12" i="24"/>
  <c r="C99" i="29"/>
  <c r="C86" i="28"/>
  <c r="C10" i="23"/>
  <c r="D10" i="23" s="1"/>
  <c r="F12" i="24"/>
  <c r="C102" i="29"/>
  <c r="C104" i="29"/>
  <c r="C287" i="29"/>
  <c r="Q140" i="7"/>
  <c r="M133" i="7"/>
  <c r="M142" i="7"/>
  <c r="M138" i="7"/>
  <c r="M132" i="7"/>
  <c r="M139" i="7"/>
  <c r="M136" i="7"/>
  <c r="M134" i="7"/>
  <c r="M129" i="7"/>
  <c r="M141" i="7"/>
  <c r="M130" i="7"/>
  <c r="M135" i="7"/>
  <c r="Q131" i="7"/>
  <c r="Q134" i="7" s="1"/>
  <c r="F137" i="7"/>
  <c r="F28" i="24"/>
  <c r="E28" i="24"/>
  <c r="C245" i="29"/>
  <c r="C247" i="29"/>
  <c r="C246" i="29"/>
  <c r="C249" i="29"/>
  <c r="E24" i="24"/>
  <c r="F24" i="24"/>
  <c r="C248" i="29"/>
  <c r="C254" i="29"/>
  <c r="E25" i="24"/>
  <c r="C251" i="29"/>
  <c r="F25" i="24"/>
  <c r="C252" i="29"/>
  <c r="C253" i="29"/>
  <c r="C255" i="29"/>
  <c r="F128" i="7"/>
  <c r="F125" i="7" s="1"/>
  <c r="E29" i="24"/>
  <c r="F29" i="24"/>
  <c r="C207" i="28"/>
  <c r="AR208" i="28"/>
  <c r="F225" i="28"/>
  <c r="D224" i="28"/>
  <c r="E224" i="28"/>
  <c r="B224" i="28"/>
  <c r="AS231" i="28"/>
  <c r="F224" i="28"/>
  <c r="F218" i="28"/>
  <c r="F209" i="28"/>
  <c r="C93" i="28"/>
  <c r="AR94" i="28"/>
  <c r="E226" i="28"/>
  <c r="AS233" i="28"/>
  <c r="D226" i="28"/>
  <c r="F226" i="28"/>
  <c r="F251" i="28"/>
  <c r="D232" i="28"/>
  <c r="B232" i="28"/>
  <c r="AS239" i="28"/>
  <c r="E232" i="28"/>
  <c r="F232" i="28"/>
  <c r="B223" i="28"/>
  <c r="F223" i="28"/>
  <c r="AS230" i="28"/>
  <c r="D223" i="28"/>
  <c r="C74" i="28"/>
  <c r="AR75" i="28"/>
  <c r="F298" i="28"/>
  <c r="F194" i="28"/>
  <c r="F130" i="28"/>
  <c r="F193" i="28"/>
  <c r="F150" i="28"/>
  <c r="F192" i="28"/>
  <c r="F47" i="28"/>
  <c r="F204" i="28"/>
  <c r="F201" i="28"/>
  <c r="F67" i="28"/>
  <c r="F210" i="28"/>
  <c r="F68" i="28"/>
  <c r="F191" i="28"/>
  <c r="F202" i="28"/>
  <c r="F282" i="28"/>
  <c r="F48" i="28"/>
  <c r="F203" i="28"/>
  <c r="F250" i="28"/>
  <c r="F207" i="28"/>
  <c r="F49" i="28"/>
  <c r="F195" i="28"/>
  <c r="F170" i="28"/>
  <c r="F197" i="28"/>
  <c r="F86" i="28"/>
  <c r="F214" i="28"/>
  <c r="F87" i="28"/>
  <c r="F205" i="28"/>
  <c r="F108" i="28"/>
  <c r="F266" i="28"/>
  <c r="F200" i="28"/>
  <c r="F107" i="28"/>
  <c r="F217" i="28"/>
  <c r="F212" i="28"/>
  <c r="G9" i="28"/>
  <c r="F211" i="28"/>
  <c r="F216" i="28"/>
  <c r="F190" i="28"/>
  <c r="AR53" i="28"/>
  <c r="C53" i="28" s="1"/>
  <c r="D215" i="28"/>
  <c r="E215" i="28"/>
  <c r="F215" i="28"/>
  <c r="B215" i="28"/>
  <c r="AS222" i="28"/>
  <c r="F69" i="28"/>
  <c r="F208" i="28"/>
  <c r="J139" i="59"/>
  <c r="K128" i="59"/>
  <c r="I35" i="40"/>
  <c r="J35" i="40" s="1"/>
  <c r="K35" i="40" s="1"/>
  <c r="L35" i="40" s="1"/>
  <c r="M35" i="40" s="1"/>
  <c r="H35" i="40"/>
  <c r="B16" i="9"/>
  <c r="D16" i="9" s="1"/>
  <c r="U39" i="51"/>
  <c r="Y165" i="7"/>
  <c r="M79" i="6"/>
  <c r="M80" i="6"/>
  <c r="K17" i="10"/>
  <c r="C16" i="10"/>
  <c r="B16" i="10" s="1"/>
  <c r="A16" i="10"/>
  <c r="A17" i="9"/>
  <c r="AR18" i="9"/>
  <c r="AS18" i="9" s="1"/>
  <c r="B14" i="9"/>
  <c r="F14" i="9" s="1"/>
  <c r="V36" i="51"/>
  <c r="U36" i="51"/>
  <c r="S73" i="51"/>
  <c r="B16" i="8"/>
  <c r="C16" i="8"/>
  <c r="D16" i="8"/>
  <c r="M86" i="6"/>
  <c r="M83" i="6"/>
  <c r="M84" i="6"/>
  <c r="M82" i="6"/>
  <c r="C14" i="9"/>
  <c r="M153" i="7"/>
  <c r="X153" i="7" s="1"/>
  <c r="X147" i="7"/>
  <c r="Y147" i="7" s="1"/>
  <c r="Z147" i="7" s="1"/>
  <c r="AA147" i="7" s="1"/>
  <c r="S75" i="51"/>
  <c r="R75" i="51"/>
  <c r="J70" i="40"/>
  <c r="I70" i="40"/>
  <c r="F70" i="40"/>
  <c r="H70" i="40"/>
  <c r="G70" i="40"/>
  <c r="E70" i="40"/>
  <c r="C70" i="40"/>
  <c r="E75" i="42"/>
  <c r="E76" i="42" s="1"/>
  <c r="E77" i="42" s="1"/>
  <c r="M137" i="7" s="1"/>
  <c r="C76" i="42"/>
  <c r="C77" i="42" s="1"/>
  <c r="M128" i="7" s="1"/>
  <c r="M125" i="7" s="1"/>
  <c r="E53" i="57"/>
  <c r="C32" i="58"/>
  <c r="N57" i="6"/>
  <c r="O57" i="6" s="1"/>
  <c r="P57" i="6" s="1"/>
  <c r="Q57" i="6" s="1"/>
  <c r="R57" i="6" s="1"/>
  <c r="AT11" i="9"/>
  <c r="AT11" i="65"/>
  <c r="C19" i="8"/>
  <c r="C43" i="57"/>
  <c r="S79" i="51"/>
  <c r="U37" i="51"/>
  <c r="F88" i="42"/>
  <c r="F87" i="42"/>
  <c r="F76" i="42"/>
  <c r="F77" i="42" s="1"/>
  <c r="M140" i="7" s="1"/>
  <c r="R81" i="51"/>
  <c r="V31" i="51"/>
  <c r="S76" i="51"/>
  <c r="R76" i="51"/>
  <c r="V29" i="51"/>
  <c r="R69" i="51"/>
  <c r="O159" i="7"/>
  <c r="X162" i="7" s="1"/>
  <c r="S39" i="6"/>
  <c r="S40" i="6" s="1"/>
  <c r="C34" i="8"/>
  <c r="D39" i="6"/>
  <c r="R80" i="51"/>
  <c r="X172" i="7"/>
  <c r="R73" i="51"/>
  <c r="V37" i="51"/>
  <c r="C17" i="8"/>
  <c r="D17" i="8"/>
  <c r="B17" i="8"/>
  <c r="R39" i="6"/>
  <c r="E42" i="57"/>
  <c r="E45" i="57" s="1"/>
  <c r="C45" i="57"/>
  <c r="C24" i="58" s="1"/>
  <c r="C21" i="58"/>
  <c r="C52" i="57"/>
  <c r="E48" i="57"/>
  <c r="C27" i="58"/>
  <c r="S72" i="51"/>
  <c r="R77" i="51"/>
  <c r="E51" i="57"/>
  <c r="C30" i="58"/>
  <c r="C55" i="57"/>
  <c r="C22" i="8"/>
  <c r="C41" i="57"/>
  <c r="D37" i="6"/>
  <c r="H83" i="55"/>
  <c r="J73" i="26"/>
  <c r="J84" i="26"/>
  <c r="J78" i="26"/>
  <c r="J80" i="26"/>
  <c r="J74" i="26"/>
  <c r="J79" i="26"/>
  <c r="J77" i="26"/>
  <c r="J83" i="26"/>
  <c r="J76" i="26"/>
  <c r="J75" i="26"/>
  <c r="J82" i="26"/>
  <c r="J89" i="26"/>
  <c r="J85" i="26"/>
  <c r="J81" i="26"/>
  <c r="J87" i="26"/>
  <c r="J86" i="26"/>
  <c r="J88" i="26"/>
  <c r="AP8" i="16"/>
  <c r="C52" i="29"/>
  <c r="E10" i="24"/>
  <c r="C51" i="28"/>
  <c r="C47" i="29"/>
  <c r="C45" i="29"/>
  <c r="C54" i="29"/>
  <c r="C48" i="29"/>
  <c r="C48" i="28"/>
  <c r="F10" i="24"/>
  <c r="C12" i="23"/>
  <c r="D12" i="23" s="1"/>
  <c r="C49" i="29"/>
  <c r="C53" i="29"/>
  <c r="C47" i="28"/>
  <c r="C8" i="23"/>
  <c r="D8" i="23" s="1"/>
  <c r="C50" i="28"/>
  <c r="C58" i="29"/>
  <c r="N58" i="29" s="1"/>
  <c r="C59" i="29"/>
  <c r="N59" i="29" s="1"/>
  <c r="C50" i="29"/>
  <c r="C49" i="28"/>
  <c r="C51" i="29"/>
  <c r="C56" i="29"/>
  <c r="N56" i="29" s="1"/>
  <c r="C52" i="28"/>
  <c r="C46" i="29"/>
  <c r="C62" i="29"/>
  <c r="N62" i="29" s="1"/>
  <c r="D62" i="29" s="1"/>
  <c r="C63" i="29"/>
  <c r="N63" i="29" s="1"/>
  <c r="D63" i="29" s="1"/>
  <c r="C57" i="29"/>
  <c r="N57" i="29" s="1"/>
  <c r="C65" i="29"/>
  <c r="N65" i="29" s="1"/>
  <c r="C60" i="29"/>
  <c r="N60" i="29" s="1"/>
  <c r="D60" i="29" s="1"/>
  <c r="C61" i="29"/>
  <c r="N61" i="29" s="1"/>
  <c r="D61" i="29" s="1"/>
  <c r="C64" i="29"/>
  <c r="N64" i="29" s="1"/>
  <c r="C55" i="29"/>
  <c r="C68" i="29"/>
  <c r="N68" i="29" s="1"/>
  <c r="C66" i="29"/>
  <c r="N66" i="29" s="1"/>
  <c r="C67" i="29"/>
  <c r="N67" i="29" s="1"/>
  <c r="K327" i="29"/>
  <c r="K313" i="29"/>
  <c r="J252" i="26"/>
  <c r="C15" i="24"/>
  <c r="N223" i="26"/>
  <c r="C17" i="24"/>
  <c r="I252" i="26"/>
  <c r="N177" i="26"/>
  <c r="J197" i="26" s="1"/>
  <c r="AU8" i="16"/>
  <c r="L61" i="16" s="1"/>
  <c r="C289" i="29"/>
  <c r="K290" i="29"/>
  <c r="J170" i="26"/>
  <c r="J161" i="26"/>
  <c r="J158" i="26"/>
  <c r="J172" i="26"/>
  <c r="J157" i="26"/>
  <c r="J167" i="26"/>
  <c r="J165" i="26"/>
  <c r="J163" i="26"/>
  <c r="J160" i="26"/>
  <c r="J171" i="26"/>
  <c r="J173" i="26"/>
  <c r="J174" i="26"/>
  <c r="J162" i="26"/>
  <c r="J159" i="26"/>
  <c r="J166" i="26"/>
  <c r="J175" i="26"/>
  <c r="J169" i="26"/>
  <c r="J164" i="26"/>
  <c r="J168" i="26"/>
  <c r="AS8" i="16"/>
  <c r="C21" i="24"/>
  <c r="C197" i="28"/>
  <c r="E175" i="7"/>
  <c r="C237" i="29"/>
  <c r="C236" i="29"/>
  <c r="C234" i="29"/>
  <c r="C235" i="29"/>
  <c r="AV8" i="16"/>
  <c r="K299" i="29"/>
  <c r="C25" i="23"/>
  <c r="D25" i="23" s="1"/>
  <c r="F31" i="24"/>
  <c r="E31" i="24"/>
  <c r="C284" i="29"/>
  <c r="E284" i="29" s="1"/>
  <c r="C281" i="29"/>
  <c r="C285" i="29"/>
  <c r="E285" i="29" s="1"/>
  <c r="C282" i="29"/>
  <c r="E282" i="29" s="1"/>
  <c r="C286" i="29"/>
  <c r="C283" i="29"/>
  <c r="E283" i="29" s="1"/>
  <c r="I71" i="16"/>
  <c r="I62" i="16"/>
  <c r="I75" i="16"/>
  <c r="AQ17" i="16"/>
  <c r="AT9" i="16"/>
  <c r="I61" i="16"/>
  <c r="I79" i="16"/>
  <c r="I68" i="16"/>
  <c r="I66" i="16"/>
  <c r="AR255" i="28"/>
  <c r="C254" i="28"/>
  <c r="AL16" i="16"/>
  <c r="AO16" i="16"/>
  <c r="G35" i="55"/>
  <c r="G39" i="55" s="1"/>
  <c r="D39" i="55"/>
  <c r="H77" i="55" s="1"/>
  <c r="I13" i="65"/>
  <c r="AB150" i="7"/>
  <c r="AC150" i="7"/>
  <c r="S13" i="65"/>
  <c r="P13" i="65"/>
  <c r="O13" i="65"/>
  <c r="L13" i="65"/>
  <c r="T13" i="65"/>
  <c r="V13" i="65"/>
  <c r="AH13" i="65"/>
  <c r="N13" i="65"/>
  <c r="AC13" i="65"/>
  <c r="AB13" i="65"/>
  <c r="AA13" i="65"/>
  <c r="AD13" i="65"/>
  <c r="X13" i="65"/>
  <c r="AM13" i="65"/>
  <c r="AF13" i="65"/>
  <c r="K13" i="65"/>
  <c r="U13" i="65"/>
  <c r="R13" i="65"/>
  <c r="Z13" i="65"/>
  <c r="AE13" i="65"/>
  <c r="Q13" i="65"/>
  <c r="W13" i="65"/>
  <c r="J13" i="65"/>
  <c r="Y13" i="65"/>
  <c r="AG13" i="65"/>
  <c r="M13" i="65"/>
  <c r="F14" i="65"/>
  <c r="D14" i="65"/>
  <c r="G14" i="65"/>
  <c r="E14" i="65"/>
  <c r="F221" i="28" l="1"/>
  <c r="F311" i="28"/>
  <c r="G215" i="28"/>
  <c r="G311" i="28"/>
  <c r="F88" i="28"/>
  <c r="C15" i="8"/>
  <c r="D15" i="8"/>
  <c r="AF16" i="9"/>
  <c r="S16" i="9"/>
  <c r="T16" i="9"/>
  <c r="AE16" i="9"/>
  <c r="AO14" i="9"/>
  <c r="AC14" i="9"/>
  <c r="Q14" i="9"/>
  <c r="AB14" i="9"/>
  <c r="AN14" i="9"/>
  <c r="P14" i="9"/>
  <c r="AL14" i="9"/>
  <c r="Z14" i="9"/>
  <c r="N14" i="9"/>
  <c r="AI14" i="9"/>
  <c r="W14" i="9"/>
  <c r="K14" i="9"/>
  <c r="AK14" i="9"/>
  <c r="T14" i="9"/>
  <c r="AG14" i="9"/>
  <c r="O14" i="9"/>
  <c r="AF14" i="9"/>
  <c r="M14" i="9"/>
  <c r="AD14" i="9"/>
  <c r="V14" i="9"/>
  <c r="AE14" i="9"/>
  <c r="L14" i="9"/>
  <c r="AA14" i="9"/>
  <c r="X14" i="9"/>
  <c r="J14" i="9"/>
  <c r="Y14" i="9"/>
  <c r="R14" i="9"/>
  <c r="U14" i="9"/>
  <c r="AH14" i="9"/>
  <c r="AM14" i="9"/>
  <c r="S14" i="9"/>
  <c r="AJ14" i="9"/>
  <c r="AM16" i="9"/>
  <c r="AA16" i="9"/>
  <c r="AD16" i="9"/>
  <c r="V16" i="9"/>
  <c r="AC16" i="9"/>
  <c r="AI16" i="9"/>
  <c r="AH16" i="9"/>
  <c r="K16" i="9"/>
  <c r="U16" i="9"/>
  <c r="L16" i="9"/>
  <c r="Z16" i="9"/>
  <c r="X16" i="9"/>
  <c r="O16" i="9"/>
  <c r="N16" i="9"/>
  <c r="AJ16" i="9"/>
  <c r="P16" i="9"/>
  <c r="AL16" i="9"/>
  <c r="AG16" i="9"/>
  <c r="W16" i="9"/>
  <c r="Y16" i="9"/>
  <c r="Q16" i="9"/>
  <c r="AO16" i="9"/>
  <c r="AK16" i="9"/>
  <c r="C54" i="21"/>
  <c r="E56" i="21"/>
  <c r="G56" i="21"/>
  <c r="F56" i="21"/>
  <c r="H56" i="21"/>
  <c r="I55" i="21"/>
  <c r="I56" i="21" s="1"/>
  <c r="J52" i="21"/>
  <c r="K52" i="21" s="1"/>
  <c r="L52" i="21" s="1"/>
  <c r="E35" i="24"/>
  <c r="C337" i="29"/>
  <c r="C34" i="23"/>
  <c r="D34" i="23" s="1"/>
  <c r="C29" i="23"/>
  <c r="D29" i="23" s="1"/>
  <c r="C339" i="29"/>
  <c r="E339" i="29" s="1"/>
  <c r="C338" i="29"/>
  <c r="E338" i="29" s="1"/>
  <c r="F35" i="24"/>
  <c r="C340" i="29"/>
  <c r="C341" i="29"/>
  <c r="C342" i="29"/>
  <c r="C343" i="29"/>
  <c r="C344" i="29"/>
  <c r="C345" i="29" s="1"/>
  <c r="D228" i="28"/>
  <c r="B159" i="7"/>
  <c r="C33" i="24" s="1"/>
  <c r="B153" i="7"/>
  <c r="C32" i="24" s="1"/>
  <c r="AT11" i="28"/>
  <c r="B165" i="7"/>
  <c r="C25" i="29"/>
  <c r="E25" i="29" s="1"/>
  <c r="CM42" i="16"/>
  <c r="BD148" i="7"/>
  <c r="BD149" i="7" s="1"/>
  <c r="BD150" i="7" s="1"/>
  <c r="BD151" i="7" s="1"/>
  <c r="BD152" i="7" s="1"/>
  <c r="BD153" i="7" s="1"/>
  <c r="BD154" i="7" s="1"/>
  <c r="BD155" i="7" s="1"/>
  <c r="BD156" i="7" s="1"/>
  <c r="BD157" i="7" s="1"/>
  <c r="BD158" i="7" s="1"/>
  <c r="BD159" i="7" s="1"/>
  <c r="BD160" i="7" s="1"/>
  <c r="BD161" i="7" s="1"/>
  <c r="BD162" i="7" s="1"/>
  <c r="BD163" i="7" s="1"/>
  <c r="BD164" i="7" s="1"/>
  <c r="BD165" i="7" s="1"/>
  <c r="BD166" i="7" s="1"/>
  <c r="AU251" i="28"/>
  <c r="J251" i="28" s="1"/>
  <c r="AU252" i="28"/>
  <c r="I60" i="6"/>
  <c r="H60" i="6" s="1"/>
  <c r="F44" i="76"/>
  <c r="E52" i="76"/>
  <c r="E54" i="76" s="1"/>
  <c r="E53" i="76" s="1"/>
  <c r="B52" i="20"/>
  <c r="L29" i="21"/>
  <c r="X17" i="21"/>
  <c r="B20" i="20" s="1"/>
  <c r="X14" i="21"/>
  <c r="C52" i="21"/>
  <c r="C53" i="21"/>
  <c r="G27" i="21"/>
  <c r="C51" i="21"/>
  <c r="AI40" i="45"/>
  <c r="AD40" i="45"/>
  <c r="H14" i="21"/>
  <c r="N72" i="26"/>
  <c r="N80" i="26" s="1"/>
  <c r="K25" i="21"/>
  <c r="H19" i="21"/>
  <c r="AJ34" i="45"/>
  <c r="H23" i="21"/>
  <c r="L26" i="19"/>
  <c r="F30" i="20"/>
  <c r="F169" i="29"/>
  <c r="F89" i="29"/>
  <c r="F46" i="20"/>
  <c r="K169" i="29"/>
  <c r="K170" i="29" s="1"/>
  <c r="K172" i="29" s="1"/>
  <c r="AW38" i="45"/>
  <c r="W38" i="45"/>
  <c r="C28" i="29"/>
  <c r="E28" i="29" s="1"/>
  <c r="C27" i="29"/>
  <c r="C27" i="28"/>
  <c r="F9" i="24"/>
  <c r="C7" i="23"/>
  <c r="D7" i="23" s="1"/>
  <c r="C28" i="28"/>
  <c r="AU28" i="28" s="1"/>
  <c r="C23" i="29"/>
  <c r="E23" i="29" s="1"/>
  <c r="C162" i="29"/>
  <c r="N162" i="29" s="1"/>
  <c r="C163" i="29"/>
  <c r="N163" i="29" s="1"/>
  <c r="C164" i="29"/>
  <c r="N164" i="29" s="1"/>
  <c r="C165" i="29"/>
  <c r="N165" i="29" s="1"/>
  <c r="C166" i="29"/>
  <c r="N166" i="29" s="1"/>
  <c r="C167" i="29"/>
  <c r="N167" i="29" s="1"/>
  <c r="C168" i="29"/>
  <c r="N168" i="29" s="1"/>
  <c r="B21" i="29"/>
  <c r="C21" i="29"/>
  <c r="E21" i="29" s="1"/>
  <c r="E95" i="29"/>
  <c r="E94" i="29"/>
  <c r="E72" i="29"/>
  <c r="E9" i="24"/>
  <c r="C20" i="29"/>
  <c r="E20" i="29" s="1"/>
  <c r="C29" i="28"/>
  <c r="C26" i="29"/>
  <c r="N26" i="29" s="1"/>
  <c r="D26" i="29" s="1"/>
  <c r="E93" i="29"/>
  <c r="F90" i="29"/>
  <c r="F91" i="29"/>
  <c r="E101" i="29"/>
  <c r="K75" i="29"/>
  <c r="C74" i="29"/>
  <c r="F112" i="29"/>
  <c r="F85" i="29"/>
  <c r="F73" i="29"/>
  <c r="F79" i="29"/>
  <c r="F84" i="29"/>
  <c r="F93" i="29"/>
  <c r="F74" i="29"/>
  <c r="F86" i="29"/>
  <c r="F75" i="29"/>
  <c r="F76" i="29"/>
  <c r="F87" i="29"/>
  <c r="F77" i="29"/>
  <c r="F88" i="29"/>
  <c r="F78" i="29"/>
  <c r="F94" i="29"/>
  <c r="F95" i="29"/>
  <c r="E73" i="29"/>
  <c r="N73" i="29"/>
  <c r="D73" i="29" s="1"/>
  <c r="F72" i="29"/>
  <c r="H24" i="55"/>
  <c r="H25" i="55"/>
  <c r="H22" i="55"/>
  <c r="H27" i="55"/>
  <c r="H23" i="55"/>
  <c r="H28" i="55"/>
  <c r="B26" i="29"/>
  <c r="AG40" i="45"/>
  <c r="K23" i="21"/>
  <c r="K14" i="21"/>
  <c r="H31" i="20"/>
  <c r="I31" i="20" s="1"/>
  <c r="K16" i="21"/>
  <c r="K12" i="21"/>
  <c r="H49" i="20"/>
  <c r="AZ40" i="45"/>
  <c r="AH34" i="45"/>
  <c r="K20" i="21"/>
  <c r="J27" i="21"/>
  <c r="D179" i="26"/>
  <c r="R171" i="26"/>
  <c r="D30" i="29"/>
  <c r="K21" i="21"/>
  <c r="AX37" i="45"/>
  <c r="K19" i="21"/>
  <c r="K22" i="21"/>
  <c r="K13" i="21"/>
  <c r="B228" i="28"/>
  <c r="AE4" i="55"/>
  <c r="AE5" i="55" s="1"/>
  <c r="K15" i="21"/>
  <c r="AO34" i="45"/>
  <c r="K24" i="21"/>
  <c r="U18" i="22"/>
  <c r="F228" i="28"/>
  <c r="K11" i="21"/>
  <c r="K18" i="21"/>
  <c r="B30" i="29"/>
  <c r="C30" i="29"/>
  <c r="N30" i="29" s="1"/>
  <c r="H17" i="21"/>
  <c r="B88" i="28"/>
  <c r="AS89" i="28"/>
  <c r="AS90" i="28" s="1"/>
  <c r="F90" i="28" s="1"/>
  <c r="H22" i="21"/>
  <c r="E88" i="28"/>
  <c r="AS34" i="45"/>
  <c r="Y9" i="54"/>
  <c r="Y10" i="54" s="1"/>
  <c r="H24" i="21"/>
  <c r="AD28" i="55"/>
  <c r="AC27" i="55"/>
  <c r="BP36" i="16"/>
  <c r="AW40" i="45"/>
  <c r="AG37" i="45"/>
  <c r="L142" i="29"/>
  <c r="F142" i="29" s="1"/>
  <c r="B141" i="29"/>
  <c r="D88" i="28"/>
  <c r="K13" i="66"/>
  <c r="S12" i="66"/>
  <c r="L12" i="66"/>
  <c r="V38" i="45"/>
  <c r="O30" i="26"/>
  <c r="O28" i="26"/>
  <c r="M34" i="26"/>
  <c r="N54" i="26" s="1"/>
  <c r="AD39" i="45"/>
  <c r="AS110" i="28"/>
  <c r="D110" i="28" s="1"/>
  <c r="BP39" i="16"/>
  <c r="AI37" i="45"/>
  <c r="F27" i="28"/>
  <c r="H12" i="21"/>
  <c r="E104" i="29"/>
  <c r="V40" i="45"/>
  <c r="AH39" i="45"/>
  <c r="H16" i="21"/>
  <c r="AD38" i="45"/>
  <c r="AA40" i="45"/>
  <c r="W34" i="45"/>
  <c r="H13" i="21"/>
  <c r="BC34" i="45"/>
  <c r="H18" i="21"/>
  <c r="H20" i="21"/>
  <c r="H21" i="21"/>
  <c r="AF40" i="45"/>
  <c r="Z40" i="45"/>
  <c r="H11" i="21"/>
  <c r="H25" i="21"/>
  <c r="CM12" i="16"/>
  <c r="D286" i="29"/>
  <c r="B286" i="29"/>
  <c r="B287" i="29"/>
  <c r="E286" i="29"/>
  <c r="L288" i="29"/>
  <c r="L289" i="29" s="1"/>
  <c r="E289" i="29" s="1"/>
  <c r="E287" i="29"/>
  <c r="F28" i="28"/>
  <c r="D28" i="28"/>
  <c r="B28" i="28"/>
  <c r="B28" i="29"/>
  <c r="B25" i="29"/>
  <c r="E28" i="28"/>
  <c r="B13" i="9"/>
  <c r="F13" i="9" s="1"/>
  <c r="B23" i="29"/>
  <c r="C29" i="29"/>
  <c r="N29" i="29" s="1"/>
  <c r="D29" i="29" s="1"/>
  <c r="G15" i="10"/>
  <c r="H15" i="10"/>
  <c r="D15" i="10"/>
  <c r="AB39" i="45"/>
  <c r="F47" i="29"/>
  <c r="E21" i="20"/>
  <c r="AR16" i="65"/>
  <c r="AS16" i="65" s="1"/>
  <c r="A15" i="65"/>
  <c r="F29" i="29"/>
  <c r="AP38" i="45"/>
  <c r="AB34" i="45"/>
  <c r="AR40" i="45"/>
  <c r="AH40" i="45"/>
  <c r="CJ42" i="16"/>
  <c r="F30" i="29"/>
  <c r="F25" i="29"/>
  <c r="X38" i="45"/>
  <c r="AV34" i="45"/>
  <c r="BP28" i="16"/>
  <c r="CM7" i="16"/>
  <c r="E23" i="20"/>
  <c r="CK28" i="16"/>
  <c r="AF39" i="45"/>
  <c r="AX40" i="45"/>
  <c r="F21" i="29"/>
  <c r="CJ28" i="16"/>
  <c r="E19" i="20"/>
  <c r="G23" i="20"/>
  <c r="AB37" i="45"/>
  <c r="AQ40" i="45"/>
  <c r="CI28" i="16"/>
  <c r="AJ38" i="45"/>
  <c r="AT39" i="45"/>
  <c r="F286" i="29"/>
  <c r="BC37" i="45"/>
  <c r="AU38" i="45"/>
  <c r="CH16" i="16"/>
  <c r="E228" i="28"/>
  <c r="C115" i="28"/>
  <c r="AU115" i="28" s="1"/>
  <c r="B109" i="28"/>
  <c r="D109" i="28"/>
  <c r="F109" i="28"/>
  <c r="AJ7" i="28"/>
  <c r="L14" i="65"/>
  <c r="Y14" i="65"/>
  <c r="Q14" i="65"/>
  <c r="BP7" i="16"/>
  <c r="CL16" i="16"/>
  <c r="X14" i="65"/>
  <c r="CM16" i="16"/>
  <c r="J14" i="65"/>
  <c r="AH14" i="65"/>
  <c r="AF14" i="65"/>
  <c r="AG14" i="65"/>
  <c r="AM14" i="65"/>
  <c r="CJ16" i="16"/>
  <c r="CL7" i="16"/>
  <c r="CM32" i="16"/>
  <c r="O14" i="65"/>
  <c r="CH7" i="16"/>
  <c r="CK38" i="16"/>
  <c r="CK44" i="16"/>
  <c r="K14" i="65"/>
  <c r="BV46" i="16"/>
  <c r="CL39" i="16" s="1"/>
  <c r="BW4" i="16"/>
  <c r="M14" i="65"/>
  <c r="U14" i="65"/>
  <c r="S14" i="65"/>
  <c r="Z14" i="65"/>
  <c r="N14" i="65"/>
  <c r="AA14" i="65"/>
  <c r="T14" i="65"/>
  <c r="AC14" i="65"/>
  <c r="W14" i="65"/>
  <c r="V14" i="65"/>
  <c r="AE14" i="65"/>
  <c r="P14" i="65"/>
  <c r="AB14" i="65"/>
  <c r="AD14" i="65"/>
  <c r="AY37" i="45"/>
  <c r="AJ39" i="45"/>
  <c r="X34" i="45"/>
  <c r="CH32" i="16"/>
  <c r="L65" i="29"/>
  <c r="F65" i="29" s="1"/>
  <c r="B64" i="29"/>
  <c r="N64" i="26"/>
  <c r="N76" i="26" s="1"/>
  <c r="D64" i="29"/>
  <c r="F20" i="29"/>
  <c r="E35" i="20"/>
  <c r="CK35" i="16"/>
  <c r="AQ38" i="45"/>
  <c r="W40" i="45"/>
  <c r="BB37" i="45"/>
  <c r="AC37" i="45"/>
  <c r="Y40" i="45"/>
  <c r="CH28" i="16"/>
  <c r="AG39" i="45"/>
  <c r="BC39" i="45"/>
  <c r="K173" i="29"/>
  <c r="C172" i="29"/>
  <c r="B295" i="29"/>
  <c r="D295" i="29"/>
  <c r="B56" i="29"/>
  <c r="L57" i="29"/>
  <c r="D57" i="29" s="1"/>
  <c r="D56" i="29"/>
  <c r="F30" i="28"/>
  <c r="CI32" i="16"/>
  <c r="AP34" i="45"/>
  <c r="Y37" i="45"/>
  <c r="E64" i="29"/>
  <c r="BP32" i="16"/>
  <c r="Z17" i="21"/>
  <c r="F5425" i="66"/>
  <c r="F5424" i="66" s="1"/>
  <c r="F5423" i="66" s="1"/>
  <c r="F5422" i="66" s="1"/>
  <c r="F5421" i="66" s="1"/>
  <c r="F5420" i="66" s="1"/>
  <c r="F5419" i="66" s="1"/>
  <c r="F5418" i="66" s="1"/>
  <c r="F5417" i="66" s="1"/>
  <c r="F5416" i="66" s="1"/>
  <c r="F5415" i="66" s="1"/>
  <c r="F5414" i="66" s="1"/>
  <c r="F5413" i="66" s="1"/>
  <c r="F5412" i="66" s="1"/>
  <c r="F5411" i="66" s="1"/>
  <c r="F5410" i="66" s="1"/>
  <c r="F5409" i="66" s="1"/>
  <c r="F5408" i="66" s="1"/>
  <c r="F5407" i="66" s="1"/>
  <c r="F5406" i="66" s="1"/>
  <c r="F5405" i="66" s="1"/>
  <c r="F5404" i="66" s="1"/>
  <c r="F5403" i="66" s="1"/>
  <c r="F5402" i="66" s="1"/>
  <c r="F5401" i="66" s="1"/>
  <c r="F5400" i="66" s="1"/>
  <c r="F5399" i="66" s="1"/>
  <c r="F5398" i="66" s="1"/>
  <c r="F5397" i="66" s="1"/>
  <c r="F5396" i="66" s="1"/>
  <c r="F5395" i="66" s="1"/>
  <c r="F5394" i="66" s="1"/>
  <c r="F5393" i="66" s="1"/>
  <c r="F5392" i="66" s="1"/>
  <c r="F5391" i="66" s="1"/>
  <c r="F5390" i="66" s="1"/>
  <c r="F5389" i="66" s="1"/>
  <c r="F5388" i="66" s="1"/>
  <c r="F5387" i="66" s="1"/>
  <c r="F5386" i="66" s="1"/>
  <c r="F5385" i="66" s="1"/>
  <c r="F5384" i="66" s="1"/>
  <c r="F5383" i="66" s="1"/>
  <c r="F5382" i="66" s="1"/>
  <c r="F5381" i="66" s="1"/>
  <c r="F5380" i="66" s="1"/>
  <c r="F5379" i="66" s="1"/>
  <c r="F5378" i="66" s="1"/>
  <c r="F5377" i="66" s="1"/>
  <c r="F5376" i="66" s="1"/>
  <c r="F5375" i="66" s="1"/>
  <c r="F5374" i="66" s="1"/>
  <c r="F5373" i="66" s="1"/>
  <c r="F5372" i="66" s="1"/>
  <c r="F5371" i="66" s="1"/>
  <c r="F5370" i="66" s="1"/>
  <c r="F5369" i="66" s="1"/>
  <c r="F5368" i="66" s="1"/>
  <c r="F5367" i="66" s="1"/>
  <c r="F5366" i="66" s="1"/>
  <c r="F5365" i="66" s="1"/>
  <c r="F5364" i="66" s="1"/>
  <c r="F5363" i="66" s="1"/>
  <c r="F5362" i="66" s="1"/>
  <c r="F5361" i="66" s="1"/>
  <c r="F5360" i="66" s="1"/>
  <c r="F5359" i="66" s="1"/>
  <c r="F5358" i="66" s="1"/>
  <c r="F5357" i="66" s="1"/>
  <c r="F5356" i="66" s="1"/>
  <c r="F5355" i="66" s="1"/>
  <c r="F5354" i="66" s="1"/>
  <c r="F5353" i="66" s="1"/>
  <c r="F5352" i="66" s="1"/>
  <c r="F5351" i="66" s="1"/>
  <c r="F5350" i="66" s="1"/>
  <c r="F5349" i="66" s="1"/>
  <c r="F5348" i="66" s="1"/>
  <c r="F5347" i="66" s="1"/>
  <c r="F5346" i="66" s="1"/>
  <c r="F5345" i="66" s="1"/>
  <c r="F5344" i="66" s="1"/>
  <c r="F5343" i="66" s="1"/>
  <c r="F5342" i="66" s="1"/>
  <c r="F5341" i="66" s="1"/>
  <c r="F5340" i="66" s="1"/>
  <c r="F5339" i="66" s="1"/>
  <c r="F5338" i="66" s="1"/>
  <c r="F5337" i="66" s="1"/>
  <c r="F5336" i="66" s="1"/>
  <c r="F5335" i="66" s="1"/>
  <c r="F5334" i="66" s="1"/>
  <c r="F5333" i="66" s="1"/>
  <c r="F5332" i="66" s="1"/>
  <c r="F5331" i="66" s="1"/>
  <c r="F5330" i="66" s="1"/>
  <c r="F5329" i="66" s="1"/>
  <c r="F5328" i="66" s="1"/>
  <c r="F5327" i="66" s="1"/>
  <c r="F5326" i="66" s="1"/>
  <c r="F5325" i="66" s="1"/>
  <c r="F5324" i="66" s="1"/>
  <c r="F5323" i="66" s="1"/>
  <c r="F5322" i="66" s="1"/>
  <c r="F5321" i="66" s="1"/>
  <c r="F5320" i="66" s="1"/>
  <c r="F5319" i="66" s="1"/>
  <c r="F5318" i="66" s="1"/>
  <c r="F5317" i="66" s="1"/>
  <c r="F5316" i="66" s="1"/>
  <c r="F5315" i="66" s="1"/>
  <c r="F5314" i="66" s="1"/>
  <c r="F5313" i="66" s="1"/>
  <c r="F5312" i="66" s="1"/>
  <c r="F5311" i="66" s="1"/>
  <c r="F5310" i="66" s="1"/>
  <c r="F5309" i="66" s="1"/>
  <c r="F5308" i="66" s="1"/>
  <c r="F5307" i="66" s="1"/>
  <c r="F5306" i="66" s="1"/>
  <c r="F5305" i="66" s="1"/>
  <c r="F5304" i="66" s="1"/>
  <c r="F5303" i="66" s="1"/>
  <c r="F5302" i="66" s="1"/>
  <c r="F5301" i="66" s="1"/>
  <c r="F5300" i="66" s="1"/>
  <c r="F5299" i="66" s="1"/>
  <c r="F5298" i="66" s="1"/>
  <c r="F5297" i="66" s="1"/>
  <c r="F5296" i="66" s="1"/>
  <c r="F5295" i="66" s="1"/>
  <c r="F5294" i="66" s="1"/>
  <c r="F5293" i="66" s="1"/>
  <c r="F5292" i="66" s="1"/>
  <c r="F5291" i="66" s="1"/>
  <c r="F5290" i="66" s="1"/>
  <c r="F5289" i="66" s="1"/>
  <c r="F5288" i="66" s="1"/>
  <c r="F5287" i="66" s="1"/>
  <c r="F5286" i="66" s="1"/>
  <c r="F5285" i="66" s="1"/>
  <c r="F5284" i="66" s="1"/>
  <c r="F5283" i="66" s="1"/>
  <c r="F5282" i="66" s="1"/>
  <c r="F5281" i="66" s="1"/>
  <c r="F5280" i="66" s="1"/>
  <c r="F5279" i="66" s="1"/>
  <c r="F5278" i="66" s="1"/>
  <c r="F5277" i="66" s="1"/>
  <c r="F5276" i="66" s="1"/>
  <c r="F5275" i="66" s="1"/>
  <c r="F5274" i="66" s="1"/>
  <c r="F5273" i="66" s="1"/>
  <c r="F5272" i="66" s="1"/>
  <c r="F5271" i="66" s="1"/>
  <c r="F5270" i="66" s="1"/>
  <c r="F5269" i="66" s="1"/>
  <c r="F5268" i="66" s="1"/>
  <c r="F5267" i="66" s="1"/>
  <c r="F5266" i="66" s="1"/>
  <c r="F5265" i="66" s="1"/>
  <c r="F5264" i="66" s="1"/>
  <c r="F5263" i="66" s="1"/>
  <c r="F5262" i="66" s="1"/>
  <c r="F5261" i="66" s="1"/>
  <c r="F5260" i="66" s="1"/>
  <c r="F5259" i="66" s="1"/>
  <c r="F5258" i="66" s="1"/>
  <c r="F5257" i="66" s="1"/>
  <c r="F5256" i="66" s="1"/>
  <c r="F5255" i="66" s="1"/>
  <c r="F5254" i="66" s="1"/>
  <c r="F5253" i="66" s="1"/>
  <c r="F5252" i="66" s="1"/>
  <c r="F5251" i="66" s="1"/>
  <c r="F5250" i="66" s="1"/>
  <c r="F5249" i="66" s="1"/>
  <c r="F5248" i="66" s="1"/>
  <c r="F5247" i="66" s="1"/>
  <c r="F5246" i="66" s="1"/>
  <c r="F5245" i="66" s="1"/>
  <c r="F5244" i="66" s="1"/>
  <c r="F5243" i="66" s="1"/>
  <c r="F5242" i="66" s="1"/>
  <c r="F5241" i="66" s="1"/>
  <c r="F5240" i="66" s="1"/>
  <c r="F5239" i="66" s="1"/>
  <c r="F5238" i="66" s="1"/>
  <c r="F5237" i="66" s="1"/>
  <c r="F5236" i="66" s="1"/>
  <c r="F5235" i="66" s="1"/>
  <c r="F5234" i="66" s="1"/>
  <c r="F5233" i="66" s="1"/>
  <c r="F5232" i="66" s="1"/>
  <c r="F5231" i="66" s="1"/>
  <c r="F5230" i="66" s="1"/>
  <c r="F5229" i="66" s="1"/>
  <c r="F5228" i="66" s="1"/>
  <c r="F5227" i="66" s="1"/>
  <c r="F5226" i="66" s="1"/>
  <c r="F5225" i="66" s="1"/>
  <c r="F5224" i="66" s="1"/>
  <c r="F5223" i="66" s="1"/>
  <c r="F5222" i="66" s="1"/>
  <c r="F5221" i="66" s="1"/>
  <c r="F5220" i="66" s="1"/>
  <c r="F5219" i="66" s="1"/>
  <c r="F5218" i="66" s="1"/>
  <c r="F5217" i="66" s="1"/>
  <c r="F5216" i="66" s="1"/>
  <c r="F5215" i="66" s="1"/>
  <c r="F5214" i="66" s="1"/>
  <c r="F5213" i="66" s="1"/>
  <c r="F5212" i="66" s="1"/>
  <c r="F5211" i="66" s="1"/>
  <c r="F5210" i="66" s="1"/>
  <c r="F5209" i="66" s="1"/>
  <c r="F5208" i="66" s="1"/>
  <c r="F5207" i="66" s="1"/>
  <c r="F5206" i="66" s="1"/>
  <c r="F5205" i="66" s="1"/>
  <c r="F5204" i="66" s="1"/>
  <c r="F5203" i="66" s="1"/>
  <c r="F5202" i="66" s="1"/>
  <c r="F5201" i="66" s="1"/>
  <c r="F5200" i="66" s="1"/>
  <c r="F5199" i="66" s="1"/>
  <c r="F5198" i="66" s="1"/>
  <c r="F5197" i="66" s="1"/>
  <c r="F5196" i="66" s="1"/>
  <c r="F5195" i="66" s="1"/>
  <c r="F5194" i="66" s="1"/>
  <c r="F5193" i="66" s="1"/>
  <c r="F5192" i="66" s="1"/>
  <c r="F5191" i="66" s="1"/>
  <c r="F5190" i="66" s="1"/>
  <c r="F5189" i="66" s="1"/>
  <c r="F5188" i="66" s="1"/>
  <c r="F5187" i="66" s="1"/>
  <c r="F5186" i="66" s="1"/>
  <c r="F5185" i="66" s="1"/>
  <c r="F5184" i="66" s="1"/>
  <c r="F5183" i="66" s="1"/>
  <c r="F5182" i="66" s="1"/>
  <c r="F5181" i="66" s="1"/>
  <c r="F5180" i="66" s="1"/>
  <c r="F5179" i="66" s="1"/>
  <c r="F5178" i="66" s="1"/>
  <c r="F5177" i="66" s="1"/>
  <c r="F5176" i="66" s="1"/>
  <c r="F5175" i="66" s="1"/>
  <c r="F5174" i="66" s="1"/>
  <c r="F5173" i="66" s="1"/>
  <c r="F5172" i="66" s="1"/>
  <c r="M11" i="66"/>
  <c r="AB22" i="55"/>
  <c r="AA21" i="55"/>
  <c r="D65" i="29"/>
  <c r="X18" i="21"/>
  <c r="B8" i="20"/>
  <c r="F287" i="29"/>
  <c r="F126" i="29"/>
  <c r="BB38" i="45"/>
  <c r="G17" i="20"/>
  <c r="B101" i="29"/>
  <c r="L102" i="29"/>
  <c r="F102" i="29" s="1"/>
  <c r="W37" i="45"/>
  <c r="AP37" i="45"/>
  <c r="Z9" i="54"/>
  <c r="AS40" i="45"/>
  <c r="AT38" i="45"/>
  <c r="CJ32" i="16"/>
  <c r="CL12" i="16"/>
  <c r="CK36" i="16"/>
  <c r="AD110" i="54"/>
  <c r="AD84" i="54"/>
  <c r="AD96" i="54"/>
  <c r="AD92" i="54"/>
  <c r="AD103" i="54"/>
  <c r="AD85" i="54"/>
  <c r="AD80" i="54"/>
  <c r="AD89" i="54"/>
  <c r="AD105" i="54"/>
  <c r="AD75" i="54"/>
  <c r="AD95" i="54"/>
  <c r="AD97" i="54"/>
  <c r="AD83" i="54"/>
  <c r="AD79" i="54"/>
  <c r="AD87" i="54"/>
  <c r="AD109" i="54"/>
  <c r="AD82" i="54"/>
  <c r="AD100" i="54"/>
  <c r="AD86" i="54"/>
  <c r="AD76" i="54"/>
  <c r="AD102" i="54"/>
  <c r="AD104" i="54"/>
  <c r="AD91" i="54"/>
  <c r="AD98" i="54"/>
  <c r="AD106" i="54"/>
  <c r="AD94" i="54"/>
  <c r="AD101" i="54"/>
  <c r="AD78" i="54"/>
  <c r="AD99" i="54"/>
  <c r="AD90" i="54"/>
  <c r="AD93" i="54"/>
  <c r="AD81" i="54"/>
  <c r="AD88" i="54"/>
  <c r="AD77" i="54"/>
  <c r="AD108" i="54"/>
  <c r="AD107" i="54"/>
  <c r="CN4" i="16"/>
  <c r="CM43" i="16"/>
  <c r="AK5" i="55"/>
  <c r="AL4" i="55"/>
  <c r="AL5" i="55" s="1"/>
  <c r="AB40" i="45"/>
  <c r="AZ38" i="45"/>
  <c r="AO39" i="45"/>
  <c r="AI38" i="45"/>
  <c r="AT40" i="45"/>
  <c r="AZ34" i="45"/>
  <c r="CK16" i="16"/>
  <c r="CJ36" i="16"/>
  <c r="F49" i="20"/>
  <c r="F31" i="20"/>
  <c r="E223" i="26"/>
  <c r="F23" i="29"/>
  <c r="E127" i="29"/>
  <c r="CM35" i="16"/>
  <c r="AC34" i="45"/>
  <c r="AD34" i="45"/>
  <c r="BP16" i="16"/>
  <c r="CK12" i="16"/>
  <c r="B158" i="29"/>
  <c r="D158" i="29"/>
  <c r="L159" i="29"/>
  <c r="F159" i="29" s="1"/>
  <c r="F26" i="29"/>
  <c r="Z39" i="45"/>
  <c r="D104" i="29"/>
  <c r="B104" i="29"/>
  <c r="H32" i="20"/>
  <c r="I32" i="20" s="1"/>
  <c r="H51" i="20"/>
  <c r="AS253" i="28"/>
  <c r="AS254" i="28" s="1"/>
  <c r="G254" i="28" s="1"/>
  <c r="AY38" i="45"/>
  <c r="Z37" i="45"/>
  <c r="F43" i="29"/>
  <c r="CL32" i="16"/>
  <c r="L180" i="29"/>
  <c r="B180" i="29" s="1"/>
  <c r="B179" i="29"/>
  <c r="K106" i="29"/>
  <c r="L105" i="29"/>
  <c r="U27" i="26"/>
  <c r="F29" i="28"/>
  <c r="D29" i="28"/>
  <c r="B29" i="28"/>
  <c r="E29" i="28"/>
  <c r="C15" i="9"/>
  <c r="AE69" i="45"/>
  <c r="AF69" i="45" s="1"/>
  <c r="AG69" i="45" s="1"/>
  <c r="AH69" i="45" s="1"/>
  <c r="C22" i="29"/>
  <c r="B22" i="29"/>
  <c r="F22" i="29"/>
  <c r="BZ23" i="16"/>
  <c r="CA23" i="16" s="1"/>
  <c r="CB23" i="16" s="1"/>
  <c r="CC23" i="16" s="1"/>
  <c r="CD23" i="16" s="1"/>
  <c r="CE23" i="16" s="1"/>
  <c r="CF23" i="16" s="1"/>
  <c r="CG23" i="16" s="1"/>
  <c r="D63" i="20"/>
  <c r="E46" i="20" s="1"/>
  <c r="BU41" i="16"/>
  <c r="D24" i="20"/>
  <c r="E11" i="21"/>
  <c r="D27" i="21"/>
  <c r="E25" i="21"/>
  <c r="E13" i="21"/>
  <c r="E20" i="21"/>
  <c r="E18" i="21"/>
  <c r="E12" i="21"/>
  <c r="E16" i="21"/>
  <c r="E17" i="21"/>
  <c r="E14" i="21"/>
  <c r="E19" i="21"/>
  <c r="B6" i="20"/>
  <c r="I8" i="42"/>
  <c r="L128" i="7"/>
  <c r="L125" i="7" s="1"/>
  <c r="L137" i="7"/>
  <c r="BZ14" i="16"/>
  <c r="CA14" i="16" s="1"/>
  <c r="CB14" i="16" s="1"/>
  <c r="CC14" i="16" s="1"/>
  <c r="CD14" i="16" s="1"/>
  <c r="CE14" i="16" s="1"/>
  <c r="CF14" i="16" s="1"/>
  <c r="CG14" i="16" s="1"/>
  <c r="AI79" i="54"/>
  <c r="AI80" i="54"/>
  <c r="AI92" i="54"/>
  <c r="AI84" i="54"/>
  <c r="X15" i="54"/>
  <c r="AI90" i="54"/>
  <c r="AI102" i="54"/>
  <c r="AI76" i="54"/>
  <c r="AI108" i="54"/>
  <c r="AI103" i="54"/>
  <c r="AI104" i="54"/>
  <c r="AI100" i="54"/>
  <c r="AI110" i="54"/>
  <c r="AI88" i="54"/>
  <c r="AI97" i="54"/>
  <c r="AI99" i="54"/>
  <c r="AI87" i="54"/>
  <c r="AI91" i="54"/>
  <c r="AI77" i="54"/>
  <c r="AI98" i="54"/>
  <c r="AI82" i="54"/>
  <c r="AI109" i="54"/>
  <c r="AI95" i="54"/>
  <c r="AI83" i="54"/>
  <c r="AI107" i="54"/>
  <c r="AI93" i="54"/>
  <c r="AI89" i="54"/>
  <c r="AI106" i="54"/>
  <c r="AI85" i="54"/>
  <c r="AI75" i="54"/>
  <c r="AI96" i="54"/>
  <c r="AI105" i="54"/>
  <c r="AI86" i="54"/>
  <c r="AI94" i="54"/>
  <c r="AI81" i="54"/>
  <c r="AI78" i="54"/>
  <c r="AI101" i="54"/>
  <c r="BB30" i="63"/>
  <c r="F30" i="63" s="1"/>
  <c r="D29" i="63"/>
  <c r="BA30" i="63"/>
  <c r="L31" i="29"/>
  <c r="K32" i="29"/>
  <c r="A31" i="29"/>
  <c r="Z34" i="45"/>
  <c r="AF38" i="45"/>
  <c r="AL46" i="66"/>
  <c r="BP38" i="16"/>
  <c r="X149" i="7"/>
  <c r="Y149" i="7" s="1"/>
  <c r="Z149" i="7" s="1"/>
  <c r="AA149" i="7" s="1"/>
  <c r="S153" i="7"/>
  <c r="X155" i="7" s="1"/>
  <c r="Y155" i="7" s="1"/>
  <c r="Z155" i="7" s="1"/>
  <c r="AA155" i="7" s="1"/>
  <c r="AC155" i="7" s="1"/>
  <c r="B96" i="29"/>
  <c r="F96" i="29"/>
  <c r="O25" i="66"/>
  <c r="F202" i="29"/>
  <c r="L203" i="29"/>
  <c r="B202" i="29"/>
  <c r="BV21" i="16"/>
  <c r="BV8" i="16"/>
  <c r="B17" i="20"/>
  <c r="Z11" i="21"/>
  <c r="E20" i="20"/>
  <c r="E22" i="20"/>
  <c r="E18" i="20"/>
  <c r="B58" i="20"/>
  <c r="BP12" i="16"/>
  <c r="CI16" i="16"/>
  <c r="BX10" i="16"/>
  <c r="BX30" i="16"/>
  <c r="J31" i="57"/>
  <c r="J32" i="57" s="1"/>
  <c r="AY15" i="57"/>
  <c r="AD4" i="55"/>
  <c r="P20" i="19"/>
  <c r="Q21" i="19"/>
  <c r="AJ22" i="55"/>
  <c r="AK21" i="55"/>
  <c r="AE38" i="45"/>
  <c r="AU40" i="45"/>
  <c r="AA38" i="45"/>
  <c r="F59" i="20"/>
  <c r="F37" i="20"/>
  <c r="U25" i="22"/>
  <c r="E227" i="26"/>
  <c r="E215" i="26" s="1"/>
  <c r="F44" i="51"/>
  <c r="T147" i="7"/>
  <c r="T153" i="7" s="1"/>
  <c r="BX25" i="16"/>
  <c r="K269" i="29"/>
  <c r="K264" i="29"/>
  <c r="K265" i="29" s="1"/>
  <c r="K266" i="29" s="1"/>
  <c r="K267" i="29" s="1"/>
  <c r="C267" i="29" s="1"/>
  <c r="BY33" i="16"/>
  <c r="F127" i="29"/>
  <c r="B127" i="29"/>
  <c r="L128" i="29"/>
  <c r="E128" i="29" s="1"/>
  <c r="CH42" i="16"/>
  <c r="AP39" i="45"/>
  <c r="AW39" i="45"/>
  <c r="AQ37" i="45"/>
  <c r="AR38" i="45"/>
  <c r="AQ39" i="45"/>
  <c r="BA38" i="45"/>
  <c r="AZ37" i="45"/>
  <c r="AR39" i="45"/>
  <c r="AX39" i="45"/>
  <c r="AA34" i="45"/>
  <c r="BA37" i="45"/>
  <c r="AU34" i="45"/>
  <c r="BA34" i="45"/>
  <c r="X20" i="19"/>
  <c r="W21" i="19"/>
  <c r="AS39" i="45"/>
  <c r="AX34" i="45"/>
  <c r="AH37" i="45"/>
  <c r="Y38" i="45"/>
  <c r="Z24" i="21"/>
  <c r="B9" i="20"/>
  <c r="CI42" i="16"/>
  <c r="C24" i="29"/>
  <c r="F24" i="29"/>
  <c r="B24" i="29"/>
  <c r="BW27" i="16"/>
  <c r="E30" i="20"/>
  <c r="D38" i="20"/>
  <c r="E38" i="20" s="1"/>
  <c r="O66" i="54"/>
  <c r="O36" i="54"/>
  <c r="O76" i="54"/>
  <c r="O86" i="54"/>
  <c r="O83" i="54"/>
  <c r="O89" i="54"/>
  <c r="O72" i="54"/>
  <c r="O79" i="54"/>
  <c r="O90" i="54"/>
  <c r="O35" i="54"/>
  <c r="O68" i="54"/>
  <c r="O63" i="54"/>
  <c r="O43" i="54"/>
  <c r="O57" i="54"/>
  <c r="O32" i="54"/>
  <c r="O69" i="54"/>
  <c r="O40" i="54"/>
  <c r="O45" i="54"/>
  <c r="O91" i="54"/>
  <c r="O67" i="54"/>
  <c r="O82" i="54"/>
  <c r="O77" i="54"/>
  <c r="O27" i="54"/>
  <c r="O55" i="54"/>
  <c r="O103" i="54"/>
  <c r="O39" i="54"/>
  <c r="O87" i="54"/>
  <c r="O31" i="54"/>
  <c r="O85" i="54"/>
  <c r="O96" i="54"/>
  <c r="O28" i="54"/>
  <c r="O84" i="54"/>
  <c r="O100" i="54"/>
  <c r="O81" i="54"/>
  <c r="O38" i="54"/>
  <c r="O30" i="54"/>
  <c r="O47" i="54"/>
  <c r="O98" i="54"/>
  <c r="O108" i="54"/>
  <c r="O42" i="54"/>
  <c r="O62" i="54"/>
  <c r="O110" i="54"/>
  <c r="O73" i="54"/>
  <c r="O56" i="54"/>
  <c r="O50" i="54"/>
  <c r="O92" i="54"/>
  <c r="O49" i="54"/>
  <c r="O101" i="54"/>
  <c r="O71" i="54"/>
  <c r="O51" i="54"/>
  <c r="O44" i="54"/>
  <c r="O94" i="54"/>
  <c r="O52" i="54"/>
  <c r="O53" i="54"/>
  <c r="O80" i="54"/>
  <c r="O29" i="54"/>
  <c r="O70" i="54"/>
  <c r="O78" i="54"/>
  <c r="O46" i="54"/>
  <c r="O95" i="54"/>
  <c r="O61" i="54"/>
  <c r="O102" i="54"/>
  <c r="O74" i="54"/>
  <c r="O106" i="54"/>
  <c r="O54" i="54"/>
  <c r="O34" i="54"/>
  <c r="O93" i="54"/>
  <c r="O64" i="54"/>
  <c r="O75" i="54"/>
  <c r="O109" i="54"/>
  <c r="O48" i="54"/>
  <c r="O97" i="54"/>
  <c r="O107" i="54"/>
  <c r="O65" i="54"/>
  <c r="O60" i="54"/>
  <c r="O105" i="54"/>
  <c r="O104" i="54"/>
  <c r="O99" i="54"/>
  <c r="W7" i="54"/>
  <c r="O37" i="54"/>
  <c r="O41" i="54"/>
  <c r="O88" i="54"/>
  <c r="O59" i="54"/>
  <c r="O58" i="54"/>
  <c r="O33" i="54"/>
  <c r="BW17" i="16"/>
  <c r="AI39" i="45"/>
  <c r="AC40" i="45"/>
  <c r="X21" i="21"/>
  <c r="B10" i="20"/>
  <c r="AJ28" i="55"/>
  <c r="AK27" i="55"/>
  <c r="S31" i="22"/>
  <c r="CL28" i="16"/>
  <c r="CM28" i="16"/>
  <c r="CK7" i="16"/>
  <c r="CI7" i="16"/>
  <c r="F249" i="29"/>
  <c r="F97" i="29"/>
  <c r="F266" i="29"/>
  <c r="F272" i="29"/>
  <c r="F247" i="29"/>
  <c r="F197" i="29"/>
  <c r="F251" i="29"/>
  <c r="F255" i="29"/>
  <c r="F245" i="29"/>
  <c r="F70" i="29"/>
  <c r="F282" i="29"/>
  <c r="F240" i="29"/>
  <c r="F297" i="29"/>
  <c r="F327" i="29"/>
  <c r="F252" i="29"/>
  <c r="F316" i="29"/>
  <c r="F196" i="29"/>
  <c r="F122" i="29"/>
  <c r="F301" i="29"/>
  <c r="F309" i="29"/>
  <c r="F218" i="29"/>
  <c r="F170" i="29"/>
  <c r="F293" i="29"/>
  <c r="F334" i="29"/>
  <c r="F101" i="29"/>
  <c r="F294" i="29"/>
  <c r="F176" i="29"/>
  <c r="F253" i="29"/>
  <c r="F98" i="29"/>
  <c r="F322" i="29"/>
  <c r="F308" i="29"/>
  <c r="F328" i="29"/>
  <c r="F263" i="29"/>
  <c r="F277" i="29"/>
  <c r="F265" i="29"/>
  <c r="F315" i="29"/>
  <c r="F48" i="29"/>
  <c r="F148" i="29"/>
  <c r="F276" i="29"/>
  <c r="F260" i="29"/>
  <c r="F123" i="29"/>
  <c r="F292" i="29"/>
  <c r="G9" i="29"/>
  <c r="F270" i="29"/>
  <c r="F333" i="29"/>
  <c r="F310" i="29"/>
  <c r="F99" i="29"/>
  <c r="F141" i="29"/>
  <c r="F156" i="29"/>
  <c r="F140" i="29"/>
  <c r="F100" i="29"/>
  <c r="F150" i="29"/>
  <c r="F175" i="29"/>
  <c r="F285" i="29"/>
  <c r="F271" i="29"/>
  <c r="F298" i="29"/>
  <c r="F239" i="29"/>
  <c r="F269" i="29"/>
  <c r="F257" i="29"/>
  <c r="F273" i="29"/>
  <c r="F151" i="29"/>
  <c r="F241" i="29"/>
  <c r="F242" i="29"/>
  <c r="F246" i="29"/>
  <c r="F194" i="29"/>
  <c r="F193" i="29"/>
  <c r="F275" i="29"/>
  <c r="F261" i="29"/>
  <c r="F173" i="29"/>
  <c r="F291" i="29"/>
  <c r="F299" i="29"/>
  <c r="F139" i="29"/>
  <c r="F51" i="29"/>
  <c r="F179" i="29"/>
  <c r="F104" i="29"/>
  <c r="F158" i="29"/>
  <c r="F53" i="29"/>
  <c r="F50" i="29"/>
  <c r="F124" i="29"/>
  <c r="F281" i="29"/>
  <c r="F172" i="29"/>
  <c r="F60" i="29"/>
  <c r="F267" i="29"/>
  <c r="F152" i="29"/>
  <c r="F217" i="29"/>
  <c r="F300" i="29"/>
  <c r="F283" i="29"/>
  <c r="F259" i="29"/>
  <c r="F137" i="29"/>
  <c r="F45" i="29"/>
  <c r="F248" i="29"/>
  <c r="F61" i="29"/>
  <c r="F138" i="29"/>
  <c r="F177" i="29"/>
  <c r="F110" i="29"/>
  <c r="F199" i="29"/>
  <c r="F312" i="29"/>
  <c r="F153" i="29"/>
  <c r="F111" i="29"/>
  <c r="F149" i="29"/>
  <c r="F198" i="29"/>
  <c r="F63" i="29"/>
  <c r="F52" i="29"/>
  <c r="F55" i="29"/>
  <c r="F154" i="29"/>
  <c r="F62" i="29"/>
  <c r="F174" i="29"/>
  <c r="F254" i="29"/>
  <c r="F243" i="29"/>
  <c r="F332" i="29"/>
  <c r="F307" i="29"/>
  <c r="F264" i="29"/>
  <c r="F258" i="29"/>
  <c r="F125" i="29"/>
  <c r="F279" i="29"/>
  <c r="F121" i="29"/>
  <c r="F323" i="29"/>
  <c r="F71" i="29"/>
  <c r="F120" i="29"/>
  <c r="F313" i="29"/>
  <c r="F284" i="29"/>
  <c r="F278" i="29"/>
  <c r="F46" i="29"/>
  <c r="F314" i="29"/>
  <c r="F200" i="29"/>
  <c r="F49" i="29"/>
  <c r="F155" i="29"/>
  <c r="F157" i="29"/>
  <c r="F64" i="29"/>
  <c r="F178" i="29"/>
  <c r="F56" i="29"/>
  <c r="F42" i="29"/>
  <c r="F54" i="29"/>
  <c r="F295" i="29"/>
  <c r="F335" i="29"/>
  <c r="I35" i="20"/>
  <c r="E113" i="29"/>
  <c r="F113" i="29"/>
  <c r="L114" i="29"/>
  <c r="B113" i="29"/>
  <c r="F201" i="29"/>
  <c r="B325" i="29"/>
  <c r="F325" i="29"/>
  <c r="D325" i="29"/>
  <c r="E325" i="29"/>
  <c r="V26" i="21"/>
  <c r="E37" i="20"/>
  <c r="AG34" i="45"/>
  <c r="AR37" i="45"/>
  <c r="Q32" i="22"/>
  <c r="T34" i="22"/>
  <c r="CJ39" i="16"/>
  <c r="CL42" i="16"/>
  <c r="F26" i="28"/>
  <c r="E26" i="28"/>
  <c r="D26" i="28"/>
  <c r="C26" i="28"/>
  <c r="AU26" i="28" s="1"/>
  <c r="B26" i="28"/>
  <c r="E39" i="20"/>
  <c r="E31" i="20"/>
  <c r="E32" i="20"/>
  <c r="BV9" i="16"/>
  <c r="AA37" i="45"/>
  <c r="K57" i="1"/>
  <c r="O56" i="1"/>
  <c r="E21" i="21"/>
  <c r="BP40" i="16"/>
  <c r="G58" i="6"/>
  <c r="G69" i="6" s="1"/>
  <c r="W15" i="54"/>
  <c r="AH101" i="54"/>
  <c r="AH89" i="54"/>
  <c r="AH86" i="54"/>
  <c r="AH87" i="54"/>
  <c r="AH85" i="54"/>
  <c r="AH91" i="54"/>
  <c r="AH83" i="54"/>
  <c r="AH107" i="54"/>
  <c r="AH81" i="54"/>
  <c r="AH100" i="54"/>
  <c r="AH109" i="54"/>
  <c r="AH102" i="54"/>
  <c r="AH110" i="54"/>
  <c r="AH82" i="54"/>
  <c r="AH75" i="54"/>
  <c r="AH105" i="54"/>
  <c r="AH76" i="54"/>
  <c r="AH78" i="54"/>
  <c r="AH79" i="54"/>
  <c r="AH97" i="54"/>
  <c r="AH80" i="54"/>
  <c r="AH94" i="54"/>
  <c r="AH93" i="54"/>
  <c r="AH90" i="54"/>
  <c r="AH77" i="54"/>
  <c r="AH99" i="54"/>
  <c r="AH104" i="54"/>
  <c r="AH106" i="54"/>
  <c r="AH98" i="54"/>
  <c r="AH96" i="54"/>
  <c r="AH88" i="54"/>
  <c r="AH108" i="54"/>
  <c r="AH92" i="54"/>
  <c r="AH95" i="54"/>
  <c r="AH84" i="54"/>
  <c r="AH103" i="54"/>
  <c r="X16" i="59"/>
  <c r="AZ15" i="57" s="1"/>
  <c r="AX15" i="57"/>
  <c r="F39" i="20"/>
  <c r="G32" i="20" s="1"/>
  <c r="G25" i="20"/>
  <c r="G19" i="20"/>
  <c r="G22" i="20"/>
  <c r="G18" i="20"/>
  <c r="G20" i="20"/>
  <c r="CJ40" i="16"/>
  <c r="E23" i="21"/>
  <c r="BZ53" i="45"/>
  <c r="U31" i="26"/>
  <c r="O32" i="26"/>
  <c r="E34" i="20"/>
  <c r="AJ84" i="54"/>
  <c r="AJ75" i="54"/>
  <c r="AJ99" i="54"/>
  <c r="AJ78" i="54"/>
  <c r="AJ91" i="54"/>
  <c r="AJ97" i="54"/>
  <c r="AJ88" i="54"/>
  <c r="AJ95" i="54"/>
  <c r="AJ77" i="54"/>
  <c r="AJ96" i="54"/>
  <c r="AJ81" i="54"/>
  <c r="AJ105" i="54"/>
  <c r="AJ93" i="54"/>
  <c r="AJ76" i="54"/>
  <c r="AJ89" i="54"/>
  <c r="AJ83" i="54"/>
  <c r="AJ106" i="54"/>
  <c r="AJ98" i="54"/>
  <c r="AJ92" i="54"/>
  <c r="AJ90" i="54"/>
  <c r="AJ103" i="54"/>
  <c r="AJ94" i="54"/>
  <c r="AJ109" i="54"/>
  <c r="AJ86" i="54"/>
  <c r="AJ107" i="54"/>
  <c r="AJ104" i="54"/>
  <c r="AJ80" i="54"/>
  <c r="AJ108" i="54"/>
  <c r="AJ79" i="54"/>
  <c r="AJ82" i="54"/>
  <c r="AJ87" i="54"/>
  <c r="AJ101" i="54"/>
  <c r="AJ85" i="54"/>
  <c r="AJ110" i="54"/>
  <c r="AJ102" i="54"/>
  <c r="AJ100" i="54"/>
  <c r="Y15" i="54"/>
  <c r="Y17" i="54" s="1"/>
  <c r="Y18" i="54" s="1"/>
  <c r="BX13" i="16"/>
  <c r="BY31" i="16"/>
  <c r="BO35" i="16"/>
  <c r="CH36" i="16"/>
  <c r="B12" i="20"/>
  <c r="C4" i="20" s="1"/>
  <c r="X37" i="45"/>
  <c r="AS38" i="45"/>
  <c r="P110" i="54"/>
  <c r="P59" i="54"/>
  <c r="P44" i="54"/>
  <c r="P53" i="54"/>
  <c r="P85" i="54"/>
  <c r="P52" i="54"/>
  <c r="P32" i="54"/>
  <c r="P41" i="54"/>
  <c r="P106" i="54"/>
  <c r="P73" i="54"/>
  <c r="P56" i="54"/>
  <c r="P36" i="54"/>
  <c r="P27" i="54"/>
  <c r="P69" i="54"/>
  <c r="P58" i="54"/>
  <c r="P94" i="54"/>
  <c r="P45" i="54"/>
  <c r="P60" i="54"/>
  <c r="P83" i="54"/>
  <c r="P34" i="54"/>
  <c r="P82" i="54"/>
  <c r="P100" i="54"/>
  <c r="P72" i="54"/>
  <c r="P30" i="54"/>
  <c r="P48" i="54"/>
  <c r="P88" i="54"/>
  <c r="P37" i="54"/>
  <c r="P49" i="54"/>
  <c r="P91" i="54"/>
  <c r="P86" i="54"/>
  <c r="P42" i="54"/>
  <c r="P57" i="54"/>
  <c r="P33" i="54"/>
  <c r="P95" i="54"/>
  <c r="P84" i="54"/>
  <c r="P68" i="54"/>
  <c r="P62" i="54"/>
  <c r="P93" i="54"/>
  <c r="P99" i="54"/>
  <c r="P65" i="54"/>
  <c r="P87" i="54"/>
  <c r="P70" i="54"/>
  <c r="P79" i="54"/>
  <c r="P38" i="54"/>
  <c r="P101" i="54"/>
  <c r="P67" i="54"/>
  <c r="P61" i="54"/>
  <c r="P92" i="54"/>
  <c r="P64" i="54"/>
  <c r="P71" i="54"/>
  <c r="P107" i="54"/>
  <c r="P51" i="54"/>
  <c r="X7" i="54"/>
  <c r="P80" i="54"/>
  <c r="P97" i="54"/>
  <c r="P66" i="54"/>
  <c r="P35" i="54"/>
  <c r="P50" i="54"/>
  <c r="P109" i="54"/>
  <c r="P76" i="54"/>
  <c r="P108" i="54"/>
  <c r="P81" i="54"/>
  <c r="P103" i="54"/>
  <c r="P75" i="54"/>
  <c r="P105" i="54"/>
  <c r="P104" i="54"/>
  <c r="P102" i="54"/>
  <c r="P74" i="54"/>
  <c r="P46" i="54"/>
  <c r="P78" i="54"/>
  <c r="P55" i="54"/>
  <c r="P98" i="54"/>
  <c r="P31" i="54"/>
  <c r="P90" i="54"/>
  <c r="P77" i="54"/>
  <c r="P29" i="54"/>
  <c r="P54" i="54"/>
  <c r="P28" i="54"/>
  <c r="P47" i="54"/>
  <c r="P39" i="54"/>
  <c r="P96" i="54"/>
  <c r="P89" i="54"/>
  <c r="P43" i="54"/>
  <c r="P63" i="54"/>
  <c r="P40" i="54"/>
  <c r="BP18" i="16"/>
  <c r="BP37" i="16"/>
  <c r="AE98" i="54"/>
  <c r="AE94" i="54"/>
  <c r="AE90" i="54"/>
  <c r="AE99" i="54"/>
  <c r="AE110" i="54"/>
  <c r="AE85" i="54"/>
  <c r="AE89" i="54"/>
  <c r="AE109" i="54"/>
  <c r="AE84" i="54"/>
  <c r="AE79" i="54"/>
  <c r="AE107" i="54"/>
  <c r="AE76" i="54"/>
  <c r="AE80" i="54"/>
  <c r="AE105" i="54"/>
  <c r="AE93" i="54"/>
  <c r="AE96" i="54"/>
  <c r="AE82" i="54"/>
  <c r="AE106" i="54"/>
  <c r="AE101" i="54"/>
  <c r="AE100" i="54"/>
  <c r="AE103" i="54"/>
  <c r="AE91" i="54"/>
  <c r="AE97" i="54"/>
  <c r="AE75" i="54"/>
  <c r="AE104" i="54"/>
  <c r="AE108" i="54"/>
  <c r="AE83" i="54"/>
  <c r="AE88" i="54"/>
  <c r="AE77" i="54"/>
  <c r="AE86" i="54"/>
  <c r="AE87" i="54"/>
  <c r="AE102" i="54"/>
  <c r="AE78" i="54"/>
  <c r="AE95" i="54"/>
  <c r="AE81" i="54"/>
  <c r="AE92" i="54"/>
  <c r="K259" i="29"/>
  <c r="C258" i="29"/>
  <c r="BV6" i="16"/>
  <c r="AT37" i="45"/>
  <c r="AJ40" i="45"/>
  <c r="P68" i="45"/>
  <c r="I68" i="45"/>
  <c r="G68" i="45"/>
  <c r="G69" i="45" s="1"/>
  <c r="N68" i="45"/>
  <c r="AA68" i="45"/>
  <c r="M68" i="45"/>
  <c r="S68" i="45"/>
  <c r="AC68" i="45"/>
  <c r="H68" i="45"/>
  <c r="Y68" i="45"/>
  <c r="L68" i="45"/>
  <c r="T68" i="45"/>
  <c r="Z68" i="45"/>
  <c r="X68" i="45"/>
  <c r="AI68" i="45"/>
  <c r="V68" i="45"/>
  <c r="O68" i="45"/>
  <c r="K68" i="45"/>
  <c r="AF68" i="45"/>
  <c r="R68" i="45"/>
  <c r="AD68" i="45"/>
  <c r="Q68" i="45"/>
  <c r="J68" i="45"/>
  <c r="W68" i="45"/>
  <c r="AE68" i="45"/>
  <c r="AB68" i="45"/>
  <c r="AH68" i="45"/>
  <c r="AG68" i="45"/>
  <c r="U68" i="45"/>
  <c r="AF34" i="45"/>
  <c r="AO40" i="45"/>
  <c r="V37" i="45"/>
  <c r="V34" i="45"/>
  <c r="AE40" i="45"/>
  <c r="AU39" i="45"/>
  <c r="AB38" i="45"/>
  <c r="AW34" i="45"/>
  <c r="AV40" i="45"/>
  <c r="N159" i="26"/>
  <c r="N157" i="26"/>
  <c r="J50" i="57"/>
  <c r="J51" i="57" s="1"/>
  <c r="Q125" i="59"/>
  <c r="P129" i="59"/>
  <c r="Q129" i="59" s="1"/>
  <c r="K134" i="29"/>
  <c r="BV20" i="16"/>
  <c r="AF102" i="54"/>
  <c r="AF91" i="54"/>
  <c r="AF103" i="54"/>
  <c r="AF110" i="54"/>
  <c r="AF75" i="54"/>
  <c r="AF97" i="54"/>
  <c r="AF107" i="54"/>
  <c r="AF76" i="54"/>
  <c r="AF108" i="54"/>
  <c r="AF95" i="54"/>
  <c r="AF82" i="54"/>
  <c r="AF83" i="54"/>
  <c r="AF81" i="54"/>
  <c r="AF101" i="54"/>
  <c r="AF93" i="54"/>
  <c r="AF90" i="54"/>
  <c r="AF86" i="54"/>
  <c r="AF100" i="54"/>
  <c r="AF105" i="54"/>
  <c r="AF80" i="54"/>
  <c r="AF84" i="54"/>
  <c r="AF109" i="54"/>
  <c r="AF98" i="54"/>
  <c r="AF79" i="54"/>
  <c r="AF88" i="54"/>
  <c r="AF85" i="54"/>
  <c r="AF87" i="54"/>
  <c r="AF77" i="54"/>
  <c r="AF89" i="54"/>
  <c r="AF78" i="54"/>
  <c r="AF94" i="54"/>
  <c r="AF106" i="54"/>
  <c r="AF96" i="54"/>
  <c r="AF92" i="54"/>
  <c r="AF104" i="54"/>
  <c r="AF99" i="54"/>
  <c r="J65" i="57"/>
  <c r="J58" i="57"/>
  <c r="BA40" i="45"/>
  <c r="AV38" i="45"/>
  <c r="AO37" i="45"/>
  <c r="AQ34" i="45"/>
  <c r="AC38" i="45"/>
  <c r="AY40" i="45"/>
  <c r="W39" i="45"/>
  <c r="AU37" i="45"/>
  <c r="AV37" i="45"/>
  <c r="X40" i="45"/>
  <c r="AE39" i="45"/>
  <c r="AD37" i="45"/>
  <c r="AP40" i="45"/>
  <c r="AE37" i="45"/>
  <c r="BB34" i="45"/>
  <c r="BC38" i="45"/>
  <c r="AR34" i="45"/>
  <c r="X39" i="45"/>
  <c r="U32" i="26"/>
  <c r="N158" i="26"/>
  <c r="CK42" i="16"/>
  <c r="B27" i="29"/>
  <c r="F27" i="29"/>
  <c r="P44" i="42"/>
  <c r="N44" i="42" s="1"/>
  <c r="U44" i="42"/>
  <c r="S44" i="42" s="1"/>
  <c r="S57" i="42" s="1"/>
  <c r="BX29" i="16"/>
  <c r="N28" i="66"/>
  <c r="AO38" i="45"/>
  <c r="E15" i="21"/>
  <c r="CK40" i="16"/>
  <c r="CL35" i="16"/>
  <c r="H48" i="20"/>
  <c r="T31" i="22"/>
  <c r="CK39" i="16"/>
  <c r="S27" i="19"/>
  <c r="T26" i="19"/>
  <c r="AH38" i="45"/>
  <c r="AJ37" i="45"/>
  <c r="B59" i="20"/>
  <c r="AK67" i="45"/>
  <c r="G35" i="20"/>
  <c r="F324" i="29"/>
  <c r="BP42" i="16"/>
  <c r="BB39" i="45"/>
  <c r="CK32" i="16"/>
  <c r="E22" i="21"/>
  <c r="AN2" i="75"/>
  <c r="AO1" i="75"/>
  <c r="F28" i="29"/>
  <c r="BP35" i="16"/>
  <c r="CJ7" i="16"/>
  <c r="G28" i="28"/>
  <c r="C30" i="28"/>
  <c r="AU30" i="28" s="1"/>
  <c r="B30" i="28"/>
  <c r="E30" i="28"/>
  <c r="D30" i="28"/>
  <c r="AR118" i="28"/>
  <c r="AR119" i="28" s="1"/>
  <c r="AR32" i="28"/>
  <c r="AS31" i="28"/>
  <c r="A31" i="28"/>
  <c r="C112" i="28"/>
  <c r="AU112" i="28" s="1"/>
  <c r="G252" i="28"/>
  <c r="C113" i="28"/>
  <c r="AU113" i="28" s="1"/>
  <c r="D90" i="28"/>
  <c r="B252" i="28"/>
  <c r="E252" i="28"/>
  <c r="G70" i="28"/>
  <c r="D252" i="28"/>
  <c r="G219" i="28"/>
  <c r="D70" i="28"/>
  <c r="AS71" i="28"/>
  <c r="B50" i="28"/>
  <c r="D50" i="28"/>
  <c r="AS51" i="28"/>
  <c r="E50" i="28"/>
  <c r="E70" i="28"/>
  <c r="F252" i="28"/>
  <c r="B70" i="28"/>
  <c r="C114" i="28"/>
  <c r="AU114" i="28" s="1"/>
  <c r="C116" i="28"/>
  <c r="AU116" i="28" s="1"/>
  <c r="AC156" i="7"/>
  <c r="N71" i="29"/>
  <c r="D71" i="29" s="1"/>
  <c r="N127" i="29"/>
  <c r="D127" i="29" s="1"/>
  <c r="N120" i="29"/>
  <c r="D120" i="29" s="1"/>
  <c r="N122" i="29"/>
  <c r="D122" i="29" s="1"/>
  <c r="N97" i="29"/>
  <c r="D97" i="29" s="1"/>
  <c r="E27" i="24"/>
  <c r="E19" i="24"/>
  <c r="F19" i="24"/>
  <c r="J37" i="7"/>
  <c r="AT12" i="28"/>
  <c r="C263" i="29"/>
  <c r="N102" i="29"/>
  <c r="D102" i="29" s="1"/>
  <c r="N130" i="29"/>
  <c r="N121" i="29"/>
  <c r="D121" i="29" s="1"/>
  <c r="N96" i="29"/>
  <c r="D96" i="29" s="1"/>
  <c r="N125" i="29"/>
  <c r="D125" i="29" s="1"/>
  <c r="N100" i="29"/>
  <c r="D100" i="29" s="1"/>
  <c r="N98" i="29"/>
  <c r="D98" i="29" s="1"/>
  <c r="N131" i="29"/>
  <c r="N70" i="29"/>
  <c r="D70" i="29" s="1"/>
  <c r="N128" i="29"/>
  <c r="N129" i="29"/>
  <c r="N101" i="29"/>
  <c r="D101" i="29" s="1"/>
  <c r="N126" i="29"/>
  <c r="D126" i="29" s="1"/>
  <c r="E99" i="29"/>
  <c r="N99" i="29"/>
  <c r="D99" i="29" s="1"/>
  <c r="E124" i="29"/>
  <c r="N124" i="29"/>
  <c r="D124" i="29" s="1"/>
  <c r="E123" i="29"/>
  <c r="N123" i="29"/>
  <c r="D123" i="29" s="1"/>
  <c r="N104" i="29"/>
  <c r="N103" i="29"/>
  <c r="C208" i="28"/>
  <c r="AU208" i="28" s="1"/>
  <c r="AR209" i="28"/>
  <c r="B235" i="28"/>
  <c r="E235" i="28"/>
  <c r="AS242" i="28"/>
  <c r="F235" i="28"/>
  <c r="D235" i="28"/>
  <c r="G235" i="28"/>
  <c r="B230" i="28"/>
  <c r="AS237" i="28"/>
  <c r="D230" i="28"/>
  <c r="F230" i="28"/>
  <c r="G218" i="28"/>
  <c r="AR54" i="28"/>
  <c r="E239" i="28"/>
  <c r="B239" i="28"/>
  <c r="G239" i="28" s="1"/>
  <c r="AS246" i="28"/>
  <c r="F239" i="28"/>
  <c r="D239" i="28"/>
  <c r="G228" i="28"/>
  <c r="G109" i="28"/>
  <c r="G232" i="28"/>
  <c r="G225" i="28"/>
  <c r="D222" i="28"/>
  <c r="F222" i="28"/>
  <c r="B222" i="28"/>
  <c r="AS229" i="28"/>
  <c r="G222" i="28"/>
  <c r="E222" i="28"/>
  <c r="G107" i="28"/>
  <c r="G48" i="28"/>
  <c r="G47" i="28"/>
  <c r="G210" i="28"/>
  <c r="G150" i="28"/>
  <c r="G49" i="28"/>
  <c r="G282" i="28"/>
  <c r="G130" i="28"/>
  <c r="G50" i="28"/>
  <c r="G250" i="28"/>
  <c r="G226" i="28"/>
  <c r="G211" i="28"/>
  <c r="G170" i="28"/>
  <c r="G207" i="28"/>
  <c r="G212" i="28"/>
  <c r="G298" i="28"/>
  <c r="H9" i="28"/>
  <c r="H311" i="28" s="1"/>
  <c r="G266" i="28"/>
  <c r="G201" i="28"/>
  <c r="G87" i="28"/>
  <c r="G86" i="28"/>
  <c r="G67" i="28"/>
  <c r="G208" i="28"/>
  <c r="G214" i="28"/>
  <c r="G88" i="28"/>
  <c r="G205" i="28"/>
  <c r="G200" i="28"/>
  <c r="G68" i="28"/>
  <c r="G203" i="28"/>
  <c r="G27" i="28"/>
  <c r="G30" i="28"/>
  <c r="G217" i="28"/>
  <c r="G69" i="28"/>
  <c r="G221" i="28"/>
  <c r="G26" i="28"/>
  <c r="G108" i="28"/>
  <c r="G251" i="28"/>
  <c r="G29" i="28"/>
  <c r="G204" i="28"/>
  <c r="AS238" i="28"/>
  <c r="F231" i="28"/>
  <c r="E231" i="28"/>
  <c r="B231" i="28"/>
  <c r="G231" i="28" s="1"/>
  <c r="D231" i="28"/>
  <c r="D233" i="28"/>
  <c r="F233" i="28"/>
  <c r="E233" i="28"/>
  <c r="B233" i="28"/>
  <c r="G233" i="28" s="1"/>
  <c r="AS240" i="28"/>
  <c r="AR95" i="28"/>
  <c r="C94" i="28"/>
  <c r="AU94" i="28" s="1"/>
  <c r="AR76" i="28"/>
  <c r="C75" i="28"/>
  <c r="AU75" i="28" s="1"/>
  <c r="G224" i="28"/>
  <c r="Y162" i="7"/>
  <c r="Z162" i="7" s="1"/>
  <c r="AA162" i="7" s="1"/>
  <c r="AB162" i="7" s="1"/>
  <c r="K139" i="59"/>
  <c r="L128" i="59"/>
  <c r="J34" i="40"/>
  <c r="K34" i="40" s="1"/>
  <c r="L34" i="40" s="1"/>
  <c r="M34" i="40" s="1"/>
  <c r="F15" i="9"/>
  <c r="F16" i="9"/>
  <c r="E15" i="9"/>
  <c r="G14" i="9"/>
  <c r="H14" i="9"/>
  <c r="E16" i="9"/>
  <c r="H16" i="9"/>
  <c r="I16" i="9"/>
  <c r="I14" i="9"/>
  <c r="G16" i="9"/>
  <c r="C20" i="58"/>
  <c r="E41" i="57"/>
  <c r="E44" i="57" s="1"/>
  <c r="C44" i="57"/>
  <c r="C23" i="58" s="1"/>
  <c r="C17" i="9"/>
  <c r="B17" i="9"/>
  <c r="F17" i="9" s="1"/>
  <c r="Y153" i="7"/>
  <c r="C79" i="40"/>
  <c r="C81" i="40" s="1"/>
  <c r="C76" i="40"/>
  <c r="C72" i="40"/>
  <c r="E72" i="40"/>
  <c r="E79" i="40"/>
  <c r="E81" i="40" s="1"/>
  <c r="G72" i="40"/>
  <c r="G79" i="40"/>
  <c r="G81" i="40" s="1"/>
  <c r="P39" i="6"/>
  <c r="R40" i="6"/>
  <c r="P40" i="6" s="1"/>
  <c r="E14" i="9"/>
  <c r="D14" i="9"/>
  <c r="E55" i="57"/>
  <c r="C34" i="58"/>
  <c r="G15" i="9"/>
  <c r="A18" i="9"/>
  <c r="AR19" i="9"/>
  <c r="AS19" i="9" s="1"/>
  <c r="C22" i="58"/>
  <c r="E43" i="57"/>
  <c r="E46" i="57" s="1"/>
  <c r="C46" i="57"/>
  <c r="C25" i="58" s="1"/>
  <c r="H72" i="40"/>
  <c r="H79" i="40"/>
  <c r="H81" i="40" s="1"/>
  <c r="E16" i="10"/>
  <c r="H16" i="10"/>
  <c r="D16" i="10"/>
  <c r="G16" i="10"/>
  <c r="X173" i="7"/>
  <c r="Y172" i="7"/>
  <c r="Z172" i="7" s="1"/>
  <c r="AA172" i="7" s="1"/>
  <c r="AB172" i="7" s="1"/>
  <c r="F79" i="40"/>
  <c r="F81" i="40" s="1"/>
  <c r="F72" i="40"/>
  <c r="I72" i="40"/>
  <c r="I79" i="40"/>
  <c r="I81" i="40" s="1"/>
  <c r="AC159" i="7"/>
  <c r="AB159" i="7"/>
  <c r="I17" i="10"/>
  <c r="F17" i="10"/>
  <c r="L17" i="10"/>
  <c r="E52" i="57"/>
  <c r="C31" i="58"/>
  <c r="J72" i="40"/>
  <c r="J79" i="40"/>
  <c r="J81" i="40" s="1"/>
  <c r="Z165" i="7"/>
  <c r="S57" i="6"/>
  <c r="M13" i="10" s="1"/>
  <c r="M12" i="10"/>
  <c r="AC147" i="7"/>
  <c r="AB147" i="7"/>
  <c r="H85" i="55"/>
  <c r="C93" i="55" s="1"/>
  <c r="E93" i="55"/>
  <c r="E98" i="55" s="1"/>
  <c r="H84" i="55"/>
  <c r="H86" i="55" s="1"/>
  <c r="F93" i="55" s="1"/>
  <c r="AM18" i="16" s="1"/>
  <c r="J231" i="26"/>
  <c r="J245" i="26"/>
  <c r="J241" i="26"/>
  <c r="J237" i="26"/>
  <c r="J233" i="26"/>
  <c r="J226" i="26"/>
  <c r="J224" i="26"/>
  <c r="J243" i="26"/>
  <c r="J228" i="26"/>
  <c r="J227" i="26"/>
  <c r="J234" i="26"/>
  <c r="J238" i="26"/>
  <c r="J236" i="26"/>
  <c r="J235" i="26"/>
  <c r="J240" i="26"/>
  <c r="J232" i="26"/>
  <c r="J242" i="26"/>
  <c r="J239" i="26"/>
  <c r="J225" i="26"/>
  <c r="J230" i="26"/>
  <c r="J229" i="26"/>
  <c r="J244" i="26"/>
  <c r="E48" i="29"/>
  <c r="N48" i="29"/>
  <c r="D48" i="29" s="1"/>
  <c r="C255" i="28"/>
  <c r="AU255" i="28" s="1"/>
  <c r="AR256" i="28"/>
  <c r="AR257" i="28" s="1"/>
  <c r="AU53" i="28"/>
  <c r="E21" i="24"/>
  <c r="F21" i="24"/>
  <c r="H78" i="55"/>
  <c r="I77" i="55"/>
  <c r="AT10" i="16"/>
  <c r="K60" i="16" s="1"/>
  <c r="AV9" i="16"/>
  <c r="K291" i="29"/>
  <c r="C290" i="29"/>
  <c r="N55" i="29"/>
  <c r="E55" i="29"/>
  <c r="AU52" i="28"/>
  <c r="E50" i="29"/>
  <c r="N50" i="29"/>
  <c r="D50" i="29" s="1"/>
  <c r="N49" i="29"/>
  <c r="D49" i="29" s="1"/>
  <c r="E49" i="29"/>
  <c r="C158" i="29"/>
  <c r="N158" i="29" s="1"/>
  <c r="C159" i="29"/>
  <c r="N159" i="29" s="1"/>
  <c r="E15" i="24"/>
  <c r="C148" i="29"/>
  <c r="C157" i="29"/>
  <c r="C156" i="29"/>
  <c r="C151" i="29"/>
  <c r="F15" i="24"/>
  <c r="C153" i="29"/>
  <c r="C160" i="29"/>
  <c r="N160" i="29" s="1"/>
  <c r="C161" i="29"/>
  <c r="N161" i="29" s="1"/>
  <c r="C21" i="23"/>
  <c r="D21" i="23" s="1"/>
  <c r="C152" i="29"/>
  <c r="C150" i="29"/>
  <c r="C149" i="29"/>
  <c r="C170" i="29"/>
  <c r="N170" i="29" s="1"/>
  <c r="D170" i="29" s="1"/>
  <c r="C17" i="23"/>
  <c r="D17" i="23" s="1"/>
  <c r="C154" i="29"/>
  <c r="C155" i="29"/>
  <c r="N51" i="29"/>
  <c r="D51" i="29" s="1"/>
  <c r="E51" i="29"/>
  <c r="C313" i="29"/>
  <c r="E313" i="29" s="1"/>
  <c r="K314" i="29"/>
  <c r="N54" i="29"/>
  <c r="D54" i="29" s="1"/>
  <c r="E54" i="29"/>
  <c r="N45" i="29"/>
  <c r="D45" i="29" s="1"/>
  <c r="E45" i="29"/>
  <c r="E46" i="29"/>
  <c r="N46" i="29"/>
  <c r="D46" i="29" s="1"/>
  <c r="E53" i="29"/>
  <c r="N53" i="29"/>
  <c r="D53" i="29" s="1"/>
  <c r="E47" i="29"/>
  <c r="N47" i="29"/>
  <c r="D47" i="29" s="1"/>
  <c r="C299" i="29"/>
  <c r="E299" i="29" s="1"/>
  <c r="K300" i="29"/>
  <c r="AS9" i="16"/>
  <c r="K328" i="29"/>
  <c r="E52" i="29"/>
  <c r="N52" i="29"/>
  <c r="D52" i="29" s="1"/>
  <c r="AQ18" i="16"/>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E281" i="29"/>
  <c r="E234" i="29"/>
  <c r="D237" i="29"/>
  <c r="AU9" i="16"/>
  <c r="J183" i="26"/>
  <c r="J186" i="26"/>
  <c r="J187" i="26"/>
  <c r="J193" i="26"/>
  <c r="J196" i="26"/>
  <c r="J179" i="26"/>
  <c r="J194" i="26"/>
  <c r="J198" i="26"/>
  <c r="J182" i="26"/>
  <c r="J199" i="26"/>
  <c r="J189" i="26"/>
  <c r="J195" i="26"/>
  <c r="J190" i="26"/>
  <c r="J185" i="26"/>
  <c r="J192" i="26"/>
  <c r="J188" i="26"/>
  <c r="J181" i="26"/>
  <c r="J201" i="26"/>
  <c r="J191" i="26"/>
  <c r="J180" i="26"/>
  <c r="J200" i="26"/>
  <c r="J184" i="26"/>
  <c r="C19" i="23"/>
  <c r="D19" i="23" s="1"/>
  <c r="F17" i="24"/>
  <c r="C23" i="23"/>
  <c r="D23" i="23" s="1"/>
  <c r="E17" i="24"/>
  <c r="AP9" i="16"/>
  <c r="H11" i="37"/>
  <c r="K13" i="9" l="1"/>
  <c r="L13" i="9"/>
  <c r="AO13" i="9"/>
  <c r="V13" i="9"/>
  <c r="Q13" i="9"/>
  <c r="AF13" i="9"/>
  <c r="AA13" i="9"/>
  <c r="N13" i="9"/>
  <c r="AM13" i="9"/>
  <c r="AH13" i="9"/>
  <c r="AD13" i="9"/>
  <c r="Z13" i="9"/>
  <c r="X13" i="9"/>
  <c r="O13" i="9"/>
  <c r="AB13" i="9"/>
  <c r="AJ13" i="9"/>
  <c r="AI13" i="9"/>
  <c r="AC13" i="9"/>
  <c r="Y13" i="9"/>
  <c r="AG15" i="9"/>
  <c r="U15" i="9"/>
  <c r="T15" i="9"/>
  <c r="AF15" i="9"/>
  <c r="AD15" i="9"/>
  <c r="R15" i="9"/>
  <c r="AM15" i="9"/>
  <c r="AA15" i="9"/>
  <c r="O15" i="9"/>
  <c r="AO15" i="9"/>
  <c r="X15" i="9"/>
  <c r="AK15" i="9"/>
  <c r="S15" i="9"/>
  <c r="AJ15" i="9"/>
  <c r="Q15" i="9"/>
  <c r="AH15" i="9"/>
  <c r="AE15" i="9"/>
  <c r="K15" i="9"/>
  <c r="AI15" i="9"/>
  <c r="P15" i="9"/>
  <c r="N15" i="9"/>
  <c r="Z15" i="9"/>
  <c r="M15" i="9"/>
  <c r="AB15" i="9"/>
  <c r="J15" i="9"/>
  <c r="AC15" i="9"/>
  <c r="L15" i="9"/>
  <c r="AN15" i="9"/>
  <c r="Y15" i="9"/>
  <c r="AL15" i="9"/>
  <c r="W15" i="9"/>
  <c r="V15" i="9"/>
  <c r="R13" i="9"/>
  <c r="P13" i="9"/>
  <c r="AK13" i="9"/>
  <c r="U13" i="9"/>
  <c r="AG13" i="9"/>
  <c r="AN13" i="9"/>
  <c r="AL13" i="9"/>
  <c r="T13" i="9"/>
  <c r="S13" i="9"/>
  <c r="AO17" i="9"/>
  <c r="AC17" i="9"/>
  <c r="Q17" i="9"/>
  <c r="P17" i="9"/>
  <c r="AL17" i="9"/>
  <c r="Z17" i="9"/>
  <c r="N17" i="9"/>
  <c r="AI17" i="9"/>
  <c r="W17" i="9"/>
  <c r="K17" i="9"/>
  <c r="AJ17" i="9"/>
  <c r="AF17" i="9"/>
  <c r="AA17" i="9"/>
  <c r="U17" i="9"/>
  <c r="Y17" i="9"/>
  <c r="V17" i="9"/>
  <c r="AM17" i="9"/>
  <c r="S17" i="9"/>
  <c r="X17" i="9"/>
  <c r="AK17" i="9"/>
  <c r="T17" i="9"/>
  <c r="AH17" i="9"/>
  <c r="AE17" i="9"/>
  <c r="L17" i="9"/>
  <c r="AG17" i="9"/>
  <c r="AD17" i="9"/>
  <c r="O17" i="9"/>
  <c r="W13" i="9"/>
  <c r="AE13" i="9"/>
  <c r="J13" i="9"/>
  <c r="AU27" i="28"/>
  <c r="AU71" i="28"/>
  <c r="L290" i="29"/>
  <c r="AU68" i="28"/>
  <c r="F289" i="29"/>
  <c r="AU51" i="28"/>
  <c r="F288" i="29"/>
  <c r="AU117" i="28"/>
  <c r="B289" i="29"/>
  <c r="B288" i="29"/>
  <c r="AU111" i="28"/>
  <c r="AU29" i="28"/>
  <c r="E288" i="29"/>
  <c r="AU254" i="28"/>
  <c r="AU109" i="28"/>
  <c r="J109" i="28" s="1"/>
  <c r="C34" i="24"/>
  <c r="C328" i="29" s="1"/>
  <c r="E328" i="29" s="1"/>
  <c r="AU253" i="28"/>
  <c r="E32" i="24"/>
  <c r="F32" i="24"/>
  <c r="C31" i="23"/>
  <c r="D31" i="23" s="1"/>
  <c r="E33" i="24"/>
  <c r="C32" i="23"/>
  <c r="D32" i="23" s="1"/>
  <c r="F33" i="24"/>
  <c r="N337" i="29"/>
  <c r="E337" i="29"/>
  <c r="F253" i="28"/>
  <c r="AU50" i="28"/>
  <c r="AU110" i="28"/>
  <c r="AU72" i="28"/>
  <c r="AU250" i="28"/>
  <c r="C26" i="23"/>
  <c r="D26" i="23" s="1"/>
  <c r="C297" i="29"/>
  <c r="E297" i="29" s="1"/>
  <c r="C298" i="29"/>
  <c r="E298" i="29" s="1"/>
  <c r="C312" i="29"/>
  <c r="E312" i="29" s="1"/>
  <c r="C27" i="23"/>
  <c r="D27" i="23" s="1"/>
  <c r="AU108" i="28"/>
  <c r="AU86" i="28"/>
  <c r="AU49" i="28"/>
  <c r="AU207" i="28"/>
  <c r="AU69" i="28"/>
  <c r="AU70" i="28"/>
  <c r="AU88" i="28"/>
  <c r="AU84" i="28"/>
  <c r="AU107" i="28"/>
  <c r="AU91" i="28"/>
  <c r="AU87" i="28"/>
  <c r="AU74" i="28"/>
  <c r="AU47" i="28"/>
  <c r="AU48" i="28"/>
  <c r="AU73" i="28"/>
  <c r="AU89" i="28"/>
  <c r="B172" i="7"/>
  <c r="AU201" i="28"/>
  <c r="J201" i="28" s="1"/>
  <c r="AU200" i="28"/>
  <c r="AU93" i="28"/>
  <c r="AU67" i="28"/>
  <c r="AU92" i="28"/>
  <c r="AU90" i="28"/>
  <c r="N25" i="29"/>
  <c r="D25" i="29" s="1"/>
  <c r="J252" i="28"/>
  <c r="C257" i="28"/>
  <c r="AU257" i="28" s="1"/>
  <c r="AR258" i="28"/>
  <c r="C258" i="28" s="1"/>
  <c r="AU258" i="28" s="1"/>
  <c r="X137" i="7"/>
  <c r="G76" i="6"/>
  <c r="G97" i="6" s="1"/>
  <c r="H58" i="6"/>
  <c r="I29" i="55"/>
  <c r="N198" i="26"/>
  <c r="N197" i="26" s="1"/>
  <c r="N194" i="26"/>
  <c r="I255" i="26" s="1"/>
  <c r="G44" i="76"/>
  <c r="F52" i="76"/>
  <c r="F54" i="76" s="1"/>
  <c r="F53" i="76" s="1"/>
  <c r="N83" i="26"/>
  <c r="K58" i="7" s="1"/>
  <c r="N82" i="26"/>
  <c r="N81" i="26"/>
  <c r="K57" i="7" s="1"/>
  <c r="N79" i="26"/>
  <c r="N78" i="26"/>
  <c r="N86" i="26"/>
  <c r="E45" i="76" s="1"/>
  <c r="N28" i="29"/>
  <c r="D28" i="29" s="1"/>
  <c r="B18" i="20"/>
  <c r="Z14" i="21"/>
  <c r="D159" i="29"/>
  <c r="G89" i="28"/>
  <c r="B89" i="28"/>
  <c r="G90" i="28"/>
  <c r="C169" i="29"/>
  <c r="N169" i="29" s="1"/>
  <c r="D89" i="28"/>
  <c r="K26" i="19"/>
  <c r="L27" i="19"/>
  <c r="E89" i="28"/>
  <c r="AS91" i="28"/>
  <c r="G91" i="28" s="1"/>
  <c r="V35" i="45"/>
  <c r="G169" i="29"/>
  <c r="G89" i="29"/>
  <c r="E90" i="28"/>
  <c r="B90" i="28"/>
  <c r="F89" i="28"/>
  <c r="E211" i="26"/>
  <c r="K67" i="7"/>
  <c r="N23" i="29"/>
  <c r="D23" i="29" s="1"/>
  <c r="E26" i="29"/>
  <c r="K65" i="7"/>
  <c r="K64" i="7"/>
  <c r="K68" i="7"/>
  <c r="K63" i="7"/>
  <c r="K66" i="7"/>
  <c r="N20" i="29"/>
  <c r="D20" i="29" s="1"/>
  <c r="G72" i="29"/>
  <c r="G90" i="29"/>
  <c r="G91" i="29"/>
  <c r="G112" i="29"/>
  <c r="G93" i="29"/>
  <c r="G84" i="29"/>
  <c r="G85" i="29"/>
  <c r="G79" i="29"/>
  <c r="G73" i="29"/>
  <c r="G75" i="29"/>
  <c r="G74" i="29"/>
  <c r="G86" i="29"/>
  <c r="G87" i="29"/>
  <c r="G76" i="29"/>
  <c r="G77" i="29"/>
  <c r="G88" i="29"/>
  <c r="G78" i="29"/>
  <c r="G94" i="29"/>
  <c r="G95" i="29"/>
  <c r="N74" i="29"/>
  <c r="D74" i="29" s="1"/>
  <c r="E74" i="29"/>
  <c r="C75" i="29"/>
  <c r="K76" i="29"/>
  <c r="D128" i="29"/>
  <c r="CL40" i="16"/>
  <c r="H38" i="20"/>
  <c r="I38" i="20" s="1"/>
  <c r="CL36" i="16"/>
  <c r="E30" i="29"/>
  <c r="AB27" i="55"/>
  <c r="AC28" i="55"/>
  <c r="E253" i="28"/>
  <c r="D253" i="28"/>
  <c r="AS255" i="28"/>
  <c r="J255" i="28" s="1"/>
  <c r="G253" i="28"/>
  <c r="AS111" i="28"/>
  <c r="G111" i="28" s="1"/>
  <c r="B254" i="28"/>
  <c r="B110" i="28"/>
  <c r="L13" i="66"/>
  <c r="K14" i="66"/>
  <c r="S13" i="66"/>
  <c r="D254" i="28"/>
  <c r="H110" i="28"/>
  <c r="G110" i="28"/>
  <c r="E254" i="28"/>
  <c r="E110" i="28"/>
  <c r="G24" i="29"/>
  <c r="F254" i="28"/>
  <c r="F110" i="28"/>
  <c r="G201" i="29"/>
  <c r="E24" i="20"/>
  <c r="B142" i="29"/>
  <c r="G142" i="29" s="1"/>
  <c r="L143" i="29"/>
  <c r="E142" i="29"/>
  <c r="K27" i="26"/>
  <c r="K33" i="26"/>
  <c r="K31" i="26"/>
  <c r="K32" i="26"/>
  <c r="K30" i="26"/>
  <c r="K29" i="26"/>
  <c r="K28" i="26"/>
  <c r="AA35" i="45"/>
  <c r="AF35" i="45"/>
  <c r="AF36" i="45" s="1"/>
  <c r="F63" i="20"/>
  <c r="G53" i="20" s="1"/>
  <c r="G28" i="29"/>
  <c r="C264" i="29"/>
  <c r="E29" i="29"/>
  <c r="H13" i="9"/>
  <c r="G13" i="9"/>
  <c r="E13" i="9"/>
  <c r="D13" i="9"/>
  <c r="I13" i="9"/>
  <c r="N21" i="29"/>
  <c r="D21" i="29" s="1"/>
  <c r="H73" i="40"/>
  <c r="G30" i="29"/>
  <c r="AO35" i="45"/>
  <c r="E255" i="26"/>
  <c r="F73" i="40"/>
  <c r="BP23" i="16"/>
  <c r="AY35" i="45"/>
  <c r="G24" i="20"/>
  <c r="K51" i="21"/>
  <c r="J55" i="21"/>
  <c r="J56" i="21" s="1"/>
  <c r="C15" i="65"/>
  <c r="B15" i="65"/>
  <c r="E15" i="65" s="1"/>
  <c r="F38" i="20"/>
  <c r="G38" i="20" s="1"/>
  <c r="AR17" i="65"/>
  <c r="AS17" i="65" s="1"/>
  <c r="A16" i="65"/>
  <c r="G27" i="29"/>
  <c r="J65" i="45"/>
  <c r="E58" i="20"/>
  <c r="G126" i="29"/>
  <c r="B253" i="28"/>
  <c r="AK7" i="28"/>
  <c r="AB155" i="7"/>
  <c r="X157" i="7"/>
  <c r="BW46" i="16"/>
  <c r="BX4" i="16"/>
  <c r="BP14" i="16"/>
  <c r="CL44" i="16"/>
  <c r="CL37" i="16"/>
  <c r="CL38" i="16"/>
  <c r="B11" i="20"/>
  <c r="C11" i="20" s="1"/>
  <c r="N73" i="26"/>
  <c r="E256" i="26" s="1"/>
  <c r="N75" i="26"/>
  <c r="C265" i="29"/>
  <c r="L103" i="29"/>
  <c r="D103" i="29" s="1"/>
  <c r="B102" i="29"/>
  <c r="G102" i="29" s="1"/>
  <c r="G288" i="29"/>
  <c r="G113" i="29"/>
  <c r="CO4" i="16"/>
  <c r="CN19" i="16"/>
  <c r="CN22" i="16"/>
  <c r="CN43" i="16"/>
  <c r="CN24" i="16"/>
  <c r="CN16" i="16"/>
  <c r="CN12" i="16"/>
  <c r="CN35" i="16"/>
  <c r="CN26" i="16"/>
  <c r="CN18" i="16"/>
  <c r="CN32" i="16"/>
  <c r="CN28" i="16"/>
  <c r="F5171" i="66"/>
  <c r="F5170" i="66" s="1"/>
  <c r="F5169" i="66" s="1"/>
  <c r="F5168" i="66" s="1"/>
  <c r="F5167" i="66" s="1"/>
  <c r="F5166" i="66" s="1"/>
  <c r="F5165" i="66" s="1"/>
  <c r="F5164" i="66" s="1"/>
  <c r="F5163" i="66" s="1"/>
  <c r="F5162" i="66" s="1"/>
  <c r="F5161" i="66" s="1"/>
  <c r="F5160" i="66" s="1"/>
  <c r="F5159" i="66" s="1"/>
  <c r="F5158" i="66" s="1"/>
  <c r="F5157" i="66" s="1"/>
  <c r="F5156" i="66" s="1"/>
  <c r="F5155" i="66" s="1"/>
  <c r="F5154" i="66" s="1"/>
  <c r="F5153" i="66" s="1"/>
  <c r="F5152" i="66" s="1"/>
  <c r="F5151" i="66" s="1"/>
  <c r="F5150" i="66" s="1"/>
  <c r="F5149" i="66" s="1"/>
  <c r="F5148" i="66" s="1"/>
  <c r="F5147" i="66" s="1"/>
  <c r="F5146" i="66" s="1"/>
  <c r="F5145" i="66" s="1"/>
  <c r="F5144" i="66" s="1"/>
  <c r="F5143" i="66" s="1"/>
  <c r="F5142" i="66" s="1"/>
  <c r="F5141" i="66" s="1"/>
  <c r="F5140" i="66" s="1"/>
  <c r="F5139" i="66" s="1"/>
  <c r="F5138" i="66" s="1"/>
  <c r="F5137" i="66" s="1"/>
  <c r="F5136" i="66" s="1"/>
  <c r="F5135" i="66" s="1"/>
  <c r="F5134" i="66" s="1"/>
  <c r="F5133" i="66" s="1"/>
  <c r="F5132" i="66" s="1"/>
  <c r="F5131" i="66" s="1"/>
  <c r="F5130" i="66" s="1"/>
  <c r="F5129" i="66" s="1"/>
  <c r="F5128" i="66" s="1"/>
  <c r="F5127" i="66" s="1"/>
  <c r="F5126" i="66" s="1"/>
  <c r="F5125" i="66" s="1"/>
  <c r="F5124" i="66" s="1"/>
  <c r="F5123" i="66" s="1"/>
  <c r="F5122" i="66" s="1"/>
  <c r="F5121" i="66" s="1"/>
  <c r="F5120" i="66" s="1"/>
  <c r="F5119" i="66" s="1"/>
  <c r="F5118" i="66" s="1"/>
  <c r="F5117" i="66" s="1"/>
  <c r="F5116" i="66" s="1"/>
  <c r="F5115" i="66" s="1"/>
  <c r="F5114" i="66" s="1"/>
  <c r="F5113" i="66" s="1"/>
  <c r="F5112" i="66" s="1"/>
  <c r="F5111" i="66" s="1"/>
  <c r="F5110" i="66" s="1"/>
  <c r="F5109" i="66" s="1"/>
  <c r="F5108" i="66" s="1"/>
  <c r="F5107" i="66" s="1"/>
  <c r="F5106" i="66" s="1"/>
  <c r="F5105" i="66" s="1"/>
  <c r="F5104" i="66" s="1"/>
  <c r="F5103" i="66" s="1"/>
  <c r="F5102" i="66" s="1"/>
  <c r="F5101" i="66" s="1"/>
  <c r="F5100" i="66" s="1"/>
  <c r="F5099" i="66" s="1"/>
  <c r="F5098" i="66" s="1"/>
  <c r="F5097" i="66" s="1"/>
  <c r="F5096" i="66" s="1"/>
  <c r="F5095" i="66" s="1"/>
  <c r="F5094" i="66" s="1"/>
  <c r="F5093" i="66" s="1"/>
  <c r="F5092" i="66" s="1"/>
  <c r="F5091" i="66" s="1"/>
  <c r="F5090" i="66" s="1"/>
  <c r="F5089" i="66" s="1"/>
  <c r="F5088" i="66" s="1"/>
  <c r="F5087" i="66" s="1"/>
  <c r="F5086" i="66" s="1"/>
  <c r="F5085" i="66" s="1"/>
  <c r="F5084" i="66" s="1"/>
  <c r="F5083" i="66" s="1"/>
  <c r="F5082" i="66" s="1"/>
  <c r="F5081" i="66" s="1"/>
  <c r="F5080" i="66" s="1"/>
  <c r="F5079" i="66" s="1"/>
  <c r="F5078" i="66" s="1"/>
  <c r="F5077" i="66" s="1"/>
  <c r="F5076" i="66" s="1"/>
  <c r="F5075" i="66" s="1"/>
  <c r="F5074" i="66" s="1"/>
  <c r="F5073" i="66" s="1"/>
  <c r="F5072" i="66" s="1"/>
  <c r="F5071" i="66" s="1"/>
  <c r="F5070" i="66" s="1"/>
  <c r="F5069" i="66" s="1"/>
  <c r="F5068" i="66" s="1"/>
  <c r="F5067" i="66" s="1"/>
  <c r="F5066" i="66" s="1"/>
  <c r="F5065" i="66" s="1"/>
  <c r="F5064" i="66" s="1"/>
  <c r="F5063" i="66" s="1"/>
  <c r="F5062" i="66" s="1"/>
  <c r="F5061" i="66" s="1"/>
  <c r="F5060" i="66" s="1"/>
  <c r="F5059" i="66" s="1"/>
  <c r="F5058" i="66" s="1"/>
  <c r="F5057" i="66" s="1"/>
  <c r="F5056" i="66" s="1"/>
  <c r="F5055" i="66" s="1"/>
  <c r="F5054" i="66" s="1"/>
  <c r="F5053" i="66" s="1"/>
  <c r="F5052" i="66" s="1"/>
  <c r="F5051" i="66" s="1"/>
  <c r="F5050" i="66" s="1"/>
  <c r="F5049" i="66" s="1"/>
  <c r="F5048" i="66" s="1"/>
  <c r="F5047" i="66" s="1"/>
  <c r="F5046" i="66" s="1"/>
  <c r="F5045" i="66" s="1"/>
  <c r="F5044" i="66" s="1"/>
  <c r="F5043" i="66" s="1"/>
  <c r="F5042" i="66" s="1"/>
  <c r="F5041" i="66" s="1"/>
  <c r="F5040" i="66" s="1"/>
  <c r="F5039" i="66" s="1"/>
  <c r="F5038" i="66" s="1"/>
  <c r="F5037" i="66" s="1"/>
  <c r="F5036" i="66" s="1"/>
  <c r="F5035" i="66" s="1"/>
  <c r="F5034" i="66" s="1"/>
  <c r="F5033" i="66" s="1"/>
  <c r="F5032" i="66" s="1"/>
  <c r="F5031" i="66" s="1"/>
  <c r="F5030" i="66" s="1"/>
  <c r="F5029" i="66" s="1"/>
  <c r="F5028" i="66" s="1"/>
  <c r="F5027" i="66" s="1"/>
  <c r="F5026" i="66" s="1"/>
  <c r="F5025" i="66" s="1"/>
  <c r="F5024" i="66" s="1"/>
  <c r="F5023" i="66" s="1"/>
  <c r="F5022" i="66" s="1"/>
  <c r="F5021" i="66" s="1"/>
  <c r="F5020" i="66" s="1"/>
  <c r="F5019" i="66" s="1"/>
  <c r="F5018" i="66" s="1"/>
  <c r="F5017" i="66" s="1"/>
  <c r="F5016" i="66" s="1"/>
  <c r="F5015" i="66" s="1"/>
  <c r="F5014" i="66" s="1"/>
  <c r="F5013" i="66" s="1"/>
  <c r="F5012" i="66" s="1"/>
  <c r="F5011" i="66" s="1"/>
  <c r="F5010" i="66" s="1"/>
  <c r="F5009" i="66" s="1"/>
  <c r="F5008" i="66" s="1"/>
  <c r="F5007" i="66" s="1"/>
  <c r="F5006" i="66" s="1"/>
  <c r="F5005" i="66" s="1"/>
  <c r="F5004" i="66" s="1"/>
  <c r="F5003" i="66" s="1"/>
  <c r="F5002" i="66" s="1"/>
  <c r="F5001" i="66" s="1"/>
  <c r="F5000" i="66" s="1"/>
  <c r="F4999" i="66" s="1"/>
  <c r="F4998" i="66" s="1"/>
  <c r="F4997" i="66" s="1"/>
  <c r="F4996" i="66" s="1"/>
  <c r="F4995" i="66" s="1"/>
  <c r="F4994" i="66" s="1"/>
  <c r="F4993" i="66" s="1"/>
  <c r="F4992" i="66" s="1"/>
  <c r="F4991" i="66" s="1"/>
  <c r="F4990" i="66" s="1"/>
  <c r="F4989" i="66" s="1"/>
  <c r="F4988" i="66" s="1"/>
  <c r="F4987" i="66" s="1"/>
  <c r="F4986" i="66" s="1"/>
  <c r="F4985" i="66" s="1"/>
  <c r="F4984" i="66" s="1"/>
  <c r="F4983" i="66" s="1"/>
  <c r="F4982" i="66" s="1"/>
  <c r="F4981" i="66" s="1"/>
  <c r="F4980" i="66" s="1"/>
  <c r="F4979" i="66" s="1"/>
  <c r="F4978" i="66" s="1"/>
  <c r="F4977" i="66" s="1"/>
  <c r="F4976" i="66" s="1"/>
  <c r="F4975" i="66" s="1"/>
  <c r="F4974" i="66" s="1"/>
  <c r="F4973" i="66" s="1"/>
  <c r="F4972" i="66" s="1"/>
  <c r="F4971" i="66" s="1"/>
  <c r="F4970" i="66" s="1"/>
  <c r="F4969" i="66" s="1"/>
  <c r="F4968" i="66" s="1"/>
  <c r="F4967" i="66" s="1"/>
  <c r="F4966" i="66" s="1"/>
  <c r="F4965" i="66" s="1"/>
  <c r="F4964" i="66" s="1"/>
  <c r="F4963" i="66" s="1"/>
  <c r="F4962" i="66" s="1"/>
  <c r="F4961" i="66" s="1"/>
  <c r="F4960" i="66" s="1"/>
  <c r="F4959" i="66" s="1"/>
  <c r="F4958" i="66" s="1"/>
  <c r="F4957" i="66" s="1"/>
  <c r="F4956" i="66" s="1"/>
  <c r="F4955" i="66" s="1"/>
  <c r="F4954" i="66" s="1"/>
  <c r="F4953" i="66" s="1"/>
  <c r="F4952" i="66" s="1"/>
  <c r="F4951" i="66" s="1"/>
  <c r="F4950" i="66" s="1"/>
  <c r="F4949" i="66" s="1"/>
  <c r="F4948" i="66" s="1"/>
  <c r="F4947" i="66" s="1"/>
  <c r="F4946" i="66" s="1"/>
  <c r="F4945" i="66" s="1"/>
  <c r="F4944" i="66" s="1"/>
  <c r="F4943" i="66" s="1"/>
  <c r="F4942" i="66" s="1"/>
  <c r="F4941" i="66" s="1"/>
  <c r="F4940" i="66" s="1"/>
  <c r="F4939" i="66" s="1"/>
  <c r="F4938" i="66" s="1"/>
  <c r="F4937" i="66" s="1"/>
  <c r="F4936" i="66" s="1"/>
  <c r="F4935" i="66" s="1"/>
  <c r="F4934" i="66" s="1"/>
  <c r="F4933" i="66" s="1"/>
  <c r="F4932" i="66" s="1"/>
  <c r="F4931" i="66" s="1"/>
  <c r="F4930" i="66" s="1"/>
  <c r="F4929" i="66" s="1"/>
  <c r="F4928" i="66" s="1"/>
  <c r="F4927" i="66" s="1"/>
  <c r="F4926" i="66" s="1"/>
  <c r="F4925" i="66" s="1"/>
  <c r="F4924" i="66" s="1"/>
  <c r="F4923" i="66" s="1"/>
  <c r="M12" i="66"/>
  <c r="E57" i="29"/>
  <c r="B57" i="29"/>
  <c r="G57" i="29" s="1"/>
  <c r="F57" i="29"/>
  <c r="L58" i="29"/>
  <c r="C266" i="29"/>
  <c r="G21" i="29"/>
  <c r="B34" i="20"/>
  <c r="B53" i="20"/>
  <c r="Z10" i="54"/>
  <c r="Z17" i="54"/>
  <c r="Z18" i="54" s="1"/>
  <c r="AJ69" i="45"/>
  <c r="AK69" i="45" s="1"/>
  <c r="G25" i="29"/>
  <c r="CN7" i="16"/>
  <c r="B159" i="29"/>
  <c r="G159" i="29" s="1"/>
  <c r="L160" i="29"/>
  <c r="E159" i="29"/>
  <c r="K107" i="29"/>
  <c r="C106" i="29"/>
  <c r="N106" i="29" s="1"/>
  <c r="L106" i="29"/>
  <c r="G289" i="29"/>
  <c r="CN23" i="16"/>
  <c r="L66" i="29"/>
  <c r="B65" i="29"/>
  <c r="G65" i="29" s="1"/>
  <c r="E65" i="29"/>
  <c r="AT35" i="45"/>
  <c r="E172" i="29"/>
  <c r="N172" i="29"/>
  <c r="D172" i="29" s="1"/>
  <c r="T65" i="45"/>
  <c r="F180" i="29"/>
  <c r="C10" i="20"/>
  <c r="CN42" i="16"/>
  <c r="G127" i="29"/>
  <c r="K174" i="29"/>
  <c r="C173" i="29"/>
  <c r="G26" i="29"/>
  <c r="X26" i="21"/>
  <c r="G22" i="29"/>
  <c r="E102" i="29"/>
  <c r="G43" i="29"/>
  <c r="G287" i="29"/>
  <c r="B21" i="20"/>
  <c r="Z18" i="21"/>
  <c r="D105" i="29"/>
  <c r="B105" i="29"/>
  <c r="G105" i="29" s="1"/>
  <c r="E105" i="29"/>
  <c r="F105" i="29"/>
  <c r="Z21" i="55"/>
  <c r="AA22" i="55"/>
  <c r="H15" i="9"/>
  <c r="I15" i="9"/>
  <c r="BY25" i="16"/>
  <c r="BZ25" i="16" s="1"/>
  <c r="CA25" i="16" s="1"/>
  <c r="CB25" i="16" s="1"/>
  <c r="CC25" i="16" s="1"/>
  <c r="CD25" i="16" s="1"/>
  <c r="CE25" i="16" s="1"/>
  <c r="CF25" i="16" s="1"/>
  <c r="CG25" i="16" s="1"/>
  <c r="B25" i="20"/>
  <c r="C17" i="20" s="1"/>
  <c r="BW21" i="16"/>
  <c r="O26" i="66"/>
  <c r="A17" i="10"/>
  <c r="AY36" i="45"/>
  <c r="BY29" i="16"/>
  <c r="BZ29" i="16" s="1"/>
  <c r="CA29" i="16" s="1"/>
  <c r="CB29" i="16" s="1"/>
  <c r="CC29" i="16" s="1"/>
  <c r="CD29" i="16" s="1"/>
  <c r="CE29" i="16" s="1"/>
  <c r="CF29" i="16" s="1"/>
  <c r="CG29" i="16" s="1"/>
  <c r="Y65" i="45"/>
  <c r="K260" i="29"/>
  <c r="C259" i="29"/>
  <c r="G39" i="20"/>
  <c r="G31" i="20"/>
  <c r="G36" i="20"/>
  <c r="L115" i="29"/>
  <c r="E114" i="29"/>
  <c r="B114" i="29"/>
  <c r="G114" i="29" s="1"/>
  <c r="F114" i="29"/>
  <c r="BX27" i="16"/>
  <c r="BY27" i="16" s="1"/>
  <c r="BZ27" i="16" s="1"/>
  <c r="CA27" i="16" s="1"/>
  <c r="CB27" i="16" s="1"/>
  <c r="CC27" i="16" s="1"/>
  <c r="CD27" i="16" s="1"/>
  <c r="CE27" i="16" s="1"/>
  <c r="CF27" i="16" s="1"/>
  <c r="CG27" i="16" s="1"/>
  <c r="E73" i="40"/>
  <c r="AL67" i="45"/>
  <c r="T27" i="19"/>
  <c r="U26" i="19"/>
  <c r="T32" i="22"/>
  <c r="S6" i="22"/>
  <c r="N29" i="66"/>
  <c r="J59" i="57"/>
  <c r="J60" i="57" s="1"/>
  <c r="J61" i="57" s="1"/>
  <c r="J62" i="57" s="1"/>
  <c r="J63" i="57" s="1"/>
  <c r="J66" i="57"/>
  <c r="I258" i="26"/>
  <c r="AE76" i="45"/>
  <c r="AF76" i="45" s="1"/>
  <c r="AG76" i="45" s="1"/>
  <c r="AH76" i="45" s="1"/>
  <c r="AI76" i="45" s="1"/>
  <c r="AJ76" i="45" s="1"/>
  <c r="AK76" i="45" s="1"/>
  <c r="AL76" i="45" s="1"/>
  <c r="AM76" i="45" s="1"/>
  <c r="AN76" i="45" s="1"/>
  <c r="AX76" i="45" s="1"/>
  <c r="AY76" i="45" s="1"/>
  <c r="AZ76" i="45" s="1"/>
  <c r="BA76" i="45" s="1"/>
  <c r="BB76" i="45" s="1"/>
  <c r="AD65" i="45"/>
  <c r="O65" i="45"/>
  <c r="BW6" i="16"/>
  <c r="BO34" i="16"/>
  <c r="CH35" i="16"/>
  <c r="CI35" i="16"/>
  <c r="CJ35" i="16"/>
  <c r="D73" i="40"/>
  <c r="C9" i="20"/>
  <c r="X21" i="19"/>
  <c r="Y20" i="19"/>
  <c r="Y21" i="19" s="1"/>
  <c r="AA36" i="45"/>
  <c r="G37" i="20"/>
  <c r="AL21" i="55"/>
  <c r="AL22" i="55" s="1"/>
  <c r="AK22" i="55"/>
  <c r="P21" i="19"/>
  <c r="O20" i="19"/>
  <c r="J33" i="57"/>
  <c r="A32" i="57"/>
  <c r="BY10" i="16"/>
  <c r="BW8" i="16"/>
  <c r="F203" i="29"/>
  <c r="B203" i="29"/>
  <c r="G203" i="29" s="1"/>
  <c r="L204" i="29"/>
  <c r="AB149" i="7"/>
  <c r="AC149" i="7"/>
  <c r="G48" i="20"/>
  <c r="C6" i="20"/>
  <c r="G34" i="20"/>
  <c r="E49" i="20"/>
  <c r="E55" i="20"/>
  <c r="E56" i="20"/>
  <c r="E61" i="20"/>
  <c r="E59" i="20"/>
  <c r="E48" i="20"/>
  <c r="E57" i="20"/>
  <c r="E52" i="20"/>
  <c r="E54" i="20"/>
  <c r="E53" i="20"/>
  <c r="E60" i="20"/>
  <c r="E51" i="20"/>
  <c r="N22" i="29"/>
  <c r="D22" i="29" s="1"/>
  <c r="E22" i="29"/>
  <c r="B60" i="20"/>
  <c r="B36" i="20"/>
  <c r="G29" i="29"/>
  <c r="G324" i="29"/>
  <c r="E31" i="29"/>
  <c r="C31" i="29"/>
  <c r="N31" i="29" s="1"/>
  <c r="D31" i="29"/>
  <c r="F31" i="29"/>
  <c r="B31" i="29"/>
  <c r="G31" i="29" s="1"/>
  <c r="D30" i="63"/>
  <c r="BA31" i="63"/>
  <c r="BB31" i="63"/>
  <c r="F31" i="63" s="1"/>
  <c r="B19" i="20"/>
  <c r="BV41" i="16"/>
  <c r="H63" i="20"/>
  <c r="I48" i="20" s="1"/>
  <c r="BW20" i="16"/>
  <c r="BX20" i="16" s="1"/>
  <c r="BY20" i="16" s="1"/>
  <c r="BZ20" i="16" s="1"/>
  <c r="CA20" i="16" s="1"/>
  <c r="CB20" i="16" s="1"/>
  <c r="CC20" i="16" s="1"/>
  <c r="CD20" i="16" s="1"/>
  <c r="CE20" i="16" s="1"/>
  <c r="CF20" i="16" s="1"/>
  <c r="CG20" i="16" s="1"/>
  <c r="BP20" i="16" s="1"/>
  <c r="T37" i="22"/>
  <c r="U37" i="22" s="1"/>
  <c r="T35" i="22"/>
  <c r="U35" i="22" s="1"/>
  <c r="T38" i="22"/>
  <c r="U38" i="22" s="1"/>
  <c r="T36" i="22"/>
  <c r="U36" i="22" s="1"/>
  <c r="T39" i="22"/>
  <c r="U39" i="22" s="1"/>
  <c r="T41" i="22"/>
  <c r="U41" i="22" s="1"/>
  <c r="T40" i="22"/>
  <c r="U40" i="22" s="1"/>
  <c r="AK28" i="55"/>
  <c r="AL27" i="55"/>
  <c r="AL28" i="55" s="1"/>
  <c r="Z21" i="21"/>
  <c r="B23" i="20"/>
  <c r="AO2" i="75"/>
  <c r="AP1" i="75"/>
  <c r="AP2" i="75" s="1"/>
  <c r="AJ68" i="45"/>
  <c r="AK68" i="45" s="1"/>
  <c r="G30" i="20"/>
  <c r="N27" i="29"/>
  <c r="D27" i="29" s="1"/>
  <c r="E27" i="29"/>
  <c r="K135" i="29"/>
  <c r="C134" i="29"/>
  <c r="N134" i="29" s="1"/>
  <c r="AI65" i="45"/>
  <c r="G65" i="45"/>
  <c r="H69" i="45"/>
  <c r="I69" i="45" s="1"/>
  <c r="AU4" i="54"/>
  <c r="AW4" i="54" s="1"/>
  <c r="X12" i="54"/>
  <c r="X9" i="54"/>
  <c r="C12" i="20"/>
  <c r="C5" i="20"/>
  <c r="C8" i="20"/>
  <c r="C7" i="20"/>
  <c r="BZ31" i="16"/>
  <c r="BY13" i="16"/>
  <c r="CA53" i="45"/>
  <c r="BW9" i="16"/>
  <c r="G325" i="29"/>
  <c r="G196" i="29"/>
  <c r="H9" i="29"/>
  <c r="G275" i="29"/>
  <c r="G271" i="29"/>
  <c r="G120" i="29"/>
  <c r="G258" i="29"/>
  <c r="G197" i="29"/>
  <c r="G217" i="29"/>
  <c r="G292" i="29"/>
  <c r="G149" i="29"/>
  <c r="G298" i="29"/>
  <c r="G308" i="29"/>
  <c r="G314" i="29"/>
  <c r="G313" i="29"/>
  <c r="G333" i="29"/>
  <c r="G71" i="29"/>
  <c r="G263" i="29"/>
  <c r="G251" i="29"/>
  <c r="G300" i="29"/>
  <c r="G332" i="29"/>
  <c r="G322" i="29"/>
  <c r="G284" i="29"/>
  <c r="G257" i="29"/>
  <c r="G45" i="29"/>
  <c r="G297" i="29"/>
  <c r="G282" i="29"/>
  <c r="G312" i="29"/>
  <c r="G293" i="29"/>
  <c r="G49" i="29"/>
  <c r="G51" i="29"/>
  <c r="G62" i="29"/>
  <c r="G154" i="29"/>
  <c r="G174" i="29"/>
  <c r="G294" i="29"/>
  <c r="G179" i="29"/>
  <c r="G178" i="29"/>
  <c r="G52" i="29"/>
  <c r="G180" i="29"/>
  <c r="G55" i="29"/>
  <c r="G53" i="29"/>
  <c r="G239" i="29"/>
  <c r="G148" i="29"/>
  <c r="G137" i="29"/>
  <c r="G328" i="29"/>
  <c r="G60" i="29"/>
  <c r="G285" i="29"/>
  <c r="G245" i="29"/>
  <c r="G110" i="29"/>
  <c r="G124" i="29"/>
  <c r="G123" i="29"/>
  <c r="G98" i="29"/>
  <c r="G176" i="29"/>
  <c r="G61" i="29"/>
  <c r="G173" i="29"/>
  <c r="G150" i="29"/>
  <c r="G63" i="29"/>
  <c r="G101" i="29"/>
  <c r="G100" i="29"/>
  <c r="G193" i="29"/>
  <c r="G175" i="29"/>
  <c r="G281" i="29"/>
  <c r="G121" i="29"/>
  <c r="G269" i="29"/>
  <c r="G199" i="29"/>
  <c r="G283" i="29"/>
  <c r="G309" i="29"/>
  <c r="G315" i="29"/>
  <c r="G291" i="29"/>
  <c r="G266" i="29"/>
  <c r="G334" i="29"/>
  <c r="G104" i="29"/>
  <c r="G140" i="29"/>
  <c r="G156" i="29"/>
  <c r="G64" i="29"/>
  <c r="G172" i="29"/>
  <c r="G307" i="29"/>
  <c r="G70" i="29"/>
  <c r="G327" i="29"/>
  <c r="G151" i="29"/>
  <c r="G316" i="29"/>
  <c r="G48" i="29"/>
  <c r="G177" i="29"/>
  <c r="G97" i="29"/>
  <c r="G122" i="29"/>
  <c r="G138" i="29"/>
  <c r="G218" i="29"/>
  <c r="G99" i="29"/>
  <c r="G153" i="29"/>
  <c r="G141" i="29"/>
  <c r="G50" i="29"/>
  <c r="G54" i="29"/>
  <c r="G158" i="29"/>
  <c r="G260" i="29"/>
  <c r="G335" i="29"/>
  <c r="G139" i="29"/>
  <c r="G301" i="29"/>
  <c r="G267" i="29"/>
  <c r="G252" i="29"/>
  <c r="G264" i="29"/>
  <c r="G194" i="29"/>
  <c r="G254" i="29"/>
  <c r="G261" i="29"/>
  <c r="G198" i="29"/>
  <c r="G241" i="29"/>
  <c r="G259" i="29"/>
  <c r="G243" i="29"/>
  <c r="G310" i="29"/>
  <c r="G155" i="29"/>
  <c r="G246" i="29"/>
  <c r="G272" i="29"/>
  <c r="G170" i="29"/>
  <c r="G248" i="29"/>
  <c r="G240" i="29"/>
  <c r="G270" i="29"/>
  <c r="G157" i="29"/>
  <c r="G253" i="29"/>
  <c r="G278" i="29"/>
  <c r="G295" i="29"/>
  <c r="G299" i="29"/>
  <c r="G249" i="29"/>
  <c r="G242" i="29"/>
  <c r="G277" i="29"/>
  <c r="G247" i="29"/>
  <c r="G265" i="29"/>
  <c r="G276" i="29"/>
  <c r="G273" i="29"/>
  <c r="G255" i="29"/>
  <c r="G279" i="29"/>
  <c r="G152" i="29"/>
  <c r="G111" i="29"/>
  <c r="G56" i="29"/>
  <c r="G42" i="29"/>
  <c r="G46" i="29"/>
  <c r="G125" i="29"/>
  <c r="G200" i="29"/>
  <c r="G323" i="29"/>
  <c r="BX17" i="16"/>
  <c r="W12" i="54"/>
  <c r="AU3" i="54"/>
  <c r="AW3" i="54" s="1"/>
  <c r="W9" i="54"/>
  <c r="E24" i="29"/>
  <c r="N24" i="29"/>
  <c r="D24" i="29" s="1"/>
  <c r="F128" i="29"/>
  <c r="L129" i="29"/>
  <c r="D129" i="29" s="1"/>
  <c r="B128" i="29"/>
  <c r="G128" i="29" s="1"/>
  <c r="L131" i="29"/>
  <c r="BZ33" i="16"/>
  <c r="K275" i="29"/>
  <c r="K270" i="29"/>
  <c r="C269" i="29"/>
  <c r="N269" i="29" s="1"/>
  <c r="N270" i="29" s="1"/>
  <c r="N271" i="29" s="1"/>
  <c r="G20" i="29"/>
  <c r="AD5" i="55"/>
  <c r="AC4" i="55"/>
  <c r="BY30" i="16"/>
  <c r="G286" i="29"/>
  <c r="G23" i="29"/>
  <c r="B46" i="20"/>
  <c r="B30" i="20"/>
  <c r="G202" i="29"/>
  <c r="G96" i="29"/>
  <c r="AL47" i="66"/>
  <c r="K33" i="29"/>
  <c r="L32" i="29"/>
  <c r="L33" i="29" s="1"/>
  <c r="L34" i="29" s="1"/>
  <c r="A32" i="29"/>
  <c r="G47" i="29"/>
  <c r="E47" i="20"/>
  <c r="F98" i="55"/>
  <c r="AC162" i="7"/>
  <c r="E71" i="28"/>
  <c r="F71" i="28"/>
  <c r="B71" i="28"/>
  <c r="AS72" i="28"/>
  <c r="H72" i="28" s="1"/>
  <c r="D71" i="28"/>
  <c r="B31" i="28"/>
  <c r="C31" i="28"/>
  <c r="AU31" i="28" s="1"/>
  <c r="J31" i="28" s="1"/>
  <c r="D31" i="28"/>
  <c r="AR33" i="28"/>
  <c r="AS32" i="28"/>
  <c r="AS33" i="28" s="1"/>
  <c r="AS34" i="28" s="1"/>
  <c r="A32" i="28"/>
  <c r="C118" i="28"/>
  <c r="AU118" i="28" s="1"/>
  <c r="G71" i="28"/>
  <c r="G31" i="28"/>
  <c r="G51" i="28"/>
  <c r="E51" i="28"/>
  <c r="AS52" i="28"/>
  <c r="H52" i="28" s="1"/>
  <c r="F51" i="28"/>
  <c r="D51" i="28"/>
  <c r="B51" i="28"/>
  <c r="K37" i="7"/>
  <c r="AV16" i="28"/>
  <c r="J208" i="28"/>
  <c r="H253" i="28"/>
  <c r="C119" i="28"/>
  <c r="AR120" i="28"/>
  <c r="H235" i="28"/>
  <c r="H222" i="28"/>
  <c r="AR55" i="28"/>
  <c r="C54" i="28"/>
  <c r="AU54" i="28" s="1"/>
  <c r="H231" i="28"/>
  <c r="AR77" i="28"/>
  <c r="C76" i="28"/>
  <c r="AU76" i="28" s="1"/>
  <c r="H254" i="28"/>
  <c r="C95" i="28"/>
  <c r="AU95" i="28" s="1"/>
  <c r="AR96" i="28"/>
  <c r="D237" i="28"/>
  <c r="B237" i="28"/>
  <c r="AS244" i="28"/>
  <c r="F237" i="28"/>
  <c r="H237" i="28"/>
  <c r="D242" i="28"/>
  <c r="F242" i="28"/>
  <c r="B242" i="28"/>
  <c r="H242" i="28"/>
  <c r="E242" i="28"/>
  <c r="G242" i="28"/>
  <c r="H239" i="28"/>
  <c r="H233" i="28"/>
  <c r="E240" i="28"/>
  <c r="D240" i="28"/>
  <c r="H240" i="28"/>
  <c r="F240" i="28"/>
  <c r="AS247" i="28"/>
  <c r="B240" i="28"/>
  <c r="G240" i="28" s="1"/>
  <c r="C209" i="28"/>
  <c r="AR210" i="28"/>
  <c r="H203" i="28"/>
  <c r="H47" i="28"/>
  <c r="H207" i="28"/>
  <c r="H205" i="28"/>
  <c r="H204" i="28"/>
  <c r="H88" i="28"/>
  <c r="H31" i="72" s="1"/>
  <c r="H190" i="28"/>
  <c r="H298" i="28"/>
  <c r="H200" i="28"/>
  <c r="H49" i="28"/>
  <c r="H10" i="72" s="1"/>
  <c r="H191" i="28"/>
  <c r="H266" i="28"/>
  <c r="H250" i="28"/>
  <c r="H193" i="28"/>
  <c r="H86" i="28"/>
  <c r="H87" i="28"/>
  <c r="H30" i="72" s="1"/>
  <c r="H194" i="28"/>
  <c r="H202" i="28"/>
  <c r="H89" i="28"/>
  <c r="H197" i="28"/>
  <c r="H150" i="28"/>
  <c r="H211" i="28"/>
  <c r="H68" i="28"/>
  <c r="H192" i="28"/>
  <c r="H90" i="28"/>
  <c r="H282" i="28"/>
  <c r="H210" i="28"/>
  <c r="I9" i="28"/>
  <c r="I311" i="28" s="1"/>
  <c r="H67" i="28"/>
  <c r="H214" i="28"/>
  <c r="H107" i="28"/>
  <c r="H130" i="28"/>
  <c r="H195" i="28"/>
  <c r="H219" i="28"/>
  <c r="H212" i="28"/>
  <c r="H208" i="28"/>
  <c r="H216" i="28"/>
  <c r="H50" i="28"/>
  <c r="H201" i="28"/>
  <c r="H48" i="28"/>
  <c r="H9" i="72" s="1"/>
  <c r="H170" i="28"/>
  <c r="H69" i="28"/>
  <c r="H108" i="28"/>
  <c r="H221" i="28"/>
  <c r="H251" i="28"/>
  <c r="H27" i="28"/>
  <c r="H29" i="28"/>
  <c r="H225" i="28"/>
  <c r="H209" i="28"/>
  <c r="H217" i="28"/>
  <c r="H26" i="28"/>
  <c r="H218" i="28"/>
  <c r="H31" i="28"/>
  <c r="H215" i="28"/>
  <c r="H224" i="28"/>
  <c r="H28" i="28"/>
  <c r="H228" i="28"/>
  <c r="H51" i="28"/>
  <c r="H226" i="28"/>
  <c r="H232" i="28"/>
  <c r="H252" i="28"/>
  <c r="H109" i="28"/>
  <c r="H71" i="28"/>
  <c r="H223" i="28"/>
  <c r="H70" i="28"/>
  <c r="H230" i="28"/>
  <c r="AS245" i="28"/>
  <c r="D238" i="28"/>
  <c r="H238" i="28"/>
  <c r="B238" i="28"/>
  <c r="G238" i="28" s="1"/>
  <c r="E238" i="28"/>
  <c r="F238" i="28"/>
  <c r="D246" i="28"/>
  <c r="F246" i="28"/>
  <c r="H246" i="28"/>
  <c r="B246" i="28"/>
  <c r="G246" i="28" s="1"/>
  <c r="E246" i="28"/>
  <c r="G229" i="28"/>
  <c r="B229" i="28"/>
  <c r="AS236" i="28"/>
  <c r="D229" i="28"/>
  <c r="F229" i="28"/>
  <c r="H229" i="28"/>
  <c r="E229" i="28"/>
  <c r="E17" i="9"/>
  <c r="C18" i="9"/>
  <c r="B18" i="9"/>
  <c r="Y157" i="7"/>
  <c r="Z153" i="7"/>
  <c r="J73" i="40"/>
  <c r="G17" i="9"/>
  <c r="H17" i="9"/>
  <c r="D17" i="9"/>
  <c r="K18" i="10"/>
  <c r="C17" i="10"/>
  <c r="B17" i="10" s="1"/>
  <c r="G73" i="40"/>
  <c r="I17" i="9"/>
  <c r="AA165" i="7"/>
  <c r="Z173" i="7"/>
  <c r="I73" i="40"/>
  <c r="A19" i="9"/>
  <c r="AR20" i="9"/>
  <c r="AS20" i="9" s="1"/>
  <c r="F58" i="6"/>
  <c r="F76" i="6" s="1"/>
  <c r="G96" i="6"/>
  <c r="Y173" i="7"/>
  <c r="C98" i="55"/>
  <c r="G93" i="55"/>
  <c r="N148" i="29"/>
  <c r="D148" i="29" s="1"/>
  <c r="E148" i="29"/>
  <c r="E258" i="26"/>
  <c r="H72" i="16"/>
  <c r="H73" i="16"/>
  <c r="K315" i="29"/>
  <c r="C314" i="29"/>
  <c r="E314" i="29" s="1"/>
  <c r="F255" i="26"/>
  <c r="I73" i="21" s="1"/>
  <c r="N149" i="29"/>
  <c r="D149" i="29" s="1"/>
  <c r="E149" i="29"/>
  <c r="H78" i="16"/>
  <c r="H66" i="16"/>
  <c r="J258" i="26"/>
  <c r="H64" i="16"/>
  <c r="G258" i="26"/>
  <c r="C291" i="29"/>
  <c r="K292" i="29"/>
  <c r="C256" i="28"/>
  <c r="AU256" i="28" s="1"/>
  <c r="AU10" i="16"/>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L62" i="16"/>
  <c r="K302" i="29"/>
  <c r="C300" i="29"/>
  <c r="E300" i="29" s="1"/>
  <c r="K301" i="29"/>
  <c r="C301" i="29" s="1"/>
  <c r="E301" i="29" s="1"/>
  <c r="F290" i="29"/>
  <c r="B290" i="29"/>
  <c r="G290" i="29" s="1"/>
  <c r="E290" i="29"/>
  <c r="H71" i="16"/>
  <c r="H63" i="16"/>
  <c r="H67" i="16"/>
  <c r="N151" i="29"/>
  <c r="D151" i="29" s="1"/>
  <c r="E151" i="29"/>
  <c r="D258" i="26"/>
  <c r="I256" i="26"/>
  <c r="H70" i="16"/>
  <c r="H69" i="16"/>
  <c r="E154" i="29"/>
  <c r="N154" i="29"/>
  <c r="D154" i="29" s="1"/>
  <c r="F256" i="26"/>
  <c r="AP10" i="16"/>
  <c r="H75" i="16"/>
  <c r="H74" i="16"/>
  <c r="H77" i="16"/>
  <c r="K329" i="29"/>
  <c r="N150" i="29"/>
  <c r="D150" i="29" s="1"/>
  <c r="E150" i="29"/>
  <c r="E156" i="29"/>
  <c r="N156" i="29"/>
  <c r="D156" i="29" s="1"/>
  <c r="AV10" i="16"/>
  <c r="H79" i="55"/>
  <c r="I79" i="55" s="1"/>
  <c r="I78" i="55"/>
  <c r="F258" i="26"/>
  <c r="H65" i="16"/>
  <c r="E153" i="29"/>
  <c r="N153" i="29"/>
  <c r="D153" i="29" s="1"/>
  <c r="H68" i="16"/>
  <c r="H79" i="16"/>
  <c r="AS10" i="16"/>
  <c r="H76" i="16"/>
  <c r="J257" i="26"/>
  <c r="N155" i="29"/>
  <c r="D155" i="29" s="1"/>
  <c r="E155" i="29"/>
  <c r="N152" i="29"/>
  <c r="D152" i="29" s="1"/>
  <c r="E152" i="29"/>
  <c r="E157" i="29"/>
  <c r="N157" i="29"/>
  <c r="H62" i="16"/>
  <c r="AT11" i="16"/>
  <c r="AK18" i="16"/>
  <c r="AL18" i="16"/>
  <c r="AL32" i="16" s="1"/>
  <c r="AJ18" i="16"/>
  <c r="AC172" i="7"/>
  <c r="I11" i="37"/>
  <c r="C11" i="37" s="1"/>
  <c r="A11" i="37" s="1"/>
  <c r="D11" i="37" s="1"/>
  <c r="AS92" i="28" l="1"/>
  <c r="H92" i="28" s="1"/>
  <c r="H91" i="28"/>
  <c r="D91" i="28"/>
  <c r="B91" i="28"/>
  <c r="F91" i="28"/>
  <c r="E91" i="28"/>
  <c r="H76" i="6"/>
  <c r="H69" i="6"/>
  <c r="M13" i="9"/>
  <c r="AG18" i="9"/>
  <c r="U18" i="9"/>
  <c r="AF18" i="9"/>
  <c r="T18" i="9"/>
  <c r="AD18" i="9"/>
  <c r="AM18" i="9"/>
  <c r="AA18" i="9"/>
  <c r="O18" i="9"/>
  <c r="AJ18" i="9"/>
  <c r="Q18" i="9"/>
  <c r="AE18" i="9"/>
  <c r="AC18" i="9"/>
  <c r="L18" i="9"/>
  <c r="Z18" i="9"/>
  <c r="V18" i="9"/>
  <c r="K18" i="9"/>
  <c r="Y18" i="9"/>
  <c r="W18" i="9"/>
  <c r="AL18" i="9"/>
  <c r="AO18" i="9"/>
  <c r="X18" i="9"/>
  <c r="AH18" i="9"/>
  <c r="S18" i="9"/>
  <c r="AI18" i="9"/>
  <c r="P18" i="9"/>
  <c r="N18" i="9"/>
  <c r="AK18" i="9"/>
  <c r="K55" i="21"/>
  <c r="K56" i="21" s="1"/>
  <c r="L51" i="21"/>
  <c r="L55" i="21" s="1"/>
  <c r="L56" i="21" s="1"/>
  <c r="N338" i="29"/>
  <c r="D337" i="29"/>
  <c r="E34" i="24"/>
  <c r="C33" i="23"/>
  <c r="D33" i="23" s="1"/>
  <c r="F34" i="24"/>
  <c r="C327" i="29"/>
  <c r="H111" i="28"/>
  <c r="AS256" i="28"/>
  <c r="AS257" i="28" s="1"/>
  <c r="B257" i="28" s="1"/>
  <c r="G255" i="28"/>
  <c r="C28" i="23"/>
  <c r="D28" i="23" s="1"/>
  <c r="J200" i="28"/>
  <c r="AU202" i="28"/>
  <c r="N297" i="29"/>
  <c r="N239" i="29"/>
  <c r="N257" i="29"/>
  <c r="N281" i="29"/>
  <c r="N251" i="29"/>
  <c r="N245" i="29"/>
  <c r="N312" i="29"/>
  <c r="J207" i="28"/>
  <c r="AU209" i="28"/>
  <c r="N263" i="29"/>
  <c r="D255" i="28"/>
  <c r="H255" i="28"/>
  <c r="E255" i="28"/>
  <c r="F255" i="28"/>
  <c r="B255" i="28"/>
  <c r="E48" i="76"/>
  <c r="E50" i="76" s="1"/>
  <c r="E49" i="76" s="1"/>
  <c r="F45" i="76"/>
  <c r="H44" i="76"/>
  <c r="G52" i="76"/>
  <c r="G54" i="76" s="1"/>
  <c r="G53" i="76" s="1"/>
  <c r="R85" i="26"/>
  <c r="AC14" i="21"/>
  <c r="AD14" i="21" s="1"/>
  <c r="B49" i="20"/>
  <c r="B31" i="20"/>
  <c r="B111" i="28"/>
  <c r="H169" i="29"/>
  <c r="H89" i="29"/>
  <c r="D111" i="28"/>
  <c r="E111" i="28"/>
  <c r="J26" i="19"/>
  <c r="K27" i="19"/>
  <c r="AS112" i="28"/>
  <c r="F111" i="28"/>
  <c r="I111" i="28"/>
  <c r="Z26" i="21"/>
  <c r="AA24" i="21" s="1"/>
  <c r="D160" i="29"/>
  <c r="L162" i="29"/>
  <c r="H90" i="29"/>
  <c r="H91" i="29"/>
  <c r="C76" i="29"/>
  <c r="K77" i="29"/>
  <c r="N75" i="29"/>
  <c r="D75" i="29" s="1"/>
  <c r="E75" i="29"/>
  <c r="H84" i="29"/>
  <c r="H93" i="29"/>
  <c r="H79" i="29"/>
  <c r="H73" i="29"/>
  <c r="H86" i="29"/>
  <c r="H85" i="29"/>
  <c r="H74" i="29"/>
  <c r="H75" i="29"/>
  <c r="H76" i="29"/>
  <c r="H87" i="29"/>
  <c r="H88" i="29"/>
  <c r="H77" i="29"/>
  <c r="H78" i="29"/>
  <c r="H94" i="29"/>
  <c r="H95" i="29"/>
  <c r="H72" i="29"/>
  <c r="H290" i="29"/>
  <c r="G59" i="20"/>
  <c r="G47" i="20"/>
  <c r="G61" i="20"/>
  <c r="G56" i="20"/>
  <c r="G57" i="20"/>
  <c r="G55" i="20"/>
  <c r="G58" i="20"/>
  <c r="G54" i="20"/>
  <c r="G60" i="20"/>
  <c r="AT36" i="45"/>
  <c r="G51" i="20"/>
  <c r="G46" i="20"/>
  <c r="G52" i="20"/>
  <c r="G49" i="20"/>
  <c r="BP27" i="16"/>
  <c r="E143" i="29"/>
  <c r="B143" i="29"/>
  <c r="G143" i="29" s="1"/>
  <c r="L144" i="29"/>
  <c r="H144" i="29" s="1"/>
  <c r="F143" i="29"/>
  <c r="AB28" i="55"/>
  <c r="AA27" i="55"/>
  <c r="K15" i="66"/>
  <c r="L14" i="66"/>
  <c r="S14" i="66"/>
  <c r="CN27" i="16"/>
  <c r="CJ29" i="16"/>
  <c r="CO20" i="16"/>
  <c r="H128" i="29"/>
  <c r="P15" i="65"/>
  <c r="AB15" i="65"/>
  <c r="Q15" i="65"/>
  <c r="T15" i="65"/>
  <c r="N15" i="65"/>
  <c r="AD15" i="65"/>
  <c r="AM15" i="65"/>
  <c r="X15" i="65"/>
  <c r="W15" i="65"/>
  <c r="Z15" i="65"/>
  <c r="L15" i="65"/>
  <c r="AH15" i="65"/>
  <c r="AF15" i="65"/>
  <c r="K15" i="65"/>
  <c r="U15" i="65"/>
  <c r="Y15" i="65"/>
  <c r="AE15" i="65"/>
  <c r="M15" i="65"/>
  <c r="AG15" i="65"/>
  <c r="S15" i="65"/>
  <c r="R15" i="65"/>
  <c r="AC15" i="65"/>
  <c r="O15" i="65"/>
  <c r="J15" i="65"/>
  <c r="V15" i="65"/>
  <c r="B39" i="20"/>
  <c r="C30" i="20" s="1"/>
  <c r="CN25" i="16"/>
  <c r="D106" i="29"/>
  <c r="C16" i="65"/>
  <c r="B16" i="65"/>
  <c r="F16" i="65" s="1"/>
  <c r="A17" i="65"/>
  <c r="AR18" i="65"/>
  <c r="AS18" i="65" s="1"/>
  <c r="AA15" i="65"/>
  <c r="D15" i="65"/>
  <c r="G15" i="65"/>
  <c r="F15" i="65"/>
  <c r="AL7" i="28"/>
  <c r="I75" i="21"/>
  <c r="I74" i="21"/>
  <c r="CO27" i="16"/>
  <c r="BP25" i="16"/>
  <c r="BY4" i="16"/>
  <c r="BX46" i="16"/>
  <c r="CN34" i="16" s="1"/>
  <c r="CM38" i="16"/>
  <c r="CM40" i="16"/>
  <c r="CM39" i="16"/>
  <c r="CM44" i="16"/>
  <c r="CM37" i="16"/>
  <c r="CM36" i="16"/>
  <c r="G17" i="10"/>
  <c r="B35" i="20"/>
  <c r="B54" i="20"/>
  <c r="L70" i="16"/>
  <c r="CN29" i="16"/>
  <c r="CO25" i="16"/>
  <c r="C23" i="20"/>
  <c r="L67" i="29"/>
  <c r="H67" i="29" s="1"/>
  <c r="B66" i="29"/>
  <c r="G66" i="29" s="1"/>
  <c r="E66" i="29"/>
  <c r="F66" i="29"/>
  <c r="D66" i="29"/>
  <c r="CO29" i="16"/>
  <c r="D58" i="29"/>
  <c r="B58" i="29"/>
  <c r="G58" i="29" s="1"/>
  <c r="F58" i="29"/>
  <c r="E58" i="29"/>
  <c r="L59" i="29"/>
  <c r="B103" i="29"/>
  <c r="G103" i="29" s="1"/>
  <c r="F103" i="29"/>
  <c r="E103" i="29"/>
  <c r="CI29" i="16"/>
  <c r="BP29" i="16"/>
  <c r="CL29" i="16"/>
  <c r="F106" i="29"/>
  <c r="B106" i="29"/>
  <c r="G106" i="29" s="1"/>
  <c r="L107" i="29"/>
  <c r="H107" i="29" s="1"/>
  <c r="E106" i="29"/>
  <c r="Y21" i="55"/>
  <c r="Z22" i="55"/>
  <c r="C19" i="20"/>
  <c r="K108" i="29"/>
  <c r="C107" i="29"/>
  <c r="N107" i="29" s="1"/>
  <c r="F4922" i="66"/>
  <c r="F4921" i="66" s="1"/>
  <c r="F4920" i="66" s="1"/>
  <c r="F4919" i="66" s="1"/>
  <c r="F4918" i="66" s="1"/>
  <c r="F4917" i="66" s="1"/>
  <c r="F4916" i="66" s="1"/>
  <c r="F4915" i="66" s="1"/>
  <c r="F4914" i="66" s="1"/>
  <c r="F4913" i="66" s="1"/>
  <c r="F4912" i="66" s="1"/>
  <c r="F4911" i="66" s="1"/>
  <c r="F4910" i="66" s="1"/>
  <c r="F4909" i="66" s="1"/>
  <c r="F4908" i="66" s="1"/>
  <c r="F4907" i="66" s="1"/>
  <c r="F4906" i="66" s="1"/>
  <c r="F4905" i="66" s="1"/>
  <c r="F4904" i="66" s="1"/>
  <c r="F4903" i="66" s="1"/>
  <c r="F4902" i="66" s="1"/>
  <c r="F4901" i="66" s="1"/>
  <c r="F4900" i="66" s="1"/>
  <c r="F4899" i="66" s="1"/>
  <c r="F4898" i="66" s="1"/>
  <c r="F4897" i="66" s="1"/>
  <c r="F4896" i="66" s="1"/>
  <c r="F4895" i="66" s="1"/>
  <c r="F4894" i="66" s="1"/>
  <c r="F4893" i="66" s="1"/>
  <c r="F4892" i="66" s="1"/>
  <c r="F4891" i="66" s="1"/>
  <c r="F4890" i="66" s="1"/>
  <c r="F4889" i="66" s="1"/>
  <c r="F4888" i="66" s="1"/>
  <c r="F4887" i="66" s="1"/>
  <c r="F4886" i="66" s="1"/>
  <c r="F4885" i="66" s="1"/>
  <c r="F4884" i="66" s="1"/>
  <c r="F4883" i="66" s="1"/>
  <c r="F4882" i="66" s="1"/>
  <c r="F4881" i="66" s="1"/>
  <c r="F4880" i="66" s="1"/>
  <c r="F4879" i="66" s="1"/>
  <c r="F4878" i="66" s="1"/>
  <c r="F4877" i="66" s="1"/>
  <c r="F4876" i="66" s="1"/>
  <c r="F4875" i="66" s="1"/>
  <c r="F4874" i="66" s="1"/>
  <c r="F4873" i="66" s="1"/>
  <c r="F4872" i="66" s="1"/>
  <c r="F4871" i="66" s="1"/>
  <c r="F4870" i="66" s="1"/>
  <c r="F4869" i="66" s="1"/>
  <c r="F4868" i="66" s="1"/>
  <c r="F4867" i="66" s="1"/>
  <c r="F4866" i="66" s="1"/>
  <c r="F4865" i="66" s="1"/>
  <c r="F4864" i="66" s="1"/>
  <c r="F4863" i="66" s="1"/>
  <c r="F4862" i="66" s="1"/>
  <c r="F4861" i="66" s="1"/>
  <c r="F4860" i="66" s="1"/>
  <c r="F4859" i="66" s="1"/>
  <c r="F4858" i="66" s="1"/>
  <c r="F4857" i="66" s="1"/>
  <c r="F4856" i="66" s="1"/>
  <c r="F4855" i="66" s="1"/>
  <c r="F4854" i="66" s="1"/>
  <c r="F4853" i="66" s="1"/>
  <c r="F4852" i="66" s="1"/>
  <c r="F4851" i="66" s="1"/>
  <c r="F4850" i="66" s="1"/>
  <c r="F4849" i="66" s="1"/>
  <c r="F4848" i="66" s="1"/>
  <c r="F4847" i="66" s="1"/>
  <c r="F4846" i="66" s="1"/>
  <c r="F4845" i="66" s="1"/>
  <c r="F4844" i="66" s="1"/>
  <c r="F4843" i="66" s="1"/>
  <c r="F4842" i="66" s="1"/>
  <c r="F4841" i="66" s="1"/>
  <c r="F4840" i="66" s="1"/>
  <c r="F4839" i="66" s="1"/>
  <c r="F4838" i="66" s="1"/>
  <c r="F4837" i="66" s="1"/>
  <c r="F4836" i="66" s="1"/>
  <c r="F4835" i="66" s="1"/>
  <c r="F4834" i="66" s="1"/>
  <c r="F4833" i="66" s="1"/>
  <c r="F4832" i="66" s="1"/>
  <c r="F4831" i="66" s="1"/>
  <c r="F4830" i="66" s="1"/>
  <c r="F4829" i="66" s="1"/>
  <c r="F4828" i="66" s="1"/>
  <c r="F4827" i="66" s="1"/>
  <c r="F4826" i="66" s="1"/>
  <c r="F4825" i="66" s="1"/>
  <c r="F4824" i="66" s="1"/>
  <c r="F4823" i="66" s="1"/>
  <c r="F4822" i="66" s="1"/>
  <c r="F4821" i="66" s="1"/>
  <c r="F4820" i="66" s="1"/>
  <c r="F4819" i="66" s="1"/>
  <c r="F4818" i="66" s="1"/>
  <c r="F4817" i="66" s="1"/>
  <c r="F4816" i="66" s="1"/>
  <c r="F4815" i="66" s="1"/>
  <c r="F4814" i="66" s="1"/>
  <c r="F4813" i="66" s="1"/>
  <c r="F4812" i="66" s="1"/>
  <c r="F4811" i="66" s="1"/>
  <c r="F4810" i="66" s="1"/>
  <c r="F4809" i="66" s="1"/>
  <c r="F4808" i="66" s="1"/>
  <c r="F4807" i="66" s="1"/>
  <c r="F4806" i="66" s="1"/>
  <c r="F4805" i="66" s="1"/>
  <c r="F4804" i="66" s="1"/>
  <c r="F4803" i="66" s="1"/>
  <c r="F4802" i="66" s="1"/>
  <c r="F4801" i="66" s="1"/>
  <c r="F4800" i="66" s="1"/>
  <c r="F4799" i="66" s="1"/>
  <c r="F4798" i="66" s="1"/>
  <c r="F4797" i="66" s="1"/>
  <c r="F4796" i="66" s="1"/>
  <c r="F4795" i="66" s="1"/>
  <c r="F4794" i="66" s="1"/>
  <c r="F4793" i="66" s="1"/>
  <c r="F4792" i="66" s="1"/>
  <c r="F4791" i="66" s="1"/>
  <c r="F4790" i="66" s="1"/>
  <c r="F4789" i="66" s="1"/>
  <c r="F4788" i="66" s="1"/>
  <c r="F4787" i="66" s="1"/>
  <c r="F4786" i="66" s="1"/>
  <c r="F4785" i="66" s="1"/>
  <c r="F4784" i="66" s="1"/>
  <c r="F4783" i="66" s="1"/>
  <c r="F4782" i="66" s="1"/>
  <c r="F4781" i="66" s="1"/>
  <c r="F4780" i="66" s="1"/>
  <c r="F4779" i="66" s="1"/>
  <c r="F4778" i="66" s="1"/>
  <c r="F4777" i="66" s="1"/>
  <c r="F4776" i="66" s="1"/>
  <c r="F4775" i="66" s="1"/>
  <c r="F4774" i="66" s="1"/>
  <c r="F4773" i="66" s="1"/>
  <c r="F4772" i="66" s="1"/>
  <c r="F4771" i="66" s="1"/>
  <c r="F4770" i="66" s="1"/>
  <c r="F4769" i="66" s="1"/>
  <c r="F4768" i="66" s="1"/>
  <c r="F4767" i="66" s="1"/>
  <c r="F4766" i="66" s="1"/>
  <c r="F4765" i="66" s="1"/>
  <c r="F4764" i="66" s="1"/>
  <c r="F4763" i="66" s="1"/>
  <c r="F4762" i="66" s="1"/>
  <c r="F4761" i="66" s="1"/>
  <c r="F4760" i="66" s="1"/>
  <c r="F4759" i="66" s="1"/>
  <c r="F4758" i="66" s="1"/>
  <c r="F4757" i="66" s="1"/>
  <c r="F4756" i="66" s="1"/>
  <c r="F4755" i="66" s="1"/>
  <c r="F4754" i="66" s="1"/>
  <c r="F4753" i="66" s="1"/>
  <c r="F4752" i="66" s="1"/>
  <c r="F4751" i="66" s="1"/>
  <c r="F4750" i="66" s="1"/>
  <c r="F4749" i="66" s="1"/>
  <c r="F4748" i="66" s="1"/>
  <c r="F4747" i="66" s="1"/>
  <c r="F4746" i="66" s="1"/>
  <c r="F4745" i="66" s="1"/>
  <c r="F4744" i="66" s="1"/>
  <c r="F4743" i="66" s="1"/>
  <c r="F4742" i="66" s="1"/>
  <c r="F4741" i="66" s="1"/>
  <c r="F4740" i="66" s="1"/>
  <c r="F4739" i="66" s="1"/>
  <c r="F4738" i="66" s="1"/>
  <c r="F4737" i="66" s="1"/>
  <c r="F4736" i="66" s="1"/>
  <c r="F4735" i="66" s="1"/>
  <c r="F4734" i="66" s="1"/>
  <c r="F4733" i="66" s="1"/>
  <c r="F4732" i="66" s="1"/>
  <c r="F4731" i="66" s="1"/>
  <c r="F4730" i="66" s="1"/>
  <c r="F4729" i="66" s="1"/>
  <c r="F4728" i="66" s="1"/>
  <c r="F4727" i="66" s="1"/>
  <c r="F4726" i="66" s="1"/>
  <c r="F4725" i="66" s="1"/>
  <c r="F4724" i="66" s="1"/>
  <c r="F4723" i="66" s="1"/>
  <c r="F4722" i="66" s="1"/>
  <c r="F4721" i="66" s="1"/>
  <c r="F4720" i="66" s="1"/>
  <c r="F4719" i="66" s="1"/>
  <c r="F4718" i="66" s="1"/>
  <c r="F4717" i="66" s="1"/>
  <c r="F4716" i="66" s="1"/>
  <c r="F4715" i="66" s="1"/>
  <c r="F4714" i="66" s="1"/>
  <c r="F4713" i="66" s="1"/>
  <c r="F4712" i="66" s="1"/>
  <c r="F4711" i="66" s="1"/>
  <c r="F4710" i="66" s="1"/>
  <c r="F4709" i="66" s="1"/>
  <c r="F4708" i="66" s="1"/>
  <c r="F4707" i="66" s="1"/>
  <c r="F4706" i="66" s="1"/>
  <c r="F4705" i="66" s="1"/>
  <c r="F4704" i="66" s="1"/>
  <c r="F4703" i="66" s="1"/>
  <c r="F4702" i="66" s="1"/>
  <c r="F4701" i="66" s="1"/>
  <c r="F4700" i="66" s="1"/>
  <c r="F4699" i="66" s="1"/>
  <c r="F4698" i="66" s="1"/>
  <c r="F4697" i="66" s="1"/>
  <c r="F4696" i="66" s="1"/>
  <c r="F4695" i="66" s="1"/>
  <c r="F4694" i="66" s="1"/>
  <c r="F4693" i="66" s="1"/>
  <c r="F4692" i="66" s="1"/>
  <c r="F4691" i="66" s="1"/>
  <c r="F4690" i="66" s="1"/>
  <c r="F4689" i="66" s="1"/>
  <c r="F4688" i="66" s="1"/>
  <c r="F4687" i="66" s="1"/>
  <c r="F4686" i="66" s="1"/>
  <c r="F4685" i="66" s="1"/>
  <c r="F4684" i="66" s="1"/>
  <c r="F4683" i="66" s="1"/>
  <c r="F4682" i="66" s="1"/>
  <c r="F4681" i="66" s="1"/>
  <c r="F4680" i="66" s="1"/>
  <c r="F4679" i="66" s="1"/>
  <c r="F4678" i="66" s="1"/>
  <c r="F4677" i="66" s="1"/>
  <c r="F4676" i="66" s="1"/>
  <c r="F4675" i="66" s="1"/>
  <c r="M13" i="66"/>
  <c r="E173" i="29"/>
  <c r="N173" i="29"/>
  <c r="D173" i="29" s="1"/>
  <c r="K175" i="29"/>
  <c r="C174" i="29"/>
  <c r="B160" i="29"/>
  <c r="G160" i="29" s="1"/>
  <c r="L161" i="29"/>
  <c r="H161" i="29" s="1"/>
  <c r="E160" i="29"/>
  <c r="F160" i="29"/>
  <c r="CO15" i="16"/>
  <c r="CO19" i="16"/>
  <c r="CP4" i="16"/>
  <c r="CO43" i="16"/>
  <c r="CO44" i="16"/>
  <c r="CO35" i="16"/>
  <c r="CO34" i="16"/>
  <c r="CO11" i="16"/>
  <c r="CO39" i="16"/>
  <c r="CO16" i="16"/>
  <c r="CO18" i="16"/>
  <c r="CO7" i="16"/>
  <c r="CO22" i="16"/>
  <c r="CO24" i="16"/>
  <c r="CO12" i="16"/>
  <c r="CO42" i="16"/>
  <c r="CO28" i="16"/>
  <c r="CO38" i="16"/>
  <c r="CO37" i="16"/>
  <c r="CO32" i="16"/>
  <c r="CO36" i="16"/>
  <c r="CO23" i="16"/>
  <c r="CO14" i="16"/>
  <c r="CO40" i="16"/>
  <c r="E269" i="29"/>
  <c r="AE77" i="45"/>
  <c r="AF77" i="45" s="1"/>
  <c r="AG77" i="45" s="1"/>
  <c r="AH77" i="45" s="1"/>
  <c r="AI77" i="45" s="1"/>
  <c r="AJ77" i="45" s="1"/>
  <c r="AK77" i="45" s="1"/>
  <c r="AL77" i="45" s="1"/>
  <c r="AM77" i="45" s="1"/>
  <c r="AN77" i="45" s="1"/>
  <c r="AX77" i="45" s="1"/>
  <c r="AY77" i="45" s="1"/>
  <c r="AZ77" i="45" s="1"/>
  <c r="BA77" i="45" s="1"/>
  <c r="BB77" i="45" s="1"/>
  <c r="J69" i="45"/>
  <c r="K69" i="45" s="1"/>
  <c r="L69" i="45" s="1"/>
  <c r="M69" i="45" s="1"/>
  <c r="N69" i="45" s="1"/>
  <c r="AC21" i="21"/>
  <c r="AD21" i="21" s="1"/>
  <c r="AA21" i="21"/>
  <c r="B57" i="20"/>
  <c r="B37" i="20"/>
  <c r="B32" i="20"/>
  <c r="B51" i="20"/>
  <c r="AA15" i="21"/>
  <c r="D165" i="26" s="1"/>
  <c r="N165" i="26" s="1"/>
  <c r="H31" i="29"/>
  <c r="H203" i="29"/>
  <c r="BZ10" i="16"/>
  <c r="H114" i="29"/>
  <c r="K261" i="29"/>
  <c r="C261" i="29" s="1"/>
  <c r="C260" i="29"/>
  <c r="CH29" i="16"/>
  <c r="CM29" i="16"/>
  <c r="O27" i="66"/>
  <c r="J52" i="28"/>
  <c r="BY17" i="16"/>
  <c r="H59" i="29"/>
  <c r="BX8" i="16"/>
  <c r="BO33" i="16"/>
  <c r="BO32" i="16" s="1"/>
  <c r="BO31" i="16" s="1"/>
  <c r="BO30" i="16" s="1"/>
  <c r="BO29" i="16" s="1"/>
  <c r="BO28" i="16" s="1"/>
  <c r="BO27" i="16" s="1"/>
  <c r="CH48" i="16"/>
  <c r="CH34" i="16"/>
  <c r="CI34" i="16"/>
  <c r="CM34" i="16"/>
  <c r="CK34" i="16"/>
  <c r="CJ34" i="16"/>
  <c r="CL34" i="16"/>
  <c r="B115" i="29"/>
  <c r="G115" i="29" s="1"/>
  <c r="H115" i="29"/>
  <c r="E115" i="29"/>
  <c r="F115" i="29"/>
  <c r="L116" i="29"/>
  <c r="L117" i="29" s="1"/>
  <c r="L118" i="29" s="1"/>
  <c r="CK29" i="16"/>
  <c r="K34" i="29"/>
  <c r="A33" i="29"/>
  <c r="AL48" i="66"/>
  <c r="BX9" i="16"/>
  <c r="CA31" i="16"/>
  <c r="K137" i="29"/>
  <c r="K136" i="29"/>
  <c r="C136" i="29" s="1"/>
  <c r="N136" i="29" s="1"/>
  <c r="C135" i="29"/>
  <c r="N135" i="29" s="1"/>
  <c r="L67" i="16"/>
  <c r="CA33" i="16"/>
  <c r="L130" i="29"/>
  <c r="B129" i="29"/>
  <c r="G129" i="29" s="1"/>
  <c r="F129" i="29"/>
  <c r="H129" i="29"/>
  <c r="E129" i="29"/>
  <c r="X17" i="54"/>
  <c r="X18" i="54" s="1"/>
  <c r="X10" i="54"/>
  <c r="X20" i="54"/>
  <c r="L75" i="16"/>
  <c r="L73" i="16"/>
  <c r="L63" i="16"/>
  <c r="C32" i="29"/>
  <c r="N32" i="29" s="1"/>
  <c r="D32" i="29" s="1"/>
  <c r="B32" i="29"/>
  <c r="G32" i="29" s="1"/>
  <c r="H32" i="29"/>
  <c r="F32" i="29"/>
  <c r="E32" i="29"/>
  <c r="Z6" i="21"/>
  <c r="AA25" i="21"/>
  <c r="AA19" i="21"/>
  <c r="AA18" i="21"/>
  <c r="D167" i="26" s="1"/>
  <c r="N167" i="26" s="1"/>
  <c r="AA20" i="21"/>
  <c r="AA17" i="21"/>
  <c r="D166" i="26" s="1"/>
  <c r="N166" i="26" s="1"/>
  <c r="AA16" i="21"/>
  <c r="AA13" i="21"/>
  <c r="AA12" i="21"/>
  <c r="AA22" i="21"/>
  <c r="BZ30" i="16"/>
  <c r="K271" i="29"/>
  <c r="C270" i="29"/>
  <c r="B131" i="29"/>
  <c r="G131" i="29" s="1"/>
  <c r="F131" i="29"/>
  <c r="H131" i="29"/>
  <c r="D131" i="29"/>
  <c r="L132" i="29"/>
  <c r="E131" i="29"/>
  <c r="H142" i="29"/>
  <c r="H316" i="29"/>
  <c r="H148" i="29"/>
  <c r="H247" i="29"/>
  <c r="H277" i="29"/>
  <c r="H259" i="29"/>
  <c r="H282" i="29"/>
  <c r="H258" i="29"/>
  <c r="H151" i="29"/>
  <c r="H278" i="29"/>
  <c r="H308" i="29"/>
  <c r="H307" i="29"/>
  <c r="H315" i="29"/>
  <c r="H312" i="29"/>
  <c r="H175" i="29"/>
  <c r="H271" i="29"/>
  <c r="H309" i="29"/>
  <c r="H152" i="29"/>
  <c r="H281" i="29"/>
  <c r="H283" i="29"/>
  <c r="H242" i="29"/>
  <c r="H239" i="29"/>
  <c r="H99" i="29"/>
  <c r="H49" i="29"/>
  <c r="H111" i="29"/>
  <c r="H334" i="29"/>
  <c r="H273" i="29"/>
  <c r="H101" i="29"/>
  <c r="H294" i="29"/>
  <c r="H140" i="29"/>
  <c r="H141" i="29"/>
  <c r="H104" i="29"/>
  <c r="H66" i="29"/>
  <c r="H52" i="29"/>
  <c r="H98" i="29"/>
  <c r="H197" i="29"/>
  <c r="H263" i="29"/>
  <c r="H252" i="29"/>
  <c r="H264" i="29"/>
  <c r="I9" i="29"/>
  <c r="H70" i="29"/>
  <c r="H196" i="29"/>
  <c r="H176" i="29"/>
  <c r="H245" i="29"/>
  <c r="H97" i="29"/>
  <c r="H60" i="29"/>
  <c r="H253" i="29"/>
  <c r="H333" i="29"/>
  <c r="H46" i="29"/>
  <c r="H269" i="29"/>
  <c r="H251" i="29"/>
  <c r="H301" i="29"/>
  <c r="H123" i="29"/>
  <c r="H61" i="29"/>
  <c r="H299" i="29"/>
  <c r="H200" i="29"/>
  <c r="H267" i="29"/>
  <c r="H100" i="29"/>
  <c r="H102" i="29"/>
  <c r="H155" i="29"/>
  <c r="H55" i="29"/>
  <c r="H160" i="29"/>
  <c r="H180" i="29"/>
  <c r="H64" i="29"/>
  <c r="H285" i="29"/>
  <c r="H291" i="29"/>
  <c r="H153" i="29"/>
  <c r="H332" i="29"/>
  <c r="H137" i="29"/>
  <c r="H300" i="29"/>
  <c r="H328" i="29"/>
  <c r="H248" i="29"/>
  <c r="H45" i="29"/>
  <c r="H240" i="29"/>
  <c r="H177" i="29"/>
  <c r="H297" i="29"/>
  <c r="H260" i="29"/>
  <c r="H122" i="29"/>
  <c r="H121" i="29"/>
  <c r="H266" i="29"/>
  <c r="H298" i="29"/>
  <c r="H270" i="29"/>
  <c r="H124" i="29"/>
  <c r="H241" i="29"/>
  <c r="H246" i="29"/>
  <c r="H323" i="29"/>
  <c r="H139" i="29"/>
  <c r="H138" i="29"/>
  <c r="H198" i="29"/>
  <c r="H173" i="29"/>
  <c r="H71" i="29"/>
  <c r="H178" i="29"/>
  <c r="H174" i="29"/>
  <c r="H50" i="29"/>
  <c r="H63" i="29"/>
  <c r="H51" i="29"/>
  <c r="H158" i="29"/>
  <c r="H65" i="29"/>
  <c r="H53" i="29"/>
  <c r="H56" i="29"/>
  <c r="H159" i="29"/>
  <c r="H103" i="29"/>
  <c r="H156" i="29"/>
  <c r="H157" i="29"/>
  <c r="H275" i="29"/>
  <c r="H314" i="29"/>
  <c r="H322" i="29"/>
  <c r="H120" i="29"/>
  <c r="H193" i="29"/>
  <c r="H276" i="29"/>
  <c r="H265" i="29"/>
  <c r="H217" i="29"/>
  <c r="H292" i="29"/>
  <c r="H172" i="29"/>
  <c r="H284" i="29"/>
  <c r="H327" i="29"/>
  <c r="H48" i="29"/>
  <c r="H110" i="29"/>
  <c r="H272" i="29"/>
  <c r="H257" i="29"/>
  <c r="H199" i="29"/>
  <c r="H125" i="29"/>
  <c r="H254" i="29"/>
  <c r="H149" i="29"/>
  <c r="H313" i="29"/>
  <c r="H293" i="29"/>
  <c r="H243" i="29"/>
  <c r="H62" i="29"/>
  <c r="H150" i="29"/>
  <c r="H154" i="29"/>
  <c r="H179" i="29"/>
  <c r="H143" i="29"/>
  <c r="H42" i="29"/>
  <c r="H279" i="29"/>
  <c r="H170" i="29"/>
  <c r="H310" i="29"/>
  <c r="H218" i="29"/>
  <c r="H261" i="29"/>
  <c r="H295" i="29"/>
  <c r="H255" i="29"/>
  <c r="H194" i="29"/>
  <c r="H54" i="29"/>
  <c r="H335" i="29"/>
  <c r="H249" i="29"/>
  <c r="H112" i="29"/>
  <c r="H29" i="29"/>
  <c r="H26" i="29"/>
  <c r="H287" i="29"/>
  <c r="H21" i="29"/>
  <c r="H23" i="29"/>
  <c r="H20" i="29"/>
  <c r="H201" i="29"/>
  <c r="H47" i="29"/>
  <c r="H324" i="29"/>
  <c r="H43" i="29"/>
  <c r="H105" i="29"/>
  <c r="H28" i="29"/>
  <c r="H126" i="29"/>
  <c r="H286" i="29"/>
  <c r="H30" i="29"/>
  <c r="H57" i="29"/>
  <c r="H25" i="29"/>
  <c r="H22" i="29"/>
  <c r="H106" i="29"/>
  <c r="H127" i="29"/>
  <c r="H96" i="29"/>
  <c r="H24" i="29"/>
  <c r="H113" i="29"/>
  <c r="H288" i="29"/>
  <c r="H289" i="29"/>
  <c r="H27" i="29"/>
  <c r="H58" i="29"/>
  <c r="H202" i="29"/>
  <c r="H325" i="29"/>
  <c r="U42" i="22"/>
  <c r="CN20" i="16"/>
  <c r="I53" i="20"/>
  <c r="I51" i="20"/>
  <c r="I58" i="20"/>
  <c r="I46" i="20"/>
  <c r="I49" i="20"/>
  <c r="I52" i="20"/>
  <c r="I57" i="20"/>
  <c r="I61" i="20"/>
  <c r="I59" i="20"/>
  <c r="I55" i="20"/>
  <c r="I47" i="20"/>
  <c r="I54" i="20"/>
  <c r="I56" i="20"/>
  <c r="I60" i="20"/>
  <c r="BW41" i="16"/>
  <c r="BB32" i="63"/>
  <c r="F32" i="63" s="1"/>
  <c r="D31" i="63"/>
  <c r="BA32" i="63"/>
  <c r="J34" i="57"/>
  <c r="A33" i="57"/>
  <c r="BX6" i="16"/>
  <c r="BX21" i="16"/>
  <c r="L76" i="16"/>
  <c r="L64" i="16"/>
  <c r="L65" i="16"/>
  <c r="AC5" i="55"/>
  <c r="AB4" i="55"/>
  <c r="K276" i="29"/>
  <c r="C275" i="29"/>
  <c r="N275" i="29" s="1"/>
  <c r="W10" i="54"/>
  <c r="W17" i="54"/>
  <c r="W18" i="54" s="1"/>
  <c r="W20" i="54"/>
  <c r="CB53" i="45"/>
  <c r="BZ13" i="16"/>
  <c r="H204" i="29"/>
  <c r="F204" i="29"/>
  <c r="B204" i="29"/>
  <c r="G204" i="29" s="1"/>
  <c r="B24" i="20"/>
  <c r="C24" i="20" s="1"/>
  <c r="N20" i="19"/>
  <c r="O21" i="19"/>
  <c r="N30" i="66"/>
  <c r="V26" i="19"/>
  <c r="U27" i="19"/>
  <c r="AM67" i="45"/>
  <c r="AL69" i="45"/>
  <c r="AL68" i="45"/>
  <c r="C18" i="20"/>
  <c r="C20" i="20"/>
  <c r="C21" i="20"/>
  <c r="C22" i="20"/>
  <c r="F31" i="28"/>
  <c r="H32" i="28"/>
  <c r="E31" i="28"/>
  <c r="I229" i="28"/>
  <c r="G72" i="28"/>
  <c r="E72" i="28"/>
  <c r="AS73" i="28"/>
  <c r="F72" i="28"/>
  <c r="B72" i="28"/>
  <c r="D72" i="28"/>
  <c r="AR34" i="28"/>
  <c r="A33" i="28"/>
  <c r="I33" i="28" s="1"/>
  <c r="E52" i="28"/>
  <c r="F52" i="28"/>
  <c r="D52" i="28"/>
  <c r="B52" i="28"/>
  <c r="G52" i="28"/>
  <c r="AS53" i="28"/>
  <c r="I53" i="28" s="1"/>
  <c r="B32" i="28"/>
  <c r="G32" i="28"/>
  <c r="C32" i="28"/>
  <c r="AU32" i="28" s="1"/>
  <c r="D32" i="28" s="1"/>
  <c r="F32" i="28"/>
  <c r="F92" i="28"/>
  <c r="AS93" i="28"/>
  <c r="I93" i="28" s="1"/>
  <c r="B92" i="28"/>
  <c r="D92" i="28"/>
  <c r="G92" i="28"/>
  <c r="E92" i="28"/>
  <c r="AV17" i="28"/>
  <c r="J258" i="28" s="1"/>
  <c r="L37" i="7"/>
  <c r="I238" i="28"/>
  <c r="B236" i="28"/>
  <c r="E236" i="28"/>
  <c r="F236" i="28"/>
  <c r="AS243" i="28"/>
  <c r="G236" i="28"/>
  <c r="I236" i="28"/>
  <c r="D236" i="28"/>
  <c r="H236" i="28"/>
  <c r="I203" i="28"/>
  <c r="I204" i="28"/>
  <c r="I90" i="28"/>
  <c r="I170" i="28"/>
  <c r="I48" i="28"/>
  <c r="I9" i="72" s="1"/>
  <c r="I282" i="28"/>
  <c r="I89" i="28"/>
  <c r="I201" i="28"/>
  <c r="I212" i="28"/>
  <c r="I87" i="28"/>
  <c r="I30" i="72" s="1"/>
  <c r="I50" i="28"/>
  <c r="I107" i="28"/>
  <c r="I67" i="28"/>
  <c r="I47" i="28"/>
  <c r="I211" i="28"/>
  <c r="J9" i="28"/>
  <c r="I205" i="28"/>
  <c r="I130" i="28"/>
  <c r="I214" i="28"/>
  <c r="I202" i="28"/>
  <c r="I226" i="28"/>
  <c r="I207" i="28"/>
  <c r="I298" i="28"/>
  <c r="I266" i="28"/>
  <c r="I210" i="28"/>
  <c r="I150" i="28"/>
  <c r="I68" i="28"/>
  <c r="I200" i="28"/>
  <c r="I88" i="28"/>
  <c r="I31" i="72" s="1"/>
  <c r="I250" i="28"/>
  <c r="I49" i="28"/>
  <c r="I10" i="72" s="1"/>
  <c r="I86" i="28"/>
  <c r="I209" i="28"/>
  <c r="I208" i="28"/>
  <c r="I219" i="28"/>
  <c r="I216" i="28"/>
  <c r="I251" i="28"/>
  <c r="I30" i="28"/>
  <c r="I29" i="28"/>
  <c r="I69" i="28"/>
  <c r="I225" i="28"/>
  <c r="I221" i="28"/>
  <c r="I31" i="28"/>
  <c r="I26" i="28"/>
  <c r="I218" i="28"/>
  <c r="I217" i="28"/>
  <c r="I27" i="28"/>
  <c r="I108" i="28"/>
  <c r="I28" i="28"/>
  <c r="I32" i="28"/>
  <c r="I92" i="28"/>
  <c r="I71" i="28"/>
  <c r="I51" i="28"/>
  <c r="I228" i="28"/>
  <c r="I70" i="28"/>
  <c r="I91" i="28"/>
  <c r="I223" i="28"/>
  <c r="I109" i="28"/>
  <c r="I232" i="28"/>
  <c r="I215" i="28"/>
  <c r="I252" i="28"/>
  <c r="I224" i="28"/>
  <c r="I110" i="28"/>
  <c r="I239" i="28"/>
  <c r="I253" i="28"/>
  <c r="I72" i="28"/>
  <c r="I222" i="28"/>
  <c r="I231" i="28"/>
  <c r="I52" i="28"/>
  <c r="I235" i="28"/>
  <c r="I230" i="28"/>
  <c r="I254" i="28"/>
  <c r="I233" i="28"/>
  <c r="I255" i="28"/>
  <c r="J256" i="28"/>
  <c r="B245" i="28"/>
  <c r="G245" i="28" s="1"/>
  <c r="F245" i="28"/>
  <c r="E245" i="28"/>
  <c r="I245" i="28"/>
  <c r="H245" i="28"/>
  <c r="D245" i="28"/>
  <c r="I242" i="28"/>
  <c r="AR121" i="28"/>
  <c r="C120" i="28"/>
  <c r="AU120" i="28" s="1"/>
  <c r="AR97" i="28"/>
  <c r="C96" i="28"/>
  <c r="AU96" i="28" s="1"/>
  <c r="AU119" i="28"/>
  <c r="I244" i="28"/>
  <c r="D244" i="28"/>
  <c r="B244" i="28"/>
  <c r="H244" i="28"/>
  <c r="F244" i="28"/>
  <c r="AS113" i="28"/>
  <c r="H112" i="28"/>
  <c r="G112" i="28"/>
  <c r="B112" i="28"/>
  <c r="I112" i="28"/>
  <c r="D112" i="28"/>
  <c r="E112" i="28"/>
  <c r="F112" i="28"/>
  <c r="C210" i="28"/>
  <c r="AR211" i="28"/>
  <c r="I246" i="28"/>
  <c r="B247" i="28"/>
  <c r="G247" i="28" s="1"/>
  <c r="H247" i="28"/>
  <c r="E247" i="28"/>
  <c r="F247" i="28"/>
  <c r="I247" i="28"/>
  <c r="D247" i="28"/>
  <c r="I240" i="28"/>
  <c r="C77" i="28"/>
  <c r="AU77" i="28" s="1"/>
  <c r="AR78" i="28"/>
  <c r="AR56" i="28"/>
  <c r="C55" i="28"/>
  <c r="AU55" i="28" s="1"/>
  <c r="I237" i="28"/>
  <c r="D83" i="55"/>
  <c r="F83" i="55" s="1"/>
  <c r="E17" i="10"/>
  <c r="D17" i="10"/>
  <c r="H17" i="10"/>
  <c r="G18" i="9"/>
  <c r="AA153" i="7"/>
  <c r="Z157" i="7"/>
  <c r="F18" i="9"/>
  <c r="F18" i="10"/>
  <c r="L18" i="10"/>
  <c r="I18" i="10"/>
  <c r="H18" i="9"/>
  <c r="AB165" i="7"/>
  <c r="AA173" i="7"/>
  <c r="E18" i="9"/>
  <c r="D18" i="9"/>
  <c r="A20" i="9"/>
  <c r="AR21" i="9"/>
  <c r="AS21" i="9" s="1"/>
  <c r="F97" i="6"/>
  <c r="F96" i="6"/>
  <c r="C19" i="9"/>
  <c r="B19" i="9"/>
  <c r="E19" i="9" s="1"/>
  <c r="I18" i="9"/>
  <c r="G98" i="55"/>
  <c r="AN18" i="16"/>
  <c r="AN25" i="16" s="1"/>
  <c r="AO25" i="16" s="1"/>
  <c r="H93" i="55"/>
  <c r="AO18" i="16" s="1"/>
  <c r="AT12" i="16"/>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K61" i="16"/>
  <c r="J27" i="28"/>
  <c r="L66" i="16"/>
  <c r="L72" i="16"/>
  <c r="AS11" i="16"/>
  <c r="I60" i="7"/>
  <c r="J69" i="28" s="1"/>
  <c r="J68" i="28"/>
  <c r="L71" i="16"/>
  <c r="B256" i="28"/>
  <c r="G256" i="28"/>
  <c r="F256" i="28"/>
  <c r="I256" i="28"/>
  <c r="H256" i="28"/>
  <c r="E256" i="28"/>
  <c r="I70" i="7"/>
  <c r="H80" i="7"/>
  <c r="AP11" i="16"/>
  <c r="L77" i="16"/>
  <c r="L78" i="16"/>
  <c r="N272" i="29"/>
  <c r="D271" i="29"/>
  <c r="C329" i="29"/>
  <c r="K330" i="29"/>
  <c r="L329" i="29"/>
  <c r="I49" i="7"/>
  <c r="R88" i="26" s="1"/>
  <c r="J48" i="28"/>
  <c r="J9" i="72" s="1"/>
  <c r="C302" i="29"/>
  <c r="L302" i="29"/>
  <c r="K303" i="29"/>
  <c r="C292" i="29"/>
  <c r="K293" i="29"/>
  <c r="L79" i="16"/>
  <c r="AV11" i="16"/>
  <c r="L74" i="16"/>
  <c r="L68" i="16"/>
  <c r="K317" i="29"/>
  <c r="C315" i="29"/>
  <c r="E315" i="29" s="1"/>
  <c r="K316" i="29"/>
  <c r="C316" i="29" s="1"/>
  <c r="E316" i="29" s="1"/>
  <c r="H12" i="37"/>
  <c r="H257" i="28" l="1"/>
  <c r="I257" i="28"/>
  <c r="D256" i="28"/>
  <c r="AK19" i="9"/>
  <c r="Y19" i="9"/>
  <c r="AJ19" i="9"/>
  <c r="X19" i="9"/>
  <c r="L19" i="9"/>
  <c r="AH19" i="9"/>
  <c r="V19" i="9"/>
  <c r="AE19" i="9"/>
  <c r="S19" i="9"/>
  <c r="Z19" i="9"/>
  <c r="U19" i="9"/>
  <c r="AI19" i="9"/>
  <c r="Q19" i="9"/>
  <c r="AG19" i="9"/>
  <c r="P19" i="9"/>
  <c r="AC19" i="9"/>
  <c r="AF19" i="9"/>
  <c r="O19" i="9"/>
  <c r="AD19" i="9"/>
  <c r="K19" i="9"/>
  <c r="N19" i="9"/>
  <c r="AA19" i="9"/>
  <c r="W19" i="9"/>
  <c r="T19" i="9"/>
  <c r="AO19" i="9"/>
  <c r="AM19" i="9"/>
  <c r="AL19" i="9"/>
  <c r="D338" i="29"/>
  <c r="N339" i="29"/>
  <c r="N340" i="29" s="1"/>
  <c r="N341" i="29" s="1"/>
  <c r="J257" i="28"/>
  <c r="D257" i="28"/>
  <c r="G257" i="28"/>
  <c r="F257" i="28"/>
  <c r="E257" i="28"/>
  <c r="N252" i="29"/>
  <c r="N253" i="29" s="1"/>
  <c r="E251" i="29"/>
  <c r="N282" i="29"/>
  <c r="D281" i="29"/>
  <c r="N258" i="29"/>
  <c r="N259" i="29" s="1"/>
  <c r="E257" i="29"/>
  <c r="E239" i="29"/>
  <c r="N240" i="29"/>
  <c r="N241" i="29" s="1"/>
  <c r="N298" i="29"/>
  <c r="D297" i="29"/>
  <c r="J202" i="28"/>
  <c r="AU203" i="28"/>
  <c r="E263" i="29"/>
  <c r="N264" i="29"/>
  <c r="N265" i="29" s="1"/>
  <c r="E327" i="29"/>
  <c r="N327" i="29"/>
  <c r="AU210" i="28"/>
  <c r="AU211" i="28" s="1"/>
  <c r="J211" i="28" s="1"/>
  <c r="J209" i="28"/>
  <c r="D312" i="29"/>
  <c r="N313" i="29"/>
  <c r="E245" i="29"/>
  <c r="N246" i="29"/>
  <c r="N247" i="29" s="1"/>
  <c r="B258" i="28"/>
  <c r="H258" i="28"/>
  <c r="F258" i="28"/>
  <c r="I258" i="28"/>
  <c r="G258" i="28"/>
  <c r="E258" i="28"/>
  <c r="D258" i="28"/>
  <c r="A18" i="10"/>
  <c r="I44" i="76"/>
  <c r="H52" i="76"/>
  <c r="H54" i="76" s="1"/>
  <c r="H53" i="76" s="1"/>
  <c r="G45" i="76"/>
  <c r="F48" i="76"/>
  <c r="F50" i="76" s="1"/>
  <c r="F49" i="76" s="1"/>
  <c r="AA23" i="21"/>
  <c r="D168" i="26" s="1"/>
  <c r="N168" i="26" s="1"/>
  <c r="AA14" i="21"/>
  <c r="D164" i="26" s="1"/>
  <c r="N164" i="26" s="1"/>
  <c r="AA11" i="21"/>
  <c r="D163" i="26" s="1"/>
  <c r="N163" i="26" s="1"/>
  <c r="C39" i="20"/>
  <c r="C36" i="20"/>
  <c r="C31" i="20"/>
  <c r="C34" i="20"/>
  <c r="J27" i="19"/>
  <c r="I26" i="19"/>
  <c r="L163" i="29"/>
  <c r="B162" i="29"/>
  <c r="G162" i="29" s="1"/>
  <c r="E162" i="29"/>
  <c r="F162" i="29"/>
  <c r="H162" i="29"/>
  <c r="D162" i="29"/>
  <c r="K78" i="29"/>
  <c r="C77" i="29"/>
  <c r="N76" i="29"/>
  <c r="D76" i="29" s="1"/>
  <c r="E76" i="29"/>
  <c r="D84" i="55"/>
  <c r="F84" i="55" s="1"/>
  <c r="J49" i="28"/>
  <c r="O49" i="28" s="1"/>
  <c r="AB49" i="28" s="1"/>
  <c r="O84" i="26"/>
  <c r="N84" i="26" s="1"/>
  <c r="N195" i="26" s="1"/>
  <c r="L15" i="66"/>
  <c r="S15" i="66"/>
  <c r="K16" i="66"/>
  <c r="Z27" i="55"/>
  <c r="AA28" i="55"/>
  <c r="E144" i="29"/>
  <c r="F144" i="29"/>
  <c r="L145" i="29"/>
  <c r="B144" i="29"/>
  <c r="G144" i="29" s="1"/>
  <c r="C35" i="20"/>
  <c r="C32" i="20"/>
  <c r="C37" i="20"/>
  <c r="D16" i="65"/>
  <c r="E16" i="65"/>
  <c r="G16" i="65"/>
  <c r="AM16" i="65"/>
  <c r="Y16" i="65"/>
  <c r="J16" i="65"/>
  <c r="L16" i="65"/>
  <c r="AE16" i="65"/>
  <c r="AF16" i="65"/>
  <c r="Q16" i="65"/>
  <c r="W16" i="65"/>
  <c r="N16" i="65"/>
  <c r="O16" i="65"/>
  <c r="M16" i="65"/>
  <c r="AC16" i="65"/>
  <c r="U16" i="65"/>
  <c r="AD16" i="65"/>
  <c r="X16" i="65"/>
  <c r="AH16" i="65"/>
  <c r="T16" i="65"/>
  <c r="P16" i="65"/>
  <c r="AG16" i="65"/>
  <c r="AB16" i="65"/>
  <c r="V16" i="65"/>
  <c r="K16" i="65"/>
  <c r="AA16" i="65"/>
  <c r="R16" i="65"/>
  <c r="S16" i="65"/>
  <c r="Z16" i="65"/>
  <c r="A18" i="65"/>
  <c r="AR19" i="65"/>
  <c r="AS19" i="65" s="1"/>
  <c r="C17" i="65"/>
  <c r="B17" i="65"/>
  <c r="G17" i="65" s="1"/>
  <c r="CN36" i="16"/>
  <c r="CN39" i="16"/>
  <c r="CN38" i="16"/>
  <c r="CN44" i="16"/>
  <c r="CN40" i="16"/>
  <c r="CN37" i="16"/>
  <c r="BZ4" i="16"/>
  <c r="BY46" i="16"/>
  <c r="B63" i="20"/>
  <c r="C52" i="20" s="1"/>
  <c r="K109" i="29"/>
  <c r="C109" i="29" s="1"/>
  <c r="N109" i="29" s="1"/>
  <c r="K110" i="29"/>
  <c r="C108" i="29"/>
  <c r="N108" i="29" s="1"/>
  <c r="K78" i="16"/>
  <c r="F4674" i="66"/>
  <c r="F4673" i="66" s="1"/>
  <c r="F4672" i="66" s="1"/>
  <c r="F4671" i="66" s="1"/>
  <c r="F4670" i="66" s="1"/>
  <c r="F4669" i="66" s="1"/>
  <c r="F4668" i="66" s="1"/>
  <c r="F4667" i="66" s="1"/>
  <c r="F4666" i="66" s="1"/>
  <c r="F4665" i="66" s="1"/>
  <c r="F4664" i="66" s="1"/>
  <c r="F4663" i="66" s="1"/>
  <c r="F4662" i="66" s="1"/>
  <c r="F4661" i="66" s="1"/>
  <c r="F4660" i="66" s="1"/>
  <c r="F4659" i="66" s="1"/>
  <c r="F4658" i="66" s="1"/>
  <c r="F4657" i="66" s="1"/>
  <c r="F4656" i="66" s="1"/>
  <c r="F4655" i="66" s="1"/>
  <c r="F4654" i="66" s="1"/>
  <c r="F4653" i="66" s="1"/>
  <c r="F4652" i="66" s="1"/>
  <c r="F4651" i="66" s="1"/>
  <c r="F4650" i="66" s="1"/>
  <c r="F4649" i="66" s="1"/>
  <c r="F4648" i="66" s="1"/>
  <c r="F4647" i="66" s="1"/>
  <c r="F4646" i="66" s="1"/>
  <c r="F4645" i="66" s="1"/>
  <c r="F4644" i="66" s="1"/>
  <c r="F4643" i="66" s="1"/>
  <c r="F4642" i="66" s="1"/>
  <c r="F4641" i="66" s="1"/>
  <c r="F4640" i="66" s="1"/>
  <c r="F4639" i="66" s="1"/>
  <c r="F4638" i="66" s="1"/>
  <c r="F4637" i="66" s="1"/>
  <c r="F4636" i="66" s="1"/>
  <c r="F4635" i="66" s="1"/>
  <c r="F4634" i="66" s="1"/>
  <c r="F4633" i="66" s="1"/>
  <c r="F4632" i="66" s="1"/>
  <c r="F4631" i="66" s="1"/>
  <c r="F4630" i="66" s="1"/>
  <c r="F4629" i="66" s="1"/>
  <c r="F4628" i="66" s="1"/>
  <c r="F4627" i="66" s="1"/>
  <c r="F4626" i="66" s="1"/>
  <c r="F4625" i="66" s="1"/>
  <c r="F4624" i="66" s="1"/>
  <c r="F4623" i="66" s="1"/>
  <c r="F4622" i="66" s="1"/>
  <c r="F4621" i="66" s="1"/>
  <c r="F4620" i="66" s="1"/>
  <c r="F4619" i="66" s="1"/>
  <c r="F4618" i="66" s="1"/>
  <c r="F4617" i="66" s="1"/>
  <c r="F4616" i="66" s="1"/>
  <c r="F4615" i="66" s="1"/>
  <c r="F4614" i="66" s="1"/>
  <c r="F4613" i="66" s="1"/>
  <c r="F4612" i="66" s="1"/>
  <c r="F4611" i="66" s="1"/>
  <c r="F4610" i="66" s="1"/>
  <c r="F4609" i="66" s="1"/>
  <c r="F4608" i="66" s="1"/>
  <c r="F4607" i="66" s="1"/>
  <c r="F4606" i="66" s="1"/>
  <c r="F4605" i="66" s="1"/>
  <c r="F4604" i="66" s="1"/>
  <c r="F4603" i="66" s="1"/>
  <c r="F4602" i="66" s="1"/>
  <c r="F4601" i="66" s="1"/>
  <c r="F4600" i="66" s="1"/>
  <c r="F4599" i="66" s="1"/>
  <c r="F4598" i="66" s="1"/>
  <c r="F4597" i="66" s="1"/>
  <c r="F4596" i="66" s="1"/>
  <c r="F4595" i="66" s="1"/>
  <c r="F4594" i="66" s="1"/>
  <c r="F4593" i="66" s="1"/>
  <c r="F4592" i="66" s="1"/>
  <c r="F4591" i="66" s="1"/>
  <c r="F4590" i="66" s="1"/>
  <c r="F4589" i="66" s="1"/>
  <c r="F4588" i="66" s="1"/>
  <c r="F4587" i="66" s="1"/>
  <c r="F4586" i="66" s="1"/>
  <c r="F4585" i="66" s="1"/>
  <c r="F4584" i="66" s="1"/>
  <c r="F4583" i="66" s="1"/>
  <c r="F4582" i="66" s="1"/>
  <c r="F4581" i="66" s="1"/>
  <c r="F4580" i="66" s="1"/>
  <c r="F4579" i="66" s="1"/>
  <c r="F4578" i="66" s="1"/>
  <c r="F4577" i="66" s="1"/>
  <c r="F4576" i="66" s="1"/>
  <c r="F4575" i="66" s="1"/>
  <c r="F4574" i="66" s="1"/>
  <c r="F4573" i="66" s="1"/>
  <c r="F4572" i="66" s="1"/>
  <c r="F4571" i="66" s="1"/>
  <c r="F4570" i="66" s="1"/>
  <c r="F4569" i="66" s="1"/>
  <c r="F4568" i="66" s="1"/>
  <c r="F4567" i="66" s="1"/>
  <c r="F4566" i="66" s="1"/>
  <c r="F4565" i="66" s="1"/>
  <c r="F4564" i="66" s="1"/>
  <c r="F4563" i="66" s="1"/>
  <c r="F4562" i="66" s="1"/>
  <c r="F4561" i="66" s="1"/>
  <c r="F4560" i="66" s="1"/>
  <c r="F4559" i="66" s="1"/>
  <c r="F4558" i="66" s="1"/>
  <c r="F4557" i="66" s="1"/>
  <c r="F4556" i="66" s="1"/>
  <c r="F4555" i="66" s="1"/>
  <c r="F4554" i="66" s="1"/>
  <c r="F4553" i="66" s="1"/>
  <c r="F4552" i="66" s="1"/>
  <c r="F4551" i="66" s="1"/>
  <c r="F4550" i="66" s="1"/>
  <c r="F4549" i="66" s="1"/>
  <c r="F4548" i="66" s="1"/>
  <c r="F4547" i="66" s="1"/>
  <c r="F4546" i="66" s="1"/>
  <c r="F4545" i="66" s="1"/>
  <c r="F4544" i="66" s="1"/>
  <c r="F4543" i="66" s="1"/>
  <c r="F4542" i="66" s="1"/>
  <c r="F4541" i="66" s="1"/>
  <c r="F4540" i="66" s="1"/>
  <c r="F4539" i="66" s="1"/>
  <c r="F4538" i="66" s="1"/>
  <c r="F4537" i="66" s="1"/>
  <c r="F4536" i="66" s="1"/>
  <c r="F4535" i="66" s="1"/>
  <c r="F4534" i="66" s="1"/>
  <c r="F4533" i="66" s="1"/>
  <c r="F4532" i="66" s="1"/>
  <c r="F4531" i="66" s="1"/>
  <c r="F4530" i="66" s="1"/>
  <c r="F4529" i="66" s="1"/>
  <c r="F4528" i="66" s="1"/>
  <c r="F4527" i="66" s="1"/>
  <c r="F4526" i="66" s="1"/>
  <c r="F4525" i="66" s="1"/>
  <c r="F4524" i="66" s="1"/>
  <c r="F4523" i="66" s="1"/>
  <c r="F4522" i="66" s="1"/>
  <c r="F4521" i="66" s="1"/>
  <c r="F4520" i="66" s="1"/>
  <c r="F4519" i="66" s="1"/>
  <c r="F4518" i="66" s="1"/>
  <c r="F4517" i="66" s="1"/>
  <c r="F4516" i="66" s="1"/>
  <c r="F4515" i="66" s="1"/>
  <c r="F4514" i="66" s="1"/>
  <c r="F4513" i="66" s="1"/>
  <c r="F4512" i="66" s="1"/>
  <c r="F4511" i="66" s="1"/>
  <c r="F4510" i="66" s="1"/>
  <c r="F4509" i="66" s="1"/>
  <c r="F4508" i="66" s="1"/>
  <c r="F4507" i="66" s="1"/>
  <c r="F4506" i="66" s="1"/>
  <c r="F4505" i="66" s="1"/>
  <c r="F4504" i="66" s="1"/>
  <c r="F4503" i="66" s="1"/>
  <c r="F4502" i="66" s="1"/>
  <c r="F4501" i="66" s="1"/>
  <c r="F4500" i="66" s="1"/>
  <c r="F4499" i="66" s="1"/>
  <c r="F4498" i="66" s="1"/>
  <c r="F4497" i="66" s="1"/>
  <c r="F4496" i="66" s="1"/>
  <c r="F4495" i="66" s="1"/>
  <c r="F4494" i="66" s="1"/>
  <c r="F4493" i="66" s="1"/>
  <c r="F4492" i="66" s="1"/>
  <c r="F4491" i="66" s="1"/>
  <c r="F4490" i="66" s="1"/>
  <c r="F4489" i="66" s="1"/>
  <c r="F4488" i="66" s="1"/>
  <c r="F4487" i="66" s="1"/>
  <c r="F4486" i="66" s="1"/>
  <c r="F4485" i="66" s="1"/>
  <c r="F4484" i="66" s="1"/>
  <c r="F4483" i="66" s="1"/>
  <c r="F4482" i="66" s="1"/>
  <c r="F4481" i="66" s="1"/>
  <c r="F4480" i="66" s="1"/>
  <c r="F4479" i="66" s="1"/>
  <c r="F4478" i="66" s="1"/>
  <c r="F4477" i="66" s="1"/>
  <c r="F4476" i="66" s="1"/>
  <c r="F4475" i="66" s="1"/>
  <c r="F4474" i="66" s="1"/>
  <c r="F4473" i="66" s="1"/>
  <c r="F4472" i="66" s="1"/>
  <c r="F4471" i="66" s="1"/>
  <c r="F4470" i="66" s="1"/>
  <c r="F4469" i="66" s="1"/>
  <c r="F4468" i="66" s="1"/>
  <c r="F4467" i="66" s="1"/>
  <c r="F4466" i="66" s="1"/>
  <c r="F4465" i="66" s="1"/>
  <c r="F4464" i="66" s="1"/>
  <c r="F4463" i="66" s="1"/>
  <c r="F4462" i="66" s="1"/>
  <c r="F4461" i="66" s="1"/>
  <c r="F4460" i="66" s="1"/>
  <c r="F4459" i="66" s="1"/>
  <c r="F4458" i="66" s="1"/>
  <c r="F4457" i="66" s="1"/>
  <c r="F4456" i="66" s="1"/>
  <c r="F4455" i="66" s="1"/>
  <c r="F4454" i="66" s="1"/>
  <c r="F4453" i="66" s="1"/>
  <c r="F4452" i="66" s="1"/>
  <c r="F4451" i="66" s="1"/>
  <c r="F4450" i="66" s="1"/>
  <c r="F4449" i="66" s="1"/>
  <c r="F4448" i="66" s="1"/>
  <c r="F4447" i="66" s="1"/>
  <c r="F4446" i="66" s="1"/>
  <c r="F4445" i="66" s="1"/>
  <c r="F4444" i="66" s="1"/>
  <c r="F4443" i="66" s="1"/>
  <c r="F4442" i="66" s="1"/>
  <c r="F4441" i="66" s="1"/>
  <c r="F4440" i="66" s="1"/>
  <c r="F4439" i="66" s="1"/>
  <c r="F4438" i="66" s="1"/>
  <c r="F4437" i="66" s="1"/>
  <c r="F4436" i="66" s="1"/>
  <c r="F4435" i="66" s="1"/>
  <c r="F4434" i="66" s="1"/>
  <c r="F4433" i="66" s="1"/>
  <c r="F4432" i="66" s="1"/>
  <c r="F4431" i="66" s="1"/>
  <c r="F4430" i="66" s="1"/>
  <c r="F4429" i="66" s="1"/>
  <c r="F4428" i="66" s="1"/>
  <c r="F4427" i="66" s="1"/>
  <c r="F4426" i="66" s="1"/>
  <c r="F4425" i="66" s="1"/>
  <c r="F4424" i="66" s="1"/>
  <c r="M14" i="66"/>
  <c r="Y22" i="55"/>
  <c r="X21" i="55"/>
  <c r="CP43" i="16"/>
  <c r="CQ4" i="16"/>
  <c r="CP19" i="16"/>
  <c r="CP15" i="16"/>
  <c r="CP44" i="16"/>
  <c r="CP12" i="16"/>
  <c r="CP11" i="16"/>
  <c r="CP28" i="16"/>
  <c r="CP34" i="16"/>
  <c r="CP16" i="16"/>
  <c r="CP38" i="16"/>
  <c r="CP7" i="16"/>
  <c r="CP24" i="16"/>
  <c r="CP18" i="16"/>
  <c r="CP32" i="16"/>
  <c r="CP22" i="16"/>
  <c r="CP35" i="16"/>
  <c r="CP39" i="16"/>
  <c r="CP36" i="16"/>
  <c r="CP40" i="16"/>
  <c r="CP14" i="16"/>
  <c r="CP37" i="16"/>
  <c r="CP42" i="16"/>
  <c r="CP23" i="16"/>
  <c r="CP27" i="16"/>
  <c r="CP25" i="16"/>
  <c r="CP20" i="16"/>
  <c r="K66" i="16"/>
  <c r="K71" i="16"/>
  <c r="B161" i="29"/>
  <c r="G161" i="29" s="1"/>
  <c r="E161" i="29"/>
  <c r="F161" i="29"/>
  <c r="D161" i="29"/>
  <c r="D107" i="29"/>
  <c r="B107" i="29"/>
  <c r="G107" i="29" s="1"/>
  <c r="E107" i="29"/>
  <c r="F107" i="29"/>
  <c r="L108" i="29"/>
  <c r="E174" i="29"/>
  <c r="N174" i="29"/>
  <c r="D174" i="29" s="1"/>
  <c r="B38" i="20"/>
  <c r="C38" i="20" s="1"/>
  <c r="K176" i="29"/>
  <c r="C175" i="29"/>
  <c r="D59" i="29"/>
  <c r="B59" i="29"/>
  <c r="G59" i="29" s="1"/>
  <c r="E59" i="29"/>
  <c r="F59" i="29"/>
  <c r="B67" i="29"/>
  <c r="G67" i="29" s="1"/>
  <c r="L68" i="29"/>
  <c r="E67" i="29"/>
  <c r="F67" i="29"/>
  <c r="E275" i="29"/>
  <c r="N276" i="29"/>
  <c r="N277" i="29" s="1"/>
  <c r="CA30" i="16"/>
  <c r="E33" i="29"/>
  <c r="H33" i="29"/>
  <c r="F33" i="29"/>
  <c r="C33" i="29"/>
  <c r="N33" i="29" s="1"/>
  <c r="D33" i="29" s="1"/>
  <c r="B33" i="29"/>
  <c r="G33" i="29" s="1"/>
  <c r="E116" i="29"/>
  <c r="F116" i="29"/>
  <c r="B116" i="29"/>
  <c r="G116" i="29" s="1"/>
  <c r="H116" i="29"/>
  <c r="N31" i="66"/>
  <c r="BX41" i="16"/>
  <c r="V27" i="19"/>
  <c r="W26" i="19"/>
  <c r="W27" i="19" s="1"/>
  <c r="CA13" i="16"/>
  <c r="K277" i="29"/>
  <c r="C276" i="29"/>
  <c r="BY21" i="16"/>
  <c r="CB33" i="16"/>
  <c r="K138" i="29"/>
  <c r="C137" i="29"/>
  <c r="N137" i="29" s="1"/>
  <c r="D137" i="29" s="1"/>
  <c r="CB31" i="16"/>
  <c r="A34" i="29"/>
  <c r="K35" i="29"/>
  <c r="BY8" i="16"/>
  <c r="O28" i="66"/>
  <c r="CA10" i="16"/>
  <c r="AM68" i="45"/>
  <c r="AN67" i="45"/>
  <c r="AM69" i="45"/>
  <c r="BY6" i="16"/>
  <c r="BZ6" i="16" s="1"/>
  <c r="CA6" i="16" s="1"/>
  <c r="CB6" i="16" s="1"/>
  <c r="CC6" i="16" s="1"/>
  <c r="CD6" i="16" s="1"/>
  <c r="CE6" i="16" s="1"/>
  <c r="CF6" i="16" s="1"/>
  <c r="CG6" i="16" s="1"/>
  <c r="BA33" i="63"/>
  <c r="BB33" i="63"/>
  <c r="F33" i="63" s="1"/>
  <c r="D32" i="63"/>
  <c r="F132" i="29"/>
  <c r="B132" i="29"/>
  <c r="G132" i="29" s="1"/>
  <c r="D132" i="29"/>
  <c r="H132" i="29"/>
  <c r="E132" i="29"/>
  <c r="L133" i="29"/>
  <c r="K272" i="29"/>
  <c r="C271" i="29"/>
  <c r="F130" i="29"/>
  <c r="H130" i="29"/>
  <c r="B130" i="29"/>
  <c r="G130" i="29" s="1"/>
  <c r="E130" i="29"/>
  <c r="D130" i="29"/>
  <c r="BY9" i="16"/>
  <c r="AL49" i="66"/>
  <c r="CI27" i="16"/>
  <c r="CH27" i="16"/>
  <c r="BO26" i="16"/>
  <c r="CJ27" i="16"/>
  <c r="CK27" i="16"/>
  <c r="CM27" i="16"/>
  <c r="CL27" i="16"/>
  <c r="M20" i="19"/>
  <c r="N21" i="19"/>
  <c r="CC53" i="45"/>
  <c r="AB5" i="55"/>
  <c r="AA4" i="55"/>
  <c r="S16" i="55"/>
  <c r="S15" i="55" s="1"/>
  <c r="J35" i="57"/>
  <c r="A34" i="57"/>
  <c r="BZ17" i="16"/>
  <c r="R69" i="28"/>
  <c r="AS54" i="28"/>
  <c r="E53" i="28"/>
  <c r="B53" i="28"/>
  <c r="D53" i="28"/>
  <c r="H53" i="28"/>
  <c r="F53" i="28"/>
  <c r="G53" i="28"/>
  <c r="D73" i="28"/>
  <c r="B73" i="28"/>
  <c r="H73" i="28"/>
  <c r="AS75" i="28"/>
  <c r="G73" i="28"/>
  <c r="E73" i="28"/>
  <c r="AS74" i="28"/>
  <c r="F73" i="28"/>
  <c r="I73" i="28"/>
  <c r="AR35" i="28"/>
  <c r="A34" i="28"/>
  <c r="AS94" i="28"/>
  <c r="D93" i="28"/>
  <c r="G93" i="28"/>
  <c r="B93" i="28"/>
  <c r="E93" i="28"/>
  <c r="F93" i="28"/>
  <c r="H93" i="28"/>
  <c r="E32" i="28"/>
  <c r="B33" i="28"/>
  <c r="G33" i="28"/>
  <c r="F33" i="28"/>
  <c r="C33" i="28"/>
  <c r="AU33" i="28" s="1"/>
  <c r="H33" i="28"/>
  <c r="E329" i="29"/>
  <c r="M18" i="29"/>
  <c r="M37" i="7"/>
  <c r="B243" i="28"/>
  <c r="D243" i="28"/>
  <c r="H243" i="28"/>
  <c r="F243" i="28"/>
  <c r="E243" i="28"/>
  <c r="G243" i="28"/>
  <c r="I243" i="28"/>
  <c r="G113" i="28"/>
  <c r="B113" i="28"/>
  <c r="H113" i="28"/>
  <c r="I113" i="28"/>
  <c r="F113" i="28"/>
  <c r="AS114" i="28"/>
  <c r="E113" i="28"/>
  <c r="D113" i="28"/>
  <c r="AR124" i="28"/>
  <c r="C121" i="28"/>
  <c r="AU121" i="28" s="1"/>
  <c r="AR122" i="28"/>
  <c r="AR212" i="28"/>
  <c r="C211" i="28"/>
  <c r="AR57" i="28"/>
  <c r="C56" i="28"/>
  <c r="AU56" i="28" s="1"/>
  <c r="C97" i="28"/>
  <c r="AU97" i="28" s="1"/>
  <c r="AR98" i="28"/>
  <c r="AR79" i="28"/>
  <c r="C78" i="28"/>
  <c r="AU78" i="28" s="1"/>
  <c r="G19" i="9"/>
  <c r="H19" i="9"/>
  <c r="F19" i="9"/>
  <c r="C18" i="10"/>
  <c r="B18" i="10" s="1"/>
  <c r="K19" i="10"/>
  <c r="D19" i="9"/>
  <c r="A21" i="9"/>
  <c r="AR22" i="9"/>
  <c r="AS22" i="9" s="1"/>
  <c r="AC165" i="7"/>
  <c r="AC173" i="7" s="1"/>
  <c r="AB173" i="7"/>
  <c r="B20" i="9"/>
  <c r="E20" i="9" s="1"/>
  <c r="C20" i="9"/>
  <c r="AB153" i="7"/>
  <c r="AB157" i="7" s="1"/>
  <c r="AC153" i="7"/>
  <c r="AC157" i="7" s="1"/>
  <c r="AA157" i="7"/>
  <c r="I19" i="9"/>
  <c r="AP12" i="16"/>
  <c r="K65" i="16"/>
  <c r="K69" i="16"/>
  <c r="K64" i="16"/>
  <c r="B302" i="29"/>
  <c r="G302" i="29" s="1"/>
  <c r="H302" i="29"/>
  <c r="D302" i="29"/>
  <c r="F302" i="29"/>
  <c r="D85" i="55"/>
  <c r="E302" i="29"/>
  <c r="H329" i="29"/>
  <c r="B329" i="29"/>
  <c r="G329" i="29" s="1"/>
  <c r="D329" i="29"/>
  <c r="F329" i="29"/>
  <c r="N273" i="29"/>
  <c r="D272" i="29"/>
  <c r="L330" i="29"/>
  <c r="K331" i="29"/>
  <c r="C330" i="29"/>
  <c r="K70" i="16"/>
  <c r="K73" i="16"/>
  <c r="AS12" i="16"/>
  <c r="K79" i="16"/>
  <c r="C293" i="29"/>
  <c r="K294" i="29"/>
  <c r="K68" i="16"/>
  <c r="K76" i="16"/>
  <c r="C317" i="29"/>
  <c r="K318" i="29"/>
  <c r="L317" i="29"/>
  <c r="G60" i="16"/>
  <c r="K75" i="16"/>
  <c r="K63" i="16"/>
  <c r="AR259" i="28"/>
  <c r="K72" i="16"/>
  <c r="AV12" i="16"/>
  <c r="K304" i="29"/>
  <c r="C303" i="29"/>
  <c r="L303" i="29"/>
  <c r="K67" i="16"/>
  <c r="K62" i="16"/>
  <c r="I12" i="37"/>
  <c r="C12" i="37" s="1"/>
  <c r="A12" i="37" s="1"/>
  <c r="D12" i="37" s="1"/>
  <c r="AU204" i="28" l="1"/>
  <c r="AU205" i="28" s="1"/>
  <c r="AO20" i="9"/>
  <c r="AC20" i="9"/>
  <c r="Q20" i="9"/>
  <c r="P20" i="9"/>
  <c r="AL20" i="9"/>
  <c r="Z20" i="9"/>
  <c r="N20" i="9"/>
  <c r="AI20" i="9"/>
  <c r="W20" i="9"/>
  <c r="K20" i="9"/>
  <c r="L20" i="9"/>
  <c r="Y20" i="9"/>
  <c r="AM20" i="9"/>
  <c r="U20" i="9"/>
  <c r="AK20" i="9"/>
  <c r="T20" i="9"/>
  <c r="AG20" i="9"/>
  <c r="AD20" i="9"/>
  <c r="AJ20" i="9"/>
  <c r="S20" i="9"/>
  <c r="AE20" i="9"/>
  <c r="AH20" i="9"/>
  <c r="O20" i="9"/>
  <c r="AF20" i="9"/>
  <c r="AA20" i="9"/>
  <c r="X20" i="9"/>
  <c r="V20" i="9"/>
  <c r="N342" i="29"/>
  <c r="D341" i="29"/>
  <c r="AU212" i="28"/>
  <c r="N248" i="29"/>
  <c r="D247" i="29"/>
  <c r="N299" i="29"/>
  <c r="D298" i="29"/>
  <c r="N314" i="29"/>
  <c r="D313" i="29"/>
  <c r="D241" i="29"/>
  <c r="N242" i="29"/>
  <c r="N260" i="29"/>
  <c r="D259" i="29"/>
  <c r="D327" i="29"/>
  <c r="N328" i="29"/>
  <c r="D282" i="29"/>
  <c r="N283" i="29"/>
  <c r="N266" i="29"/>
  <c r="D265" i="29"/>
  <c r="D253" i="29"/>
  <c r="N254" i="29"/>
  <c r="AC49" i="28"/>
  <c r="AN49" i="28" s="1"/>
  <c r="AP49" i="28" s="1"/>
  <c r="E18" i="10"/>
  <c r="G48" i="76"/>
  <c r="G50" i="76" s="1"/>
  <c r="G49" i="76" s="1"/>
  <c r="H45" i="76"/>
  <c r="J44" i="76"/>
  <c r="I52" i="76"/>
  <c r="I54" i="76" s="1"/>
  <c r="I53" i="76" s="1"/>
  <c r="J10" i="72"/>
  <c r="D93" i="55"/>
  <c r="D98" i="55" s="1"/>
  <c r="H163" i="29"/>
  <c r="L164" i="29"/>
  <c r="E163" i="29"/>
  <c r="F163" i="29"/>
  <c r="B163" i="29"/>
  <c r="G163" i="29" s="1"/>
  <c r="D163" i="29"/>
  <c r="C57" i="20"/>
  <c r="I27" i="19"/>
  <c r="H26" i="19"/>
  <c r="N77" i="29"/>
  <c r="D77" i="29" s="1"/>
  <c r="E77" i="29"/>
  <c r="C78" i="29"/>
  <c r="K79" i="29"/>
  <c r="C48" i="20"/>
  <c r="C49" i="20"/>
  <c r="C56" i="20"/>
  <c r="R61" i="26"/>
  <c r="F145" i="29"/>
  <c r="L146" i="29"/>
  <c r="B145" i="29"/>
  <c r="G145" i="29" s="1"/>
  <c r="E145" i="29"/>
  <c r="H145" i="29"/>
  <c r="Z28" i="55"/>
  <c r="Y27" i="55"/>
  <c r="S16" i="66"/>
  <c r="K17" i="66"/>
  <c r="L16" i="66"/>
  <c r="C58" i="20"/>
  <c r="CM6" i="16"/>
  <c r="C53" i="20"/>
  <c r="C60" i="20"/>
  <c r="C55" i="20"/>
  <c r="C46" i="20"/>
  <c r="C61" i="20"/>
  <c r="C51" i="20"/>
  <c r="C54" i="20"/>
  <c r="D169" i="26"/>
  <c r="N169" i="26" s="1"/>
  <c r="D17" i="65"/>
  <c r="F17" i="65"/>
  <c r="E17" i="65"/>
  <c r="C59" i="20"/>
  <c r="C47" i="20"/>
  <c r="AE17" i="65"/>
  <c r="M17" i="65"/>
  <c r="N17" i="65"/>
  <c r="R17" i="65"/>
  <c r="J17" i="65"/>
  <c r="AA17" i="65"/>
  <c r="P17" i="65"/>
  <c r="X17" i="65"/>
  <c r="U17" i="65"/>
  <c r="K17" i="65"/>
  <c r="AM17" i="65"/>
  <c r="L17" i="65"/>
  <c r="AG17" i="65"/>
  <c r="AF17" i="65"/>
  <c r="W17" i="65"/>
  <c r="Q17" i="65"/>
  <c r="AH17" i="65"/>
  <c r="AC17" i="65"/>
  <c r="Z17" i="65"/>
  <c r="Y17" i="65"/>
  <c r="O17" i="65"/>
  <c r="AD17" i="65"/>
  <c r="T17" i="65"/>
  <c r="AB17" i="65"/>
  <c r="S17" i="65"/>
  <c r="V17" i="65"/>
  <c r="AR20" i="65"/>
  <c r="AS20" i="65" s="1"/>
  <c r="A19" i="65"/>
  <c r="B18" i="65"/>
  <c r="D18" i="65" s="1"/>
  <c r="C18" i="65"/>
  <c r="CK6" i="16"/>
  <c r="BZ46" i="16"/>
  <c r="CA4" i="16"/>
  <c r="CI6" i="16"/>
  <c r="BP6" i="16"/>
  <c r="CP6" i="16"/>
  <c r="CL6" i="16"/>
  <c r="B68" i="29"/>
  <c r="G68" i="29" s="1"/>
  <c r="E68" i="29"/>
  <c r="F68" i="29"/>
  <c r="H68" i="29"/>
  <c r="CQ43" i="16"/>
  <c r="CQ19" i="16"/>
  <c r="CQ15" i="16"/>
  <c r="CQ34" i="16"/>
  <c r="CQ11" i="16"/>
  <c r="CQ44" i="16"/>
  <c r="CQ22" i="16"/>
  <c r="CQ28" i="16"/>
  <c r="CQ35" i="16"/>
  <c r="CQ16" i="16"/>
  <c r="CQ37" i="16"/>
  <c r="CQ18" i="16"/>
  <c r="CQ39" i="16"/>
  <c r="CQ7" i="16"/>
  <c r="CQ24" i="16"/>
  <c r="CQ36" i="16"/>
  <c r="CQ12" i="16"/>
  <c r="CQ32" i="16"/>
  <c r="CQ14" i="16"/>
  <c r="CQ40" i="16"/>
  <c r="CQ42" i="16"/>
  <c r="CQ38" i="16"/>
  <c r="CQ23" i="16"/>
  <c r="CQ25" i="16"/>
  <c r="CQ27" i="16"/>
  <c r="CQ20" i="16"/>
  <c r="CQ29" i="16"/>
  <c r="W21" i="55"/>
  <c r="X22" i="55"/>
  <c r="L109" i="29"/>
  <c r="E108" i="29"/>
  <c r="F108" i="29"/>
  <c r="H108" i="29"/>
  <c r="B108" i="29"/>
  <c r="G108" i="29" s="1"/>
  <c r="D108" i="29"/>
  <c r="F4423" i="66"/>
  <c r="F4422" i="66" s="1"/>
  <c r="F4421" i="66" s="1"/>
  <c r="F4420" i="66" s="1"/>
  <c r="F4419" i="66" s="1"/>
  <c r="F4418" i="66" s="1"/>
  <c r="F4417" i="66" s="1"/>
  <c r="F4416" i="66" s="1"/>
  <c r="F4415" i="66" s="1"/>
  <c r="F4414" i="66" s="1"/>
  <c r="F4413" i="66" s="1"/>
  <c r="F4412" i="66" s="1"/>
  <c r="F4411" i="66" s="1"/>
  <c r="F4410" i="66" s="1"/>
  <c r="F4409" i="66" s="1"/>
  <c r="F4408" i="66" s="1"/>
  <c r="F4407" i="66" s="1"/>
  <c r="F4406" i="66" s="1"/>
  <c r="F4405" i="66" s="1"/>
  <c r="F4404" i="66" s="1"/>
  <c r="F4403" i="66" s="1"/>
  <c r="F4402" i="66" s="1"/>
  <c r="F4401" i="66" s="1"/>
  <c r="F4400" i="66" s="1"/>
  <c r="F4399" i="66" s="1"/>
  <c r="F4398" i="66" s="1"/>
  <c r="F4397" i="66" s="1"/>
  <c r="F4396" i="66" s="1"/>
  <c r="F4395" i="66" s="1"/>
  <c r="F4394" i="66" s="1"/>
  <c r="F4393" i="66" s="1"/>
  <c r="F4392" i="66" s="1"/>
  <c r="F4391" i="66" s="1"/>
  <c r="F4390" i="66" s="1"/>
  <c r="F4389" i="66" s="1"/>
  <c r="F4388" i="66" s="1"/>
  <c r="F4387" i="66" s="1"/>
  <c r="F4386" i="66" s="1"/>
  <c r="F4385" i="66" s="1"/>
  <c r="F4384" i="66" s="1"/>
  <c r="F4383" i="66" s="1"/>
  <c r="F4382" i="66" s="1"/>
  <c r="F4381" i="66" s="1"/>
  <c r="F4380" i="66" s="1"/>
  <c r="F4379" i="66" s="1"/>
  <c r="F4378" i="66" s="1"/>
  <c r="F4377" i="66" s="1"/>
  <c r="F4376" i="66" s="1"/>
  <c r="F4375" i="66" s="1"/>
  <c r="F4374" i="66" s="1"/>
  <c r="F4373" i="66" s="1"/>
  <c r="F4372" i="66" s="1"/>
  <c r="F4371" i="66" s="1"/>
  <c r="F4370" i="66" s="1"/>
  <c r="F4369" i="66" s="1"/>
  <c r="F4368" i="66" s="1"/>
  <c r="F4367" i="66" s="1"/>
  <c r="F4366" i="66" s="1"/>
  <c r="F4365" i="66" s="1"/>
  <c r="F4364" i="66" s="1"/>
  <c r="F4363" i="66" s="1"/>
  <c r="F4362" i="66" s="1"/>
  <c r="F4361" i="66" s="1"/>
  <c r="F4360" i="66" s="1"/>
  <c r="F4359" i="66" s="1"/>
  <c r="F4358" i="66" s="1"/>
  <c r="F4357" i="66" s="1"/>
  <c r="F4356" i="66" s="1"/>
  <c r="F4355" i="66" s="1"/>
  <c r="F4354" i="66" s="1"/>
  <c r="F4353" i="66" s="1"/>
  <c r="F4352" i="66" s="1"/>
  <c r="F4351" i="66" s="1"/>
  <c r="F4350" i="66" s="1"/>
  <c r="F4349" i="66" s="1"/>
  <c r="F4348" i="66" s="1"/>
  <c r="F4347" i="66" s="1"/>
  <c r="F4346" i="66" s="1"/>
  <c r="F4345" i="66" s="1"/>
  <c r="F4344" i="66" s="1"/>
  <c r="F4343" i="66" s="1"/>
  <c r="F4342" i="66" s="1"/>
  <c r="F4341" i="66" s="1"/>
  <c r="F4340" i="66" s="1"/>
  <c r="F4339" i="66" s="1"/>
  <c r="F4338" i="66" s="1"/>
  <c r="F4337" i="66" s="1"/>
  <c r="F4336" i="66" s="1"/>
  <c r="F4335" i="66" s="1"/>
  <c r="F4334" i="66" s="1"/>
  <c r="F4333" i="66" s="1"/>
  <c r="F4332" i="66" s="1"/>
  <c r="F4331" i="66" s="1"/>
  <c r="F4330" i="66" s="1"/>
  <c r="F4329" i="66" s="1"/>
  <c r="F4328" i="66" s="1"/>
  <c r="F4327" i="66" s="1"/>
  <c r="F4326" i="66" s="1"/>
  <c r="F4325" i="66" s="1"/>
  <c r="F4324" i="66" s="1"/>
  <c r="F4323" i="66" s="1"/>
  <c r="F4322" i="66" s="1"/>
  <c r="F4321" i="66" s="1"/>
  <c r="F4320" i="66" s="1"/>
  <c r="F4319" i="66" s="1"/>
  <c r="F4318" i="66" s="1"/>
  <c r="F4317" i="66" s="1"/>
  <c r="F4316" i="66" s="1"/>
  <c r="F4315" i="66" s="1"/>
  <c r="F4314" i="66" s="1"/>
  <c r="F4313" i="66" s="1"/>
  <c r="F4312" i="66" s="1"/>
  <c r="F4311" i="66" s="1"/>
  <c r="F4310" i="66" s="1"/>
  <c r="F4309" i="66" s="1"/>
  <c r="F4308" i="66" s="1"/>
  <c r="F4307" i="66" s="1"/>
  <c r="F4306" i="66" s="1"/>
  <c r="F4305" i="66" s="1"/>
  <c r="F4304" i="66" s="1"/>
  <c r="F4303" i="66" s="1"/>
  <c r="F4302" i="66" s="1"/>
  <c r="F4301" i="66" s="1"/>
  <c r="F4300" i="66" s="1"/>
  <c r="F4299" i="66" s="1"/>
  <c r="F4298" i="66" s="1"/>
  <c r="F4297" i="66" s="1"/>
  <c r="F4296" i="66" s="1"/>
  <c r="F4295" i="66" s="1"/>
  <c r="F4294" i="66" s="1"/>
  <c r="F4293" i="66" s="1"/>
  <c r="F4292" i="66" s="1"/>
  <c r="F4291" i="66" s="1"/>
  <c r="F4290" i="66" s="1"/>
  <c r="F4289" i="66" s="1"/>
  <c r="F4288" i="66" s="1"/>
  <c r="F4287" i="66" s="1"/>
  <c r="F4286" i="66" s="1"/>
  <c r="F4285" i="66" s="1"/>
  <c r="F4284" i="66" s="1"/>
  <c r="F4283" i="66" s="1"/>
  <c r="F4282" i="66" s="1"/>
  <c r="F4281" i="66" s="1"/>
  <c r="F4280" i="66" s="1"/>
  <c r="F4279" i="66" s="1"/>
  <c r="F4278" i="66" s="1"/>
  <c r="F4277" i="66" s="1"/>
  <c r="F4276" i="66" s="1"/>
  <c r="F4275" i="66" s="1"/>
  <c r="F4274" i="66" s="1"/>
  <c r="F4273" i="66" s="1"/>
  <c r="F4272" i="66" s="1"/>
  <c r="F4271" i="66" s="1"/>
  <c r="F4270" i="66" s="1"/>
  <c r="F4269" i="66" s="1"/>
  <c r="F4268" i="66" s="1"/>
  <c r="F4267" i="66" s="1"/>
  <c r="F4266" i="66" s="1"/>
  <c r="F4265" i="66" s="1"/>
  <c r="F4264" i="66" s="1"/>
  <c r="F4263" i="66" s="1"/>
  <c r="F4262" i="66" s="1"/>
  <c r="F4261" i="66" s="1"/>
  <c r="F4260" i="66" s="1"/>
  <c r="F4259" i="66" s="1"/>
  <c r="F4258" i="66" s="1"/>
  <c r="F4257" i="66" s="1"/>
  <c r="F4256" i="66" s="1"/>
  <c r="F4255" i="66" s="1"/>
  <c r="F4254" i="66" s="1"/>
  <c r="F4253" i="66" s="1"/>
  <c r="F4252" i="66" s="1"/>
  <c r="F4251" i="66" s="1"/>
  <c r="F4250" i="66" s="1"/>
  <c r="F4249" i="66" s="1"/>
  <c r="F4248" i="66" s="1"/>
  <c r="F4247" i="66" s="1"/>
  <c r="F4246" i="66" s="1"/>
  <c r="F4245" i="66" s="1"/>
  <c r="F4244" i="66" s="1"/>
  <c r="F4243" i="66" s="1"/>
  <c r="F4242" i="66" s="1"/>
  <c r="F4241" i="66" s="1"/>
  <c r="F4240" i="66" s="1"/>
  <c r="F4239" i="66" s="1"/>
  <c r="F4238" i="66" s="1"/>
  <c r="F4237" i="66" s="1"/>
  <c r="F4236" i="66" s="1"/>
  <c r="F4235" i="66" s="1"/>
  <c r="F4234" i="66" s="1"/>
  <c r="F4233" i="66" s="1"/>
  <c r="F4232" i="66" s="1"/>
  <c r="F4231" i="66" s="1"/>
  <c r="F4230" i="66" s="1"/>
  <c r="F4229" i="66" s="1"/>
  <c r="F4228" i="66" s="1"/>
  <c r="F4227" i="66" s="1"/>
  <c r="F4226" i="66" s="1"/>
  <c r="F4225" i="66" s="1"/>
  <c r="F4224" i="66" s="1"/>
  <c r="F4223" i="66" s="1"/>
  <c r="F4222" i="66" s="1"/>
  <c r="F4221" i="66" s="1"/>
  <c r="F4220" i="66" s="1"/>
  <c r="F4219" i="66" s="1"/>
  <c r="F4218" i="66" s="1"/>
  <c r="F4217" i="66" s="1"/>
  <c r="F4216" i="66" s="1"/>
  <c r="F4215" i="66" s="1"/>
  <c r="F4214" i="66" s="1"/>
  <c r="F4213" i="66" s="1"/>
  <c r="F4212" i="66" s="1"/>
  <c r="F4211" i="66" s="1"/>
  <c r="F4210" i="66" s="1"/>
  <c r="F4209" i="66" s="1"/>
  <c r="F4208" i="66" s="1"/>
  <c r="F4207" i="66" s="1"/>
  <c r="F4206" i="66" s="1"/>
  <c r="F4205" i="66" s="1"/>
  <c r="F4204" i="66" s="1"/>
  <c r="F4203" i="66" s="1"/>
  <c r="F4202" i="66" s="1"/>
  <c r="F4201" i="66" s="1"/>
  <c r="F4200" i="66" s="1"/>
  <c r="F4199" i="66" s="1"/>
  <c r="F4198" i="66" s="1"/>
  <c r="F4197" i="66" s="1"/>
  <c r="F4196" i="66" s="1"/>
  <c r="F4195" i="66" s="1"/>
  <c r="F4194" i="66" s="1"/>
  <c r="F4193" i="66" s="1"/>
  <c r="F4192" i="66" s="1"/>
  <c r="F4191" i="66" s="1"/>
  <c r="F4190" i="66" s="1"/>
  <c r="F4189" i="66" s="1"/>
  <c r="F4188" i="66" s="1"/>
  <c r="F4187" i="66" s="1"/>
  <c r="F4186" i="66" s="1"/>
  <c r="F4185" i="66" s="1"/>
  <c r="F4184" i="66" s="1"/>
  <c r="F4183" i="66" s="1"/>
  <c r="F4182" i="66" s="1"/>
  <c r="F4181" i="66" s="1"/>
  <c r="F4180" i="66" s="1"/>
  <c r="F4179" i="66" s="1"/>
  <c r="F4178" i="66" s="1"/>
  <c r="F4177" i="66" s="1"/>
  <c r="F4176" i="66" s="1"/>
  <c r="F4175" i="66" s="1"/>
  <c r="F4174" i="66" s="1"/>
  <c r="M15" i="66"/>
  <c r="E175" i="29"/>
  <c r="N175" i="29"/>
  <c r="D175" i="29" s="1"/>
  <c r="K177" i="29"/>
  <c r="C176" i="29"/>
  <c r="K111" i="29"/>
  <c r="C110" i="29"/>
  <c r="N110" i="29" s="1"/>
  <c r="D110" i="29" s="1"/>
  <c r="AL50" i="66"/>
  <c r="K273" i="29"/>
  <c r="C273" i="29" s="1"/>
  <c r="C272" i="29"/>
  <c r="CB10" i="16"/>
  <c r="CC10" i="16" s="1"/>
  <c r="CD10" i="16" s="1"/>
  <c r="CE10" i="16" s="1"/>
  <c r="CF10" i="16" s="1"/>
  <c r="CG10" i="16" s="1"/>
  <c r="BP10" i="16" s="1"/>
  <c r="L134" i="29"/>
  <c r="B133" i="29"/>
  <c r="G133" i="29" s="1"/>
  <c r="F133" i="29"/>
  <c r="E133" i="29"/>
  <c r="H133" i="29"/>
  <c r="D133" i="29"/>
  <c r="BB34" i="63"/>
  <c r="F34" i="63" s="1"/>
  <c r="D33" i="63"/>
  <c r="BA34" i="63"/>
  <c r="BZ8" i="16"/>
  <c r="CA8" i="16" s="1"/>
  <c r="CB8" i="16" s="1"/>
  <c r="CC8" i="16" s="1"/>
  <c r="CD8" i="16" s="1"/>
  <c r="CE8" i="16" s="1"/>
  <c r="CF8" i="16" s="1"/>
  <c r="CG8" i="16" s="1"/>
  <c r="CC31" i="16"/>
  <c r="CD31" i="16" s="1"/>
  <c r="CE31" i="16" s="1"/>
  <c r="CF31" i="16" s="1"/>
  <c r="CG31" i="16" s="1"/>
  <c r="CC33" i="16"/>
  <c r="K278" i="29"/>
  <c r="C277" i="29"/>
  <c r="BY41" i="16"/>
  <c r="K36" i="29"/>
  <c r="A35" i="29"/>
  <c r="CJ6" i="16"/>
  <c r="J36" i="57"/>
  <c r="A35" i="57"/>
  <c r="CD53" i="45"/>
  <c r="CA17" i="16"/>
  <c r="BZ9" i="16"/>
  <c r="O29" i="66"/>
  <c r="I273" i="29"/>
  <c r="Z4" i="55"/>
  <c r="AA5" i="55"/>
  <c r="M21" i="19"/>
  <c r="L20" i="19"/>
  <c r="CJ26" i="16"/>
  <c r="CI26" i="16"/>
  <c r="CM26" i="16"/>
  <c r="CK26" i="16"/>
  <c r="CL26" i="16"/>
  <c r="BO25" i="16"/>
  <c r="CH26" i="16"/>
  <c r="CN6" i="16"/>
  <c r="AX67" i="45"/>
  <c r="AN69" i="45"/>
  <c r="AN68" i="45"/>
  <c r="C34" i="29"/>
  <c r="N34" i="29" s="1"/>
  <c r="D34" i="29" s="1"/>
  <c r="F34" i="29"/>
  <c r="E34" i="29"/>
  <c r="B34" i="29"/>
  <c r="G34" i="29" s="1"/>
  <c r="H34" i="29"/>
  <c r="K139" i="29"/>
  <c r="C138" i="29"/>
  <c r="N138" i="29" s="1"/>
  <c r="D138" i="29" s="1"/>
  <c r="BZ21" i="16"/>
  <c r="CB13" i="16"/>
  <c r="N32" i="66"/>
  <c r="H117" i="29"/>
  <c r="E117" i="29"/>
  <c r="F117" i="29"/>
  <c r="B117" i="29"/>
  <c r="G117" i="29" s="1"/>
  <c r="CB30" i="16"/>
  <c r="D277" i="29"/>
  <c r="N278" i="29"/>
  <c r="AR36" i="28"/>
  <c r="AS35" i="28"/>
  <c r="AS36" i="28" s="1"/>
  <c r="AS37" i="28" s="1"/>
  <c r="AS38" i="28" s="1"/>
  <c r="AS39" i="28" s="1"/>
  <c r="AS40" i="28" s="1"/>
  <c r="A35" i="28"/>
  <c r="H94" i="28"/>
  <c r="G94" i="28"/>
  <c r="D94" i="28"/>
  <c r="B94" i="28"/>
  <c r="F94" i="28"/>
  <c r="AS95" i="28"/>
  <c r="E94" i="28"/>
  <c r="I94" i="28"/>
  <c r="G34" i="28"/>
  <c r="F34" i="28"/>
  <c r="C34" i="28"/>
  <c r="B34" i="28"/>
  <c r="H34" i="28"/>
  <c r="I34" i="28"/>
  <c r="E74" i="28"/>
  <c r="D74" i="28"/>
  <c r="B74" i="28"/>
  <c r="I74" i="28"/>
  <c r="H74" i="28"/>
  <c r="F74" i="28"/>
  <c r="G74" i="28"/>
  <c r="D33" i="28"/>
  <c r="E33" i="28"/>
  <c r="I75" i="28"/>
  <c r="E75" i="28"/>
  <c r="F75" i="28"/>
  <c r="D75" i="28"/>
  <c r="AS76" i="28"/>
  <c r="H75" i="28"/>
  <c r="G75" i="28"/>
  <c r="B75" i="28"/>
  <c r="G54" i="28"/>
  <c r="H54" i="28"/>
  <c r="F54" i="28"/>
  <c r="I54" i="28"/>
  <c r="B54" i="28"/>
  <c r="E54" i="28"/>
  <c r="D54" i="28"/>
  <c r="AS55" i="28"/>
  <c r="N37" i="7"/>
  <c r="O37" i="7" s="1"/>
  <c r="AT21" i="28"/>
  <c r="J203" i="28" s="1"/>
  <c r="H18" i="10"/>
  <c r="AR123" i="28"/>
  <c r="C123" i="28" s="1"/>
  <c r="AU123" i="28" s="1"/>
  <c r="C122" i="28"/>
  <c r="AU122" i="28" s="1"/>
  <c r="AR58" i="28"/>
  <c r="C57" i="28"/>
  <c r="AU57" i="28" s="1"/>
  <c r="C212" i="28"/>
  <c r="AR214" i="28"/>
  <c r="G114" i="28"/>
  <c r="F114" i="28"/>
  <c r="I114" i="28"/>
  <c r="B114" i="28"/>
  <c r="AS115" i="28"/>
  <c r="H114" i="28"/>
  <c r="E114" i="28"/>
  <c r="D114" i="28"/>
  <c r="AR80" i="28"/>
  <c r="C79" i="28"/>
  <c r="AR125" i="28"/>
  <c r="C124" i="28"/>
  <c r="AR99" i="28"/>
  <c r="C98" i="28"/>
  <c r="G18" i="10"/>
  <c r="G20" i="9"/>
  <c r="D20" i="9"/>
  <c r="F20" i="9"/>
  <c r="D18" i="10"/>
  <c r="A22" i="9"/>
  <c r="AR23" i="9"/>
  <c r="AS23" i="9" s="1"/>
  <c r="F21" i="9"/>
  <c r="D21" i="9"/>
  <c r="G21" i="9"/>
  <c r="B21" i="9"/>
  <c r="H21" i="9"/>
  <c r="C21" i="9"/>
  <c r="E21" i="9"/>
  <c r="H20" i="9"/>
  <c r="I20" i="9"/>
  <c r="L19" i="10"/>
  <c r="I19" i="10"/>
  <c r="F19" i="10"/>
  <c r="C12" i="38"/>
  <c r="C10" i="39" s="1"/>
  <c r="C14" i="36"/>
  <c r="C6" i="34"/>
  <c r="E12" i="38"/>
  <c r="C10" i="34"/>
  <c r="C12" i="39"/>
  <c r="C15" i="35"/>
  <c r="C9" i="27"/>
  <c r="P9" i="27" s="1"/>
  <c r="AS13" i="16"/>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C331" i="29"/>
  <c r="K332" i="29"/>
  <c r="L331" i="29"/>
  <c r="E330" i="29"/>
  <c r="H330" i="29"/>
  <c r="F330" i="29"/>
  <c r="D330" i="29"/>
  <c r="B330" i="29"/>
  <c r="G330" i="29" s="1"/>
  <c r="F85" i="55"/>
  <c r="D86" i="55"/>
  <c r="F86" i="55" s="1"/>
  <c r="AR260" i="28"/>
  <c r="C259" i="28"/>
  <c r="AP13" i="16"/>
  <c r="K319" i="29"/>
  <c r="L318" i="29"/>
  <c r="C318" i="29"/>
  <c r="L304" i="29"/>
  <c r="K305" i="29"/>
  <c r="C304" i="29"/>
  <c r="E317" i="29"/>
  <c r="B303" i="29"/>
  <c r="G303" i="29" s="1"/>
  <c r="F303" i="29"/>
  <c r="H303" i="29"/>
  <c r="E303" i="29"/>
  <c r="D303" i="29"/>
  <c r="D317" i="29"/>
  <c r="F317" i="29"/>
  <c r="B317" i="29"/>
  <c r="G317" i="29" s="1"/>
  <c r="H317" i="29"/>
  <c r="AV13" i="16"/>
  <c r="K295" i="29"/>
  <c r="C295" i="29" s="1"/>
  <c r="C294" i="29"/>
  <c r="H13" i="37"/>
  <c r="J204" i="28" l="1"/>
  <c r="AG21" i="9"/>
  <c r="U21" i="9"/>
  <c r="AF21" i="9"/>
  <c r="T21" i="9"/>
  <c r="AD21" i="9"/>
  <c r="R21" i="9"/>
  <c r="AM21" i="9"/>
  <c r="AA21" i="9"/>
  <c r="O21" i="9"/>
  <c r="AI21" i="9"/>
  <c r="AC21" i="9"/>
  <c r="L21" i="9"/>
  <c r="Y21" i="9"/>
  <c r="AK21" i="9"/>
  <c r="N21" i="9"/>
  <c r="AO21" i="9"/>
  <c r="X21" i="9"/>
  <c r="AN21" i="9"/>
  <c r="W21" i="9"/>
  <c r="AL21" i="9"/>
  <c r="V21" i="9"/>
  <c r="S21" i="9"/>
  <c r="AH21" i="9"/>
  <c r="AJ21" i="9"/>
  <c r="Q21" i="9"/>
  <c r="P21" i="9"/>
  <c r="J21" i="9"/>
  <c r="M21" i="9"/>
  <c r="AB21" i="9"/>
  <c r="Z21" i="9"/>
  <c r="AE21" i="9"/>
  <c r="K21" i="9"/>
  <c r="N343" i="29"/>
  <c r="N344" i="29" s="1"/>
  <c r="N345" i="29" s="1"/>
  <c r="I345" i="29" s="1"/>
  <c r="D342" i="29"/>
  <c r="M9" i="27"/>
  <c r="O9" i="27"/>
  <c r="N9" i="27"/>
  <c r="M10" i="34"/>
  <c r="N10" i="34"/>
  <c r="N261" i="29"/>
  <c r="I261" i="29" s="1"/>
  <c r="D260" i="29"/>
  <c r="N243" i="29"/>
  <c r="I243" i="29" s="1"/>
  <c r="D242" i="29"/>
  <c r="D254" i="29"/>
  <c r="N255" i="29"/>
  <c r="I255" i="29" s="1"/>
  <c r="D314" i="29"/>
  <c r="N315" i="29"/>
  <c r="D266" i="29"/>
  <c r="N267" i="29"/>
  <c r="I267" i="29" s="1"/>
  <c r="D283" i="29"/>
  <c r="N284" i="29"/>
  <c r="D299" i="29"/>
  <c r="N300" i="29"/>
  <c r="D328" i="29"/>
  <c r="N329" i="29"/>
  <c r="N330" i="29" s="1"/>
  <c r="N331" i="29" s="1"/>
  <c r="N332" i="29" s="1"/>
  <c r="N249" i="29"/>
  <c r="I249" i="29" s="1"/>
  <c r="D248" i="29"/>
  <c r="AU124" i="28"/>
  <c r="K44" i="76"/>
  <c r="J52" i="76"/>
  <c r="J54" i="76" s="1"/>
  <c r="J53" i="76" s="1"/>
  <c r="H48" i="76"/>
  <c r="H50" i="76" s="1"/>
  <c r="H49" i="76" s="1"/>
  <c r="I45" i="76"/>
  <c r="G26" i="19"/>
  <c r="H27" i="19"/>
  <c r="L165" i="29"/>
  <c r="E164" i="29"/>
  <c r="B164" i="29"/>
  <c r="G164" i="29" s="1"/>
  <c r="F164" i="29"/>
  <c r="H164" i="29"/>
  <c r="D164" i="29"/>
  <c r="C79" i="29"/>
  <c r="K80" i="29"/>
  <c r="L80" i="29" s="1"/>
  <c r="N78" i="29"/>
  <c r="D78" i="29" s="1"/>
  <c r="E78" i="29"/>
  <c r="A19" i="10"/>
  <c r="CL10" i="16"/>
  <c r="CK10" i="16"/>
  <c r="N171" i="26"/>
  <c r="L17" i="66"/>
  <c r="S17" i="66"/>
  <c r="K18" i="66"/>
  <c r="X27" i="55"/>
  <c r="Y28" i="55"/>
  <c r="F146" i="29"/>
  <c r="D146" i="29"/>
  <c r="B146" i="29"/>
  <c r="E146" i="29"/>
  <c r="CO8" i="16"/>
  <c r="CI10" i="16"/>
  <c r="CK31" i="16"/>
  <c r="F18" i="65"/>
  <c r="E18" i="65"/>
  <c r="T18" i="65"/>
  <c r="W18" i="65"/>
  <c r="AE18" i="65"/>
  <c r="N18" i="65"/>
  <c r="U18" i="65"/>
  <c r="AA18" i="65"/>
  <c r="AD18" i="65"/>
  <c r="AC18" i="65"/>
  <c r="J18" i="65"/>
  <c r="AH18" i="65"/>
  <c r="X18" i="65"/>
  <c r="Q18" i="65"/>
  <c r="AG18" i="65"/>
  <c r="M18" i="65"/>
  <c r="R18" i="65"/>
  <c r="AF18" i="65"/>
  <c r="Z18" i="65"/>
  <c r="O18" i="65"/>
  <c r="Y18" i="65"/>
  <c r="S18" i="65"/>
  <c r="AB18" i="65"/>
  <c r="K18" i="65"/>
  <c r="AM18" i="65"/>
  <c r="P18" i="65"/>
  <c r="L18" i="65"/>
  <c r="V18" i="65"/>
  <c r="C19" i="65"/>
  <c r="B19" i="65"/>
  <c r="F19" i="65" s="1"/>
  <c r="AR21" i="65"/>
  <c r="AS21" i="65" s="1"/>
  <c r="A20" i="65"/>
  <c r="CQ10" i="16"/>
  <c r="CP10" i="16"/>
  <c r="CN10" i="16"/>
  <c r="CM10" i="16"/>
  <c r="G18" i="65"/>
  <c r="CH10" i="16"/>
  <c r="BP31" i="16"/>
  <c r="CA46" i="16"/>
  <c r="CB4" i="16"/>
  <c r="CN8" i="16"/>
  <c r="BP8" i="16"/>
  <c r="CO10" i="16"/>
  <c r="J72" i="16"/>
  <c r="CQ31" i="16"/>
  <c r="CN31" i="16"/>
  <c r="E176" i="29"/>
  <c r="N176" i="29"/>
  <c r="D176" i="29" s="1"/>
  <c r="CL8" i="16"/>
  <c r="CP31" i="16"/>
  <c r="K178" i="29"/>
  <c r="C177" i="29"/>
  <c r="CO31" i="16"/>
  <c r="E109" i="29"/>
  <c r="H109" i="29"/>
  <c r="F109" i="29"/>
  <c r="D109" i="29"/>
  <c r="B109" i="29"/>
  <c r="G109" i="29" s="1"/>
  <c r="V21" i="55"/>
  <c r="W22" i="55"/>
  <c r="K112" i="29"/>
  <c r="C111" i="29"/>
  <c r="N111" i="29" s="1"/>
  <c r="D111" i="29" s="1"/>
  <c r="F4173" i="66"/>
  <c r="F4172" i="66" s="1"/>
  <c r="F4171" i="66" s="1"/>
  <c r="F4170" i="66" s="1"/>
  <c r="F4169" i="66" s="1"/>
  <c r="F4168" i="66" s="1"/>
  <c r="F4167" i="66" s="1"/>
  <c r="F4166" i="66" s="1"/>
  <c r="F4165" i="66" s="1"/>
  <c r="F4164" i="66" s="1"/>
  <c r="F4163" i="66" s="1"/>
  <c r="F4162" i="66" s="1"/>
  <c r="F4161" i="66" s="1"/>
  <c r="F4160" i="66" s="1"/>
  <c r="F4159" i="66" s="1"/>
  <c r="F4158" i="66" s="1"/>
  <c r="F4157" i="66" s="1"/>
  <c r="F4156" i="66" s="1"/>
  <c r="F4155" i="66" s="1"/>
  <c r="F4154" i="66" s="1"/>
  <c r="F4153" i="66" s="1"/>
  <c r="F4152" i="66" s="1"/>
  <c r="F4151" i="66" s="1"/>
  <c r="F4150" i="66" s="1"/>
  <c r="F4149" i="66" s="1"/>
  <c r="F4148" i="66" s="1"/>
  <c r="F4147" i="66" s="1"/>
  <c r="F4146" i="66" s="1"/>
  <c r="F4145" i="66" s="1"/>
  <c r="F4144" i="66" s="1"/>
  <c r="F4143" i="66" s="1"/>
  <c r="F4142" i="66" s="1"/>
  <c r="F4141" i="66" s="1"/>
  <c r="F4140" i="66" s="1"/>
  <c r="F4139" i="66" s="1"/>
  <c r="F4138" i="66" s="1"/>
  <c r="F4137" i="66" s="1"/>
  <c r="F4136" i="66" s="1"/>
  <c r="F4135" i="66" s="1"/>
  <c r="F4134" i="66" s="1"/>
  <c r="F4133" i="66" s="1"/>
  <c r="F4132" i="66" s="1"/>
  <c r="F4131" i="66" s="1"/>
  <c r="F4130" i="66" s="1"/>
  <c r="F4129" i="66" s="1"/>
  <c r="F4128" i="66" s="1"/>
  <c r="F4127" i="66" s="1"/>
  <c r="F4126" i="66" s="1"/>
  <c r="F4125" i="66" s="1"/>
  <c r="F4124" i="66" s="1"/>
  <c r="F4123" i="66" s="1"/>
  <c r="F4122" i="66" s="1"/>
  <c r="F4121" i="66" s="1"/>
  <c r="F4120" i="66" s="1"/>
  <c r="F4119" i="66" s="1"/>
  <c r="F4118" i="66" s="1"/>
  <c r="F4117" i="66" s="1"/>
  <c r="F4116" i="66" s="1"/>
  <c r="F4115" i="66" s="1"/>
  <c r="F4114" i="66" s="1"/>
  <c r="F4113" i="66" s="1"/>
  <c r="F4112" i="66" s="1"/>
  <c r="F4111" i="66" s="1"/>
  <c r="F4110" i="66" s="1"/>
  <c r="F4109" i="66" s="1"/>
  <c r="F4108" i="66" s="1"/>
  <c r="F4107" i="66" s="1"/>
  <c r="F4106" i="66" s="1"/>
  <c r="F4105" i="66" s="1"/>
  <c r="F4104" i="66" s="1"/>
  <c r="F4103" i="66" s="1"/>
  <c r="F4102" i="66" s="1"/>
  <c r="F4101" i="66" s="1"/>
  <c r="F4100" i="66" s="1"/>
  <c r="F4099" i="66" s="1"/>
  <c r="F4098" i="66" s="1"/>
  <c r="F4097" i="66" s="1"/>
  <c r="F4096" i="66" s="1"/>
  <c r="F4095" i="66" s="1"/>
  <c r="F4094" i="66" s="1"/>
  <c r="F4093" i="66" s="1"/>
  <c r="F4092" i="66" s="1"/>
  <c r="F4091" i="66" s="1"/>
  <c r="F4090" i="66" s="1"/>
  <c r="F4089" i="66" s="1"/>
  <c r="F4088" i="66" s="1"/>
  <c r="F4087" i="66" s="1"/>
  <c r="F4086" i="66" s="1"/>
  <c r="F4085" i="66" s="1"/>
  <c r="F4084" i="66" s="1"/>
  <c r="F4083" i="66" s="1"/>
  <c r="F4082" i="66" s="1"/>
  <c r="F4081" i="66" s="1"/>
  <c r="F4080" i="66" s="1"/>
  <c r="F4079" i="66" s="1"/>
  <c r="F4078" i="66" s="1"/>
  <c r="F4077" i="66" s="1"/>
  <c r="F4076" i="66" s="1"/>
  <c r="F4075" i="66" s="1"/>
  <c r="F4074" i="66" s="1"/>
  <c r="F4073" i="66" s="1"/>
  <c r="F4072" i="66" s="1"/>
  <c r="F4071" i="66" s="1"/>
  <c r="F4070" i="66" s="1"/>
  <c r="F4069" i="66" s="1"/>
  <c r="F4068" i="66" s="1"/>
  <c r="F4067" i="66" s="1"/>
  <c r="F4066" i="66" s="1"/>
  <c r="F4065" i="66" s="1"/>
  <c r="F4064" i="66" s="1"/>
  <c r="F4063" i="66" s="1"/>
  <c r="F4062" i="66" s="1"/>
  <c r="F4061" i="66" s="1"/>
  <c r="F4060" i="66" s="1"/>
  <c r="F4059" i="66" s="1"/>
  <c r="F4058" i="66" s="1"/>
  <c r="F4057" i="66" s="1"/>
  <c r="F4056" i="66" s="1"/>
  <c r="F4055" i="66" s="1"/>
  <c r="F4054" i="66" s="1"/>
  <c r="F4053" i="66" s="1"/>
  <c r="F4052" i="66" s="1"/>
  <c r="F4051" i="66" s="1"/>
  <c r="F4050" i="66" s="1"/>
  <c r="F4049" i="66" s="1"/>
  <c r="F4048" i="66" s="1"/>
  <c r="F4047" i="66" s="1"/>
  <c r="F4046" i="66" s="1"/>
  <c r="F4045" i="66" s="1"/>
  <c r="F4044" i="66" s="1"/>
  <c r="F4043" i="66" s="1"/>
  <c r="F4042" i="66" s="1"/>
  <c r="F4041" i="66" s="1"/>
  <c r="F4040" i="66" s="1"/>
  <c r="F4039" i="66" s="1"/>
  <c r="F4038" i="66" s="1"/>
  <c r="F4037" i="66" s="1"/>
  <c r="F4036" i="66" s="1"/>
  <c r="F4035" i="66" s="1"/>
  <c r="F4034" i="66" s="1"/>
  <c r="F4033" i="66" s="1"/>
  <c r="F4032" i="66" s="1"/>
  <c r="F4031" i="66" s="1"/>
  <c r="F4030" i="66" s="1"/>
  <c r="F4029" i="66" s="1"/>
  <c r="F4028" i="66" s="1"/>
  <c r="F4027" i="66" s="1"/>
  <c r="F4026" i="66" s="1"/>
  <c r="F4025" i="66" s="1"/>
  <c r="F4024" i="66" s="1"/>
  <c r="F4023" i="66" s="1"/>
  <c r="F4022" i="66" s="1"/>
  <c r="F4021" i="66" s="1"/>
  <c r="F4020" i="66" s="1"/>
  <c r="F4019" i="66" s="1"/>
  <c r="F4018" i="66" s="1"/>
  <c r="F4017" i="66" s="1"/>
  <c r="F4016" i="66" s="1"/>
  <c r="F4015" i="66" s="1"/>
  <c r="F4014" i="66" s="1"/>
  <c r="F4013" i="66" s="1"/>
  <c r="F4012" i="66" s="1"/>
  <c r="F4011" i="66" s="1"/>
  <c r="F4010" i="66" s="1"/>
  <c r="F4009" i="66" s="1"/>
  <c r="F4008" i="66" s="1"/>
  <c r="F4007" i="66" s="1"/>
  <c r="F4006" i="66" s="1"/>
  <c r="F4005" i="66" s="1"/>
  <c r="F4004" i="66" s="1"/>
  <c r="F4003" i="66" s="1"/>
  <c r="F4002" i="66" s="1"/>
  <c r="F4001" i="66" s="1"/>
  <c r="F4000" i="66" s="1"/>
  <c r="F3999" i="66" s="1"/>
  <c r="F3998" i="66" s="1"/>
  <c r="F3997" i="66" s="1"/>
  <c r="F3996" i="66" s="1"/>
  <c r="F3995" i="66" s="1"/>
  <c r="F3994" i="66" s="1"/>
  <c r="F3993" i="66" s="1"/>
  <c r="F3992" i="66" s="1"/>
  <c r="F3991" i="66" s="1"/>
  <c r="F3990" i="66" s="1"/>
  <c r="F3989" i="66" s="1"/>
  <c r="F3988" i="66" s="1"/>
  <c r="F3987" i="66" s="1"/>
  <c r="F3986" i="66" s="1"/>
  <c r="F3985" i="66" s="1"/>
  <c r="F3984" i="66" s="1"/>
  <c r="F3983" i="66" s="1"/>
  <c r="F3982" i="66" s="1"/>
  <c r="F3981" i="66" s="1"/>
  <c r="F3980" i="66" s="1"/>
  <c r="F3979" i="66" s="1"/>
  <c r="F3978" i="66" s="1"/>
  <c r="F3977" i="66" s="1"/>
  <c r="F3976" i="66" s="1"/>
  <c r="F3975" i="66" s="1"/>
  <c r="F3974" i="66" s="1"/>
  <c r="F3973" i="66" s="1"/>
  <c r="F3972" i="66" s="1"/>
  <c r="F3971" i="66" s="1"/>
  <c r="F3970" i="66" s="1"/>
  <c r="F3969" i="66" s="1"/>
  <c r="F3968" i="66" s="1"/>
  <c r="F3967" i="66" s="1"/>
  <c r="F3966" i="66" s="1"/>
  <c r="F3965" i="66" s="1"/>
  <c r="F3964" i="66" s="1"/>
  <c r="F3963" i="66" s="1"/>
  <c r="F3962" i="66" s="1"/>
  <c r="F3961" i="66" s="1"/>
  <c r="F3960" i="66" s="1"/>
  <c r="F3959" i="66" s="1"/>
  <c r="F3958" i="66" s="1"/>
  <c r="F3957" i="66" s="1"/>
  <c r="F3956" i="66" s="1"/>
  <c r="F3955" i="66" s="1"/>
  <c r="F3954" i="66" s="1"/>
  <c r="F3953" i="66" s="1"/>
  <c r="F3952" i="66" s="1"/>
  <c r="F3951" i="66" s="1"/>
  <c r="F3950" i="66" s="1"/>
  <c r="F3949" i="66" s="1"/>
  <c r="F3948" i="66" s="1"/>
  <c r="F3947" i="66" s="1"/>
  <c r="F3946" i="66" s="1"/>
  <c r="F3945" i="66" s="1"/>
  <c r="F3944" i="66" s="1"/>
  <c r="F3943" i="66" s="1"/>
  <c r="F3942" i="66" s="1"/>
  <c r="F3941" i="66" s="1"/>
  <c r="F3940" i="66" s="1"/>
  <c r="F3939" i="66" s="1"/>
  <c r="F3938" i="66" s="1"/>
  <c r="F3937" i="66" s="1"/>
  <c r="F3936" i="66" s="1"/>
  <c r="F3935" i="66" s="1"/>
  <c r="F3934" i="66" s="1"/>
  <c r="F3933" i="66" s="1"/>
  <c r="F3932" i="66" s="1"/>
  <c r="F3931" i="66" s="1"/>
  <c r="F3930" i="66" s="1"/>
  <c r="F3929" i="66" s="1"/>
  <c r="F3928" i="66" s="1"/>
  <c r="F3927" i="66" s="1"/>
  <c r="F3926" i="66" s="1"/>
  <c r="F3925" i="66" s="1"/>
  <c r="F3924" i="66" s="1"/>
  <c r="F3923" i="66" s="1"/>
  <c r="M16" i="66"/>
  <c r="J73" i="16"/>
  <c r="J61" i="16"/>
  <c r="B118" i="29"/>
  <c r="G118" i="29" s="1"/>
  <c r="E118" i="29"/>
  <c r="H118" i="29"/>
  <c r="F118" i="29"/>
  <c r="N33" i="66"/>
  <c r="K140" i="29"/>
  <c r="C139" i="29"/>
  <c r="N139" i="29" s="1"/>
  <c r="D139" i="29" s="1"/>
  <c r="AX68" i="45"/>
  <c r="AY67" i="45"/>
  <c r="AX69" i="45"/>
  <c r="J67" i="16"/>
  <c r="J62" i="16"/>
  <c r="J65" i="16"/>
  <c r="CC30" i="16"/>
  <c r="CA21" i="16"/>
  <c r="L21" i="19"/>
  <c r="K20" i="19"/>
  <c r="J37" i="57"/>
  <c r="J38" i="57" s="1"/>
  <c r="J39" i="57" s="1"/>
  <c r="A39" i="57" s="1"/>
  <c r="A36" i="57"/>
  <c r="E35" i="29"/>
  <c r="F35" i="29"/>
  <c r="C35" i="29"/>
  <c r="N35" i="29" s="1"/>
  <c r="D35" i="29" s="1"/>
  <c r="H35" i="29"/>
  <c r="B35" i="29"/>
  <c r="G35" i="29" s="1"/>
  <c r="K279" i="29"/>
  <c r="C279" i="29" s="1"/>
  <c r="C278" i="29"/>
  <c r="CM31" i="16"/>
  <c r="CL31" i="16"/>
  <c r="CJ31" i="16"/>
  <c r="CM8" i="16"/>
  <c r="CK8" i="16"/>
  <c r="D278" i="29"/>
  <c r="N279" i="29"/>
  <c r="I279" i="29" s="1"/>
  <c r="Y4" i="55"/>
  <c r="Z5" i="55"/>
  <c r="O30" i="66"/>
  <c r="CA9" i="16"/>
  <c r="CB9" i="16" s="1"/>
  <c r="CC9" i="16" s="1"/>
  <c r="CD9" i="16" s="1"/>
  <c r="CE9" i="16" s="1"/>
  <c r="CF9" i="16" s="1"/>
  <c r="CG9" i="16" s="1"/>
  <c r="BP9" i="16" s="1"/>
  <c r="CB17" i="16"/>
  <c r="K37" i="29"/>
  <c r="A36" i="29"/>
  <c r="J74" i="16"/>
  <c r="CC13" i="16"/>
  <c r="CI25" i="16"/>
  <c r="BO24" i="16"/>
  <c r="CJ25" i="16"/>
  <c r="CH25" i="16"/>
  <c r="CK25" i="16"/>
  <c r="CL25" i="16"/>
  <c r="CM25" i="16"/>
  <c r="CE53" i="45"/>
  <c r="BZ41" i="16"/>
  <c r="CD33" i="16"/>
  <c r="CH31" i="16"/>
  <c r="CJ8" i="16"/>
  <c r="CP8" i="16"/>
  <c r="CI8" i="16"/>
  <c r="D34" i="63"/>
  <c r="BB35" i="63"/>
  <c r="F35" i="63" s="1"/>
  <c r="BA35" i="63"/>
  <c r="F134" i="29"/>
  <c r="H134" i="29"/>
  <c r="B134" i="29"/>
  <c r="G134" i="29" s="1"/>
  <c r="L135" i="29"/>
  <c r="E134" i="29"/>
  <c r="D134" i="29"/>
  <c r="AL51" i="66"/>
  <c r="F95" i="28"/>
  <c r="B95" i="28"/>
  <c r="I95" i="28"/>
  <c r="H95" i="28"/>
  <c r="G95" i="28"/>
  <c r="E95" i="28"/>
  <c r="AS96" i="28"/>
  <c r="D95" i="28"/>
  <c r="D76" i="28"/>
  <c r="I76" i="28"/>
  <c r="E76" i="28"/>
  <c r="AS77" i="28"/>
  <c r="F76" i="28"/>
  <c r="H76" i="28"/>
  <c r="G76" i="28"/>
  <c r="B76" i="28"/>
  <c r="B55" i="28"/>
  <c r="AS56" i="28"/>
  <c r="D55" i="28"/>
  <c r="I55" i="28"/>
  <c r="G55" i="28"/>
  <c r="F55" i="28"/>
  <c r="E55" i="28"/>
  <c r="H55" i="28"/>
  <c r="E34" i="28"/>
  <c r="AU34" i="28"/>
  <c r="F35" i="28"/>
  <c r="B35" i="28"/>
  <c r="C35" i="28"/>
  <c r="AU35" i="28" s="1"/>
  <c r="D35" i="28" s="1"/>
  <c r="G35" i="28"/>
  <c r="H35" i="28"/>
  <c r="I35" i="28"/>
  <c r="AS42" i="28"/>
  <c r="AS44" i="28" s="1"/>
  <c r="AS41" i="28"/>
  <c r="A36" i="28"/>
  <c r="AR37" i="28"/>
  <c r="J210" i="28"/>
  <c r="AT13" i="28"/>
  <c r="P37" i="7"/>
  <c r="AR100" i="28"/>
  <c r="C99" i="28"/>
  <c r="C125" i="28"/>
  <c r="AR126" i="28"/>
  <c r="AR59" i="28"/>
  <c r="C58" i="28"/>
  <c r="AU58" i="28" s="1"/>
  <c r="I115" i="28"/>
  <c r="AS116" i="28"/>
  <c r="G115" i="28"/>
  <c r="F115" i="28"/>
  <c r="B115" i="28"/>
  <c r="H115" i="28"/>
  <c r="E115" i="28"/>
  <c r="D115" i="28"/>
  <c r="AR215" i="28"/>
  <c r="C214" i="28"/>
  <c r="AU214" i="28" s="1"/>
  <c r="AU79" i="28"/>
  <c r="AR81" i="28"/>
  <c r="C80" i="28"/>
  <c r="AU98" i="28"/>
  <c r="C22" i="9"/>
  <c r="B22" i="9"/>
  <c r="F22" i="9" s="1"/>
  <c r="AR24" i="9"/>
  <c r="AS24" i="9" s="1"/>
  <c r="A23" i="9"/>
  <c r="C19" i="10"/>
  <c r="B19" i="10" s="1"/>
  <c r="K20" i="10"/>
  <c r="I21" i="9"/>
  <c r="AP14" i="16"/>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O13" i="39"/>
  <c r="L13" i="39"/>
  <c r="B318" i="29"/>
  <c r="G318" i="29" s="1"/>
  <c r="D318" i="29"/>
  <c r="E318" i="29"/>
  <c r="F318" i="29"/>
  <c r="H318" i="29"/>
  <c r="E259" i="28"/>
  <c r="AU259" i="28"/>
  <c r="J259" i="28" s="1"/>
  <c r="AR261" i="28"/>
  <c r="C260" i="28"/>
  <c r="E260" i="28" s="1"/>
  <c r="C332" i="29"/>
  <c r="K333" i="29"/>
  <c r="M15" i="36"/>
  <c r="A14" i="36"/>
  <c r="E10" i="34"/>
  <c r="I11" i="34"/>
  <c r="J11" i="34" s="1"/>
  <c r="A10" i="34"/>
  <c r="I259" i="28"/>
  <c r="H259" i="28"/>
  <c r="B259" i="28"/>
  <c r="G259" i="28"/>
  <c r="F259" i="28"/>
  <c r="C305" i="29"/>
  <c r="K306" i="29"/>
  <c r="AS13" i="38"/>
  <c r="AV13" i="38"/>
  <c r="B304" i="29"/>
  <c r="G304" i="29" s="1"/>
  <c r="E304" i="29"/>
  <c r="H304" i="29"/>
  <c r="F304" i="29"/>
  <c r="L305" i="29"/>
  <c r="A9" i="27"/>
  <c r="D9" i="27" s="1"/>
  <c r="I10" i="27"/>
  <c r="J10" i="27" s="1"/>
  <c r="K320" i="29"/>
  <c r="L319" i="29"/>
  <c r="C319" i="29"/>
  <c r="H331" i="29"/>
  <c r="B331" i="29"/>
  <c r="G331" i="29" s="1"/>
  <c r="E331" i="29"/>
  <c r="F331" i="29"/>
  <c r="AV14" i="16"/>
  <c r="AT16" i="35"/>
  <c r="AR16" i="35" s="1"/>
  <c r="A15" i="35"/>
  <c r="I13" i="37"/>
  <c r="C13" i="37" s="1"/>
  <c r="A13" i="37" s="1"/>
  <c r="D13" i="37" s="1"/>
  <c r="Z3" i="19" l="1"/>
  <c r="Y3" i="19" s="1"/>
  <c r="Y4" i="19" s="1"/>
  <c r="AK22" i="9"/>
  <c r="Y22" i="9"/>
  <c r="M22" i="9"/>
  <c r="AJ22" i="9"/>
  <c r="X22" i="9"/>
  <c r="L22" i="9"/>
  <c r="AH22" i="9"/>
  <c r="V22" i="9"/>
  <c r="J22" i="9"/>
  <c r="AE22" i="9"/>
  <c r="S22" i="9"/>
  <c r="AG22" i="9"/>
  <c r="P22" i="9"/>
  <c r="AC22" i="9"/>
  <c r="K22" i="9"/>
  <c r="AB22" i="9"/>
  <c r="W22" i="9"/>
  <c r="AM22" i="9"/>
  <c r="AL22" i="9"/>
  <c r="AA22" i="9"/>
  <c r="AO22" i="9"/>
  <c r="R22" i="9"/>
  <c r="Z22" i="9"/>
  <c r="T22" i="9"/>
  <c r="AN22" i="9"/>
  <c r="U22" i="9"/>
  <c r="AI22" i="9"/>
  <c r="AF22" i="9"/>
  <c r="Q22" i="9"/>
  <c r="O22" i="9"/>
  <c r="AD22" i="9"/>
  <c r="N22" i="9"/>
  <c r="L9" i="27"/>
  <c r="F9" i="27" s="1"/>
  <c r="D331" i="29"/>
  <c r="L10" i="34"/>
  <c r="F10" i="34" s="1"/>
  <c r="D284" i="29"/>
  <c r="N285" i="29"/>
  <c r="D315" i="29"/>
  <c r="N316" i="29"/>
  <c r="D316" i="29" s="1"/>
  <c r="N317" i="29"/>
  <c r="N318" i="29" s="1"/>
  <c r="N319" i="29" s="1"/>
  <c r="N320" i="29" s="1"/>
  <c r="N321" i="29" s="1"/>
  <c r="N322" i="29" s="1"/>
  <c r="N323" i="29" s="1"/>
  <c r="N324" i="29" s="1"/>
  <c r="N325" i="29" s="1"/>
  <c r="I325" i="29" s="1"/>
  <c r="N333" i="29"/>
  <c r="N334" i="29" s="1"/>
  <c r="N335" i="29" s="1"/>
  <c r="D332" i="29"/>
  <c r="N302" i="29"/>
  <c r="N303" i="29" s="1"/>
  <c r="N304" i="29" s="1"/>
  <c r="D300" i="29"/>
  <c r="N301" i="29"/>
  <c r="D301" i="29" s="1"/>
  <c r="AU125" i="28"/>
  <c r="J45" i="76"/>
  <c r="I48" i="76"/>
  <c r="I50" i="76" s="1"/>
  <c r="I49" i="76" s="1"/>
  <c r="K52" i="76"/>
  <c r="K54" i="76" s="1"/>
  <c r="K53" i="76" s="1"/>
  <c r="L44" i="76"/>
  <c r="F165" i="29"/>
  <c r="H165" i="29"/>
  <c r="B165" i="29"/>
  <c r="G165" i="29" s="1"/>
  <c r="L166" i="29"/>
  <c r="E165" i="29"/>
  <c r="D165" i="29"/>
  <c r="F26" i="19"/>
  <c r="G27" i="19"/>
  <c r="C80" i="29"/>
  <c r="N80" i="29" s="1"/>
  <c r="K81" i="29"/>
  <c r="L81" i="29" s="1"/>
  <c r="L82" i="29" s="1"/>
  <c r="L83" i="29" s="1"/>
  <c r="N79" i="29"/>
  <c r="E79" i="29"/>
  <c r="D19" i="10"/>
  <c r="S38" i="7"/>
  <c r="P171" i="26"/>
  <c r="R154" i="26"/>
  <c r="R156" i="26" s="1"/>
  <c r="R173" i="26" s="1"/>
  <c r="I38" i="7" s="1"/>
  <c r="J28" i="28" s="1"/>
  <c r="O28" i="28" s="1"/>
  <c r="AB28" i="28" s="1"/>
  <c r="AC28" i="28" s="1"/>
  <c r="G146" i="29"/>
  <c r="H146" i="29"/>
  <c r="W27" i="55"/>
  <c r="X28" i="55"/>
  <c r="L18" i="66"/>
  <c r="K19" i="66"/>
  <c r="S18" i="66"/>
  <c r="G68" i="16"/>
  <c r="G19" i="65"/>
  <c r="E19" i="65"/>
  <c r="C20" i="65"/>
  <c r="B20" i="65"/>
  <c r="E20" i="65" s="1"/>
  <c r="AR22" i="65"/>
  <c r="AS22" i="65" s="1"/>
  <c r="A21" i="65"/>
  <c r="D19" i="65"/>
  <c r="N19" i="65"/>
  <c r="T19" i="65"/>
  <c r="AB19" i="65"/>
  <c r="W19" i="65"/>
  <c r="AA19" i="65"/>
  <c r="AH19" i="65"/>
  <c r="S19" i="65"/>
  <c r="AD19" i="65"/>
  <c r="U19" i="65"/>
  <c r="AM19" i="65"/>
  <c r="X19" i="65"/>
  <c r="AC19" i="65"/>
  <c r="Q19" i="65"/>
  <c r="K19" i="65"/>
  <c r="AG19" i="65"/>
  <c r="V19" i="65"/>
  <c r="P19" i="65"/>
  <c r="R19" i="65"/>
  <c r="O19" i="65"/>
  <c r="Z19" i="65"/>
  <c r="L19" i="65"/>
  <c r="AF19" i="65"/>
  <c r="Y19" i="65"/>
  <c r="J19" i="65"/>
  <c r="AE19" i="65"/>
  <c r="M19" i="65"/>
  <c r="CO9" i="16"/>
  <c r="CB46" i="16"/>
  <c r="CC4" i="16"/>
  <c r="CM9" i="16"/>
  <c r="F3922" i="66"/>
  <c r="F3921" i="66" s="1"/>
  <c r="F3920" i="66" s="1"/>
  <c r="F3919" i="66" s="1"/>
  <c r="F3918" i="66" s="1"/>
  <c r="F3917" i="66" s="1"/>
  <c r="F3916" i="66" s="1"/>
  <c r="F3915" i="66" s="1"/>
  <c r="F3914" i="66" s="1"/>
  <c r="F3913" i="66" s="1"/>
  <c r="F3912" i="66" s="1"/>
  <c r="F3911" i="66" s="1"/>
  <c r="F3910" i="66" s="1"/>
  <c r="F3909" i="66" s="1"/>
  <c r="F3908" i="66" s="1"/>
  <c r="F3907" i="66" s="1"/>
  <c r="F3906" i="66" s="1"/>
  <c r="F3905" i="66" s="1"/>
  <c r="F3904" i="66" s="1"/>
  <c r="F3903" i="66" s="1"/>
  <c r="F3902" i="66" s="1"/>
  <c r="F3901" i="66" s="1"/>
  <c r="F3900" i="66" s="1"/>
  <c r="F3899" i="66" s="1"/>
  <c r="F3898" i="66" s="1"/>
  <c r="F3897" i="66" s="1"/>
  <c r="F3896" i="66" s="1"/>
  <c r="F3895" i="66" s="1"/>
  <c r="F3894" i="66" s="1"/>
  <c r="F3893" i="66" s="1"/>
  <c r="F3892" i="66" s="1"/>
  <c r="F3891" i="66" s="1"/>
  <c r="F3890" i="66" s="1"/>
  <c r="F3889" i="66" s="1"/>
  <c r="F3888" i="66" s="1"/>
  <c r="F3887" i="66" s="1"/>
  <c r="F3886" i="66" s="1"/>
  <c r="F3885" i="66" s="1"/>
  <c r="F3884" i="66" s="1"/>
  <c r="F3883" i="66" s="1"/>
  <c r="F3882" i="66" s="1"/>
  <c r="F3881" i="66" s="1"/>
  <c r="F3880" i="66" s="1"/>
  <c r="F3879" i="66" s="1"/>
  <c r="F3878" i="66" s="1"/>
  <c r="F3877" i="66" s="1"/>
  <c r="F3876" i="66" s="1"/>
  <c r="F3875" i="66" s="1"/>
  <c r="F3874" i="66" s="1"/>
  <c r="F3873" i="66" s="1"/>
  <c r="F3872" i="66" s="1"/>
  <c r="F3871" i="66" s="1"/>
  <c r="F3870" i="66" s="1"/>
  <c r="F3869" i="66" s="1"/>
  <c r="F3868" i="66" s="1"/>
  <c r="F3867" i="66" s="1"/>
  <c r="F3866" i="66" s="1"/>
  <c r="F3865" i="66" s="1"/>
  <c r="F3864" i="66" s="1"/>
  <c r="F3863" i="66" s="1"/>
  <c r="F3862" i="66" s="1"/>
  <c r="F3861" i="66" s="1"/>
  <c r="F3860" i="66" s="1"/>
  <c r="F3859" i="66" s="1"/>
  <c r="F3858" i="66" s="1"/>
  <c r="F3857" i="66" s="1"/>
  <c r="F3856" i="66" s="1"/>
  <c r="F3855" i="66" s="1"/>
  <c r="F3854" i="66" s="1"/>
  <c r="F3853" i="66" s="1"/>
  <c r="F3852" i="66" s="1"/>
  <c r="F3851" i="66" s="1"/>
  <c r="F3850" i="66" s="1"/>
  <c r="F3849" i="66" s="1"/>
  <c r="F3848" i="66" s="1"/>
  <c r="F3847" i="66" s="1"/>
  <c r="F3846" i="66" s="1"/>
  <c r="F3845" i="66" s="1"/>
  <c r="F3844" i="66" s="1"/>
  <c r="F3843" i="66" s="1"/>
  <c r="F3842" i="66" s="1"/>
  <c r="F3841" i="66" s="1"/>
  <c r="F3840" i="66" s="1"/>
  <c r="F3839" i="66" s="1"/>
  <c r="F3838" i="66" s="1"/>
  <c r="F3837" i="66" s="1"/>
  <c r="F3836" i="66" s="1"/>
  <c r="F3835" i="66" s="1"/>
  <c r="F3834" i="66" s="1"/>
  <c r="F3833" i="66" s="1"/>
  <c r="F3832" i="66" s="1"/>
  <c r="F3831" i="66" s="1"/>
  <c r="F3830" i="66" s="1"/>
  <c r="F3829" i="66" s="1"/>
  <c r="F3828" i="66" s="1"/>
  <c r="F3827" i="66" s="1"/>
  <c r="F3826" i="66" s="1"/>
  <c r="F3825" i="66" s="1"/>
  <c r="F3824" i="66" s="1"/>
  <c r="F3823" i="66" s="1"/>
  <c r="F3822" i="66" s="1"/>
  <c r="F3821" i="66" s="1"/>
  <c r="F3820" i="66" s="1"/>
  <c r="F3819" i="66" s="1"/>
  <c r="F3818" i="66" s="1"/>
  <c r="F3817" i="66" s="1"/>
  <c r="F3816" i="66" s="1"/>
  <c r="F3815" i="66" s="1"/>
  <c r="F3814" i="66" s="1"/>
  <c r="F3813" i="66" s="1"/>
  <c r="F3812" i="66" s="1"/>
  <c r="F3811" i="66" s="1"/>
  <c r="F3810" i="66" s="1"/>
  <c r="F3809" i="66" s="1"/>
  <c r="F3808" i="66" s="1"/>
  <c r="F3807" i="66" s="1"/>
  <c r="F3806" i="66" s="1"/>
  <c r="F3805" i="66" s="1"/>
  <c r="F3804" i="66" s="1"/>
  <c r="F3803" i="66" s="1"/>
  <c r="F3802" i="66" s="1"/>
  <c r="F3801" i="66" s="1"/>
  <c r="F3800" i="66" s="1"/>
  <c r="F3799" i="66" s="1"/>
  <c r="F3798" i="66" s="1"/>
  <c r="F3797" i="66" s="1"/>
  <c r="F3796" i="66" s="1"/>
  <c r="F3795" i="66" s="1"/>
  <c r="F3794" i="66" s="1"/>
  <c r="F3793" i="66" s="1"/>
  <c r="F3792" i="66" s="1"/>
  <c r="F3791" i="66" s="1"/>
  <c r="F3790" i="66" s="1"/>
  <c r="F3789" i="66" s="1"/>
  <c r="F3788" i="66" s="1"/>
  <c r="F3787" i="66" s="1"/>
  <c r="F3786" i="66" s="1"/>
  <c r="F3785" i="66" s="1"/>
  <c r="F3784" i="66" s="1"/>
  <c r="F3783" i="66" s="1"/>
  <c r="F3782" i="66" s="1"/>
  <c r="F3781" i="66" s="1"/>
  <c r="F3780" i="66" s="1"/>
  <c r="F3779" i="66" s="1"/>
  <c r="F3778" i="66" s="1"/>
  <c r="F3777" i="66" s="1"/>
  <c r="F3776" i="66" s="1"/>
  <c r="F3775" i="66" s="1"/>
  <c r="F3774" i="66" s="1"/>
  <c r="F3773" i="66" s="1"/>
  <c r="F3772" i="66" s="1"/>
  <c r="F3771" i="66" s="1"/>
  <c r="F3770" i="66" s="1"/>
  <c r="F3769" i="66" s="1"/>
  <c r="F3768" i="66" s="1"/>
  <c r="F3767" i="66" s="1"/>
  <c r="F3766" i="66" s="1"/>
  <c r="F3765" i="66" s="1"/>
  <c r="F3764" i="66" s="1"/>
  <c r="F3763" i="66" s="1"/>
  <c r="F3762" i="66" s="1"/>
  <c r="F3761" i="66" s="1"/>
  <c r="F3760" i="66" s="1"/>
  <c r="F3759" i="66" s="1"/>
  <c r="F3758" i="66" s="1"/>
  <c r="F3757" i="66" s="1"/>
  <c r="F3756" i="66" s="1"/>
  <c r="F3755" i="66" s="1"/>
  <c r="F3754" i="66" s="1"/>
  <c r="F3753" i="66" s="1"/>
  <c r="F3752" i="66" s="1"/>
  <c r="F3751" i="66" s="1"/>
  <c r="F3750" i="66" s="1"/>
  <c r="F3749" i="66" s="1"/>
  <c r="F3748" i="66" s="1"/>
  <c r="F3747" i="66" s="1"/>
  <c r="F3746" i="66" s="1"/>
  <c r="F3745" i="66" s="1"/>
  <c r="F3744" i="66" s="1"/>
  <c r="F3743" i="66" s="1"/>
  <c r="F3742" i="66" s="1"/>
  <c r="F3741" i="66" s="1"/>
  <c r="F3740" i="66" s="1"/>
  <c r="F3739" i="66" s="1"/>
  <c r="F3738" i="66" s="1"/>
  <c r="F3737" i="66" s="1"/>
  <c r="F3736" i="66" s="1"/>
  <c r="F3735" i="66" s="1"/>
  <c r="F3734" i="66" s="1"/>
  <c r="F3733" i="66" s="1"/>
  <c r="F3732" i="66" s="1"/>
  <c r="F3731" i="66" s="1"/>
  <c r="F3730" i="66" s="1"/>
  <c r="F3729" i="66" s="1"/>
  <c r="F3728" i="66" s="1"/>
  <c r="F3727" i="66" s="1"/>
  <c r="F3726" i="66" s="1"/>
  <c r="F3725" i="66" s="1"/>
  <c r="F3724" i="66" s="1"/>
  <c r="F3723" i="66" s="1"/>
  <c r="F3722" i="66" s="1"/>
  <c r="F3721" i="66" s="1"/>
  <c r="F3720" i="66" s="1"/>
  <c r="F3719" i="66" s="1"/>
  <c r="F3718" i="66" s="1"/>
  <c r="F3717" i="66" s="1"/>
  <c r="F3716" i="66" s="1"/>
  <c r="F3715" i="66" s="1"/>
  <c r="F3714" i="66" s="1"/>
  <c r="F3713" i="66" s="1"/>
  <c r="F3712" i="66" s="1"/>
  <c r="F3711" i="66" s="1"/>
  <c r="F3710" i="66" s="1"/>
  <c r="F3709" i="66" s="1"/>
  <c r="F3708" i="66" s="1"/>
  <c r="F3707" i="66" s="1"/>
  <c r="F3706" i="66" s="1"/>
  <c r="F3705" i="66" s="1"/>
  <c r="F3704" i="66" s="1"/>
  <c r="F3703" i="66" s="1"/>
  <c r="F3702" i="66" s="1"/>
  <c r="F3701" i="66" s="1"/>
  <c r="F3700" i="66" s="1"/>
  <c r="F3699" i="66" s="1"/>
  <c r="F3698" i="66" s="1"/>
  <c r="F3697" i="66" s="1"/>
  <c r="F3696" i="66" s="1"/>
  <c r="F3695" i="66" s="1"/>
  <c r="F3694" i="66" s="1"/>
  <c r="F3693" i="66" s="1"/>
  <c r="F3692" i="66" s="1"/>
  <c r="F3691" i="66" s="1"/>
  <c r="F3690" i="66" s="1"/>
  <c r="F3689" i="66" s="1"/>
  <c r="F3688" i="66" s="1"/>
  <c r="F3687" i="66" s="1"/>
  <c r="F3686" i="66" s="1"/>
  <c r="F3685" i="66" s="1"/>
  <c r="F3684" i="66" s="1"/>
  <c r="F3683" i="66" s="1"/>
  <c r="F3682" i="66" s="1"/>
  <c r="F3681" i="66" s="1"/>
  <c r="F3680" i="66" s="1"/>
  <c r="F3679" i="66" s="1"/>
  <c r="F3678" i="66" s="1"/>
  <c r="F3677" i="66" s="1"/>
  <c r="F3676" i="66" s="1"/>
  <c r="F3675" i="66" s="1"/>
  <c r="F3674" i="66" s="1"/>
  <c r="M17" i="66"/>
  <c r="K113" i="29"/>
  <c r="C112" i="29"/>
  <c r="N112" i="29" s="1"/>
  <c r="D112" i="29" s="1"/>
  <c r="E177" i="29"/>
  <c r="N177" i="29"/>
  <c r="D177" i="29" s="1"/>
  <c r="U21" i="55"/>
  <c r="V22" i="55"/>
  <c r="K179" i="29"/>
  <c r="C178" i="29"/>
  <c r="CE33" i="16"/>
  <c r="AL52" i="66"/>
  <c r="CA41" i="16"/>
  <c r="CB41" i="16" s="1"/>
  <c r="CC41" i="16" s="1"/>
  <c r="CD41" i="16" s="1"/>
  <c r="CE41" i="16" s="1"/>
  <c r="CF41" i="16" s="1"/>
  <c r="CG41" i="16" s="1"/>
  <c r="CH24" i="16"/>
  <c r="CI24" i="16"/>
  <c r="CJ24" i="16"/>
  <c r="CL24" i="16"/>
  <c r="BO23" i="16"/>
  <c r="CK24" i="16"/>
  <c r="CM24" i="16"/>
  <c r="CD13" i="16"/>
  <c r="F36" i="29"/>
  <c r="C36" i="29"/>
  <c r="N36" i="29" s="1"/>
  <c r="D36" i="29" s="1"/>
  <c r="H36" i="29"/>
  <c r="E36" i="29"/>
  <c r="B36" i="29"/>
  <c r="G36" i="29" s="1"/>
  <c r="CF53" i="45"/>
  <c r="CG53" i="45" s="1"/>
  <c r="CH53" i="45" s="1"/>
  <c r="CI53" i="45" s="1"/>
  <c r="CJ53" i="45" s="1"/>
  <c r="CK53" i="45" s="1"/>
  <c r="CL53" i="45" s="1"/>
  <c r="CM53" i="45" s="1"/>
  <c r="CN53" i="45" s="1"/>
  <c r="CO53" i="45" s="1"/>
  <c r="BN16" i="45" s="1"/>
  <c r="CC17" i="16"/>
  <c r="O31" i="66"/>
  <c r="F135" i="29"/>
  <c r="L136" i="29"/>
  <c r="B135" i="29"/>
  <c r="G135" i="29" s="1"/>
  <c r="H135" i="29"/>
  <c r="E135" i="29"/>
  <c r="D135" i="29"/>
  <c r="BB36" i="63"/>
  <c r="F36" i="63" s="1"/>
  <c r="BA36" i="63"/>
  <c r="D35" i="63"/>
  <c r="K38" i="29"/>
  <c r="A37" i="29"/>
  <c r="X4" i="55"/>
  <c r="Y5" i="55"/>
  <c r="J20" i="19"/>
  <c r="K21" i="19"/>
  <c r="CD30" i="16"/>
  <c r="CE30" i="16" s="1"/>
  <c r="CF30" i="16" s="1"/>
  <c r="CG30" i="16" s="1"/>
  <c r="BP30" i="16" s="1"/>
  <c r="K141" i="29"/>
  <c r="C140" i="29"/>
  <c r="N140" i="29" s="1"/>
  <c r="D140" i="29" s="1"/>
  <c r="CB21" i="16"/>
  <c r="CC21" i="16" s="1"/>
  <c r="CD21" i="16" s="1"/>
  <c r="CE21" i="16" s="1"/>
  <c r="CF21" i="16" s="1"/>
  <c r="CG21" i="16" s="1"/>
  <c r="BP21" i="16" s="1"/>
  <c r="AY69" i="45"/>
  <c r="AZ67" i="45"/>
  <c r="AY68" i="45"/>
  <c r="E35" i="28"/>
  <c r="AR38" i="28"/>
  <c r="A37" i="28"/>
  <c r="C36" i="28"/>
  <c r="AU36" i="28" s="1"/>
  <c r="D36" i="28" s="1"/>
  <c r="B36" i="28"/>
  <c r="F36" i="28"/>
  <c r="G36" i="28"/>
  <c r="H36" i="28"/>
  <c r="I36" i="28"/>
  <c r="D34" i="28"/>
  <c r="I96" i="28"/>
  <c r="AS97" i="28"/>
  <c r="G96" i="28"/>
  <c r="B96" i="28"/>
  <c r="E96" i="28"/>
  <c r="F96" i="28"/>
  <c r="H96" i="28"/>
  <c r="D96" i="28"/>
  <c r="AS43" i="28"/>
  <c r="F42" i="28"/>
  <c r="B42" i="28"/>
  <c r="G42" i="28"/>
  <c r="H42" i="28"/>
  <c r="I42" i="28"/>
  <c r="I56" i="28"/>
  <c r="AS57" i="28"/>
  <c r="H56" i="28"/>
  <c r="G56" i="28"/>
  <c r="F56" i="28"/>
  <c r="B56" i="28"/>
  <c r="E56" i="28"/>
  <c r="D56" i="28"/>
  <c r="B77" i="28"/>
  <c r="I77" i="28"/>
  <c r="F77" i="28"/>
  <c r="AS78" i="28"/>
  <c r="H77" i="28"/>
  <c r="D77" i="28"/>
  <c r="G77" i="28"/>
  <c r="E77" i="28"/>
  <c r="Q37" i="7"/>
  <c r="AT10" i="28"/>
  <c r="J253" i="28"/>
  <c r="C81" i="28"/>
  <c r="AU81" i="28" s="1"/>
  <c r="AR82" i="28"/>
  <c r="AU216" i="28"/>
  <c r="J214" i="28"/>
  <c r="AR216" i="28"/>
  <c r="C215" i="28"/>
  <c r="AU215" i="28" s="1"/>
  <c r="J215" i="28" s="1"/>
  <c r="H116" i="28"/>
  <c r="G116" i="28"/>
  <c r="I116" i="28"/>
  <c r="F116" i="28"/>
  <c r="B116" i="28"/>
  <c r="E116" i="28"/>
  <c r="AS117" i="28"/>
  <c r="D116" i="28"/>
  <c r="AR60" i="28"/>
  <c r="C59" i="28"/>
  <c r="AU59" i="28" s="1"/>
  <c r="C126" i="28"/>
  <c r="AU126" i="28" s="1"/>
  <c r="AR127" i="28"/>
  <c r="AU80" i="28"/>
  <c r="AU99" i="28"/>
  <c r="C100" i="28"/>
  <c r="AU100" i="28" s="1"/>
  <c r="AR101" i="28"/>
  <c r="AR103" i="28"/>
  <c r="D22" i="9"/>
  <c r="G22" i="9"/>
  <c r="E19" i="10"/>
  <c r="E22" i="9"/>
  <c r="H19" i="10"/>
  <c r="A24" i="9"/>
  <c r="AR25" i="9"/>
  <c r="AS25" i="9" s="1"/>
  <c r="F20" i="10"/>
  <c r="I20" i="10"/>
  <c r="L20" i="10"/>
  <c r="H22" i="9"/>
  <c r="C23" i="9"/>
  <c r="B23" i="9"/>
  <c r="G19" i="10"/>
  <c r="I22" i="9"/>
  <c r="AS16" i="35"/>
  <c r="K334" i="29"/>
  <c r="C333" i="29"/>
  <c r="D259" i="28"/>
  <c r="L306" i="29"/>
  <c r="B305" i="29"/>
  <c r="G305" i="29" s="1"/>
  <c r="F305" i="29"/>
  <c r="H305" i="29"/>
  <c r="E305" i="29"/>
  <c r="AT13" i="38"/>
  <c r="E13" i="38" s="1"/>
  <c r="AU260" i="28"/>
  <c r="AR262" i="28"/>
  <c r="C261" i="28"/>
  <c r="F319" i="29"/>
  <c r="L320" i="29"/>
  <c r="E319" i="29"/>
  <c r="B319" i="29"/>
  <c r="G319" i="29" s="1"/>
  <c r="H319" i="29"/>
  <c r="B260" i="28"/>
  <c r="AS261" i="28"/>
  <c r="AS262" i="28" s="1"/>
  <c r="G260" i="28"/>
  <c r="F260" i="28"/>
  <c r="I260" i="28"/>
  <c r="H260" i="28"/>
  <c r="H14" i="36"/>
  <c r="B14" i="36"/>
  <c r="D14" i="36" s="1"/>
  <c r="G14" i="36"/>
  <c r="F14" i="36"/>
  <c r="AV15" i="16"/>
  <c r="M62" i="16"/>
  <c r="K321" i="29"/>
  <c r="C320" i="29"/>
  <c r="K15" i="36"/>
  <c r="B15" i="35"/>
  <c r="K307" i="29"/>
  <c r="C306" i="29"/>
  <c r="B10" i="34"/>
  <c r="D10" i="34"/>
  <c r="M13" i="39"/>
  <c r="C13" i="39" s="1"/>
  <c r="H14" i="37"/>
  <c r="J15" i="35"/>
  <c r="Z4" i="19" l="1"/>
  <c r="AA3" i="19"/>
  <c r="AO23" i="9"/>
  <c r="AC23" i="9"/>
  <c r="Q23" i="9"/>
  <c r="AN23" i="9"/>
  <c r="AB23" i="9"/>
  <c r="P23" i="9"/>
  <c r="AL23" i="9"/>
  <c r="Z23" i="9"/>
  <c r="N23" i="9"/>
  <c r="AI23" i="9"/>
  <c r="W23" i="9"/>
  <c r="K23" i="9"/>
  <c r="X23" i="9"/>
  <c r="AK23" i="9"/>
  <c r="T23" i="9"/>
  <c r="AG23" i="9"/>
  <c r="O23" i="9"/>
  <c r="AF23" i="9"/>
  <c r="M23" i="9"/>
  <c r="AE23" i="9"/>
  <c r="L23" i="9"/>
  <c r="AD23" i="9"/>
  <c r="J23" i="9"/>
  <c r="AA23" i="9"/>
  <c r="Y23" i="9"/>
  <c r="V23" i="9"/>
  <c r="R23" i="9"/>
  <c r="U23" i="9"/>
  <c r="AH23" i="9"/>
  <c r="AJ23" i="9"/>
  <c r="S23" i="9"/>
  <c r="AM23" i="9"/>
  <c r="I335" i="29"/>
  <c r="D322" i="29"/>
  <c r="D319" i="29"/>
  <c r="N305" i="29"/>
  <c r="D304" i="29"/>
  <c r="N286" i="29"/>
  <c r="N287" i="29" s="1"/>
  <c r="N288" i="29" s="1"/>
  <c r="D285" i="29"/>
  <c r="AU261" i="28"/>
  <c r="E261" i="28"/>
  <c r="AN28" i="28"/>
  <c r="AP28" i="28"/>
  <c r="F15" i="35"/>
  <c r="L52" i="76"/>
  <c r="L54" i="76" s="1"/>
  <c r="L53" i="76" s="1"/>
  <c r="M44" i="76"/>
  <c r="K45" i="76"/>
  <c r="J48" i="76"/>
  <c r="J50" i="76" s="1"/>
  <c r="J49" i="76" s="1"/>
  <c r="BJ18" i="45"/>
  <c r="F27" i="19"/>
  <c r="E26" i="19"/>
  <c r="L167" i="29"/>
  <c r="E166" i="29"/>
  <c r="F166" i="29"/>
  <c r="H166" i="29"/>
  <c r="B166" i="29"/>
  <c r="G166" i="29" s="1"/>
  <c r="L168" i="29"/>
  <c r="D166" i="29"/>
  <c r="C81" i="29"/>
  <c r="N81" i="29" s="1"/>
  <c r="K82" i="29"/>
  <c r="B80" i="29"/>
  <c r="G80" i="29" s="1"/>
  <c r="D80" i="29"/>
  <c r="H80" i="29"/>
  <c r="E80" i="29"/>
  <c r="F80" i="29"/>
  <c r="BM18" i="45"/>
  <c r="BO19" i="45"/>
  <c r="BP15" i="45"/>
  <c r="BO18" i="45"/>
  <c r="BP16" i="45"/>
  <c r="BJ17" i="45"/>
  <c r="BN19" i="45"/>
  <c r="BK15" i="45"/>
  <c r="BL18" i="45"/>
  <c r="BL15" i="45"/>
  <c r="BN15" i="45"/>
  <c r="BP19" i="45"/>
  <c r="S19" i="66"/>
  <c r="K20" i="66"/>
  <c r="L19" i="66"/>
  <c r="W28" i="55"/>
  <c r="V27" i="55"/>
  <c r="BO17" i="45"/>
  <c r="BJ15" i="45"/>
  <c r="BL17" i="45"/>
  <c r="BP17" i="45"/>
  <c r="BM19" i="45"/>
  <c r="B21" i="65"/>
  <c r="G21" i="65" s="1"/>
  <c r="C21" i="65"/>
  <c r="AR23" i="65"/>
  <c r="AS23" i="65" s="1"/>
  <c r="A23" i="65" s="1"/>
  <c r="A22" i="65"/>
  <c r="CO21" i="16"/>
  <c r="D20" i="65"/>
  <c r="G20" i="65"/>
  <c r="F20" i="65"/>
  <c r="M20" i="65"/>
  <c r="S20" i="65"/>
  <c r="O20" i="65"/>
  <c r="W20" i="65"/>
  <c r="Y20" i="65"/>
  <c r="R20" i="65"/>
  <c r="AE20" i="65"/>
  <c r="L20" i="65"/>
  <c r="AC20" i="65"/>
  <c r="X20" i="65"/>
  <c r="K20" i="65"/>
  <c r="P20" i="65"/>
  <c r="AM20" i="65"/>
  <c r="AH20" i="65"/>
  <c r="AF20" i="65"/>
  <c r="AB20" i="65"/>
  <c r="Z20" i="65"/>
  <c r="AA20" i="65"/>
  <c r="AG20" i="65"/>
  <c r="V20" i="65"/>
  <c r="J20" i="65"/>
  <c r="Q20" i="65"/>
  <c r="T20" i="65"/>
  <c r="U20" i="65"/>
  <c r="AD20" i="65"/>
  <c r="N20" i="65"/>
  <c r="CK30" i="16"/>
  <c r="CN30" i="16"/>
  <c r="CC46" i="16"/>
  <c r="CD4" i="16"/>
  <c r="CM30" i="16"/>
  <c r="E178" i="29"/>
  <c r="N178" i="29"/>
  <c r="D178" i="29" s="1"/>
  <c r="K180" i="29"/>
  <c r="C179" i="29"/>
  <c r="K114" i="29"/>
  <c r="C113" i="29"/>
  <c r="N113" i="29" s="1"/>
  <c r="D113" i="29" s="1"/>
  <c r="U22" i="55"/>
  <c r="T21" i="55"/>
  <c r="F3673" i="66"/>
  <c r="F3672" i="66" s="1"/>
  <c r="F3671" i="66" s="1"/>
  <c r="F3670" i="66" s="1"/>
  <c r="F3669" i="66" s="1"/>
  <c r="F3668" i="66" s="1"/>
  <c r="F3667" i="66" s="1"/>
  <c r="F3666" i="66" s="1"/>
  <c r="F3665" i="66" s="1"/>
  <c r="F3664" i="66" s="1"/>
  <c r="F3663" i="66" s="1"/>
  <c r="F3662" i="66" s="1"/>
  <c r="F3661" i="66" s="1"/>
  <c r="F3660" i="66" s="1"/>
  <c r="F3659" i="66" s="1"/>
  <c r="F3658" i="66" s="1"/>
  <c r="F3657" i="66" s="1"/>
  <c r="F3656" i="66" s="1"/>
  <c r="F3655" i="66" s="1"/>
  <c r="F3654" i="66" s="1"/>
  <c r="F3653" i="66" s="1"/>
  <c r="F3652" i="66" s="1"/>
  <c r="F3651" i="66" s="1"/>
  <c r="F3650" i="66" s="1"/>
  <c r="F3649" i="66" s="1"/>
  <c r="F3648" i="66" s="1"/>
  <c r="F3647" i="66" s="1"/>
  <c r="F3646" i="66" s="1"/>
  <c r="F3645" i="66" s="1"/>
  <c r="F3644" i="66" s="1"/>
  <c r="F3643" i="66" s="1"/>
  <c r="F3642" i="66" s="1"/>
  <c r="F3641" i="66" s="1"/>
  <c r="F3640" i="66" s="1"/>
  <c r="F3639" i="66" s="1"/>
  <c r="F3638" i="66" s="1"/>
  <c r="F3637" i="66" s="1"/>
  <c r="F3636" i="66" s="1"/>
  <c r="F3635" i="66" s="1"/>
  <c r="F3634" i="66" s="1"/>
  <c r="F3633" i="66" s="1"/>
  <c r="F3632" i="66" s="1"/>
  <c r="F3631" i="66" s="1"/>
  <c r="F3630" i="66" s="1"/>
  <c r="F3629" i="66" s="1"/>
  <c r="F3628" i="66" s="1"/>
  <c r="F3627" i="66" s="1"/>
  <c r="F3626" i="66" s="1"/>
  <c r="F3625" i="66" s="1"/>
  <c r="F3624" i="66" s="1"/>
  <c r="F3623" i="66" s="1"/>
  <c r="F3622" i="66" s="1"/>
  <c r="F3621" i="66" s="1"/>
  <c r="F3620" i="66" s="1"/>
  <c r="F3619" i="66" s="1"/>
  <c r="F3618" i="66" s="1"/>
  <c r="F3617" i="66" s="1"/>
  <c r="F3616" i="66" s="1"/>
  <c r="F3615" i="66" s="1"/>
  <c r="F3614" i="66" s="1"/>
  <c r="F3613" i="66" s="1"/>
  <c r="F3612" i="66" s="1"/>
  <c r="F3611" i="66" s="1"/>
  <c r="F3610" i="66" s="1"/>
  <c r="F3609" i="66" s="1"/>
  <c r="F3608" i="66" s="1"/>
  <c r="F3607" i="66" s="1"/>
  <c r="F3606" i="66" s="1"/>
  <c r="F3605" i="66" s="1"/>
  <c r="F3604" i="66" s="1"/>
  <c r="F3603" i="66" s="1"/>
  <c r="F3602" i="66" s="1"/>
  <c r="F3601" i="66" s="1"/>
  <c r="F3600" i="66" s="1"/>
  <c r="F3599" i="66" s="1"/>
  <c r="F3598" i="66" s="1"/>
  <c r="F3597" i="66" s="1"/>
  <c r="F3596" i="66" s="1"/>
  <c r="F3595" i="66" s="1"/>
  <c r="F3594" i="66" s="1"/>
  <c r="F3593" i="66" s="1"/>
  <c r="F3592" i="66" s="1"/>
  <c r="F3591" i="66" s="1"/>
  <c r="F3590" i="66" s="1"/>
  <c r="F3589" i="66" s="1"/>
  <c r="F3588" i="66" s="1"/>
  <c r="F3587" i="66" s="1"/>
  <c r="F3586" i="66" s="1"/>
  <c r="F3585" i="66" s="1"/>
  <c r="F3584" i="66" s="1"/>
  <c r="F3583" i="66" s="1"/>
  <c r="F3582" i="66" s="1"/>
  <c r="F3581" i="66" s="1"/>
  <c r="F3580" i="66" s="1"/>
  <c r="F3579" i="66" s="1"/>
  <c r="F3578" i="66" s="1"/>
  <c r="F3577" i="66" s="1"/>
  <c r="F3576" i="66" s="1"/>
  <c r="F3575" i="66" s="1"/>
  <c r="F3574" i="66" s="1"/>
  <c r="F3573" i="66" s="1"/>
  <c r="F3572" i="66" s="1"/>
  <c r="F3571" i="66" s="1"/>
  <c r="F3570" i="66" s="1"/>
  <c r="F3569" i="66" s="1"/>
  <c r="F3568" i="66" s="1"/>
  <c r="F3567" i="66" s="1"/>
  <c r="F3566" i="66" s="1"/>
  <c r="F3565" i="66" s="1"/>
  <c r="F3564" i="66" s="1"/>
  <c r="F3563" i="66" s="1"/>
  <c r="F3562" i="66" s="1"/>
  <c r="F3561" i="66" s="1"/>
  <c r="F3560" i="66" s="1"/>
  <c r="F3559" i="66" s="1"/>
  <c r="F3558" i="66" s="1"/>
  <c r="F3557" i="66" s="1"/>
  <c r="F3556" i="66" s="1"/>
  <c r="F3555" i="66" s="1"/>
  <c r="F3554" i="66" s="1"/>
  <c r="F3553" i="66" s="1"/>
  <c r="F3552" i="66" s="1"/>
  <c r="F3551" i="66" s="1"/>
  <c r="F3550" i="66" s="1"/>
  <c r="F3549" i="66" s="1"/>
  <c r="F3548" i="66" s="1"/>
  <c r="F3547" i="66" s="1"/>
  <c r="F3546" i="66" s="1"/>
  <c r="F3545" i="66" s="1"/>
  <c r="F3544" i="66" s="1"/>
  <c r="F3543" i="66" s="1"/>
  <c r="F3542" i="66" s="1"/>
  <c r="F3541" i="66" s="1"/>
  <c r="F3540" i="66" s="1"/>
  <c r="F3539" i="66" s="1"/>
  <c r="F3538" i="66" s="1"/>
  <c r="F3537" i="66" s="1"/>
  <c r="F3536" i="66" s="1"/>
  <c r="F3535" i="66" s="1"/>
  <c r="F3534" i="66" s="1"/>
  <c r="F3533" i="66" s="1"/>
  <c r="F3532" i="66" s="1"/>
  <c r="F3531" i="66" s="1"/>
  <c r="F3530" i="66" s="1"/>
  <c r="F3529" i="66" s="1"/>
  <c r="F3528" i="66" s="1"/>
  <c r="F3527" i="66" s="1"/>
  <c r="F3526" i="66" s="1"/>
  <c r="F3525" i="66" s="1"/>
  <c r="F3524" i="66" s="1"/>
  <c r="F3523" i="66" s="1"/>
  <c r="F3522" i="66" s="1"/>
  <c r="F3521" i="66" s="1"/>
  <c r="F3520" i="66" s="1"/>
  <c r="F3519" i="66" s="1"/>
  <c r="F3518" i="66" s="1"/>
  <c r="F3517" i="66" s="1"/>
  <c r="F3516" i="66" s="1"/>
  <c r="F3515" i="66" s="1"/>
  <c r="F3514" i="66" s="1"/>
  <c r="F3513" i="66" s="1"/>
  <c r="F3512" i="66" s="1"/>
  <c r="F3511" i="66" s="1"/>
  <c r="F3510" i="66" s="1"/>
  <c r="F3509" i="66" s="1"/>
  <c r="F3508" i="66" s="1"/>
  <c r="F3507" i="66" s="1"/>
  <c r="F3506" i="66" s="1"/>
  <c r="F3505" i="66" s="1"/>
  <c r="F3504" i="66" s="1"/>
  <c r="F3503" i="66" s="1"/>
  <c r="F3502" i="66" s="1"/>
  <c r="F3501" i="66" s="1"/>
  <c r="F3500" i="66" s="1"/>
  <c r="F3499" i="66" s="1"/>
  <c r="F3498" i="66" s="1"/>
  <c r="F3497" i="66" s="1"/>
  <c r="F3496" i="66" s="1"/>
  <c r="F3495" i="66" s="1"/>
  <c r="F3494" i="66" s="1"/>
  <c r="F3493" i="66" s="1"/>
  <c r="F3492" i="66" s="1"/>
  <c r="F3491" i="66" s="1"/>
  <c r="F3490" i="66" s="1"/>
  <c r="F3489" i="66" s="1"/>
  <c r="F3488" i="66" s="1"/>
  <c r="F3487" i="66" s="1"/>
  <c r="F3486" i="66" s="1"/>
  <c r="F3485" i="66" s="1"/>
  <c r="F3484" i="66" s="1"/>
  <c r="F3483" i="66" s="1"/>
  <c r="F3482" i="66" s="1"/>
  <c r="F3481" i="66" s="1"/>
  <c r="F3480" i="66" s="1"/>
  <c r="F3479" i="66" s="1"/>
  <c r="F3478" i="66" s="1"/>
  <c r="F3477" i="66" s="1"/>
  <c r="F3476" i="66" s="1"/>
  <c r="F3475" i="66" s="1"/>
  <c r="F3474" i="66" s="1"/>
  <c r="F3473" i="66" s="1"/>
  <c r="F3472" i="66" s="1"/>
  <c r="F3471" i="66" s="1"/>
  <c r="F3470" i="66" s="1"/>
  <c r="F3469" i="66" s="1"/>
  <c r="F3468" i="66" s="1"/>
  <c r="F3467" i="66" s="1"/>
  <c r="F3466" i="66" s="1"/>
  <c r="F3465" i="66" s="1"/>
  <c r="F3464" i="66" s="1"/>
  <c r="F3463" i="66" s="1"/>
  <c r="F3462" i="66" s="1"/>
  <c r="F3461" i="66" s="1"/>
  <c r="F3460" i="66" s="1"/>
  <c r="F3459" i="66" s="1"/>
  <c r="F3458" i="66" s="1"/>
  <c r="F3457" i="66" s="1"/>
  <c r="F3456" i="66" s="1"/>
  <c r="F3455" i="66" s="1"/>
  <c r="F3454" i="66" s="1"/>
  <c r="F3453" i="66" s="1"/>
  <c r="F3452" i="66" s="1"/>
  <c r="F3451" i="66" s="1"/>
  <c r="F3450" i="66" s="1"/>
  <c r="F3449" i="66" s="1"/>
  <c r="F3448" i="66" s="1"/>
  <c r="F3447" i="66" s="1"/>
  <c r="F3446" i="66" s="1"/>
  <c r="F3445" i="66" s="1"/>
  <c r="F3444" i="66" s="1"/>
  <c r="F3443" i="66" s="1"/>
  <c r="F3442" i="66" s="1"/>
  <c r="F3441" i="66" s="1"/>
  <c r="F3440" i="66" s="1"/>
  <c r="F3439" i="66" s="1"/>
  <c r="F3438" i="66" s="1"/>
  <c r="F3437" i="66" s="1"/>
  <c r="F3436" i="66" s="1"/>
  <c r="F3435" i="66" s="1"/>
  <c r="F3434" i="66" s="1"/>
  <c r="F3433" i="66" s="1"/>
  <c r="F3432" i="66" s="1"/>
  <c r="F3431" i="66" s="1"/>
  <c r="F3430" i="66" s="1"/>
  <c r="F3429" i="66" s="1"/>
  <c r="F3428" i="66" s="1"/>
  <c r="F3427" i="66" s="1"/>
  <c r="F3426" i="66" s="1"/>
  <c r="M18" i="66"/>
  <c r="A38" i="29"/>
  <c r="K39" i="29"/>
  <c r="BA37" i="63"/>
  <c r="BB37" i="63"/>
  <c r="F37" i="63" s="1"/>
  <c r="D36" i="63"/>
  <c r="O32" i="66"/>
  <c r="CE13" i="16"/>
  <c r="CF13" i="16" s="1"/>
  <c r="CG13" i="16" s="1"/>
  <c r="BP13" i="16" s="1"/>
  <c r="CL41" i="16"/>
  <c r="CF33" i="16"/>
  <c r="CG33" i="16" s="1"/>
  <c r="CD17" i="16"/>
  <c r="CE17" i="16" s="1"/>
  <c r="CF17" i="16" s="1"/>
  <c r="CG17" i="16" s="1"/>
  <c r="BP17" i="16" s="1"/>
  <c r="CK41" i="16"/>
  <c r="AL53" i="66"/>
  <c r="I20" i="19"/>
  <c r="J21" i="19"/>
  <c r="W4" i="55"/>
  <c r="X5" i="55"/>
  <c r="B136" i="29"/>
  <c r="G136" i="29" s="1"/>
  <c r="F136" i="29"/>
  <c r="E136" i="29"/>
  <c r="H136" i="29"/>
  <c r="D136" i="29"/>
  <c r="BP18" i="45"/>
  <c r="BM15" i="45"/>
  <c r="BO15" i="45"/>
  <c r="BM17" i="45"/>
  <c r="CJ41" i="16"/>
  <c r="K142" i="29"/>
  <c r="C141" i="29"/>
  <c r="N141" i="29" s="1"/>
  <c r="D141" i="29" s="1"/>
  <c r="AZ69" i="45"/>
  <c r="AZ68" i="45"/>
  <c r="BA67" i="45"/>
  <c r="A20" i="10"/>
  <c r="B37" i="29"/>
  <c r="G37" i="29" s="1"/>
  <c r="E37" i="29"/>
  <c r="F37" i="29"/>
  <c r="H37" i="29"/>
  <c r="C37" i="29"/>
  <c r="N37" i="29" s="1"/>
  <c r="D37" i="29" s="1"/>
  <c r="BM16" i="45"/>
  <c r="BK19" i="45"/>
  <c r="BJ16" i="45"/>
  <c r="BK16" i="45"/>
  <c r="BJ19" i="45"/>
  <c r="BK17" i="45"/>
  <c r="BO16" i="45"/>
  <c r="BN17" i="45"/>
  <c r="BK18" i="45"/>
  <c r="BN18" i="45"/>
  <c r="BL19" i="45"/>
  <c r="BL16" i="45"/>
  <c r="BO22" i="16"/>
  <c r="CJ23" i="16"/>
  <c r="CI23" i="16"/>
  <c r="CH23" i="16"/>
  <c r="CH6" i="16"/>
  <c r="CP29" i="16"/>
  <c r="CH9" i="16"/>
  <c r="CI30" i="16"/>
  <c r="CH30" i="16"/>
  <c r="CJ10" i="16"/>
  <c r="CK9" i="16"/>
  <c r="CN9" i="16"/>
  <c r="CH41" i="16"/>
  <c r="CQ6" i="16"/>
  <c r="CN21" i="16"/>
  <c r="CO6" i="16"/>
  <c r="CL30" i="16"/>
  <c r="CO30" i="16"/>
  <c r="CI31" i="16"/>
  <c r="CM41" i="16"/>
  <c r="CI9" i="16"/>
  <c r="CQ41" i="16"/>
  <c r="CQ8" i="16"/>
  <c r="CN41" i="16"/>
  <c r="CH8" i="16"/>
  <c r="CQ9" i="16"/>
  <c r="CJ30" i="16"/>
  <c r="CP9" i="16"/>
  <c r="CJ9" i="16"/>
  <c r="CP21" i="16"/>
  <c r="CP30" i="16"/>
  <c r="CI41" i="16"/>
  <c r="CO41" i="16"/>
  <c r="CP41" i="16"/>
  <c r="CL9" i="16"/>
  <c r="CQ30" i="16"/>
  <c r="CQ21" i="16"/>
  <c r="BP41" i="16"/>
  <c r="E36" i="28"/>
  <c r="G57" i="28"/>
  <c r="AS58" i="28"/>
  <c r="F57" i="28"/>
  <c r="E57" i="28"/>
  <c r="D57" i="28"/>
  <c r="H57" i="28"/>
  <c r="B57" i="28"/>
  <c r="I57" i="28"/>
  <c r="H97" i="28"/>
  <c r="F97" i="28"/>
  <c r="G97" i="28"/>
  <c r="AS98" i="28"/>
  <c r="E97" i="28"/>
  <c r="D97" i="28"/>
  <c r="B97" i="28"/>
  <c r="I97" i="28"/>
  <c r="D78" i="28"/>
  <c r="B78" i="28"/>
  <c r="G78" i="28"/>
  <c r="H78" i="28"/>
  <c r="AS79" i="28"/>
  <c r="E78" i="28"/>
  <c r="F78" i="28"/>
  <c r="I78" i="28"/>
  <c r="I37" i="28"/>
  <c r="G37" i="28"/>
  <c r="H37" i="28"/>
  <c r="C37" i="28"/>
  <c r="AU37" i="28" s="1"/>
  <c r="D37" i="28" s="1"/>
  <c r="F37" i="28"/>
  <c r="B37" i="28"/>
  <c r="H43" i="28"/>
  <c r="G43" i="28"/>
  <c r="B43" i="28"/>
  <c r="AS45" i="28"/>
  <c r="F43" i="28"/>
  <c r="I43" i="28"/>
  <c r="A38" i="28"/>
  <c r="AR39" i="28"/>
  <c r="J250" i="28"/>
  <c r="AT23" i="28"/>
  <c r="R37" i="7"/>
  <c r="AR61" i="28"/>
  <c r="C60" i="28"/>
  <c r="AU60" i="28" s="1"/>
  <c r="C127" i="28"/>
  <c r="AU127" i="28" s="1"/>
  <c r="AR128" i="28"/>
  <c r="B117" i="28"/>
  <c r="I117" i="28"/>
  <c r="AS118" i="28"/>
  <c r="G117" i="28"/>
  <c r="F117" i="28"/>
  <c r="H117" i="28"/>
  <c r="E117" i="28"/>
  <c r="D117" i="28"/>
  <c r="C103" i="28"/>
  <c r="AR104" i="28"/>
  <c r="AR102" i="28"/>
  <c r="C102" i="28" s="1"/>
  <c r="AU102" i="28" s="1"/>
  <c r="C101" i="28"/>
  <c r="AU101" i="28" s="1"/>
  <c r="C216" i="28"/>
  <c r="AR217" i="28"/>
  <c r="AU217" i="28"/>
  <c r="J216" i="28"/>
  <c r="C82" i="28"/>
  <c r="AR83" i="28"/>
  <c r="C83" i="28" s="1"/>
  <c r="I23" i="9"/>
  <c r="G23" i="9"/>
  <c r="H23" i="9"/>
  <c r="E23" i="9"/>
  <c r="C20" i="10"/>
  <c r="B20" i="10" s="1"/>
  <c r="K21" i="10"/>
  <c r="D23" i="9"/>
  <c r="F23" i="9"/>
  <c r="A25" i="9"/>
  <c r="AR26" i="9"/>
  <c r="AS26" i="9" s="1"/>
  <c r="B24" i="9"/>
  <c r="F24" i="9" s="1"/>
  <c r="C24" i="9"/>
  <c r="E15" i="35"/>
  <c r="I15" i="35"/>
  <c r="G15" i="35"/>
  <c r="H15" i="35"/>
  <c r="O14" i="39"/>
  <c r="L15" i="36"/>
  <c r="E306" i="29"/>
  <c r="F306" i="29"/>
  <c r="H306" i="29"/>
  <c r="B306" i="29"/>
  <c r="G306" i="29" s="1"/>
  <c r="K308" i="29"/>
  <c r="C307" i="29"/>
  <c r="G261" i="28"/>
  <c r="B261" i="28"/>
  <c r="I261" i="28"/>
  <c r="H261" i="28"/>
  <c r="F261" i="28"/>
  <c r="C13" i="38"/>
  <c r="C11" i="39" s="1"/>
  <c r="E14" i="36"/>
  <c r="I14" i="36"/>
  <c r="AV14" i="38"/>
  <c r="L14" i="39"/>
  <c r="M14" i="39" s="1"/>
  <c r="C14" i="39" s="1"/>
  <c r="C334" i="29"/>
  <c r="C335" i="29" s="1"/>
  <c r="K335" i="29"/>
  <c r="C262" i="28"/>
  <c r="AU262" i="28" s="1"/>
  <c r="AR264" i="28"/>
  <c r="AR263" i="28"/>
  <c r="C263" i="28" s="1"/>
  <c r="AU263" i="28" s="1"/>
  <c r="AS14" i="38"/>
  <c r="D15" i="35"/>
  <c r="C321" i="29"/>
  <c r="K322" i="29"/>
  <c r="AV16" i="16"/>
  <c r="AV17" i="16" s="1"/>
  <c r="AV18" i="16" s="1"/>
  <c r="AV19" i="16" s="1"/>
  <c r="AV20" i="16" s="1"/>
  <c r="AV21" i="16" s="1"/>
  <c r="AV22" i="16" s="1"/>
  <c r="AV23" i="16" s="1"/>
  <c r="AV24" i="16" s="1"/>
  <c r="AV25" i="16" s="1"/>
  <c r="AV26" i="16" s="1"/>
  <c r="AV27" i="16" s="1"/>
  <c r="AV28" i="16" s="1"/>
  <c r="AV29" i="16" s="1"/>
  <c r="AV30" i="16" s="1"/>
  <c r="AV31" i="16" s="1"/>
  <c r="AV32" i="16" s="1"/>
  <c r="AV33" i="16" s="1"/>
  <c r="AV34" i="16" s="1"/>
  <c r="AV35" i="16" s="1"/>
  <c r="AV36" i="16" s="1"/>
  <c r="AV37" i="16" s="1"/>
  <c r="AV38" i="16" s="1"/>
  <c r="AV39" i="16" s="1"/>
  <c r="AV40" i="16" s="1"/>
  <c r="AV41" i="16" s="1"/>
  <c r="AV42" i="16" s="1"/>
  <c r="AV43" i="16" s="1"/>
  <c r="AV44" i="16" s="1"/>
  <c r="H320" i="29"/>
  <c r="B320" i="29"/>
  <c r="G320" i="29" s="1"/>
  <c r="E320" i="29"/>
  <c r="F320" i="29"/>
  <c r="L321" i="29"/>
  <c r="D320" i="29"/>
  <c r="I14" i="37"/>
  <c r="AA4" i="19" l="1"/>
  <c r="AB3" i="19"/>
  <c r="AG24" i="9"/>
  <c r="U24" i="9"/>
  <c r="AF24" i="9"/>
  <c r="T24" i="9"/>
  <c r="AD24" i="9"/>
  <c r="R24" i="9"/>
  <c r="AM24" i="9"/>
  <c r="AA24" i="9"/>
  <c r="O24" i="9"/>
  <c r="AB24" i="9"/>
  <c r="J24" i="9"/>
  <c r="AO24" i="9"/>
  <c r="X24" i="9"/>
  <c r="AK24" i="9"/>
  <c r="S24" i="9"/>
  <c r="AJ24" i="9"/>
  <c r="Q24" i="9"/>
  <c r="M24" i="9"/>
  <c r="AI24" i="9"/>
  <c r="P24" i="9"/>
  <c r="AH24" i="9"/>
  <c r="N24" i="9"/>
  <c r="AE24" i="9"/>
  <c r="Z24" i="9"/>
  <c r="AC24" i="9"/>
  <c r="L24" i="9"/>
  <c r="K24" i="9"/>
  <c r="AN24" i="9"/>
  <c r="AL24" i="9"/>
  <c r="Y24" i="9"/>
  <c r="W24" i="9"/>
  <c r="V24" i="9"/>
  <c r="N289" i="29"/>
  <c r="D288" i="29"/>
  <c r="N306" i="29"/>
  <c r="D305" i="29"/>
  <c r="AU103" i="28"/>
  <c r="AU83" i="28"/>
  <c r="AU82" i="28"/>
  <c r="L45" i="76"/>
  <c r="K48" i="76"/>
  <c r="K50" i="76" s="1"/>
  <c r="K49" i="76" s="1"/>
  <c r="M52" i="76"/>
  <c r="M54" i="76" s="1"/>
  <c r="M53" i="76" s="1"/>
  <c r="N44" i="76"/>
  <c r="B168" i="29"/>
  <c r="G168" i="29" s="1"/>
  <c r="F168" i="29"/>
  <c r="H168" i="29"/>
  <c r="E168" i="29"/>
  <c r="B167" i="29"/>
  <c r="G167" i="29" s="1"/>
  <c r="F167" i="29"/>
  <c r="H167" i="29"/>
  <c r="E167" i="29"/>
  <c r="D167" i="29"/>
  <c r="D26" i="19"/>
  <c r="E27" i="19"/>
  <c r="C82" i="29"/>
  <c r="N82" i="29" s="1"/>
  <c r="K83" i="29"/>
  <c r="H81" i="29"/>
  <c r="D81" i="29"/>
  <c r="F81" i="29"/>
  <c r="B81" i="29"/>
  <c r="G81" i="29" s="1"/>
  <c r="E81" i="29"/>
  <c r="V28" i="55"/>
  <c r="U27" i="55"/>
  <c r="CJ33" i="16"/>
  <c r="L20" i="66"/>
  <c r="K21" i="66"/>
  <c r="S20" i="66"/>
  <c r="CH33" i="16"/>
  <c r="CP33" i="16"/>
  <c r="F21" i="65"/>
  <c r="D21" i="65"/>
  <c r="CI17" i="16"/>
  <c r="CH17" i="16"/>
  <c r="C22" i="65"/>
  <c r="B22" i="65"/>
  <c r="F22" i="65" s="1"/>
  <c r="E23" i="65"/>
  <c r="D23" i="65"/>
  <c r="C23" i="65"/>
  <c r="G23" i="65"/>
  <c r="B23" i="65"/>
  <c r="F23" i="65"/>
  <c r="H23" i="65"/>
  <c r="E21" i="65"/>
  <c r="CN33" i="16"/>
  <c r="AE21" i="65"/>
  <c r="V21" i="65"/>
  <c r="X21" i="65"/>
  <c r="AM21" i="65"/>
  <c r="AH21" i="65"/>
  <c r="U21" i="65"/>
  <c r="Z21" i="65"/>
  <c r="Q21" i="65"/>
  <c r="AC21" i="65"/>
  <c r="AA21" i="65"/>
  <c r="N21" i="65"/>
  <c r="W21" i="65"/>
  <c r="M21" i="65"/>
  <c r="J21" i="65"/>
  <c r="O21" i="65"/>
  <c r="AD21" i="65"/>
  <c r="AG21" i="65"/>
  <c r="AB21" i="65"/>
  <c r="P21" i="65"/>
  <c r="R21" i="65"/>
  <c r="S21" i="65"/>
  <c r="AF21" i="65"/>
  <c r="Y21" i="65"/>
  <c r="L21" i="65"/>
  <c r="K21" i="65"/>
  <c r="T21" i="65"/>
  <c r="CI33" i="16"/>
  <c r="CK33" i="16"/>
  <c r="CO13" i="16"/>
  <c r="CD46" i="16"/>
  <c r="CK23" i="16" s="1"/>
  <c r="CE4" i="16"/>
  <c r="CP13" i="16"/>
  <c r="F3425" i="66"/>
  <c r="F3424" i="66" s="1"/>
  <c r="F3423" i="66" s="1"/>
  <c r="F3422" i="66" s="1"/>
  <c r="F3421" i="66" s="1"/>
  <c r="F3420" i="66" s="1"/>
  <c r="F3419" i="66" s="1"/>
  <c r="F3418" i="66" s="1"/>
  <c r="F3417" i="66" s="1"/>
  <c r="F3416" i="66" s="1"/>
  <c r="F3415" i="66" s="1"/>
  <c r="F3414" i="66" s="1"/>
  <c r="F3413" i="66" s="1"/>
  <c r="F3412" i="66" s="1"/>
  <c r="F3411" i="66" s="1"/>
  <c r="F3410" i="66" s="1"/>
  <c r="F3409" i="66" s="1"/>
  <c r="F3408" i="66" s="1"/>
  <c r="F3407" i="66" s="1"/>
  <c r="F3406" i="66" s="1"/>
  <c r="F3405" i="66" s="1"/>
  <c r="F3404" i="66" s="1"/>
  <c r="F3403" i="66" s="1"/>
  <c r="F3402" i="66" s="1"/>
  <c r="F3401" i="66" s="1"/>
  <c r="F3400" i="66" s="1"/>
  <c r="F3399" i="66" s="1"/>
  <c r="F3398" i="66" s="1"/>
  <c r="F3397" i="66" s="1"/>
  <c r="F3396" i="66" s="1"/>
  <c r="F3395" i="66" s="1"/>
  <c r="F3394" i="66" s="1"/>
  <c r="F3393" i="66" s="1"/>
  <c r="F3392" i="66" s="1"/>
  <c r="F3391" i="66" s="1"/>
  <c r="F3390" i="66" s="1"/>
  <c r="F3389" i="66" s="1"/>
  <c r="F3388" i="66" s="1"/>
  <c r="F3387" i="66" s="1"/>
  <c r="F3386" i="66" s="1"/>
  <c r="F3385" i="66" s="1"/>
  <c r="F3384" i="66" s="1"/>
  <c r="F3383" i="66" s="1"/>
  <c r="F3382" i="66" s="1"/>
  <c r="F3381" i="66" s="1"/>
  <c r="F3380" i="66" s="1"/>
  <c r="F3379" i="66" s="1"/>
  <c r="F3378" i="66" s="1"/>
  <c r="F3377" i="66" s="1"/>
  <c r="F3376" i="66" s="1"/>
  <c r="F3375" i="66" s="1"/>
  <c r="F3374" i="66" s="1"/>
  <c r="F3373" i="66" s="1"/>
  <c r="F3372" i="66" s="1"/>
  <c r="F3371" i="66" s="1"/>
  <c r="F3370" i="66" s="1"/>
  <c r="F3369" i="66" s="1"/>
  <c r="F3368" i="66" s="1"/>
  <c r="F3367" i="66" s="1"/>
  <c r="F3366" i="66" s="1"/>
  <c r="F3365" i="66" s="1"/>
  <c r="F3364" i="66" s="1"/>
  <c r="F3363" i="66" s="1"/>
  <c r="F3362" i="66" s="1"/>
  <c r="F3361" i="66" s="1"/>
  <c r="F3360" i="66" s="1"/>
  <c r="F3359" i="66" s="1"/>
  <c r="F3358" i="66" s="1"/>
  <c r="F3357" i="66" s="1"/>
  <c r="F3356" i="66" s="1"/>
  <c r="F3355" i="66" s="1"/>
  <c r="F3354" i="66" s="1"/>
  <c r="F3353" i="66" s="1"/>
  <c r="F3352" i="66" s="1"/>
  <c r="F3351" i="66" s="1"/>
  <c r="F3350" i="66" s="1"/>
  <c r="F3349" i="66" s="1"/>
  <c r="F3348" i="66" s="1"/>
  <c r="F3347" i="66" s="1"/>
  <c r="F3346" i="66" s="1"/>
  <c r="F3345" i="66" s="1"/>
  <c r="F3344" i="66" s="1"/>
  <c r="F3343" i="66" s="1"/>
  <c r="F3342" i="66" s="1"/>
  <c r="F3341" i="66" s="1"/>
  <c r="F3340" i="66" s="1"/>
  <c r="F3339" i="66" s="1"/>
  <c r="F3338" i="66" s="1"/>
  <c r="F3337" i="66" s="1"/>
  <c r="F3336" i="66" s="1"/>
  <c r="F3335" i="66" s="1"/>
  <c r="F3334" i="66" s="1"/>
  <c r="F3333" i="66" s="1"/>
  <c r="F3332" i="66" s="1"/>
  <c r="F3331" i="66" s="1"/>
  <c r="F3330" i="66" s="1"/>
  <c r="F3329" i="66" s="1"/>
  <c r="F3328" i="66" s="1"/>
  <c r="F3327" i="66" s="1"/>
  <c r="F3326" i="66" s="1"/>
  <c r="F3325" i="66" s="1"/>
  <c r="F3324" i="66" s="1"/>
  <c r="F3323" i="66" s="1"/>
  <c r="F3322" i="66" s="1"/>
  <c r="F3321" i="66" s="1"/>
  <c r="F3320" i="66" s="1"/>
  <c r="F3319" i="66" s="1"/>
  <c r="F3318" i="66" s="1"/>
  <c r="F3317" i="66" s="1"/>
  <c r="F3316" i="66" s="1"/>
  <c r="F3315" i="66" s="1"/>
  <c r="F3314" i="66" s="1"/>
  <c r="F3313" i="66" s="1"/>
  <c r="F3312" i="66" s="1"/>
  <c r="F3311" i="66" s="1"/>
  <c r="F3310" i="66" s="1"/>
  <c r="F3309" i="66" s="1"/>
  <c r="F3308" i="66" s="1"/>
  <c r="F3307" i="66" s="1"/>
  <c r="F3306" i="66" s="1"/>
  <c r="F3305" i="66" s="1"/>
  <c r="F3304" i="66" s="1"/>
  <c r="F3303" i="66" s="1"/>
  <c r="F3302" i="66" s="1"/>
  <c r="F3301" i="66" s="1"/>
  <c r="F3300" i="66" s="1"/>
  <c r="F3299" i="66" s="1"/>
  <c r="F3298" i="66" s="1"/>
  <c r="F3297" i="66" s="1"/>
  <c r="F3296" i="66" s="1"/>
  <c r="F3295" i="66" s="1"/>
  <c r="F3294" i="66" s="1"/>
  <c r="F3293" i="66" s="1"/>
  <c r="F3292" i="66" s="1"/>
  <c r="F3291" i="66" s="1"/>
  <c r="F3290" i="66" s="1"/>
  <c r="F3289" i="66" s="1"/>
  <c r="F3288" i="66" s="1"/>
  <c r="F3287" i="66" s="1"/>
  <c r="F3286" i="66" s="1"/>
  <c r="F3285" i="66" s="1"/>
  <c r="F3284" i="66" s="1"/>
  <c r="F3283" i="66" s="1"/>
  <c r="F3282" i="66" s="1"/>
  <c r="F3281" i="66" s="1"/>
  <c r="F3280" i="66" s="1"/>
  <c r="F3279" i="66" s="1"/>
  <c r="F3278" i="66" s="1"/>
  <c r="F3277" i="66" s="1"/>
  <c r="F3276" i="66" s="1"/>
  <c r="F3275" i="66" s="1"/>
  <c r="F3274" i="66" s="1"/>
  <c r="F3273" i="66" s="1"/>
  <c r="F3272" i="66" s="1"/>
  <c r="F3271" i="66" s="1"/>
  <c r="F3270" i="66" s="1"/>
  <c r="F3269" i="66" s="1"/>
  <c r="F3268" i="66" s="1"/>
  <c r="F3267" i="66" s="1"/>
  <c r="F3266" i="66" s="1"/>
  <c r="F3265" i="66" s="1"/>
  <c r="F3264" i="66" s="1"/>
  <c r="F3263" i="66" s="1"/>
  <c r="F3262" i="66" s="1"/>
  <c r="F3261" i="66" s="1"/>
  <c r="F3260" i="66" s="1"/>
  <c r="F3259" i="66" s="1"/>
  <c r="F3258" i="66" s="1"/>
  <c r="F3257" i="66" s="1"/>
  <c r="F3256" i="66" s="1"/>
  <c r="F3255" i="66" s="1"/>
  <c r="F3254" i="66" s="1"/>
  <c r="F3253" i="66" s="1"/>
  <c r="F3252" i="66" s="1"/>
  <c r="F3251" i="66" s="1"/>
  <c r="F3250" i="66" s="1"/>
  <c r="F3249" i="66" s="1"/>
  <c r="F3248" i="66" s="1"/>
  <c r="F3247" i="66" s="1"/>
  <c r="F3246" i="66" s="1"/>
  <c r="F3245" i="66" s="1"/>
  <c r="F3244" i="66" s="1"/>
  <c r="F3243" i="66" s="1"/>
  <c r="F3242" i="66" s="1"/>
  <c r="F3241" i="66" s="1"/>
  <c r="F3240" i="66" s="1"/>
  <c r="F3239" i="66" s="1"/>
  <c r="F3238" i="66" s="1"/>
  <c r="F3237" i="66" s="1"/>
  <c r="F3236" i="66" s="1"/>
  <c r="F3235" i="66" s="1"/>
  <c r="F3234" i="66" s="1"/>
  <c r="F3233" i="66" s="1"/>
  <c r="F3232" i="66" s="1"/>
  <c r="F3231" i="66" s="1"/>
  <c r="F3230" i="66" s="1"/>
  <c r="F3229" i="66" s="1"/>
  <c r="F3228" i="66" s="1"/>
  <c r="F3227" i="66" s="1"/>
  <c r="F3226" i="66" s="1"/>
  <c r="F3225" i="66" s="1"/>
  <c r="F3224" i="66" s="1"/>
  <c r="F3223" i="66" s="1"/>
  <c r="F3222" i="66" s="1"/>
  <c r="F3221" i="66" s="1"/>
  <c r="F3220" i="66" s="1"/>
  <c r="F3219" i="66" s="1"/>
  <c r="F3218" i="66" s="1"/>
  <c r="F3217" i="66" s="1"/>
  <c r="F3216" i="66" s="1"/>
  <c r="F3215" i="66" s="1"/>
  <c r="F3214" i="66" s="1"/>
  <c r="F3213" i="66" s="1"/>
  <c r="F3212" i="66" s="1"/>
  <c r="F3211" i="66" s="1"/>
  <c r="F3210" i="66" s="1"/>
  <c r="F3209" i="66" s="1"/>
  <c r="F3208" i="66" s="1"/>
  <c r="F3207" i="66" s="1"/>
  <c r="F3206" i="66" s="1"/>
  <c r="F3205" i="66" s="1"/>
  <c r="F3204" i="66" s="1"/>
  <c r="F3203" i="66" s="1"/>
  <c r="F3202" i="66" s="1"/>
  <c r="F3201" i="66" s="1"/>
  <c r="F3200" i="66" s="1"/>
  <c r="F3199" i="66" s="1"/>
  <c r="F3198" i="66" s="1"/>
  <c r="F3197" i="66" s="1"/>
  <c r="F3196" i="66" s="1"/>
  <c r="F3195" i="66" s="1"/>
  <c r="F3194" i="66" s="1"/>
  <c r="F3193" i="66" s="1"/>
  <c r="F3192" i="66" s="1"/>
  <c r="F3191" i="66" s="1"/>
  <c r="F3190" i="66" s="1"/>
  <c r="F3189" i="66" s="1"/>
  <c r="F3188" i="66" s="1"/>
  <c r="F3187" i="66" s="1"/>
  <c r="F3186" i="66" s="1"/>
  <c r="F3185" i="66" s="1"/>
  <c r="F3184" i="66" s="1"/>
  <c r="F3183" i="66" s="1"/>
  <c r="F3182" i="66" s="1"/>
  <c r="F3181" i="66" s="1"/>
  <c r="F3180" i="66" s="1"/>
  <c r="F3179" i="66" s="1"/>
  <c r="F3178" i="66" s="1"/>
  <c r="F3177" i="66" s="1"/>
  <c r="F3176" i="66" s="1"/>
  <c r="M19" i="66"/>
  <c r="M65" i="16"/>
  <c r="CQ33" i="16"/>
  <c r="CO33" i="16"/>
  <c r="S21" i="55"/>
  <c r="S22" i="55" s="1"/>
  <c r="T22" i="55"/>
  <c r="K115" i="29"/>
  <c r="C114" i="29"/>
  <c r="N114" i="29" s="1"/>
  <c r="D114" i="29" s="1"/>
  <c r="CO17" i="16"/>
  <c r="CQ17" i="16"/>
  <c r="E179" i="29"/>
  <c r="N179" i="29"/>
  <c r="D179" i="29" s="1"/>
  <c r="K181" i="29"/>
  <c r="C180" i="29"/>
  <c r="CJ17" i="16"/>
  <c r="E20" i="10"/>
  <c r="CK17" i="16"/>
  <c r="CL17" i="16"/>
  <c r="B38" i="29"/>
  <c r="G38" i="29" s="1"/>
  <c r="H38" i="29"/>
  <c r="F38" i="29"/>
  <c r="E38" i="29"/>
  <c r="C38" i="29"/>
  <c r="N38" i="29" s="1"/>
  <c r="D38" i="29" s="1"/>
  <c r="H20" i="19"/>
  <c r="I21" i="19"/>
  <c r="M74" i="16"/>
  <c r="BO21" i="16"/>
  <c r="CM22" i="16"/>
  <c r="CJ22" i="16"/>
  <c r="CH22" i="16"/>
  <c r="CK22" i="16"/>
  <c r="CI22" i="16"/>
  <c r="CL22" i="16"/>
  <c r="BA68" i="45"/>
  <c r="BA69" i="45"/>
  <c r="BB67" i="45"/>
  <c r="K143" i="29"/>
  <c r="C142" i="29"/>
  <c r="N142" i="29" s="1"/>
  <c r="D142" i="29" s="1"/>
  <c r="W5" i="55"/>
  <c r="V4" i="55"/>
  <c r="AL54" i="66"/>
  <c r="CM33" i="16"/>
  <c r="D37" i="63"/>
  <c r="BB38" i="63"/>
  <c r="F38" i="63" s="1"/>
  <c r="BA38" i="63"/>
  <c r="CL33" i="16"/>
  <c r="BP33" i="16"/>
  <c r="CQ13" i="16"/>
  <c r="CN17" i="16"/>
  <c r="CP17" i="16"/>
  <c r="CM17" i="16"/>
  <c r="O33" i="66"/>
  <c r="K40" i="29"/>
  <c r="A39" i="29"/>
  <c r="E37" i="28"/>
  <c r="A39" i="28"/>
  <c r="AR40" i="28"/>
  <c r="I58" i="28"/>
  <c r="H58" i="28"/>
  <c r="B58" i="28"/>
  <c r="G58" i="28"/>
  <c r="D58" i="28"/>
  <c r="F58" i="28"/>
  <c r="AS59" i="28"/>
  <c r="E58" i="28"/>
  <c r="G98" i="28"/>
  <c r="H98" i="28"/>
  <c r="E98" i="28"/>
  <c r="B98" i="28"/>
  <c r="F98" i="28"/>
  <c r="AS99" i="28"/>
  <c r="I98" i="28"/>
  <c r="D98" i="28"/>
  <c r="I38" i="28"/>
  <c r="G38" i="28"/>
  <c r="C38" i="28"/>
  <c r="AU38" i="28" s="1"/>
  <c r="H38" i="28"/>
  <c r="B38" i="28"/>
  <c r="F38" i="28"/>
  <c r="E79" i="28"/>
  <c r="H79" i="28"/>
  <c r="I79" i="28"/>
  <c r="AS80" i="28"/>
  <c r="F79" i="28"/>
  <c r="G79" i="28"/>
  <c r="D79" i="28"/>
  <c r="B79" i="28"/>
  <c r="S37" i="7"/>
  <c r="AT14" i="28"/>
  <c r="J205" i="28"/>
  <c r="J212" i="28"/>
  <c r="AS119" i="28"/>
  <c r="H118" i="28"/>
  <c r="B118" i="28"/>
  <c r="G118" i="28"/>
  <c r="I118" i="28"/>
  <c r="F118" i="28"/>
  <c r="E118" i="28"/>
  <c r="D118" i="28"/>
  <c r="J217" i="28"/>
  <c r="AU218" i="28"/>
  <c r="C104" i="28"/>
  <c r="AR105" i="28"/>
  <c r="C105" i="28" s="1"/>
  <c r="AU105" i="28" s="1"/>
  <c r="AR218" i="28"/>
  <c r="C217" i="28"/>
  <c r="AR130" i="28"/>
  <c r="C128" i="28"/>
  <c r="AU128" i="28" s="1"/>
  <c r="AR63" i="28"/>
  <c r="AR62" i="28"/>
  <c r="C62" i="28" s="1"/>
  <c r="AU62" i="28" s="1"/>
  <c r="C61" i="28"/>
  <c r="AU61" i="28" s="1"/>
  <c r="C25" i="9"/>
  <c r="B25" i="9"/>
  <c r="F25" i="9" s="1"/>
  <c r="D20" i="10"/>
  <c r="I24" i="9"/>
  <c r="H20" i="10"/>
  <c r="E24" i="9"/>
  <c r="G20" i="10"/>
  <c r="H24" i="9"/>
  <c r="D24" i="9"/>
  <c r="I21" i="10"/>
  <c r="F21" i="10"/>
  <c r="L21" i="10"/>
  <c r="AR27" i="9"/>
  <c r="AS27" i="9" s="1"/>
  <c r="A26" i="9"/>
  <c r="G24" i="9"/>
  <c r="AT14" i="38"/>
  <c r="C14" i="38" s="1"/>
  <c r="D262" i="28"/>
  <c r="AS263" i="28"/>
  <c r="J263" i="28" s="1"/>
  <c r="E262" i="28"/>
  <c r="G262" i="28"/>
  <c r="I262" i="28"/>
  <c r="H262" i="28"/>
  <c r="B262" i="28"/>
  <c r="F262" i="28"/>
  <c r="AR266" i="28"/>
  <c r="C264" i="28"/>
  <c r="AU264" i="28" s="1"/>
  <c r="O15" i="39"/>
  <c r="J79" i="16"/>
  <c r="L69" i="16"/>
  <c r="J69" i="16"/>
  <c r="J66" i="16"/>
  <c r="G63" i="16"/>
  <c r="J70" i="16"/>
  <c r="G75" i="16"/>
  <c r="G66" i="16"/>
  <c r="J60" i="16"/>
  <c r="K74" i="16"/>
  <c r="K77" i="16"/>
  <c r="G71" i="16"/>
  <c r="J76" i="16"/>
  <c r="J64" i="16"/>
  <c r="G74" i="16"/>
  <c r="J75" i="16"/>
  <c r="G64" i="16"/>
  <c r="J63" i="16"/>
  <c r="J78" i="16"/>
  <c r="J68" i="16"/>
  <c r="G77" i="16"/>
  <c r="G62" i="16"/>
  <c r="G67" i="16"/>
  <c r="G79" i="16"/>
  <c r="G72" i="16"/>
  <c r="J77" i="16"/>
  <c r="G65" i="16"/>
  <c r="M64" i="16"/>
  <c r="M70" i="16"/>
  <c r="J71" i="16"/>
  <c r="G69" i="16"/>
  <c r="M69" i="16"/>
  <c r="G78" i="16"/>
  <c r="G70" i="16"/>
  <c r="G61" i="16"/>
  <c r="G73" i="16"/>
  <c r="M77" i="16"/>
  <c r="M75" i="16"/>
  <c r="G76" i="16"/>
  <c r="M72" i="16"/>
  <c r="M66" i="16"/>
  <c r="M67" i="16"/>
  <c r="M71" i="16"/>
  <c r="M76" i="16"/>
  <c r="M63" i="16"/>
  <c r="M79" i="16"/>
  <c r="M73" i="16"/>
  <c r="M68" i="16"/>
  <c r="M78" i="16"/>
  <c r="F321" i="29"/>
  <c r="E321" i="29"/>
  <c r="H321" i="29"/>
  <c r="B321" i="29"/>
  <c r="G321" i="29" s="1"/>
  <c r="D321" i="29"/>
  <c r="C322" i="29"/>
  <c r="K323" i="29"/>
  <c r="K309" i="29"/>
  <c r="C308" i="29"/>
  <c r="J262" i="28"/>
  <c r="L15" i="39"/>
  <c r="M15" i="39" s="1"/>
  <c r="C15" i="39" s="1"/>
  <c r="C14" i="37"/>
  <c r="A14" i="37" s="1"/>
  <c r="D14" i="37" s="1"/>
  <c r="AB4" i="19" l="1"/>
  <c r="AC3" i="19"/>
  <c r="AK25" i="9"/>
  <c r="Y25" i="9"/>
  <c r="M25" i="9"/>
  <c r="AJ25" i="9"/>
  <c r="X25" i="9"/>
  <c r="L25" i="9"/>
  <c r="AH25" i="9"/>
  <c r="V25" i="9"/>
  <c r="J25" i="9"/>
  <c r="AE25" i="9"/>
  <c r="S25" i="9"/>
  <c r="AF25" i="9"/>
  <c r="O25" i="9"/>
  <c r="AB25" i="9"/>
  <c r="AO25" i="9"/>
  <c r="W25" i="9"/>
  <c r="AI25" i="9"/>
  <c r="AN25" i="9"/>
  <c r="U25" i="9"/>
  <c r="Q25" i="9"/>
  <c r="N25" i="9"/>
  <c r="AM25" i="9"/>
  <c r="T25" i="9"/>
  <c r="AL25" i="9"/>
  <c r="R25" i="9"/>
  <c r="AD25" i="9"/>
  <c r="AG25" i="9"/>
  <c r="P25" i="9"/>
  <c r="Z25" i="9"/>
  <c r="K25" i="9"/>
  <c r="AC25" i="9"/>
  <c r="AA25" i="9"/>
  <c r="N307" i="29"/>
  <c r="D306" i="29"/>
  <c r="N290" i="29"/>
  <c r="D289" i="29"/>
  <c r="AU104" i="28"/>
  <c r="N52" i="76"/>
  <c r="N54" i="76" s="1"/>
  <c r="N53" i="76" s="1"/>
  <c r="O44" i="76"/>
  <c r="M45" i="76"/>
  <c r="L48" i="76"/>
  <c r="L50" i="76" s="1"/>
  <c r="L49" i="76" s="1"/>
  <c r="D27" i="19"/>
  <c r="C26" i="19"/>
  <c r="H82" i="29"/>
  <c r="E82" i="29"/>
  <c r="B82" i="29"/>
  <c r="G82" i="29" s="1"/>
  <c r="D82" i="29"/>
  <c r="F82" i="29"/>
  <c r="K84" i="29"/>
  <c r="C83" i="29"/>
  <c r="N83" i="29" s="1"/>
  <c r="K22" i="66"/>
  <c r="L21" i="66"/>
  <c r="S21" i="66"/>
  <c r="U28" i="55"/>
  <c r="T27" i="55"/>
  <c r="T23" i="65"/>
  <c r="AB23" i="65"/>
  <c r="AM23" i="65"/>
  <c r="V23" i="65"/>
  <c r="N23" i="65"/>
  <c r="J23" i="65"/>
  <c r="W23" i="65"/>
  <c r="U23" i="65"/>
  <c r="R23" i="65"/>
  <c r="P23" i="65"/>
  <c r="Y23" i="65"/>
  <c r="AF23" i="65"/>
  <c r="O23" i="65"/>
  <c r="L23" i="65"/>
  <c r="AD23" i="65"/>
  <c r="AA23" i="65"/>
  <c r="AE23" i="65"/>
  <c r="Q23" i="65"/>
  <c r="X23" i="65"/>
  <c r="AH23" i="65"/>
  <c r="Z23" i="65"/>
  <c r="M23" i="65"/>
  <c r="K23" i="65"/>
  <c r="AG23" i="65"/>
  <c r="AC23" i="65"/>
  <c r="S23" i="65"/>
  <c r="D22" i="65"/>
  <c r="E22" i="65"/>
  <c r="G22" i="65"/>
  <c r="AC22" i="65"/>
  <c r="O22" i="65"/>
  <c r="Y22" i="65"/>
  <c r="T22" i="65"/>
  <c r="Q22" i="65"/>
  <c r="AH22" i="65"/>
  <c r="L22" i="65"/>
  <c r="J22" i="65"/>
  <c r="AE22" i="65"/>
  <c r="AD22" i="65"/>
  <c r="N22" i="65"/>
  <c r="AG22" i="65"/>
  <c r="P22" i="65"/>
  <c r="AF22" i="65"/>
  <c r="Z22" i="65"/>
  <c r="W22" i="65"/>
  <c r="AB22" i="65"/>
  <c r="AA22" i="65"/>
  <c r="R22" i="65"/>
  <c r="U22" i="65"/>
  <c r="V22" i="65"/>
  <c r="K22" i="65"/>
  <c r="AM22" i="65"/>
  <c r="S22" i="65"/>
  <c r="M22" i="65"/>
  <c r="X22" i="65"/>
  <c r="CE46" i="16"/>
  <c r="CL23" i="16" s="1"/>
  <c r="CF4" i="16"/>
  <c r="E180" i="29"/>
  <c r="N180" i="29"/>
  <c r="D180" i="29" s="1"/>
  <c r="L181" i="29"/>
  <c r="C181" i="29"/>
  <c r="K182" i="29"/>
  <c r="K116" i="29"/>
  <c r="C115" i="29"/>
  <c r="N115" i="29" s="1"/>
  <c r="D115" i="29" s="1"/>
  <c r="F3175" i="66"/>
  <c r="F3174" i="66" s="1"/>
  <c r="F3173" i="66" s="1"/>
  <c r="F3172" i="66" s="1"/>
  <c r="F3171" i="66" s="1"/>
  <c r="F3170" i="66" s="1"/>
  <c r="F3169" i="66" s="1"/>
  <c r="F3168" i="66" s="1"/>
  <c r="F3167" i="66" s="1"/>
  <c r="F3166" i="66" s="1"/>
  <c r="F3165" i="66" s="1"/>
  <c r="F3164" i="66" s="1"/>
  <c r="F3163" i="66" s="1"/>
  <c r="F3162" i="66" s="1"/>
  <c r="F3161" i="66" s="1"/>
  <c r="F3160" i="66" s="1"/>
  <c r="F3159" i="66" s="1"/>
  <c r="F3158" i="66" s="1"/>
  <c r="F3157" i="66" s="1"/>
  <c r="F3156" i="66" s="1"/>
  <c r="F3155" i="66" s="1"/>
  <c r="F3154" i="66" s="1"/>
  <c r="F3153" i="66" s="1"/>
  <c r="F3152" i="66" s="1"/>
  <c r="F3151" i="66" s="1"/>
  <c r="F3150" i="66" s="1"/>
  <c r="F3149" i="66" s="1"/>
  <c r="F3148" i="66" s="1"/>
  <c r="F3147" i="66" s="1"/>
  <c r="F3146" i="66" s="1"/>
  <c r="F3145" i="66" s="1"/>
  <c r="F3144" i="66" s="1"/>
  <c r="F3143" i="66" s="1"/>
  <c r="F3142" i="66" s="1"/>
  <c r="F3141" i="66" s="1"/>
  <c r="F3140" i="66" s="1"/>
  <c r="F3139" i="66" s="1"/>
  <c r="F3138" i="66" s="1"/>
  <c r="F3137" i="66" s="1"/>
  <c r="F3136" i="66" s="1"/>
  <c r="F3135" i="66" s="1"/>
  <c r="F3134" i="66" s="1"/>
  <c r="F3133" i="66" s="1"/>
  <c r="F3132" i="66" s="1"/>
  <c r="F3131" i="66" s="1"/>
  <c r="F3130" i="66" s="1"/>
  <c r="F3129" i="66" s="1"/>
  <c r="F3128" i="66" s="1"/>
  <c r="F3127" i="66" s="1"/>
  <c r="F3126" i="66" s="1"/>
  <c r="F3125" i="66" s="1"/>
  <c r="F3124" i="66" s="1"/>
  <c r="F3123" i="66" s="1"/>
  <c r="F3122" i="66" s="1"/>
  <c r="F3121" i="66" s="1"/>
  <c r="F3120" i="66" s="1"/>
  <c r="F3119" i="66" s="1"/>
  <c r="F3118" i="66" s="1"/>
  <c r="F3117" i="66" s="1"/>
  <c r="F3116" i="66" s="1"/>
  <c r="F3115" i="66" s="1"/>
  <c r="F3114" i="66" s="1"/>
  <c r="F3113" i="66" s="1"/>
  <c r="F3112" i="66" s="1"/>
  <c r="F3111" i="66" s="1"/>
  <c r="F3110" i="66" s="1"/>
  <c r="F3109" i="66" s="1"/>
  <c r="F3108" i="66" s="1"/>
  <c r="F3107" i="66" s="1"/>
  <c r="F3106" i="66" s="1"/>
  <c r="F3105" i="66" s="1"/>
  <c r="F3104" i="66" s="1"/>
  <c r="F3103" i="66" s="1"/>
  <c r="F3102" i="66" s="1"/>
  <c r="F3101" i="66" s="1"/>
  <c r="F3100" i="66" s="1"/>
  <c r="F3099" i="66" s="1"/>
  <c r="F3098" i="66" s="1"/>
  <c r="F3097" i="66" s="1"/>
  <c r="F3096" i="66" s="1"/>
  <c r="F3095" i="66" s="1"/>
  <c r="F3094" i="66" s="1"/>
  <c r="F3093" i="66" s="1"/>
  <c r="F3092" i="66" s="1"/>
  <c r="F3091" i="66" s="1"/>
  <c r="F3090" i="66" s="1"/>
  <c r="F3089" i="66" s="1"/>
  <c r="F3088" i="66" s="1"/>
  <c r="F3087" i="66" s="1"/>
  <c r="F3086" i="66" s="1"/>
  <c r="F3085" i="66" s="1"/>
  <c r="F3084" i="66" s="1"/>
  <c r="F3083" i="66" s="1"/>
  <c r="F3082" i="66" s="1"/>
  <c r="F3081" i="66" s="1"/>
  <c r="F3080" i="66" s="1"/>
  <c r="F3079" i="66" s="1"/>
  <c r="F3078" i="66" s="1"/>
  <c r="F3077" i="66" s="1"/>
  <c r="F3076" i="66" s="1"/>
  <c r="F3075" i="66" s="1"/>
  <c r="F3074" i="66" s="1"/>
  <c r="F3073" i="66" s="1"/>
  <c r="F3072" i="66" s="1"/>
  <c r="F3071" i="66" s="1"/>
  <c r="F3070" i="66" s="1"/>
  <c r="F3069" i="66" s="1"/>
  <c r="F3068" i="66" s="1"/>
  <c r="F3067" i="66" s="1"/>
  <c r="F3066" i="66" s="1"/>
  <c r="F3065" i="66" s="1"/>
  <c r="F3064" i="66" s="1"/>
  <c r="F3063" i="66" s="1"/>
  <c r="F3062" i="66" s="1"/>
  <c r="F3061" i="66" s="1"/>
  <c r="F3060" i="66" s="1"/>
  <c r="F3059" i="66" s="1"/>
  <c r="F3058" i="66" s="1"/>
  <c r="F3057" i="66" s="1"/>
  <c r="F3056" i="66" s="1"/>
  <c r="F3055" i="66" s="1"/>
  <c r="F3054" i="66" s="1"/>
  <c r="F3053" i="66" s="1"/>
  <c r="F3052" i="66" s="1"/>
  <c r="F3051" i="66" s="1"/>
  <c r="F3050" i="66" s="1"/>
  <c r="F3049" i="66" s="1"/>
  <c r="F3048" i="66" s="1"/>
  <c r="F3047" i="66" s="1"/>
  <c r="F3046" i="66" s="1"/>
  <c r="F3045" i="66" s="1"/>
  <c r="F3044" i="66" s="1"/>
  <c r="F3043" i="66" s="1"/>
  <c r="F3042" i="66" s="1"/>
  <c r="F3041" i="66" s="1"/>
  <c r="F3040" i="66" s="1"/>
  <c r="F3039" i="66" s="1"/>
  <c r="F3038" i="66" s="1"/>
  <c r="F3037" i="66" s="1"/>
  <c r="F3036" i="66" s="1"/>
  <c r="F3035" i="66" s="1"/>
  <c r="F3034" i="66" s="1"/>
  <c r="F3033" i="66" s="1"/>
  <c r="F3032" i="66" s="1"/>
  <c r="F3031" i="66" s="1"/>
  <c r="F3030" i="66" s="1"/>
  <c r="F3029" i="66" s="1"/>
  <c r="F3028" i="66" s="1"/>
  <c r="F3027" i="66" s="1"/>
  <c r="F3026" i="66" s="1"/>
  <c r="F3025" i="66" s="1"/>
  <c r="F3024" i="66" s="1"/>
  <c r="F3023" i="66" s="1"/>
  <c r="F3022" i="66" s="1"/>
  <c r="F3021" i="66" s="1"/>
  <c r="F3020" i="66" s="1"/>
  <c r="F3019" i="66" s="1"/>
  <c r="F3018" i="66" s="1"/>
  <c r="F3017" i="66" s="1"/>
  <c r="F3016" i="66" s="1"/>
  <c r="F3015" i="66" s="1"/>
  <c r="F3014" i="66" s="1"/>
  <c r="F3013" i="66" s="1"/>
  <c r="F3012" i="66" s="1"/>
  <c r="F3011" i="66" s="1"/>
  <c r="F3010" i="66" s="1"/>
  <c r="F3009" i="66" s="1"/>
  <c r="F3008" i="66" s="1"/>
  <c r="F3007" i="66" s="1"/>
  <c r="F3006" i="66" s="1"/>
  <c r="F3005" i="66" s="1"/>
  <c r="F3004" i="66" s="1"/>
  <c r="F3003" i="66" s="1"/>
  <c r="F3002" i="66" s="1"/>
  <c r="F3001" i="66" s="1"/>
  <c r="F3000" i="66" s="1"/>
  <c r="F2999" i="66" s="1"/>
  <c r="F2998" i="66" s="1"/>
  <c r="F2997" i="66" s="1"/>
  <c r="F2996" i="66" s="1"/>
  <c r="F2995" i="66" s="1"/>
  <c r="F2994" i="66" s="1"/>
  <c r="F2993" i="66" s="1"/>
  <c r="F2992" i="66" s="1"/>
  <c r="F2991" i="66" s="1"/>
  <c r="F2990" i="66" s="1"/>
  <c r="F2989" i="66" s="1"/>
  <c r="F2988" i="66" s="1"/>
  <c r="F2987" i="66" s="1"/>
  <c r="F2986" i="66" s="1"/>
  <c r="F2985" i="66" s="1"/>
  <c r="F2984" i="66" s="1"/>
  <c r="F2983" i="66" s="1"/>
  <c r="F2982" i="66" s="1"/>
  <c r="F2981" i="66" s="1"/>
  <c r="F2980" i="66" s="1"/>
  <c r="F2979" i="66" s="1"/>
  <c r="F2978" i="66" s="1"/>
  <c r="F2977" i="66" s="1"/>
  <c r="F2976" i="66" s="1"/>
  <c r="F2975" i="66" s="1"/>
  <c r="F2974" i="66" s="1"/>
  <c r="F2973" i="66" s="1"/>
  <c r="F2972" i="66" s="1"/>
  <c r="F2971" i="66" s="1"/>
  <c r="F2970" i="66" s="1"/>
  <c r="F2969" i="66" s="1"/>
  <c r="F2968" i="66" s="1"/>
  <c r="F2967" i="66" s="1"/>
  <c r="F2966" i="66" s="1"/>
  <c r="F2965" i="66" s="1"/>
  <c r="F2964" i="66" s="1"/>
  <c r="F2963" i="66" s="1"/>
  <c r="F2962" i="66" s="1"/>
  <c r="F2961" i="66" s="1"/>
  <c r="F2960" i="66" s="1"/>
  <c r="F2959" i="66" s="1"/>
  <c r="F2958" i="66" s="1"/>
  <c r="F2957" i="66" s="1"/>
  <c r="F2956" i="66" s="1"/>
  <c r="F2955" i="66" s="1"/>
  <c r="F2954" i="66" s="1"/>
  <c r="F2953" i="66" s="1"/>
  <c r="F2952" i="66" s="1"/>
  <c r="F2951" i="66" s="1"/>
  <c r="F2950" i="66" s="1"/>
  <c r="F2949" i="66" s="1"/>
  <c r="F2948" i="66" s="1"/>
  <c r="F2947" i="66" s="1"/>
  <c r="F2946" i="66" s="1"/>
  <c r="F2945" i="66" s="1"/>
  <c r="F2944" i="66" s="1"/>
  <c r="F2943" i="66" s="1"/>
  <c r="F2942" i="66" s="1"/>
  <c r="F2941" i="66" s="1"/>
  <c r="F2940" i="66" s="1"/>
  <c r="F2939" i="66" s="1"/>
  <c r="F2938" i="66" s="1"/>
  <c r="F2937" i="66" s="1"/>
  <c r="F2936" i="66" s="1"/>
  <c r="F2935" i="66" s="1"/>
  <c r="F2934" i="66" s="1"/>
  <c r="F2933" i="66" s="1"/>
  <c r="F2932" i="66" s="1"/>
  <c r="F2931" i="66" s="1"/>
  <c r="F2930" i="66" s="1"/>
  <c r="F2929" i="66" s="1"/>
  <c r="F2928" i="66" s="1"/>
  <c r="F2927" i="66" s="1"/>
  <c r="F2926" i="66" s="1"/>
  <c r="M20" i="66"/>
  <c r="K41" i="29"/>
  <c r="A40" i="29"/>
  <c r="U4" i="55"/>
  <c r="V5" i="55"/>
  <c r="BB68" i="45"/>
  <c r="BB69" i="45"/>
  <c r="D38" i="63"/>
  <c r="BB39" i="63"/>
  <c r="F39" i="63" s="1"/>
  <c r="BA39" i="63"/>
  <c r="F39" i="29"/>
  <c r="H39" i="29"/>
  <c r="C39" i="29"/>
  <c r="N39" i="29" s="1"/>
  <c r="D39" i="29" s="1"/>
  <c r="B39" i="29"/>
  <c r="G39" i="29" s="1"/>
  <c r="E39" i="29"/>
  <c r="AL55" i="66"/>
  <c r="K144" i="29"/>
  <c r="C143" i="29"/>
  <c r="N143" i="29" s="1"/>
  <c r="D143" i="29" s="1"/>
  <c r="CI21" i="16"/>
  <c r="CH21" i="16"/>
  <c r="BO20" i="16"/>
  <c r="CJ21" i="16"/>
  <c r="CK21" i="16"/>
  <c r="CL21" i="16"/>
  <c r="CM21" i="16"/>
  <c r="G20" i="19"/>
  <c r="H21" i="19"/>
  <c r="E38" i="28"/>
  <c r="D38" i="28"/>
  <c r="B99" i="28"/>
  <c r="AS100" i="28"/>
  <c r="H99" i="28"/>
  <c r="G99" i="28"/>
  <c r="I99" i="28"/>
  <c r="E99" i="28"/>
  <c r="F99" i="28"/>
  <c r="D99" i="28"/>
  <c r="H59" i="28"/>
  <c r="G59" i="28"/>
  <c r="B59" i="28"/>
  <c r="I59" i="28"/>
  <c r="F59" i="28"/>
  <c r="D59" i="28"/>
  <c r="AS60" i="28"/>
  <c r="E59" i="28"/>
  <c r="E80" i="28"/>
  <c r="D80" i="28"/>
  <c r="G80" i="28"/>
  <c r="F80" i="28"/>
  <c r="H80" i="28"/>
  <c r="AS81" i="28"/>
  <c r="I80" i="28"/>
  <c r="B80" i="28"/>
  <c r="AR42" i="28"/>
  <c r="AR44" i="28" s="1"/>
  <c r="AR41" i="28"/>
  <c r="A41" i="28" s="1"/>
  <c r="A40" i="28"/>
  <c r="H39" i="28"/>
  <c r="F39" i="28"/>
  <c r="G39" i="28"/>
  <c r="I39" i="28"/>
  <c r="B39" i="28"/>
  <c r="C39" i="28"/>
  <c r="AU39" i="28" s="1"/>
  <c r="D39" i="28" s="1"/>
  <c r="J51" i="28"/>
  <c r="J254" i="28"/>
  <c r="J90" i="28"/>
  <c r="J71" i="28"/>
  <c r="J30" i="28"/>
  <c r="T37" i="7"/>
  <c r="AT18" i="28"/>
  <c r="AR64" i="28"/>
  <c r="C63" i="28"/>
  <c r="C218" i="28"/>
  <c r="AR219" i="28"/>
  <c r="AR131" i="28"/>
  <c r="C130" i="28"/>
  <c r="AU130" i="28" s="1"/>
  <c r="F119" i="28"/>
  <c r="I119" i="28"/>
  <c r="AS120" i="28"/>
  <c r="H119" i="28"/>
  <c r="B119" i="28"/>
  <c r="G119" i="28"/>
  <c r="E119" i="28"/>
  <c r="D119" i="28"/>
  <c r="J218" i="28"/>
  <c r="AU219" i="28"/>
  <c r="J219" i="28" s="1"/>
  <c r="D25" i="9"/>
  <c r="H25" i="9"/>
  <c r="E25" i="9"/>
  <c r="A21" i="10"/>
  <c r="G25" i="9"/>
  <c r="C21" i="10"/>
  <c r="B21" i="10" s="1"/>
  <c r="K22" i="10"/>
  <c r="C26" i="9"/>
  <c r="B26" i="9"/>
  <c r="D26" i="9" s="1"/>
  <c r="I25" i="9"/>
  <c r="AR28" i="9"/>
  <c r="AS28" i="9" s="1"/>
  <c r="A27" i="9"/>
  <c r="F85" i="16"/>
  <c r="F86" i="16" s="1"/>
  <c r="F87" i="16" s="1"/>
  <c r="F88" i="16" s="1"/>
  <c r="F89" i="16" s="1"/>
  <c r="F90" i="16" s="1"/>
  <c r="F91" i="16" s="1"/>
  <c r="F92" i="16" s="1"/>
  <c r="F93" i="16" s="1"/>
  <c r="F94" i="16" s="1"/>
  <c r="F95" i="16" s="1"/>
  <c r="F96" i="16" s="1"/>
  <c r="F97" i="16" s="1"/>
  <c r="F98" i="16" s="1"/>
  <c r="F99" i="16" s="1"/>
  <c r="F67" i="16"/>
  <c r="F68" i="16" s="1"/>
  <c r="F69" i="16" s="1"/>
  <c r="F70" i="16" s="1"/>
  <c r="F71" i="16" s="1"/>
  <c r="F72" i="16" s="1"/>
  <c r="F73" i="16" s="1"/>
  <c r="C10" i="27"/>
  <c r="C11" i="34"/>
  <c r="C16" i="35"/>
  <c r="C309" i="29"/>
  <c r="C310" i="29" s="1"/>
  <c r="K310" i="29"/>
  <c r="C266" i="28"/>
  <c r="AU266" i="28" s="1"/>
  <c r="J266" i="28" s="1"/>
  <c r="AR267" i="28"/>
  <c r="K324" i="29"/>
  <c r="C323" i="29"/>
  <c r="E14" i="38"/>
  <c r="L16" i="39"/>
  <c r="M16" i="39" s="1"/>
  <c r="C16" i="39" s="1"/>
  <c r="O16" i="39"/>
  <c r="G263" i="28"/>
  <c r="F263" i="28"/>
  <c r="E263" i="28"/>
  <c r="I263" i="28"/>
  <c r="D263" i="28"/>
  <c r="B263" i="28"/>
  <c r="AS264" i="28"/>
  <c r="H263" i="28"/>
  <c r="C15" i="36"/>
  <c r="H15" i="37"/>
  <c r="AU44" i="28" l="1"/>
  <c r="AD3" i="19"/>
  <c r="AD4" i="19" s="1"/>
  <c r="AC4" i="19"/>
  <c r="AO26" i="9"/>
  <c r="AC26" i="9"/>
  <c r="Q26" i="9"/>
  <c r="AN26" i="9"/>
  <c r="AB26" i="9"/>
  <c r="P26" i="9"/>
  <c r="AL26" i="9"/>
  <c r="Z26" i="9"/>
  <c r="N26" i="9"/>
  <c r="AI26" i="9"/>
  <c r="W26" i="9"/>
  <c r="K26" i="9"/>
  <c r="S26" i="9"/>
  <c r="AF26" i="9"/>
  <c r="M26" i="9"/>
  <c r="AE26" i="9"/>
  <c r="AA26" i="9"/>
  <c r="AH26" i="9"/>
  <c r="Y26" i="9"/>
  <c r="AM26" i="9"/>
  <c r="R26" i="9"/>
  <c r="X26" i="9"/>
  <c r="V26" i="9"/>
  <c r="U26" i="9"/>
  <c r="AK26" i="9"/>
  <c r="T26" i="9"/>
  <c r="AJ26" i="9"/>
  <c r="AG26" i="9"/>
  <c r="AD26" i="9"/>
  <c r="O26" i="9"/>
  <c r="L26" i="9"/>
  <c r="J26" i="9"/>
  <c r="M10" i="27"/>
  <c r="N10" i="27"/>
  <c r="O10" i="27"/>
  <c r="P10" i="27"/>
  <c r="N11" i="34"/>
  <c r="M11" i="34"/>
  <c r="D290" i="29"/>
  <c r="N291" i="29"/>
  <c r="N308" i="29"/>
  <c r="N309" i="29" s="1"/>
  <c r="N310" i="29" s="1"/>
  <c r="I310" i="29" s="1"/>
  <c r="D307" i="29"/>
  <c r="AU63" i="28"/>
  <c r="N45" i="76"/>
  <c r="M48" i="76"/>
  <c r="M50" i="76" s="1"/>
  <c r="M49" i="76" s="1"/>
  <c r="P44" i="76"/>
  <c r="O52" i="76"/>
  <c r="O54" i="76" s="1"/>
  <c r="O53" i="76" s="1"/>
  <c r="C27" i="19"/>
  <c r="B26" i="19"/>
  <c r="B27" i="19" s="1"/>
  <c r="K85" i="29"/>
  <c r="C84" i="29"/>
  <c r="H83" i="29"/>
  <c r="F83" i="29"/>
  <c r="D83" i="29"/>
  <c r="E83" i="29"/>
  <c r="B83" i="29"/>
  <c r="G83" i="29" s="1"/>
  <c r="S27" i="55"/>
  <c r="S28" i="55" s="1"/>
  <c r="T28" i="55"/>
  <c r="K23" i="66"/>
  <c r="L22" i="66"/>
  <c r="S22" i="66"/>
  <c r="CF46" i="16"/>
  <c r="CM23" i="16" s="1"/>
  <c r="CG4" i="16"/>
  <c r="CG46" i="16" s="1"/>
  <c r="F2925" i="66"/>
  <c r="F2924" i="66" s="1"/>
  <c r="F2923" i="66" s="1"/>
  <c r="F2922" i="66" s="1"/>
  <c r="F2921" i="66" s="1"/>
  <c r="F2920" i="66" s="1"/>
  <c r="F2919" i="66" s="1"/>
  <c r="F2918" i="66" s="1"/>
  <c r="F2917" i="66" s="1"/>
  <c r="F2916" i="66" s="1"/>
  <c r="F2915" i="66" s="1"/>
  <c r="F2914" i="66" s="1"/>
  <c r="F2913" i="66" s="1"/>
  <c r="F2912" i="66" s="1"/>
  <c r="F2911" i="66" s="1"/>
  <c r="F2910" i="66" s="1"/>
  <c r="F2909" i="66" s="1"/>
  <c r="F2908" i="66" s="1"/>
  <c r="F2907" i="66" s="1"/>
  <c r="F2906" i="66" s="1"/>
  <c r="F2905" i="66" s="1"/>
  <c r="F2904" i="66" s="1"/>
  <c r="F2903" i="66" s="1"/>
  <c r="F2902" i="66" s="1"/>
  <c r="F2901" i="66" s="1"/>
  <c r="F2900" i="66" s="1"/>
  <c r="F2899" i="66" s="1"/>
  <c r="F2898" i="66" s="1"/>
  <c r="F2897" i="66" s="1"/>
  <c r="F2896" i="66" s="1"/>
  <c r="F2895" i="66" s="1"/>
  <c r="F2894" i="66" s="1"/>
  <c r="F2893" i="66" s="1"/>
  <c r="F2892" i="66" s="1"/>
  <c r="F2891" i="66" s="1"/>
  <c r="F2890" i="66" s="1"/>
  <c r="F2889" i="66" s="1"/>
  <c r="F2888" i="66" s="1"/>
  <c r="F2887" i="66" s="1"/>
  <c r="F2886" i="66" s="1"/>
  <c r="F2885" i="66" s="1"/>
  <c r="F2884" i="66" s="1"/>
  <c r="F2883" i="66" s="1"/>
  <c r="F2882" i="66" s="1"/>
  <c r="F2881" i="66" s="1"/>
  <c r="F2880" i="66" s="1"/>
  <c r="F2879" i="66" s="1"/>
  <c r="F2878" i="66" s="1"/>
  <c r="F2877" i="66" s="1"/>
  <c r="F2876" i="66" s="1"/>
  <c r="F2875" i="66" s="1"/>
  <c r="F2874" i="66" s="1"/>
  <c r="F2873" i="66" s="1"/>
  <c r="F2872" i="66" s="1"/>
  <c r="F2871" i="66" s="1"/>
  <c r="F2870" i="66" s="1"/>
  <c r="F2869" i="66" s="1"/>
  <c r="F2868" i="66" s="1"/>
  <c r="F2867" i="66" s="1"/>
  <c r="F2866" i="66" s="1"/>
  <c r="F2865" i="66" s="1"/>
  <c r="F2864" i="66" s="1"/>
  <c r="F2863" i="66" s="1"/>
  <c r="F2862" i="66" s="1"/>
  <c r="F2861" i="66" s="1"/>
  <c r="F2860" i="66" s="1"/>
  <c r="F2859" i="66" s="1"/>
  <c r="F2858" i="66" s="1"/>
  <c r="F2857" i="66" s="1"/>
  <c r="F2856" i="66" s="1"/>
  <c r="F2855" i="66" s="1"/>
  <c r="F2854" i="66" s="1"/>
  <c r="F2853" i="66" s="1"/>
  <c r="F2852" i="66" s="1"/>
  <c r="F2851" i="66" s="1"/>
  <c r="F2850" i="66" s="1"/>
  <c r="F2849" i="66" s="1"/>
  <c r="F2848" i="66" s="1"/>
  <c r="F2847" i="66" s="1"/>
  <c r="F2846" i="66" s="1"/>
  <c r="F2845" i="66" s="1"/>
  <c r="F2844" i="66" s="1"/>
  <c r="F2843" i="66" s="1"/>
  <c r="F2842" i="66" s="1"/>
  <c r="F2841" i="66" s="1"/>
  <c r="F2840" i="66" s="1"/>
  <c r="F2839" i="66" s="1"/>
  <c r="F2838" i="66" s="1"/>
  <c r="F2837" i="66" s="1"/>
  <c r="F2836" i="66" s="1"/>
  <c r="F2835" i="66" s="1"/>
  <c r="F2834" i="66" s="1"/>
  <c r="F2833" i="66" s="1"/>
  <c r="F2832" i="66" s="1"/>
  <c r="F2831" i="66" s="1"/>
  <c r="F2830" i="66" s="1"/>
  <c r="F2829" i="66" s="1"/>
  <c r="F2828" i="66" s="1"/>
  <c r="F2827" i="66" s="1"/>
  <c r="F2826" i="66" s="1"/>
  <c r="F2825" i="66" s="1"/>
  <c r="F2824" i="66" s="1"/>
  <c r="F2823" i="66" s="1"/>
  <c r="F2822" i="66" s="1"/>
  <c r="F2821" i="66" s="1"/>
  <c r="F2820" i="66" s="1"/>
  <c r="F2819" i="66" s="1"/>
  <c r="F2818" i="66" s="1"/>
  <c r="F2817" i="66" s="1"/>
  <c r="F2816" i="66" s="1"/>
  <c r="F2815" i="66" s="1"/>
  <c r="F2814" i="66" s="1"/>
  <c r="F2813" i="66" s="1"/>
  <c r="F2812" i="66" s="1"/>
  <c r="F2811" i="66" s="1"/>
  <c r="F2810" i="66" s="1"/>
  <c r="F2809" i="66" s="1"/>
  <c r="F2808" i="66" s="1"/>
  <c r="F2807" i="66" s="1"/>
  <c r="F2806" i="66" s="1"/>
  <c r="F2805" i="66" s="1"/>
  <c r="F2804" i="66" s="1"/>
  <c r="F2803" i="66" s="1"/>
  <c r="F2802" i="66" s="1"/>
  <c r="F2801" i="66" s="1"/>
  <c r="F2800" i="66" s="1"/>
  <c r="F2799" i="66" s="1"/>
  <c r="F2798" i="66" s="1"/>
  <c r="F2797" i="66" s="1"/>
  <c r="F2796" i="66" s="1"/>
  <c r="F2795" i="66" s="1"/>
  <c r="F2794" i="66" s="1"/>
  <c r="F2793" i="66" s="1"/>
  <c r="F2792" i="66" s="1"/>
  <c r="F2791" i="66" s="1"/>
  <c r="F2790" i="66" s="1"/>
  <c r="F2789" i="66" s="1"/>
  <c r="F2788" i="66" s="1"/>
  <c r="F2787" i="66" s="1"/>
  <c r="F2786" i="66" s="1"/>
  <c r="F2785" i="66" s="1"/>
  <c r="F2784" i="66" s="1"/>
  <c r="F2783" i="66" s="1"/>
  <c r="F2782" i="66" s="1"/>
  <c r="F2781" i="66" s="1"/>
  <c r="F2780" i="66" s="1"/>
  <c r="F2779" i="66" s="1"/>
  <c r="F2778" i="66" s="1"/>
  <c r="F2777" i="66" s="1"/>
  <c r="F2776" i="66" s="1"/>
  <c r="F2775" i="66" s="1"/>
  <c r="F2774" i="66" s="1"/>
  <c r="F2773" i="66" s="1"/>
  <c r="F2772" i="66" s="1"/>
  <c r="F2771" i="66" s="1"/>
  <c r="F2770" i="66" s="1"/>
  <c r="F2769" i="66" s="1"/>
  <c r="F2768" i="66" s="1"/>
  <c r="F2767" i="66" s="1"/>
  <c r="F2766" i="66" s="1"/>
  <c r="F2765" i="66" s="1"/>
  <c r="F2764" i="66" s="1"/>
  <c r="F2763" i="66" s="1"/>
  <c r="F2762" i="66" s="1"/>
  <c r="F2761" i="66" s="1"/>
  <c r="F2760" i="66" s="1"/>
  <c r="F2759" i="66" s="1"/>
  <c r="F2758" i="66" s="1"/>
  <c r="F2757" i="66" s="1"/>
  <c r="F2756" i="66" s="1"/>
  <c r="F2755" i="66" s="1"/>
  <c r="F2754" i="66" s="1"/>
  <c r="F2753" i="66" s="1"/>
  <c r="F2752" i="66" s="1"/>
  <c r="F2751" i="66" s="1"/>
  <c r="F2750" i="66" s="1"/>
  <c r="F2749" i="66" s="1"/>
  <c r="F2748" i="66" s="1"/>
  <c r="F2747" i="66" s="1"/>
  <c r="F2746" i="66" s="1"/>
  <c r="F2745" i="66" s="1"/>
  <c r="F2744" i="66" s="1"/>
  <c r="F2743" i="66" s="1"/>
  <c r="F2742" i="66" s="1"/>
  <c r="F2741" i="66" s="1"/>
  <c r="F2740" i="66" s="1"/>
  <c r="F2739" i="66" s="1"/>
  <c r="F2738" i="66" s="1"/>
  <c r="F2737" i="66" s="1"/>
  <c r="F2736" i="66" s="1"/>
  <c r="F2735" i="66" s="1"/>
  <c r="F2734" i="66" s="1"/>
  <c r="F2733" i="66" s="1"/>
  <c r="F2732" i="66" s="1"/>
  <c r="F2731" i="66" s="1"/>
  <c r="F2730" i="66" s="1"/>
  <c r="F2729" i="66" s="1"/>
  <c r="F2728" i="66" s="1"/>
  <c r="F2727" i="66" s="1"/>
  <c r="F2726" i="66" s="1"/>
  <c r="F2725" i="66" s="1"/>
  <c r="F2724" i="66" s="1"/>
  <c r="F2723" i="66" s="1"/>
  <c r="F2722" i="66" s="1"/>
  <c r="F2721" i="66" s="1"/>
  <c r="F2720" i="66" s="1"/>
  <c r="F2719" i="66" s="1"/>
  <c r="F2718" i="66" s="1"/>
  <c r="F2717" i="66" s="1"/>
  <c r="F2716" i="66" s="1"/>
  <c r="F2715" i="66" s="1"/>
  <c r="F2714" i="66" s="1"/>
  <c r="F2713" i="66" s="1"/>
  <c r="F2712" i="66" s="1"/>
  <c r="F2711" i="66" s="1"/>
  <c r="F2710" i="66" s="1"/>
  <c r="F2709" i="66" s="1"/>
  <c r="F2708" i="66" s="1"/>
  <c r="F2707" i="66" s="1"/>
  <c r="F2706" i="66" s="1"/>
  <c r="F2705" i="66" s="1"/>
  <c r="F2704" i="66" s="1"/>
  <c r="F2703" i="66" s="1"/>
  <c r="F2702" i="66" s="1"/>
  <c r="F2701" i="66" s="1"/>
  <c r="F2700" i="66" s="1"/>
  <c r="F2699" i="66" s="1"/>
  <c r="F2698" i="66" s="1"/>
  <c r="F2697" i="66" s="1"/>
  <c r="F2696" i="66" s="1"/>
  <c r="F2695" i="66" s="1"/>
  <c r="F2694" i="66" s="1"/>
  <c r="F2693" i="66" s="1"/>
  <c r="F2692" i="66" s="1"/>
  <c r="F2691" i="66" s="1"/>
  <c r="F2690" i="66" s="1"/>
  <c r="F2689" i="66" s="1"/>
  <c r="F2688" i="66" s="1"/>
  <c r="F2687" i="66" s="1"/>
  <c r="F2686" i="66" s="1"/>
  <c r="F2685" i="66" s="1"/>
  <c r="F2684" i="66" s="1"/>
  <c r="F2683" i="66" s="1"/>
  <c r="F2682" i="66" s="1"/>
  <c r="F2681" i="66" s="1"/>
  <c r="F2680" i="66" s="1"/>
  <c r="F2679" i="66" s="1"/>
  <c r="F2678" i="66" s="1"/>
  <c r="F2677" i="66" s="1"/>
  <c r="F2676" i="66" s="1"/>
  <c r="M21" i="66"/>
  <c r="K117" i="29"/>
  <c r="C116" i="29"/>
  <c r="N116" i="29" s="1"/>
  <c r="D116" i="29" s="1"/>
  <c r="C182" i="29"/>
  <c r="N182" i="29" s="1"/>
  <c r="K183" i="29"/>
  <c r="L182" i="29"/>
  <c r="E181" i="29"/>
  <c r="N181" i="29"/>
  <c r="F181" i="29"/>
  <c r="B181" i="29"/>
  <c r="G181" i="29" s="1"/>
  <c r="D181" i="29"/>
  <c r="H181" i="29"/>
  <c r="U5" i="55"/>
  <c r="T4" i="55"/>
  <c r="AL56" i="66"/>
  <c r="D39" i="63"/>
  <c r="BA40" i="63"/>
  <c r="BB40" i="63"/>
  <c r="F40" i="63" s="1"/>
  <c r="C40" i="29"/>
  <c r="N40" i="29" s="1"/>
  <c r="D40" i="29" s="1"/>
  <c r="H40" i="29"/>
  <c r="E40" i="29"/>
  <c r="F40" i="29"/>
  <c r="B40" i="29"/>
  <c r="G40" i="29" s="1"/>
  <c r="K42" i="29"/>
  <c r="A41" i="29"/>
  <c r="G21" i="19"/>
  <c r="F20" i="19"/>
  <c r="BO19" i="16"/>
  <c r="CI20" i="16"/>
  <c r="CH20" i="16"/>
  <c r="CJ20" i="16"/>
  <c r="CM20" i="16"/>
  <c r="CL20" i="16"/>
  <c r="CK20" i="16"/>
  <c r="K145" i="29"/>
  <c r="C144" i="29"/>
  <c r="N144" i="29" s="1"/>
  <c r="E39" i="28"/>
  <c r="B41" i="28"/>
  <c r="G41" i="28"/>
  <c r="F41" i="28"/>
  <c r="C41" i="28"/>
  <c r="AU41" i="28" s="1"/>
  <c r="I41" i="28"/>
  <c r="H41" i="28"/>
  <c r="B60" i="28"/>
  <c r="F60" i="28"/>
  <c r="E60" i="28"/>
  <c r="I60" i="28"/>
  <c r="G60" i="28"/>
  <c r="D60" i="28"/>
  <c r="H60" i="28"/>
  <c r="AS61" i="28"/>
  <c r="AS103" i="28"/>
  <c r="E103" i="28" s="1"/>
  <c r="B100" i="28"/>
  <c r="AS101" i="28"/>
  <c r="H100" i="28"/>
  <c r="I100" i="28"/>
  <c r="F100" i="28"/>
  <c r="G100" i="28"/>
  <c r="D100" i="28"/>
  <c r="E100" i="28"/>
  <c r="F40" i="28"/>
  <c r="I40" i="28"/>
  <c r="C40" i="28"/>
  <c r="AU40" i="28" s="1"/>
  <c r="D40" i="28" s="1"/>
  <c r="H40" i="28"/>
  <c r="B40" i="28"/>
  <c r="G40" i="28"/>
  <c r="C42" i="28"/>
  <c r="E42" i="28" s="1"/>
  <c r="AR43" i="28"/>
  <c r="D81" i="28"/>
  <c r="I81" i="28"/>
  <c r="H81" i="28"/>
  <c r="F81" i="28"/>
  <c r="B81" i="28"/>
  <c r="E81" i="28"/>
  <c r="G81" i="28"/>
  <c r="AS82" i="28"/>
  <c r="J260" i="28"/>
  <c r="U37" i="7"/>
  <c r="AT19" i="28"/>
  <c r="AR221" i="28"/>
  <c r="C219" i="28"/>
  <c r="AR65" i="28"/>
  <c r="C65" i="28" s="1"/>
  <c r="AU65" i="28" s="1"/>
  <c r="C64" i="28"/>
  <c r="AS121" i="28"/>
  <c r="H120" i="28"/>
  <c r="G120" i="28"/>
  <c r="B120" i="28"/>
  <c r="I120" i="28"/>
  <c r="F120" i="28"/>
  <c r="E120" i="28"/>
  <c r="D120" i="28"/>
  <c r="AS131" i="28"/>
  <c r="AR132" i="28"/>
  <c r="C131" i="28"/>
  <c r="AU131" i="28" s="1"/>
  <c r="E26" i="9"/>
  <c r="H26" i="9"/>
  <c r="F26" i="9"/>
  <c r="G26" i="9"/>
  <c r="I26" i="9"/>
  <c r="B27" i="9"/>
  <c r="G27" i="9" s="1"/>
  <c r="C27" i="9"/>
  <c r="L22" i="10"/>
  <c r="I22" i="10"/>
  <c r="F22" i="10"/>
  <c r="A28" i="9"/>
  <c r="AR29" i="9"/>
  <c r="AS29" i="9" s="1"/>
  <c r="E21" i="10"/>
  <c r="H21" i="10"/>
  <c r="G21" i="10"/>
  <c r="D21" i="10"/>
  <c r="B264" i="28"/>
  <c r="I264" i="28"/>
  <c r="E264" i="28"/>
  <c r="D264" i="28"/>
  <c r="H264" i="28"/>
  <c r="G264" i="28"/>
  <c r="F264" i="28"/>
  <c r="O17" i="39"/>
  <c r="L17" i="39"/>
  <c r="M17" i="39" s="1"/>
  <c r="C17" i="39" s="1"/>
  <c r="E11" i="34"/>
  <c r="A11" i="34"/>
  <c r="I12" i="34"/>
  <c r="K325" i="29"/>
  <c r="C324" i="29"/>
  <c r="C325" i="29" s="1"/>
  <c r="AR268" i="28"/>
  <c r="C267" i="28"/>
  <c r="AU267" i="28" s="1"/>
  <c r="AS267" i="28"/>
  <c r="AV15" i="38"/>
  <c r="AS15" i="38"/>
  <c r="A15" i="36"/>
  <c r="M16" i="36"/>
  <c r="A10" i="27"/>
  <c r="D10" i="27" s="1"/>
  <c r="I11" i="27"/>
  <c r="J11" i="27" s="1"/>
  <c r="J264" i="28"/>
  <c r="A16" i="35"/>
  <c r="AT17" i="35"/>
  <c r="AR17" i="35" s="1"/>
  <c r="I15" i="37"/>
  <c r="AG27" i="9" l="1"/>
  <c r="U27" i="9"/>
  <c r="AF27" i="9"/>
  <c r="T27" i="9"/>
  <c r="AD27" i="9"/>
  <c r="R27" i="9"/>
  <c r="AM27" i="9"/>
  <c r="AA27" i="9"/>
  <c r="O27" i="9"/>
  <c r="AN27" i="9"/>
  <c r="W27" i="9"/>
  <c r="AL27" i="9"/>
  <c r="AJ27" i="9"/>
  <c r="Q27" i="9"/>
  <c r="AI27" i="9"/>
  <c r="P27" i="9"/>
  <c r="AE27" i="9"/>
  <c r="M27" i="9"/>
  <c r="AC27" i="9"/>
  <c r="L27" i="9"/>
  <c r="AB27" i="9"/>
  <c r="K27" i="9"/>
  <c r="Y27" i="9"/>
  <c r="Z27" i="9"/>
  <c r="J27" i="9"/>
  <c r="AO27" i="9"/>
  <c r="X27" i="9"/>
  <c r="V27" i="9"/>
  <c r="AK27" i="9"/>
  <c r="AH27" i="9"/>
  <c r="S27" i="9"/>
  <c r="N27" i="9"/>
  <c r="J82" i="28"/>
  <c r="E82" i="28"/>
  <c r="L10" i="27"/>
  <c r="F10" i="27" s="1"/>
  <c r="L11" i="34"/>
  <c r="F11" i="34" s="1"/>
  <c r="D291" i="29"/>
  <c r="N292" i="29"/>
  <c r="AU64" i="28"/>
  <c r="Q44" i="76"/>
  <c r="P52" i="76"/>
  <c r="P54" i="76" s="1"/>
  <c r="P53" i="76" s="1"/>
  <c r="N48" i="76"/>
  <c r="N50" i="76" s="1"/>
  <c r="N49" i="76" s="1"/>
  <c r="O45" i="76"/>
  <c r="N84" i="29"/>
  <c r="D84" i="29" s="1"/>
  <c r="E84" i="29"/>
  <c r="C85" i="29"/>
  <c r="K86" i="29"/>
  <c r="A22" i="10"/>
  <c r="L23" i="66"/>
  <c r="K24" i="66"/>
  <c r="S23" i="66"/>
  <c r="F2675" i="66"/>
  <c r="F2674" i="66" s="1"/>
  <c r="F2673" i="66" s="1"/>
  <c r="F2672" i="66" s="1"/>
  <c r="F2671" i="66" s="1"/>
  <c r="F2670" i="66" s="1"/>
  <c r="F2669" i="66" s="1"/>
  <c r="F2668" i="66" s="1"/>
  <c r="F2667" i="66" s="1"/>
  <c r="F2666" i="66" s="1"/>
  <c r="F2665" i="66" s="1"/>
  <c r="F2664" i="66" s="1"/>
  <c r="F2663" i="66" s="1"/>
  <c r="F2662" i="66" s="1"/>
  <c r="F2661" i="66" s="1"/>
  <c r="F2660" i="66" s="1"/>
  <c r="F2659" i="66" s="1"/>
  <c r="F2658" i="66" s="1"/>
  <c r="F2657" i="66" s="1"/>
  <c r="F2656" i="66" s="1"/>
  <c r="F2655" i="66" s="1"/>
  <c r="F2654" i="66" s="1"/>
  <c r="F2653" i="66" s="1"/>
  <c r="F2652" i="66" s="1"/>
  <c r="F2651" i="66" s="1"/>
  <c r="F2650" i="66" s="1"/>
  <c r="F2649" i="66" s="1"/>
  <c r="F2648" i="66" s="1"/>
  <c r="F2647" i="66" s="1"/>
  <c r="F2646" i="66" s="1"/>
  <c r="F2645" i="66" s="1"/>
  <c r="F2644" i="66" s="1"/>
  <c r="F2643" i="66" s="1"/>
  <c r="F2642" i="66" s="1"/>
  <c r="F2641" i="66" s="1"/>
  <c r="F2640" i="66" s="1"/>
  <c r="F2639" i="66" s="1"/>
  <c r="F2638" i="66" s="1"/>
  <c r="F2637" i="66" s="1"/>
  <c r="F2636" i="66" s="1"/>
  <c r="F2635" i="66" s="1"/>
  <c r="F2634" i="66" s="1"/>
  <c r="F2633" i="66" s="1"/>
  <c r="F2632" i="66" s="1"/>
  <c r="F2631" i="66" s="1"/>
  <c r="F2630" i="66" s="1"/>
  <c r="F2629" i="66" s="1"/>
  <c r="F2628" i="66" s="1"/>
  <c r="F2627" i="66" s="1"/>
  <c r="F2626" i="66" s="1"/>
  <c r="F2625" i="66" s="1"/>
  <c r="F2624" i="66" s="1"/>
  <c r="F2623" i="66" s="1"/>
  <c r="F2622" i="66" s="1"/>
  <c r="F2621" i="66" s="1"/>
  <c r="F2620" i="66" s="1"/>
  <c r="F2619" i="66" s="1"/>
  <c r="F2618" i="66" s="1"/>
  <c r="F2617" i="66" s="1"/>
  <c r="F2616" i="66" s="1"/>
  <c r="F2615" i="66" s="1"/>
  <c r="F2614" i="66" s="1"/>
  <c r="F2613" i="66" s="1"/>
  <c r="F2612" i="66" s="1"/>
  <c r="F2611" i="66" s="1"/>
  <c r="F2610" i="66" s="1"/>
  <c r="F2609" i="66" s="1"/>
  <c r="F2608" i="66" s="1"/>
  <c r="F2607" i="66" s="1"/>
  <c r="F2606" i="66" s="1"/>
  <c r="F2605" i="66" s="1"/>
  <c r="F2604" i="66" s="1"/>
  <c r="F2603" i="66" s="1"/>
  <c r="F2602" i="66" s="1"/>
  <c r="F2601" i="66" s="1"/>
  <c r="F2600" i="66" s="1"/>
  <c r="F2599" i="66" s="1"/>
  <c r="F2598" i="66" s="1"/>
  <c r="F2597" i="66" s="1"/>
  <c r="F2596" i="66" s="1"/>
  <c r="F2595" i="66" s="1"/>
  <c r="F2594" i="66" s="1"/>
  <c r="F2593" i="66" s="1"/>
  <c r="F2592" i="66" s="1"/>
  <c r="F2591" i="66" s="1"/>
  <c r="F2590" i="66" s="1"/>
  <c r="F2589" i="66" s="1"/>
  <c r="F2588" i="66" s="1"/>
  <c r="F2587" i="66" s="1"/>
  <c r="F2586" i="66" s="1"/>
  <c r="F2585" i="66" s="1"/>
  <c r="F2584" i="66" s="1"/>
  <c r="F2583" i="66" s="1"/>
  <c r="F2582" i="66" s="1"/>
  <c r="F2581" i="66" s="1"/>
  <c r="F2580" i="66" s="1"/>
  <c r="F2579" i="66" s="1"/>
  <c r="F2578" i="66" s="1"/>
  <c r="F2577" i="66" s="1"/>
  <c r="F2576" i="66" s="1"/>
  <c r="F2575" i="66" s="1"/>
  <c r="F2574" i="66" s="1"/>
  <c r="F2573" i="66" s="1"/>
  <c r="F2572" i="66" s="1"/>
  <c r="F2571" i="66" s="1"/>
  <c r="F2570" i="66" s="1"/>
  <c r="F2569" i="66" s="1"/>
  <c r="F2568" i="66" s="1"/>
  <c r="F2567" i="66" s="1"/>
  <c r="F2566" i="66" s="1"/>
  <c r="F2565" i="66" s="1"/>
  <c r="F2564" i="66" s="1"/>
  <c r="F2563" i="66" s="1"/>
  <c r="F2562" i="66" s="1"/>
  <c r="F2561" i="66" s="1"/>
  <c r="F2560" i="66" s="1"/>
  <c r="F2559" i="66" s="1"/>
  <c r="F2558" i="66" s="1"/>
  <c r="F2557" i="66" s="1"/>
  <c r="F2556" i="66" s="1"/>
  <c r="F2555" i="66" s="1"/>
  <c r="F2554" i="66" s="1"/>
  <c r="F2553" i="66" s="1"/>
  <c r="F2552" i="66" s="1"/>
  <c r="F2551" i="66" s="1"/>
  <c r="F2550" i="66" s="1"/>
  <c r="F2549" i="66" s="1"/>
  <c r="F2548" i="66" s="1"/>
  <c r="F2547" i="66" s="1"/>
  <c r="F2546" i="66" s="1"/>
  <c r="F2545" i="66" s="1"/>
  <c r="F2544" i="66" s="1"/>
  <c r="F2543" i="66" s="1"/>
  <c r="F2542" i="66" s="1"/>
  <c r="F2541" i="66" s="1"/>
  <c r="F2540" i="66" s="1"/>
  <c r="F2539" i="66" s="1"/>
  <c r="F2538" i="66" s="1"/>
  <c r="F2537" i="66" s="1"/>
  <c r="F2536" i="66" s="1"/>
  <c r="F2535" i="66" s="1"/>
  <c r="F2534" i="66" s="1"/>
  <c r="F2533" i="66" s="1"/>
  <c r="F2532" i="66" s="1"/>
  <c r="F2531" i="66" s="1"/>
  <c r="F2530" i="66" s="1"/>
  <c r="F2529" i="66" s="1"/>
  <c r="F2528" i="66" s="1"/>
  <c r="F2527" i="66" s="1"/>
  <c r="F2526" i="66" s="1"/>
  <c r="F2525" i="66" s="1"/>
  <c r="F2524" i="66" s="1"/>
  <c r="F2523" i="66" s="1"/>
  <c r="F2522" i="66" s="1"/>
  <c r="F2521" i="66" s="1"/>
  <c r="F2520" i="66" s="1"/>
  <c r="F2519" i="66" s="1"/>
  <c r="F2518" i="66" s="1"/>
  <c r="F2517" i="66" s="1"/>
  <c r="F2516" i="66" s="1"/>
  <c r="F2515" i="66" s="1"/>
  <c r="F2514" i="66" s="1"/>
  <c r="F2513" i="66" s="1"/>
  <c r="F2512" i="66" s="1"/>
  <c r="F2511" i="66" s="1"/>
  <c r="F2510" i="66" s="1"/>
  <c r="F2509" i="66" s="1"/>
  <c r="F2508" i="66" s="1"/>
  <c r="F2507" i="66" s="1"/>
  <c r="F2506" i="66" s="1"/>
  <c r="F2505" i="66" s="1"/>
  <c r="F2504" i="66" s="1"/>
  <c r="F2503" i="66" s="1"/>
  <c r="F2502" i="66" s="1"/>
  <c r="F2501" i="66" s="1"/>
  <c r="F2500" i="66" s="1"/>
  <c r="F2499" i="66" s="1"/>
  <c r="F2498" i="66" s="1"/>
  <c r="F2497" i="66" s="1"/>
  <c r="F2496" i="66" s="1"/>
  <c r="F2495" i="66" s="1"/>
  <c r="F2494" i="66" s="1"/>
  <c r="F2493" i="66" s="1"/>
  <c r="F2492" i="66" s="1"/>
  <c r="F2491" i="66" s="1"/>
  <c r="F2490" i="66" s="1"/>
  <c r="F2489" i="66" s="1"/>
  <c r="F2488" i="66" s="1"/>
  <c r="F2487" i="66" s="1"/>
  <c r="F2486" i="66" s="1"/>
  <c r="F2485" i="66" s="1"/>
  <c r="F2484" i="66" s="1"/>
  <c r="F2483" i="66" s="1"/>
  <c r="F2482" i="66" s="1"/>
  <c r="F2481" i="66" s="1"/>
  <c r="F2480" i="66" s="1"/>
  <c r="F2479" i="66" s="1"/>
  <c r="F2478" i="66" s="1"/>
  <c r="F2477" i="66" s="1"/>
  <c r="F2476" i="66" s="1"/>
  <c r="F2475" i="66" s="1"/>
  <c r="F2474" i="66" s="1"/>
  <c r="F2473" i="66" s="1"/>
  <c r="F2472" i="66" s="1"/>
  <c r="F2471" i="66" s="1"/>
  <c r="F2470" i="66" s="1"/>
  <c r="F2469" i="66" s="1"/>
  <c r="F2468" i="66" s="1"/>
  <c r="F2467" i="66" s="1"/>
  <c r="F2466" i="66" s="1"/>
  <c r="F2465" i="66" s="1"/>
  <c r="F2464" i="66" s="1"/>
  <c r="F2463" i="66" s="1"/>
  <c r="F2462" i="66" s="1"/>
  <c r="F2461" i="66" s="1"/>
  <c r="F2460" i="66" s="1"/>
  <c r="F2459" i="66" s="1"/>
  <c r="F2458" i="66" s="1"/>
  <c r="F2457" i="66" s="1"/>
  <c r="F2456" i="66" s="1"/>
  <c r="F2455" i="66" s="1"/>
  <c r="F2454" i="66" s="1"/>
  <c r="F2453" i="66" s="1"/>
  <c r="F2452" i="66" s="1"/>
  <c r="F2451" i="66" s="1"/>
  <c r="F2450" i="66" s="1"/>
  <c r="F2449" i="66" s="1"/>
  <c r="F2448" i="66" s="1"/>
  <c r="F2447" i="66" s="1"/>
  <c r="F2446" i="66" s="1"/>
  <c r="F2445" i="66" s="1"/>
  <c r="F2444" i="66" s="1"/>
  <c r="F2443" i="66" s="1"/>
  <c r="F2442" i="66" s="1"/>
  <c r="F2441" i="66" s="1"/>
  <c r="F2440" i="66" s="1"/>
  <c r="F2439" i="66" s="1"/>
  <c r="F2438" i="66" s="1"/>
  <c r="F2437" i="66" s="1"/>
  <c r="F2436" i="66" s="1"/>
  <c r="F2435" i="66" s="1"/>
  <c r="F2434" i="66" s="1"/>
  <c r="F2433" i="66" s="1"/>
  <c r="F2432" i="66" s="1"/>
  <c r="F2431" i="66" s="1"/>
  <c r="F2430" i="66" s="1"/>
  <c r="F2429" i="66" s="1"/>
  <c r="F2428" i="66" s="1"/>
  <c r="F2427" i="66" s="1"/>
  <c r="F2426" i="66" s="1"/>
  <c r="F2425" i="66" s="1"/>
  <c r="M22" i="66"/>
  <c r="B182" i="29"/>
  <c r="G182" i="29" s="1"/>
  <c r="E182" i="29"/>
  <c r="F182" i="29"/>
  <c r="D182" i="29"/>
  <c r="H182" i="29"/>
  <c r="K184" i="29"/>
  <c r="C183" i="29"/>
  <c r="N183" i="29" s="1"/>
  <c r="L183" i="29"/>
  <c r="K118" i="29"/>
  <c r="C118" i="29" s="1"/>
  <c r="N118" i="29" s="1"/>
  <c r="C117" i="29"/>
  <c r="N117" i="29" s="1"/>
  <c r="E20" i="19"/>
  <c r="F21" i="19"/>
  <c r="K43" i="29"/>
  <c r="C43" i="29" s="1"/>
  <c r="N43" i="29" s="1"/>
  <c r="C42" i="29"/>
  <c r="N42" i="29" s="1"/>
  <c r="BA41" i="63"/>
  <c r="BB41" i="63"/>
  <c r="F41" i="63" s="1"/>
  <c r="D40" i="63"/>
  <c r="AL57" i="66"/>
  <c r="CH19" i="16"/>
  <c r="CK19" i="16"/>
  <c r="BO18" i="16"/>
  <c r="CM19" i="16"/>
  <c r="CJ19" i="16"/>
  <c r="CI19" i="16"/>
  <c r="CL19" i="16"/>
  <c r="K146" i="29"/>
  <c r="C146" i="29" s="1"/>
  <c r="N146" i="29" s="1"/>
  <c r="C145" i="29"/>
  <c r="N145" i="29" s="1"/>
  <c r="E41" i="29"/>
  <c r="H41" i="29"/>
  <c r="B41" i="29"/>
  <c r="G41" i="29" s="1"/>
  <c r="F41" i="29"/>
  <c r="C41" i="29"/>
  <c r="N41" i="29" s="1"/>
  <c r="D41" i="29" s="1"/>
  <c r="S4" i="55"/>
  <c r="S5" i="55" s="1"/>
  <c r="T5" i="55"/>
  <c r="D41" i="28"/>
  <c r="E40" i="28"/>
  <c r="E41" i="28"/>
  <c r="AU42" i="28"/>
  <c r="I82" i="28"/>
  <c r="H82" i="28"/>
  <c r="G82" i="28"/>
  <c r="B82" i="28"/>
  <c r="AS83" i="28"/>
  <c r="E83" i="28" s="1"/>
  <c r="F82" i="28"/>
  <c r="I101" i="28"/>
  <c r="AS102" i="28"/>
  <c r="B101" i="28"/>
  <c r="H101" i="28"/>
  <c r="G101" i="28"/>
  <c r="D101" i="28"/>
  <c r="F101" i="28"/>
  <c r="E101" i="28"/>
  <c r="F103" i="28"/>
  <c r="I103" i="28"/>
  <c r="G103" i="28"/>
  <c r="B103" i="28"/>
  <c r="H103" i="28"/>
  <c r="AS104" i="28"/>
  <c r="E104" i="28" s="1"/>
  <c r="AS62" i="28"/>
  <c r="E61" i="28"/>
  <c r="AS63" i="28"/>
  <c r="E63" i="28" s="1"/>
  <c r="H61" i="28"/>
  <c r="G61" i="28"/>
  <c r="B61" i="28"/>
  <c r="I61" i="28"/>
  <c r="F61" i="28"/>
  <c r="D61" i="28"/>
  <c r="J131" i="28"/>
  <c r="C43" i="28"/>
  <c r="E43" i="28" s="1"/>
  <c r="AR45" i="28"/>
  <c r="AU45" i="28" s="1"/>
  <c r="J261" i="28"/>
  <c r="AT20" i="28"/>
  <c r="V37" i="7"/>
  <c r="W37" i="7" s="1"/>
  <c r="X37" i="7" s="1"/>
  <c r="Y37" i="7" s="1"/>
  <c r="Z37" i="7" s="1"/>
  <c r="AA37" i="7" s="1"/>
  <c r="AB37" i="7" s="1"/>
  <c r="AC37" i="7" s="1"/>
  <c r="AD37" i="7" s="1"/>
  <c r="AE37" i="7" s="1"/>
  <c r="AF37" i="7" s="1"/>
  <c r="AG37" i="7" s="1"/>
  <c r="AH37" i="7" s="1"/>
  <c r="AI37" i="7" s="1"/>
  <c r="AJ37" i="7" s="1"/>
  <c r="AK37" i="7" s="1"/>
  <c r="AL37" i="7" s="1"/>
  <c r="AM37" i="7" s="1"/>
  <c r="AN37" i="7" s="1"/>
  <c r="AO37" i="7" s="1"/>
  <c r="AP37" i="7" s="1"/>
  <c r="AQ37" i="7" s="1"/>
  <c r="AR37" i="7" s="1"/>
  <c r="AS37" i="7" s="1"/>
  <c r="AT37" i="7" s="1"/>
  <c r="AU37" i="7" s="1"/>
  <c r="AV37" i="7" s="1"/>
  <c r="AW37" i="7" s="1"/>
  <c r="AX37" i="7" s="1"/>
  <c r="AY37" i="7" s="1"/>
  <c r="AZ37" i="7" s="1"/>
  <c r="BA37" i="7" s="1"/>
  <c r="BB37" i="7" s="1"/>
  <c r="J267" i="28"/>
  <c r="AR134" i="28"/>
  <c r="AS132" i="28"/>
  <c r="AR133" i="28"/>
  <c r="C132" i="28"/>
  <c r="AU132" i="28" s="1"/>
  <c r="I121" i="28"/>
  <c r="AS124" i="28"/>
  <c r="E124" i="28" s="1"/>
  <c r="H121" i="28"/>
  <c r="AS122" i="28"/>
  <c r="G121" i="28"/>
  <c r="F121" i="28"/>
  <c r="B121" i="28"/>
  <c r="E121" i="28"/>
  <c r="D121" i="28"/>
  <c r="F131" i="28"/>
  <c r="E131" i="28"/>
  <c r="H131" i="28"/>
  <c r="G131" i="28"/>
  <c r="D131" i="28"/>
  <c r="B131" i="28"/>
  <c r="I131" i="28"/>
  <c r="C221" i="28"/>
  <c r="AU221" i="28" s="1"/>
  <c r="AR222" i="28"/>
  <c r="F27" i="9"/>
  <c r="B28" i="9"/>
  <c r="G28" i="9" s="1"/>
  <c r="C28" i="9"/>
  <c r="A29" i="9"/>
  <c r="AR30" i="9"/>
  <c r="AS30" i="9" s="1"/>
  <c r="C22" i="10"/>
  <c r="B22" i="10" s="1"/>
  <c r="K23" i="10"/>
  <c r="H27" i="9"/>
  <c r="E27" i="9"/>
  <c r="I27" i="9"/>
  <c r="D27" i="9"/>
  <c r="AS17" i="35"/>
  <c r="C17" i="35" s="1"/>
  <c r="AT18" i="35" s="1"/>
  <c r="E267" i="28"/>
  <c r="D267" i="28"/>
  <c r="I267" i="28"/>
  <c r="F267" i="28"/>
  <c r="B267" i="28"/>
  <c r="H267" i="28"/>
  <c r="G267" i="28"/>
  <c r="B16" i="35"/>
  <c r="C11" i="27"/>
  <c r="O18" i="39"/>
  <c r="L18" i="39"/>
  <c r="M18" i="39" s="1"/>
  <c r="C18" i="39" s="1"/>
  <c r="J12" i="34"/>
  <c r="C12" i="34" s="1"/>
  <c r="D11" i="34"/>
  <c r="B11" i="34"/>
  <c r="K16" i="36"/>
  <c r="AR270" i="28"/>
  <c r="AS268" i="28"/>
  <c r="AR269" i="28"/>
  <c r="C268" i="28"/>
  <c r="AU268" i="28" s="1"/>
  <c r="G15" i="36"/>
  <c r="H15" i="36"/>
  <c r="B15" i="36"/>
  <c r="I15" i="36" s="1"/>
  <c r="F15" i="36"/>
  <c r="AT15" i="38"/>
  <c r="C15" i="38" s="1"/>
  <c r="C15" i="37"/>
  <c r="A15" i="37" s="1"/>
  <c r="D15" i="37" s="1"/>
  <c r="J16" i="35"/>
  <c r="AO28" i="9" l="1"/>
  <c r="AC28" i="9"/>
  <c r="Q28" i="9"/>
  <c r="AL28" i="9"/>
  <c r="Z28" i="9"/>
  <c r="N28" i="9"/>
  <c r="AK28" i="9"/>
  <c r="Y28" i="9"/>
  <c r="AJ28" i="9"/>
  <c r="X28" i="9"/>
  <c r="AI28" i="9"/>
  <c r="W28" i="9"/>
  <c r="AF28" i="9"/>
  <c r="M28" i="9"/>
  <c r="AE28" i="9"/>
  <c r="L28" i="9"/>
  <c r="AB28" i="9"/>
  <c r="J28" i="9"/>
  <c r="U28" i="9"/>
  <c r="AH28" i="9"/>
  <c r="AA28" i="9"/>
  <c r="V28" i="9"/>
  <c r="S28" i="9"/>
  <c r="K28" i="9"/>
  <c r="R28" i="9"/>
  <c r="P28" i="9"/>
  <c r="O28" i="9"/>
  <c r="AN28" i="9"/>
  <c r="AG28" i="9"/>
  <c r="AM28" i="9"/>
  <c r="T28" i="9"/>
  <c r="AD28" i="9"/>
  <c r="M11" i="27"/>
  <c r="N11" i="27"/>
  <c r="O11" i="27"/>
  <c r="P11" i="27"/>
  <c r="I12" i="27"/>
  <c r="J12" i="27" s="1"/>
  <c r="M12" i="34"/>
  <c r="N12" i="34"/>
  <c r="D292" i="29"/>
  <c r="N293" i="29"/>
  <c r="N294" i="29" s="1"/>
  <c r="N295" i="29" s="1"/>
  <c r="I295" i="29" s="1"/>
  <c r="I16" i="35"/>
  <c r="O48" i="76"/>
  <c r="O50" i="76" s="1"/>
  <c r="O49" i="76" s="1"/>
  <c r="P45" i="76"/>
  <c r="Q52" i="76"/>
  <c r="Q54" i="76" s="1"/>
  <c r="Q53" i="76" s="1"/>
  <c r="R44" i="76"/>
  <c r="N85" i="29"/>
  <c r="D85" i="29" s="1"/>
  <c r="E85" i="29"/>
  <c r="C86" i="29"/>
  <c r="K87" i="29"/>
  <c r="K90" i="29" s="1"/>
  <c r="H22" i="10"/>
  <c r="K25" i="66"/>
  <c r="S24" i="66"/>
  <c r="L24" i="66"/>
  <c r="L184" i="29"/>
  <c r="B183" i="29"/>
  <c r="G183" i="29" s="1"/>
  <c r="H183" i="29"/>
  <c r="F183" i="29"/>
  <c r="E183" i="29"/>
  <c r="D183" i="29"/>
  <c r="K185" i="29"/>
  <c r="C184" i="29"/>
  <c r="N184" i="29" s="1"/>
  <c r="J132" i="28"/>
  <c r="F2424" i="66"/>
  <c r="F2423" i="66" s="1"/>
  <c r="F2422" i="66" s="1"/>
  <c r="F2421" i="66" s="1"/>
  <c r="F2420" i="66" s="1"/>
  <c r="F2419" i="66" s="1"/>
  <c r="F2418" i="66" s="1"/>
  <c r="F2417" i="66" s="1"/>
  <c r="F2416" i="66" s="1"/>
  <c r="F2415" i="66" s="1"/>
  <c r="F2414" i="66" s="1"/>
  <c r="F2413" i="66" s="1"/>
  <c r="F2412" i="66" s="1"/>
  <c r="F2411" i="66" s="1"/>
  <c r="F2410" i="66" s="1"/>
  <c r="F2409" i="66" s="1"/>
  <c r="F2408" i="66" s="1"/>
  <c r="F2407" i="66" s="1"/>
  <c r="F2406" i="66" s="1"/>
  <c r="F2405" i="66" s="1"/>
  <c r="F2404" i="66" s="1"/>
  <c r="F2403" i="66" s="1"/>
  <c r="F2402" i="66" s="1"/>
  <c r="F2401" i="66" s="1"/>
  <c r="F2400" i="66" s="1"/>
  <c r="F2399" i="66" s="1"/>
  <c r="F2398" i="66" s="1"/>
  <c r="F2397" i="66" s="1"/>
  <c r="F2396" i="66" s="1"/>
  <c r="F2395" i="66" s="1"/>
  <c r="F2394" i="66" s="1"/>
  <c r="F2393" i="66" s="1"/>
  <c r="F2392" i="66" s="1"/>
  <c r="F2391" i="66" s="1"/>
  <c r="F2390" i="66" s="1"/>
  <c r="F2389" i="66" s="1"/>
  <c r="F2388" i="66" s="1"/>
  <c r="F2387" i="66" s="1"/>
  <c r="F2386" i="66" s="1"/>
  <c r="F2385" i="66" s="1"/>
  <c r="F2384" i="66" s="1"/>
  <c r="F2383" i="66" s="1"/>
  <c r="F2382" i="66" s="1"/>
  <c r="F2381" i="66" s="1"/>
  <c r="F2380" i="66" s="1"/>
  <c r="F2379" i="66" s="1"/>
  <c r="F2378" i="66" s="1"/>
  <c r="F2377" i="66" s="1"/>
  <c r="F2376" i="66" s="1"/>
  <c r="F2375" i="66" s="1"/>
  <c r="F2374" i="66" s="1"/>
  <c r="F2373" i="66" s="1"/>
  <c r="F2372" i="66" s="1"/>
  <c r="F2371" i="66" s="1"/>
  <c r="F2370" i="66" s="1"/>
  <c r="F2369" i="66" s="1"/>
  <c r="F2368" i="66" s="1"/>
  <c r="F2367" i="66" s="1"/>
  <c r="F2366" i="66" s="1"/>
  <c r="F2365" i="66" s="1"/>
  <c r="F2364" i="66" s="1"/>
  <c r="F2363" i="66" s="1"/>
  <c r="F2362" i="66" s="1"/>
  <c r="F2361" i="66" s="1"/>
  <c r="F2360" i="66" s="1"/>
  <c r="F2359" i="66" s="1"/>
  <c r="F2358" i="66" s="1"/>
  <c r="F2357" i="66" s="1"/>
  <c r="F2356" i="66" s="1"/>
  <c r="F2355" i="66" s="1"/>
  <c r="F2354" i="66" s="1"/>
  <c r="F2353" i="66" s="1"/>
  <c r="F2352" i="66" s="1"/>
  <c r="F2351" i="66" s="1"/>
  <c r="F2350" i="66" s="1"/>
  <c r="F2349" i="66" s="1"/>
  <c r="F2348" i="66" s="1"/>
  <c r="F2347" i="66" s="1"/>
  <c r="F2346" i="66" s="1"/>
  <c r="F2345" i="66" s="1"/>
  <c r="F2344" i="66" s="1"/>
  <c r="F2343" i="66" s="1"/>
  <c r="F2342" i="66" s="1"/>
  <c r="F2341" i="66" s="1"/>
  <c r="F2340" i="66" s="1"/>
  <c r="F2339" i="66" s="1"/>
  <c r="F2338" i="66" s="1"/>
  <c r="F2337" i="66" s="1"/>
  <c r="F2336" i="66" s="1"/>
  <c r="F2335" i="66" s="1"/>
  <c r="F2334" i="66" s="1"/>
  <c r="F2333" i="66" s="1"/>
  <c r="F2332" i="66" s="1"/>
  <c r="F2331" i="66" s="1"/>
  <c r="F2330" i="66" s="1"/>
  <c r="F2329" i="66" s="1"/>
  <c r="F2328" i="66" s="1"/>
  <c r="F2327" i="66" s="1"/>
  <c r="F2326" i="66" s="1"/>
  <c r="F2325" i="66" s="1"/>
  <c r="F2324" i="66" s="1"/>
  <c r="F2323" i="66" s="1"/>
  <c r="F2322" i="66" s="1"/>
  <c r="F2321" i="66" s="1"/>
  <c r="F2320" i="66" s="1"/>
  <c r="F2319" i="66" s="1"/>
  <c r="F2318" i="66" s="1"/>
  <c r="F2317" i="66" s="1"/>
  <c r="F2316" i="66" s="1"/>
  <c r="F2315" i="66" s="1"/>
  <c r="F2314" i="66" s="1"/>
  <c r="F2313" i="66" s="1"/>
  <c r="F2312" i="66" s="1"/>
  <c r="F2311" i="66" s="1"/>
  <c r="F2310" i="66" s="1"/>
  <c r="F2309" i="66" s="1"/>
  <c r="F2308" i="66" s="1"/>
  <c r="F2307" i="66" s="1"/>
  <c r="F2306" i="66" s="1"/>
  <c r="F2305" i="66" s="1"/>
  <c r="F2304" i="66" s="1"/>
  <c r="F2303" i="66" s="1"/>
  <c r="F2302" i="66" s="1"/>
  <c r="F2301" i="66" s="1"/>
  <c r="F2300" i="66" s="1"/>
  <c r="F2299" i="66" s="1"/>
  <c r="F2298" i="66" s="1"/>
  <c r="F2297" i="66" s="1"/>
  <c r="F2296" i="66" s="1"/>
  <c r="F2295" i="66" s="1"/>
  <c r="F2294" i="66" s="1"/>
  <c r="F2293" i="66" s="1"/>
  <c r="F2292" i="66" s="1"/>
  <c r="F2291" i="66" s="1"/>
  <c r="F2290" i="66" s="1"/>
  <c r="F2289" i="66" s="1"/>
  <c r="F2288" i="66" s="1"/>
  <c r="F2287" i="66" s="1"/>
  <c r="F2286" i="66" s="1"/>
  <c r="F2285" i="66" s="1"/>
  <c r="F2284" i="66" s="1"/>
  <c r="F2283" i="66" s="1"/>
  <c r="F2282" i="66" s="1"/>
  <c r="F2281" i="66" s="1"/>
  <c r="F2280" i="66" s="1"/>
  <c r="F2279" i="66" s="1"/>
  <c r="F2278" i="66" s="1"/>
  <c r="F2277" i="66" s="1"/>
  <c r="F2276" i="66" s="1"/>
  <c r="F2275" i="66" s="1"/>
  <c r="F2274" i="66" s="1"/>
  <c r="F2273" i="66" s="1"/>
  <c r="F2272" i="66" s="1"/>
  <c r="F2271" i="66" s="1"/>
  <c r="F2270" i="66" s="1"/>
  <c r="F2269" i="66" s="1"/>
  <c r="F2268" i="66" s="1"/>
  <c r="F2267" i="66" s="1"/>
  <c r="F2266" i="66" s="1"/>
  <c r="F2265" i="66" s="1"/>
  <c r="F2264" i="66" s="1"/>
  <c r="F2263" i="66" s="1"/>
  <c r="F2262" i="66" s="1"/>
  <c r="F2261" i="66" s="1"/>
  <c r="F2260" i="66" s="1"/>
  <c r="F2259" i="66" s="1"/>
  <c r="F2258" i="66" s="1"/>
  <c r="F2257" i="66" s="1"/>
  <c r="F2256" i="66" s="1"/>
  <c r="F2255" i="66" s="1"/>
  <c r="F2254" i="66" s="1"/>
  <c r="F2253" i="66" s="1"/>
  <c r="F2252" i="66" s="1"/>
  <c r="F2251" i="66" s="1"/>
  <c r="F2250" i="66" s="1"/>
  <c r="F2249" i="66" s="1"/>
  <c r="F2248" i="66" s="1"/>
  <c r="F2247" i="66" s="1"/>
  <c r="F2246" i="66" s="1"/>
  <c r="F2245" i="66" s="1"/>
  <c r="F2244" i="66" s="1"/>
  <c r="F2243" i="66" s="1"/>
  <c r="F2242" i="66" s="1"/>
  <c r="F2241" i="66" s="1"/>
  <c r="F2240" i="66" s="1"/>
  <c r="F2239" i="66" s="1"/>
  <c r="F2238" i="66" s="1"/>
  <c r="F2237" i="66" s="1"/>
  <c r="F2236" i="66" s="1"/>
  <c r="F2235" i="66" s="1"/>
  <c r="F2234" i="66" s="1"/>
  <c r="F2233" i="66" s="1"/>
  <c r="F2232" i="66" s="1"/>
  <c r="F2231" i="66" s="1"/>
  <c r="F2230" i="66" s="1"/>
  <c r="F2229" i="66" s="1"/>
  <c r="F2228" i="66" s="1"/>
  <c r="F2227" i="66" s="1"/>
  <c r="F2226" i="66" s="1"/>
  <c r="F2225" i="66" s="1"/>
  <c r="F2224" i="66" s="1"/>
  <c r="F2223" i="66" s="1"/>
  <c r="F2222" i="66" s="1"/>
  <c r="F2221" i="66" s="1"/>
  <c r="F2220" i="66" s="1"/>
  <c r="F2219" i="66" s="1"/>
  <c r="F2218" i="66" s="1"/>
  <c r="F2217" i="66" s="1"/>
  <c r="F2216" i="66" s="1"/>
  <c r="F2215" i="66" s="1"/>
  <c r="F2214" i="66" s="1"/>
  <c r="F2213" i="66" s="1"/>
  <c r="F2212" i="66" s="1"/>
  <c r="F2211" i="66" s="1"/>
  <c r="F2210" i="66" s="1"/>
  <c r="F2209" i="66" s="1"/>
  <c r="F2208" i="66" s="1"/>
  <c r="F2207" i="66" s="1"/>
  <c r="F2206" i="66" s="1"/>
  <c r="F2205" i="66" s="1"/>
  <c r="F2204" i="66" s="1"/>
  <c r="F2203" i="66" s="1"/>
  <c r="F2202" i="66" s="1"/>
  <c r="F2201" i="66" s="1"/>
  <c r="F2200" i="66" s="1"/>
  <c r="F2199" i="66" s="1"/>
  <c r="F2198" i="66" s="1"/>
  <c r="F2197" i="66" s="1"/>
  <c r="F2196" i="66" s="1"/>
  <c r="F2195" i="66" s="1"/>
  <c r="F2194" i="66" s="1"/>
  <c r="F2193" i="66" s="1"/>
  <c r="F2192" i="66" s="1"/>
  <c r="F2191" i="66" s="1"/>
  <c r="F2190" i="66" s="1"/>
  <c r="F2189" i="66" s="1"/>
  <c r="F2188" i="66" s="1"/>
  <c r="F2187" i="66" s="1"/>
  <c r="F2186" i="66" s="1"/>
  <c r="F2185" i="66" s="1"/>
  <c r="F2184" i="66" s="1"/>
  <c r="F2183" i="66" s="1"/>
  <c r="F2182" i="66" s="1"/>
  <c r="F2181" i="66" s="1"/>
  <c r="F2180" i="66" s="1"/>
  <c r="F2179" i="66" s="1"/>
  <c r="F2178" i="66" s="1"/>
  <c r="F2177" i="66" s="1"/>
  <c r="F2176" i="66" s="1"/>
  <c r="F2175" i="66" s="1"/>
  <c r="F2174" i="66" s="1"/>
  <c r="M23" i="66"/>
  <c r="D41" i="63"/>
  <c r="BA42" i="63"/>
  <c r="BB42" i="63"/>
  <c r="F42" i="63" s="1"/>
  <c r="CH18" i="16"/>
  <c r="BO17" i="16"/>
  <c r="BO16" i="16" s="1"/>
  <c r="BO15" i="16" s="1"/>
  <c r="CJ18" i="16"/>
  <c r="CI18" i="16"/>
  <c r="CK18" i="16"/>
  <c r="CM18" i="16"/>
  <c r="CL18" i="16"/>
  <c r="E21" i="19"/>
  <c r="D20" i="19"/>
  <c r="AL58" i="66"/>
  <c r="F83" i="28"/>
  <c r="G83" i="28"/>
  <c r="I83" i="28"/>
  <c r="H83" i="28"/>
  <c r="AS84" i="28"/>
  <c r="B83" i="28"/>
  <c r="AU43" i="28"/>
  <c r="I104" i="28"/>
  <c r="F104" i="28"/>
  <c r="H104" i="28"/>
  <c r="B104" i="28"/>
  <c r="AS105" i="28"/>
  <c r="G104" i="28"/>
  <c r="G62" i="28"/>
  <c r="H62" i="28"/>
  <c r="B62" i="28"/>
  <c r="F62" i="28"/>
  <c r="D62" i="28"/>
  <c r="I62" i="28"/>
  <c r="E62" i="28"/>
  <c r="B63" i="28"/>
  <c r="I63" i="28"/>
  <c r="F63" i="28"/>
  <c r="AS64" i="28"/>
  <c r="E64" i="28" s="1"/>
  <c r="H63" i="28"/>
  <c r="G63" i="28"/>
  <c r="D102" i="28"/>
  <c r="B102" i="28"/>
  <c r="F102" i="28"/>
  <c r="H102" i="28"/>
  <c r="E102" i="28"/>
  <c r="G102" i="28"/>
  <c r="I102" i="28"/>
  <c r="J83" i="28"/>
  <c r="AR223" i="28"/>
  <c r="C222" i="28"/>
  <c r="AU222" i="28" s="1"/>
  <c r="J222" i="28" s="1"/>
  <c r="J268" i="28"/>
  <c r="AU223" i="28"/>
  <c r="J221" i="28"/>
  <c r="AS125" i="28"/>
  <c r="E125" i="28" s="1"/>
  <c r="B124" i="28"/>
  <c r="H124" i="28"/>
  <c r="G124" i="28"/>
  <c r="I124" i="28"/>
  <c r="F124" i="28"/>
  <c r="AS133" i="28"/>
  <c r="AS134" i="28" s="1"/>
  <c r="E134" i="28" s="1"/>
  <c r="C133" i="28"/>
  <c r="AU133" i="28" s="1"/>
  <c r="G132" i="28"/>
  <c r="I132" i="28"/>
  <c r="F132" i="28"/>
  <c r="E132" i="28"/>
  <c r="B132" i="28"/>
  <c r="D132" i="28"/>
  <c r="H132" i="28"/>
  <c r="AR135" i="28"/>
  <c r="C134" i="28"/>
  <c r="AU134" i="28" s="1"/>
  <c r="H122" i="28"/>
  <c r="AS123" i="28"/>
  <c r="G122" i="28"/>
  <c r="F122" i="28"/>
  <c r="I122" i="28"/>
  <c r="B122" i="28"/>
  <c r="E122" i="28"/>
  <c r="D122" i="28"/>
  <c r="H28" i="9"/>
  <c r="F28" i="9"/>
  <c r="D28" i="9"/>
  <c r="E22" i="10"/>
  <c r="G22" i="10"/>
  <c r="E28" i="9"/>
  <c r="I28" i="9"/>
  <c r="D22" i="10"/>
  <c r="AR31" i="9"/>
  <c r="AS31" i="9" s="1"/>
  <c r="A30" i="9"/>
  <c r="B29" i="9"/>
  <c r="E29" i="9" s="1"/>
  <c r="C29" i="9"/>
  <c r="F23" i="10"/>
  <c r="L23" i="10"/>
  <c r="I23" i="10"/>
  <c r="H16" i="35"/>
  <c r="F16" i="35"/>
  <c r="E16" i="35"/>
  <c r="G16" i="35"/>
  <c r="D16" i="35"/>
  <c r="E15" i="38"/>
  <c r="AR18" i="35"/>
  <c r="D15" i="36"/>
  <c r="AR271" i="28"/>
  <c r="C270" i="28"/>
  <c r="AU270" i="28" s="1"/>
  <c r="L16" i="36"/>
  <c r="C16" i="36" s="1"/>
  <c r="A16" i="36" s="1"/>
  <c r="O19" i="39"/>
  <c r="L19" i="39"/>
  <c r="M19" i="39" s="1"/>
  <c r="C19" i="39" s="1"/>
  <c r="I13" i="34"/>
  <c r="E12" i="34"/>
  <c r="A12" i="34"/>
  <c r="C269" i="28"/>
  <c r="AU269" i="28" s="1"/>
  <c r="AS269" i="28"/>
  <c r="A11" i="27"/>
  <c r="D11" i="27" s="1"/>
  <c r="E15" i="36"/>
  <c r="G268" i="28"/>
  <c r="F268" i="28"/>
  <c r="D268" i="28"/>
  <c r="H268" i="28"/>
  <c r="I268" i="28"/>
  <c r="B268" i="28"/>
  <c r="E268" i="28"/>
  <c r="A17" i="35"/>
  <c r="H16" i="37"/>
  <c r="AS16" i="38" l="1"/>
  <c r="AT16" i="38" s="1"/>
  <c r="C16" i="38" s="1"/>
  <c r="AG29" i="9"/>
  <c r="U29" i="9"/>
  <c r="AD29" i="9"/>
  <c r="R29" i="9"/>
  <c r="AO29" i="9"/>
  <c r="AC29" i="9"/>
  <c r="Q29" i="9"/>
  <c r="AN29" i="9"/>
  <c r="AB29" i="9"/>
  <c r="P29" i="9"/>
  <c r="AM29" i="9"/>
  <c r="AA29" i="9"/>
  <c r="O29" i="9"/>
  <c r="V29" i="9"/>
  <c r="AL29" i="9"/>
  <c r="T29" i="9"/>
  <c r="AJ29" i="9"/>
  <c r="N29" i="9"/>
  <c r="AF29" i="9"/>
  <c r="K29" i="9"/>
  <c r="AH29" i="9"/>
  <c r="Y29" i="9"/>
  <c r="X29" i="9"/>
  <c r="S29" i="9"/>
  <c r="M29" i="9"/>
  <c r="AK29" i="9"/>
  <c r="AE29" i="9"/>
  <c r="L29" i="9"/>
  <c r="J29" i="9"/>
  <c r="AI29" i="9"/>
  <c r="Z29" i="9"/>
  <c r="W29" i="9"/>
  <c r="L11" i="27"/>
  <c r="F11" i="27" s="1"/>
  <c r="C12" i="27"/>
  <c r="A12" i="27" s="1"/>
  <c r="D12" i="27" s="1"/>
  <c r="L12" i="34"/>
  <c r="F12" i="34" s="1"/>
  <c r="S44" i="76"/>
  <c r="R52" i="76"/>
  <c r="R54" i="76" s="1"/>
  <c r="R53" i="76" s="1"/>
  <c r="P48" i="76"/>
  <c r="P50" i="76" s="1"/>
  <c r="P49" i="76" s="1"/>
  <c r="Q45" i="76"/>
  <c r="C90" i="29"/>
  <c r="N90" i="29" s="1"/>
  <c r="K91" i="29"/>
  <c r="C91" i="29" s="1"/>
  <c r="N91" i="29" s="1"/>
  <c r="N86" i="29"/>
  <c r="D86" i="29" s="1"/>
  <c r="E86" i="29"/>
  <c r="K88" i="29"/>
  <c r="C87" i="29"/>
  <c r="L25" i="66"/>
  <c r="K26" i="66"/>
  <c r="S25" i="66"/>
  <c r="K186" i="29"/>
  <c r="C185" i="29"/>
  <c r="N185" i="29" s="1"/>
  <c r="F2173" i="66"/>
  <c r="F2172" i="66" s="1"/>
  <c r="F2171" i="66" s="1"/>
  <c r="F2170" i="66" s="1"/>
  <c r="F2169" i="66" s="1"/>
  <c r="F2168" i="66" s="1"/>
  <c r="F2167" i="66" s="1"/>
  <c r="F2166" i="66" s="1"/>
  <c r="F2165" i="66" s="1"/>
  <c r="F2164" i="66" s="1"/>
  <c r="F2163" i="66" s="1"/>
  <c r="F2162" i="66" s="1"/>
  <c r="F2161" i="66" s="1"/>
  <c r="F2160" i="66" s="1"/>
  <c r="F2159" i="66" s="1"/>
  <c r="F2158" i="66" s="1"/>
  <c r="F2157" i="66" s="1"/>
  <c r="F2156" i="66" s="1"/>
  <c r="F2155" i="66" s="1"/>
  <c r="F2154" i="66" s="1"/>
  <c r="F2153" i="66" s="1"/>
  <c r="F2152" i="66" s="1"/>
  <c r="F2151" i="66" s="1"/>
  <c r="F2150" i="66" s="1"/>
  <c r="F2149" i="66" s="1"/>
  <c r="F2148" i="66" s="1"/>
  <c r="F2147" i="66" s="1"/>
  <c r="F2146" i="66" s="1"/>
  <c r="F2145" i="66" s="1"/>
  <c r="F2144" i="66" s="1"/>
  <c r="F2143" i="66" s="1"/>
  <c r="F2142" i="66" s="1"/>
  <c r="F2141" i="66" s="1"/>
  <c r="F2140" i="66" s="1"/>
  <c r="F2139" i="66" s="1"/>
  <c r="F2138" i="66" s="1"/>
  <c r="F2137" i="66" s="1"/>
  <c r="F2136" i="66" s="1"/>
  <c r="F2135" i="66" s="1"/>
  <c r="F2134" i="66" s="1"/>
  <c r="F2133" i="66" s="1"/>
  <c r="F2132" i="66" s="1"/>
  <c r="F2131" i="66" s="1"/>
  <c r="F2130" i="66" s="1"/>
  <c r="F2129" i="66" s="1"/>
  <c r="F2128" i="66" s="1"/>
  <c r="F2127" i="66" s="1"/>
  <c r="F2126" i="66" s="1"/>
  <c r="F2125" i="66" s="1"/>
  <c r="F2124" i="66" s="1"/>
  <c r="F2123" i="66" s="1"/>
  <c r="F2122" i="66" s="1"/>
  <c r="F2121" i="66" s="1"/>
  <c r="F2120" i="66" s="1"/>
  <c r="F2119" i="66" s="1"/>
  <c r="F2118" i="66" s="1"/>
  <c r="F2117" i="66" s="1"/>
  <c r="F2116" i="66" s="1"/>
  <c r="F2115" i="66" s="1"/>
  <c r="F2114" i="66" s="1"/>
  <c r="F2113" i="66" s="1"/>
  <c r="F2112" i="66" s="1"/>
  <c r="F2111" i="66" s="1"/>
  <c r="F2110" i="66" s="1"/>
  <c r="F2109" i="66" s="1"/>
  <c r="F2108" i="66" s="1"/>
  <c r="F2107" i="66" s="1"/>
  <c r="F2106" i="66" s="1"/>
  <c r="F2105" i="66" s="1"/>
  <c r="F2104" i="66" s="1"/>
  <c r="F2103" i="66" s="1"/>
  <c r="F2102" i="66" s="1"/>
  <c r="F2101" i="66" s="1"/>
  <c r="F2100" i="66" s="1"/>
  <c r="F2099" i="66" s="1"/>
  <c r="F2098" i="66" s="1"/>
  <c r="F2097" i="66" s="1"/>
  <c r="F2096" i="66" s="1"/>
  <c r="F2095" i="66" s="1"/>
  <c r="F2094" i="66" s="1"/>
  <c r="F2093" i="66" s="1"/>
  <c r="F2092" i="66" s="1"/>
  <c r="F2091" i="66" s="1"/>
  <c r="F2090" i="66" s="1"/>
  <c r="F2089" i="66" s="1"/>
  <c r="F2088" i="66" s="1"/>
  <c r="F2087" i="66" s="1"/>
  <c r="F2086" i="66" s="1"/>
  <c r="F2085" i="66" s="1"/>
  <c r="F2084" i="66" s="1"/>
  <c r="F2083" i="66" s="1"/>
  <c r="F2082" i="66" s="1"/>
  <c r="F2081" i="66" s="1"/>
  <c r="F2080" i="66" s="1"/>
  <c r="F2079" i="66" s="1"/>
  <c r="F2078" i="66" s="1"/>
  <c r="F2077" i="66" s="1"/>
  <c r="F2076" i="66" s="1"/>
  <c r="F2075" i="66" s="1"/>
  <c r="F2074" i="66" s="1"/>
  <c r="F2073" i="66" s="1"/>
  <c r="F2072" i="66" s="1"/>
  <c r="F2071" i="66" s="1"/>
  <c r="F2070" i="66" s="1"/>
  <c r="F2069" i="66" s="1"/>
  <c r="F2068" i="66" s="1"/>
  <c r="F2067" i="66" s="1"/>
  <c r="F2066" i="66" s="1"/>
  <c r="F2065" i="66" s="1"/>
  <c r="F2064" i="66" s="1"/>
  <c r="F2063" i="66" s="1"/>
  <c r="F2062" i="66" s="1"/>
  <c r="F2061" i="66" s="1"/>
  <c r="F2060" i="66" s="1"/>
  <c r="F2059" i="66" s="1"/>
  <c r="F2058" i="66" s="1"/>
  <c r="F2057" i="66" s="1"/>
  <c r="F2056" i="66" s="1"/>
  <c r="F2055" i="66" s="1"/>
  <c r="F2054" i="66" s="1"/>
  <c r="F2053" i="66" s="1"/>
  <c r="F2052" i="66" s="1"/>
  <c r="F2051" i="66" s="1"/>
  <c r="F2050" i="66" s="1"/>
  <c r="F2049" i="66" s="1"/>
  <c r="F2048" i="66" s="1"/>
  <c r="F2047" i="66" s="1"/>
  <c r="F2046" i="66" s="1"/>
  <c r="F2045" i="66" s="1"/>
  <c r="F2044" i="66" s="1"/>
  <c r="F2043" i="66" s="1"/>
  <c r="F2042" i="66" s="1"/>
  <c r="F2041" i="66" s="1"/>
  <c r="F2040" i="66" s="1"/>
  <c r="F2039" i="66" s="1"/>
  <c r="F2038" i="66" s="1"/>
  <c r="F2037" i="66" s="1"/>
  <c r="F2036" i="66" s="1"/>
  <c r="F2035" i="66" s="1"/>
  <c r="F2034" i="66" s="1"/>
  <c r="F2033" i="66" s="1"/>
  <c r="F2032" i="66" s="1"/>
  <c r="F2031" i="66" s="1"/>
  <c r="F2030" i="66" s="1"/>
  <c r="F2029" i="66" s="1"/>
  <c r="F2028" i="66" s="1"/>
  <c r="F2027" i="66" s="1"/>
  <c r="F2026" i="66" s="1"/>
  <c r="F2025" i="66" s="1"/>
  <c r="F2024" i="66" s="1"/>
  <c r="F2023" i="66" s="1"/>
  <c r="F2022" i="66" s="1"/>
  <c r="F2021" i="66" s="1"/>
  <c r="F2020" i="66" s="1"/>
  <c r="F2019" i="66" s="1"/>
  <c r="F2018" i="66" s="1"/>
  <c r="F2017" i="66" s="1"/>
  <c r="F2016" i="66" s="1"/>
  <c r="F2015" i="66" s="1"/>
  <c r="F2014" i="66" s="1"/>
  <c r="F2013" i="66" s="1"/>
  <c r="F2012" i="66" s="1"/>
  <c r="F2011" i="66" s="1"/>
  <c r="F2010" i="66" s="1"/>
  <c r="F2009" i="66" s="1"/>
  <c r="F2008" i="66" s="1"/>
  <c r="F2007" i="66" s="1"/>
  <c r="F2006" i="66" s="1"/>
  <c r="F2005" i="66" s="1"/>
  <c r="F2004" i="66" s="1"/>
  <c r="F2003" i="66" s="1"/>
  <c r="F2002" i="66" s="1"/>
  <c r="F2001" i="66" s="1"/>
  <c r="F2000" i="66" s="1"/>
  <c r="F1999" i="66" s="1"/>
  <c r="F1998" i="66" s="1"/>
  <c r="F1997" i="66" s="1"/>
  <c r="F1996" i="66" s="1"/>
  <c r="F1995" i="66" s="1"/>
  <c r="F1994" i="66" s="1"/>
  <c r="F1993" i="66" s="1"/>
  <c r="F1992" i="66" s="1"/>
  <c r="F1991" i="66" s="1"/>
  <c r="F1990" i="66" s="1"/>
  <c r="F1989" i="66" s="1"/>
  <c r="F1988" i="66" s="1"/>
  <c r="F1987" i="66" s="1"/>
  <c r="F1986" i="66" s="1"/>
  <c r="F1985" i="66" s="1"/>
  <c r="F1984" i="66" s="1"/>
  <c r="F1983" i="66" s="1"/>
  <c r="F1982" i="66" s="1"/>
  <c r="F1981" i="66" s="1"/>
  <c r="F1980" i="66" s="1"/>
  <c r="F1979" i="66" s="1"/>
  <c r="F1978" i="66" s="1"/>
  <c r="F1977" i="66" s="1"/>
  <c r="F1976" i="66" s="1"/>
  <c r="F1975" i="66" s="1"/>
  <c r="F1974" i="66" s="1"/>
  <c r="F1973" i="66" s="1"/>
  <c r="F1972" i="66" s="1"/>
  <c r="F1971" i="66" s="1"/>
  <c r="F1970" i="66" s="1"/>
  <c r="F1969" i="66" s="1"/>
  <c r="F1968" i="66" s="1"/>
  <c r="F1967" i="66" s="1"/>
  <c r="F1966" i="66" s="1"/>
  <c r="F1965" i="66" s="1"/>
  <c r="F1964" i="66" s="1"/>
  <c r="F1963" i="66" s="1"/>
  <c r="F1962" i="66" s="1"/>
  <c r="F1961" i="66" s="1"/>
  <c r="F1960" i="66" s="1"/>
  <c r="F1959" i="66" s="1"/>
  <c r="F1958" i="66" s="1"/>
  <c r="F1957" i="66" s="1"/>
  <c r="F1956" i="66" s="1"/>
  <c r="F1955" i="66" s="1"/>
  <c r="F1954" i="66" s="1"/>
  <c r="F1953" i="66" s="1"/>
  <c r="F1952" i="66" s="1"/>
  <c r="F1951" i="66" s="1"/>
  <c r="F1950" i="66" s="1"/>
  <c r="F1949" i="66" s="1"/>
  <c r="F1948" i="66" s="1"/>
  <c r="F1947" i="66" s="1"/>
  <c r="F1946" i="66" s="1"/>
  <c r="F1945" i="66" s="1"/>
  <c r="F1944" i="66" s="1"/>
  <c r="F1943" i="66" s="1"/>
  <c r="F1942" i="66" s="1"/>
  <c r="F1941" i="66" s="1"/>
  <c r="F1940" i="66" s="1"/>
  <c r="F1939" i="66" s="1"/>
  <c r="F1938" i="66" s="1"/>
  <c r="F1937" i="66" s="1"/>
  <c r="F1936" i="66" s="1"/>
  <c r="F1935" i="66" s="1"/>
  <c r="F1934" i="66" s="1"/>
  <c r="F1933" i="66" s="1"/>
  <c r="F1932" i="66" s="1"/>
  <c r="F1931" i="66" s="1"/>
  <c r="F1930" i="66" s="1"/>
  <c r="F1929" i="66" s="1"/>
  <c r="F1928" i="66" s="1"/>
  <c r="F1927" i="66" s="1"/>
  <c r="F1926" i="66" s="1"/>
  <c r="M24" i="66"/>
  <c r="E184" i="29"/>
  <c r="F184" i="29"/>
  <c r="H184" i="29"/>
  <c r="B184" i="29"/>
  <c r="G184" i="29" s="1"/>
  <c r="D184" i="29"/>
  <c r="L185" i="29"/>
  <c r="CJ15" i="16"/>
  <c r="BO14" i="16"/>
  <c r="CK15" i="16"/>
  <c r="CI15" i="16"/>
  <c r="CH15" i="16"/>
  <c r="CN15" i="16"/>
  <c r="CL15" i="16"/>
  <c r="CM15" i="16"/>
  <c r="BA43" i="63"/>
  <c r="BB43" i="63"/>
  <c r="F43" i="63" s="1"/>
  <c r="D42" i="63"/>
  <c r="C20" i="19"/>
  <c r="D21" i="19"/>
  <c r="AL59" i="66"/>
  <c r="A23" i="10"/>
  <c r="E23" i="10" s="1"/>
  <c r="G84" i="28"/>
  <c r="AL84" i="28"/>
  <c r="AI84" i="28"/>
  <c r="D84" i="28"/>
  <c r="AO84" i="28"/>
  <c r="B84" i="28"/>
  <c r="AK84" i="28"/>
  <c r="H84" i="28"/>
  <c r="AP84" i="28"/>
  <c r="AN84" i="28"/>
  <c r="F84" i="28"/>
  <c r="E84" i="28"/>
  <c r="I84" i="28"/>
  <c r="AM84" i="28"/>
  <c r="AJ84" i="28"/>
  <c r="H64" i="28"/>
  <c r="I64" i="28"/>
  <c r="F64" i="28"/>
  <c r="B64" i="28"/>
  <c r="G64" i="28"/>
  <c r="AS65" i="28"/>
  <c r="F105" i="28"/>
  <c r="I105" i="28"/>
  <c r="G105" i="28"/>
  <c r="H105" i="28"/>
  <c r="B105" i="28"/>
  <c r="D105" i="28"/>
  <c r="E105" i="28"/>
  <c r="J269" i="28"/>
  <c r="J134" i="28"/>
  <c r="F125" i="28"/>
  <c r="B125" i="28"/>
  <c r="I125" i="28"/>
  <c r="G125" i="28"/>
  <c r="H125" i="28"/>
  <c r="AS126" i="28"/>
  <c r="D134" i="28"/>
  <c r="I134" i="28"/>
  <c r="H134" i="28"/>
  <c r="G134" i="28"/>
  <c r="B134" i="28"/>
  <c r="F134" i="28"/>
  <c r="AS135" i="28"/>
  <c r="AR136" i="28"/>
  <c r="C135" i="28"/>
  <c r="AU135" i="28" s="1"/>
  <c r="I133" i="28"/>
  <c r="F133" i="28"/>
  <c r="E133" i="28"/>
  <c r="D133" i="28"/>
  <c r="H133" i="28"/>
  <c r="G133" i="28"/>
  <c r="B133" i="28"/>
  <c r="J223" i="28"/>
  <c r="AU224" i="28"/>
  <c r="I123" i="28"/>
  <c r="H123" i="28"/>
  <c r="G123" i="28"/>
  <c r="B123" i="28"/>
  <c r="F123" i="28"/>
  <c r="E123" i="28"/>
  <c r="D123" i="28"/>
  <c r="C223" i="28"/>
  <c r="AR224" i="28"/>
  <c r="I29" i="9"/>
  <c r="AR32" i="9"/>
  <c r="AS32" i="9" s="1"/>
  <c r="A31" i="9"/>
  <c r="G29" i="9"/>
  <c r="F29" i="9"/>
  <c r="C23" i="10"/>
  <c r="B23" i="10" s="1"/>
  <c r="K24" i="10"/>
  <c r="H29" i="9"/>
  <c r="C30" i="9"/>
  <c r="G30" i="9"/>
  <c r="F30" i="9"/>
  <c r="D30" i="9"/>
  <c r="E30" i="9"/>
  <c r="H30" i="9"/>
  <c r="B30" i="9"/>
  <c r="D29" i="9"/>
  <c r="N19" i="39"/>
  <c r="D19" i="39" s="1"/>
  <c r="A19" i="39" s="1"/>
  <c r="AV16" i="38"/>
  <c r="J13" i="34"/>
  <c r="C13" i="34" s="1"/>
  <c r="O20" i="39"/>
  <c r="L20" i="39"/>
  <c r="M20" i="39" s="1"/>
  <c r="C20" i="39" s="1"/>
  <c r="C271" i="28"/>
  <c r="AU271" i="28" s="1"/>
  <c r="AR272" i="28"/>
  <c r="G269" i="28"/>
  <c r="F269" i="28"/>
  <c r="E269" i="28"/>
  <c r="I269" i="28"/>
  <c r="B269" i="28"/>
  <c r="H269" i="28"/>
  <c r="D269" i="28"/>
  <c r="AS270" i="28"/>
  <c r="J270" i="28" s="1"/>
  <c r="D12" i="34"/>
  <c r="B12" i="34"/>
  <c r="M17" i="36"/>
  <c r="B17" i="35"/>
  <c r="H16" i="36"/>
  <c r="B16" i="36"/>
  <c r="I16" i="36" s="1"/>
  <c r="G16" i="36"/>
  <c r="F16" i="36"/>
  <c r="AS18" i="35"/>
  <c r="C18" i="35" s="1"/>
  <c r="I16" i="37"/>
  <c r="C16" i="37" s="1"/>
  <c r="A16" i="37" s="1"/>
  <c r="D16" i="37" s="1"/>
  <c r="J17" i="35"/>
  <c r="E16" i="38" l="1"/>
  <c r="AV17" i="38" s="1"/>
  <c r="AK30" i="9"/>
  <c r="Y30" i="9"/>
  <c r="M30" i="9"/>
  <c r="AH30" i="9"/>
  <c r="V30" i="9"/>
  <c r="J30" i="9"/>
  <c r="AG30" i="9"/>
  <c r="U30" i="9"/>
  <c r="AF30" i="9"/>
  <c r="T30" i="9"/>
  <c r="AE30" i="9"/>
  <c r="S30" i="9"/>
  <c r="AC30" i="9"/>
  <c r="K30" i="9"/>
  <c r="AB30" i="9"/>
  <c r="Z30" i="9"/>
  <c r="AN30" i="9"/>
  <c r="R30" i="9"/>
  <c r="AI30" i="9"/>
  <c r="X30" i="9"/>
  <c r="W30" i="9"/>
  <c r="P30" i="9"/>
  <c r="AL30" i="9"/>
  <c r="O30" i="9"/>
  <c r="AO30" i="9"/>
  <c r="N30" i="9"/>
  <c r="AM30" i="9"/>
  <c r="L30" i="9"/>
  <c r="AJ30" i="9"/>
  <c r="AD30" i="9"/>
  <c r="Q30" i="9"/>
  <c r="AA30" i="9"/>
  <c r="I13" i="27"/>
  <c r="J13" i="27" s="1"/>
  <c r="M12" i="27"/>
  <c r="N12" i="27"/>
  <c r="O12" i="27"/>
  <c r="P12" i="27"/>
  <c r="M13" i="34"/>
  <c r="N13" i="34"/>
  <c r="D17" i="35"/>
  <c r="Q48" i="76"/>
  <c r="Q50" i="76" s="1"/>
  <c r="Q49" i="76" s="1"/>
  <c r="R45" i="76"/>
  <c r="T44" i="76"/>
  <c r="S52" i="76"/>
  <c r="S54" i="76" s="1"/>
  <c r="S53" i="76" s="1"/>
  <c r="C88" i="29"/>
  <c r="N88" i="29" s="1"/>
  <c r="D88" i="29" s="1"/>
  <c r="K89" i="29"/>
  <c r="C89" i="29" s="1"/>
  <c r="N89" i="29" s="1"/>
  <c r="D89" i="29" s="1"/>
  <c r="N87" i="29"/>
  <c r="D87" i="29" s="1"/>
  <c r="E87" i="29"/>
  <c r="E88" i="29"/>
  <c r="L26" i="66"/>
  <c r="K27" i="66"/>
  <c r="S26" i="66"/>
  <c r="H185" i="29"/>
  <c r="B185" i="29"/>
  <c r="G185" i="29" s="1"/>
  <c r="D185" i="29"/>
  <c r="E185" i="29"/>
  <c r="F185" i="29"/>
  <c r="L186" i="29"/>
  <c r="K187" i="29"/>
  <c r="C186" i="29"/>
  <c r="N186" i="29" s="1"/>
  <c r="F1925" i="66"/>
  <c r="F1924" i="66" s="1"/>
  <c r="F1923" i="66" s="1"/>
  <c r="F1922" i="66" s="1"/>
  <c r="F1921" i="66" s="1"/>
  <c r="F1920" i="66" s="1"/>
  <c r="F1919" i="66" s="1"/>
  <c r="F1918" i="66" s="1"/>
  <c r="F1917" i="66" s="1"/>
  <c r="F1916" i="66" s="1"/>
  <c r="F1915" i="66" s="1"/>
  <c r="F1914" i="66" s="1"/>
  <c r="F1913" i="66" s="1"/>
  <c r="F1912" i="66" s="1"/>
  <c r="F1911" i="66" s="1"/>
  <c r="F1910" i="66" s="1"/>
  <c r="F1909" i="66" s="1"/>
  <c r="F1908" i="66" s="1"/>
  <c r="F1907" i="66" s="1"/>
  <c r="F1906" i="66" s="1"/>
  <c r="F1905" i="66" s="1"/>
  <c r="F1904" i="66" s="1"/>
  <c r="F1903" i="66" s="1"/>
  <c r="F1902" i="66" s="1"/>
  <c r="F1901" i="66" s="1"/>
  <c r="F1900" i="66" s="1"/>
  <c r="F1899" i="66" s="1"/>
  <c r="F1898" i="66" s="1"/>
  <c r="F1897" i="66" s="1"/>
  <c r="F1896" i="66" s="1"/>
  <c r="F1895" i="66" s="1"/>
  <c r="F1894" i="66" s="1"/>
  <c r="F1893" i="66" s="1"/>
  <c r="F1892" i="66" s="1"/>
  <c r="F1891" i="66" s="1"/>
  <c r="F1890" i="66" s="1"/>
  <c r="F1889" i="66" s="1"/>
  <c r="F1888" i="66" s="1"/>
  <c r="F1887" i="66" s="1"/>
  <c r="F1886" i="66" s="1"/>
  <c r="F1885" i="66" s="1"/>
  <c r="F1884" i="66" s="1"/>
  <c r="F1883" i="66" s="1"/>
  <c r="F1882" i="66" s="1"/>
  <c r="F1881" i="66" s="1"/>
  <c r="F1880" i="66" s="1"/>
  <c r="F1879" i="66" s="1"/>
  <c r="F1878" i="66" s="1"/>
  <c r="F1877" i="66" s="1"/>
  <c r="F1876" i="66" s="1"/>
  <c r="F1875" i="66" s="1"/>
  <c r="F1874" i="66" s="1"/>
  <c r="F1873" i="66" s="1"/>
  <c r="F1872" i="66" s="1"/>
  <c r="F1871" i="66" s="1"/>
  <c r="F1870" i="66" s="1"/>
  <c r="F1869" i="66" s="1"/>
  <c r="F1868" i="66" s="1"/>
  <c r="F1867" i="66" s="1"/>
  <c r="F1866" i="66" s="1"/>
  <c r="F1865" i="66" s="1"/>
  <c r="F1864" i="66" s="1"/>
  <c r="F1863" i="66" s="1"/>
  <c r="F1862" i="66" s="1"/>
  <c r="F1861" i="66" s="1"/>
  <c r="F1860" i="66" s="1"/>
  <c r="F1859" i="66" s="1"/>
  <c r="F1858" i="66" s="1"/>
  <c r="F1857" i="66" s="1"/>
  <c r="F1856" i="66" s="1"/>
  <c r="F1855" i="66" s="1"/>
  <c r="F1854" i="66" s="1"/>
  <c r="F1853" i="66" s="1"/>
  <c r="F1852" i="66" s="1"/>
  <c r="F1851" i="66" s="1"/>
  <c r="F1850" i="66" s="1"/>
  <c r="F1849" i="66" s="1"/>
  <c r="F1848" i="66" s="1"/>
  <c r="F1847" i="66" s="1"/>
  <c r="F1846" i="66" s="1"/>
  <c r="F1845" i="66" s="1"/>
  <c r="F1844" i="66" s="1"/>
  <c r="F1843" i="66" s="1"/>
  <c r="F1842" i="66" s="1"/>
  <c r="F1841" i="66" s="1"/>
  <c r="F1840" i="66" s="1"/>
  <c r="F1839" i="66" s="1"/>
  <c r="F1838" i="66" s="1"/>
  <c r="F1837" i="66" s="1"/>
  <c r="F1836" i="66" s="1"/>
  <c r="F1835" i="66" s="1"/>
  <c r="F1834" i="66" s="1"/>
  <c r="F1833" i="66" s="1"/>
  <c r="F1832" i="66" s="1"/>
  <c r="F1831" i="66" s="1"/>
  <c r="F1830" i="66" s="1"/>
  <c r="F1829" i="66" s="1"/>
  <c r="F1828" i="66" s="1"/>
  <c r="F1827" i="66" s="1"/>
  <c r="F1826" i="66" s="1"/>
  <c r="F1825" i="66" s="1"/>
  <c r="F1824" i="66" s="1"/>
  <c r="F1823" i="66" s="1"/>
  <c r="F1822" i="66" s="1"/>
  <c r="F1821" i="66" s="1"/>
  <c r="F1820" i="66" s="1"/>
  <c r="F1819" i="66" s="1"/>
  <c r="F1818" i="66" s="1"/>
  <c r="F1817" i="66" s="1"/>
  <c r="F1816" i="66" s="1"/>
  <c r="F1815" i="66" s="1"/>
  <c r="F1814" i="66" s="1"/>
  <c r="F1813" i="66" s="1"/>
  <c r="F1812" i="66" s="1"/>
  <c r="F1811" i="66" s="1"/>
  <c r="F1810" i="66" s="1"/>
  <c r="F1809" i="66" s="1"/>
  <c r="F1808" i="66" s="1"/>
  <c r="F1807" i="66" s="1"/>
  <c r="F1806" i="66" s="1"/>
  <c r="F1805" i="66" s="1"/>
  <c r="F1804" i="66" s="1"/>
  <c r="F1803" i="66" s="1"/>
  <c r="F1802" i="66" s="1"/>
  <c r="F1801" i="66" s="1"/>
  <c r="F1800" i="66" s="1"/>
  <c r="F1799" i="66" s="1"/>
  <c r="F1798" i="66" s="1"/>
  <c r="F1797" i="66" s="1"/>
  <c r="F1796" i="66" s="1"/>
  <c r="F1795" i="66" s="1"/>
  <c r="F1794" i="66" s="1"/>
  <c r="F1793" i="66" s="1"/>
  <c r="F1792" i="66" s="1"/>
  <c r="F1791" i="66" s="1"/>
  <c r="F1790" i="66" s="1"/>
  <c r="F1789" i="66" s="1"/>
  <c r="F1788" i="66" s="1"/>
  <c r="F1787" i="66" s="1"/>
  <c r="F1786" i="66" s="1"/>
  <c r="F1785" i="66" s="1"/>
  <c r="F1784" i="66" s="1"/>
  <c r="F1783" i="66" s="1"/>
  <c r="F1782" i="66" s="1"/>
  <c r="F1781" i="66" s="1"/>
  <c r="F1780" i="66" s="1"/>
  <c r="F1779" i="66" s="1"/>
  <c r="F1778" i="66" s="1"/>
  <c r="F1777" i="66" s="1"/>
  <c r="F1776" i="66" s="1"/>
  <c r="F1775" i="66" s="1"/>
  <c r="F1774" i="66" s="1"/>
  <c r="F1773" i="66" s="1"/>
  <c r="F1772" i="66" s="1"/>
  <c r="F1771" i="66" s="1"/>
  <c r="F1770" i="66" s="1"/>
  <c r="F1769" i="66" s="1"/>
  <c r="F1768" i="66" s="1"/>
  <c r="F1767" i="66" s="1"/>
  <c r="F1766" i="66" s="1"/>
  <c r="F1765" i="66" s="1"/>
  <c r="F1764" i="66" s="1"/>
  <c r="F1763" i="66" s="1"/>
  <c r="F1762" i="66" s="1"/>
  <c r="F1761" i="66" s="1"/>
  <c r="F1760" i="66" s="1"/>
  <c r="F1759" i="66" s="1"/>
  <c r="F1758" i="66" s="1"/>
  <c r="F1757" i="66" s="1"/>
  <c r="F1756" i="66" s="1"/>
  <c r="F1755" i="66" s="1"/>
  <c r="F1754" i="66" s="1"/>
  <c r="F1753" i="66" s="1"/>
  <c r="F1752" i="66" s="1"/>
  <c r="F1751" i="66" s="1"/>
  <c r="F1750" i="66" s="1"/>
  <c r="F1749" i="66" s="1"/>
  <c r="F1748" i="66" s="1"/>
  <c r="F1747" i="66" s="1"/>
  <c r="F1746" i="66" s="1"/>
  <c r="F1745" i="66" s="1"/>
  <c r="F1744" i="66" s="1"/>
  <c r="F1743" i="66" s="1"/>
  <c r="F1742" i="66" s="1"/>
  <c r="F1741" i="66" s="1"/>
  <c r="F1740" i="66" s="1"/>
  <c r="F1739" i="66" s="1"/>
  <c r="F1738" i="66" s="1"/>
  <c r="F1737" i="66" s="1"/>
  <c r="F1736" i="66" s="1"/>
  <c r="F1735" i="66" s="1"/>
  <c r="F1734" i="66" s="1"/>
  <c r="F1733" i="66" s="1"/>
  <c r="F1732" i="66" s="1"/>
  <c r="F1731" i="66" s="1"/>
  <c r="F1730" i="66" s="1"/>
  <c r="F1729" i="66" s="1"/>
  <c r="F1728" i="66" s="1"/>
  <c r="F1727" i="66" s="1"/>
  <c r="F1726" i="66" s="1"/>
  <c r="F1725" i="66" s="1"/>
  <c r="F1724" i="66" s="1"/>
  <c r="F1723" i="66" s="1"/>
  <c r="F1722" i="66" s="1"/>
  <c r="F1721" i="66" s="1"/>
  <c r="F1720" i="66" s="1"/>
  <c r="F1719" i="66" s="1"/>
  <c r="F1718" i="66" s="1"/>
  <c r="F1717" i="66" s="1"/>
  <c r="F1716" i="66" s="1"/>
  <c r="F1715" i="66" s="1"/>
  <c r="F1714" i="66" s="1"/>
  <c r="F1713" i="66" s="1"/>
  <c r="F1712" i="66" s="1"/>
  <c r="F1711" i="66" s="1"/>
  <c r="F1710" i="66" s="1"/>
  <c r="F1709" i="66" s="1"/>
  <c r="F1708" i="66" s="1"/>
  <c r="F1707" i="66" s="1"/>
  <c r="F1706" i="66" s="1"/>
  <c r="F1705" i="66" s="1"/>
  <c r="F1704" i="66" s="1"/>
  <c r="F1703" i="66" s="1"/>
  <c r="F1702" i="66" s="1"/>
  <c r="F1701" i="66" s="1"/>
  <c r="F1700" i="66" s="1"/>
  <c r="F1699" i="66" s="1"/>
  <c r="F1698" i="66" s="1"/>
  <c r="F1697" i="66" s="1"/>
  <c r="F1696" i="66" s="1"/>
  <c r="F1695" i="66" s="1"/>
  <c r="F1694" i="66" s="1"/>
  <c r="F1693" i="66" s="1"/>
  <c r="F1692" i="66" s="1"/>
  <c r="F1691" i="66" s="1"/>
  <c r="F1690" i="66" s="1"/>
  <c r="F1689" i="66" s="1"/>
  <c r="F1688" i="66" s="1"/>
  <c r="F1687" i="66" s="1"/>
  <c r="F1686" i="66" s="1"/>
  <c r="F1685" i="66" s="1"/>
  <c r="F1684" i="66" s="1"/>
  <c r="F1683" i="66" s="1"/>
  <c r="F1682" i="66" s="1"/>
  <c r="F1681" i="66" s="1"/>
  <c r="F1680" i="66" s="1"/>
  <c r="F1679" i="66" s="1"/>
  <c r="F1678" i="66" s="1"/>
  <c r="F1677" i="66" s="1"/>
  <c r="F1676" i="66" s="1"/>
  <c r="F1675" i="66" s="1"/>
  <c r="M25" i="66"/>
  <c r="D23" i="10"/>
  <c r="G23" i="10"/>
  <c r="H23" i="10"/>
  <c r="D43" i="63"/>
  <c r="BA44" i="63"/>
  <c r="BB44" i="63"/>
  <c r="F44" i="63" s="1"/>
  <c r="C21" i="19"/>
  <c r="B20" i="19"/>
  <c r="B21" i="19" s="1"/>
  <c r="AL60" i="66"/>
  <c r="BO13" i="16"/>
  <c r="CH14" i="16"/>
  <c r="CK14" i="16"/>
  <c r="CI14" i="16"/>
  <c r="CJ14" i="16"/>
  <c r="CL14" i="16"/>
  <c r="CM14" i="16"/>
  <c r="CN14" i="16"/>
  <c r="E65" i="28"/>
  <c r="I65" i="28"/>
  <c r="H65" i="28"/>
  <c r="D65" i="28"/>
  <c r="B65" i="28"/>
  <c r="G65" i="28"/>
  <c r="F65" i="28"/>
  <c r="D126" i="28"/>
  <c r="F126" i="28"/>
  <c r="E126" i="28"/>
  <c r="I126" i="28"/>
  <c r="H126" i="28"/>
  <c r="G126" i="28"/>
  <c r="AS127" i="28"/>
  <c r="B126" i="28"/>
  <c r="AR137" i="28"/>
  <c r="AS136" i="28"/>
  <c r="C136" i="28"/>
  <c r="AU136" i="28" s="1"/>
  <c r="H135" i="28"/>
  <c r="G135" i="28"/>
  <c r="D135" i="28"/>
  <c r="I135" i="28"/>
  <c r="B135" i="28"/>
  <c r="E135" i="28"/>
  <c r="F135" i="28"/>
  <c r="AU225" i="28"/>
  <c r="J224" i="28"/>
  <c r="C224" i="28"/>
  <c r="AR225" i="28"/>
  <c r="I30" i="9"/>
  <c r="AR33" i="9"/>
  <c r="AS33" i="9" s="1"/>
  <c r="A32" i="9"/>
  <c r="C31" i="9"/>
  <c r="B31" i="9"/>
  <c r="E31" i="9" s="1"/>
  <c r="L24" i="10"/>
  <c r="I24" i="10"/>
  <c r="F24" i="10"/>
  <c r="D16" i="36"/>
  <c r="E16" i="36"/>
  <c r="AT19" i="35"/>
  <c r="AR19" i="35" s="1"/>
  <c r="N20" i="39"/>
  <c r="D20" i="39" s="1"/>
  <c r="A20" i="39" s="1"/>
  <c r="I17" i="35"/>
  <c r="G17" i="35"/>
  <c r="E17" i="35"/>
  <c r="F17" i="35"/>
  <c r="L21" i="39"/>
  <c r="M21" i="39" s="1"/>
  <c r="C21" i="39" s="1"/>
  <c r="AS271" i="28"/>
  <c r="J271" i="28" s="1"/>
  <c r="K17" i="36"/>
  <c r="O21" i="39"/>
  <c r="H17" i="35"/>
  <c r="AR273" i="28"/>
  <c r="C272" i="28"/>
  <c r="AU272" i="28" s="1"/>
  <c r="H270" i="28"/>
  <c r="G270" i="28"/>
  <c r="F270" i="28"/>
  <c r="B270" i="28"/>
  <c r="D270" i="28"/>
  <c r="E270" i="28"/>
  <c r="I270" i="28"/>
  <c r="I14" i="34"/>
  <c r="J14" i="34" s="1"/>
  <c r="A13" i="34"/>
  <c r="E13" i="34"/>
  <c r="A18" i="35"/>
  <c r="H17" i="37"/>
  <c r="AS17" i="38" l="1"/>
  <c r="AT17" i="38" s="1"/>
  <c r="C17" i="38" s="1"/>
  <c r="AO31" i="9"/>
  <c r="AC31" i="9"/>
  <c r="Q31" i="9"/>
  <c r="AL31" i="9"/>
  <c r="Z31" i="9"/>
  <c r="N31" i="9"/>
  <c r="AK31" i="9"/>
  <c r="Y31" i="9"/>
  <c r="M31" i="9"/>
  <c r="AJ31" i="9"/>
  <c r="X31" i="9"/>
  <c r="L31" i="9"/>
  <c r="AI31" i="9"/>
  <c r="W31" i="9"/>
  <c r="K31" i="9"/>
  <c r="AN31" i="9"/>
  <c r="S31" i="9"/>
  <c r="AM31" i="9"/>
  <c r="R31" i="9"/>
  <c r="AG31" i="9"/>
  <c r="O31" i="9"/>
  <c r="AD31" i="9"/>
  <c r="AE31" i="9"/>
  <c r="V31" i="9"/>
  <c r="U31" i="9"/>
  <c r="P31" i="9"/>
  <c r="AB31" i="9"/>
  <c r="J31" i="9"/>
  <c r="AH31" i="9"/>
  <c r="AF31" i="9"/>
  <c r="AA31" i="9"/>
  <c r="T31" i="9"/>
  <c r="D136" i="28"/>
  <c r="L12" i="27"/>
  <c r="F12" i="27" s="1"/>
  <c r="C13" i="27"/>
  <c r="I14" i="27" s="1"/>
  <c r="J14" i="27" s="1"/>
  <c r="C14" i="27" s="1"/>
  <c r="L13" i="34"/>
  <c r="F13" i="34" s="1"/>
  <c r="U44" i="76"/>
  <c r="T52" i="76"/>
  <c r="T54" i="76" s="1"/>
  <c r="T53" i="76" s="1"/>
  <c r="S45" i="76"/>
  <c r="R48" i="76"/>
  <c r="R50" i="76" s="1"/>
  <c r="R49" i="76" s="1"/>
  <c r="A24" i="10"/>
  <c r="K28" i="66"/>
  <c r="S27" i="66"/>
  <c r="L27" i="66"/>
  <c r="D186" i="29"/>
  <c r="K188" i="29"/>
  <c r="C187" i="29"/>
  <c r="N187" i="29" s="1"/>
  <c r="H186" i="29"/>
  <c r="E186" i="29"/>
  <c r="B186" i="29"/>
  <c r="G186" i="29" s="1"/>
  <c r="F186" i="29"/>
  <c r="L187" i="29"/>
  <c r="F1674" i="66"/>
  <c r="F1673" i="66" s="1"/>
  <c r="F1672" i="66" s="1"/>
  <c r="F1671" i="66" s="1"/>
  <c r="F1670" i="66" s="1"/>
  <c r="F1669" i="66" s="1"/>
  <c r="F1668" i="66" s="1"/>
  <c r="F1667" i="66" s="1"/>
  <c r="F1666" i="66" s="1"/>
  <c r="F1665" i="66" s="1"/>
  <c r="F1664" i="66" s="1"/>
  <c r="F1663" i="66" s="1"/>
  <c r="F1662" i="66" s="1"/>
  <c r="F1661" i="66" s="1"/>
  <c r="F1660" i="66" s="1"/>
  <c r="F1659" i="66" s="1"/>
  <c r="F1658" i="66" s="1"/>
  <c r="F1657" i="66" s="1"/>
  <c r="F1656" i="66" s="1"/>
  <c r="F1655" i="66" s="1"/>
  <c r="F1654" i="66" s="1"/>
  <c r="F1653" i="66" s="1"/>
  <c r="F1652" i="66" s="1"/>
  <c r="F1651" i="66" s="1"/>
  <c r="F1650" i="66" s="1"/>
  <c r="F1649" i="66" s="1"/>
  <c r="F1648" i="66" s="1"/>
  <c r="F1647" i="66" s="1"/>
  <c r="F1646" i="66" s="1"/>
  <c r="F1645" i="66" s="1"/>
  <c r="F1644" i="66" s="1"/>
  <c r="F1643" i="66" s="1"/>
  <c r="F1642" i="66" s="1"/>
  <c r="F1641" i="66" s="1"/>
  <c r="F1640" i="66" s="1"/>
  <c r="F1639" i="66" s="1"/>
  <c r="F1638" i="66" s="1"/>
  <c r="F1637" i="66" s="1"/>
  <c r="F1636" i="66" s="1"/>
  <c r="F1635" i="66" s="1"/>
  <c r="F1634" i="66" s="1"/>
  <c r="F1633" i="66" s="1"/>
  <c r="F1632" i="66" s="1"/>
  <c r="F1631" i="66" s="1"/>
  <c r="F1630" i="66" s="1"/>
  <c r="F1629" i="66" s="1"/>
  <c r="F1628" i="66" s="1"/>
  <c r="F1627" i="66" s="1"/>
  <c r="F1626" i="66" s="1"/>
  <c r="F1625" i="66" s="1"/>
  <c r="F1624" i="66" s="1"/>
  <c r="F1623" i="66" s="1"/>
  <c r="F1622" i="66" s="1"/>
  <c r="F1621" i="66" s="1"/>
  <c r="F1620" i="66" s="1"/>
  <c r="F1619" i="66" s="1"/>
  <c r="F1618" i="66" s="1"/>
  <c r="F1617" i="66" s="1"/>
  <c r="F1616" i="66" s="1"/>
  <c r="F1615" i="66" s="1"/>
  <c r="F1614" i="66" s="1"/>
  <c r="F1613" i="66" s="1"/>
  <c r="F1612" i="66" s="1"/>
  <c r="F1611" i="66" s="1"/>
  <c r="F1610" i="66" s="1"/>
  <c r="F1609" i="66" s="1"/>
  <c r="F1608" i="66" s="1"/>
  <c r="F1607" i="66" s="1"/>
  <c r="F1606" i="66" s="1"/>
  <c r="F1605" i="66" s="1"/>
  <c r="F1604" i="66" s="1"/>
  <c r="F1603" i="66" s="1"/>
  <c r="F1602" i="66" s="1"/>
  <c r="F1601" i="66" s="1"/>
  <c r="F1600" i="66" s="1"/>
  <c r="F1599" i="66" s="1"/>
  <c r="F1598" i="66" s="1"/>
  <c r="F1597" i="66" s="1"/>
  <c r="F1596" i="66" s="1"/>
  <c r="F1595" i="66" s="1"/>
  <c r="F1594" i="66" s="1"/>
  <c r="F1593" i="66" s="1"/>
  <c r="F1592" i="66" s="1"/>
  <c r="F1591" i="66" s="1"/>
  <c r="F1590" i="66" s="1"/>
  <c r="F1589" i="66" s="1"/>
  <c r="F1588" i="66" s="1"/>
  <c r="F1587" i="66" s="1"/>
  <c r="F1586" i="66" s="1"/>
  <c r="F1585" i="66" s="1"/>
  <c r="F1584" i="66" s="1"/>
  <c r="F1583" i="66" s="1"/>
  <c r="F1582" i="66" s="1"/>
  <c r="F1581" i="66" s="1"/>
  <c r="F1580" i="66" s="1"/>
  <c r="F1579" i="66" s="1"/>
  <c r="F1578" i="66" s="1"/>
  <c r="F1577" i="66" s="1"/>
  <c r="F1576" i="66" s="1"/>
  <c r="F1575" i="66" s="1"/>
  <c r="F1574" i="66" s="1"/>
  <c r="F1573" i="66" s="1"/>
  <c r="F1572" i="66" s="1"/>
  <c r="F1571" i="66" s="1"/>
  <c r="F1570" i="66" s="1"/>
  <c r="F1569" i="66" s="1"/>
  <c r="F1568" i="66" s="1"/>
  <c r="F1567" i="66" s="1"/>
  <c r="F1566" i="66" s="1"/>
  <c r="F1565" i="66" s="1"/>
  <c r="F1564" i="66" s="1"/>
  <c r="F1563" i="66" s="1"/>
  <c r="F1562" i="66" s="1"/>
  <c r="F1561" i="66" s="1"/>
  <c r="F1560" i="66" s="1"/>
  <c r="F1559" i="66" s="1"/>
  <c r="F1558" i="66" s="1"/>
  <c r="F1557" i="66" s="1"/>
  <c r="F1556" i="66" s="1"/>
  <c r="F1555" i="66" s="1"/>
  <c r="F1554" i="66" s="1"/>
  <c r="F1553" i="66" s="1"/>
  <c r="F1552" i="66" s="1"/>
  <c r="F1551" i="66" s="1"/>
  <c r="F1550" i="66" s="1"/>
  <c r="F1549" i="66" s="1"/>
  <c r="F1548" i="66" s="1"/>
  <c r="F1547" i="66" s="1"/>
  <c r="F1546" i="66" s="1"/>
  <c r="F1545" i="66" s="1"/>
  <c r="F1544" i="66" s="1"/>
  <c r="F1543" i="66" s="1"/>
  <c r="F1542" i="66" s="1"/>
  <c r="F1541" i="66" s="1"/>
  <c r="F1540" i="66" s="1"/>
  <c r="F1539" i="66" s="1"/>
  <c r="F1538" i="66" s="1"/>
  <c r="F1537" i="66" s="1"/>
  <c r="F1536" i="66" s="1"/>
  <c r="F1535" i="66" s="1"/>
  <c r="F1534" i="66" s="1"/>
  <c r="F1533" i="66" s="1"/>
  <c r="F1532" i="66" s="1"/>
  <c r="F1531" i="66" s="1"/>
  <c r="F1530" i="66" s="1"/>
  <c r="F1529" i="66" s="1"/>
  <c r="F1528" i="66" s="1"/>
  <c r="F1527" i="66" s="1"/>
  <c r="F1526" i="66" s="1"/>
  <c r="F1525" i="66" s="1"/>
  <c r="F1524" i="66" s="1"/>
  <c r="F1523" i="66" s="1"/>
  <c r="F1522" i="66" s="1"/>
  <c r="F1521" i="66" s="1"/>
  <c r="F1520" i="66" s="1"/>
  <c r="F1519" i="66" s="1"/>
  <c r="F1518" i="66" s="1"/>
  <c r="F1517" i="66" s="1"/>
  <c r="F1516" i="66" s="1"/>
  <c r="F1515" i="66" s="1"/>
  <c r="F1514" i="66" s="1"/>
  <c r="F1513" i="66" s="1"/>
  <c r="F1512" i="66" s="1"/>
  <c r="F1511" i="66" s="1"/>
  <c r="F1510" i="66" s="1"/>
  <c r="F1509" i="66" s="1"/>
  <c r="F1508" i="66" s="1"/>
  <c r="F1507" i="66" s="1"/>
  <c r="F1506" i="66" s="1"/>
  <c r="F1505" i="66" s="1"/>
  <c r="F1504" i="66" s="1"/>
  <c r="F1503" i="66" s="1"/>
  <c r="F1502" i="66" s="1"/>
  <c r="F1501" i="66" s="1"/>
  <c r="F1500" i="66" s="1"/>
  <c r="F1499" i="66" s="1"/>
  <c r="F1498" i="66" s="1"/>
  <c r="F1497" i="66" s="1"/>
  <c r="F1496" i="66" s="1"/>
  <c r="F1495" i="66" s="1"/>
  <c r="F1494" i="66" s="1"/>
  <c r="F1493" i="66" s="1"/>
  <c r="F1492" i="66" s="1"/>
  <c r="F1491" i="66" s="1"/>
  <c r="F1490" i="66" s="1"/>
  <c r="F1489" i="66" s="1"/>
  <c r="F1488" i="66" s="1"/>
  <c r="F1487" i="66" s="1"/>
  <c r="F1486" i="66" s="1"/>
  <c r="F1485" i="66" s="1"/>
  <c r="F1484" i="66" s="1"/>
  <c r="F1483" i="66" s="1"/>
  <c r="F1482" i="66" s="1"/>
  <c r="F1481" i="66" s="1"/>
  <c r="F1480" i="66" s="1"/>
  <c r="F1479" i="66" s="1"/>
  <c r="F1478" i="66" s="1"/>
  <c r="F1477" i="66" s="1"/>
  <c r="F1476" i="66" s="1"/>
  <c r="F1475" i="66" s="1"/>
  <c r="F1474" i="66" s="1"/>
  <c r="F1473" i="66" s="1"/>
  <c r="F1472" i="66" s="1"/>
  <c r="F1471" i="66" s="1"/>
  <c r="F1470" i="66" s="1"/>
  <c r="F1469" i="66" s="1"/>
  <c r="F1468" i="66" s="1"/>
  <c r="F1467" i="66" s="1"/>
  <c r="F1466" i="66" s="1"/>
  <c r="F1465" i="66" s="1"/>
  <c r="F1464" i="66" s="1"/>
  <c r="F1463" i="66" s="1"/>
  <c r="F1462" i="66" s="1"/>
  <c r="F1461" i="66" s="1"/>
  <c r="F1460" i="66" s="1"/>
  <c r="F1459" i="66" s="1"/>
  <c r="F1458" i="66" s="1"/>
  <c r="F1457" i="66" s="1"/>
  <c r="F1456" i="66" s="1"/>
  <c r="F1455" i="66" s="1"/>
  <c r="F1454" i="66" s="1"/>
  <c r="F1453" i="66" s="1"/>
  <c r="F1452" i="66" s="1"/>
  <c r="F1451" i="66" s="1"/>
  <c r="F1450" i="66" s="1"/>
  <c r="F1449" i="66" s="1"/>
  <c r="F1448" i="66" s="1"/>
  <c r="F1447" i="66" s="1"/>
  <c r="F1446" i="66" s="1"/>
  <c r="F1445" i="66" s="1"/>
  <c r="F1444" i="66" s="1"/>
  <c r="F1443" i="66" s="1"/>
  <c r="F1442" i="66" s="1"/>
  <c r="F1441" i="66" s="1"/>
  <c r="F1440" i="66" s="1"/>
  <c r="F1439" i="66" s="1"/>
  <c r="F1438" i="66" s="1"/>
  <c r="F1437" i="66" s="1"/>
  <c r="F1436" i="66" s="1"/>
  <c r="F1435" i="66" s="1"/>
  <c r="F1434" i="66" s="1"/>
  <c r="F1433" i="66" s="1"/>
  <c r="F1432" i="66" s="1"/>
  <c r="F1431" i="66" s="1"/>
  <c r="F1430" i="66" s="1"/>
  <c r="F1429" i="66" s="1"/>
  <c r="F1428" i="66" s="1"/>
  <c r="F1427" i="66" s="1"/>
  <c r="F1426" i="66" s="1"/>
  <c r="F1425" i="66" s="1"/>
  <c r="F1424" i="66" s="1"/>
  <c r="M26" i="66"/>
  <c r="AL61" i="66"/>
  <c r="CI13" i="16"/>
  <c r="CH13" i="16"/>
  <c r="CK13" i="16"/>
  <c r="BO12" i="16"/>
  <c r="CJ13" i="16"/>
  <c r="CL13" i="16"/>
  <c r="CM13" i="16"/>
  <c r="CN13" i="16"/>
  <c r="BA45" i="63"/>
  <c r="BB45" i="63"/>
  <c r="F45" i="63" s="1"/>
  <c r="D44" i="63"/>
  <c r="B136" i="28"/>
  <c r="I136" i="28"/>
  <c r="G136" i="28"/>
  <c r="AS137" i="28"/>
  <c r="AS138" i="28" s="1"/>
  <c r="H136" i="28"/>
  <c r="F136" i="28"/>
  <c r="E136" i="28"/>
  <c r="AU226" i="28"/>
  <c r="J225" i="28"/>
  <c r="I127" i="28"/>
  <c r="F127" i="28"/>
  <c r="E127" i="28"/>
  <c r="AS128" i="28"/>
  <c r="H127" i="28"/>
  <c r="B127" i="28"/>
  <c r="G127" i="28"/>
  <c r="D127" i="28"/>
  <c r="C225" i="28"/>
  <c r="AR226" i="28"/>
  <c r="AR138" i="28"/>
  <c r="C137" i="28"/>
  <c r="AU137" i="28" s="1"/>
  <c r="AS272" i="28"/>
  <c r="J272" i="28" s="1"/>
  <c r="G31" i="9"/>
  <c r="F31" i="9"/>
  <c r="I31" i="9"/>
  <c r="K25" i="10"/>
  <c r="C24" i="10"/>
  <c r="B24" i="10" s="1"/>
  <c r="B32" i="9"/>
  <c r="G32" i="9" s="1"/>
  <c r="C32" i="9"/>
  <c r="D31" i="9"/>
  <c r="AR34" i="9"/>
  <c r="AS34" i="9" s="1"/>
  <c r="A33" i="9"/>
  <c r="H31" i="9"/>
  <c r="AS19" i="35"/>
  <c r="C19" i="35" s="1"/>
  <c r="L17" i="36"/>
  <c r="C17" i="36" s="1"/>
  <c r="A17" i="36" s="1"/>
  <c r="B18" i="35"/>
  <c r="B13" i="34"/>
  <c r="D13" i="34"/>
  <c r="G271" i="28"/>
  <c r="H271" i="28"/>
  <c r="D271" i="28"/>
  <c r="I271" i="28"/>
  <c r="B271" i="28"/>
  <c r="E271" i="28"/>
  <c r="F271" i="28"/>
  <c r="AR274" i="28"/>
  <c r="C273" i="28"/>
  <c r="AU273" i="28" s="1"/>
  <c r="C14" i="34"/>
  <c r="N21" i="39"/>
  <c r="D21" i="39" s="1"/>
  <c r="A21" i="39" s="1"/>
  <c r="L22" i="39"/>
  <c r="O22" i="39"/>
  <c r="I17" i="37"/>
  <c r="J18" i="35"/>
  <c r="E17" i="38" l="1"/>
  <c r="AS18" i="38" s="1"/>
  <c r="AT18" i="38" s="1"/>
  <c r="E18" i="38" s="1"/>
  <c r="AG32" i="9"/>
  <c r="U32" i="9"/>
  <c r="AD32" i="9"/>
  <c r="AO32" i="9"/>
  <c r="AC32" i="9"/>
  <c r="Q32" i="9"/>
  <c r="P32" i="9"/>
  <c r="AM32" i="9"/>
  <c r="AA32" i="9"/>
  <c r="O32" i="9"/>
  <c r="Z32" i="9"/>
  <c r="Y32" i="9"/>
  <c r="W32" i="9"/>
  <c r="AK32" i="9"/>
  <c r="S32" i="9"/>
  <c r="AF32" i="9"/>
  <c r="V32" i="9"/>
  <c r="T32" i="9"/>
  <c r="AI32" i="9"/>
  <c r="L32" i="9"/>
  <c r="AL32" i="9"/>
  <c r="K32" i="9"/>
  <c r="AE32" i="9"/>
  <c r="AJ32" i="9"/>
  <c r="AH32" i="9"/>
  <c r="X32" i="9"/>
  <c r="N32" i="9"/>
  <c r="A13" i="27"/>
  <c r="D13" i="27" s="1"/>
  <c r="A14" i="27"/>
  <c r="D14" i="27" s="1"/>
  <c r="M14" i="27"/>
  <c r="N14" i="27"/>
  <c r="O14" i="27"/>
  <c r="P14" i="27"/>
  <c r="M13" i="27"/>
  <c r="N13" i="27"/>
  <c r="O13" i="27"/>
  <c r="P13" i="27"/>
  <c r="I15" i="27"/>
  <c r="J15" i="27" s="1"/>
  <c r="C15" i="27" s="1"/>
  <c r="I15" i="34"/>
  <c r="J15" i="34" s="1"/>
  <c r="M14" i="34"/>
  <c r="N14" i="34"/>
  <c r="G18" i="35"/>
  <c r="S48" i="76"/>
  <c r="S50" i="76" s="1"/>
  <c r="S49" i="76" s="1"/>
  <c r="T45" i="76"/>
  <c r="V44" i="76"/>
  <c r="U52" i="76"/>
  <c r="U54" i="76" s="1"/>
  <c r="U53" i="76" s="1"/>
  <c r="H272" i="28"/>
  <c r="E24" i="10"/>
  <c r="I272" i="28"/>
  <c r="S28" i="66"/>
  <c r="K29" i="66"/>
  <c r="L28" i="66"/>
  <c r="G272" i="28"/>
  <c r="AS273" i="28"/>
  <c r="I273" i="28" s="1"/>
  <c r="F1423" i="66"/>
  <c r="F1422" i="66" s="1"/>
  <c r="F1421" i="66" s="1"/>
  <c r="F1420" i="66" s="1"/>
  <c r="F1419" i="66" s="1"/>
  <c r="F1418" i="66" s="1"/>
  <c r="F1417" i="66" s="1"/>
  <c r="F1416" i="66" s="1"/>
  <c r="F1415" i="66" s="1"/>
  <c r="F1414" i="66" s="1"/>
  <c r="F1413" i="66" s="1"/>
  <c r="F1412" i="66" s="1"/>
  <c r="F1411" i="66" s="1"/>
  <c r="F1410" i="66" s="1"/>
  <c r="F1409" i="66" s="1"/>
  <c r="F1408" i="66" s="1"/>
  <c r="F1407" i="66" s="1"/>
  <c r="F1406" i="66" s="1"/>
  <c r="F1405" i="66" s="1"/>
  <c r="F1404" i="66" s="1"/>
  <c r="F1403" i="66" s="1"/>
  <c r="F1402" i="66" s="1"/>
  <c r="F1401" i="66" s="1"/>
  <c r="F1400" i="66" s="1"/>
  <c r="F1399" i="66" s="1"/>
  <c r="F1398" i="66" s="1"/>
  <c r="F1397" i="66" s="1"/>
  <c r="F1396" i="66" s="1"/>
  <c r="F1395" i="66" s="1"/>
  <c r="F1394" i="66" s="1"/>
  <c r="F1393" i="66" s="1"/>
  <c r="F1392" i="66" s="1"/>
  <c r="F1391" i="66" s="1"/>
  <c r="F1390" i="66" s="1"/>
  <c r="F1389" i="66" s="1"/>
  <c r="F1388" i="66" s="1"/>
  <c r="F1387" i="66" s="1"/>
  <c r="F1386" i="66" s="1"/>
  <c r="F1385" i="66" s="1"/>
  <c r="F1384" i="66" s="1"/>
  <c r="F1383" i="66" s="1"/>
  <c r="F1382" i="66" s="1"/>
  <c r="F1381" i="66" s="1"/>
  <c r="F1380" i="66" s="1"/>
  <c r="F1379" i="66" s="1"/>
  <c r="F1378" i="66" s="1"/>
  <c r="F1377" i="66" s="1"/>
  <c r="F1376" i="66" s="1"/>
  <c r="F1375" i="66" s="1"/>
  <c r="F1374" i="66" s="1"/>
  <c r="F1373" i="66" s="1"/>
  <c r="F1372" i="66" s="1"/>
  <c r="F1371" i="66" s="1"/>
  <c r="F1370" i="66" s="1"/>
  <c r="F1369" i="66" s="1"/>
  <c r="F1368" i="66" s="1"/>
  <c r="F1367" i="66" s="1"/>
  <c r="F1366" i="66" s="1"/>
  <c r="F1365" i="66" s="1"/>
  <c r="F1364" i="66" s="1"/>
  <c r="F1363" i="66" s="1"/>
  <c r="F1362" i="66" s="1"/>
  <c r="F1361" i="66" s="1"/>
  <c r="F1360" i="66" s="1"/>
  <c r="F1359" i="66" s="1"/>
  <c r="F1358" i="66" s="1"/>
  <c r="F1357" i="66" s="1"/>
  <c r="F1356" i="66" s="1"/>
  <c r="F1355" i="66" s="1"/>
  <c r="F1354" i="66" s="1"/>
  <c r="F1353" i="66" s="1"/>
  <c r="F1352" i="66" s="1"/>
  <c r="F1351" i="66" s="1"/>
  <c r="F1350" i="66" s="1"/>
  <c r="F1349" i="66" s="1"/>
  <c r="F1348" i="66" s="1"/>
  <c r="F1347" i="66" s="1"/>
  <c r="F1346" i="66" s="1"/>
  <c r="F1345" i="66" s="1"/>
  <c r="F1344" i="66" s="1"/>
  <c r="F1343" i="66" s="1"/>
  <c r="F1342" i="66" s="1"/>
  <c r="F1341" i="66" s="1"/>
  <c r="F1340" i="66" s="1"/>
  <c r="F1339" i="66" s="1"/>
  <c r="F1338" i="66" s="1"/>
  <c r="F1337" i="66" s="1"/>
  <c r="F1336" i="66" s="1"/>
  <c r="F1335" i="66" s="1"/>
  <c r="F1334" i="66" s="1"/>
  <c r="F1333" i="66" s="1"/>
  <c r="F1332" i="66" s="1"/>
  <c r="F1331" i="66" s="1"/>
  <c r="F1330" i="66" s="1"/>
  <c r="F1329" i="66" s="1"/>
  <c r="F1328" i="66" s="1"/>
  <c r="F1327" i="66" s="1"/>
  <c r="F1326" i="66" s="1"/>
  <c r="F1325" i="66" s="1"/>
  <c r="F1324" i="66" s="1"/>
  <c r="F1323" i="66" s="1"/>
  <c r="F1322" i="66" s="1"/>
  <c r="F1321" i="66" s="1"/>
  <c r="F1320" i="66" s="1"/>
  <c r="F1319" i="66" s="1"/>
  <c r="F1318" i="66" s="1"/>
  <c r="F1317" i="66" s="1"/>
  <c r="F1316" i="66" s="1"/>
  <c r="F1315" i="66" s="1"/>
  <c r="F1314" i="66" s="1"/>
  <c r="F1313" i="66" s="1"/>
  <c r="F1312" i="66" s="1"/>
  <c r="F1311" i="66" s="1"/>
  <c r="F1310" i="66" s="1"/>
  <c r="F1309" i="66" s="1"/>
  <c r="F1308" i="66" s="1"/>
  <c r="F1307" i="66" s="1"/>
  <c r="F1306" i="66" s="1"/>
  <c r="F1305" i="66" s="1"/>
  <c r="F1304" i="66" s="1"/>
  <c r="F1303" i="66" s="1"/>
  <c r="F1302" i="66" s="1"/>
  <c r="F1301" i="66" s="1"/>
  <c r="F1300" i="66" s="1"/>
  <c r="F1299" i="66" s="1"/>
  <c r="F1298" i="66" s="1"/>
  <c r="F1297" i="66" s="1"/>
  <c r="F1296" i="66" s="1"/>
  <c r="F1295" i="66" s="1"/>
  <c r="F1294" i="66" s="1"/>
  <c r="F1293" i="66" s="1"/>
  <c r="F1292" i="66" s="1"/>
  <c r="F1291" i="66" s="1"/>
  <c r="F1290" i="66" s="1"/>
  <c r="F1289" i="66" s="1"/>
  <c r="F1288" i="66" s="1"/>
  <c r="F1287" i="66" s="1"/>
  <c r="F1286" i="66" s="1"/>
  <c r="F1285" i="66" s="1"/>
  <c r="F1284" i="66" s="1"/>
  <c r="F1283" i="66" s="1"/>
  <c r="F1282" i="66" s="1"/>
  <c r="F1281" i="66" s="1"/>
  <c r="F1280" i="66" s="1"/>
  <c r="F1279" i="66" s="1"/>
  <c r="F1278" i="66" s="1"/>
  <c r="F1277" i="66" s="1"/>
  <c r="F1276" i="66" s="1"/>
  <c r="F1275" i="66" s="1"/>
  <c r="F1274" i="66" s="1"/>
  <c r="F1273" i="66" s="1"/>
  <c r="F1272" i="66" s="1"/>
  <c r="F1271" i="66" s="1"/>
  <c r="F1270" i="66" s="1"/>
  <c r="F1269" i="66" s="1"/>
  <c r="F1268" i="66" s="1"/>
  <c r="F1267" i="66" s="1"/>
  <c r="F1266" i="66" s="1"/>
  <c r="F1265" i="66" s="1"/>
  <c r="F1264" i="66" s="1"/>
  <c r="F1263" i="66" s="1"/>
  <c r="F1262" i="66" s="1"/>
  <c r="F1261" i="66" s="1"/>
  <c r="F1260" i="66" s="1"/>
  <c r="F1259" i="66" s="1"/>
  <c r="F1258" i="66" s="1"/>
  <c r="F1257" i="66" s="1"/>
  <c r="F1256" i="66" s="1"/>
  <c r="F1255" i="66" s="1"/>
  <c r="F1254" i="66" s="1"/>
  <c r="F1253" i="66" s="1"/>
  <c r="F1252" i="66" s="1"/>
  <c r="F1251" i="66" s="1"/>
  <c r="F1250" i="66" s="1"/>
  <c r="F1249" i="66" s="1"/>
  <c r="F1248" i="66" s="1"/>
  <c r="F1247" i="66" s="1"/>
  <c r="F1246" i="66" s="1"/>
  <c r="F1245" i="66" s="1"/>
  <c r="F1244" i="66" s="1"/>
  <c r="F1243" i="66" s="1"/>
  <c r="F1242" i="66" s="1"/>
  <c r="F1241" i="66" s="1"/>
  <c r="F1240" i="66" s="1"/>
  <c r="F1239" i="66" s="1"/>
  <c r="F1238" i="66" s="1"/>
  <c r="F1237" i="66" s="1"/>
  <c r="F1236" i="66" s="1"/>
  <c r="F1235" i="66" s="1"/>
  <c r="F1234" i="66" s="1"/>
  <c r="F1233" i="66" s="1"/>
  <c r="F1232" i="66" s="1"/>
  <c r="F1231" i="66" s="1"/>
  <c r="F1230" i="66" s="1"/>
  <c r="F1229" i="66" s="1"/>
  <c r="F1228" i="66" s="1"/>
  <c r="F1227" i="66" s="1"/>
  <c r="F1226" i="66" s="1"/>
  <c r="F1225" i="66" s="1"/>
  <c r="F1224" i="66" s="1"/>
  <c r="F1223" i="66" s="1"/>
  <c r="F1222" i="66" s="1"/>
  <c r="F1221" i="66" s="1"/>
  <c r="F1220" i="66" s="1"/>
  <c r="F1219" i="66" s="1"/>
  <c r="F1218" i="66" s="1"/>
  <c r="F1217" i="66" s="1"/>
  <c r="F1216" i="66" s="1"/>
  <c r="F1215" i="66" s="1"/>
  <c r="F1214" i="66" s="1"/>
  <c r="F1213" i="66" s="1"/>
  <c r="F1212" i="66" s="1"/>
  <c r="F1211" i="66" s="1"/>
  <c r="F1210" i="66" s="1"/>
  <c r="F1209" i="66" s="1"/>
  <c r="F1208" i="66" s="1"/>
  <c r="F1207" i="66" s="1"/>
  <c r="F1206" i="66" s="1"/>
  <c r="F1205" i="66" s="1"/>
  <c r="F1204" i="66" s="1"/>
  <c r="F1203" i="66" s="1"/>
  <c r="F1202" i="66" s="1"/>
  <c r="F1201" i="66" s="1"/>
  <c r="F1200" i="66" s="1"/>
  <c r="F1199" i="66" s="1"/>
  <c r="F1198" i="66" s="1"/>
  <c r="F1197" i="66" s="1"/>
  <c r="F1196" i="66" s="1"/>
  <c r="F1195" i="66" s="1"/>
  <c r="F1194" i="66" s="1"/>
  <c r="F1193" i="66" s="1"/>
  <c r="F1192" i="66" s="1"/>
  <c r="F1191" i="66" s="1"/>
  <c r="F1190" i="66" s="1"/>
  <c r="F1189" i="66" s="1"/>
  <c r="F1188" i="66" s="1"/>
  <c r="F1187" i="66" s="1"/>
  <c r="F1186" i="66" s="1"/>
  <c r="F1185" i="66" s="1"/>
  <c r="F1184" i="66" s="1"/>
  <c r="F1183" i="66" s="1"/>
  <c r="F1182" i="66" s="1"/>
  <c r="F1181" i="66" s="1"/>
  <c r="F1180" i="66" s="1"/>
  <c r="F1179" i="66" s="1"/>
  <c r="F1178" i="66" s="1"/>
  <c r="F1177" i="66" s="1"/>
  <c r="F1176" i="66" s="1"/>
  <c r="F1175" i="66" s="1"/>
  <c r="F1174" i="66" s="1"/>
  <c r="M27" i="66"/>
  <c r="D272" i="28"/>
  <c r="F187" i="29"/>
  <c r="E187" i="29"/>
  <c r="L188" i="29"/>
  <c r="D187" i="29"/>
  <c r="H187" i="29"/>
  <c r="B187" i="29"/>
  <c r="G187" i="29" s="1"/>
  <c r="E272" i="28"/>
  <c r="C188" i="29"/>
  <c r="N188" i="29" s="1"/>
  <c r="K189" i="29"/>
  <c r="B272" i="28"/>
  <c r="F272" i="28"/>
  <c r="BO11" i="16"/>
  <c r="CH12" i="16"/>
  <c r="CJ12" i="16"/>
  <c r="CI12" i="16"/>
  <c r="AL62" i="66"/>
  <c r="BB46" i="63"/>
  <c r="F46" i="63" s="1"/>
  <c r="BA46" i="63"/>
  <c r="D45" i="63"/>
  <c r="H137" i="28"/>
  <c r="G137" i="28"/>
  <c r="I137" i="28"/>
  <c r="F137" i="28"/>
  <c r="B137" i="28"/>
  <c r="E137" i="28"/>
  <c r="D137" i="28"/>
  <c r="C226" i="28"/>
  <c r="AR228" i="28"/>
  <c r="I128" i="28"/>
  <c r="H128" i="28"/>
  <c r="G128" i="28"/>
  <c r="F128" i="28"/>
  <c r="E128" i="28"/>
  <c r="D128" i="28"/>
  <c r="B128" i="28"/>
  <c r="J128" i="28"/>
  <c r="AR139" i="28"/>
  <c r="C138" i="28"/>
  <c r="AU138" i="28" s="1"/>
  <c r="D32" i="9"/>
  <c r="E32" i="9"/>
  <c r="F32" i="9"/>
  <c r="H32" i="9"/>
  <c r="D24" i="10"/>
  <c r="G24" i="10"/>
  <c r="H24" i="10"/>
  <c r="AR35" i="9"/>
  <c r="AS35" i="9" s="1"/>
  <c r="A34" i="9"/>
  <c r="I32" i="9"/>
  <c r="F25" i="10"/>
  <c r="I25" i="10"/>
  <c r="L25" i="10"/>
  <c r="B33" i="9"/>
  <c r="F33" i="9" s="1"/>
  <c r="C33" i="9"/>
  <c r="F18" i="35"/>
  <c r="M18" i="36"/>
  <c r="K18" i="36" s="1"/>
  <c r="A14" i="34"/>
  <c r="E14" i="34"/>
  <c r="H17" i="36"/>
  <c r="G17" i="36"/>
  <c r="F17" i="36"/>
  <c r="B17" i="36"/>
  <c r="I17" i="36" s="1"/>
  <c r="AT20" i="35"/>
  <c r="I18" i="35"/>
  <c r="C274" i="28"/>
  <c r="AU274" i="28" s="1"/>
  <c r="AR275" i="28"/>
  <c r="H18" i="35"/>
  <c r="A19" i="35"/>
  <c r="D18" i="35"/>
  <c r="E18" i="35"/>
  <c r="C17" i="37"/>
  <c r="A17" i="37" s="1"/>
  <c r="D17" i="37" s="1"/>
  <c r="M22" i="39"/>
  <c r="C22" i="39" s="1"/>
  <c r="AV18" i="38" l="1"/>
  <c r="AS19" i="38" s="1"/>
  <c r="AT19" i="38" s="1"/>
  <c r="C19" i="38" s="1"/>
  <c r="AK33" i="9"/>
  <c r="Y33" i="9"/>
  <c r="AH33" i="9"/>
  <c r="V33" i="9"/>
  <c r="AG33" i="9"/>
  <c r="U33" i="9"/>
  <c r="AF33" i="9"/>
  <c r="T33" i="9"/>
  <c r="AE33" i="9"/>
  <c r="S33" i="9"/>
  <c r="AM33" i="9"/>
  <c r="P33" i="9"/>
  <c r="AL33" i="9"/>
  <c r="O33" i="9"/>
  <c r="AI33" i="9"/>
  <c r="L33" i="9"/>
  <c r="AA33" i="9"/>
  <c r="AC33" i="9"/>
  <c r="W33" i="9"/>
  <c r="N33" i="9"/>
  <c r="K33" i="9"/>
  <c r="AJ33" i="9"/>
  <c r="AO33" i="9"/>
  <c r="Z33" i="9"/>
  <c r="AD33" i="9"/>
  <c r="X33" i="9"/>
  <c r="Q33" i="9"/>
  <c r="L13" i="27"/>
  <c r="F13" i="27" s="1"/>
  <c r="L14" i="27"/>
  <c r="F14" i="27" s="1"/>
  <c r="P15" i="27"/>
  <c r="M15" i="27"/>
  <c r="N15" i="27"/>
  <c r="O15" i="27"/>
  <c r="C15" i="34"/>
  <c r="N15" i="34" s="1"/>
  <c r="L14" i="34"/>
  <c r="F14" i="34" s="1"/>
  <c r="E273" i="28"/>
  <c r="J273" i="28"/>
  <c r="G273" i="28"/>
  <c r="W44" i="76"/>
  <c r="V52" i="76"/>
  <c r="V54" i="76" s="1"/>
  <c r="V53" i="76" s="1"/>
  <c r="U45" i="76"/>
  <c r="T48" i="76"/>
  <c r="T50" i="76" s="1"/>
  <c r="T49" i="76" s="1"/>
  <c r="B273" i="28"/>
  <c r="L29" i="66"/>
  <c r="T29" i="66" s="1"/>
  <c r="S29" i="66"/>
  <c r="K30" i="66"/>
  <c r="V29" i="66"/>
  <c r="U29" i="66"/>
  <c r="D273" i="28"/>
  <c r="H273" i="28"/>
  <c r="D188" i="29"/>
  <c r="F273" i="28"/>
  <c r="K190" i="29"/>
  <c r="C189" i="29"/>
  <c r="N189" i="29" s="1"/>
  <c r="E188" i="29"/>
  <c r="F188" i="29"/>
  <c r="L189" i="29"/>
  <c r="B188" i="29"/>
  <c r="G188" i="29" s="1"/>
  <c r="H188" i="29"/>
  <c r="F1173" i="66"/>
  <c r="F1172" i="66" s="1"/>
  <c r="F1171" i="66" s="1"/>
  <c r="F1170" i="66" s="1"/>
  <c r="F1169" i="66" s="1"/>
  <c r="F1168" i="66" s="1"/>
  <c r="F1167" i="66" s="1"/>
  <c r="F1166" i="66" s="1"/>
  <c r="F1165" i="66" s="1"/>
  <c r="F1164" i="66" s="1"/>
  <c r="F1163" i="66" s="1"/>
  <c r="F1162" i="66" s="1"/>
  <c r="F1161" i="66" s="1"/>
  <c r="F1160" i="66" s="1"/>
  <c r="F1159" i="66" s="1"/>
  <c r="F1158" i="66" s="1"/>
  <c r="F1157" i="66" s="1"/>
  <c r="F1156" i="66" s="1"/>
  <c r="F1155" i="66" s="1"/>
  <c r="F1154" i="66" s="1"/>
  <c r="F1153" i="66" s="1"/>
  <c r="F1152" i="66" s="1"/>
  <c r="F1151" i="66" s="1"/>
  <c r="F1150" i="66" s="1"/>
  <c r="F1149" i="66" s="1"/>
  <c r="F1148" i="66" s="1"/>
  <c r="F1147" i="66" s="1"/>
  <c r="F1146" i="66" s="1"/>
  <c r="F1145" i="66" s="1"/>
  <c r="F1144" i="66" s="1"/>
  <c r="F1143" i="66" s="1"/>
  <c r="F1142" i="66" s="1"/>
  <c r="F1141" i="66" s="1"/>
  <c r="F1140" i="66" s="1"/>
  <c r="F1139" i="66" s="1"/>
  <c r="F1138" i="66" s="1"/>
  <c r="F1137" i="66" s="1"/>
  <c r="F1136" i="66" s="1"/>
  <c r="F1135" i="66" s="1"/>
  <c r="F1134" i="66" s="1"/>
  <c r="F1133" i="66" s="1"/>
  <c r="F1132" i="66" s="1"/>
  <c r="F1131" i="66" s="1"/>
  <c r="F1130" i="66" s="1"/>
  <c r="F1129" i="66" s="1"/>
  <c r="F1128" i="66" s="1"/>
  <c r="F1127" i="66" s="1"/>
  <c r="F1126" i="66" s="1"/>
  <c r="F1125" i="66" s="1"/>
  <c r="F1124" i="66" s="1"/>
  <c r="F1123" i="66" s="1"/>
  <c r="F1122" i="66" s="1"/>
  <c r="F1121" i="66" s="1"/>
  <c r="F1120" i="66" s="1"/>
  <c r="F1119" i="66" s="1"/>
  <c r="F1118" i="66" s="1"/>
  <c r="F1117" i="66" s="1"/>
  <c r="F1116" i="66" s="1"/>
  <c r="F1115" i="66" s="1"/>
  <c r="F1114" i="66" s="1"/>
  <c r="F1113" i="66" s="1"/>
  <c r="F1112" i="66" s="1"/>
  <c r="F1111" i="66" s="1"/>
  <c r="F1110" i="66" s="1"/>
  <c r="F1109" i="66" s="1"/>
  <c r="F1108" i="66" s="1"/>
  <c r="F1107" i="66" s="1"/>
  <c r="F1106" i="66" s="1"/>
  <c r="F1105" i="66" s="1"/>
  <c r="F1104" i="66" s="1"/>
  <c r="F1103" i="66" s="1"/>
  <c r="F1102" i="66" s="1"/>
  <c r="F1101" i="66" s="1"/>
  <c r="F1100" i="66" s="1"/>
  <c r="F1099" i="66" s="1"/>
  <c r="F1098" i="66" s="1"/>
  <c r="F1097" i="66" s="1"/>
  <c r="F1096" i="66" s="1"/>
  <c r="F1095" i="66" s="1"/>
  <c r="F1094" i="66" s="1"/>
  <c r="F1093" i="66" s="1"/>
  <c r="F1092" i="66" s="1"/>
  <c r="F1091" i="66" s="1"/>
  <c r="F1090" i="66" s="1"/>
  <c r="F1089" i="66" s="1"/>
  <c r="F1088" i="66" s="1"/>
  <c r="F1087" i="66" s="1"/>
  <c r="F1086" i="66" s="1"/>
  <c r="F1085" i="66" s="1"/>
  <c r="F1084" i="66" s="1"/>
  <c r="F1083" i="66" s="1"/>
  <c r="F1082" i="66" s="1"/>
  <c r="F1081" i="66" s="1"/>
  <c r="F1080" i="66" s="1"/>
  <c r="F1079" i="66" s="1"/>
  <c r="F1078" i="66" s="1"/>
  <c r="F1077" i="66" s="1"/>
  <c r="F1076" i="66" s="1"/>
  <c r="F1075" i="66" s="1"/>
  <c r="F1074" i="66" s="1"/>
  <c r="F1073" i="66" s="1"/>
  <c r="F1072" i="66" s="1"/>
  <c r="F1071" i="66" s="1"/>
  <c r="F1070" i="66" s="1"/>
  <c r="F1069" i="66" s="1"/>
  <c r="F1068" i="66" s="1"/>
  <c r="F1067" i="66" s="1"/>
  <c r="F1066" i="66" s="1"/>
  <c r="F1065" i="66" s="1"/>
  <c r="F1064" i="66" s="1"/>
  <c r="F1063" i="66" s="1"/>
  <c r="F1062" i="66" s="1"/>
  <c r="F1061" i="66" s="1"/>
  <c r="F1060" i="66" s="1"/>
  <c r="F1059" i="66" s="1"/>
  <c r="F1058" i="66" s="1"/>
  <c r="F1057" i="66" s="1"/>
  <c r="F1056" i="66" s="1"/>
  <c r="F1055" i="66" s="1"/>
  <c r="F1054" i="66" s="1"/>
  <c r="F1053" i="66" s="1"/>
  <c r="F1052" i="66" s="1"/>
  <c r="F1051" i="66" s="1"/>
  <c r="F1050" i="66" s="1"/>
  <c r="F1049" i="66" s="1"/>
  <c r="F1048" i="66" s="1"/>
  <c r="F1047" i="66" s="1"/>
  <c r="F1046" i="66" s="1"/>
  <c r="F1045" i="66" s="1"/>
  <c r="F1044" i="66" s="1"/>
  <c r="F1043" i="66" s="1"/>
  <c r="F1042" i="66" s="1"/>
  <c r="F1041" i="66" s="1"/>
  <c r="F1040" i="66" s="1"/>
  <c r="F1039" i="66" s="1"/>
  <c r="F1038" i="66" s="1"/>
  <c r="F1037" i="66" s="1"/>
  <c r="F1036" i="66" s="1"/>
  <c r="F1035" i="66" s="1"/>
  <c r="F1034" i="66" s="1"/>
  <c r="F1033" i="66" s="1"/>
  <c r="F1032" i="66" s="1"/>
  <c r="F1031" i="66" s="1"/>
  <c r="F1030" i="66" s="1"/>
  <c r="F1029" i="66" s="1"/>
  <c r="F1028" i="66" s="1"/>
  <c r="F1027" i="66" s="1"/>
  <c r="F1026" i="66" s="1"/>
  <c r="F1025" i="66" s="1"/>
  <c r="F1024" i="66" s="1"/>
  <c r="F1023" i="66" s="1"/>
  <c r="F1022" i="66" s="1"/>
  <c r="F1021" i="66" s="1"/>
  <c r="F1020" i="66" s="1"/>
  <c r="F1019" i="66" s="1"/>
  <c r="F1018" i="66" s="1"/>
  <c r="F1017" i="66" s="1"/>
  <c r="F1016" i="66" s="1"/>
  <c r="F1015" i="66" s="1"/>
  <c r="F1014" i="66" s="1"/>
  <c r="F1013" i="66" s="1"/>
  <c r="F1012" i="66" s="1"/>
  <c r="F1011" i="66" s="1"/>
  <c r="F1010" i="66" s="1"/>
  <c r="F1009" i="66" s="1"/>
  <c r="F1008" i="66" s="1"/>
  <c r="F1007" i="66" s="1"/>
  <c r="F1006" i="66" s="1"/>
  <c r="F1005" i="66" s="1"/>
  <c r="F1004" i="66" s="1"/>
  <c r="F1003" i="66" s="1"/>
  <c r="F1002" i="66" s="1"/>
  <c r="F1001" i="66" s="1"/>
  <c r="F1000" i="66" s="1"/>
  <c r="F999" i="66" s="1"/>
  <c r="F998" i="66" s="1"/>
  <c r="F997" i="66" s="1"/>
  <c r="F996" i="66" s="1"/>
  <c r="F995" i="66" s="1"/>
  <c r="F994" i="66" s="1"/>
  <c r="F993" i="66" s="1"/>
  <c r="F992" i="66" s="1"/>
  <c r="F991" i="66" s="1"/>
  <c r="F990" i="66" s="1"/>
  <c r="F989" i="66" s="1"/>
  <c r="F988" i="66" s="1"/>
  <c r="F987" i="66" s="1"/>
  <c r="F986" i="66" s="1"/>
  <c r="F985" i="66" s="1"/>
  <c r="F984" i="66" s="1"/>
  <c r="F983" i="66" s="1"/>
  <c r="F982" i="66" s="1"/>
  <c r="F981" i="66" s="1"/>
  <c r="F980" i="66" s="1"/>
  <c r="F979" i="66" s="1"/>
  <c r="F978" i="66" s="1"/>
  <c r="F977" i="66" s="1"/>
  <c r="F976" i="66" s="1"/>
  <c r="F975" i="66" s="1"/>
  <c r="F974" i="66" s="1"/>
  <c r="F973" i="66" s="1"/>
  <c r="F972" i="66" s="1"/>
  <c r="F971" i="66" s="1"/>
  <c r="F970" i="66" s="1"/>
  <c r="F969" i="66" s="1"/>
  <c r="F968" i="66" s="1"/>
  <c r="F967" i="66" s="1"/>
  <c r="F966" i="66" s="1"/>
  <c r="F965" i="66" s="1"/>
  <c r="F964" i="66" s="1"/>
  <c r="F963" i="66" s="1"/>
  <c r="F962" i="66" s="1"/>
  <c r="F961" i="66" s="1"/>
  <c r="F960" i="66" s="1"/>
  <c r="F959" i="66" s="1"/>
  <c r="F958" i="66" s="1"/>
  <c r="F957" i="66" s="1"/>
  <c r="F956" i="66" s="1"/>
  <c r="F955" i="66" s="1"/>
  <c r="F954" i="66" s="1"/>
  <c r="F953" i="66" s="1"/>
  <c r="F952" i="66" s="1"/>
  <c r="F951" i="66" s="1"/>
  <c r="F950" i="66" s="1"/>
  <c r="F949" i="66" s="1"/>
  <c r="F948" i="66" s="1"/>
  <c r="F947" i="66" s="1"/>
  <c r="F946" i="66" s="1"/>
  <c r="F945" i="66" s="1"/>
  <c r="F944" i="66" s="1"/>
  <c r="F943" i="66" s="1"/>
  <c r="F942" i="66" s="1"/>
  <c r="F941" i="66" s="1"/>
  <c r="F940" i="66" s="1"/>
  <c r="F939" i="66" s="1"/>
  <c r="F938" i="66" s="1"/>
  <c r="F937" i="66" s="1"/>
  <c r="F936" i="66" s="1"/>
  <c r="F935" i="66" s="1"/>
  <c r="F934" i="66" s="1"/>
  <c r="F933" i="66" s="1"/>
  <c r="F932" i="66" s="1"/>
  <c r="F931" i="66" s="1"/>
  <c r="F930" i="66" s="1"/>
  <c r="F929" i="66" s="1"/>
  <c r="F928" i="66" s="1"/>
  <c r="F927" i="66" s="1"/>
  <c r="F926" i="66" s="1"/>
  <c r="F925" i="66" s="1"/>
  <c r="F924" i="66" s="1"/>
  <c r="F923" i="66" s="1"/>
  <c r="M28" i="66"/>
  <c r="D46" i="63"/>
  <c r="BB47" i="63"/>
  <c r="F47" i="63" s="1"/>
  <c r="BA47" i="63"/>
  <c r="AL63" i="66"/>
  <c r="AP62" i="66"/>
  <c r="AP61" i="66" s="1"/>
  <c r="AQ62" i="66"/>
  <c r="CJ11" i="16"/>
  <c r="CK11" i="16"/>
  <c r="CL11" i="16"/>
  <c r="CH11" i="16"/>
  <c r="CM11" i="16"/>
  <c r="BO10" i="16"/>
  <c r="BO9" i="16" s="1"/>
  <c r="BO8" i="16" s="1"/>
  <c r="BO7" i="16" s="1"/>
  <c r="BO6" i="16" s="1"/>
  <c r="BO5" i="16" s="1"/>
  <c r="CI11" i="16"/>
  <c r="CN11" i="16"/>
  <c r="N18" i="39" s="1"/>
  <c r="D18" i="39" s="1"/>
  <c r="A18" i="39" s="1"/>
  <c r="J274" i="28"/>
  <c r="F138" i="28"/>
  <c r="I138" i="28"/>
  <c r="H138" i="28"/>
  <c r="B138" i="28"/>
  <c r="G138" i="28"/>
  <c r="E138" i="28"/>
  <c r="D138" i="28"/>
  <c r="AR140" i="28"/>
  <c r="C139" i="28"/>
  <c r="AU139" i="28" s="1"/>
  <c r="AR229" i="28"/>
  <c r="C228" i="28"/>
  <c r="AU228" i="28" s="1"/>
  <c r="H33" i="9"/>
  <c r="D33" i="9"/>
  <c r="E33" i="9"/>
  <c r="C25" i="10"/>
  <c r="B25" i="10" s="1"/>
  <c r="K26" i="10"/>
  <c r="AR36" i="9"/>
  <c r="AS36" i="9" s="1"/>
  <c r="A35" i="9"/>
  <c r="A25" i="10"/>
  <c r="G33" i="9"/>
  <c r="I33" i="9"/>
  <c r="B34" i="9"/>
  <c r="D34" i="9" s="1"/>
  <c r="C34" i="9"/>
  <c r="C18" i="38"/>
  <c r="A15" i="27"/>
  <c r="D15" i="27" s="1"/>
  <c r="B19" i="35"/>
  <c r="C275" i="28"/>
  <c r="AR276" i="28"/>
  <c r="I16" i="27"/>
  <c r="J16" i="27" s="1"/>
  <c r="AR20" i="35"/>
  <c r="L18" i="36"/>
  <c r="C18" i="36" s="1"/>
  <c r="A18" i="36" s="1"/>
  <c r="I274" i="28"/>
  <c r="H274" i="28"/>
  <c r="G274" i="28"/>
  <c r="F274" i="28"/>
  <c r="B274" i="28"/>
  <c r="E274" i="28"/>
  <c r="D274" i="28"/>
  <c r="E17" i="36"/>
  <c r="B14" i="34"/>
  <c r="D14" i="34"/>
  <c r="D17" i="36"/>
  <c r="N22" i="39"/>
  <c r="D22" i="39" s="1"/>
  <c r="A22" i="39" s="1"/>
  <c r="O23" i="39"/>
  <c r="L23" i="39"/>
  <c r="H18" i="37"/>
  <c r="J19" i="35"/>
  <c r="AV19" i="38" l="1"/>
  <c r="AO34" i="9"/>
  <c r="AC34" i="9"/>
  <c r="Q34" i="9"/>
  <c r="AL34" i="9"/>
  <c r="Z34" i="9"/>
  <c r="N34" i="9"/>
  <c r="AK34" i="9"/>
  <c r="Y34" i="9"/>
  <c r="M34" i="9"/>
  <c r="AJ34" i="9"/>
  <c r="X34" i="9"/>
  <c r="L34" i="9"/>
  <c r="AI34" i="9"/>
  <c r="W34" i="9"/>
  <c r="K34" i="9"/>
  <c r="AF34" i="9"/>
  <c r="T34" i="9"/>
  <c r="AE34" i="9"/>
  <c r="AD34" i="9"/>
  <c r="AA34" i="9"/>
  <c r="S34" i="9"/>
  <c r="V34" i="9"/>
  <c r="U34" i="9"/>
  <c r="P34" i="9"/>
  <c r="O34" i="9"/>
  <c r="AG34" i="9"/>
  <c r="J34" i="9"/>
  <c r="AN34" i="9"/>
  <c r="AM34" i="9"/>
  <c r="AH34" i="9"/>
  <c r="R34" i="9"/>
  <c r="AB34" i="9"/>
  <c r="L15" i="27"/>
  <c r="F15" i="27" s="1"/>
  <c r="E15" i="34"/>
  <c r="A15" i="34"/>
  <c r="D15" i="34" s="1"/>
  <c r="I16" i="34"/>
  <c r="J16" i="34" s="1"/>
  <c r="M15" i="34"/>
  <c r="L15" i="34" s="1"/>
  <c r="F15" i="34" s="1"/>
  <c r="D19" i="35"/>
  <c r="V45" i="76"/>
  <c r="U48" i="76"/>
  <c r="U50" i="76" s="1"/>
  <c r="U49" i="76" s="1"/>
  <c r="W52" i="76"/>
  <c r="W54" i="76" s="1"/>
  <c r="W53" i="76" s="1"/>
  <c r="X44" i="76"/>
  <c r="K31" i="66"/>
  <c r="L30" i="66"/>
  <c r="W30" i="66" s="1"/>
  <c r="S30" i="66"/>
  <c r="AU18" i="38"/>
  <c r="F922" i="66"/>
  <c r="F921" i="66" s="1"/>
  <c r="F920" i="66" s="1"/>
  <c r="F919" i="66" s="1"/>
  <c r="F918" i="66" s="1"/>
  <c r="F917" i="66" s="1"/>
  <c r="F916" i="66" s="1"/>
  <c r="F915" i="66" s="1"/>
  <c r="F914" i="66" s="1"/>
  <c r="F913" i="66" s="1"/>
  <c r="F912" i="66" s="1"/>
  <c r="F911" i="66" s="1"/>
  <c r="F910" i="66" s="1"/>
  <c r="F909" i="66" s="1"/>
  <c r="F908" i="66" s="1"/>
  <c r="F907" i="66" s="1"/>
  <c r="F906" i="66" s="1"/>
  <c r="F905" i="66" s="1"/>
  <c r="F904" i="66" s="1"/>
  <c r="F903" i="66" s="1"/>
  <c r="F902" i="66" s="1"/>
  <c r="F901" i="66" s="1"/>
  <c r="F900" i="66" s="1"/>
  <c r="F899" i="66" s="1"/>
  <c r="F898" i="66" s="1"/>
  <c r="F897" i="66" s="1"/>
  <c r="F896" i="66" s="1"/>
  <c r="F895" i="66" s="1"/>
  <c r="F894" i="66" s="1"/>
  <c r="F893" i="66" s="1"/>
  <c r="F892" i="66" s="1"/>
  <c r="F891" i="66" s="1"/>
  <c r="F890" i="66" s="1"/>
  <c r="F889" i="66" s="1"/>
  <c r="F888" i="66" s="1"/>
  <c r="F887" i="66" s="1"/>
  <c r="F886" i="66" s="1"/>
  <c r="F885" i="66" s="1"/>
  <c r="F884" i="66" s="1"/>
  <c r="F883" i="66" s="1"/>
  <c r="F882" i="66" s="1"/>
  <c r="F881" i="66" s="1"/>
  <c r="F880" i="66" s="1"/>
  <c r="F879" i="66" s="1"/>
  <c r="F878" i="66" s="1"/>
  <c r="F877" i="66" s="1"/>
  <c r="F876" i="66" s="1"/>
  <c r="F875" i="66" s="1"/>
  <c r="F874" i="66" s="1"/>
  <c r="F873" i="66" s="1"/>
  <c r="F872" i="66" s="1"/>
  <c r="F871" i="66" s="1"/>
  <c r="F870" i="66" s="1"/>
  <c r="F869" i="66" s="1"/>
  <c r="F868" i="66" s="1"/>
  <c r="F867" i="66" s="1"/>
  <c r="F866" i="66" s="1"/>
  <c r="F865" i="66" s="1"/>
  <c r="F864" i="66" s="1"/>
  <c r="F863" i="66" s="1"/>
  <c r="F862" i="66" s="1"/>
  <c r="F861" i="66" s="1"/>
  <c r="F860" i="66" s="1"/>
  <c r="F859" i="66" s="1"/>
  <c r="F858" i="66" s="1"/>
  <c r="F857" i="66" s="1"/>
  <c r="F856" i="66" s="1"/>
  <c r="F855" i="66" s="1"/>
  <c r="F854" i="66" s="1"/>
  <c r="F853" i="66" s="1"/>
  <c r="F852" i="66" s="1"/>
  <c r="F851" i="66" s="1"/>
  <c r="F850" i="66" s="1"/>
  <c r="F849" i="66" s="1"/>
  <c r="F848" i="66" s="1"/>
  <c r="F847" i="66" s="1"/>
  <c r="F846" i="66" s="1"/>
  <c r="F845" i="66" s="1"/>
  <c r="F844" i="66" s="1"/>
  <c r="F843" i="66" s="1"/>
  <c r="F842" i="66" s="1"/>
  <c r="F841" i="66" s="1"/>
  <c r="F840" i="66" s="1"/>
  <c r="F839" i="66" s="1"/>
  <c r="F838" i="66" s="1"/>
  <c r="F837" i="66" s="1"/>
  <c r="F836" i="66" s="1"/>
  <c r="F835" i="66" s="1"/>
  <c r="F834" i="66" s="1"/>
  <c r="F833" i="66" s="1"/>
  <c r="F832" i="66" s="1"/>
  <c r="F831" i="66" s="1"/>
  <c r="F830" i="66" s="1"/>
  <c r="F829" i="66" s="1"/>
  <c r="F828" i="66" s="1"/>
  <c r="F827" i="66" s="1"/>
  <c r="F826" i="66" s="1"/>
  <c r="F825" i="66" s="1"/>
  <c r="F824" i="66" s="1"/>
  <c r="F823" i="66" s="1"/>
  <c r="F822" i="66" s="1"/>
  <c r="F821" i="66" s="1"/>
  <c r="F820" i="66" s="1"/>
  <c r="F819" i="66" s="1"/>
  <c r="F818" i="66" s="1"/>
  <c r="F817" i="66" s="1"/>
  <c r="F816" i="66" s="1"/>
  <c r="F815" i="66" s="1"/>
  <c r="F814" i="66" s="1"/>
  <c r="F813" i="66" s="1"/>
  <c r="F812" i="66" s="1"/>
  <c r="F811" i="66" s="1"/>
  <c r="F810" i="66" s="1"/>
  <c r="F809" i="66" s="1"/>
  <c r="F808" i="66" s="1"/>
  <c r="F807" i="66" s="1"/>
  <c r="F806" i="66" s="1"/>
  <c r="F805" i="66" s="1"/>
  <c r="F804" i="66" s="1"/>
  <c r="F803" i="66" s="1"/>
  <c r="F802" i="66" s="1"/>
  <c r="F801" i="66" s="1"/>
  <c r="F800" i="66" s="1"/>
  <c r="F799" i="66" s="1"/>
  <c r="F798" i="66" s="1"/>
  <c r="F797" i="66" s="1"/>
  <c r="F796" i="66" s="1"/>
  <c r="F795" i="66" s="1"/>
  <c r="F794" i="66" s="1"/>
  <c r="F793" i="66" s="1"/>
  <c r="F792" i="66" s="1"/>
  <c r="F791" i="66" s="1"/>
  <c r="F790" i="66" s="1"/>
  <c r="F789" i="66" s="1"/>
  <c r="F788" i="66" s="1"/>
  <c r="F787" i="66" s="1"/>
  <c r="F786" i="66" s="1"/>
  <c r="F785" i="66" s="1"/>
  <c r="F784" i="66" s="1"/>
  <c r="F783" i="66" s="1"/>
  <c r="F782" i="66" s="1"/>
  <c r="F781" i="66" s="1"/>
  <c r="F780" i="66" s="1"/>
  <c r="F779" i="66" s="1"/>
  <c r="F778" i="66" s="1"/>
  <c r="F777" i="66" s="1"/>
  <c r="F776" i="66" s="1"/>
  <c r="F775" i="66" s="1"/>
  <c r="F774" i="66" s="1"/>
  <c r="F773" i="66" s="1"/>
  <c r="F772" i="66" s="1"/>
  <c r="F771" i="66" s="1"/>
  <c r="F770" i="66" s="1"/>
  <c r="F769" i="66" s="1"/>
  <c r="F768" i="66" s="1"/>
  <c r="F767" i="66" s="1"/>
  <c r="F766" i="66" s="1"/>
  <c r="F765" i="66" s="1"/>
  <c r="F764" i="66" s="1"/>
  <c r="F763" i="66" s="1"/>
  <c r="F762" i="66" s="1"/>
  <c r="F761" i="66" s="1"/>
  <c r="F760" i="66" s="1"/>
  <c r="F759" i="66" s="1"/>
  <c r="F758" i="66" s="1"/>
  <c r="F757" i="66" s="1"/>
  <c r="F756" i="66" s="1"/>
  <c r="F755" i="66" s="1"/>
  <c r="F754" i="66" s="1"/>
  <c r="F753" i="66" s="1"/>
  <c r="F752" i="66" s="1"/>
  <c r="F751" i="66" s="1"/>
  <c r="F750" i="66" s="1"/>
  <c r="F749" i="66" s="1"/>
  <c r="F748" i="66" s="1"/>
  <c r="F747" i="66" s="1"/>
  <c r="F746" i="66" s="1"/>
  <c r="F745" i="66" s="1"/>
  <c r="F744" i="66" s="1"/>
  <c r="F743" i="66" s="1"/>
  <c r="F742" i="66" s="1"/>
  <c r="F741" i="66" s="1"/>
  <c r="F740" i="66" s="1"/>
  <c r="F739" i="66" s="1"/>
  <c r="F738" i="66" s="1"/>
  <c r="F737" i="66" s="1"/>
  <c r="F736" i="66" s="1"/>
  <c r="F735" i="66" s="1"/>
  <c r="F734" i="66" s="1"/>
  <c r="F733" i="66" s="1"/>
  <c r="F732" i="66" s="1"/>
  <c r="F731" i="66" s="1"/>
  <c r="F730" i="66" s="1"/>
  <c r="F729" i="66" s="1"/>
  <c r="F728" i="66" s="1"/>
  <c r="F727" i="66" s="1"/>
  <c r="F726" i="66" s="1"/>
  <c r="F725" i="66" s="1"/>
  <c r="F724" i="66" s="1"/>
  <c r="F723" i="66" s="1"/>
  <c r="F722" i="66" s="1"/>
  <c r="F721" i="66" s="1"/>
  <c r="F720" i="66" s="1"/>
  <c r="F719" i="66" s="1"/>
  <c r="F718" i="66" s="1"/>
  <c r="F717" i="66" s="1"/>
  <c r="F716" i="66" s="1"/>
  <c r="F715" i="66" s="1"/>
  <c r="F714" i="66" s="1"/>
  <c r="F713" i="66" s="1"/>
  <c r="F712" i="66" s="1"/>
  <c r="F711" i="66" s="1"/>
  <c r="F710" i="66" s="1"/>
  <c r="F709" i="66" s="1"/>
  <c r="F708" i="66" s="1"/>
  <c r="F707" i="66" s="1"/>
  <c r="F706" i="66" s="1"/>
  <c r="F705" i="66" s="1"/>
  <c r="F704" i="66" s="1"/>
  <c r="F703" i="66" s="1"/>
  <c r="F702" i="66" s="1"/>
  <c r="F701" i="66" s="1"/>
  <c r="F700" i="66" s="1"/>
  <c r="F699" i="66" s="1"/>
  <c r="F698" i="66" s="1"/>
  <c r="F697" i="66" s="1"/>
  <c r="F696" i="66" s="1"/>
  <c r="F695" i="66" s="1"/>
  <c r="F694" i="66" s="1"/>
  <c r="F693" i="66" s="1"/>
  <c r="F692" i="66" s="1"/>
  <c r="F691" i="66" s="1"/>
  <c r="F690" i="66" s="1"/>
  <c r="F689" i="66" s="1"/>
  <c r="F688" i="66" s="1"/>
  <c r="F687" i="66" s="1"/>
  <c r="F686" i="66" s="1"/>
  <c r="F685" i="66" s="1"/>
  <c r="F684" i="66" s="1"/>
  <c r="F683" i="66" s="1"/>
  <c r="F682" i="66" s="1"/>
  <c r="F681" i="66" s="1"/>
  <c r="F680" i="66" s="1"/>
  <c r="F679" i="66" s="1"/>
  <c r="F678" i="66" s="1"/>
  <c r="F677" i="66" s="1"/>
  <c r="F676" i="66" s="1"/>
  <c r="F675" i="66" s="1"/>
  <c r="F674" i="66" s="1"/>
  <c r="M29" i="66"/>
  <c r="J29" i="66" s="1"/>
  <c r="E189" i="29"/>
  <c r="L190" i="29"/>
  <c r="F189" i="29"/>
  <c r="H189" i="29"/>
  <c r="D189" i="29"/>
  <c r="B189" i="29"/>
  <c r="G189" i="29" s="1"/>
  <c r="K191" i="29"/>
  <c r="C190" i="29"/>
  <c r="N190" i="29" s="1"/>
  <c r="N15" i="39"/>
  <c r="D15" i="39" s="1"/>
  <c r="A15" i="39" s="1"/>
  <c r="AU15" i="38"/>
  <c r="J15" i="38" s="1"/>
  <c r="X30" i="66"/>
  <c r="Y30" i="66"/>
  <c r="AQ61" i="66"/>
  <c r="N17" i="39"/>
  <c r="D17" i="39" s="1"/>
  <c r="A17" i="39" s="1"/>
  <c r="AU17" i="38"/>
  <c r="J17" i="38" s="1"/>
  <c r="N14" i="39"/>
  <c r="D14" i="39" s="1"/>
  <c r="A14" i="39" s="1"/>
  <c r="AU14" i="38"/>
  <c r="J14" i="38" s="1"/>
  <c r="AP60" i="66"/>
  <c r="AU12" i="38"/>
  <c r="J12" i="38" s="1"/>
  <c r="N12" i="39"/>
  <c r="D12" i="39" s="1"/>
  <c r="A12" i="39" s="1"/>
  <c r="AL64" i="66"/>
  <c r="AQ63" i="66"/>
  <c r="AP63" i="66"/>
  <c r="AU13" i="38"/>
  <c r="J13" i="38" s="1"/>
  <c r="N13" i="39"/>
  <c r="D13" i="39" s="1"/>
  <c r="A13" i="39" s="1"/>
  <c r="N16" i="39"/>
  <c r="D16" i="39" s="1"/>
  <c r="A16" i="39" s="1"/>
  <c r="AU16" i="38"/>
  <c r="J16" i="38" s="1"/>
  <c r="D47" i="63"/>
  <c r="BA48" i="63"/>
  <c r="BB48" i="63"/>
  <c r="F48" i="63" s="1"/>
  <c r="AR141" i="28"/>
  <c r="C140" i="28"/>
  <c r="AU140" i="28" s="1"/>
  <c r="AU230" i="28"/>
  <c r="J228" i="28"/>
  <c r="AR230" i="28"/>
  <c r="C229" i="28"/>
  <c r="AU229" i="28" s="1"/>
  <c r="J229" i="28" s="1"/>
  <c r="H139" i="28"/>
  <c r="G139" i="28"/>
  <c r="I139" i="28"/>
  <c r="F139" i="28"/>
  <c r="B139" i="28"/>
  <c r="E139" i="28"/>
  <c r="D139" i="28"/>
  <c r="F34" i="9"/>
  <c r="E34" i="9"/>
  <c r="H34" i="9"/>
  <c r="G34" i="9"/>
  <c r="I34" i="9"/>
  <c r="E25" i="10"/>
  <c r="D25" i="10"/>
  <c r="H25" i="10"/>
  <c r="G25" i="10"/>
  <c r="C35" i="9"/>
  <c r="B35" i="9"/>
  <c r="G35" i="9" s="1"/>
  <c r="AR37" i="9"/>
  <c r="AS37" i="9" s="1"/>
  <c r="A36" i="9"/>
  <c r="L26" i="10"/>
  <c r="I26" i="10"/>
  <c r="A26" i="10" s="1"/>
  <c r="F26" i="10"/>
  <c r="F19" i="35"/>
  <c r="E19" i="35"/>
  <c r="I19" i="35"/>
  <c r="M19" i="36"/>
  <c r="K19" i="36" s="1"/>
  <c r="H18" i="36"/>
  <c r="F18" i="36"/>
  <c r="B18" i="36"/>
  <c r="I18" i="36" s="1"/>
  <c r="G18" i="36"/>
  <c r="C276" i="28"/>
  <c r="E276" i="28" s="1"/>
  <c r="AR277" i="28"/>
  <c r="AS20" i="35"/>
  <c r="C20" i="35" s="1"/>
  <c r="E275" i="28"/>
  <c r="AU275" i="28"/>
  <c r="G19" i="35"/>
  <c r="H275" i="28"/>
  <c r="I275" i="28"/>
  <c r="B275" i="28"/>
  <c r="F275" i="28"/>
  <c r="AS276" i="28"/>
  <c r="G275" i="28"/>
  <c r="C16" i="27"/>
  <c r="H19" i="35"/>
  <c r="E19" i="38"/>
  <c r="I18" i="37"/>
  <c r="M23" i="39"/>
  <c r="C23" i="39" s="1"/>
  <c r="D18" i="38" l="1"/>
  <c r="J18" i="38"/>
  <c r="A18" i="38" s="1"/>
  <c r="AG35" i="9"/>
  <c r="U35" i="9"/>
  <c r="AD35" i="9"/>
  <c r="AO35" i="9"/>
  <c r="AC35" i="9"/>
  <c r="Q35" i="9"/>
  <c r="P35" i="9"/>
  <c r="AM35" i="9"/>
  <c r="AA35" i="9"/>
  <c r="O35" i="9"/>
  <c r="AJ35" i="9"/>
  <c r="X35" i="9"/>
  <c r="L35" i="9"/>
  <c r="W35" i="9"/>
  <c r="V35" i="9"/>
  <c r="S35" i="9"/>
  <c r="AI35" i="9"/>
  <c r="K35" i="9"/>
  <c r="AK35" i="9"/>
  <c r="AE35" i="9"/>
  <c r="Z35" i="9"/>
  <c r="T35" i="9"/>
  <c r="N35" i="9"/>
  <c r="AL35" i="9"/>
  <c r="AH35" i="9"/>
  <c r="AF35" i="9"/>
  <c r="Y35" i="9"/>
  <c r="M16" i="27"/>
  <c r="N16" i="27"/>
  <c r="O16" i="27"/>
  <c r="P16" i="27"/>
  <c r="B15" i="34"/>
  <c r="C16" i="34"/>
  <c r="M16" i="34" s="1"/>
  <c r="Y44" i="76"/>
  <c r="X52" i="76"/>
  <c r="X54" i="76" s="1"/>
  <c r="X53" i="76" s="1"/>
  <c r="W45" i="76"/>
  <c r="V48" i="76"/>
  <c r="V50" i="76" s="1"/>
  <c r="V49" i="76" s="1"/>
  <c r="S31" i="66"/>
  <c r="K32" i="66"/>
  <c r="L31" i="66"/>
  <c r="W31" i="66" s="1"/>
  <c r="H190" i="29"/>
  <c r="D190" i="29"/>
  <c r="E190" i="29"/>
  <c r="F190" i="29"/>
  <c r="B190" i="29"/>
  <c r="G190" i="29" s="1"/>
  <c r="L191" i="29"/>
  <c r="F673" i="66"/>
  <c r="F672" i="66" s="1"/>
  <c r="F671" i="66" s="1"/>
  <c r="F670" i="66" s="1"/>
  <c r="F669" i="66" s="1"/>
  <c r="F668" i="66" s="1"/>
  <c r="F667" i="66" s="1"/>
  <c r="F666" i="66" s="1"/>
  <c r="F665" i="66" s="1"/>
  <c r="F664" i="66" s="1"/>
  <c r="F663" i="66" s="1"/>
  <c r="F662" i="66" s="1"/>
  <c r="F661" i="66" s="1"/>
  <c r="F660" i="66" s="1"/>
  <c r="F659" i="66" s="1"/>
  <c r="F658" i="66" s="1"/>
  <c r="F657" i="66" s="1"/>
  <c r="F656" i="66" s="1"/>
  <c r="F655" i="66" s="1"/>
  <c r="F654" i="66" s="1"/>
  <c r="F653" i="66" s="1"/>
  <c r="F652" i="66" s="1"/>
  <c r="F651" i="66" s="1"/>
  <c r="F650" i="66" s="1"/>
  <c r="F649" i="66" s="1"/>
  <c r="F648" i="66" s="1"/>
  <c r="F647" i="66" s="1"/>
  <c r="F646" i="66" s="1"/>
  <c r="F645" i="66" s="1"/>
  <c r="F644" i="66" s="1"/>
  <c r="F643" i="66" s="1"/>
  <c r="F642" i="66" s="1"/>
  <c r="F641" i="66" s="1"/>
  <c r="F640" i="66" s="1"/>
  <c r="F639" i="66" s="1"/>
  <c r="F638" i="66" s="1"/>
  <c r="F637" i="66" s="1"/>
  <c r="F636" i="66" s="1"/>
  <c r="F635" i="66" s="1"/>
  <c r="F634" i="66" s="1"/>
  <c r="F633" i="66" s="1"/>
  <c r="F632" i="66" s="1"/>
  <c r="F631" i="66" s="1"/>
  <c r="F630" i="66" s="1"/>
  <c r="F629" i="66" s="1"/>
  <c r="F628" i="66" s="1"/>
  <c r="F627" i="66" s="1"/>
  <c r="F626" i="66" s="1"/>
  <c r="F625" i="66" s="1"/>
  <c r="F624" i="66" s="1"/>
  <c r="F623" i="66" s="1"/>
  <c r="F622" i="66" s="1"/>
  <c r="F621" i="66" s="1"/>
  <c r="F620" i="66" s="1"/>
  <c r="F619" i="66" s="1"/>
  <c r="F618" i="66" s="1"/>
  <c r="F617" i="66" s="1"/>
  <c r="F616" i="66" s="1"/>
  <c r="F615" i="66" s="1"/>
  <c r="F614" i="66" s="1"/>
  <c r="F613" i="66" s="1"/>
  <c r="F612" i="66" s="1"/>
  <c r="F611" i="66" s="1"/>
  <c r="F610" i="66" s="1"/>
  <c r="F609" i="66" s="1"/>
  <c r="F608" i="66" s="1"/>
  <c r="F607" i="66" s="1"/>
  <c r="F606" i="66" s="1"/>
  <c r="F605" i="66" s="1"/>
  <c r="F604" i="66" s="1"/>
  <c r="F603" i="66" s="1"/>
  <c r="F602" i="66" s="1"/>
  <c r="F601" i="66" s="1"/>
  <c r="F600" i="66" s="1"/>
  <c r="F599" i="66" s="1"/>
  <c r="F598" i="66" s="1"/>
  <c r="F597" i="66" s="1"/>
  <c r="F596" i="66" s="1"/>
  <c r="F595" i="66" s="1"/>
  <c r="F594" i="66" s="1"/>
  <c r="F593" i="66" s="1"/>
  <c r="F592" i="66" s="1"/>
  <c r="F591" i="66" s="1"/>
  <c r="F590" i="66" s="1"/>
  <c r="F589" i="66" s="1"/>
  <c r="F588" i="66" s="1"/>
  <c r="F587" i="66" s="1"/>
  <c r="F586" i="66" s="1"/>
  <c r="F585" i="66" s="1"/>
  <c r="F584" i="66" s="1"/>
  <c r="F583" i="66" s="1"/>
  <c r="F582" i="66" s="1"/>
  <c r="F581" i="66" s="1"/>
  <c r="F580" i="66" s="1"/>
  <c r="F579" i="66" s="1"/>
  <c r="F578" i="66" s="1"/>
  <c r="F577" i="66" s="1"/>
  <c r="F576" i="66" s="1"/>
  <c r="F575" i="66" s="1"/>
  <c r="F574" i="66" s="1"/>
  <c r="F573" i="66" s="1"/>
  <c r="F572" i="66" s="1"/>
  <c r="F571" i="66" s="1"/>
  <c r="F570" i="66" s="1"/>
  <c r="F569" i="66" s="1"/>
  <c r="F568" i="66" s="1"/>
  <c r="F567" i="66" s="1"/>
  <c r="F566" i="66" s="1"/>
  <c r="F565" i="66" s="1"/>
  <c r="F564" i="66" s="1"/>
  <c r="F563" i="66" s="1"/>
  <c r="F562" i="66" s="1"/>
  <c r="F561" i="66" s="1"/>
  <c r="F560" i="66" s="1"/>
  <c r="F559" i="66" s="1"/>
  <c r="F558" i="66" s="1"/>
  <c r="F557" i="66" s="1"/>
  <c r="F556" i="66" s="1"/>
  <c r="F555" i="66" s="1"/>
  <c r="F554" i="66" s="1"/>
  <c r="F553" i="66" s="1"/>
  <c r="F552" i="66" s="1"/>
  <c r="F551" i="66" s="1"/>
  <c r="F550" i="66" s="1"/>
  <c r="F549" i="66" s="1"/>
  <c r="F548" i="66" s="1"/>
  <c r="F547" i="66" s="1"/>
  <c r="F546" i="66" s="1"/>
  <c r="F545" i="66" s="1"/>
  <c r="F544" i="66" s="1"/>
  <c r="F543" i="66" s="1"/>
  <c r="F542" i="66" s="1"/>
  <c r="F541" i="66" s="1"/>
  <c r="F540" i="66" s="1"/>
  <c r="F539" i="66" s="1"/>
  <c r="F538" i="66" s="1"/>
  <c r="F537" i="66" s="1"/>
  <c r="F536" i="66" s="1"/>
  <c r="F535" i="66" s="1"/>
  <c r="F534" i="66" s="1"/>
  <c r="F533" i="66" s="1"/>
  <c r="F532" i="66" s="1"/>
  <c r="F531" i="66" s="1"/>
  <c r="F530" i="66" s="1"/>
  <c r="F529" i="66" s="1"/>
  <c r="F528" i="66" s="1"/>
  <c r="F527" i="66" s="1"/>
  <c r="F526" i="66" s="1"/>
  <c r="F525" i="66" s="1"/>
  <c r="F524" i="66" s="1"/>
  <c r="F523" i="66" s="1"/>
  <c r="F522" i="66" s="1"/>
  <c r="F521" i="66" s="1"/>
  <c r="F520" i="66" s="1"/>
  <c r="F519" i="66" s="1"/>
  <c r="F518" i="66" s="1"/>
  <c r="F517" i="66" s="1"/>
  <c r="F516" i="66" s="1"/>
  <c r="F515" i="66" s="1"/>
  <c r="F514" i="66" s="1"/>
  <c r="F513" i="66" s="1"/>
  <c r="F512" i="66" s="1"/>
  <c r="F511" i="66" s="1"/>
  <c r="F510" i="66" s="1"/>
  <c r="F509" i="66" s="1"/>
  <c r="F508" i="66" s="1"/>
  <c r="F507" i="66" s="1"/>
  <c r="F506" i="66" s="1"/>
  <c r="F505" i="66" s="1"/>
  <c r="F504" i="66" s="1"/>
  <c r="F503" i="66" s="1"/>
  <c r="F502" i="66" s="1"/>
  <c r="F501" i="66" s="1"/>
  <c r="F500" i="66" s="1"/>
  <c r="F499" i="66" s="1"/>
  <c r="F498" i="66" s="1"/>
  <c r="F497" i="66" s="1"/>
  <c r="F496" i="66" s="1"/>
  <c r="F495" i="66" s="1"/>
  <c r="F494" i="66" s="1"/>
  <c r="F493" i="66" s="1"/>
  <c r="F492" i="66" s="1"/>
  <c r="F491" i="66" s="1"/>
  <c r="F490" i="66" s="1"/>
  <c r="F489" i="66" s="1"/>
  <c r="F488" i="66" s="1"/>
  <c r="F487" i="66" s="1"/>
  <c r="F486" i="66" s="1"/>
  <c r="F485" i="66" s="1"/>
  <c r="F484" i="66" s="1"/>
  <c r="F483" i="66" s="1"/>
  <c r="F482" i="66" s="1"/>
  <c r="F481" i="66" s="1"/>
  <c r="F480" i="66" s="1"/>
  <c r="F479" i="66" s="1"/>
  <c r="F478" i="66" s="1"/>
  <c r="F477" i="66" s="1"/>
  <c r="F476" i="66" s="1"/>
  <c r="F475" i="66" s="1"/>
  <c r="F474" i="66" s="1"/>
  <c r="F473" i="66" s="1"/>
  <c r="F472" i="66" s="1"/>
  <c r="F471" i="66" s="1"/>
  <c r="F470" i="66" s="1"/>
  <c r="F469" i="66" s="1"/>
  <c r="F468" i="66" s="1"/>
  <c r="F467" i="66" s="1"/>
  <c r="F466" i="66" s="1"/>
  <c r="F465" i="66" s="1"/>
  <c r="F464" i="66" s="1"/>
  <c r="F463" i="66" s="1"/>
  <c r="F462" i="66" s="1"/>
  <c r="F461" i="66" s="1"/>
  <c r="F460" i="66" s="1"/>
  <c r="F459" i="66" s="1"/>
  <c r="F458" i="66" s="1"/>
  <c r="F457" i="66" s="1"/>
  <c r="F456" i="66" s="1"/>
  <c r="F455" i="66" s="1"/>
  <c r="F454" i="66" s="1"/>
  <c r="F453" i="66" s="1"/>
  <c r="F452" i="66" s="1"/>
  <c r="F451" i="66" s="1"/>
  <c r="F450" i="66" s="1"/>
  <c r="F449" i="66" s="1"/>
  <c r="F448" i="66" s="1"/>
  <c r="F447" i="66" s="1"/>
  <c r="F446" i="66" s="1"/>
  <c r="F445" i="66" s="1"/>
  <c r="F444" i="66" s="1"/>
  <c r="F443" i="66" s="1"/>
  <c r="F442" i="66" s="1"/>
  <c r="F441" i="66" s="1"/>
  <c r="F440" i="66" s="1"/>
  <c r="F439" i="66" s="1"/>
  <c r="F438" i="66" s="1"/>
  <c r="F437" i="66" s="1"/>
  <c r="F436" i="66" s="1"/>
  <c r="F435" i="66" s="1"/>
  <c r="F434" i="66" s="1"/>
  <c r="F433" i="66" s="1"/>
  <c r="F432" i="66" s="1"/>
  <c r="F431" i="66" s="1"/>
  <c r="F430" i="66" s="1"/>
  <c r="F429" i="66" s="1"/>
  <c r="F428" i="66" s="1"/>
  <c r="F427" i="66" s="1"/>
  <c r="F426" i="66" s="1"/>
  <c r="F425" i="66" s="1"/>
  <c r="F424" i="66" s="1"/>
  <c r="M30" i="66"/>
  <c r="J30" i="66" s="1"/>
  <c r="C191" i="29"/>
  <c r="N191" i="29" s="1"/>
  <c r="K192" i="29"/>
  <c r="AP59" i="66"/>
  <c r="D17" i="38"/>
  <c r="A17" i="38"/>
  <c r="D48" i="63"/>
  <c r="BB49" i="63"/>
  <c r="F49" i="63" s="1"/>
  <c r="BA49" i="63"/>
  <c r="D12" i="38"/>
  <c r="D10" i="39" s="1"/>
  <c r="A12" i="38"/>
  <c r="A10" i="39" s="1"/>
  <c r="D13" i="38"/>
  <c r="D11" i="39" s="1"/>
  <c r="A13" i="38"/>
  <c r="A11" i="39" s="1"/>
  <c r="X31" i="66"/>
  <c r="Y31" i="66"/>
  <c r="D14" i="38"/>
  <c r="A14" i="38"/>
  <c r="X29" i="66"/>
  <c r="Y29" i="66"/>
  <c r="W29" i="66"/>
  <c r="AQ60" i="66"/>
  <c r="D15" i="38"/>
  <c r="A15" i="38"/>
  <c r="D16" i="38"/>
  <c r="A16" i="38"/>
  <c r="AL65" i="66"/>
  <c r="AQ64" i="66"/>
  <c r="AP64" i="66"/>
  <c r="I17" i="27"/>
  <c r="J17" i="27" s="1"/>
  <c r="H140" i="28"/>
  <c r="I140" i="28"/>
  <c r="G140" i="28"/>
  <c r="F140" i="28"/>
  <c r="B140" i="28"/>
  <c r="E140" i="28"/>
  <c r="D140" i="28"/>
  <c r="AR231" i="28"/>
  <c r="C230" i="28"/>
  <c r="AU231" i="28"/>
  <c r="J230" i="28"/>
  <c r="AR142" i="28"/>
  <c r="C141" i="28"/>
  <c r="AU141" i="28" s="1"/>
  <c r="E35" i="9"/>
  <c r="F35" i="9"/>
  <c r="D35" i="9"/>
  <c r="C26" i="10"/>
  <c r="B26" i="10" s="1"/>
  <c r="E26" i="10" s="1"/>
  <c r="K27" i="10"/>
  <c r="H35" i="9"/>
  <c r="AR38" i="9"/>
  <c r="AS38" i="9" s="1"/>
  <c r="A37" i="9"/>
  <c r="I35" i="9"/>
  <c r="C36" i="9"/>
  <c r="B36" i="9"/>
  <c r="D36" i="9" s="1"/>
  <c r="E18" i="36"/>
  <c r="D18" i="36"/>
  <c r="A20" i="35"/>
  <c r="A16" i="27"/>
  <c r="D16" i="27" s="1"/>
  <c r="J275" i="28"/>
  <c r="AU276" i="28"/>
  <c r="J276" i="28" s="1"/>
  <c r="H276" i="28"/>
  <c r="G276" i="28"/>
  <c r="F276" i="28"/>
  <c r="B276" i="28"/>
  <c r="I276" i="28"/>
  <c r="AS277" i="28"/>
  <c r="AR278" i="28"/>
  <c r="C277" i="28"/>
  <c r="L19" i="36"/>
  <c r="C19" i="36" s="1"/>
  <c r="A19" i="36" s="1"/>
  <c r="AU19" i="38"/>
  <c r="D19" i="38" s="1"/>
  <c r="AV20" i="38"/>
  <c r="AS20" i="38"/>
  <c r="D275" i="28"/>
  <c r="AT21" i="35"/>
  <c r="N23" i="39"/>
  <c r="D23" i="39" s="1"/>
  <c r="A23" i="39" s="1"/>
  <c r="L24" i="39"/>
  <c r="O24" i="39"/>
  <c r="C18" i="37"/>
  <c r="A18" i="37" s="1"/>
  <c r="D18" i="37" s="1"/>
  <c r="J19" i="38" l="1"/>
  <c r="A19" i="38" s="1"/>
  <c r="AK36" i="9"/>
  <c r="Y36" i="9"/>
  <c r="AH36" i="9"/>
  <c r="V36" i="9"/>
  <c r="AG36" i="9"/>
  <c r="U36" i="9"/>
  <c r="AF36" i="9"/>
  <c r="T36" i="9"/>
  <c r="AE36" i="9"/>
  <c r="S36" i="9"/>
  <c r="P36" i="9"/>
  <c r="AM36" i="9"/>
  <c r="O36" i="9"/>
  <c r="AL36" i="9"/>
  <c r="N36" i="9"/>
  <c r="AI36" i="9"/>
  <c r="K36" i="9"/>
  <c r="AA36" i="9"/>
  <c r="AD36" i="9"/>
  <c r="AC36" i="9"/>
  <c r="X36" i="9"/>
  <c r="L36" i="9"/>
  <c r="AO36" i="9"/>
  <c r="W36" i="9"/>
  <c r="Q36" i="9"/>
  <c r="Z36" i="9"/>
  <c r="AJ36" i="9"/>
  <c r="L16" i="27"/>
  <c r="F16" i="27" s="1"/>
  <c r="I17" i="34"/>
  <c r="J17" i="34" s="1"/>
  <c r="N16" i="34"/>
  <c r="L16" i="34" s="1"/>
  <c r="F16" i="34" s="1"/>
  <c r="A16" i="34"/>
  <c r="E16" i="34"/>
  <c r="AU277" i="28"/>
  <c r="J277" i="28" s="1"/>
  <c r="E277" i="28"/>
  <c r="X45" i="76"/>
  <c r="W48" i="76"/>
  <c r="W50" i="76" s="1"/>
  <c r="W49" i="76" s="1"/>
  <c r="Y52" i="76"/>
  <c r="Y54" i="76" s="1"/>
  <c r="Y53" i="76" s="1"/>
  <c r="Z44" i="76"/>
  <c r="K33" i="66"/>
  <c r="V31" i="66" s="1"/>
  <c r="S32" i="66"/>
  <c r="L32" i="66"/>
  <c r="W32" i="66" s="1"/>
  <c r="V28" i="66"/>
  <c r="K193" i="29"/>
  <c r="L192" i="29"/>
  <c r="C192" i="29"/>
  <c r="N192" i="29" s="1"/>
  <c r="D191" i="29"/>
  <c r="F423" i="66"/>
  <c r="F422" i="66" s="1"/>
  <c r="F421" i="66" s="1"/>
  <c r="F420" i="66" s="1"/>
  <c r="F419" i="66" s="1"/>
  <c r="F418" i="66" s="1"/>
  <c r="F417" i="66" s="1"/>
  <c r="F416" i="66" s="1"/>
  <c r="F415" i="66" s="1"/>
  <c r="F414" i="66" s="1"/>
  <c r="F413" i="66" s="1"/>
  <c r="F412" i="66" s="1"/>
  <c r="F411" i="66" s="1"/>
  <c r="F410" i="66" s="1"/>
  <c r="F409" i="66" s="1"/>
  <c r="F408" i="66" s="1"/>
  <c r="F407" i="66" s="1"/>
  <c r="F406" i="66" s="1"/>
  <c r="F405" i="66" s="1"/>
  <c r="F404" i="66" s="1"/>
  <c r="F403" i="66" s="1"/>
  <c r="F402" i="66" s="1"/>
  <c r="F401" i="66" s="1"/>
  <c r="F400" i="66" s="1"/>
  <c r="F399" i="66" s="1"/>
  <c r="F398" i="66" s="1"/>
  <c r="F397" i="66" s="1"/>
  <c r="F396" i="66" s="1"/>
  <c r="F395" i="66" s="1"/>
  <c r="F394" i="66" s="1"/>
  <c r="F393" i="66" s="1"/>
  <c r="F392" i="66" s="1"/>
  <c r="F391" i="66" s="1"/>
  <c r="F390" i="66" s="1"/>
  <c r="F389" i="66" s="1"/>
  <c r="F388" i="66" s="1"/>
  <c r="F387" i="66" s="1"/>
  <c r="F386" i="66" s="1"/>
  <c r="F385" i="66" s="1"/>
  <c r="F384" i="66" s="1"/>
  <c r="F383" i="66" s="1"/>
  <c r="F382" i="66" s="1"/>
  <c r="F381" i="66" s="1"/>
  <c r="F380" i="66" s="1"/>
  <c r="F379" i="66" s="1"/>
  <c r="F378" i="66" s="1"/>
  <c r="F377" i="66" s="1"/>
  <c r="F376" i="66" s="1"/>
  <c r="F375" i="66" s="1"/>
  <c r="F374" i="66" s="1"/>
  <c r="F373" i="66" s="1"/>
  <c r="F372" i="66" s="1"/>
  <c r="F371" i="66" s="1"/>
  <c r="F370" i="66" s="1"/>
  <c r="F369" i="66" s="1"/>
  <c r="F368" i="66" s="1"/>
  <c r="F367" i="66" s="1"/>
  <c r="F366" i="66" s="1"/>
  <c r="F365" i="66" s="1"/>
  <c r="F364" i="66" s="1"/>
  <c r="F363" i="66" s="1"/>
  <c r="F362" i="66" s="1"/>
  <c r="F361" i="66" s="1"/>
  <c r="F360" i="66" s="1"/>
  <c r="F359" i="66" s="1"/>
  <c r="F358" i="66" s="1"/>
  <c r="F357" i="66" s="1"/>
  <c r="F356" i="66" s="1"/>
  <c r="F355" i="66" s="1"/>
  <c r="F354" i="66" s="1"/>
  <c r="F353" i="66" s="1"/>
  <c r="F352" i="66" s="1"/>
  <c r="F351" i="66" s="1"/>
  <c r="F350" i="66" s="1"/>
  <c r="F349" i="66" s="1"/>
  <c r="F348" i="66" s="1"/>
  <c r="F347" i="66" s="1"/>
  <c r="F346" i="66" s="1"/>
  <c r="F345" i="66" s="1"/>
  <c r="F344" i="66" s="1"/>
  <c r="F343" i="66" s="1"/>
  <c r="F342" i="66" s="1"/>
  <c r="F341" i="66" s="1"/>
  <c r="F340" i="66" s="1"/>
  <c r="F339" i="66" s="1"/>
  <c r="F338" i="66" s="1"/>
  <c r="F337" i="66" s="1"/>
  <c r="F336" i="66" s="1"/>
  <c r="F335" i="66" s="1"/>
  <c r="F334" i="66" s="1"/>
  <c r="F333" i="66" s="1"/>
  <c r="F332" i="66" s="1"/>
  <c r="F331" i="66" s="1"/>
  <c r="F330" i="66" s="1"/>
  <c r="F329" i="66" s="1"/>
  <c r="F328" i="66" s="1"/>
  <c r="F327" i="66" s="1"/>
  <c r="F326" i="66" s="1"/>
  <c r="F325" i="66" s="1"/>
  <c r="F324" i="66" s="1"/>
  <c r="F323" i="66" s="1"/>
  <c r="F322" i="66" s="1"/>
  <c r="F321" i="66" s="1"/>
  <c r="F320" i="66" s="1"/>
  <c r="F319" i="66" s="1"/>
  <c r="F318" i="66" s="1"/>
  <c r="F317" i="66" s="1"/>
  <c r="F316" i="66" s="1"/>
  <c r="F315" i="66" s="1"/>
  <c r="F314" i="66" s="1"/>
  <c r="F313" i="66" s="1"/>
  <c r="F312" i="66" s="1"/>
  <c r="F311" i="66" s="1"/>
  <c r="F310" i="66" s="1"/>
  <c r="F309" i="66" s="1"/>
  <c r="F308" i="66" s="1"/>
  <c r="F307" i="66" s="1"/>
  <c r="F306" i="66" s="1"/>
  <c r="F305" i="66" s="1"/>
  <c r="F304" i="66" s="1"/>
  <c r="F303" i="66" s="1"/>
  <c r="F302" i="66" s="1"/>
  <c r="F301" i="66" s="1"/>
  <c r="F300" i="66" s="1"/>
  <c r="F299" i="66" s="1"/>
  <c r="F298" i="66" s="1"/>
  <c r="F297" i="66" s="1"/>
  <c r="F296" i="66" s="1"/>
  <c r="F295" i="66" s="1"/>
  <c r="F294" i="66" s="1"/>
  <c r="F293" i="66" s="1"/>
  <c r="F292" i="66" s="1"/>
  <c r="F291" i="66" s="1"/>
  <c r="F290" i="66" s="1"/>
  <c r="F289" i="66" s="1"/>
  <c r="F288" i="66" s="1"/>
  <c r="F287" i="66" s="1"/>
  <c r="F286" i="66" s="1"/>
  <c r="F285" i="66" s="1"/>
  <c r="F284" i="66" s="1"/>
  <c r="F283" i="66" s="1"/>
  <c r="F282" i="66" s="1"/>
  <c r="F281" i="66" s="1"/>
  <c r="F280" i="66" s="1"/>
  <c r="F279" i="66" s="1"/>
  <c r="F278" i="66" s="1"/>
  <c r="F277" i="66" s="1"/>
  <c r="F276" i="66" s="1"/>
  <c r="F275" i="66" s="1"/>
  <c r="F274" i="66" s="1"/>
  <c r="F273" i="66" s="1"/>
  <c r="F272" i="66" s="1"/>
  <c r="F271" i="66" s="1"/>
  <c r="F270" i="66" s="1"/>
  <c r="F269" i="66" s="1"/>
  <c r="F268" i="66" s="1"/>
  <c r="F267" i="66" s="1"/>
  <c r="F266" i="66" s="1"/>
  <c r="F265" i="66" s="1"/>
  <c r="F264" i="66" s="1"/>
  <c r="F263" i="66" s="1"/>
  <c r="F262" i="66" s="1"/>
  <c r="F261" i="66" s="1"/>
  <c r="F260" i="66" s="1"/>
  <c r="F259" i="66" s="1"/>
  <c r="F258" i="66" s="1"/>
  <c r="F257" i="66" s="1"/>
  <c r="F256" i="66" s="1"/>
  <c r="F255" i="66" s="1"/>
  <c r="F254" i="66" s="1"/>
  <c r="F253" i="66" s="1"/>
  <c r="F252" i="66" s="1"/>
  <c r="F251" i="66" s="1"/>
  <c r="F250" i="66" s="1"/>
  <c r="F249" i="66" s="1"/>
  <c r="F248" i="66" s="1"/>
  <c r="F247" i="66" s="1"/>
  <c r="F246" i="66" s="1"/>
  <c r="F245" i="66" s="1"/>
  <c r="F244" i="66" s="1"/>
  <c r="F243" i="66" s="1"/>
  <c r="F242" i="66" s="1"/>
  <c r="F241" i="66" s="1"/>
  <c r="F240" i="66" s="1"/>
  <c r="F239" i="66" s="1"/>
  <c r="F238" i="66" s="1"/>
  <c r="F237" i="66" s="1"/>
  <c r="F236" i="66" s="1"/>
  <c r="F235" i="66" s="1"/>
  <c r="F234" i="66" s="1"/>
  <c r="F233" i="66" s="1"/>
  <c r="F232" i="66" s="1"/>
  <c r="F231" i="66" s="1"/>
  <c r="F230" i="66" s="1"/>
  <c r="F229" i="66" s="1"/>
  <c r="F228" i="66" s="1"/>
  <c r="F227" i="66" s="1"/>
  <c r="F226" i="66" s="1"/>
  <c r="F225" i="66" s="1"/>
  <c r="F224" i="66" s="1"/>
  <c r="F223" i="66" s="1"/>
  <c r="F222" i="66" s="1"/>
  <c r="F221" i="66" s="1"/>
  <c r="F220" i="66" s="1"/>
  <c r="F219" i="66" s="1"/>
  <c r="F218" i="66" s="1"/>
  <c r="F217" i="66" s="1"/>
  <c r="F216" i="66" s="1"/>
  <c r="F215" i="66" s="1"/>
  <c r="F214" i="66" s="1"/>
  <c r="F213" i="66" s="1"/>
  <c r="F212" i="66" s="1"/>
  <c r="F211" i="66" s="1"/>
  <c r="F210" i="66" s="1"/>
  <c r="F209" i="66" s="1"/>
  <c r="F208" i="66" s="1"/>
  <c r="F207" i="66" s="1"/>
  <c r="F206" i="66" s="1"/>
  <c r="F205" i="66" s="1"/>
  <c r="F204" i="66" s="1"/>
  <c r="F203" i="66" s="1"/>
  <c r="F202" i="66" s="1"/>
  <c r="F201" i="66" s="1"/>
  <c r="F200" i="66" s="1"/>
  <c r="F199" i="66" s="1"/>
  <c r="F198" i="66" s="1"/>
  <c r="F197" i="66" s="1"/>
  <c r="F196" i="66" s="1"/>
  <c r="F195" i="66" s="1"/>
  <c r="F194" i="66" s="1"/>
  <c r="F193" i="66" s="1"/>
  <c r="F192" i="66" s="1"/>
  <c r="F191" i="66" s="1"/>
  <c r="F190" i="66" s="1"/>
  <c r="F189" i="66" s="1"/>
  <c r="F188" i="66" s="1"/>
  <c r="F187" i="66" s="1"/>
  <c r="F186" i="66" s="1"/>
  <c r="F185" i="66" s="1"/>
  <c r="F184" i="66" s="1"/>
  <c r="F183" i="66" s="1"/>
  <c r="F182" i="66" s="1"/>
  <c r="F181" i="66" s="1"/>
  <c r="F180" i="66" s="1"/>
  <c r="F179" i="66" s="1"/>
  <c r="F178" i="66" s="1"/>
  <c r="F177" i="66" s="1"/>
  <c r="F176" i="66" s="1"/>
  <c r="F175" i="66" s="1"/>
  <c r="F174" i="66" s="1"/>
  <c r="M31" i="66"/>
  <c r="J31" i="66" s="1"/>
  <c r="H191" i="29"/>
  <c r="F191" i="29"/>
  <c r="B191" i="29"/>
  <c r="G191" i="29" s="1"/>
  <c r="E191" i="29"/>
  <c r="U31" i="66"/>
  <c r="X32" i="66"/>
  <c r="Y32" i="66"/>
  <c r="X28" i="66"/>
  <c r="Y28" i="66"/>
  <c r="W28" i="66"/>
  <c r="AQ59" i="66"/>
  <c r="AL66" i="66"/>
  <c r="AQ65" i="66"/>
  <c r="AP65" i="66"/>
  <c r="E11" i="39"/>
  <c r="H11" i="39"/>
  <c r="G11" i="39"/>
  <c r="F11" i="39"/>
  <c r="H10" i="39"/>
  <c r="E10" i="39"/>
  <c r="F10" i="39"/>
  <c r="G10" i="39"/>
  <c r="D49" i="63"/>
  <c r="BA50" i="63"/>
  <c r="BB50" i="63"/>
  <c r="F50" i="63" s="1"/>
  <c r="AP58" i="66"/>
  <c r="U26" i="66"/>
  <c r="T26" i="66"/>
  <c r="C17" i="27"/>
  <c r="C231" i="28"/>
  <c r="AR232" i="28"/>
  <c r="I141" i="28"/>
  <c r="H141" i="28"/>
  <c r="G141" i="28"/>
  <c r="F141" i="28"/>
  <c r="B141" i="28"/>
  <c r="E141" i="28"/>
  <c r="D141" i="28"/>
  <c r="AU232" i="28"/>
  <c r="J231" i="28"/>
  <c r="AR143" i="28"/>
  <c r="C143" i="28" s="1"/>
  <c r="AU143" i="28" s="1"/>
  <c r="AR144" i="28"/>
  <c r="C142" i="28"/>
  <c r="AU142" i="28" s="1"/>
  <c r="H36" i="9"/>
  <c r="D26" i="10"/>
  <c r="F36" i="9"/>
  <c r="H26" i="10"/>
  <c r="E36" i="9"/>
  <c r="G26" i="10"/>
  <c r="G36" i="9"/>
  <c r="I36" i="9"/>
  <c r="F27" i="10"/>
  <c r="I27" i="10"/>
  <c r="L27" i="10"/>
  <c r="B37" i="9"/>
  <c r="B113" i="9" s="1"/>
  <c r="C37" i="9"/>
  <c r="A38" i="9"/>
  <c r="AR39" i="9"/>
  <c r="AS39" i="9" s="1"/>
  <c r="M20" i="36"/>
  <c r="K20" i="36" s="1"/>
  <c r="AT20" i="38"/>
  <c r="C20" i="38" s="1"/>
  <c r="AS278" i="28"/>
  <c r="G277" i="28"/>
  <c r="F277" i="28"/>
  <c r="I277" i="28"/>
  <c r="H277" i="28"/>
  <c r="B277" i="28"/>
  <c r="B19" i="36"/>
  <c r="I19" i="36" s="1"/>
  <c r="F19" i="36"/>
  <c r="H19" i="36"/>
  <c r="G19" i="36"/>
  <c r="B20" i="35"/>
  <c r="AR21" i="35"/>
  <c r="AS21" i="35" s="1"/>
  <c r="C21" i="35" s="1"/>
  <c r="AR279" i="28"/>
  <c r="C279" i="28" s="1"/>
  <c r="AU279" i="28" s="1"/>
  <c r="AR280" i="28"/>
  <c r="C278" i="28"/>
  <c r="AU278" i="28" s="1"/>
  <c r="H19" i="37"/>
  <c r="M24" i="39"/>
  <c r="C24" i="39" s="1"/>
  <c r="J20" i="35"/>
  <c r="AO37" i="9" l="1"/>
  <c r="AC37" i="9"/>
  <c r="Q37" i="9"/>
  <c r="AL37" i="9"/>
  <c r="Z37" i="9"/>
  <c r="N37" i="9"/>
  <c r="AK37" i="9"/>
  <c r="Y37" i="9"/>
  <c r="AJ37" i="9"/>
  <c r="X37" i="9"/>
  <c r="L37" i="9"/>
  <c r="AI37" i="9"/>
  <c r="W37" i="9"/>
  <c r="K37" i="9"/>
  <c r="AF37" i="9"/>
  <c r="T37" i="9"/>
  <c r="AE37" i="9"/>
  <c r="AD37" i="9"/>
  <c r="AA37" i="9"/>
  <c r="S37" i="9"/>
  <c r="AM37" i="9"/>
  <c r="AH37" i="9"/>
  <c r="V37" i="9"/>
  <c r="U37" i="9"/>
  <c r="P37" i="9"/>
  <c r="O37" i="9"/>
  <c r="AG37" i="9"/>
  <c r="M17" i="27"/>
  <c r="N17" i="27"/>
  <c r="O17" i="27"/>
  <c r="P17" i="27"/>
  <c r="C17" i="34"/>
  <c r="N17" i="34" s="1"/>
  <c r="B16" i="34"/>
  <c r="D16" i="34"/>
  <c r="D20" i="35"/>
  <c r="Z52" i="76"/>
  <c r="Z54" i="76" s="1"/>
  <c r="Z53" i="76" s="1"/>
  <c r="AA44" i="76"/>
  <c r="Y45" i="76"/>
  <c r="X48" i="76"/>
  <c r="X50" i="76" s="1"/>
  <c r="T31" i="66"/>
  <c r="V30" i="66"/>
  <c r="U28" i="66"/>
  <c r="T28" i="66"/>
  <c r="V26" i="66"/>
  <c r="S33" i="66"/>
  <c r="L33" i="66"/>
  <c r="W33" i="66" s="1"/>
  <c r="U30" i="66"/>
  <c r="V27" i="66"/>
  <c r="U27" i="66"/>
  <c r="T27" i="66"/>
  <c r="T30" i="66"/>
  <c r="A17" i="27"/>
  <c r="D17" i="27" s="1"/>
  <c r="F173" i="66"/>
  <c r="F172" i="66" s="1"/>
  <c r="F171" i="66" s="1"/>
  <c r="F170" i="66" s="1"/>
  <c r="F169" i="66" s="1"/>
  <c r="F168" i="66" s="1"/>
  <c r="F167" i="66" s="1"/>
  <c r="F166" i="66" s="1"/>
  <c r="F165" i="66" s="1"/>
  <c r="F164" i="66" s="1"/>
  <c r="F163" i="66" s="1"/>
  <c r="F162" i="66" s="1"/>
  <c r="F161" i="66" s="1"/>
  <c r="F160" i="66" s="1"/>
  <c r="F159" i="66" s="1"/>
  <c r="F158" i="66" s="1"/>
  <c r="F157" i="66" s="1"/>
  <c r="F156" i="66" s="1"/>
  <c r="F155" i="66" s="1"/>
  <c r="F154" i="66" s="1"/>
  <c r="F153" i="66" s="1"/>
  <c r="F152" i="66" s="1"/>
  <c r="F151" i="66" s="1"/>
  <c r="F150" i="66" s="1"/>
  <c r="F149" i="66" s="1"/>
  <c r="F148" i="66" s="1"/>
  <c r="F147" i="66" s="1"/>
  <c r="F146" i="66" s="1"/>
  <c r="F145" i="66" s="1"/>
  <c r="F144" i="66" s="1"/>
  <c r="F143" i="66" s="1"/>
  <c r="F142" i="66" s="1"/>
  <c r="F141" i="66" s="1"/>
  <c r="F140" i="66" s="1"/>
  <c r="F139" i="66" s="1"/>
  <c r="F138" i="66" s="1"/>
  <c r="F137" i="66" s="1"/>
  <c r="F136" i="66" s="1"/>
  <c r="F135" i="66" s="1"/>
  <c r="F134" i="66" s="1"/>
  <c r="F133" i="66" s="1"/>
  <c r="F132" i="66" s="1"/>
  <c r="F131" i="66" s="1"/>
  <c r="F130" i="66" s="1"/>
  <c r="F129" i="66" s="1"/>
  <c r="F128" i="66" s="1"/>
  <c r="F127" i="66" s="1"/>
  <c r="F126" i="66" s="1"/>
  <c r="F125" i="66" s="1"/>
  <c r="F124" i="66" s="1"/>
  <c r="F123" i="66" s="1"/>
  <c r="F122" i="66" s="1"/>
  <c r="F121" i="66" s="1"/>
  <c r="F120" i="66" s="1"/>
  <c r="F119" i="66" s="1"/>
  <c r="F118" i="66" s="1"/>
  <c r="F117" i="66" s="1"/>
  <c r="F116" i="66" s="1"/>
  <c r="F115" i="66" s="1"/>
  <c r="F114" i="66" s="1"/>
  <c r="F113" i="66" s="1"/>
  <c r="F112" i="66" s="1"/>
  <c r="F111" i="66" s="1"/>
  <c r="F110" i="66" s="1"/>
  <c r="F109" i="66" s="1"/>
  <c r="F108" i="66" s="1"/>
  <c r="F107" i="66" s="1"/>
  <c r="F106" i="66" s="1"/>
  <c r="F105" i="66" s="1"/>
  <c r="F104" i="66" s="1"/>
  <c r="F103" i="66" s="1"/>
  <c r="F102" i="66" s="1"/>
  <c r="F101" i="66" s="1"/>
  <c r="F100" i="66" s="1"/>
  <c r="F99" i="66" s="1"/>
  <c r="F98" i="66" s="1"/>
  <c r="F97" i="66" s="1"/>
  <c r="F96" i="66" s="1"/>
  <c r="F95" i="66" s="1"/>
  <c r="F94" i="66" s="1"/>
  <c r="F93" i="66" s="1"/>
  <c r="F92" i="66" s="1"/>
  <c r="F91" i="66" s="1"/>
  <c r="F90" i="66" s="1"/>
  <c r="F89" i="66" s="1"/>
  <c r="F88" i="66" s="1"/>
  <c r="F87" i="66" s="1"/>
  <c r="F86" i="66" s="1"/>
  <c r="F85" i="66" s="1"/>
  <c r="F84" i="66" s="1"/>
  <c r="F83" i="66" s="1"/>
  <c r="F82" i="66" s="1"/>
  <c r="F81" i="66" s="1"/>
  <c r="F80" i="66" s="1"/>
  <c r="F79" i="66" s="1"/>
  <c r="F78" i="66" s="1"/>
  <c r="F77" i="66" s="1"/>
  <c r="F76" i="66" s="1"/>
  <c r="F75" i="66" s="1"/>
  <c r="F74" i="66" s="1"/>
  <c r="F73" i="66" s="1"/>
  <c r="F72" i="66" s="1"/>
  <c r="F71" i="66" s="1"/>
  <c r="F70" i="66" s="1"/>
  <c r="F69" i="66" s="1"/>
  <c r="F68" i="66" s="1"/>
  <c r="F67" i="66" s="1"/>
  <c r="F66" i="66" s="1"/>
  <c r="F65" i="66" s="1"/>
  <c r="F64" i="66" s="1"/>
  <c r="F63" i="66" s="1"/>
  <c r="F62" i="66" s="1"/>
  <c r="F61" i="66" s="1"/>
  <c r="F60" i="66" s="1"/>
  <c r="F59" i="66" s="1"/>
  <c r="F58" i="66" s="1"/>
  <c r="F57" i="66" s="1"/>
  <c r="F56" i="66" s="1"/>
  <c r="F55" i="66" s="1"/>
  <c r="F54" i="66" s="1"/>
  <c r="F53" i="66" s="1"/>
  <c r="F52" i="66" s="1"/>
  <c r="F51" i="66" s="1"/>
  <c r="F50" i="66" s="1"/>
  <c r="F49" i="66" s="1"/>
  <c r="F48" i="66" s="1"/>
  <c r="F47" i="66" s="1"/>
  <c r="F46" i="66" s="1"/>
  <c r="F45" i="66" s="1"/>
  <c r="F44" i="66" s="1"/>
  <c r="F43" i="66" s="1"/>
  <c r="F42" i="66" s="1"/>
  <c r="F41" i="66" s="1"/>
  <c r="F40" i="66" s="1"/>
  <c r="F39" i="66" s="1"/>
  <c r="F38" i="66" s="1"/>
  <c r="F37" i="66" s="1"/>
  <c r="F36" i="66" s="1"/>
  <c r="F35" i="66" s="1"/>
  <c r="F34" i="66" s="1"/>
  <c r="F33" i="66" s="1"/>
  <c r="F32" i="66" s="1"/>
  <c r="F31" i="66" s="1"/>
  <c r="F30" i="66" s="1"/>
  <c r="F29" i="66" s="1"/>
  <c r="F28" i="66" s="1"/>
  <c r="F27" i="66" s="1"/>
  <c r="F26" i="66" s="1"/>
  <c r="F25" i="66" s="1"/>
  <c r="F24" i="66" s="1"/>
  <c r="F23" i="66" s="1"/>
  <c r="F22" i="66" s="1"/>
  <c r="F21" i="66" s="1"/>
  <c r="F20" i="66" s="1"/>
  <c r="F19" i="66" s="1"/>
  <c r="F18" i="66" s="1"/>
  <c r="F17" i="66" s="1"/>
  <c r="F16" i="66" s="1"/>
  <c r="F15" i="66" s="1"/>
  <c r="F14" i="66" s="1"/>
  <c r="F13" i="66" s="1"/>
  <c r="F12" i="66" s="1"/>
  <c r="F11" i="66" s="1"/>
  <c r="F10" i="66" s="1"/>
  <c r="F9" i="66" s="1"/>
  <c r="M33" i="66" s="1"/>
  <c r="M32" i="66"/>
  <c r="E192" i="29"/>
  <c r="F192" i="29"/>
  <c r="B192" i="29"/>
  <c r="G192" i="29" s="1"/>
  <c r="H192" i="29"/>
  <c r="K194" i="29"/>
  <c r="C193" i="29"/>
  <c r="N193" i="29" s="1"/>
  <c r="X27" i="66"/>
  <c r="Y27" i="66"/>
  <c r="W27" i="66"/>
  <c r="AQ58" i="66"/>
  <c r="D50" i="63"/>
  <c r="BA51" i="63"/>
  <c r="BB51" i="63"/>
  <c r="F51" i="63" s="1"/>
  <c r="V32" i="66"/>
  <c r="U32" i="66"/>
  <c r="T32" i="66"/>
  <c r="X33" i="66"/>
  <c r="Y33" i="66"/>
  <c r="AP57" i="66"/>
  <c r="U25" i="66"/>
  <c r="V25" i="66"/>
  <c r="AQ66" i="66"/>
  <c r="AP66" i="66"/>
  <c r="I18" i="27"/>
  <c r="J18" i="27" s="1"/>
  <c r="J278" i="28"/>
  <c r="G142" i="28"/>
  <c r="F142" i="28"/>
  <c r="B142" i="28"/>
  <c r="AS144" i="28"/>
  <c r="I142" i="28"/>
  <c r="H142" i="28"/>
  <c r="E142" i="28"/>
  <c r="D142" i="28"/>
  <c r="J232" i="28"/>
  <c r="AU233" i="28"/>
  <c r="J233" i="28" s="1"/>
  <c r="AR145" i="28"/>
  <c r="C144" i="28"/>
  <c r="AR233" i="28"/>
  <c r="C232" i="28"/>
  <c r="G37" i="9"/>
  <c r="E37" i="9"/>
  <c r="F37" i="9"/>
  <c r="A39" i="9"/>
  <c r="AR40" i="9"/>
  <c r="AS40" i="9" s="1"/>
  <c r="B38" i="9"/>
  <c r="B114" i="9" s="1"/>
  <c r="C38" i="9"/>
  <c r="A27" i="10"/>
  <c r="H37" i="9"/>
  <c r="K28" i="10"/>
  <c r="C27" i="10"/>
  <c r="B27" i="10" s="1"/>
  <c r="I37" i="9"/>
  <c r="C113" i="9"/>
  <c r="D37" i="9"/>
  <c r="D19" i="36"/>
  <c r="G20" i="35"/>
  <c r="F20" i="35"/>
  <c r="AC84" i="28"/>
  <c r="H20" i="35"/>
  <c r="D278" i="28"/>
  <c r="B278" i="28"/>
  <c r="E278" i="28"/>
  <c r="I278" i="28"/>
  <c r="H278" i="28"/>
  <c r="AS279" i="28"/>
  <c r="J279" i="28" s="1"/>
  <c r="G278" i="28"/>
  <c r="F278" i="28"/>
  <c r="E20" i="38"/>
  <c r="AT22" i="35"/>
  <c r="A21" i="35"/>
  <c r="L20" i="36"/>
  <c r="C20" i="36" s="1"/>
  <c r="A20" i="36" s="1"/>
  <c r="C280" i="28"/>
  <c r="AU280" i="28" s="1"/>
  <c r="AR282" i="28"/>
  <c r="E20" i="35"/>
  <c r="I20" i="35"/>
  <c r="E19" i="36"/>
  <c r="N24" i="39"/>
  <c r="D24" i="39" s="1"/>
  <c r="A24" i="39" s="1"/>
  <c r="L25" i="39"/>
  <c r="O25" i="39"/>
  <c r="I19" i="37"/>
  <c r="C19" i="37" s="1"/>
  <c r="A19" i="37" s="1"/>
  <c r="D19" i="37" s="1"/>
  <c r="E144" i="28" l="1"/>
  <c r="AG38" i="9"/>
  <c r="U38" i="9"/>
  <c r="AD38" i="9"/>
  <c r="AO38" i="9"/>
  <c r="AC38" i="9"/>
  <c r="Q38" i="9"/>
  <c r="P38" i="9"/>
  <c r="AM38" i="9"/>
  <c r="AA38" i="9"/>
  <c r="O38" i="9"/>
  <c r="AJ38" i="9"/>
  <c r="X38" i="9"/>
  <c r="L38" i="9"/>
  <c r="W38" i="9"/>
  <c r="V38" i="9"/>
  <c r="S38" i="9"/>
  <c r="AI38" i="9"/>
  <c r="K38" i="9"/>
  <c r="AL38" i="9"/>
  <c r="AK38" i="9"/>
  <c r="AF38" i="9"/>
  <c r="AE38" i="9"/>
  <c r="T38" i="9"/>
  <c r="Z38" i="9"/>
  <c r="Y38" i="9"/>
  <c r="N38" i="9"/>
  <c r="AH38" i="9"/>
  <c r="L17" i="27"/>
  <c r="F17" i="27" s="1"/>
  <c r="I18" i="34"/>
  <c r="J18" i="34" s="1"/>
  <c r="C18" i="34" s="1"/>
  <c r="A17" i="34"/>
  <c r="B17" i="34" s="1"/>
  <c r="E17" i="34"/>
  <c r="M17" i="34"/>
  <c r="L17" i="34" s="1"/>
  <c r="F17" i="34" s="1"/>
  <c r="AU144" i="28"/>
  <c r="J144" i="28" s="1"/>
  <c r="AB44" i="76"/>
  <c r="AA52" i="76"/>
  <c r="AA54" i="76" s="1"/>
  <c r="Y50" i="76"/>
  <c r="X49" i="76"/>
  <c r="Z45" i="76"/>
  <c r="Y48" i="76"/>
  <c r="K196" i="29"/>
  <c r="C194" i="29"/>
  <c r="N194" i="29" s="1"/>
  <c r="U33" i="66"/>
  <c r="V33" i="66"/>
  <c r="V24" i="66" s="1"/>
  <c r="T33" i="66"/>
  <c r="X26" i="66"/>
  <c r="Y26" i="66"/>
  <c r="W26" i="66"/>
  <c r="AQ57" i="66"/>
  <c r="AP56" i="66"/>
  <c r="U24" i="66"/>
  <c r="T24" i="66"/>
  <c r="D51" i="63"/>
  <c r="BA52" i="63"/>
  <c r="BB52" i="63"/>
  <c r="F52" i="63" s="1"/>
  <c r="C18" i="27"/>
  <c r="AR146" i="28"/>
  <c r="C145" i="28"/>
  <c r="F143" i="28"/>
  <c r="B143" i="28"/>
  <c r="G143" i="28"/>
  <c r="I143" i="28"/>
  <c r="H143" i="28"/>
  <c r="E143" i="28"/>
  <c r="D143" i="28"/>
  <c r="H144" i="28"/>
  <c r="F144" i="28"/>
  <c r="B144" i="28"/>
  <c r="G144" i="28"/>
  <c r="I144" i="28"/>
  <c r="AS145" i="28"/>
  <c r="C233" i="28"/>
  <c r="AR235" i="28"/>
  <c r="F38" i="9"/>
  <c r="E38" i="9"/>
  <c r="D38" i="9"/>
  <c r="H27" i="10"/>
  <c r="D27" i="10"/>
  <c r="E27" i="10"/>
  <c r="G27" i="10"/>
  <c r="AR41" i="9"/>
  <c r="AS41" i="9" s="1"/>
  <c r="A40" i="9"/>
  <c r="H38" i="9"/>
  <c r="I38" i="9"/>
  <c r="C114" i="9"/>
  <c r="I28" i="10"/>
  <c r="L28" i="10"/>
  <c r="F28" i="10"/>
  <c r="C39" i="9"/>
  <c r="B39" i="9"/>
  <c r="G39" i="9" s="1"/>
  <c r="G38" i="9"/>
  <c r="M21" i="36"/>
  <c r="K21" i="36" s="1"/>
  <c r="L21" i="36" s="1"/>
  <c r="C21" i="36" s="1"/>
  <c r="A21" i="36" s="1"/>
  <c r="H20" i="36"/>
  <c r="G20" i="36"/>
  <c r="B20" i="36"/>
  <c r="I20" i="36" s="1"/>
  <c r="F20" i="36"/>
  <c r="I279" i="28"/>
  <c r="H279" i="28"/>
  <c r="D279" i="28"/>
  <c r="AS280" i="28"/>
  <c r="E279" i="28"/>
  <c r="B279" i="28"/>
  <c r="G279" i="28"/>
  <c r="F279" i="28"/>
  <c r="AD84" i="28"/>
  <c r="AR283" i="28"/>
  <c r="C282" i="28"/>
  <c r="AU282" i="28" s="1"/>
  <c r="J282" i="28" s="1"/>
  <c r="AU20" i="38"/>
  <c r="D20" i="38" s="1"/>
  <c r="AV21" i="38"/>
  <c r="AS21" i="38"/>
  <c r="B21" i="35"/>
  <c r="AR22" i="35"/>
  <c r="H20" i="37"/>
  <c r="M25" i="39"/>
  <c r="C25" i="39" s="1"/>
  <c r="J21" i="35"/>
  <c r="J20" i="38" l="1"/>
  <c r="A20" i="38" s="1"/>
  <c r="AK39" i="9"/>
  <c r="Y39" i="9"/>
  <c r="AH39" i="9"/>
  <c r="V39" i="9"/>
  <c r="AG39" i="9"/>
  <c r="U39" i="9"/>
  <c r="AF39" i="9"/>
  <c r="T39" i="9"/>
  <c r="AE39" i="9"/>
  <c r="S39" i="9"/>
  <c r="P39" i="9"/>
  <c r="AM39" i="9"/>
  <c r="O39" i="9"/>
  <c r="AL39" i="9"/>
  <c r="N39" i="9"/>
  <c r="AI39" i="9"/>
  <c r="K39" i="9"/>
  <c r="AA39" i="9"/>
  <c r="L39" i="9"/>
  <c r="AJ39" i="9"/>
  <c r="AD39" i="9"/>
  <c r="AC39" i="9"/>
  <c r="Z39" i="9"/>
  <c r="X39" i="9"/>
  <c r="Q39" i="9"/>
  <c r="W39" i="9"/>
  <c r="AO39" i="9"/>
  <c r="Y49" i="76"/>
  <c r="M18" i="27"/>
  <c r="P18" i="27"/>
  <c r="N18" i="27"/>
  <c r="O18" i="27"/>
  <c r="I19" i="27"/>
  <c r="J19" i="27" s="1"/>
  <c r="C19" i="27" s="1"/>
  <c r="D17" i="34"/>
  <c r="E18" i="34"/>
  <c r="A18" i="34"/>
  <c r="M18" i="34"/>
  <c r="N18" i="34"/>
  <c r="I19" i="34"/>
  <c r="J19" i="34" s="1"/>
  <c r="AU145" i="28"/>
  <c r="J145" i="28" s="1"/>
  <c r="E145" i="28"/>
  <c r="I21" i="35"/>
  <c r="AA53" i="76"/>
  <c r="AB54" i="76"/>
  <c r="AB52" i="76"/>
  <c r="AC44" i="76"/>
  <c r="Z48" i="76"/>
  <c r="Z50" i="76" s="1"/>
  <c r="Z49" i="76" s="1"/>
  <c r="AA45" i="76"/>
  <c r="K197" i="29"/>
  <c r="C196" i="29"/>
  <c r="A18" i="27"/>
  <c r="D18" i="27" s="1"/>
  <c r="BA53" i="63"/>
  <c r="D52" i="63"/>
  <c r="BB53" i="63"/>
  <c r="F53" i="63" s="1"/>
  <c r="AP55" i="66"/>
  <c r="U23" i="66"/>
  <c r="V23" i="66"/>
  <c r="X25" i="66"/>
  <c r="Y25" i="66"/>
  <c r="W25" i="66"/>
  <c r="AQ56" i="66"/>
  <c r="T25" i="66"/>
  <c r="T23" i="66"/>
  <c r="A28" i="10"/>
  <c r="AR236" i="28"/>
  <c r="C235" i="28"/>
  <c r="AU235" i="28" s="1"/>
  <c r="I145" i="28"/>
  <c r="H145" i="28"/>
  <c r="G145" i="28"/>
  <c r="F145" i="28"/>
  <c r="AS146" i="28"/>
  <c r="B145" i="28"/>
  <c r="AR147" i="28"/>
  <c r="C147" i="28" s="1"/>
  <c r="AU147" i="28" s="1"/>
  <c r="AR148" i="28"/>
  <c r="C146" i="28"/>
  <c r="AU146" i="28" s="1"/>
  <c r="H39" i="9"/>
  <c r="D39" i="9"/>
  <c r="E39" i="9"/>
  <c r="F39" i="9"/>
  <c r="B40" i="9"/>
  <c r="D40" i="9" s="1"/>
  <c r="C40" i="9"/>
  <c r="C28" i="10"/>
  <c r="B28" i="10" s="1"/>
  <c r="K29" i="10"/>
  <c r="AR42" i="9"/>
  <c r="AS42" i="9" s="1"/>
  <c r="A41" i="9"/>
  <c r="I39" i="9"/>
  <c r="E20" i="36"/>
  <c r="F21" i="35"/>
  <c r="D20" i="36"/>
  <c r="M22" i="36"/>
  <c r="K22" i="36" s="1"/>
  <c r="AE84" i="28"/>
  <c r="F21" i="36"/>
  <c r="H21" i="36"/>
  <c r="B21" i="36"/>
  <c r="I21" i="36" s="1"/>
  <c r="G21" i="36"/>
  <c r="H280" i="28"/>
  <c r="G280" i="28"/>
  <c r="F280" i="28"/>
  <c r="D280" i="28"/>
  <c r="E280" i="28"/>
  <c r="I280" i="28"/>
  <c r="B280" i="28"/>
  <c r="D21" i="35"/>
  <c r="AT21" i="38"/>
  <c r="C21" i="38" s="1"/>
  <c r="J280" i="28"/>
  <c r="AS22" i="35"/>
  <c r="C22" i="35" s="1"/>
  <c r="H21" i="35"/>
  <c r="E21" i="35"/>
  <c r="AR284" i="28"/>
  <c r="C283" i="28"/>
  <c r="AU283" i="28" s="1"/>
  <c r="AS283" i="28"/>
  <c r="G21" i="35"/>
  <c r="N25" i="39"/>
  <c r="D25" i="39" s="1"/>
  <c r="A25" i="39" s="1"/>
  <c r="O26" i="39"/>
  <c r="L26" i="39"/>
  <c r="I20" i="37"/>
  <c r="C20" i="37" s="1"/>
  <c r="A20" i="37" s="1"/>
  <c r="D20" i="37" s="1"/>
  <c r="AE40" i="9" l="1"/>
  <c r="S40" i="9"/>
  <c r="AO40" i="9"/>
  <c r="AC40" i="9"/>
  <c r="Q40" i="9"/>
  <c r="AL40" i="9"/>
  <c r="Z40" i="9"/>
  <c r="N40" i="9"/>
  <c r="AK40" i="9"/>
  <c r="Y40" i="9"/>
  <c r="AJ40" i="9"/>
  <c r="X40" i="9"/>
  <c r="L40" i="9"/>
  <c r="AI40" i="9"/>
  <c r="W40" i="9"/>
  <c r="K40" i="9"/>
  <c r="AF40" i="9"/>
  <c r="T40" i="9"/>
  <c r="AM40" i="9"/>
  <c r="AH40" i="9"/>
  <c r="AD40" i="9"/>
  <c r="U40" i="9"/>
  <c r="V40" i="9"/>
  <c r="O40" i="9"/>
  <c r="AG40" i="9"/>
  <c r="P40" i="9"/>
  <c r="AA40" i="9"/>
  <c r="AB53" i="76"/>
  <c r="L18" i="27"/>
  <c r="F18" i="27" s="1"/>
  <c r="A19" i="27"/>
  <c r="D19" i="27" s="1"/>
  <c r="M19" i="27"/>
  <c r="N19" i="27"/>
  <c r="O19" i="27"/>
  <c r="P19" i="27"/>
  <c r="I20" i="27"/>
  <c r="J20" i="27" s="1"/>
  <c r="C19" i="34"/>
  <c r="I20" i="34" s="1"/>
  <c r="J20" i="34" s="1"/>
  <c r="L18" i="34"/>
  <c r="F18" i="34" s="1"/>
  <c r="B18" i="34"/>
  <c r="D18" i="34"/>
  <c r="AA48" i="76"/>
  <c r="AA50" i="76" s="1"/>
  <c r="AA49" i="76" s="1"/>
  <c r="AB45" i="76"/>
  <c r="AC52" i="76"/>
  <c r="AC54" i="76" s="1"/>
  <c r="AC53" i="76" s="1"/>
  <c r="AD44" i="76"/>
  <c r="G28" i="10"/>
  <c r="N196" i="29"/>
  <c r="D196" i="29" s="1"/>
  <c r="E196" i="29"/>
  <c r="C197" i="29"/>
  <c r="K198" i="29"/>
  <c r="X24" i="66"/>
  <c r="Y24" i="66"/>
  <c r="W24" i="66"/>
  <c r="AQ55" i="66"/>
  <c r="BA54" i="63"/>
  <c r="D53" i="63"/>
  <c r="BB54" i="63"/>
  <c r="F54" i="63" s="1"/>
  <c r="AP54" i="66"/>
  <c r="V22" i="66"/>
  <c r="U22" i="66"/>
  <c r="T22" i="66"/>
  <c r="J283" i="28"/>
  <c r="G146" i="28"/>
  <c r="D146" i="28"/>
  <c r="I146" i="28"/>
  <c r="H146" i="28"/>
  <c r="B146" i="28"/>
  <c r="AS147" i="28"/>
  <c r="E146" i="28"/>
  <c r="F146" i="28"/>
  <c r="J235" i="28"/>
  <c r="AU237" i="28"/>
  <c r="AR150" i="28"/>
  <c r="C148" i="28"/>
  <c r="AU148" i="28" s="1"/>
  <c r="AR237" i="28"/>
  <c r="C236" i="28"/>
  <c r="AU236" i="28" s="1"/>
  <c r="J236" i="28" s="1"/>
  <c r="G40" i="9"/>
  <c r="H40" i="9"/>
  <c r="F40" i="9"/>
  <c r="H28" i="10"/>
  <c r="D28" i="10"/>
  <c r="E28" i="10"/>
  <c r="E40" i="9"/>
  <c r="I40" i="9"/>
  <c r="B41" i="9"/>
  <c r="G41" i="9" s="1"/>
  <c r="C41" i="9"/>
  <c r="A42" i="9"/>
  <c r="AR43" i="9"/>
  <c r="AS43" i="9" s="1"/>
  <c r="F29" i="10"/>
  <c r="L29" i="10"/>
  <c r="I29" i="10"/>
  <c r="E21" i="38"/>
  <c r="E21" i="36"/>
  <c r="AT23" i="35"/>
  <c r="AR23" i="35" s="1"/>
  <c r="AS23" i="35" s="1"/>
  <c r="C23" i="35" s="1"/>
  <c r="D21" i="36"/>
  <c r="AF84" i="28"/>
  <c r="L22" i="36"/>
  <c r="C22" i="36" s="1"/>
  <c r="A22" i="36" s="1"/>
  <c r="A22" i="35"/>
  <c r="AS284" i="28"/>
  <c r="AR285" i="28"/>
  <c r="C284" i="28"/>
  <c r="AU284" i="28" s="1"/>
  <c r="AR286" i="28"/>
  <c r="D283" i="28"/>
  <c r="B283" i="28"/>
  <c r="I283" i="28"/>
  <c r="H283" i="28"/>
  <c r="G283" i="28"/>
  <c r="F283" i="28"/>
  <c r="E283" i="28"/>
  <c r="M26" i="39"/>
  <c r="C26" i="39" s="1"/>
  <c r="H21" i="37"/>
  <c r="AS22" i="38" l="1"/>
  <c r="AT22" i="38" s="1"/>
  <c r="C22" i="38" s="1"/>
  <c r="AI41" i="9"/>
  <c r="AI17" i="92" s="1"/>
  <c r="W41" i="9"/>
  <c r="W17" i="92" s="1"/>
  <c r="K41" i="9"/>
  <c r="K17" i="92" s="1"/>
  <c r="AG41" i="9"/>
  <c r="AG17" i="92" s="1"/>
  <c r="U41" i="9"/>
  <c r="U17" i="92" s="1"/>
  <c r="AF41" i="9"/>
  <c r="AF17" i="92" s="1"/>
  <c r="T41" i="9"/>
  <c r="T17" i="92" s="1"/>
  <c r="AD41" i="9"/>
  <c r="AD17" i="92" s="1"/>
  <c r="AO41" i="9"/>
  <c r="AO17" i="92" s="1"/>
  <c r="AC41" i="9"/>
  <c r="AC17" i="92" s="1"/>
  <c r="Q41" i="9"/>
  <c r="Q17" i="92" s="1"/>
  <c r="P41" i="9"/>
  <c r="P17" i="92" s="1"/>
  <c r="AM41" i="9"/>
  <c r="AM17" i="92" s="1"/>
  <c r="AA41" i="9"/>
  <c r="AA17" i="92" s="1"/>
  <c r="O41" i="9"/>
  <c r="O17" i="92" s="1"/>
  <c r="AJ41" i="9"/>
  <c r="AJ17" i="92" s="1"/>
  <c r="X41" i="9"/>
  <c r="X17" i="92" s="1"/>
  <c r="L41" i="9"/>
  <c r="L17" i="92" s="1"/>
  <c r="AL41" i="9"/>
  <c r="AL17" i="92" s="1"/>
  <c r="AH41" i="9"/>
  <c r="AH17" i="92" s="1"/>
  <c r="Y41" i="9"/>
  <c r="Y17" i="92" s="1"/>
  <c r="AE41" i="9"/>
  <c r="AE17" i="92" s="1"/>
  <c r="Z41" i="9"/>
  <c r="Z17" i="92" s="1"/>
  <c r="S41" i="9"/>
  <c r="S17" i="92" s="1"/>
  <c r="N41" i="9"/>
  <c r="N17" i="92" s="1"/>
  <c r="AK41" i="9"/>
  <c r="AK17" i="92" s="1"/>
  <c r="V41" i="9"/>
  <c r="V17" i="92" s="1"/>
  <c r="L19" i="27"/>
  <c r="F19" i="27" s="1"/>
  <c r="C20" i="27"/>
  <c r="C20" i="34"/>
  <c r="I21" i="34" s="1"/>
  <c r="A19" i="34"/>
  <c r="E19" i="34"/>
  <c r="N19" i="34"/>
  <c r="M19" i="34"/>
  <c r="A29" i="10"/>
  <c r="AE44" i="76"/>
  <c r="AD52" i="76"/>
  <c r="AD54" i="76" s="1"/>
  <c r="AC45" i="76"/>
  <c r="AB48" i="76"/>
  <c r="AB50" i="76" s="1"/>
  <c r="AB49" i="76" s="1"/>
  <c r="K199" i="29"/>
  <c r="C198" i="29"/>
  <c r="N197" i="29"/>
  <c r="D197" i="29" s="1"/>
  <c r="E197" i="29"/>
  <c r="AP53" i="66"/>
  <c r="T21" i="66"/>
  <c r="V21" i="66"/>
  <c r="U21" i="66"/>
  <c r="D54" i="63"/>
  <c r="BA55" i="63"/>
  <c r="BB55" i="63"/>
  <c r="F55" i="63" s="1"/>
  <c r="X23" i="66"/>
  <c r="Y23" i="66"/>
  <c r="W23" i="66"/>
  <c r="AQ54" i="66"/>
  <c r="AR151" i="28"/>
  <c r="AS151" i="28" s="1"/>
  <c r="C150" i="28"/>
  <c r="AU150" i="28" s="1"/>
  <c r="AU238" i="28"/>
  <c r="J237" i="28"/>
  <c r="F147" i="28"/>
  <c r="E147" i="28"/>
  <c r="D147" i="28"/>
  <c r="AS148" i="28"/>
  <c r="H147" i="28"/>
  <c r="B147" i="28"/>
  <c r="G147" i="28"/>
  <c r="I147" i="28"/>
  <c r="AR238" i="28"/>
  <c r="C237" i="28"/>
  <c r="F41" i="9"/>
  <c r="E41" i="9"/>
  <c r="D41" i="9"/>
  <c r="AR44" i="9"/>
  <c r="AS44" i="9" s="1"/>
  <c r="A43" i="9"/>
  <c r="B42" i="9"/>
  <c r="D42" i="9" s="1"/>
  <c r="C42" i="9"/>
  <c r="H41" i="9"/>
  <c r="I41" i="9"/>
  <c r="K30" i="10"/>
  <c r="C29" i="10"/>
  <c r="B29" i="10" s="1"/>
  <c r="AV22" i="38"/>
  <c r="AU21" i="38"/>
  <c r="D21" i="38" s="1"/>
  <c r="AT24" i="35"/>
  <c r="AR24" i="35" s="1"/>
  <c r="AS24" i="35" s="1"/>
  <c r="C24" i="35" s="1"/>
  <c r="M23" i="36"/>
  <c r="K23" i="36" s="1"/>
  <c r="L23" i="36" s="1"/>
  <c r="C23" i="36" s="1"/>
  <c r="A23" i="36" s="1"/>
  <c r="I284" i="28"/>
  <c r="H284" i="28"/>
  <c r="D284" i="28"/>
  <c r="E284" i="28"/>
  <c r="G284" i="28"/>
  <c r="F284" i="28"/>
  <c r="B284" i="28"/>
  <c r="B22" i="36"/>
  <c r="I22" i="36" s="1"/>
  <c r="F22" i="36"/>
  <c r="G22" i="36"/>
  <c r="H22" i="36"/>
  <c r="B22" i="35"/>
  <c r="AS285" i="28"/>
  <c r="AS286" i="28" s="1"/>
  <c r="C285" i="28"/>
  <c r="AU285" i="28" s="1"/>
  <c r="AR287" i="28"/>
  <c r="C286" i="28"/>
  <c r="AU286" i="28" s="1"/>
  <c r="AR288" i="28"/>
  <c r="A23" i="35"/>
  <c r="AH84" i="28"/>
  <c r="AG84" i="28"/>
  <c r="J284" i="28"/>
  <c r="N26" i="39"/>
  <c r="D26" i="39" s="1"/>
  <c r="A26" i="39" s="1"/>
  <c r="L27" i="39"/>
  <c r="O27" i="39"/>
  <c r="I21" i="37"/>
  <c r="J22" i="35"/>
  <c r="E22" i="38" l="1"/>
  <c r="AU22" i="38" s="1"/>
  <c r="D22" i="38" s="1"/>
  <c r="J21" i="38"/>
  <c r="A21" i="38" s="1"/>
  <c r="AM42" i="9"/>
  <c r="AA42" i="9"/>
  <c r="O42" i="9"/>
  <c r="AK42" i="9"/>
  <c r="Y42" i="9"/>
  <c r="AJ42" i="9"/>
  <c r="X42" i="9"/>
  <c r="L42" i="9"/>
  <c r="AH42" i="9"/>
  <c r="V42" i="9"/>
  <c r="AG42" i="9"/>
  <c r="U42" i="9"/>
  <c r="AF42" i="9"/>
  <c r="T42" i="9"/>
  <c r="AE42" i="9"/>
  <c r="S42" i="9"/>
  <c r="P42" i="9"/>
  <c r="K42" i="9"/>
  <c r="AL42" i="9"/>
  <c r="AC42" i="9"/>
  <c r="Q42" i="9"/>
  <c r="AO42" i="9"/>
  <c r="N42" i="9"/>
  <c r="AI42" i="9"/>
  <c r="W42" i="9"/>
  <c r="AD42" i="9"/>
  <c r="Z42" i="9"/>
  <c r="M20" i="27"/>
  <c r="N20" i="27"/>
  <c r="O20" i="27"/>
  <c r="P20" i="27"/>
  <c r="A20" i="27"/>
  <c r="D20" i="27" s="1"/>
  <c r="I21" i="27"/>
  <c r="J21" i="27" s="1"/>
  <c r="C21" i="27" s="1"/>
  <c r="L19" i="34"/>
  <c r="F19" i="34" s="1"/>
  <c r="J21" i="34"/>
  <c r="C21" i="34" s="1"/>
  <c r="D19" i="34"/>
  <c r="B19" i="34"/>
  <c r="E20" i="34"/>
  <c r="M20" i="34"/>
  <c r="N20" i="34"/>
  <c r="A20" i="34"/>
  <c r="D29" i="10"/>
  <c r="F22" i="35"/>
  <c r="AC48" i="76"/>
  <c r="AC50" i="76" s="1"/>
  <c r="AC49" i="76" s="1"/>
  <c r="AD45" i="76"/>
  <c r="AE54" i="76"/>
  <c r="AD53" i="76"/>
  <c r="AF44" i="76"/>
  <c r="AE52" i="76"/>
  <c r="K200" i="29"/>
  <c r="C199" i="29"/>
  <c r="N198" i="29"/>
  <c r="D198" i="29" s="1"/>
  <c r="E198" i="29"/>
  <c r="X22" i="66"/>
  <c r="Y22" i="66"/>
  <c r="W22" i="66"/>
  <c r="AQ53" i="66"/>
  <c r="D55" i="63"/>
  <c r="BA56" i="63"/>
  <c r="BB56" i="63"/>
  <c r="F56" i="63" s="1"/>
  <c r="AP52" i="66"/>
  <c r="T20" i="66"/>
  <c r="V20" i="66"/>
  <c r="U20" i="66"/>
  <c r="J285" i="28"/>
  <c r="D148" i="28"/>
  <c r="H148" i="28"/>
  <c r="G148" i="28"/>
  <c r="F148" i="28"/>
  <c r="B148" i="28"/>
  <c r="E148" i="28"/>
  <c r="I148" i="28"/>
  <c r="J148" i="28"/>
  <c r="AU239" i="28"/>
  <c r="J238" i="28"/>
  <c r="AR239" i="28"/>
  <c r="C238" i="28"/>
  <c r="C151" i="28"/>
  <c r="AU151" i="28" s="1"/>
  <c r="AR152" i="28"/>
  <c r="AS152" i="28" s="1"/>
  <c r="E42" i="9"/>
  <c r="G42" i="9"/>
  <c r="F42" i="9"/>
  <c r="G29" i="10"/>
  <c r="H42" i="9"/>
  <c r="I42" i="9"/>
  <c r="I30" i="10"/>
  <c r="L30" i="10"/>
  <c r="F30" i="10"/>
  <c r="H29" i="10"/>
  <c r="E29" i="10"/>
  <c r="C43" i="9"/>
  <c r="B43" i="9"/>
  <c r="F43" i="9" s="1"/>
  <c r="AR45" i="9"/>
  <c r="AS45" i="9" s="1"/>
  <c r="A44" i="9"/>
  <c r="D22" i="36"/>
  <c r="E22" i="36"/>
  <c r="I22" i="35"/>
  <c r="E22" i="35"/>
  <c r="G22" i="35"/>
  <c r="H23" i="36"/>
  <c r="G23" i="36"/>
  <c r="F23" i="36"/>
  <c r="B23" i="36"/>
  <c r="I23" i="36" s="1"/>
  <c r="H22" i="35"/>
  <c r="C287" i="28"/>
  <c r="AS287" i="28"/>
  <c r="AS288" i="28" s="1"/>
  <c r="AT25" i="35"/>
  <c r="A24" i="35"/>
  <c r="B23" i="35"/>
  <c r="G285" i="28"/>
  <c r="F285" i="28"/>
  <c r="B285" i="28"/>
  <c r="I285" i="28"/>
  <c r="H285" i="28"/>
  <c r="E285" i="28"/>
  <c r="D285" i="28"/>
  <c r="D22" i="35"/>
  <c r="AU287" i="28"/>
  <c r="J286" i="28"/>
  <c r="H286" i="28"/>
  <c r="B286" i="28"/>
  <c r="F286" i="28"/>
  <c r="E286" i="28"/>
  <c r="D286" i="28"/>
  <c r="I286" i="28"/>
  <c r="G286" i="28"/>
  <c r="AR289" i="28"/>
  <c r="C288" i="28"/>
  <c r="M24" i="36"/>
  <c r="K24" i="36" s="1"/>
  <c r="L24" i="36" s="1"/>
  <c r="C24" i="36" s="1"/>
  <c r="A24" i="36" s="1"/>
  <c r="B24" i="36" s="1"/>
  <c r="I24" i="36" s="1"/>
  <c r="C21" i="37"/>
  <c r="A21" i="37" s="1"/>
  <c r="D21" i="37" s="1"/>
  <c r="M27" i="39"/>
  <c r="C27" i="39" s="1"/>
  <c r="J23" i="35"/>
  <c r="AS23" i="38" l="1"/>
  <c r="AT23" i="38" s="1"/>
  <c r="C23" i="38" s="1"/>
  <c r="AV23" i="38"/>
  <c r="J22" i="38"/>
  <c r="A22" i="38" s="1"/>
  <c r="AE43" i="9"/>
  <c r="S43" i="9"/>
  <c r="AO43" i="9"/>
  <c r="AC43" i="9"/>
  <c r="Q43" i="9"/>
  <c r="P43" i="9"/>
  <c r="AL43" i="9"/>
  <c r="Z43" i="9"/>
  <c r="N43" i="9"/>
  <c r="AK43" i="9"/>
  <c r="Y43" i="9"/>
  <c r="AJ43" i="9"/>
  <c r="X43" i="9"/>
  <c r="L43" i="9"/>
  <c r="AI43" i="9"/>
  <c r="W43" i="9"/>
  <c r="K43" i="9"/>
  <c r="AF43" i="9"/>
  <c r="T43" i="9"/>
  <c r="O43" i="9"/>
  <c r="AG43" i="9"/>
  <c r="AH43" i="9"/>
  <c r="AA43" i="9"/>
  <c r="V43" i="9"/>
  <c r="U43" i="9"/>
  <c r="AM43" i="9"/>
  <c r="AD43" i="9"/>
  <c r="L20" i="27"/>
  <c r="F20" i="27" s="1"/>
  <c r="P21" i="27"/>
  <c r="M21" i="27"/>
  <c r="N21" i="27"/>
  <c r="O21" i="27"/>
  <c r="A21" i="27"/>
  <c r="D21" i="27" s="1"/>
  <c r="I22" i="27"/>
  <c r="J22" i="27" s="1"/>
  <c r="C22" i="27" s="1"/>
  <c r="A22" i="27" s="1"/>
  <c r="D22" i="27" s="1"/>
  <c r="N21" i="34"/>
  <c r="A21" i="34"/>
  <c r="D21" i="34" s="1"/>
  <c r="M21" i="34"/>
  <c r="E21" i="34"/>
  <c r="I22" i="34"/>
  <c r="J22" i="34" s="1"/>
  <c r="C22" i="34" s="1"/>
  <c r="M22" i="34" s="1"/>
  <c r="L20" i="34"/>
  <c r="F20" i="34" s="1"/>
  <c r="D20" i="34"/>
  <c r="B20" i="34"/>
  <c r="E23" i="35"/>
  <c r="AG44" i="76"/>
  <c r="AF52" i="76"/>
  <c r="AF54" i="76" s="1"/>
  <c r="AF53" i="76" s="1"/>
  <c r="AE53" i="76"/>
  <c r="AE45" i="76"/>
  <c r="AD48" i="76"/>
  <c r="AD50" i="76" s="1"/>
  <c r="AD49" i="76" s="1"/>
  <c r="J151" i="28"/>
  <c r="J287" i="28"/>
  <c r="C200" i="29"/>
  <c r="K201" i="29"/>
  <c r="A30" i="10"/>
  <c r="E199" i="29"/>
  <c r="N199" i="29"/>
  <c r="D199" i="29" s="1"/>
  <c r="X21" i="66"/>
  <c r="Y21" i="66"/>
  <c r="W21" i="66"/>
  <c r="AQ52" i="66"/>
  <c r="AP51" i="66"/>
  <c r="U19" i="66"/>
  <c r="T19" i="66"/>
  <c r="V19" i="66"/>
  <c r="BA57" i="63"/>
  <c r="D56" i="63"/>
  <c r="BB57" i="63"/>
  <c r="F57" i="63" s="1"/>
  <c r="J239" i="28"/>
  <c r="AU240" i="28"/>
  <c r="J240" i="28" s="1"/>
  <c r="E151" i="28"/>
  <c r="I151" i="28"/>
  <c r="H151" i="28"/>
  <c r="G151" i="28"/>
  <c r="B151" i="28"/>
  <c r="D151" i="28"/>
  <c r="F151" i="28"/>
  <c r="AR240" i="28"/>
  <c r="C239" i="28"/>
  <c r="AR154" i="28"/>
  <c r="AR153" i="28"/>
  <c r="AS153" i="28" s="1"/>
  <c r="AS154" i="28" s="1"/>
  <c r="C152" i="28"/>
  <c r="AU152" i="28" s="1"/>
  <c r="G43" i="9"/>
  <c r="E43" i="9"/>
  <c r="D43" i="9"/>
  <c r="I43" i="9"/>
  <c r="E44" i="9"/>
  <c r="H44" i="9"/>
  <c r="F44" i="9"/>
  <c r="C44" i="9"/>
  <c r="B44" i="9"/>
  <c r="D44" i="9"/>
  <c r="G44" i="9"/>
  <c r="AR46" i="9"/>
  <c r="AS46" i="9" s="1"/>
  <c r="A45" i="9"/>
  <c r="H43" i="9"/>
  <c r="K31" i="10"/>
  <c r="C30" i="10"/>
  <c r="B30" i="10" s="1"/>
  <c r="D23" i="35"/>
  <c r="G23" i="35"/>
  <c r="F23" i="35"/>
  <c r="G24" i="36"/>
  <c r="E288" i="28"/>
  <c r="AU288" i="28"/>
  <c r="H23" i="35"/>
  <c r="H24" i="36"/>
  <c r="F24" i="36"/>
  <c r="B24" i="35"/>
  <c r="C289" i="28"/>
  <c r="AU289" i="28" s="1"/>
  <c r="AR290" i="28"/>
  <c r="AR291" i="28"/>
  <c r="AR25" i="35"/>
  <c r="D23" i="36"/>
  <c r="M25" i="36"/>
  <c r="K25" i="36" s="1"/>
  <c r="F288" i="28"/>
  <c r="AS289" i="28"/>
  <c r="AS290" i="28" s="1"/>
  <c r="H288" i="28"/>
  <c r="I288" i="28"/>
  <c r="G288" i="28"/>
  <c r="B288" i="28"/>
  <c r="I23" i="35"/>
  <c r="B287" i="28"/>
  <c r="I287" i="28"/>
  <c r="H287" i="28"/>
  <c r="G287" i="28"/>
  <c r="D287" i="28"/>
  <c r="F287" i="28"/>
  <c r="E287" i="28"/>
  <c r="E23" i="36"/>
  <c r="N27" i="39"/>
  <c r="D27" i="39" s="1"/>
  <c r="A27" i="39" s="1"/>
  <c r="O28" i="39"/>
  <c r="L28" i="39"/>
  <c r="E24" i="36"/>
  <c r="D24" i="36"/>
  <c r="H22" i="37"/>
  <c r="J24" i="35"/>
  <c r="E23" i="38" l="1"/>
  <c r="AS24" i="38" s="1"/>
  <c r="AT24" i="38" s="1"/>
  <c r="E24" i="38" s="1"/>
  <c r="AI44" i="9"/>
  <c r="W44" i="9"/>
  <c r="K44" i="9"/>
  <c r="AG44" i="9"/>
  <c r="U44" i="9"/>
  <c r="AF44" i="9"/>
  <c r="T44" i="9"/>
  <c r="AD44" i="9"/>
  <c r="R44" i="9"/>
  <c r="AO44" i="9"/>
  <c r="AC44" i="9"/>
  <c r="Q44" i="9"/>
  <c r="AN44" i="9"/>
  <c r="AB44" i="9"/>
  <c r="P44" i="9"/>
  <c r="AM44" i="9"/>
  <c r="AA44" i="9"/>
  <c r="O44" i="9"/>
  <c r="AJ44" i="9"/>
  <c r="X44" i="9"/>
  <c r="L44" i="9"/>
  <c r="S44" i="9"/>
  <c r="N44" i="9"/>
  <c r="J44" i="9"/>
  <c r="AK44" i="9"/>
  <c r="AL44" i="9"/>
  <c r="AE44" i="9"/>
  <c r="M44" i="9"/>
  <c r="Z44" i="9"/>
  <c r="Y44" i="9"/>
  <c r="V44" i="9"/>
  <c r="AH44" i="9"/>
  <c r="L21" i="27"/>
  <c r="F21" i="27" s="1"/>
  <c r="M22" i="27"/>
  <c r="N22" i="27"/>
  <c r="O22" i="27"/>
  <c r="P22" i="27"/>
  <c r="I23" i="27"/>
  <c r="J23" i="27" s="1"/>
  <c r="C23" i="27" s="1"/>
  <c r="A23" i="27" s="1"/>
  <c r="D23" i="27" s="1"/>
  <c r="A22" i="34"/>
  <c r="B22" i="34" s="1"/>
  <c r="E22" i="34"/>
  <c r="I23" i="34"/>
  <c r="J23" i="34" s="1"/>
  <c r="L21" i="34"/>
  <c r="F21" i="34" s="1"/>
  <c r="N22" i="34"/>
  <c r="L22" i="34" s="1"/>
  <c r="F22" i="34" s="1"/>
  <c r="B21" i="34"/>
  <c r="E24" i="35"/>
  <c r="AH44" i="76"/>
  <c r="AG52" i="76"/>
  <c r="AG54" i="76" s="1"/>
  <c r="AF45" i="76"/>
  <c r="AE48" i="76"/>
  <c r="AE50" i="76" s="1"/>
  <c r="AE49" i="76" s="1"/>
  <c r="D30" i="10"/>
  <c r="J289" i="28"/>
  <c r="K202" i="29"/>
  <c r="C201" i="29"/>
  <c r="N200" i="29"/>
  <c r="D200" i="29" s="1"/>
  <c r="E200" i="29"/>
  <c r="D57" i="63"/>
  <c r="BA58" i="63"/>
  <c r="BB58" i="63"/>
  <c r="F58" i="63" s="1"/>
  <c r="AP50" i="66"/>
  <c r="V18" i="66"/>
  <c r="U18" i="66"/>
  <c r="T18" i="66"/>
  <c r="Y20" i="66"/>
  <c r="X20" i="66"/>
  <c r="W20" i="66"/>
  <c r="AQ51" i="66"/>
  <c r="J152" i="28"/>
  <c r="H152" i="28"/>
  <c r="G152" i="28"/>
  <c r="I152" i="28"/>
  <c r="F152" i="28"/>
  <c r="E152" i="28"/>
  <c r="D152" i="28"/>
  <c r="B152" i="28"/>
  <c r="C153" i="28"/>
  <c r="AU153" i="28" s="1"/>
  <c r="C240" i="28"/>
  <c r="AR242" i="28"/>
  <c r="AR155" i="28"/>
  <c r="AS155" i="28" s="1"/>
  <c r="C154" i="28"/>
  <c r="AU154" i="28" s="1"/>
  <c r="H30" i="10"/>
  <c r="A46" i="9"/>
  <c r="AR47" i="9"/>
  <c r="AS47" i="9" s="1"/>
  <c r="F31" i="10"/>
  <c r="I31" i="10"/>
  <c r="L31" i="10"/>
  <c r="I44" i="9"/>
  <c r="G30" i="10"/>
  <c r="E30" i="10"/>
  <c r="C45" i="9"/>
  <c r="B45" i="9"/>
  <c r="F45" i="9" s="1"/>
  <c r="F24" i="35"/>
  <c r="I24" i="35"/>
  <c r="H24" i="35"/>
  <c r="D288" i="28"/>
  <c r="J288" i="28"/>
  <c r="I289" i="28"/>
  <c r="H289" i="28"/>
  <c r="G289" i="28"/>
  <c r="B289" i="28"/>
  <c r="F289" i="28"/>
  <c r="E289" i="28"/>
  <c r="D289" i="28"/>
  <c r="D24" i="35"/>
  <c r="C291" i="28"/>
  <c r="AU291" i="28" s="1"/>
  <c r="AR293" i="28"/>
  <c r="AS25" i="35"/>
  <c r="C25" i="35" s="1"/>
  <c r="AT26" i="35" s="1"/>
  <c r="AR292" i="28"/>
  <c r="C290" i="28"/>
  <c r="G24" i="35"/>
  <c r="L25" i="36"/>
  <c r="C25" i="36" s="1"/>
  <c r="A25" i="36" s="1"/>
  <c r="I22" i="37"/>
  <c r="M28" i="39"/>
  <c r="C28" i="39" s="1"/>
  <c r="AV24" i="38" l="1"/>
  <c r="AV25" i="38" s="1"/>
  <c r="AU23" i="38"/>
  <c r="D23" i="38" s="1"/>
  <c r="AM45" i="9"/>
  <c r="AA45" i="9"/>
  <c r="O45" i="9"/>
  <c r="AK45" i="9"/>
  <c r="Y45" i="9"/>
  <c r="AJ45" i="9"/>
  <c r="X45" i="9"/>
  <c r="L45" i="9"/>
  <c r="AH45" i="9"/>
  <c r="V45" i="9"/>
  <c r="J45" i="9"/>
  <c r="AG45" i="9"/>
  <c r="U45" i="9"/>
  <c r="AF45" i="9"/>
  <c r="T45" i="9"/>
  <c r="AE45" i="9"/>
  <c r="S45" i="9"/>
  <c r="P45" i="9"/>
  <c r="W45" i="9"/>
  <c r="N45" i="9"/>
  <c r="AO45" i="9"/>
  <c r="AC45" i="9"/>
  <c r="K45" i="9"/>
  <c r="AL45" i="9"/>
  <c r="AI45" i="9"/>
  <c r="Z45" i="9"/>
  <c r="Q45" i="9"/>
  <c r="AD45" i="9"/>
  <c r="I24" i="27"/>
  <c r="J24" i="27" s="1"/>
  <c r="C24" i="27" s="1"/>
  <c r="L22" i="27"/>
  <c r="F22" i="27" s="1"/>
  <c r="M23" i="27"/>
  <c r="N23" i="27"/>
  <c r="O23" i="27"/>
  <c r="P23" i="27"/>
  <c r="D22" i="34"/>
  <c r="AG53" i="76"/>
  <c r="AH54" i="76"/>
  <c r="AI44" i="76"/>
  <c r="AH52" i="76"/>
  <c r="AF48" i="76"/>
  <c r="AF50" i="76" s="1"/>
  <c r="AF49" i="76" s="1"/>
  <c r="AG45" i="76"/>
  <c r="N201" i="29"/>
  <c r="D201" i="29" s="1"/>
  <c r="E201" i="29"/>
  <c r="K203" i="29"/>
  <c r="C202" i="29"/>
  <c r="AP49" i="66"/>
  <c r="T17" i="66"/>
  <c r="U17" i="66"/>
  <c r="V17" i="66"/>
  <c r="Y19" i="66"/>
  <c r="X19" i="66"/>
  <c r="W19" i="66"/>
  <c r="AQ50" i="66"/>
  <c r="BB59" i="63"/>
  <c r="F59" i="63" s="1"/>
  <c r="BA59" i="63"/>
  <c r="D58" i="63"/>
  <c r="A31" i="10"/>
  <c r="J154" i="28"/>
  <c r="H45" i="9"/>
  <c r="B154" i="28"/>
  <c r="H154" i="28"/>
  <c r="E154" i="28"/>
  <c r="D154" i="28"/>
  <c r="I154" i="28"/>
  <c r="G154" i="28"/>
  <c r="F154" i="28"/>
  <c r="I153" i="28"/>
  <c r="B153" i="28"/>
  <c r="H153" i="28"/>
  <c r="G153" i="28"/>
  <c r="F153" i="28"/>
  <c r="E153" i="28"/>
  <c r="D153" i="28"/>
  <c r="C242" i="28"/>
  <c r="AU242" i="28" s="1"/>
  <c r="AR243" i="28"/>
  <c r="C155" i="28"/>
  <c r="AU155" i="28" s="1"/>
  <c r="AR156" i="28"/>
  <c r="AS156" i="28" s="1"/>
  <c r="AS157" i="28" s="1"/>
  <c r="AS158" i="28" s="1"/>
  <c r="E45" i="9"/>
  <c r="D45" i="9"/>
  <c r="G45" i="9"/>
  <c r="I45" i="9"/>
  <c r="C31" i="10"/>
  <c r="B31" i="10" s="1"/>
  <c r="K32" i="10"/>
  <c r="A47" i="9"/>
  <c r="AR48" i="9"/>
  <c r="AS48" i="9" s="1"/>
  <c r="B46" i="9"/>
  <c r="E46" i="9" s="1"/>
  <c r="C46" i="9"/>
  <c r="C24" i="38"/>
  <c r="H290" i="28"/>
  <c r="B290" i="28"/>
  <c r="G290" i="28"/>
  <c r="F290" i="28"/>
  <c r="I290" i="28"/>
  <c r="A25" i="35"/>
  <c r="E290" i="28"/>
  <c r="AU290" i="28"/>
  <c r="C23" i="34"/>
  <c r="C292" i="28"/>
  <c r="AR294" i="28"/>
  <c r="AR295" i="28"/>
  <c r="C295" i="28" s="1"/>
  <c r="AU295" i="28" s="1"/>
  <c r="C293" i="28"/>
  <c r="AR26" i="35"/>
  <c r="N28" i="39"/>
  <c r="D28" i="39" s="1"/>
  <c r="A28" i="39" s="1"/>
  <c r="L29" i="39"/>
  <c r="O29" i="39"/>
  <c r="F25" i="36"/>
  <c r="B25" i="36"/>
  <c r="I25" i="36" s="1"/>
  <c r="G25" i="36"/>
  <c r="H25" i="36"/>
  <c r="M26" i="36"/>
  <c r="C22" i="37"/>
  <c r="A22" i="37" s="1"/>
  <c r="D22" i="37" s="1"/>
  <c r="AU24" i="38" l="1"/>
  <c r="D24" i="38" s="1"/>
  <c r="AS25" i="38"/>
  <c r="AT25" i="38" s="1"/>
  <c r="C25" i="38" s="1"/>
  <c r="J23" i="38"/>
  <c r="A23" i="38" s="1"/>
  <c r="AE46" i="9"/>
  <c r="S46" i="9"/>
  <c r="AO46" i="9"/>
  <c r="AC46" i="9"/>
  <c r="Q46" i="9"/>
  <c r="P46" i="9"/>
  <c r="AL46" i="9"/>
  <c r="Z46" i="9"/>
  <c r="N46" i="9"/>
  <c r="AK46" i="9"/>
  <c r="Y46" i="9"/>
  <c r="AJ46" i="9"/>
  <c r="X46" i="9"/>
  <c r="L46" i="9"/>
  <c r="AI46" i="9"/>
  <c r="W46" i="9"/>
  <c r="K46" i="9"/>
  <c r="AF46" i="9"/>
  <c r="T46" i="9"/>
  <c r="AA46" i="9"/>
  <c r="V46" i="9"/>
  <c r="AM46" i="9"/>
  <c r="AH46" i="9"/>
  <c r="AG46" i="9"/>
  <c r="U46" i="9"/>
  <c r="O46" i="9"/>
  <c r="AD46" i="9"/>
  <c r="AH53" i="76"/>
  <c r="B158" i="28"/>
  <c r="H158" i="28"/>
  <c r="F158" i="28"/>
  <c r="I158" i="28"/>
  <c r="G158" i="28"/>
  <c r="L23" i="27"/>
  <c r="F23" i="27" s="1"/>
  <c r="P24" i="27"/>
  <c r="M24" i="27"/>
  <c r="N24" i="27"/>
  <c r="O24" i="27"/>
  <c r="N23" i="34"/>
  <c r="M23" i="34"/>
  <c r="AU293" i="28"/>
  <c r="AH45" i="76"/>
  <c r="AG48" i="76"/>
  <c r="AG50" i="76" s="1"/>
  <c r="AG49" i="76" s="1"/>
  <c r="AI52" i="76"/>
  <c r="AI54" i="76" s="1"/>
  <c r="AI53" i="76" s="1"/>
  <c r="AJ44" i="76"/>
  <c r="E202" i="29"/>
  <c r="N202" i="29"/>
  <c r="D202" i="29" s="1"/>
  <c r="C203" i="29"/>
  <c r="K204" i="29"/>
  <c r="E31" i="10"/>
  <c r="BA60" i="63"/>
  <c r="BB60" i="63"/>
  <c r="F60" i="63" s="1"/>
  <c r="D59" i="63"/>
  <c r="AP48" i="66"/>
  <c r="U16" i="66"/>
  <c r="T16" i="66"/>
  <c r="V16" i="66"/>
  <c r="Y18" i="66"/>
  <c r="X18" i="66"/>
  <c r="W18" i="66"/>
  <c r="AQ49" i="66"/>
  <c r="AR157" i="28"/>
  <c r="AR158" i="28" s="1"/>
  <c r="C158" i="28" s="1"/>
  <c r="C156" i="28"/>
  <c r="AU156" i="28" s="1"/>
  <c r="H155" i="28"/>
  <c r="G155" i="28"/>
  <c r="B155" i="28"/>
  <c r="I155" i="28"/>
  <c r="D155" i="28"/>
  <c r="F155" i="28"/>
  <c r="E155" i="28"/>
  <c r="AR244" i="28"/>
  <c r="C243" i="28"/>
  <c r="AU243" i="28" s="1"/>
  <c r="J243" i="28" s="1"/>
  <c r="J242" i="28"/>
  <c r="AU244" i="28"/>
  <c r="F46" i="9"/>
  <c r="D31" i="10"/>
  <c r="G31" i="10"/>
  <c r="B47" i="9"/>
  <c r="F47" i="9" s="1"/>
  <c r="C47" i="9"/>
  <c r="H31" i="10"/>
  <c r="AR49" i="9"/>
  <c r="AS49" i="9" s="1"/>
  <c r="A48" i="9"/>
  <c r="I32" i="10"/>
  <c r="L32" i="10"/>
  <c r="F32" i="10"/>
  <c r="H46" i="9"/>
  <c r="I46" i="9"/>
  <c r="G46" i="9"/>
  <c r="D46" i="9"/>
  <c r="B25" i="35"/>
  <c r="AS26" i="35"/>
  <c r="C26" i="35" s="1"/>
  <c r="AU292" i="28"/>
  <c r="C294" i="28"/>
  <c r="AU294" i="28" s="1"/>
  <c r="AR296" i="28"/>
  <c r="G291" i="28"/>
  <c r="F291" i="28"/>
  <c r="B291" i="28"/>
  <c r="I291" i="28"/>
  <c r="AS292" i="28"/>
  <c r="E292" i="28" s="1"/>
  <c r="H291" i="28"/>
  <c r="E291" i="28"/>
  <c r="D291" i="28"/>
  <c r="A23" i="34"/>
  <c r="E23" i="34"/>
  <c r="J291" i="28"/>
  <c r="D290" i="28"/>
  <c r="J290" i="28"/>
  <c r="I24" i="34"/>
  <c r="D25" i="36"/>
  <c r="E25" i="36"/>
  <c r="K26" i="36"/>
  <c r="A24" i="27"/>
  <c r="D24" i="27" s="1"/>
  <c r="H23" i="37"/>
  <c r="I25" i="27"/>
  <c r="M29" i="39"/>
  <c r="C29" i="39" s="1"/>
  <c r="J25" i="35"/>
  <c r="J24" i="38" l="1"/>
  <c r="A24" i="38" s="1"/>
  <c r="AI47" i="9"/>
  <c r="W47" i="9"/>
  <c r="K47" i="9"/>
  <c r="AG47" i="9"/>
  <c r="U47" i="9"/>
  <c r="AF47" i="9"/>
  <c r="T47" i="9"/>
  <c r="AD47" i="9"/>
  <c r="AO47" i="9"/>
  <c r="AC47" i="9"/>
  <c r="Q47" i="9"/>
  <c r="P47" i="9"/>
  <c r="AM47" i="9"/>
  <c r="AA47" i="9"/>
  <c r="O47" i="9"/>
  <c r="AJ47" i="9"/>
  <c r="X47" i="9"/>
  <c r="L47" i="9"/>
  <c r="AE47" i="9"/>
  <c r="Z47" i="9"/>
  <c r="V47" i="9"/>
  <c r="N47" i="9"/>
  <c r="Y47" i="9"/>
  <c r="AL47" i="9"/>
  <c r="AK47" i="9"/>
  <c r="AH47" i="9"/>
  <c r="S47" i="9"/>
  <c r="E158" i="28"/>
  <c r="AU158" i="28"/>
  <c r="D158" i="28" s="1"/>
  <c r="L24" i="27"/>
  <c r="F24" i="27" s="1"/>
  <c r="L23" i="34"/>
  <c r="F23" i="34" s="1"/>
  <c r="F25" i="35"/>
  <c r="AI45" i="76"/>
  <c r="AH48" i="76"/>
  <c r="AH50" i="76" s="1"/>
  <c r="AH49" i="76" s="1"/>
  <c r="AJ52" i="76"/>
  <c r="AJ54" i="76" s="1"/>
  <c r="AJ53" i="76" s="1"/>
  <c r="AK44" i="76"/>
  <c r="AK52" i="76" s="1"/>
  <c r="K205" i="29"/>
  <c r="C204" i="29"/>
  <c r="N203" i="29"/>
  <c r="D203" i="29" s="1"/>
  <c r="E203" i="29"/>
  <c r="Y17" i="66"/>
  <c r="X17" i="66"/>
  <c r="W17" i="66"/>
  <c r="AQ48" i="66"/>
  <c r="BB61" i="63"/>
  <c r="F61" i="63" s="1"/>
  <c r="D60" i="63"/>
  <c r="BA61" i="63"/>
  <c r="AP47" i="66"/>
  <c r="V15" i="66"/>
  <c r="T15" i="66"/>
  <c r="U15" i="66"/>
  <c r="J292" i="28"/>
  <c r="D156" i="28"/>
  <c r="AR245" i="28"/>
  <c r="C244" i="28"/>
  <c r="J244" i="28"/>
  <c r="AU245" i="28"/>
  <c r="I156" i="28"/>
  <c r="H156" i="28"/>
  <c r="B156" i="28"/>
  <c r="G156" i="28"/>
  <c r="F156" i="28"/>
  <c r="E156" i="28"/>
  <c r="C157" i="28"/>
  <c r="AU157" i="28" s="1"/>
  <c r="E47" i="9"/>
  <c r="G47" i="9"/>
  <c r="A32" i="10"/>
  <c r="B48" i="9"/>
  <c r="F48" i="9" s="1"/>
  <c r="C48" i="9"/>
  <c r="K33" i="10"/>
  <c r="C32" i="10"/>
  <c r="B32" i="10" s="1"/>
  <c r="H47" i="9"/>
  <c r="I47" i="9"/>
  <c r="D47" i="9"/>
  <c r="AR50" i="9"/>
  <c r="AS50" i="9" s="1"/>
  <c r="A49" i="9"/>
  <c r="G25" i="35"/>
  <c r="H25" i="35"/>
  <c r="AT27" i="35"/>
  <c r="AR27" i="35" s="1"/>
  <c r="AS27" i="35" s="1"/>
  <c r="C27" i="35" s="1"/>
  <c r="E25" i="35"/>
  <c r="I25" i="35"/>
  <c r="J24" i="34"/>
  <c r="C24" i="34" s="1"/>
  <c r="AR298" i="28"/>
  <c r="C296" i="28"/>
  <c r="AU296" i="28" s="1"/>
  <c r="D25" i="35"/>
  <c r="B23" i="34"/>
  <c r="D23" i="34"/>
  <c r="A26" i="35"/>
  <c r="E25" i="38"/>
  <c r="H292" i="28"/>
  <c r="B292" i="28"/>
  <c r="AS293" i="28"/>
  <c r="E293" i="28" s="1"/>
  <c r="G292" i="28"/>
  <c r="F292" i="28"/>
  <c r="I292" i="28"/>
  <c r="N29" i="39"/>
  <c r="D29" i="39" s="1"/>
  <c r="A29" i="39" s="1"/>
  <c r="L30" i="39"/>
  <c r="O30" i="39"/>
  <c r="J25" i="27"/>
  <c r="C25" i="27" s="1"/>
  <c r="I23" i="37"/>
  <c r="L26" i="36"/>
  <c r="C26" i="36" s="1"/>
  <c r="A26" i="36" s="1"/>
  <c r="AM48" i="9" l="1"/>
  <c r="AA48" i="9"/>
  <c r="O48" i="9"/>
  <c r="AK48" i="9"/>
  <c r="Y48" i="9"/>
  <c r="AJ48" i="9"/>
  <c r="X48" i="9"/>
  <c r="L48" i="9"/>
  <c r="AH48" i="9"/>
  <c r="V48" i="9"/>
  <c r="AG48" i="9"/>
  <c r="U48" i="9"/>
  <c r="AF48" i="9"/>
  <c r="T48" i="9"/>
  <c r="AE48" i="9"/>
  <c r="S48" i="9"/>
  <c r="P48" i="9"/>
  <c r="AI48" i="9"/>
  <c r="AD48" i="9"/>
  <c r="Z48" i="9"/>
  <c r="Q48" i="9"/>
  <c r="AO48" i="9"/>
  <c r="W48" i="9"/>
  <c r="K48" i="9"/>
  <c r="AL48" i="9"/>
  <c r="AC48" i="9"/>
  <c r="N48" i="9"/>
  <c r="AK54" i="76"/>
  <c r="AK53" i="76" s="1"/>
  <c r="M25" i="27"/>
  <c r="N25" i="27"/>
  <c r="O25" i="27"/>
  <c r="P25" i="27"/>
  <c r="M24" i="34"/>
  <c r="N24" i="34"/>
  <c r="AJ45" i="76"/>
  <c r="AI48" i="76"/>
  <c r="AI50" i="76" s="1"/>
  <c r="AI49" i="76" s="1"/>
  <c r="N204" i="29"/>
  <c r="D204" i="29" s="1"/>
  <c r="E204" i="29"/>
  <c r="L205" i="29"/>
  <c r="K206" i="29"/>
  <c r="C205" i="29"/>
  <c r="N205" i="29" s="1"/>
  <c r="D61" i="63"/>
  <c r="BA62" i="63"/>
  <c r="BB62" i="63"/>
  <c r="F62" i="63" s="1"/>
  <c r="X16" i="66"/>
  <c r="Y16" i="66"/>
  <c r="W16" i="66"/>
  <c r="AQ47" i="66"/>
  <c r="AP46" i="66"/>
  <c r="V14" i="66"/>
  <c r="U14" i="66"/>
  <c r="T14" i="66"/>
  <c r="H157" i="28"/>
  <c r="G157" i="28"/>
  <c r="I157" i="28"/>
  <c r="F157" i="28"/>
  <c r="B157" i="28"/>
  <c r="E157" i="28"/>
  <c r="D157" i="28"/>
  <c r="AU246" i="28"/>
  <c r="J245" i="28"/>
  <c r="AR159" i="28"/>
  <c r="AR246" i="28"/>
  <c r="C245" i="28"/>
  <c r="G48" i="9"/>
  <c r="E48" i="9"/>
  <c r="D48" i="9"/>
  <c r="I33" i="10"/>
  <c r="F33" i="10"/>
  <c r="L33" i="10"/>
  <c r="D49" i="9"/>
  <c r="G49" i="9"/>
  <c r="C49" i="9"/>
  <c r="F49" i="9"/>
  <c r="E49" i="9"/>
  <c r="H49" i="9"/>
  <c r="B49" i="9"/>
  <c r="H48" i="9"/>
  <c r="I48" i="9"/>
  <c r="A50" i="9"/>
  <c r="AR51" i="9"/>
  <c r="AS51" i="9" s="1"/>
  <c r="H32" i="10"/>
  <c r="D32" i="10"/>
  <c r="E32" i="10"/>
  <c r="G32" i="10"/>
  <c r="C298" i="28"/>
  <c r="AR299" i="28"/>
  <c r="B26" i="35"/>
  <c r="AU25" i="38"/>
  <c r="D25" i="38" s="1"/>
  <c r="AV26" i="38"/>
  <c r="AS26" i="38"/>
  <c r="AT28" i="35"/>
  <c r="AR28" i="35" s="1"/>
  <c r="A27" i="35"/>
  <c r="I25" i="34"/>
  <c r="J25" i="34" s="1"/>
  <c r="E24" i="34"/>
  <c r="A24" i="34"/>
  <c r="AS294" i="28"/>
  <c r="G293" i="28"/>
  <c r="F293" i="28"/>
  <c r="B293" i="28"/>
  <c r="I293" i="28"/>
  <c r="H293" i="28"/>
  <c r="J293" i="28"/>
  <c r="M27" i="36"/>
  <c r="F26" i="36"/>
  <c r="G26" i="36"/>
  <c r="B26" i="36"/>
  <c r="I26" i="36" s="1"/>
  <c r="H26" i="36"/>
  <c r="A25" i="27"/>
  <c r="D25" i="27" s="1"/>
  <c r="I26" i="27"/>
  <c r="C23" i="37"/>
  <c r="A23" i="37" s="1"/>
  <c r="D23" i="37" s="1"/>
  <c r="M30" i="39"/>
  <c r="C30" i="39" s="1"/>
  <c r="J26" i="35"/>
  <c r="J25" i="38" l="1"/>
  <c r="A25" i="38" s="1"/>
  <c r="AE49" i="9"/>
  <c r="S49" i="9"/>
  <c r="AO49" i="9"/>
  <c r="AC49" i="9"/>
  <c r="Q49" i="9"/>
  <c r="AN49" i="9"/>
  <c r="AB49" i="9"/>
  <c r="P49" i="9"/>
  <c r="AL49" i="9"/>
  <c r="Z49" i="9"/>
  <c r="N49" i="9"/>
  <c r="AK49" i="9"/>
  <c r="Y49" i="9"/>
  <c r="M49" i="9"/>
  <c r="AJ49" i="9"/>
  <c r="X49" i="9"/>
  <c r="L49" i="9"/>
  <c r="AI49" i="9"/>
  <c r="W49" i="9"/>
  <c r="K49" i="9"/>
  <c r="AF49" i="9"/>
  <c r="T49" i="9"/>
  <c r="AM49" i="9"/>
  <c r="AH49" i="9"/>
  <c r="AD49" i="9"/>
  <c r="U49" i="9"/>
  <c r="AG49" i="9"/>
  <c r="O49" i="9"/>
  <c r="AA49" i="9"/>
  <c r="V49" i="9"/>
  <c r="R49" i="9"/>
  <c r="J49" i="9"/>
  <c r="AU298" i="28"/>
  <c r="J298" i="28" s="1"/>
  <c r="L298" i="28" a="1"/>
  <c r="L298" i="28" s="1"/>
  <c r="R298" i="28" a="1"/>
  <c r="R298" i="28" s="1"/>
  <c r="X298" i="28" a="1"/>
  <c r="X298" i="28" s="1"/>
  <c r="AD298" i="28" a="1"/>
  <c r="AD298" i="28" s="1"/>
  <c r="AJ298" i="28" a="1"/>
  <c r="AJ298" i="28" s="1"/>
  <c r="AP298" i="28" a="1"/>
  <c r="AP298" i="28" s="1"/>
  <c r="Z298" i="28" a="1"/>
  <c r="Z298" i="28" s="1"/>
  <c r="M298" i="28" a="1"/>
  <c r="M298" i="28" s="1"/>
  <c r="S298" i="28" a="1"/>
  <c r="S298" i="28" s="1"/>
  <c r="Y298" i="28" a="1"/>
  <c r="Y298" i="28" s="1"/>
  <c r="AE298" i="28" a="1"/>
  <c r="AE298" i="28" s="1"/>
  <c r="AK298" i="28" a="1"/>
  <c r="AK298" i="28" s="1"/>
  <c r="N298" i="28" a="1"/>
  <c r="N298" i="28" s="1"/>
  <c r="AF298" i="28" a="1"/>
  <c r="AF298" i="28" s="1"/>
  <c r="AL298" i="28" a="1"/>
  <c r="AL298" i="28" s="1"/>
  <c r="T298" i="28" a="1"/>
  <c r="T298" i="28" s="1"/>
  <c r="O298" i="28" a="1"/>
  <c r="O298" i="28" s="1"/>
  <c r="U298" i="28" a="1"/>
  <c r="U298" i="28" s="1"/>
  <c r="AA298" i="28" a="1"/>
  <c r="AA298" i="28" s="1"/>
  <c r="AG298" i="28" a="1"/>
  <c r="AG298" i="28" s="1"/>
  <c r="AM298" i="28" a="1"/>
  <c r="AM298" i="28" s="1"/>
  <c r="P298" i="28" a="1"/>
  <c r="P298" i="28" s="1"/>
  <c r="V298" i="28" a="1"/>
  <c r="V298" i="28" s="1"/>
  <c r="AB298" i="28" a="1"/>
  <c r="AB298" i="28" s="1"/>
  <c r="AH298" i="28" a="1"/>
  <c r="AH298" i="28" s="1"/>
  <c r="AN298" i="28" a="1"/>
  <c r="AN298" i="28" s="1"/>
  <c r="K298" i="28" a="1"/>
  <c r="K298" i="28" s="1"/>
  <c r="AI298" i="28" a="1"/>
  <c r="AI298" i="28" s="1"/>
  <c r="AO298" i="28" a="1"/>
  <c r="AO298" i="28" s="1"/>
  <c r="W298" i="28" a="1"/>
  <c r="W298" i="28" s="1"/>
  <c r="AC298" i="28" a="1"/>
  <c r="AC298" i="28" s="1"/>
  <c r="Q298" i="28" a="1"/>
  <c r="Q298" i="28" s="1"/>
  <c r="L25" i="27"/>
  <c r="F25" i="27" s="1"/>
  <c r="L24" i="34"/>
  <c r="F24" i="34" s="1"/>
  <c r="D26" i="35"/>
  <c r="AK45" i="76"/>
  <c r="AK48" i="76" s="1"/>
  <c r="AK50" i="76" s="1"/>
  <c r="AK49" i="76" s="1"/>
  <c r="AJ48" i="76"/>
  <c r="AJ50" i="76" s="1"/>
  <c r="AJ49" i="76" s="1"/>
  <c r="A33" i="10"/>
  <c r="L206" i="29"/>
  <c r="K207" i="29"/>
  <c r="C206" i="29"/>
  <c r="N206" i="29" s="1"/>
  <c r="F205" i="29"/>
  <c r="H205" i="29"/>
  <c r="D205" i="29"/>
  <c r="E205" i="29"/>
  <c r="B205" i="29"/>
  <c r="G205" i="29" s="1"/>
  <c r="AP45" i="66"/>
  <c r="V13" i="66"/>
  <c r="U13" i="66"/>
  <c r="T13" i="66"/>
  <c r="X15" i="66"/>
  <c r="Y15" i="66"/>
  <c r="W15" i="66"/>
  <c r="AQ46" i="66"/>
  <c r="BB63" i="63"/>
  <c r="F63" i="63" s="1"/>
  <c r="D62" i="63"/>
  <c r="BA63" i="63"/>
  <c r="AU247" i="28"/>
  <c r="J247" i="28" s="1"/>
  <c r="J246" i="28"/>
  <c r="C159" i="28"/>
  <c r="AU159" i="28" s="1"/>
  <c r="AR160" i="28"/>
  <c r="C246" i="28"/>
  <c r="AR247" i="28"/>
  <c r="C247" i="28" s="1"/>
  <c r="I49" i="9"/>
  <c r="AR52" i="9"/>
  <c r="AS52" i="9" s="1"/>
  <c r="A51" i="9"/>
  <c r="C50" i="9"/>
  <c r="B50" i="9"/>
  <c r="G50" i="9" s="1"/>
  <c r="K34" i="10"/>
  <c r="C33" i="10"/>
  <c r="B33" i="10" s="1"/>
  <c r="F26" i="35"/>
  <c r="I26" i="35"/>
  <c r="G26" i="35"/>
  <c r="E26" i="35"/>
  <c r="B24" i="34"/>
  <c r="D24" i="34"/>
  <c r="B27" i="35"/>
  <c r="AT26" i="38"/>
  <c r="C26" i="38" s="1"/>
  <c r="AS28" i="35"/>
  <c r="C28" i="35" s="1"/>
  <c r="H26" i="35"/>
  <c r="C25" i="34"/>
  <c r="H294" i="28"/>
  <c r="B294" i="28"/>
  <c r="G294" i="28"/>
  <c r="AS295" i="28"/>
  <c r="D294" i="28"/>
  <c r="I294" i="28"/>
  <c r="F294" i="28"/>
  <c r="E294" i="28"/>
  <c r="J294" i="28"/>
  <c r="AS299" i="28"/>
  <c r="AR300" i="28"/>
  <c r="C299" i="28"/>
  <c r="N30" i="39"/>
  <c r="D30" i="39" s="1"/>
  <c r="A30" i="39" s="1"/>
  <c r="O31" i="39"/>
  <c r="L31" i="39"/>
  <c r="D26" i="36"/>
  <c r="H24" i="37"/>
  <c r="E26" i="36"/>
  <c r="J26" i="27"/>
  <c r="C26" i="27" s="1"/>
  <c r="K27" i="36"/>
  <c r="J27" i="35"/>
  <c r="AI50" i="9" l="1"/>
  <c r="W50" i="9"/>
  <c r="K50" i="9"/>
  <c r="AG50" i="9"/>
  <c r="U50" i="9"/>
  <c r="AF50" i="9"/>
  <c r="T50" i="9"/>
  <c r="AD50" i="9"/>
  <c r="R50" i="9"/>
  <c r="AO50" i="9"/>
  <c r="AC50" i="9"/>
  <c r="Q50" i="9"/>
  <c r="AN50" i="9"/>
  <c r="AB50" i="9"/>
  <c r="P50" i="9"/>
  <c r="AM50" i="9"/>
  <c r="AA50" i="9"/>
  <c r="O50" i="9"/>
  <c r="AJ50" i="9"/>
  <c r="X50" i="9"/>
  <c r="L50" i="9"/>
  <c r="AL50" i="9"/>
  <c r="AH50" i="9"/>
  <c r="Y50" i="9"/>
  <c r="Z50" i="9"/>
  <c r="N50" i="9"/>
  <c r="M50" i="9"/>
  <c r="AK50" i="9"/>
  <c r="V50" i="9"/>
  <c r="S50" i="9"/>
  <c r="AE50" i="9"/>
  <c r="J50" i="9"/>
  <c r="AU299" i="28"/>
  <c r="J299" i="28" s="1"/>
  <c r="M26" i="27"/>
  <c r="N26" i="27"/>
  <c r="O26" i="27"/>
  <c r="P26" i="27"/>
  <c r="M25" i="34"/>
  <c r="N25" i="34"/>
  <c r="F27" i="35"/>
  <c r="E33" i="10"/>
  <c r="L207" i="29"/>
  <c r="K208" i="29"/>
  <c r="C207" i="29"/>
  <c r="N207" i="29" s="1"/>
  <c r="B206" i="29"/>
  <c r="G206" i="29" s="1"/>
  <c r="H206" i="29"/>
  <c r="D206" i="29"/>
  <c r="E206" i="29"/>
  <c r="F206" i="29"/>
  <c r="X14" i="66"/>
  <c r="W14" i="66"/>
  <c r="Y14" i="66"/>
  <c r="AQ45" i="66"/>
  <c r="BA64" i="63"/>
  <c r="D63" i="63"/>
  <c r="BB64" i="63"/>
  <c r="F64" i="63" s="1"/>
  <c r="AP44" i="66"/>
  <c r="V12" i="66"/>
  <c r="T12" i="66"/>
  <c r="U12" i="66"/>
  <c r="AR161" i="28"/>
  <c r="C160" i="28"/>
  <c r="AU160" i="28" s="1"/>
  <c r="D159" i="28"/>
  <c r="F159" i="28"/>
  <c r="B159" i="28"/>
  <c r="I159" i="28"/>
  <c r="H159" i="28"/>
  <c r="G159" i="28"/>
  <c r="E159" i="28"/>
  <c r="F50" i="9"/>
  <c r="H50" i="9"/>
  <c r="E50" i="9"/>
  <c r="D50" i="9"/>
  <c r="H33" i="10"/>
  <c r="G33" i="10"/>
  <c r="I50" i="9"/>
  <c r="D33" i="10"/>
  <c r="B51" i="9"/>
  <c r="G51" i="9" s="1"/>
  <c r="C51" i="9"/>
  <c r="AR53" i="9"/>
  <c r="AS53" i="9" s="1"/>
  <c r="A52" i="9"/>
  <c r="I34" i="10"/>
  <c r="L34" i="10"/>
  <c r="F34" i="10"/>
  <c r="H27" i="35"/>
  <c r="E27" i="35"/>
  <c r="AT29" i="35"/>
  <c r="AR29" i="35" s="1"/>
  <c r="E26" i="38"/>
  <c r="E25" i="34"/>
  <c r="A25" i="34"/>
  <c r="G27" i="35"/>
  <c r="E295" i="28"/>
  <c r="D295" i="28"/>
  <c r="I295" i="28"/>
  <c r="AS296" i="28"/>
  <c r="F295" i="28"/>
  <c r="H295" i="28"/>
  <c r="B295" i="28"/>
  <c r="G295" i="28"/>
  <c r="J295" i="28"/>
  <c r="G299" i="28"/>
  <c r="F299" i="28"/>
  <c r="B299" i="28"/>
  <c r="Q299" i="28" s="1" a="1"/>
  <c r="Q299" i="28" s="1"/>
  <c r="E299" i="28"/>
  <c r="D299" i="28"/>
  <c r="I299" i="28"/>
  <c r="H299" i="28"/>
  <c r="A28" i="35"/>
  <c r="I27" i="35"/>
  <c r="AR301" i="28"/>
  <c r="AR302" i="28"/>
  <c r="AS300" i="28"/>
  <c r="C300" i="28"/>
  <c r="I26" i="34"/>
  <c r="J26" i="34" s="1"/>
  <c r="D27" i="35"/>
  <c r="A26" i="27"/>
  <c r="D26" i="27" s="1"/>
  <c r="I24" i="37"/>
  <c r="C24" i="37" s="1"/>
  <c r="A24" i="37" s="1"/>
  <c r="D24" i="37" s="1"/>
  <c r="I27" i="27"/>
  <c r="M31" i="39"/>
  <c r="C31" i="39" s="1"/>
  <c r="L27" i="36"/>
  <c r="C27" i="36" s="1"/>
  <c r="A27" i="36" s="1"/>
  <c r="AU26" i="38" l="1"/>
  <c r="J26" i="38" s="1"/>
  <c r="A26" i="38" s="1"/>
  <c r="AM51" i="9"/>
  <c r="AA51" i="9"/>
  <c r="O51" i="9"/>
  <c r="AK51" i="9"/>
  <c r="Y51" i="9"/>
  <c r="AJ51" i="9"/>
  <c r="X51" i="9"/>
  <c r="L51" i="9"/>
  <c r="AH51" i="9"/>
  <c r="V51" i="9"/>
  <c r="J51" i="9"/>
  <c r="AG51" i="9"/>
  <c r="U51" i="9"/>
  <c r="AF51" i="9"/>
  <c r="T51" i="9"/>
  <c r="AE51" i="9"/>
  <c r="S51" i="9"/>
  <c r="AN51" i="9"/>
  <c r="AB51" i="9"/>
  <c r="P51" i="9"/>
  <c r="K51" i="9"/>
  <c r="AL51" i="9"/>
  <c r="AC51" i="9"/>
  <c r="AO51" i="9"/>
  <c r="AI51" i="9"/>
  <c r="AD51" i="9"/>
  <c r="W51" i="9"/>
  <c r="R51" i="9"/>
  <c r="Q51" i="9"/>
  <c r="N51" i="9"/>
  <c r="Z51" i="9"/>
  <c r="AK299" i="28" a="1"/>
  <c r="AK299" i="28" s="1"/>
  <c r="AI299" i="28" a="1"/>
  <c r="AI299" i="28" s="1"/>
  <c r="N299" i="28" a="1"/>
  <c r="N299" i="28" s="1"/>
  <c r="AE299" i="28" a="1"/>
  <c r="AE299" i="28" s="1"/>
  <c r="AC299" i="28" a="1"/>
  <c r="AC299" i="28" s="1"/>
  <c r="O299" i="28" a="1"/>
  <c r="O299" i="28" s="1"/>
  <c r="Y299" i="28" a="1"/>
  <c r="Y299" i="28" s="1"/>
  <c r="W299" i="28" a="1"/>
  <c r="W299" i="28" s="1"/>
  <c r="AM299" i="28" a="1"/>
  <c r="AM299" i="28" s="1"/>
  <c r="S299" i="28" a="1"/>
  <c r="S299" i="28" s="1"/>
  <c r="K299" i="28" a="1"/>
  <c r="K299" i="28" s="1"/>
  <c r="AG299" i="28" a="1"/>
  <c r="AG299" i="28" s="1"/>
  <c r="M299" i="28" a="1"/>
  <c r="M299" i="28" s="1"/>
  <c r="AN299" i="28" a="1"/>
  <c r="AN299" i="28" s="1"/>
  <c r="AA299" i="28" a="1"/>
  <c r="AA299" i="28" s="1"/>
  <c r="AP299" i="28" a="1"/>
  <c r="AP299" i="28" s="1"/>
  <c r="AH299" i="28" a="1"/>
  <c r="AH299" i="28" s="1"/>
  <c r="AO299" i="28" a="1"/>
  <c r="AO299" i="28" s="1"/>
  <c r="U299" i="28" a="1"/>
  <c r="U299" i="28" s="1"/>
  <c r="AD299" i="28" a="1"/>
  <c r="AD299" i="28" s="1"/>
  <c r="AB299" i="28" a="1"/>
  <c r="AB299" i="28" s="1"/>
  <c r="AL299" i="28" a="1"/>
  <c r="AL299" i="28" s="1"/>
  <c r="AJ299" i="28" a="1"/>
  <c r="AJ299" i="28" s="1"/>
  <c r="V299" i="28" a="1"/>
  <c r="V299" i="28" s="1"/>
  <c r="AF299" i="28" a="1"/>
  <c r="AF299" i="28" s="1"/>
  <c r="X299" i="28" a="1"/>
  <c r="X299" i="28" s="1"/>
  <c r="P299" i="28" a="1"/>
  <c r="P299" i="28" s="1"/>
  <c r="Z299" i="28" a="1"/>
  <c r="Z299" i="28" s="1"/>
  <c r="R299" i="28" a="1"/>
  <c r="R299" i="28" s="1"/>
  <c r="T299" i="28" a="1"/>
  <c r="T299" i="28" s="1"/>
  <c r="L299" i="28" a="1"/>
  <c r="L299" i="28" s="1"/>
  <c r="AU300" i="28"/>
  <c r="J300" i="28" s="1"/>
  <c r="L26" i="27"/>
  <c r="F26" i="27" s="1"/>
  <c r="L25" i="34"/>
  <c r="F25" i="34" s="1"/>
  <c r="D207" i="29"/>
  <c r="K209" i="29"/>
  <c r="C208" i="29"/>
  <c r="N208" i="29" s="1"/>
  <c r="F207" i="29"/>
  <c r="L208" i="29"/>
  <c r="H207" i="29"/>
  <c r="B207" i="29"/>
  <c r="G207" i="29" s="1"/>
  <c r="E207" i="29"/>
  <c r="A34" i="10"/>
  <c r="AP43" i="66"/>
  <c r="T11" i="66"/>
  <c r="U11" i="66"/>
  <c r="V11" i="66"/>
  <c r="Y13" i="66"/>
  <c r="X13" i="66"/>
  <c r="W13" i="66"/>
  <c r="AQ44" i="66"/>
  <c r="D64" i="63"/>
  <c r="BB65" i="63"/>
  <c r="F65" i="63" s="1"/>
  <c r="BA65" i="63"/>
  <c r="I160" i="28"/>
  <c r="H160" i="28"/>
  <c r="G160" i="28"/>
  <c r="F160" i="28"/>
  <c r="B160" i="28"/>
  <c r="E160" i="28"/>
  <c r="D160" i="28"/>
  <c r="C161" i="28"/>
  <c r="AU161" i="28" s="1"/>
  <c r="AR162" i="28"/>
  <c r="F51" i="9"/>
  <c r="E51" i="9"/>
  <c r="H51" i="9"/>
  <c r="D51" i="9"/>
  <c r="A53" i="9"/>
  <c r="AR54" i="9"/>
  <c r="AS54" i="9" s="1"/>
  <c r="C34" i="10"/>
  <c r="B34" i="10" s="1"/>
  <c r="K35" i="10"/>
  <c r="I51" i="9"/>
  <c r="B52" i="9"/>
  <c r="E52" i="9" s="1"/>
  <c r="C52" i="9"/>
  <c r="AV27" i="38"/>
  <c r="AS27" i="38"/>
  <c r="AT27" i="38" s="1"/>
  <c r="E27" i="38" s="1"/>
  <c r="B25" i="34"/>
  <c r="D25" i="34"/>
  <c r="I300" i="28"/>
  <c r="H300" i="28"/>
  <c r="B300" i="28"/>
  <c r="Q300" i="28" s="1" a="1"/>
  <c r="Q300" i="28" s="1"/>
  <c r="G300" i="28"/>
  <c r="F300" i="28"/>
  <c r="D300" i="28"/>
  <c r="E300" i="28"/>
  <c r="B28" i="35"/>
  <c r="AS301" i="28"/>
  <c r="C301" i="28"/>
  <c r="D296" i="28"/>
  <c r="B296" i="28"/>
  <c r="F296" i="28"/>
  <c r="E296" i="28"/>
  <c r="I296" i="28"/>
  <c r="H296" i="28"/>
  <c r="G296" i="28"/>
  <c r="J296" i="28"/>
  <c r="C26" i="34"/>
  <c r="C302" i="28"/>
  <c r="AR303" i="28"/>
  <c r="AS29" i="35"/>
  <c r="C29" i="35" s="1"/>
  <c r="N31" i="39"/>
  <c r="D31" i="39" s="1"/>
  <c r="A31" i="39" s="1"/>
  <c r="L32" i="39"/>
  <c r="O32" i="39"/>
  <c r="H27" i="36"/>
  <c r="G27" i="36"/>
  <c r="B27" i="36"/>
  <c r="I27" i="36" s="1"/>
  <c r="F27" i="36"/>
  <c r="J27" i="27"/>
  <c r="M28" i="36"/>
  <c r="H25" i="37"/>
  <c r="J28" i="35"/>
  <c r="D26" i="38" l="1"/>
  <c r="K300" i="28" a="1"/>
  <c r="K300" i="28" s="1"/>
  <c r="O300" i="28" a="1"/>
  <c r="O300" i="28" s="1"/>
  <c r="AE52" i="9"/>
  <c r="S52" i="9"/>
  <c r="AO52" i="9"/>
  <c r="AC52" i="9"/>
  <c r="Q52" i="9"/>
  <c r="AN52" i="9"/>
  <c r="AB52" i="9"/>
  <c r="P52" i="9"/>
  <c r="AL52" i="9"/>
  <c r="Z52" i="9"/>
  <c r="N52" i="9"/>
  <c r="AK52" i="9"/>
  <c r="Y52" i="9"/>
  <c r="AJ52" i="9"/>
  <c r="X52" i="9"/>
  <c r="L52" i="9"/>
  <c r="AI52" i="9"/>
  <c r="W52" i="9"/>
  <c r="K52" i="9"/>
  <c r="AF52" i="9"/>
  <c r="T52" i="9"/>
  <c r="O52" i="9"/>
  <c r="J52" i="9"/>
  <c r="AG52" i="9"/>
  <c r="U52" i="9"/>
  <c r="R52" i="9"/>
  <c r="AA52" i="9"/>
  <c r="AM52" i="9"/>
  <c r="AH52" i="9"/>
  <c r="AD52" i="9"/>
  <c r="V52" i="9"/>
  <c r="P300" i="28" a="1"/>
  <c r="P300" i="28" s="1"/>
  <c r="N300" i="28" a="1"/>
  <c r="N300" i="28" s="1"/>
  <c r="M300" i="28" a="1"/>
  <c r="M300" i="28" s="1"/>
  <c r="AP300" i="28" a="1"/>
  <c r="AP300" i="28" s="1"/>
  <c r="L300" i="28" a="1"/>
  <c r="L300" i="28" s="1"/>
  <c r="AO300" i="28" a="1"/>
  <c r="AO300" i="28" s="1"/>
  <c r="AU301" i="28"/>
  <c r="J301" i="28" s="1"/>
  <c r="AU302" i="28"/>
  <c r="AU303" i="28" s="1"/>
  <c r="I27" i="34"/>
  <c r="J27" i="34" s="1"/>
  <c r="C27" i="34" s="1"/>
  <c r="M26" i="34"/>
  <c r="N26" i="34"/>
  <c r="F28" i="35"/>
  <c r="D208" i="29"/>
  <c r="L209" i="29"/>
  <c r="H208" i="29"/>
  <c r="B208" i="29"/>
  <c r="G208" i="29" s="1"/>
  <c r="E208" i="29"/>
  <c r="F208" i="29"/>
  <c r="K210" i="29"/>
  <c r="C209" i="29"/>
  <c r="N209" i="29" s="1"/>
  <c r="D34" i="10"/>
  <c r="AP42" i="66"/>
  <c r="T10" i="66"/>
  <c r="V10" i="66"/>
  <c r="U10" i="66"/>
  <c r="BB66" i="63"/>
  <c r="F66" i="63" s="1"/>
  <c r="BA66" i="63"/>
  <c r="D65" i="63"/>
  <c r="Y12" i="66"/>
  <c r="AQ43" i="66"/>
  <c r="X12" i="66"/>
  <c r="W12" i="66"/>
  <c r="G34" i="10"/>
  <c r="AR164" i="28"/>
  <c r="AR163" i="28"/>
  <c r="C163" i="28" s="1"/>
  <c r="AU163" i="28" s="1"/>
  <c r="C162" i="28"/>
  <c r="AU162" i="28" s="1"/>
  <c r="D161" i="28"/>
  <c r="H161" i="28"/>
  <c r="G161" i="28"/>
  <c r="I161" i="28"/>
  <c r="F161" i="28"/>
  <c r="B161" i="28"/>
  <c r="E161" i="28"/>
  <c r="H34" i="10"/>
  <c r="E34" i="10"/>
  <c r="G52" i="9"/>
  <c r="F35" i="10"/>
  <c r="L35" i="10"/>
  <c r="I35" i="10"/>
  <c r="H52" i="9"/>
  <c r="D52" i="9"/>
  <c r="F52" i="9"/>
  <c r="A54" i="9"/>
  <c r="AR55" i="9"/>
  <c r="AS55" i="9" s="1"/>
  <c r="I52" i="9"/>
  <c r="C53" i="9"/>
  <c r="B53" i="9"/>
  <c r="G53" i="9" s="1"/>
  <c r="AS28" i="38"/>
  <c r="AT28" i="38" s="1"/>
  <c r="C28" i="38" s="1"/>
  <c r="D28" i="35"/>
  <c r="E28" i="35"/>
  <c r="AT30" i="35"/>
  <c r="AR30" i="35" s="1"/>
  <c r="G28" i="35"/>
  <c r="AV28" i="38"/>
  <c r="C27" i="38"/>
  <c r="AU27" i="38"/>
  <c r="J27" i="38" s="1"/>
  <c r="H28" i="35"/>
  <c r="C303" i="28"/>
  <c r="AR304" i="28"/>
  <c r="E301" i="28"/>
  <c r="D301" i="28"/>
  <c r="B301" i="28"/>
  <c r="AF301" i="28" s="1" a="1"/>
  <c r="AF301" i="28" s="1"/>
  <c r="G301" i="28"/>
  <c r="H301" i="28"/>
  <c r="I301" i="28"/>
  <c r="F301" i="28"/>
  <c r="AS302" i="28"/>
  <c r="AS303" i="28" s="1"/>
  <c r="A29" i="35"/>
  <c r="A26" i="34"/>
  <c r="E26" i="34"/>
  <c r="I28" i="35"/>
  <c r="C27" i="27"/>
  <c r="E27" i="36"/>
  <c r="D27" i="36"/>
  <c r="I25" i="37"/>
  <c r="K28" i="36"/>
  <c r="M32" i="39"/>
  <c r="C32" i="39" s="1"/>
  <c r="AC301" i="28" l="1" a="1"/>
  <c r="AC301" i="28" s="1"/>
  <c r="AI53" i="9"/>
  <c r="W53" i="9"/>
  <c r="K53" i="9"/>
  <c r="AG53" i="9"/>
  <c r="U53" i="9"/>
  <c r="AF53" i="9"/>
  <c r="T53" i="9"/>
  <c r="AD53" i="9"/>
  <c r="AO53" i="9"/>
  <c r="AC53" i="9"/>
  <c r="Q53" i="9"/>
  <c r="P53" i="9"/>
  <c r="AM53" i="9"/>
  <c r="AA53" i="9"/>
  <c r="O53" i="9"/>
  <c r="AJ53" i="9"/>
  <c r="X53" i="9"/>
  <c r="L53" i="9"/>
  <c r="S53" i="9"/>
  <c r="N53" i="9"/>
  <c r="AK53" i="9"/>
  <c r="AH53" i="9"/>
  <c r="AE53" i="9"/>
  <c r="Z53" i="9"/>
  <c r="V53" i="9"/>
  <c r="AL53" i="9"/>
  <c r="Y53" i="9"/>
  <c r="AN301" i="28" a="1"/>
  <c r="AN301" i="28" s="1"/>
  <c r="T301" i="28" a="1"/>
  <c r="T301" i="28" s="1"/>
  <c r="N301" i="28" a="1"/>
  <c r="N301" i="28" s="1"/>
  <c r="X301" i="28" a="1"/>
  <c r="X301" i="28" s="1"/>
  <c r="R301" i="28" a="1"/>
  <c r="R301" i="28" s="1"/>
  <c r="AO301" i="28" a="1"/>
  <c r="AO301" i="28" s="1"/>
  <c r="U301" i="28" a="1"/>
  <c r="U301" i="28" s="1"/>
  <c r="W301" i="28" a="1"/>
  <c r="W301" i="28" s="1"/>
  <c r="O301" i="28" a="1"/>
  <c r="O301" i="28" s="1"/>
  <c r="AJ301" i="28" a="1"/>
  <c r="AJ301" i="28" s="1"/>
  <c r="AP301" i="28" a="1"/>
  <c r="AP301" i="28" s="1"/>
  <c r="AI301" i="28" a="1"/>
  <c r="AI301" i="28" s="1"/>
  <c r="AL301" i="28" a="1"/>
  <c r="AL301" i="28" s="1"/>
  <c r="AD301" i="28" a="1"/>
  <c r="AD301" i="28" s="1"/>
  <c r="AH301" i="28" a="1"/>
  <c r="AH301" i="28" s="1"/>
  <c r="Z301" i="28" a="1"/>
  <c r="Z301" i="28" s="1"/>
  <c r="L301" i="28" a="1"/>
  <c r="L301" i="28" s="1"/>
  <c r="AB301" i="28" a="1"/>
  <c r="AB301" i="28" s="1"/>
  <c r="AK301" i="28" a="1"/>
  <c r="AK301" i="28" s="1"/>
  <c r="V301" i="28" a="1"/>
  <c r="V301" i="28" s="1"/>
  <c r="AE301" i="28" a="1"/>
  <c r="AE301" i="28" s="1"/>
  <c r="P301" i="28" a="1"/>
  <c r="P301" i="28" s="1"/>
  <c r="Y301" i="28" a="1"/>
  <c r="Y301" i="28" s="1"/>
  <c r="AM301" i="28" a="1"/>
  <c r="AM301" i="28" s="1"/>
  <c r="S301" i="28" a="1"/>
  <c r="S301" i="28" s="1"/>
  <c r="Q301" i="28" a="1"/>
  <c r="Q301" i="28" s="1"/>
  <c r="AG301" i="28" a="1"/>
  <c r="AG301" i="28" s="1"/>
  <c r="M301" i="28" a="1"/>
  <c r="M301" i="28" s="1"/>
  <c r="K301" i="28" a="1"/>
  <c r="K301" i="28" s="1"/>
  <c r="AA301" i="28" a="1"/>
  <c r="AA301" i="28" s="1"/>
  <c r="P27" i="27"/>
  <c r="M27" i="27"/>
  <c r="N27" i="27"/>
  <c r="O27" i="27"/>
  <c r="L26" i="34"/>
  <c r="F26" i="34" s="1"/>
  <c r="N27" i="34"/>
  <c r="M27" i="34"/>
  <c r="J303" i="28"/>
  <c r="J302" i="28"/>
  <c r="D209" i="29"/>
  <c r="A35" i="10"/>
  <c r="K211" i="29"/>
  <c r="L210" i="29"/>
  <c r="C210" i="29"/>
  <c r="N210" i="29" s="1"/>
  <c r="E209" i="29"/>
  <c r="F209" i="29"/>
  <c r="B209" i="29"/>
  <c r="G209" i="29" s="1"/>
  <c r="H209" i="29"/>
  <c r="BA67" i="63"/>
  <c r="BB67" i="63"/>
  <c r="F67" i="63" s="1"/>
  <c r="D66" i="63"/>
  <c r="AQ42" i="66"/>
  <c r="X11" i="66"/>
  <c r="Y11" i="66"/>
  <c r="W11" i="66"/>
  <c r="AP41" i="66"/>
  <c r="U9" i="66"/>
  <c r="V9" i="66"/>
  <c r="T9" i="66"/>
  <c r="G162" i="28"/>
  <c r="F162" i="28"/>
  <c r="B162" i="28"/>
  <c r="I162" i="28"/>
  <c r="H162" i="28"/>
  <c r="E162" i="28"/>
  <c r="D162" i="28"/>
  <c r="C164" i="28"/>
  <c r="AR165" i="28"/>
  <c r="D53" i="9"/>
  <c r="E53" i="9"/>
  <c r="F53" i="9"/>
  <c r="H53" i="9"/>
  <c r="C35" i="10"/>
  <c r="B35" i="10" s="1"/>
  <c r="K36" i="10"/>
  <c r="A55" i="9"/>
  <c r="AR56" i="9"/>
  <c r="AS56" i="9" s="1"/>
  <c r="C54" i="9"/>
  <c r="B54" i="9"/>
  <c r="I53" i="9"/>
  <c r="E28" i="38"/>
  <c r="D27" i="38"/>
  <c r="A27" i="38"/>
  <c r="B303" i="28"/>
  <c r="AM303" i="28" s="1" a="1"/>
  <c r="AM303" i="28" s="1"/>
  <c r="H303" i="28"/>
  <c r="G303" i="28"/>
  <c r="I303" i="28"/>
  <c r="F303" i="28"/>
  <c r="D303" i="28"/>
  <c r="B29" i="35"/>
  <c r="AS30" i="35"/>
  <c r="C30" i="35" s="1"/>
  <c r="AT31" i="35" s="1"/>
  <c r="I28" i="34"/>
  <c r="E27" i="34"/>
  <c r="A27" i="34"/>
  <c r="E303" i="28"/>
  <c r="D26" i="34"/>
  <c r="B26" i="34"/>
  <c r="I302" i="28"/>
  <c r="D302" i="28"/>
  <c r="H302" i="28"/>
  <c r="B302" i="28"/>
  <c r="G302" i="28"/>
  <c r="E302" i="28"/>
  <c r="F302" i="28"/>
  <c r="C304" i="28"/>
  <c r="AS304" i="28"/>
  <c r="AR305" i="28"/>
  <c r="N32" i="39"/>
  <c r="D32" i="39" s="1"/>
  <c r="A32" i="39" s="1"/>
  <c r="L33" i="39"/>
  <c r="O33" i="39"/>
  <c r="L28" i="36"/>
  <c r="C28" i="36" s="1"/>
  <c r="A28" i="36" s="1"/>
  <c r="A27" i="27"/>
  <c r="D27" i="27" s="1"/>
  <c r="I28" i="27"/>
  <c r="C25" i="37"/>
  <c r="A25" i="37" s="1"/>
  <c r="D25" i="37" s="1"/>
  <c r="J29" i="35"/>
  <c r="AU28" i="38" l="1"/>
  <c r="D28" i="38" s="1"/>
  <c r="AM54" i="9"/>
  <c r="AA54" i="9"/>
  <c r="O54" i="9"/>
  <c r="AK54" i="9"/>
  <c r="Y54" i="9"/>
  <c r="AJ54" i="9"/>
  <c r="X54" i="9"/>
  <c r="L54" i="9"/>
  <c r="AH54" i="9"/>
  <c r="V54" i="9"/>
  <c r="AG54" i="9"/>
  <c r="U54" i="9"/>
  <c r="AF54" i="9"/>
  <c r="T54" i="9"/>
  <c r="AE54" i="9"/>
  <c r="S54" i="9"/>
  <c r="P54" i="9"/>
  <c r="W54" i="9"/>
  <c r="Q54" i="9"/>
  <c r="N54" i="9"/>
  <c r="AO54" i="9"/>
  <c r="AL54" i="9"/>
  <c r="Z54" i="9"/>
  <c r="AD54" i="9"/>
  <c r="AI54" i="9"/>
  <c r="AC54" i="9"/>
  <c r="K54" i="9"/>
  <c r="L303" i="28" a="1"/>
  <c r="L303" i="28" s="1"/>
  <c r="AO303" i="28" a="1"/>
  <c r="AO303" i="28" s="1"/>
  <c r="U303" i="28" a="1"/>
  <c r="U303" i="28" s="1"/>
  <c r="AG303" i="28" a="1"/>
  <c r="AG303" i="28" s="1"/>
  <c r="AD303" i="28" a="1"/>
  <c r="AD303" i="28" s="1"/>
  <c r="AA303" i="28" a="1"/>
  <c r="AA303" i="28" s="1"/>
  <c r="Y303" i="28" a="1"/>
  <c r="Y303" i="28" s="1"/>
  <c r="AI303" i="28" a="1"/>
  <c r="AI303" i="28" s="1"/>
  <c r="O303" i="28" a="1"/>
  <c r="O303" i="28" s="1"/>
  <c r="S303" i="28" a="1"/>
  <c r="S303" i="28" s="1"/>
  <c r="AC303" i="28" a="1"/>
  <c r="AC303" i="28" s="1"/>
  <c r="AH303" i="28" a="1"/>
  <c r="AH303" i="28" s="1"/>
  <c r="AE303" i="28" a="1"/>
  <c r="AE303" i="28" s="1"/>
  <c r="W303" i="28" a="1"/>
  <c r="W303" i="28" s="1"/>
  <c r="P303" i="28" a="1"/>
  <c r="P303" i="28" s="1"/>
  <c r="M303" i="28" a="1"/>
  <c r="M303" i="28" s="1"/>
  <c r="Q303" i="28" a="1"/>
  <c r="Q303" i="28" s="1"/>
  <c r="AL303" i="28" a="1"/>
  <c r="AL303" i="28" s="1"/>
  <c r="AK303" i="28" a="1"/>
  <c r="AK303" i="28" s="1"/>
  <c r="K303" i="28" a="1"/>
  <c r="K303" i="28" s="1"/>
  <c r="AF303" i="28" a="1"/>
  <c r="AF303" i="28" s="1"/>
  <c r="AP303" i="28" a="1"/>
  <c r="AP303" i="28" s="1"/>
  <c r="AB303" i="28" a="1"/>
  <c r="AB303" i="28" s="1"/>
  <c r="Z303" i="28" a="1"/>
  <c r="Z303" i="28" s="1"/>
  <c r="W302" i="28" a="1"/>
  <c r="W302" i="28" s="1"/>
  <c r="AK302" i="28" a="1"/>
  <c r="AK302" i="28" s="1"/>
  <c r="AC302" i="28" a="1"/>
  <c r="AC302" i="28" s="1"/>
  <c r="N302" i="28" a="1"/>
  <c r="N302" i="28" s="1"/>
  <c r="M302" i="28" a="1"/>
  <c r="M302" i="28" s="1"/>
  <c r="AA302" i="28" a="1"/>
  <c r="AA302" i="28" s="1"/>
  <c r="AI302" i="28" a="1"/>
  <c r="AI302" i="28" s="1"/>
  <c r="T302" i="28" a="1"/>
  <c r="T302" i="28" s="1"/>
  <c r="AN302" i="28" a="1"/>
  <c r="AN302" i="28" s="1"/>
  <c r="AP302" i="28" a="1"/>
  <c r="AP302" i="28" s="1"/>
  <c r="AM302" i="28" a="1"/>
  <c r="AM302" i="28" s="1"/>
  <c r="P302" i="28" a="1"/>
  <c r="P302" i="28" s="1"/>
  <c r="AO302" i="28" a="1"/>
  <c r="AO302" i="28" s="1"/>
  <c r="Z302" i="28" a="1"/>
  <c r="Z302" i="28" s="1"/>
  <c r="V302" i="28" a="1"/>
  <c r="V302" i="28" s="1"/>
  <c r="L302" i="28" a="1"/>
  <c r="L302" i="28" s="1"/>
  <c r="AF302" i="28" a="1"/>
  <c r="AF302" i="28" s="1"/>
  <c r="R302" i="28" a="1"/>
  <c r="R302" i="28" s="1"/>
  <c r="AB302" i="28" a="1"/>
  <c r="AB302" i="28" s="1"/>
  <c r="AD302" i="28" a="1"/>
  <c r="AD302" i="28" s="1"/>
  <c r="AL302" i="28" a="1"/>
  <c r="AL302" i="28" s="1"/>
  <c r="AH302" i="28" a="1"/>
  <c r="AH302" i="28" s="1"/>
  <c r="X302" i="28" a="1"/>
  <c r="X302" i="28" s="1"/>
  <c r="AG302" i="28" a="1"/>
  <c r="AG302" i="28" s="1"/>
  <c r="AJ302" i="28" a="1"/>
  <c r="AJ302" i="28" s="1"/>
  <c r="S302" i="28" a="1"/>
  <c r="S302" i="28" s="1"/>
  <c r="O302" i="28" a="1"/>
  <c r="O302" i="28" s="1"/>
  <c r="Q302" i="28" a="1"/>
  <c r="Q302" i="28" s="1"/>
  <c r="K302" i="28" a="1"/>
  <c r="K302" i="28" s="1"/>
  <c r="Y302" i="28" a="1"/>
  <c r="Y302" i="28" s="1"/>
  <c r="U302" i="28" a="1"/>
  <c r="U302" i="28" s="1"/>
  <c r="AE302" i="28" a="1"/>
  <c r="AE302" i="28" s="1"/>
  <c r="X303" i="28" a="1"/>
  <c r="X303" i="28" s="1"/>
  <c r="AN303" i="28" a="1"/>
  <c r="AN303" i="28" s="1"/>
  <c r="T303" i="28" a="1"/>
  <c r="T303" i="28" s="1"/>
  <c r="R303" i="28" a="1"/>
  <c r="R303" i="28" s="1"/>
  <c r="V303" i="28" a="1"/>
  <c r="V303" i="28" s="1"/>
  <c r="N303" i="28" a="1"/>
  <c r="N303" i="28" s="1"/>
  <c r="AJ303" i="28" a="1"/>
  <c r="AJ303" i="28" s="1"/>
  <c r="AU304" i="28"/>
  <c r="J304" i="28" s="1"/>
  <c r="L27" i="27"/>
  <c r="F27" i="27" s="1"/>
  <c r="L27" i="34"/>
  <c r="F27" i="34" s="1"/>
  <c r="AU164" i="28"/>
  <c r="J164" i="28" s="1"/>
  <c r="E164" i="28"/>
  <c r="F29" i="35"/>
  <c r="D210" i="29"/>
  <c r="H35" i="10"/>
  <c r="D163" i="28"/>
  <c r="F210" i="29"/>
  <c r="L211" i="29"/>
  <c r="B210" i="29"/>
  <c r="G210" i="29" s="1"/>
  <c r="H210" i="29"/>
  <c r="E210" i="29"/>
  <c r="K212" i="29"/>
  <c r="C211" i="29"/>
  <c r="N211" i="29" s="1"/>
  <c r="AQ41" i="66"/>
  <c r="X10" i="66"/>
  <c r="Y10" i="66"/>
  <c r="W10" i="66"/>
  <c r="BB68" i="63"/>
  <c r="F68" i="63" s="1"/>
  <c r="D67" i="63"/>
  <c r="BA68" i="63"/>
  <c r="AV29" i="38"/>
  <c r="AS29" i="38"/>
  <c r="AT29" i="38" s="1"/>
  <c r="C29" i="38" s="1"/>
  <c r="I164" i="28"/>
  <c r="G164" i="28"/>
  <c r="H164" i="28"/>
  <c r="F164" i="28"/>
  <c r="B164" i="28"/>
  <c r="B163" i="28"/>
  <c r="I163" i="28"/>
  <c r="F163" i="28"/>
  <c r="H163" i="28"/>
  <c r="G163" i="28"/>
  <c r="E163" i="28"/>
  <c r="C165" i="28"/>
  <c r="AR166" i="28"/>
  <c r="E54" i="9"/>
  <c r="H54" i="9"/>
  <c r="B55" i="9"/>
  <c r="G55" i="9" s="1"/>
  <c r="C55" i="9"/>
  <c r="I36" i="10"/>
  <c r="L36" i="10"/>
  <c r="F36" i="10"/>
  <c r="A56" i="9"/>
  <c r="AR57" i="9"/>
  <c r="AS57" i="9" s="1"/>
  <c r="G35" i="10"/>
  <c r="I54" i="9"/>
  <c r="F54" i="9"/>
  <c r="D35" i="10"/>
  <c r="G54" i="9"/>
  <c r="E35" i="10"/>
  <c r="D54" i="9"/>
  <c r="D29" i="35"/>
  <c r="I29" i="35"/>
  <c r="E29" i="35"/>
  <c r="AR31" i="35"/>
  <c r="D27" i="34"/>
  <c r="B27" i="34"/>
  <c r="C305" i="28"/>
  <c r="AR306" i="28"/>
  <c r="F304" i="28"/>
  <c r="I304" i="28"/>
  <c r="H304" i="28"/>
  <c r="G304" i="28"/>
  <c r="B304" i="28"/>
  <c r="L304" i="28" s="1" a="1"/>
  <c r="L304" i="28" s="1"/>
  <c r="AS305" i="28"/>
  <c r="E304" i="28"/>
  <c r="H29" i="35"/>
  <c r="J28" i="34"/>
  <c r="C28" i="34" s="1"/>
  <c r="A30" i="35"/>
  <c r="G29" i="35"/>
  <c r="M29" i="36"/>
  <c r="H28" i="36"/>
  <c r="F28" i="36"/>
  <c r="G28" i="36"/>
  <c r="B28" i="36"/>
  <c r="I28" i="36" s="1"/>
  <c r="J28" i="27"/>
  <c r="H26" i="37"/>
  <c r="M33" i="39"/>
  <c r="C33" i="39" s="1"/>
  <c r="J28" i="38" l="1"/>
  <c r="A28" i="38" s="1"/>
  <c r="AE55" i="9"/>
  <c r="S55" i="9"/>
  <c r="AO55" i="9"/>
  <c r="AC55" i="9"/>
  <c r="Q55" i="9"/>
  <c r="P55" i="9"/>
  <c r="AL55" i="9"/>
  <c r="Z55" i="9"/>
  <c r="N55" i="9"/>
  <c r="AK55" i="9"/>
  <c r="Y55" i="9"/>
  <c r="AJ55" i="9"/>
  <c r="X55" i="9"/>
  <c r="L55" i="9"/>
  <c r="AI55" i="9"/>
  <c r="W55" i="9"/>
  <c r="K55" i="9"/>
  <c r="AF55" i="9"/>
  <c r="T55" i="9"/>
  <c r="AA55" i="9"/>
  <c r="U55" i="9"/>
  <c r="V55" i="9"/>
  <c r="AM55" i="9"/>
  <c r="AH55" i="9"/>
  <c r="AD55" i="9"/>
  <c r="O55" i="9"/>
  <c r="AG55" i="9"/>
  <c r="AB304" i="28" a="1"/>
  <c r="AB304" i="28" s="1"/>
  <c r="Y304" i="28" a="1"/>
  <c r="Y304" i="28" s="1"/>
  <c r="AE304" i="28" a="1"/>
  <c r="AE304" i="28" s="1"/>
  <c r="AM304" i="28" a="1"/>
  <c r="AM304" i="28" s="1"/>
  <c r="M304" i="28" a="1"/>
  <c r="M304" i="28" s="1"/>
  <c r="K304" i="28" a="1"/>
  <c r="K304" i="28" s="1"/>
  <c r="AG304" i="28" a="1"/>
  <c r="AG304" i="28" s="1"/>
  <c r="AF304" i="28" a="1"/>
  <c r="AF304" i="28" s="1"/>
  <c r="AN304" i="28" a="1"/>
  <c r="AN304" i="28" s="1"/>
  <c r="S304" i="28" a="1"/>
  <c r="S304" i="28" s="1"/>
  <c r="AC304" i="28" a="1"/>
  <c r="AC304" i="28" s="1"/>
  <c r="AA304" i="28" a="1"/>
  <c r="AA304" i="28" s="1"/>
  <c r="N304" i="28" a="1"/>
  <c r="N304" i="28" s="1"/>
  <c r="W304" i="28" a="1"/>
  <c r="W304" i="28" s="1"/>
  <c r="U304" i="28" a="1"/>
  <c r="U304" i="28" s="1"/>
  <c r="AP304" i="28" a="1"/>
  <c r="AP304" i="28" s="1"/>
  <c r="P304" i="28" a="1"/>
  <c r="P304" i="28" s="1"/>
  <c r="AI304" i="28" a="1"/>
  <c r="AI304" i="28" s="1"/>
  <c r="O304" i="28" a="1"/>
  <c r="O304" i="28" s="1"/>
  <c r="AJ304" i="28" a="1"/>
  <c r="AJ304" i="28" s="1"/>
  <c r="Q304" i="28" a="1"/>
  <c r="Q304" i="28" s="1"/>
  <c r="AL304" i="28" a="1"/>
  <c r="AL304" i="28" s="1"/>
  <c r="AD304" i="28" a="1"/>
  <c r="AD304" i="28" s="1"/>
  <c r="AO304" i="28" a="1"/>
  <c r="AO304" i="28" s="1"/>
  <c r="T304" i="28" a="1"/>
  <c r="T304" i="28" s="1"/>
  <c r="X304" i="28" a="1"/>
  <c r="X304" i="28" s="1"/>
  <c r="AH304" i="28" a="1"/>
  <c r="AH304" i="28" s="1"/>
  <c r="Z304" i="28" a="1"/>
  <c r="Z304" i="28" s="1"/>
  <c r="R304" i="28" a="1"/>
  <c r="R304" i="28" s="1"/>
  <c r="V304" i="28" a="1"/>
  <c r="V304" i="28" s="1"/>
  <c r="AK304" i="28" a="1"/>
  <c r="AK304" i="28" s="1"/>
  <c r="D304" i="28"/>
  <c r="M28" i="34"/>
  <c r="N28" i="34"/>
  <c r="AU305" i="28"/>
  <c r="J305" i="28" s="1"/>
  <c r="E305" i="28"/>
  <c r="AU165" i="28"/>
  <c r="J165" i="28" s="1"/>
  <c r="E165" i="28"/>
  <c r="D211" i="29"/>
  <c r="K213" i="29"/>
  <c r="C212" i="29"/>
  <c r="N212" i="29" s="1"/>
  <c r="D212" i="29" s="1"/>
  <c r="E211" i="29"/>
  <c r="F211" i="29"/>
  <c r="H211" i="29"/>
  <c r="L212" i="29"/>
  <c r="B211" i="29"/>
  <c r="G211" i="29" s="1"/>
  <c r="D68" i="63"/>
  <c r="BB69" i="63"/>
  <c r="F69" i="63" s="1"/>
  <c r="BA69" i="63"/>
  <c r="X9" i="66"/>
  <c r="Y9" i="66"/>
  <c r="W9" i="66"/>
  <c r="H165" i="28"/>
  <c r="G165" i="28"/>
  <c r="F165" i="28"/>
  <c r="I165" i="28"/>
  <c r="B165" i="28"/>
  <c r="AR168" i="28"/>
  <c r="AR167" i="28"/>
  <c r="C167" i="28" s="1"/>
  <c r="AU167" i="28" s="1"/>
  <c r="C166" i="28"/>
  <c r="AU166" i="28" s="1"/>
  <c r="H55" i="9"/>
  <c r="F55" i="9"/>
  <c r="E55" i="9"/>
  <c r="D55" i="9"/>
  <c r="B56" i="9"/>
  <c r="E56" i="9" s="1"/>
  <c r="C56" i="9"/>
  <c r="A36" i="10"/>
  <c r="K37" i="10"/>
  <c r="C36" i="10"/>
  <c r="B36" i="10" s="1"/>
  <c r="AR58" i="9"/>
  <c r="AS58" i="9" s="1"/>
  <c r="A57" i="9"/>
  <c r="I55" i="9"/>
  <c r="B30" i="35"/>
  <c r="AR307" i="28"/>
  <c r="C306" i="28"/>
  <c r="H305" i="28"/>
  <c r="G305" i="28"/>
  <c r="F305" i="28"/>
  <c r="I305" i="28"/>
  <c r="B305" i="28"/>
  <c r="AP305" i="28" s="1" a="1"/>
  <c r="AP305" i="28" s="1"/>
  <c r="AS306" i="28"/>
  <c r="E28" i="34"/>
  <c r="A28" i="34"/>
  <c r="I29" i="34"/>
  <c r="J29" i="34" s="1"/>
  <c r="AS31" i="35"/>
  <c r="C31" i="35" s="1"/>
  <c r="D28" i="36"/>
  <c r="E28" i="36"/>
  <c r="N33" i="39"/>
  <c r="D33" i="39" s="1"/>
  <c r="A33" i="39" s="1"/>
  <c r="L34" i="39"/>
  <c r="O34" i="39"/>
  <c r="C28" i="27"/>
  <c r="K29" i="36"/>
  <c r="E29" i="38"/>
  <c r="I26" i="37"/>
  <c r="C26" i="37" s="1"/>
  <c r="A26" i="37" s="1"/>
  <c r="D26" i="37" s="1"/>
  <c r="J30" i="35"/>
  <c r="V305" i="28" l="1" a="1"/>
  <c r="V305" i="28" s="1"/>
  <c r="L305" i="28" a="1"/>
  <c r="L305" i="28" s="1"/>
  <c r="AI56" i="9"/>
  <c r="W56" i="9"/>
  <c r="K56" i="9"/>
  <c r="AG56" i="9"/>
  <c r="U56" i="9"/>
  <c r="AF56" i="9"/>
  <c r="T56" i="9"/>
  <c r="AD56" i="9"/>
  <c r="AO56" i="9"/>
  <c r="AC56" i="9"/>
  <c r="Q56" i="9"/>
  <c r="P56" i="9"/>
  <c r="AM56" i="9"/>
  <c r="AA56" i="9"/>
  <c r="O56" i="9"/>
  <c r="AJ56" i="9"/>
  <c r="X56" i="9"/>
  <c r="L56" i="9"/>
  <c r="AE56" i="9"/>
  <c r="Y56" i="9"/>
  <c r="Z56" i="9"/>
  <c r="V56" i="9"/>
  <c r="AH56" i="9"/>
  <c r="N56" i="9"/>
  <c r="S56" i="9"/>
  <c r="AL56" i="9"/>
  <c r="AK56" i="9"/>
  <c r="AO305" i="28" a="1"/>
  <c r="AO305" i="28" s="1"/>
  <c r="P305" i="28" a="1"/>
  <c r="P305" i="28" s="1"/>
  <c r="T305" i="28" a="1"/>
  <c r="T305" i="28" s="1"/>
  <c r="AF305" i="28" a="1"/>
  <c r="AF305" i="28" s="1"/>
  <c r="AM305" i="28" a="1"/>
  <c r="AM305" i="28" s="1"/>
  <c r="AN305" i="28" a="1"/>
  <c r="AN305" i="28" s="1"/>
  <c r="U305" i="28" a="1"/>
  <c r="U305" i="28" s="1"/>
  <c r="X305" i="28" a="1"/>
  <c r="X305" i="28" s="1"/>
  <c r="AH305" i="28" a="1"/>
  <c r="AH305" i="28" s="1"/>
  <c r="AL305" i="28" a="1"/>
  <c r="AL305" i="28" s="1"/>
  <c r="AJ305" i="28" a="1"/>
  <c r="AJ305" i="28" s="1"/>
  <c r="AB305" i="28" a="1"/>
  <c r="AB305" i="28" s="1"/>
  <c r="Z305" i="28" a="1"/>
  <c r="Z305" i="28" s="1"/>
  <c r="AI305" i="28" a="1"/>
  <c r="AI305" i="28" s="1"/>
  <c r="N305" i="28" a="1"/>
  <c r="N305" i="28" s="1"/>
  <c r="W305" i="28" a="1"/>
  <c r="W305" i="28" s="1"/>
  <c r="AK305" i="28" a="1"/>
  <c r="AK305" i="28" s="1"/>
  <c r="Q305" i="28" a="1"/>
  <c r="Q305" i="28" s="1"/>
  <c r="AE305" i="28" a="1"/>
  <c r="AE305" i="28" s="1"/>
  <c r="K305" i="28" a="1"/>
  <c r="K305" i="28" s="1"/>
  <c r="AG305" i="28" a="1"/>
  <c r="AG305" i="28" s="1"/>
  <c r="Y305" i="28" a="1"/>
  <c r="Y305" i="28" s="1"/>
  <c r="AD305" i="28" a="1"/>
  <c r="AD305" i="28" s="1"/>
  <c r="O305" i="28" a="1"/>
  <c r="O305" i="28" s="1"/>
  <c r="S305" i="28" a="1"/>
  <c r="S305" i="28" s="1"/>
  <c r="R305" i="28" a="1"/>
  <c r="R305" i="28" s="1"/>
  <c r="AA305" i="28" a="1"/>
  <c r="AA305" i="28" s="1"/>
  <c r="M305" i="28" a="1"/>
  <c r="M305" i="28" s="1"/>
  <c r="AC305" i="28" a="1"/>
  <c r="AC305" i="28" s="1"/>
  <c r="M28" i="27"/>
  <c r="N28" i="27"/>
  <c r="O28" i="27"/>
  <c r="P28" i="27"/>
  <c r="I29" i="27"/>
  <c r="J29" i="27" s="1"/>
  <c r="L28" i="34"/>
  <c r="F28" i="34" s="1"/>
  <c r="AU306" i="28"/>
  <c r="J306" i="28" s="1"/>
  <c r="E306" i="28"/>
  <c r="E30" i="35"/>
  <c r="H212" i="29"/>
  <c r="E212" i="29"/>
  <c r="B212" i="29"/>
  <c r="G212" i="29" s="1"/>
  <c r="L213" i="29"/>
  <c r="F212" i="29"/>
  <c r="K214" i="29"/>
  <c r="C213" i="29"/>
  <c r="N213" i="29" s="1"/>
  <c r="D69" i="63"/>
  <c r="BB70" i="63"/>
  <c r="F70" i="63" s="1"/>
  <c r="BA70" i="63"/>
  <c r="AR170" i="28"/>
  <c r="C168" i="28"/>
  <c r="AU168" i="28" s="1"/>
  <c r="I166" i="28"/>
  <c r="H166" i="28"/>
  <c r="F166" i="28"/>
  <c r="E166" i="28"/>
  <c r="B166" i="28"/>
  <c r="D166" i="28"/>
  <c r="G166" i="28"/>
  <c r="H56" i="9"/>
  <c r="D56" i="9"/>
  <c r="F56" i="9"/>
  <c r="G56" i="9"/>
  <c r="L37" i="10"/>
  <c r="F37" i="10"/>
  <c r="I37" i="10"/>
  <c r="C57" i="9"/>
  <c r="B57" i="9"/>
  <c r="AR59" i="9"/>
  <c r="AS59" i="9" s="1"/>
  <c r="A58" i="9"/>
  <c r="H36" i="10"/>
  <c r="E36" i="10"/>
  <c r="D36" i="10"/>
  <c r="G36" i="10"/>
  <c r="I56" i="9"/>
  <c r="H30" i="35"/>
  <c r="I30" i="35"/>
  <c r="F30" i="35"/>
  <c r="D30" i="35"/>
  <c r="C29" i="34"/>
  <c r="B28" i="34"/>
  <c r="D28" i="34"/>
  <c r="G30" i="35"/>
  <c r="A31" i="35"/>
  <c r="I306" i="28"/>
  <c r="H306" i="28"/>
  <c r="G306" i="28"/>
  <c r="AS307" i="28"/>
  <c r="F306" i="28"/>
  <c r="B306" i="28"/>
  <c r="N306" i="28" s="1" a="1"/>
  <c r="N306" i="28" s="1"/>
  <c r="AT32" i="35"/>
  <c r="AR32" i="35" s="1"/>
  <c r="C307" i="28"/>
  <c r="AR308" i="28"/>
  <c r="AU29" i="38"/>
  <c r="D29" i="38" s="1"/>
  <c r="AS30" i="38"/>
  <c r="AV30" i="38"/>
  <c r="L29" i="36"/>
  <c r="C29" i="36" s="1"/>
  <c r="A29" i="36" s="1"/>
  <c r="A28" i="27"/>
  <c r="D28" i="27" s="1"/>
  <c r="H27" i="37"/>
  <c r="M34" i="39"/>
  <c r="C34" i="39" s="1"/>
  <c r="J29" i="38" l="1"/>
  <c r="A29" i="38" s="1"/>
  <c r="AM57" i="9"/>
  <c r="AA57" i="9"/>
  <c r="O57" i="9"/>
  <c r="AK57" i="9"/>
  <c r="Y57" i="9"/>
  <c r="AJ57" i="9"/>
  <c r="X57" i="9"/>
  <c r="L57" i="9"/>
  <c r="AH57" i="9"/>
  <c r="V57" i="9"/>
  <c r="AG57" i="9"/>
  <c r="U57" i="9"/>
  <c r="AF57" i="9"/>
  <c r="T57" i="9"/>
  <c r="AE57" i="9"/>
  <c r="S57" i="9"/>
  <c r="P57" i="9"/>
  <c r="AI57" i="9"/>
  <c r="AC57" i="9"/>
  <c r="AD57" i="9"/>
  <c r="Z57" i="9"/>
  <c r="Q57" i="9"/>
  <c r="N57" i="9"/>
  <c r="AL57" i="9"/>
  <c r="W57" i="9"/>
  <c r="K57" i="9"/>
  <c r="AO57" i="9"/>
  <c r="R306" i="28" a="1"/>
  <c r="R306" i="28" s="1"/>
  <c r="AO306" i="28" a="1"/>
  <c r="AO306" i="28" s="1"/>
  <c r="AI306" i="28" a="1"/>
  <c r="AI306" i="28" s="1"/>
  <c r="AM306" i="28" a="1"/>
  <c r="AM306" i="28" s="1"/>
  <c r="AA306" i="28" a="1"/>
  <c r="AA306" i="28" s="1"/>
  <c r="U306" i="28" a="1"/>
  <c r="U306" i="28" s="1"/>
  <c r="O306" i="28" a="1"/>
  <c r="O306" i="28" s="1"/>
  <c r="S306" i="28" a="1"/>
  <c r="S306" i="28" s="1"/>
  <c r="AD306" i="28" a="1"/>
  <c r="AD306" i="28" s="1"/>
  <c r="L306" i="28" a="1"/>
  <c r="L306" i="28" s="1"/>
  <c r="AG306" i="28" a="1"/>
  <c r="AG306" i="28" s="1"/>
  <c r="AK306" i="28" a="1"/>
  <c r="AK306" i="28" s="1"/>
  <c r="AC306" i="28" a="1"/>
  <c r="AC306" i="28" s="1"/>
  <c r="AB306" i="28" a="1"/>
  <c r="AB306" i="28" s="1"/>
  <c r="AE306" i="28" a="1"/>
  <c r="AE306" i="28" s="1"/>
  <c r="W306" i="28" a="1"/>
  <c r="W306" i="28" s="1"/>
  <c r="P306" i="28" a="1"/>
  <c r="P306" i="28" s="1"/>
  <c r="Y306" i="28" a="1"/>
  <c r="Y306" i="28" s="1"/>
  <c r="Q306" i="28" a="1"/>
  <c r="Q306" i="28" s="1"/>
  <c r="AL306" i="28" a="1"/>
  <c r="AL306" i="28" s="1"/>
  <c r="M306" i="28" a="1"/>
  <c r="M306" i="28" s="1"/>
  <c r="K306" i="28" a="1"/>
  <c r="K306" i="28" s="1"/>
  <c r="AF306" i="28" a="1"/>
  <c r="AF306" i="28" s="1"/>
  <c r="AJ306" i="28" a="1"/>
  <c r="AJ306" i="28" s="1"/>
  <c r="AH306" i="28" a="1"/>
  <c r="AH306" i="28" s="1"/>
  <c r="Z306" i="28" a="1"/>
  <c r="Z306" i="28" s="1"/>
  <c r="X306" i="28" a="1"/>
  <c r="X306" i="28" s="1"/>
  <c r="AN306" i="28" a="1"/>
  <c r="AN306" i="28" s="1"/>
  <c r="T306" i="28" a="1"/>
  <c r="T306" i="28" s="1"/>
  <c r="AP306" i="28" a="1"/>
  <c r="AP306" i="28" s="1"/>
  <c r="V306" i="28" a="1"/>
  <c r="V306" i="28" s="1"/>
  <c r="AU307" i="28"/>
  <c r="J307" i="28" s="1"/>
  <c r="L28" i="27"/>
  <c r="F28" i="27" s="1"/>
  <c r="M29" i="34"/>
  <c r="N29" i="34"/>
  <c r="D213" i="29"/>
  <c r="A37" i="10"/>
  <c r="K215" i="29"/>
  <c r="C214" i="29"/>
  <c r="N214" i="29" s="1"/>
  <c r="H213" i="29"/>
  <c r="E213" i="29"/>
  <c r="L214" i="29"/>
  <c r="F213" i="29"/>
  <c r="B213" i="29"/>
  <c r="G213" i="29" s="1"/>
  <c r="BA71" i="63"/>
  <c r="D70" i="63"/>
  <c r="BB71" i="63"/>
  <c r="F71" i="63" s="1"/>
  <c r="D167" i="28"/>
  <c r="H167" i="28"/>
  <c r="G167" i="28"/>
  <c r="E167" i="28"/>
  <c r="I167" i="28"/>
  <c r="J168" i="28"/>
  <c r="F167" i="28"/>
  <c r="B167" i="28"/>
  <c r="AR171" i="28"/>
  <c r="C170" i="28"/>
  <c r="AU170" i="28" s="1"/>
  <c r="F57" i="9"/>
  <c r="H57" i="9"/>
  <c r="D57" i="9"/>
  <c r="G57" i="9"/>
  <c r="A59" i="9"/>
  <c r="AR60" i="9"/>
  <c r="AS60" i="9" s="1"/>
  <c r="E57" i="9"/>
  <c r="I57" i="9"/>
  <c r="C58" i="9"/>
  <c r="B58" i="9"/>
  <c r="G58" i="9" s="1"/>
  <c r="C37" i="10"/>
  <c r="B37" i="10" s="1"/>
  <c r="K38" i="10"/>
  <c r="A29" i="34"/>
  <c r="D29" i="34" s="1"/>
  <c r="I30" i="34"/>
  <c r="J30" i="34" s="1"/>
  <c r="E29" i="34"/>
  <c r="AS32" i="35"/>
  <c r="C32" i="35" s="1"/>
  <c r="AT33" i="35" s="1"/>
  <c r="AR33" i="35" s="1"/>
  <c r="AS33" i="35" s="1"/>
  <c r="C33" i="35" s="1"/>
  <c r="B307" i="28"/>
  <c r="R307" i="28" s="1" a="1"/>
  <c r="R307" i="28" s="1"/>
  <c r="AS308" i="28"/>
  <c r="G307" i="28"/>
  <c r="D307" i="28"/>
  <c r="I307" i="28"/>
  <c r="F307" i="28"/>
  <c r="E307" i="28"/>
  <c r="H307" i="28"/>
  <c r="B31" i="35"/>
  <c r="C308" i="28"/>
  <c r="AR309" i="28"/>
  <c r="AR311" i="28" s="1"/>
  <c r="C311" i="28" s="1"/>
  <c r="N34" i="39"/>
  <c r="D34" i="39" s="1"/>
  <c r="A34" i="39" s="1"/>
  <c r="O35" i="39"/>
  <c r="L35" i="39"/>
  <c r="M30" i="36"/>
  <c r="G29" i="36"/>
  <c r="B29" i="36"/>
  <c r="I29" i="36" s="1"/>
  <c r="H29" i="36"/>
  <c r="F29" i="36"/>
  <c r="AT30" i="38"/>
  <c r="E30" i="38" s="1"/>
  <c r="I27" i="37"/>
  <c r="C27" i="37" s="1"/>
  <c r="A27" i="37" s="1"/>
  <c r="D27" i="37" s="1"/>
  <c r="C29" i="27"/>
  <c r="J31" i="35"/>
  <c r="AE58" i="9" l="1"/>
  <c r="S58" i="9"/>
  <c r="AO58" i="9"/>
  <c r="AC58" i="9"/>
  <c r="Q58" i="9"/>
  <c r="P58" i="9"/>
  <c r="AL58" i="9"/>
  <c r="Z58" i="9"/>
  <c r="N58" i="9"/>
  <c r="AK58" i="9"/>
  <c r="Y58" i="9"/>
  <c r="AJ58" i="9"/>
  <c r="X58" i="9"/>
  <c r="L58" i="9"/>
  <c r="AI58" i="9"/>
  <c r="W58" i="9"/>
  <c r="K58" i="9"/>
  <c r="AF58" i="9"/>
  <c r="T58" i="9"/>
  <c r="AM58" i="9"/>
  <c r="AH58" i="9"/>
  <c r="AD58" i="9"/>
  <c r="U58" i="9"/>
  <c r="AG58" i="9"/>
  <c r="O58" i="9"/>
  <c r="AA58" i="9"/>
  <c r="V58" i="9"/>
  <c r="AE307" i="28" a="1"/>
  <c r="AE307" i="28" s="1"/>
  <c r="AB307" i="28" a="1"/>
  <c r="AB307" i="28" s="1"/>
  <c r="S307" i="28" a="1"/>
  <c r="S307" i="28" s="1"/>
  <c r="P307" i="28" a="1"/>
  <c r="P307" i="28" s="1"/>
  <c r="N307" i="28" a="1"/>
  <c r="N307" i="28" s="1"/>
  <c r="AF307" i="28" a="1"/>
  <c r="AF307" i="28" s="1"/>
  <c r="AM307" i="28" a="1"/>
  <c r="AM307" i="28" s="1"/>
  <c r="AK307" i="28" a="1"/>
  <c r="AK307" i="28" s="1"/>
  <c r="AH307" i="28" a="1"/>
  <c r="AH307" i="28" s="1"/>
  <c r="W307" i="28" a="1"/>
  <c r="W307" i="28" s="1"/>
  <c r="AG307" i="28" a="1"/>
  <c r="AG307" i="28" s="1"/>
  <c r="Y307" i="28" a="1"/>
  <c r="Y307" i="28" s="1"/>
  <c r="AN307" i="28" a="1"/>
  <c r="AN307" i="28" s="1"/>
  <c r="AO307" i="28" a="1"/>
  <c r="AO307" i="28" s="1"/>
  <c r="AA307" i="28" a="1"/>
  <c r="AA307" i="28" s="1"/>
  <c r="M307" i="28" a="1"/>
  <c r="M307" i="28" s="1"/>
  <c r="AI307" i="28" a="1"/>
  <c r="AI307" i="28" s="1"/>
  <c r="U307" i="28" a="1"/>
  <c r="U307" i="28" s="1"/>
  <c r="AP307" i="28" a="1"/>
  <c r="AP307" i="28" s="1"/>
  <c r="AC307" i="28" a="1"/>
  <c r="AC307" i="28" s="1"/>
  <c r="O307" i="28" a="1"/>
  <c r="O307" i="28" s="1"/>
  <c r="AJ307" i="28" a="1"/>
  <c r="AJ307" i="28" s="1"/>
  <c r="K307" i="28" a="1"/>
  <c r="K307" i="28" s="1"/>
  <c r="AL307" i="28" a="1"/>
  <c r="AL307" i="28" s="1"/>
  <c r="AD307" i="28" a="1"/>
  <c r="AD307" i="28" s="1"/>
  <c r="L307" i="28" a="1"/>
  <c r="L307" i="28" s="1"/>
  <c r="M311" i="28" a="1"/>
  <c r="M311" i="28" s="1"/>
  <c r="S311" i="28" a="1"/>
  <c r="S311" i="28" s="1"/>
  <c r="Q311" i="28" a="1"/>
  <c r="Q311" i="28" s="1"/>
  <c r="AB311" i="28" a="1"/>
  <c r="AB311" i="28" s="1"/>
  <c r="AE311" i="28" a="1"/>
  <c r="AE311" i="28" s="1"/>
  <c r="O311" i="28" a="1"/>
  <c r="O311" i="28" s="1"/>
  <c r="AH311" i="28" a="1"/>
  <c r="AH311" i="28" s="1"/>
  <c r="AK311" i="28" a="1"/>
  <c r="AK311" i="28" s="1"/>
  <c r="Y311" i="28" a="1"/>
  <c r="Y311" i="28" s="1"/>
  <c r="AO311" i="28" a="1"/>
  <c r="AO311" i="28" s="1"/>
  <c r="AN311" i="28" a="1"/>
  <c r="AN311" i="28" s="1"/>
  <c r="AM311" i="28" a="1"/>
  <c r="AM311" i="28" s="1"/>
  <c r="AP311" i="28" a="1"/>
  <c r="AP311" i="28" s="1"/>
  <c r="X311" i="28" a="1"/>
  <c r="X311" i="28" s="1"/>
  <c r="AG311" i="28" a="1"/>
  <c r="AG311" i="28" s="1"/>
  <c r="AC311" i="28" a="1"/>
  <c r="AC311" i="28" s="1"/>
  <c r="K311" i="28" a="1"/>
  <c r="K311" i="28" s="1"/>
  <c r="AU311" i="28"/>
  <c r="J311" i="28" s="1"/>
  <c r="AJ311" i="28" a="1"/>
  <c r="AJ311" i="28" s="1"/>
  <c r="R311" i="28" a="1"/>
  <c r="R311" i="28" s="1"/>
  <c r="N311" i="28" a="1"/>
  <c r="N311" i="28" s="1"/>
  <c r="AA311" i="28" a="1"/>
  <c r="AA311" i="28" s="1"/>
  <c r="U311" i="28" a="1"/>
  <c r="U311" i="28" s="1"/>
  <c r="Z311" i="28" a="1"/>
  <c r="Z311" i="28" s="1"/>
  <c r="W311" i="28" a="1"/>
  <c r="W311" i="28" s="1"/>
  <c r="T311" i="28" a="1"/>
  <c r="T311" i="28" s="1"/>
  <c r="L311" i="28" a="1"/>
  <c r="L311" i="28" s="1"/>
  <c r="AL311" i="28" a="1"/>
  <c r="AL311" i="28" s="1"/>
  <c r="AF311" i="28" a="1"/>
  <c r="AF311" i="28" s="1"/>
  <c r="P311" i="28" a="1"/>
  <c r="P311" i="28" s="1"/>
  <c r="AI311" i="28" a="1"/>
  <c r="AI311" i="28" s="1"/>
  <c r="AD311" i="28" a="1"/>
  <c r="AD311" i="28" s="1"/>
  <c r="V311" i="28" a="1"/>
  <c r="V311" i="28" s="1"/>
  <c r="Q307" i="28" a="1"/>
  <c r="Q307" i="28" s="1"/>
  <c r="T307" i="28" a="1"/>
  <c r="T307" i="28" s="1"/>
  <c r="X307" i="28" a="1"/>
  <c r="X307" i="28" s="1"/>
  <c r="V307" i="28" a="1"/>
  <c r="V307" i="28" s="1"/>
  <c r="Z307" i="28" a="1"/>
  <c r="Z307" i="28" s="1"/>
  <c r="AU308" i="28"/>
  <c r="J308" i="28" s="1"/>
  <c r="AR312" i="28"/>
  <c r="M29" i="27"/>
  <c r="N29" i="27"/>
  <c r="O29" i="27"/>
  <c r="P29" i="27"/>
  <c r="I30" i="27"/>
  <c r="J30" i="27" s="1"/>
  <c r="C30" i="27" s="1"/>
  <c r="L29" i="34"/>
  <c r="F29" i="34" s="1"/>
  <c r="F31" i="35"/>
  <c r="C309" i="28"/>
  <c r="G37" i="10"/>
  <c r="E214" i="29"/>
  <c r="H214" i="29"/>
  <c r="F214" i="29"/>
  <c r="L215" i="29"/>
  <c r="D214" i="29"/>
  <c r="B214" i="29"/>
  <c r="G214" i="29" s="1"/>
  <c r="K216" i="29"/>
  <c r="C215" i="29"/>
  <c r="N215" i="29" s="1"/>
  <c r="BA72" i="63"/>
  <c r="D71" i="63"/>
  <c r="BB72" i="63"/>
  <c r="F72" i="63" s="1"/>
  <c r="D168" i="28"/>
  <c r="I168" i="28"/>
  <c r="H168" i="28"/>
  <c r="G168" i="28"/>
  <c r="B168" i="28"/>
  <c r="E168" i="28"/>
  <c r="F168" i="28"/>
  <c r="AS171" i="28"/>
  <c r="AR172" i="28"/>
  <c r="C171" i="28"/>
  <c r="AU171" i="28" s="1"/>
  <c r="H58" i="9"/>
  <c r="B29" i="34"/>
  <c r="H37" i="10"/>
  <c r="E37" i="10"/>
  <c r="D37" i="10"/>
  <c r="F38" i="10"/>
  <c r="I38" i="10"/>
  <c r="L38" i="10"/>
  <c r="I58" i="9"/>
  <c r="D58" i="9"/>
  <c r="E58" i="9"/>
  <c r="AR61" i="9"/>
  <c r="AS61" i="9" s="1"/>
  <c r="A60" i="9"/>
  <c r="F58" i="9"/>
  <c r="H59" i="9"/>
  <c r="D59" i="9"/>
  <c r="C59" i="9"/>
  <c r="G59" i="9"/>
  <c r="E59" i="9"/>
  <c r="F59" i="9"/>
  <c r="B59" i="9"/>
  <c r="E31" i="35"/>
  <c r="I31" i="35"/>
  <c r="D31" i="35"/>
  <c r="G31" i="35"/>
  <c r="D308" i="28"/>
  <c r="B308" i="28"/>
  <c r="AO308" i="28" s="1" a="1"/>
  <c r="AO308" i="28" s="1"/>
  <c r="AS309" i="28"/>
  <c r="F308" i="28"/>
  <c r="E308" i="28"/>
  <c r="H308" i="28"/>
  <c r="G308" i="28"/>
  <c r="I308" i="28"/>
  <c r="H31" i="35"/>
  <c r="A32" i="35"/>
  <c r="AU30" i="38"/>
  <c r="D30" i="38" s="1"/>
  <c r="AV31" i="38"/>
  <c r="AS31" i="38"/>
  <c r="A33" i="35"/>
  <c r="K30" i="36"/>
  <c r="AT34" i="35"/>
  <c r="C30" i="38"/>
  <c r="E29" i="36"/>
  <c r="C30" i="34"/>
  <c r="A29" i="27"/>
  <c r="D29" i="27" s="1"/>
  <c r="D29" i="36"/>
  <c r="M35" i="39"/>
  <c r="C35" i="39" s="1"/>
  <c r="H28" i="37"/>
  <c r="J30" i="38" l="1"/>
  <c r="A30" i="38" s="1"/>
  <c r="AM308" i="28" a="1"/>
  <c r="AM308" i="28" s="1"/>
  <c r="AI59" i="9"/>
  <c r="W59" i="9"/>
  <c r="K59" i="9"/>
  <c r="AG59" i="9"/>
  <c r="U59" i="9"/>
  <c r="AF59" i="9"/>
  <c r="T59" i="9"/>
  <c r="AD59" i="9"/>
  <c r="R59" i="9"/>
  <c r="AO59" i="9"/>
  <c r="AC59" i="9"/>
  <c r="Q59" i="9"/>
  <c r="AN59" i="9"/>
  <c r="AB59" i="9"/>
  <c r="P59" i="9"/>
  <c r="AM59" i="9"/>
  <c r="AA59" i="9"/>
  <c r="O59" i="9"/>
  <c r="AJ59" i="9"/>
  <c r="X59" i="9"/>
  <c r="L59" i="9"/>
  <c r="AK59" i="9"/>
  <c r="AL59" i="9"/>
  <c r="AH59" i="9"/>
  <c r="Y59" i="9"/>
  <c r="V59" i="9"/>
  <c r="AE59" i="9"/>
  <c r="Z59" i="9"/>
  <c r="M59" i="9"/>
  <c r="S59" i="9"/>
  <c r="N59" i="9"/>
  <c r="J59" i="9"/>
  <c r="AG308" i="28" a="1"/>
  <c r="AG308" i="28" s="1"/>
  <c r="S308" i="28" a="1"/>
  <c r="S308" i="28" s="1"/>
  <c r="M308" i="28" a="1"/>
  <c r="M308" i="28" s="1"/>
  <c r="AC308" i="28" a="1"/>
  <c r="AC308" i="28" s="1"/>
  <c r="Q308" i="28" a="1"/>
  <c r="Q308" i="28" s="1"/>
  <c r="AN308" i="28" a="1"/>
  <c r="AN308" i="28" s="1"/>
  <c r="U308" i="28" a="1"/>
  <c r="U308" i="28" s="1"/>
  <c r="AJ308" i="28" a="1"/>
  <c r="AJ308" i="28" s="1"/>
  <c r="AH308" i="28" a="1"/>
  <c r="AH308" i="28" s="1"/>
  <c r="AF308" i="28" a="1"/>
  <c r="AF308" i="28" s="1"/>
  <c r="R308" i="28" a="1"/>
  <c r="R308" i="28" s="1"/>
  <c r="AB308" i="28" a="1"/>
  <c r="AB308" i="28" s="1"/>
  <c r="N308" i="28" a="1"/>
  <c r="N308" i="28" s="1"/>
  <c r="V308" i="28" a="1"/>
  <c r="V308" i="28" s="1"/>
  <c r="AI308" i="28" a="1"/>
  <c r="AI308" i="28" s="1"/>
  <c r="Z308" i="28" a="1"/>
  <c r="Z308" i="28" s="1"/>
  <c r="W308" i="28" a="1"/>
  <c r="W308" i="28" s="1"/>
  <c r="P308" i="28" a="1"/>
  <c r="P308" i="28" s="1"/>
  <c r="AL308" i="28" a="1"/>
  <c r="AL308" i="28" s="1"/>
  <c r="K308" i="28" a="1"/>
  <c r="K308" i="28" s="1"/>
  <c r="T308" i="28" a="1"/>
  <c r="T308" i="28" s="1"/>
  <c r="AP308" i="28" a="1"/>
  <c r="AP308" i="28" s="1"/>
  <c r="AK308" i="28" a="1"/>
  <c r="AK308" i="28" s="1"/>
  <c r="AD308" i="28" a="1"/>
  <c r="AD308" i="28" s="1"/>
  <c r="X308" i="28" a="1"/>
  <c r="X308" i="28" s="1"/>
  <c r="AS312" i="28"/>
  <c r="C312" i="28"/>
  <c r="AE308" i="28" a="1"/>
  <c r="AE308" i="28" s="1"/>
  <c r="L308" i="28" a="1"/>
  <c r="L308" i="28" s="1"/>
  <c r="O308" i="28" a="1"/>
  <c r="O308" i="28" s="1"/>
  <c r="AA308" i="28" a="1"/>
  <c r="AA308" i="28" s="1"/>
  <c r="Y308" i="28" a="1"/>
  <c r="Y308" i="28" s="1"/>
  <c r="AU309" i="28"/>
  <c r="J309" i="28" s="1"/>
  <c r="AR313" i="28"/>
  <c r="L29" i="27"/>
  <c r="F29" i="27" s="1"/>
  <c r="P30" i="27"/>
  <c r="M30" i="27"/>
  <c r="N30" i="27"/>
  <c r="O30" i="27"/>
  <c r="M30" i="34"/>
  <c r="N30" i="34"/>
  <c r="L216" i="29"/>
  <c r="K217" i="29"/>
  <c r="C216" i="29"/>
  <c r="N216" i="29" s="1"/>
  <c r="D215" i="29"/>
  <c r="H215" i="29"/>
  <c r="E215" i="29"/>
  <c r="F215" i="29"/>
  <c r="B215" i="29"/>
  <c r="G215" i="29" s="1"/>
  <c r="A38" i="10"/>
  <c r="BB73" i="63"/>
  <c r="F73" i="63" s="1"/>
  <c r="D72" i="63"/>
  <c r="BA73" i="63"/>
  <c r="AR174" i="28"/>
  <c r="AS172" i="28"/>
  <c r="AR173" i="28"/>
  <c r="C172" i="28"/>
  <c r="AU172" i="28" s="1"/>
  <c r="H171" i="28"/>
  <c r="D171" i="28"/>
  <c r="E171" i="28"/>
  <c r="B171" i="28"/>
  <c r="F171" i="28"/>
  <c r="G171" i="28"/>
  <c r="I171" i="28"/>
  <c r="C60" i="9"/>
  <c r="B60" i="9"/>
  <c r="D60" i="9" s="1"/>
  <c r="C38" i="10"/>
  <c r="B38" i="10" s="1"/>
  <c r="K39" i="10"/>
  <c r="A61" i="9"/>
  <c r="AR62" i="9"/>
  <c r="AS62" i="9" s="1"/>
  <c r="I59" i="9"/>
  <c r="B32" i="35"/>
  <c r="G309" i="28"/>
  <c r="F309" i="28"/>
  <c r="E309" i="28"/>
  <c r="B309" i="28"/>
  <c r="AK309" i="28" s="1" a="1"/>
  <c r="AK309" i="28" s="1"/>
  <c r="I309" i="28"/>
  <c r="D309" i="28"/>
  <c r="H309" i="28"/>
  <c r="N35" i="39"/>
  <c r="D35" i="39" s="1"/>
  <c r="A35" i="39" s="1"/>
  <c r="O36" i="39"/>
  <c r="L36" i="39"/>
  <c r="AR34" i="35"/>
  <c r="B33" i="35"/>
  <c r="AT31" i="38"/>
  <c r="E31" i="38" s="1"/>
  <c r="E30" i="34"/>
  <c r="A30" i="34"/>
  <c r="L30" i="36"/>
  <c r="C30" i="36" s="1"/>
  <c r="A30" i="36" s="1"/>
  <c r="A30" i="27"/>
  <c r="D30" i="27" s="1"/>
  <c r="I28" i="37"/>
  <c r="C28" i="37" s="1"/>
  <c r="A28" i="37" s="1"/>
  <c r="D28" i="37" s="1"/>
  <c r="I31" i="34"/>
  <c r="I31" i="27"/>
  <c r="J33" i="35"/>
  <c r="J32" i="35"/>
  <c r="S309" i="28" l="1" a="1"/>
  <c r="S309" i="28" s="1"/>
  <c r="AA309" i="28" a="1"/>
  <c r="AA309" i="28" s="1"/>
  <c r="AE309" i="28" a="1"/>
  <c r="AE309" i="28" s="1"/>
  <c r="M309" i="28" a="1"/>
  <c r="M309" i="28" s="1"/>
  <c r="K309" i="28" a="1"/>
  <c r="K309" i="28" s="1"/>
  <c r="AO309" i="28" a="1"/>
  <c r="AO309" i="28" s="1"/>
  <c r="AI309" i="28" a="1"/>
  <c r="AI309" i="28" s="1"/>
  <c r="AJ309" i="28" a="1"/>
  <c r="AJ309" i="28" s="1"/>
  <c r="AM309" i="28" a="1"/>
  <c r="AM309" i="28" s="1"/>
  <c r="Y309" i="28" a="1"/>
  <c r="Y309" i="28" s="1"/>
  <c r="AC309" i="28" a="1"/>
  <c r="AC309" i="28" s="1"/>
  <c r="U309" i="28" a="1"/>
  <c r="U309" i="28" s="1"/>
  <c r="AP309" i="28" a="1"/>
  <c r="AP309" i="28" s="1"/>
  <c r="W309" i="28" a="1"/>
  <c r="W309" i="28" s="1"/>
  <c r="O309" i="28" a="1"/>
  <c r="O309" i="28" s="1"/>
  <c r="AD309" i="28" a="1"/>
  <c r="AD309" i="28" s="1"/>
  <c r="Q309" i="28" a="1"/>
  <c r="Q309" i="28" s="1"/>
  <c r="X309" i="28" a="1"/>
  <c r="X309" i="28" s="1"/>
  <c r="AF309" i="28" a="1"/>
  <c r="AF309" i="28" s="1"/>
  <c r="R309" i="28" a="1"/>
  <c r="R309" i="28" s="1"/>
  <c r="AD312" i="28" a="1"/>
  <c r="AD312" i="28" s="1"/>
  <c r="Q312" i="28" a="1"/>
  <c r="Q312" i="28" s="1"/>
  <c r="G312" i="28"/>
  <c r="F312" i="28"/>
  <c r="D312" i="28"/>
  <c r="E312" i="28"/>
  <c r="B312" i="28"/>
  <c r="U312" i="28" s="1" a="1"/>
  <c r="U312" i="28" s="1"/>
  <c r="H312" i="28"/>
  <c r="I312" i="28"/>
  <c r="AH309" i="28" a="1"/>
  <c r="AH309" i="28" s="1"/>
  <c r="Z309" i="28" a="1"/>
  <c r="Z309" i="28" s="1"/>
  <c r="L309" i="28" a="1"/>
  <c r="L309" i="28" s="1"/>
  <c r="T309" i="28" a="1"/>
  <c r="T309" i="28" s="1"/>
  <c r="V309" i="28" a="1"/>
  <c r="V309" i="28" s="1"/>
  <c r="N309" i="28" a="1"/>
  <c r="N309" i="28" s="1"/>
  <c r="AS313" i="28"/>
  <c r="C313" i="28"/>
  <c r="P309" i="28" a="1"/>
  <c r="P309" i="28" s="1"/>
  <c r="AU312" i="28"/>
  <c r="J312" i="28" s="1"/>
  <c r="AR314" i="28"/>
  <c r="L30" i="27"/>
  <c r="F30" i="27" s="1"/>
  <c r="L30" i="34"/>
  <c r="F30" i="34" s="1"/>
  <c r="I33" i="35"/>
  <c r="D32" i="35"/>
  <c r="J172" i="28"/>
  <c r="K218" i="29"/>
  <c r="C218" i="29" s="1"/>
  <c r="N218" i="29" s="1"/>
  <c r="C217" i="29"/>
  <c r="N217" i="29" s="1"/>
  <c r="B216" i="29"/>
  <c r="G216" i="29" s="1"/>
  <c r="E216" i="29"/>
  <c r="H216" i="29"/>
  <c r="F216" i="29"/>
  <c r="D38" i="10"/>
  <c r="D73" i="63"/>
  <c r="BA74" i="63"/>
  <c r="BB74" i="63"/>
  <c r="F74" i="63" s="1"/>
  <c r="AS173" i="28"/>
  <c r="AS174" i="28" s="1"/>
  <c r="C173" i="28"/>
  <c r="AU173" i="28" s="1"/>
  <c r="D172" i="28"/>
  <c r="I172" i="28"/>
  <c r="H172" i="28"/>
  <c r="F172" i="28"/>
  <c r="G172" i="28"/>
  <c r="E172" i="28"/>
  <c r="B172" i="28"/>
  <c r="AR175" i="28"/>
  <c r="C174" i="28"/>
  <c r="AU174" i="28" s="1"/>
  <c r="G38" i="10"/>
  <c r="E38" i="10"/>
  <c r="H38" i="10"/>
  <c r="H60" i="9"/>
  <c r="E60" i="9"/>
  <c r="I39" i="10"/>
  <c r="L39" i="10"/>
  <c r="F39" i="10"/>
  <c r="G60" i="9"/>
  <c r="F60" i="9"/>
  <c r="AR63" i="9"/>
  <c r="AS63" i="9" s="1"/>
  <c r="A62" i="9"/>
  <c r="B61" i="9"/>
  <c r="E61" i="9" s="1"/>
  <c r="C61" i="9"/>
  <c r="AE60" i="9"/>
  <c r="AM60" i="9"/>
  <c r="V60" i="9"/>
  <c r="AG60" i="9"/>
  <c r="J60" i="9"/>
  <c r="U60" i="9"/>
  <c r="O60" i="9"/>
  <c r="T60" i="9"/>
  <c r="P60" i="9"/>
  <c r="AH60" i="9"/>
  <c r="R60" i="9"/>
  <c r="AC60" i="9"/>
  <c r="I60" i="9"/>
  <c r="AD60" i="9"/>
  <c r="W60" i="9"/>
  <c r="L60" i="9"/>
  <c r="AB60" i="9"/>
  <c r="N60" i="9"/>
  <c r="S60" i="9"/>
  <c r="M60" i="9"/>
  <c r="AF60" i="9"/>
  <c r="K60" i="9"/>
  <c r="Q60" i="9"/>
  <c r="X60" i="9"/>
  <c r="Y60" i="9"/>
  <c r="Z60" i="9"/>
  <c r="AA60" i="9"/>
  <c r="H32" i="35"/>
  <c r="F32" i="35"/>
  <c r="G32" i="35"/>
  <c r="I32" i="35"/>
  <c r="E32" i="35"/>
  <c r="H33" i="35"/>
  <c r="D33" i="35"/>
  <c r="AU31" i="38"/>
  <c r="D31" i="38" s="1"/>
  <c r="AV32" i="38"/>
  <c r="AS32" i="38"/>
  <c r="M31" i="36"/>
  <c r="G33" i="35"/>
  <c r="J31" i="27"/>
  <c r="C31" i="27" s="1"/>
  <c r="E33" i="35"/>
  <c r="J31" i="34"/>
  <c r="AS34" i="35"/>
  <c r="C34" i="35" s="1"/>
  <c r="AT35" i="35" s="1"/>
  <c r="D30" i="34"/>
  <c r="B30" i="34"/>
  <c r="H29" i="37"/>
  <c r="M36" i="39"/>
  <c r="C36" i="39" s="1"/>
  <c r="C31" i="38"/>
  <c r="B30" i="36"/>
  <c r="I30" i="36" s="1"/>
  <c r="G30" i="36"/>
  <c r="H30" i="36"/>
  <c r="F30" i="36"/>
  <c r="F33" i="35"/>
  <c r="J31" i="38" l="1"/>
  <c r="A31" i="38" s="1"/>
  <c r="AE312" i="28" a="1"/>
  <c r="AE312" i="28" s="1"/>
  <c r="O312" i="28" a="1"/>
  <c r="O312" i="28" s="1"/>
  <c r="N312" i="28" a="1"/>
  <c r="N312" i="28" s="1"/>
  <c r="M312" i="28" a="1"/>
  <c r="M312" i="28" s="1"/>
  <c r="L312" i="28" a="1"/>
  <c r="L312" i="28" s="1"/>
  <c r="AP312" i="28" a="1"/>
  <c r="AP312" i="28" s="1"/>
  <c r="Y312" i="28" a="1"/>
  <c r="Y312" i="28" s="1"/>
  <c r="AM312" i="28" a="1"/>
  <c r="AM312" i="28" s="1"/>
  <c r="R312" i="28" a="1"/>
  <c r="R312" i="28" s="1"/>
  <c r="AG312" i="28" a="1"/>
  <c r="AG312" i="28" s="1"/>
  <c r="AI312" i="28" a="1"/>
  <c r="AI312" i="28" s="1"/>
  <c r="AC312" i="28" a="1"/>
  <c r="AC312" i="28" s="1"/>
  <c r="W312" i="28" a="1"/>
  <c r="W312" i="28" s="1"/>
  <c r="AK312" i="28" a="1"/>
  <c r="AK312" i="28" s="1"/>
  <c r="AL312" i="28" a="1"/>
  <c r="AL312" i="28" s="1"/>
  <c r="X312" i="28" a="1"/>
  <c r="X312" i="28" s="1"/>
  <c r="Z312" i="28" a="1"/>
  <c r="Z312" i="28" s="1"/>
  <c r="P312" i="28" a="1"/>
  <c r="P312" i="28" s="1"/>
  <c r="AS314" i="28"/>
  <c r="C314" i="28"/>
  <c r="AB312" i="28" a="1"/>
  <c r="AB312" i="28" s="1"/>
  <c r="AA312" i="28" a="1"/>
  <c r="AA312" i="28" s="1"/>
  <c r="AF312" i="28" a="1"/>
  <c r="AF312" i="28" s="1"/>
  <c r="AH312" i="28" a="1"/>
  <c r="AH312" i="28" s="1"/>
  <c r="V312" i="28" a="1"/>
  <c r="V312" i="28" s="1"/>
  <c r="AO312" i="28" a="1"/>
  <c r="AO312" i="28" s="1"/>
  <c r="S312" i="28" a="1"/>
  <c r="S312" i="28" s="1"/>
  <c r="AJ312" i="28" a="1"/>
  <c r="AJ312" i="28" s="1"/>
  <c r="T312" i="28" a="1"/>
  <c r="T312" i="28" s="1"/>
  <c r="AN312" i="28" a="1"/>
  <c r="AN312" i="28" s="1"/>
  <c r="G313" i="28"/>
  <c r="I313" i="28"/>
  <c r="H313" i="28"/>
  <c r="F313" i="28"/>
  <c r="E313" i="28"/>
  <c r="D313" i="28"/>
  <c r="B313" i="28"/>
  <c r="P313" i="28" s="1" a="1"/>
  <c r="P313" i="28" s="1"/>
  <c r="K312" i="28" a="1"/>
  <c r="K312" i="28" s="1"/>
  <c r="AU313" i="28"/>
  <c r="J313" i="28" s="1"/>
  <c r="AR315" i="28"/>
  <c r="M31" i="27"/>
  <c r="N31" i="27"/>
  <c r="O31" i="27"/>
  <c r="P31" i="27"/>
  <c r="A39" i="10"/>
  <c r="J174" i="28"/>
  <c r="D74" i="63"/>
  <c r="BA75" i="63"/>
  <c r="BB75" i="63"/>
  <c r="F75" i="63" s="1"/>
  <c r="E174" i="28"/>
  <c r="D174" i="28"/>
  <c r="B174" i="28"/>
  <c r="F174" i="28"/>
  <c r="G174" i="28"/>
  <c r="AS175" i="28"/>
  <c r="AR176" i="28"/>
  <c r="C175" i="28"/>
  <c r="AU175" i="28" s="1"/>
  <c r="F173" i="28"/>
  <c r="E173" i="28"/>
  <c r="D173" i="28"/>
  <c r="I173" i="28"/>
  <c r="H173" i="28"/>
  <c r="G173" i="28"/>
  <c r="B173" i="28"/>
  <c r="H61" i="9"/>
  <c r="F61" i="9"/>
  <c r="G61" i="9"/>
  <c r="B62" i="9"/>
  <c r="F62" i="9" s="1"/>
  <c r="C62" i="9"/>
  <c r="A63" i="9"/>
  <c r="AR64" i="9"/>
  <c r="AS64" i="9" s="1"/>
  <c r="C39" i="10"/>
  <c r="B39" i="10" s="1"/>
  <c r="K40" i="10"/>
  <c r="AF61" i="9"/>
  <c r="Z61" i="9"/>
  <c r="S61" i="9"/>
  <c r="AE61" i="9"/>
  <c r="M61" i="9"/>
  <c r="R61" i="9"/>
  <c r="L61" i="9"/>
  <c r="O61" i="9"/>
  <c r="W61" i="9"/>
  <c r="AA61" i="9"/>
  <c r="AB61" i="9"/>
  <c r="X61" i="9"/>
  <c r="K61" i="9"/>
  <c r="Y61" i="9"/>
  <c r="U61" i="9"/>
  <c r="J61" i="9"/>
  <c r="AG61" i="9"/>
  <c r="AC61" i="9"/>
  <c r="P61" i="9"/>
  <c r="V61" i="9"/>
  <c r="T61" i="9"/>
  <c r="I61" i="9"/>
  <c r="N61" i="9"/>
  <c r="AD61" i="9"/>
  <c r="AH61" i="9"/>
  <c r="Q61" i="9"/>
  <c r="AM61" i="9"/>
  <c r="D61" i="9"/>
  <c r="N36" i="39"/>
  <c r="D36" i="39" s="1"/>
  <c r="A36" i="39" s="1"/>
  <c r="L37" i="39"/>
  <c r="O37" i="39"/>
  <c r="AR35" i="35"/>
  <c r="D30" i="36"/>
  <c r="A31" i="27"/>
  <c r="D31" i="27" s="1"/>
  <c r="I32" i="27"/>
  <c r="C31" i="34"/>
  <c r="K31" i="36"/>
  <c r="AT32" i="38"/>
  <c r="C32" i="38" s="1"/>
  <c r="I29" i="37"/>
  <c r="C29" i="37" s="1"/>
  <c r="A29" i="37" s="1"/>
  <c r="D29" i="37" s="1"/>
  <c r="E30" i="36"/>
  <c r="A34" i="35"/>
  <c r="O313" i="28" l="1" a="1"/>
  <c r="O313" i="28" s="1"/>
  <c r="M313" i="28" a="1"/>
  <c r="M313" i="28" s="1"/>
  <c r="Q313" i="28" a="1"/>
  <c r="Q313" i="28" s="1"/>
  <c r="N313" i="28" a="1"/>
  <c r="N313" i="28" s="1"/>
  <c r="C315" i="28"/>
  <c r="AS315" i="28"/>
  <c r="L313" i="28" a="1"/>
  <c r="L313" i="28" s="1"/>
  <c r="AP313" i="28" a="1"/>
  <c r="AP313" i="28" s="1"/>
  <c r="L314" i="28" a="1"/>
  <c r="L314" i="28" s="1"/>
  <c r="S314" i="28" a="1"/>
  <c r="S314" i="28" s="1"/>
  <c r="O314" i="28" a="1"/>
  <c r="O314" i="28" s="1"/>
  <c r="AJ314" i="28" a="1"/>
  <c r="AJ314" i="28" s="1"/>
  <c r="K313" i="28" a="1"/>
  <c r="K313" i="28" s="1"/>
  <c r="D314" i="28"/>
  <c r="B314" i="28"/>
  <c r="N314" i="28" s="1" a="1"/>
  <c r="N314" i="28" s="1"/>
  <c r="H314" i="28"/>
  <c r="I314" i="28"/>
  <c r="G314" i="28"/>
  <c r="E314" i="28"/>
  <c r="F314" i="28"/>
  <c r="AU314" i="28"/>
  <c r="J314" i="28" s="1"/>
  <c r="AR316" i="28"/>
  <c r="L31" i="27"/>
  <c r="F31" i="27" s="1"/>
  <c r="M31" i="34"/>
  <c r="N31" i="34"/>
  <c r="E39" i="10"/>
  <c r="D75" i="63"/>
  <c r="AR177" i="28"/>
  <c r="AS176" i="28"/>
  <c r="C176" i="28"/>
  <c r="AU176" i="28" s="1"/>
  <c r="H175" i="28"/>
  <c r="B175" i="28"/>
  <c r="I175" i="28"/>
  <c r="D175" i="28"/>
  <c r="G175" i="28"/>
  <c r="F175" i="28"/>
  <c r="E175" i="28"/>
  <c r="H62" i="9"/>
  <c r="D62" i="9"/>
  <c r="E62" i="9"/>
  <c r="G62" i="9"/>
  <c r="D39" i="10"/>
  <c r="A64" i="9"/>
  <c r="AR65" i="9"/>
  <c r="AS65" i="9" s="1"/>
  <c r="G39" i="10"/>
  <c r="H39" i="10"/>
  <c r="AM62" i="9"/>
  <c r="Q62" i="9"/>
  <c r="P62" i="9"/>
  <c r="L62" i="9"/>
  <c r="AC62" i="9"/>
  <c r="Z62" i="9"/>
  <c r="AB62" i="9"/>
  <c r="AG62" i="9"/>
  <c r="U62" i="9"/>
  <c r="J62" i="9"/>
  <c r="T62" i="9"/>
  <c r="AH62" i="9"/>
  <c r="AE62" i="9"/>
  <c r="V62" i="9"/>
  <c r="AA62" i="9"/>
  <c r="K62" i="9"/>
  <c r="M62" i="9"/>
  <c r="N62" i="9"/>
  <c r="W62" i="9"/>
  <c r="I62" i="9"/>
  <c r="X62" i="9"/>
  <c r="O62" i="9"/>
  <c r="S62" i="9"/>
  <c r="Y62" i="9"/>
  <c r="R62" i="9"/>
  <c r="AD62" i="9"/>
  <c r="AF62" i="9"/>
  <c r="F40" i="10"/>
  <c r="I40" i="10"/>
  <c r="L40" i="10"/>
  <c r="B63" i="9"/>
  <c r="D63" i="9" s="1"/>
  <c r="C63" i="9"/>
  <c r="E31" i="34"/>
  <c r="A31" i="34"/>
  <c r="I32" i="34"/>
  <c r="AS35" i="35"/>
  <c r="C35" i="35" s="1"/>
  <c r="J32" i="27"/>
  <c r="H30" i="37"/>
  <c r="E32" i="38"/>
  <c r="L31" i="36"/>
  <c r="C31" i="36" s="1"/>
  <c r="A31" i="36" s="1"/>
  <c r="B34" i="35"/>
  <c r="M37" i="39"/>
  <c r="C37" i="39" s="1"/>
  <c r="J34" i="35"/>
  <c r="Z314" i="28" l="1" a="1"/>
  <c r="Z314" i="28" s="1"/>
  <c r="T314" i="28" a="1"/>
  <c r="T314" i="28" s="1"/>
  <c r="AO314" i="28" a="1"/>
  <c r="AO314" i="28" s="1"/>
  <c r="Q314" i="28" a="1"/>
  <c r="Q314" i="28" s="1"/>
  <c r="AL314" i="28" a="1"/>
  <c r="AL314" i="28" s="1"/>
  <c r="AS316" i="28"/>
  <c r="C316" i="28"/>
  <c r="U314" i="28" a="1"/>
  <c r="U314" i="28" s="1"/>
  <c r="Y314" i="28" a="1"/>
  <c r="Y314" i="28" s="1"/>
  <c r="K314" i="28" a="1"/>
  <c r="K314" i="28" s="1"/>
  <c r="AG314" i="28" a="1"/>
  <c r="AG314" i="28" s="1"/>
  <c r="AB314" i="28" a="1"/>
  <c r="AB314" i="28" s="1"/>
  <c r="AH314" i="28" a="1"/>
  <c r="AH314" i="28" s="1"/>
  <c r="R314" i="28" a="1"/>
  <c r="R314" i="28" s="1"/>
  <c r="W314" i="28" a="1"/>
  <c r="W314" i="28" s="1"/>
  <c r="AN314" i="28" a="1"/>
  <c r="AN314" i="28" s="1"/>
  <c r="AF314" i="28" a="1"/>
  <c r="AF314" i="28" s="1"/>
  <c r="AA314" i="28" a="1"/>
  <c r="AA314" i="28" s="1"/>
  <c r="V314" i="28" a="1"/>
  <c r="V314" i="28" s="1"/>
  <c r="AC314" i="28" a="1"/>
  <c r="AC314" i="28" s="1"/>
  <c r="M314" i="28" a="1"/>
  <c r="M314" i="28" s="1"/>
  <c r="AP314" i="28" a="1"/>
  <c r="AP314" i="28" s="1"/>
  <c r="P314" i="28" a="1"/>
  <c r="P314" i="28" s="1"/>
  <c r="AK314" i="28" a="1"/>
  <c r="AK314" i="28" s="1"/>
  <c r="AI314" i="28" a="1"/>
  <c r="AI314" i="28" s="1"/>
  <c r="F315" i="28"/>
  <c r="D315" i="28"/>
  <c r="E315" i="28"/>
  <c r="B315" i="28"/>
  <c r="AI315" i="28" s="1" a="1"/>
  <c r="AI315" i="28" s="1"/>
  <c r="G315" i="28"/>
  <c r="I315" i="28"/>
  <c r="H315" i="28"/>
  <c r="AD314" i="28" a="1"/>
  <c r="AD314" i="28" s="1"/>
  <c r="AM314" i="28" a="1"/>
  <c r="AM314" i="28" s="1"/>
  <c r="N315" i="28" a="1"/>
  <c r="N315" i="28" s="1"/>
  <c r="Z315" i="28" a="1"/>
  <c r="Z315" i="28" s="1"/>
  <c r="K315" i="28" a="1"/>
  <c r="K315" i="28" s="1"/>
  <c r="M315" i="28" a="1"/>
  <c r="M315" i="28" s="1"/>
  <c r="V315" i="28" a="1"/>
  <c r="V315" i="28" s="1"/>
  <c r="L315" i="28" a="1"/>
  <c r="L315" i="28" s="1"/>
  <c r="AE315" i="28" a="1"/>
  <c r="AE315" i="28" s="1"/>
  <c r="AD315" i="28" a="1"/>
  <c r="AD315" i="28" s="1"/>
  <c r="U315" i="28" a="1"/>
  <c r="U315" i="28" s="1"/>
  <c r="S315" i="28" a="1"/>
  <c r="S315" i="28" s="1"/>
  <c r="AP315" i="28" a="1"/>
  <c r="AP315" i="28" s="1"/>
  <c r="AH315" i="28" a="1"/>
  <c r="AH315" i="28" s="1"/>
  <c r="X314" i="28" a="1"/>
  <c r="X314" i="28" s="1"/>
  <c r="AE314" i="28" a="1"/>
  <c r="AE314" i="28" s="1"/>
  <c r="AU315" i="28"/>
  <c r="J315" i="28" s="1"/>
  <c r="AR317" i="28"/>
  <c r="C317" i="28" s="1"/>
  <c r="L31" i="34"/>
  <c r="F31" i="34" s="1"/>
  <c r="G34" i="35"/>
  <c r="A40" i="10"/>
  <c r="H176" i="28"/>
  <c r="G176" i="28"/>
  <c r="F176" i="28"/>
  <c r="I176" i="28"/>
  <c r="B176" i="28"/>
  <c r="AS177" i="28"/>
  <c r="E176" i="28"/>
  <c r="D176" i="28"/>
  <c r="AR178" i="28"/>
  <c r="C177" i="28"/>
  <c r="AU177" i="28" s="1"/>
  <c r="F63" i="9"/>
  <c r="G63" i="9"/>
  <c r="E63" i="9"/>
  <c r="H63" i="9"/>
  <c r="U63" i="9"/>
  <c r="AF63" i="9"/>
  <c r="P63" i="9"/>
  <c r="AH63" i="9"/>
  <c r="Y63" i="9"/>
  <c r="X63" i="9"/>
  <c r="I63" i="9"/>
  <c r="AD63" i="9"/>
  <c r="T63" i="9"/>
  <c r="M63" i="9"/>
  <c r="Z63" i="9"/>
  <c r="W63" i="9"/>
  <c r="AA63" i="9"/>
  <c r="J63" i="9"/>
  <c r="L63" i="9"/>
  <c r="R63" i="9"/>
  <c r="AB63" i="9"/>
  <c r="K63" i="9"/>
  <c r="Q63" i="9"/>
  <c r="V63" i="9"/>
  <c r="AM63" i="9"/>
  <c r="N63" i="9"/>
  <c r="AE63" i="9"/>
  <c r="O63" i="9"/>
  <c r="AC63" i="9"/>
  <c r="S63" i="9"/>
  <c r="AG63" i="9"/>
  <c r="C40" i="10"/>
  <c r="B40" i="10" s="1"/>
  <c r="K41" i="10"/>
  <c r="AR66" i="9"/>
  <c r="AS66" i="9" s="1"/>
  <c r="A65" i="9"/>
  <c r="B64" i="9"/>
  <c r="F64" i="9" s="1"/>
  <c r="C64" i="9"/>
  <c r="I34" i="35"/>
  <c r="D34" i="35"/>
  <c r="N37" i="39"/>
  <c r="D37" i="39" s="1"/>
  <c r="A37" i="39" s="1"/>
  <c r="L38" i="39"/>
  <c r="O38" i="39"/>
  <c r="M32" i="36"/>
  <c r="I30" i="37"/>
  <c r="C30" i="37" s="1"/>
  <c r="A30" i="37" s="1"/>
  <c r="D30" i="37" s="1"/>
  <c r="A35" i="35"/>
  <c r="F34" i="35"/>
  <c r="AT36" i="35"/>
  <c r="AU32" i="38"/>
  <c r="D32" i="38" s="1"/>
  <c r="AS33" i="38"/>
  <c r="AV33" i="38"/>
  <c r="J32" i="34"/>
  <c r="C32" i="34" s="1"/>
  <c r="D31" i="34"/>
  <c r="B31" i="34"/>
  <c r="G31" i="36"/>
  <c r="H31" i="36"/>
  <c r="B31" i="36"/>
  <c r="I31" i="36" s="1"/>
  <c r="F31" i="36"/>
  <c r="C32" i="27"/>
  <c r="H34" i="35"/>
  <c r="E34" i="35"/>
  <c r="J32" i="38" l="1"/>
  <c r="A32" i="38" s="1"/>
  <c r="AC315" i="28" a="1"/>
  <c r="AC315" i="28" s="1"/>
  <c r="AL315" i="28" a="1"/>
  <c r="AL315" i="28" s="1"/>
  <c r="T315" i="28" a="1"/>
  <c r="T315" i="28" s="1"/>
  <c r="Y315" i="28" a="1"/>
  <c r="Y315" i="28" s="1"/>
  <c r="AF315" i="28" a="1"/>
  <c r="AF315" i="28" s="1"/>
  <c r="AA315" i="28" a="1"/>
  <c r="AA315" i="28" s="1"/>
  <c r="R315" i="28" a="1"/>
  <c r="R315" i="28" s="1"/>
  <c r="AB315" i="28" a="1"/>
  <c r="AB315" i="28" s="1"/>
  <c r="AO315" i="28" a="1"/>
  <c r="AO315" i="28" s="1"/>
  <c r="P315" i="28" a="1"/>
  <c r="P315" i="28" s="1"/>
  <c r="O315" i="28" a="1"/>
  <c r="O315" i="28" s="1"/>
  <c r="AG315" i="28" a="1"/>
  <c r="AG315" i="28" s="1"/>
  <c r="W315" i="28" a="1"/>
  <c r="W315" i="28" s="1"/>
  <c r="AM315" i="28" a="1"/>
  <c r="AM315" i="28" s="1"/>
  <c r="AK315" i="28" a="1"/>
  <c r="AK315" i="28" s="1"/>
  <c r="AJ315" i="28" a="1"/>
  <c r="AJ315" i="28" s="1"/>
  <c r="X315" i="28" a="1"/>
  <c r="X315" i="28" s="1"/>
  <c r="AE316" i="28" a="1"/>
  <c r="AE316" i="28" s="1"/>
  <c r="AM316" i="28" a="1"/>
  <c r="AM316" i="28" s="1"/>
  <c r="AN315" i="28" a="1"/>
  <c r="AN315" i="28" s="1"/>
  <c r="Q315" i="28" a="1"/>
  <c r="Q315" i="28" s="1"/>
  <c r="AS317" i="28"/>
  <c r="D316" i="28"/>
  <c r="I316" i="28"/>
  <c r="H316" i="28"/>
  <c r="G316" i="28"/>
  <c r="B316" i="28"/>
  <c r="M316" i="28" s="1" a="1"/>
  <c r="M316" i="28" s="1"/>
  <c r="E316" i="28"/>
  <c r="F316" i="28"/>
  <c r="AU316" i="28"/>
  <c r="J316" i="28" s="1"/>
  <c r="AR318" i="28"/>
  <c r="C318" i="28" s="1"/>
  <c r="M32" i="27"/>
  <c r="N32" i="27"/>
  <c r="O32" i="27"/>
  <c r="P32" i="27"/>
  <c r="I33" i="27"/>
  <c r="J33" i="27" s="1"/>
  <c r="C33" i="27" s="1"/>
  <c r="N32" i="34"/>
  <c r="M32" i="34"/>
  <c r="G40" i="10"/>
  <c r="AR179" i="28"/>
  <c r="C178" i="28"/>
  <c r="AU178" i="28" s="1"/>
  <c r="H177" i="28"/>
  <c r="F177" i="28"/>
  <c r="B177" i="28"/>
  <c r="G177" i="28"/>
  <c r="I177" i="28"/>
  <c r="E177" i="28"/>
  <c r="D177" i="28"/>
  <c r="D40" i="10"/>
  <c r="F41" i="10"/>
  <c r="L41" i="10"/>
  <c r="I41" i="10"/>
  <c r="H40" i="10"/>
  <c r="G64" i="9"/>
  <c r="E40" i="10"/>
  <c r="E64" i="9"/>
  <c r="H64" i="9"/>
  <c r="Y64" i="9"/>
  <c r="N64" i="9"/>
  <c r="X64" i="9"/>
  <c r="AM64" i="9"/>
  <c r="AE64" i="9"/>
  <c r="I64" i="9"/>
  <c r="P64" i="9"/>
  <c r="L64" i="9"/>
  <c r="U64" i="9"/>
  <c r="AF64" i="9"/>
  <c r="AH64" i="9"/>
  <c r="T64" i="9"/>
  <c r="K64" i="9"/>
  <c r="AD64" i="9"/>
  <c r="AB64" i="9"/>
  <c r="Z64" i="9"/>
  <c r="AC64" i="9"/>
  <c r="AG64" i="9"/>
  <c r="M64" i="9"/>
  <c r="J64" i="9"/>
  <c r="AA64" i="9"/>
  <c r="C65" i="9"/>
  <c r="B65" i="9"/>
  <c r="F65" i="9" s="1"/>
  <c r="A66" i="9"/>
  <c r="AR67" i="9"/>
  <c r="AS67" i="9" s="1"/>
  <c r="D64" i="9"/>
  <c r="E32" i="34"/>
  <c r="A32" i="34"/>
  <c r="AR36" i="35"/>
  <c r="B35" i="35"/>
  <c r="E31" i="36"/>
  <c r="D31" i="36"/>
  <c r="H31" i="37"/>
  <c r="A32" i="27"/>
  <c r="D32" i="27" s="1"/>
  <c r="K32" i="36"/>
  <c r="I33" i="34"/>
  <c r="M38" i="39"/>
  <c r="C38" i="39" s="1"/>
  <c r="AT33" i="38"/>
  <c r="C33" i="38" s="1"/>
  <c r="J35" i="35"/>
  <c r="AG316" i="28" l="1" a="1"/>
  <c r="AG316" i="28" s="1"/>
  <c r="AH316" i="28" a="1"/>
  <c r="AH316" i="28" s="1"/>
  <c r="R316" i="28" a="1"/>
  <c r="R316" i="28" s="1"/>
  <c r="P316" i="28" a="1"/>
  <c r="P316" i="28" s="1"/>
  <c r="AK316" i="28" a="1"/>
  <c r="AK316" i="28" s="1"/>
  <c r="AO316" i="28" a="1"/>
  <c r="AO316" i="28" s="1"/>
  <c r="A41" i="10"/>
  <c r="Q316" i="28" a="1"/>
  <c r="Q316" i="28" s="1"/>
  <c r="K316" i="28" a="1"/>
  <c r="K316" i="28" s="1"/>
  <c r="AB316" i="28" a="1"/>
  <c r="AB316" i="28" s="1"/>
  <c r="Z316" i="28" a="1"/>
  <c r="Z316" i="28" s="1"/>
  <c r="AP316" i="28" a="1"/>
  <c r="AP316" i="28" s="1"/>
  <c r="W316" i="28" a="1"/>
  <c r="W316" i="28" s="1"/>
  <c r="AD316" i="28" a="1"/>
  <c r="AD316" i="28" s="1"/>
  <c r="L316" i="28" a="1"/>
  <c r="L316" i="28" s="1"/>
  <c r="S316" i="28" a="1"/>
  <c r="S316" i="28" s="1"/>
  <c r="AC316" i="28" a="1"/>
  <c r="AC316" i="28" s="1"/>
  <c r="T316" i="28" a="1"/>
  <c r="T316" i="28" s="1"/>
  <c r="V316" i="28" a="1"/>
  <c r="V316" i="28" s="1"/>
  <c r="AS318" i="28"/>
  <c r="F317" i="28"/>
  <c r="B317" i="28"/>
  <c r="I317" i="28"/>
  <c r="H317" i="28"/>
  <c r="G317" i="28"/>
  <c r="E317" i="28"/>
  <c r="U316" i="28" a="1"/>
  <c r="U316" i="28" s="1"/>
  <c r="AJ316" i="28" a="1"/>
  <c r="AJ316" i="28" s="1"/>
  <c r="AN316" i="28" a="1"/>
  <c r="AN316" i="28" s="1"/>
  <c r="AI316" i="28" a="1"/>
  <c r="AI316" i="28" s="1"/>
  <c r="N316" i="28" a="1"/>
  <c r="N316" i="28" s="1"/>
  <c r="AA316" i="28" a="1"/>
  <c r="AA316" i="28" s="1"/>
  <c r="AF316" i="28" a="1"/>
  <c r="AF316" i="28" s="1"/>
  <c r="X316" i="28" a="1"/>
  <c r="X316" i="28" s="1"/>
  <c r="Y316" i="28" a="1"/>
  <c r="Y316" i="28" s="1"/>
  <c r="O316" i="28" a="1"/>
  <c r="O316" i="28" s="1"/>
  <c r="AL316" i="28" a="1"/>
  <c r="AL316" i="28" s="1"/>
  <c r="AU317" i="28"/>
  <c r="J317" i="28" s="1"/>
  <c r="AR319" i="28"/>
  <c r="C319" i="28" s="1"/>
  <c r="L32" i="27"/>
  <c r="F32" i="27" s="1"/>
  <c r="P33" i="27"/>
  <c r="M33" i="27"/>
  <c r="N33" i="27"/>
  <c r="O33" i="27"/>
  <c r="L32" i="34"/>
  <c r="F32" i="34" s="1"/>
  <c r="I35" i="35"/>
  <c r="AR180" i="28"/>
  <c r="C179" i="28"/>
  <c r="AU179" i="28" s="1"/>
  <c r="H178" i="28"/>
  <c r="G178" i="28"/>
  <c r="B178" i="28"/>
  <c r="F178" i="28"/>
  <c r="I178" i="28"/>
  <c r="E178" i="28"/>
  <c r="D178" i="28"/>
  <c r="H65" i="9"/>
  <c r="G65" i="9"/>
  <c r="D65" i="9"/>
  <c r="AH65" i="9"/>
  <c r="E65" i="9"/>
  <c r="M65" i="9"/>
  <c r="O65" i="9"/>
  <c r="AB65" i="9"/>
  <c r="AD65" i="9"/>
  <c r="K65" i="9"/>
  <c r="U65" i="9"/>
  <c r="Z65" i="9"/>
  <c r="L65" i="9"/>
  <c r="AE65" i="9"/>
  <c r="P65" i="9"/>
  <c r="W65" i="9"/>
  <c r="V65" i="9"/>
  <c r="Q65" i="9"/>
  <c r="S65" i="9"/>
  <c r="R65" i="9"/>
  <c r="J65" i="9"/>
  <c r="AC65" i="9"/>
  <c r="AF65" i="9"/>
  <c r="N65" i="9"/>
  <c r="Y65" i="9"/>
  <c r="AA65" i="9"/>
  <c r="I65" i="9"/>
  <c r="AG65" i="9"/>
  <c r="X65" i="9"/>
  <c r="AM65" i="9"/>
  <c r="T65" i="9"/>
  <c r="B66" i="9"/>
  <c r="F66" i="9" s="1"/>
  <c r="C66" i="9"/>
  <c r="C41" i="10"/>
  <c r="B41" i="10" s="1"/>
  <c r="K42" i="10"/>
  <c r="AR68" i="9"/>
  <c r="AS68" i="9" s="1"/>
  <c r="A67" i="9"/>
  <c r="H35" i="35"/>
  <c r="G35" i="35"/>
  <c r="N38" i="39"/>
  <c r="D38" i="39" s="1"/>
  <c r="A38" i="39" s="1"/>
  <c r="O39" i="39"/>
  <c r="L39" i="39"/>
  <c r="L32" i="36"/>
  <c r="C32" i="36" s="1"/>
  <c r="A32" i="36" s="1"/>
  <c r="AS36" i="35"/>
  <c r="C36" i="35" s="1"/>
  <c r="AT37" i="35" s="1"/>
  <c r="E33" i="38"/>
  <c r="I31" i="37"/>
  <c r="B32" i="34"/>
  <c r="D32" i="34"/>
  <c r="D35" i="35"/>
  <c r="F35" i="35"/>
  <c r="A33" i="27"/>
  <c r="D33" i="27" s="1"/>
  <c r="J33" i="34"/>
  <c r="E35" i="35"/>
  <c r="I34" i="27"/>
  <c r="G41" i="10" l="1"/>
  <c r="S317" i="28" a="1"/>
  <c r="S317" i="28" s="1"/>
  <c r="Q317" i="28" a="1"/>
  <c r="Q317" i="28" s="1"/>
  <c r="AP317" i="28" a="1"/>
  <c r="AP317" i="28" s="1"/>
  <c r="AA317" i="28" a="1"/>
  <c r="AA317" i="28" s="1"/>
  <c r="T317" i="28" a="1"/>
  <c r="T317" i="28" s="1"/>
  <c r="AK317" i="28" a="1"/>
  <c r="AK317" i="28" s="1"/>
  <c r="Y317" i="28" a="1"/>
  <c r="Y317" i="28" s="1"/>
  <c r="O317" i="28" a="1"/>
  <c r="O317" i="28" s="1"/>
  <c r="AD317" i="28" a="1"/>
  <c r="AD317" i="28" s="1"/>
  <c r="W317" i="28" a="1"/>
  <c r="W317" i="28" s="1"/>
  <c r="AB317" i="28" a="1"/>
  <c r="AB317" i="28" s="1"/>
  <c r="AG317" i="28" a="1"/>
  <c r="AG317" i="28" s="1"/>
  <c r="AF317" i="28" a="1"/>
  <c r="AF317" i="28" s="1"/>
  <c r="AN317" i="28" a="1"/>
  <c r="AN317" i="28" s="1"/>
  <c r="L317" i="28" a="1"/>
  <c r="L317" i="28" s="1"/>
  <c r="M317" i="28" a="1"/>
  <c r="M317" i="28" s="1"/>
  <c r="AO317" i="28" a="1"/>
  <c r="AO317" i="28" s="1"/>
  <c r="AL317" i="28" a="1"/>
  <c r="AL317" i="28" s="1"/>
  <c r="AM317" i="28" a="1"/>
  <c r="AM317" i="28" s="1"/>
  <c r="AH317" i="28" a="1"/>
  <c r="AH317" i="28" s="1"/>
  <c r="N317" i="28" a="1"/>
  <c r="N317" i="28" s="1"/>
  <c r="P317" i="28" a="1"/>
  <c r="P317" i="28" s="1"/>
  <c r="Z317" i="28" a="1"/>
  <c r="Z317" i="28" s="1"/>
  <c r="AC317" i="28" a="1"/>
  <c r="AC317" i="28" s="1"/>
  <c r="K317" i="28" a="1"/>
  <c r="K317" i="28" s="1"/>
  <c r="R317" i="28" a="1"/>
  <c r="R317" i="28" s="1"/>
  <c r="AI317" i="28" a="1"/>
  <c r="AI317" i="28" s="1"/>
  <c r="V317" i="28" a="1"/>
  <c r="V317" i="28" s="1"/>
  <c r="X317" i="28" a="1"/>
  <c r="X317" i="28" s="1"/>
  <c r="U317" i="28" a="1"/>
  <c r="U317" i="28" s="1"/>
  <c r="AJ317" i="28" a="1"/>
  <c r="AJ317" i="28" s="1"/>
  <c r="AE317" i="28" a="1"/>
  <c r="AE317" i="28" s="1"/>
  <c r="AS319" i="28"/>
  <c r="I318" i="28"/>
  <c r="H318" i="28"/>
  <c r="G318" i="28"/>
  <c r="F318" i="28"/>
  <c r="B318" i="28"/>
  <c r="E318" i="28"/>
  <c r="D317" i="28"/>
  <c r="AU318" i="28"/>
  <c r="AR320" i="28"/>
  <c r="C320" i="28" s="1"/>
  <c r="L33" i="27"/>
  <c r="F33" i="27" s="1"/>
  <c r="AS180" i="28"/>
  <c r="G179" i="28"/>
  <c r="B179" i="28"/>
  <c r="F179" i="28"/>
  <c r="I179" i="28"/>
  <c r="H179" i="28"/>
  <c r="E179" i="28"/>
  <c r="D179" i="28"/>
  <c r="AR181" i="28"/>
  <c r="C180" i="28"/>
  <c r="AU180" i="28" s="1"/>
  <c r="E66" i="9"/>
  <c r="D66" i="9"/>
  <c r="G66" i="9"/>
  <c r="E41" i="10"/>
  <c r="H66" i="9"/>
  <c r="C67" i="9"/>
  <c r="B67" i="9"/>
  <c r="I42" i="10"/>
  <c r="L42" i="10"/>
  <c r="F42" i="10"/>
  <c r="N66" i="9"/>
  <c r="K66" i="9"/>
  <c r="X66" i="9"/>
  <c r="Z66" i="9"/>
  <c r="AE66" i="9"/>
  <c r="AA66" i="9"/>
  <c r="AF66" i="9"/>
  <c r="P66" i="9"/>
  <c r="V66" i="9"/>
  <c r="O66" i="9"/>
  <c r="J66" i="9"/>
  <c r="Q66" i="9"/>
  <c r="T66" i="9"/>
  <c r="AB66" i="9"/>
  <c r="R66" i="9"/>
  <c r="U66" i="9"/>
  <c r="AG66" i="9"/>
  <c r="AM66" i="9"/>
  <c r="AC66" i="9"/>
  <c r="Y66" i="9"/>
  <c r="AD66" i="9"/>
  <c r="W66" i="9"/>
  <c r="I66" i="9"/>
  <c r="AH66" i="9"/>
  <c r="M66" i="9"/>
  <c r="S66" i="9"/>
  <c r="L66" i="9"/>
  <c r="A68" i="9"/>
  <c r="AR69" i="9"/>
  <c r="AS69" i="9" s="1"/>
  <c r="H41" i="10"/>
  <c r="D41" i="10"/>
  <c r="AR37" i="35"/>
  <c r="C31" i="37"/>
  <c r="A31" i="37" s="1"/>
  <c r="D31" i="37" s="1"/>
  <c r="AU33" i="38"/>
  <c r="D33" i="38" s="1"/>
  <c r="AV34" i="38"/>
  <c r="AS34" i="38"/>
  <c r="J34" i="27"/>
  <c r="C33" i="34"/>
  <c r="A36" i="35"/>
  <c r="B32" i="36"/>
  <c r="I32" i="36" s="1"/>
  <c r="F32" i="36"/>
  <c r="G32" i="36"/>
  <c r="H32" i="36"/>
  <c r="M33" i="36"/>
  <c r="M39" i="39"/>
  <c r="C39" i="39" s="1"/>
  <c r="J33" i="38" l="1"/>
  <c r="A33" i="38" s="1"/>
  <c r="AS320" i="28"/>
  <c r="F319" i="28"/>
  <c r="B319" i="28"/>
  <c r="I319" i="28"/>
  <c r="H319" i="28"/>
  <c r="G319" i="28"/>
  <c r="E319" i="28"/>
  <c r="O318" i="28" a="1"/>
  <c r="O318" i="28" s="1"/>
  <c r="S318" i="28" a="1"/>
  <c r="S318" i="28" s="1"/>
  <c r="AB318" i="28" a="1"/>
  <c r="AB318" i="28" s="1"/>
  <c r="AG318" i="28" a="1"/>
  <c r="AG318" i="28" s="1"/>
  <c r="AN318" i="28" a="1"/>
  <c r="AN318" i="28" s="1"/>
  <c r="N318" i="28" a="1"/>
  <c r="N318" i="28" s="1"/>
  <c r="AH318" i="28" a="1"/>
  <c r="AH318" i="28" s="1"/>
  <c r="AI318" i="28" a="1"/>
  <c r="AI318" i="28" s="1"/>
  <c r="AJ318" i="28" a="1"/>
  <c r="AJ318" i="28" s="1"/>
  <c r="P318" i="28" a="1"/>
  <c r="P318" i="28" s="1"/>
  <c r="AK318" i="28" a="1"/>
  <c r="AK318" i="28" s="1"/>
  <c r="V318" i="28" a="1"/>
  <c r="V318" i="28" s="1"/>
  <c r="AC318" i="28" a="1"/>
  <c r="AC318" i="28" s="1"/>
  <c r="AF318" i="28" a="1"/>
  <c r="AF318" i="28" s="1"/>
  <c r="AD318" i="28" a="1"/>
  <c r="AD318" i="28" s="1"/>
  <c r="L318" i="28" a="1"/>
  <c r="L318" i="28" s="1"/>
  <c r="AA318" i="28" a="1"/>
  <c r="AA318" i="28" s="1"/>
  <c r="AP318" i="28" a="1"/>
  <c r="AP318" i="28" s="1"/>
  <c r="Z318" i="28" a="1"/>
  <c r="Z318" i="28" s="1"/>
  <c r="X318" i="28" a="1"/>
  <c r="X318" i="28" s="1"/>
  <c r="T318" i="28" a="1"/>
  <c r="T318" i="28" s="1"/>
  <c r="AO318" i="28" a="1"/>
  <c r="AO318" i="28" s="1"/>
  <c r="Q318" i="28" a="1"/>
  <c r="Q318" i="28" s="1"/>
  <c r="W318" i="28" a="1"/>
  <c r="W318" i="28" s="1"/>
  <c r="R318" i="28" a="1"/>
  <c r="R318" i="28" s="1"/>
  <c r="AL318" i="28" a="1"/>
  <c r="AL318" i="28" s="1"/>
  <c r="Y318" i="28" a="1"/>
  <c r="Y318" i="28" s="1"/>
  <c r="AM318" i="28" a="1"/>
  <c r="AM318" i="28" s="1"/>
  <c r="K318" i="28" a="1"/>
  <c r="K318" i="28" s="1"/>
  <c r="U318" i="28" a="1"/>
  <c r="U318" i="28" s="1"/>
  <c r="AE318" i="28" a="1"/>
  <c r="AE318" i="28" s="1"/>
  <c r="M318" i="28" a="1"/>
  <c r="M318" i="28" s="1"/>
  <c r="J318" i="28"/>
  <c r="D318" i="28"/>
  <c r="AU319" i="28"/>
  <c r="AR321" i="28"/>
  <c r="C321" i="28" s="1"/>
  <c r="I34" i="34"/>
  <c r="J34" i="34" s="1"/>
  <c r="C34" i="34" s="1"/>
  <c r="M33" i="34"/>
  <c r="N33" i="34"/>
  <c r="A42" i="10"/>
  <c r="AR182" i="28"/>
  <c r="C181" i="28"/>
  <c r="AU181" i="28" s="1"/>
  <c r="I180" i="28"/>
  <c r="B180" i="28"/>
  <c r="AS181" i="28"/>
  <c r="F180" i="28"/>
  <c r="G180" i="28"/>
  <c r="H180" i="28"/>
  <c r="E180" i="28"/>
  <c r="D180" i="28"/>
  <c r="J67" i="9"/>
  <c r="G67" i="9"/>
  <c r="E67" i="9"/>
  <c r="F67" i="9"/>
  <c r="H67" i="9"/>
  <c r="D67" i="9"/>
  <c r="C42" i="10"/>
  <c r="B42" i="10" s="1"/>
  <c r="K43" i="10"/>
  <c r="A69" i="9"/>
  <c r="AR70" i="9"/>
  <c r="AS70" i="9" s="1"/>
  <c r="E68" i="9"/>
  <c r="D68" i="9"/>
  <c r="G68" i="9"/>
  <c r="C68" i="9"/>
  <c r="F68" i="9"/>
  <c r="B68" i="9"/>
  <c r="H68" i="9"/>
  <c r="P67" i="9"/>
  <c r="T67" i="9"/>
  <c r="K67" i="9"/>
  <c r="AA67" i="9"/>
  <c r="L67" i="9"/>
  <c r="M67" i="9"/>
  <c r="S67" i="9"/>
  <c r="I67" i="9"/>
  <c r="AH67" i="9"/>
  <c r="AD67" i="9"/>
  <c r="AM67" i="9"/>
  <c r="Z67" i="9"/>
  <c r="AC67" i="9"/>
  <c r="U67" i="9"/>
  <c r="O67" i="9"/>
  <c r="V67" i="9"/>
  <c r="X67" i="9"/>
  <c r="Q67" i="9"/>
  <c r="AB67" i="9"/>
  <c r="AG67" i="9"/>
  <c r="W67" i="9"/>
  <c r="AF67" i="9"/>
  <c r="Y67" i="9"/>
  <c r="R67" i="9"/>
  <c r="AE67" i="9"/>
  <c r="N67" i="9"/>
  <c r="D32" i="36"/>
  <c r="E32" i="36"/>
  <c r="N39" i="39"/>
  <c r="D39" i="39" s="1"/>
  <c r="A39" i="39" s="1"/>
  <c r="L40" i="39"/>
  <c r="O40" i="39"/>
  <c r="K33" i="36"/>
  <c r="C34" i="27"/>
  <c r="H32" i="37"/>
  <c r="AS37" i="35"/>
  <c r="C37" i="35" s="1"/>
  <c r="AT34" i="38"/>
  <c r="E34" i="38" s="1"/>
  <c r="B36" i="35"/>
  <c r="A33" i="34"/>
  <c r="E33" i="34"/>
  <c r="J36" i="35"/>
  <c r="O319" i="28" l="1" a="1"/>
  <c r="O319" i="28" s="1"/>
  <c r="T319" i="28" a="1"/>
  <c r="T319" i="28" s="1"/>
  <c r="V319" i="28" a="1"/>
  <c r="V319" i="28" s="1"/>
  <c r="AA319" i="28" a="1"/>
  <c r="AA319" i="28" s="1"/>
  <c r="AO319" i="28" a="1"/>
  <c r="AO319" i="28" s="1"/>
  <c r="U319" i="28" a="1"/>
  <c r="U319" i="28" s="1"/>
  <c r="AB319" i="28" a="1"/>
  <c r="AB319" i="28" s="1"/>
  <c r="Y319" i="28" a="1"/>
  <c r="Y319" i="28" s="1"/>
  <c r="AD319" i="28" a="1"/>
  <c r="AD319" i="28" s="1"/>
  <c r="R319" i="28" a="1"/>
  <c r="R319" i="28" s="1"/>
  <c r="P319" i="28" a="1"/>
  <c r="P319" i="28" s="1"/>
  <c r="N319" i="28" a="1"/>
  <c r="N319" i="28" s="1"/>
  <c r="AF319" i="28" a="1"/>
  <c r="AF319" i="28" s="1"/>
  <c r="AI319" i="28" a="1"/>
  <c r="AI319" i="28" s="1"/>
  <c r="M319" i="28" a="1"/>
  <c r="M319" i="28" s="1"/>
  <c r="AL319" i="28" a="1"/>
  <c r="AL319" i="28" s="1"/>
  <c r="AP319" i="28" a="1"/>
  <c r="AP319" i="28" s="1"/>
  <c r="AG319" i="28" a="1"/>
  <c r="AG319" i="28" s="1"/>
  <c r="Z319" i="28" a="1"/>
  <c r="Z319" i="28" s="1"/>
  <c r="AJ319" i="28" a="1"/>
  <c r="AJ319" i="28" s="1"/>
  <c r="AC319" i="28" a="1"/>
  <c r="AC319" i="28" s="1"/>
  <c r="AM319" i="28" a="1"/>
  <c r="AM319" i="28" s="1"/>
  <c r="K319" i="28" a="1"/>
  <c r="K319" i="28" s="1"/>
  <c r="AH319" i="28" a="1"/>
  <c r="AH319" i="28" s="1"/>
  <c r="AK319" i="28" a="1"/>
  <c r="AK319" i="28" s="1"/>
  <c r="L319" i="28" a="1"/>
  <c r="L319" i="28" s="1"/>
  <c r="AE319" i="28" a="1"/>
  <c r="AE319" i="28" s="1"/>
  <c r="AN319" i="28" a="1"/>
  <c r="AN319" i="28" s="1"/>
  <c r="X319" i="28" a="1"/>
  <c r="X319" i="28" s="1"/>
  <c r="Q319" i="28" a="1"/>
  <c r="Q319" i="28" s="1"/>
  <c r="W319" i="28" a="1"/>
  <c r="W319" i="28" s="1"/>
  <c r="S319" i="28" a="1"/>
  <c r="S319" i="28" s="1"/>
  <c r="AS321" i="28"/>
  <c r="I320" i="28"/>
  <c r="F320" i="28"/>
  <c r="H320" i="28"/>
  <c r="G320" i="28"/>
  <c r="B320" i="28"/>
  <c r="E320" i="28"/>
  <c r="J319" i="28"/>
  <c r="AU320" i="28"/>
  <c r="AU321" i="28"/>
  <c r="J321" i="28" s="1"/>
  <c r="AR322" i="28"/>
  <c r="C322" i="28" s="1"/>
  <c r="M34" i="27"/>
  <c r="N34" i="27"/>
  <c r="O34" i="27"/>
  <c r="P34" i="27"/>
  <c r="L33" i="34"/>
  <c r="F33" i="34" s="1"/>
  <c r="M34" i="34"/>
  <c r="N34" i="34"/>
  <c r="H36" i="35"/>
  <c r="H42" i="10"/>
  <c r="I181" i="28"/>
  <c r="B181" i="28"/>
  <c r="F181" i="28"/>
  <c r="AS182" i="28"/>
  <c r="G181" i="28"/>
  <c r="H181" i="28"/>
  <c r="E181" i="28"/>
  <c r="D181" i="28"/>
  <c r="AR183" i="28"/>
  <c r="C183" i="28" s="1"/>
  <c r="AU183" i="28" s="1"/>
  <c r="AR184" i="28"/>
  <c r="C182" i="28"/>
  <c r="AU182" i="28" s="1"/>
  <c r="G42" i="10"/>
  <c r="E42" i="10"/>
  <c r="T68" i="9"/>
  <c r="M68" i="9"/>
  <c r="S68" i="9"/>
  <c r="AA68" i="9"/>
  <c r="AB68" i="9"/>
  <c r="AD68" i="9"/>
  <c r="P68" i="9"/>
  <c r="Q68" i="9"/>
  <c r="R68" i="9"/>
  <c r="I68" i="9"/>
  <c r="N68" i="9"/>
  <c r="U68" i="9"/>
  <c r="L68" i="9"/>
  <c r="V68" i="9"/>
  <c r="AC68" i="9"/>
  <c r="AG68" i="9"/>
  <c r="AF68" i="9"/>
  <c r="W68" i="9"/>
  <c r="Z68" i="9"/>
  <c r="O68" i="9"/>
  <c r="J68" i="9"/>
  <c r="AM68" i="9"/>
  <c r="AH68" i="9"/>
  <c r="K68" i="9"/>
  <c r="X68" i="9"/>
  <c r="AE68" i="9"/>
  <c r="Y68" i="9"/>
  <c r="C69" i="9"/>
  <c r="B69" i="9"/>
  <c r="D42" i="10"/>
  <c r="A70" i="9"/>
  <c r="AR71" i="9"/>
  <c r="AS71" i="9" s="1"/>
  <c r="I43" i="10"/>
  <c r="L43" i="10"/>
  <c r="F43" i="10"/>
  <c r="AU34" i="38"/>
  <c r="D34" i="38" s="1"/>
  <c r="AV35" i="38"/>
  <c r="AS35" i="38"/>
  <c r="I32" i="37"/>
  <c r="C32" i="37" s="1"/>
  <c r="A32" i="37" s="1"/>
  <c r="D32" i="37" s="1"/>
  <c r="A34" i="27"/>
  <c r="D34" i="27" s="1"/>
  <c r="E36" i="35"/>
  <c r="D36" i="35"/>
  <c r="F36" i="35"/>
  <c r="I35" i="27"/>
  <c r="L33" i="36"/>
  <c r="C33" i="36" s="1"/>
  <c r="A33" i="36" s="1"/>
  <c r="A37" i="35"/>
  <c r="I36" i="35"/>
  <c r="D33" i="34"/>
  <c r="B33" i="34"/>
  <c r="C34" i="38"/>
  <c r="G36" i="35"/>
  <c r="I35" i="34"/>
  <c r="E34" i="34"/>
  <c r="A34" i="34"/>
  <c r="AT38" i="35"/>
  <c r="M40" i="39"/>
  <c r="C40" i="39" s="1"/>
  <c r="J34" i="38" l="1"/>
  <c r="A34" i="38" s="1"/>
  <c r="AM320" i="28" a="1"/>
  <c r="AM320" i="28" s="1"/>
  <c r="AB320" i="28" a="1"/>
  <c r="AB320" i="28" s="1"/>
  <c r="X320" i="28" a="1"/>
  <c r="X320" i="28" s="1"/>
  <c r="AP320" i="28" a="1"/>
  <c r="AP320" i="28" s="1"/>
  <c r="AF320" i="28" a="1"/>
  <c r="AF320" i="28" s="1"/>
  <c r="T320" i="28" a="1"/>
  <c r="T320" i="28" s="1"/>
  <c r="AL320" i="28" a="1"/>
  <c r="AL320" i="28" s="1"/>
  <c r="AA320" i="28" a="1"/>
  <c r="AA320" i="28" s="1"/>
  <c r="AD320" i="28" a="1"/>
  <c r="AD320" i="28" s="1"/>
  <c r="R320" i="28" a="1"/>
  <c r="R320" i="28" s="1"/>
  <c r="AK320" i="28" a="1"/>
  <c r="AK320" i="28" s="1"/>
  <c r="K320" i="28" a="1"/>
  <c r="K320" i="28" s="1"/>
  <c r="Q320" i="28" a="1"/>
  <c r="Q320" i="28" s="1"/>
  <c r="AI320" i="28" a="1"/>
  <c r="AI320" i="28" s="1"/>
  <c r="U320" i="28" a="1"/>
  <c r="U320" i="28" s="1"/>
  <c r="M320" i="28" a="1"/>
  <c r="M320" i="28" s="1"/>
  <c r="W320" i="28" a="1"/>
  <c r="W320" i="28" s="1"/>
  <c r="AO320" i="28" a="1"/>
  <c r="AO320" i="28" s="1"/>
  <c r="AH320" i="28" a="1"/>
  <c r="AH320" i="28" s="1"/>
  <c r="Z320" i="28" a="1"/>
  <c r="Z320" i="28" s="1"/>
  <c r="S320" i="28" a="1"/>
  <c r="S320" i="28" s="1"/>
  <c r="AN320" i="28" a="1"/>
  <c r="AN320" i="28" s="1"/>
  <c r="Y320" i="28" a="1"/>
  <c r="Y320" i="28" s="1"/>
  <c r="O320" i="28" a="1"/>
  <c r="O320" i="28" s="1"/>
  <c r="V320" i="28" a="1"/>
  <c r="V320" i="28" s="1"/>
  <c r="AJ320" i="28" a="1"/>
  <c r="AJ320" i="28" s="1"/>
  <c r="L320" i="28" a="1"/>
  <c r="L320" i="28" s="1"/>
  <c r="AC320" i="28" a="1"/>
  <c r="AC320" i="28" s="1"/>
  <c r="N320" i="28" a="1"/>
  <c r="N320" i="28" s="1"/>
  <c r="AG320" i="28" a="1"/>
  <c r="AG320" i="28" s="1"/>
  <c r="P320" i="28" a="1"/>
  <c r="P320" i="28" s="1"/>
  <c r="AE320" i="28" a="1"/>
  <c r="AE320" i="28" s="1"/>
  <c r="AS322" i="28"/>
  <c r="D321" i="28"/>
  <c r="B321" i="28"/>
  <c r="I321" i="28"/>
  <c r="G321" i="28"/>
  <c r="E321" i="28"/>
  <c r="H321" i="28"/>
  <c r="F321" i="28"/>
  <c r="J320" i="28"/>
  <c r="AR323" i="28"/>
  <c r="L34" i="27"/>
  <c r="F34" i="27" s="1"/>
  <c r="L34" i="34"/>
  <c r="F34" i="34" s="1"/>
  <c r="AR185" i="28"/>
  <c r="C184" i="28"/>
  <c r="H182" i="28"/>
  <c r="G182" i="28"/>
  <c r="F182" i="28"/>
  <c r="I182" i="28"/>
  <c r="AS184" i="28"/>
  <c r="B182" i="28"/>
  <c r="AS183" i="28"/>
  <c r="E182" i="28"/>
  <c r="D182" i="28"/>
  <c r="E69" i="9"/>
  <c r="D69" i="9"/>
  <c r="F69" i="9"/>
  <c r="A43" i="10"/>
  <c r="K44" i="10"/>
  <c r="C43" i="10"/>
  <c r="B43" i="10" s="1"/>
  <c r="A71" i="9"/>
  <c r="AR72" i="9"/>
  <c r="AS72" i="9" s="1"/>
  <c r="C70" i="9"/>
  <c r="B70" i="9"/>
  <c r="H69" i="9"/>
  <c r="M69" i="9"/>
  <c r="N69" i="9"/>
  <c r="AA69" i="9"/>
  <c r="AD69" i="9"/>
  <c r="P69" i="9"/>
  <c r="Q69" i="9"/>
  <c r="O69" i="9"/>
  <c r="V69" i="9"/>
  <c r="AE69" i="9"/>
  <c r="J69" i="9"/>
  <c r="Y69" i="9"/>
  <c r="AH69" i="9"/>
  <c r="I69" i="9"/>
  <c r="L69" i="9"/>
  <c r="AC69" i="9"/>
  <c r="AF69" i="9"/>
  <c r="U69" i="9"/>
  <c r="W69" i="9"/>
  <c r="AB69" i="9"/>
  <c r="Z69" i="9"/>
  <c r="R69" i="9"/>
  <c r="X69" i="9"/>
  <c r="T69" i="9"/>
  <c r="AM69" i="9"/>
  <c r="K69" i="9"/>
  <c r="AG69" i="9"/>
  <c r="S69" i="9"/>
  <c r="G69" i="9"/>
  <c r="M34" i="36"/>
  <c r="K34" i="36" s="1"/>
  <c r="N40" i="39"/>
  <c r="D40" i="39" s="1"/>
  <c r="A40" i="39" s="1"/>
  <c r="L41" i="39"/>
  <c r="O41" i="39"/>
  <c r="J35" i="27"/>
  <c r="J35" i="34"/>
  <c r="C35" i="34" s="1"/>
  <c r="H33" i="37"/>
  <c r="B37" i="35"/>
  <c r="AT35" i="38"/>
  <c r="C35" i="38" s="1"/>
  <c r="AR38" i="35"/>
  <c r="B34" i="34"/>
  <c r="D34" i="34"/>
  <c r="B33" i="36"/>
  <c r="I33" i="36" s="1"/>
  <c r="H33" i="36"/>
  <c r="F33" i="36"/>
  <c r="G33" i="36"/>
  <c r="J37" i="35"/>
  <c r="AS323" i="28" l="1"/>
  <c r="I322" i="28"/>
  <c r="H322" i="28"/>
  <c r="G322" i="28"/>
  <c r="F322" i="28"/>
  <c r="E322" i="28"/>
  <c r="D322" i="28"/>
  <c r="B322" i="28"/>
  <c r="AB321" i="28" a="1"/>
  <c r="AB321" i="28" s="1"/>
  <c r="O321" i="28" a="1"/>
  <c r="O321" i="28" s="1"/>
  <c r="W321" i="28" a="1"/>
  <c r="W321" i="28" s="1"/>
  <c r="AK321" i="28" a="1"/>
  <c r="AK321" i="28" s="1"/>
  <c r="AM321" i="28" a="1"/>
  <c r="AM321" i="28" s="1"/>
  <c r="AD321" i="28" a="1"/>
  <c r="AD321" i="28" s="1"/>
  <c r="AN321" i="28" a="1"/>
  <c r="AN321" i="28" s="1"/>
  <c r="U321" i="28" a="1"/>
  <c r="U321" i="28" s="1"/>
  <c r="M321" i="28" a="1"/>
  <c r="M321" i="28" s="1"/>
  <c r="AI321" i="28" a="1"/>
  <c r="AI321" i="28" s="1"/>
  <c r="P321" i="28" a="1"/>
  <c r="P321" i="28" s="1"/>
  <c r="AG321" i="28" a="1"/>
  <c r="AG321" i="28" s="1"/>
  <c r="Z321" i="28" a="1"/>
  <c r="Z321" i="28" s="1"/>
  <c r="AA321" i="28" a="1"/>
  <c r="AA321" i="28" s="1"/>
  <c r="AO321" i="28" a="1"/>
  <c r="AO321" i="28" s="1"/>
  <c r="V321" i="28" a="1"/>
  <c r="V321" i="28" s="1"/>
  <c r="AH321" i="28" a="1"/>
  <c r="AH321" i="28" s="1"/>
  <c r="AC321" i="28" a="1"/>
  <c r="AC321" i="28" s="1"/>
  <c r="AL321" i="28" a="1"/>
  <c r="AL321" i="28" s="1"/>
  <c r="L321" i="28" a="1"/>
  <c r="L321" i="28" s="1"/>
  <c r="AE321" i="28" a="1"/>
  <c r="AE321" i="28" s="1"/>
  <c r="K321" i="28" a="1"/>
  <c r="K321" i="28" s="1"/>
  <c r="T321" i="28" a="1"/>
  <c r="T321" i="28" s="1"/>
  <c r="N321" i="28" a="1"/>
  <c r="N321" i="28" s="1"/>
  <c r="AP321" i="28" a="1"/>
  <c r="AP321" i="28" s="1"/>
  <c r="R321" i="28" a="1"/>
  <c r="R321" i="28" s="1"/>
  <c r="X321" i="28" a="1"/>
  <c r="X321" i="28" s="1"/>
  <c r="S321" i="28" a="1"/>
  <c r="S321" i="28" s="1"/>
  <c r="Y321" i="28" a="1"/>
  <c r="Y321" i="28" s="1"/>
  <c r="AF321" i="28" a="1"/>
  <c r="AF321" i="28" s="1"/>
  <c r="Q321" i="28" a="1"/>
  <c r="Q321" i="28" s="1"/>
  <c r="AJ321" i="28" a="1"/>
  <c r="AJ321" i="28" s="1"/>
  <c r="AU322" i="28"/>
  <c r="J322" i="28" s="1"/>
  <c r="AR324" i="28"/>
  <c r="C323" i="28"/>
  <c r="E184" i="28"/>
  <c r="N35" i="34"/>
  <c r="M35" i="34"/>
  <c r="AU184" i="28"/>
  <c r="G37" i="35"/>
  <c r="AS185" i="28"/>
  <c r="H184" i="28"/>
  <c r="G184" i="28"/>
  <c r="B184" i="28"/>
  <c r="F184" i="28"/>
  <c r="I184" i="28"/>
  <c r="H183" i="28"/>
  <c r="I183" i="28"/>
  <c r="G183" i="28"/>
  <c r="F183" i="28"/>
  <c r="B183" i="28"/>
  <c r="E183" i="28"/>
  <c r="D183" i="28"/>
  <c r="AR186" i="28"/>
  <c r="C185" i="28"/>
  <c r="H70" i="9"/>
  <c r="F70" i="9"/>
  <c r="D70" i="9"/>
  <c r="M70" i="9"/>
  <c r="E70" i="9"/>
  <c r="G70" i="9"/>
  <c r="X70" i="9"/>
  <c r="R70" i="9"/>
  <c r="P70" i="9"/>
  <c r="AD70" i="9"/>
  <c r="AA70" i="9"/>
  <c r="T70" i="9"/>
  <c r="AC70" i="9"/>
  <c r="L70" i="9"/>
  <c r="S70" i="9"/>
  <c r="J70" i="9"/>
  <c r="AE70" i="9"/>
  <c r="K70" i="9"/>
  <c r="I70" i="9"/>
  <c r="AF70" i="9"/>
  <c r="AB70" i="9"/>
  <c r="W70" i="9"/>
  <c r="Y70" i="9"/>
  <c r="AH70" i="9"/>
  <c r="Q70" i="9"/>
  <c r="N70" i="9"/>
  <c r="V70" i="9"/>
  <c r="AM70" i="9"/>
  <c r="AG70" i="9"/>
  <c r="U70" i="9"/>
  <c r="O70" i="9"/>
  <c r="Z70" i="9"/>
  <c r="AR73" i="9"/>
  <c r="AS73" i="9" s="1"/>
  <c r="A72" i="9"/>
  <c r="C71" i="9"/>
  <c r="B71" i="9"/>
  <c r="E71" i="9" s="1"/>
  <c r="I44" i="10"/>
  <c r="F44" i="10"/>
  <c r="L44" i="10"/>
  <c r="H43" i="10"/>
  <c r="G43" i="10"/>
  <c r="E43" i="10"/>
  <c r="D43" i="10"/>
  <c r="I37" i="35"/>
  <c r="F37" i="35"/>
  <c r="AS38" i="35"/>
  <c r="C38" i="35" s="1"/>
  <c r="AT39" i="35" s="1"/>
  <c r="E37" i="35"/>
  <c r="I33" i="37"/>
  <c r="C33" i="37" s="1"/>
  <c r="A33" i="37" s="1"/>
  <c r="D33" i="37" s="1"/>
  <c r="A35" i="34"/>
  <c r="E35" i="34"/>
  <c r="D33" i="36"/>
  <c r="I36" i="34"/>
  <c r="E35" i="38"/>
  <c r="L34" i="36"/>
  <c r="C34" i="36" s="1"/>
  <c r="A34" i="36" s="1"/>
  <c r="H37" i="35"/>
  <c r="C35" i="27"/>
  <c r="E33" i="36"/>
  <c r="M41" i="39"/>
  <c r="C41" i="39" s="1"/>
  <c r="D37" i="35"/>
  <c r="AJ322" i="28" l="1" a="1"/>
  <c r="AJ322" i="28" s="1"/>
  <c r="AG322" i="28" a="1"/>
  <c r="AG322" i="28" s="1"/>
  <c r="L322" i="28" a="1"/>
  <c r="L322" i="28" s="1"/>
  <c r="R322" i="28" a="1"/>
  <c r="R322" i="28" s="1"/>
  <c r="Y322" i="28" a="1"/>
  <c r="Y322" i="28" s="1"/>
  <c r="V322" i="28" a="1"/>
  <c r="V322" i="28" s="1"/>
  <c r="Q322" i="28" a="1"/>
  <c r="Q322" i="28" s="1"/>
  <c r="AI322" i="28" a="1"/>
  <c r="AI322" i="28" s="1"/>
  <c r="X322" i="28" a="1"/>
  <c r="X322" i="28" s="1"/>
  <c r="S322" i="28" a="1"/>
  <c r="S322" i="28" s="1"/>
  <c r="AB322" i="28" a="1"/>
  <c r="AB322" i="28" s="1"/>
  <c r="AM322" i="28" a="1"/>
  <c r="AM322" i="28" s="1"/>
  <c r="T322" i="28" a="1"/>
  <c r="T322" i="28" s="1"/>
  <c r="AA322" i="28" a="1"/>
  <c r="AA322" i="28" s="1"/>
  <c r="AE322" i="28" a="1"/>
  <c r="AE322" i="28" s="1"/>
  <c r="AC322" i="28" a="1"/>
  <c r="AC322" i="28" s="1"/>
  <c r="AF322" i="28" a="1"/>
  <c r="AF322" i="28" s="1"/>
  <c r="AP322" i="28" a="1"/>
  <c r="AP322" i="28" s="1"/>
  <c r="K322" i="28" a="1"/>
  <c r="K322" i="28" s="1"/>
  <c r="W322" i="28" a="1"/>
  <c r="W322" i="28" s="1"/>
  <c r="O322" i="28" a="1"/>
  <c r="O322" i="28" s="1"/>
  <c r="AN322" i="28" a="1"/>
  <c r="AN322" i="28" s="1"/>
  <c r="U322" i="28" a="1"/>
  <c r="U322" i="28" s="1"/>
  <c r="N322" i="28" a="1"/>
  <c r="N322" i="28" s="1"/>
  <c r="AL322" i="28" a="1"/>
  <c r="AL322" i="28" s="1"/>
  <c r="AO322" i="28" a="1"/>
  <c r="AO322" i="28" s="1"/>
  <c r="P322" i="28" a="1"/>
  <c r="P322" i="28" s="1"/>
  <c r="AH322" i="28" a="1"/>
  <c r="AH322" i="28" s="1"/>
  <c r="AK322" i="28" a="1"/>
  <c r="AK322" i="28" s="1"/>
  <c r="Z322" i="28" a="1"/>
  <c r="Z322" i="28" s="1"/>
  <c r="M322" i="28" a="1"/>
  <c r="M322" i="28" s="1"/>
  <c r="AD322" i="28" a="1"/>
  <c r="AD322" i="28" s="1"/>
  <c r="AS324" i="28"/>
  <c r="K323" i="28" a="1"/>
  <c r="K323" i="28" s="1"/>
  <c r="AF323" i="28" a="1"/>
  <c r="AF323" i="28" s="1"/>
  <c r="AU323" i="28"/>
  <c r="J323" i="28" s="1"/>
  <c r="E323" i="28"/>
  <c r="I323" i="28"/>
  <c r="B323" i="28"/>
  <c r="AN323" i="28" s="1" a="1"/>
  <c r="AN323" i="28" s="1"/>
  <c r="D323" i="28"/>
  <c r="H323" i="28"/>
  <c r="F323" i="28"/>
  <c r="G323" i="28"/>
  <c r="C324" i="28"/>
  <c r="M35" i="27"/>
  <c r="N35" i="27"/>
  <c r="O35" i="27"/>
  <c r="P35" i="27"/>
  <c r="I36" i="27"/>
  <c r="J36" i="27" s="1"/>
  <c r="C36" i="27" s="1"/>
  <c r="L35" i="34"/>
  <c r="F35" i="34" s="1"/>
  <c r="AU185" i="28"/>
  <c r="E185" i="28"/>
  <c r="AR188" i="28"/>
  <c r="C188" i="28" s="1"/>
  <c r="AU188" i="28" s="1"/>
  <c r="AR187" i="28"/>
  <c r="C187" i="28" s="1"/>
  <c r="AU187" i="28" s="1"/>
  <c r="C186" i="28"/>
  <c r="AU186" i="28" s="1"/>
  <c r="F185" i="28"/>
  <c r="B185" i="28"/>
  <c r="I185" i="28"/>
  <c r="H185" i="28"/>
  <c r="G185" i="28"/>
  <c r="AS186" i="28"/>
  <c r="B72" i="9"/>
  <c r="E72" i="9" s="1"/>
  <c r="C72" i="9"/>
  <c r="C44" i="10"/>
  <c r="B44" i="10" s="1"/>
  <c r="K45" i="10"/>
  <c r="O71" i="9"/>
  <c r="Z71" i="9"/>
  <c r="AH71" i="9"/>
  <c r="P71" i="9"/>
  <c r="AB71" i="9"/>
  <c r="AE71" i="9"/>
  <c r="Y71" i="9"/>
  <c r="J71" i="9"/>
  <c r="S71" i="9"/>
  <c r="W71" i="9"/>
  <c r="AC71" i="9"/>
  <c r="I71" i="9"/>
  <c r="M71" i="9"/>
  <c r="V71" i="9"/>
  <c r="K71" i="9"/>
  <c r="N71" i="9"/>
  <c r="U71" i="9"/>
  <c r="AD71" i="9"/>
  <c r="X71" i="9"/>
  <c r="R71" i="9"/>
  <c r="T71" i="9"/>
  <c r="AM71" i="9"/>
  <c r="L71" i="9"/>
  <c r="AF71" i="9"/>
  <c r="AA71" i="9"/>
  <c r="Q71" i="9"/>
  <c r="AG71" i="9"/>
  <c r="A44" i="10"/>
  <c r="G71" i="9"/>
  <c r="A73" i="9"/>
  <c r="AR74" i="9"/>
  <c r="AS74" i="9" s="1"/>
  <c r="F71" i="9"/>
  <c r="D71" i="9"/>
  <c r="H71" i="9"/>
  <c r="M35" i="36"/>
  <c r="K35" i="36" s="1"/>
  <c r="N41" i="39"/>
  <c r="D41" i="39" s="1"/>
  <c r="A41" i="39" s="1"/>
  <c r="L42" i="39"/>
  <c r="O42" i="39"/>
  <c r="AR39" i="35"/>
  <c r="J36" i="34"/>
  <c r="C36" i="34" s="1"/>
  <c r="B35" i="34"/>
  <c r="D35" i="34"/>
  <c r="H34" i="37"/>
  <c r="A38" i="35"/>
  <c r="H34" i="36"/>
  <c r="G34" i="36"/>
  <c r="F34" i="36"/>
  <c r="B34" i="36"/>
  <c r="I34" i="36" s="1"/>
  <c r="A35" i="27"/>
  <c r="D35" i="27" s="1"/>
  <c r="AU35" i="38"/>
  <c r="D35" i="38" s="1"/>
  <c r="AS36" i="38"/>
  <c r="AV36" i="38"/>
  <c r="J35" i="38" l="1"/>
  <c r="A35" i="38" s="1"/>
  <c r="V323" i="28" a="1"/>
  <c r="V323" i="28" s="1"/>
  <c r="AB323" i="28" a="1"/>
  <c r="AB323" i="28" s="1"/>
  <c r="AG323" i="28" a="1"/>
  <c r="AG323" i="28" s="1"/>
  <c r="L323" i="28" a="1"/>
  <c r="L323" i="28" s="1"/>
  <c r="S323" i="28" a="1"/>
  <c r="S323" i="28" s="1"/>
  <c r="X323" i="28" a="1"/>
  <c r="X323" i="28" s="1"/>
  <c r="AJ323" i="28" a="1"/>
  <c r="AJ323" i="28" s="1"/>
  <c r="Z323" i="28" a="1"/>
  <c r="Z323" i="28" s="1"/>
  <c r="AI323" i="28" a="1"/>
  <c r="AI323" i="28" s="1"/>
  <c r="W323" i="28" a="1"/>
  <c r="W323" i="28" s="1"/>
  <c r="AL323" i="28" a="1"/>
  <c r="AL323" i="28" s="1"/>
  <c r="N323" i="28" a="1"/>
  <c r="N323" i="28" s="1"/>
  <c r="AP323" i="28" a="1"/>
  <c r="AP323" i="28" s="1"/>
  <c r="P323" i="28" a="1"/>
  <c r="P323" i="28" s="1"/>
  <c r="AE323" i="28" a="1"/>
  <c r="AE323" i="28" s="1"/>
  <c r="AK323" i="28" a="1"/>
  <c r="AK323" i="28" s="1"/>
  <c r="AH323" i="28" a="1"/>
  <c r="AH323" i="28" s="1"/>
  <c r="U323" i="28" a="1"/>
  <c r="U323" i="28" s="1"/>
  <c r="AA323" i="28" a="1"/>
  <c r="AA323" i="28" s="1"/>
  <c r="M323" i="28" a="1"/>
  <c r="M323" i="28" s="1"/>
  <c r="AO323" i="28" a="1"/>
  <c r="AO323" i="28" s="1"/>
  <c r="Q323" i="28" a="1"/>
  <c r="Q323" i="28" s="1"/>
  <c r="AM323" i="28" a="1"/>
  <c r="AM323" i="28" s="1"/>
  <c r="AD323" i="28" a="1"/>
  <c r="AD323" i="28" s="1"/>
  <c r="Y323" i="28" a="1"/>
  <c r="Y323" i="28" s="1"/>
  <c r="R323" i="28" a="1"/>
  <c r="R323" i="28" s="1"/>
  <c r="T323" i="28" a="1"/>
  <c r="T323" i="28" s="1"/>
  <c r="O323" i="28" a="1"/>
  <c r="O323" i="28" s="1"/>
  <c r="AC323" i="28" a="1"/>
  <c r="AC323" i="28" s="1"/>
  <c r="AU324" i="28"/>
  <c r="J324" i="28" s="1"/>
  <c r="E324" i="28"/>
  <c r="I324" i="28"/>
  <c r="D324" i="28"/>
  <c r="B324" i="28"/>
  <c r="AC324" i="28" s="1" a="1"/>
  <c r="AC324" i="28" s="1"/>
  <c r="H324" i="28"/>
  <c r="F324" i="28"/>
  <c r="G324" i="28"/>
  <c r="L35" i="27"/>
  <c r="F35" i="27" s="1"/>
  <c r="P36" i="27"/>
  <c r="M36" i="27"/>
  <c r="N36" i="27"/>
  <c r="O36" i="27"/>
  <c r="N36" i="34"/>
  <c r="M36" i="34"/>
  <c r="H72" i="9"/>
  <c r="H186" i="28"/>
  <c r="B186" i="28"/>
  <c r="I186" i="28"/>
  <c r="G186" i="28"/>
  <c r="AS187" i="28"/>
  <c r="D186" i="28"/>
  <c r="E186" i="28"/>
  <c r="F186" i="28"/>
  <c r="D72" i="9"/>
  <c r="F72" i="9"/>
  <c r="G72" i="9"/>
  <c r="I45" i="10"/>
  <c r="L45" i="10"/>
  <c r="F45" i="10"/>
  <c r="D44" i="10"/>
  <c r="H44" i="10"/>
  <c r="G44" i="10"/>
  <c r="E44" i="10"/>
  <c r="A74" i="9"/>
  <c r="AR75" i="9"/>
  <c r="AS75" i="9" s="1"/>
  <c r="C73" i="9"/>
  <c r="B73" i="9"/>
  <c r="D73" i="9" s="1"/>
  <c r="I72" i="9"/>
  <c r="AA72" i="9"/>
  <c r="AC72" i="9"/>
  <c r="AM72" i="9"/>
  <c r="AD72" i="9"/>
  <c r="T72" i="9"/>
  <c r="AG72" i="9"/>
  <c r="U72" i="9"/>
  <c r="O72" i="9"/>
  <c r="Z72" i="9"/>
  <c r="Y72" i="9"/>
  <c r="M72" i="9"/>
  <c r="L72" i="9"/>
  <c r="X72" i="9"/>
  <c r="N72" i="9"/>
  <c r="R72" i="9"/>
  <c r="AB72" i="9"/>
  <c r="Q72" i="9"/>
  <c r="AF72" i="9"/>
  <c r="K72" i="9"/>
  <c r="W72" i="9"/>
  <c r="P72" i="9"/>
  <c r="V72" i="9"/>
  <c r="J72" i="9"/>
  <c r="S72" i="9"/>
  <c r="AE72" i="9"/>
  <c r="AH72" i="9"/>
  <c r="E36" i="34"/>
  <c r="A36" i="34"/>
  <c r="D34" i="36"/>
  <c r="I34" i="37"/>
  <c r="AS39" i="35"/>
  <c r="C39" i="35" s="1"/>
  <c r="AT40" i="35" s="1"/>
  <c r="I37" i="34"/>
  <c r="E34" i="36"/>
  <c r="B38" i="35"/>
  <c r="A36" i="27"/>
  <c r="D36" i="27" s="1"/>
  <c r="AT36" i="38"/>
  <c r="C36" i="38" s="1"/>
  <c r="L35" i="36"/>
  <c r="C35" i="36" s="1"/>
  <c r="A35" i="36" s="1"/>
  <c r="I37" i="27"/>
  <c r="M42" i="39"/>
  <c r="C42" i="39" s="1"/>
  <c r="J38" i="35"/>
  <c r="O324" i="28" l="1" a="1"/>
  <c r="O324" i="28" s="1"/>
  <c r="S324" i="28" a="1"/>
  <c r="S324" i="28" s="1"/>
  <c r="AP324" i="28" a="1"/>
  <c r="AP324" i="28" s="1"/>
  <c r="N324" i="28" a="1"/>
  <c r="N324" i="28" s="1"/>
  <c r="L324" i="28" a="1"/>
  <c r="L324" i="28" s="1"/>
  <c r="AJ324" i="28" a="1"/>
  <c r="AJ324" i="28" s="1"/>
  <c r="AF324" i="28" a="1"/>
  <c r="AF324" i="28" s="1"/>
  <c r="X324" i="28" a="1"/>
  <c r="X324" i="28" s="1"/>
  <c r="Z324" i="28" a="1"/>
  <c r="Z324" i="28" s="1"/>
  <c r="AO324" i="28" a="1"/>
  <c r="AO324" i="28" s="1"/>
  <c r="K324" i="28" a="1"/>
  <c r="K324" i="28" s="1"/>
  <c r="P324" i="28" a="1"/>
  <c r="P324" i="28" s="1"/>
  <c r="AE324" i="28" a="1"/>
  <c r="AE324" i="28" s="1"/>
  <c r="AH324" i="28" a="1"/>
  <c r="AH324" i="28" s="1"/>
  <c r="U324" i="28" a="1"/>
  <c r="U324" i="28" s="1"/>
  <c r="V324" i="28" a="1"/>
  <c r="V324" i="28" s="1"/>
  <c r="AK324" i="28" a="1"/>
  <c r="AK324" i="28" s="1"/>
  <c r="W324" i="28" a="1"/>
  <c r="W324" i="28" s="1"/>
  <c r="AD324" i="28" a="1"/>
  <c r="AD324" i="28" s="1"/>
  <c r="AA324" i="28" a="1"/>
  <c r="AA324" i="28" s="1"/>
  <c r="M324" i="28" a="1"/>
  <c r="M324" i="28" s="1"/>
  <c r="T324" i="28" a="1"/>
  <c r="T324" i="28" s="1"/>
  <c r="AI324" i="28" a="1"/>
  <c r="AI324" i="28" s="1"/>
  <c r="AM324" i="28" a="1"/>
  <c r="AM324" i="28" s="1"/>
  <c r="Q324" i="28" a="1"/>
  <c r="Q324" i="28" s="1"/>
  <c r="Y324" i="28" a="1"/>
  <c r="Y324" i="28" s="1"/>
  <c r="R324" i="28" a="1"/>
  <c r="R324" i="28" s="1"/>
  <c r="L36" i="27"/>
  <c r="F36" i="27" s="1"/>
  <c r="L36" i="34"/>
  <c r="F36" i="34" s="1"/>
  <c r="E38" i="35"/>
  <c r="A45" i="10"/>
  <c r="B187" i="28"/>
  <c r="AS188" i="28"/>
  <c r="I187" i="28"/>
  <c r="H187" i="28"/>
  <c r="G187" i="28"/>
  <c r="D187" i="28"/>
  <c r="F187" i="28"/>
  <c r="E187" i="28"/>
  <c r="G73" i="9"/>
  <c r="N73" i="9"/>
  <c r="AC73" i="9"/>
  <c r="P73" i="9"/>
  <c r="U73" i="9"/>
  <c r="R73" i="9"/>
  <c r="AF73" i="9"/>
  <c r="M73" i="9"/>
  <c r="X73" i="9"/>
  <c r="AG73" i="9"/>
  <c r="Y73" i="9"/>
  <c r="AE73" i="9"/>
  <c r="S73" i="9"/>
  <c r="AH73" i="9"/>
  <c r="K73" i="9"/>
  <c r="V73" i="9"/>
  <c r="AA73" i="9"/>
  <c r="L73" i="9"/>
  <c r="O73" i="9"/>
  <c r="I73" i="9"/>
  <c r="Z73" i="9"/>
  <c r="J73" i="9"/>
  <c r="AD73" i="9"/>
  <c r="AM73" i="9"/>
  <c r="T73" i="9"/>
  <c r="Q73" i="9"/>
  <c r="AB73" i="9"/>
  <c r="W73" i="9"/>
  <c r="E73" i="9"/>
  <c r="B74" i="9"/>
  <c r="G74" i="9" s="1"/>
  <c r="C74" i="9"/>
  <c r="H73" i="9"/>
  <c r="K46" i="10"/>
  <c r="C45" i="10"/>
  <c r="B45" i="10" s="1"/>
  <c r="A75" i="9"/>
  <c r="AR76" i="9"/>
  <c r="AS76" i="9" s="1"/>
  <c r="F73" i="9"/>
  <c r="AR40" i="35"/>
  <c r="N42" i="39"/>
  <c r="D42" i="39" s="1"/>
  <c r="A42" i="39" s="1"/>
  <c r="L43" i="39"/>
  <c r="O43" i="39"/>
  <c r="J37" i="34"/>
  <c r="E36" i="38"/>
  <c r="A39" i="35"/>
  <c r="J37" i="27"/>
  <c r="H38" i="35"/>
  <c r="C34" i="37"/>
  <c r="A34" i="37" s="1"/>
  <c r="D34" i="37" s="1"/>
  <c r="M36" i="36"/>
  <c r="F38" i="35"/>
  <c r="B36" i="34"/>
  <c r="D36" i="34"/>
  <c r="G38" i="35"/>
  <c r="G35" i="36"/>
  <c r="H35" i="36"/>
  <c r="B35" i="36"/>
  <c r="I35" i="36" s="1"/>
  <c r="F35" i="36"/>
  <c r="I38" i="35"/>
  <c r="D38" i="35"/>
  <c r="G45" i="10" l="1"/>
  <c r="I188" i="28"/>
  <c r="H188" i="28"/>
  <c r="G188" i="28"/>
  <c r="E188" i="28"/>
  <c r="D188" i="28"/>
  <c r="F188" i="28"/>
  <c r="B188" i="28"/>
  <c r="J188" i="28"/>
  <c r="F74" i="9"/>
  <c r="E45" i="10"/>
  <c r="D45" i="10"/>
  <c r="H45" i="10"/>
  <c r="D74" i="9"/>
  <c r="A76" i="9"/>
  <c r="AR77" i="9"/>
  <c r="AS77" i="9" s="1"/>
  <c r="B75" i="9"/>
  <c r="E75" i="9" s="1"/>
  <c r="C75" i="9"/>
  <c r="I46" i="10"/>
  <c r="F46" i="10"/>
  <c r="L46" i="10"/>
  <c r="AF74" i="9"/>
  <c r="T74" i="9"/>
  <c r="I74" i="9"/>
  <c r="AE74" i="9"/>
  <c r="R74" i="9"/>
  <c r="O74" i="9"/>
  <c r="Q74" i="9"/>
  <c r="K74" i="9"/>
  <c r="S74" i="9"/>
  <c r="U74" i="9"/>
  <c r="X74" i="9"/>
  <c r="V74" i="9"/>
  <c r="Z74" i="9"/>
  <c r="J74" i="9"/>
  <c r="N74" i="9"/>
  <c r="AB74" i="9"/>
  <c r="Y74" i="9"/>
  <c r="AG74" i="9"/>
  <c r="AC74" i="9"/>
  <c r="P74" i="9"/>
  <c r="W74" i="9"/>
  <c r="AD74" i="9"/>
  <c r="AM74" i="9"/>
  <c r="M74" i="9"/>
  <c r="AA74" i="9"/>
  <c r="L74" i="9"/>
  <c r="AH74" i="9"/>
  <c r="H74" i="9"/>
  <c r="E74" i="9"/>
  <c r="H35" i="37"/>
  <c r="I35" i="37" s="1"/>
  <c r="D35" i="36"/>
  <c r="AU36" i="38"/>
  <c r="D36" i="38" s="1"/>
  <c r="AV37" i="38"/>
  <c r="AS37" i="38"/>
  <c r="C37" i="34"/>
  <c r="M43" i="39"/>
  <c r="C43" i="39" s="1"/>
  <c r="AS40" i="35"/>
  <c r="C40" i="35" s="1"/>
  <c r="B39" i="35"/>
  <c r="K36" i="36"/>
  <c r="E35" i="36"/>
  <c r="C37" i="27"/>
  <c r="J39" i="35"/>
  <c r="J36" i="38" l="1"/>
  <c r="A36" i="38" s="1"/>
  <c r="M37" i="27"/>
  <c r="N37" i="27"/>
  <c r="O37" i="27"/>
  <c r="P37" i="27"/>
  <c r="I38" i="27"/>
  <c r="J38" i="27" s="1"/>
  <c r="M37" i="34"/>
  <c r="N37" i="34"/>
  <c r="G75" i="9"/>
  <c r="H75" i="9"/>
  <c r="D75" i="9"/>
  <c r="F75" i="9"/>
  <c r="K47" i="10"/>
  <c r="C46" i="10"/>
  <c r="B46" i="10" s="1"/>
  <c r="A46" i="10"/>
  <c r="L75" i="9"/>
  <c r="P75" i="9"/>
  <c r="AM75" i="9"/>
  <c r="K75" i="9"/>
  <c r="AF75" i="9"/>
  <c r="AH75" i="9"/>
  <c r="Q75" i="9"/>
  <c r="N75" i="9"/>
  <c r="Z75" i="9"/>
  <c r="AB75" i="9"/>
  <c r="T75" i="9"/>
  <c r="S75" i="9"/>
  <c r="M75" i="9"/>
  <c r="Y75" i="9"/>
  <c r="R75" i="9"/>
  <c r="AD75" i="9"/>
  <c r="W75" i="9"/>
  <c r="X75" i="9"/>
  <c r="AE75" i="9"/>
  <c r="AG75" i="9"/>
  <c r="U75" i="9"/>
  <c r="AC75" i="9"/>
  <c r="O75" i="9"/>
  <c r="J75" i="9"/>
  <c r="I75" i="9"/>
  <c r="AA75" i="9"/>
  <c r="V75" i="9"/>
  <c r="AR78" i="9"/>
  <c r="AS78" i="9" s="1"/>
  <c r="A77" i="9"/>
  <c r="C76" i="9"/>
  <c r="B76" i="9"/>
  <c r="C35" i="37"/>
  <c r="A35" i="37" s="1"/>
  <c r="D35" i="37" s="1"/>
  <c r="N43" i="39"/>
  <c r="D43" i="39" s="1"/>
  <c r="A43" i="39" s="1"/>
  <c r="O44" i="39"/>
  <c r="L44" i="39"/>
  <c r="E37" i="34"/>
  <c r="A37" i="34"/>
  <c r="E39" i="35"/>
  <c r="H39" i="35"/>
  <c r="I39" i="35"/>
  <c r="G39" i="35"/>
  <c r="I38" i="34"/>
  <c r="AT37" i="38"/>
  <c r="E37" i="38" s="1"/>
  <c r="F39" i="35"/>
  <c r="A40" i="35"/>
  <c r="D39" i="35"/>
  <c r="A37" i="27"/>
  <c r="D37" i="27" s="1"/>
  <c r="L36" i="36"/>
  <c r="C36" i="36" s="1"/>
  <c r="A36" i="36" s="1"/>
  <c r="AT41" i="35"/>
  <c r="AV38" i="38" l="1"/>
  <c r="L37" i="27"/>
  <c r="F37" i="27" s="1"/>
  <c r="L37" i="34"/>
  <c r="F37" i="34" s="1"/>
  <c r="G76" i="9"/>
  <c r="H76" i="9"/>
  <c r="D76" i="9"/>
  <c r="AR79" i="9"/>
  <c r="AS79" i="9" s="1"/>
  <c r="A78" i="9"/>
  <c r="F76" i="9"/>
  <c r="E76" i="9"/>
  <c r="D46" i="10"/>
  <c r="E46" i="10"/>
  <c r="G46" i="10"/>
  <c r="H46" i="10"/>
  <c r="B77" i="9"/>
  <c r="E77" i="9"/>
  <c r="F77" i="9"/>
  <c r="H77" i="9"/>
  <c r="G77" i="9"/>
  <c r="C77" i="9"/>
  <c r="D77" i="9"/>
  <c r="AM76" i="9"/>
  <c r="J76" i="9"/>
  <c r="K76" i="9"/>
  <c r="AA76" i="9"/>
  <c r="AE76" i="9"/>
  <c r="AD76" i="9"/>
  <c r="Y76" i="9"/>
  <c r="O76" i="9"/>
  <c r="R76" i="9"/>
  <c r="S76" i="9"/>
  <c r="W76" i="9"/>
  <c r="V76" i="9"/>
  <c r="T76" i="9"/>
  <c r="X76" i="9"/>
  <c r="AH76" i="9"/>
  <c r="L76" i="9"/>
  <c r="N76" i="9"/>
  <c r="I76" i="9"/>
  <c r="AG76" i="9"/>
  <c r="Q76" i="9"/>
  <c r="U76" i="9"/>
  <c r="AF76" i="9"/>
  <c r="AB76" i="9"/>
  <c r="P76" i="9"/>
  <c r="M76" i="9"/>
  <c r="AC76" i="9"/>
  <c r="Z76" i="9"/>
  <c r="I47" i="10"/>
  <c r="F47" i="10"/>
  <c r="L47" i="10"/>
  <c r="H36" i="37"/>
  <c r="I36" i="37" s="1"/>
  <c r="C36" i="37" s="1"/>
  <c r="A36" i="37" s="1"/>
  <c r="D36" i="37" s="1"/>
  <c r="C37" i="38"/>
  <c r="B40" i="35"/>
  <c r="AS38" i="38"/>
  <c r="B37" i="34"/>
  <c r="D37" i="34"/>
  <c r="M44" i="39"/>
  <c r="C44" i="39" s="1"/>
  <c r="G36" i="36"/>
  <c r="H36" i="36"/>
  <c r="F36" i="36"/>
  <c r="B36" i="36"/>
  <c r="I36" i="36" s="1"/>
  <c r="AR41" i="35"/>
  <c r="AU37" i="38"/>
  <c r="D37" i="38" s="1"/>
  <c r="M37" i="36"/>
  <c r="J38" i="34"/>
  <c r="C38" i="34" s="1"/>
  <c r="C38" i="27"/>
  <c r="J40" i="35"/>
  <c r="J37" i="38" l="1"/>
  <c r="A37" i="38" s="1"/>
  <c r="M38" i="27"/>
  <c r="N38" i="27"/>
  <c r="O38" i="27"/>
  <c r="P38" i="27"/>
  <c r="M38" i="34"/>
  <c r="N38" i="34"/>
  <c r="E40" i="35"/>
  <c r="A47" i="10"/>
  <c r="AB77" i="9"/>
  <c r="T77" i="9"/>
  <c r="AM77" i="9"/>
  <c r="W77" i="9"/>
  <c r="M77" i="9"/>
  <c r="AA77" i="9"/>
  <c r="AD77" i="9"/>
  <c r="AG77" i="9"/>
  <c r="I77" i="9"/>
  <c r="U77" i="9"/>
  <c r="N77" i="9"/>
  <c r="K77" i="9"/>
  <c r="P77" i="9"/>
  <c r="Q77" i="9"/>
  <c r="X77" i="9"/>
  <c r="AE77" i="9"/>
  <c r="O77" i="9"/>
  <c r="V77" i="9"/>
  <c r="S77" i="9"/>
  <c r="AH77" i="9"/>
  <c r="Z77" i="9"/>
  <c r="L77" i="9"/>
  <c r="Y77" i="9"/>
  <c r="AF77" i="9"/>
  <c r="J77" i="9"/>
  <c r="AC77" i="9"/>
  <c r="R77" i="9"/>
  <c r="B78" i="9"/>
  <c r="D78" i="9" s="1"/>
  <c r="C78" i="9"/>
  <c r="A79" i="9"/>
  <c r="AR80" i="9"/>
  <c r="AS80" i="9" s="1"/>
  <c r="K48" i="10"/>
  <c r="C47" i="10"/>
  <c r="B47" i="10" s="1"/>
  <c r="I40" i="35"/>
  <c r="D40" i="35"/>
  <c r="F40" i="35"/>
  <c r="H40" i="35"/>
  <c r="N44" i="39"/>
  <c r="D44" i="39" s="1"/>
  <c r="A44" i="39" s="1"/>
  <c r="L45" i="39"/>
  <c r="O45" i="39"/>
  <c r="AT38" i="38"/>
  <c r="C38" i="38" s="1"/>
  <c r="E36" i="36"/>
  <c r="K37" i="36"/>
  <c r="I39" i="34"/>
  <c r="A38" i="27"/>
  <c r="D38" i="27" s="1"/>
  <c r="D36" i="36"/>
  <c r="E38" i="34"/>
  <c r="A38" i="34"/>
  <c r="G40" i="35"/>
  <c r="I39" i="27"/>
  <c r="AS41" i="35"/>
  <c r="C41" i="35" s="1"/>
  <c r="H37" i="37"/>
  <c r="L38" i="27" l="1"/>
  <c r="F38" i="27" s="1"/>
  <c r="L38" i="34"/>
  <c r="F38" i="34" s="1"/>
  <c r="E47" i="10"/>
  <c r="I48" i="10"/>
  <c r="L48" i="10"/>
  <c r="F48" i="10"/>
  <c r="H78" i="9"/>
  <c r="E78" i="9"/>
  <c r="M78" i="9"/>
  <c r="S78" i="9"/>
  <c r="AH78" i="9"/>
  <c r="P78" i="9"/>
  <c r="Y78" i="9"/>
  <c r="V78" i="9"/>
  <c r="W78" i="9"/>
  <c r="I78" i="9"/>
  <c r="U78" i="9"/>
  <c r="AD78" i="9"/>
  <c r="AE78" i="9"/>
  <c r="X78" i="9"/>
  <c r="N78" i="9"/>
  <c r="AC78" i="9"/>
  <c r="J78" i="9"/>
  <c r="AG78" i="9"/>
  <c r="R78" i="9"/>
  <c r="O78" i="9"/>
  <c r="AB78" i="9"/>
  <c r="AA78" i="9"/>
  <c r="K78" i="9"/>
  <c r="Z78" i="9"/>
  <c r="L78" i="9"/>
  <c r="AM78" i="9"/>
  <c r="T78" i="9"/>
  <c r="AF78" i="9"/>
  <c r="Q78" i="9"/>
  <c r="D47" i="10"/>
  <c r="AR81" i="9"/>
  <c r="AS81" i="9" s="1"/>
  <c r="A80" i="9"/>
  <c r="B79" i="9"/>
  <c r="F79" i="9" s="1"/>
  <c r="C79" i="9"/>
  <c r="F78" i="9"/>
  <c r="H47" i="10"/>
  <c r="G78" i="9"/>
  <c r="G47" i="10"/>
  <c r="J39" i="34"/>
  <c r="C39" i="34" s="1"/>
  <c r="AT42" i="35"/>
  <c r="J39" i="27"/>
  <c r="L37" i="36"/>
  <c r="C37" i="36" s="1"/>
  <c r="A37" i="36" s="1"/>
  <c r="A41" i="35"/>
  <c r="D38" i="34"/>
  <c r="B38" i="34"/>
  <c r="E38" i="38"/>
  <c r="I37" i="37"/>
  <c r="M45" i="39"/>
  <c r="C45" i="39" s="1"/>
  <c r="M39" i="34" l="1"/>
  <c r="N39" i="34"/>
  <c r="A48" i="10"/>
  <c r="G79" i="9"/>
  <c r="H79" i="9"/>
  <c r="E79" i="9"/>
  <c r="D79" i="9"/>
  <c r="AC79" i="9"/>
  <c r="R79" i="9"/>
  <c r="L79" i="9"/>
  <c r="T79" i="9"/>
  <c r="V79" i="9"/>
  <c r="I79" i="9"/>
  <c r="AE79" i="9"/>
  <c r="Q79" i="9"/>
  <c r="O79" i="9"/>
  <c r="AB79" i="9"/>
  <c r="X79" i="9"/>
  <c r="U79" i="9"/>
  <c r="J79" i="9"/>
  <c r="N79" i="9"/>
  <c r="W79" i="9"/>
  <c r="P79" i="9"/>
  <c r="AF79" i="9"/>
  <c r="Z79" i="9"/>
  <c r="M79" i="9"/>
  <c r="Y79" i="9"/>
  <c r="AA79" i="9"/>
  <c r="S79" i="9"/>
  <c r="AM79" i="9"/>
  <c r="AG79" i="9"/>
  <c r="AD79" i="9"/>
  <c r="AH79" i="9"/>
  <c r="K79" i="9"/>
  <c r="B80" i="9"/>
  <c r="F80" i="9" s="1"/>
  <c r="C80" i="9"/>
  <c r="AR82" i="9"/>
  <c r="AS82" i="9" s="1"/>
  <c r="A81" i="9"/>
  <c r="K49" i="10"/>
  <c r="C48" i="10"/>
  <c r="B48" i="10" s="1"/>
  <c r="N45" i="39"/>
  <c r="D45" i="39" s="1"/>
  <c r="A45" i="39" s="1"/>
  <c r="L46" i="39"/>
  <c r="O46" i="39"/>
  <c r="AU38" i="38"/>
  <c r="D38" i="38" s="1"/>
  <c r="AS39" i="38"/>
  <c r="AV39" i="38"/>
  <c r="B41" i="35"/>
  <c r="M38" i="36"/>
  <c r="C39" i="27"/>
  <c r="AR42" i="35"/>
  <c r="H37" i="36"/>
  <c r="F37" i="36"/>
  <c r="B37" i="36"/>
  <c r="I37" i="36" s="1"/>
  <c r="G37" i="36"/>
  <c r="A39" i="34"/>
  <c r="E39" i="34"/>
  <c r="C37" i="37"/>
  <c r="A37" i="37" s="1"/>
  <c r="D37" i="37" s="1"/>
  <c r="I40" i="34"/>
  <c r="J41" i="35"/>
  <c r="J38" i="38" l="1"/>
  <c r="A38" i="38" s="1"/>
  <c r="M39" i="27"/>
  <c r="N39" i="27"/>
  <c r="P39" i="27"/>
  <c r="O39" i="27"/>
  <c r="I40" i="27"/>
  <c r="J40" i="27" s="1"/>
  <c r="C40" i="27" s="1"/>
  <c r="L39" i="34"/>
  <c r="F39" i="34" s="1"/>
  <c r="E48" i="10"/>
  <c r="I41" i="35"/>
  <c r="H80" i="9"/>
  <c r="E80" i="9"/>
  <c r="D80" i="9"/>
  <c r="D48" i="10"/>
  <c r="G48" i="10"/>
  <c r="H48" i="10"/>
  <c r="AD80" i="9"/>
  <c r="AH80" i="9"/>
  <c r="AE80" i="9"/>
  <c r="Z80" i="9"/>
  <c r="M80" i="9"/>
  <c r="AB80" i="9"/>
  <c r="O80" i="9"/>
  <c r="T80" i="9"/>
  <c r="S80" i="9"/>
  <c r="K80" i="9"/>
  <c r="AF80" i="9"/>
  <c r="W80" i="9"/>
  <c r="I80" i="9"/>
  <c r="Y80" i="9"/>
  <c r="U80" i="9"/>
  <c r="Q80" i="9"/>
  <c r="N80" i="9"/>
  <c r="AM80" i="9"/>
  <c r="L80" i="9"/>
  <c r="AA80" i="9"/>
  <c r="AC80" i="9"/>
  <c r="V80" i="9"/>
  <c r="X80" i="9"/>
  <c r="AG80" i="9"/>
  <c r="P80" i="9"/>
  <c r="R80" i="9"/>
  <c r="J80" i="9"/>
  <c r="I49" i="10"/>
  <c r="F49" i="10"/>
  <c r="L49" i="10"/>
  <c r="C81" i="9"/>
  <c r="B81" i="9"/>
  <c r="AR83" i="9"/>
  <c r="AS83" i="9" s="1"/>
  <c r="A82" i="9"/>
  <c r="G80" i="9"/>
  <c r="D41" i="35"/>
  <c r="H41" i="35"/>
  <c r="D37" i="36"/>
  <c r="J40" i="34"/>
  <c r="AS42" i="35"/>
  <c r="C42" i="35" s="1"/>
  <c r="AT39" i="38"/>
  <c r="C39" i="38" s="1"/>
  <c r="H38" i="37"/>
  <c r="A39" i="27"/>
  <c r="D39" i="27" s="1"/>
  <c r="K38" i="36"/>
  <c r="B39" i="34"/>
  <c r="D39" i="34"/>
  <c r="E41" i="35"/>
  <c r="E37" i="36"/>
  <c r="F41" i="35"/>
  <c r="M46" i="39"/>
  <c r="C46" i="39" s="1"/>
  <c r="G41" i="35"/>
  <c r="L39" i="27" l="1"/>
  <c r="F39" i="27" s="1"/>
  <c r="M40" i="27"/>
  <c r="N40" i="27"/>
  <c r="O40" i="27"/>
  <c r="P40" i="27"/>
  <c r="AF81" i="9"/>
  <c r="K50" i="10"/>
  <c r="C49" i="10"/>
  <c r="B49" i="10" s="1"/>
  <c r="AR84" i="9"/>
  <c r="AS84" i="9" s="1"/>
  <c r="A83" i="9"/>
  <c r="A49" i="10"/>
  <c r="B82" i="9"/>
  <c r="F82" i="9" s="1"/>
  <c r="C82" i="9"/>
  <c r="F81" i="9"/>
  <c r="E81" i="9"/>
  <c r="G81" i="9"/>
  <c r="AM81" i="9"/>
  <c r="V81" i="9"/>
  <c r="AE81" i="9"/>
  <c r="Y81" i="9"/>
  <c r="AA81" i="9"/>
  <c r="X81" i="9"/>
  <c r="P81" i="9"/>
  <c r="N81" i="9"/>
  <c r="L81" i="9"/>
  <c r="AH81" i="9"/>
  <c r="W81" i="9"/>
  <c r="Z81" i="9"/>
  <c r="I81" i="9"/>
  <c r="U81" i="9"/>
  <c r="K81" i="9"/>
  <c r="J81" i="9"/>
  <c r="T81" i="9"/>
  <c r="AD81" i="9"/>
  <c r="M81" i="9"/>
  <c r="R81" i="9"/>
  <c r="AC81" i="9"/>
  <c r="Q81" i="9"/>
  <c r="AB81" i="9"/>
  <c r="AG81" i="9"/>
  <c r="S81" i="9"/>
  <c r="O81" i="9"/>
  <c r="D81" i="9"/>
  <c r="H81" i="9"/>
  <c r="N46" i="39"/>
  <c r="D46" i="39" s="1"/>
  <c r="A46" i="39" s="1"/>
  <c r="L47" i="39"/>
  <c r="O47" i="39"/>
  <c r="E39" i="38"/>
  <c r="L38" i="36"/>
  <c r="C38" i="36" s="1"/>
  <c r="A38" i="36" s="1"/>
  <c r="A42" i="35"/>
  <c r="AT43" i="35"/>
  <c r="C40" i="34"/>
  <c r="A40" i="27"/>
  <c r="D40" i="27" s="1"/>
  <c r="I38" i="37"/>
  <c r="I41" i="27"/>
  <c r="L40" i="27" l="1"/>
  <c r="F40" i="27" s="1"/>
  <c r="N40" i="34"/>
  <c r="M40" i="34"/>
  <c r="D82" i="9"/>
  <c r="E82" i="9"/>
  <c r="G82" i="9"/>
  <c r="H82" i="9"/>
  <c r="Y82" i="9"/>
  <c r="AG82" i="9"/>
  <c r="Q82" i="9"/>
  <c r="U82" i="9"/>
  <c r="AC82" i="9"/>
  <c r="M82" i="9"/>
  <c r="K82" i="9"/>
  <c r="J82" i="9"/>
  <c r="I82" i="9"/>
  <c r="W82" i="9"/>
  <c r="S82" i="9"/>
  <c r="L82" i="9"/>
  <c r="R82" i="9"/>
  <c r="N82" i="9"/>
  <c r="AE82" i="9"/>
  <c r="X82" i="9"/>
  <c r="AF82" i="9"/>
  <c r="AB82" i="9"/>
  <c r="T82" i="9"/>
  <c r="AM82" i="9"/>
  <c r="O82" i="9"/>
  <c r="AH82" i="9"/>
  <c r="P82" i="9"/>
  <c r="AD82" i="9"/>
  <c r="V82" i="9"/>
  <c r="AA82" i="9"/>
  <c r="Z82" i="9"/>
  <c r="E49" i="10"/>
  <c r="H49" i="10"/>
  <c r="D49" i="10"/>
  <c r="G49" i="10"/>
  <c r="B83" i="9"/>
  <c r="E83" i="9" s="1"/>
  <c r="C83" i="9"/>
  <c r="A84" i="9"/>
  <c r="AR85" i="9"/>
  <c r="AS85" i="9" s="1"/>
  <c r="L50" i="10"/>
  <c r="I50" i="10"/>
  <c r="A50" i="10" s="1"/>
  <c r="F50" i="10"/>
  <c r="E40" i="34"/>
  <c r="A40" i="34"/>
  <c r="I41" i="34"/>
  <c r="AR43" i="35"/>
  <c r="G38" i="36"/>
  <c r="H38" i="36"/>
  <c r="B38" i="36"/>
  <c r="I38" i="36" s="1"/>
  <c r="F38" i="36"/>
  <c r="B42" i="35"/>
  <c r="M39" i="36"/>
  <c r="J41" i="27"/>
  <c r="AU39" i="38"/>
  <c r="D39" i="38" s="1"/>
  <c r="AS40" i="38"/>
  <c r="AV40" i="38"/>
  <c r="C38" i="37"/>
  <c r="A38" i="37" s="1"/>
  <c r="D38" i="37" s="1"/>
  <c r="M47" i="39"/>
  <c r="C47" i="39" s="1"/>
  <c r="J42" i="35"/>
  <c r="J39" i="38" l="1"/>
  <c r="A39" i="38" s="1"/>
  <c r="L40" i="34"/>
  <c r="F40" i="34" s="1"/>
  <c r="E42" i="35"/>
  <c r="G83" i="9"/>
  <c r="F83" i="9"/>
  <c r="D83" i="9"/>
  <c r="A85" i="9"/>
  <c r="AR86" i="9"/>
  <c r="AS86" i="9" s="1"/>
  <c r="B84" i="9"/>
  <c r="D84" i="9" s="1"/>
  <c r="C84" i="9"/>
  <c r="H83" i="9"/>
  <c r="AB83" i="9"/>
  <c r="K83" i="9"/>
  <c r="L83" i="9"/>
  <c r="R83" i="9"/>
  <c r="S83" i="9"/>
  <c r="V83" i="9"/>
  <c r="N83" i="9"/>
  <c r="P83" i="9"/>
  <c r="Q83" i="9"/>
  <c r="T83" i="9"/>
  <c r="X83" i="9"/>
  <c r="O83" i="9"/>
  <c r="AE83" i="9"/>
  <c r="AF83" i="9"/>
  <c r="AG83" i="9"/>
  <c r="Y83" i="9"/>
  <c r="AA83" i="9"/>
  <c r="Z83" i="9"/>
  <c r="I83" i="9"/>
  <c r="U83" i="9"/>
  <c r="AM83" i="9"/>
  <c r="AH83" i="9"/>
  <c r="W83" i="9"/>
  <c r="AD83" i="9"/>
  <c r="AC83" i="9"/>
  <c r="M83" i="9"/>
  <c r="C50" i="10"/>
  <c r="B50" i="10" s="1"/>
  <c r="D50" i="10" s="1"/>
  <c r="K51" i="10"/>
  <c r="H39" i="37"/>
  <c r="I39" i="37" s="1"/>
  <c r="N47" i="39"/>
  <c r="D47" i="39" s="1"/>
  <c r="A47" i="39" s="1"/>
  <c r="L48" i="39"/>
  <c r="O48" i="39"/>
  <c r="C41" i="27"/>
  <c r="D38" i="36"/>
  <c r="E38" i="36"/>
  <c r="K39" i="36"/>
  <c r="AS43" i="35"/>
  <c r="C43" i="35" s="1"/>
  <c r="H42" i="35"/>
  <c r="D42" i="35"/>
  <c r="J41" i="34"/>
  <c r="C41" i="34" s="1"/>
  <c r="G42" i="35"/>
  <c r="B40" i="34"/>
  <c r="D40" i="34"/>
  <c r="AT40" i="38"/>
  <c r="E40" i="38" s="1"/>
  <c r="I42" i="35"/>
  <c r="F42" i="35"/>
  <c r="M41" i="27" l="1"/>
  <c r="N41" i="27"/>
  <c r="O41" i="27"/>
  <c r="P41" i="27"/>
  <c r="M41" i="34"/>
  <c r="N41" i="34"/>
  <c r="H84" i="9"/>
  <c r="E84" i="9"/>
  <c r="F84" i="9"/>
  <c r="L51" i="10"/>
  <c r="I51" i="10"/>
  <c r="A51" i="10" s="1"/>
  <c r="F51" i="10"/>
  <c r="G50" i="10"/>
  <c r="E50" i="10"/>
  <c r="H50" i="10"/>
  <c r="G84" i="9"/>
  <c r="S84" i="9"/>
  <c r="P84" i="9"/>
  <c r="J84" i="9"/>
  <c r="AA84" i="9"/>
  <c r="Q84" i="9"/>
  <c r="V84" i="9"/>
  <c r="AH84" i="9"/>
  <c r="Y84" i="9"/>
  <c r="N84" i="9"/>
  <c r="AB84" i="9"/>
  <c r="AM84" i="9"/>
  <c r="R84" i="9"/>
  <c r="L84" i="9"/>
  <c r="T84" i="9"/>
  <c r="AC84" i="9"/>
  <c r="W84" i="9"/>
  <c r="X84" i="9"/>
  <c r="AE84" i="9"/>
  <c r="O84" i="9"/>
  <c r="M84" i="9"/>
  <c r="U84" i="9"/>
  <c r="AG84" i="9"/>
  <c r="K84" i="9"/>
  <c r="I84" i="9"/>
  <c r="AD84" i="9"/>
  <c r="Z84" i="9"/>
  <c r="AF84" i="9"/>
  <c r="AR87" i="9"/>
  <c r="AS87" i="9" s="1"/>
  <c r="A86" i="9"/>
  <c r="B85" i="9"/>
  <c r="D85" i="9" s="1"/>
  <c r="C85" i="9"/>
  <c r="C39" i="37"/>
  <c r="A39" i="37" s="1"/>
  <c r="D39" i="37" s="1"/>
  <c r="AU40" i="38"/>
  <c r="D40" i="38" s="1"/>
  <c r="AS41" i="38"/>
  <c r="AV41" i="38"/>
  <c r="A41" i="34"/>
  <c r="E41" i="34"/>
  <c r="L39" i="36"/>
  <c r="C39" i="36" s="1"/>
  <c r="A39" i="36" s="1"/>
  <c r="I42" i="34"/>
  <c r="A41" i="27"/>
  <c r="D41" i="27" s="1"/>
  <c r="I42" i="27"/>
  <c r="C40" i="38"/>
  <c r="A43" i="35"/>
  <c r="M48" i="39"/>
  <c r="C48" i="39" s="1"/>
  <c r="AT44" i="35"/>
  <c r="J40" i="38" l="1"/>
  <c r="A40" i="38" s="1"/>
  <c r="L41" i="27"/>
  <c r="F41" i="27" s="1"/>
  <c r="L41" i="34"/>
  <c r="F41" i="34" s="1"/>
  <c r="G85" i="9"/>
  <c r="F85" i="9"/>
  <c r="H85" i="9"/>
  <c r="E85" i="9"/>
  <c r="AE85" i="9"/>
  <c r="AC85" i="9"/>
  <c r="I85" i="9"/>
  <c r="Z85" i="9"/>
  <c r="Q85" i="9"/>
  <c r="L85" i="9"/>
  <c r="W85" i="9"/>
  <c r="V85" i="9"/>
  <c r="P85" i="9"/>
  <c r="O85" i="9"/>
  <c r="AM85" i="9"/>
  <c r="K85" i="9"/>
  <c r="AA85" i="9"/>
  <c r="J85" i="9"/>
  <c r="R85" i="9"/>
  <c r="AF85" i="9"/>
  <c r="M85" i="9"/>
  <c r="N85" i="9"/>
  <c r="U85" i="9"/>
  <c r="AH85" i="9"/>
  <c r="S85" i="9"/>
  <c r="AG85" i="9"/>
  <c r="AD85" i="9"/>
  <c r="X85" i="9"/>
  <c r="Y85" i="9"/>
  <c r="AB85" i="9"/>
  <c r="T85" i="9"/>
  <c r="B86" i="9"/>
  <c r="E86" i="9" s="1"/>
  <c r="C86" i="9"/>
  <c r="AR88" i="9"/>
  <c r="AS88" i="9" s="1"/>
  <c r="A87" i="9"/>
  <c r="G51" i="10"/>
  <c r="E51" i="10"/>
  <c r="H51" i="10"/>
  <c r="D51" i="10"/>
  <c r="K52" i="10"/>
  <c r="C51" i="10"/>
  <c r="B51" i="10" s="1"/>
  <c r="H40" i="37"/>
  <c r="I40" i="37" s="1"/>
  <c r="C40" i="37" s="1"/>
  <c r="A40" i="37" s="1"/>
  <c r="D40" i="37" s="1"/>
  <c r="N48" i="39"/>
  <c r="D48" i="39" s="1"/>
  <c r="A48" i="39" s="1"/>
  <c r="L49" i="39"/>
  <c r="O49" i="39"/>
  <c r="B39" i="36"/>
  <c r="I39" i="36" s="1"/>
  <c r="G39" i="36"/>
  <c r="H39" i="36"/>
  <c r="F39" i="36"/>
  <c r="M40" i="36"/>
  <c r="B43" i="35"/>
  <c r="AR44" i="35"/>
  <c r="D41" i="34"/>
  <c r="B41" i="34"/>
  <c r="J42" i="34"/>
  <c r="AT41" i="38"/>
  <c r="E41" i="38" s="1"/>
  <c r="J42" i="27"/>
  <c r="J43" i="35"/>
  <c r="F86" i="9" l="1"/>
  <c r="D86" i="9"/>
  <c r="G86" i="9"/>
  <c r="I52" i="10"/>
  <c r="A52" i="10" s="1"/>
  <c r="L52" i="10"/>
  <c r="F52" i="10"/>
  <c r="B87" i="9"/>
  <c r="D87" i="9" s="1"/>
  <c r="C87" i="9"/>
  <c r="AR89" i="9"/>
  <c r="AS89" i="9" s="1"/>
  <c r="A88" i="9"/>
  <c r="S86" i="9"/>
  <c r="P86" i="9"/>
  <c r="AD86" i="9"/>
  <c r="AF86" i="9"/>
  <c r="AE86" i="9"/>
  <c r="Z86" i="9"/>
  <c r="N86" i="9"/>
  <c r="AB86" i="9"/>
  <c r="X86" i="9"/>
  <c r="R86" i="9"/>
  <c r="L86" i="9"/>
  <c r="W86" i="9"/>
  <c r="I86" i="9"/>
  <c r="O86" i="9"/>
  <c r="AC86" i="9"/>
  <c r="AA86" i="9"/>
  <c r="AM86" i="9"/>
  <c r="Y86" i="9"/>
  <c r="U86" i="9"/>
  <c r="K86" i="9"/>
  <c r="Q86" i="9"/>
  <c r="V86" i="9"/>
  <c r="AG86" i="9"/>
  <c r="AH86" i="9"/>
  <c r="T86" i="9"/>
  <c r="M86" i="9"/>
  <c r="J86" i="9"/>
  <c r="H86" i="9"/>
  <c r="D39" i="36"/>
  <c r="AU41" i="38"/>
  <c r="D41" i="38" s="1"/>
  <c r="AS42" i="38"/>
  <c r="AV42" i="38"/>
  <c r="K40" i="36"/>
  <c r="H41" i="37"/>
  <c r="G43" i="35"/>
  <c r="AS44" i="35"/>
  <c r="C44" i="35" s="1"/>
  <c r="C41" i="38"/>
  <c r="E43" i="35"/>
  <c r="E39" i="36"/>
  <c r="I43" i="35"/>
  <c r="C42" i="27"/>
  <c r="D43" i="35"/>
  <c r="F43" i="35"/>
  <c r="M49" i="39"/>
  <c r="C49" i="39" s="1"/>
  <c r="C42" i="34"/>
  <c r="H43" i="35"/>
  <c r="J41" i="38" l="1"/>
  <c r="A41" i="38" s="1"/>
  <c r="P42" i="27"/>
  <c r="M42" i="27"/>
  <c r="N42" i="27"/>
  <c r="O42" i="27"/>
  <c r="I43" i="34"/>
  <c r="J43" i="34" s="1"/>
  <c r="C43" i="34" s="1"/>
  <c r="M42" i="34"/>
  <c r="N42" i="34"/>
  <c r="AT45" i="35"/>
  <c r="AR45" i="35" s="1"/>
  <c r="H87" i="9"/>
  <c r="E87" i="9"/>
  <c r="F87" i="9"/>
  <c r="G87" i="9"/>
  <c r="O87" i="9"/>
  <c r="J87" i="9"/>
  <c r="X87" i="9"/>
  <c r="U87" i="9"/>
  <c r="T87" i="9"/>
  <c r="Z87" i="9"/>
  <c r="M87" i="9"/>
  <c r="I87" i="9"/>
  <c r="AG87" i="9"/>
  <c r="P87" i="9"/>
  <c r="AF87" i="9"/>
  <c r="Q87" i="9"/>
  <c r="AE87" i="9"/>
  <c r="AB87" i="9"/>
  <c r="AA87" i="9"/>
  <c r="AH87" i="9"/>
  <c r="R87" i="9"/>
  <c r="K87" i="9"/>
  <c r="W87" i="9"/>
  <c r="Y87" i="9"/>
  <c r="L87" i="9"/>
  <c r="AD87" i="9"/>
  <c r="V87" i="9"/>
  <c r="AM87" i="9"/>
  <c r="N87" i="9"/>
  <c r="S87" i="9"/>
  <c r="AC87" i="9"/>
  <c r="B88" i="9"/>
  <c r="F88" i="9" s="1"/>
  <c r="C88" i="9"/>
  <c r="A89" i="9"/>
  <c r="AR90" i="9"/>
  <c r="AS90" i="9" s="1"/>
  <c r="K53" i="10"/>
  <c r="C52" i="10"/>
  <c r="B52" i="10" s="1"/>
  <c r="E52" i="10" s="1"/>
  <c r="N49" i="39"/>
  <c r="D49" i="39" s="1"/>
  <c r="A49" i="39" s="1"/>
  <c r="O50" i="39"/>
  <c r="L50" i="39"/>
  <c r="I41" i="37"/>
  <c r="L40" i="36"/>
  <c r="C40" i="36" s="1"/>
  <c r="A40" i="36" s="1"/>
  <c r="A44" i="35"/>
  <c r="A42" i="27"/>
  <c r="D42" i="27" s="1"/>
  <c r="I43" i="27"/>
  <c r="AT42" i="38"/>
  <c r="C42" i="38" s="1"/>
  <c r="A42" i="34"/>
  <c r="E42" i="34"/>
  <c r="L42" i="27" l="1"/>
  <c r="F42" i="27" s="1"/>
  <c r="M43" i="34"/>
  <c r="N43" i="34"/>
  <c r="L42" i="34"/>
  <c r="F42" i="34" s="1"/>
  <c r="E88" i="9"/>
  <c r="G88" i="9"/>
  <c r="H88" i="9"/>
  <c r="D52" i="10"/>
  <c r="G52" i="10"/>
  <c r="H52" i="10"/>
  <c r="R88" i="9"/>
  <c r="I88" i="9"/>
  <c r="AB88" i="9"/>
  <c r="AD88" i="9"/>
  <c r="J88" i="9"/>
  <c r="O88" i="9"/>
  <c r="AF88" i="9"/>
  <c r="AE88" i="9"/>
  <c r="AC88" i="9"/>
  <c r="AM88" i="9"/>
  <c r="V88" i="9"/>
  <c r="P88" i="9"/>
  <c r="W88" i="9"/>
  <c r="AA88" i="9"/>
  <c r="N88" i="9"/>
  <c r="X88" i="9"/>
  <c r="Q88" i="9"/>
  <c r="U88" i="9"/>
  <c r="M88" i="9"/>
  <c r="Z88" i="9"/>
  <c r="L88" i="9"/>
  <c r="T88" i="9"/>
  <c r="AG88" i="9"/>
  <c r="AH88" i="9"/>
  <c r="Y88" i="9"/>
  <c r="K88" i="9"/>
  <c r="S88" i="9"/>
  <c r="I53" i="10"/>
  <c r="L53" i="10"/>
  <c r="F53" i="10"/>
  <c r="AR91" i="9"/>
  <c r="AS91" i="9" s="1"/>
  <c r="A90" i="9"/>
  <c r="C89" i="9"/>
  <c r="B89" i="9"/>
  <c r="E89" i="9" s="1"/>
  <c r="D88" i="9"/>
  <c r="M41" i="36"/>
  <c r="G40" i="36"/>
  <c r="F40" i="36"/>
  <c r="H40" i="36"/>
  <c r="B40" i="36"/>
  <c r="I40" i="36" s="1"/>
  <c r="I44" i="34"/>
  <c r="A43" i="34"/>
  <c r="E43" i="34"/>
  <c r="E42" i="38"/>
  <c r="C41" i="37"/>
  <c r="A41" i="37" s="1"/>
  <c r="D41" i="37" s="1"/>
  <c r="M50" i="39"/>
  <c r="C50" i="39" s="1"/>
  <c r="B42" i="34"/>
  <c r="D42" i="34"/>
  <c r="J43" i="27"/>
  <c r="C43" i="27" s="1"/>
  <c r="AS45" i="35"/>
  <c r="C45" i="35" s="1"/>
  <c r="B44" i="35"/>
  <c r="J44" i="35"/>
  <c r="M43" i="27" l="1"/>
  <c r="N43" i="27"/>
  <c r="O43" i="27"/>
  <c r="P43" i="27"/>
  <c r="L43" i="34"/>
  <c r="F43" i="34" s="1"/>
  <c r="D44" i="35"/>
  <c r="G89" i="9"/>
  <c r="D89" i="9"/>
  <c r="F89" i="9"/>
  <c r="A53" i="10"/>
  <c r="H89" i="9"/>
  <c r="AR92" i="9"/>
  <c r="AS92" i="9" s="1"/>
  <c r="A91" i="9"/>
  <c r="B90" i="9"/>
  <c r="F90" i="9" s="1"/>
  <c r="C90" i="9"/>
  <c r="C53" i="10"/>
  <c r="B53" i="10" s="1"/>
  <c r="K54" i="10"/>
  <c r="X89" i="9"/>
  <c r="AC89" i="9"/>
  <c r="S89" i="9"/>
  <c r="AM89" i="9"/>
  <c r="Y89" i="9"/>
  <c r="Z89" i="9"/>
  <c r="AD89" i="9"/>
  <c r="AA89" i="9"/>
  <c r="AE89" i="9"/>
  <c r="L89" i="9"/>
  <c r="AG89" i="9"/>
  <c r="N89" i="9"/>
  <c r="O89" i="9"/>
  <c r="J89" i="9"/>
  <c r="AH89" i="9"/>
  <c r="T89" i="9"/>
  <c r="I89" i="9"/>
  <c r="P89" i="9"/>
  <c r="V89" i="9"/>
  <c r="K89" i="9"/>
  <c r="R89" i="9"/>
  <c r="W89" i="9"/>
  <c r="M89" i="9"/>
  <c r="AB89" i="9"/>
  <c r="U89" i="9"/>
  <c r="Q89" i="9"/>
  <c r="AF89" i="9"/>
  <c r="AT46" i="35"/>
  <c r="AR46" i="35" s="1"/>
  <c r="H42" i="37"/>
  <c r="I42" i="37" s="1"/>
  <c r="N50" i="39"/>
  <c r="D50" i="39" s="1"/>
  <c r="A50" i="39" s="1"/>
  <c r="O51" i="39"/>
  <c r="L51" i="39"/>
  <c r="A43" i="27"/>
  <c r="D43" i="27" s="1"/>
  <c r="J44" i="34"/>
  <c r="C44" i="34" s="1"/>
  <c r="D43" i="34"/>
  <c r="B43" i="34"/>
  <c r="E40" i="36"/>
  <c r="G44" i="35"/>
  <c r="F44" i="35"/>
  <c r="H44" i="35"/>
  <c r="D40" i="36"/>
  <c r="I44" i="27"/>
  <c r="E44" i="35"/>
  <c r="I44" i="35"/>
  <c r="A45" i="35"/>
  <c r="AU42" i="38"/>
  <c r="D42" i="38" s="1"/>
  <c r="AV43" i="38"/>
  <c r="AS43" i="38"/>
  <c r="K41" i="36"/>
  <c r="J42" i="38" l="1"/>
  <c r="A42" i="38" s="1"/>
  <c r="L43" i="27"/>
  <c r="F43" i="27" s="1"/>
  <c r="N44" i="34"/>
  <c r="M44" i="34"/>
  <c r="E90" i="9"/>
  <c r="G90" i="9"/>
  <c r="D90" i="9"/>
  <c r="H90" i="9"/>
  <c r="P90" i="9"/>
  <c r="V90" i="9"/>
  <c r="J90" i="9"/>
  <c r="O90" i="9"/>
  <c r="AC90" i="9"/>
  <c r="AH90" i="9"/>
  <c r="S90" i="9"/>
  <c r="M90" i="9"/>
  <c r="R90" i="9"/>
  <c r="AB90" i="9"/>
  <c r="I90" i="9"/>
  <c r="AE90" i="9"/>
  <c r="U90" i="9"/>
  <c r="Y90" i="9"/>
  <c r="K90" i="9"/>
  <c r="W90" i="9"/>
  <c r="N90" i="9"/>
  <c r="AG90" i="9"/>
  <c r="AD90" i="9"/>
  <c r="Z90" i="9"/>
  <c r="Q90" i="9"/>
  <c r="T90" i="9"/>
  <c r="AF90" i="9"/>
  <c r="AM90" i="9"/>
  <c r="AA90" i="9"/>
  <c r="L90" i="9"/>
  <c r="X90" i="9"/>
  <c r="F54" i="10"/>
  <c r="L54" i="10"/>
  <c r="I54" i="10"/>
  <c r="C91" i="9"/>
  <c r="H91" i="9"/>
  <c r="G91" i="9"/>
  <c r="F91" i="9"/>
  <c r="B91" i="9"/>
  <c r="D91" i="9"/>
  <c r="E91" i="9"/>
  <c r="AR93" i="9"/>
  <c r="AS93" i="9" s="1"/>
  <c r="A92" i="9"/>
  <c r="G53" i="10"/>
  <c r="H53" i="10"/>
  <c r="E53" i="10"/>
  <c r="D53" i="10"/>
  <c r="C42" i="37"/>
  <c r="A42" i="37" s="1"/>
  <c r="D42" i="37" s="1"/>
  <c r="I45" i="34"/>
  <c r="AS46" i="35"/>
  <c r="C46" i="35" s="1"/>
  <c r="E44" i="34"/>
  <c r="A44" i="34"/>
  <c r="B45" i="35"/>
  <c r="J44" i="27"/>
  <c r="L41" i="36"/>
  <c r="C41" i="36" s="1"/>
  <c r="A41" i="36" s="1"/>
  <c r="AT43" i="38"/>
  <c r="C43" i="38" s="1"/>
  <c r="M51" i="39"/>
  <c r="C51" i="39" s="1"/>
  <c r="J45" i="35"/>
  <c r="A54" i="10" l="1"/>
  <c r="L44" i="34"/>
  <c r="F44" i="34" s="1"/>
  <c r="I45" i="35"/>
  <c r="C54" i="10"/>
  <c r="B54" i="10" s="1"/>
  <c r="K55" i="10"/>
  <c r="Q91" i="9"/>
  <c r="AM91" i="9"/>
  <c r="AH91" i="9"/>
  <c r="Z91" i="9"/>
  <c r="T91" i="9"/>
  <c r="U91" i="9"/>
  <c r="AC91" i="9"/>
  <c r="K91" i="9"/>
  <c r="S91" i="9"/>
  <c r="AG91" i="9"/>
  <c r="J91" i="9"/>
  <c r="V91" i="9"/>
  <c r="Y91" i="9"/>
  <c r="AB91" i="9"/>
  <c r="AA91" i="9"/>
  <c r="O91" i="9"/>
  <c r="N91" i="9"/>
  <c r="W91" i="9"/>
  <c r="L91" i="9"/>
  <c r="R91" i="9"/>
  <c r="P91" i="9"/>
  <c r="AD91" i="9"/>
  <c r="AF91" i="9"/>
  <c r="M91" i="9"/>
  <c r="AE91" i="9"/>
  <c r="I91" i="9"/>
  <c r="X91" i="9"/>
  <c r="C92" i="9"/>
  <c r="B92" i="9"/>
  <c r="G92" i="9" s="1"/>
  <c r="A93" i="9"/>
  <c r="AR94" i="9"/>
  <c r="AS94" i="9" s="1"/>
  <c r="H43" i="37"/>
  <c r="I43" i="37" s="1"/>
  <c r="M42" i="36"/>
  <c r="K42" i="36" s="1"/>
  <c r="N51" i="39"/>
  <c r="D51" i="39" s="1"/>
  <c r="A51" i="39" s="1"/>
  <c r="O52" i="39"/>
  <c r="L52" i="39"/>
  <c r="F45" i="35"/>
  <c r="H45" i="35"/>
  <c r="D45" i="35"/>
  <c r="B44" i="34"/>
  <c r="D44" i="34"/>
  <c r="B41" i="36"/>
  <c r="I41" i="36" s="1"/>
  <c r="H41" i="36"/>
  <c r="F41" i="36"/>
  <c r="G41" i="36"/>
  <c r="E45" i="35"/>
  <c r="E43" i="38"/>
  <c r="A46" i="35"/>
  <c r="C44" i="27"/>
  <c r="AT47" i="35"/>
  <c r="G45" i="35"/>
  <c r="J45" i="34"/>
  <c r="C45" i="34" s="1"/>
  <c r="G54" i="10" l="1"/>
  <c r="M44" i="27"/>
  <c r="N44" i="27"/>
  <c r="O44" i="27"/>
  <c r="P44" i="27"/>
  <c r="M45" i="34"/>
  <c r="N45" i="34"/>
  <c r="H54" i="10"/>
  <c r="I45" i="27"/>
  <c r="J45" i="27" s="1"/>
  <c r="C45" i="27" s="1"/>
  <c r="E54" i="10"/>
  <c r="D54" i="10"/>
  <c r="E92" i="9"/>
  <c r="C93" i="9"/>
  <c r="B93" i="9"/>
  <c r="L92" i="9"/>
  <c r="M92" i="9"/>
  <c r="R92" i="9"/>
  <c r="Q92" i="9"/>
  <c r="AH92" i="9"/>
  <c r="X92" i="9"/>
  <c r="AM92" i="9"/>
  <c r="AF92" i="9"/>
  <c r="Y92" i="9"/>
  <c r="O92" i="9"/>
  <c r="P92" i="9"/>
  <c r="AG92" i="9"/>
  <c r="Z92" i="9"/>
  <c r="AD92" i="9"/>
  <c r="K92" i="9"/>
  <c r="U92" i="9"/>
  <c r="J92" i="9"/>
  <c r="W92" i="9"/>
  <c r="AE92" i="9"/>
  <c r="I92" i="9"/>
  <c r="AC92" i="9"/>
  <c r="V92" i="9"/>
  <c r="S92" i="9"/>
  <c r="AA92" i="9"/>
  <c r="T92" i="9"/>
  <c r="N92" i="9"/>
  <c r="AB92" i="9"/>
  <c r="A94" i="9"/>
  <c r="AR95" i="9"/>
  <c r="AS95" i="9" s="1"/>
  <c r="H92" i="9"/>
  <c r="D92" i="9"/>
  <c r="I55" i="10"/>
  <c r="L55" i="10"/>
  <c r="F55" i="10"/>
  <c r="F92" i="9"/>
  <c r="E41" i="36"/>
  <c r="B46" i="35"/>
  <c r="A44" i="27"/>
  <c r="D44" i="27" s="1"/>
  <c r="A45" i="34"/>
  <c r="E45" i="34"/>
  <c r="C43" i="37"/>
  <c r="A43" i="37" s="1"/>
  <c r="D43" i="37" s="1"/>
  <c r="AR47" i="35"/>
  <c r="AU43" i="38"/>
  <c r="D43" i="38" s="1"/>
  <c r="AS44" i="38"/>
  <c r="AV44" i="38"/>
  <c r="D41" i="36"/>
  <c r="I46" i="34"/>
  <c r="M52" i="39"/>
  <c r="C52" i="39" s="1"/>
  <c r="L42" i="36"/>
  <c r="C42" i="36" s="1"/>
  <c r="A42" i="36" s="1"/>
  <c r="J46" i="35"/>
  <c r="J43" i="38" l="1"/>
  <c r="A43" i="38" s="1"/>
  <c r="L44" i="27"/>
  <c r="F44" i="27" s="1"/>
  <c r="M45" i="27"/>
  <c r="N45" i="27"/>
  <c r="P45" i="27"/>
  <c r="O45" i="27"/>
  <c r="L45" i="34"/>
  <c r="F45" i="34" s="1"/>
  <c r="G46" i="35"/>
  <c r="AH93" i="9"/>
  <c r="G93" i="9"/>
  <c r="H93" i="9"/>
  <c r="D93" i="9"/>
  <c r="A55" i="10"/>
  <c r="AR96" i="9"/>
  <c r="AS96" i="9" s="1"/>
  <c r="A95" i="9"/>
  <c r="E93" i="9"/>
  <c r="B94" i="9"/>
  <c r="E94" i="9" s="1"/>
  <c r="C94" i="9"/>
  <c r="F93" i="9"/>
  <c r="C55" i="10"/>
  <c r="B55" i="10" s="1"/>
  <c r="K56" i="10"/>
  <c r="X93" i="9"/>
  <c r="AC93" i="9"/>
  <c r="AD93" i="9"/>
  <c r="AM93" i="9"/>
  <c r="O93" i="9"/>
  <c r="AA93" i="9"/>
  <c r="AE93" i="9"/>
  <c r="Q93" i="9"/>
  <c r="Z93" i="9"/>
  <c r="AB93" i="9"/>
  <c r="S93" i="9"/>
  <c r="N93" i="9"/>
  <c r="I93" i="9"/>
  <c r="M93" i="9"/>
  <c r="V93" i="9"/>
  <c r="K93" i="9"/>
  <c r="U93" i="9"/>
  <c r="AF93" i="9"/>
  <c r="AG93" i="9"/>
  <c r="R93" i="9"/>
  <c r="J93" i="9"/>
  <c r="T93" i="9"/>
  <c r="Y93" i="9"/>
  <c r="P93" i="9"/>
  <c r="L93" i="9"/>
  <c r="W93" i="9"/>
  <c r="H44" i="37"/>
  <c r="I44" i="37" s="1"/>
  <c r="C44" i="37" s="1"/>
  <c r="A44" i="37" s="1"/>
  <c r="D44" i="37" s="1"/>
  <c r="I46" i="35"/>
  <c r="D46" i="35"/>
  <c r="H46" i="35"/>
  <c r="E46" i="35"/>
  <c r="F46" i="35"/>
  <c r="N52" i="39"/>
  <c r="D52" i="39" s="1"/>
  <c r="A52" i="39" s="1"/>
  <c r="L53" i="39"/>
  <c r="O53" i="39"/>
  <c r="AT44" i="38"/>
  <c r="E44" i="38" s="1"/>
  <c r="AS47" i="35"/>
  <c r="C47" i="35" s="1"/>
  <c r="F42" i="36"/>
  <c r="B42" i="36"/>
  <c r="I42" i="36" s="1"/>
  <c r="G42" i="36"/>
  <c r="H42" i="36"/>
  <c r="M43" i="36"/>
  <c r="A45" i="27"/>
  <c r="D45" i="27" s="1"/>
  <c r="J46" i="34"/>
  <c r="C46" i="34" s="1"/>
  <c r="B45" i="34"/>
  <c r="D45" i="34"/>
  <c r="I46" i="27"/>
  <c r="L45" i="27" l="1"/>
  <c r="F45" i="27" s="1"/>
  <c r="M46" i="34"/>
  <c r="N46" i="34"/>
  <c r="D94" i="9"/>
  <c r="H94" i="9"/>
  <c r="G94" i="9"/>
  <c r="F94" i="9"/>
  <c r="B95" i="9"/>
  <c r="D95" i="9" s="1"/>
  <c r="C95" i="9"/>
  <c r="AR97" i="9"/>
  <c r="AS97" i="9" s="1"/>
  <c r="A96" i="9"/>
  <c r="AE94" i="9"/>
  <c r="P94" i="9"/>
  <c r="AH94" i="9"/>
  <c r="AA94" i="9"/>
  <c r="T94" i="9"/>
  <c r="AC94" i="9"/>
  <c r="AF94" i="9"/>
  <c r="L94" i="9"/>
  <c r="Y94" i="9"/>
  <c r="I94" i="9"/>
  <c r="M94" i="9"/>
  <c r="Q94" i="9"/>
  <c r="V94" i="9"/>
  <c r="J94" i="9"/>
  <c r="S94" i="9"/>
  <c r="R94" i="9"/>
  <c r="Z94" i="9"/>
  <c r="AB94" i="9"/>
  <c r="AD94" i="9"/>
  <c r="AG94" i="9"/>
  <c r="X94" i="9"/>
  <c r="AM94" i="9"/>
  <c r="U94" i="9"/>
  <c r="N94" i="9"/>
  <c r="K94" i="9"/>
  <c r="W94" i="9"/>
  <c r="F56" i="10"/>
  <c r="L56" i="10"/>
  <c r="I56" i="10"/>
  <c r="E55" i="10"/>
  <c r="D55" i="10"/>
  <c r="H55" i="10"/>
  <c r="G55" i="10"/>
  <c r="AU44" i="38"/>
  <c r="D44" i="38" s="1"/>
  <c r="AS45" i="38"/>
  <c r="AV45" i="38"/>
  <c r="E46" i="34"/>
  <c r="A46" i="34"/>
  <c r="AT48" i="35"/>
  <c r="K43" i="36"/>
  <c r="A47" i="35"/>
  <c r="C44" i="38"/>
  <c r="H45" i="37"/>
  <c r="J46" i="27"/>
  <c r="D42" i="36"/>
  <c r="E42" i="36"/>
  <c r="M53" i="39"/>
  <c r="C53" i="39" s="1"/>
  <c r="I47" i="34"/>
  <c r="J44" i="38" l="1"/>
  <c r="A44" i="38" s="1"/>
  <c r="L46" i="34"/>
  <c r="F46" i="34" s="1"/>
  <c r="A56" i="10"/>
  <c r="F95" i="9"/>
  <c r="G95" i="9"/>
  <c r="E95" i="9"/>
  <c r="H95" i="9"/>
  <c r="E96" i="9"/>
  <c r="H96" i="9"/>
  <c r="C96" i="9"/>
  <c r="G96" i="9"/>
  <c r="D96" i="9"/>
  <c r="B96" i="9"/>
  <c r="F96" i="9"/>
  <c r="AR98" i="9"/>
  <c r="AS98" i="9" s="1"/>
  <c r="A97" i="9"/>
  <c r="K57" i="10"/>
  <c r="C56" i="10"/>
  <c r="B56" i="10" s="1"/>
  <c r="W95" i="9"/>
  <c r="P95" i="9"/>
  <c r="T95" i="9"/>
  <c r="I95" i="9"/>
  <c r="AC95" i="9"/>
  <c r="N95" i="9"/>
  <c r="AG95" i="9"/>
  <c r="AB95" i="9"/>
  <c r="R95" i="9"/>
  <c r="AH95" i="9"/>
  <c r="U95" i="9"/>
  <c r="O95" i="9"/>
  <c r="AD95" i="9"/>
  <c r="J95" i="9"/>
  <c r="AA95" i="9"/>
  <c r="K95" i="9"/>
  <c r="V95" i="9"/>
  <c r="Z95" i="9"/>
  <c r="X95" i="9"/>
  <c r="AE95" i="9"/>
  <c r="Q95" i="9"/>
  <c r="AM95" i="9"/>
  <c r="M95" i="9"/>
  <c r="S95" i="9"/>
  <c r="AF95" i="9"/>
  <c r="L95" i="9"/>
  <c r="Y95" i="9"/>
  <c r="N53" i="39"/>
  <c r="D53" i="39" s="1"/>
  <c r="A53" i="39" s="1"/>
  <c r="O54" i="39"/>
  <c r="L54" i="39"/>
  <c r="AR48" i="35"/>
  <c r="B47" i="35"/>
  <c r="B46" i="34"/>
  <c r="D46" i="34"/>
  <c r="L43" i="36"/>
  <c r="C43" i="36" s="1"/>
  <c r="A43" i="36" s="1"/>
  <c r="C46" i="27"/>
  <c r="AT45" i="38"/>
  <c r="E45" i="38" s="1"/>
  <c r="I45" i="37"/>
  <c r="J47" i="34"/>
  <c r="C47" i="34" s="1"/>
  <c r="J47" i="35"/>
  <c r="M46" i="27" l="1"/>
  <c r="N46" i="27"/>
  <c r="O46" i="27"/>
  <c r="P46" i="27"/>
  <c r="N47" i="34"/>
  <c r="M47" i="34"/>
  <c r="E47" i="35"/>
  <c r="E56" i="10"/>
  <c r="G56" i="10"/>
  <c r="B97" i="9"/>
  <c r="F97" i="9" s="1"/>
  <c r="C97" i="9"/>
  <c r="A98" i="9"/>
  <c r="AR99" i="9"/>
  <c r="AS99" i="9" s="1"/>
  <c r="I57" i="10"/>
  <c r="F57" i="10"/>
  <c r="L57" i="10"/>
  <c r="D56" i="10"/>
  <c r="I96" i="9"/>
  <c r="AA96" i="9"/>
  <c r="AE96" i="9"/>
  <c r="P96" i="9"/>
  <c r="L96" i="9"/>
  <c r="AB96" i="9"/>
  <c r="AF96" i="9"/>
  <c r="Q96" i="9"/>
  <c r="AD96" i="9"/>
  <c r="M96" i="9"/>
  <c r="AG96" i="9"/>
  <c r="Z96" i="9"/>
  <c r="AM96" i="9"/>
  <c r="R96" i="9"/>
  <c r="U96" i="9"/>
  <c r="AC96" i="9"/>
  <c r="W96" i="9"/>
  <c r="K96" i="9"/>
  <c r="Y96" i="9"/>
  <c r="S96" i="9"/>
  <c r="AH96" i="9"/>
  <c r="T96" i="9"/>
  <c r="X96" i="9"/>
  <c r="J96" i="9"/>
  <c r="V96" i="9"/>
  <c r="O96" i="9"/>
  <c r="N96" i="9"/>
  <c r="H56" i="10"/>
  <c r="F47" i="35"/>
  <c r="I47" i="35"/>
  <c r="D47" i="35"/>
  <c r="AU45" i="38"/>
  <c r="D45" i="38" s="1"/>
  <c r="AS46" i="38"/>
  <c r="AV46" i="38"/>
  <c r="C45" i="38"/>
  <c r="A46" i="27"/>
  <c r="D46" i="27" s="1"/>
  <c r="G47" i="35"/>
  <c r="I48" i="34"/>
  <c r="I47" i="27"/>
  <c r="AS48" i="35"/>
  <c r="C48" i="35" s="1"/>
  <c r="E47" i="34"/>
  <c r="A47" i="34"/>
  <c r="G43" i="36"/>
  <c r="B43" i="36"/>
  <c r="I43" i="36" s="1"/>
  <c r="H43" i="36"/>
  <c r="F43" i="36"/>
  <c r="M44" i="36"/>
  <c r="M54" i="39"/>
  <c r="C54" i="39" s="1"/>
  <c r="N54" i="39" s="1"/>
  <c r="D54" i="39" s="1"/>
  <c r="A54" i="39" s="1"/>
  <c r="C45" i="37"/>
  <c r="A45" i="37" s="1"/>
  <c r="D45" i="37" s="1"/>
  <c r="H47" i="35"/>
  <c r="J45" i="38" l="1"/>
  <c r="A45" i="38" s="1"/>
  <c r="M97" i="9"/>
  <c r="N97" i="9"/>
  <c r="O97" i="9"/>
  <c r="P97" i="9"/>
  <c r="Q97" i="9"/>
  <c r="L46" i="27"/>
  <c r="F46" i="27" s="1"/>
  <c r="L47" i="34"/>
  <c r="F47" i="34" s="1"/>
  <c r="H97" i="9"/>
  <c r="G97" i="9"/>
  <c r="D97" i="9"/>
  <c r="E97" i="9"/>
  <c r="AR100" i="9"/>
  <c r="AS100" i="9" s="1"/>
  <c r="A99" i="9"/>
  <c r="A57" i="10"/>
  <c r="V97" i="9"/>
  <c r="AD97" i="9"/>
  <c r="K97" i="9"/>
  <c r="AF97" i="9"/>
  <c r="J97" i="9"/>
  <c r="AM97" i="9"/>
  <c r="Z97" i="9"/>
  <c r="AA97" i="9"/>
  <c r="R97" i="9"/>
  <c r="U97" i="9"/>
  <c r="AH97" i="9"/>
  <c r="T97" i="9"/>
  <c r="I97" i="9"/>
  <c r="AE97" i="9"/>
  <c r="S97" i="9"/>
  <c r="X97" i="9"/>
  <c r="Y97" i="9"/>
  <c r="AC97" i="9"/>
  <c r="L97" i="9"/>
  <c r="W97" i="9"/>
  <c r="AB97" i="9"/>
  <c r="AG97" i="9"/>
  <c r="C57" i="10"/>
  <c r="B57" i="10" s="1"/>
  <c r="K58" i="10"/>
  <c r="B98" i="9"/>
  <c r="E98" i="9" s="1"/>
  <c r="C98" i="9"/>
  <c r="E43" i="36"/>
  <c r="H46" i="37"/>
  <c r="I46" i="37" s="1"/>
  <c r="C46" i="37" s="1"/>
  <c r="A46" i="37" s="1"/>
  <c r="D46" i="37" s="1"/>
  <c r="AT49" i="35"/>
  <c r="J47" i="27"/>
  <c r="C47" i="27" s="1"/>
  <c r="J48" i="34"/>
  <c r="C48" i="34" s="1"/>
  <c r="K44" i="36"/>
  <c r="D43" i="36"/>
  <c r="A48" i="35"/>
  <c r="L55" i="39"/>
  <c r="O55" i="39"/>
  <c r="AT46" i="38"/>
  <c r="E46" i="38" s="1"/>
  <c r="D47" i="34"/>
  <c r="B47" i="34"/>
  <c r="AN98" i="9" l="1"/>
  <c r="M47" i="27"/>
  <c r="N47" i="27"/>
  <c r="O47" i="27"/>
  <c r="P47" i="27"/>
  <c r="N48" i="34"/>
  <c r="M48" i="34"/>
  <c r="F98" i="9"/>
  <c r="H98" i="9"/>
  <c r="G98" i="9"/>
  <c r="D98" i="9"/>
  <c r="I58" i="10"/>
  <c r="A58" i="10" s="1"/>
  <c r="L58" i="10"/>
  <c r="F58" i="10"/>
  <c r="AF98" i="9"/>
  <c r="T98" i="9"/>
  <c r="AE98" i="9"/>
  <c r="AA98" i="9"/>
  <c r="AD98" i="9"/>
  <c r="Y98" i="9"/>
  <c r="AB98" i="9"/>
  <c r="X98" i="9"/>
  <c r="L98" i="9"/>
  <c r="Z98" i="9"/>
  <c r="AH98" i="9"/>
  <c r="AC98" i="9"/>
  <c r="J98" i="9"/>
  <c r="O98" i="9"/>
  <c r="K98" i="9"/>
  <c r="P98" i="9"/>
  <c r="M98" i="9"/>
  <c r="N98" i="9"/>
  <c r="AG98" i="9"/>
  <c r="V98" i="9"/>
  <c r="W98" i="9"/>
  <c r="S98" i="9"/>
  <c r="Q98" i="9"/>
  <c r="R98" i="9"/>
  <c r="U98" i="9"/>
  <c r="I98" i="9"/>
  <c r="D57" i="10"/>
  <c r="E57" i="10"/>
  <c r="G57" i="10"/>
  <c r="H57" i="10"/>
  <c r="C99" i="9"/>
  <c r="B99" i="9"/>
  <c r="A100" i="9"/>
  <c r="AR101" i="9"/>
  <c r="AS101" i="9" s="1"/>
  <c r="AU46" i="38"/>
  <c r="D46" i="38" s="1"/>
  <c r="AS47" i="38"/>
  <c r="AV47" i="38"/>
  <c r="H47" i="37"/>
  <c r="E48" i="34"/>
  <c r="A48" i="34"/>
  <c r="B48" i="35"/>
  <c r="L44" i="36"/>
  <c r="C44" i="36" s="1"/>
  <c r="A44" i="36" s="1"/>
  <c r="C46" i="38"/>
  <c r="I49" i="34"/>
  <c r="A47" i="27"/>
  <c r="D47" i="27" s="1"/>
  <c r="M55" i="39"/>
  <c r="C55" i="39" s="1"/>
  <c r="N55" i="39" s="1"/>
  <c r="D55" i="39" s="1"/>
  <c r="A55" i="39" s="1"/>
  <c r="I48" i="27"/>
  <c r="AR49" i="35"/>
  <c r="J48" i="35"/>
  <c r="J46" i="38" l="1"/>
  <c r="A46" i="38" s="1"/>
  <c r="L47" i="27"/>
  <c r="F47" i="27" s="1"/>
  <c r="L48" i="34"/>
  <c r="F48" i="34" s="1"/>
  <c r="H48" i="35"/>
  <c r="H99" i="9"/>
  <c r="F99" i="9"/>
  <c r="G99" i="9"/>
  <c r="D99" i="9"/>
  <c r="AR102" i="9"/>
  <c r="AS102" i="9" s="1"/>
  <c r="A101" i="9"/>
  <c r="E99" i="9"/>
  <c r="S99" i="9"/>
  <c r="AA99" i="9"/>
  <c r="V99" i="9"/>
  <c r="AE99" i="9"/>
  <c r="Y99" i="9"/>
  <c r="Z99" i="9"/>
  <c r="M99" i="9"/>
  <c r="J99" i="9"/>
  <c r="L99" i="9"/>
  <c r="O99" i="9"/>
  <c r="N99" i="9"/>
  <c r="AF99" i="9"/>
  <c r="I99" i="9"/>
  <c r="W99" i="9"/>
  <c r="X99" i="9"/>
  <c r="R99" i="9"/>
  <c r="Q99" i="9"/>
  <c r="K99" i="9"/>
  <c r="AM99" i="9"/>
  <c r="U99" i="9"/>
  <c r="P99" i="9"/>
  <c r="AC99" i="9"/>
  <c r="AB99" i="9"/>
  <c r="T99" i="9"/>
  <c r="AD99" i="9"/>
  <c r="AH99" i="9"/>
  <c r="AG99" i="9"/>
  <c r="B100" i="9"/>
  <c r="D100" i="9" s="1"/>
  <c r="C100" i="9"/>
  <c r="K59" i="10"/>
  <c r="C58" i="10"/>
  <c r="B58" i="10" s="1"/>
  <c r="G58" i="10" s="1"/>
  <c r="I48" i="35"/>
  <c r="E48" i="35"/>
  <c r="F48" i="35"/>
  <c r="G48" i="35"/>
  <c r="O56" i="39"/>
  <c r="B48" i="34"/>
  <c r="D48" i="34"/>
  <c r="J49" i="34"/>
  <c r="L56" i="39"/>
  <c r="AS49" i="35"/>
  <c r="C49" i="35" s="1"/>
  <c r="M45" i="36"/>
  <c r="I47" i="37"/>
  <c r="F44" i="36"/>
  <c r="B44" i="36"/>
  <c r="I44" i="36" s="1"/>
  <c r="H44" i="36"/>
  <c r="G44" i="36"/>
  <c r="AT47" i="38"/>
  <c r="C47" i="38" s="1"/>
  <c r="J48" i="27"/>
  <c r="C48" i="27" s="1"/>
  <c r="D48" i="35"/>
  <c r="P48" i="27" l="1"/>
  <c r="M48" i="27"/>
  <c r="N48" i="27"/>
  <c r="O48" i="27"/>
  <c r="D58" i="10"/>
  <c r="E58" i="10"/>
  <c r="H58" i="10"/>
  <c r="O100" i="9"/>
  <c r="Z100" i="9"/>
  <c r="M100" i="9"/>
  <c r="W100" i="9"/>
  <c r="N100" i="9"/>
  <c r="I100" i="9"/>
  <c r="X100" i="9"/>
  <c r="R100" i="9"/>
  <c r="P100" i="9"/>
  <c r="J100" i="9"/>
  <c r="L100" i="9"/>
  <c r="Q100" i="9"/>
  <c r="Y100" i="9"/>
  <c r="U100" i="9"/>
  <c r="AA100" i="9"/>
  <c r="V100" i="9"/>
  <c r="AB100" i="9"/>
  <c r="S100" i="9"/>
  <c r="AG100" i="9"/>
  <c r="AF100" i="9"/>
  <c r="K100" i="9"/>
  <c r="AC100" i="9"/>
  <c r="T100" i="9"/>
  <c r="AM100" i="9"/>
  <c r="AE100" i="9"/>
  <c r="AH100" i="9"/>
  <c r="AD100" i="9"/>
  <c r="H100" i="9"/>
  <c r="G100" i="9"/>
  <c r="E100" i="9"/>
  <c r="F100" i="9"/>
  <c r="B101" i="9"/>
  <c r="C101" i="9"/>
  <c r="I59" i="10"/>
  <c r="F59" i="10"/>
  <c r="L59" i="10"/>
  <c r="A102" i="9"/>
  <c r="AR103" i="9"/>
  <c r="AS103" i="9" s="1"/>
  <c r="A49" i="35"/>
  <c r="C47" i="37"/>
  <c r="A47" i="37" s="1"/>
  <c r="D47" i="37" s="1"/>
  <c r="E47" i="38"/>
  <c r="AT50" i="35"/>
  <c r="M56" i="39"/>
  <c r="C56" i="39" s="1"/>
  <c r="K45" i="36"/>
  <c r="E44" i="36"/>
  <c r="C49" i="34"/>
  <c r="A48" i="27"/>
  <c r="D48" i="27" s="1"/>
  <c r="I49" i="27"/>
  <c r="D44" i="36"/>
  <c r="L48" i="27" l="1"/>
  <c r="F48" i="27" s="1"/>
  <c r="I50" i="34"/>
  <c r="J50" i="34" s="1"/>
  <c r="M49" i="34"/>
  <c r="N49" i="34"/>
  <c r="H101" i="9"/>
  <c r="G101" i="9"/>
  <c r="C59" i="10"/>
  <c r="B59" i="10" s="1"/>
  <c r="K60" i="10"/>
  <c r="A59" i="10"/>
  <c r="E101" i="9"/>
  <c r="AR104" i="9"/>
  <c r="AS104" i="9" s="1"/>
  <c r="A103" i="9"/>
  <c r="F101" i="9"/>
  <c r="D101" i="9"/>
  <c r="B102" i="9"/>
  <c r="E102" i="9" s="1"/>
  <c r="C102" i="9"/>
  <c r="Y101" i="9"/>
  <c r="V101" i="9"/>
  <c r="J101" i="9"/>
  <c r="U101" i="9"/>
  <c r="Z101" i="9"/>
  <c r="Q101" i="9"/>
  <c r="AF101" i="9"/>
  <c r="N101" i="9"/>
  <c r="R101" i="9"/>
  <c r="L101" i="9"/>
  <c r="X101" i="9"/>
  <c r="M101" i="9"/>
  <c r="AD101" i="9"/>
  <c r="T101" i="9"/>
  <c r="AC101" i="9"/>
  <c r="AG101" i="9"/>
  <c r="AE101" i="9"/>
  <c r="AH101" i="9"/>
  <c r="AM101" i="9"/>
  <c r="AB101" i="9"/>
  <c r="O101" i="9"/>
  <c r="K101" i="9"/>
  <c r="P101" i="9"/>
  <c r="AA101" i="9"/>
  <c r="W101" i="9"/>
  <c r="I101" i="9"/>
  <c r="S101" i="9"/>
  <c r="N56" i="39"/>
  <c r="D56" i="39" s="1"/>
  <c r="A56" i="39" s="1"/>
  <c r="L57" i="39"/>
  <c r="O57" i="39"/>
  <c r="AR50" i="35"/>
  <c r="AU47" i="38"/>
  <c r="D47" i="38" s="1"/>
  <c r="AS48" i="38"/>
  <c r="AV48" i="38"/>
  <c r="J49" i="27"/>
  <c r="B49" i="35"/>
  <c r="A49" i="34"/>
  <c r="E49" i="34"/>
  <c r="L45" i="36"/>
  <c r="C45" i="36" s="1"/>
  <c r="A45" i="36" s="1"/>
  <c r="H48" i="37"/>
  <c r="J49" i="35"/>
  <c r="J47" i="38" l="1"/>
  <c r="A47" i="38" s="1"/>
  <c r="L49" i="34"/>
  <c r="F49" i="34" s="1"/>
  <c r="F49" i="35"/>
  <c r="F102" i="9"/>
  <c r="D102" i="9"/>
  <c r="A104" i="9"/>
  <c r="AR105" i="9"/>
  <c r="AS105" i="9" s="1"/>
  <c r="D59" i="10"/>
  <c r="G59" i="10"/>
  <c r="H59" i="10"/>
  <c r="E59" i="10"/>
  <c r="F60" i="10"/>
  <c r="I60" i="10"/>
  <c r="L60" i="10"/>
  <c r="B103" i="9"/>
  <c r="F103" i="9" s="1"/>
  <c r="C103" i="9"/>
  <c r="H102" i="9"/>
  <c r="AB102" i="9"/>
  <c r="AD102" i="9"/>
  <c r="AE102" i="9"/>
  <c r="AC102" i="9"/>
  <c r="S102" i="9"/>
  <c r="N102" i="9"/>
  <c r="AA102" i="9"/>
  <c r="K102" i="9"/>
  <c r="P102" i="9"/>
  <c r="J102" i="9"/>
  <c r="Z102" i="9"/>
  <c r="Y102" i="9"/>
  <c r="L102" i="9"/>
  <c r="X102" i="9"/>
  <c r="W102" i="9"/>
  <c r="AG102" i="9"/>
  <c r="M102" i="9"/>
  <c r="O102" i="9"/>
  <c r="R102" i="9"/>
  <c r="T102" i="9"/>
  <c r="AF102" i="9"/>
  <c r="I102" i="9"/>
  <c r="Q102" i="9"/>
  <c r="V102" i="9"/>
  <c r="AM102" i="9"/>
  <c r="AH102" i="9"/>
  <c r="U102" i="9"/>
  <c r="G102" i="9"/>
  <c r="B49" i="34"/>
  <c r="D49" i="34"/>
  <c r="E49" i="35"/>
  <c r="H49" i="35"/>
  <c r="AT48" i="38"/>
  <c r="E48" i="38" s="1"/>
  <c r="I49" i="35"/>
  <c r="G49" i="35"/>
  <c r="AS50" i="35"/>
  <c r="C50" i="35" s="1"/>
  <c r="D49" i="35"/>
  <c r="C50" i="34"/>
  <c r="I48" i="37"/>
  <c r="F45" i="36"/>
  <c r="H45" i="36"/>
  <c r="G45" i="36"/>
  <c r="B45" i="36"/>
  <c r="I45" i="36" s="1"/>
  <c r="M57" i="39"/>
  <c r="C57" i="39" s="1"/>
  <c r="M46" i="36"/>
  <c r="C49" i="27"/>
  <c r="M49" i="27" l="1"/>
  <c r="N49" i="27"/>
  <c r="O49" i="27"/>
  <c r="P49" i="27"/>
  <c r="M50" i="34"/>
  <c r="N50" i="34"/>
  <c r="A60" i="10"/>
  <c r="E103" i="9"/>
  <c r="K61" i="10"/>
  <c r="C60" i="10"/>
  <c r="B60" i="10" s="1"/>
  <c r="G103" i="9"/>
  <c r="V103" i="9"/>
  <c r="AF103" i="9"/>
  <c r="AC103" i="9"/>
  <c r="R103" i="9"/>
  <c r="O103" i="9"/>
  <c r="N103" i="9"/>
  <c r="X103" i="9"/>
  <c r="Z103" i="9"/>
  <c r="AB103" i="9"/>
  <c r="L103" i="9"/>
  <c r="T103" i="9"/>
  <c r="P103" i="9"/>
  <c r="AM103" i="9"/>
  <c r="M103" i="9"/>
  <c r="Q103" i="9"/>
  <c r="W103" i="9"/>
  <c r="U103" i="9"/>
  <c r="J103" i="9"/>
  <c r="AD103" i="9"/>
  <c r="AE103" i="9"/>
  <c r="Y103" i="9"/>
  <c r="I103" i="9"/>
  <c r="S103" i="9"/>
  <c r="AH103" i="9"/>
  <c r="AG103" i="9"/>
  <c r="K103" i="9"/>
  <c r="AA103" i="9"/>
  <c r="D103" i="9"/>
  <c r="A105" i="9"/>
  <c r="AR106" i="9"/>
  <c r="AS106" i="9" s="1"/>
  <c r="A106" i="9" s="1"/>
  <c r="H103" i="9"/>
  <c r="B104" i="9"/>
  <c r="F104" i="9" s="1"/>
  <c r="C104" i="9"/>
  <c r="E45" i="36"/>
  <c r="N57" i="39"/>
  <c r="D57" i="39" s="1"/>
  <c r="A57" i="39" s="1"/>
  <c r="L58" i="39"/>
  <c r="O58" i="39"/>
  <c r="AU48" i="38"/>
  <c r="D48" i="38" s="1"/>
  <c r="AV49" i="38"/>
  <c r="AS49" i="38"/>
  <c r="C48" i="38"/>
  <c r="K46" i="36"/>
  <c r="C48" i="37"/>
  <c r="A48" i="37" s="1"/>
  <c r="D48" i="37" s="1"/>
  <c r="A49" i="27"/>
  <c r="D49" i="27" s="1"/>
  <c r="E50" i="34"/>
  <c r="A50" i="34"/>
  <c r="D45" i="36"/>
  <c r="AT51" i="35"/>
  <c r="I50" i="27"/>
  <c r="A50" i="35"/>
  <c r="I51" i="34"/>
  <c r="J48" i="38" l="1"/>
  <c r="A48" i="38" s="1"/>
  <c r="L49" i="27"/>
  <c r="F49" i="27" s="1"/>
  <c r="L50" i="34"/>
  <c r="F50" i="34" s="1"/>
  <c r="G60" i="10"/>
  <c r="H104" i="9"/>
  <c r="G104" i="9"/>
  <c r="D104" i="9"/>
  <c r="E104" i="9"/>
  <c r="H106" i="9"/>
  <c r="B106" i="9"/>
  <c r="E106" i="9"/>
  <c r="F106" i="9"/>
  <c r="G106" i="9"/>
  <c r="C106" i="9"/>
  <c r="D106" i="9"/>
  <c r="I61" i="10"/>
  <c r="F61" i="10"/>
  <c r="L61" i="10"/>
  <c r="B105" i="9"/>
  <c r="F105" i="9" s="1"/>
  <c r="C105" i="9"/>
  <c r="D60" i="10"/>
  <c r="E60" i="10"/>
  <c r="H60" i="10"/>
  <c r="J104" i="9"/>
  <c r="AG104" i="9"/>
  <c r="M104" i="9"/>
  <c r="V104" i="9"/>
  <c r="Q104" i="9"/>
  <c r="X104" i="9"/>
  <c r="AE104" i="9"/>
  <c r="O104" i="9"/>
  <c r="T104" i="9"/>
  <c r="U104" i="9"/>
  <c r="R104" i="9"/>
  <c r="AA104" i="9"/>
  <c r="L104" i="9"/>
  <c r="K104" i="9"/>
  <c r="AM104" i="9"/>
  <c r="AC104" i="9"/>
  <c r="W104" i="9"/>
  <c r="N104" i="9"/>
  <c r="AB104" i="9"/>
  <c r="Z104" i="9"/>
  <c r="AH104" i="9"/>
  <c r="I104" i="9"/>
  <c r="P104" i="9"/>
  <c r="S104" i="9"/>
  <c r="AD104" i="9"/>
  <c r="AF104" i="9"/>
  <c r="Y104" i="9"/>
  <c r="H49" i="37"/>
  <c r="I49" i="37" s="1"/>
  <c r="L46" i="36"/>
  <c r="C46" i="36" s="1"/>
  <c r="A46" i="36" s="1"/>
  <c r="J50" i="27"/>
  <c r="C50" i="27" s="1"/>
  <c r="AR51" i="35"/>
  <c r="AT49" i="38"/>
  <c r="C49" i="38" s="1"/>
  <c r="J51" i="34"/>
  <c r="C51" i="34" s="1"/>
  <c r="B50" i="34"/>
  <c r="D50" i="34"/>
  <c r="B50" i="35"/>
  <c r="M58" i="39"/>
  <c r="C58" i="39" s="1"/>
  <c r="J50" i="35"/>
  <c r="M50" i="27" l="1"/>
  <c r="N50" i="27"/>
  <c r="O50" i="27"/>
  <c r="P50" i="27"/>
  <c r="N51" i="34"/>
  <c r="M51" i="34"/>
  <c r="F50" i="35"/>
  <c r="S117" i="9"/>
  <c r="W117" i="9" s="1"/>
  <c r="AG117" i="9" s="1"/>
  <c r="S118" i="9"/>
  <c r="W118" i="9" s="1"/>
  <c r="AG118" i="9" s="1"/>
  <c r="A61" i="10"/>
  <c r="K62" i="10"/>
  <c r="C61" i="10"/>
  <c r="B61" i="10" s="1"/>
  <c r="AD106" i="9"/>
  <c r="I106" i="9"/>
  <c r="K106" i="9"/>
  <c r="N106" i="9"/>
  <c r="W106" i="9"/>
  <c r="AM106" i="9"/>
  <c r="AB106" i="9"/>
  <c r="S106" i="9"/>
  <c r="Z106" i="9"/>
  <c r="U106" i="9"/>
  <c r="T106" i="9"/>
  <c r="Q106" i="9"/>
  <c r="X106" i="9"/>
  <c r="P106" i="9"/>
  <c r="R106" i="9"/>
  <c r="O106" i="9"/>
  <c r="AH106" i="9"/>
  <c r="AG106" i="9"/>
  <c r="M106" i="9"/>
  <c r="Y106" i="9"/>
  <c r="J106" i="9"/>
  <c r="L106" i="9"/>
  <c r="AA106" i="9"/>
  <c r="AC106" i="9"/>
  <c r="AF106" i="9"/>
  <c r="V106" i="9"/>
  <c r="AE106" i="9"/>
  <c r="W115" i="9"/>
  <c r="AG119" i="9"/>
  <c r="AG122" i="9" s="1"/>
  <c r="AO116" i="9"/>
  <c r="L120" i="9"/>
  <c r="L123" i="9" s="1"/>
  <c r="AC116" i="9"/>
  <c r="AL116" i="9"/>
  <c r="AO119" i="9"/>
  <c r="AO122" i="9" s="1"/>
  <c r="AD120" i="9"/>
  <c r="AD123" i="9" s="1"/>
  <c r="AK120" i="9"/>
  <c r="AK123" i="9" s="1"/>
  <c r="Z120" i="9"/>
  <c r="Z123" i="9" s="1"/>
  <c r="V115" i="9"/>
  <c r="Z119" i="9"/>
  <c r="Z122" i="9" s="1"/>
  <c r="O115" i="9"/>
  <c r="U115" i="9"/>
  <c r="AD115" i="9"/>
  <c r="AG120" i="9"/>
  <c r="AG123" i="9" s="1"/>
  <c r="AC115" i="9"/>
  <c r="AA119" i="9"/>
  <c r="AA122" i="9" s="1"/>
  <c r="AA115" i="9"/>
  <c r="AI115" i="9"/>
  <c r="AE120" i="9"/>
  <c r="AE123" i="9" s="1"/>
  <c r="AM119" i="9"/>
  <c r="AM122" i="9" s="1"/>
  <c r="Z115" i="9"/>
  <c r="AK119" i="9"/>
  <c r="AK122" i="9" s="1"/>
  <c r="Y115" i="9"/>
  <c r="AF120" i="9"/>
  <c r="AF123" i="9" s="1"/>
  <c r="AO120" i="9"/>
  <c r="AO123" i="9" s="1"/>
  <c r="T120" i="9"/>
  <c r="T123" i="9" s="1"/>
  <c r="AF119" i="9"/>
  <c r="AF122" i="9" s="1"/>
  <c r="AJ119" i="9"/>
  <c r="AJ122" i="9" s="1"/>
  <c r="AC120" i="9"/>
  <c r="AC123" i="9" s="1"/>
  <c r="U120" i="9"/>
  <c r="U123" i="9" s="1"/>
  <c r="AJ115" i="9"/>
  <c r="AD119" i="9"/>
  <c r="AD122" i="9" s="1"/>
  <c r="T116" i="9"/>
  <c r="AL119" i="9"/>
  <c r="AL122" i="9" s="1"/>
  <c r="L116" i="9"/>
  <c r="O119" i="9"/>
  <c r="O122" i="9" s="1"/>
  <c r="Q116" i="9"/>
  <c r="AF115" i="9"/>
  <c r="V120" i="9"/>
  <c r="V123" i="9" s="1"/>
  <c r="K119" i="9"/>
  <c r="K122" i="9" s="1"/>
  <c r="Q119" i="9"/>
  <c r="Q122" i="9" s="1"/>
  <c r="K120" i="9"/>
  <c r="K123" i="9" s="1"/>
  <c r="U116" i="9"/>
  <c r="V119" i="9"/>
  <c r="V122" i="9" s="1"/>
  <c r="W120" i="9"/>
  <c r="W123" i="9" s="1"/>
  <c r="AJ116" i="9"/>
  <c r="Q115" i="9"/>
  <c r="AI120" i="9"/>
  <c r="AI123" i="9" s="1"/>
  <c r="Y120" i="9"/>
  <c r="Y123" i="9" s="1"/>
  <c r="AE115" i="9"/>
  <c r="AA120" i="9"/>
  <c r="AA123" i="9" s="1"/>
  <c r="W116" i="9"/>
  <c r="L119" i="9"/>
  <c r="L122" i="9" s="1"/>
  <c r="AI119" i="9"/>
  <c r="AI122" i="9" s="1"/>
  <c r="AM115" i="9"/>
  <c r="AL120" i="9"/>
  <c r="AL123" i="9" s="1"/>
  <c r="Y116" i="9"/>
  <c r="AK115" i="9"/>
  <c r="AM116" i="9"/>
  <c r="AG116" i="9"/>
  <c r="O116" i="9"/>
  <c r="T115" i="9"/>
  <c r="K115" i="9"/>
  <c r="AE119" i="9"/>
  <c r="AE122" i="9" s="1"/>
  <c r="N119" i="9"/>
  <c r="N122" i="9" s="1"/>
  <c r="N116" i="9"/>
  <c r="N120" i="9"/>
  <c r="N123" i="9" s="1"/>
  <c r="N115" i="9"/>
  <c r="O120" i="9"/>
  <c r="O123" i="9" s="1"/>
  <c r="Z116" i="9"/>
  <c r="AO115" i="9"/>
  <c r="T119" i="9"/>
  <c r="T122" i="9" s="1"/>
  <c r="AL115" i="9"/>
  <c r="AK116" i="9"/>
  <c r="V116" i="9"/>
  <c r="AG115" i="9"/>
  <c r="AI116" i="9"/>
  <c r="Y119" i="9"/>
  <c r="Y122" i="9" s="1"/>
  <c r="AE116" i="9"/>
  <c r="W119" i="9"/>
  <c r="W122" i="9" s="1"/>
  <c r="U119" i="9"/>
  <c r="U122" i="9" s="1"/>
  <c r="Q120" i="9"/>
  <c r="Q123" i="9" s="1"/>
  <c r="AA116" i="9"/>
  <c r="AD116" i="9"/>
  <c r="AF116" i="9"/>
  <c r="K116" i="9"/>
  <c r="L115" i="9"/>
  <c r="AM120" i="9"/>
  <c r="AM123" i="9" s="1"/>
  <c r="AC119" i="9"/>
  <c r="AC122" i="9" s="1"/>
  <c r="AJ120" i="9"/>
  <c r="AJ123" i="9" s="1"/>
  <c r="H105" i="9"/>
  <c r="G105" i="9"/>
  <c r="E105" i="9"/>
  <c r="AC105" i="9"/>
  <c r="I105" i="9"/>
  <c r="AM105" i="9"/>
  <c r="AG105" i="9"/>
  <c r="AA105" i="9"/>
  <c r="Z105" i="9"/>
  <c r="L105" i="9"/>
  <c r="O105" i="9"/>
  <c r="T105" i="9"/>
  <c r="M105" i="9"/>
  <c r="AH105" i="9"/>
  <c r="X105" i="9"/>
  <c r="K105" i="9"/>
  <c r="W105" i="9"/>
  <c r="AD105" i="9"/>
  <c r="AB105" i="9"/>
  <c r="U105" i="9"/>
  <c r="S105" i="9"/>
  <c r="AF105" i="9"/>
  <c r="N105" i="9"/>
  <c r="J105" i="9"/>
  <c r="Y105" i="9"/>
  <c r="Q105" i="9"/>
  <c r="AE105" i="9"/>
  <c r="R105" i="9"/>
  <c r="V105" i="9"/>
  <c r="P105" i="9"/>
  <c r="D105" i="9"/>
  <c r="E49" i="38"/>
  <c r="G50" i="35"/>
  <c r="E50" i="35"/>
  <c r="N58" i="39"/>
  <c r="D58" i="39" s="1"/>
  <c r="A58" i="39" s="1"/>
  <c r="L59" i="39"/>
  <c r="O59" i="39"/>
  <c r="AS51" i="35"/>
  <c r="C51" i="35" s="1"/>
  <c r="A50" i="27"/>
  <c r="D50" i="27" s="1"/>
  <c r="A51" i="34"/>
  <c r="E51" i="34"/>
  <c r="I51" i="27"/>
  <c r="I52" i="34"/>
  <c r="M47" i="36"/>
  <c r="H46" i="36"/>
  <c r="B46" i="36"/>
  <c r="I46" i="36" s="1"/>
  <c r="F46" i="36"/>
  <c r="G46" i="36"/>
  <c r="D50" i="35"/>
  <c r="H50" i="35"/>
  <c r="I50" i="35"/>
  <c r="C49" i="37"/>
  <c r="A49" i="37" s="1"/>
  <c r="D49" i="37" s="1"/>
  <c r="AU49" i="38" l="1"/>
  <c r="D49" i="38" s="1"/>
  <c r="L50" i="27"/>
  <c r="F50" i="27" s="1"/>
  <c r="L51" i="34"/>
  <c r="F51" i="34" s="1"/>
  <c r="F62" i="10"/>
  <c r="L62" i="10"/>
  <c r="I62" i="10"/>
  <c r="A62" i="10" s="1"/>
  <c r="D61" i="10"/>
  <c r="E61" i="10"/>
  <c r="G61" i="10"/>
  <c r="H61" i="10"/>
  <c r="AS50" i="38"/>
  <c r="AT50" i="38" s="1"/>
  <c r="E50" i="38" s="1"/>
  <c r="AV50" i="38"/>
  <c r="H50" i="37"/>
  <c r="I50" i="37" s="1"/>
  <c r="C50" i="37" s="1"/>
  <c r="A50" i="37" s="1"/>
  <c r="D50" i="37" s="1"/>
  <c r="J51" i="27"/>
  <c r="C51" i="27" s="1"/>
  <c r="D51" i="34"/>
  <c r="B51" i="34"/>
  <c r="E46" i="36"/>
  <c r="D46" i="36"/>
  <c r="A51" i="35"/>
  <c r="AT52" i="35"/>
  <c r="K47" i="36"/>
  <c r="J52" i="34"/>
  <c r="M59" i="39"/>
  <c r="C59" i="39" s="1"/>
  <c r="J49" i="38" l="1"/>
  <c r="A49" i="38" s="1"/>
  <c r="P51" i="27"/>
  <c r="M51" i="27"/>
  <c r="N51" i="27"/>
  <c r="O51" i="27"/>
  <c r="C62" i="10"/>
  <c r="B62" i="10" s="1"/>
  <c r="G62" i="10" s="1"/>
  <c r="K63" i="10"/>
  <c r="N59" i="39"/>
  <c r="D59" i="39" s="1"/>
  <c r="A59" i="39" s="1"/>
  <c r="L60" i="39"/>
  <c r="O60" i="39"/>
  <c r="AU50" i="38"/>
  <c r="D50" i="38" s="1"/>
  <c r="AV51" i="38"/>
  <c r="AS51" i="38"/>
  <c r="B51" i="35"/>
  <c r="C52" i="34"/>
  <c r="AR52" i="35"/>
  <c r="C50" i="38"/>
  <c r="H51" i="37"/>
  <c r="L47" i="36"/>
  <c r="C47" i="36" s="1"/>
  <c r="A47" i="36" s="1"/>
  <c r="A51" i="27"/>
  <c r="D51" i="27" s="1"/>
  <c r="I52" i="27"/>
  <c r="J51" i="35"/>
  <c r="J50" i="38" l="1"/>
  <c r="A50" i="38" s="1"/>
  <c r="L51" i="27"/>
  <c r="F51" i="27" s="1"/>
  <c r="I53" i="34"/>
  <c r="J53" i="34" s="1"/>
  <c r="C53" i="34" s="1"/>
  <c r="N52" i="34"/>
  <c r="M52" i="34"/>
  <c r="D51" i="35"/>
  <c r="H62" i="10"/>
  <c r="D62" i="10"/>
  <c r="E62" i="10"/>
  <c r="L63" i="10"/>
  <c r="I63" i="10"/>
  <c r="A63" i="10" s="1"/>
  <c r="F63" i="10"/>
  <c r="F51" i="35"/>
  <c r="E51" i="35"/>
  <c r="H51" i="35"/>
  <c r="I51" i="37"/>
  <c r="C51" i="37" s="1"/>
  <c r="A51" i="37" s="1"/>
  <c r="D51" i="37" s="1"/>
  <c r="AT51" i="38"/>
  <c r="C51" i="38" s="1"/>
  <c r="AS52" i="35"/>
  <c r="C52" i="35" s="1"/>
  <c r="E52" i="34"/>
  <c r="A52" i="34"/>
  <c r="J52" i="27"/>
  <c r="C52" i="27" s="1"/>
  <c r="G51" i="35"/>
  <c r="M60" i="39"/>
  <c r="C60" i="39" s="1"/>
  <c r="G47" i="36"/>
  <c r="B47" i="36"/>
  <c r="I47" i="36" s="1"/>
  <c r="F47" i="36"/>
  <c r="H47" i="36"/>
  <c r="M48" i="36"/>
  <c r="I51" i="35"/>
  <c r="M52" i="27" l="1"/>
  <c r="N52" i="27"/>
  <c r="O52" i="27"/>
  <c r="P52" i="27"/>
  <c r="L52" i="34"/>
  <c r="F52" i="34" s="1"/>
  <c r="M53" i="34"/>
  <c r="N53" i="34"/>
  <c r="K64" i="10"/>
  <c r="C63" i="10"/>
  <c r="B63" i="10" s="1"/>
  <c r="E63" i="10" s="1"/>
  <c r="D47" i="36"/>
  <c r="E53" i="34"/>
  <c r="A53" i="34"/>
  <c r="N60" i="39"/>
  <c r="D60" i="39" s="1"/>
  <c r="A60" i="39" s="1"/>
  <c r="O61" i="39"/>
  <c r="L61" i="39"/>
  <c r="A52" i="35"/>
  <c r="AT53" i="35"/>
  <c r="A52" i="27"/>
  <c r="D52" i="27" s="1"/>
  <c r="I53" i="27"/>
  <c r="B52" i="34"/>
  <c r="D52" i="34"/>
  <c r="E51" i="38"/>
  <c r="K48" i="36"/>
  <c r="E47" i="36"/>
  <c r="I54" i="34"/>
  <c r="H52" i="37"/>
  <c r="L52" i="27" l="1"/>
  <c r="F52" i="27" s="1"/>
  <c r="L53" i="34"/>
  <c r="F53" i="34" s="1"/>
  <c r="F64" i="10"/>
  <c r="I64" i="10"/>
  <c r="A64" i="10" s="1"/>
  <c r="L64" i="10"/>
  <c r="G63" i="10"/>
  <c r="H63" i="10"/>
  <c r="D63" i="10"/>
  <c r="AR53" i="35"/>
  <c r="J54" i="34"/>
  <c r="C54" i="34" s="1"/>
  <c r="J53" i="27"/>
  <c r="C53" i="27" s="1"/>
  <c r="B52" i="35"/>
  <c r="M61" i="39"/>
  <c r="C61" i="39" s="1"/>
  <c r="I52" i="37"/>
  <c r="C52" i="37" s="1"/>
  <c r="A52" i="37" s="1"/>
  <c r="D52" i="37" s="1"/>
  <c r="L48" i="36"/>
  <c r="C48" i="36" s="1"/>
  <c r="A48" i="36" s="1"/>
  <c r="AU51" i="38"/>
  <c r="D51" i="38" s="1"/>
  <c r="AV52" i="38"/>
  <c r="AS52" i="38"/>
  <c r="D53" i="34"/>
  <c r="B53" i="34"/>
  <c r="J52" i="35"/>
  <c r="J51" i="38" l="1"/>
  <c r="A51" i="38" s="1"/>
  <c r="M53" i="27"/>
  <c r="N53" i="27"/>
  <c r="O53" i="27"/>
  <c r="P53" i="27"/>
  <c r="M54" i="34"/>
  <c r="N54" i="34"/>
  <c r="F52" i="35"/>
  <c r="K65" i="10"/>
  <c r="C64" i="10"/>
  <c r="B64" i="10" s="1"/>
  <c r="D64" i="10" s="1"/>
  <c r="E52" i="35"/>
  <c r="G52" i="35"/>
  <c r="I52" i="35"/>
  <c r="H52" i="35"/>
  <c r="D52" i="35"/>
  <c r="N61" i="39"/>
  <c r="D61" i="39" s="1"/>
  <c r="A61" i="39" s="1"/>
  <c r="L62" i="39"/>
  <c r="O62" i="39"/>
  <c r="A53" i="27"/>
  <c r="D53" i="27" s="1"/>
  <c r="H53" i="37"/>
  <c r="I54" i="27"/>
  <c r="B48" i="36"/>
  <c r="I48" i="36" s="1"/>
  <c r="G48" i="36"/>
  <c r="H48" i="36"/>
  <c r="F48" i="36"/>
  <c r="A54" i="34"/>
  <c r="E54" i="34"/>
  <c r="I55" i="34"/>
  <c r="AT52" i="38"/>
  <c r="E52" i="38" s="1"/>
  <c r="AS53" i="35"/>
  <c r="C53" i="35" s="1"/>
  <c r="M49" i="36"/>
  <c r="L53" i="27" l="1"/>
  <c r="F53" i="27" s="1"/>
  <c r="L54" i="34"/>
  <c r="F54" i="34" s="1"/>
  <c r="G64" i="10"/>
  <c r="H64" i="10"/>
  <c r="E64" i="10"/>
  <c r="I65" i="10"/>
  <c r="A65" i="10" s="1"/>
  <c r="L65" i="10"/>
  <c r="F65" i="10"/>
  <c r="AU52" i="38"/>
  <c r="D52" i="38" s="1"/>
  <c r="AV53" i="38"/>
  <c r="AS53" i="38"/>
  <c r="A53" i="35"/>
  <c r="E48" i="36"/>
  <c r="J54" i="27"/>
  <c r="C54" i="27" s="1"/>
  <c r="C52" i="38"/>
  <c r="I53" i="37"/>
  <c r="AT54" i="35"/>
  <c r="J55" i="34"/>
  <c r="B54" i="34"/>
  <c r="D54" i="34"/>
  <c r="K49" i="36"/>
  <c r="M62" i="39"/>
  <c r="C62" i="39" s="1"/>
  <c r="D48" i="36"/>
  <c r="J52" i="38" l="1"/>
  <c r="A52" i="38" s="1"/>
  <c r="M54" i="27"/>
  <c r="N54" i="27"/>
  <c r="O54" i="27"/>
  <c r="P54" i="27"/>
  <c r="C65" i="10"/>
  <c r="B65" i="10" s="1"/>
  <c r="E65" i="10" s="1"/>
  <c r="K66" i="10"/>
  <c r="N62" i="39"/>
  <c r="D62" i="39" s="1"/>
  <c r="A62" i="39" s="1"/>
  <c r="L63" i="39"/>
  <c r="O63" i="39"/>
  <c r="A54" i="27"/>
  <c r="D54" i="27" s="1"/>
  <c r="L49" i="36"/>
  <c r="C49" i="36" s="1"/>
  <c r="A49" i="36" s="1"/>
  <c r="I55" i="27"/>
  <c r="C53" i="37"/>
  <c r="A53" i="37" s="1"/>
  <c r="D53" i="37" s="1"/>
  <c r="B53" i="35"/>
  <c r="AT53" i="38"/>
  <c r="C53" i="38" s="1"/>
  <c r="C55" i="34"/>
  <c r="AR54" i="35"/>
  <c r="J53" i="35"/>
  <c r="L54" i="27" l="1"/>
  <c r="F54" i="27" s="1"/>
  <c r="M55" i="34"/>
  <c r="N55" i="34"/>
  <c r="G53" i="35"/>
  <c r="H65" i="10"/>
  <c r="G65" i="10"/>
  <c r="D65" i="10"/>
  <c r="L66" i="10"/>
  <c r="I66" i="10"/>
  <c r="A66" i="10" s="1"/>
  <c r="F66" i="10"/>
  <c r="I53" i="35"/>
  <c r="H54" i="37"/>
  <c r="A55" i="34"/>
  <c r="E55" i="34"/>
  <c r="E53" i="35"/>
  <c r="I56" i="34"/>
  <c r="E53" i="38"/>
  <c r="J55" i="27"/>
  <c r="M50" i="36"/>
  <c r="H49" i="36"/>
  <c r="B49" i="36"/>
  <c r="I49" i="36" s="1"/>
  <c r="G49" i="36"/>
  <c r="F49" i="36"/>
  <c r="AS54" i="35"/>
  <c r="C54" i="35" s="1"/>
  <c r="H53" i="35"/>
  <c r="D53" i="35"/>
  <c r="F53" i="35"/>
  <c r="M63" i="39"/>
  <c r="C63" i="39" s="1"/>
  <c r="L55" i="34" l="1"/>
  <c r="F55" i="34" s="1"/>
  <c r="AT55" i="35"/>
  <c r="AR55" i="35" s="1"/>
  <c r="C66" i="10"/>
  <c r="B66" i="10" s="1"/>
  <c r="D66" i="10" s="1"/>
  <c r="K67" i="10"/>
  <c r="D49" i="36"/>
  <c r="E49" i="36"/>
  <c r="N63" i="39"/>
  <c r="D63" i="39" s="1"/>
  <c r="A63" i="39" s="1"/>
  <c r="L64" i="39"/>
  <c r="O64" i="39"/>
  <c r="C55" i="27"/>
  <c r="AU53" i="38"/>
  <c r="D53" i="38" s="1"/>
  <c r="AS54" i="38"/>
  <c r="AV54" i="38"/>
  <c r="J56" i="34"/>
  <c r="K50" i="36"/>
  <c r="B55" i="34"/>
  <c r="D55" i="34"/>
  <c r="I54" i="37"/>
  <c r="C54" i="37" s="1"/>
  <c r="A54" i="37" s="1"/>
  <c r="D54" i="37" s="1"/>
  <c r="A54" i="35"/>
  <c r="J53" i="38" l="1"/>
  <c r="A53" i="38" s="1"/>
  <c r="M55" i="27"/>
  <c r="N55" i="27"/>
  <c r="O55" i="27"/>
  <c r="P55" i="27"/>
  <c r="G66" i="10"/>
  <c r="H66" i="10"/>
  <c r="E66" i="10"/>
  <c r="I67" i="10"/>
  <c r="L67" i="10"/>
  <c r="F67" i="10"/>
  <c r="A55" i="27"/>
  <c r="D55" i="27" s="1"/>
  <c r="I56" i="27"/>
  <c r="AT54" i="38"/>
  <c r="E54" i="38" s="1"/>
  <c r="AS55" i="35"/>
  <c r="C55" i="35" s="1"/>
  <c r="B54" i="35"/>
  <c r="L50" i="36"/>
  <c r="C50" i="36" s="1"/>
  <c r="A50" i="36" s="1"/>
  <c r="H55" i="37"/>
  <c r="M64" i="39"/>
  <c r="C64" i="39" s="1"/>
  <c r="C56" i="34"/>
  <c r="J54" i="35"/>
  <c r="A67" i="10" l="1"/>
  <c r="L55" i="27"/>
  <c r="F55" i="27" s="1"/>
  <c r="N56" i="34"/>
  <c r="M56" i="34"/>
  <c r="G54" i="35"/>
  <c r="C67" i="10"/>
  <c r="B67" i="10" s="1"/>
  <c r="K68" i="10"/>
  <c r="N64" i="39"/>
  <c r="D64" i="39" s="1"/>
  <c r="A64" i="39" s="1"/>
  <c r="O65" i="39"/>
  <c r="L65" i="39"/>
  <c r="AU54" i="38"/>
  <c r="D54" i="38" s="1"/>
  <c r="AV55" i="38"/>
  <c r="AS55" i="38"/>
  <c r="I55" i="37"/>
  <c r="A55" i="35"/>
  <c r="AT56" i="35"/>
  <c r="C54" i="38"/>
  <c r="B50" i="36"/>
  <c r="I50" i="36" s="1"/>
  <c r="H50" i="36"/>
  <c r="F50" i="36"/>
  <c r="G50" i="36"/>
  <c r="M51" i="36"/>
  <c r="E56" i="34"/>
  <c r="A56" i="34"/>
  <c r="I57" i="34"/>
  <c r="F54" i="35"/>
  <c r="I54" i="35"/>
  <c r="J56" i="27"/>
  <c r="C56" i="27" s="1"/>
  <c r="H54" i="35"/>
  <c r="D54" i="35"/>
  <c r="E54" i="35"/>
  <c r="J54" i="38" l="1"/>
  <c r="A54" i="38" s="1"/>
  <c r="D67" i="10"/>
  <c r="M56" i="27"/>
  <c r="N56" i="27"/>
  <c r="O56" i="27"/>
  <c r="P56" i="27"/>
  <c r="L56" i="34"/>
  <c r="F56" i="34" s="1"/>
  <c r="H67" i="10"/>
  <c r="E67" i="10"/>
  <c r="G67" i="10"/>
  <c r="I68" i="10"/>
  <c r="F68" i="10"/>
  <c r="L68" i="10"/>
  <c r="AR56" i="35"/>
  <c r="B55" i="35"/>
  <c r="K51" i="36"/>
  <c r="C55" i="37"/>
  <c r="A55" i="37" s="1"/>
  <c r="D55" i="37" s="1"/>
  <c r="AT55" i="38"/>
  <c r="E55" i="38" s="1"/>
  <c r="E50" i="36"/>
  <c r="I57" i="27"/>
  <c r="D56" i="34"/>
  <c r="B56" i="34"/>
  <c r="A56" i="27"/>
  <c r="D56" i="27" s="1"/>
  <c r="D50" i="36"/>
  <c r="M65" i="39"/>
  <c r="C65" i="39" s="1"/>
  <c r="J57" i="34"/>
  <c r="J55" i="35"/>
  <c r="A68" i="10" l="1"/>
  <c r="L56" i="27"/>
  <c r="F56" i="27" s="1"/>
  <c r="G55" i="35"/>
  <c r="C68" i="10"/>
  <c r="B68" i="10" s="1"/>
  <c r="K69" i="10"/>
  <c r="H56" i="37"/>
  <c r="I56" i="37" s="1"/>
  <c r="AU55" i="38"/>
  <c r="D55" i="38" s="1"/>
  <c r="AS56" i="38"/>
  <c r="AV56" i="38"/>
  <c r="N65" i="39"/>
  <c r="D65" i="39" s="1"/>
  <c r="A65" i="39" s="1"/>
  <c r="O66" i="39"/>
  <c r="L66" i="39"/>
  <c r="C55" i="38"/>
  <c r="H55" i="35"/>
  <c r="J57" i="27"/>
  <c r="C57" i="27" s="1"/>
  <c r="I55" i="35"/>
  <c r="F55" i="35"/>
  <c r="E55" i="35"/>
  <c r="D55" i="35"/>
  <c r="AS56" i="35"/>
  <c r="C56" i="35" s="1"/>
  <c r="C57" i="34"/>
  <c r="L51" i="36"/>
  <c r="C51" i="36" s="1"/>
  <c r="A51" i="36" s="1"/>
  <c r="G68" i="10" l="1"/>
  <c r="J55" i="38"/>
  <c r="A55" i="38" s="1"/>
  <c r="M57" i="27"/>
  <c r="N57" i="27"/>
  <c r="P57" i="27"/>
  <c r="O57" i="27"/>
  <c r="I58" i="34"/>
  <c r="J58" i="34" s="1"/>
  <c r="C58" i="34" s="1"/>
  <c r="M57" i="34"/>
  <c r="N57" i="34"/>
  <c r="H68" i="10"/>
  <c r="E68" i="10"/>
  <c r="D68" i="10"/>
  <c r="L69" i="10"/>
  <c r="I69" i="10"/>
  <c r="A69" i="10" s="1"/>
  <c r="F69" i="10"/>
  <c r="A57" i="27"/>
  <c r="D57" i="27" s="1"/>
  <c r="A56" i="35"/>
  <c r="M66" i="39"/>
  <c r="C66" i="39" s="1"/>
  <c r="I58" i="27"/>
  <c r="M52" i="36"/>
  <c r="AT56" i="38"/>
  <c r="C56" i="38" s="1"/>
  <c r="A57" i="34"/>
  <c r="E57" i="34"/>
  <c r="AT57" i="35"/>
  <c r="C56" i="37"/>
  <c r="A56" i="37" s="1"/>
  <c r="D56" i="37" s="1"/>
  <c r="G51" i="36"/>
  <c r="B51" i="36"/>
  <c r="I51" i="36" s="1"/>
  <c r="H51" i="36"/>
  <c r="F51" i="36"/>
  <c r="L57" i="27" l="1"/>
  <c r="F57" i="27" s="1"/>
  <c r="M58" i="34"/>
  <c r="N58" i="34"/>
  <c r="L57" i="34"/>
  <c r="F57" i="34" s="1"/>
  <c r="K70" i="10"/>
  <c r="C69" i="10"/>
  <c r="B69" i="10" s="1"/>
  <c r="D69" i="10" s="1"/>
  <c r="E51" i="36"/>
  <c r="H57" i="37"/>
  <c r="I57" i="37" s="1"/>
  <c r="C57" i="37" s="1"/>
  <c r="A57" i="37" s="1"/>
  <c r="D57" i="37" s="1"/>
  <c r="D51" i="36"/>
  <c r="N66" i="39"/>
  <c r="D66" i="39" s="1"/>
  <c r="A66" i="39" s="1"/>
  <c r="L67" i="39"/>
  <c r="O67" i="39"/>
  <c r="J58" i="27"/>
  <c r="D57" i="34"/>
  <c r="B57" i="34"/>
  <c r="AR57" i="35"/>
  <c r="E56" i="38"/>
  <c r="B56" i="35"/>
  <c r="E58" i="34"/>
  <c r="A58" i="34"/>
  <c r="K52" i="36"/>
  <c r="I59" i="34"/>
  <c r="J56" i="35"/>
  <c r="L58" i="34" l="1"/>
  <c r="F58" i="34" s="1"/>
  <c r="D56" i="35"/>
  <c r="G69" i="10"/>
  <c r="H69" i="10"/>
  <c r="E69" i="10"/>
  <c r="F70" i="10"/>
  <c r="L70" i="10"/>
  <c r="I70" i="10"/>
  <c r="A70" i="10" s="1"/>
  <c r="I56" i="35"/>
  <c r="H56" i="35"/>
  <c r="F56" i="35"/>
  <c r="L52" i="36"/>
  <c r="C52" i="36" s="1"/>
  <c r="A52" i="36" s="1"/>
  <c r="B58" i="34"/>
  <c r="D58" i="34"/>
  <c r="AS57" i="35"/>
  <c r="C57" i="35" s="1"/>
  <c r="AU56" i="38"/>
  <c r="D56" i="38" s="1"/>
  <c r="AS57" i="38"/>
  <c r="AV57" i="38"/>
  <c r="H58" i="37"/>
  <c r="G56" i="35"/>
  <c r="C58" i="27"/>
  <c r="J59" i="34"/>
  <c r="E56" i="35"/>
  <c r="M67" i="39"/>
  <c r="C67" i="39" s="1"/>
  <c r="J56" i="38" l="1"/>
  <c r="A56" i="38" s="1"/>
  <c r="M58" i="27"/>
  <c r="N58" i="27"/>
  <c r="O58" i="27"/>
  <c r="P58" i="27"/>
  <c r="I59" i="27"/>
  <c r="J59" i="27" s="1"/>
  <c r="C59" i="27" s="1"/>
  <c r="AT58" i="35"/>
  <c r="AR58" i="35" s="1"/>
  <c r="D70" i="10"/>
  <c r="E70" i="10"/>
  <c r="G70" i="10"/>
  <c r="H70" i="10"/>
  <c r="C70" i="10"/>
  <c r="B70" i="10" s="1"/>
  <c r="K71" i="10"/>
  <c r="N67" i="39"/>
  <c r="D67" i="39" s="1"/>
  <c r="A67" i="39" s="1"/>
  <c r="L68" i="39"/>
  <c r="O68" i="39"/>
  <c r="AT57" i="38"/>
  <c r="E57" i="38" s="1"/>
  <c r="A57" i="35"/>
  <c r="C59" i="34"/>
  <c r="A58" i="27"/>
  <c r="D58" i="27" s="1"/>
  <c r="M53" i="36"/>
  <c r="I58" i="37"/>
  <c r="C58" i="37" s="1"/>
  <c r="A58" i="37" s="1"/>
  <c r="D58" i="37" s="1"/>
  <c r="F52" i="36"/>
  <c r="H52" i="36"/>
  <c r="G52" i="36"/>
  <c r="B52" i="36"/>
  <c r="I52" i="36" s="1"/>
  <c r="L58" i="27" l="1"/>
  <c r="F58" i="27" s="1"/>
  <c r="M59" i="27"/>
  <c r="N59" i="27"/>
  <c r="O59" i="27"/>
  <c r="P59" i="27"/>
  <c r="M59" i="34"/>
  <c r="N59" i="34"/>
  <c r="I71" i="10"/>
  <c r="A71" i="10" s="1"/>
  <c r="L71" i="10"/>
  <c r="F71" i="10"/>
  <c r="AU57" i="38"/>
  <c r="D57" i="38" s="1"/>
  <c r="AV58" i="38"/>
  <c r="AS58" i="38"/>
  <c r="A59" i="27"/>
  <c r="D59" i="27" s="1"/>
  <c r="C57" i="38"/>
  <c r="M68" i="39"/>
  <c r="C68" i="39" s="1"/>
  <c r="H59" i="37"/>
  <c r="E52" i="36"/>
  <c r="AS58" i="35"/>
  <c r="C58" i="35" s="1"/>
  <c r="K53" i="36"/>
  <c r="I60" i="27"/>
  <c r="B57" i="35"/>
  <c r="E59" i="34"/>
  <c r="A59" i="34"/>
  <c r="D52" i="36"/>
  <c r="I60" i="34"/>
  <c r="J57" i="35"/>
  <c r="J57" i="38" l="1"/>
  <c r="A57" i="38" s="1"/>
  <c r="L59" i="27"/>
  <c r="F59" i="27" s="1"/>
  <c r="L59" i="34"/>
  <c r="F59" i="34" s="1"/>
  <c r="D57" i="35"/>
  <c r="C71" i="10"/>
  <c r="B71" i="10" s="1"/>
  <c r="H71" i="10" s="1"/>
  <c r="K72" i="10"/>
  <c r="N68" i="39"/>
  <c r="D68" i="39" s="1"/>
  <c r="A68" i="39" s="1"/>
  <c r="O69" i="39"/>
  <c r="L69" i="39"/>
  <c r="F57" i="35"/>
  <c r="I57" i="35"/>
  <c r="J60" i="27"/>
  <c r="C60" i="27" s="1"/>
  <c r="L53" i="36"/>
  <c r="C53" i="36" s="1"/>
  <c r="A53" i="36" s="1"/>
  <c r="J60" i="34"/>
  <c r="AT58" i="38"/>
  <c r="C58" i="38" s="1"/>
  <c r="D59" i="34"/>
  <c r="B59" i="34"/>
  <c r="A58" i="35"/>
  <c r="E57" i="35"/>
  <c r="AT59" i="35"/>
  <c r="H57" i="35"/>
  <c r="G57" i="35"/>
  <c r="I59" i="37"/>
  <c r="C59" i="37" s="1"/>
  <c r="A59" i="37" s="1"/>
  <c r="D59" i="37" s="1"/>
  <c r="P60" i="27" l="1"/>
  <c r="M60" i="27"/>
  <c r="N60" i="27"/>
  <c r="O60" i="27"/>
  <c r="E71" i="10"/>
  <c r="G71" i="10"/>
  <c r="D71" i="10"/>
  <c r="I72" i="10"/>
  <c r="A72" i="10" s="1"/>
  <c r="F72" i="10"/>
  <c r="L72" i="10"/>
  <c r="M54" i="36"/>
  <c r="B53" i="36"/>
  <c r="I53" i="36" s="1"/>
  <c r="F53" i="36"/>
  <c r="H53" i="36"/>
  <c r="G53" i="36"/>
  <c r="C60" i="34"/>
  <c r="A60" i="27"/>
  <c r="D60" i="27" s="1"/>
  <c r="I61" i="27"/>
  <c r="B58" i="35"/>
  <c r="AR59" i="35"/>
  <c r="H60" i="37"/>
  <c r="E58" i="38"/>
  <c r="M69" i="39"/>
  <c r="C69" i="39" s="1"/>
  <c r="J58" i="35"/>
  <c r="L60" i="27" l="1"/>
  <c r="F60" i="27" s="1"/>
  <c r="N60" i="34"/>
  <c r="M60" i="34"/>
  <c r="H58" i="35"/>
  <c r="C72" i="10"/>
  <c r="B72" i="10" s="1"/>
  <c r="D72" i="10" s="1"/>
  <c r="K73" i="10"/>
  <c r="D58" i="35"/>
  <c r="D53" i="36"/>
  <c r="F58" i="35"/>
  <c r="I58" i="35"/>
  <c r="N69" i="39"/>
  <c r="D69" i="39" s="1"/>
  <c r="A69" i="39" s="1"/>
  <c r="L70" i="39"/>
  <c r="O70" i="39"/>
  <c r="E60" i="34"/>
  <c r="A60" i="34"/>
  <c r="AS59" i="35"/>
  <c r="C59" i="35" s="1"/>
  <c r="I61" i="34"/>
  <c r="J61" i="27"/>
  <c r="C61" i="27" s="1"/>
  <c r="I60" i="37"/>
  <c r="C60" i="37" s="1"/>
  <c r="A60" i="37" s="1"/>
  <c r="D60" i="37" s="1"/>
  <c r="AU58" i="38"/>
  <c r="D58" i="38" s="1"/>
  <c r="AS59" i="38"/>
  <c r="AV59" i="38"/>
  <c r="G58" i="35"/>
  <c r="E53" i="36"/>
  <c r="E58" i="35"/>
  <c r="K54" i="36"/>
  <c r="J58" i="38" l="1"/>
  <c r="A58" i="38" s="1"/>
  <c r="M61" i="27"/>
  <c r="N61" i="27"/>
  <c r="O61" i="27"/>
  <c r="P61" i="27"/>
  <c r="L60" i="34"/>
  <c r="F60" i="34" s="1"/>
  <c r="AT60" i="35"/>
  <c r="AR60" i="35" s="1"/>
  <c r="H72" i="10"/>
  <c r="E72" i="10"/>
  <c r="G72" i="10"/>
  <c r="L73" i="10"/>
  <c r="I73" i="10"/>
  <c r="A73" i="10" s="1"/>
  <c r="F73" i="10"/>
  <c r="J61" i="34"/>
  <c r="I62" i="27"/>
  <c r="A59" i="35"/>
  <c r="B60" i="34"/>
  <c r="D60" i="34"/>
  <c r="A61" i="27"/>
  <c r="D61" i="27" s="1"/>
  <c r="AT59" i="38"/>
  <c r="E59" i="38" s="1"/>
  <c r="L54" i="36"/>
  <c r="C54" i="36" s="1"/>
  <c r="A54" i="36" s="1"/>
  <c r="M70" i="39"/>
  <c r="C70" i="39" s="1"/>
  <c r="H61" i="37"/>
  <c r="L61" i="27" l="1"/>
  <c r="F61" i="27" s="1"/>
  <c r="K74" i="10"/>
  <c r="C73" i="10"/>
  <c r="B73" i="10" s="1"/>
  <c r="G73" i="10" s="1"/>
  <c r="N70" i="39"/>
  <c r="D70" i="39" s="1"/>
  <c r="A70" i="39" s="1"/>
  <c r="O71" i="39"/>
  <c r="L71" i="39"/>
  <c r="AU59" i="38"/>
  <c r="D59" i="38" s="1"/>
  <c r="AS60" i="38"/>
  <c r="AV60" i="38"/>
  <c r="H54" i="36"/>
  <c r="B54" i="36"/>
  <c r="I54" i="36" s="1"/>
  <c r="G54" i="36"/>
  <c r="F54" i="36"/>
  <c r="M55" i="36"/>
  <c r="B59" i="35"/>
  <c r="J62" i="27"/>
  <c r="C59" i="38"/>
  <c r="C61" i="34"/>
  <c r="I61" i="37"/>
  <c r="C61" i="37" s="1"/>
  <c r="A61" i="37" s="1"/>
  <c r="D61" i="37" s="1"/>
  <c r="AS60" i="35"/>
  <c r="C60" i="35" s="1"/>
  <c r="J59" i="35"/>
  <c r="J59" i="38" l="1"/>
  <c r="A59" i="38" s="1"/>
  <c r="I62" i="34"/>
  <c r="J62" i="34" s="1"/>
  <c r="C62" i="34" s="1"/>
  <c r="M61" i="34"/>
  <c r="N61" i="34"/>
  <c r="AT61" i="35"/>
  <c r="AR61" i="35" s="1"/>
  <c r="E59" i="35"/>
  <c r="D73" i="10"/>
  <c r="E73" i="10"/>
  <c r="H73" i="10"/>
  <c r="L74" i="10"/>
  <c r="I74" i="10"/>
  <c r="A74" i="10" s="1"/>
  <c r="F74" i="10"/>
  <c r="D54" i="36"/>
  <c r="D59" i="35"/>
  <c r="AT60" i="38"/>
  <c r="E60" i="38" s="1"/>
  <c r="G59" i="35"/>
  <c r="A60" i="35"/>
  <c r="I59" i="35"/>
  <c r="H62" i="37"/>
  <c r="F59" i="35"/>
  <c r="M71" i="39"/>
  <c r="C71" i="39" s="1"/>
  <c r="H59" i="35"/>
  <c r="K55" i="36"/>
  <c r="C62" i="27"/>
  <c r="A61" i="34"/>
  <c r="E61" i="34"/>
  <c r="E54" i="36"/>
  <c r="M62" i="27" l="1"/>
  <c r="N62" i="27"/>
  <c r="O62" i="27"/>
  <c r="P62" i="27"/>
  <c r="I63" i="27"/>
  <c r="J63" i="27" s="1"/>
  <c r="L61" i="34"/>
  <c r="F61" i="34" s="1"/>
  <c r="M62" i="34"/>
  <c r="N62" i="34"/>
  <c r="K75" i="10"/>
  <c r="C74" i="10"/>
  <c r="B74" i="10" s="1"/>
  <c r="D74" i="10" s="1"/>
  <c r="N71" i="39"/>
  <c r="D71" i="39" s="1"/>
  <c r="A71" i="39" s="1"/>
  <c r="O72" i="39"/>
  <c r="L72" i="39"/>
  <c r="AU60" i="38"/>
  <c r="D60" i="38" s="1"/>
  <c r="AV61" i="38"/>
  <c r="AS61" i="38"/>
  <c r="AS61" i="35"/>
  <c r="C61" i="35" s="1"/>
  <c r="C60" i="38"/>
  <c r="I62" i="37"/>
  <c r="C62" i="37" s="1"/>
  <c r="A62" i="37" s="1"/>
  <c r="D62" i="37" s="1"/>
  <c r="B61" i="34"/>
  <c r="D61" i="34"/>
  <c r="B60" i="35"/>
  <c r="A62" i="34"/>
  <c r="E62" i="34"/>
  <c r="A62" i="27"/>
  <c r="D62" i="27" s="1"/>
  <c r="L55" i="36"/>
  <c r="C55" i="36" s="1"/>
  <c r="A55" i="36" s="1"/>
  <c r="I63" i="34"/>
  <c r="J60" i="35"/>
  <c r="J60" i="38" l="1"/>
  <c r="A60" i="38" s="1"/>
  <c r="L62" i="27"/>
  <c r="F62" i="27" s="1"/>
  <c r="L62" i="34"/>
  <c r="F62" i="34" s="1"/>
  <c r="H60" i="35"/>
  <c r="L75" i="10"/>
  <c r="I75" i="10"/>
  <c r="A75" i="10" s="1"/>
  <c r="F75" i="10"/>
  <c r="G74" i="10"/>
  <c r="E74" i="10"/>
  <c r="H74" i="10"/>
  <c r="I60" i="35"/>
  <c r="F60" i="35"/>
  <c r="D60" i="35"/>
  <c r="B62" i="34"/>
  <c r="D62" i="34"/>
  <c r="A61" i="35"/>
  <c r="AT62" i="35"/>
  <c r="E60" i="35"/>
  <c r="C63" i="27"/>
  <c r="AT61" i="38"/>
  <c r="C61" i="38" s="1"/>
  <c r="F55" i="36"/>
  <c r="B55" i="36"/>
  <c r="I55" i="36" s="1"/>
  <c r="G55" i="36"/>
  <c r="H55" i="36"/>
  <c r="J63" i="34"/>
  <c r="C63" i="34" s="1"/>
  <c r="M56" i="36"/>
  <c r="G60" i="35"/>
  <c r="M72" i="39"/>
  <c r="C72" i="39" s="1"/>
  <c r="H63" i="37"/>
  <c r="P63" i="27" l="1"/>
  <c r="M63" i="27"/>
  <c r="N63" i="27"/>
  <c r="O63" i="27"/>
  <c r="N63" i="34"/>
  <c r="M63" i="34"/>
  <c r="K76" i="10"/>
  <c r="C75" i="10"/>
  <c r="B75" i="10" s="1"/>
  <c r="E75" i="10" s="1"/>
  <c r="E63" i="34"/>
  <c r="A63" i="34"/>
  <c r="N72" i="39"/>
  <c r="D72" i="39" s="1"/>
  <c r="A72" i="39" s="1"/>
  <c r="L73" i="39"/>
  <c r="O73" i="39"/>
  <c r="K56" i="36"/>
  <c r="E61" i="38"/>
  <c r="A63" i="27"/>
  <c r="D63" i="27" s="1"/>
  <c r="I64" i="27"/>
  <c r="I64" i="34"/>
  <c r="AR62" i="35"/>
  <c r="I63" i="37"/>
  <c r="C63" i="37" s="1"/>
  <c r="A63" i="37" s="1"/>
  <c r="D63" i="37" s="1"/>
  <c r="E55" i="36"/>
  <c r="D55" i="36"/>
  <c r="B61" i="35"/>
  <c r="J61" i="35"/>
  <c r="L63" i="27" l="1"/>
  <c r="F63" i="27" s="1"/>
  <c r="L63" i="34"/>
  <c r="F63" i="34" s="1"/>
  <c r="E61" i="35"/>
  <c r="I76" i="10"/>
  <c r="F76" i="10"/>
  <c r="L76" i="10"/>
  <c r="D75" i="10"/>
  <c r="G75" i="10"/>
  <c r="H75" i="10"/>
  <c r="H61" i="35"/>
  <c r="L56" i="36"/>
  <c r="C56" i="36" s="1"/>
  <c r="A56" i="36" s="1"/>
  <c r="H64" i="37"/>
  <c r="M73" i="39"/>
  <c r="C73" i="39" s="1"/>
  <c r="AU61" i="38"/>
  <c r="D61" i="38" s="1"/>
  <c r="AV62" i="38"/>
  <c r="AS62" i="38"/>
  <c r="D61" i="35"/>
  <c r="I61" i="35"/>
  <c r="B63" i="34"/>
  <c r="D63" i="34"/>
  <c r="J64" i="34"/>
  <c r="AS62" i="35"/>
  <c r="C62" i="35" s="1"/>
  <c r="F61" i="35"/>
  <c r="G61" i="35"/>
  <c r="J64" i="27"/>
  <c r="C64" i="27" s="1"/>
  <c r="J61" i="38" l="1"/>
  <c r="A61" i="38" s="1"/>
  <c r="M64" i="27"/>
  <c r="N64" i="27"/>
  <c r="O64" i="27"/>
  <c r="P64" i="27"/>
  <c r="A76" i="10"/>
  <c r="C76" i="10"/>
  <c r="B76" i="10" s="1"/>
  <c r="K77" i="10"/>
  <c r="A64" i="27"/>
  <c r="D64" i="27" s="1"/>
  <c r="N73" i="39"/>
  <c r="D73" i="39" s="1"/>
  <c r="A73" i="39" s="1"/>
  <c r="L74" i="39"/>
  <c r="O74" i="39"/>
  <c r="A62" i="35"/>
  <c r="AT63" i="35"/>
  <c r="C64" i="34"/>
  <c r="I64" i="37"/>
  <c r="G56" i="36"/>
  <c r="F56" i="36"/>
  <c r="H56" i="36"/>
  <c r="B56" i="36"/>
  <c r="I56" i="36" s="1"/>
  <c r="M57" i="36"/>
  <c r="I65" i="27"/>
  <c r="AT62" i="38"/>
  <c r="E62" i="38" s="1"/>
  <c r="L64" i="27" l="1"/>
  <c r="F64" i="27" s="1"/>
  <c r="N64" i="34"/>
  <c r="M64" i="34"/>
  <c r="D76" i="10"/>
  <c r="G76" i="10"/>
  <c r="H76" i="10"/>
  <c r="E76" i="10"/>
  <c r="I77" i="10"/>
  <c r="A77" i="10" s="1"/>
  <c r="F77" i="10"/>
  <c r="L77" i="10"/>
  <c r="AU62" i="38"/>
  <c r="D62" i="38" s="1"/>
  <c r="AV63" i="38"/>
  <c r="AS63" i="38"/>
  <c r="A64" i="34"/>
  <c r="E64" i="34"/>
  <c r="I65" i="34"/>
  <c r="AR63" i="35"/>
  <c r="D56" i="36"/>
  <c r="K57" i="36"/>
  <c r="B62" i="35"/>
  <c r="M74" i="39"/>
  <c r="C74" i="39" s="1"/>
  <c r="J65" i="27"/>
  <c r="C62" i="38"/>
  <c r="C64" i="37"/>
  <c r="A64" i="37" s="1"/>
  <c r="D64" i="37" s="1"/>
  <c r="E56" i="36"/>
  <c r="J62" i="35"/>
  <c r="J62" i="38" l="1"/>
  <c r="A62" i="38" s="1"/>
  <c r="L64" i="34"/>
  <c r="F64" i="34" s="1"/>
  <c r="H62" i="35"/>
  <c r="K78" i="10"/>
  <c r="C77" i="10"/>
  <c r="B77" i="10" s="1"/>
  <c r="D77" i="10" s="1"/>
  <c r="F62" i="35"/>
  <c r="I62" i="35"/>
  <c r="E62" i="35"/>
  <c r="D62" i="35"/>
  <c r="G62" i="35"/>
  <c r="N74" i="39"/>
  <c r="D74" i="39" s="1"/>
  <c r="A74" i="39" s="1"/>
  <c r="O75" i="39"/>
  <c r="L75" i="39"/>
  <c r="AS63" i="35"/>
  <c r="C63" i="35" s="1"/>
  <c r="J65" i="34"/>
  <c r="D64" i="34"/>
  <c r="B64" i="34"/>
  <c r="H65" i="37"/>
  <c r="AT63" i="38"/>
  <c r="C63" i="38" s="1"/>
  <c r="L57" i="36"/>
  <c r="C57" i="36" s="1"/>
  <c r="A57" i="36" s="1"/>
  <c r="C65" i="27"/>
  <c r="M65" i="27" l="1"/>
  <c r="N65" i="27"/>
  <c r="O65" i="27"/>
  <c r="P65" i="27"/>
  <c r="H77" i="10"/>
  <c r="E77" i="10"/>
  <c r="G77" i="10"/>
  <c r="I78" i="10"/>
  <c r="A78" i="10" s="1"/>
  <c r="L78" i="10"/>
  <c r="F78" i="10"/>
  <c r="E63" i="38"/>
  <c r="A65" i="27"/>
  <c r="D65" i="27" s="1"/>
  <c r="I66" i="27"/>
  <c r="C65" i="34"/>
  <c r="A63" i="35"/>
  <c r="G57" i="36"/>
  <c r="B57" i="36"/>
  <c r="I57" i="36" s="1"/>
  <c r="F57" i="36"/>
  <c r="H57" i="36"/>
  <c r="AT64" i="35"/>
  <c r="M75" i="39"/>
  <c r="C75" i="39" s="1"/>
  <c r="I65" i="37"/>
  <c r="M58" i="36"/>
  <c r="L65" i="27" l="1"/>
  <c r="F65" i="27" s="1"/>
  <c r="M65" i="34"/>
  <c r="N65" i="34"/>
  <c r="K79" i="10"/>
  <c r="C78" i="10"/>
  <c r="B78" i="10" s="1"/>
  <c r="D78" i="10" s="1"/>
  <c r="N75" i="39"/>
  <c r="D75" i="39" s="1"/>
  <c r="A75" i="39" s="1"/>
  <c r="O76" i="39"/>
  <c r="L76" i="39"/>
  <c r="D57" i="36"/>
  <c r="B63" i="35"/>
  <c r="C65" i="37"/>
  <c r="A65" i="37" s="1"/>
  <c r="D65" i="37" s="1"/>
  <c r="A65" i="34"/>
  <c r="E65" i="34"/>
  <c r="J66" i="27"/>
  <c r="C66" i="27" s="1"/>
  <c r="K58" i="36"/>
  <c r="I66" i="34"/>
  <c r="AR64" i="35"/>
  <c r="E57" i="36"/>
  <c r="AU63" i="38"/>
  <c r="D63" i="38" s="1"/>
  <c r="AV64" i="38"/>
  <c r="AS64" i="38"/>
  <c r="J63" i="35"/>
  <c r="J63" i="38" l="1"/>
  <c r="A63" i="38" s="1"/>
  <c r="P66" i="27"/>
  <c r="M66" i="27"/>
  <c r="N66" i="27"/>
  <c r="O66" i="27"/>
  <c r="L65" i="34"/>
  <c r="F65" i="34" s="1"/>
  <c r="G63" i="35"/>
  <c r="H78" i="10"/>
  <c r="G78" i="10"/>
  <c r="E78" i="10"/>
  <c r="L79" i="10"/>
  <c r="F79" i="10"/>
  <c r="I79" i="10"/>
  <c r="A79" i="10" s="1"/>
  <c r="H66" i="37"/>
  <c r="I66" i="37" s="1"/>
  <c r="C66" i="37" s="1"/>
  <c r="A66" i="37" s="1"/>
  <c r="D66" i="37" s="1"/>
  <c r="D63" i="35"/>
  <c r="H63" i="35"/>
  <c r="J66" i="34"/>
  <c r="C66" i="34" s="1"/>
  <c r="L58" i="36"/>
  <c r="C58" i="36" s="1"/>
  <c r="A58" i="36" s="1"/>
  <c r="E63" i="35"/>
  <c r="AS64" i="35"/>
  <c r="C64" i="35" s="1"/>
  <c r="AT64" i="38"/>
  <c r="C64" i="38" s="1"/>
  <c r="A66" i="27"/>
  <c r="D66" i="27" s="1"/>
  <c r="F63" i="35"/>
  <c r="I67" i="27"/>
  <c r="I63" i="35"/>
  <c r="M76" i="39"/>
  <c r="C76" i="39" s="1"/>
  <c r="D65" i="34"/>
  <c r="B65" i="34"/>
  <c r="L66" i="27" l="1"/>
  <c r="F66" i="27" s="1"/>
  <c r="M66" i="34"/>
  <c r="N66" i="34"/>
  <c r="E79" i="10"/>
  <c r="G79" i="10"/>
  <c r="D79" i="10"/>
  <c r="H79" i="10"/>
  <c r="C79" i="10"/>
  <c r="B79" i="10" s="1"/>
  <c r="K80" i="10"/>
  <c r="N76" i="39"/>
  <c r="D76" i="39" s="1"/>
  <c r="A76" i="39" s="1"/>
  <c r="L77" i="39"/>
  <c r="O77" i="39"/>
  <c r="E64" i="38"/>
  <c r="A64" i="35"/>
  <c r="AT65" i="35"/>
  <c r="J67" i="27"/>
  <c r="C67" i="27" s="1"/>
  <c r="M59" i="36"/>
  <c r="B58" i="36"/>
  <c r="I58" i="36" s="1"/>
  <c r="G58" i="36"/>
  <c r="H58" i="36"/>
  <c r="F58" i="36"/>
  <c r="E66" i="34"/>
  <c r="A66" i="34"/>
  <c r="I67" i="34"/>
  <c r="H67" i="37"/>
  <c r="M67" i="27" l="1"/>
  <c r="N67" i="27"/>
  <c r="O67" i="27"/>
  <c r="P67" i="27"/>
  <c r="L66" i="34"/>
  <c r="F66" i="34" s="1"/>
  <c r="F80" i="10"/>
  <c r="L80" i="10"/>
  <c r="I80" i="10"/>
  <c r="A80" i="10" s="1"/>
  <c r="A67" i="27"/>
  <c r="D67" i="27" s="1"/>
  <c r="I67" i="37"/>
  <c r="J67" i="34"/>
  <c r="C67" i="34" s="1"/>
  <c r="I68" i="27"/>
  <c r="AR65" i="35"/>
  <c r="K59" i="36"/>
  <c r="B66" i="34"/>
  <c r="D66" i="34"/>
  <c r="B64" i="35"/>
  <c r="AU64" i="38"/>
  <c r="D64" i="38" s="1"/>
  <c r="AV65" i="38"/>
  <c r="AS65" i="38"/>
  <c r="D58" i="36"/>
  <c r="M77" i="39"/>
  <c r="C77" i="39" s="1"/>
  <c r="E58" i="36"/>
  <c r="J64" i="35"/>
  <c r="J64" i="38" l="1"/>
  <c r="A64" i="38" s="1"/>
  <c r="L67" i="27"/>
  <c r="F67" i="27" s="1"/>
  <c r="N67" i="34"/>
  <c r="M67" i="34"/>
  <c r="F64" i="35"/>
  <c r="C80" i="10"/>
  <c r="B80" i="10" s="1"/>
  <c r="G80" i="10" s="1"/>
  <c r="K81" i="10"/>
  <c r="N77" i="39"/>
  <c r="D77" i="39" s="1"/>
  <c r="A77" i="39" s="1"/>
  <c r="L78" i="39"/>
  <c r="O78" i="39"/>
  <c r="D64" i="35"/>
  <c r="E64" i="35"/>
  <c r="J68" i="27"/>
  <c r="I64" i="35"/>
  <c r="H64" i="35"/>
  <c r="E67" i="34"/>
  <c r="A67" i="34"/>
  <c r="AS65" i="35"/>
  <c r="C65" i="35" s="1"/>
  <c r="G64" i="35"/>
  <c r="I68" i="34"/>
  <c r="C67" i="37"/>
  <c r="A67" i="37" s="1"/>
  <c r="D67" i="37" s="1"/>
  <c r="AT65" i="38"/>
  <c r="E65" i="38" s="1"/>
  <c r="L59" i="36"/>
  <c r="C59" i="36" s="1"/>
  <c r="A59" i="36" s="1"/>
  <c r="L67" i="34" l="1"/>
  <c r="F67" i="34" s="1"/>
  <c r="AT66" i="35"/>
  <c r="AR66" i="35" s="1"/>
  <c r="I81" i="10"/>
  <c r="A81" i="10" s="1"/>
  <c r="F81" i="10"/>
  <c r="L81" i="10"/>
  <c r="H80" i="10"/>
  <c r="D80" i="10"/>
  <c r="E80" i="10"/>
  <c r="H68" i="37"/>
  <c r="I68" i="37" s="1"/>
  <c r="AU65" i="38"/>
  <c r="D65" i="38" s="1"/>
  <c r="AS66" i="38"/>
  <c r="AV66" i="38"/>
  <c r="C65" i="38"/>
  <c r="C68" i="27"/>
  <c r="J68" i="34"/>
  <c r="B59" i="36"/>
  <c r="I59" i="36" s="1"/>
  <c r="F59" i="36"/>
  <c r="H59" i="36"/>
  <c r="G59" i="36"/>
  <c r="A65" i="35"/>
  <c r="M78" i="39"/>
  <c r="C78" i="39" s="1"/>
  <c r="M60" i="36"/>
  <c r="D67" i="34"/>
  <c r="B67" i="34"/>
  <c r="J65" i="38" l="1"/>
  <c r="A65" i="38" s="1"/>
  <c r="M68" i="27"/>
  <c r="N68" i="27"/>
  <c r="O68" i="27"/>
  <c r="P68" i="27"/>
  <c r="I69" i="27"/>
  <c r="J69" i="27" s="1"/>
  <c r="K82" i="10"/>
  <c r="C81" i="10"/>
  <c r="B81" i="10" s="1"/>
  <c r="H81" i="10" s="1"/>
  <c r="E59" i="36"/>
  <c r="N78" i="39"/>
  <c r="D78" i="39" s="1"/>
  <c r="A78" i="39" s="1"/>
  <c r="L79" i="39"/>
  <c r="O79" i="39"/>
  <c r="C68" i="34"/>
  <c r="C68" i="37"/>
  <c r="A68" i="37" s="1"/>
  <c r="D68" i="37" s="1"/>
  <c r="AS66" i="35"/>
  <c r="C66" i="35" s="1"/>
  <c r="A68" i="27"/>
  <c r="D68" i="27" s="1"/>
  <c r="B65" i="35"/>
  <c r="AT66" i="38"/>
  <c r="C66" i="38" s="1"/>
  <c r="K60" i="36"/>
  <c r="D59" i="36"/>
  <c r="J65" i="35"/>
  <c r="L68" i="27" l="1"/>
  <c r="F68" i="27" s="1"/>
  <c r="N68" i="34"/>
  <c r="M68" i="34"/>
  <c r="E65" i="35"/>
  <c r="D81" i="10"/>
  <c r="G81" i="10"/>
  <c r="E81" i="10"/>
  <c r="F82" i="10"/>
  <c r="I82" i="10"/>
  <c r="A82" i="10" s="1"/>
  <c r="L82" i="10"/>
  <c r="F65" i="35"/>
  <c r="A66" i="35"/>
  <c r="AT67" i="35"/>
  <c r="C69" i="27"/>
  <c r="I65" i="35"/>
  <c r="A68" i="34"/>
  <c r="E68" i="34"/>
  <c r="D65" i="35"/>
  <c r="H69" i="37"/>
  <c r="L60" i="36"/>
  <c r="C60" i="36" s="1"/>
  <c r="A60" i="36" s="1"/>
  <c r="I69" i="34"/>
  <c r="M79" i="39"/>
  <c r="C79" i="39" s="1"/>
  <c r="E66" i="38"/>
  <c r="G65" i="35"/>
  <c r="H65" i="35"/>
  <c r="P69" i="27" l="1"/>
  <c r="N69" i="27"/>
  <c r="M69" i="27"/>
  <c r="O69" i="27"/>
  <c r="I70" i="27"/>
  <c r="J70" i="27" s="1"/>
  <c r="L68" i="34"/>
  <c r="F68" i="34" s="1"/>
  <c r="C82" i="10"/>
  <c r="B82" i="10" s="1"/>
  <c r="H82" i="10" s="1"/>
  <c r="K83" i="10"/>
  <c r="M61" i="36"/>
  <c r="K61" i="36" s="1"/>
  <c r="A69" i="27"/>
  <c r="D69" i="27" s="1"/>
  <c r="N79" i="39"/>
  <c r="D79" i="39" s="1"/>
  <c r="A79" i="39" s="1"/>
  <c r="L80" i="39"/>
  <c r="O80" i="39"/>
  <c r="B68" i="34"/>
  <c r="D68" i="34"/>
  <c r="AU66" i="38"/>
  <c r="D66" i="38" s="1"/>
  <c r="AV67" i="38"/>
  <c r="AS67" i="38"/>
  <c r="AR67" i="35"/>
  <c r="J69" i="34"/>
  <c r="C69" i="34" s="1"/>
  <c r="B66" i="35"/>
  <c r="I69" i="37"/>
  <c r="H60" i="36"/>
  <c r="G60" i="36"/>
  <c r="F60" i="36"/>
  <c r="B60" i="36"/>
  <c r="I60" i="36" s="1"/>
  <c r="J66" i="35"/>
  <c r="J66" i="38" l="1"/>
  <c r="A66" i="38" s="1"/>
  <c r="L69" i="27"/>
  <c r="F69" i="27" s="1"/>
  <c r="M69" i="34"/>
  <c r="N69" i="34"/>
  <c r="F66" i="35"/>
  <c r="G82" i="10"/>
  <c r="D82" i="10"/>
  <c r="E82" i="10"/>
  <c r="I83" i="10"/>
  <c r="A83" i="10" s="1"/>
  <c r="F83" i="10"/>
  <c r="L83" i="10"/>
  <c r="G66" i="35"/>
  <c r="D66" i="35"/>
  <c r="I66" i="35"/>
  <c r="E66" i="35"/>
  <c r="AT67" i="38"/>
  <c r="E67" i="38" s="1"/>
  <c r="C70" i="27"/>
  <c r="I70" i="34"/>
  <c r="D60" i="36"/>
  <c r="L61" i="36"/>
  <c r="C61" i="36" s="1"/>
  <c r="A61" i="36" s="1"/>
  <c r="M80" i="39"/>
  <c r="C80" i="39" s="1"/>
  <c r="E60" i="36"/>
  <c r="C69" i="37"/>
  <c r="A69" i="37" s="1"/>
  <c r="D69" i="37" s="1"/>
  <c r="E69" i="34"/>
  <c r="A69" i="34"/>
  <c r="AS67" i="35"/>
  <c r="C67" i="35" s="1"/>
  <c r="H66" i="35"/>
  <c r="M70" i="27" l="1"/>
  <c r="N70" i="27"/>
  <c r="O70" i="27"/>
  <c r="P70" i="27"/>
  <c r="I71" i="27"/>
  <c r="J71" i="27" s="1"/>
  <c r="L69" i="34"/>
  <c r="F69" i="34" s="1"/>
  <c r="C83" i="10"/>
  <c r="B83" i="10" s="1"/>
  <c r="E83" i="10" s="1"/>
  <c r="K84" i="10"/>
  <c r="M62" i="36"/>
  <c r="K62" i="36" s="1"/>
  <c r="AT68" i="35"/>
  <c r="AR68" i="35" s="1"/>
  <c r="N80" i="39"/>
  <c r="D80" i="39" s="1"/>
  <c r="A80" i="39" s="1"/>
  <c r="L81" i="39"/>
  <c r="O81" i="39"/>
  <c r="AU67" i="38"/>
  <c r="D67" i="38" s="1"/>
  <c r="AS68" i="38"/>
  <c r="AV68" i="38"/>
  <c r="J70" i="34"/>
  <c r="H70" i="37"/>
  <c r="A70" i="27"/>
  <c r="D70" i="27" s="1"/>
  <c r="C67" i="38"/>
  <c r="A67" i="35"/>
  <c r="D69" i="34"/>
  <c r="B69" i="34"/>
  <c r="H61" i="36"/>
  <c r="G61" i="36"/>
  <c r="B61" i="36"/>
  <c r="I61" i="36" s="1"/>
  <c r="F61" i="36"/>
  <c r="J67" i="38" l="1"/>
  <c r="A67" i="38" s="1"/>
  <c r="L70" i="27"/>
  <c r="F70" i="27" s="1"/>
  <c r="H83" i="10"/>
  <c r="D83" i="10"/>
  <c r="G83" i="10"/>
  <c r="F84" i="10"/>
  <c r="I84" i="10"/>
  <c r="A84" i="10" s="1"/>
  <c r="L84" i="10"/>
  <c r="E61" i="36"/>
  <c r="D61" i="36"/>
  <c r="AS68" i="35"/>
  <c r="C68" i="35" s="1"/>
  <c r="I70" i="37"/>
  <c r="C70" i="34"/>
  <c r="AT68" i="38"/>
  <c r="C68" i="38" s="1"/>
  <c r="B67" i="35"/>
  <c r="M81" i="39"/>
  <c r="C81" i="39" s="1"/>
  <c r="L62" i="36"/>
  <c r="C62" i="36" s="1"/>
  <c r="A62" i="36" s="1"/>
  <c r="J67" i="35"/>
  <c r="I71" i="34" l="1"/>
  <c r="J71" i="34" s="1"/>
  <c r="C71" i="34" s="1"/>
  <c r="M70" i="34"/>
  <c r="N70" i="34"/>
  <c r="E67" i="35"/>
  <c r="C84" i="10"/>
  <c r="B84" i="10" s="1"/>
  <c r="G84" i="10" s="1"/>
  <c r="K85" i="10"/>
  <c r="D67" i="35"/>
  <c r="H67" i="35"/>
  <c r="N81" i="39"/>
  <c r="D81" i="39" s="1"/>
  <c r="A81" i="39" s="1"/>
  <c r="O82" i="39"/>
  <c r="L82" i="39"/>
  <c r="E68" i="38"/>
  <c r="F62" i="36"/>
  <c r="G62" i="36"/>
  <c r="B62" i="36"/>
  <c r="I62" i="36" s="1"/>
  <c r="H62" i="36"/>
  <c r="F67" i="35"/>
  <c r="C71" i="27"/>
  <c r="E70" i="34"/>
  <c r="A70" i="34"/>
  <c r="M63" i="36"/>
  <c r="C70" i="37"/>
  <c r="A70" i="37" s="1"/>
  <c r="D70" i="37" s="1"/>
  <c r="A68" i="35"/>
  <c r="G67" i="35"/>
  <c r="I67" i="35"/>
  <c r="AT69" i="35"/>
  <c r="M71" i="27" l="1"/>
  <c r="N71" i="27"/>
  <c r="O71" i="27"/>
  <c r="P71" i="27"/>
  <c r="I72" i="27"/>
  <c r="J72" i="27" s="1"/>
  <c r="M71" i="34"/>
  <c r="N71" i="34"/>
  <c r="L70" i="34"/>
  <c r="F70" i="34" s="1"/>
  <c r="D84" i="10"/>
  <c r="H84" i="10"/>
  <c r="E84" i="10"/>
  <c r="F85" i="10"/>
  <c r="I85" i="10"/>
  <c r="A85" i="10" s="1"/>
  <c r="L85" i="10"/>
  <c r="D62" i="36"/>
  <c r="H71" i="37"/>
  <c r="E62" i="36"/>
  <c r="K63" i="36"/>
  <c r="B68" i="35"/>
  <c r="AU68" i="38"/>
  <c r="D68" i="38" s="1"/>
  <c r="AS69" i="38"/>
  <c r="AV69" i="38"/>
  <c r="E71" i="34"/>
  <c r="A71" i="34"/>
  <c r="D70" i="34"/>
  <c r="B70" i="34"/>
  <c r="I72" i="34"/>
  <c r="A71" i="27"/>
  <c r="D71" i="27" s="1"/>
  <c r="M82" i="39"/>
  <c r="C82" i="39" s="1"/>
  <c r="AR69" i="35"/>
  <c r="J68" i="35"/>
  <c r="J68" i="38" l="1"/>
  <c r="A68" i="38" s="1"/>
  <c r="L71" i="27"/>
  <c r="F71" i="27" s="1"/>
  <c r="C72" i="27"/>
  <c r="A72" i="27" s="1"/>
  <c r="D72" i="27" s="1"/>
  <c r="L71" i="34"/>
  <c r="F71" i="34" s="1"/>
  <c r="I68" i="35"/>
  <c r="K86" i="10"/>
  <c r="C85" i="10"/>
  <c r="B85" i="10" s="1"/>
  <c r="G85" i="10" s="1"/>
  <c r="D68" i="35"/>
  <c r="N82" i="39"/>
  <c r="D82" i="39" s="1"/>
  <c r="A82" i="39" s="1"/>
  <c r="O83" i="39"/>
  <c r="L83" i="39"/>
  <c r="E68" i="35"/>
  <c r="AS69" i="35"/>
  <c r="C69" i="35" s="1"/>
  <c r="L63" i="36"/>
  <c r="C63" i="36" s="1"/>
  <c r="A63" i="36" s="1"/>
  <c r="AT69" i="38"/>
  <c r="C69" i="38" s="1"/>
  <c r="D71" i="34"/>
  <c r="B71" i="34"/>
  <c r="I71" i="37"/>
  <c r="G68" i="35"/>
  <c r="H68" i="35"/>
  <c r="J72" i="34"/>
  <c r="F68" i="35"/>
  <c r="N72" i="27" l="1"/>
  <c r="P72" i="27"/>
  <c r="M72" i="27"/>
  <c r="O72" i="27"/>
  <c r="I73" i="27"/>
  <c r="J73" i="27" s="1"/>
  <c r="AT70" i="35"/>
  <c r="AR70" i="35" s="1"/>
  <c r="H85" i="10"/>
  <c r="D85" i="10"/>
  <c r="E85" i="10"/>
  <c r="L86" i="10"/>
  <c r="F86" i="10"/>
  <c r="I86" i="10"/>
  <c r="A86" i="10" s="1"/>
  <c r="B63" i="36"/>
  <c r="I63" i="36" s="1"/>
  <c r="F63" i="36"/>
  <c r="H63" i="36"/>
  <c r="G63" i="36"/>
  <c r="M64" i="36"/>
  <c r="C71" i="37"/>
  <c r="A71" i="37" s="1"/>
  <c r="D71" i="37" s="1"/>
  <c r="A69" i="35"/>
  <c r="M83" i="39"/>
  <c r="C83" i="39" s="1"/>
  <c r="E69" i="38"/>
  <c r="C72" i="34"/>
  <c r="L72" i="27" l="1"/>
  <c r="F72" i="27" s="1"/>
  <c r="C73" i="27"/>
  <c r="M73" i="27" s="1"/>
  <c r="I73" i="34"/>
  <c r="J73" i="34" s="1"/>
  <c r="C73" i="34" s="1"/>
  <c r="N72" i="34"/>
  <c r="M72" i="34"/>
  <c r="C86" i="10"/>
  <c r="B86" i="10" s="1"/>
  <c r="H86" i="10" s="1"/>
  <c r="K87" i="10"/>
  <c r="E63" i="36"/>
  <c r="H72" i="37"/>
  <c r="I72" i="37" s="1"/>
  <c r="N83" i="39"/>
  <c r="D83" i="39" s="1"/>
  <c r="A83" i="39" s="1"/>
  <c r="L84" i="39"/>
  <c r="O84" i="39"/>
  <c r="K64" i="36"/>
  <c r="D63" i="36"/>
  <c r="AS70" i="35"/>
  <c r="C70" i="35" s="1"/>
  <c r="AU69" i="38"/>
  <c r="D69" i="38" s="1"/>
  <c r="AS70" i="38"/>
  <c r="AV70" i="38"/>
  <c r="B69" i="35"/>
  <c r="A72" i="34"/>
  <c r="E72" i="34"/>
  <c r="J69" i="35"/>
  <c r="J69" i="38" l="1"/>
  <c r="A69" i="38" s="1"/>
  <c r="A73" i="27"/>
  <c r="D73" i="27" s="1"/>
  <c r="I74" i="27"/>
  <c r="J74" i="27" s="1"/>
  <c r="P73" i="27"/>
  <c r="O73" i="27"/>
  <c r="N73" i="27"/>
  <c r="L72" i="34"/>
  <c r="F72" i="34" s="1"/>
  <c r="M73" i="34"/>
  <c r="N73" i="34"/>
  <c r="C72" i="37"/>
  <c r="A72" i="37" s="1"/>
  <c r="D72" i="37" s="1"/>
  <c r="L87" i="10"/>
  <c r="I87" i="10"/>
  <c r="A87" i="10" s="1"/>
  <c r="F87" i="10"/>
  <c r="E86" i="10"/>
  <c r="G86" i="10"/>
  <c r="D86" i="10"/>
  <c r="H69" i="35"/>
  <c r="L64" i="36"/>
  <c r="C64" i="36" s="1"/>
  <c r="A64" i="36" s="1"/>
  <c r="AT70" i="38"/>
  <c r="C70" i="38" s="1"/>
  <c r="I69" i="35"/>
  <c r="E73" i="34"/>
  <c r="A73" i="34"/>
  <c r="D69" i="35"/>
  <c r="E69" i="35"/>
  <c r="F69" i="35"/>
  <c r="B72" i="34"/>
  <c r="D72" i="34"/>
  <c r="AT71" i="35"/>
  <c r="I74" i="34"/>
  <c r="A70" i="35"/>
  <c r="G69" i="35"/>
  <c r="M84" i="39"/>
  <c r="C84" i="39" s="1"/>
  <c r="L73" i="27" l="1"/>
  <c r="F73" i="27" s="1"/>
  <c r="L73" i="34"/>
  <c r="F73" i="34" s="1"/>
  <c r="K88" i="10"/>
  <c r="C87" i="10"/>
  <c r="B87" i="10" s="1"/>
  <c r="H87" i="10" s="1"/>
  <c r="N84" i="39"/>
  <c r="D84" i="39" s="1"/>
  <c r="A84" i="39" s="1"/>
  <c r="L85" i="39"/>
  <c r="O85" i="39"/>
  <c r="E70" i="38"/>
  <c r="B70" i="35"/>
  <c r="H64" i="36"/>
  <c r="G64" i="36"/>
  <c r="F64" i="36"/>
  <c r="B64" i="36"/>
  <c r="I64" i="36" s="1"/>
  <c r="J74" i="34"/>
  <c r="C74" i="34" s="1"/>
  <c r="C74" i="27"/>
  <c r="M65" i="36"/>
  <c r="AR71" i="35"/>
  <c r="D73" i="34"/>
  <c r="B73" i="34"/>
  <c r="J70" i="35"/>
  <c r="M74" i="27" l="1"/>
  <c r="N74" i="27"/>
  <c r="O74" i="27"/>
  <c r="P74" i="27"/>
  <c r="I75" i="27"/>
  <c r="J75" i="27" s="1"/>
  <c r="M74" i="34"/>
  <c r="N74" i="34"/>
  <c r="G87" i="10"/>
  <c r="E87" i="10"/>
  <c r="I88" i="10"/>
  <c r="A88" i="10" s="1"/>
  <c r="L88" i="10"/>
  <c r="F88" i="10"/>
  <c r="D87" i="10"/>
  <c r="D64" i="36"/>
  <c r="K65" i="36"/>
  <c r="A74" i="27"/>
  <c r="D74" i="27" s="1"/>
  <c r="I75" i="34"/>
  <c r="I70" i="35"/>
  <c r="E70" i="35"/>
  <c r="E74" i="34"/>
  <c r="A74" i="34"/>
  <c r="D70" i="35"/>
  <c r="F70" i="35"/>
  <c r="G70" i="35"/>
  <c r="H70" i="35"/>
  <c r="E64" i="36"/>
  <c r="AU70" i="38"/>
  <c r="D70" i="38" s="1"/>
  <c r="AV71" i="38"/>
  <c r="AS71" i="38"/>
  <c r="M85" i="39"/>
  <c r="C85" i="39" s="1"/>
  <c r="N85" i="39" s="1"/>
  <c r="D85" i="39" s="1"/>
  <c r="A85" i="39" s="1"/>
  <c r="AS71" i="35"/>
  <c r="C71" i="35" s="1"/>
  <c r="J70" i="38" l="1"/>
  <c r="A70" i="38" s="1"/>
  <c r="L74" i="27"/>
  <c r="F74" i="27" s="1"/>
  <c r="L74" i="34"/>
  <c r="F74" i="34" s="1"/>
  <c r="AT72" i="35"/>
  <c r="AR72" i="35" s="1"/>
  <c r="K89" i="10"/>
  <c r="C88" i="10"/>
  <c r="B88" i="10" s="1"/>
  <c r="H88" i="10" s="1"/>
  <c r="L86" i="39"/>
  <c r="D74" i="34"/>
  <c r="B74" i="34"/>
  <c r="O86" i="39"/>
  <c r="J75" i="34"/>
  <c r="C75" i="34" s="1"/>
  <c r="AT71" i="38"/>
  <c r="C71" i="38" s="1"/>
  <c r="L65" i="36"/>
  <c r="C65" i="36" s="1"/>
  <c r="A65" i="36" s="1"/>
  <c r="A71" i="35"/>
  <c r="C75" i="27"/>
  <c r="M75" i="27" l="1"/>
  <c r="N75" i="27"/>
  <c r="P75" i="27"/>
  <c r="O75" i="27"/>
  <c r="I76" i="27"/>
  <c r="J76" i="27" s="1"/>
  <c r="N75" i="34"/>
  <c r="M75" i="34"/>
  <c r="E88" i="10"/>
  <c r="D88" i="10"/>
  <c r="G88" i="10"/>
  <c r="L89" i="10"/>
  <c r="I89" i="10"/>
  <c r="A89" i="10" s="1"/>
  <c r="F89" i="10"/>
  <c r="E71" i="38"/>
  <c r="A75" i="34"/>
  <c r="E75" i="34"/>
  <c r="A75" i="27"/>
  <c r="D75" i="27" s="1"/>
  <c r="I76" i="34"/>
  <c r="M86" i="39"/>
  <c r="C86" i="39" s="1"/>
  <c r="M66" i="36"/>
  <c r="AS72" i="35"/>
  <c r="C72" i="35" s="1"/>
  <c r="G65" i="36"/>
  <c r="F65" i="36"/>
  <c r="H65" i="36"/>
  <c r="B65" i="36"/>
  <c r="I65" i="36" s="1"/>
  <c r="B71" i="35"/>
  <c r="J71" i="35"/>
  <c r="AV72" i="38" l="1"/>
  <c r="L75" i="27"/>
  <c r="F75" i="27" s="1"/>
  <c r="L75" i="34"/>
  <c r="F75" i="34" s="1"/>
  <c r="H71" i="35"/>
  <c r="K90" i="10"/>
  <c r="C89" i="10"/>
  <c r="B89" i="10" s="1"/>
  <c r="G89" i="10" s="1"/>
  <c r="AU71" i="38"/>
  <c r="D71" i="38" s="1"/>
  <c r="AS72" i="38"/>
  <c r="AT72" i="38" s="1"/>
  <c r="C72" i="38" s="1"/>
  <c r="F71" i="35"/>
  <c r="E71" i="35"/>
  <c r="N86" i="39"/>
  <c r="D86" i="39" s="1"/>
  <c r="A86" i="39" s="1"/>
  <c r="L87" i="39"/>
  <c r="O87" i="39"/>
  <c r="E65" i="36"/>
  <c r="J76" i="34"/>
  <c r="D65" i="36"/>
  <c r="K66" i="36"/>
  <c r="A72" i="35"/>
  <c r="D71" i="35"/>
  <c r="AT73" i="35"/>
  <c r="I71" i="35"/>
  <c r="G71" i="35"/>
  <c r="B75" i="34"/>
  <c r="D75" i="34"/>
  <c r="J71" i="38" l="1"/>
  <c r="A71" i="38" s="1"/>
  <c r="C76" i="27"/>
  <c r="D89" i="10"/>
  <c r="I90" i="10"/>
  <c r="F90" i="10"/>
  <c r="L90" i="10"/>
  <c r="E89" i="10"/>
  <c r="H89" i="10"/>
  <c r="E72" i="38"/>
  <c r="AR73" i="35"/>
  <c r="B72" i="35"/>
  <c r="C76" i="34"/>
  <c r="L66" i="36"/>
  <c r="C66" i="36" s="1"/>
  <c r="A66" i="36" s="1"/>
  <c r="M87" i="39"/>
  <c r="C87" i="39" s="1"/>
  <c r="J72" i="35"/>
  <c r="M76" i="27" l="1"/>
  <c r="N76" i="27"/>
  <c r="O76" i="27"/>
  <c r="P76" i="27"/>
  <c r="I77" i="27"/>
  <c r="J77" i="27" s="1"/>
  <c r="N76" i="34"/>
  <c r="M76" i="34"/>
  <c r="A90" i="10"/>
  <c r="E72" i="35"/>
  <c r="A76" i="27"/>
  <c r="D76" i="27" s="1"/>
  <c r="C90" i="10"/>
  <c r="B90" i="10" s="1"/>
  <c r="K91" i="10"/>
  <c r="G72" i="35"/>
  <c r="F72" i="35"/>
  <c r="I72" i="35"/>
  <c r="H72" i="35"/>
  <c r="D72" i="35"/>
  <c r="N87" i="39"/>
  <c r="D87" i="39" s="1"/>
  <c r="A87" i="39" s="1"/>
  <c r="O88" i="39"/>
  <c r="L88" i="39"/>
  <c r="AS73" i="35"/>
  <c r="C73" i="35" s="1"/>
  <c r="M67" i="36"/>
  <c r="G66" i="36"/>
  <c r="F66" i="36"/>
  <c r="B66" i="36"/>
  <c r="I66" i="36" s="1"/>
  <c r="H66" i="36"/>
  <c r="A76" i="34"/>
  <c r="E76" i="34"/>
  <c r="AU72" i="38"/>
  <c r="D72" i="38" s="1"/>
  <c r="AS73" i="38"/>
  <c r="AV73" i="38"/>
  <c r="I77" i="34"/>
  <c r="J72" i="38" l="1"/>
  <c r="A72" i="38" s="1"/>
  <c r="L76" i="27"/>
  <c r="F76" i="27" s="1"/>
  <c r="L76" i="34"/>
  <c r="F76" i="34" s="1"/>
  <c r="C77" i="27"/>
  <c r="H90" i="10"/>
  <c r="E90" i="10"/>
  <c r="G90" i="10"/>
  <c r="D90" i="10"/>
  <c r="F91" i="10"/>
  <c r="I91" i="10"/>
  <c r="A91" i="10" s="1"/>
  <c r="L91" i="10"/>
  <c r="E66" i="36"/>
  <c r="J77" i="34"/>
  <c r="D66" i="36"/>
  <c r="K67" i="36"/>
  <c r="AT73" i="38"/>
  <c r="C73" i="38" s="1"/>
  <c r="A73" i="35"/>
  <c r="AT74" i="35"/>
  <c r="M88" i="39"/>
  <c r="C88" i="39" s="1"/>
  <c r="B76" i="34"/>
  <c r="D76" i="34"/>
  <c r="M77" i="27" l="1"/>
  <c r="N77" i="27"/>
  <c r="O77" i="27"/>
  <c r="P77" i="27"/>
  <c r="I78" i="27"/>
  <c r="J78" i="27" s="1"/>
  <c r="D77" i="27"/>
  <c r="C77" i="34"/>
  <c r="C91" i="10"/>
  <c r="B91" i="10" s="1"/>
  <c r="G91" i="10" s="1"/>
  <c r="K92" i="10"/>
  <c r="N88" i="39"/>
  <c r="D88" i="39" s="1"/>
  <c r="A88" i="39" s="1"/>
  <c r="L89" i="39"/>
  <c r="O89" i="39"/>
  <c r="E73" i="38"/>
  <c r="L67" i="36"/>
  <c r="C67" i="36" s="1"/>
  <c r="A67" i="36" s="1"/>
  <c r="AR74" i="35"/>
  <c r="B73" i="35"/>
  <c r="J73" i="35"/>
  <c r="L77" i="27" l="1"/>
  <c r="F77" i="27" s="1"/>
  <c r="I78" i="34"/>
  <c r="J78" i="34" s="1"/>
  <c r="M77" i="34"/>
  <c r="N77" i="34"/>
  <c r="C78" i="27"/>
  <c r="F73" i="35"/>
  <c r="E77" i="34"/>
  <c r="A77" i="34"/>
  <c r="B77" i="34" s="1"/>
  <c r="H91" i="10"/>
  <c r="D91" i="10"/>
  <c r="E91" i="10"/>
  <c r="I92" i="10"/>
  <c r="A92" i="10" s="1"/>
  <c r="F92" i="10"/>
  <c r="L92" i="10"/>
  <c r="M68" i="36"/>
  <c r="B67" i="36"/>
  <c r="I67" i="36" s="1"/>
  <c r="G67" i="36"/>
  <c r="H67" i="36"/>
  <c r="F67" i="36"/>
  <c r="AU73" i="38"/>
  <c r="D73" i="38" s="1"/>
  <c r="AS74" i="38"/>
  <c r="AV74" i="38"/>
  <c r="I73" i="35"/>
  <c r="E73" i="35"/>
  <c r="AS74" i="35"/>
  <c r="C74" i="35" s="1"/>
  <c r="G73" i="35"/>
  <c r="M89" i="39"/>
  <c r="C89" i="39" s="1"/>
  <c r="H73" i="35"/>
  <c r="D73" i="35"/>
  <c r="J73" i="38" l="1"/>
  <c r="A73" i="38" s="1"/>
  <c r="N78" i="27"/>
  <c r="P78" i="27"/>
  <c r="M78" i="27"/>
  <c r="O78" i="27"/>
  <c r="L77" i="34"/>
  <c r="F77" i="34" s="1"/>
  <c r="D78" i="27"/>
  <c r="I79" i="27"/>
  <c r="AT75" i="35"/>
  <c r="AR75" i="35" s="1"/>
  <c r="D77" i="34"/>
  <c r="C78" i="34"/>
  <c r="C92" i="10"/>
  <c r="B92" i="10" s="1"/>
  <c r="E92" i="10" s="1"/>
  <c r="K93" i="10"/>
  <c r="E67" i="36"/>
  <c r="D67" i="36"/>
  <c r="N89" i="39"/>
  <c r="D89" i="39" s="1"/>
  <c r="A89" i="39" s="1"/>
  <c r="L90" i="39"/>
  <c r="O90" i="39"/>
  <c r="AT74" i="38"/>
  <c r="E74" i="38" s="1"/>
  <c r="A74" i="35"/>
  <c r="K68" i="36"/>
  <c r="L78" i="27" l="1"/>
  <c r="F78" i="27" s="1"/>
  <c r="I79" i="34"/>
  <c r="J79" i="34" s="1"/>
  <c r="M78" i="34"/>
  <c r="N78" i="34"/>
  <c r="J79" i="27"/>
  <c r="C79" i="27" s="1"/>
  <c r="E78" i="34"/>
  <c r="D78" i="34"/>
  <c r="D92" i="10"/>
  <c r="G92" i="10"/>
  <c r="H92" i="10"/>
  <c r="I93" i="10"/>
  <c r="A93" i="10" s="1"/>
  <c r="L93" i="10"/>
  <c r="F93" i="10"/>
  <c r="AU74" i="38"/>
  <c r="D74" i="38" s="1"/>
  <c r="AV75" i="38"/>
  <c r="AS75" i="38"/>
  <c r="L68" i="36"/>
  <c r="C68" i="36" s="1"/>
  <c r="A68" i="36" s="1"/>
  <c r="B74" i="35"/>
  <c r="C74" i="38"/>
  <c r="AS75" i="35"/>
  <c r="C75" i="35" s="1"/>
  <c r="M90" i="39"/>
  <c r="C90" i="39" s="1"/>
  <c r="J74" i="35"/>
  <c r="J74" i="38" l="1"/>
  <c r="A74" i="38" s="1"/>
  <c r="M79" i="27"/>
  <c r="N79" i="27"/>
  <c r="O79" i="27"/>
  <c r="P79" i="27"/>
  <c r="L78" i="34"/>
  <c r="F78" i="34" s="1"/>
  <c r="D79" i="27"/>
  <c r="C79" i="34"/>
  <c r="G74" i="35"/>
  <c r="C93" i="10"/>
  <c r="B93" i="10" s="1"/>
  <c r="K94" i="10"/>
  <c r="G93" i="10"/>
  <c r="H93" i="10"/>
  <c r="D93" i="10"/>
  <c r="E93" i="10"/>
  <c r="N90" i="39"/>
  <c r="D90" i="39" s="1"/>
  <c r="A90" i="39" s="1"/>
  <c r="L91" i="39"/>
  <c r="O91" i="39"/>
  <c r="I74" i="35"/>
  <c r="H74" i="35"/>
  <c r="F68" i="36"/>
  <c r="B68" i="36"/>
  <c r="I68" i="36" s="1"/>
  <c r="H68" i="36"/>
  <c r="G68" i="36"/>
  <c r="M69" i="36"/>
  <c r="AT75" i="38"/>
  <c r="C75" i="38" s="1"/>
  <c r="D74" i="35"/>
  <c r="A75" i="35"/>
  <c r="AT76" i="35"/>
  <c r="E74" i="35"/>
  <c r="F74" i="35"/>
  <c r="L79" i="27" l="1"/>
  <c r="F79" i="27" s="1"/>
  <c r="I80" i="34"/>
  <c r="J80" i="34" s="1"/>
  <c r="C80" i="34" s="1"/>
  <c r="M79" i="34"/>
  <c r="N79" i="34"/>
  <c r="E79" i="34"/>
  <c r="D79" i="34"/>
  <c r="F94" i="10"/>
  <c r="I94" i="10"/>
  <c r="L94" i="10"/>
  <c r="B75" i="35"/>
  <c r="E68" i="36"/>
  <c r="AR76" i="35"/>
  <c r="D68" i="36"/>
  <c r="K69" i="36"/>
  <c r="E75" i="38"/>
  <c r="M91" i="39"/>
  <c r="C91" i="39" s="1"/>
  <c r="J75" i="35"/>
  <c r="N80" i="34" l="1"/>
  <c r="M80" i="34"/>
  <c r="L79" i="34"/>
  <c r="F79" i="34" s="1"/>
  <c r="E80" i="34"/>
  <c r="D80" i="34"/>
  <c r="I75" i="35"/>
  <c r="K95" i="10"/>
  <c r="C94" i="10"/>
  <c r="B94" i="10" s="1"/>
  <c r="A94" i="10"/>
  <c r="E75" i="35"/>
  <c r="F75" i="35"/>
  <c r="D75" i="35"/>
  <c r="H75" i="35"/>
  <c r="N91" i="39"/>
  <c r="D91" i="39" s="1"/>
  <c r="A91" i="39" s="1"/>
  <c r="L92" i="39"/>
  <c r="O92" i="39"/>
  <c r="AS76" i="35"/>
  <c r="C76" i="35" s="1"/>
  <c r="L69" i="36"/>
  <c r="C69" i="36" s="1"/>
  <c r="A69" i="36" s="1"/>
  <c r="G75" i="35"/>
  <c r="AU75" i="38"/>
  <c r="D75" i="38" s="1"/>
  <c r="AS76" i="38"/>
  <c r="AV76" i="38"/>
  <c r="J75" i="38" l="1"/>
  <c r="A75" i="38" s="1"/>
  <c r="L80" i="34"/>
  <c r="F80" i="34" s="1"/>
  <c r="G94" i="10"/>
  <c r="E94" i="10"/>
  <c r="H94" i="10"/>
  <c r="D94" i="10"/>
  <c r="I95" i="10"/>
  <c r="A95" i="10" s="1"/>
  <c r="L95" i="10"/>
  <c r="F95" i="10"/>
  <c r="M70" i="36"/>
  <c r="B69" i="36"/>
  <c r="I69" i="36" s="1"/>
  <c r="G69" i="36"/>
  <c r="H69" i="36"/>
  <c r="F69" i="36"/>
  <c r="A76" i="35"/>
  <c r="AT77" i="35"/>
  <c r="M92" i="39"/>
  <c r="C92" i="39" s="1"/>
  <c r="AT76" i="38"/>
  <c r="C76" i="38" s="1"/>
  <c r="C95" i="10" l="1"/>
  <c r="B95" i="10" s="1"/>
  <c r="E95" i="10" s="1"/>
  <c r="K96" i="10"/>
  <c r="E69" i="36"/>
  <c r="N92" i="39"/>
  <c r="D92" i="39" s="1"/>
  <c r="A92" i="39" s="1"/>
  <c r="O93" i="39"/>
  <c r="L93" i="39"/>
  <c r="B76" i="35"/>
  <c r="D69" i="36"/>
  <c r="E76" i="38"/>
  <c r="K70" i="36"/>
  <c r="AR77" i="35"/>
  <c r="J76" i="35"/>
  <c r="E76" i="35" l="1"/>
  <c r="G95" i="10"/>
  <c r="H95" i="10"/>
  <c r="D95" i="10"/>
  <c r="L96" i="10"/>
  <c r="F96" i="10"/>
  <c r="I96" i="10"/>
  <c r="A96" i="10" s="1"/>
  <c r="I76" i="35"/>
  <c r="H76" i="35"/>
  <c r="F76" i="35"/>
  <c r="D76" i="35"/>
  <c r="AS77" i="35"/>
  <c r="C77" i="35" s="1"/>
  <c r="G76" i="35"/>
  <c r="AU76" i="38"/>
  <c r="D76" i="38" s="1"/>
  <c r="AV77" i="38"/>
  <c r="AS77" i="38"/>
  <c r="M93" i="39"/>
  <c r="C93" i="39" s="1"/>
  <c r="L70" i="36"/>
  <c r="C70" i="36" s="1"/>
  <c r="A70" i="36" s="1"/>
  <c r="J76" i="38" l="1"/>
  <c r="A76" i="38" s="1"/>
  <c r="AT78" i="35"/>
  <c r="AR78" i="35" s="1"/>
  <c r="C96" i="10"/>
  <c r="B96" i="10" s="1"/>
  <c r="H96" i="10" s="1"/>
  <c r="K97" i="10"/>
  <c r="N93" i="39"/>
  <c r="D93" i="39" s="1"/>
  <c r="A93" i="39" s="1"/>
  <c r="O94" i="39"/>
  <c r="L94" i="39"/>
  <c r="M71" i="36"/>
  <c r="G70" i="36"/>
  <c r="F70" i="36"/>
  <c r="B70" i="36"/>
  <c r="I70" i="36" s="1"/>
  <c r="H70" i="36"/>
  <c r="AT77" i="38"/>
  <c r="C77" i="38" s="1"/>
  <c r="A77" i="35"/>
  <c r="F97" i="10" l="1"/>
  <c r="I97" i="10"/>
  <c r="L97" i="10"/>
  <c r="E96" i="10"/>
  <c r="G96" i="10"/>
  <c r="D96" i="10"/>
  <c r="B77" i="35"/>
  <c r="K71" i="36"/>
  <c r="D70" i="36"/>
  <c r="AS78" i="35"/>
  <c r="C78" i="35" s="1"/>
  <c r="E77" i="38"/>
  <c r="M94" i="39"/>
  <c r="C94" i="39" s="1"/>
  <c r="E70" i="36"/>
  <c r="J77" i="35"/>
  <c r="D77" i="35" l="1"/>
  <c r="A97" i="10"/>
  <c r="C97" i="10"/>
  <c r="B97" i="10" s="1"/>
  <c r="K98" i="10"/>
  <c r="E77" i="35"/>
  <c r="I77" i="35"/>
  <c r="AT79" i="35"/>
  <c r="AR79" i="35" s="1"/>
  <c r="G77" i="35"/>
  <c r="N94" i="39"/>
  <c r="D94" i="39" s="1"/>
  <c r="A94" i="39" s="1"/>
  <c r="L95" i="39"/>
  <c r="O95" i="39"/>
  <c r="L71" i="36"/>
  <c r="C71" i="36" s="1"/>
  <c r="A71" i="36" s="1"/>
  <c r="AU77" i="38"/>
  <c r="D77" i="38" s="1"/>
  <c r="AS78" i="38"/>
  <c r="AV78" i="38"/>
  <c r="F77" i="35"/>
  <c r="A78" i="35"/>
  <c r="H77" i="35"/>
  <c r="J77" i="38" l="1"/>
  <c r="A77" i="38" s="1"/>
  <c r="E97" i="10"/>
  <c r="G97" i="10"/>
  <c r="H97" i="10"/>
  <c r="D97" i="10"/>
  <c r="L98" i="10"/>
  <c r="F98" i="10"/>
  <c r="I98" i="10"/>
  <c r="A98" i="10" s="1"/>
  <c r="AT78" i="38"/>
  <c r="E78" i="38" s="1"/>
  <c r="AS79" i="35"/>
  <c r="C79" i="35" s="1"/>
  <c r="M72" i="36"/>
  <c r="F71" i="36"/>
  <c r="G71" i="36"/>
  <c r="B71" i="36"/>
  <c r="I71" i="36" s="1"/>
  <c r="H71" i="36"/>
  <c r="B78" i="35"/>
  <c r="M95" i="39"/>
  <c r="C95" i="39" s="1"/>
  <c r="J78" i="35"/>
  <c r="G78" i="35" l="1"/>
  <c r="D98" i="10"/>
  <c r="E98" i="10"/>
  <c r="H98" i="10"/>
  <c r="G98" i="10"/>
  <c r="K99" i="10"/>
  <c r="C98" i="10"/>
  <c r="B98" i="10" s="1"/>
  <c r="N95" i="39"/>
  <c r="D95" i="39" s="1"/>
  <c r="A95" i="39" s="1"/>
  <c r="O96" i="39"/>
  <c r="L96" i="39"/>
  <c r="AU78" i="38"/>
  <c r="D78" i="38" s="1"/>
  <c r="AS79" i="38"/>
  <c r="AV79" i="38"/>
  <c r="D78" i="35"/>
  <c r="C78" i="38"/>
  <c r="H78" i="35"/>
  <c r="I78" i="35"/>
  <c r="A79" i="35"/>
  <c r="AT80" i="35"/>
  <c r="E78" i="35"/>
  <c r="F78" i="35"/>
  <c r="D71" i="36"/>
  <c r="K72" i="36"/>
  <c r="E71" i="36"/>
  <c r="J78" i="38" l="1"/>
  <c r="A78" i="38" s="1"/>
  <c r="L99" i="10"/>
  <c r="I99" i="10"/>
  <c r="F99" i="10"/>
  <c r="B79" i="35"/>
  <c r="AT79" i="38"/>
  <c r="E79" i="38" s="1"/>
  <c r="L72" i="36"/>
  <c r="C72" i="36" s="1"/>
  <c r="A72" i="36" s="1"/>
  <c r="M96" i="39"/>
  <c r="C96" i="39" s="1"/>
  <c r="AR80" i="35"/>
  <c r="J79" i="35"/>
  <c r="A99" i="10" l="1"/>
  <c r="D79" i="35"/>
  <c r="C99" i="10"/>
  <c r="B99" i="10" s="1"/>
  <c r="K100" i="10"/>
  <c r="N96" i="39"/>
  <c r="D96" i="39" s="1"/>
  <c r="A96" i="39" s="1"/>
  <c r="L97" i="39"/>
  <c r="O97" i="39"/>
  <c r="AU79" i="38"/>
  <c r="D79" i="38" s="1"/>
  <c r="AV80" i="38"/>
  <c r="AS80" i="38"/>
  <c r="C79" i="38"/>
  <c r="AS80" i="35"/>
  <c r="C80" i="35" s="1"/>
  <c r="E79" i="35"/>
  <c r="M73" i="36"/>
  <c r="F72" i="36"/>
  <c r="H72" i="36"/>
  <c r="G72" i="36"/>
  <c r="B72" i="36"/>
  <c r="I72" i="36" s="1"/>
  <c r="G79" i="35"/>
  <c r="I79" i="35"/>
  <c r="F79" i="35"/>
  <c r="H79" i="35"/>
  <c r="J79" i="38" l="1"/>
  <c r="A79" i="38" s="1"/>
  <c r="D99" i="10"/>
  <c r="AT81" i="35"/>
  <c r="AR81" i="35" s="1"/>
  <c r="L100" i="10"/>
  <c r="F100" i="10"/>
  <c r="I100" i="10"/>
  <c r="A100" i="10" s="1"/>
  <c r="G99" i="10"/>
  <c r="H99" i="10"/>
  <c r="E99" i="10"/>
  <c r="D72" i="36"/>
  <c r="K73" i="36"/>
  <c r="A80" i="35"/>
  <c r="AT80" i="38"/>
  <c r="E80" i="38" s="1"/>
  <c r="E72" i="36"/>
  <c r="M97" i="39"/>
  <c r="C97" i="39" s="1"/>
  <c r="K101" i="10" l="1"/>
  <c r="C100" i="10"/>
  <c r="B100" i="10" s="1"/>
  <c r="H100" i="10" s="1"/>
  <c r="N97" i="39"/>
  <c r="D97" i="39" s="1"/>
  <c r="A97" i="39" s="1"/>
  <c r="L98" i="39"/>
  <c r="O98" i="39"/>
  <c r="AU80" i="38"/>
  <c r="D80" i="38" s="1"/>
  <c r="AS81" i="38"/>
  <c r="AV81" i="38"/>
  <c r="C80" i="38"/>
  <c r="L73" i="36"/>
  <c r="C73" i="36" s="1"/>
  <c r="A73" i="36" s="1"/>
  <c r="B80" i="35"/>
  <c r="AS81" i="35"/>
  <c r="C81" i="35" s="1"/>
  <c r="J80" i="35"/>
  <c r="J80" i="38" l="1"/>
  <c r="A80" i="38" s="1"/>
  <c r="G80" i="35"/>
  <c r="F101" i="10"/>
  <c r="L101" i="10"/>
  <c r="I101" i="10"/>
  <c r="A101" i="10" s="1"/>
  <c r="D100" i="10"/>
  <c r="G100" i="10"/>
  <c r="E100" i="10"/>
  <c r="G73" i="36"/>
  <c r="F73" i="36"/>
  <c r="H73" i="36"/>
  <c r="B73" i="36"/>
  <c r="I73" i="36" s="1"/>
  <c r="AT81" i="38"/>
  <c r="E81" i="38" s="1"/>
  <c r="A81" i="35"/>
  <c r="AT82" i="35"/>
  <c r="E80" i="35"/>
  <c r="D80" i="35"/>
  <c r="F80" i="35"/>
  <c r="M74" i="36"/>
  <c r="M98" i="39"/>
  <c r="C98" i="39" s="1"/>
  <c r="H80" i="35"/>
  <c r="I80" i="35"/>
  <c r="K102" i="10" l="1"/>
  <c r="C101" i="10"/>
  <c r="B101" i="10" s="1"/>
  <c r="H101" i="10" s="1"/>
  <c r="AU81" i="38"/>
  <c r="D81" i="38" s="1"/>
  <c r="AS82" i="38"/>
  <c r="AV82" i="38"/>
  <c r="N98" i="39"/>
  <c r="D98" i="39" s="1"/>
  <c r="A98" i="39" s="1"/>
  <c r="O99" i="39"/>
  <c r="L99" i="39"/>
  <c r="K74" i="36"/>
  <c r="C81" i="38"/>
  <c r="E73" i="36"/>
  <c r="AR82" i="35"/>
  <c r="D73" i="36"/>
  <c r="B81" i="35"/>
  <c r="J81" i="35"/>
  <c r="J81" i="38" l="1"/>
  <c r="A81" i="38" s="1"/>
  <c r="D81" i="35"/>
  <c r="G101" i="10"/>
  <c r="I102" i="10"/>
  <c r="F102" i="10"/>
  <c r="L102" i="10"/>
  <c r="D101" i="10"/>
  <c r="E101" i="10"/>
  <c r="H81" i="35"/>
  <c r="F81" i="35"/>
  <c r="M99" i="39"/>
  <c r="C99" i="39" s="1"/>
  <c r="AT82" i="38"/>
  <c r="C82" i="38" s="1"/>
  <c r="L74" i="36"/>
  <c r="C74" i="36" s="1"/>
  <c r="A74" i="36" s="1"/>
  <c r="AS82" i="35"/>
  <c r="C82" i="35" s="1"/>
  <c r="I81" i="35"/>
  <c r="E81" i="35"/>
  <c r="G81" i="35"/>
  <c r="A102" i="10" l="1"/>
  <c r="C102" i="10"/>
  <c r="B102" i="10" s="1"/>
  <c r="K103" i="10"/>
  <c r="N99" i="39"/>
  <c r="D99" i="39" s="1"/>
  <c r="A99" i="39" s="1"/>
  <c r="L100" i="39"/>
  <c r="O100" i="39"/>
  <c r="E82" i="38"/>
  <c r="AT83" i="35"/>
  <c r="A82" i="35"/>
  <c r="M75" i="36"/>
  <c r="H74" i="36"/>
  <c r="F74" i="36"/>
  <c r="B74" i="36"/>
  <c r="I74" i="36" s="1"/>
  <c r="G74" i="36"/>
  <c r="G102" i="10" l="1"/>
  <c r="D102" i="10"/>
  <c r="E102" i="10"/>
  <c r="H102" i="10"/>
  <c r="F103" i="10"/>
  <c r="L103" i="10"/>
  <c r="I103" i="10"/>
  <c r="A103" i="10" s="1"/>
  <c r="E74" i="36"/>
  <c r="B82" i="35"/>
  <c r="K75" i="36"/>
  <c r="AR83" i="35"/>
  <c r="AU82" i="38"/>
  <c r="D82" i="38" s="1"/>
  <c r="AS83" i="38"/>
  <c r="AV83" i="38"/>
  <c r="M100" i="39"/>
  <c r="C100" i="39" s="1"/>
  <c r="D74" i="36"/>
  <c r="J82" i="35"/>
  <c r="J82" i="38" l="1"/>
  <c r="A82" i="38" s="1"/>
  <c r="C103" i="10"/>
  <c r="B103" i="10" s="1"/>
  <c r="E103" i="10" s="1"/>
  <c r="K104" i="10"/>
  <c r="N100" i="39"/>
  <c r="D100" i="39" s="1"/>
  <c r="A100" i="39" s="1"/>
  <c r="O101" i="39"/>
  <c r="L101" i="39"/>
  <c r="L75" i="36"/>
  <c r="C75" i="36" s="1"/>
  <c r="A75" i="36" s="1"/>
  <c r="E82" i="35"/>
  <c r="H82" i="35"/>
  <c r="F82" i="35"/>
  <c r="D82" i="35"/>
  <c r="G82" i="35"/>
  <c r="AT83" i="38"/>
  <c r="C83" i="38" s="1"/>
  <c r="AS83" i="35"/>
  <c r="C83" i="35" s="1"/>
  <c r="I82" i="35"/>
  <c r="AT84" i="35" l="1"/>
  <c r="AR84" i="35" s="1"/>
  <c r="D103" i="10"/>
  <c r="G103" i="10"/>
  <c r="H103" i="10"/>
  <c r="I104" i="10"/>
  <c r="A104" i="10" s="1"/>
  <c r="F104" i="10"/>
  <c r="L104" i="10"/>
  <c r="A83" i="35"/>
  <c r="M76" i="36"/>
  <c r="G75" i="36"/>
  <c r="F75" i="36"/>
  <c r="B75" i="36"/>
  <c r="I75" i="36" s="1"/>
  <c r="H75" i="36"/>
  <c r="M101" i="39"/>
  <c r="C101" i="39" s="1"/>
  <c r="E83" i="38"/>
  <c r="K105" i="10" l="1"/>
  <c r="C104" i="10"/>
  <c r="B104" i="10" s="1"/>
  <c r="E104" i="10" s="1"/>
  <c r="N101" i="39"/>
  <c r="D101" i="39" s="1"/>
  <c r="A101" i="39" s="1"/>
  <c r="O102" i="39"/>
  <c r="L102" i="39"/>
  <c r="D75" i="36"/>
  <c r="B83" i="35"/>
  <c r="K76" i="36"/>
  <c r="AS84" i="35"/>
  <c r="C84" i="35" s="1"/>
  <c r="AU83" i="38"/>
  <c r="D83" i="38" s="1"/>
  <c r="AV84" i="38"/>
  <c r="AS84" i="38"/>
  <c r="E75" i="36"/>
  <c r="J83" i="35"/>
  <c r="J83" i="38" l="1"/>
  <c r="A83" i="38" s="1"/>
  <c r="D83" i="35"/>
  <c r="D104" i="10"/>
  <c r="G104" i="10"/>
  <c r="H104" i="10"/>
  <c r="L105" i="10"/>
  <c r="I105" i="10"/>
  <c r="F105" i="10"/>
  <c r="H83" i="35"/>
  <c r="I83" i="35"/>
  <c r="AT84" i="38"/>
  <c r="C84" i="38" s="1"/>
  <c r="G83" i="35"/>
  <c r="E83" i="35"/>
  <c r="AT85" i="35"/>
  <c r="M102" i="39"/>
  <c r="C102" i="39" s="1"/>
  <c r="F83" i="35"/>
  <c r="L76" i="36"/>
  <c r="C76" i="36" s="1"/>
  <c r="A76" i="36" s="1"/>
  <c r="A84" i="35"/>
  <c r="A105" i="10" l="1"/>
  <c r="C105" i="10"/>
  <c r="B105" i="10" s="1"/>
  <c r="K106" i="10"/>
  <c r="N102" i="39"/>
  <c r="D102" i="39" s="1"/>
  <c r="A102" i="39" s="1"/>
  <c r="L103" i="39"/>
  <c r="O103" i="39"/>
  <c r="M77" i="36"/>
  <c r="B84" i="35"/>
  <c r="E84" i="38"/>
  <c r="F76" i="36"/>
  <c r="G76" i="36"/>
  <c r="B76" i="36"/>
  <c r="I76" i="36" s="1"/>
  <c r="H76" i="36"/>
  <c r="AR85" i="35"/>
  <c r="J84" i="35"/>
  <c r="H84" i="35" l="1"/>
  <c r="D105" i="10"/>
  <c r="F106" i="10"/>
  <c r="I106" i="10"/>
  <c r="A106" i="10" s="1"/>
  <c r="L106" i="10"/>
  <c r="E105" i="10"/>
  <c r="G105" i="10"/>
  <c r="H105" i="10"/>
  <c r="I84" i="35"/>
  <c r="F84" i="35"/>
  <c r="AU84" i="38"/>
  <c r="D84" i="38" s="1"/>
  <c r="AS85" i="38"/>
  <c r="AV85" i="38"/>
  <c r="E84" i="35"/>
  <c r="G84" i="35"/>
  <c r="AS85" i="35"/>
  <c r="C85" i="35" s="1"/>
  <c r="D76" i="36"/>
  <c r="D84" i="35"/>
  <c r="K77" i="36"/>
  <c r="E76" i="36"/>
  <c r="M103" i="39"/>
  <c r="C103" i="39" s="1"/>
  <c r="J84" i="38" l="1"/>
  <c r="A84" i="38" s="1"/>
  <c r="C106" i="10"/>
  <c r="B106" i="10" s="1"/>
  <c r="G106" i="10" s="1"/>
  <c r="K107" i="10"/>
  <c r="N103" i="39"/>
  <c r="D103" i="39" s="1"/>
  <c r="A103" i="39" s="1"/>
  <c r="L104" i="39"/>
  <c r="O104" i="39"/>
  <c r="A85" i="35"/>
  <c r="AT86" i="35"/>
  <c r="AT85" i="38"/>
  <c r="C85" i="38" s="1"/>
  <c r="L77" i="36"/>
  <c r="C77" i="36" s="1"/>
  <c r="A77" i="36" s="1"/>
  <c r="D106" i="10" l="1"/>
  <c r="H106" i="10"/>
  <c r="E106" i="10"/>
  <c r="I107" i="10"/>
  <c r="A107" i="10" s="1"/>
  <c r="L107" i="10"/>
  <c r="F107" i="10"/>
  <c r="E85" i="38"/>
  <c r="AR86" i="35"/>
  <c r="B85" i="35"/>
  <c r="M104" i="39"/>
  <c r="C104" i="39" s="1"/>
  <c r="B77" i="36"/>
  <c r="I77" i="36" s="1"/>
  <c r="H77" i="36"/>
  <c r="G77" i="36"/>
  <c r="F77" i="36"/>
  <c r="M78" i="36"/>
  <c r="J85" i="35"/>
  <c r="F85" i="35" l="1"/>
  <c r="C107" i="10"/>
  <c r="B107" i="10" s="1"/>
  <c r="H107" i="10" s="1"/>
  <c r="K108" i="10"/>
  <c r="E77" i="36"/>
  <c r="N104" i="39"/>
  <c r="D104" i="39" s="1"/>
  <c r="A104" i="39" s="1"/>
  <c r="L105" i="39"/>
  <c r="O105" i="39"/>
  <c r="G85" i="35"/>
  <c r="K78" i="36"/>
  <c r="AS86" i="35"/>
  <c r="C86" i="35" s="1"/>
  <c r="D85" i="35"/>
  <c r="I85" i="35"/>
  <c r="D77" i="36"/>
  <c r="E85" i="35"/>
  <c r="H85" i="35"/>
  <c r="AU85" i="38"/>
  <c r="D85" i="38" s="1"/>
  <c r="AV86" i="38"/>
  <c r="AS86" i="38"/>
  <c r="J85" i="38" l="1"/>
  <c r="A85" i="38" s="1"/>
  <c r="I108" i="10"/>
  <c r="A108" i="10" s="1"/>
  <c r="F108" i="10"/>
  <c r="L108" i="10"/>
  <c r="E107" i="10"/>
  <c r="G107" i="10"/>
  <c r="D107" i="10"/>
  <c r="A86" i="35"/>
  <c r="AT87" i="35"/>
  <c r="L78" i="36"/>
  <c r="C78" i="36" s="1"/>
  <c r="A78" i="36" s="1"/>
  <c r="AT86" i="38"/>
  <c r="E86" i="38" s="1"/>
  <c r="M105" i="39"/>
  <c r="C105" i="39" s="1"/>
  <c r="C108" i="10" l="1"/>
  <c r="B108" i="10" s="1"/>
  <c r="K109" i="10"/>
  <c r="H108" i="10"/>
  <c r="G108" i="10"/>
  <c r="D108" i="10"/>
  <c r="E108" i="10"/>
  <c r="N105" i="39"/>
  <c r="D105" i="39" s="1"/>
  <c r="A105" i="39" s="1"/>
  <c r="L106" i="39"/>
  <c r="O106" i="39"/>
  <c r="AU86" i="38"/>
  <c r="D86" i="38" s="1"/>
  <c r="AS87" i="38"/>
  <c r="AV87" i="38"/>
  <c r="C86" i="38"/>
  <c r="B78" i="36"/>
  <c r="I78" i="36" s="1"/>
  <c r="H78" i="36"/>
  <c r="G78" i="36"/>
  <c r="F78" i="36"/>
  <c r="AR87" i="35"/>
  <c r="M79" i="36"/>
  <c r="B86" i="35"/>
  <c r="J86" i="35"/>
  <c r="J86" i="38" l="1"/>
  <c r="A86" i="38" s="1"/>
  <c r="D86" i="35"/>
  <c r="I109" i="10"/>
  <c r="F109" i="10"/>
  <c r="L109" i="10"/>
  <c r="D78" i="36"/>
  <c r="E78" i="36"/>
  <c r="H86" i="35"/>
  <c r="G86" i="35"/>
  <c r="AT87" i="38"/>
  <c r="E87" i="38" s="1"/>
  <c r="K79" i="36"/>
  <c r="AS87" i="35"/>
  <c r="C87" i="35" s="1"/>
  <c r="I86" i="35"/>
  <c r="E86" i="35"/>
  <c r="M106" i="39"/>
  <c r="C106" i="39" s="1"/>
  <c r="F86" i="35"/>
  <c r="A109" i="10" l="1"/>
  <c r="K110" i="10"/>
  <c r="C109" i="10"/>
  <c r="B109" i="10" s="1"/>
  <c r="N106" i="39"/>
  <c r="D106" i="39" s="1"/>
  <c r="A106" i="39" s="1"/>
  <c r="L107" i="39"/>
  <c r="O107" i="39"/>
  <c r="AU87" i="38"/>
  <c r="D87" i="38" s="1"/>
  <c r="AS88" i="38"/>
  <c r="AV88" i="38"/>
  <c r="A87" i="35"/>
  <c r="L79" i="36"/>
  <c r="C79" i="36" s="1"/>
  <c r="A79" i="36" s="1"/>
  <c r="C87" i="38"/>
  <c r="AT88" i="35"/>
  <c r="G109" i="10" l="1"/>
  <c r="J87" i="38"/>
  <c r="A87" i="38" s="1"/>
  <c r="H109" i="10"/>
  <c r="E109" i="10"/>
  <c r="D109" i="10"/>
  <c r="I110" i="10"/>
  <c r="A110" i="10" s="1"/>
  <c r="F110" i="10"/>
  <c r="L110" i="10"/>
  <c r="B87" i="35"/>
  <c r="AT88" i="38"/>
  <c r="C88" i="38" s="1"/>
  <c r="F79" i="36"/>
  <c r="G79" i="36"/>
  <c r="H79" i="36"/>
  <c r="B79" i="36"/>
  <c r="I79" i="36" s="1"/>
  <c r="M80" i="36"/>
  <c r="M107" i="39"/>
  <c r="C107" i="39" s="1"/>
  <c r="AR88" i="35"/>
  <c r="J87" i="35"/>
  <c r="D87" i="35" l="1"/>
  <c r="K111" i="10"/>
  <c r="C110" i="10"/>
  <c r="B110" i="10" s="1"/>
  <c r="G110" i="10" s="1"/>
  <c r="F87" i="35"/>
  <c r="N107" i="39"/>
  <c r="D107" i="39" s="1"/>
  <c r="A107" i="39" s="1"/>
  <c r="O108" i="39"/>
  <c r="L108" i="39"/>
  <c r="K80" i="36"/>
  <c r="E88" i="38"/>
  <c r="D79" i="36"/>
  <c r="E87" i="35"/>
  <c r="E79" i="36"/>
  <c r="H87" i="35"/>
  <c r="G87" i="35"/>
  <c r="AS88" i="35"/>
  <c r="C88" i="35" s="1"/>
  <c r="I87" i="35"/>
  <c r="AT89" i="35" l="1"/>
  <c r="AR89" i="35" s="1"/>
  <c r="D110" i="10"/>
  <c r="H110" i="10"/>
  <c r="E110" i="10"/>
  <c r="F111" i="10"/>
  <c r="L111" i="10"/>
  <c r="I111" i="10"/>
  <c r="A111" i="10" s="1"/>
  <c r="L80" i="36"/>
  <c r="C80" i="36" s="1"/>
  <c r="A80" i="36" s="1"/>
  <c r="AU88" i="38"/>
  <c r="D88" i="38" s="1"/>
  <c r="AV89" i="38"/>
  <c r="AS89" i="38"/>
  <c r="M108" i="39"/>
  <c r="C108" i="39" s="1"/>
  <c r="A88" i="35"/>
  <c r="J88" i="38" l="1"/>
  <c r="A88" i="38" s="1"/>
  <c r="K112" i="10"/>
  <c r="C111" i="10"/>
  <c r="B111" i="10" s="1"/>
  <c r="H111" i="10" s="1"/>
  <c r="N108" i="39"/>
  <c r="D108" i="39" s="1"/>
  <c r="A108" i="39" s="1"/>
  <c r="L109" i="39"/>
  <c r="O109" i="39"/>
  <c r="AT89" i="38"/>
  <c r="C89" i="38" s="1"/>
  <c r="B88" i="35"/>
  <c r="G80" i="36"/>
  <c r="F80" i="36"/>
  <c r="B80" i="36"/>
  <c r="I80" i="36" s="1"/>
  <c r="H80" i="36"/>
  <c r="M81" i="36"/>
  <c r="AS89" i="35"/>
  <c r="C89" i="35" s="1"/>
  <c r="J88" i="35"/>
  <c r="I88" i="35" l="1"/>
  <c r="E111" i="10"/>
  <c r="G111" i="10"/>
  <c r="I112" i="10"/>
  <c r="A112" i="10" s="1"/>
  <c r="F112" i="10"/>
  <c r="L112" i="10"/>
  <c r="D111" i="10"/>
  <c r="AT90" i="35"/>
  <c r="AR90" i="35" s="1"/>
  <c r="F88" i="35"/>
  <c r="D80" i="36"/>
  <c r="K81" i="36"/>
  <c r="E80" i="36"/>
  <c r="E89" i="38"/>
  <c r="E88" i="35"/>
  <c r="H88" i="35"/>
  <c r="G88" i="35"/>
  <c r="M109" i="39"/>
  <c r="C109" i="39" s="1"/>
  <c r="A89" i="35"/>
  <c r="D88" i="35"/>
  <c r="C112" i="10" l="1"/>
  <c r="B112" i="10" s="1"/>
  <c r="D112" i="10" s="1"/>
  <c r="K113" i="10"/>
  <c r="N109" i="39"/>
  <c r="D109" i="39" s="1"/>
  <c r="A109" i="39" s="1"/>
  <c r="O110" i="39"/>
  <c r="L110" i="39"/>
  <c r="B89" i="35"/>
  <c r="AS90" i="35"/>
  <c r="C90" i="35" s="1"/>
  <c r="AU89" i="38"/>
  <c r="D89" i="38" s="1"/>
  <c r="AS90" i="38"/>
  <c r="AV90" i="38"/>
  <c r="L81" i="36"/>
  <c r="C81" i="36" s="1"/>
  <c r="A81" i="36" s="1"/>
  <c r="J89" i="35"/>
  <c r="J89" i="38" l="1"/>
  <c r="A89" i="38" s="1"/>
  <c r="D89" i="35"/>
  <c r="G112" i="10"/>
  <c r="E112" i="10"/>
  <c r="H112" i="10"/>
  <c r="L113" i="10"/>
  <c r="F113" i="10"/>
  <c r="I113" i="10"/>
  <c r="E89" i="35"/>
  <c r="F89" i="35"/>
  <c r="H89" i="35"/>
  <c r="G89" i="35"/>
  <c r="I89" i="35"/>
  <c r="A90" i="35"/>
  <c r="F81" i="36"/>
  <c r="B81" i="36"/>
  <c r="I81" i="36" s="1"/>
  <c r="H81" i="36"/>
  <c r="G81" i="36"/>
  <c r="M82" i="36"/>
  <c r="AT91" i="35"/>
  <c r="M110" i="39"/>
  <c r="C110" i="39" s="1"/>
  <c r="AT90" i="38"/>
  <c r="E90" i="38" s="1"/>
  <c r="A113" i="10" l="1"/>
  <c r="C113" i="10"/>
  <c r="B113" i="10" s="1"/>
  <c r="K114" i="10"/>
  <c r="AU90" i="38"/>
  <c r="D90" i="38" s="1"/>
  <c r="AV91" i="38"/>
  <c r="AS91" i="38"/>
  <c r="N110" i="39"/>
  <c r="D110" i="39" s="1"/>
  <c r="A110" i="39" s="1"/>
  <c r="L111" i="39"/>
  <c r="O111" i="39"/>
  <c r="K82" i="36"/>
  <c r="D81" i="36"/>
  <c r="C90" i="38"/>
  <c r="AR91" i="35"/>
  <c r="E81" i="36"/>
  <c r="B90" i="35"/>
  <c r="J90" i="35"/>
  <c r="J90" i="38" l="1"/>
  <c r="A90" i="38" s="1"/>
  <c r="H90" i="35"/>
  <c r="D113" i="10"/>
  <c r="F114" i="10"/>
  <c r="I114" i="10"/>
  <c r="A114" i="10" s="1"/>
  <c r="L114" i="10"/>
  <c r="E113" i="10"/>
  <c r="G113" i="10"/>
  <c r="H113" i="10"/>
  <c r="F90" i="35"/>
  <c r="D90" i="35"/>
  <c r="E90" i="35"/>
  <c r="G90" i="35"/>
  <c r="L82" i="36"/>
  <c r="C82" i="36" s="1"/>
  <c r="A82" i="36" s="1"/>
  <c r="M111" i="39"/>
  <c r="C111" i="39" s="1"/>
  <c r="AT91" i="38"/>
  <c r="C91" i="38" s="1"/>
  <c r="I90" i="35"/>
  <c r="AS91" i="35"/>
  <c r="C91" i="35" s="1"/>
  <c r="AT92" i="35" l="1"/>
  <c r="AR92" i="35" s="1"/>
  <c r="J95" i="57"/>
  <c r="C114" i="10"/>
  <c r="B114" i="10" s="1"/>
  <c r="G114" i="10" s="1"/>
  <c r="K115" i="10"/>
  <c r="N111" i="39"/>
  <c r="D111" i="39" s="1"/>
  <c r="A111" i="39" s="1"/>
  <c r="L112" i="39"/>
  <c r="O112" i="39"/>
  <c r="E91" i="38"/>
  <c r="H82" i="36"/>
  <c r="B82" i="36"/>
  <c r="I82" i="36" s="1"/>
  <c r="G82" i="36"/>
  <c r="F82" i="36"/>
  <c r="A91" i="35"/>
  <c r="M83" i="36"/>
  <c r="H114" i="10" l="1"/>
  <c r="E114" i="10"/>
  <c r="D114" i="10"/>
  <c r="F115" i="10"/>
  <c r="I115" i="10"/>
  <c r="A115" i="10" s="1"/>
  <c r="L115" i="10"/>
  <c r="D82" i="36"/>
  <c r="AU91" i="38"/>
  <c r="D91" i="38" s="1"/>
  <c r="AV92" i="38"/>
  <c r="AS92" i="38"/>
  <c r="M112" i="39"/>
  <c r="C112" i="39" s="1"/>
  <c r="AS92" i="35"/>
  <c r="C92" i="35" s="1"/>
  <c r="K83" i="36"/>
  <c r="B91" i="35"/>
  <c r="E82" i="36"/>
  <c r="J91" i="35"/>
  <c r="J91" i="38" l="1"/>
  <c r="A91" i="38" s="1"/>
  <c r="I91" i="35"/>
  <c r="C115" i="10"/>
  <c r="B115" i="10" s="1"/>
  <c r="G115" i="10" s="1"/>
  <c r="K116" i="10"/>
  <c r="H91" i="35"/>
  <c r="E91" i="35"/>
  <c r="G91" i="35"/>
  <c r="F91" i="35"/>
  <c r="D91" i="35"/>
  <c r="N112" i="39"/>
  <c r="D112" i="39" s="1"/>
  <c r="A112" i="39" s="1"/>
  <c r="L113" i="39"/>
  <c r="O113" i="39"/>
  <c r="AT93" i="35"/>
  <c r="A92" i="35"/>
  <c r="AT92" i="38"/>
  <c r="E92" i="38" s="1"/>
  <c r="L83" i="36"/>
  <c r="C83" i="36" s="1"/>
  <c r="A83" i="36" s="1"/>
  <c r="H115" i="10" l="1"/>
  <c r="D115" i="10"/>
  <c r="E115" i="10"/>
  <c r="I116" i="10"/>
  <c r="L116" i="10"/>
  <c r="F116" i="10"/>
  <c r="AU92" i="38"/>
  <c r="D92" i="38" s="1"/>
  <c r="AV93" i="38"/>
  <c r="AS93" i="38"/>
  <c r="H83" i="36"/>
  <c r="B83" i="36"/>
  <c r="I83" i="36" s="1"/>
  <c r="F83" i="36"/>
  <c r="G83" i="36"/>
  <c r="C92" i="38"/>
  <c r="B92" i="35"/>
  <c r="AR93" i="35"/>
  <c r="M84" i="36"/>
  <c r="M113" i="39"/>
  <c r="C113" i="39" s="1"/>
  <c r="J92" i="35"/>
  <c r="J92" i="38" l="1"/>
  <c r="A92" i="38" s="1"/>
  <c r="A116" i="10"/>
  <c r="K117" i="10"/>
  <c r="C116" i="10"/>
  <c r="B116" i="10" s="1"/>
  <c r="N113" i="39"/>
  <c r="D113" i="39" s="1"/>
  <c r="A113" i="39" s="1"/>
  <c r="L114" i="39"/>
  <c r="O114" i="39"/>
  <c r="AS93" i="35"/>
  <c r="C93" i="35" s="1"/>
  <c r="D83" i="36"/>
  <c r="E83" i="36"/>
  <c r="E92" i="35"/>
  <c r="H92" i="35"/>
  <c r="AT93" i="38"/>
  <c r="C93" i="38" s="1"/>
  <c r="F92" i="35"/>
  <c r="G92" i="35"/>
  <c r="D92" i="35"/>
  <c r="K84" i="36"/>
  <c r="I92" i="35"/>
  <c r="G116" i="10" l="1"/>
  <c r="H116" i="10"/>
  <c r="E116" i="10"/>
  <c r="D116" i="10"/>
  <c r="L117" i="10"/>
  <c r="F117" i="10"/>
  <c r="I117" i="10"/>
  <c r="A117" i="10" s="1"/>
  <c r="L84" i="36"/>
  <c r="C84" i="36" s="1"/>
  <c r="A84" i="36" s="1"/>
  <c r="E93" i="38"/>
  <c r="A93" i="35"/>
  <c r="AT94" i="35"/>
  <c r="M114" i="39"/>
  <c r="C114" i="39" s="1"/>
  <c r="K118" i="10" l="1"/>
  <c r="C117" i="10"/>
  <c r="B117" i="10" s="1"/>
  <c r="D117" i="10"/>
  <c r="H117" i="10"/>
  <c r="G117" i="10"/>
  <c r="E117" i="10"/>
  <c r="N114" i="39"/>
  <c r="D114" i="39" s="1"/>
  <c r="A114" i="39" s="1"/>
  <c r="L115" i="39"/>
  <c r="O115" i="39"/>
  <c r="AR94" i="35"/>
  <c r="B93" i="35"/>
  <c r="H84" i="36"/>
  <c r="F84" i="36"/>
  <c r="G84" i="36"/>
  <c r="B84" i="36"/>
  <c r="I84" i="36" s="1"/>
  <c r="AU93" i="38"/>
  <c r="D93" i="38" s="1"/>
  <c r="AV94" i="38"/>
  <c r="AS94" i="38"/>
  <c r="M85" i="36"/>
  <c r="J93" i="35"/>
  <c r="J93" i="38" l="1"/>
  <c r="A93" i="38" s="1"/>
  <c r="I93" i="35"/>
  <c r="F118" i="10"/>
  <c r="L118" i="10"/>
  <c r="I118" i="10"/>
  <c r="A118" i="10" s="1"/>
  <c r="AT94" i="38"/>
  <c r="E94" i="38" s="1"/>
  <c r="G93" i="35"/>
  <c r="E93" i="35"/>
  <c r="AS94" i="35"/>
  <c r="C94" i="35" s="1"/>
  <c r="F93" i="35"/>
  <c r="H93" i="35"/>
  <c r="E84" i="36"/>
  <c r="K85" i="36"/>
  <c r="D84" i="36"/>
  <c r="M115" i="39"/>
  <c r="C115" i="39" s="1"/>
  <c r="D93" i="35"/>
  <c r="K119" i="10" l="1"/>
  <c r="C118" i="10"/>
  <c r="B118" i="10" s="1"/>
  <c r="E118" i="10" s="1"/>
  <c r="N115" i="39"/>
  <c r="D115" i="39" s="1"/>
  <c r="A115" i="39" s="1"/>
  <c r="O116" i="39"/>
  <c r="L116" i="39"/>
  <c r="AU94" i="38"/>
  <c r="D94" i="38" s="1"/>
  <c r="AV95" i="38"/>
  <c r="AS95" i="38"/>
  <c r="AT95" i="35"/>
  <c r="A94" i="35"/>
  <c r="L85" i="36"/>
  <c r="C85" i="36" s="1"/>
  <c r="A85" i="36" s="1"/>
  <c r="C94" i="38"/>
  <c r="J94" i="38" l="1"/>
  <c r="A94" i="38" s="1"/>
  <c r="F119" i="10"/>
  <c r="L119" i="10"/>
  <c r="I119" i="10"/>
  <c r="A119" i="10" s="1"/>
  <c r="D118" i="10"/>
  <c r="G118" i="10"/>
  <c r="H118" i="10"/>
  <c r="M86" i="36"/>
  <c r="B94" i="35"/>
  <c r="AT95" i="38"/>
  <c r="E95" i="38" s="1"/>
  <c r="AR95" i="35"/>
  <c r="M116" i="39"/>
  <c r="C116" i="39" s="1"/>
  <c r="F85" i="36"/>
  <c r="G85" i="36"/>
  <c r="B85" i="36"/>
  <c r="I85" i="36" s="1"/>
  <c r="H85" i="36"/>
  <c r="J94" i="35"/>
  <c r="H94" i="35" l="1"/>
  <c r="K120" i="10"/>
  <c r="C119" i="10"/>
  <c r="B119" i="10" s="1"/>
  <c r="H119" i="10" s="1"/>
  <c r="E85" i="36"/>
  <c r="D85" i="36"/>
  <c r="N116" i="39"/>
  <c r="D116" i="39" s="1"/>
  <c r="A116" i="39" s="1"/>
  <c r="L117" i="39"/>
  <c r="O117" i="39"/>
  <c r="AU95" i="38"/>
  <c r="D95" i="38" s="1"/>
  <c r="AS96" i="38"/>
  <c r="AV96" i="38"/>
  <c r="C95" i="38"/>
  <c r="I94" i="35"/>
  <c r="E94" i="35"/>
  <c r="D94" i="35"/>
  <c r="AS95" i="35"/>
  <c r="C95" i="35" s="1"/>
  <c r="G94" i="35"/>
  <c r="F94" i="35"/>
  <c r="K86" i="36"/>
  <c r="J95" i="38" l="1"/>
  <c r="A95" i="38" s="1"/>
  <c r="L120" i="10"/>
  <c r="I120" i="10"/>
  <c r="A120" i="10" s="1"/>
  <c r="F120" i="10"/>
  <c r="D119" i="10"/>
  <c r="G119" i="10"/>
  <c r="E119" i="10"/>
  <c r="AT96" i="38"/>
  <c r="C96" i="38" s="1"/>
  <c r="L86" i="36"/>
  <c r="C86" i="36" s="1"/>
  <c r="A86" i="36" s="1"/>
  <c r="A95" i="35"/>
  <c r="M117" i="39"/>
  <c r="C117" i="39" s="1"/>
  <c r="AT96" i="35"/>
  <c r="C120" i="10" l="1"/>
  <c r="B120" i="10" s="1"/>
  <c r="H120" i="10" s="1"/>
  <c r="K121" i="10"/>
  <c r="N117" i="39"/>
  <c r="D117" i="39" s="1"/>
  <c r="A117" i="39" s="1"/>
  <c r="L118" i="39"/>
  <c r="O118" i="39"/>
  <c r="B95" i="35"/>
  <c r="B86" i="36"/>
  <c r="I86" i="36" s="1"/>
  <c r="H86" i="36"/>
  <c r="G86" i="36"/>
  <c r="F86" i="36"/>
  <c r="AR96" i="35"/>
  <c r="M87" i="36"/>
  <c r="E96" i="38"/>
  <c r="J95" i="35"/>
  <c r="G95" i="35" l="1"/>
  <c r="E120" i="10"/>
  <c r="D120" i="10"/>
  <c r="G120" i="10"/>
  <c r="L121" i="10"/>
  <c r="F121" i="10"/>
  <c r="I121" i="10"/>
  <c r="A121" i="10" s="1"/>
  <c r="K87" i="36"/>
  <c r="AS96" i="35"/>
  <c r="C96" i="35" s="1"/>
  <c r="H95" i="35"/>
  <c r="I95" i="35"/>
  <c r="AU96" i="38"/>
  <c r="D96" i="38" s="1"/>
  <c r="AV97" i="38"/>
  <c r="AS97" i="38"/>
  <c r="F95" i="35"/>
  <c r="D95" i="35"/>
  <c r="D86" i="36"/>
  <c r="E95" i="35"/>
  <c r="E86" i="36"/>
  <c r="M118" i="39"/>
  <c r="C118" i="39" s="1"/>
  <c r="J96" i="38" l="1"/>
  <c r="A96" i="38" s="1"/>
  <c r="AT97" i="35"/>
  <c r="AR97" i="35" s="1"/>
  <c r="C121" i="10"/>
  <c r="B121" i="10" s="1"/>
  <c r="H121" i="10" s="1"/>
  <c r="K122" i="10"/>
  <c r="N118" i="39"/>
  <c r="D118" i="39" s="1"/>
  <c r="A118" i="39" s="1"/>
  <c r="O119" i="39"/>
  <c r="L119" i="39"/>
  <c r="A96" i="35"/>
  <c r="AT97" i="38"/>
  <c r="E97" i="38" s="1"/>
  <c r="L87" i="36"/>
  <c r="C87" i="36" s="1"/>
  <c r="A87" i="36" s="1"/>
  <c r="I122" i="10" l="1"/>
  <c r="A122" i="10" s="1"/>
  <c r="L122" i="10"/>
  <c r="F122" i="10"/>
  <c r="G121" i="10"/>
  <c r="E121" i="10"/>
  <c r="D121" i="10"/>
  <c r="AU97" i="38"/>
  <c r="D97" i="38" s="1"/>
  <c r="AS98" i="38"/>
  <c r="AV98" i="38"/>
  <c r="B96" i="35"/>
  <c r="F87" i="36"/>
  <c r="B87" i="36"/>
  <c r="I87" i="36" s="1"/>
  <c r="G87" i="36"/>
  <c r="H87" i="36"/>
  <c r="M119" i="39"/>
  <c r="C119" i="39" s="1"/>
  <c r="M88" i="36"/>
  <c r="AS97" i="35"/>
  <c r="C97" i="35" s="1"/>
  <c r="C97" i="38"/>
  <c r="J96" i="35"/>
  <c r="J97" i="38" l="1"/>
  <c r="A97" i="38" s="1"/>
  <c r="G96" i="35"/>
  <c r="K123" i="10"/>
  <c r="C122" i="10"/>
  <c r="B122" i="10" s="1"/>
  <c r="D122" i="10" s="1"/>
  <c r="N119" i="39"/>
  <c r="D119" i="39" s="1"/>
  <c r="A119" i="39" s="1"/>
  <c r="L120" i="39"/>
  <c r="O120" i="39"/>
  <c r="D96" i="35"/>
  <c r="K88" i="36"/>
  <c r="F96" i="35"/>
  <c r="H96" i="35"/>
  <c r="E96" i="35"/>
  <c r="AT98" i="38"/>
  <c r="C98" i="38" s="1"/>
  <c r="A97" i="35"/>
  <c r="I96" i="35"/>
  <c r="D87" i="36"/>
  <c r="E87" i="36"/>
  <c r="AT98" i="35"/>
  <c r="G122" i="10" l="1"/>
  <c r="E122" i="10"/>
  <c r="H122" i="10"/>
  <c r="F123" i="10"/>
  <c r="I123" i="10"/>
  <c r="A123" i="10" s="1"/>
  <c r="L123" i="10"/>
  <c r="L88" i="36"/>
  <c r="C88" i="36" s="1"/>
  <c r="A88" i="36" s="1"/>
  <c r="B97" i="35"/>
  <c r="AR98" i="35"/>
  <c r="E98" i="38"/>
  <c r="M120" i="39"/>
  <c r="C120" i="39" s="1"/>
  <c r="J97" i="35"/>
  <c r="H97" i="35" l="1"/>
  <c r="K124" i="10"/>
  <c r="C123" i="10"/>
  <c r="B123" i="10" s="1"/>
  <c r="E123" i="10" s="1"/>
  <c r="N120" i="39"/>
  <c r="D120" i="39" s="1"/>
  <c r="A120" i="39" s="1"/>
  <c r="L121" i="39"/>
  <c r="O121" i="39"/>
  <c r="AS98" i="35"/>
  <c r="C98" i="35" s="1"/>
  <c r="D97" i="35"/>
  <c r="E97" i="35"/>
  <c r="I97" i="35"/>
  <c r="G97" i="35"/>
  <c r="F97" i="35"/>
  <c r="M89" i="36"/>
  <c r="AU98" i="38"/>
  <c r="D98" i="38" s="1"/>
  <c r="AS99" i="38"/>
  <c r="AV99" i="38"/>
  <c r="F88" i="36"/>
  <c r="H88" i="36"/>
  <c r="B88" i="36"/>
  <c r="I88" i="36" s="1"/>
  <c r="G88" i="36"/>
  <c r="J98" i="38" l="1"/>
  <c r="A98" i="38" s="1"/>
  <c r="AT99" i="35"/>
  <c r="AR99" i="35" s="1"/>
  <c r="L124" i="10"/>
  <c r="F124" i="10"/>
  <c r="I124" i="10"/>
  <c r="H123" i="10"/>
  <c r="G123" i="10"/>
  <c r="D123" i="10"/>
  <c r="D88" i="36"/>
  <c r="K89" i="36"/>
  <c r="E88" i="36"/>
  <c r="A98" i="35"/>
  <c r="AT99" i="38"/>
  <c r="C99" i="38" s="1"/>
  <c r="M121" i="39"/>
  <c r="C121" i="39" s="1"/>
  <c r="A124" i="10" l="1"/>
  <c r="K125" i="10"/>
  <c r="C124" i="10"/>
  <c r="B124" i="10" s="1"/>
  <c r="N121" i="39"/>
  <c r="D121" i="39" s="1"/>
  <c r="A121" i="39" s="1"/>
  <c r="L122" i="39"/>
  <c r="O122" i="39"/>
  <c r="B98" i="35"/>
  <c r="E99" i="38"/>
  <c r="L89" i="36"/>
  <c r="C89" i="36" s="1"/>
  <c r="A89" i="36" s="1"/>
  <c r="AS99" i="35"/>
  <c r="C99" i="35" s="1"/>
  <c r="J98" i="35"/>
  <c r="F98" i="35" l="1"/>
  <c r="G124" i="10"/>
  <c r="H124" i="10"/>
  <c r="I125" i="10"/>
  <c r="L125" i="10"/>
  <c r="F125" i="10"/>
  <c r="D124" i="10"/>
  <c r="E124" i="10"/>
  <c r="A99" i="35"/>
  <c r="AU99" i="38"/>
  <c r="D99" i="38" s="1"/>
  <c r="AS100" i="38"/>
  <c r="AV100" i="38"/>
  <c r="M90" i="36"/>
  <c r="G98" i="35"/>
  <c r="AT100" i="35"/>
  <c r="I98" i="35"/>
  <c r="H98" i="35"/>
  <c r="E98" i="35"/>
  <c r="D98" i="35"/>
  <c r="M122" i="39"/>
  <c r="C122" i="39" s="1"/>
  <c r="G89" i="36"/>
  <c r="B89" i="36"/>
  <c r="I89" i="36" s="1"/>
  <c r="F89" i="36"/>
  <c r="H89" i="36"/>
  <c r="J99" i="38" l="1"/>
  <c r="A99" i="38" s="1"/>
  <c r="A125" i="10"/>
  <c r="K126" i="10"/>
  <c r="C125" i="10"/>
  <c r="B125" i="10" s="1"/>
  <c r="D89" i="36"/>
  <c r="N122" i="39"/>
  <c r="D122" i="39" s="1"/>
  <c r="A122" i="39" s="1"/>
  <c r="L123" i="39"/>
  <c r="O123" i="39"/>
  <c r="AR100" i="35"/>
  <c r="K90" i="36"/>
  <c r="AT100" i="38"/>
  <c r="E100" i="38" s="1"/>
  <c r="E89" i="36"/>
  <c r="B99" i="35"/>
  <c r="J99" i="35"/>
  <c r="G99" i="35" l="1"/>
  <c r="G125" i="10"/>
  <c r="D125" i="10"/>
  <c r="H125" i="10"/>
  <c r="E125" i="10"/>
  <c r="L126" i="10"/>
  <c r="I126" i="10"/>
  <c r="A126" i="10" s="1"/>
  <c r="F126" i="10"/>
  <c r="AU100" i="38"/>
  <c r="D100" i="38" s="1"/>
  <c r="AS101" i="38"/>
  <c r="AV101" i="38"/>
  <c r="H99" i="35"/>
  <c r="L90" i="36"/>
  <c r="C90" i="36" s="1"/>
  <c r="A90" i="36" s="1"/>
  <c r="D99" i="35"/>
  <c r="C100" i="38"/>
  <c r="AS100" i="35"/>
  <c r="C100" i="35" s="1"/>
  <c r="I99" i="35"/>
  <c r="F99" i="35"/>
  <c r="E99" i="35"/>
  <c r="M123" i="39"/>
  <c r="C123" i="39" s="1"/>
  <c r="J100" i="38" l="1"/>
  <c r="A100" i="38" s="1"/>
  <c r="G126" i="10"/>
  <c r="E126" i="10"/>
  <c r="D126" i="10"/>
  <c r="H126" i="10"/>
  <c r="C126" i="10"/>
  <c r="B126" i="10" s="1"/>
  <c r="K127" i="10"/>
  <c r="N123" i="39"/>
  <c r="D123" i="39" s="1"/>
  <c r="A123" i="39" s="1"/>
  <c r="O124" i="39"/>
  <c r="L124" i="39"/>
  <c r="F90" i="36"/>
  <c r="H90" i="36"/>
  <c r="B90" i="36"/>
  <c r="I90" i="36" s="1"/>
  <c r="G90" i="36"/>
  <c r="M91" i="36"/>
  <c r="A100" i="35"/>
  <c r="AT101" i="38"/>
  <c r="C101" i="38" s="1"/>
  <c r="AT101" i="35"/>
  <c r="I127" i="10" l="1"/>
  <c r="A127" i="10" s="1"/>
  <c r="L127" i="10"/>
  <c r="F127" i="10"/>
  <c r="AR101" i="35"/>
  <c r="B100" i="35"/>
  <c r="D90" i="36"/>
  <c r="K91" i="36"/>
  <c r="E90" i="36"/>
  <c r="E101" i="38"/>
  <c r="M124" i="39"/>
  <c r="C124" i="39" s="1"/>
  <c r="J100" i="35"/>
  <c r="H100" i="35" l="1"/>
  <c r="C127" i="10"/>
  <c r="B127" i="10" s="1"/>
  <c r="D127" i="10" s="1"/>
  <c r="K128" i="10"/>
  <c r="N124" i="39"/>
  <c r="D124" i="39" s="1"/>
  <c r="A124" i="39" s="1"/>
  <c r="O125" i="39"/>
  <c r="L125" i="39"/>
  <c r="E100" i="35"/>
  <c r="G100" i="35"/>
  <c r="D100" i="35"/>
  <c r="F100" i="35"/>
  <c r="L91" i="36"/>
  <c r="C91" i="36" s="1"/>
  <c r="A91" i="36" s="1"/>
  <c r="I100" i="35"/>
  <c r="AU101" i="38"/>
  <c r="D101" i="38" s="1"/>
  <c r="AS102" i="38"/>
  <c r="AV102" i="38"/>
  <c r="AS101" i="35"/>
  <c r="C101" i="35" s="1"/>
  <c r="J101" i="38" l="1"/>
  <c r="A101" i="38" s="1"/>
  <c r="H127" i="10"/>
  <c r="G127" i="10"/>
  <c r="E127" i="10"/>
  <c r="I128" i="10"/>
  <c r="A128" i="10" s="1"/>
  <c r="L128" i="10"/>
  <c r="F128" i="10"/>
  <c r="M92" i="36"/>
  <c r="A101" i="35"/>
  <c r="B91" i="36"/>
  <c r="I91" i="36" s="1"/>
  <c r="G91" i="36"/>
  <c r="F91" i="36"/>
  <c r="H91" i="36"/>
  <c r="AT102" i="35"/>
  <c r="M125" i="39"/>
  <c r="C125" i="39" s="1"/>
  <c r="AT102" i="38"/>
  <c r="E102" i="38" s="1"/>
  <c r="K129" i="10" l="1"/>
  <c r="C128" i="10"/>
  <c r="B128" i="10" s="1"/>
  <c r="D128" i="10" s="1"/>
  <c r="N125" i="39"/>
  <c r="D125" i="39" s="1"/>
  <c r="A125" i="39" s="1"/>
  <c r="O126" i="39"/>
  <c r="L126" i="39"/>
  <c r="AU102" i="38"/>
  <c r="D102" i="38" s="1"/>
  <c r="AS103" i="38"/>
  <c r="AV103" i="38"/>
  <c r="AR102" i="35"/>
  <c r="C102" i="38"/>
  <c r="D91" i="36"/>
  <c r="E91" i="36"/>
  <c r="B101" i="35"/>
  <c r="K92" i="36"/>
  <c r="J101" i="35"/>
  <c r="J102" i="38" l="1"/>
  <c r="A102" i="38" s="1"/>
  <c r="H101" i="35"/>
  <c r="E128" i="10"/>
  <c r="H128" i="10"/>
  <c r="G128" i="10"/>
  <c r="I129" i="10"/>
  <c r="F129" i="10"/>
  <c r="L129" i="10"/>
  <c r="I101" i="35"/>
  <c r="AS102" i="35"/>
  <c r="C102" i="35" s="1"/>
  <c r="AT103" i="38"/>
  <c r="C103" i="38" s="1"/>
  <c r="L92" i="36"/>
  <c r="C92" i="36" s="1"/>
  <c r="A92" i="36" s="1"/>
  <c r="D101" i="35"/>
  <c r="E101" i="35"/>
  <c r="M126" i="39"/>
  <c r="C126" i="39" s="1"/>
  <c r="F101" i="35"/>
  <c r="G101" i="35"/>
  <c r="AT103" i="35" l="1"/>
  <c r="AR103" i="35" s="1"/>
  <c r="A129" i="10"/>
  <c r="K130" i="10"/>
  <c r="C129" i="10"/>
  <c r="B129" i="10" s="1"/>
  <c r="N126" i="39"/>
  <c r="D126" i="39" s="1"/>
  <c r="A126" i="39" s="1"/>
  <c r="L127" i="39"/>
  <c r="O127" i="39"/>
  <c r="M93" i="36"/>
  <c r="H92" i="36"/>
  <c r="F92" i="36"/>
  <c r="B92" i="36"/>
  <c r="I92" i="36" s="1"/>
  <c r="G92" i="36"/>
  <c r="E103" i="38"/>
  <c r="A102" i="35"/>
  <c r="H129" i="10" l="1"/>
  <c r="G129" i="10"/>
  <c r="D129" i="10"/>
  <c r="E129" i="10"/>
  <c r="F130" i="10"/>
  <c r="I130" i="10"/>
  <c r="A130" i="10" s="1"/>
  <c r="L130" i="10"/>
  <c r="K93" i="36"/>
  <c r="AS103" i="35"/>
  <c r="C103" i="35" s="1"/>
  <c r="E92" i="36"/>
  <c r="D92" i="36"/>
  <c r="AU103" i="38"/>
  <c r="D103" i="38" s="1"/>
  <c r="AS104" i="38"/>
  <c r="AV104" i="38"/>
  <c r="B102" i="35"/>
  <c r="M127" i="39"/>
  <c r="C127" i="39" s="1"/>
  <c r="J102" i="35"/>
  <c r="J103" i="38" l="1"/>
  <c r="A103" i="38" s="1"/>
  <c r="F102" i="35"/>
  <c r="C130" i="10"/>
  <c r="B130" i="10" s="1"/>
  <c r="G130" i="10" s="1"/>
  <c r="K131" i="10"/>
  <c r="E102" i="35"/>
  <c r="N127" i="39"/>
  <c r="D127" i="39" s="1"/>
  <c r="A127" i="39" s="1"/>
  <c r="L128" i="39"/>
  <c r="O128" i="39"/>
  <c r="AT104" i="38"/>
  <c r="C104" i="38" s="1"/>
  <c r="G102" i="35"/>
  <c r="L93" i="36"/>
  <c r="C93" i="36" s="1"/>
  <c r="A93" i="36" s="1"/>
  <c r="D102" i="35"/>
  <c r="A103" i="35"/>
  <c r="AT104" i="35"/>
  <c r="H102" i="35"/>
  <c r="I102" i="35"/>
  <c r="F131" i="10" l="1"/>
  <c r="I131" i="10"/>
  <c r="A131" i="10" s="1"/>
  <c r="L131" i="10"/>
  <c r="H130" i="10"/>
  <c r="D130" i="10"/>
  <c r="E130" i="10"/>
  <c r="B93" i="36"/>
  <c r="I93" i="36" s="1"/>
  <c r="H93" i="36"/>
  <c r="F93" i="36"/>
  <c r="G93" i="36"/>
  <c r="M94" i="36"/>
  <c r="E104" i="38"/>
  <c r="AR104" i="35"/>
  <c r="B103" i="35"/>
  <c r="M128" i="39"/>
  <c r="C128" i="39" s="1"/>
  <c r="J103" i="35"/>
  <c r="D103" i="35" l="1"/>
  <c r="C131" i="10"/>
  <c r="B131" i="10" s="1"/>
  <c r="E131" i="10" s="1"/>
  <c r="K132" i="10"/>
  <c r="E93" i="36"/>
  <c r="N128" i="39"/>
  <c r="D128" i="39" s="1"/>
  <c r="A128" i="39" s="1"/>
  <c r="L129" i="39"/>
  <c r="O129" i="39"/>
  <c r="K94" i="36"/>
  <c r="AU104" i="38"/>
  <c r="D104" i="38" s="1"/>
  <c r="AS105" i="38"/>
  <c r="AV105" i="38"/>
  <c r="AS104" i="35"/>
  <c r="C104" i="35" s="1"/>
  <c r="E103" i="35"/>
  <c r="H103" i="35"/>
  <c r="I103" i="35"/>
  <c r="D93" i="36"/>
  <c r="G103" i="35"/>
  <c r="F103" i="35"/>
  <c r="J104" i="38" l="1"/>
  <c r="A104" i="38" s="1"/>
  <c r="G131" i="10"/>
  <c r="H131" i="10"/>
  <c r="D131" i="10"/>
  <c r="F132" i="10"/>
  <c r="I132" i="10"/>
  <c r="A132" i="10" s="1"/>
  <c r="L132" i="10"/>
  <c r="AT105" i="38"/>
  <c r="E105" i="38" s="1"/>
  <c r="AT105" i="35"/>
  <c r="L94" i="36"/>
  <c r="C94" i="36" s="1"/>
  <c r="A94" i="36" s="1"/>
  <c r="A104" i="35"/>
  <c r="M129" i="39"/>
  <c r="C129" i="39" s="1"/>
  <c r="C132" i="10" l="1"/>
  <c r="B132" i="10" s="1"/>
  <c r="G132" i="10" s="1"/>
  <c r="K133" i="10"/>
  <c r="N129" i="39"/>
  <c r="D129" i="39" s="1"/>
  <c r="A129" i="39" s="1"/>
  <c r="L130" i="39"/>
  <c r="O130" i="39"/>
  <c r="AU105" i="38"/>
  <c r="D105" i="38" s="1"/>
  <c r="AS106" i="38"/>
  <c r="AV106" i="38"/>
  <c r="B104" i="35"/>
  <c r="M95" i="36"/>
  <c r="AR105" i="35"/>
  <c r="G94" i="36"/>
  <c r="F94" i="36"/>
  <c r="H94" i="36"/>
  <c r="B94" i="36"/>
  <c r="I94" i="36" s="1"/>
  <c r="C105" i="38"/>
  <c r="J104" i="35"/>
  <c r="J105" i="38" l="1"/>
  <c r="A105" i="38" s="1"/>
  <c r="D104" i="35"/>
  <c r="H132" i="10"/>
  <c r="E132" i="10"/>
  <c r="D132" i="10"/>
  <c r="I133" i="10"/>
  <c r="A133" i="10" s="1"/>
  <c r="F133" i="10"/>
  <c r="L133" i="10"/>
  <c r="F104" i="35"/>
  <c r="H104" i="35"/>
  <c r="D94" i="36"/>
  <c r="E104" i="35"/>
  <c r="AT106" i="38"/>
  <c r="E106" i="38" s="1"/>
  <c r="E94" i="36"/>
  <c r="G104" i="35"/>
  <c r="AS105" i="35"/>
  <c r="C105" i="35" s="1"/>
  <c r="K95" i="36"/>
  <c r="M130" i="39"/>
  <c r="C130" i="39" s="1"/>
  <c r="I104" i="35"/>
  <c r="K134" i="10" l="1"/>
  <c r="C133" i="10"/>
  <c r="B133" i="10" s="1"/>
  <c r="D133" i="10" s="1"/>
  <c r="N130" i="39"/>
  <c r="D130" i="39" s="1"/>
  <c r="A130" i="39" s="1"/>
  <c r="L131" i="39"/>
  <c r="O131" i="39"/>
  <c r="AU106" i="38"/>
  <c r="D106" i="38" s="1"/>
  <c r="AV107" i="38"/>
  <c r="AS107" i="38"/>
  <c r="AT106" i="35"/>
  <c r="C106" i="38"/>
  <c r="A105" i="35"/>
  <c r="L95" i="36"/>
  <c r="C95" i="36" s="1"/>
  <c r="A95" i="36" s="1"/>
  <c r="J106" i="38" l="1"/>
  <c r="A106" i="38" s="1"/>
  <c r="G133" i="10"/>
  <c r="E133" i="10"/>
  <c r="H133" i="10"/>
  <c r="L134" i="10"/>
  <c r="I134" i="10"/>
  <c r="A134" i="10" s="1"/>
  <c r="F134" i="10"/>
  <c r="AT107" i="38"/>
  <c r="C107" i="38" s="1"/>
  <c r="M96" i="36"/>
  <c r="AR106" i="35"/>
  <c r="B105" i="35"/>
  <c r="M131" i="39"/>
  <c r="C131" i="39" s="1"/>
  <c r="G95" i="36"/>
  <c r="H95" i="36"/>
  <c r="B95" i="36"/>
  <c r="I95" i="36" s="1"/>
  <c r="F95" i="36"/>
  <c r="J105" i="35"/>
  <c r="K135" i="10" l="1"/>
  <c r="C134" i="10"/>
  <c r="B134" i="10" s="1"/>
  <c r="G134" i="10" s="1"/>
  <c r="N131" i="39"/>
  <c r="D131" i="39" s="1"/>
  <c r="A131" i="39" s="1"/>
  <c r="O132" i="39"/>
  <c r="L132" i="39"/>
  <c r="K96" i="36"/>
  <c r="E95" i="36"/>
  <c r="F105" i="35"/>
  <c r="H105" i="35"/>
  <c r="E107" i="38"/>
  <c r="AS106" i="35"/>
  <c r="C106" i="35" s="1"/>
  <c r="G105" i="35"/>
  <c r="D95" i="36"/>
  <c r="I105" i="35"/>
  <c r="E105" i="35"/>
  <c r="D105" i="35"/>
  <c r="L135" i="10" l="1"/>
  <c r="I135" i="10"/>
  <c r="A135" i="10" s="1"/>
  <c r="F135" i="10"/>
  <c r="E134" i="10"/>
  <c r="D134" i="10"/>
  <c r="H134" i="10"/>
  <c r="A106" i="35"/>
  <c r="AT107" i="35"/>
  <c r="L96" i="36"/>
  <c r="C96" i="36" s="1"/>
  <c r="A96" i="36" s="1"/>
  <c r="AU107" i="38"/>
  <c r="D107" i="38" s="1"/>
  <c r="AS108" i="38"/>
  <c r="AV108" i="38"/>
  <c r="M132" i="39"/>
  <c r="C132" i="39" s="1"/>
  <c r="J107" i="38" l="1"/>
  <c r="A107" i="38" s="1"/>
  <c r="C135" i="10"/>
  <c r="B135" i="10" s="1"/>
  <c r="H135" i="10" s="1"/>
  <c r="K136" i="10"/>
  <c r="N132" i="39"/>
  <c r="D132" i="39" s="1"/>
  <c r="A132" i="39" s="1"/>
  <c r="O133" i="39"/>
  <c r="L133" i="39"/>
  <c r="AT108" i="38"/>
  <c r="C108" i="38" s="1"/>
  <c r="M97" i="36"/>
  <c r="AR107" i="35"/>
  <c r="B106" i="35"/>
  <c r="G96" i="36"/>
  <c r="F96" i="36"/>
  <c r="B96" i="36"/>
  <c r="I96" i="36" s="1"/>
  <c r="H96" i="36"/>
  <c r="J106" i="35"/>
  <c r="G106" i="35" l="1"/>
  <c r="E135" i="10"/>
  <c r="G135" i="10"/>
  <c r="D135" i="10"/>
  <c r="L136" i="10"/>
  <c r="F136" i="10"/>
  <c r="I136" i="10"/>
  <c r="A136" i="10" s="1"/>
  <c r="K97" i="36"/>
  <c r="I106" i="35"/>
  <c r="H106" i="35"/>
  <c r="E108" i="38"/>
  <c r="D106" i="35"/>
  <c r="E96" i="36"/>
  <c r="F106" i="35"/>
  <c r="E106" i="35"/>
  <c r="M133" i="39"/>
  <c r="C133" i="39" s="1"/>
  <c r="AS107" i="35"/>
  <c r="C107" i="35" s="1"/>
  <c r="D96" i="36"/>
  <c r="K137" i="10" l="1"/>
  <c r="C136" i="10"/>
  <c r="B136" i="10" s="1"/>
  <c r="D136" i="10" s="1"/>
  <c r="N133" i="39"/>
  <c r="D133" i="39" s="1"/>
  <c r="A133" i="39" s="1"/>
  <c r="L134" i="39"/>
  <c r="O134" i="39"/>
  <c r="AU108" i="38"/>
  <c r="D108" i="38" s="1"/>
  <c r="AV109" i="38"/>
  <c r="AS109" i="38"/>
  <c r="L97" i="36"/>
  <c r="C97" i="36" s="1"/>
  <c r="A97" i="36" s="1"/>
  <c r="AT108" i="35"/>
  <c r="A107" i="35"/>
  <c r="J108" i="38" l="1"/>
  <c r="A108" i="38" s="1"/>
  <c r="F137" i="10"/>
  <c r="I137" i="10"/>
  <c r="A137" i="10" s="1"/>
  <c r="L137" i="10"/>
  <c r="H136" i="10"/>
  <c r="E136" i="10"/>
  <c r="G136" i="10"/>
  <c r="AR108" i="35"/>
  <c r="H97" i="36"/>
  <c r="B97" i="36"/>
  <c r="I97" i="36" s="1"/>
  <c r="G97" i="36"/>
  <c r="F97" i="36"/>
  <c r="M98" i="36"/>
  <c r="AT109" i="38"/>
  <c r="E109" i="38" s="1"/>
  <c r="M134" i="39"/>
  <c r="C134" i="39" s="1"/>
  <c r="B107" i="35"/>
  <c r="J107" i="35"/>
  <c r="I107" i="35" l="1"/>
  <c r="C137" i="10"/>
  <c r="B137" i="10" s="1"/>
  <c r="E137" i="10" s="1"/>
  <c r="K138" i="10"/>
  <c r="F107" i="35"/>
  <c r="D97" i="36"/>
  <c r="N134" i="39"/>
  <c r="D134" i="39" s="1"/>
  <c r="A134" i="39" s="1"/>
  <c r="L135" i="39"/>
  <c r="O135" i="39"/>
  <c r="AU109" i="38"/>
  <c r="D109" i="38" s="1"/>
  <c r="AV110" i="38"/>
  <c r="AS110" i="38"/>
  <c r="E97" i="36"/>
  <c r="K98" i="36"/>
  <c r="E107" i="35"/>
  <c r="AS108" i="35"/>
  <c r="C108" i="35" s="1"/>
  <c r="G107" i="35"/>
  <c r="C109" i="38"/>
  <c r="H107" i="35"/>
  <c r="D107" i="35"/>
  <c r="J109" i="38" l="1"/>
  <c r="A109" i="38" s="1"/>
  <c r="G137" i="10"/>
  <c r="D137" i="10"/>
  <c r="H137" i="10"/>
  <c r="I138" i="10"/>
  <c r="A138" i="10" s="1"/>
  <c r="F138" i="10"/>
  <c r="L138" i="10"/>
  <c r="L98" i="36"/>
  <c r="C98" i="36" s="1"/>
  <c r="A98" i="36" s="1"/>
  <c r="AT110" i="38"/>
  <c r="E110" i="38" s="1"/>
  <c r="A108" i="35"/>
  <c r="AT109" i="35"/>
  <c r="M135" i="39"/>
  <c r="C135" i="39" s="1"/>
  <c r="K139" i="10" l="1"/>
  <c r="C138" i="10"/>
  <c r="B138" i="10" s="1"/>
  <c r="D138" i="10" s="1"/>
  <c r="N135" i="39"/>
  <c r="D135" i="39" s="1"/>
  <c r="A135" i="39" s="1"/>
  <c r="O136" i="39"/>
  <c r="L136" i="39"/>
  <c r="AU110" i="38"/>
  <c r="D110" i="38" s="1"/>
  <c r="AS111" i="38"/>
  <c r="AV111" i="38"/>
  <c r="B108" i="35"/>
  <c r="C110" i="38"/>
  <c r="AR109" i="35"/>
  <c r="M99" i="36"/>
  <c r="H98" i="36"/>
  <c r="B98" i="36"/>
  <c r="I98" i="36" s="1"/>
  <c r="G98" i="36"/>
  <c r="F98" i="36"/>
  <c r="J108" i="35"/>
  <c r="J110" i="38" l="1"/>
  <c r="A110" i="38" s="1"/>
  <c r="E108" i="35"/>
  <c r="L139" i="10"/>
  <c r="I139" i="10"/>
  <c r="A139" i="10" s="1"/>
  <c r="F139" i="10"/>
  <c r="G138" i="10"/>
  <c r="H138" i="10"/>
  <c r="E138" i="10"/>
  <c r="D98" i="36"/>
  <c r="F108" i="35"/>
  <c r="E98" i="36"/>
  <c r="I108" i="35"/>
  <c r="G108" i="35"/>
  <c r="H108" i="35"/>
  <c r="AT111" i="38"/>
  <c r="C111" i="38" s="1"/>
  <c r="K99" i="36"/>
  <c r="AS109" i="35"/>
  <c r="C109" i="35" s="1"/>
  <c r="M136" i="39"/>
  <c r="C136" i="39" s="1"/>
  <c r="D108" i="35"/>
  <c r="C139" i="10" l="1"/>
  <c r="B139" i="10" s="1"/>
  <c r="E139" i="10" s="1"/>
  <c r="K140" i="10"/>
  <c r="N136" i="39"/>
  <c r="D136" i="39" s="1"/>
  <c r="A136" i="39" s="1"/>
  <c r="O137" i="39"/>
  <c r="L137" i="39"/>
  <c r="E111" i="38"/>
  <c r="A109" i="35"/>
  <c r="AT110" i="35"/>
  <c r="L99" i="36"/>
  <c r="C99" i="36" s="1"/>
  <c r="A99" i="36" s="1"/>
  <c r="I140" i="10" l="1"/>
  <c r="F140" i="10"/>
  <c r="L140" i="10"/>
  <c r="G139" i="10"/>
  <c r="H139" i="10"/>
  <c r="D139" i="10"/>
  <c r="AR110" i="35"/>
  <c r="B109" i="35"/>
  <c r="H99" i="36"/>
  <c r="G99" i="36"/>
  <c r="B99" i="36"/>
  <c r="I99" i="36" s="1"/>
  <c r="F99" i="36"/>
  <c r="AU111" i="38"/>
  <c r="D111" i="38" s="1"/>
  <c r="AV112" i="38"/>
  <c r="AS112" i="38"/>
  <c r="M137" i="39"/>
  <c r="C137" i="39" s="1"/>
  <c r="M100" i="36"/>
  <c r="J109" i="35"/>
  <c r="J111" i="38" l="1"/>
  <c r="A111" i="38" s="1"/>
  <c r="F109" i="35"/>
  <c r="K141" i="10"/>
  <c r="C140" i="10"/>
  <c r="B140" i="10" s="1"/>
  <c r="A140" i="10"/>
  <c r="D99" i="36"/>
  <c r="E99" i="36"/>
  <c r="N137" i="39"/>
  <c r="D137" i="39" s="1"/>
  <c r="A137" i="39" s="1"/>
  <c r="O138" i="39"/>
  <c r="L138" i="39"/>
  <c r="AT112" i="38"/>
  <c r="E112" i="38" s="1"/>
  <c r="I109" i="35"/>
  <c r="E109" i="35"/>
  <c r="K100" i="36"/>
  <c r="AS110" i="35"/>
  <c r="C110" i="35" s="1"/>
  <c r="H109" i="35"/>
  <c r="G109" i="35"/>
  <c r="D109" i="35"/>
  <c r="AT111" i="35" l="1"/>
  <c r="AR111" i="35" s="1"/>
  <c r="D140" i="10"/>
  <c r="G140" i="10"/>
  <c r="E140" i="10"/>
  <c r="H140" i="10"/>
  <c r="L141" i="10"/>
  <c r="I141" i="10"/>
  <c r="A141" i="10" s="1"/>
  <c r="F141" i="10"/>
  <c r="AU112" i="38"/>
  <c r="D112" i="38" s="1"/>
  <c r="AS113" i="38"/>
  <c r="AV113" i="38"/>
  <c r="C112" i="38"/>
  <c r="M138" i="39"/>
  <c r="C138" i="39" s="1"/>
  <c r="A110" i="35"/>
  <c r="L100" i="36"/>
  <c r="C100" i="36" s="1"/>
  <c r="A100" i="36" s="1"/>
  <c r="J112" i="38" l="1"/>
  <c r="A112" i="38" s="1"/>
  <c r="C141" i="10"/>
  <c r="B141" i="10" s="1"/>
  <c r="D141" i="10" s="1"/>
  <c r="K142" i="10"/>
  <c r="N138" i="39"/>
  <c r="D138" i="39" s="1"/>
  <c r="A138" i="39" s="1"/>
  <c r="O139" i="39"/>
  <c r="L139" i="39"/>
  <c r="AS111" i="35"/>
  <c r="C111" i="35" s="1"/>
  <c r="B100" i="36"/>
  <c r="I100" i="36" s="1"/>
  <c r="H100" i="36"/>
  <c r="F100" i="36"/>
  <c r="G100" i="36"/>
  <c r="M101" i="36"/>
  <c r="AT113" i="38"/>
  <c r="E113" i="38" s="1"/>
  <c r="B110" i="35"/>
  <c r="J110" i="35"/>
  <c r="G110" i="35" l="1"/>
  <c r="L142" i="10"/>
  <c r="I142" i="10"/>
  <c r="A142" i="10" s="1"/>
  <c r="F142" i="10"/>
  <c r="G141" i="10"/>
  <c r="E141" i="10"/>
  <c r="H141" i="10"/>
  <c r="D100" i="36"/>
  <c r="AU113" i="38"/>
  <c r="D113" i="38" s="1"/>
  <c r="AS114" i="38"/>
  <c r="AV114" i="38"/>
  <c r="K101" i="36"/>
  <c r="D110" i="35"/>
  <c r="F110" i="35"/>
  <c r="E100" i="36"/>
  <c r="I110" i="35"/>
  <c r="H110" i="35"/>
  <c r="E110" i="35"/>
  <c r="AT112" i="35"/>
  <c r="A111" i="35"/>
  <c r="M139" i="39"/>
  <c r="C139" i="39" s="1"/>
  <c r="C113" i="38"/>
  <c r="J113" i="38" l="1"/>
  <c r="A113" i="38" s="1"/>
  <c r="K143" i="10"/>
  <c r="C142" i="10"/>
  <c r="B142" i="10" s="1"/>
  <c r="E142" i="10" s="1"/>
  <c r="N139" i="39"/>
  <c r="D139" i="39" s="1"/>
  <c r="A139" i="39" s="1"/>
  <c r="L140" i="39"/>
  <c r="O140" i="39"/>
  <c r="L101" i="36"/>
  <c r="C101" i="36" s="1"/>
  <c r="A101" i="36" s="1"/>
  <c r="AT114" i="38"/>
  <c r="C114" i="38" s="1"/>
  <c r="B111" i="35"/>
  <c r="AR112" i="35"/>
  <c r="J111" i="35"/>
  <c r="F111" i="35" l="1"/>
  <c r="D142" i="10"/>
  <c r="G142" i="10"/>
  <c r="F143" i="10"/>
  <c r="I143" i="10"/>
  <c r="A143" i="10" s="1"/>
  <c r="L143" i="10"/>
  <c r="H142" i="10"/>
  <c r="G111" i="35"/>
  <c r="E114" i="38"/>
  <c r="AS112" i="35"/>
  <c r="C112" i="35" s="1"/>
  <c r="H111" i="35"/>
  <c r="E111" i="35"/>
  <c r="M102" i="36"/>
  <c r="F101" i="36"/>
  <c r="H101" i="36"/>
  <c r="G101" i="36"/>
  <c r="B101" i="36"/>
  <c r="I101" i="36" s="1"/>
  <c r="I111" i="35"/>
  <c r="D111" i="35"/>
  <c r="M140" i="39"/>
  <c r="C140" i="39" s="1"/>
  <c r="AT113" i="35" l="1"/>
  <c r="AR113" i="35" s="1"/>
  <c r="C143" i="10"/>
  <c r="B143" i="10" s="1"/>
  <c r="G143" i="10" s="1"/>
  <c r="K144" i="10"/>
  <c r="D101" i="36"/>
  <c r="E101" i="36"/>
  <c r="N140" i="39"/>
  <c r="D140" i="39" s="1"/>
  <c r="A140" i="39" s="1"/>
  <c r="L141" i="39"/>
  <c r="O141" i="39"/>
  <c r="K102" i="36"/>
  <c r="A112" i="35"/>
  <c r="AU114" i="38"/>
  <c r="D114" i="38" s="1"/>
  <c r="AS115" i="38"/>
  <c r="AV115" i="38"/>
  <c r="J114" i="38" l="1"/>
  <c r="A114" i="38" s="1"/>
  <c r="H143" i="10"/>
  <c r="E143" i="10"/>
  <c r="D143" i="10"/>
  <c r="F144" i="10"/>
  <c r="L144" i="10"/>
  <c r="I144" i="10"/>
  <c r="A144" i="10" s="1"/>
  <c r="B112" i="35"/>
  <c r="AS113" i="35"/>
  <c r="C113" i="35" s="1"/>
  <c r="L102" i="36"/>
  <c r="C102" i="36" s="1"/>
  <c r="A102" i="36" s="1"/>
  <c r="M141" i="39"/>
  <c r="C141" i="39" s="1"/>
  <c r="AT115" i="38"/>
  <c r="C115" i="38" s="1"/>
  <c r="J112" i="35"/>
  <c r="I112" i="35" l="1"/>
  <c r="C144" i="10"/>
  <c r="B144" i="10" s="1"/>
  <c r="G144" i="10" s="1"/>
  <c r="K145" i="10"/>
  <c r="M103" i="36"/>
  <c r="K103" i="36" s="1"/>
  <c r="N141" i="39"/>
  <c r="D141" i="39" s="1"/>
  <c r="A141" i="39" s="1"/>
  <c r="L142" i="39"/>
  <c r="O142" i="39"/>
  <c r="A113" i="35"/>
  <c r="E115" i="38"/>
  <c r="AT114" i="35"/>
  <c r="F112" i="35"/>
  <c r="H112" i="35"/>
  <c r="G112" i="35"/>
  <c r="E112" i="35"/>
  <c r="D112" i="35"/>
  <c r="B102" i="36"/>
  <c r="I102" i="36" s="1"/>
  <c r="G102" i="36"/>
  <c r="F102" i="36"/>
  <c r="H102" i="36"/>
  <c r="I145" i="10" l="1"/>
  <c r="A145" i="10" s="1"/>
  <c r="L145" i="10"/>
  <c r="F145" i="10"/>
  <c r="D144" i="10"/>
  <c r="E144" i="10"/>
  <c r="H144" i="10"/>
  <c r="AU115" i="38"/>
  <c r="D115" i="38" s="1"/>
  <c r="AS116" i="38"/>
  <c r="AV116" i="38"/>
  <c r="B113" i="35"/>
  <c r="AR114" i="35"/>
  <c r="L103" i="36"/>
  <c r="C103" i="36" s="1"/>
  <c r="A103" i="36" s="1"/>
  <c r="D102" i="36"/>
  <c r="E102" i="36"/>
  <c r="M142" i="39"/>
  <c r="C142" i="39" s="1"/>
  <c r="J113" i="35"/>
  <c r="J115" i="38" l="1"/>
  <c r="A115" i="38" s="1"/>
  <c r="C145" i="10"/>
  <c r="B145" i="10" s="1"/>
  <c r="K146" i="10"/>
  <c r="D145" i="10"/>
  <c r="G145" i="10"/>
  <c r="H145" i="10"/>
  <c r="E145" i="10"/>
  <c r="M104" i="36"/>
  <c r="K104" i="36" s="1"/>
  <c r="N142" i="39"/>
  <c r="D142" i="39" s="1"/>
  <c r="A142" i="39" s="1"/>
  <c r="L143" i="39"/>
  <c r="O143" i="39"/>
  <c r="F113" i="35"/>
  <c r="H113" i="35"/>
  <c r="G113" i="35"/>
  <c r="E113" i="35"/>
  <c r="D113" i="35"/>
  <c r="I113" i="35"/>
  <c r="AT116" i="38"/>
  <c r="C116" i="38" s="1"/>
  <c r="B103" i="36"/>
  <c r="I103" i="36" s="1"/>
  <c r="G103" i="36"/>
  <c r="H103" i="36"/>
  <c r="F103" i="36"/>
  <c r="AS114" i="35"/>
  <c r="C114" i="35" s="1"/>
  <c r="AT115" i="35" l="1"/>
  <c r="AR115" i="35" s="1"/>
  <c r="I146" i="10"/>
  <c r="A146" i="10" s="1"/>
  <c r="L146" i="10"/>
  <c r="F146" i="10"/>
  <c r="E103" i="36"/>
  <c r="D103" i="36"/>
  <c r="L104" i="36"/>
  <c r="C104" i="36" s="1"/>
  <c r="A104" i="36" s="1"/>
  <c r="E116" i="38"/>
  <c r="M143" i="39"/>
  <c r="C143" i="39" s="1"/>
  <c r="A114" i="35"/>
  <c r="C146" i="10" l="1"/>
  <c r="B146" i="10" s="1"/>
  <c r="D146" i="10" s="1"/>
  <c r="K147" i="10"/>
  <c r="N143" i="39"/>
  <c r="D143" i="39" s="1"/>
  <c r="A143" i="39" s="1"/>
  <c r="L144" i="39"/>
  <c r="O144" i="39"/>
  <c r="B104" i="36"/>
  <c r="I104" i="36" s="1"/>
  <c r="H104" i="36"/>
  <c r="G104" i="36"/>
  <c r="F104" i="36"/>
  <c r="AS115" i="35"/>
  <c r="C115" i="35" s="1"/>
  <c r="B114" i="35"/>
  <c r="AU116" i="38"/>
  <c r="D116" i="38" s="1"/>
  <c r="AS117" i="38"/>
  <c r="AV117" i="38"/>
  <c r="M105" i="36"/>
  <c r="J114" i="35"/>
  <c r="J116" i="38" l="1"/>
  <c r="A116" i="38" s="1"/>
  <c r="G146" i="10"/>
  <c r="E146" i="10"/>
  <c r="H146" i="10"/>
  <c r="F147" i="10"/>
  <c r="L147" i="10"/>
  <c r="I147" i="10"/>
  <c r="A147" i="10" s="1"/>
  <c r="G114" i="35"/>
  <c r="K105" i="36"/>
  <c r="AT117" i="38"/>
  <c r="C117" i="38" s="1"/>
  <c r="E104" i="36"/>
  <c r="A115" i="35"/>
  <c r="AT116" i="35"/>
  <c r="H114" i="35"/>
  <c r="E114" i="35"/>
  <c r="D104" i="36"/>
  <c r="F114" i="35"/>
  <c r="D114" i="35"/>
  <c r="I114" i="35"/>
  <c r="M144" i="39"/>
  <c r="C144" i="39" s="1"/>
  <c r="K148" i="10" l="1"/>
  <c r="C147" i="10"/>
  <c r="B147" i="10" s="1"/>
  <c r="D147" i="10" s="1"/>
  <c r="N144" i="39"/>
  <c r="D144" i="39" s="1"/>
  <c r="A144" i="39" s="1"/>
  <c r="O145" i="39"/>
  <c r="L145" i="39"/>
  <c r="E117" i="38"/>
  <c r="L105" i="36"/>
  <c r="C105" i="36" s="1"/>
  <c r="A105" i="36" s="1"/>
  <c r="AR116" i="35"/>
  <c r="B115" i="35"/>
  <c r="J115" i="35"/>
  <c r="E147" i="10" l="1"/>
  <c r="I148" i="10"/>
  <c r="A148" i="10" s="1"/>
  <c r="F148" i="10"/>
  <c r="L148" i="10"/>
  <c r="G147" i="10"/>
  <c r="H147" i="10"/>
  <c r="I115" i="35"/>
  <c r="H115" i="35"/>
  <c r="E115" i="35"/>
  <c r="D115" i="35"/>
  <c r="G115" i="35"/>
  <c r="AS116" i="35"/>
  <c r="C116" i="35" s="1"/>
  <c r="M106" i="36"/>
  <c r="B105" i="36"/>
  <c r="I105" i="36" s="1"/>
  <c r="H105" i="36"/>
  <c r="F105" i="36"/>
  <c r="G105" i="36"/>
  <c r="AU117" i="38"/>
  <c r="D117" i="38" s="1"/>
  <c r="AV118" i="38"/>
  <c r="AS118" i="38"/>
  <c r="M145" i="39"/>
  <c r="C145" i="39" s="1"/>
  <c r="F115" i="35"/>
  <c r="J117" i="38" l="1"/>
  <c r="A117" i="38" s="1"/>
  <c r="AT117" i="35"/>
  <c r="AR117" i="35" s="1"/>
  <c r="K149" i="10"/>
  <c r="C148" i="10"/>
  <c r="B148" i="10" s="1"/>
  <c r="D148" i="10" s="1"/>
  <c r="E105" i="36"/>
  <c r="N145" i="39"/>
  <c r="D145" i="39" s="1"/>
  <c r="A145" i="39" s="1"/>
  <c r="L146" i="39"/>
  <c r="O146" i="39"/>
  <c r="K106" i="36"/>
  <c r="A116" i="35"/>
  <c r="D105" i="36"/>
  <c r="AT118" i="38"/>
  <c r="E118" i="38" s="1"/>
  <c r="E148" i="10" l="1"/>
  <c r="G148" i="10"/>
  <c r="H148" i="10"/>
  <c r="I149" i="10"/>
  <c r="A149" i="10" s="1"/>
  <c r="F149" i="10"/>
  <c r="L149" i="10"/>
  <c r="AU118" i="38"/>
  <c r="D118" i="38" s="1"/>
  <c r="AS119" i="38"/>
  <c r="AV119" i="38"/>
  <c r="L106" i="36"/>
  <c r="C106" i="36" s="1"/>
  <c r="A106" i="36" s="1"/>
  <c r="M146" i="39"/>
  <c r="C146" i="39" s="1"/>
  <c r="B116" i="35"/>
  <c r="C118" i="38"/>
  <c r="AS117" i="35"/>
  <c r="C117" i="35" s="1"/>
  <c r="J116" i="35"/>
  <c r="J118" i="38" l="1"/>
  <c r="A118" i="38" s="1"/>
  <c r="D116" i="35"/>
  <c r="K150" i="10"/>
  <c r="C149" i="10"/>
  <c r="B149" i="10" s="1"/>
  <c r="E149" i="10" s="1"/>
  <c r="I116" i="35"/>
  <c r="E116" i="35"/>
  <c r="H116" i="35"/>
  <c r="N146" i="39"/>
  <c r="D146" i="39" s="1"/>
  <c r="A146" i="39" s="1"/>
  <c r="O147" i="39"/>
  <c r="L147" i="39"/>
  <c r="A117" i="35"/>
  <c r="AT118" i="35"/>
  <c r="M107" i="36"/>
  <c r="G106" i="36"/>
  <c r="B106" i="36"/>
  <c r="I106" i="36" s="1"/>
  <c r="H106" i="36"/>
  <c r="F106" i="36"/>
  <c r="AT119" i="38"/>
  <c r="C119" i="38" s="1"/>
  <c r="G116" i="35"/>
  <c r="F116" i="35"/>
  <c r="G149" i="10" l="1"/>
  <c r="H149" i="10"/>
  <c r="D149" i="10"/>
  <c r="I150" i="10"/>
  <c r="A150" i="10" s="1"/>
  <c r="F150" i="10"/>
  <c r="L150" i="10"/>
  <c r="E106" i="36"/>
  <c r="D106" i="36"/>
  <c r="AR118" i="35"/>
  <c r="K107" i="36"/>
  <c r="E119" i="38"/>
  <c r="B117" i="35"/>
  <c r="M147" i="39"/>
  <c r="C147" i="39" s="1"/>
  <c r="J117" i="35"/>
  <c r="K151" i="10" l="1"/>
  <c r="C150" i="10"/>
  <c r="B150" i="10" s="1"/>
  <c r="E150" i="10" s="1"/>
  <c r="N147" i="39"/>
  <c r="D147" i="39" s="1"/>
  <c r="A147" i="39" s="1"/>
  <c r="L148" i="39"/>
  <c r="O148" i="39"/>
  <c r="AU119" i="38"/>
  <c r="D119" i="38" s="1"/>
  <c r="AV120" i="38"/>
  <c r="AS120" i="38"/>
  <c r="AS118" i="35"/>
  <c r="C118" i="35" s="1"/>
  <c r="G117" i="35"/>
  <c r="D117" i="35"/>
  <c r="L107" i="36"/>
  <c r="C107" i="36" s="1"/>
  <c r="A107" i="36" s="1"/>
  <c r="F117" i="35"/>
  <c r="E117" i="35"/>
  <c r="I117" i="35"/>
  <c r="H117" i="35"/>
  <c r="J119" i="38" l="1"/>
  <c r="A119" i="38" s="1"/>
  <c r="D150" i="10"/>
  <c r="G150" i="10"/>
  <c r="H150" i="10"/>
  <c r="I151" i="10"/>
  <c r="A151" i="10" s="1"/>
  <c r="L151" i="10"/>
  <c r="F151" i="10"/>
  <c r="M108" i="36"/>
  <c r="A118" i="35"/>
  <c r="AT120" i="38"/>
  <c r="C120" i="38" s="1"/>
  <c r="AT119" i="35"/>
  <c r="M148" i="39"/>
  <c r="C148" i="39" s="1"/>
  <c r="H107" i="36"/>
  <c r="F107" i="36"/>
  <c r="B107" i="36"/>
  <c r="I107" i="36" s="1"/>
  <c r="G107" i="36"/>
  <c r="C151" i="10" l="1"/>
  <c r="B151" i="10" s="1"/>
  <c r="D151" i="10" s="1"/>
  <c r="K152" i="10"/>
  <c r="N148" i="39"/>
  <c r="D148" i="39" s="1"/>
  <c r="A148" i="39" s="1"/>
  <c r="L149" i="39"/>
  <c r="O149" i="39"/>
  <c r="E120" i="38"/>
  <c r="D107" i="36"/>
  <c r="E107" i="36"/>
  <c r="B118" i="35"/>
  <c r="AR119" i="35"/>
  <c r="K108" i="36"/>
  <c r="J118" i="35"/>
  <c r="H118" i="35" l="1"/>
  <c r="G151" i="10"/>
  <c r="E151" i="10"/>
  <c r="H151" i="10"/>
  <c r="I152" i="10"/>
  <c r="A152" i="10" s="1"/>
  <c r="L152" i="10"/>
  <c r="F152" i="10"/>
  <c r="E118" i="35"/>
  <c r="G118" i="35"/>
  <c r="D118" i="35"/>
  <c r="L108" i="36"/>
  <c r="C108" i="36" s="1"/>
  <c r="A108" i="36" s="1"/>
  <c r="AS119" i="35"/>
  <c r="C119" i="35" s="1"/>
  <c r="AU120" i="38"/>
  <c r="D120" i="38" s="1"/>
  <c r="AV121" i="38"/>
  <c r="AS121" i="38"/>
  <c r="F118" i="35"/>
  <c r="M149" i="39"/>
  <c r="C149" i="39" s="1"/>
  <c r="I118" i="35"/>
  <c r="J120" i="38" l="1"/>
  <c r="A120" i="38" s="1"/>
  <c r="C152" i="10"/>
  <c r="B152" i="10" s="1"/>
  <c r="G152" i="10" s="1"/>
  <c r="K153" i="10"/>
  <c r="N149" i="39"/>
  <c r="D149" i="39" s="1"/>
  <c r="A149" i="39" s="1"/>
  <c r="O150" i="39"/>
  <c r="L150" i="39"/>
  <c r="AT120" i="35"/>
  <c r="G108" i="36"/>
  <c r="B108" i="36"/>
  <c r="I108" i="36" s="1"/>
  <c r="F108" i="36"/>
  <c r="H108" i="36"/>
  <c r="A119" i="35"/>
  <c r="AT121" i="38"/>
  <c r="E121" i="38" s="1"/>
  <c r="M109" i="36"/>
  <c r="D152" i="10" l="1"/>
  <c r="E152" i="10"/>
  <c r="H152" i="10"/>
  <c r="I153" i="10"/>
  <c r="A153" i="10" s="1"/>
  <c r="F153" i="10"/>
  <c r="L153" i="10"/>
  <c r="AU121" i="38"/>
  <c r="D121" i="38" s="1"/>
  <c r="AS122" i="38"/>
  <c r="AV122" i="38"/>
  <c r="E108" i="36"/>
  <c r="K109" i="36"/>
  <c r="AR120" i="35"/>
  <c r="D108" i="36"/>
  <c r="C121" i="38"/>
  <c r="M150" i="39"/>
  <c r="C150" i="39" s="1"/>
  <c r="B119" i="35"/>
  <c r="J119" i="35"/>
  <c r="J121" i="38" l="1"/>
  <c r="A121" i="38" s="1"/>
  <c r="F119" i="35"/>
  <c r="C153" i="10"/>
  <c r="B153" i="10" s="1"/>
  <c r="D153" i="10" s="1"/>
  <c r="K154" i="10"/>
  <c r="I119" i="35"/>
  <c r="N150" i="39"/>
  <c r="D150" i="39" s="1"/>
  <c r="A150" i="39" s="1"/>
  <c r="O151" i="39"/>
  <c r="L151" i="39"/>
  <c r="L109" i="36"/>
  <c r="C109" i="36" s="1"/>
  <c r="A109" i="36" s="1"/>
  <c r="H119" i="35"/>
  <c r="D119" i="35"/>
  <c r="G119" i="35"/>
  <c r="AS120" i="35"/>
  <c r="C120" i="35" s="1"/>
  <c r="E119" i="35"/>
  <c r="AT122" i="38"/>
  <c r="C122" i="38" s="1"/>
  <c r="E153" i="10" l="1"/>
  <c r="H153" i="10"/>
  <c r="G153" i="10"/>
  <c r="F154" i="10"/>
  <c r="I154" i="10"/>
  <c r="A154" i="10" s="1"/>
  <c r="L154" i="10"/>
  <c r="AT121" i="35"/>
  <c r="M110" i="36"/>
  <c r="F109" i="36"/>
  <c r="G109" i="36"/>
  <c r="B109" i="36"/>
  <c r="I109" i="36" s="1"/>
  <c r="H109" i="36"/>
  <c r="M151" i="39"/>
  <c r="C151" i="39" s="1"/>
  <c r="E122" i="38"/>
  <c r="A120" i="35"/>
  <c r="C154" i="10" l="1"/>
  <c r="B154" i="10" s="1"/>
  <c r="E154" i="10" s="1"/>
  <c r="K155" i="10"/>
  <c r="N151" i="39"/>
  <c r="D151" i="39" s="1"/>
  <c r="A151" i="39" s="1"/>
  <c r="O152" i="39"/>
  <c r="L152" i="39"/>
  <c r="D109" i="36"/>
  <c r="AU122" i="38"/>
  <c r="D122" i="38" s="1"/>
  <c r="AS123" i="38"/>
  <c r="AV123" i="38"/>
  <c r="E109" i="36"/>
  <c r="B120" i="35"/>
  <c r="K110" i="36"/>
  <c r="AR121" i="35"/>
  <c r="J120" i="35"/>
  <c r="J122" i="38" l="1"/>
  <c r="A122" i="38" s="1"/>
  <c r="G120" i="35"/>
  <c r="F155" i="10"/>
  <c r="I155" i="10"/>
  <c r="A155" i="10" s="1"/>
  <c r="L155" i="10"/>
  <c r="H154" i="10"/>
  <c r="D154" i="10"/>
  <c r="G154" i="10"/>
  <c r="I120" i="35"/>
  <c r="H120" i="35"/>
  <c r="AT123" i="38"/>
  <c r="E123" i="38" s="1"/>
  <c r="AS121" i="35"/>
  <c r="C121" i="35" s="1"/>
  <c r="L110" i="36"/>
  <c r="C110" i="36" s="1"/>
  <c r="A110" i="36" s="1"/>
  <c r="M152" i="39"/>
  <c r="C152" i="39" s="1"/>
  <c r="N152" i="39" s="1"/>
  <c r="D152" i="39" s="1"/>
  <c r="A152" i="39" s="1"/>
  <c r="D120" i="35"/>
  <c r="E120" i="35"/>
  <c r="F120" i="35"/>
  <c r="C155" i="10" l="1"/>
  <c r="B155" i="10" s="1"/>
  <c r="K156" i="10"/>
  <c r="H155" i="10"/>
  <c r="D155" i="10"/>
  <c r="E155" i="10"/>
  <c r="G155" i="10"/>
  <c r="AU123" i="38"/>
  <c r="D123" i="38" s="1"/>
  <c r="AS124" i="38"/>
  <c r="AV124" i="38"/>
  <c r="B110" i="36"/>
  <c r="I110" i="36" s="1"/>
  <c r="F110" i="36"/>
  <c r="H110" i="36"/>
  <c r="G110" i="36"/>
  <c r="A121" i="35"/>
  <c r="AT122" i="35"/>
  <c r="C123" i="38"/>
  <c r="O153" i="39"/>
  <c r="L153" i="39"/>
  <c r="M111" i="36"/>
  <c r="J123" i="38" l="1"/>
  <c r="A123" i="38" s="1"/>
  <c r="I156" i="10"/>
  <c r="A156" i="10" s="1"/>
  <c r="L156" i="10"/>
  <c r="F156" i="10"/>
  <c r="B121" i="35"/>
  <c r="K111" i="36"/>
  <c r="D110" i="36"/>
  <c r="M153" i="39"/>
  <c r="C153" i="39" s="1"/>
  <c r="E110" i="36"/>
  <c r="AT124" i="38"/>
  <c r="C124" i="38" s="1"/>
  <c r="AR122" i="35"/>
  <c r="J121" i="35"/>
  <c r="K157" i="10" l="1"/>
  <c r="C156" i="10"/>
  <c r="B156" i="10" s="1"/>
  <c r="E156" i="10" s="1"/>
  <c r="N153" i="39"/>
  <c r="D153" i="39" s="1"/>
  <c r="A153" i="39" s="1"/>
  <c r="L154" i="39"/>
  <c r="O154" i="39"/>
  <c r="L111" i="36"/>
  <c r="C111" i="36" s="1"/>
  <c r="A111" i="36" s="1"/>
  <c r="H121" i="35"/>
  <c r="E124" i="38"/>
  <c r="F121" i="35"/>
  <c r="G121" i="35"/>
  <c r="I121" i="35"/>
  <c r="D121" i="35"/>
  <c r="AS122" i="35"/>
  <c r="C122" i="35" s="1"/>
  <c r="E121" i="35"/>
  <c r="G156" i="10" l="1"/>
  <c r="H156" i="10"/>
  <c r="D156" i="10"/>
  <c r="F157" i="10"/>
  <c r="L157" i="10"/>
  <c r="I157" i="10" s="1"/>
  <c r="A157" i="10" s="1"/>
  <c r="A122" i="35"/>
  <c r="AU124" i="38"/>
  <c r="D124" i="38" s="1"/>
  <c r="AV125" i="38"/>
  <c r="AS125" i="38"/>
  <c r="M112" i="36"/>
  <c r="G111" i="36"/>
  <c r="B111" i="36"/>
  <c r="I111" i="36" s="1"/>
  <c r="F111" i="36"/>
  <c r="H111" i="36"/>
  <c r="M154" i="39"/>
  <c r="C154" i="39" s="1"/>
  <c r="AT123" i="35"/>
  <c r="J124" i="38" l="1"/>
  <c r="A124" i="38" s="1"/>
  <c r="C157" i="10"/>
  <c r="B157" i="10" s="1"/>
  <c r="H157" i="10" s="1"/>
  <c r="K158" i="10"/>
  <c r="N154" i="39"/>
  <c r="D154" i="39" s="1"/>
  <c r="A154" i="39" s="1"/>
  <c r="O155" i="39"/>
  <c r="L155" i="39"/>
  <c r="D111" i="36"/>
  <c r="K112" i="36"/>
  <c r="E111" i="36"/>
  <c r="AT125" i="38"/>
  <c r="C125" i="38" s="1"/>
  <c r="AR123" i="35"/>
  <c r="B122" i="35"/>
  <c r="J122" i="35"/>
  <c r="G122" i="35" l="1"/>
  <c r="G157" i="10"/>
  <c r="D157" i="10"/>
  <c r="E157" i="10"/>
  <c r="F158" i="10"/>
  <c r="L158" i="10"/>
  <c r="I158" i="10" s="1"/>
  <c r="A158" i="10" s="1"/>
  <c r="D122" i="35"/>
  <c r="L112" i="36"/>
  <c r="C112" i="36" s="1"/>
  <c r="A112" i="36" s="1"/>
  <c r="I122" i="35"/>
  <c r="E125" i="38"/>
  <c r="AS123" i="35"/>
  <c r="C123" i="35" s="1"/>
  <c r="F122" i="35"/>
  <c r="M155" i="39"/>
  <c r="C155" i="39" s="1"/>
  <c r="H122" i="35"/>
  <c r="E122" i="35"/>
  <c r="K159" i="10" l="1"/>
  <c r="C158" i="10"/>
  <c r="B158" i="10" s="1"/>
  <c r="E158" i="10" s="1"/>
  <c r="N155" i="39"/>
  <c r="D155" i="39" s="1"/>
  <c r="A155" i="39" s="1"/>
  <c r="L156" i="39"/>
  <c r="O156" i="39"/>
  <c r="A123" i="35"/>
  <c r="AU125" i="38"/>
  <c r="D125" i="38" s="1"/>
  <c r="AS126" i="38"/>
  <c r="AV126" i="38"/>
  <c r="M113" i="36"/>
  <c r="F112" i="36"/>
  <c r="G112" i="36"/>
  <c r="H112" i="36"/>
  <c r="B112" i="36"/>
  <c r="I112" i="36" s="1"/>
  <c r="AT124" i="35"/>
  <c r="J125" i="38" l="1"/>
  <c r="A125" i="38" s="1"/>
  <c r="D158" i="10"/>
  <c r="G158" i="10"/>
  <c r="H158" i="10"/>
  <c r="L159" i="10"/>
  <c r="F159" i="10"/>
  <c r="I159" i="10"/>
  <c r="A159" i="10" s="1"/>
  <c r="AT126" i="38"/>
  <c r="C126" i="38" s="1"/>
  <c r="AR124" i="35"/>
  <c r="B123" i="35"/>
  <c r="M156" i="39"/>
  <c r="C156" i="39" s="1"/>
  <c r="K113" i="36"/>
  <c r="D112" i="36"/>
  <c r="E112" i="36"/>
  <c r="J123" i="35"/>
  <c r="I123" i="35" l="1"/>
  <c r="K160" i="10"/>
  <c r="C159" i="10"/>
  <c r="B159" i="10" s="1"/>
  <c r="H159" i="10" s="1"/>
  <c r="H123" i="35"/>
  <c r="N156" i="39"/>
  <c r="D156" i="39" s="1"/>
  <c r="A156" i="39" s="1"/>
  <c r="L157" i="39"/>
  <c r="O157" i="39"/>
  <c r="AS124" i="35"/>
  <c r="C124" i="35" s="1"/>
  <c r="E126" i="38"/>
  <c r="F123" i="35"/>
  <c r="D123" i="35"/>
  <c r="E123" i="35"/>
  <c r="L113" i="36"/>
  <c r="C113" i="36" s="1"/>
  <c r="A113" i="36" s="1"/>
  <c r="G123" i="35"/>
  <c r="L160" i="10" l="1"/>
  <c r="I160" i="10" s="1"/>
  <c r="A160" i="10" s="1"/>
  <c r="F160" i="10"/>
  <c r="E159" i="10"/>
  <c r="G159" i="10"/>
  <c r="D159" i="10"/>
  <c r="M114" i="36"/>
  <c r="AU126" i="38"/>
  <c r="D126" i="38" s="1"/>
  <c r="AV127" i="38"/>
  <c r="AS127" i="38"/>
  <c r="B113" i="36"/>
  <c r="I113" i="36" s="1"/>
  <c r="F113" i="36"/>
  <c r="G113" i="36"/>
  <c r="H113" i="36"/>
  <c r="A124" i="35"/>
  <c r="AT125" i="35"/>
  <c r="M157" i="39"/>
  <c r="C157" i="39" s="1"/>
  <c r="J126" i="38" l="1"/>
  <c r="A126" i="38" s="1"/>
  <c r="C160" i="10"/>
  <c r="B160" i="10" s="1"/>
  <c r="D160" i="10" s="1"/>
  <c r="K161" i="10"/>
  <c r="N157" i="39"/>
  <c r="D157" i="39" s="1"/>
  <c r="A157" i="39" s="1"/>
  <c r="O158" i="39"/>
  <c r="L158" i="39"/>
  <c r="B124" i="35"/>
  <c r="E113" i="36"/>
  <c r="D113" i="36"/>
  <c r="AT127" i="38"/>
  <c r="E127" i="38" s="1"/>
  <c r="AR125" i="35"/>
  <c r="K114" i="36"/>
  <c r="J124" i="35"/>
  <c r="H124" i="35" l="1"/>
  <c r="E160" i="10"/>
  <c r="F161" i="10"/>
  <c r="L161" i="10"/>
  <c r="G160" i="10"/>
  <c r="H160" i="10"/>
  <c r="AU127" i="38"/>
  <c r="D127" i="38" s="1"/>
  <c r="AS128" i="38"/>
  <c r="AV128" i="38"/>
  <c r="I124" i="35"/>
  <c r="G124" i="35"/>
  <c r="D124" i="35"/>
  <c r="C127" i="38"/>
  <c r="E124" i="35"/>
  <c r="F124" i="35"/>
  <c r="M158" i="39"/>
  <c r="C158" i="39" s="1"/>
  <c r="AS125" i="35"/>
  <c r="C125" i="35" s="1"/>
  <c r="L114" i="36"/>
  <c r="C114" i="36" s="1"/>
  <c r="A114" i="36" s="1"/>
  <c r="J127" i="38" l="1"/>
  <c r="A127" i="38" s="1"/>
  <c r="AT126" i="35"/>
  <c r="AR126" i="35" s="1"/>
  <c r="C161" i="10"/>
  <c r="B161" i="10" s="1"/>
  <c r="K162" i="10"/>
  <c r="I161" i="10"/>
  <c r="A161" i="10" s="1"/>
  <c r="N158" i="39"/>
  <c r="D158" i="39" s="1"/>
  <c r="A158" i="39" s="1"/>
  <c r="O159" i="39"/>
  <c r="L159" i="39"/>
  <c r="F114" i="36"/>
  <c r="G114" i="36"/>
  <c r="B114" i="36"/>
  <c r="I114" i="36" s="1"/>
  <c r="H114" i="36"/>
  <c r="M115" i="36"/>
  <c r="AT128" i="38"/>
  <c r="C128" i="38" s="1"/>
  <c r="E161" i="10" l="1"/>
  <c r="H161" i="10"/>
  <c r="D161" i="10"/>
  <c r="G161" i="10"/>
  <c r="L162" i="10"/>
  <c r="F162" i="10"/>
  <c r="I162" i="10"/>
  <c r="A162" i="10" s="1"/>
  <c r="K115" i="36"/>
  <c r="E114" i="36"/>
  <c r="B125" i="35"/>
  <c r="D114" i="36"/>
  <c r="AS126" i="35"/>
  <c r="C126" i="35" s="1"/>
  <c r="M159" i="39"/>
  <c r="C159" i="39" s="1"/>
  <c r="E128" i="38"/>
  <c r="J125" i="35"/>
  <c r="AT127" i="35" l="1"/>
  <c r="AR127" i="35" s="1"/>
  <c r="C162" i="10"/>
  <c r="B162" i="10" s="1"/>
  <c r="E162" i="10" s="1"/>
  <c r="K163" i="10"/>
  <c r="N159" i="39"/>
  <c r="D159" i="39" s="1"/>
  <c r="A159" i="39" s="1"/>
  <c r="O160" i="39"/>
  <c r="L160" i="39"/>
  <c r="E125" i="35"/>
  <c r="G125" i="35"/>
  <c r="D125" i="35"/>
  <c r="F125" i="35"/>
  <c r="I125" i="35"/>
  <c r="H125" i="35"/>
  <c r="L115" i="36"/>
  <c r="C115" i="36" s="1"/>
  <c r="A115" i="36" s="1"/>
  <c r="AU128" i="38"/>
  <c r="D128" i="38" s="1"/>
  <c r="AV129" i="38"/>
  <c r="AS129" i="38"/>
  <c r="A126" i="35"/>
  <c r="J128" i="38" l="1"/>
  <c r="A128" i="38" s="1"/>
  <c r="F163" i="10"/>
  <c r="L163" i="10"/>
  <c r="I163" i="10"/>
  <c r="A163" i="10" s="1"/>
  <c r="G162" i="10"/>
  <c r="H162" i="10"/>
  <c r="D162" i="10"/>
  <c r="AT129" i="38"/>
  <c r="C129" i="38" s="1"/>
  <c r="B126" i="35"/>
  <c r="AS127" i="35"/>
  <c r="C127" i="35" s="1"/>
  <c r="M160" i="39"/>
  <c r="C160" i="39" s="1"/>
  <c r="M116" i="36"/>
  <c r="H115" i="36"/>
  <c r="G115" i="36"/>
  <c r="F115" i="36"/>
  <c r="B115" i="36"/>
  <c r="I115" i="36" s="1"/>
  <c r="J126" i="35"/>
  <c r="I126" i="35" l="1"/>
  <c r="C163" i="10"/>
  <c r="B163" i="10" s="1"/>
  <c r="H163" i="10" s="1"/>
  <c r="K164" i="10"/>
  <c r="D115" i="36"/>
  <c r="G126" i="35"/>
  <c r="N160" i="39"/>
  <c r="D160" i="39" s="1"/>
  <c r="A160" i="39" s="1"/>
  <c r="L161" i="39"/>
  <c r="O161" i="39"/>
  <c r="K116" i="36"/>
  <c r="F126" i="35"/>
  <c r="D126" i="35"/>
  <c r="H126" i="35"/>
  <c r="A127" i="35"/>
  <c r="E129" i="38"/>
  <c r="AT128" i="35"/>
  <c r="E115" i="36"/>
  <c r="E126" i="35"/>
  <c r="G163" i="10" l="1"/>
  <c r="D163" i="10"/>
  <c r="L164" i="10"/>
  <c r="I164" i="10"/>
  <c r="A164" i="10" s="1"/>
  <c r="F164" i="10"/>
  <c r="E163" i="10"/>
  <c r="AU129" i="38"/>
  <c r="D129" i="38" s="1"/>
  <c r="AV130" i="38"/>
  <c r="AS130" i="38"/>
  <c r="B127" i="35"/>
  <c r="L116" i="36"/>
  <c r="C116" i="36" s="1"/>
  <c r="A116" i="36" s="1"/>
  <c r="M161" i="39"/>
  <c r="C161" i="39" s="1"/>
  <c r="AR128" i="35"/>
  <c r="J127" i="35"/>
  <c r="J129" i="38" l="1"/>
  <c r="A129" i="38" s="1"/>
  <c r="G127" i="35"/>
  <c r="D164" i="10"/>
  <c r="E164" i="10"/>
  <c r="H164" i="10"/>
  <c r="G164" i="10"/>
  <c r="C164" i="10"/>
  <c r="B164" i="10" s="1"/>
  <c r="K165" i="10"/>
  <c r="N161" i="39"/>
  <c r="D161" i="39" s="1"/>
  <c r="A161" i="39" s="1"/>
  <c r="L162" i="39"/>
  <c r="O162" i="39"/>
  <c r="B116" i="36"/>
  <c r="I116" i="36" s="1"/>
  <c r="F116" i="36"/>
  <c r="H116" i="36"/>
  <c r="G116" i="36"/>
  <c r="I127" i="35"/>
  <c r="F127" i="35"/>
  <c r="E127" i="35"/>
  <c r="D127" i="35"/>
  <c r="AT130" i="38"/>
  <c r="E130" i="38" s="1"/>
  <c r="H127" i="35"/>
  <c r="AS128" i="35"/>
  <c r="C128" i="35" s="1"/>
  <c r="M117" i="36"/>
  <c r="F165" i="10" l="1"/>
  <c r="I165" i="10"/>
  <c r="A165" i="10" s="1"/>
  <c r="L165" i="10"/>
  <c r="AU130" i="38"/>
  <c r="D130" i="38" s="1"/>
  <c r="AS131" i="38"/>
  <c r="AV131" i="38"/>
  <c r="A128" i="35"/>
  <c r="D116" i="36"/>
  <c r="K117" i="36"/>
  <c r="C130" i="38"/>
  <c r="E116" i="36"/>
  <c r="AT129" i="35"/>
  <c r="M162" i="39"/>
  <c r="C162" i="39" s="1"/>
  <c r="J130" i="38" l="1"/>
  <c r="A130" i="38" s="1"/>
  <c r="K166" i="10"/>
  <c r="C165" i="10"/>
  <c r="B165" i="10" s="1"/>
  <c r="D165" i="10" s="1"/>
  <c r="N162" i="39"/>
  <c r="D162" i="39" s="1"/>
  <c r="A162" i="39" s="1"/>
  <c r="O163" i="39"/>
  <c r="L163" i="39"/>
  <c r="L117" i="36"/>
  <c r="C117" i="36" s="1"/>
  <c r="A117" i="36" s="1"/>
  <c r="AT131" i="38"/>
  <c r="E131" i="38" s="1"/>
  <c r="B128" i="35"/>
  <c r="AR129" i="35"/>
  <c r="J128" i="35"/>
  <c r="I128" i="35" l="1"/>
  <c r="H165" i="10"/>
  <c r="G165" i="10"/>
  <c r="E165" i="10"/>
  <c r="F166" i="10"/>
  <c r="L166" i="10"/>
  <c r="I166" i="10"/>
  <c r="A166" i="10" s="1"/>
  <c r="AU131" i="38"/>
  <c r="D131" i="38" s="1"/>
  <c r="AS132" i="38"/>
  <c r="AV132" i="38"/>
  <c r="C131" i="38"/>
  <c r="AS129" i="35"/>
  <c r="C129" i="35" s="1"/>
  <c r="D128" i="35"/>
  <c r="M118" i="36"/>
  <c r="F117" i="36"/>
  <c r="G117" i="36"/>
  <c r="H117" i="36"/>
  <c r="B117" i="36"/>
  <c r="I117" i="36" s="1"/>
  <c r="M163" i="39"/>
  <c r="C163" i="39" s="1"/>
  <c r="H128" i="35"/>
  <c r="F128" i="35"/>
  <c r="G128" i="35"/>
  <c r="E128" i="35"/>
  <c r="J131" i="38" l="1"/>
  <c r="A131" i="38" s="1"/>
  <c r="AT130" i="35"/>
  <c r="AR130" i="35" s="1"/>
  <c r="K167" i="10"/>
  <c r="C166" i="10"/>
  <c r="B166" i="10" s="1"/>
  <c r="D166" i="10" s="1"/>
  <c r="E117" i="36"/>
  <c r="D117" i="36"/>
  <c r="N163" i="39"/>
  <c r="D163" i="39" s="1"/>
  <c r="A163" i="39" s="1"/>
  <c r="O164" i="39"/>
  <c r="L164" i="39"/>
  <c r="K118" i="36"/>
  <c r="A129" i="35"/>
  <c r="AT132" i="38"/>
  <c r="E132" i="38" s="1"/>
  <c r="L167" i="10" l="1"/>
  <c r="I167" i="10"/>
  <c r="A167" i="10" s="1"/>
  <c r="F167" i="10"/>
  <c r="H166" i="10"/>
  <c r="G166" i="10"/>
  <c r="E166" i="10"/>
  <c r="AU132" i="38"/>
  <c r="D132" i="38" s="1"/>
  <c r="AS133" i="38"/>
  <c r="AV133" i="38"/>
  <c r="B129" i="35"/>
  <c r="L118" i="36"/>
  <c r="C118" i="36" s="1"/>
  <c r="A118" i="36" s="1"/>
  <c r="M164" i="39"/>
  <c r="C164" i="39" s="1"/>
  <c r="C132" i="38"/>
  <c r="AS130" i="35"/>
  <c r="C130" i="35" s="1"/>
  <c r="J129" i="35"/>
  <c r="J132" i="38" l="1"/>
  <c r="A132" i="38" s="1"/>
  <c r="D129" i="35"/>
  <c r="AT131" i="35"/>
  <c r="AR131" i="35" s="1"/>
  <c r="K168" i="10"/>
  <c r="C167" i="10"/>
  <c r="B167" i="10" s="1"/>
  <c r="G167" i="10" s="1"/>
  <c r="M119" i="36"/>
  <c r="K119" i="36" s="1"/>
  <c r="N164" i="39"/>
  <c r="D164" i="39" s="1"/>
  <c r="A164" i="39" s="1"/>
  <c r="O165" i="39"/>
  <c r="L165" i="39"/>
  <c r="I129" i="35"/>
  <c r="G129" i="35"/>
  <c r="H129" i="35"/>
  <c r="A130" i="35"/>
  <c r="E129" i="35"/>
  <c r="F129" i="35"/>
  <c r="AT133" i="38"/>
  <c r="E133" i="38" s="1"/>
  <c r="G118" i="36"/>
  <c r="H118" i="36"/>
  <c r="F118" i="36"/>
  <c r="B118" i="36"/>
  <c r="I118" i="36" s="1"/>
  <c r="D167" i="10" l="1"/>
  <c r="E167" i="10"/>
  <c r="H167" i="10"/>
  <c r="L168" i="10"/>
  <c r="I168" i="10" s="1"/>
  <c r="A168" i="10" s="1"/>
  <c r="F168" i="10"/>
  <c r="AU133" i="38"/>
  <c r="D133" i="38" s="1"/>
  <c r="AS134" i="38"/>
  <c r="AV134" i="38"/>
  <c r="C133" i="38"/>
  <c r="B130" i="35"/>
  <c r="M165" i="39"/>
  <c r="C165" i="39" s="1"/>
  <c r="L119" i="36"/>
  <c r="C119" i="36" s="1"/>
  <c r="A119" i="36" s="1"/>
  <c r="AS131" i="35"/>
  <c r="C131" i="35" s="1"/>
  <c r="E118" i="36"/>
  <c r="D118" i="36"/>
  <c r="J130" i="35"/>
  <c r="J133" i="38" l="1"/>
  <c r="A133" i="38" s="1"/>
  <c r="F130" i="35"/>
  <c r="K169" i="10"/>
  <c r="C168" i="10"/>
  <c r="B168" i="10" s="1"/>
  <c r="H168" i="10" s="1"/>
  <c r="G130" i="35"/>
  <c r="N165" i="39"/>
  <c r="D165" i="39" s="1"/>
  <c r="A165" i="39" s="1"/>
  <c r="L166" i="39"/>
  <c r="O166" i="39"/>
  <c r="E130" i="35"/>
  <c r="G119" i="36"/>
  <c r="H119" i="36"/>
  <c r="B119" i="36"/>
  <c r="I119" i="36" s="1"/>
  <c r="F119" i="36"/>
  <c r="D130" i="35"/>
  <c r="A131" i="35"/>
  <c r="M120" i="36"/>
  <c r="H130" i="35"/>
  <c r="AT132" i="35"/>
  <c r="AT134" i="38"/>
  <c r="C134" i="38" s="1"/>
  <c r="I130" i="35"/>
  <c r="E168" i="10" l="1"/>
  <c r="D168" i="10"/>
  <c r="G168" i="10"/>
  <c r="L169" i="10"/>
  <c r="F169" i="10"/>
  <c r="I169" i="10"/>
  <c r="A169" i="10" s="1"/>
  <c r="E134" i="38"/>
  <c r="E119" i="36"/>
  <c r="B131" i="35"/>
  <c r="D119" i="36"/>
  <c r="AR132" i="35"/>
  <c r="K120" i="36"/>
  <c r="M166" i="39"/>
  <c r="C166" i="39" s="1"/>
  <c r="J131" i="35"/>
  <c r="G131" i="35" l="1"/>
  <c r="C169" i="10"/>
  <c r="B169" i="10" s="1"/>
  <c r="G169" i="10" s="1"/>
  <c r="K170" i="10"/>
  <c r="N166" i="39"/>
  <c r="D166" i="39" s="1"/>
  <c r="A166" i="39" s="1"/>
  <c r="O167" i="39"/>
  <c r="L167" i="39"/>
  <c r="E131" i="35"/>
  <c r="D131" i="35"/>
  <c r="I131" i="35"/>
  <c r="F131" i="35"/>
  <c r="H131" i="35"/>
  <c r="L120" i="36"/>
  <c r="C120" i="36" s="1"/>
  <c r="A120" i="36" s="1"/>
  <c r="AS132" i="35"/>
  <c r="C132" i="35" s="1"/>
  <c r="AU134" i="38"/>
  <c r="D134" i="38" s="1"/>
  <c r="AS135" i="38"/>
  <c r="AV135" i="38"/>
  <c r="J134" i="38" l="1"/>
  <c r="A134" i="38" s="1"/>
  <c r="F170" i="10"/>
  <c r="I170" i="10"/>
  <c r="A170" i="10" s="1"/>
  <c r="L170" i="10"/>
  <c r="H169" i="10"/>
  <c r="D169" i="10"/>
  <c r="E169" i="10"/>
  <c r="AT135" i="38"/>
  <c r="C135" i="38" s="1"/>
  <c r="AT133" i="35"/>
  <c r="F120" i="36"/>
  <c r="B120" i="36"/>
  <c r="I120" i="36" s="1"/>
  <c r="H120" i="36"/>
  <c r="G120" i="36"/>
  <c r="A132" i="35"/>
  <c r="M121" i="36"/>
  <c r="M167" i="39"/>
  <c r="C167" i="39" s="1"/>
  <c r="C170" i="10" l="1"/>
  <c r="B170" i="10" s="1"/>
  <c r="D170" i="10" s="1"/>
  <c r="K171" i="10"/>
  <c r="N167" i="39"/>
  <c r="D167" i="39" s="1"/>
  <c r="A167" i="39" s="1"/>
  <c r="O168" i="39"/>
  <c r="L168" i="39"/>
  <c r="B132" i="35"/>
  <c r="D120" i="36"/>
  <c r="AR133" i="35"/>
  <c r="E120" i="36"/>
  <c r="E135" i="38"/>
  <c r="K121" i="36"/>
  <c r="J132" i="35"/>
  <c r="D132" i="35" l="1"/>
  <c r="E170" i="10"/>
  <c r="H170" i="10"/>
  <c r="G170" i="10"/>
  <c r="L171" i="10"/>
  <c r="I171" i="10"/>
  <c r="A171" i="10" s="1"/>
  <c r="F171" i="10"/>
  <c r="F132" i="35"/>
  <c r="G132" i="35"/>
  <c r="H132" i="35"/>
  <c r="L121" i="36"/>
  <c r="C121" i="36" s="1"/>
  <c r="A121" i="36" s="1"/>
  <c r="E132" i="35"/>
  <c r="AU135" i="38"/>
  <c r="D135" i="38" s="1"/>
  <c r="AV136" i="38"/>
  <c r="AS136" i="38"/>
  <c r="I132" i="35"/>
  <c r="M168" i="39"/>
  <c r="C168" i="39" s="1"/>
  <c r="N168" i="39" s="1"/>
  <c r="D168" i="39" s="1"/>
  <c r="A168" i="39" s="1"/>
  <c r="AS133" i="35"/>
  <c r="C133" i="35" s="1"/>
  <c r="J135" i="38" l="1"/>
  <c r="A135" i="38" s="1"/>
  <c r="K172" i="10"/>
  <c r="C171" i="10"/>
  <c r="B171" i="10" s="1"/>
  <c r="H171" i="10" s="1"/>
  <c r="AT136" i="38"/>
  <c r="E136" i="38" s="1"/>
  <c r="F121" i="36"/>
  <c r="H121" i="36"/>
  <c r="B121" i="36"/>
  <c r="I121" i="36" s="1"/>
  <c r="G121" i="36"/>
  <c r="O169" i="39"/>
  <c r="AT134" i="35"/>
  <c r="M122" i="36"/>
  <c r="L169" i="39"/>
  <c r="A133" i="35"/>
  <c r="I172" i="10" l="1"/>
  <c r="A172" i="10" s="1"/>
  <c r="L172" i="10"/>
  <c r="F172" i="10"/>
  <c r="G171" i="10"/>
  <c r="D171" i="10"/>
  <c r="E171" i="10"/>
  <c r="AU136" i="38"/>
  <c r="D136" i="38" s="1"/>
  <c r="AV137" i="38"/>
  <c r="AS137" i="38"/>
  <c r="AR134" i="35"/>
  <c r="M169" i="39"/>
  <c r="C169" i="39" s="1"/>
  <c r="E121" i="36"/>
  <c r="D121" i="36"/>
  <c r="B133" i="35"/>
  <c r="C136" i="38"/>
  <c r="K122" i="36"/>
  <c r="J136" i="38" l="1"/>
  <c r="A136" i="38" s="1"/>
  <c r="I133" i="35"/>
  <c r="C172" i="10"/>
  <c r="B172" i="10" s="1"/>
  <c r="D172" i="10" s="1"/>
  <c r="K173" i="10"/>
  <c r="N169" i="39"/>
  <c r="D169" i="39" s="1"/>
  <c r="A169" i="39" s="1"/>
  <c r="L170" i="39"/>
  <c r="O170" i="39"/>
  <c r="G133" i="35"/>
  <c r="AS134" i="35"/>
  <c r="C134" i="35" s="1"/>
  <c r="E133" i="35"/>
  <c r="AT137" i="38"/>
  <c r="C137" i="38" s="1"/>
  <c r="H133" i="35"/>
  <c r="D133" i="35"/>
  <c r="F133" i="35"/>
  <c r="L122" i="36"/>
  <c r="C122" i="36" s="1"/>
  <c r="A122" i="36" s="1"/>
  <c r="G172" i="10" l="1"/>
  <c r="E172" i="10"/>
  <c r="H172" i="10"/>
  <c r="L173" i="10"/>
  <c r="I173" i="10" s="1"/>
  <c r="A173" i="10" s="1"/>
  <c r="F173" i="10"/>
  <c r="E137" i="38"/>
  <c r="A134" i="35"/>
  <c r="G122" i="36"/>
  <c r="F122" i="36"/>
  <c r="B122" i="36"/>
  <c r="I122" i="36" s="1"/>
  <c r="H122" i="36"/>
  <c r="AT135" i="35"/>
  <c r="M123" i="36"/>
  <c r="M170" i="39"/>
  <c r="C170" i="39" s="1"/>
  <c r="H173" i="10" l="1"/>
  <c r="D173" i="10"/>
  <c r="G173" i="10"/>
  <c r="E173" i="10"/>
  <c r="C173" i="10"/>
  <c r="B173" i="10" s="1"/>
  <c r="K174" i="10"/>
  <c r="N170" i="39"/>
  <c r="D170" i="39" s="1"/>
  <c r="A170" i="39" s="1"/>
  <c r="L171" i="39"/>
  <c r="O171" i="39"/>
  <c r="E122" i="36"/>
  <c r="AR135" i="35"/>
  <c r="D122" i="36"/>
  <c r="K123" i="36"/>
  <c r="B134" i="35"/>
  <c r="AU137" i="38"/>
  <c r="D137" i="38" s="1"/>
  <c r="AV138" i="38"/>
  <c r="AS138" i="38"/>
  <c r="J134" i="35"/>
  <c r="J137" i="38" l="1"/>
  <c r="A137" i="38" s="1"/>
  <c r="F174" i="10"/>
  <c r="L174" i="10"/>
  <c r="AT138" i="38"/>
  <c r="C138" i="38" s="1"/>
  <c r="AS135" i="35"/>
  <c r="C135" i="35" s="1"/>
  <c r="E134" i="35"/>
  <c r="F134" i="35"/>
  <c r="G134" i="35"/>
  <c r="L123" i="36"/>
  <c r="C123" i="36" s="1"/>
  <c r="A123" i="36" s="1"/>
  <c r="D134" i="35"/>
  <c r="M171" i="39"/>
  <c r="C171" i="39" s="1"/>
  <c r="I134" i="35"/>
  <c r="H134" i="35"/>
  <c r="C174" i="10" l="1"/>
  <c r="B174" i="10" s="1"/>
  <c r="K175" i="10"/>
  <c r="I174" i="10"/>
  <c r="A174" i="10" s="1"/>
  <c r="N171" i="39"/>
  <c r="D171" i="39" s="1"/>
  <c r="A171" i="39" s="1"/>
  <c r="O172" i="39"/>
  <c r="L172" i="39"/>
  <c r="A135" i="35"/>
  <c r="E138" i="38"/>
  <c r="AT136" i="35"/>
  <c r="M124" i="36"/>
  <c r="B123" i="36"/>
  <c r="I123" i="36" s="1"/>
  <c r="F123" i="36"/>
  <c r="G123" i="36"/>
  <c r="H123" i="36"/>
  <c r="H174" i="10" l="1"/>
  <c r="G174" i="10"/>
  <c r="D174" i="10"/>
  <c r="E174" i="10"/>
  <c r="I175" i="10"/>
  <c r="A175" i="10" s="1"/>
  <c r="F175" i="10"/>
  <c r="L175" i="10"/>
  <c r="AR136" i="35"/>
  <c r="AU138" i="38"/>
  <c r="D138" i="38" s="1"/>
  <c r="AS139" i="38"/>
  <c r="AV139" i="38"/>
  <c r="K124" i="36"/>
  <c r="B135" i="35"/>
  <c r="M172" i="39"/>
  <c r="C172" i="39" s="1"/>
  <c r="D123" i="36"/>
  <c r="E123" i="36"/>
  <c r="J135" i="35"/>
  <c r="J138" i="38" l="1"/>
  <c r="A138" i="38" s="1"/>
  <c r="F135" i="35"/>
  <c r="C175" i="10"/>
  <c r="B175" i="10" s="1"/>
  <c r="E175" i="10" s="1"/>
  <c r="K176" i="10"/>
  <c r="D135" i="35"/>
  <c r="I135" i="35"/>
  <c r="G135" i="35"/>
  <c r="N172" i="39"/>
  <c r="D172" i="39" s="1"/>
  <c r="A172" i="39" s="1"/>
  <c r="O173" i="39"/>
  <c r="L173" i="39"/>
  <c r="L124" i="36"/>
  <c r="C124" i="36" s="1"/>
  <c r="A124" i="36" s="1"/>
  <c r="AT139" i="38"/>
  <c r="E139" i="38" s="1"/>
  <c r="AS136" i="35"/>
  <c r="C136" i="35" s="1"/>
  <c r="H135" i="35"/>
  <c r="E135" i="35"/>
  <c r="F176" i="10" l="1"/>
  <c r="L176" i="10"/>
  <c r="I176" i="10"/>
  <c r="A176" i="10" s="1"/>
  <c r="G175" i="10"/>
  <c r="D175" i="10"/>
  <c r="H175" i="10"/>
  <c r="AU139" i="38"/>
  <c r="D139" i="38" s="1"/>
  <c r="AV140" i="38"/>
  <c r="AS140" i="38"/>
  <c r="C139" i="38"/>
  <c r="G124" i="36"/>
  <c r="F124" i="36"/>
  <c r="H124" i="36"/>
  <c r="B124" i="36"/>
  <c r="I124" i="36" s="1"/>
  <c r="M125" i="36"/>
  <c r="M173" i="39"/>
  <c r="C173" i="39" s="1"/>
  <c r="AT137" i="35"/>
  <c r="A136" i="35"/>
  <c r="J139" i="38" l="1"/>
  <c r="A139" i="38" s="1"/>
  <c r="C176" i="10"/>
  <c r="B176" i="10" s="1"/>
  <c r="H176" i="10" s="1"/>
  <c r="K177" i="10"/>
  <c r="N173" i="39"/>
  <c r="D173" i="39" s="1"/>
  <c r="A173" i="39" s="1"/>
  <c r="O174" i="39"/>
  <c r="L174" i="39"/>
  <c r="K125" i="36"/>
  <c r="D124" i="36"/>
  <c r="E124" i="36"/>
  <c r="AT140" i="38"/>
  <c r="E140" i="38" s="1"/>
  <c r="AR137" i="35"/>
  <c r="B136" i="35"/>
  <c r="J136" i="35"/>
  <c r="H136" i="35" l="1"/>
  <c r="L177" i="10"/>
  <c r="F177" i="10"/>
  <c r="I177" i="10"/>
  <c r="A177" i="10" s="1"/>
  <c r="E176" i="10"/>
  <c r="D176" i="10"/>
  <c r="G176" i="10"/>
  <c r="AU140" i="38"/>
  <c r="D140" i="38" s="1"/>
  <c r="AS141" i="38"/>
  <c r="AV141" i="38"/>
  <c r="C140" i="38"/>
  <c r="L125" i="36"/>
  <c r="C125" i="36" s="1"/>
  <c r="A125" i="36" s="1"/>
  <c r="D136" i="35"/>
  <c r="G136" i="35"/>
  <c r="F136" i="35"/>
  <c r="E136" i="35"/>
  <c r="I136" i="35"/>
  <c r="M174" i="39"/>
  <c r="C174" i="39" s="1"/>
  <c r="AS137" i="35"/>
  <c r="C137" i="35" s="1"/>
  <c r="J140" i="38" l="1"/>
  <c r="A140" i="38" s="1"/>
  <c r="K178" i="10"/>
  <c r="C177" i="10"/>
  <c r="B177" i="10" s="1"/>
  <c r="H177" i="10" s="1"/>
  <c r="N174" i="39"/>
  <c r="D174" i="39" s="1"/>
  <c r="A174" i="39" s="1"/>
  <c r="L175" i="39"/>
  <c r="O175" i="39"/>
  <c r="M126" i="36"/>
  <c r="B125" i="36"/>
  <c r="I125" i="36" s="1"/>
  <c r="F125" i="36"/>
  <c r="G125" i="36"/>
  <c r="H125" i="36"/>
  <c r="AT138" i="35"/>
  <c r="AT141" i="38"/>
  <c r="C141" i="38" s="1"/>
  <c r="A137" i="35"/>
  <c r="D177" i="10" l="1"/>
  <c r="E177" i="10"/>
  <c r="I178" i="10"/>
  <c r="A178" i="10" s="1"/>
  <c r="L178" i="10"/>
  <c r="F178" i="10"/>
  <c r="G177" i="10"/>
  <c r="D125" i="36"/>
  <c r="B137" i="35"/>
  <c r="E125" i="36"/>
  <c r="AR138" i="35"/>
  <c r="K126" i="36"/>
  <c r="E141" i="38"/>
  <c r="M175" i="39"/>
  <c r="C175" i="39" s="1"/>
  <c r="J137" i="35"/>
  <c r="H137" i="35" l="1"/>
  <c r="K179" i="10"/>
  <c r="C178" i="10"/>
  <c r="B178" i="10" s="1"/>
  <c r="E178" i="10" s="1"/>
  <c r="N175" i="39"/>
  <c r="D175" i="39" s="1"/>
  <c r="A175" i="39" s="1"/>
  <c r="L176" i="39"/>
  <c r="O176" i="39"/>
  <c r="AS138" i="35"/>
  <c r="C138" i="35" s="1"/>
  <c r="E137" i="35"/>
  <c r="F137" i="35"/>
  <c r="L126" i="36"/>
  <c r="C126" i="36" s="1"/>
  <c r="A126" i="36" s="1"/>
  <c r="G137" i="35"/>
  <c r="I137" i="35"/>
  <c r="AU141" i="38"/>
  <c r="D141" i="38" s="1"/>
  <c r="AV142" i="38"/>
  <c r="AS142" i="38"/>
  <c r="D137" i="35"/>
  <c r="J141" i="38" l="1"/>
  <c r="A141" i="38" s="1"/>
  <c r="AT139" i="35"/>
  <c r="AR139" i="35" s="1"/>
  <c r="G178" i="10"/>
  <c r="D178" i="10"/>
  <c r="H178" i="10"/>
  <c r="L179" i="10"/>
  <c r="F179" i="10"/>
  <c r="I179" i="10"/>
  <c r="A179" i="10" s="1"/>
  <c r="M127" i="36"/>
  <c r="F126" i="36"/>
  <c r="B126" i="36"/>
  <c r="I126" i="36" s="1"/>
  <c r="G126" i="36"/>
  <c r="H126" i="36"/>
  <c r="A138" i="35"/>
  <c r="AT142" i="38"/>
  <c r="E142" i="38" s="1"/>
  <c r="M176" i="39"/>
  <c r="C176" i="39" s="1"/>
  <c r="K180" i="10" l="1"/>
  <c r="C179" i="10"/>
  <c r="B179" i="10" s="1"/>
  <c r="D179" i="10" s="1"/>
  <c r="N176" i="39"/>
  <c r="D176" i="39" s="1"/>
  <c r="A176" i="39" s="1"/>
  <c r="L177" i="39"/>
  <c r="O177" i="39"/>
  <c r="AU142" i="38"/>
  <c r="D142" i="38" s="1"/>
  <c r="AV143" i="38"/>
  <c r="AS143" i="38"/>
  <c r="E126" i="36"/>
  <c r="C142" i="38"/>
  <c r="D126" i="36"/>
  <c r="K127" i="36"/>
  <c r="AS139" i="35"/>
  <c r="C139" i="35" s="1"/>
  <c r="B138" i="35"/>
  <c r="J138" i="35"/>
  <c r="J142" i="38" l="1"/>
  <c r="A142" i="38" s="1"/>
  <c r="E138" i="35"/>
  <c r="L180" i="10"/>
  <c r="I180" i="10"/>
  <c r="A180" i="10" s="1"/>
  <c r="F180" i="10"/>
  <c r="E179" i="10"/>
  <c r="H179" i="10"/>
  <c r="G179" i="10"/>
  <c r="G138" i="35"/>
  <c r="D138" i="35"/>
  <c r="I138" i="35"/>
  <c r="F138" i="35"/>
  <c r="H138" i="35"/>
  <c r="AT143" i="38"/>
  <c r="E143" i="38" s="1"/>
  <c r="A139" i="35"/>
  <c r="M177" i="39"/>
  <c r="C177" i="39" s="1"/>
  <c r="AT140" i="35"/>
  <c r="L127" i="36"/>
  <c r="C127" i="36" s="1"/>
  <c r="A127" i="36" s="1"/>
  <c r="K181" i="10" l="1"/>
  <c r="C180" i="10"/>
  <c r="B180" i="10" s="1"/>
  <c r="E180" i="10" s="1"/>
  <c r="N177" i="39"/>
  <c r="D177" i="39" s="1"/>
  <c r="A177" i="39" s="1"/>
  <c r="O178" i="39"/>
  <c r="L178" i="39"/>
  <c r="AU143" i="38"/>
  <c r="D143" i="38" s="1"/>
  <c r="AV144" i="38"/>
  <c r="AS144" i="38"/>
  <c r="B139" i="35"/>
  <c r="M128" i="36"/>
  <c r="G127" i="36"/>
  <c r="B127" i="36"/>
  <c r="I127" i="36" s="1"/>
  <c r="H127" i="36"/>
  <c r="F127" i="36"/>
  <c r="AR140" i="35"/>
  <c r="C143" i="38"/>
  <c r="J139" i="35"/>
  <c r="J143" i="38" l="1"/>
  <c r="A143" i="38" s="1"/>
  <c r="E139" i="35"/>
  <c r="L181" i="10"/>
  <c r="F181" i="10"/>
  <c r="I181" i="10"/>
  <c r="A181" i="10" s="1"/>
  <c r="D180" i="10"/>
  <c r="H180" i="10"/>
  <c r="G180" i="10"/>
  <c r="I139" i="35"/>
  <c r="D139" i="35"/>
  <c r="AT144" i="38"/>
  <c r="C144" i="38" s="1"/>
  <c r="AS140" i="35"/>
  <c r="C140" i="35" s="1"/>
  <c r="E127" i="36"/>
  <c r="D127" i="36"/>
  <c r="M178" i="39"/>
  <c r="C178" i="39" s="1"/>
  <c r="K128" i="36"/>
  <c r="G139" i="35"/>
  <c r="H139" i="35"/>
  <c r="F139" i="35"/>
  <c r="AT141" i="35" l="1"/>
  <c r="AR141" i="35" s="1"/>
  <c r="C181" i="10"/>
  <c r="B181" i="10" s="1"/>
  <c r="G181" i="10" s="1"/>
  <c r="K182" i="10"/>
  <c r="N178" i="39"/>
  <c r="D178" i="39" s="1"/>
  <c r="A178" i="39" s="1"/>
  <c r="O179" i="39"/>
  <c r="L179" i="39"/>
  <c r="A140" i="35"/>
  <c r="E144" i="38"/>
  <c r="L128" i="36"/>
  <c r="C128" i="36" s="1"/>
  <c r="A128" i="36" s="1"/>
  <c r="F182" i="10" l="1"/>
  <c r="L182" i="10"/>
  <c r="I182" i="10"/>
  <c r="A182" i="10" s="1"/>
  <c r="D181" i="10"/>
  <c r="E181" i="10"/>
  <c r="H181" i="10"/>
  <c r="M129" i="36"/>
  <c r="AU144" i="38"/>
  <c r="D144" i="38" s="1"/>
  <c r="AV145" i="38"/>
  <c r="AS145" i="38"/>
  <c r="AS141" i="35"/>
  <c r="C141" i="35" s="1"/>
  <c r="B140" i="35"/>
  <c r="M179" i="39"/>
  <c r="C179" i="39" s="1"/>
  <c r="B128" i="36"/>
  <c r="I128" i="36" s="1"/>
  <c r="G128" i="36"/>
  <c r="H128" i="36"/>
  <c r="F128" i="36"/>
  <c r="J140" i="35"/>
  <c r="J144" i="38" l="1"/>
  <c r="A144" i="38" s="1"/>
  <c r="E140" i="35"/>
  <c r="K183" i="10"/>
  <c r="C182" i="10"/>
  <c r="B182" i="10" s="1"/>
  <c r="D182" i="10" s="1"/>
  <c r="D128" i="36"/>
  <c r="E128" i="36"/>
  <c r="N179" i="39"/>
  <c r="D179" i="39" s="1"/>
  <c r="A179" i="39" s="1"/>
  <c r="O180" i="39"/>
  <c r="L180" i="39"/>
  <c r="F140" i="35"/>
  <c r="G140" i="35"/>
  <c r="A141" i="35"/>
  <c r="AT142" i="35"/>
  <c r="AT145" i="38"/>
  <c r="C145" i="38" s="1"/>
  <c r="I140" i="35"/>
  <c r="D140" i="35"/>
  <c r="H140" i="35"/>
  <c r="K129" i="36"/>
  <c r="L183" i="10" l="1"/>
  <c r="F183" i="10"/>
  <c r="I183" i="10"/>
  <c r="A183" i="10" s="1"/>
  <c r="G182" i="10"/>
  <c r="H182" i="10"/>
  <c r="E182" i="10"/>
  <c r="L129" i="36"/>
  <c r="C129" i="36" s="1"/>
  <c r="A129" i="36" s="1"/>
  <c r="AR142" i="35"/>
  <c r="B141" i="35"/>
  <c r="M180" i="39"/>
  <c r="C180" i="39" s="1"/>
  <c r="E145" i="38"/>
  <c r="J141" i="35"/>
  <c r="D141" i="35" l="1"/>
  <c r="C183" i="10"/>
  <c r="B183" i="10" s="1"/>
  <c r="H183" i="10" s="1"/>
  <c r="K184" i="10"/>
  <c r="N180" i="39"/>
  <c r="D180" i="39" s="1"/>
  <c r="A180" i="39" s="1"/>
  <c r="O181" i="39"/>
  <c r="L181" i="39"/>
  <c r="E141" i="35"/>
  <c r="AU145" i="38"/>
  <c r="D145" i="38" s="1"/>
  <c r="AS146" i="38"/>
  <c r="AV146" i="38"/>
  <c r="H141" i="35"/>
  <c r="I141" i="35"/>
  <c r="F141" i="35"/>
  <c r="AS142" i="35"/>
  <c r="C142" i="35" s="1"/>
  <c r="H129" i="36"/>
  <c r="G129" i="36"/>
  <c r="B129" i="36"/>
  <c r="I129" i="36" s="1"/>
  <c r="F129" i="36"/>
  <c r="G141" i="35"/>
  <c r="M130" i="36"/>
  <c r="J145" i="38" l="1"/>
  <c r="A145" i="38" s="1"/>
  <c r="L184" i="10"/>
  <c r="I184" i="10" s="1"/>
  <c r="A184" i="10" s="1"/>
  <c r="F184" i="10"/>
  <c r="E183" i="10"/>
  <c r="G183" i="10"/>
  <c r="D183" i="10"/>
  <c r="E129" i="36"/>
  <c r="AT143" i="35"/>
  <c r="AR143" i="35" s="1"/>
  <c r="AT146" i="38"/>
  <c r="C146" i="38" s="1"/>
  <c r="K130" i="36"/>
  <c r="D129" i="36"/>
  <c r="M181" i="39"/>
  <c r="C181" i="39" s="1"/>
  <c r="A142" i="35"/>
  <c r="C184" i="10" l="1"/>
  <c r="B184" i="10" s="1"/>
  <c r="H184" i="10" s="1"/>
  <c r="K185" i="10"/>
  <c r="N181" i="39"/>
  <c r="D181" i="39" s="1"/>
  <c r="A181" i="39" s="1"/>
  <c r="O182" i="39"/>
  <c r="L182" i="39"/>
  <c r="AS143" i="35"/>
  <c r="C143" i="35" s="1"/>
  <c r="L130" i="36"/>
  <c r="C130" i="36" s="1"/>
  <c r="A130" i="36" s="1"/>
  <c r="E146" i="38"/>
  <c r="B142" i="35"/>
  <c r="J142" i="35"/>
  <c r="AT144" i="35" l="1"/>
  <c r="AR144" i="35" s="1"/>
  <c r="F185" i="10"/>
  <c r="I185" i="10"/>
  <c r="A185" i="10" s="1"/>
  <c r="L185" i="10"/>
  <c r="E184" i="10"/>
  <c r="G184" i="10"/>
  <c r="D184" i="10"/>
  <c r="H142" i="35"/>
  <c r="F142" i="35"/>
  <c r="B130" i="36"/>
  <c r="I130" i="36" s="1"/>
  <c r="G130" i="36"/>
  <c r="F130" i="36"/>
  <c r="H130" i="36"/>
  <c r="AU146" i="38"/>
  <c r="D146" i="38" s="1"/>
  <c r="AS147" i="38"/>
  <c r="AV147" i="38"/>
  <c r="M131" i="36"/>
  <c r="E142" i="35"/>
  <c r="G142" i="35"/>
  <c r="A143" i="35"/>
  <c r="M182" i="39"/>
  <c r="C182" i="39" s="1"/>
  <c r="I142" i="35"/>
  <c r="D142" i="35"/>
  <c r="J146" i="38" l="1"/>
  <c r="A146" i="38" s="1"/>
  <c r="C185" i="10"/>
  <c r="B185" i="10" s="1"/>
  <c r="H185" i="10" s="1"/>
  <c r="K186" i="10"/>
  <c r="N182" i="39"/>
  <c r="D182" i="39" s="1"/>
  <c r="A182" i="39" s="1"/>
  <c r="L183" i="39"/>
  <c r="O183" i="39"/>
  <c r="D130" i="36"/>
  <c r="B143" i="35"/>
  <c r="E130" i="36"/>
  <c r="AS144" i="35"/>
  <c r="C144" i="35" s="1"/>
  <c r="AT147" i="38"/>
  <c r="E147" i="38" s="1"/>
  <c r="K131" i="36"/>
  <c r="J143" i="35"/>
  <c r="D143" i="35" l="1"/>
  <c r="D185" i="10"/>
  <c r="G185" i="10"/>
  <c r="E185" i="10"/>
  <c r="F186" i="10"/>
  <c r="L186" i="10"/>
  <c r="I186" i="10"/>
  <c r="A186" i="10" s="1"/>
  <c r="AU147" i="38"/>
  <c r="D147" i="38" s="1"/>
  <c r="AV148" i="38"/>
  <c r="AS148" i="38"/>
  <c r="G143" i="35"/>
  <c r="F143" i="35"/>
  <c r="C147" i="38"/>
  <c r="E143" i="35"/>
  <c r="L131" i="36"/>
  <c r="C131" i="36" s="1"/>
  <c r="A131" i="36" s="1"/>
  <c r="I143" i="35"/>
  <c r="H143" i="35"/>
  <c r="A144" i="35"/>
  <c r="AT145" i="35"/>
  <c r="M183" i="39"/>
  <c r="C183" i="39" s="1"/>
  <c r="J147" i="38" l="1"/>
  <c r="A147" i="38" s="1"/>
  <c r="C186" i="10"/>
  <c r="B186" i="10" s="1"/>
  <c r="D186" i="10" s="1"/>
  <c r="K187" i="10"/>
  <c r="N183" i="39"/>
  <c r="D183" i="39" s="1"/>
  <c r="A183" i="39" s="1"/>
  <c r="L184" i="39"/>
  <c r="O184" i="39"/>
  <c r="M132" i="36"/>
  <c r="F131" i="36"/>
  <c r="H131" i="36"/>
  <c r="G131" i="36"/>
  <c r="B131" i="36"/>
  <c r="I131" i="36" s="1"/>
  <c r="AT148" i="38"/>
  <c r="C148" i="38" s="1"/>
  <c r="AR145" i="35"/>
  <c r="B144" i="35"/>
  <c r="J144" i="35"/>
  <c r="E144" i="35" l="1"/>
  <c r="I187" i="10"/>
  <c r="A187" i="10" s="1"/>
  <c r="L187" i="10"/>
  <c r="F187" i="10"/>
  <c r="H186" i="10"/>
  <c r="E186" i="10"/>
  <c r="G186" i="10"/>
  <c r="H144" i="35"/>
  <c r="F144" i="35"/>
  <c r="E131" i="36"/>
  <c r="E148" i="38"/>
  <c r="AS145" i="35"/>
  <c r="C145" i="35" s="1"/>
  <c r="D131" i="36"/>
  <c r="K132" i="36"/>
  <c r="M184" i="39"/>
  <c r="C184" i="39" s="1"/>
  <c r="I144" i="35"/>
  <c r="D144" i="35"/>
  <c r="G144" i="35"/>
  <c r="K188" i="10" l="1"/>
  <c r="C187" i="10"/>
  <c r="B187" i="10" s="1"/>
  <c r="E187" i="10"/>
  <c r="D187" i="10"/>
  <c r="G187" i="10"/>
  <c r="H187" i="10"/>
  <c r="N184" i="39"/>
  <c r="D184" i="39" s="1"/>
  <c r="A184" i="39" s="1"/>
  <c r="O185" i="39"/>
  <c r="L185" i="39"/>
  <c r="A145" i="35"/>
  <c r="AT146" i="35"/>
  <c r="AU148" i="38"/>
  <c r="D148" i="38" s="1"/>
  <c r="AS149" i="38"/>
  <c r="AV149" i="38"/>
  <c r="L132" i="36"/>
  <c r="C132" i="36" s="1"/>
  <c r="A132" i="36" s="1"/>
  <c r="J148" i="38" l="1"/>
  <c r="A148" i="38" s="1"/>
  <c r="F188" i="10"/>
  <c r="L188" i="10"/>
  <c r="I188" i="10" s="1"/>
  <c r="A188" i="10" s="1"/>
  <c r="AT149" i="38"/>
  <c r="C149" i="38" s="1"/>
  <c r="AR146" i="35"/>
  <c r="B145" i="35"/>
  <c r="M185" i="39"/>
  <c r="C185" i="39" s="1"/>
  <c r="H132" i="36"/>
  <c r="G132" i="36"/>
  <c r="F132" i="36"/>
  <c r="B132" i="36"/>
  <c r="I132" i="36" s="1"/>
  <c r="M133" i="36"/>
  <c r="J145" i="35"/>
  <c r="I145" i="35" l="1"/>
  <c r="C188" i="10"/>
  <c r="B188" i="10" s="1"/>
  <c r="E188" i="10" s="1"/>
  <c r="K189" i="10"/>
  <c r="D132" i="36"/>
  <c r="E132" i="36"/>
  <c r="H145" i="35"/>
  <c r="E145" i="35"/>
  <c r="D145" i="35"/>
  <c r="F145" i="35"/>
  <c r="N185" i="39"/>
  <c r="D185" i="39" s="1"/>
  <c r="A185" i="39" s="1"/>
  <c r="L186" i="39"/>
  <c r="O186" i="39"/>
  <c r="G145" i="35"/>
  <c r="AS146" i="35"/>
  <c r="C146" i="35" s="1"/>
  <c r="K133" i="36"/>
  <c r="E149" i="38"/>
  <c r="AT147" i="35" l="1"/>
  <c r="AR147" i="35" s="1"/>
  <c r="H188" i="10"/>
  <c r="G188" i="10"/>
  <c r="D188" i="10"/>
  <c r="L189" i="10"/>
  <c r="F189" i="10"/>
  <c r="I189" i="10"/>
  <c r="A189" i="10" s="1"/>
  <c r="L133" i="36"/>
  <c r="C133" i="36" s="1"/>
  <c r="A133" i="36" s="1"/>
  <c r="AU149" i="38"/>
  <c r="D149" i="38" s="1"/>
  <c r="AS150" i="38"/>
  <c r="AV150" i="38"/>
  <c r="A146" i="35"/>
  <c r="M186" i="39"/>
  <c r="C186" i="39" s="1"/>
  <c r="J149" i="38" l="1"/>
  <c r="A149" i="38" s="1"/>
  <c r="K190" i="10"/>
  <c r="C189" i="10"/>
  <c r="B189" i="10" s="1"/>
  <c r="E189" i="10" s="1"/>
  <c r="N186" i="39"/>
  <c r="D186" i="39" s="1"/>
  <c r="A186" i="39" s="1"/>
  <c r="O187" i="39"/>
  <c r="L187" i="39"/>
  <c r="B146" i="35"/>
  <c r="AT150" i="38"/>
  <c r="C150" i="38" s="1"/>
  <c r="H133" i="36"/>
  <c r="F133" i="36"/>
  <c r="G133" i="36"/>
  <c r="B133" i="36"/>
  <c r="I133" i="36" s="1"/>
  <c r="M134" i="36"/>
  <c r="AS147" i="35"/>
  <c r="C147" i="35" s="1"/>
  <c r="J146" i="35"/>
  <c r="H146" i="35" l="1"/>
  <c r="H189" i="10"/>
  <c r="G189" i="10"/>
  <c r="D189" i="10"/>
  <c r="I190" i="10"/>
  <c r="A190" i="10" s="1"/>
  <c r="L190" i="10"/>
  <c r="F190" i="10"/>
  <c r="K134" i="36"/>
  <c r="AT148" i="35"/>
  <c r="E150" i="38"/>
  <c r="D146" i="35"/>
  <c r="I146" i="35"/>
  <c r="E146" i="35"/>
  <c r="F146" i="35"/>
  <c r="D133" i="36"/>
  <c r="E133" i="36"/>
  <c r="G146" i="35"/>
  <c r="M187" i="39"/>
  <c r="C187" i="39" s="1"/>
  <c r="A147" i="35"/>
  <c r="C190" i="10" l="1"/>
  <c r="B190" i="10" s="1"/>
  <c r="G190" i="10" s="1"/>
  <c r="K191" i="10"/>
  <c r="N187" i="39"/>
  <c r="D187" i="39" s="1"/>
  <c r="A187" i="39" s="1"/>
  <c r="O188" i="39"/>
  <c r="L188" i="39"/>
  <c r="AU150" i="38"/>
  <c r="D150" i="38" s="1"/>
  <c r="AS151" i="38"/>
  <c r="AV151" i="38"/>
  <c r="B147" i="35"/>
  <c r="L134" i="36"/>
  <c r="C134" i="36" s="1"/>
  <c r="A134" i="36" s="1"/>
  <c r="AR148" i="35"/>
  <c r="J147" i="35"/>
  <c r="J150" i="38" l="1"/>
  <c r="A150" i="38" s="1"/>
  <c r="G147" i="35"/>
  <c r="D190" i="10"/>
  <c r="E190" i="10"/>
  <c r="H190" i="10"/>
  <c r="F191" i="10"/>
  <c r="L191" i="10"/>
  <c r="I147" i="35"/>
  <c r="F147" i="35"/>
  <c r="AT151" i="38"/>
  <c r="C151" i="38" s="1"/>
  <c r="M135" i="36"/>
  <c r="E147" i="35"/>
  <c r="AS148" i="35"/>
  <c r="C148" i="35" s="1"/>
  <c r="M188" i="39"/>
  <c r="C188" i="39" s="1"/>
  <c r="F134" i="36"/>
  <c r="B134" i="36"/>
  <c r="I134" i="36" s="1"/>
  <c r="G134" i="36"/>
  <c r="H134" i="36"/>
  <c r="H147" i="35"/>
  <c r="D147" i="35"/>
  <c r="C191" i="10" l="1"/>
  <c r="B191" i="10" s="1"/>
  <c r="K192" i="10"/>
  <c r="I191" i="10"/>
  <c r="A191" i="10" s="1"/>
  <c r="N188" i="39"/>
  <c r="D188" i="39" s="1"/>
  <c r="A188" i="39" s="1"/>
  <c r="L189" i="39"/>
  <c r="O189" i="39"/>
  <c r="A148" i="35"/>
  <c r="E134" i="36"/>
  <c r="K135" i="36"/>
  <c r="E151" i="38"/>
  <c r="AT149" i="35"/>
  <c r="D134" i="36"/>
  <c r="H191" i="10" l="1"/>
  <c r="E191" i="10"/>
  <c r="D191" i="10"/>
  <c r="G191" i="10"/>
  <c r="I192" i="10"/>
  <c r="A192" i="10" s="1"/>
  <c r="F192" i="10"/>
  <c r="L192" i="10"/>
  <c r="AR149" i="35"/>
  <c r="L135" i="36"/>
  <c r="C135" i="36" s="1"/>
  <c r="A135" i="36" s="1"/>
  <c r="AU151" i="38"/>
  <c r="D151" i="38" s="1"/>
  <c r="AS152" i="38"/>
  <c r="AV152" i="38"/>
  <c r="B148" i="35"/>
  <c r="M189" i="39"/>
  <c r="C189" i="39" s="1"/>
  <c r="J148" i="35"/>
  <c r="J151" i="38" l="1"/>
  <c r="A151" i="38" s="1"/>
  <c r="H148" i="35"/>
  <c r="K193" i="10"/>
  <c r="C192" i="10"/>
  <c r="B192" i="10" s="1"/>
  <c r="D192" i="10"/>
  <c r="H192" i="10"/>
  <c r="E192" i="10"/>
  <c r="G192" i="10"/>
  <c r="N189" i="39"/>
  <c r="D189" i="39" s="1"/>
  <c r="A189" i="39" s="1"/>
  <c r="L190" i="39"/>
  <c r="O190" i="39"/>
  <c r="I148" i="35"/>
  <c r="D148" i="35"/>
  <c r="AT152" i="38"/>
  <c r="E152" i="38" s="1"/>
  <c r="AS149" i="35"/>
  <c r="C149" i="35" s="1"/>
  <c r="G135" i="36"/>
  <c r="B135" i="36"/>
  <c r="I135" i="36" s="1"/>
  <c r="H135" i="36"/>
  <c r="F135" i="36"/>
  <c r="M136" i="36"/>
  <c r="E148" i="35"/>
  <c r="F148" i="35"/>
  <c r="G148" i="35"/>
  <c r="AT150" i="35" l="1"/>
  <c r="AR150" i="35" s="1"/>
  <c r="L193" i="10"/>
  <c r="F193" i="10"/>
  <c r="I193" i="10"/>
  <c r="A193" i="10" s="1"/>
  <c r="AU152" i="38"/>
  <c r="D152" i="38" s="1"/>
  <c r="AV153" i="38"/>
  <c r="AS153" i="38"/>
  <c r="C152" i="38"/>
  <c r="K136" i="36"/>
  <c r="E135" i="36"/>
  <c r="D135" i="36"/>
  <c r="M190" i="39"/>
  <c r="C190" i="39" s="1"/>
  <c r="A149" i="35"/>
  <c r="J152" i="38" l="1"/>
  <c r="A152" i="38" s="1"/>
  <c r="C193" i="10"/>
  <c r="B193" i="10" s="1"/>
  <c r="E193" i="10" s="1"/>
  <c r="K194" i="10"/>
  <c r="N190" i="39"/>
  <c r="D190" i="39" s="1"/>
  <c r="A190" i="39" s="1"/>
  <c r="L191" i="39"/>
  <c r="O191" i="39"/>
  <c r="L136" i="36"/>
  <c r="C136" i="36" s="1"/>
  <c r="A136" i="36" s="1"/>
  <c r="AS150" i="35"/>
  <c r="C150" i="35" s="1"/>
  <c r="B149" i="35"/>
  <c r="AT153" i="38"/>
  <c r="C153" i="38" s="1"/>
  <c r="J149" i="35"/>
  <c r="E149" i="35" l="1"/>
  <c r="L194" i="10"/>
  <c r="F194" i="10"/>
  <c r="I194" i="10"/>
  <c r="A194" i="10" s="1"/>
  <c r="H193" i="10"/>
  <c r="D193" i="10"/>
  <c r="G193" i="10"/>
  <c r="D149" i="35"/>
  <c r="H149" i="35"/>
  <c r="I149" i="35"/>
  <c r="A150" i="35"/>
  <c r="AT151" i="35"/>
  <c r="G149" i="35"/>
  <c r="F149" i="35"/>
  <c r="E153" i="38"/>
  <c r="M137" i="36"/>
  <c r="F136" i="36"/>
  <c r="G136" i="36"/>
  <c r="B136" i="36"/>
  <c r="I136" i="36" s="1"/>
  <c r="H136" i="36"/>
  <c r="M191" i="39"/>
  <c r="C191" i="39" s="1"/>
  <c r="K195" i="10" l="1"/>
  <c r="C194" i="10"/>
  <c r="B194" i="10" s="1"/>
  <c r="E194" i="10" s="1"/>
  <c r="D136" i="36"/>
  <c r="E136" i="36"/>
  <c r="N191" i="39"/>
  <c r="D191" i="39" s="1"/>
  <c r="A191" i="39" s="1"/>
  <c r="L192" i="39"/>
  <c r="O192" i="39"/>
  <c r="AR151" i="35"/>
  <c r="B150" i="35"/>
  <c r="K137" i="36"/>
  <c r="AU153" i="38"/>
  <c r="D153" i="38" s="1"/>
  <c r="AV154" i="38"/>
  <c r="AS154" i="38"/>
  <c r="J150" i="35"/>
  <c r="J153" i="38" l="1"/>
  <c r="A153" i="38" s="1"/>
  <c r="F150" i="35"/>
  <c r="D194" i="10"/>
  <c r="G194" i="10"/>
  <c r="L195" i="10"/>
  <c r="F195" i="10"/>
  <c r="I195" i="10"/>
  <c r="A195" i="10" s="1"/>
  <c r="H194" i="10"/>
  <c r="I150" i="35"/>
  <c r="AT154" i="38"/>
  <c r="C154" i="38" s="1"/>
  <c r="G150" i="35"/>
  <c r="E150" i="35"/>
  <c r="AS151" i="35"/>
  <c r="C151" i="35" s="1"/>
  <c r="D150" i="35"/>
  <c r="L137" i="36"/>
  <c r="C137" i="36" s="1"/>
  <c r="A137" i="36" s="1"/>
  <c r="M192" i="39"/>
  <c r="C192" i="39" s="1"/>
  <c r="H150" i="35"/>
  <c r="K196" i="10" l="1"/>
  <c r="C195" i="10"/>
  <c r="B195" i="10" s="1"/>
  <c r="G195" i="10" s="1"/>
  <c r="N192" i="39"/>
  <c r="D192" i="39" s="1"/>
  <c r="A192" i="39" s="1"/>
  <c r="O193" i="39"/>
  <c r="L193" i="39"/>
  <c r="A151" i="35"/>
  <c r="AT152" i="35"/>
  <c r="H137" i="36"/>
  <c r="B137" i="36"/>
  <c r="I137" i="36" s="1"/>
  <c r="F137" i="36"/>
  <c r="G137" i="36"/>
  <c r="M138" i="36"/>
  <c r="E154" i="38"/>
  <c r="F196" i="10" l="1"/>
  <c r="L196" i="10"/>
  <c r="I196" i="10"/>
  <c r="A196" i="10" s="1"/>
  <c r="D195" i="10"/>
  <c r="H195" i="10"/>
  <c r="E195" i="10"/>
  <c r="D137" i="36"/>
  <c r="E137" i="36"/>
  <c r="AR152" i="35"/>
  <c r="B151" i="35"/>
  <c r="M193" i="39"/>
  <c r="C193" i="39" s="1"/>
  <c r="AU154" i="38"/>
  <c r="D154" i="38" s="1"/>
  <c r="AV155" i="38"/>
  <c r="AS155" i="38"/>
  <c r="K138" i="36"/>
  <c r="J151" i="35"/>
  <c r="J154" i="38" l="1"/>
  <c r="A154" i="38" s="1"/>
  <c r="K197" i="10"/>
  <c r="C196" i="10"/>
  <c r="B196" i="10" s="1"/>
  <c r="D196" i="10" s="1"/>
  <c r="N193" i="39"/>
  <c r="D193" i="39" s="1"/>
  <c r="A193" i="39" s="1"/>
  <c r="O194" i="39"/>
  <c r="L194" i="39"/>
  <c r="AT155" i="38"/>
  <c r="C155" i="38" s="1"/>
  <c r="G151" i="35"/>
  <c r="H151" i="35"/>
  <c r="I151" i="35"/>
  <c r="F151" i="35"/>
  <c r="D151" i="35"/>
  <c r="E151" i="35"/>
  <c r="AS152" i="35"/>
  <c r="C152" i="35" s="1"/>
  <c r="L138" i="36"/>
  <c r="C138" i="36" s="1"/>
  <c r="A138" i="36" s="1"/>
  <c r="E196" i="10" l="1"/>
  <c r="H196" i="10"/>
  <c r="L197" i="10"/>
  <c r="I197" i="10" s="1"/>
  <c r="A197" i="10" s="1"/>
  <c r="F197" i="10"/>
  <c r="G196" i="10"/>
  <c r="H138" i="36"/>
  <c r="G138" i="36"/>
  <c r="F138" i="36"/>
  <c r="B138" i="36"/>
  <c r="I138" i="36" s="1"/>
  <c r="M139" i="36"/>
  <c r="E155" i="38"/>
  <c r="A152" i="35"/>
  <c r="AT153" i="35"/>
  <c r="M194" i="39"/>
  <c r="C194" i="39" s="1"/>
  <c r="K198" i="10" l="1"/>
  <c r="C197" i="10"/>
  <c r="B197" i="10" s="1"/>
  <c r="D197" i="10" s="1"/>
  <c r="N194" i="39"/>
  <c r="D194" i="39" s="1"/>
  <c r="A194" i="39" s="1"/>
  <c r="O195" i="39"/>
  <c r="L195" i="39"/>
  <c r="AR153" i="35"/>
  <c r="B152" i="35"/>
  <c r="K139" i="36"/>
  <c r="AU155" i="38"/>
  <c r="D155" i="38" s="1"/>
  <c r="AS156" i="38"/>
  <c r="AV156" i="38"/>
  <c r="D138" i="36"/>
  <c r="E138" i="36"/>
  <c r="J152" i="35"/>
  <c r="J155" i="38" l="1"/>
  <c r="A155" i="38" s="1"/>
  <c r="G152" i="35"/>
  <c r="I198" i="10"/>
  <c r="A198" i="10" s="1"/>
  <c r="L198" i="10"/>
  <c r="F198" i="10"/>
  <c r="E197" i="10"/>
  <c r="H197" i="10"/>
  <c r="G197" i="10"/>
  <c r="F152" i="35"/>
  <c r="H152" i="35"/>
  <c r="AT156" i="38"/>
  <c r="E156" i="38" s="1"/>
  <c r="I152" i="35"/>
  <c r="AS153" i="35"/>
  <c r="C153" i="35" s="1"/>
  <c r="L139" i="36"/>
  <c r="C139" i="36" s="1"/>
  <c r="A139" i="36" s="1"/>
  <c r="M195" i="39"/>
  <c r="C195" i="39" s="1"/>
  <c r="E152" i="35"/>
  <c r="D152" i="35"/>
  <c r="K199" i="10" l="1"/>
  <c r="C198" i="10"/>
  <c r="B198" i="10" s="1"/>
  <c r="H198" i="10" s="1"/>
  <c r="N195" i="39"/>
  <c r="D195" i="39" s="1"/>
  <c r="A195" i="39" s="1"/>
  <c r="L196" i="39"/>
  <c r="O196" i="39"/>
  <c r="AU156" i="38"/>
  <c r="D156" i="38" s="1"/>
  <c r="AS157" i="38"/>
  <c r="AV157" i="38"/>
  <c r="A153" i="35"/>
  <c r="AT154" i="35"/>
  <c r="C156" i="38"/>
  <c r="B139" i="36"/>
  <c r="I139" i="36" s="1"/>
  <c r="F139" i="36"/>
  <c r="H139" i="36"/>
  <c r="G139" i="36"/>
  <c r="M140" i="36"/>
  <c r="J156" i="38" l="1"/>
  <c r="A156" i="38" s="1"/>
  <c r="G198" i="10"/>
  <c r="E198" i="10"/>
  <c r="D198" i="10"/>
  <c r="L199" i="10"/>
  <c r="F199" i="10"/>
  <c r="I199" i="10"/>
  <c r="A199" i="10" s="1"/>
  <c r="AR154" i="35"/>
  <c r="B153" i="35"/>
  <c r="AT157" i="38"/>
  <c r="C157" i="38" s="1"/>
  <c r="K140" i="36"/>
  <c r="M196" i="39"/>
  <c r="C196" i="39" s="1"/>
  <c r="D139" i="36"/>
  <c r="E139" i="36"/>
  <c r="J153" i="35"/>
  <c r="F153" i="35" l="1"/>
  <c r="C199" i="10"/>
  <c r="B199" i="10" s="1"/>
  <c r="H199" i="10" s="1"/>
  <c r="K200" i="10"/>
  <c r="I153" i="35"/>
  <c r="H153" i="35"/>
  <c r="N196" i="39"/>
  <c r="D196" i="39" s="1"/>
  <c r="A196" i="39" s="1"/>
  <c r="O197" i="39"/>
  <c r="L197" i="39"/>
  <c r="D153" i="35"/>
  <c r="E153" i="35"/>
  <c r="G153" i="35"/>
  <c r="AS154" i="35"/>
  <c r="C154" i="35" s="1"/>
  <c r="L140" i="36"/>
  <c r="C140" i="36" s="1"/>
  <c r="A140" i="36" s="1"/>
  <c r="E157" i="38"/>
  <c r="F200" i="10" l="1"/>
  <c r="L200" i="10"/>
  <c r="I200" i="10"/>
  <c r="A200" i="10" s="1"/>
  <c r="D199" i="10"/>
  <c r="G199" i="10"/>
  <c r="E199" i="10"/>
  <c r="B140" i="36"/>
  <c r="I140" i="36" s="1"/>
  <c r="G140" i="36"/>
  <c r="H140" i="36"/>
  <c r="F140" i="36"/>
  <c r="A154" i="35"/>
  <c r="AU157" i="38"/>
  <c r="D157" i="38" s="1"/>
  <c r="AS158" i="38"/>
  <c r="AV158" i="38"/>
  <c r="M141" i="36"/>
  <c r="AT155" i="35"/>
  <c r="M197" i="39"/>
  <c r="C197" i="39" s="1"/>
  <c r="J157" i="38" l="1"/>
  <c r="A157" i="38" s="1"/>
  <c r="K201" i="10"/>
  <c r="C200" i="10"/>
  <c r="B200" i="10" s="1"/>
  <c r="H200" i="10" s="1"/>
  <c r="E140" i="36"/>
  <c r="D140" i="36"/>
  <c r="N197" i="39"/>
  <c r="D197" i="39" s="1"/>
  <c r="A197" i="39" s="1"/>
  <c r="O198" i="39"/>
  <c r="L198" i="39"/>
  <c r="AT158" i="38"/>
  <c r="C158" i="38" s="1"/>
  <c r="B154" i="35"/>
  <c r="AR155" i="35"/>
  <c r="K141" i="36"/>
  <c r="J154" i="35"/>
  <c r="I154" i="35" l="1"/>
  <c r="F201" i="10"/>
  <c r="L201" i="10"/>
  <c r="I201" i="10"/>
  <c r="A201" i="10" s="1"/>
  <c r="D200" i="10"/>
  <c r="E200" i="10"/>
  <c r="G200" i="10"/>
  <c r="L141" i="36"/>
  <c r="C141" i="36" s="1"/>
  <c r="A141" i="36" s="1"/>
  <c r="E158" i="38"/>
  <c r="D154" i="35"/>
  <c r="G154" i="35"/>
  <c r="AS155" i="35"/>
  <c r="C155" i="35" s="1"/>
  <c r="E154" i="35"/>
  <c r="M198" i="39"/>
  <c r="C198" i="39" s="1"/>
  <c r="H154" i="35"/>
  <c r="F154" i="35"/>
  <c r="AT156" i="35" l="1"/>
  <c r="AR156" i="35" s="1"/>
  <c r="C201" i="10"/>
  <c r="B201" i="10" s="1"/>
  <c r="G201" i="10" s="1"/>
  <c r="K202" i="10"/>
  <c r="N198" i="39"/>
  <c r="D198" i="39" s="1"/>
  <c r="A198" i="39" s="1"/>
  <c r="L199" i="39"/>
  <c r="O199" i="39"/>
  <c r="A155" i="35"/>
  <c r="AU158" i="38"/>
  <c r="D158" i="38" s="1"/>
  <c r="AS159" i="38"/>
  <c r="AV159" i="38"/>
  <c r="M142" i="36"/>
  <c r="F141" i="36"/>
  <c r="G141" i="36"/>
  <c r="H141" i="36"/>
  <c r="B141" i="36"/>
  <c r="I141" i="36" s="1"/>
  <c r="J158" i="38" l="1"/>
  <c r="A158" i="38" s="1"/>
  <c r="F202" i="10"/>
  <c r="L202" i="10"/>
  <c r="I202" i="10"/>
  <c r="A202" i="10" s="1"/>
  <c r="H201" i="10"/>
  <c r="D201" i="10"/>
  <c r="E201" i="10"/>
  <c r="B155" i="35"/>
  <c r="AS156" i="35"/>
  <c r="C156" i="35" s="1"/>
  <c r="AT159" i="38"/>
  <c r="C159" i="38" s="1"/>
  <c r="D141" i="36"/>
  <c r="E141" i="36"/>
  <c r="M199" i="39"/>
  <c r="C199" i="39" s="1"/>
  <c r="K142" i="36"/>
  <c r="J155" i="35"/>
  <c r="F155" i="35" l="1"/>
  <c r="D202" i="10"/>
  <c r="E202" i="10"/>
  <c r="G202" i="10"/>
  <c r="H202" i="10"/>
  <c r="K203" i="10"/>
  <c r="C202" i="10"/>
  <c r="B202" i="10" s="1"/>
  <c r="E155" i="35"/>
  <c r="G155" i="35"/>
  <c r="I155" i="35"/>
  <c r="H155" i="35"/>
  <c r="N199" i="39"/>
  <c r="D199" i="39" s="1"/>
  <c r="A199" i="39" s="1"/>
  <c r="L200" i="39"/>
  <c r="O200" i="39"/>
  <c r="AT157" i="35"/>
  <c r="E159" i="38"/>
  <c r="L142" i="36"/>
  <c r="C142" i="36" s="1"/>
  <c r="A142" i="36" s="1"/>
  <c r="A156" i="35"/>
  <c r="D155" i="35"/>
  <c r="L203" i="10" l="1"/>
  <c r="I203" i="10" s="1"/>
  <c r="A203" i="10" s="1"/>
  <c r="F203" i="10"/>
  <c r="B142" i="36"/>
  <c r="I142" i="36" s="1"/>
  <c r="F142" i="36"/>
  <c r="H142" i="36"/>
  <c r="G142" i="36"/>
  <c r="B156" i="35"/>
  <c r="M143" i="36"/>
  <c r="AU159" i="38"/>
  <c r="D159" i="38" s="1"/>
  <c r="AS160" i="38"/>
  <c r="AV160" i="38"/>
  <c r="AR157" i="35"/>
  <c r="M200" i="39"/>
  <c r="C200" i="39" s="1"/>
  <c r="J156" i="35"/>
  <c r="J159" i="38" l="1"/>
  <c r="A159" i="38" s="1"/>
  <c r="F156" i="35"/>
  <c r="G203" i="10"/>
  <c r="H203" i="10"/>
  <c r="E203" i="10"/>
  <c r="D203" i="10"/>
  <c r="K204" i="10"/>
  <c r="C203" i="10"/>
  <c r="B203" i="10" s="1"/>
  <c r="D142" i="36"/>
  <c r="H156" i="35"/>
  <c r="E156" i="35"/>
  <c r="I156" i="35"/>
  <c r="E142" i="36"/>
  <c r="G156" i="35"/>
  <c r="N200" i="39"/>
  <c r="D200" i="39" s="1"/>
  <c r="A200" i="39" s="1"/>
  <c r="L201" i="39"/>
  <c r="O201" i="39"/>
  <c r="AS157" i="35"/>
  <c r="C157" i="35" s="1"/>
  <c r="AT160" i="38"/>
  <c r="C160" i="38" s="1"/>
  <c r="K143" i="36"/>
  <c r="D156" i="35"/>
  <c r="I204" i="10" l="1"/>
  <c r="A204" i="10" s="1"/>
  <c r="L204" i="10"/>
  <c r="F204" i="10"/>
  <c r="L143" i="36"/>
  <c r="C143" i="36" s="1"/>
  <c r="A143" i="36" s="1"/>
  <c r="E160" i="38"/>
  <c r="A157" i="35"/>
  <c r="AT158" i="35"/>
  <c r="M201" i="39"/>
  <c r="C201" i="39" s="1"/>
  <c r="C204" i="10" l="1"/>
  <c r="B204" i="10" s="1"/>
  <c r="K205" i="10"/>
  <c r="D204" i="10"/>
  <c r="G204" i="10"/>
  <c r="H204" i="10"/>
  <c r="E204" i="10"/>
  <c r="N201" i="39"/>
  <c r="D201" i="39" s="1"/>
  <c r="A201" i="39" s="1"/>
  <c r="O202" i="39"/>
  <c r="L202" i="39"/>
  <c r="B157" i="35"/>
  <c r="H143" i="36"/>
  <c r="B143" i="36"/>
  <c r="I143" i="36" s="1"/>
  <c r="G143" i="36"/>
  <c r="F143" i="36"/>
  <c r="AR158" i="35"/>
  <c r="AU160" i="38"/>
  <c r="D160" i="38" s="1"/>
  <c r="AS161" i="38"/>
  <c r="AV161" i="38"/>
  <c r="M144" i="36"/>
  <c r="J157" i="35"/>
  <c r="J160" i="38" l="1"/>
  <c r="A160" i="38" s="1"/>
  <c r="E157" i="35"/>
  <c r="F205" i="10"/>
  <c r="L205" i="10"/>
  <c r="I205" i="10"/>
  <c r="A205" i="10" s="1"/>
  <c r="H157" i="35"/>
  <c r="D157" i="35"/>
  <c r="K144" i="36"/>
  <c r="AS158" i="35"/>
  <c r="C158" i="35" s="1"/>
  <c r="G157" i="35"/>
  <c r="F157" i="35"/>
  <c r="AT161" i="38"/>
  <c r="C161" i="38" s="1"/>
  <c r="I157" i="35"/>
  <c r="M202" i="39"/>
  <c r="C202" i="39" s="1"/>
  <c r="D143" i="36"/>
  <c r="E143" i="36"/>
  <c r="E205" i="10" l="1"/>
  <c r="G205" i="10"/>
  <c r="D205" i="10"/>
  <c r="H205" i="10"/>
  <c r="C205" i="10"/>
  <c r="B205" i="10" s="1"/>
  <c r="K206" i="10"/>
  <c r="N202" i="39"/>
  <c r="D202" i="39" s="1"/>
  <c r="A202" i="39" s="1"/>
  <c r="O203" i="39"/>
  <c r="L203" i="39"/>
  <c r="E161" i="38"/>
  <c r="L144" i="36"/>
  <c r="C144" i="36" s="1"/>
  <c r="A144" i="36" s="1"/>
  <c r="A158" i="35"/>
  <c r="AT159" i="35"/>
  <c r="F206" i="10" l="1"/>
  <c r="L206" i="10"/>
  <c r="I206" i="10"/>
  <c r="A206" i="10" s="1"/>
  <c r="AR159" i="35"/>
  <c r="G144" i="36"/>
  <c r="H144" i="36"/>
  <c r="F144" i="36"/>
  <c r="B144" i="36"/>
  <c r="I144" i="36" s="1"/>
  <c r="B158" i="35"/>
  <c r="M145" i="36"/>
  <c r="AU161" i="38"/>
  <c r="D161" i="38" s="1"/>
  <c r="AS162" i="38"/>
  <c r="AV162" i="38"/>
  <c r="M203" i="39"/>
  <c r="C203" i="39" s="1"/>
  <c r="J158" i="35"/>
  <c r="J161" i="38" l="1"/>
  <c r="A161" i="38" s="1"/>
  <c r="E158" i="35"/>
  <c r="D206" i="10"/>
  <c r="E206" i="10"/>
  <c r="H206" i="10"/>
  <c r="G206" i="10"/>
  <c r="C206" i="10"/>
  <c r="B206" i="10" s="1"/>
  <c r="K207" i="10"/>
  <c r="D158" i="35"/>
  <c r="G158" i="35"/>
  <c r="H158" i="35"/>
  <c r="I158" i="35"/>
  <c r="F158" i="35"/>
  <c r="N203" i="39"/>
  <c r="D203" i="39" s="1"/>
  <c r="A203" i="39" s="1"/>
  <c r="L204" i="39"/>
  <c r="O204" i="39"/>
  <c r="D144" i="36"/>
  <c r="K145" i="36"/>
  <c r="E144" i="36"/>
  <c r="AS159" i="35"/>
  <c r="C159" i="35" s="1"/>
  <c r="AT162" i="38"/>
  <c r="E162" i="38" s="1"/>
  <c r="F207" i="10" l="1"/>
  <c r="I207" i="10"/>
  <c r="A207" i="10" s="1"/>
  <c r="L207" i="10"/>
  <c r="AT160" i="35"/>
  <c r="AR160" i="35" s="1"/>
  <c r="AU162" i="38"/>
  <c r="D162" i="38" s="1"/>
  <c r="AV163" i="38"/>
  <c r="AS163" i="38"/>
  <c r="C162" i="38"/>
  <c r="L145" i="36"/>
  <c r="C145" i="36" s="1"/>
  <c r="A145" i="36" s="1"/>
  <c r="M204" i="39"/>
  <c r="C204" i="39" s="1"/>
  <c r="A159" i="35"/>
  <c r="J162" i="38" l="1"/>
  <c r="A162" i="38" s="1"/>
  <c r="K208" i="10"/>
  <c r="C207" i="10"/>
  <c r="B207" i="10" s="1"/>
  <c r="G207" i="10" s="1"/>
  <c r="N204" i="39"/>
  <c r="D204" i="39" s="1"/>
  <c r="A204" i="39" s="1"/>
  <c r="O205" i="39"/>
  <c r="L205" i="39"/>
  <c r="M205" i="39" s="1"/>
  <c r="C205" i="39" s="1"/>
  <c r="F145" i="36"/>
  <c r="B145" i="36"/>
  <c r="I145" i="36" s="1"/>
  <c r="H145" i="36"/>
  <c r="G145" i="36"/>
  <c r="M146" i="36"/>
  <c r="AS160" i="35"/>
  <c r="C160" i="35" s="1"/>
  <c r="B159" i="35"/>
  <c r="AT163" i="38"/>
  <c r="C163" i="38" s="1"/>
  <c r="J159" i="35"/>
  <c r="AT161" i="35" l="1"/>
  <c r="AR161" i="35" s="1"/>
  <c r="I159" i="35"/>
  <c r="D207" i="10"/>
  <c r="E207" i="10"/>
  <c r="H207" i="10"/>
  <c r="L208" i="10"/>
  <c r="I208" i="10"/>
  <c r="A208" i="10" s="1"/>
  <c r="F208" i="10"/>
  <c r="D159" i="35"/>
  <c r="N205" i="39"/>
  <c r="D205" i="39" s="1"/>
  <c r="A205" i="39" s="1"/>
  <c r="O206" i="39"/>
  <c r="L206" i="39"/>
  <c r="K146" i="36"/>
  <c r="D145" i="36"/>
  <c r="E163" i="38"/>
  <c r="E145" i="36"/>
  <c r="F159" i="35"/>
  <c r="G159" i="35"/>
  <c r="E159" i="35"/>
  <c r="H159" i="35"/>
  <c r="A160" i="35"/>
  <c r="C208" i="10" l="1"/>
  <c r="B208" i="10" s="1"/>
  <c r="E208" i="10" s="1"/>
  <c r="K209" i="10"/>
  <c r="AU163" i="38"/>
  <c r="D163" i="38" s="1"/>
  <c r="AS164" i="38"/>
  <c r="AV164" i="38"/>
  <c r="L146" i="36"/>
  <c r="C146" i="36" s="1"/>
  <c r="A146" i="36" s="1"/>
  <c r="B160" i="35"/>
  <c r="AS161" i="35"/>
  <c r="C161" i="35" s="1"/>
  <c r="M206" i="39"/>
  <c r="C206" i="39" s="1"/>
  <c r="J160" i="35"/>
  <c r="J163" i="38" l="1"/>
  <c r="A163" i="38" s="1"/>
  <c r="E160" i="35"/>
  <c r="L209" i="10"/>
  <c r="F209" i="10"/>
  <c r="I209" i="10"/>
  <c r="A209" i="10" s="1"/>
  <c r="H208" i="10"/>
  <c r="D208" i="10"/>
  <c r="G208" i="10"/>
  <c r="N206" i="39"/>
  <c r="D206" i="39" s="1"/>
  <c r="A206" i="39" s="1"/>
  <c r="L207" i="39"/>
  <c r="O207" i="39"/>
  <c r="D160" i="35"/>
  <c r="G160" i="35"/>
  <c r="G146" i="36"/>
  <c r="H146" i="36"/>
  <c r="B146" i="36"/>
  <c r="I146" i="36" s="1"/>
  <c r="F146" i="36"/>
  <c r="A161" i="35"/>
  <c r="M147" i="36"/>
  <c r="AT162" i="35"/>
  <c r="AT164" i="38"/>
  <c r="C164" i="38" s="1"/>
  <c r="H160" i="35"/>
  <c r="F160" i="35"/>
  <c r="I160" i="35"/>
  <c r="C209" i="10" l="1"/>
  <c r="B209" i="10" s="1"/>
  <c r="G209" i="10" s="1"/>
  <c r="K210" i="10"/>
  <c r="B161" i="35"/>
  <c r="E146" i="36"/>
  <c r="E164" i="38"/>
  <c r="D146" i="36"/>
  <c r="AR162" i="35"/>
  <c r="M207" i="39"/>
  <c r="C207" i="39" s="1"/>
  <c r="K147" i="36"/>
  <c r="J161" i="35"/>
  <c r="D209" i="10" l="1"/>
  <c r="L210" i="10"/>
  <c r="I210" i="10"/>
  <c r="A210" i="10" s="1"/>
  <c r="F210" i="10"/>
  <c r="E209" i="10"/>
  <c r="H209" i="10"/>
  <c r="N207" i="39"/>
  <c r="D207" i="39" s="1"/>
  <c r="A207" i="39" s="1"/>
  <c r="O208" i="39"/>
  <c r="L208" i="39"/>
  <c r="L147" i="36"/>
  <c r="C147" i="36" s="1"/>
  <c r="A147" i="36" s="1"/>
  <c r="AU164" i="38"/>
  <c r="D164" i="38" s="1"/>
  <c r="AV165" i="38"/>
  <c r="AS165" i="38"/>
  <c r="G161" i="35"/>
  <c r="F161" i="35"/>
  <c r="I161" i="35"/>
  <c r="D161" i="35"/>
  <c r="E161" i="35"/>
  <c r="AS162" i="35"/>
  <c r="C162" i="35" s="1"/>
  <c r="H161" i="35"/>
  <c r="J164" i="38" l="1"/>
  <c r="A164" i="38" s="1"/>
  <c r="K211" i="10"/>
  <c r="C210" i="10"/>
  <c r="B210" i="10" s="1"/>
  <c r="H210" i="10" s="1"/>
  <c r="AT165" i="38"/>
  <c r="E165" i="38" s="1"/>
  <c r="B147" i="36"/>
  <c r="I147" i="36" s="1"/>
  <c r="H147" i="36"/>
  <c r="G147" i="36"/>
  <c r="F147" i="36"/>
  <c r="AT163" i="35"/>
  <c r="M148" i="36"/>
  <c r="M208" i="39"/>
  <c r="C208" i="39" s="1"/>
  <c r="A162" i="35"/>
  <c r="I211" i="10" l="1"/>
  <c r="A211" i="10" s="1"/>
  <c r="L211" i="10"/>
  <c r="F211" i="10"/>
  <c r="G210" i="10"/>
  <c r="E210" i="10"/>
  <c r="D210" i="10"/>
  <c r="C165" i="38"/>
  <c r="N208" i="39"/>
  <c r="D208" i="39" s="1"/>
  <c r="A208" i="39" s="1"/>
  <c r="O209" i="39"/>
  <c r="L209" i="39"/>
  <c r="AU165" i="38"/>
  <c r="D165" i="38" s="1"/>
  <c r="AS166" i="38"/>
  <c r="AV166" i="38"/>
  <c r="E147" i="36"/>
  <c r="D147" i="36"/>
  <c r="B162" i="35"/>
  <c r="K148" i="36"/>
  <c r="AR163" i="35"/>
  <c r="J162" i="35"/>
  <c r="J165" i="38" l="1"/>
  <c r="A165" i="38" s="1"/>
  <c r="C211" i="10"/>
  <c r="B211" i="10" s="1"/>
  <c r="K212" i="10"/>
  <c r="E211" i="10"/>
  <c r="H211" i="10"/>
  <c r="G211" i="10"/>
  <c r="D211" i="10"/>
  <c r="I162" i="35"/>
  <c r="F162" i="35"/>
  <c r="G162" i="35"/>
  <c r="D162" i="35"/>
  <c r="AS163" i="35"/>
  <c r="C163" i="35" s="1"/>
  <c r="AT166" i="38"/>
  <c r="E166" i="38" s="1"/>
  <c r="L148" i="36"/>
  <c r="M209" i="39"/>
  <c r="C209" i="39" s="1"/>
  <c r="H162" i="35"/>
  <c r="E162" i="35"/>
  <c r="C148" i="36" l="1"/>
  <c r="A148" i="36" s="1"/>
  <c r="AT164" i="35"/>
  <c r="AR164" i="35" s="1"/>
  <c r="L212" i="10"/>
  <c r="I212" i="10"/>
  <c r="A212" i="10" s="1"/>
  <c r="F212" i="10"/>
  <c r="N209" i="39"/>
  <c r="D209" i="39" s="1"/>
  <c r="A209" i="39" s="1"/>
  <c r="L210" i="39"/>
  <c r="O210" i="39"/>
  <c r="AU166" i="38"/>
  <c r="D166" i="38" s="1"/>
  <c r="AV167" i="38"/>
  <c r="AS167" i="38"/>
  <c r="C166" i="38"/>
  <c r="A163" i="35"/>
  <c r="J166" i="38" l="1"/>
  <c r="A166" i="38" s="1"/>
  <c r="G148" i="36"/>
  <c r="B148" i="36"/>
  <c r="I148" i="36" s="1"/>
  <c r="F148" i="36"/>
  <c r="H148" i="36"/>
  <c r="M149" i="36"/>
  <c r="K149" i="36" s="1"/>
  <c r="E212" i="10"/>
  <c r="H212" i="10"/>
  <c r="G212" i="10"/>
  <c r="D212" i="10"/>
  <c r="C212" i="10"/>
  <c r="B212" i="10" s="1"/>
  <c r="K213" i="10"/>
  <c r="AS164" i="35"/>
  <c r="C164" i="35" s="1"/>
  <c r="B163" i="35"/>
  <c r="AT167" i="38"/>
  <c r="C167" i="38" s="1"/>
  <c r="M210" i="39"/>
  <c r="C210" i="39" s="1"/>
  <c r="J163" i="35"/>
  <c r="E148" i="36" l="1"/>
  <c r="D148" i="36"/>
  <c r="I163" i="35"/>
  <c r="L213" i="10"/>
  <c r="I213" i="10" s="1"/>
  <c r="A213" i="10" s="1"/>
  <c r="F213" i="10"/>
  <c r="N210" i="39"/>
  <c r="D210" i="39" s="1"/>
  <c r="A210" i="39" s="1"/>
  <c r="O211" i="39"/>
  <c r="L211" i="39"/>
  <c r="L149" i="36"/>
  <c r="C149" i="36" s="1"/>
  <c r="A149" i="36" s="1"/>
  <c r="H163" i="35"/>
  <c r="E163" i="35"/>
  <c r="F163" i="35"/>
  <c r="G163" i="35"/>
  <c r="E167" i="38"/>
  <c r="A164" i="35"/>
  <c r="D163" i="35"/>
  <c r="AT165" i="35"/>
  <c r="K214" i="10" l="1"/>
  <c r="C213" i="10"/>
  <c r="B213" i="10" s="1"/>
  <c r="H213" i="10"/>
  <c r="E213" i="10"/>
  <c r="G213" i="10"/>
  <c r="D213" i="10"/>
  <c r="B164" i="35"/>
  <c r="AU167" i="38"/>
  <c r="D167" i="38" s="1"/>
  <c r="AS168" i="38"/>
  <c r="AV168" i="38"/>
  <c r="M150" i="36"/>
  <c r="H149" i="36"/>
  <c r="B149" i="36"/>
  <c r="I149" i="36" s="1"/>
  <c r="G149" i="36"/>
  <c r="F149" i="36"/>
  <c r="M211" i="39"/>
  <c r="C211" i="39" s="1"/>
  <c r="AR165" i="35"/>
  <c r="J164" i="35"/>
  <c r="J167" i="38" l="1"/>
  <c r="A167" i="38" s="1"/>
  <c r="H164" i="35"/>
  <c r="F214" i="10"/>
  <c r="L214" i="10"/>
  <c r="I214" i="10"/>
  <c r="A214" i="10" s="1"/>
  <c r="N211" i="39"/>
  <c r="D211" i="39" s="1"/>
  <c r="A211" i="39" s="1"/>
  <c r="O212" i="39"/>
  <c r="L212" i="39"/>
  <c r="K150" i="36"/>
  <c r="AT168" i="38"/>
  <c r="C168" i="38" s="1"/>
  <c r="D149" i="36"/>
  <c r="D164" i="35"/>
  <c r="F164" i="35"/>
  <c r="E164" i="35"/>
  <c r="I164" i="35"/>
  <c r="AS165" i="35"/>
  <c r="C165" i="35" s="1"/>
  <c r="E149" i="36"/>
  <c r="G164" i="35"/>
  <c r="H214" i="10" l="1"/>
  <c r="G214" i="10"/>
  <c r="D214" i="10"/>
  <c r="E214" i="10"/>
  <c r="C214" i="10"/>
  <c r="B214" i="10" s="1"/>
  <c r="K215" i="10"/>
  <c r="E168" i="38"/>
  <c r="L150" i="36"/>
  <c r="C150" i="36" s="1"/>
  <c r="A150" i="36" s="1"/>
  <c r="AT166" i="35"/>
  <c r="A165" i="35"/>
  <c r="M212" i="39"/>
  <c r="C212" i="39" s="1"/>
  <c r="F215" i="10" l="1"/>
  <c r="L215" i="10"/>
  <c r="I215" i="10"/>
  <c r="A215" i="10" s="1"/>
  <c r="N212" i="39"/>
  <c r="D212" i="39" s="1"/>
  <c r="A212" i="39" s="1"/>
  <c r="L213" i="39"/>
  <c r="O213" i="39"/>
  <c r="B165" i="35"/>
  <c r="M151" i="36"/>
  <c r="G150" i="36"/>
  <c r="B150" i="36"/>
  <c r="I150" i="36" s="1"/>
  <c r="H150" i="36"/>
  <c r="F150" i="36"/>
  <c r="AR166" i="35"/>
  <c r="AU168" i="38"/>
  <c r="D168" i="38" s="1"/>
  <c r="AS169" i="38"/>
  <c r="AV169" i="38"/>
  <c r="J165" i="35"/>
  <c r="J168" i="38" l="1"/>
  <c r="A168" i="38" s="1"/>
  <c r="E165" i="35"/>
  <c r="D215" i="10"/>
  <c r="G215" i="10"/>
  <c r="E215" i="10"/>
  <c r="H215" i="10"/>
  <c r="C215" i="10"/>
  <c r="B215" i="10" s="1"/>
  <c r="K216" i="10"/>
  <c r="D150" i="36"/>
  <c r="K151" i="36"/>
  <c r="AT169" i="38"/>
  <c r="C169" i="38" s="1"/>
  <c r="H165" i="35"/>
  <c r="F165" i="35"/>
  <c r="I165" i="35"/>
  <c r="E150" i="36"/>
  <c r="D165" i="35"/>
  <c r="AS166" i="35"/>
  <c r="C166" i="35" s="1"/>
  <c r="G165" i="35"/>
  <c r="M213" i="39"/>
  <c r="C213" i="39" s="1"/>
  <c r="I216" i="10" l="1"/>
  <c r="A216" i="10" s="1"/>
  <c r="L216" i="10"/>
  <c r="F216" i="10"/>
  <c r="N213" i="39"/>
  <c r="D213" i="39" s="1"/>
  <c r="A213" i="39" s="1"/>
  <c r="O214" i="39"/>
  <c r="L214" i="39"/>
  <c r="E169" i="38"/>
  <c r="AT167" i="35"/>
  <c r="L151" i="36"/>
  <c r="C151" i="36" s="1"/>
  <c r="A151" i="36" s="1"/>
  <c r="A166" i="35"/>
  <c r="K217" i="10" l="1"/>
  <c r="C216" i="10"/>
  <c r="B216" i="10" s="1"/>
  <c r="E216" i="10"/>
  <c r="H216" i="10"/>
  <c r="G216" i="10"/>
  <c r="D216" i="10"/>
  <c r="M152" i="36"/>
  <c r="F151" i="36"/>
  <c r="G151" i="36"/>
  <c r="B151" i="36"/>
  <c r="I151" i="36" s="1"/>
  <c r="H151" i="36"/>
  <c r="AR167" i="35"/>
  <c r="AU169" i="38"/>
  <c r="D169" i="38" s="1"/>
  <c r="AV170" i="38"/>
  <c r="AS170" i="38"/>
  <c r="M214" i="39"/>
  <c r="C214" i="39" s="1"/>
  <c r="B166" i="35"/>
  <c r="J166" i="35"/>
  <c r="J169" i="38" l="1"/>
  <c r="A169" i="38" s="1"/>
  <c r="E166" i="35"/>
  <c r="I217" i="10"/>
  <c r="A217" i="10" s="1"/>
  <c r="L217" i="10"/>
  <c r="F217" i="10"/>
  <c r="N214" i="39"/>
  <c r="D214" i="39" s="1"/>
  <c r="A214" i="39" s="1"/>
  <c r="L215" i="39"/>
  <c r="O215" i="39"/>
  <c r="F166" i="35"/>
  <c r="I166" i="35"/>
  <c r="G166" i="35"/>
  <c r="H166" i="35"/>
  <c r="D151" i="36"/>
  <c r="AS167" i="35"/>
  <c r="C167" i="35" s="1"/>
  <c r="D166" i="35"/>
  <c r="E151" i="36"/>
  <c r="AT170" i="38"/>
  <c r="E170" i="38" s="1"/>
  <c r="K152" i="36"/>
  <c r="K218" i="10" l="1"/>
  <c r="C217" i="10"/>
  <c r="B217" i="10" s="1"/>
  <c r="G217" i="10"/>
  <c r="E217" i="10"/>
  <c r="H217" i="10"/>
  <c r="D217" i="10"/>
  <c r="AU170" i="38"/>
  <c r="D170" i="38" s="1"/>
  <c r="AS171" i="38"/>
  <c r="AV171" i="38"/>
  <c r="AT168" i="35"/>
  <c r="A167" i="35"/>
  <c r="L152" i="36"/>
  <c r="C152" i="36" s="1"/>
  <c r="A152" i="36" s="1"/>
  <c r="C170" i="38"/>
  <c r="M215" i="39"/>
  <c r="C215" i="39" s="1"/>
  <c r="J170" i="38" l="1"/>
  <c r="A170" i="38" s="1"/>
  <c r="L218" i="10"/>
  <c r="I218" i="10"/>
  <c r="A218" i="10" s="1"/>
  <c r="F218" i="10"/>
  <c r="N215" i="39"/>
  <c r="D215" i="39" s="1"/>
  <c r="A215" i="39" s="1"/>
  <c r="L216" i="39"/>
  <c r="O216" i="39"/>
  <c r="B152" i="36"/>
  <c r="I152" i="36" s="1"/>
  <c r="F152" i="36"/>
  <c r="H152" i="36"/>
  <c r="G152" i="36"/>
  <c r="M153" i="36"/>
  <c r="B167" i="35"/>
  <c r="AR168" i="35"/>
  <c r="AT171" i="38"/>
  <c r="E171" i="38" s="1"/>
  <c r="J167" i="35"/>
  <c r="G167" i="35" l="1"/>
  <c r="H218" i="10"/>
  <c r="E218" i="10"/>
  <c r="D218" i="10"/>
  <c r="G218" i="10"/>
  <c r="K219" i="10"/>
  <c r="C218" i="10"/>
  <c r="B218" i="10" s="1"/>
  <c r="D152" i="36"/>
  <c r="AU171" i="38"/>
  <c r="D171" i="38" s="1"/>
  <c r="AV172" i="38"/>
  <c r="AS172" i="38"/>
  <c r="F167" i="35"/>
  <c r="C171" i="38"/>
  <c r="AS168" i="35"/>
  <c r="C168" i="35" s="1"/>
  <c r="K153" i="36"/>
  <c r="E167" i="35"/>
  <c r="E152" i="36"/>
  <c r="I167" i="35"/>
  <c r="H167" i="35"/>
  <c r="M216" i="39"/>
  <c r="C216" i="39" s="1"/>
  <c r="D167" i="35"/>
  <c r="J171" i="38" l="1"/>
  <c r="A171" i="38" s="1"/>
  <c r="L219" i="10"/>
  <c r="F219" i="10"/>
  <c r="I219" i="10"/>
  <c r="A219" i="10" s="1"/>
  <c r="N216" i="39"/>
  <c r="D216" i="39" s="1"/>
  <c r="A216" i="39" s="1"/>
  <c r="O217" i="39"/>
  <c r="L217" i="39"/>
  <c r="A168" i="35"/>
  <c r="AT169" i="35"/>
  <c r="AT172" i="38"/>
  <c r="C172" i="38" s="1"/>
  <c r="L153" i="36"/>
  <c r="C153" i="36" s="1"/>
  <c r="A153" i="36" s="1"/>
  <c r="E219" i="10" l="1"/>
  <c r="G219" i="10"/>
  <c r="D219" i="10"/>
  <c r="H219" i="10"/>
  <c r="C219" i="10"/>
  <c r="B219" i="10" s="1"/>
  <c r="K220" i="10"/>
  <c r="F153" i="36"/>
  <c r="G153" i="36"/>
  <c r="B153" i="36"/>
  <c r="I153" i="36" s="1"/>
  <c r="H153" i="36"/>
  <c r="M154" i="36"/>
  <c r="E172" i="38"/>
  <c r="AR169" i="35"/>
  <c r="B168" i="35"/>
  <c r="M217" i="39"/>
  <c r="C217" i="39" s="1"/>
  <c r="J168" i="35"/>
  <c r="I168" i="35" l="1"/>
  <c r="F220" i="10"/>
  <c r="I220" i="10"/>
  <c r="A220" i="10" s="1"/>
  <c r="L220" i="10"/>
  <c r="N217" i="39"/>
  <c r="D217" i="39" s="1"/>
  <c r="A217" i="39" s="1"/>
  <c r="L218" i="39"/>
  <c r="O218" i="39"/>
  <c r="AS169" i="35"/>
  <c r="C169" i="35" s="1"/>
  <c r="K154" i="36"/>
  <c r="D168" i="35"/>
  <c r="E168" i="35"/>
  <c r="E153" i="36"/>
  <c r="AU172" i="38"/>
  <c r="D172" i="38" s="1"/>
  <c r="AS173" i="38"/>
  <c r="AV173" i="38"/>
  <c r="F168" i="35"/>
  <c r="D153" i="36"/>
  <c r="G168" i="35"/>
  <c r="H168" i="35"/>
  <c r="J172" i="38" l="1"/>
  <c r="A172" i="38" s="1"/>
  <c r="K221" i="10"/>
  <c r="C220" i="10"/>
  <c r="B220" i="10" s="1"/>
  <c r="D220" i="10"/>
  <c r="E220" i="10"/>
  <c r="H220" i="10"/>
  <c r="G220" i="10"/>
  <c r="L154" i="36"/>
  <c r="C154" i="36" s="1"/>
  <c r="A154" i="36" s="1"/>
  <c r="A169" i="35"/>
  <c r="AT170" i="35"/>
  <c r="M218" i="39"/>
  <c r="C218" i="39" s="1"/>
  <c r="AT173" i="38"/>
  <c r="E173" i="38" s="1"/>
  <c r="I221" i="10" l="1"/>
  <c r="A221" i="10" s="1"/>
  <c r="L221" i="10"/>
  <c r="F221" i="10"/>
  <c r="AU173" i="38"/>
  <c r="D173" i="38" s="1"/>
  <c r="AS174" i="38"/>
  <c r="AV174" i="38"/>
  <c r="N218" i="39"/>
  <c r="D218" i="39" s="1"/>
  <c r="A218" i="39" s="1"/>
  <c r="O219" i="39"/>
  <c r="L219" i="39"/>
  <c r="B169" i="35"/>
  <c r="AR170" i="35"/>
  <c r="C173" i="38"/>
  <c r="M155" i="36"/>
  <c r="H154" i="36"/>
  <c r="G154" i="36"/>
  <c r="F154" i="36"/>
  <c r="B154" i="36"/>
  <c r="I154" i="36" s="1"/>
  <c r="J169" i="35"/>
  <c r="J173" i="38" l="1"/>
  <c r="A173" i="38" s="1"/>
  <c r="I169" i="35"/>
  <c r="C221" i="10"/>
  <c r="B221" i="10" s="1"/>
  <c r="K222" i="10"/>
  <c r="D221" i="10"/>
  <c r="G221" i="10"/>
  <c r="H221" i="10"/>
  <c r="E221" i="10"/>
  <c r="D169" i="35"/>
  <c r="E169" i="35"/>
  <c r="F169" i="35"/>
  <c r="G169" i="35"/>
  <c r="E154" i="36"/>
  <c r="D154" i="36"/>
  <c r="M219" i="39"/>
  <c r="C219" i="39" s="1"/>
  <c r="AT174" i="38"/>
  <c r="E174" i="38" s="1"/>
  <c r="K155" i="36"/>
  <c r="AS170" i="35"/>
  <c r="C170" i="35" s="1"/>
  <c r="H169" i="35"/>
  <c r="AT171" i="35" l="1"/>
  <c r="AR171" i="35" s="1"/>
  <c r="F222" i="10"/>
  <c r="L222" i="10"/>
  <c r="I222" i="10"/>
  <c r="A222" i="10" s="1"/>
  <c r="AU174" i="38"/>
  <c r="D174" i="38" s="1"/>
  <c r="AS175" i="38"/>
  <c r="AV175" i="38"/>
  <c r="N219" i="39"/>
  <c r="D219" i="39" s="1"/>
  <c r="A219" i="39" s="1"/>
  <c r="O220" i="39"/>
  <c r="L220" i="39"/>
  <c r="C174" i="38"/>
  <c r="A170" i="35"/>
  <c r="L155" i="36"/>
  <c r="C155" i="36" s="1"/>
  <c r="A155" i="36" s="1"/>
  <c r="J174" i="38" l="1"/>
  <c r="A174" i="38" s="1"/>
  <c r="H222" i="10"/>
  <c r="D222" i="10"/>
  <c r="G222" i="10"/>
  <c r="E222" i="10"/>
  <c r="K223" i="10"/>
  <c r="C222" i="10"/>
  <c r="B222" i="10" s="1"/>
  <c r="B170" i="35"/>
  <c r="M220" i="39"/>
  <c r="C220" i="39" s="1"/>
  <c r="F155" i="36"/>
  <c r="H155" i="36"/>
  <c r="G155" i="36"/>
  <c r="B155" i="36"/>
  <c r="I155" i="36" s="1"/>
  <c r="M156" i="36"/>
  <c r="AT175" i="38"/>
  <c r="C175" i="38" s="1"/>
  <c r="AS171" i="35"/>
  <c r="C171" i="35" s="1"/>
  <c r="J170" i="35"/>
  <c r="D170" i="35" l="1"/>
  <c r="L223" i="10"/>
  <c r="F223" i="10"/>
  <c r="I223" i="10"/>
  <c r="A223" i="10" s="1"/>
  <c r="E175" i="38"/>
  <c r="N220" i="39"/>
  <c r="D220" i="39" s="1"/>
  <c r="A220" i="39" s="1"/>
  <c r="L221" i="39"/>
  <c r="O221" i="39"/>
  <c r="E155" i="36"/>
  <c r="G170" i="35"/>
  <c r="K156" i="36"/>
  <c r="A171" i="35"/>
  <c r="H170" i="35"/>
  <c r="D155" i="36"/>
  <c r="AT172" i="35"/>
  <c r="F170" i="35"/>
  <c r="E170" i="35"/>
  <c r="I170" i="35"/>
  <c r="AV176" i="38" l="1"/>
  <c r="E223" i="10"/>
  <c r="D223" i="10"/>
  <c r="G223" i="10"/>
  <c r="H223" i="10"/>
  <c r="K224" i="10"/>
  <c r="C223" i="10"/>
  <c r="B223" i="10" s="1"/>
  <c r="AS176" i="38"/>
  <c r="AT176" i="38" s="1"/>
  <c r="E176" i="38" s="1"/>
  <c r="AU175" i="38"/>
  <c r="D175" i="38" s="1"/>
  <c r="L156" i="36"/>
  <c r="C156" i="36" s="1"/>
  <c r="A156" i="36" s="1"/>
  <c r="B171" i="35"/>
  <c r="AR172" i="35"/>
  <c r="M221" i="39"/>
  <c r="C221" i="39" s="1"/>
  <c r="J171" i="35"/>
  <c r="J175" i="38" l="1"/>
  <c r="A175" i="38" s="1"/>
  <c r="F171" i="35"/>
  <c r="F224" i="10"/>
  <c r="L224" i="10"/>
  <c r="I224" i="10"/>
  <c r="A224" i="10" s="1"/>
  <c r="N221" i="39"/>
  <c r="D221" i="39" s="1"/>
  <c r="A221" i="39" s="1"/>
  <c r="O222" i="39"/>
  <c r="L222" i="39"/>
  <c r="AU176" i="38"/>
  <c r="D176" i="38" s="1"/>
  <c r="AV177" i="38"/>
  <c r="AS177" i="38"/>
  <c r="D171" i="35"/>
  <c r="H171" i="35"/>
  <c r="AS172" i="35"/>
  <c r="C172" i="35" s="1"/>
  <c r="I171" i="35"/>
  <c r="G156" i="36"/>
  <c r="F156" i="36"/>
  <c r="B156" i="36"/>
  <c r="I156" i="36" s="1"/>
  <c r="H156" i="36"/>
  <c r="G171" i="35"/>
  <c r="E171" i="35"/>
  <c r="C176" i="38"/>
  <c r="M157" i="36"/>
  <c r="J176" i="38" l="1"/>
  <c r="A176" i="38" s="1"/>
  <c r="D224" i="10"/>
  <c r="E224" i="10"/>
  <c r="G224" i="10"/>
  <c r="H224" i="10"/>
  <c r="C224" i="10"/>
  <c r="B224" i="10" s="1"/>
  <c r="K225" i="10"/>
  <c r="D156" i="36"/>
  <c r="E156" i="36"/>
  <c r="A172" i="35"/>
  <c r="AT177" i="38"/>
  <c r="C177" i="38" s="1"/>
  <c r="K157" i="36"/>
  <c r="AT173" i="35"/>
  <c r="M222" i="39"/>
  <c r="C222" i="39" s="1"/>
  <c r="F225" i="10" l="1"/>
  <c r="L225" i="10"/>
  <c r="I225" i="10"/>
  <c r="A225" i="10" s="1"/>
  <c r="N222" i="39"/>
  <c r="D222" i="39" s="1"/>
  <c r="A222" i="39" s="1"/>
  <c r="O223" i="39"/>
  <c r="L223" i="39"/>
  <c r="L157" i="36"/>
  <c r="C157" i="36" s="1"/>
  <c r="A157" i="36" s="1"/>
  <c r="E177" i="38"/>
  <c r="AR173" i="35"/>
  <c r="B172" i="35"/>
  <c r="J172" i="35"/>
  <c r="I172" i="35" l="1"/>
  <c r="E225" i="10"/>
  <c r="G225" i="10"/>
  <c r="H225" i="10"/>
  <c r="D225" i="10"/>
  <c r="K226" i="10"/>
  <c r="C225" i="10"/>
  <c r="B225" i="10" s="1"/>
  <c r="E172" i="35"/>
  <c r="AS173" i="35"/>
  <c r="C173" i="35" s="1"/>
  <c r="AU177" i="38"/>
  <c r="D177" i="38" s="1"/>
  <c r="AS178" i="38"/>
  <c r="AV178" i="38"/>
  <c r="M158" i="36"/>
  <c r="B157" i="36"/>
  <c r="I157" i="36" s="1"/>
  <c r="F157" i="36"/>
  <c r="H157" i="36"/>
  <c r="G157" i="36"/>
  <c r="M223" i="39"/>
  <c r="C223" i="39" s="1"/>
  <c r="G172" i="35"/>
  <c r="H172" i="35"/>
  <c r="F172" i="35"/>
  <c r="D172" i="35"/>
  <c r="J177" i="38" l="1"/>
  <c r="A177" i="38" s="1"/>
  <c r="L226" i="10"/>
  <c r="F226" i="10"/>
  <c r="I226" i="10"/>
  <c r="A226" i="10" s="1"/>
  <c r="N223" i="39"/>
  <c r="D223" i="39" s="1"/>
  <c r="A223" i="39" s="1"/>
  <c r="O224" i="39"/>
  <c r="L224" i="39"/>
  <c r="AT178" i="38"/>
  <c r="C178" i="38" s="1"/>
  <c r="K158" i="36"/>
  <c r="A173" i="35"/>
  <c r="D157" i="36"/>
  <c r="E157" i="36"/>
  <c r="AT174" i="35"/>
  <c r="E226" i="10" l="1"/>
  <c r="D226" i="10"/>
  <c r="G226" i="10"/>
  <c r="H226" i="10"/>
  <c r="C226" i="10"/>
  <c r="B226" i="10" s="1"/>
  <c r="K227" i="10"/>
  <c r="L158" i="36"/>
  <c r="C158" i="36" s="1"/>
  <c r="A158" i="36" s="1"/>
  <c r="E178" i="38"/>
  <c r="AR174" i="35"/>
  <c r="M224" i="39"/>
  <c r="C224" i="39" s="1"/>
  <c r="B173" i="35"/>
  <c r="J173" i="35"/>
  <c r="G173" i="35" l="1"/>
  <c r="F227" i="10"/>
  <c r="L227" i="10"/>
  <c r="N224" i="39"/>
  <c r="D224" i="39" s="1"/>
  <c r="A224" i="39" s="1"/>
  <c r="L225" i="39"/>
  <c r="O225" i="39"/>
  <c r="F173" i="35"/>
  <c r="AU178" i="38"/>
  <c r="D178" i="38" s="1"/>
  <c r="AV179" i="38"/>
  <c r="AS179" i="38"/>
  <c r="AS174" i="35"/>
  <c r="C174" i="35" s="1"/>
  <c r="I173" i="35"/>
  <c r="E173" i="35"/>
  <c r="D173" i="35"/>
  <c r="M159" i="36"/>
  <c r="H173" i="35"/>
  <c r="B158" i="36"/>
  <c r="I158" i="36" s="1"/>
  <c r="F158" i="36"/>
  <c r="G158" i="36"/>
  <c r="H158" i="36"/>
  <c r="J178" i="38" l="1"/>
  <c r="A178" i="38" s="1"/>
  <c r="K228" i="10"/>
  <c r="C227" i="10"/>
  <c r="B227" i="10" s="1"/>
  <c r="I227" i="10"/>
  <c r="A227" i="10" s="1"/>
  <c r="D158" i="36"/>
  <c r="AT175" i="35"/>
  <c r="AT179" i="38"/>
  <c r="E179" i="38" s="1"/>
  <c r="E158" i="36"/>
  <c r="A174" i="35"/>
  <c r="K159" i="36"/>
  <c r="M225" i="39"/>
  <c r="C225" i="39" s="1"/>
  <c r="H227" i="10" l="1"/>
  <c r="E227" i="10"/>
  <c r="D227" i="10"/>
  <c r="G227" i="10"/>
  <c r="F228" i="10"/>
  <c r="L228" i="10"/>
  <c r="I228" i="10" s="1"/>
  <c r="A228" i="10" s="1"/>
  <c r="N225" i="39"/>
  <c r="D225" i="39" s="1"/>
  <c r="A225" i="39" s="1"/>
  <c r="L226" i="39"/>
  <c r="O226" i="39"/>
  <c r="AU179" i="38"/>
  <c r="D179" i="38" s="1"/>
  <c r="AV180" i="38"/>
  <c r="AS180" i="38"/>
  <c r="B174" i="35"/>
  <c r="L159" i="36"/>
  <c r="C159" i="36" s="1"/>
  <c r="A159" i="36" s="1"/>
  <c r="C179" i="38"/>
  <c r="AR175" i="35"/>
  <c r="J174" i="35"/>
  <c r="J179" i="38" l="1"/>
  <c r="A179" i="38" s="1"/>
  <c r="D174" i="35"/>
  <c r="D228" i="10"/>
  <c r="E228" i="10"/>
  <c r="H228" i="10"/>
  <c r="G228" i="10"/>
  <c r="K229" i="10"/>
  <c r="C228" i="10"/>
  <c r="B228" i="10" s="1"/>
  <c r="M160" i="36"/>
  <c r="K160" i="36" s="1"/>
  <c r="H174" i="35"/>
  <c r="G174" i="35"/>
  <c r="E174" i="35"/>
  <c r="I174" i="35"/>
  <c r="F174" i="35"/>
  <c r="AS175" i="35"/>
  <c r="C175" i="35" s="1"/>
  <c r="AT180" i="38"/>
  <c r="E180" i="38" s="1"/>
  <c r="H159" i="36"/>
  <c r="B159" i="36"/>
  <c r="I159" i="36" s="1"/>
  <c r="G159" i="36"/>
  <c r="F159" i="36"/>
  <c r="M226" i="39"/>
  <c r="C226" i="39" s="1"/>
  <c r="L229" i="10" l="1"/>
  <c r="F229" i="10"/>
  <c r="I229" i="10"/>
  <c r="A229" i="10" s="1"/>
  <c r="D159" i="36"/>
  <c r="N226" i="39"/>
  <c r="D226" i="39" s="1"/>
  <c r="A226" i="39" s="1"/>
  <c r="L227" i="39"/>
  <c r="O227" i="39"/>
  <c r="AU180" i="38"/>
  <c r="D180" i="38" s="1"/>
  <c r="AS181" i="38"/>
  <c r="AV181" i="38"/>
  <c r="C180" i="38"/>
  <c r="L160" i="36"/>
  <c r="C160" i="36" s="1"/>
  <c r="A160" i="36" s="1"/>
  <c r="A175" i="35"/>
  <c r="AT176" i="35"/>
  <c r="E159" i="36"/>
  <c r="J180" i="38" l="1"/>
  <c r="A180" i="38" s="1"/>
  <c r="H229" i="10"/>
  <c r="E229" i="10"/>
  <c r="D229" i="10"/>
  <c r="G229" i="10"/>
  <c r="C229" i="10"/>
  <c r="B229" i="10" s="1"/>
  <c r="K230" i="10"/>
  <c r="H160" i="36"/>
  <c r="G160" i="36"/>
  <c r="F160" i="36"/>
  <c r="B160" i="36"/>
  <c r="I160" i="36" s="1"/>
  <c r="AT181" i="38"/>
  <c r="E181" i="38" s="1"/>
  <c r="B175" i="35"/>
  <c r="M161" i="36"/>
  <c r="M227" i="39"/>
  <c r="C227" i="39" s="1"/>
  <c r="AR176" i="35"/>
  <c r="J175" i="35"/>
  <c r="D175" i="35" l="1"/>
  <c r="F230" i="10"/>
  <c r="L230" i="10"/>
  <c r="F175" i="35"/>
  <c r="G175" i="35"/>
  <c r="H175" i="35"/>
  <c r="I175" i="35"/>
  <c r="AU181" i="38"/>
  <c r="D181" i="38" s="1"/>
  <c r="AS182" i="38"/>
  <c r="AV182" i="38"/>
  <c r="N227" i="39"/>
  <c r="D227" i="39" s="1"/>
  <c r="A227" i="39" s="1"/>
  <c r="O228" i="39"/>
  <c r="L228" i="39"/>
  <c r="C181" i="38"/>
  <c r="D160" i="36"/>
  <c r="K161" i="36"/>
  <c r="AS176" i="35"/>
  <c r="C176" i="35" s="1"/>
  <c r="E160" i="36"/>
  <c r="E175" i="35"/>
  <c r="J181" i="38" l="1"/>
  <c r="A181" i="38" s="1"/>
  <c r="K231" i="10"/>
  <c r="C230" i="10"/>
  <c r="B230" i="10" s="1"/>
  <c r="I230" i="10"/>
  <c r="A230" i="10" s="1"/>
  <c r="L161" i="36"/>
  <c r="C161" i="36" s="1"/>
  <c r="A161" i="36" s="1"/>
  <c r="M228" i="39"/>
  <c r="C228" i="39" s="1"/>
  <c r="AT182" i="38"/>
  <c r="E182" i="38" s="1"/>
  <c r="AT177" i="35"/>
  <c r="A176" i="35"/>
  <c r="H230" i="10" l="1"/>
  <c r="G230" i="10"/>
  <c r="D230" i="10"/>
  <c r="E230" i="10"/>
  <c r="L231" i="10"/>
  <c r="F231" i="10"/>
  <c r="I231" i="10"/>
  <c r="A231" i="10" s="1"/>
  <c r="AU182" i="38"/>
  <c r="D182" i="38" s="1"/>
  <c r="AV183" i="38"/>
  <c r="AS183" i="38"/>
  <c r="N228" i="39"/>
  <c r="D228" i="39" s="1"/>
  <c r="A228" i="39" s="1"/>
  <c r="L229" i="39"/>
  <c r="O229" i="39"/>
  <c r="C182" i="38"/>
  <c r="B176" i="35"/>
  <c r="AR177" i="35"/>
  <c r="M162" i="36"/>
  <c r="H161" i="36"/>
  <c r="F161" i="36"/>
  <c r="G161" i="36"/>
  <c r="B161" i="36"/>
  <c r="I161" i="36" s="1"/>
  <c r="J176" i="35"/>
  <c r="J182" i="38" l="1"/>
  <c r="A182" i="38" s="1"/>
  <c r="G176" i="35"/>
  <c r="C231" i="10"/>
  <c r="B231" i="10" s="1"/>
  <c r="K232" i="10"/>
  <c r="D231" i="10"/>
  <c r="G231" i="10"/>
  <c r="E231" i="10"/>
  <c r="H231" i="10"/>
  <c r="D161" i="36"/>
  <c r="E161" i="36"/>
  <c r="D176" i="35"/>
  <c r="E176" i="35"/>
  <c r="M229" i="39"/>
  <c r="C229" i="39" s="1"/>
  <c r="AT183" i="38"/>
  <c r="C183" i="38" s="1"/>
  <c r="K162" i="36"/>
  <c r="AS177" i="35"/>
  <c r="C177" i="35" s="1"/>
  <c r="I176" i="35"/>
  <c r="F176" i="35"/>
  <c r="H176" i="35"/>
  <c r="L232" i="10" l="1"/>
  <c r="I232" i="10"/>
  <c r="A232" i="10" s="1"/>
  <c r="F232" i="10"/>
  <c r="N229" i="39"/>
  <c r="D229" i="39" s="1"/>
  <c r="A229" i="39" s="1"/>
  <c r="L230" i="39"/>
  <c r="O230" i="39"/>
  <c r="A177" i="35"/>
  <c r="E183" i="38"/>
  <c r="AT178" i="35"/>
  <c r="L162" i="36"/>
  <c r="C162" i="36" s="1"/>
  <c r="A162" i="36" s="1"/>
  <c r="D232" i="10" l="1"/>
  <c r="G232" i="10"/>
  <c r="H232" i="10"/>
  <c r="E232" i="10"/>
  <c r="C232" i="10"/>
  <c r="B232" i="10" s="1"/>
  <c r="K233" i="10"/>
  <c r="AR178" i="35"/>
  <c r="B162" i="36"/>
  <c r="I162" i="36" s="1"/>
  <c r="F162" i="36"/>
  <c r="H162" i="36"/>
  <c r="G162" i="36"/>
  <c r="AU183" i="38"/>
  <c r="D183" i="38" s="1"/>
  <c r="AV184" i="38"/>
  <c r="AS184" i="38"/>
  <c r="B177" i="35"/>
  <c r="M163" i="36"/>
  <c r="M230" i="39"/>
  <c r="C230" i="39" s="1"/>
  <c r="J177" i="35"/>
  <c r="J183" i="38" l="1"/>
  <c r="A183" i="38" s="1"/>
  <c r="F177" i="35"/>
  <c r="F233" i="10"/>
  <c r="L233" i="10"/>
  <c r="N230" i="39"/>
  <c r="D230" i="39" s="1"/>
  <c r="A230" i="39" s="1"/>
  <c r="O231" i="39"/>
  <c r="L231" i="39"/>
  <c r="E177" i="35"/>
  <c r="I177" i="35"/>
  <c r="G177" i="35"/>
  <c r="D177" i="35"/>
  <c r="E162" i="36"/>
  <c r="K163" i="36"/>
  <c r="D162" i="36"/>
  <c r="AS178" i="35"/>
  <c r="C178" i="35" s="1"/>
  <c r="H177" i="35"/>
  <c r="AT184" i="38"/>
  <c r="E184" i="38" s="1"/>
  <c r="AT179" i="35" l="1"/>
  <c r="AR179" i="35" s="1"/>
  <c r="K234" i="10"/>
  <c r="C233" i="10"/>
  <c r="B233" i="10" s="1"/>
  <c r="I233" i="10"/>
  <c r="A233" i="10" s="1"/>
  <c r="AU184" i="38"/>
  <c r="D184" i="38" s="1"/>
  <c r="AS185" i="38"/>
  <c r="AV185" i="38"/>
  <c r="C184" i="38"/>
  <c r="A178" i="35"/>
  <c r="M231" i="39"/>
  <c r="C231" i="39" s="1"/>
  <c r="L163" i="36"/>
  <c r="C163" i="36" s="1"/>
  <c r="A163" i="36" s="1"/>
  <c r="J184" i="38" l="1"/>
  <c r="A184" i="38" s="1"/>
  <c r="E233" i="10"/>
  <c r="D233" i="10"/>
  <c r="H233" i="10"/>
  <c r="G233" i="10"/>
  <c r="F234" i="10"/>
  <c r="L234" i="10"/>
  <c r="I234" i="10"/>
  <c r="A234" i="10" s="1"/>
  <c r="N231" i="39"/>
  <c r="D231" i="39" s="1"/>
  <c r="A231" i="39" s="1"/>
  <c r="O232" i="39"/>
  <c r="L232" i="39"/>
  <c r="B178" i="35"/>
  <c r="AT185" i="38"/>
  <c r="E185" i="38" s="1"/>
  <c r="AS179" i="35"/>
  <c r="C179" i="35" s="1"/>
  <c r="H163" i="36"/>
  <c r="B163" i="36"/>
  <c r="I163" i="36" s="1"/>
  <c r="F163" i="36"/>
  <c r="G163" i="36"/>
  <c r="M164" i="36"/>
  <c r="J178" i="35"/>
  <c r="F178" i="35" l="1"/>
  <c r="E234" i="10"/>
  <c r="H234" i="10"/>
  <c r="D234" i="10"/>
  <c r="G234" i="10"/>
  <c r="C234" i="10"/>
  <c r="B234" i="10" s="1"/>
  <c r="K235" i="10"/>
  <c r="E178" i="35"/>
  <c r="AU185" i="38"/>
  <c r="D185" i="38" s="1"/>
  <c r="AV186" i="38"/>
  <c r="AS186" i="38"/>
  <c r="AT180" i="35"/>
  <c r="A179" i="35"/>
  <c r="I178" i="35"/>
  <c r="D163" i="36"/>
  <c r="E163" i="36"/>
  <c r="H178" i="35"/>
  <c r="G178" i="35"/>
  <c r="D178" i="35"/>
  <c r="C185" i="38"/>
  <c r="M232" i="39"/>
  <c r="C232" i="39" s="1"/>
  <c r="K164" i="36"/>
  <c r="J185" i="38" l="1"/>
  <c r="A185" i="38" s="1"/>
  <c r="F235" i="10"/>
  <c r="L235" i="10"/>
  <c r="I235" i="10" s="1"/>
  <c r="A235" i="10" s="1"/>
  <c r="N232" i="39"/>
  <c r="D232" i="39" s="1"/>
  <c r="A232" i="39" s="1"/>
  <c r="L233" i="39"/>
  <c r="O233" i="39"/>
  <c r="B179" i="35"/>
  <c r="L164" i="36"/>
  <c r="C164" i="36" s="1"/>
  <c r="A164" i="36" s="1"/>
  <c r="AR180" i="35"/>
  <c r="AT186" i="38"/>
  <c r="C186" i="38" s="1"/>
  <c r="J179" i="35"/>
  <c r="E179" i="35" l="1"/>
  <c r="K236" i="10"/>
  <c r="C235" i="10"/>
  <c r="B235" i="10" s="1"/>
  <c r="H235" i="10"/>
  <c r="D235" i="10"/>
  <c r="G235" i="10"/>
  <c r="E235" i="10"/>
  <c r="I179" i="35"/>
  <c r="M165" i="36"/>
  <c r="B164" i="36"/>
  <c r="I164" i="36" s="1"/>
  <c r="H164" i="36"/>
  <c r="F164" i="36"/>
  <c r="G164" i="36"/>
  <c r="E186" i="38"/>
  <c r="G179" i="35"/>
  <c r="D179" i="35"/>
  <c r="H179" i="35"/>
  <c r="F179" i="35"/>
  <c r="AS180" i="35"/>
  <c r="C180" i="35" s="1"/>
  <c r="M233" i="39"/>
  <c r="C233" i="39" s="1"/>
  <c r="F236" i="10" l="1"/>
  <c r="L236" i="10"/>
  <c r="I236" i="10" s="1"/>
  <c r="A236" i="10" s="1"/>
  <c r="AT181" i="35"/>
  <c r="AR181" i="35" s="1"/>
  <c r="D164" i="36"/>
  <c r="E164" i="36"/>
  <c r="N233" i="39"/>
  <c r="D233" i="39" s="1"/>
  <c r="A233" i="39" s="1"/>
  <c r="L234" i="39"/>
  <c r="O234" i="39"/>
  <c r="AU186" i="38"/>
  <c r="D186" i="38" s="1"/>
  <c r="AS187" i="38"/>
  <c r="AV187" i="38"/>
  <c r="A180" i="35"/>
  <c r="K165" i="36"/>
  <c r="J186" i="38" l="1"/>
  <c r="A186" i="38" s="1"/>
  <c r="E236" i="10"/>
  <c r="G236" i="10"/>
  <c r="H236" i="10"/>
  <c r="D236" i="10"/>
  <c r="K237" i="10"/>
  <c r="C236" i="10"/>
  <c r="B236" i="10" s="1"/>
  <c r="AS181" i="35"/>
  <c r="C181" i="35" s="1"/>
  <c r="B180" i="35"/>
  <c r="AT187" i="38"/>
  <c r="C187" i="38" s="1"/>
  <c r="L165" i="36"/>
  <c r="C165" i="36" s="1"/>
  <c r="A165" i="36" s="1"/>
  <c r="M234" i="39"/>
  <c r="C234" i="39" s="1"/>
  <c r="J180" i="35"/>
  <c r="AT182" i="35" l="1"/>
  <c r="AR182" i="35" s="1"/>
  <c r="D180" i="35"/>
  <c r="F237" i="10"/>
  <c r="L237" i="10"/>
  <c r="H180" i="35"/>
  <c r="F180" i="35"/>
  <c r="I180" i="35"/>
  <c r="E180" i="35"/>
  <c r="G180" i="35"/>
  <c r="N234" i="39"/>
  <c r="D234" i="39" s="1"/>
  <c r="A234" i="39" s="1"/>
  <c r="O235" i="39"/>
  <c r="L235" i="39"/>
  <c r="F165" i="36"/>
  <c r="G165" i="36"/>
  <c r="B165" i="36"/>
  <c r="I165" i="36" s="1"/>
  <c r="H165" i="36"/>
  <c r="M166" i="36"/>
  <c r="E187" i="38"/>
  <c r="A181" i="35"/>
  <c r="K238" i="10" l="1"/>
  <c r="C237" i="10"/>
  <c r="B237" i="10" s="1"/>
  <c r="I237" i="10"/>
  <c r="A237" i="10" s="1"/>
  <c r="E165" i="36"/>
  <c r="D165" i="36"/>
  <c r="AS182" i="35"/>
  <c r="C182" i="35" s="1"/>
  <c r="B181" i="35"/>
  <c r="M235" i="39"/>
  <c r="C235" i="39" s="1"/>
  <c r="N235" i="39" s="1"/>
  <c r="D235" i="39" s="1"/>
  <c r="A235" i="39" s="1"/>
  <c r="AU187" i="38"/>
  <c r="D187" i="38" s="1"/>
  <c r="AS188" i="38"/>
  <c r="AV188" i="38"/>
  <c r="K166" i="36"/>
  <c r="J181" i="35"/>
  <c r="J187" i="38" l="1"/>
  <c r="A187" i="38" s="1"/>
  <c r="E181" i="35"/>
  <c r="H237" i="10"/>
  <c r="G237" i="10"/>
  <c r="E237" i="10"/>
  <c r="D237" i="10"/>
  <c r="L238" i="10"/>
  <c r="I238" i="10" s="1"/>
  <c r="A238" i="10" s="1"/>
  <c r="F238" i="10"/>
  <c r="F181" i="35"/>
  <c r="H181" i="35"/>
  <c r="I181" i="35"/>
  <c r="D181" i="35"/>
  <c r="L236" i="39"/>
  <c r="AT188" i="38"/>
  <c r="C188" i="38" s="1"/>
  <c r="L166" i="36"/>
  <c r="C166" i="36" s="1"/>
  <c r="A166" i="36" s="1"/>
  <c r="O236" i="39"/>
  <c r="A182" i="35"/>
  <c r="AT183" i="35"/>
  <c r="G181" i="35"/>
  <c r="K239" i="10" l="1"/>
  <c r="C238" i="10"/>
  <c r="B238" i="10" s="1"/>
  <c r="D238" i="10" s="1"/>
  <c r="B182" i="35"/>
  <c r="B166" i="36"/>
  <c r="I166" i="36" s="1"/>
  <c r="H166" i="36"/>
  <c r="G166" i="36"/>
  <c r="F166" i="36"/>
  <c r="E188" i="38"/>
  <c r="M167" i="36"/>
  <c r="AR183" i="35"/>
  <c r="M236" i="39"/>
  <c r="C236" i="39" s="1"/>
  <c r="J182" i="35"/>
  <c r="F182" i="35" l="1"/>
  <c r="G238" i="10"/>
  <c r="H238" i="10"/>
  <c r="E238" i="10"/>
  <c r="L239" i="10"/>
  <c r="F239" i="10"/>
  <c r="I239" i="10"/>
  <c r="A239" i="10" s="1"/>
  <c r="N236" i="39"/>
  <c r="D236" i="39" s="1"/>
  <c r="A236" i="39" s="1"/>
  <c r="L237" i="39"/>
  <c r="O237" i="39"/>
  <c r="D182" i="35"/>
  <c r="AS183" i="35"/>
  <c r="C183" i="35" s="1"/>
  <c r="I182" i="35"/>
  <c r="K167" i="36"/>
  <c r="E166" i="36"/>
  <c r="E182" i="35"/>
  <c r="G182" i="35"/>
  <c r="AU188" i="38"/>
  <c r="D188" i="38" s="1"/>
  <c r="AS189" i="38"/>
  <c r="AV189" i="38"/>
  <c r="D166" i="36"/>
  <c r="H182" i="35"/>
  <c r="J188" i="38" l="1"/>
  <c r="A188" i="38" s="1"/>
  <c r="AT184" i="35"/>
  <c r="AR184" i="35" s="1"/>
  <c r="D239" i="10"/>
  <c r="H239" i="10"/>
  <c r="G239" i="10"/>
  <c r="E239" i="10"/>
  <c r="K240" i="10"/>
  <c r="C239" i="10"/>
  <c r="B239" i="10" s="1"/>
  <c r="A183" i="35"/>
  <c r="L167" i="36"/>
  <c r="C167" i="36" s="1"/>
  <c r="A167" i="36" s="1"/>
  <c r="AT189" i="38"/>
  <c r="C189" i="38" s="1"/>
  <c r="M237" i="39"/>
  <c r="C237" i="39" s="1"/>
  <c r="I240" i="10" l="1"/>
  <c r="A240" i="10" s="1"/>
  <c r="L240" i="10"/>
  <c r="F240" i="10"/>
  <c r="E189" i="38"/>
  <c r="N237" i="39"/>
  <c r="D237" i="39" s="1"/>
  <c r="A237" i="39" s="1"/>
  <c r="O238" i="39"/>
  <c r="L238" i="39"/>
  <c r="F167" i="36"/>
  <c r="B167" i="36"/>
  <c r="I167" i="36" s="1"/>
  <c r="G167" i="36"/>
  <c r="H167" i="36"/>
  <c r="B183" i="35"/>
  <c r="AS184" i="35"/>
  <c r="C184" i="35" s="1"/>
  <c r="M168" i="36"/>
  <c r="J183" i="35"/>
  <c r="AV190" i="38" l="1"/>
  <c r="I183" i="35"/>
  <c r="C240" i="10"/>
  <c r="B240" i="10" s="1"/>
  <c r="K241" i="10"/>
  <c r="G240" i="10"/>
  <c r="E240" i="10"/>
  <c r="H240" i="10"/>
  <c r="D240" i="10"/>
  <c r="AS190" i="38"/>
  <c r="AT190" i="38" s="1"/>
  <c r="C190" i="38" s="1"/>
  <c r="AU189" i="38"/>
  <c r="D189" i="38" s="1"/>
  <c r="K168" i="36"/>
  <c r="A184" i="35"/>
  <c r="E167" i="36"/>
  <c r="D167" i="36"/>
  <c r="H183" i="35"/>
  <c r="E183" i="35"/>
  <c r="D183" i="35"/>
  <c r="G183" i="35"/>
  <c r="M238" i="39"/>
  <c r="C238" i="39" s="1"/>
  <c r="AT185" i="35"/>
  <c r="F183" i="35"/>
  <c r="J189" i="38" l="1"/>
  <c r="A189" i="38" s="1"/>
  <c r="L241" i="10"/>
  <c r="F241" i="10"/>
  <c r="I241" i="10"/>
  <c r="A241" i="10" s="1"/>
  <c r="N238" i="39"/>
  <c r="D238" i="39" s="1"/>
  <c r="A238" i="39" s="1"/>
  <c r="L239" i="39"/>
  <c r="O239" i="39"/>
  <c r="L168" i="36"/>
  <c r="C168" i="36" s="1"/>
  <c r="A168" i="36" s="1"/>
  <c r="AR185" i="35"/>
  <c r="E190" i="38"/>
  <c r="B184" i="35"/>
  <c r="J184" i="35"/>
  <c r="G241" i="10" l="1"/>
  <c r="E241" i="10"/>
  <c r="H241" i="10"/>
  <c r="D241" i="10"/>
  <c r="K242" i="10"/>
  <c r="C241" i="10"/>
  <c r="B241" i="10" s="1"/>
  <c r="AU190" i="38"/>
  <c r="D190" i="38" s="1"/>
  <c r="AS191" i="38"/>
  <c r="AV191" i="38"/>
  <c r="H184" i="35"/>
  <c r="G184" i="35"/>
  <c r="G168" i="36"/>
  <c r="B168" i="36"/>
  <c r="I168" i="36" s="1"/>
  <c r="F168" i="36"/>
  <c r="H168" i="36"/>
  <c r="AS185" i="35"/>
  <c r="C185" i="35" s="1"/>
  <c r="F184" i="35"/>
  <c r="M169" i="36"/>
  <c r="E184" i="35"/>
  <c r="I184" i="35"/>
  <c r="M239" i="39"/>
  <c r="C239" i="39" s="1"/>
  <c r="D184" i="35"/>
  <c r="J190" i="38" l="1"/>
  <c r="A190" i="38" s="1"/>
  <c r="AT186" i="35"/>
  <c r="AR186" i="35" s="1"/>
  <c r="L242" i="10"/>
  <c r="I242" i="10"/>
  <c r="A242" i="10" s="1"/>
  <c r="F242" i="10"/>
  <c r="N239" i="39"/>
  <c r="D239" i="39" s="1"/>
  <c r="A239" i="39" s="1"/>
  <c r="L240" i="39"/>
  <c r="O240" i="39"/>
  <c r="E168" i="36"/>
  <c r="D168" i="36"/>
  <c r="AT191" i="38"/>
  <c r="C191" i="38" s="1"/>
  <c r="K169" i="36"/>
  <c r="A185" i="35"/>
  <c r="H242" i="10" l="1"/>
  <c r="G242" i="10"/>
  <c r="D242" i="10"/>
  <c r="E242" i="10"/>
  <c r="K243" i="10"/>
  <c r="C242" i="10"/>
  <c r="B242" i="10" s="1"/>
  <c r="E191" i="38"/>
  <c r="B185" i="35"/>
  <c r="AS186" i="35"/>
  <c r="C186" i="35" s="1"/>
  <c r="M240" i="39"/>
  <c r="C240" i="39" s="1"/>
  <c r="L169" i="36"/>
  <c r="C169" i="36" s="1"/>
  <c r="A169" i="36" s="1"/>
  <c r="J185" i="35"/>
  <c r="AT187" i="35" l="1"/>
  <c r="AR187" i="35" s="1"/>
  <c r="F185" i="35"/>
  <c r="L243" i="10"/>
  <c r="F243" i="10"/>
  <c r="I243" i="10"/>
  <c r="A243" i="10" s="1"/>
  <c r="N240" i="39"/>
  <c r="D240" i="39" s="1"/>
  <c r="A240" i="39" s="1"/>
  <c r="O241" i="39"/>
  <c r="L241" i="39"/>
  <c r="A186" i="35"/>
  <c r="H185" i="35"/>
  <c r="E185" i="35"/>
  <c r="M170" i="36"/>
  <c r="D185" i="35"/>
  <c r="I185" i="35"/>
  <c r="G185" i="35"/>
  <c r="B169" i="36"/>
  <c r="I169" i="36" s="1"/>
  <c r="H169" i="36"/>
  <c r="F169" i="36"/>
  <c r="G169" i="36"/>
  <c r="AU191" i="38"/>
  <c r="D191" i="38" s="1"/>
  <c r="AV192" i="38"/>
  <c r="AS192" i="38"/>
  <c r="J191" i="38" l="1"/>
  <c r="A191" i="38" s="1"/>
  <c r="G243" i="10"/>
  <c r="H243" i="10"/>
  <c r="E243" i="10"/>
  <c r="D243" i="10"/>
  <c r="C243" i="10"/>
  <c r="B243" i="10" s="1"/>
  <c r="K244" i="10"/>
  <c r="K170" i="36"/>
  <c r="B186" i="35"/>
  <c r="AS187" i="35"/>
  <c r="C187" i="35" s="1"/>
  <c r="D169" i="36"/>
  <c r="E169" i="36"/>
  <c r="M241" i="39"/>
  <c r="C241" i="39" s="1"/>
  <c r="AT192" i="38"/>
  <c r="C192" i="38" s="1"/>
  <c r="J186" i="35"/>
  <c r="F186" i="35" l="1"/>
  <c r="F244" i="10"/>
  <c r="I244" i="10"/>
  <c r="A244" i="10" s="1"/>
  <c r="L244" i="10"/>
  <c r="N241" i="39"/>
  <c r="D241" i="39" s="1"/>
  <c r="A241" i="39" s="1"/>
  <c r="O242" i="39"/>
  <c r="L242" i="39"/>
  <c r="E192" i="38"/>
  <c r="H186" i="35"/>
  <c r="L170" i="36"/>
  <c r="C170" i="36" s="1"/>
  <c r="A170" i="36" s="1"/>
  <c r="E186" i="35"/>
  <c r="G186" i="35"/>
  <c r="A187" i="35"/>
  <c r="D186" i="35"/>
  <c r="AT188" i="35"/>
  <c r="I186" i="35"/>
  <c r="K245" i="10" l="1"/>
  <c r="C244" i="10"/>
  <c r="B244" i="10" s="1"/>
  <c r="E244" i="10"/>
  <c r="D244" i="10"/>
  <c r="G244" i="10"/>
  <c r="H244" i="10"/>
  <c r="H170" i="36"/>
  <c r="G170" i="36"/>
  <c r="B170" i="36"/>
  <c r="I170" i="36" s="1"/>
  <c r="F170" i="36"/>
  <c r="M171" i="36"/>
  <c r="B187" i="35"/>
  <c r="AU192" i="38"/>
  <c r="D192" i="38" s="1"/>
  <c r="AV193" i="38"/>
  <c r="AS193" i="38"/>
  <c r="M242" i="39"/>
  <c r="C242" i="39" s="1"/>
  <c r="AR188" i="35"/>
  <c r="J187" i="35"/>
  <c r="J192" i="38" l="1"/>
  <c r="A192" i="38" s="1"/>
  <c r="D187" i="35"/>
  <c r="F245" i="10"/>
  <c r="I245" i="10"/>
  <c r="A245" i="10" s="1"/>
  <c r="L245" i="10"/>
  <c r="N242" i="39"/>
  <c r="D242" i="39" s="1"/>
  <c r="A242" i="39" s="1"/>
  <c r="L243" i="39"/>
  <c r="O243" i="39"/>
  <c r="E187" i="35"/>
  <c r="F187" i="35"/>
  <c r="AT193" i="38"/>
  <c r="C193" i="38" s="1"/>
  <c r="G187" i="35"/>
  <c r="E170" i="36"/>
  <c r="K171" i="36"/>
  <c r="AS188" i="35"/>
  <c r="C188" i="35" s="1"/>
  <c r="H187" i="35"/>
  <c r="D170" i="36"/>
  <c r="I187" i="35"/>
  <c r="C245" i="10" l="1"/>
  <c r="B245" i="10" s="1"/>
  <c r="K246" i="10"/>
  <c r="G245" i="10"/>
  <c r="D245" i="10"/>
  <c r="H245" i="10"/>
  <c r="E245" i="10"/>
  <c r="E193" i="38"/>
  <c r="A188" i="35"/>
  <c r="AT189" i="35"/>
  <c r="L171" i="36"/>
  <c r="C171" i="36" s="1"/>
  <c r="A171" i="36" s="1"/>
  <c r="M243" i="39"/>
  <c r="C243" i="39" s="1"/>
  <c r="L246" i="10" l="1"/>
  <c r="F246" i="10"/>
  <c r="I246" i="10"/>
  <c r="A246" i="10" s="1"/>
  <c r="N243" i="39"/>
  <c r="D243" i="39" s="1"/>
  <c r="A243" i="39" s="1"/>
  <c r="O244" i="39"/>
  <c r="L244" i="39"/>
  <c r="B188" i="35"/>
  <c r="AR189" i="35"/>
  <c r="F171" i="36"/>
  <c r="B171" i="36"/>
  <c r="I171" i="36" s="1"/>
  <c r="G171" i="36"/>
  <c r="H171" i="36"/>
  <c r="M172" i="36"/>
  <c r="AU193" i="38"/>
  <c r="D193" i="38" s="1"/>
  <c r="AV194" i="38"/>
  <c r="AS194" i="38"/>
  <c r="J188" i="35"/>
  <c r="J193" i="38" l="1"/>
  <c r="A193" i="38" s="1"/>
  <c r="D188" i="35"/>
  <c r="G246" i="10"/>
  <c r="E246" i="10"/>
  <c r="H246" i="10"/>
  <c r="D246" i="10"/>
  <c r="C246" i="10"/>
  <c r="B246" i="10" s="1"/>
  <c r="K247" i="10"/>
  <c r="K172" i="36"/>
  <c r="H188" i="35"/>
  <c r="G188" i="35"/>
  <c r="E188" i="35"/>
  <c r="D171" i="36"/>
  <c r="E171" i="36"/>
  <c r="I188" i="35"/>
  <c r="F188" i="35"/>
  <c r="M244" i="39"/>
  <c r="C244" i="39" s="1"/>
  <c r="AT194" i="38"/>
  <c r="E194" i="38" s="1"/>
  <c r="AS189" i="35"/>
  <c r="C189" i="35" s="1"/>
  <c r="I247" i="10" l="1"/>
  <c r="A247" i="10" s="1"/>
  <c r="L247" i="10"/>
  <c r="F247" i="10"/>
  <c r="AU194" i="38"/>
  <c r="D194" i="38" s="1"/>
  <c r="AV195" i="38"/>
  <c r="AS195" i="38"/>
  <c r="N244" i="39"/>
  <c r="D244" i="39" s="1"/>
  <c r="A244" i="39" s="1"/>
  <c r="L245" i="39"/>
  <c r="O245" i="39"/>
  <c r="A189" i="35"/>
  <c r="AT190" i="35"/>
  <c r="C194" i="38"/>
  <c r="L172" i="36"/>
  <c r="C172" i="36" s="1"/>
  <c r="A172" i="36" s="1"/>
  <c r="J194" i="38" l="1"/>
  <c r="A194" i="38" s="1"/>
  <c r="K248" i="10"/>
  <c r="C247" i="10"/>
  <c r="B247" i="10" s="1"/>
  <c r="G247" i="10"/>
  <c r="E247" i="10"/>
  <c r="D247" i="10"/>
  <c r="H247" i="10"/>
  <c r="M173" i="36"/>
  <c r="K173" i="36" s="1"/>
  <c r="M245" i="39"/>
  <c r="C245" i="39" s="1"/>
  <c r="AT195" i="38"/>
  <c r="C195" i="38" s="1"/>
  <c r="B189" i="35"/>
  <c r="AR190" i="35"/>
  <c r="H172" i="36"/>
  <c r="B172" i="36"/>
  <c r="I172" i="36" s="1"/>
  <c r="F172" i="36"/>
  <c r="G172" i="36"/>
  <c r="J189" i="35"/>
  <c r="I189" i="35" l="1"/>
  <c r="I248" i="10"/>
  <c r="A248" i="10" s="1"/>
  <c r="L248" i="10"/>
  <c r="F248" i="10"/>
  <c r="N245" i="39"/>
  <c r="D245" i="39" s="1"/>
  <c r="A245" i="39" s="1"/>
  <c r="L246" i="39"/>
  <c r="O246" i="39"/>
  <c r="D189" i="35"/>
  <c r="F189" i="35"/>
  <c r="L173" i="36"/>
  <c r="C173" i="36" s="1"/>
  <c r="A173" i="36" s="1"/>
  <c r="E195" i="38"/>
  <c r="D172" i="36"/>
  <c r="H189" i="35"/>
  <c r="E189" i="35"/>
  <c r="AS190" i="35"/>
  <c r="C190" i="35" s="1"/>
  <c r="E172" i="36"/>
  <c r="G189" i="35"/>
  <c r="AT191" i="35" l="1"/>
  <c r="AR191" i="35" s="1"/>
  <c r="C248" i="10"/>
  <c r="B248" i="10" s="1"/>
  <c r="K249" i="10"/>
  <c r="D248" i="10"/>
  <c r="G248" i="10"/>
  <c r="E248" i="10"/>
  <c r="H248" i="10"/>
  <c r="AU195" i="38"/>
  <c r="D195" i="38" s="1"/>
  <c r="AS196" i="38"/>
  <c r="AV196" i="38"/>
  <c r="M174" i="36"/>
  <c r="H173" i="36"/>
  <c r="B173" i="36"/>
  <c r="I173" i="36" s="1"/>
  <c r="G173" i="36"/>
  <c r="F173" i="36"/>
  <c r="M246" i="39"/>
  <c r="C246" i="39" s="1"/>
  <c r="A190" i="35"/>
  <c r="J195" i="38" l="1"/>
  <c r="A195" i="38" s="1"/>
  <c r="L249" i="10"/>
  <c r="C249" i="10" s="1"/>
  <c r="B249" i="10" s="1"/>
  <c r="F249" i="10"/>
  <c r="N246" i="39"/>
  <c r="D246" i="39" s="1"/>
  <c r="A246" i="39" s="1"/>
  <c r="O247" i="39"/>
  <c r="L247" i="39"/>
  <c r="B190" i="35"/>
  <c r="K174" i="36"/>
  <c r="D173" i="36"/>
  <c r="E173" i="36"/>
  <c r="AT196" i="38"/>
  <c r="E196" i="38" s="1"/>
  <c r="AS191" i="35"/>
  <c r="C191" i="35" s="1"/>
  <c r="J190" i="35"/>
  <c r="G190" i="35" l="1"/>
  <c r="I249" i="10"/>
  <c r="A249" i="10" s="1"/>
  <c r="H249" i="10" s="1"/>
  <c r="F190" i="35"/>
  <c r="E190" i="35"/>
  <c r="D190" i="35"/>
  <c r="AU196" i="38"/>
  <c r="D196" i="38" s="1"/>
  <c r="AS197" i="38"/>
  <c r="AV197" i="38"/>
  <c r="C196" i="38"/>
  <c r="I190" i="35"/>
  <c r="H190" i="35"/>
  <c r="AT192" i="35"/>
  <c r="A191" i="35"/>
  <c r="M247" i="39"/>
  <c r="C247" i="39" s="1"/>
  <c r="L174" i="36"/>
  <c r="C174" i="36" s="1"/>
  <c r="A174" i="36" s="1"/>
  <c r="J196" i="38" l="1"/>
  <c r="A196" i="38" s="1"/>
  <c r="G249" i="10"/>
  <c r="D249" i="10"/>
  <c r="E249" i="10"/>
  <c r="N247" i="39"/>
  <c r="D247" i="39" s="1"/>
  <c r="A247" i="39" s="1"/>
  <c r="L248" i="39"/>
  <c r="O248" i="39"/>
  <c r="B174" i="36"/>
  <c r="I174" i="36" s="1"/>
  <c r="H174" i="36"/>
  <c r="F174" i="36"/>
  <c r="G174" i="36"/>
  <c r="AT197" i="38"/>
  <c r="E197" i="38" s="1"/>
  <c r="AR192" i="35"/>
  <c r="M175" i="36"/>
  <c r="B191" i="35"/>
  <c r="J191" i="35"/>
  <c r="E191" i="35" l="1"/>
  <c r="D174" i="36"/>
  <c r="AU197" i="38"/>
  <c r="D197" i="38" s="1"/>
  <c r="AV198" i="38"/>
  <c r="AS198" i="38"/>
  <c r="K175" i="36"/>
  <c r="C197" i="38"/>
  <c r="F191" i="35"/>
  <c r="I191" i="35"/>
  <c r="D191" i="35"/>
  <c r="AS192" i="35"/>
  <c r="C192" i="35" s="1"/>
  <c r="E174" i="36"/>
  <c r="G191" i="35"/>
  <c r="M248" i="39"/>
  <c r="C248" i="39" s="1"/>
  <c r="H191" i="35"/>
  <c r="J197" i="38" l="1"/>
  <c r="A197" i="38" s="1"/>
  <c r="N248" i="39"/>
  <c r="D248" i="39" s="1"/>
  <c r="A248" i="39" s="1"/>
  <c r="O249" i="39"/>
  <c r="L249" i="39"/>
  <c r="A192" i="35"/>
  <c r="L175" i="36"/>
  <c r="C175" i="36" s="1"/>
  <c r="A175" i="36" s="1"/>
  <c r="AT198" i="38"/>
  <c r="E198" i="38" s="1"/>
  <c r="AT193" i="35"/>
  <c r="AU198" i="38" l="1"/>
  <c r="D198" i="38" s="1"/>
  <c r="AS199" i="38"/>
  <c r="AV199" i="38"/>
  <c r="C198" i="38"/>
  <c r="B192" i="35"/>
  <c r="G175" i="36"/>
  <c r="H175" i="36"/>
  <c r="B175" i="36"/>
  <c r="I175" i="36" s="1"/>
  <c r="F175" i="36"/>
  <c r="M176" i="36"/>
  <c r="M249" i="39"/>
  <c r="C249" i="39" s="1"/>
  <c r="AR193" i="35"/>
  <c r="J192" i="35"/>
  <c r="J198" i="38" l="1"/>
  <c r="A198" i="38" s="1"/>
  <c r="I192" i="35"/>
  <c r="D175" i="36"/>
  <c r="N249" i="39"/>
  <c r="D249" i="39" s="1"/>
  <c r="A249" i="39" s="1"/>
  <c r="O250" i="39"/>
  <c r="L250" i="39"/>
  <c r="D192" i="35"/>
  <c r="H192" i="35"/>
  <c r="F192" i="35"/>
  <c r="K176" i="36"/>
  <c r="E192" i="35"/>
  <c r="G192" i="35"/>
  <c r="AT199" i="38"/>
  <c r="C199" i="38" s="1"/>
  <c r="E175" i="36"/>
  <c r="AS193" i="35"/>
  <c r="C193" i="35" s="1"/>
  <c r="A193" i="35" l="1"/>
  <c r="E199" i="38"/>
  <c r="J199" i="38" s="1"/>
  <c r="L176" i="36"/>
  <c r="C176" i="36" s="1"/>
  <c r="A176" i="36" s="1"/>
  <c r="M250" i="39"/>
  <c r="C250" i="39" s="1"/>
  <c r="AT194" i="35"/>
  <c r="N250" i="39" l="1"/>
  <c r="D250" i="39" s="1"/>
  <c r="A250" i="39" s="1"/>
  <c r="L251" i="39"/>
  <c r="O251" i="39"/>
  <c r="AR194" i="35"/>
  <c r="AU199" i="38"/>
  <c r="D199" i="38" s="1"/>
  <c r="AS200" i="38"/>
  <c r="AV200" i="38"/>
  <c r="F176" i="36"/>
  <c r="G176" i="36"/>
  <c r="B176" i="36"/>
  <c r="I176" i="36" s="1"/>
  <c r="H176" i="36"/>
  <c r="M177" i="36"/>
  <c r="B193" i="35"/>
  <c r="J193" i="35"/>
  <c r="H193" i="35" l="1"/>
  <c r="G193" i="35"/>
  <c r="A199" i="38"/>
  <c r="AS194" i="35"/>
  <c r="C194" i="35" s="1"/>
  <c r="K177" i="36"/>
  <c r="AT200" i="38"/>
  <c r="C200" i="38" s="1"/>
  <c r="E193" i="35"/>
  <c r="F193" i="35"/>
  <c r="I193" i="35"/>
  <c r="E176" i="36"/>
  <c r="D193" i="35"/>
  <c r="D176" i="36"/>
  <c r="M251" i="39"/>
  <c r="C251" i="39" s="1"/>
  <c r="AT195" i="35" l="1"/>
  <c r="AR195" i="35" s="1"/>
  <c r="E200" i="38"/>
  <c r="N251" i="39"/>
  <c r="D251" i="39" s="1"/>
  <c r="A251" i="39" s="1"/>
  <c r="O252" i="39"/>
  <c r="L252" i="39"/>
  <c r="L177" i="36"/>
  <c r="C177" i="36" s="1"/>
  <c r="A177" i="36" s="1"/>
  <c r="A194" i="35"/>
  <c r="AS201" i="38" l="1"/>
  <c r="AT201" i="38" s="1"/>
  <c r="E201" i="38" s="1"/>
  <c r="J201" i="38" s="1"/>
  <c r="J200" i="38"/>
  <c r="AV201" i="38"/>
  <c r="AU200" i="38"/>
  <c r="D200" i="38" s="1"/>
  <c r="B194" i="35"/>
  <c r="H177" i="36"/>
  <c r="F177" i="36"/>
  <c r="B177" i="36"/>
  <c r="I177" i="36" s="1"/>
  <c r="G177" i="36"/>
  <c r="M178" i="36"/>
  <c r="M252" i="39"/>
  <c r="C252" i="39" s="1"/>
  <c r="AS195" i="35"/>
  <c r="C195" i="35" s="1"/>
  <c r="J194" i="35"/>
  <c r="I194" i="35" l="1"/>
  <c r="A200" i="38"/>
  <c r="C201" i="38"/>
  <c r="D194" i="35"/>
  <c r="H194" i="35"/>
  <c r="G194" i="35"/>
  <c r="N252" i="39"/>
  <c r="D252" i="39" s="1"/>
  <c r="A252" i="39" s="1"/>
  <c r="O253" i="39"/>
  <c r="L253" i="39"/>
  <c r="AU201" i="38"/>
  <c r="D201" i="38" s="1"/>
  <c r="AV202" i="38"/>
  <c r="AS202" i="38"/>
  <c r="E177" i="36"/>
  <c r="D177" i="36"/>
  <c r="A195" i="35"/>
  <c r="E194" i="35"/>
  <c r="AT196" i="35"/>
  <c r="K178" i="36"/>
  <c r="F194" i="35"/>
  <c r="AT202" i="38" l="1"/>
  <c r="C202" i="38" s="1"/>
  <c r="B195" i="35"/>
  <c r="A201" i="38"/>
  <c r="M253" i="39"/>
  <c r="C253" i="39" s="1"/>
  <c r="L178" i="36"/>
  <c r="C178" i="36" s="1"/>
  <c r="A178" i="36" s="1"/>
  <c r="AR196" i="35"/>
  <c r="J195" i="35"/>
  <c r="I195" i="35" l="1"/>
  <c r="N253" i="39"/>
  <c r="D253" i="39" s="1"/>
  <c r="A253" i="39" s="1"/>
  <c r="L254" i="39"/>
  <c r="O254" i="39"/>
  <c r="F195" i="35"/>
  <c r="E195" i="35"/>
  <c r="H195" i="35"/>
  <c r="AS196" i="35"/>
  <c r="C196" i="35" s="1"/>
  <c r="D195" i="35"/>
  <c r="F178" i="36"/>
  <c r="H178" i="36"/>
  <c r="G178" i="36"/>
  <c r="B178" i="36"/>
  <c r="I178" i="36" s="1"/>
  <c r="E202" i="38"/>
  <c r="J202" i="38" s="1"/>
  <c r="M179" i="36"/>
  <c r="G195" i="35"/>
  <c r="AT197" i="35" l="1"/>
  <c r="AR197" i="35" s="1"/>
  <c r="A196" i="35"/>
  <c r="K179" i="36"/>
  <c r="D178" i="36"/>
  <c r="AU202" i="38"/>
  <c r="D202" i="38" s="1"/>
  <c r="AS203" i="38"/>
  <c r="AV203" i="38"/>
  <c r="E178" i="36"/>
  <c r="M254" i="39"/>
  <c r="C254" i="39" s="1"/>
  <c r="N254" i="39" l="1"/>
  <c r="D254" i="39" s="1"/>
  <c r="A254" i="39" s="1"/>
  <c r="O255" i="39"/>
  <c r="L255" i="39"/>
  <c r="AT203" i="38"/>
  <c r="C203" i="38" s="1"/>
  <c r="L179" i="36"/>
  <c r="C179" i="36" s="1"/>
  <c r="A179" i="36" s="1"/>
  <c r="B196" i="35"/>
  <c r="AS197" i="35"/>
  <c r="C197" i="35" s="1"/>
  <c r="A202" i="38"/>
  <c r="J196" i="35"/>
  <c r="I196" i="35" l="1"/>
  <c r="E196" i="35"/>
  <c r="H179" i="36"/>
  <c r="G179" i="36"/>
  <c r="B179" i="36"/>
  <c r="I179" i="36" s="1"/>
  <c r="F179" i="36"/>
  <c r="A197" i="35"/>
  <c r="E203" i="38"/>
  <c r="J203" i="38" s="1"/>
  <c r="G196" i="35"/>
  <c r="D196" i="35"/>
  <c r="H196" i="35"/>
  <c r="M180" i="36"/>
  <c r="AT198" i="35"/>
  <c r="M255" i="39"/>
  <c r="C255" i="39" s="1"/>
  <c r="F196" i="35"/>
  <c r="N255" i="39" l="1"/>
  <c r="D255" i="39" s="1"/>
  <c r="A255" i="39" s="1"/>
  <c r="O256" i="39"/>
  <c r="L256" i="39"/>
  <c r="E179" i="36"/>
  <c r="B197" i="35"/>
  <c r="AR198" i="35"/>
  <c r="D179" i="36"/>
  <c r="K180" i="36"/>
  <c r="AU203" i="38"/>
  <c r="D203" i="38" s="1"/>
  <c r="AV204" i="38"/>
  <c r="AS204" i="38"/>
  <c r="J197" i="35"/>
  <c r="H197" i="35" l="1"/>
  <c r="F197" i="35"/>
  <c r="I197" i="35"/>
  <c r="D197" i="35"/>
  <c r="A203" i="38"/>
  <c r="AT204" i="38"/>
  <c r="E204" i="38" s="1"/>
  <c r="J204" i="38" s="1"/>
  <c r="L180" i="36"/>
  <c r="C180" i="36" s="1"/>
  <c r="A180" i="36" s="1"/>
  <c r="E197" i="35"/>
  <c r="G197" i="35"/>
  <c r="M256" i="39"/>
  <c r="C256" i="39" s="1"/>
  <c r="AS198" i="35"/>
  <c r="C198" i="35" s="1"/>
  <c r="N256" i="39" l="1"/>
  <c r="D256" i="39" s="1"/>
  <c r="A256" i="39" s="1"/>
  <c r="O257" i="39"/>
  <c r="L257" i="39"/>
  <c r="AU204" i="38"/>
  <c r="D204" i="38" s="1"/>
  <c r="AV205" i="38"/>
  <c r="AS205" i="38"/>
  <c r="H180" i="36"/>
  <c r="F180" i="36"/>
  <c r="B180" i="36"/>
  <c r="I180" i="36" s="1"/>
  <c r="G180" i="36"/>
  <c r="M181" i="36"/>
  <c r="AT199" i="35"/>
  <c r="C204" i="38"/>
  <c r="A198" i="35"/>
  <c r="AR199" i="35" l="1"/>
  <c r="D180" i="36"/>
  <c r="E180" i="36"/>
  <c r="AT205" i="38"/>
  <c r="E205" i="38" s="1"/>
  <c r="J205" i="38" s="1"/>
  <c r="B198" i="35"/>
  <c r="A204" i="38"/>
  <c r="M257" i="39"/>
  <c r="C257" i="39" s="1"/>
  <c r="K181" i="36"/>
  <c r="J198" i="35"/>
  <c r="E198" i="35" l="1"/>
  <c r="F198" i="35"/>
  <c r="I198" i="35"/>
  <c r="N257" i="39"/>
  <c r="D257" i="39" s="1"/>
  <c r="A257" i="39" s="1"/>
  <c r="L258" i="39"/>
  <c r="O258" i="39"/>
  <c r="AU205" i="38"/>
  <c r="D205" i="38" s="1"/>
  <c r="AV206" i="38"/>
  <c r="AS206" i="38"/>
  <c r="C205" i="38"/>
  <c r="AS199" i="35"/>
  <c r="C199" i="35" s="1"/>
  <c r="G198" i="35"/>
  <c r="L181" i="36"/>
  <c r="C181" i="36" s="1"/>
  <c r="A181" i="36" s="1"/>
  <c r="H198" i="35"/>
  <c r="D198" i="35"/>
  <c r="A199" i="35" l="1"/>
  <c r="AT200" i="35"/>
  <c r="AT206" i="38"/>
  <c r="E206" i="38" s="1"/>
  <c r="A205" i="38"/>
  <c r="H181" i="36"/>
  <c r="F181" i="36"/>
  <c r="B181" i="36"/>
  <c r="I181" i="36" s="1"/>
  <c r="G181" i="36"/>
  <c r="M258" i="39"/>
  <c r="C258" i="39" s="1"/>
  <c r="M182" i="36"/>
  <c r="N258" i="39" l="1"/>
  <c r="D258" i="39" s="1"/>
  <c r="A258" i="39" s="1"/>
  <c r="O259" i="39"/>
  <c r="L259" i="39"/>
  <c r="AU206" i="38"/>
  <c r="D206" i="38" s="1"/>
  <c r="AV207" i="38"/>
  <c r="AS207" i="38"/>
  <c r="K182" i="36"/>
  <c r="C206" i="38"/>
  <c r="D181" i="36"/>
  <c r="AR200" i="35"/>
  <c r="E181" i="36"/>
  <c r="B199" i="35"/>
  <c r="J199" i="35"/>
  <c r="J206" i="38" l="1"/>
  <c r="A206" i="38" s="1"/>
  <c r="H199" i="35"/>
  <c r="I199" i="35"/>
  <c r="D199" i="35"/>
  <c r="E199" i="35"/>
  <c r="F199" i="35"/>
  <c r="G199" i="35"/>
  <c r="L182" i="36"/>
  <c r="C182" i="36" s="1"/>
  <c r="A182" i="36" s="1"/>
  <c r="AT207" i="38"/>
  <c r="E207" i="38" s="1"/>
  <c r="M259" i="39"/>
  <c r="C259" i="39" s="1"/>
  <c r="AS200" i="35"/>
  <c r="C200" i="35" s="1"/>
  <c r="N259" i="39" l="1"/>
  <c r="D259" i="39" s="1"/>
  <c r="A259" i="39" s="1"/>
  <c r="L260" i="39"/>
  <c r="O260" i="39"/>
  <c r="AU207" i="38"/>
  <c r="D207" i="38" s="1"/>
  <c r="AV208" i="38"/>
  <c r="AS208" i="38"/>
  <c r="C207" i="38"/>
  <c r="A200" i="35"/>
  <c r="M183" i="36"/>
  <c r="AT201" i="35"/>
  <c r="B182" i="36"/>
  <c r="I182" i="36" s="1"/>
  <c r="F182" i="36"/>
  <c r="G182" i="36"/>
  <c r="H182" i="36"/>
  <c r="J207" i="38" l="1"/>
  <c r="A207" i="38" s="1"/>
  <c r="D182" i="36"/>
  <c r="AR201" i="35"/>
  <c r="K183" i="36"/>
  <c r="AT208" i="38"/>
  <c r="C208" i="38" s="1"/>
  <c r="B200" i="35"/>
  <c r="E182" i="36"/>
  <c r="M260" i="39"/>
  <c r="C260" i="39" s="1"/>
  <c r="J200" i="35"/>
  <c r="G200" i="35" l="1"/>
  <c r="N260" i="39"/>
  <c r="D260" i="39" s="1"/>
  <c r="A260" i="39" s="1"/>
  <c r="L261" i="39"/>
  <c r="O261" i="39"/>
  <c r="E208" i="38"/>
  <c r="AS201" i="35"/>
  <c r="C201" i="35" s="1"/>
  <c r="H200" i="35"/>
  <c r="I200" i="35"/>
  <c r="L183" i="36"/>
  <c r="C183" i="36" s="1"/>
  <c r="A183" i="36" s="1"/>
  <c r="E200" i="35"/>
  <c r="D200" i="35"/>
  <c r="F200" i="35"/>
  <c r="AT202" i="35" l="1"/>
  <c r="AR202" i="35" s="1"/>
  <c r="F183" i="36"/>
  <c r="B183" i="36"/>
  <c r="I183" i="36" s="1"/>
  <c r="H183" i="36"/>
  <c r="G183" i="36"/>
  <c r="A201" i="35"/>
  <c r="M184" i="36"/>
  <c r="AU208" i="38"/>
  <c r="D208" i="38" s="1"/>
  <c r="AS209" i="38"/>
  <c r="AV209" i="38"/>
  <c r="M261" i="39"/>
  <c r="C261" i="39" s="1"/>
  <c r="J208" i="38" l="1"/>
  <c r="A208" i="38" s="1"/>
  <c r="E183" i="36"/>
  <c r="N261" i="39"/>
  <c r="D261" i="39" s="1"/>
  <c r="A261" i="39" s="1"/>
  <c r="O262" i="39"/>
  <c r="L262" i="39"/>
  <c r="K184" i="36"/>
  <c r="D183" i="36"/>
  <c r="B201" i="35"/>
  <c r="AT209" i="38"/>
  <c r="E209" i="38" s="1"/>
  <c r="AS202" i="35"/>
  <c r="C202" i="35" s="1"/>
  <c r="J201" i="35"/>
  <c r="H201" i="35" l="1"/>
  <c r="G201" i="35"/>
  <c r="E201" i="35"/>
  <c r="AU209" i="38"/>
  <c r="D209" i="38" s="1"/>
  <c r="AV210" i="38"/>
  <c r="AS210" i="38"/>
  <c r="A202" i="35"/>
  <c r="AT203" i="35"/>
  <c r="F201" i="35"/>
  <c r="L184" i="36"/>
  <c r="C184" i="36" s="1"/>
  <c r="A184" i="36" s="1"/>
  <c r="C209" i="38"/>
  <c r="M262" i="39"/>
  <c r="C262" i="39" s="1"/>
  <c r="N262" i="39" s="1"/>
  <c r="D262" i="39" s="1"/>
  <c r="A262" i="39" s="1"/>
  <c r="D201" i="35"/>
  <c r="I201" i="35"/>
  <c r="J209" i="38" l="1"/>
  <c r="A209" i="38" s="1"/>
  <c r="H184" i="36"/>
  <c r="F184" i="36"/>
  <c r="B184" i="36"/>
  <c r="I184" i="36" s="1"/>
  <c r="G184" i="36"/>
  <c r="AR203" i="35"/>
  <c r="B202" i="35"/>
  <c r="M185" i="36"/>
  <c r="O263" i="39"/>
  <c r="AT210" i="38"/>
  <c r="E210" i="38" s="1"/>
  <c r="L263" i="39"/>
  <c r="J202" i="35"/>
  <c r="F202" i="35" l="1"/>
  <c r="D202" i="35"/>
  <c r="H202" i="35"/>
  <c r="I202" i="35"/>
  <c r="AU210" i="38"/>
  <c r="D210" i="38" s="1"/>
  <c r="AV211" i="38"/>
  <c r="AS211" i="38"/>
  <c r="C210" i="38"/>
  <c r="AS203" i="35"/>
  <c r="C203" i="35" s="1"/>
  <c r="D184" i="36"/>
  <c r="K185" i="36"/>
  <c r="E202" i="35"/>
  <c r="E184" i="36"/>
  <c r="M263" i="39"/>
  <c r="C263" i="39" s="1"/>
  <c r="G202" i="35"/>
  <c r="J210" i="38" l="1"/>
  <c r="A210" i="38" s="1"/>
  <c r="N263" i="39"/>
  <c r="D263" i="39" s="1"/>
  <c r="A263" i="39" s="1"/>
  <c r="L264" i="39"/>
  <c r="O264" i="39"/>
  <c r="A203" i="35"/>
  <c r="AT204" i="35"/>
  <c r="AT211" i="38"/>
  <c r="C211" i="38" s="1"/>
  <c r="L185" i="36"/>
  <c r="C185" i="36" s="1"/>
  <c r="A185" i="36" s="1"/>
  <c r="E211" i="38" l="1"/>
  <c r="AR204" i="35"/>
  <c r="B203" i="35"/>
  <c r="M264" i="39"/>
  <c r="C264" i="39" s="1"/>
  <c r="B185" i="36"/>
  <c r="I185" i="36" s="1"/>
  <c r="G185" i="36"/>
  <c r="H185" i="36"/>
  <c r="F185" i="36"/>
  <c r="M186" i="36"/>
  <c r="J203" i="35"/>
  <c r="E203" i="35" l="1"/>
  <c r="F203" i="35"/>
  <c r="N264" i="39"/>
  <c r="D264" i="39" s="1"/>
  <c r="A264" i="39" s="1"/>
  <c r="L265" i="39"/>
  <c r="O265" i="39"/>
  <c r="K186" i="36"/>
  <c r="I203" i="35"/>
  <c r="D185" i="36"/>
  <c r="H203" i="35"/>
  <c r="AS204" i="35"/>
  <c r="C204" i="35" s="1"/>
  <c r="D203" i="35"/>
  <c r="G203" i="35"/>
  <c r="E185" i="36"/>
  <c r="AU211" i="38"/>
  <c r="D211" i="38" s="1"/>
  <c r="AV212" i="38"/>
  <c r="AS212" i="38"/>
  <c r="J211" i="38" l="1"/>
  <c r="A211" i="38" s="1"/>
  <c r="A204" i="35"/>
  <c r="AT212" i="38"/>
  <c r="C212" i="38" s="1"/>
  <c r="L186" i="36"/>
  <c r="C186" i="36" s="1"/>
  <c r="A186" i="36" s="1"/>
  <c r="AT205" i="35"/>
  <c r="M265" i="39"/>
  <c r="C265" i="39" s="1"/>
  <c r="N265" i="39" l="1"/>
  <c r="D265" i="39" s="1"/>
  <c r="A265" i="39" s="1"/>
  <c r="O266" i="39"/>
  <c r="L266" i="39"/>
  <c r="B186" i="36"/>
  <c r="I186" i="36" s="1"/>
  <c r="G186" i="36"/>
  <c r="F186" i="36"/>
  <c r="H186" i="36"/>
  <c r="E212" i="38"/>
  <c r="AR205" i="35"/>
  <c r="M187" i="36"/>
  <c r="B204" i="35"/>
  <c r="J204" i="35"/>
  <c r="E204" i="35" l="1"/>
  <c r="AU212" i="38"/>
  <c r="D212" i="38" s="1"/>
  <c r="AV213" i="38"/>
  <c r="AS213" i="38"/>
  <c r="H204" i="35"/>
  <c r="E186" i="36"/>
  <c r="D204" i="35"/>
  <c r="F204" i="35"/>
  <c r="G204" i="35"/>
  <c r="D186" i="36"/>
  <c r="M266" i="39"/>
  <c r="C266" i="39" s="1"/>
  <c r="K187" i="36"/>
  <c r="I204" i="35"/>
  <c r="AS205" i="35"/>
  <c r="C205" i="35" s="1"/>
  <c r="J212" i="38" l="1"/>
  <c r="A212" i="38" s="1"/>
  <c r="N266" i="39"/>
  <c r="D266" i="39" s="1"/>
  <c r="A266" i="39" s="1"/>
  <c r="O267" i="39"/>
  <c r="L267" i="39"/>
  <c r="AT206" i="35"/>
  <c r="L187" i="36"/>
  <c r="C187" i="36" s="1"/>
  <c r="A187" i="36" s="1"/>
  <c r="A205" i="35"/>
  <c r="AT213" i="38"/>
  <c r="C213" i="38" s="1"/>
  <c r="F187" i="36" l="1"/>
  <c r="H187" i="36"/>
  <c r="G187" i="36"/>
  <c r="B187" i="36"/>
  <c r="I187" i="36" s="1"/>
  <c r="B205" i="35"/>
  <c r="M188" i="36"/>
  <c r="AR206" i="35"/>
  <c r="M267" i="39"/>
  <c r="C267" i="39" s="1"/>
  <c r="E213" i="38"/>
  <c r="J205" i="35"/>
  <c r="I205" i="35" l="1"/>
  <c r="F205" i="35"/>
  <c r="H205" i="35"/>
  <c r="N267" i="39"/>
  <c r="D267" i="39" s="1"/>
  <c r="A267" i="39" s="1"/>
  <c r="O268" i="39"/>
  <c r="L268" i="39"/>
  <c r="E187" i="36"/>
  <c r="AU213" i="38"/>
  <c r="D213" i="38" s="1"/>
  <c r="AS214" i="38"/>
  <c r="AV214" i="38"/>
  <c r="AS206" i="35"/>
  <c r="C206" i="35" s="1"/>
  <c r="G205" i="35"/>
  <c r="D205" i="35"/>
  <c r="K188" i="36"/>
  <c r="E205" i="35"/>
  <c r="D187" i="36"/>
  <c r="J213" i="38" l="1"/>
  <c r="A213" i="38" s="1"/>
  <c r="AT207" i="35"/>
  <c r="A206" i="35"/>
  <c r="AT214" i="38"/>
  <c r="E214" i="38" s="1"/>
  <c r="M268" i="39"/>
  <c r="C268" i="39" s="1"/>
  <c r="L188" i="36"/>
  <c r="C188" i="36" s="1"/>
  <c r="A188" i="36" s="1"/>
  <c r="N268" i="39" l="1"/>
  <c r="D268" i="39" s="1"/>
  <c r="A268" i="39" s="1"/>
  <c r="L269" i="39"/>
  <c r="O269" i="39"/>
  <c r="AU214" i="38"/>
  <c r="D214" i="38" s="1"/>
  <c r="AV215" i="38"/>
  <c r="AS215" i="38"/>
  <c r="C214" i="38"/>
  <c r="B206" i="35"/>
  <c r="B188" i="36"/>
  <c r="I188" i="36" s="1"/>
  <c r="F188" i="36"/>
  <c r="H188" i="36"/>
  <c r="G188" i="36"/>
  <c r="M189" i="36"/>
  <c r="AR207" i="35"/>
  <c r="J206" i="35"/>
  <c r="J214" i="38" l="1"/>
  <c r="A214" i="38" s="1"/>
  <c r="E206" i="35"/>
  <c r="K189" i="36"/>
  <c r="AT215" i="38"/>
  <c r="C215" i="38" s="1"/>
  <c r="H206" i="35"/>
  <c r="E188" i="36"/>
  <c r="D188" i="36"/>
  <c r="G206" i="35"/>
  <c r="F206" i="35"/>
  <c r="M269" i="39"/>
  <c r="C269" i="39" s="1"/>
  <c r="D206" i="35"/>
  <c r="AS207" i="35"/>
  <c r="C207" i="35" s="1"/>
  <c r="I206" i="35"/>
  <c r="N269" i="39" l="1"/>
  <c r="D269" i="39" s="1"/>
  <c r="A269" i="39" s="1"/>
  <c r="O270" i="39"/>
  <c r="L270" i="39"/>
  <c r="A207" i="35"/>
  <c r="E215" i="38"/>
  <c r="L189" i="36"/>
  <c r="C189" i="36" s="1"/>
  <c r="A189" i="36" s="1"/>
  <c r="AT208" i="35"/>
  <c r="B189" i="36" l="1"/>
  <c r="I189" i="36" s="1"/>
  <c r="G189" i="36"/>
  <c r="H189" i="36"/>
  <c r="F189" i="36"/>
  <c r="AR208" i="35"/>
  <c r="M190" i="36"/>
  <c r="B207" i="35"/>
  <c r="AU215" i="38"/>
  <c r="D215" i="38" s="1"/>
  <c r="AS216" i="38"/>
  <c r="AV216" i="38"/>
  <c r="M270" i="39"/>
  <c r="C270" i="39" s="1"/>
  <c r="J207" i="35"/>
  <c r="J215" i="38" l="1"/>
  <c r="A215" i="38" s="1"/>
  <c r="G207" i="35"/>
  <c r="D189" i="36"/>
  <c r="E189" i="36"/>
  <c r="E207" i="35"/>
  <c r="I207" i="35"/>
  <c r="H207" i="35"/>
  <c r="D207" i="35"/>
  <c r="N270" i="39"/>
  <c r="D270" i="39" s="1"/>
  <c r="A270" i="39" s="1"/>
  <c r="L271" i="39"/>
  <c r="O271" i="39"/>
  <c r="AT216" i="38"/>
  <c r="C216" i="38" s="1"/>
  <c r="AS208" i="35"/>
  <c r="C208" i="35" s="1"/>
  <c r="K190" i="36"/>
  <c r="F207" i="35"/>
  <c r="A208" i="35" l="1"/>
  <c r="AT209" i="35"/>
  <c r="E216" i="38"/>
  <c r="M271" i="39"/>
  <c r="C271" i="39" s="1"/>
  <c r="L190" i="36"/>
  <c r="C190" i="36" s="1"/>
  <c r="A190" i="36" s="1"/>
  <c r="N271" i="39" l="1"/>
  <c r="D271" i="39" s="1"/>
  <c r="A271" i="39" s="1"/>
  <c r="O272" i="39"/>
  <c r="L272" i="39"/>
  <c r="M191" i="36"/>
  <c r="AR209" i="35"/>
  <c r="AU216" i="38"/>
  <c r="D216" i="38" s="1"/>
  <c r="AS217" i="38"/>
  <c r="AV217" i="38"/>
  <c r="H190" i="36"/>
  <c r="B190" i="36"/>
  <c r="I190" i="36" s="1"/>
  <c r="F190" i="36"/>
  <c r="G190" i="36"/>
  <c r="B208" i="35"/>
  <c r="J208" i="35"/>
  <c r="J216" i="38" l="1"/>
  <c r="A216" i="38" s="1"/>
  <c r="I208" i="35"/>
  <c r="E208" i="35"/>
  <c r="H208" i="35"/>
  <c r="G208" i="35"/>
  <c r="E190" i="36"/>
  <c r="D208" i="35"/>
  <c r="AT217" i="38"/>
  <c r="C217" i="38" s="1"/>
  <c r="AS209" i="35"/>
  <c r="C209" i="35" s="1"/>
  <c r="F208" i="35"/>
  <c r="D190" i="36"/>
  <c r="K191" i="36"/>
  <c r="M272" i="39"/>
  <c r="C272" i="39" s="1"/>
  <c r="N272" i="39" l="1"/>
  <c r="D272" i="39" s="1"/>
  <c r="A272" i="39" s="1"/>
  <c r="O273" i="39"/>
  <c r="L273" i="39"/>
  <c r="A209" i="35"/>
  <c r="AT210" i="35"/>
  <c r="E217" i="38"/>
  <c r="L191" i="36"/>
  <c r="C191" i="36" s="1"/>
  <c r="A191" i="36" s="1"/>
  <c r="M192" i="36" l="1"/>
  <c r="F191" i="36"/>
  <c r="G191" i="36"/>
  <c r="H191" i="36"/>
  <c r="B191" i="36"/>
  <c r="I191" i="36" s="1"/>
  <c r="AR210" i="35"/>
  <c r="AU217" i="38"/>
  <c r="D217" i="38" s="1"/>
  <c r="AS218" i="38"/>
  <c r="AV218" i="38"/>
  <c r="B209" i="35"/>
  <c r="M273" i="39"/>
  <c r="C273" i="39" s="1"/>
  <c r="J209" i="35"/>
  <c r="J217" i="38" l="1"/>
  <c r="A217" i="38" s="1"/>
  <c r="E209" i="35"/>
  <c r="G209" i="35"/>
  <c r="I209" i="35"/>
  <c r="D209" i="35"/>
  <c r="F209" i="35"/>
  <c r="N273" i="39"/>
  <c r="D273" i="39" s="1"/>
  <c r="A273" i="39" s="1"/>
  <c r="O274" i="39"/>
  <c r="L274" i="39"/>
  <c r="AS210" i="35"/>
  <c r="C210" i="35" s="1"/>
  <c r="H209" i="35"/>
  <c r="E191" i="36"/>
  <c r="D191" i="36"/>
  <c r="AT218" i="38"/>
  <c r="C218" i="38" s="1"/>
  <c r="K192" i="36"/>
  <c r="E218" i="38" l="1"/>
  <c r="A210" i="35"/>
  <c r="L192" i="36"/>
  <c r="C192" i="36" s="1"/>
  <c r="A192" i="36" s="1"/>
  <c r="AT211" i="35"/>
  <c r="M274" i="39"/>
  <c r="C274" i="39" s="1"/>
  <c r="N274" i="39" l="1"/>
  <c r="D274" i="39" s="1"/>
  <c r="A274" i="39" s="1"/>
  <c r="O275" i="39"/>
  <c r="L275" i="39"/>
  <c r="AR211" i="35"/>
  <c r="B210" i="35"/>
  <c r="G192" i="36"/>
  <c r="B192" i="36"/>
  <c r="I192" i="36" s="1"/>
  <c r="F192" i="36"/>
  <c r="H192" i="36"/>
  <c r="M193" i="36"/>
  <c r="AU218" i="38"/>
  <c r="D218" i="38" s="1"/>
  <c r="AS219" i="38"/>
  <c r="AV219" i="38"/>
  <c r="J210" i="35"/>
  <c r="J218" i="38" l="1"/>
  <c r="A218" i="38" s="1"/>
  <c r="E210" i="35"/>
  <c r="H210" i="35"/>
  <c r="K193" i="36"/>
  <c r="I210" i="35"/>
  <c r="D192" i="36"/>
  <c r="D210" i="35"/>
  <c r="AT219" i="38"/>
  <c r="E219" i="38" s="1"/>
  <c r="F210" i="35"/>
  <c r="AS211" i="35"/>
  <c r="C211" i="35" s="1"/>
  <c r="E192" i="36"/>
  <c r="M275" i="39"/>
  <c r="C275" i="39" s="1"/>
  <c r="G210" i="35"/>
  <c r="AU219" i="38" l="1"/>
  <c r="D219" i="38" s="1"/>
  <c r="AV220" i="38"/>
  <c r="AS220" i="38"/>
  <c r="N275" i="39"/>
  <c r="D275" i="39" s="1"/>
  <c r="A275" i="39" s="1"/>
  <c r="L276" i="39"/>
  <c r="O276" i="39"/>
  <c r="C219" i="38"/>
  <c r="L193" i="36"/>
  <c r="C193" i="36" s="1"/>
  <c r="A193" i="36" s="1"/>
  <c r="AT212" i="35"/>
  <c r="A211" i="35"/>
  <c r="J219" i="38" l="1"/>
  <c r="A219" i="38" s="1"/>
  <c r="AR212" i="35"/>
  <c r="B211" i="35"/>
  <c r="M276" i="39"/>
  <c r="C276" i="39" s="1"/>
  <c r="N276" i="39" s="1"/>
  <c r="D276" i="39" s="1"/>
  <c r="A276" i="39" s="1"/>
  <c r="F193" i="36"/>
  <c r="H193" i="36"/>
  <c r="G193" i="36"/>
  <c r="B193" i="36"/>
  <c r="I193" i="36" s="1"/>
  <c r="M194" i="36"/>
  <c r="AT220" i="38"/>
  <c r="E220" i="38" s="1"/>
  <c r="J211" i="35"/>
  <c r="F211" i="35" l="1"/>
  <c r="I211" i="35"/>
  <c r="AU220" i="38"/>
  <c r="D220" i="38" s="1"/>
  <c r="AS221" i="38"/>
  <c r="AV221" i="38"/>
  <c r="H211" i="35"/>
  <c r="G211" i="35"/>
  <c r="E211" i="35"/>
  <c r="D193" i="36"/>
  <c r="D211" i="35"/>
  <c r="AS212" i="35"/>
  <c r="C212" i="35" s="1"/>
  <c r="E193" i="36"/>
  <c r="L277" i="39"/>
  <c r="C220" i="38"/>
  <c r="O277" i="39"/>
  <c r="K194" i="36"/>
  <c r="J220" i="38" l="1"/>
  <c r="A220" i="38" s="1"/>
  <c r="A212" i="35"/>
  <c r="AT213" i="35"/>
  <c r="L194" i="36"/>
  <c r="C194" i="36" s="1"/>
  <c r="A194" i="36" s="1"/>
  <c r="AT221" i="38"/>
  <c r="E221" i="38" s="1"/>
  <c r="M277" i="39"/>
  <c r="C277" i="39" s="1"/>
  <c r="N277" i="39" l="1"/>
  <c r="D277" i="39" s="1"/>
  <c r="A277" i="39" s="1"/>
  <c r="O278" i="39"/>
  <c r="L278" i="39"/>
  <c r="AU221" i="38"/>
  <c r="D221" i="38" s="1"/>
  <c r="AS222" i="38"/>
  <c r="AV222" i="38"/>
  <c r="C221" i="38"/>
  <c r="G194" i="36"/>
  <c r="B194" i="36"/>
  <c r="I194" i="36" s="1"/>
  <c r="F194" i="36"/>
  <c r="H194" i="36"/>
  <c r="M195" i="36"/>
  <c r="AR213" i="35"/>
  <c r="B212" i="35"/>
  <c r="J212" i="35"/>
  <c r="J221" i="38" l="1"/>
  <c r="A221" i="38" s="1"/>
  <c r="E194" i="36"/>
  <c r="I212" i="35"/>
  <c r="D194" i="36"/>
  <c r="D212" i="35"/>
  <c r="AT222" i="38"/>
  <c r="E222" i="38" s="1"/>
  <c r="AS213" i="35"/>
  <c r="C213" i="35" s="1"/>
  <c r="E212" i="35"/>
  <c r="M278" i="39"/>
  <c r="C278" i="39" s="1"/>
  <c r="K195" i="36"/>
  <c r="F212" i="35"/>
  <c r="H212" i="35"/>
  <c r="G212" i="35"/>
  <c r="N278" i="39" l="1"/>
  <c r="D278" i="39" s="1"/>
  <c r="A278" i="39" s="1"/>
  <c r="O279" i="39"/>
  <c r="L279" i="39"/>
  <c r="AU222" i="38"/>
  <c r="D222" i="38" s="1"/>
  <c r="AS223" i="38"/>
  <c r="AV223" i="38"/>
  <c r="L195" i="36"/>
  <c r="C195" i="36" s="1"/>
  <c r="A195" i="36" s="1"/>
  <c r="C222" i="38"/>
  <c r="A213" i="35"/>
  <c r="AT214" i="35"/>
  <c r="J222" i="38" l="1"/>
  <c r="A222" i="38" s="1"/>
  <c r="AR214" i="35"/>
  <c r="B213" i="35"/>
  <c r="M196" i="36"/>
  <c r="H195" i="36"/>
  <c r="F195" i="36"/>
  <c r="G195" i="36"/>
  <c r="B195" i="36"/>
  <c r="I195" i="36" s="1"/>
  <c r="AT223" i="38"/>
  <c r="E223" i="38" s="1"/>
  <c r="M279" i="39"/>
  <c r="C279" i="39" s="1"/>
  <c r="J213" i="35"/>
  <c r="I213" i="35" l="1"/>
  <c r="N279" i="39"/>
  <c r="D279" i="39" s="1"/>
  <c r="A279" i="39" s="1"/>
  <c r="O280" i="39"/>
  <c r="L280" i="39"/>
  <c r="AU223" i="38"/>
  <c r="D223" i="38" s="1"/>
  <c r="AS224" i="38"/>
  <c r="AV224" i="38"/>
  <c r="D213" i="35"/>
  <c r="K196" i="36"/>
  <c r="F213" i="35"/>
  <c r="G213" i="35"/>
  <c r="C223" i="38"/>
  <c r="H213" i="35"/>
  <c r="AS214" i="35"/>
  <c r="C214" i="35" s="1"/>
  <c r="D195" i="36"/>
  <c r="E213" i="35"/>
  <c r="E195" i="36"/>
  <c r="J223" i="38" l="1"/>
  <c r="A223" i="38" s="1"/>
  <c r="AT215" i="35"/>
  <c r="AR215" i="35" s="1"/>
  <c r="L196" i="36"/>
  <c r="C196" i="36" s="1"/>
  <c r="A196" i="36" s="1"/>
  <c r="AT224" i="38"/>
  <c r="E224" i="38" s="1"/>
  <c r="A214" i="35"/>
  <c r="M280" i="39"/>
  <c r="C280" i="39" s="1"/>
  <c r="N280" i="39" l="1"/>
  <c r="D280" i="39" s="1"/>
  <c r="A280" i="39" s="1"/>
  <c r="O281" i="39"/>
  <c r="L281" i="39"/>
  <c r="AU224" i="38"/>
  <c r="D224" i="38" s="1"/>
  <c r="AS225" i="38"/>
  <c r="AV225" i="38"/>
  <c r="G196" i="36"/>
  <c r="H196" i="36"/>
  <c r="B196" i="36"/>
  <c r="I196" i="36" s="1"/>
  <c r="F196" i="36"/>
  <c r="M197" i="36"/>
  <c r="C224" i="38"/>
  <c r="AS215" i="35"/>
  <c r="C215" i="35" s="1"/>
  <c r="B214" i="35"/>
  <c r="J214" i="35"/>
  <c r="J224" i="38" l="1"/>
  <c r="A224" i="38" s="1"/>
  <c r="E214" i="35"/>
  <c r="I214" i="35"/>
  <c r="D214" i="35"/>
  <c r="F214" i="35"/>
  <c r="H214" i="35"/>
  <c r="AT225" i="38"/>
  <c r="E225" i="38" s="1"/>
  <c r="G214" i="35"/>
  <c r="A215" i="35"/>
  <c r="AT216" i="35"/>
  <c r="M281" i="39"/>
  <c r="C281" i="39" s="1"/>
  <c r="E196" i="36"/>
  <c r="K197" i="36"/>
  <c r="D196" i="36"/>
  <c r="N281" i="39" l="1"/>
  <c r="D281" i="39" s="1"/>
  <c r="A281" i="39" s="1"/>
  <c r="O282" i="39"/>
  <c r="L282" i="39"/>
  <c r="AU225" i="38"/>
  <c r="D225" i="38" s="1"/>
  <c r="AV226" i="38"/>
  <c r="AS226" i="38"/>
  <c r="B215" i="35"/>
  <c r="C225" i="38"/>
  <c r="AR216" i="35"/>
  <c r="L197" i="36"/>
  <c r="C197" i="36" s="1"/>
  <c r="A197" i="36" s="1"/>
  <c r="J215" i="35"/>
  <c r="J225" i="38" l="1"/>
  <c r="A225" i="38" s="1"/>
  <c r="H215" i="35"/>
  <c r="F215" i="35"/>
  <c r="D215" i="35"/>
  <c r="I215" i="35"/>
  <c r="E215" i="35"/>
  <c r="M198" i="36"/>
  <c r="G215" i="35"/>
  <c r="AT226" i="38"/>
  <c r="C226" i="38" s="1"/>
  <c r="B197" i="36"/>
  <c r="I197" i="36" s="1"/>
  <c r="G197" i="36"/>
  <c r="H197" i="36"/>
  <c r="F197" i="36"/>
  <c r="AS216" i="35"/>
  <c r="C216" i="35" s="1"/>
  <c r="M282" i="39"/>
  <c r="C282" i="39" s="1"/>
  <c r="AT217" i="35" l="1"/>
  <c r="AR217" i="35" s="1"/>
  <c r="N282" i="39"/>
  <c r="D282" i="39" s="1"/>
  <c r="A282" i="39" s="1"/>
  <c r="O283" i="39"/>
  <c r="L283" i="39"/>
  <c r="E226" i="38"/>
  <c r="K198" i="36"/>
  <c r="A216" i="35"/>
  <c r="D197" i="36"/>
  <c r="E197" i="36"/>
  <c r="L198" i="36" l="1"/>
  <c r="C198" i="36" s="1"/>
  <c r="A198" i="36" s="1"/>
  <c r="B216" i="35"/>
  <c r="AU226" i="38"/>
  <c r="D226" i="38" s="1"/>
  <c r="AV227" i="38"/>
  <c r="AS227" i="38"/>
  <c r="AS217" i="35"/>
  <c r="C217" i="35" s="1"/>
  <c r="M283" i="39"/>
  <c r="C283" i="39" s="1"/>
  <c r="J216" i="35"/>
  <c r="J226" i="38" l="1"/>
  <c r="A226" i="38" s="1"/>
  <c r="D216" i="35"/>
  <c r="N283" i="39"/>
  <c r="D283" i="39" s="1"/>
  <c r="A283" i="39" s="1"/>
  <c r="L284" i="39"/>
  <c r="O284" i="39"/>
  <c r="G216" i="35"/>
  <c r="I216" i="35"/>
  <c r="H216" i="35"/>
  <c r="A217" i="35"/>
  <c r="AT218" i="35"/>
  <c r="F216" i="35"/>
  <c r="AT227" i="38"/>
  <c r="C227" i="38" s="1"/>
  <c r="E216" i="35"/>
  <c r="G198" i="36"/>
  <c r="H198" i="36"/>
  <c r="B198" i="36"/>
  <c r="I198" i="36" s="1"/>
  <c r="F198" i="36"/>
  <c r="M199" i="36"/>
  <c r="AR218" i="35" l="1"/>
  <c r="B217" i="35"/>
  <c r="E227" i="38"/>
  <c r="E198" i="36"/>
  <c r="D198" i="36"/>
  <c r="M284" i="39"/>
  <c r="C284" i="39" s="1"/>
  <c r="K199" i="36"/>
  <c r="J217" i="35"/>
  <c r="H217" i="35" l="1"/>
  <c r="N284" i="39"/>
  <c r="D284" i="39" s="1"/>
  <c r="A284" i="39" s="1"/>
  <c r="O285" i="39"/>
  <c r="L285" i="39"/>
  <c r="E217" i="35"/>
  <c r="L199" i="36"/>
  <c r="C199" i="36" s="1"/>
  <c r="A199" i="36" s="1"/>
  <c r="AS218" i="35"/>
  <c r="C218" i="35" s="1"/>
  <c r="AU227" i="38"/>
  <c r="D227" i="38" s="1"/>
  <c r="AS228" i="38"/>
  <c r="AV228" i="38"/>
  <c r="F217" i="35"/>
  <c r="D217" i="35"/>
  <c r="G217" i="35"/>
  <c r="I217" i="35"/>
  <c r="J227" i="38" l="1"/>
  <c r="A227" i="38" s="1"/>
  <c r="A218" i="35"/>
  <c r="F199" i="36"/>
  <c r="B199" i="36"/>
  <c r="I199" i="36" s="1"/>
  <c r="H199" i="36"/>
  <c r="G199" i="36"/>
  <c r="AT228" i="38"/>
  <c r="E228" i="38" s="1"/>
  <c r="AT219" i="35"/>
  <c r="M200" i="36"/>
  <c r="M285" i="39"/>
  <c r="C285" i="39" s="1"/>
  <c r="N285" i="39" l="1"/>
  <c r="D285" i="39" s="1"/>
  <c r="A285" i="39" s="1"/>
  <c r="O286" i="39"/>
  <c r="L286" i="39"/>
  <c r="AU228" i="38"/>
  <c r="D228" i="38" s="1"/>
  <c r="AS229" i="38"/>
  <c r="AV229" i="38"/>
  <c r="C228" i="38"/>
  <c r="E199" i="36"/>
  <c r="D199" i="36"/>
  <c r="K200" i="36"/>
  <c r="AR219" i="35"/>
  <c r="B218" i="35"/>
  <c r="J218" i="35"/>
  <c r="J228" i="38" l="1"/>
  <c r="A228" i="38" s="1"/>
  <c r="H218" i="35"/>
  <c r="AT229" i="38"/>
  <c r="E229" i="38" s="1"/>
  <c r="E218" i="35"/>
  <c r="D218" i="35"/>
  <c r="F218" i="35"/>
  <c r="I218" i="35"/>
  <c r="AS219" i="35"/>
  <c r="C219" i="35" s="1"/>
  <c r="M286" i="39"/>
  <c r="C286" i="39" s="1"/>
  <c r="G218" i="35"/>
  <c r="L200" i="36"/>
  <c r="C200" i="36" s="1"/>
  <c r="A200" i="36" s="1"/>
  <c r="N286" i="39" l="1"/>
  <c r="D286" i="39" s="1"/>
  <c r="A286" i="39" s="1"/>
  <c r="O287" i="39"/>
  <c r="L287" i="39"/>
  <c r="AU229" i="38"/>
  <c r="D229" i="38" s="1"/>
  <c r="AV230" i="38"/>
  <c r="AS230" i="38"/>
  <c r="AT220" i="35"/>
  <c r="M201" i="36"/>
  <c r="A219" i="35"/>
  <c r="C229" i="38"/>
  <c r="H200" i="36"/>
  <c r="F200" i="36"/>
  <c r="G200" i="36"/>
  <c r="B200" i="36"/>
  <c r="I200" i="36" s="1"/>
  <c r="J229" i="38" l="1"/>
  <c r="A229" i="38" s="1"/>
  <c r="B219" i="35"/>
  <c r="K201" i="36"/>
  <c r="AR220" i="35"/>
  <c r="AT230" i="38"/>
  <c r="C230" i="38" s="1"/>
  <c r="D200" i="36"/>
  <c r="M287" i="39"/>
  <c r="C287" i="39" s="1"/>
  <c r="E200" i="36"/>
  <c r="J219" i="35"/>
  <c r="F219" i="35" l="1"/>
  <c r="E230" i="38"/>
  <c r="N287" i="39"/>
  <c r="D287" i="39" s="1"/>
  <c r="A287" i="39" s="1"/>
  <c r="O288" i="39"/>
  <c r="L288" i="39"/>
  <c r="L201" i="36"/>
  <c r="C201" i="36" s="1"/>
  <c r="A201" i="36" s="1"/>
  <c r="H219" i="35"/>
  <c r="I219" i="35"/>
  <c r="D219" i="35"/>
  <c r="G219" i="35"/>
  <c r="AS220" i="35"/>
  <c r="C220" i="35" s="1"/>
  <c r="E219" i="35"/>
  <c r="AV231" i="38" l="1"/>
  <c r="AU230" i="38"/>
  <c r="D230" i="38" s="1"/>
  <c r="AS231" i="38"/>
  <c r="AT231" i="38" s="1"/>
  <c r="C231" i="38" s="1"/>
  <c r="F201" i="36"/>
  <c r="G201" i="36"/>
  <c r="H201" i="36"/>
  <c r="B201" i="36"/>
  <c r="I201" i="36" s="1"/>
  <c r="M202" i="36"/>
  <c r="A220" i="35"/>
  <c r="M288" i="39"/>
  <c r="C288" i="39" s="1"/>
  <c r="AT221" i="35"/>
  <c r="J230" i="38" l="1"/>
  <c r="A230" i="38" s="1"/>
  <c r="N288" i="39"/>
  <c r="D288" i="39" s="1"/>
  <c r="A288" i="39" s="1"/>
  <c r="L289" i="39"/>
  <c r="O289" i="39"/>
  <c r="K202" i="36"/>
  <c r="E201" i="36"/>
  <c r="AR221" i="35"/>
  <c r="E231" i="38"/>
  <c r="D201" i="36"/>
  <c r="B220" i="35"/>
  <c r="J220" i="35"/>
  <c r="F220" i="35" l="1"/>
  <c r="G220" i="35"/>
  <c r="H220" i="35"/>
  <c r="I220" i="35"/>
  <c r="D220" i="35"/>
  <c r="E220" i="35"/>
  <c r="AS221" i="35"/>
  <c r="C221" i="35" s="1"/>
  <c r="L202" i="36"/>
  <c r="C202" i="36" s="1"/>
  <c r="A202" i="36" s="1"/>
  <c r="AU231" i="38"/>
  <c r="D231" i="38" s="1"/>
  <c r="AS232" i="38"/>
  <c r="AV232" i="38"/>
  <c r="M289" i="39"/>
  <c r="C289" i="39" s="1"/>
  <c r="J231" i="38" l="1"/>
  <c r="A231" i="38" s="1"/>
  <c r="N289" i="39"/>
  <c r="D289" i="39" s="1"/>
  <c r="A289" i="39" s="1"/>
  <c r="L290" i="39"/>
  <c r="O290" i="39"/>
  <c r="AT232" i="38"/>
  <c r="C232" i="38" s="1"/>
  <c r="A221" i="35"/>
  <c r="B202" i="36"/>
  <c r="I202" i="36" s="1"/>
  <c r="H202" i="36"/>
  <c r="G202" i="36"/>
  <c r="F202" i="36"/>
  <c r="M203" i="36"/>
  <c r="AT222" i="35"/>
  <c r="E232" i="38" l="1"/>
  <c r="B221" i="35"/>
  <c r="K203" i="36"/>
  <c r="AR222" i="35"/>
  <c r="E202" i="36"/>
  <c r="M290" i="39"/>
  <c r="C290" i="39" s="1"/>
  <c r="D202" i="36"/>
  <c r="J221" i="35"/>
  <c r="D221" i="35" l="1"/>
  <c r="E221" i="35"/>
  <c r="F221" i="35"/>
  <c r="H221" i="35"/>
  <c r="G221" i="35"/>
  <c r="N290" i="39"/>
  <c r="D290" i="39" s="1"/>
  <c r="A290" i="39" s="1"/>
  <c r="L291" i="39"/>
  <c r="O291" i="39"/>
  <c r="L203" i="36"/>
  <c r="C203" i="36" s="1"/>
  <c r="A203" i="36" s="1"/>
  <c r="I221" i="35"/>
  <c r="AS222" i="35"/>
  <c r="C222" i="35" s="1"/>
  <c r="AU232" i="38"/>
  <c r="D232" i="38" s="1"/>
  <c r="AV233" i="38"/>
  <c r="AS233" i="38"/>
  <c r="J232" i="38" l="1"/>
  <c r="A232" i="38" s="1"/>
  <c r="AT233" i="38"/>
  <c r="C233" i="38" s="1"/>
  <c r="A222" i="35"/>
  <c r="AT223" i="35"/>
  <c r="F203" i="36"/>
  <c r="B203" i="36"/>
  <c r="I203" i="36" s="1"/>
  <c r="G203" i="36"/>
  <c r="H203" i="36"/>
  <c r="M204" i="36"/>
  <c r="M291" i="39"/>
  <c r="C291" i="39" s="1"/>
  <c r="N291" i="39" l="1"/>
  <c r="D291" i="39" s="1"/>
  <c r="A291" i="39" s="1"/>
  <c r="O292" i="39"/>
  <c r="L292" i="39"/>
  <c r="B222" i="35"/>
  <c r="E233" i="38"/>
  <c r="K204" i="36"/>
  <c r="AR223" i="35"/>
  <c r="E203" i="36"/>
  <c r="D203" i="36"/>
  <c r="J222" i="35"/>
  <c r="G222" i="35" l="1"/>
  <c r="D222" i="35"/>
  <c r="E222" i="35"/>
  <c r="AU233" i="38"/>
  <c r="D233" i="38" s="1"/>
  <c r="AV234" i="38"/>
  <c r="AS234" i="38"/>
  <c r="F222" i="35"/>
  <c r="H222" i="35"/>
  <c r="AS223" i="35"/>
  <c r="C223" i="35" s="1"/>
  <c r="I222" i="35"/>
  <c r="M292" i="39"/>
  <c r="C292" i="39" s="1"/>
  <c r="L204" i="36"/>
  <c r="C204" i="36" s="1"/>
  <c r="A204" i="36" s="1"/>
  <c r="J233" i="38" l="1"/>
  <c r="A233" i="38" s="1"/>
  <c r="AT224" i="35"/>
  <c r="AR224" i="35" s="1"/>
  <c r="N292" i="39"/>
  <c r="D292" i="39" s="1"/>
  <c r="A292" i="39" s="1"/>
  <c r="O293" i="39"/>
  <c r="L293" i="39"/>
  <c r="AT234" i="38"/>
  <c r="E234" i="38" s="1"/>
  <c r="B204" i="36"/>
  <c r="I204" i="36" s="1"/>
  <c r="H204" i="36"/>
  <c r="G204" i="36"/>
  <c r="F204" i="36"/>
  <c r="M205" i="36"/>
  <c r="A223" i="35"/>
  <c r="AU234" i="38" l="1"/>
  <c r="D234" i="38" s="1"/>
  <c r="AV235" i="38"/>
  <c r="AS235" i="38"/>
  <c r="C234" i="38"/>
  <c r="K205" i="36"/>
  <c r="B223" i="35"/>
  <c r="AS224" i="35"/>
  <c r="C224" i="35" s="1"/>
  <c r="E204" i="36"/>
  <c r="D204" i="36"/>
  <c r="M293" i="39"/>
  <c r="C293" i="39" s="1"/>
  <c r="J223" i="35"/>
  <c r="J234" i="38" l="1"/>
  <c r="A234" i="38" s="1"/>
  <c r="AT225" i="35"/>
  <c r="AR225" i="35" s="1"/>
  <c r="E223" i="35"/>
  <c r="F223" i="35"/>
  <c r="G223" i="35"/>
  <c r="I223" i="35"/>
  <c r="N293" i="39"/>
  <c r="D293" i="39" s="1"/>
  <c r="A293" i="39" s="1"/>
  <c r="L205" i="36"/>
  <c r="C205" i="36" s="1"/>
  <c r="A205" i="36" s="1"/>
  <c r="AT235" i="38"/>
  <c r="E235" i="38" s="1"/>
  <c r="A224" i="35"/>
  <c r="D223" i="35"/>
  <c r="H223" i="35"/>
  <c r="AU235" i="38" l="1"/>
  <c r="D235" i="38" s="1"/>
  <c r="AS236" i="38"/>
  <c r="AV236" i="38"/>
  <c r="M206" i="36"/>
  <c r="H205" i="36"/>
  <c r="B205" i="36"/>
  <c r="I205" i="36" s="1"/>
  <c r="G205" i="36"/>
  <c r="F205" i="36"/>
  <c r="C235" i="38"/>
  <c r="B224" i="35"/>
  <c r="AS225" i="35"/>
  <c r="C225" i="35" s="1"/>
  <c r="J224" i="35"/>
  <c r="J235" i="38" l="1"/>
  <c r="A235" i="38" s="1"/>
  <c r="D224" i="35"/>
  <c r="G224" i="35"/>
  <c r="H224" i="35"/>
  <c r="D205" i="36"/>
  <c r="E224" i="35"/>
  <c r="E205" i="36"/>
  <c r="I224" i="35"/>
  <c r="F224" i="35"/>
  <c r="K206" i="36"/>
  <c r="AT236" i="38"/>
  <c r="C236" i="38" s="1"/>
  <c r="A225" i="35"/>
  <c r="AT226" i="35"/>
  <c r="L206" i="36" l="1"/>
  <c r="C206" i="36" s="1"/>
  <c r="A206" i="36" s="1"/>
  <c r="B225" i="35"/>
  <c r="E236" i="38"/>
  <c r="AR226" i="35"/>
  <c r="J225" i="35"/>
  <c r="F225" i="35" l="1"/>
  <c r="D225" i="35"/>
  <c r="I225" i="35"/>
  <c r="H225" i="35"/>
  <c r="AS226" i="35"/>
  <c r="C226" i="35" s="1"/>
  <c r="E225" i="35"/>
  <c r="AU236" i="38"/>
  <c r="D236" i="38" s="1"/>
  <c r="AS237" i="38"/>
  <c r="AV237" i="38"/>
  <c r="G225" i="35"/>
  <c r="M207" i="36"/>
  <c r="F206" i="36"/>
  <c r="H206" i="36"/>
  <c r="B206" i="36"/>
  <c r="I206" i="36" s="1"/>
  <c r="G206" i="36"/>
  <c r="J236" i="38" l="1"/>
  <c r="A236" i="38" s="1"/>
  <c r="AT227" i="35"/>
  <c r="AR227" i="35" s="1"/>
  <c r="A226" i="35"/>
  <c r="K207" i="36"/>
  <c r="E206" i="36"/>
  <c r="AT237" i="38"/>
  <c r="E237" i="38" s="1"/>
  <c r="D206" i="36"/>
  <c r="AU237" i="38" l="1"/>
  <c r="D237" i="38" s="1"/>
  <c r="AV238" i="38"/>
  <c r="AS238" i="38"/>
  <c r="L207" i="36"/>
  <c r="C207" i="36" s="1"/>
  <c r="A207" i="36" s="1"/>
  <c r="B226" i="35"/>
  <c r="C237" i="38"/>
  <c r="AS227" i="35"/>
  <c r="C227" i="35" s="1"/>
  <c r="J226" i="35"/>
  <c r="J237" i="38" l="1"/>
  <c r="A237" i="38" s="1"/>
  <c r="AT228" i="35"/>
  <c r="AR228" i="35" s="1"/>
  <c r="E226" i="35"/>
  <c r="H226" i="35"/>
  <c r="I226" i="35"/>
  <c r="F226" i="35"/>
  <c r="M208" i="36"/>
  <c r="G207" i="36"/>
  <c r="F207" i="36"/>
  <c r="H207" i="36"/>
  <c r="B207" i="36"/>
  <c r="I207" i="36" s="1"/>
  <c r="AT238" i="38"/>
  <c r="E238" i="38" s="1"/>
  <c r="A227" i="35"/>
  <c r="D226" i="35"/>
  <c r="G226" i="35"/>
  <c r="AU238" i="38" l="1"/>
  <c r="D238" i="38" s="1"/>
  <c r="AV239" i="38"/>
  <c r="AS239" i="38"/>
  <c r="D207" i="36"/>
  <c r="B227" i="35"/>
  <c r="E207" i="36"/>
  <c r="K208" i="36"/>
  <c r="C238" i="38"/>
  <c r="AS228" i="35"/>
  <c r="C228" i="35" s="1"/>
  <c r="J227" i="35"/>
  <c r="J238" i="38" l="1"/>
  <c r="A238" i="38" s="1"/>
  <c r="D227" i="35"/>
  <c r="H227" i="35"/>
  <c r="G227" i="35"/>
  <c r="E227" i="35"/>
  <c r="I227" i="35"/>
  <c r="F227" i="35"/>
  <c r="AT239" i="38"/>
  <c r="E239" i="38" s="1"/>
  <c r="AT229" i="35"/>
  <c r="A228" i="35"/>
  <c r="L208" i="36"/>
  <c r="C208" i="36" s="1"/>
  <c r="A208" i="36" s="1"/>
  <c r="AU239" i="38" l="1"/>
  <c r="D239" i="38" s="1"/>
  <c r="AV240" i="38"/>
  <c r="AS240" i="38"/>
  <c r="AR229" i="35"/>
  <c r="C239" i="38"/>
  <c r="M209" i="36"/>
  <c r="H208" i="36"/>
  <c r="G208" i="36"/>
  <c r="F208" i="36"/>
  <c r="B208" i="36"/>
  <c r="I208" i="36" s="1"/>
  <c r="B228" i="35"/>
  <c r="J228" i="35"/>
  <c r="J239" i="38" l="1"/>
  <c r="A239" i="38" s="1"/>
  <c r="F228" i="35"/>
  <c r="E208" i="36"/>
  <c r="AS229" i="35"/>
  <c r="C229" i="35" s="1"/>
  <c r="G228" i="35"/>
  <c r="H228" i="35"/>
  <c r="AT240" i="38"/>
  <c r="E240" i="38" s="1"/>
  <c r="E228" i="35"/>
  <c r="K209" i="36"/>
  <c r="D228" i="35"/>
  <c r="D208" i="36"/>
  <c r="I228" i="35"/>
  <c r="AU240" i="38" l="1"/>
  <c r="D240" i="38" s="1"/>
  <c r="AV241" i="38"/>
  <c r="AS241" i="38"/>
  <c r="C240" i="38"/>
  <c r="L209" i="36"/>
  <c r="C209" i="36" s="1"/>
  <c r="A209" i="36" s="1"/>
  <c r="A229" i="35"/>
  <c r="AT230" i="35"/>
  <c r="J240" i="38" l="1"/>
  <c r="A240" i="38" s="1"/>
  <c r="B229" i="35"/>
  <c r="G209" i="36"/>
  <c r="H209" i="36"/>
  <c r="F209" i="36"/>
  <c r="B209" i="36"/>
  <c r="I209" i="36" s="1"/>
  <c r="M210" i="36"/>
  <c r="AR230" i="35"/>
  <c r="AT241" i="38"/>
  <c r="C241" i="38" s="1"/>
  <c r="J229" i="35"/>
  <c r="F229" i="35" l="1"/>
  <c r="I229" i="35"/>
  <c r="E209" i="36"/>
  <c r="D209" i="36"/>
  <c r="G229" i="35"/>
  <c r="D229" i="35"/>
  <c r="E241" i="38"/>
  <c r="AS230" i="35"/>
  <c r="C230" i="35" s="1"/>
  <c r="K210" i="36"/>
  <c r="H229" i="35"/>
  <c r="E229" i="35"/>
  <c r="L210" i="36" l="1"/>
  <c r="C210" i="36" s="1"/>
  <c r="A210" i="36" s="1"/>
  <c r="A230" i="35"/>
  <c r="AT231" i="35"/>
  <c r="AU241" i="38"/>
  <c r="D241" i="38" s="1"/>
  <c r="AS242" i="38"/>
  <c r="AV242" i="38"/>
  <c r="J241" i="38" l="1"/>
  <c r="A241" i="38" s="1"/>
  <c r="AT242" i="38"/>
  <c r="C242" i="38" s="1"/>
  <c r="AR231" i="35"/>
  <c r="B230" i="35"/>
  <c r="M211" i="36"/>
  <c r="H210" i="36"/>
  <c r="G210" i="36"/>
  <c r="B210" i="36"/>
  <c r="I210" i="36" s="1"/>
  <c r="F210" i="36"/>
  <c r="J230" i="35"/>
  <c r="E210" i="36" l="1"/>
  <c r="AS231" i="35"/>
  <c r="C231" i="35" s="1"/>
  <c r="E230" i="35"/>
  <c r="K211" i="36"/>
  <c r="D210" i="36"/>
  <c r="E242" i="38"/>
  <c r="G230" i="35"/>
  <c r="H230" i="35"/>
  <c r="D230" i="35"/>
  <c r="F230" i="35"/>
  <c r="I230" i="35"/>
  <c r="AT232" i="35" l="1"/>
  <c r="AR232" i="35" s="1"/>
  <c r="L211" i="36"/>
  <c r="C211" i="36" s="1"/>
  <c r="A211" i="36" s="1"/>
  <c r="A231" i="35"/>
  <c r="AU242" i="38"/>
  <c r="D242" i="38" s="1"/>
  <c r="AS243" i="38"/>
  <c r="AV243" i="38"/>
  <c r="J242" i="38" l="1"/>
  <c r="A242" i="38" s="1"/>
  <c r="B231" i="35"/>
  <c r="AT243" i="38"/>
  <c r="E243" i="38" s="1"/>
  <c r="M212" i="36"/>
  <c r="AS232" i="35"/>
  <c r="C232" i="35" s="1"/>
  <c r="F211" i="36"/>
  <c r="H211" i="36"/>
  <c r="B211" i="36"/>
  <c r="I211" i="36" s="1"/>
  <c r="G211" i="36"/>
  <c r="J231" i="35"/>
  <c r="AT233" i="35" l="1"/>
  <c r="AR233" i="35" s="1"/>
  <c r="F231" i="35"/>
  <c r="H231" i="35"/>
  <c r="I231" i="35"/>
  <c r="D231" i="35"/>
  <c r="G231" i="35"/>
  <c r="AU243" i="38"/>
  <c r="D243" i="38" s="1"/>
  <c r="AV244" i="38"/>
  <c r="AS244" i="38"/>
  <c r="C243" i="38"/>
  <c r="E211" i="36"/>
  <c r="D211" i="36"/>
  <c r="A232" i="35"/>
  <c r="E231" i="35"/>
  <c r="K212" i="36"/>
  <c r="J243" i="38" l="1"/>
  <c r="A243" i="38" s="1"/>
  <c r="AT244" i="38"/>
  <c r="E244" i="38" s="1"/>
  <c r="B232" i="35"/>
  <c r="AS233" i="35"/>
  <c r="C233" i="35" s="1"/>
  <c r="L212" i="36"/>
  <c r="C212" i="36" s="1"/>
  <c r="A212" i="36" s="1"/>
  <c r="J232" i="35"/>
  <c r="E232" i="35" l="1"/>
  <c r="AU244" i="38"/>
  <c r="D244" i="38" s="1"/>
  <c r="AS245" i="38"/>
  <c r="AV245" i="38"/>
  <c r="G232" i="35"/>
  <c r="D232" i="35"/>
  <c r="F232" i="35"/>
  <c r="I232" i="35"/>
  <c r="F212" i="36"/>
  <c r="H212" i="36"/>
  <c r="B212" i="36"/>
  <c r="I212" i="36" s="1"/>
  <c r="G212" i="36"/>
  <c r="C244" i="38"/>
  <c r="A233" i="35"/>
  <c r="M213" i="36"/>
  <c r="AT234" i="35"/>
  <c r="H232" i="35"/>
  <c r="J244" i="38" l="1"/>
  <c r="A244" i="38" s="1"/>
  <c r="E212" i="36"/>
  <c r="D212" i="36"/>
  <c r="AR234" i="35"/>
  <c r="K213" i="36"/>
  <c r="AT245" i="38"/>
  <c r="E245" i="38" s="1"/>
  <c r="B233" i="35"/>
  <c r="J233" i="35"/>
  <c r="E233" i="35" l="1"/>
  <c r="H233" i="35"/>
  <c r="AU245" i="38"/>
  <c r="D245" i="38" s="1"/>
  <c r="AS246" i="38"/>
  <c r="AV246" i="38"/>
  <c r="G233" i="35"/>
  <c r="C245" i="38"/>
  <c r="D233" i="35"/>
  <c r="F233" i="35"/>
  <c r="L213" i="36"/>
  <c r="C213" i="36" s="1"/>
  <c r="A213" i="36" s="1"/>
  <c r="AS234" i="35"/>
  <c r="C234" i="35" s="1"/>
  <c r="I233" i="35"/>
  <c r="J245" i="38" l="1"/>
  <c r="A245" i="38" s="1"/>
  <c r="M214" i="36"/>
  <c r="B213" i="36"/>
  <c r="I213" i="36" s="1"/>
  <c r="G213" i="36"/>
  <c r="F213" i="36"/>
  <c r="H213" i="36"/>
  <c r="A234" i="35"/>
  <c r="AT235" i="35"/>
  <c r="AT246" i="38"/>
  <c r="E246" i="38" s="1"/>
  <c r="E213" i="36" l="1"/>
  <c r="AU246" i="38"/>
  <c r="D246" i="38" s="1"/>
  <c r="AS247" i="38"/>
  <c r="AV247" i="38"/>
  <c r="B234" i="35"/>
  <c r="AR235" i="35"/>
  <c r="D213" i="36"/>
  <c r="C246" i="38"/>
  <c r="K214" i="36"/>
  <c r="J234" i="35"/>
  <c r="J246" i="38" l="1"/>
  <c r="A246" i="38" s="1"/>
  <c r="L214" i="36"/>
  <c r="C214" i="36" s="1"/>
  <c r="A214" i="36" s="1"/>
  <c r="G234" i="35"/>
  <c r="F234" i="35"/>
  <c r="D234" i="35"/>
  <c r="I234" i="35"/>
  <c r="AT247" i="38"/>
  <c r="E247" i="38" s="1"/>
  <c r="H234" i="35"/>
  <c r="E234" i="35"/>
  <c r="AS235" i="35"/>
  <c r="C235" i="35" s="1"/>
  <c r="AU247" i="38" l="1"/>
  <c r="D247" i="38" s="1"/>
  <c r="AV248" i="38"/>
  <c r="AS248" i="38"/>
  <c r="C247" i="38"/>
  <c r="AT236" i="35"/>
  <c r="A235" i="35"/>
  <c r="M215" i="36"/>
  <c r="G214" i="36"/>
  <c r="H214" i="36"/>
  <c r="F214" i="36"/>
  <c r="B214" i="36"/>
  <c r="I214" i="36" s="1"/>
  <c r="J247" i="38" l="1"/>
  <c r="A247" i="38" s="1"/>
  <c r="K215" i="36"/>
  <c r="AR236" i="35"/>
  <c r="AT248" i="38"/>
  <c r="C248" i="38" s="1"/>
  <c r="B235" i="35"/>
  <c r="D214" i="36"/>
  <c r="E214" i="36"/>
  <c r="J235" i="35"/>
  <c r="F235" i="35" l="1"/>
  <c r="E248" i="38"/>
  <c r="AS236" i="35"/>
  <c r="C236" i="35" s="1"/>
  <c r="L215" i="36"/>
  <c r="C215" i="36" s="1"/>
  <c r="A215" i="36" s="1"/>
  <c r="H235" i="35"/>
  <c r="D235" i="35"/>
  <c r="I235" i="35"/>
  <c r="G235" i="35"/>
  <c r="E235" i="35"/>
  <c r="AT237" i="35" l="1"/>
  <c r="AR237" i="35" s="1"/>
  <c r="M216" i="36"/>
  <c r="A236" i="35"/>
  <c r="G215" i="36"/>
  <c r="F215" i="36"/>
  <c r="H215" i="36"/>
  <c r="B215" i="36"/>
  <c r="I215" i="36" s="1"/>
  <c r="AU248" i="38"/>
  <c r="D248" i="38" s="1"/>
  <c r="AV249" i="38"/>
  <c r="AS249" i="38"/>
  <c r="J248" i="38" l="1"/>
  <c r="A248" i="38" s="1"/>
  <c r="D215" i="36"/>
  <c r="B236" i="35"/>
  <c r="E215" i="36"/>
  <c r="K216" i="36"/>
  <c r="AT249" i="38"/>
  <c r="C249" i="38" s="1"/>
  <c r="AS237" i="35"/>
  <c r="C237" i="35" s="1"/>
  <c r="J236" i="35"/>
  <c r="AT238" i="35" l="1"/>
  <c r="AR238" i="35" s="1"/>
  <c r="E236" i="35"/>
  <c r="D236" i="35"/>
  <c r="F236" i="35"/>
  <c r="I236" i="35"/>
  <c r="E249" i="38"/>
  <c r="G236" i="35"/>
  <c r="H236" i="35"/>
  <c r="L216" i="36"/>
  <c r="C216" i="36" s="1"/>
  <c r="A216" i="36" s="1"/>
  <c r="A237" i="35"/>
  <c r="AU249" i="38" l="1"/>
  <c r="D249" i="38" s="1"/>
  <c r="AV250" i="38"/>
  <c r="AS250" i="38"/>
  <c r="AS238" i="35"/>
  <c r="C238" i="35" s="1"/>
  <c r="G216" i="36"/>
  <c r="F216" i="36"/>
  <c r="H216" i="36"/>
  <c r="B216" i="36"/>
  <c r="I216" i="36" s="1"/>
  <c r="M217" i="36"/>
  <c r="B237" i="35"/>
  <c r="J237" i="35"/>
  <c r="J249" i="38" l="1"/>
  <c r="A249" i="38" s="1"/>
  <c r="A238" i="35"/>
  <c r="AT250" i="38"/>
  <c r="E250" i="38" s="1"/>
  <c r="E216" i="36"/>
  <c r="D216" i="36"/>
  <c r="G237" i="35"/>
  <c r="H237" i="35"/>
  <c r="AT239" i="35"/>
  <c r="D237" i="35"/>
  <c r="I237" i="35"/>
  <c r="F237" i="35"/>
  <c r="E237" i="35"/>
  <c r="K217" i="36"/>
  <c r="AU250" i="38" l="1"/>
  <c r="D250" i="38" s="1"/>
  <c r="AS251" i="38"/>
  <c r="AV251" i="38"/>
  <c r="L217" i="36"/>
  <c r="C217" i="36" s="1"/>
  <c r="A217" i="36" s="1"/>
  <c r="C250" i="38"/>
  <c r="AR239" i="35"/>
  <c r="B238" i="35"/>
  <c r="J238" i="35"/>
  <c r="J250" i="38" l="1"/>
  <c r="A250" i="38" s="1"/>
  <c r="E238" i="35"/>
  <c r="I238" i="35"/>
  <c r="F238" i="35"/>
  <c r="G238" i="35"/>
  <c r="AS239" i="35"/>
  <c r="C239" i="35" s="1"/>
  <c r="M218" i="36"/>
  <c r="F217" i="36"/>
  <c r="G217" i="36"/>
  <c r="H217" i="36"/>
  <c r="B217" i="36"/>
  <c r="I217" i="36" s="1"/>
  <c r="AT251" i="38"/>
  <c r="E251" i="38" s="1"/>
  <c r="D238" i="35"/>
  <c r="H238" i="35"/>
  <c r="AU251" i="38" l="1"/>
  <c r="D251" i="38" s="1"/>
  <c r="AV252" i="38"/>
  <c r="AS252" i="38"/>
  <c r="D217" i="36"/>
  <c r="C251" i="38"/>
  <c r="E217" i="36"/>
  <c r="A239" i="35"/>
  <c r="K218" i="36"/>
  <c r="AT240" i="35"/>
  <c r="J251" i="38" l="1"/>
  <c r="A251" i="38" s="1"/>
  <c r="B239" i="35"/>
  <c r="L218" i="36"/>
  <c r="C218" i="36" s="1"/>
  <c r="A218" i="36" s="1"/>
  <c r="AT252" i="38"/>
  <c r="C252" i="38" s="1"/>
  <c r="AR240" i="35"/>
  <c r="J239" i="35"/>
  <c r="F239" i="35" l="1"/>
  <c r="E252" i="38"/>
  <c r="F218" i="36"/>
  <c r="H218" i="36"/>
  <c r="B218" i="36"/>
  <c r="I218" i="36" s="1"/>
  <c r="G218" i="36"/>
  <c r="M219" i="36"/>
  <c r="D239" i="35"/>
  <c r="H239" i="35"/>
  <c r="AS240" i="35"/>
  <c r="C240" i="35" s="1"/>
  <c r="E239" i="35"/>
  <c r="I239" i="35"/>
  <c r="G239" i="35"/>
  <c r="AU252" i="38" l="1"/>
  <c r="D252" i="38" s="1"/>
  <c r="AV253" i="38"/>
  <c r="AS253" i="38"/>
  <c r="AT253" i="38" s="1"/>
  <c r="E253" i="38" s="1"/>
  <c r="D218" i="36"/>
  <c r="K219" i="36"/>
  <c r="E218" i="36"/>
  <c r="AT241" i="35"/>
  <c r="A240" i="35"/>
  <c r="J252" i="38" l="1"/>
  <c r="A252" i="38" s="1"/>
  <c r="AU253" i="38"/>
  <c r="D253" i="38" s="1"/>
  <c r="AS254" i="38"/>
  <c r="AV254" i="38"/>
  <c r="L219" i="36"/>
  <c r="C219" i="36" s="1"/>
  <c r="A219" i="36" s="1"/>
  <c r="AR241" i="35"/>
  <c r="C253" i="38"/>
  <c r="B240" i="35"/>
  <c r="J240" i="35"/>
  <c r="J253" i="38" l="1"/>
  <c r="A253" i="38" s="1"/>
  <c r="E240" i="35"/>
  <c r="F240" i="35"/>
  <c r="D240" i="35"/>
  <c r="H240" i="35"/>
  <c r="I240" i="35"/>
  <c r="AS241" i="35"/>
  <c r="C241" i="35" s="1"/>
  <c r="M220" i="36"/>
  <c r="G219" i="36"/>
  <c r="F219" i="36"/>
  <c r="H219" i="36"/>
  <c r="B219" i="36"/>
  <c r="I219" i="36" s="1"/>
  <c r="AT254" i="38"/>
  <c r="E254" i="38" s="1"/>
  <c r="G240" i="35"/>
  <c r="D219" i="36" l="1"/>
  <c r="AT242" i="35"/>
  <c r="AR242" i="35" s="1"/>
  <c r="AU254" i="38"/>
  <c r="D254" i="38" s="1"/>
  <c r="AS255" i="38"/>
  <c r="AV255" i="38"/>
  <c r="E219" i="36"/>
  <c r="K220" i="36"/>
  <c r="C254" i="38"/>
  <c r="A241" i="35"/>
  <c r="J254" i="38" l="1"/>
  <c r="A254" i="38" s="1"/>
  <c r="L220" i="36"/>
  <c r="C220" i="36" s="1"/>
  <c r="A220" i="36" s="1"/>
  <c r="AS242" i="35"/>
  <c r="C242" i="35" s="1"/>
  <c r="AT255" i="38"/>
  <c r="C255" i="38" s="1"/>
  <c r="B241" i="35"/>
  <c r="J241" i="35"/>
  <c r="I241" i="35" l="1"/>
  <c r="D241" i="35"/>
  <c r="E255" i="38"/>
  <c r="A242" i="35"/>
  <c r="F241" i="35"/>
  <c r="AT243" i="35"/>
  <c r="G241" i="35"/>
  <c r="E241" i="35"/>
  <c r="M221" i="36"/>
  <c r="H241" i="35"/>
  <c r="H220" i="36"/>
  <c r="B220" i="36"/>
  <c r="I220" i="36" s="1"/>
  <c r="F220" i="36"/>
  <c r="G220" i="36"/>
  <c r="D220" i="36" l="1"/>
  <c r="E220" i="36"/>
  <c r="AR243" i="35"/>
  <c r="K221" i="36"/>
  <c r="B242" i="35"/>
  <c r="AU255" i="38"/>
  <c r="D255" i="38" s="1"/>
  <c r="AS256" i="38"/>
  <c r="AV256" i="38"/>
  <c r="J242" i="35"/>
  <c r="J255" i="38" l="1"/>
  <c r="A255" i="38" s="1"/>
  <c r="H242" i="35"/>
  <c r="G242" i="35"/>
  <c r="D242" i="35"/>
  <c r="F242" i="35"/>
  <c r="E242" i="35"/>
  <c r="L221" i="36"/>
  <c r="C221" i="36" s="1"/>
  <c r="A221" i="36" s="1"/>
  <c r="AT256" i="38"/>
  <c r="E256" i="38" s="1"/>
  <c r="AS243" i="35"/>
  <c r="C243" i="35" s="1"/>
  <c r="I242" i="35"/>
  <c r="AT244" i="35" l="1"/>
  <c r="AR244" i="35" s="1"/>
  <c r="AU256" i="38"/>
  <c r="D256" i="38" s="1"/>
  <c r="AV257" i="38"/>
  <c r="AS257" i="38"/>
  <c r="G221" i="36"/>
  <c r="B221" i="36"/>
  <c r="I221" i="36" s="1"/>
  <c r="H221" i="36"/>
  <c r="F221" i="36"/>
  <c r="C256" i="38"/>
  <c r="M222" i="36"/>
  <c r="A243" i="35"/>
  <c r="J256" i="38" l="1"/>
  <c r="A256" i="38" s="1"/>
  <c r="D221" i="36"/>
  <c r="AT257" i="38"/>
  <c r="C257" i="38" s="1"/>
  <c r="B243" i="35"/>
  <c r="K222" i="36"/>
  <c r="AS244" i="35"/>
  <c r="C244" i="35" s="1"/>
  <c r="E221" i="36"/>
  <c r="J243" i="35"/>
  <c r="G243" i="35" l="1"/>
  <c r="D243" i="35"/>
  <c r="A244" i="35"/>
  <c r="AT245" i="35"/>
  <c r="F243" i="35"/>
  <c r="I243" i="35"/>
  <c r="L222" i="36"/>
  <c r="C222" i="36" s="1"/>
  <c r="A222" i="36" s="1"/>
  <c r="H243" i="35"/>
  <c r="E257" i="38"/>
  <c r="E243" i="35"/>
  <c r="AU257" i="38" l="1"/>
  <c r="D257" i="38" s="1"/>
  <c r="AS258" i="38"/>
  <c r="AV258" i="38"/>
  <c r="AR245" i="35"/>
  <c r="M223" i="36"/>
  <c r="G222" i="36"/>
  <c r="F222" i="36"/>
  <c r="B222" i="36"/>
  <c r="I222" i="36" s="1"/>
  <c r="H222" i="36"/>
  <c r="B244" i="35"/>
  <c r="J244" i="35"/>
  <c r="J257" i="38" l="1"/>
  <c r="A257" i="38" s="1"/>
  <c r="D244" i="35"/>
  <c r="K223" i="36"/>
  <c r="E222" i="36"/>
  <c r="F244" i="35"/>
  <c r="H244" i="35"/>
  <c r="I244" i="35"/>
  <c r="AS245" i="35"/>
  <c r="C245" i="35" s="1"/>
  <c r="AT258" i="38"/>
  <c r="E258" i="38" s="1"/>
  <c r="G244" i="35"/>
  <c r="E244" i="35"/>
  <c r="D222" i="36"/>
  <c r="C258" i="38" l="1"/>
  <c r="AU258" i="38"/>
  <c r="D258" i="38" s="1"/>
  <c r="AV259" i="38"/>
  <c r="AS259" i="38"/>
  <c r="A245" i="35"/>
  <c r="L223" i="36"/>
  <c r="C223" i="36" s="1"/>
  <c r="A223" i="36" s="1"/>
  <c r="AT246" i="35"/>
  <c r="J258" i="38" l="1"/>
  <c r="A258" i="38" s="1"/>
  <c r="AR246" i="35"/>
  <c r="M224" i="36"/>
  <c r="B223" i="36"/>
  <c r="I223" i="36" s="1"/>
  <c r="F223" i="36"/>
  <c r="H223" i="36"/>
  <c r="G223" i="36"/>
  <c r="B245" i="35"/>
  <c r="AT259" i="38"/>
  <c r="E259" i="38" s="1"/>
  <c r="J245" i="35"/>
  <c r="H245" i="35" l="1"/>
  <c r="F245" i="35"/>
  <c r="D223" i="36"/>
  <c r="AU259" i="38"/>
  <c r="D259" i="38" s="1"/>
  <c r="AV260" i="38"/>
  <c r="AS260" i="38"/>
  <c r="C259" i="38"/>
  <c r="K224" i="36"/>
  <c r="E245" i="35"/>
  <c r="I245" i="35"/>
  <c r="G245" i="35"/>
  <c r="E223" i="36"/>
  <c r="AS246" i="35"/>
  <c r="C246" i="35" s="1"/>
  <c r="D245" i="35"/>
  <c r="J259" i="38" l="1"/>
  <c r="A259" i="38" s="1"/>
  <c r="AT260" i="38"/>
  <c r="E260" i="38" s="1"/>
  <c r="L224" i="36"/>
  <c r="C224" i="36" s="1"/>
  <c r="A224" i="36" s="1"/>
  <c r="A246" i="35"/>
  <c r="AT247" i="35"/>
  <c r="AU260" i="38" l="1"/>
  <c r="D260" i="38" s="1"/>
  <c r="AV261" i="38"/>
  <c r="AS261" i="38"/>
  <c r="AR247" i="35"/>
  <c r="M225" i="36"/>
  <c r="B246" i="35"/>
  <c r="C260" i="38"/>
  <c r="G224" i="36"/>
  <c r="H224" i="36"/>
  <c r="B224" i="36"/>
  <c r="I224" i="36" s="1"/>
  <c r="F224" i="36"/>
  <c r="J246" i="35"/>
  <c r="J260" i="38" l="1"/>
  <c r="A260" i="38" s="1"/>
  <c r="I246" i="35"/>
  <c r="D246" i="35"/>
  <c r="G246" i="35"/>
  <c r="H246" i="35"/>
  <c r="F246" i="35"/>
  <c r="E246" i="35"/>
  <c r="AS247" i="35"/>
  <c r="C247" i="35" s="1"/>
  <c r="K225" i="36"/>
  <c r="D224" i="36"/>
  <c r="AT261" i="38"/>
  <c r="C261" i="38" s="1"/>
  <c r="E224" i="36"/>
  <c r="AT248" i="35" l="1"/>
  <c r="AR248" i="35" s="1"/>
  <c r="E261" i="38"/>
  <c r="L225" i="36"/>
  <c r="C225" i="36" s="1"/>
  <c r="A225" i="36" s="1"/>
  <c r="A247" i="35"/>
  <c r="F225" i="36" l="1"/>
  <c r="B225" i="36"/>
  <c r="I225" i="36" s="1"/>
  <c r="G225" i="36"/>
  <c r="H225" i="36"/>
  <c r="AU261" i="38"/>
  <c r="D261" i="38" s="1"/>
  <c r="AS262" i="38"/>
  <c r="AV262" i="38"/>
  <c r="B247" i="35"/>
  <c r="M226" i="36"/>
  <c r="AS248" i="35"/>
  <c r="C248" i="35" s="1"/>
  <c r="J247" i="35"/>
  <c r="J261" i="38" l="1"/>
  <c r="A261" i="38" s="1"/>
  <c r="AT249" i="35"/>
  <c r="AR249" i="35" s="1"/>
  <c r="AT262" i="38"/>
  <c r="E262" i="38" s="1"/>
  <c r="K226" i="36"/>
  <c r="E247" i="35"/>
  <c r="D225" i="36"/>
  <c r="I247" i="35"/>
  <c r="E225" i="36"/>
  <c r="H247" i="35"/>
  <c r="A248" i="35"/>
  <c r="G247" i="35"/>
  <c r="F247" i="35"/>
  <c r="D247" i="35"/>
  <c r="AU262" i="38" l="1"/>
  <c r="D262" i="38" s="1"/>
  <c r="AV263" i="38"/>
  <c r="AS263" i="38"/>
  <c r="B248" i="35"/>
  <c r="C262" i="38"/>
  <c r="AS249" i="35"/>
  <c r="C249" i="35" s="1"/>
  <c r="L226" i="36"/>
  <c r="C226" i="36" s="1"/>
  <c r="A226" i="36" s="1"/>
  <c r="J248" i="35"/>
  <c r="J262" i="38" l="1"/>
  <c r="A262" i="38" s="1"/>
  <c r="D248" i="35"/>
  <c r="I248" i="35"/>
  <c r="G248" i="35"/>
  <c r="E248" i="35"/>
  <c r="F248" i="35"/>
  <c r="H248" i="35"/>
  <c r="AT263" i="38"/>
  <c r="E263" i="38" s="1"/>
  <c r="H226" i="36"/>
  <c r="G226" i="36"/>
  <c r="F226" i="36"/>
  <c r="B226" i="36"/>
  <c r="I226" i="36" s="1"/>
  <c r="M227" i="36"/>
  <c r="AT250" i="35"/>
  <c r="A249" i="35"/>
  <c r="D226" i="36" l="1"/>
  <c r="E226" i="36"/>
  <c r="AU263" i="38"/>
  <c r="D263" i="38" s="1"/>
  <c r="AV264" i="38"/>
  <c r="AS264" i="38"/>
  <c r="C263" i="38"/>
  <c r="AR250" i="35"/>
  <c r="K227" i="36"/>
  <c r="B249" i="35"/>
  <c r="J249" i="35"/>
  <c r="J263" i="38" l="1"/>
  <c r="A263" i="38" s="1"/>
  <c r="E249" i="35"/>
  <c r="L227" i="36"/>
  <c r="C227" i="36" s="1"/>
  <c r="A227" i="36" s="1"/>
  <c r="AS250" i="35"/>
  <c r="C250" i="35" s="1"/>
  <c r="G249" i="35"/>
  <c r="H249" i="35"/>
  <c r="AT264" i="38"/>
  <c r="C264" i="38" s="1"/>
  <c r="I249" i="35"/>
  <c r="F249" i="35"/>
  <c r="D249" i="35"/>
  <c r="E264" i="38" l="1"/>
  <c r="A250" i="35"/>
  <c r="AT251" i="35"/>
  <c r="M228" i="36"/>
  <c r="H227" i="36"/>
  <c r="B227" i="36"/>
  <c r="I227" i="36" s="1"/>
  <c r="F227" i="36"/>
  <c r="G227" i="36"/>
  <c r="E227" i="36" l="1"/>
  <c r="D227" i="36"/>
  <c r="B250" i="35"/>
  <c r="AR251" i="35"/>
  <c r="K228" i="36"/>
  <c r="AU264" i="38"/>
  <c r="D264" i="38" s="1"/>
  <c r="AV265" i="38"/>
  <c r="AS265" i="38"/>
  <c r="J250" i="35"/>
  <c r="J264" i="38" l="1"/>
  <c r="A264" i="38" s="1"/>
  <c r="D250" i="35"/>
  <c r="F250" i="35"/>
  <c r="H250" i="35"/>
  <c r="E250" i="35"/>
  <c r="I250" i="35"/>
  <c r="AT265" i="38"/>
  <c r="E265" i="38" s="1"/>
  <c r="G250" i="35"/>
  <c r="AS251" i="35"/>
  <c r="C251" i="35" s="1"/>
  <c r="L228" i="36"/>
  <c r="C228" i="36" s="1"/>
  <c r="A228" i="36" s="1"/>
  <c r="AU265" i="38" l="1"/>
  <c r="D265" i="38" s="1"/>
  <c r="AV266" i="38"/>
  <c r="AS266" i="38"/>
  <c r="B228" i="36"/>
  <c r="I228" i="36" s="1"/>
  <c r="H228" i="36"/>
  <c r="G228" i="36"/>
  <c r="F228" i="36"/>
  <c r="M229" i="36"/>
  <c r="A251" i="35"/>
  <c r="AT252" i="35"/>
  <c r="C265" i="38"/>
  <c r="J265" i="38" l="1"/>
  <c r="A265" i="38" s="1"/>
  <c r="D228" i="36"/>
  <c r="E228" i="36"/>
  <c r="K229" i="36"/>
  <c r="B251" i="35"/>
  <c r="AT266" i="38"/>
  <c r="E266" i="38" s="1"/>
  <c r="AR252" i="35"/>
  <c r="J251" i="35"/>
  <c r="D251" i="35" l="1"/>
  <c r="AU266" i="38"/>
  <c r="D266" i="38" s="1"/>
  <c r="AV267" i="38"/>
  <c r="AS267" i="38"/>
  <c r="AS252" i="35"/>
  <c r="C252" i="35" s="1"/>
  <c r="E251" i="35"/>
  <c r="G251" i="35"/>
  <c r="H251" i="35"/>
  <c r="F251" i="35"/>
  <c r="C266" i="38"/>
  <c r="I251" i="35"/>
  <c r="L229" i="36"/>
  <c r="C229" i="36" s="1"/>
  <c r="A229" i="36" s="1"/>
  <c r="J266" i="38" l="1"/>
  <c r="A266" i="38" s="1"/>
  <c r="M230" i="36"/>
  <c r="K230" i="36" s="1"/>
  <c r="A252" i="35"/>
  <c r="AT253" i="35"/>
  <c r="AT267" i="38"/>
  <c r="C267" i="38" s="1"/>
  <c r="H229" i="36"/>
  <c r="F229" i="36"/>
  <c r="B229" i="36"/>
  <c r="I229" i="36" s="1"/>
  <c r="G229" i="36"/>
  <c r="E229" i="36" l="1"/>
  <c r="D229" i="36"/>
  <c r="E267" i="38"/>
  <c r="L230" i="36"/>
  <c r="C230" i="36" s="1"/>
  <c r="A230" i="36" s="1"/>
  <c r="AR253" i="35"/>
  <c r="B252" i="35"/>
  <c r="J252" i="35"/>
  <c r="I252" i="35" l="1"/>
  <c r="G252" i="35"/>
  <c r="F252" i="35"/>
  <c r="H252" i="35"/>
  <c r="B230" i="36"/>
  <c r="I230" i="36" s="1"/>
  <c r="G230" i="36"/>
  <c r="F230" i="36"/>
  <c r="H230" i="36"/>
  <c r="D252" i="35"/>
  <c r="M231" i="36"/>
  <c r="AS253" i="35"/>
  <c r="C253" i="35" s="1"/>
  <c r="E252" i="35"/>
  <c r="AU267" i="38"/>
  <c r="D267" i="38" s="1"/>
  <c r="AV268" i="38"/>
  <c r="AS268" i="38"/>
  <c r="J267" i="38" l="1"/>
  <c r="A267" i="38" s="1"/>
  <c r="AT254" i="35"/>
  <c r="AR254" i="35" s="1"/>
  <c r="AT268" i="38"/>
  <c r="E268" i="38" s="1"/>
  <c r="K231" i="36"/>
  <c r="D230" i="36"/>
  <c r="E230" i="36"/>
  <c r="A253" i="35"/>
  <c r="AU268" i="38" l="1"/>
  <c r="D268" i="38" s="1"/>
  <c r="AV269" i="38"/>
  <c r="AS269" i="38"/>
  <c r="AS254" i="35"/>
  <c r="C254" i="35" s="1"/>
  <c r="L231" i="36"/>
  <c r="C231" i="36" s="1"/>
  <c r="A231" i="36" s="1"/>
  <c r="C268" i="38"/>
  <c r="B253" i="35"/>
  <c r="J253" i="35"/>
  <c r="J268" i="38" l="1"/>
  <c r="A268" i="38" s="1"/>
  <c r="I253" i="35"/>
  <c r="H231" i="36"/>
  <c r="B231" i="36"/>
  <c r="I231" i="36" s="1"/>
  <c r="G231" i="36"/>
  <c r="F231" i="36"/>
  <c r="M232" i="36"/>
  <c r="AT269" i="38"/>
  <c r="C269" i="38" s="1"/>
  <c r="A254" i="35"/>
  <c r="AT255" i="35"/>
  <c r="D253" i="35"/>
  <c r="E253" i="35"/>
  <c r="H253" i="35"/>
  <c r="G253" i="35"/>
  <c r="F253" i="35"/>
  <c r="E231" i="36" l="1"/>
  <c r="E269" i="38"/>
  <c r="K232" i="36"/>
  <c r="AR255" i="35"/>
  <c r="B254" i="35"/>
  <c r="D231" i="36"/>
  <c r="J254" i="35"/>
  <c r="H254" i="35" l="1"/>
  <c r="I254" i="35"/>
  <c r="D254" i="35"/>
  <c r="AS255" i="35"/>
  <c r="C255" i="35" s="1"/>
  <c r="E254" i="35"/>
  <c r="G254" i="35"/>
  <c r="L232" i="36"/>
  <c r="C232" i="36" s="1"/>
  <c r="A232" i="36" s="1"/>
  <c r="F254" i="35"/>
  <c r="AU269" i="38"/>
  <c r="D269" i="38" s="1"/>
  <c r="AS270" i="38"/>
  <c r="AV270" i="38"/>
  <c r="J269" i="38" l="1"/>
  <c r="A269" i="38" s="1"/>
  <c r="AT256" i="35"/>
  <c r="AR256" i="35" s="1"/>
  <c r="B232" i="36"/>
  <c r="I232" i="36" s="1"/>
  <c r="F232" i="36"/>
  <c r="H232" i="36"/>
  <c r="G232" i="36"/>
  <c r="M233" i="36"/>
  <c r="A255" i="35"/>
  <c r="AT270" i="38"/>
  <c r="C270" i="38" s="1"/>
  <c r="E232" i="36" l="1"/>
  <c r="D232" i="36"/>
  <c r="K233" i="36"/>
  <c r="E270" i="38"/>
  <c r="AS256" i="35"/>
  <c r="C256" i="35" s="1"/>
  <c r="B255" i="35"/>
  <c r="J255" i="35"/>
  <c r="I255" i="35" l="1"/>
  <c r="D255" i="35"/>
  <c r="G255" i="35"/>
  <c r="H255" i="35"/>
  <c r="F255" i="35"/>
  <c r="E255" i="35"/>
  <c r="AT257" i="35"/>
  <c r="AU270" i="38"/>
  <c r="D270" i="38" s="1"/>
  <c r="AS271" i="38"/>
  <c r="AV271" i="38"/>
  <c r="A256" i="35"/>
  <c r="L233" i="36"/>
  <c r="C233" i="36" s="1"/>
  <c r="A233" i="36" s="1"/>
  <c r="J270" i="38" l="1"/>
  <c r="A270" i="38" s="1"/>
  <c r="M234" i="36"/>
  <c r="B233" i="36"/>
  <c r="I233" i="36" s="1"/>
  <c r="F233" i="36"/>
  <c r="H233" i="36"/>
  <c r="G233" i="36"/>
  <c r="AT271" i="38"/>
  <c r="C271" i="38" s="1"/>
  <c r="B256" i="35"/>
  <c r="AR257" i="35"/>
  <c r="J256" i="35"/>
  <c r="D256" i="35" l="1"/>
  <c r="E233" i="36"/>
  <c r="E271" i="38"/>
  <c r="H256" i="35"/>
  <c r="G256" i="35"/>
  <c r="E256" i="35"/>
  <c r="F256" i="35"/>
  <c r="I256" i="35"/>
  <c r="AS257" i="35"/>
  <c r="C257" i="35" s="1"/>
  <c r="D233" i="36"/>
  <c r="K234" i="36"/>
  <c r="AV272" i="38" l="1"/>
  <c r="AS272" i="38"/>
  <c r="AT272" i="38" s="1"/>
  <c r="E272" i="38" s="1"/>
  <c r="AU271" i="38"/>
  <c r="D271" i="38" s="1"/>
  <c r="L234" i="36"/>
  <c r="C234" i="36" s="1"/>
  <c r="A234" i="36" s="1"/>
  <c r="A257" i="35"/>
  <c r="AT258" i="35"/>
  <c r="J271" i="38" l="1"/>
  <c r="A271" i="38" s="1"/>
  <c r="AU272" i="38"/>
  <c r="D272" i="38" s="1"/>
  <c r="AS273" i="38"/>
  <c r="AV273" i="38"/>
  <c r="AR258" i="35"/>
  <c r="B257" i="35"/>
  <c r="C272" i="38"/>
  <c r="F234" i="36"/>
  <c r="G234" i="36"/>
  <c r="H234" i="36"/>
  <c r="B234" i="36"/>
  <c r="I234" i="36" s="1"/>
  <c r="M235" i="36"/>
  <c r="J257" i="35"/>
  <c r="J272" i="38" l="1"/>
  <c r="A272" i="38" s="1"/>
  <c r="I257" i="35"/>
  <c r="H257" i="35"/>
  <c r="E257" i="35"/>
  <c r="F257" i="35"/>
  <c r="AS258" i="35"/>
  <c r="C258" i="35" s="1"/>
  <c r="D234" i="36"/>
  <c r="E234" i="36"/>
  <c r="AT273" i="38"/>
  <c r="C273" i="38" s="1"/>
  <c r="K235" i="36"/>
  <c r="D257" i="35"/>
  <c r="G257" i="35"/>
  <c r="AT259" i="35" l="1"/>
  <c r="AR259" i="35" s="1"/>
  <c r="E273" i="38"/>
  <c r="A258" i="35"/>
  <c r="L235" i="36"/>
  <c r="C235" i="36" s="1"/>
  <c r="A235" i="36" s="1"/>
  <c r="G235" i="36" l="1"/>
  <c r="F235" i="36"/>
  <c r="H235" i="36"/>
  <c r="B235" i="36"/>
  <c r="I235" i="36" s="1"/>
  <c r="B258" i="35"/>
  <c r="AS259" i="35"/>
  <c r="C259" i="35" s="1"/>
  <c r="M236" i="36"/>
  <c r="AU273" i="38"/>
  <c r="D273" i="38" s="1"/>
  <c r="AS274" i="38"/>
  <c r="AV274" i="38"/>
  <c r="J258" i="35"/>
  <c r="J273" i="38" l="1"/>
  <c r="A273" i="38" s="1"/>
  <c r="G258" i="35"/>
  <c r="D258" i="35"/>
  <c r="AT274" i="38"/>
  <c r="E274" i="38" s="1"/>
  <c r="I258" i="35"/>
  <c r="D235" i="36"/>
  <c r="E235" i="36"/>
  <c r="F258" i="35"/>
  <c r="K236" i="36"/>
  <c r="H258" i="35"/>
  <c r="A259" i="35"/>
  <c r="AT260" i="35"/>
  <c r="E258" i="35"/>
  <c r="AU274" i="38" l="1"/>
  <c r="D274" i="38" s="1"/>
  <c r="AV275" i="38"/>
  <c r="AS275" i="38"/>
  <c r="L236" i="36"/>
  <c r="C236" i="36" s="1"/>
  <c r="A236" i="36" s="1"/>
  <c r="C274" i="38"/>
  <c r="B259" i="35"/>
  <c r="AR260" i="35"/>
  <c r="J259" i="35"/>
  <c r="J274" i="38" l="1"/>
  <c r="A274" i="38" s="1"/>
  <c r="E259" i="35"/>
  <c r="F259" i="35"/>
  <c r="D259" i="35"/>
  <c r="H259" i="35"/>
  <c r="M237" i="36"/>
  <c r="F236" i="36"/>
  <c r="B236" i="36"/>
  <c r="I236" i="36" s="1"/>
  <c r="G236" i="36"/>
  <c r="H236" i="36"/>
  <c r="AS260" i="35"/>
  <c r="C260" i="35" s="1"/>
  <c r="AT275" i="38"/>
  <c r="C275" i="38" s="1"/>
  <c r="G259" i="35"/>
  <c r="I259" i="35"/>
  <c r="E275" i="38" l="1"/>
  <c r="D236" i="36"/>
  <c r="A260" i="35"/>
  <c r="E236" i="36"/>
  <c r="AT261" i="35"/>
  <c r="K237" i="36"/>
  <c r="AS276" i="38" l="1"/>
  <c r="AT276" i="38" s="1"/>
  <c r="E276" i="38" s="1"/>
  <c r="AV276" i="38"/>
  <c r="AU275" i="38"/>
  <c r="D275" i="38" s="1"/>
  <c r="AR261" i="35"/>
  <c r="B260" i="35"/>
  <c r="L237" i="36"/>
  <c r="C237" i="36" s="1"/>
  <c r="A237" i="36" s="1"/>
  <c r="J260" i="35"/>
  <c r="AU276" i="38" l="1"/>
  <c r="D276" i="38" s="1"/>
  <c r="C276" i="38"/>
  <c r="J275" i="38"/>
  <c r="A275" i="38" s="1"/>
  <c r="G260" i="35"/>
  <c r="AS277" i="38"/>
  <c r="AT277" i="38" s="1"/>
  <c r="C277" i="38" s="1"/>
  <c r="AV277" i="38"/>
  <c r="F260" i="35"/>
  <c r="H260" i="35"/>
  <c r="D260" i="35"/>
  <c r="M238" i="36"/>
  <c r="AS261" i="35"/>
  <c r="C261" i="35" s="1"/>
  <c r="H237" i="36"/>
  <c r="G237" i="36"/>
  <c r="F237" i="36"/>
  <c r="B237" i="36"/>
  <c r="I237" i="36" s="1"/>
  <c r="E260" i="35"/>
  <c r="I260" i="35"/>
  <c r="J276" i="38" l="1"/>
  <c r="A276" i="38" s="1"/>
  <c r="AT262" i="35"/>
  <c r="AR262" i="35" s="1"/>
  <c r="K238" i="36"/>
  <c r="D237" i="36"/>
  <c r="E277" i="38"/>
  <c r="A261" i="35"/>
  <c r="E237" i="36"/>
  <c r="AU277" i="38" l="1"/>
  <c r="D277" i="38" s="1"/>
  <c r="AS278" i="38"/>
  <c r="AV278" i="38"/>
  <c r="L238" i="36"/>
  <c r="C238" i="36" s="1"/>
  <c r="A238" i="36" s="1"/>
  <c r="B261" i="35"/>
  <c r="AS262" i="35"/>
  <c r="C262" i="35" s="1"/>
  <c r="J261" i="35"/>
  <c r="J277" i="38" l="1"/>
  <c r="A277" i="38" s="1"/>
  <c r="I261" i="35"/>
  <c r="G261" i="35"/>
  <c r="E261" i="35"/>
  <c r="H261" i="35"/>
  <c r="D261" i="35"/>
  <c r="F261" i="35"/>
  <c r="H238" i="36"/>
  <c r="F238" i="36"/>
  <c r="G238" i="36"/>
  <c r="B238" i="36"/>
  <c r="I238" i="36" s="1"/>
  <c r="M239" i="36"/>
  <c r="AT278" i="38"/>
  <c r="C278" i="38" s="1"/>
  <c r="A262" i="35"/>
  <c r="AT263" i="35"/>
  <c r="E278" i="38" l="1"/>
  <c r="E238" i="36"/>
  <c r="AR263" i="35"/>
  <c r="D238" i="36"/>
  <c r="K239" i="36"/>
  <c r="B262" i="35"/>
  <c r="J262" i="35"/>
  <c r="L239" i="36" l="1"/>
  <c r="C239" i="36" s="1"/>
  <c r="A239" i="36" s="1"/>
  <c r="G262" i="35"/>
  <c r="E262" i="35"/>
  <c r="H262" i="35"/>
  <c r="D262" i="35"/>
  <c r="AS263" i="35"/>
  <c r="C263" i="35" s="1"/>
  <c r="F262" i="35"/>
  <c r="I262" i="35"/>
  <c r="AU278" i="38"/>
  <c r="D278" i="38" s="1"/>
  <c r="AS279" i="38"/>
  <c r="AV279" i="38"/>
  <c r="J278" i="38" l="1"/>
  <c r="A278" i="38" s="1"/>
  <c r="AT264" i="35"/>
  <c r="A263" i="35"/>
  <c r="M240" i="36"/>
  <c r="AT279" i="38"/>
  <c r="E279" i="38" s="1"/>
  <c r="B239" i="36"/>
  <c r="I239" i="36" s="1"/>
  <c r="G239" i="36"/>
  <c r="F239" i="36"/>
  <c r="H239" i="36"/>
  <c r="AU279" i="38" l="1"/>
  <c r="D279" i="38" s="1"/>
  <c r="AV280" i="38"/>
  <c r="AS280" i="38"/>
  <c r="K240" i="36"/>
  <c r="C279" i="38"/>
  <c r="E239" i="36"/>
  <c r="D239" i="36"/>
  <c r="B263" i="35"/>
  <c r="AR264" i="35"/>
  <c r="J263" i="35"/>
  <c r="J279" i="38" l="1"/>
  <c r="A279" i="38" s="1"/>
  <c r="G263" i="35"/>
  <c r="F263" i="35"/>
  <c r="I263" i="35"/>
  <c r="AT280" i="38"/>
  <c r="E280" i="38" s="1"/>
  <c r="AS264" i="35"/>
  <c r="C264" i="35" s="1"/>
  <c r="L240" i="36"/>
  <c r="C240" i="36" s="1"/>
  <c r="A240" i="36" s="1"/>
  <c r="E263" i="35"/>
  <c r="D263" i="35"/>
  <c r="H263" i="35"/>
  <c r="AT265" i="35" l="1"/>
  <c r="AR265" i="35" s="1"/>
  <c r="AU280" i="38"/>
  <c r="D280" i="38" s="1"/>
  <c r="AV281" i="38"/>
  <c r="AS281" i="38"/>
  <c r="M241" i="36"/>
  <c r="G240" i="36"/>
  <c r="H240" i="36"/>
  <c r="B240" i="36"/>
  <c r="I240" i="36" s="1"/>
  <c r="F240" i="36"/>
  <c r="A264" i="35"/>
  <c r="C280" i="38"/>
  <c r="J280" i="38" l="1"/>
  <c r="A280" i="38" s="1"/>
  <c r="K241" i="36"/>
  <c r="D240" i="36"/>
  <c r="AT281" i="38"/>
  <c r="E281" i="38" s="1"/>
  <c r="AS265" i="35"/>
  <c r="C265" i="35" s="1"/>
  <c r="B264" i="35"/>
  <c r="E240" i="36"/>
  <c r="J264" i="35"/>
  <c r="AU281" i="38" l="1"/>
  <c r="D281" i="38" s="1"/>
  <c r="AS282" i="38"/>
  <c r="AV282" i="38"/>
  <c r="A265" i="35"/>
  <c r="G264" i="35"/>
  <c r="AT266" i="35"/>
  <c r="E264" i="35"/>
  <c r="C281" i="38"/>
  <c r="L241" i="36"/>
  <c r="C241" i="36" s="1"/>
  <c r="A241" i="36" s="1"/>
  <c r="F264" i="35"/>
  <c r="I264" i="35"/>
  <c r="D264" i="35"/>
  <c r="H264" i="35"/>
  <c r="J281" i="38" l="1"/>
  <c r="A281" i="38" s="1"/>
  <c r="AR266" i="35"/>
  <c r="M242" i="36"/>
  <c r="H241" i="36"/>
  <c r="G241" i="36"/>
  <c r="B241" i="36"/>
  <c r="I241" i="36" s="1"/>
  <c r="F241" i="36"/>
  <c r="B265" i="35"/>
  <c r="AT282" i="38"/>
  <c r="C282" i="38" s="1"/>
  <c r="J265" i="35"/>
  <c r="G265" i="35" l="1"/>
  <c r="H265" i="35"/>
  <c r="E282" i="38"/>
  <c r="E241" i="36"/>
  <c r="I265" i="35"/>
  <c r="K242" i="36"/>
  <c r="D265" i="35"/>
  <c r="D241" i="36"/>
  <c r="F265" i="35"/>
  <c r="AS266" i="35"/>
  <c r="C266" i="35" s="1"/>
  <c r="E265" i="35"/>
  <c r="AT267" i="35" l="1"/>
  <c r="AR267" i="35" s="1"/>
  <c r="AU282" i="38"/>
  <c r="D282" i="38" s="1"/>
  <c r="AS283" i="38"/>
  <c r="AV283" i="38"/>
  <c r="L242" i="36"/>
  <c r="C242" i="36" s="1"/>
  <c r="A242" i="36" s="1"/>
  <c r="A266" i="35"/>
  <c r="J282" i="38" l="1"/>
  <c r="A282" i="38" s="1"/>
  <c r="B266" i="35"/>
  <c r="M243" i="36"/>
  <c r="H242" i="36"/>
  <c r="G242" i="36"/>
  <c r="F242" i="36"/>
  <c r="B242" i="36"/>
  <c r="I242" i="36" s="1"/>
  <c r="AT283" i="38"/>
  <c r="E283" i="38" s="1"/>
  <c r="AS267" i="35"/>
  <c r="C267" i="35" s="1"/>
  <c r="J266" i="35"/>
  <c r="E266" i="35" l="1"/>
  <c r="E242" i="36"/>
  <c r="D242" i="36"/>
  <c r="AU283" i="38"/>
  <c r="D283" i="38" s="1"/>
  <c r="AS284" i="38"/>
  <c r="AV284" i="38"/>
  <c r="AT268" i="35"/>
  <c r="C283" i="38"/>
  <c r="K243" i="36"/>
  <c r="A267" i="35"/>
  <c r="H266" i="35"/>
  <c r="D266" i="35"/>
  <c r="F266" i="35"/>
  <c r="G266" i="35"/>
  <c r="I266" i="35"/>
  <c r="J283" i="38" l="1"/>
  <c r="A283" i="38" s="1"/>
  <c r="L243" i="36"/>
  <c r="C243" i="36" s="1"/>
  <c r="A243" i="36" s="1"/>
  <c r="AR268" i="35"/>
  <c r="AT284" i="38"/>
  <c r="E284" i="38" s="1"/>
  <c r="B267" i="35"/>
  <c r="J267" i="35"/>
  <c r="G267" i="35" l="1"/>
  <c r="H267" i="35"/>
  <c r="F267" i="35"/>
  <c r="D267" i="35"/>
  <c r="AU284" i="38"/>
  <c r="D284" i="38" s="1"/>
  <c r="AV285" i="38"/>
  <c r="AS285" i="38"/>
  <c r="C284" i="38"/>
  <c r="AS268" i="35"/>
  <c r="C268" i="35" s="1"/>
  <c r="F243" i="36"/>
  <c r="G243" i="36"/>
  <c r="B243" i="36"/>
  <c r="I243" i="36" s="1"/>
  <c r="H243" i="36"/>
  <c r="E267" i="35"/>
  <c r="I267" i="35"/>
  <c r="M244" i="36"/>
  <c r="J284" i="38" l="1"/>
  <c r="A284" i="38" s="1"/>
  <c r="AT269" i="35"/>
  <c r="AR269" i="35" s="1"/>
  <c r="A268" i="35"/>
  <c r="AT285" i="38"/>
  <c r="E285" i="38" s="1"/>
  <c r="K244" i="36"/>
  <c r="E243" i="36"/>
  <c r="D243" i="36"/>
  <c r="AU285" i="38" l="1"/>
  <c r="D285" i="38" s="1"/>
  <c r="AV286" i="38"/>
  <c r="AS286" i="38"/>
  <c r="B268" i="35"/>
  <c r="AS269" i="35"/>
  <c r="C269" i="35" s="1"/>
  <c r="C285" i="38"/>
  <c r="L244" i="36"/>
  <c r="C244" i="36" s="1"/>
  <c r="A244" i="36" s="1"/>
  <c r="J268" i="35"/>
  <c r="J285" i="38" l="1"/>
  <c r="A285" i="38" s="1"/>
  <c r="A269" i="35"/>
  <c r="E268" i="35"/>
  <c r="I268" i="35"/>
  <c r="H268" i="35"/>
  <c r="G268" i="35"/>
  <c r="F268" i="35"/>
  <c r="D268" i="35"/>
  <c r="AT286" i="38"/>
  <c r="E286" i="38" s="1"/>
  <c r="H244" i="36"/>
  <c r="B244" i="36"/>
  <c r="I244" i="36" s="1"/>
  <c r="F244" i="36"/>
  <c r="G244" i="36"/>
  <c r="M245" i="36"/>
  <c r="AT270" i="35"/>
  <c r="D244" i="36" l="1"/>
  <c r="AU286" i="38"/>
  <c r="D286" i="38" s="1"/>
  <c r="AS287" i="38"/>
  <c r="AV287" i="38"/>
  <c r="C286" i="38"/>
  <c r="K245" i="36"/>
  <c r="AR270" i="35"/>
  <c r="E244" i="36"/>
  <c r="B269" i="35"/>
  <c r="J269" i="35"/>
  <c r="J286" i="38" l="1"/>
  <c r="A286" i="38" s="1"/>
  <c r="G269" i="35"/>
  <c r="AS270" i="35"/>
  <c r="C270" i="35" s="1"/>
  <c r="L245" i="36"/>
  <c r="C245" i="36" s="1"/>
  <c r="A245" i="36" s="1"/>
  <c r="AT287" i="38"/>
  <c r="E287" i="38" s="1"/>
  <c r="D269" i="35"/>
  <c r="F269" i="35"/>
  <c r="E269" i="35"/>
  <c r="I269" i="35"/>
  <c r="H269" i="35"/>
  <c r="AT271" i="35" l="1"/>
  <c r="AR271" i="35" s="1"/>
  <c r="AU287" i="38"/>
  <c r="D287" i="38" s="1"/>
  <c r="AS288" i="38"/>
  <c r="AV288" i="38"/>
  <c r="G245" i="36"/>
  <c r="H245" i="36"/>
  <c r="B245" i="36"/>
  <c r="I245" i="36" s="1"/>
  <c r="F245" i="36"/>
  <c r="M246" i="36"/>
  <c r="C287" i="38"/>
  <c r="A270" i="35"/>
  <c r="J287" i="38" l="1"/>
  <c r="A287" i="38" s="1"/>
  <c r="AS271" i="35"/>
  <c r="C271" i="35" s="1"/>
  <c r="E245" i="36"/>
  <c r="B270" i="35"/>
  <c r="AT288" i="38"/>
  <c r="C288" i="38" s="1"/>
  <c r="D245" i="36"/>
  <c r="K246" i="36"/>
  <c r="J270" i="35"/>
  <c r="AT272" i="35" l="1"/>
  <c r="AR272" i="35" s="1"/>
  <c r="G270" i="35"/>
  <c r="F270" i="35"/>
  <c r="D270" i="35"/>
  <c r="I270" i="35"/>
  <c r="L246" i="36"/>
  <c r="C246" i="36" s="1"/>
  <c r="A246" i="36" s="1"/>
  <c r="H270" i="35"/>
  <c r="E288" i="38"/>
  <c r="E270" i="35"/>
  <c r="A271" i="35"/>
  <c r="H246" i="36" l="1"/>
  <c r="F246" i="36"/>
  <c r="B246" i="36"/>
  <c r="I246" i="36" s="1"/>
  <c r="G246" i="36"/>
  <c r="AU288" i="38"/>
  <c r="D288" i="38" s="1"/>
  <c r="AV289" i="38"/>
  <c r="AS289" i="38"/>
  <c r="B271" i="35"/>
  <c r="M247" i="36"/>
  <c r="AS272" i="35"/>
  <c r="C272" i="35" s="1"/>
  <c r="J271" i="35"/>
  <c r="J288" i="38" l="1"/>
  <c r="A288" i="38" s="1"/>
  <c r="F271" i="35"/>
  <c r="G271" i="35"/>
  <c r="AT289" i="38"/>
  <c r="E289" i="38" s="1"/>
  <c r="K247" i="36"/>
  <c r="D246" i="36"/>
  <c r="E271" i="35"/>
  <c r="E246" i="36"/>
  <c r="A272" i="35"/>
  <c r="I271" i="35"/>
  <c r="AT273" i="35"/>
  <c r="D271" i="35"/>
  <c r="H271" i="35"/>
  <c r="AU289" i="38" l="1"/>
  <c r="D289" i="38" s="1"/>
  <c r="AS290" i="38"/>
  <c r="AV290" i="38"/>
  <c r="C289" i="38"/>
  <c r="B272" i="35"/>
  <c r="L247" i="36"/>
  <c r="C247" i="36" s="1"/>
  <c r="A247" i="36" s="1"/>
  <c r="AR273" i="35"/>
  <c r="J272" i="35"/>
  <c r="J289" i="38" l="1"/>
  <c r="A289" i="38" s="1"/>
  <c r="D272" i="35"/>
  <c r="M248" i="36"/>
  <c r="K248" i="36" s="1"/>
  <c r="F272" i="35"/>
  <c r="I272" i="35"/>
  <c r="G272" i="35"/>
  <c r="H272" i="35"/>
  <c r="E272" i="35"/>
  <c r="AS273" i="35"/>
  <c r="C273" i="35" s="1"/>
  <c r="AT290" i="38"/>
  <c r="E290" i="38" s="1"/>
  <c r="H247" i="36"/>
  <c r="B247" i="36"/>
  <c r="I247" i="36" s="1"/>
  <c r="G247" i="36"/>
  <c r="F247" i="36"/>
  <c r="E247" i="36" l="1"/>
  <c r="AU290" i="38"/>
  <c r="D290" i="38" s="1"/>
  <c r="AS291" i="38"/>
  <c r="AV291" i="38"/>
  <c r="L248" i="36"/>
  <c r="C248" i="36" s="1"/>
  <c r="A248" i="36" s="1"/>
  <c r="A273" i="35"/>
  <c r="AT274" i="35"/>
  <c r="C290" i="38"/>
  <c r="D247" i="36"/>
  <c r="J290" i="38" l="1"/>
  <c r="A290" i="38" s="1"/>
  <c r="AR274" i="35"/>
  <c r="B273" i="35"/>
  <c r="G248" i="36"/>
  <c r="H248" i="36"/>
  <c r="B248" i="36"/>
  <c r="I248" i="36" s="1"/>
  <c r="F248" i="36"/>
  <c r="M249" i="36"/>
  <c r="AT291" i="38"/>
  <c r="C291" i="38" s="1"/>
  <c r="J273" i="35"/>
  <c r="E248" i="36" l="1"/>
  <c r="I273" i="35"/>
  <c r="E291" i="38"/>
  <c r="G273" i="35"/>
  <c r="H273" i="35"/>
  <c r="F273" i="35"/>
  <c r="AS274" i="35"/>
  <c r="C274" i="35" s="1"/>
  <c r="K249" i="36"/>
  <c r="D273" i="35"/>
  <c r="E273" i="35"/>
  <c r="D248" i="36"/>
  <c r="AT275" i="35" l="1"/>
  <c r="AR275" i="35" s="1"/>
  <c r="L249" i="36"/>
  <c r="C249" i="36" s="1"/>
  <c r="A249" i="36" s="1"/>
  <c r="A274" i="35"/>
  <c r="AU291" i="38"/>
  <c r="D291" i="38" s="1"/>
  <c r="AV292" i="38"/>
  <c r="AS292" i="38"/>
  <c r="J291" i="38" l="1"/>
  <c r="A291" i="38" s="1"/>
  <c r="AT292" i="38"/>
  <c r="E292" i="38" s="1"/>
  <c r="B274" i="35"/>
  <c r="G249" i="36"/>
  <c r="H249" i="36"/>
  <c r="F249" i="36"/>
  <c r="B249" i="36"/>
  <c r="I249" i="36" s="1"/>
  <c r="M250" i="36"/>
  <c r="AS275" i="35"/>
  <c r="C275" i="35" s="1"/>
  <c r="J274" i="35"/>
  <c r="D274" i="35" l="1"/>
  <c r="F274" i="35"/>
  <c r="E274" i="35"/>
  <c r="AU292" i="38"/>
  <c r="D292" i="38" s="1"/>
  <c r="AS293" i="38"/>
  <c r="AV293" i="38"/>
  <c r="K250" i="36"/>
  <c r="D249" i="36"/>
  <c r="A275" i="35"/>
  <c r="AT276" i="35"/>
  <c r="I274" i="35"/>
  <c r="E249" i="36"/>
  <c r="C292" i="38"/>
  <c r="G274" i="35"/>
  <c r="H274" i="35"/>
  <c r="J292" i="38" l="1"/>
  <c r="A292" i="38" s="1"/>
  <c r="B275" i="35"/>
  <c r="AR276" i="35"/>
  <c r="L250" i="36"/>
  <c r="C250" i="36" s="1"/>
  <c r="A250" i="36" s="1"/>
  <c r="AT293" i="38"/>
  <c r="E293" i="38" s="1"/>
  <c r="J275" i="35"/>
  <c r="AU293" i="38" l="1"/>
  <c r="D293" i="38" s="1"/>
  <c r="M251" i="36"/>
  <c r="AS276" i="35"/>
  <c r="C276" i="35" s="1"/>
  <c r="F275" i="35"/>
  <c r="G275" i="35"/>
  <c r="H250" i="36"/>
  <c r="B250" i="36"/>
  <c r="I250" i="36" s="1"/>
  <c r="F250" i="36"/>
  <c r="G250" i="36"/>
  <c r="D275" i="35"/>
  <c r="C293" i="38"/>
  <c r="E275" i="35"/>
  <c r="H275" i="35"/>
  <c r="I275" i="35"/>
  <c r="J293" i="38" l="1"/>
  <c r="A293" i="38" s="1"/>
  <c r="A276" i="35"/>
  <c r="AT277" i="35"/>
  <c r="K251" i="36"/>
  <c r="E250" i="36"/>
  <c r="D250" i="36"/>
  <c r="L251" i="36" l="1"/>
  <c r="C251" i="36" s="1"/>
  <c r="A251" i="36" s="1"/>
  <c r="AR277" i="35"/>
  <c r="B276" i="35"/>
  <c r="J276" i="35"/>
  <c r="I276" i="35" l="1"/>
  <c r="H276" i="35"/>
  <c r="E276" i="35"/>
  <c r="F276" i="35"/>
  <c r="AS277" i="35"/>
  <c r="C277" i="35" s="1"/>
  <c r="M252" i="36"/>
  <c r="G251" i="36"/>
  <c r="H251" i="36"/>
  <c r="B251" i="36"/>
  <c r="I251" i="36" s="1"/>
  <c r="F251" i="36"/>
  <c r="D276" i="35"/>
  <c r="G276" i="35"/>
  <c r="E251" i="36" l="1"/>
  <c r="D251" i="36"/>
  <c r="K252" i="36"/>
  <c r="A277" i="35"/>
  <c r="AT278" i="35"/>
  <c r="AR278" i="35" l="1"/>
  <c r="L252" i="36"/>
  <c r="C252" i="36" s="1"/>
  <c r="A252" i="36" s="1"/>
  <c r="B277" i="35"/>
  <c r="J277" i="35"/>
  <c r="G277" i="35" l="1"/>
  <c r="F277" i="35"/>
  <c r="H277" i="35"/>
  <c r="D277" i="35"/>
  <c r="B252" i="36"/>
  <c r="I252" i="36" s="1"/>
  <c r="F252" i="36"/>
  <c r="H252" i="36"/>
  <c r="G252" i="36"/>
  <c r="M253" i="36"/>
  <c r="AS278" i="35"/>
  <c r="C278" i="35" s="1"/>
  <c r="E277" i="35"/>
  <c r="I277" i="35"/>
  <c r="D252" i="36" l="1"/>
  <c r="K253" i="36"/>
  <c r="AT279" i="35"/>
  <c r="A278" i="35"/>
  <c r="E252" i="36"/>
  <c r="B278" i="35" l="1"/>
  <c r="AR279" i="35"/>
  <c r="L253" i="36"/>
  <c r="C253" i="36" s="1"/>
  <c r="A253" i="36" s="1"/>
  <c r="J278" i="35"/>
  <c r="E278" i="35" l="1"/>
  <c r="H278" i="35"/>
  <c r="H253" i="36"/>
  <c r="F253" i="36"/>
  <c r="B253" i="36"/>
  <c r="I253" i="36" s="1"/>
  <c r="G253" i="36"/>
  <c r="F278" i="35"/>
  <c r="I278" i="35"/>
  <c r="M254" i="36"/>
  <c r="AS279" i="35"/>
  <c r="C279" i="35" s="1"/>
  <c r="D278" i="35"/>
  <c r="G278" i="35"/>
  <c r="D253" i="36" l="1"/>
  <c r="A279" i="35"/>
  <c r="AT280" i="35"/>
  <c r="K254" i="36"/>
  <c r="E253" i="36"/>
  <c r="B279" i="35" l="1"/>
  <c r="AR280" i="35"/>
  <c r="L254" i="36"/>
  <c r="C254" i="36" s="1"/>
  <c r="A254" i="36" s="1"/>
  <c r="J279" i="35"/>
  <c r="F279" i="35" l="1"/>
  <c r="G279" i="35"/>
  <c r="H279" i="35"/>
  <c r="E279" i="35"/>
  <c r="I279" i="35"/>
  <c r="D279" i="35"/>
  <c r="G254" i="36"/>
  <c r="B254" i="36"/>
  <c r="I254" i="36" s="1"/>
  <c r="H254" i="36"/>
  <c r="F254" i="36"/>
  <c r="M255" i="36"/>
  <c r="AS280" i="35"/>
  <c r="C280" i="35" s="1"/>
  <c r="E254" i="36" l="1"/>
  <c r="D254" i="36"/>
  <c r="K255" i="36"/>
  <c r="A280" i="35"/>
  <c r="AT281" i="35"/>
  <c r="L255" i="36" l="1"/>
  <c r="C255" i="36" s="1"/>
  <c r="A255" i="36" s="1"/>
  <c r="AR281" i="35"/>
  <c r="B280" i="35"/>
  <c r="J280" i="35"/>
  <c r="D280" i="35" l="1"/>
  <c r="G280" i="35"/>
  <c r="H280" i="35"/>
  <c r="F280" i="35"/>
  <c r="E280" i="35"/>
  <c r="I280" i="35"/>
  <c r="AS281" i="35"/>
  <c r="C281" i="35" s="1"/>
  <c r="M256" i="36"/>
  <c r="G255" i="36"/>
  <c r="F255" i="36"/>
  <c r="B255" i="36"/>
  <c r="I255" i="36" s="1"/>
  <c r="H255" i="36"/>
  <c r="AT282" i="35" l="1"/>
  <c r="AR282" i="35" s="1"/>
  <c r="D255" i="36"/>
  <c r="A281" i="35"/>
  <c r="K256" i="36"/>
  <c r="E255" i="36"/>
  <c r="B281" i="35" l="1"/>
  <c r="L256" i="36"/>
  <c r="C256" i="36" s="1"/>
  <c r="A256" i="36" s="1"/>
  <c r="AS282" i="35"/>
  <c r="C282" i="35" s="1"/>
  <c r="J281" i="35"/>
  <c r="AT283" i="35" l="1"/>
  <c r="AR283" i="35" s="1"/>
  <c r="I281" i="35"/>
  <c r="A282" i="35"/>
  <c r="D281" i="35"/>
  <c r="B256" i="36"/>
  <c r="I256" i="36" s="1"/>
  <c r="H256" i="36"/>
  <c r="F256" i="36"/>
  <c r="G256" i="36"/>
  <c r="M257" i="36"/>
  <c r="E281" i="35"/>
  <c r="H281" i="35"/>
  <c r="F281" i="35"/>
  <c r="G281" i="35"/>
  <c r="D256" i="36" l="1"/>
  <c r="E256" i="36"/>
  <c r="B282" i="35"/>
  <c r="AS283" i="35"/>
  <c r="C283" i="35" s="1"/>
  <c r="K257" i="36"/>
  <c r="J282" i="35"/>
  <c r="I282" i="35" l="1"/>
  <c r="AT284" i="35"/>
  <c r="A283" i="35"/>
  <c r="E282" i="35"/>
  <c r="F282" i="35"/>
  <c r="D282" i="35"/>
  <c r="G282" i="35"/>
  <c r="H282" i="35"/>
  <c r="L257" i="36"/>
  <c r="C257" i="36" s="1"/>
  <c r="A257" i="36" s="1"/>
  <c r="M258" i="36" l="1"/>
  <c r="F257" i="36"/>
  <c r="G257" i="36"/>
  <c r="H257" i="36"/>
  <c r="B257" i="36"/>
  <c r="I257" i="36" s="1"/>
  <c r="B283" i="35"/>
  <c r="AR284" i="35"/>
  <c r="J283" i="35"/>
  <c r="F283" i="35" l="1"/>
  <c r="I283" i="35"/>
  <c r="AS284" i="35"/>
  <c r="C284" i="35" s="1"/>
  <c r="G283" i="35"/>
  <c r="E283" i="35"/>
  <c r="H283" i="35"/>
  <c r="E257" i="36"/>
  <c r="D257" i="36"/>
  <c r="D283" i="35"/>
  <c r="K258" i="36"/>
  <c r="L258" i="36" l="1"/>
  <c r="C258" i="36" s="1"/>
  <c r="A258" i="36" s="1"/>
  <c r="AT285" i="35"/>
  <c r="A284" i="35"/>
  <c r="B284" i="35" l="1"/>
  <c r="AR285" i="35"/>
  <c r="M259" i="36"/>
  <c r="B258" i="36"/>
  <c r="I258" i="36" s="1"/>
  <c r="F258" i="36"/>
  <c r="H258" i="36"/>
  <c r="G258" i="36"/>
  <c r="J284" i="35"/>
  <c r="E284" i="35" l="1"/>
  <c r="I284" i="35"/>
  <c r="F284" i="35"/>
  <c r="G284" i="35"/>
  <c r="H284" i="35"/>
  <c r="D284" i="35"/>
  <c r="K259" i="36"/>
  <c r="AS285" i="35"/>
  <c r="C285" i="35" s="1"/>
  <c r="D258" i="36"/>
  <c r="E258" i="36"/>
  <c r="AT286" i="35" l="1"/>
  <c r="AR286" i="35" s="1"/>
  <c r="L259" i="36"/>
  <c r="C259" i="36" s="1"/>
  <c r="A259" i="36" s="1"/>
  <c r="A285" i="35"/>
  <c r="AS286" i="35" l="1"/>
  <c r="C286" i="35" s="1"/>
  <c r="B285" i="35"/>
  <c r="F259" i="36"/>
  <c r="G259" i="36"/>
  <c r="H259" i="36"/>
  <c r="B259" i="36"/>
  <c r="I259" i="36" s="1"/>
  <c r="M260" i="36"/>
  <c r="J285" i="35"/>
  <c r="AT287" i="35" l="1"/>
  <c r="AR287" i="35" s="1"/>
  <c r="I285" i="35"/>
  <c r="A286" i="35"/>
  <c r="B286" i="35" s="1"/>
  <c r="E259" i="36"/>
  <c r="G285" i="35"/>
  <c r="D259" i="36"/>
  <c r="D285" i="35"/>
  <c r="E285" i="35"/>
  <c r="H285" i="35"/>
  <c r="F285" i="35"/>
  <c r="K260" i="36"/>
  <c r="J286" i="35"/>
  <c r="H286" i="35" l="1"/>
  <c r="AS287" i="35"/>
  <c r="C287" i="35" s="1"/>
  <c r="F286" i="35"/>
  <c r="G286" i="35"/>
  <c r="D286" i="35"/>
  <c r="E286" i="35"/>
  <c r="I286" i="35"/>
  <c r="L260" i="36"/>
  <c r="C260" i="36" s="1"/>
  <c r="A260" i="36" s="1"/>
  <c r="A287" i="35" l="1"/>
  <c r="AT288" i="35"/>
  <c r="G260" i="36"/>
  <c r="B260" i="36"/>
  <c r="I260" i="36" s="1"/>
  <c r="F260" i="36"/>
  <c r="H260" i="36"/>
  <c r="M261" i="36"/>
  <c r="AR288" i="35" l="1"/>
  <c r="B287" i="35"/>
  <c r="K261" i="36"/>
  <c r="D260" i="36"/>
  <c r="E260" i="36"/>
  <c r="J287" i="35"/>
  <c r="E287" i="35" l="1"/>
  <c r="G287" i="35"/>
  <c r="I287" i="35"/>
  <c r="F287" i="35"/>
  <c r="D287" i="35"/>
  <c r="AS288" i="35"/>
  <c r="C288" i="35" s="1"/>
  <c r="H287" i="35"/>
  <c r="L261" i="36"/>
  <c r="C261" i="36" s="1"/>
  <c r="A261" i="36" s="1"/>
  <c r="A288" i="35" l="1"/>
  <c r="AT289" i="35"/>
  <c r="G261" i="36"/>
  <c r="F261" i="36"/>
  <c r="H261" i="36"/>
  <c r="B261" i="36"/>
  <c r="I261" i="36" s="1"/>
  <c r="M262" i="36"/>
  <c r="AR289" i="35" l="1"/>
  <c r="B288" i="35"/>
  <c r="K262" i="36"/>
  <c r="D261" i="36"/>
  <c r="E261" i="36"/>
  <c r="J288" i="35"/>
  <c r="I288" i="35" l="1"/>
  <c r="H288" i="35"/>
  <c r="G288" i="35"/>
  <c r="E288" i="35"/>
  <c r="D288" i="35"/>
  <c r="AS289" i="35"/>
  <c r="C289" i="35" s="1"/>
  <c r="F288" i="35"/>
  <c r="L262" i="36"/>
  <c r="C262" i="36" s="1"/>
  <c r="A262" i="36" s="1"/>
  <c r="A289" i="35" l="1"/>
  <c r="AT290" i="35"/>
  <c r="H262" i="36"/>
  <c r="F262" i="36"/>
  <c r="B262" i="36"/>
  <c r="I262" i="36" s="1"/>
  <c r="G262" i="36"/>
  <c r="M263" i="36"/>
  <c r="B289" i="35" l="1"/>
  <c r="AR290" i="35"/>
  <c r="E262" i="36"/>
  <c r="K263" i="36"/>
  <c r="D262" i="36"/>
  <c r="J289" i="35"/>
  <c r="F289" i="35" l="1"/>
  <c r="I289" i="35"/>
  <c r="AS290" i="35"/>
  <c r="C290" i="35" s="1"/>
  <c r="H289" i="35"/>
  <c r="G289" i="35"/>
  <c r="E289" i="35"/>
  <c r="D289" i="35"/>
  <c r="L263" i="36"/>
  <c r="C263" i="36" s="1"/>
  <c r="A263" i="36" s="1"/>
  <c r="AT291" i="35" l="1"/>
  <c r="A290" i="35"/>
  <c r="M264" i="36"/>
  <c r="F263" i="36"/>
  <c r="B263" i="36"/>
  <c r="I263" i="36" s="1"/>
  <c r="G263" i="36"/>
  <c r="H263" i="36"/>
  <c r="AR291" i="35" l="1"/>
  <c r="B290" i="35"/>
  <c r="E263" i="36"/>
  <c r="D263" i="36"/>
  <c r="K264" i="36"/>
  <c r="J290" i="35"/>
  <c r="AS291" i="35" l="1"/>
  <c r="C291" i="35" s="1"/>
  <c r="A291" i="35" s="1"/>
  <c r="D290" i="35"/>
  <c r="H290" i="35"/>
  <c r="E290" i="35"/>
  <c r="G290" i="35"/>
  <c r="I290" i="35"/>
  <c r="F290" i="35"/>
  <c r="L264" i="36"/>
  <c r="C264" i="36" s="1"/>
  <c r="A264" i="36" s="1"/>
  <c r="B291" i="35" l="1"/>
  <c r="D291" i="35" s="1"/>
  <c r="AT292" i="35"/>
  <c r="B264" i="36"/>
  <c r="I264" i="36" s="1"/>
  <c r="G264" i="36"/>
  <c r="H264" i="36"/>
  <c r="F264" i="36"/>
  <c r="M265" i="36"/>
  <c r="I291" i="35" l="1"/>
  <c r="G291" i="35"/>
  <c r="H291" i="35"/>
  <c r="F291" i="35"/>
  <c r="E291" i="35"/>
  <c r="AR292" i="35"/>
  <c r="D264" i="36"/>
  <c r="E264" i="36"/>
  <c r="K265" i="36"/>
  <c r="J291" i="35"/>
  <c r="AS292" i="35" l="1"/>
  <c r="C292" i="35" s="1"/>
  <c r="A292" i="35" s="1"/>
  <c r="L265" i="36"/>
  <c r="C265" i="36" s="1"/>
  <c r="A265" i="36" s="1"/>
  <c r="AT293" i="35" l="1"/>
  <c r="B292" i="35"/>
  <c r="I292" i="35" s="1"/>
  <c r="B265" i="36"/>
  <c r="I265" i="36" s="1"/>
  <c r="G265" i="36"/>
  <c r="H265" i="36"/>
  <c r="F265" i="36"/>
  <c r="M266" i="36"/>
  <c r="E292" i="35" l="1"/>
  <c r="H292" i="35"/>
  <c r="G292" i="35"/>
  <c r="F292" i="35"/>
  <c r="D292" i="35"/>
  <c r="AR293" i="35"/>
  <c r="E265" i="36"/>
  <c r="K266" i="36"/>
  <c r="D265" i="36"/>
  <c r="J292" i="35"/>
  <c r="AS293" i="35" l="1"/>
  <c r="C293" i="35" s="1"/>
  <c r="A293" i="35" s="1"/>
  <c r="L266" i="36"/>
  <c r="C266" i="36" s="1"/>
  <c r="A266" i="36" s="1"/>
  <c r="AT294" i="35" l="1"/>
  <c r="B293" i="35"/>
  <c r="D293" i="35" s="1"/>
  <c r="H266" i="36"/>
  <c r="F266" i="36"/>
  <c r="B266" i="36"/>
  <c r="I266" i="36" s="1"/>
  <c r="G266" i="36"/>
  <c r="M267" i="36"/>
  <c r="F293" i="35" l="1"/>
  <c r="I293" i="35"/>
  <c r="G293" i="35"/>
  <c r="E293" i="35"/>
  <c r="H293" i="35"/>
  <c r="AR294" i="35"/>
  <c r="K267" i="36"/>
  <c r="D266" i="36"/>
  <c r="E266" i="36"/>
  <c r="J293" i="35"/>
  <c r="AS294" i="35" l="1"/>
  <c r="C294" i="35" s="1"/>
  <c r="A294" i="35" s="1"/>
  <c r="L267" i="36"/>
  <c r="C267" i="36" s="1"/>
  <c r="A267" i="36" s="1"/>
  <c r="AT295" i="35" l="1"/>
  <c r="B294" i="35"/>
  <c r="E294" i="35" s="1"/>
  <c r="B267" i="36"/>
  <c r="I267" i="36" s="1"/>
  <c r="H267" i="36"/>
  <c r="F267" i="36"/>
  <c r="G267" i="36"/>
  <c r="M268" i="36"/>
  <c r="AR295" i="35" l="1"/>
  <c r="I294" i="35"/>
  <c r="F294" i="35"/>
  <c r="D294" i="35"/>
  <c r="G294" i="35"/>
  <c r="H294" i="35"/>
  <c r="D267" i="36"/>
  <c r="E267" i="36"/>
  <c r="K268" i="36"/>
  <c r="J294" i="35"/>
  <c r="AS295" i="35" l="1"/>
  <c r="C295" i="35" s="1"/>
  <c r="A295" i="35" s="1"/>
  <c r="B295" i="35" s="1"/>
  <c r="D295" i="35" s="1"/>
  <c r="L268" i="36"/>
  <c r="C268" i="36" s="1"/>
  <c r="A268" i="36" s="1"/>
  <c r="AT296" i="35" l="1"/>
  <c r="G295" i="35"/>
  <c r="I295" i="35"/>
  <c r="F295" i="35"/>
  <c r="E295" i="35"/>
  <c r="H295" i="35"/>
  <c r="M269" i="36"/>
  <c r="F268" i="36"/>
  <c r="G268" i="36"/>
  <c r="H268" i="36"/>
  <c r="B268" i="36"/>
  <c r="I268" i="36" s="1"/>
  <c r="J295" i="35"/>
  <c r="AR296" i="35" l="1"/>
  <c r="E268" i="36"/>
  <c r="D268" i="36"/>
  <c r="K269" i="36"/>
  <c r="AS296" i="35" l="1"/>
  <c r="C296" i="35" s="1"/>
  <c r="A296" i="35" s="1"/>
  <c r="L269" i="36"/>
  <c r="C269" i="36" s="1"/>
  <c r="A269" i="36" s="1"/>
  <c r="B296" i="35" l="1"/>
  <c r="D296" i="35" s="1"/>
  <c r="AT297" i="35"/>
  <c r="G269" i="36"/>
  <c r="B269" i="36"/>
  <c r="I269" i="36" s="1"/>
  <c r="H269" i="36"/>
  <c r="F269" i="36"/>
  <c r="M270" i="36"/>
  <c r="I296" i="35" l="1"/>
  <c r="AR297" i="35"/>
  <c r="G296" i="35"/>
  <c r="F296" i="35"/>
  <c r="E296" i="35"/>
  <c r="H296" i="35"/>
  <c r="E269" i="36"/>
  <c r="K270" i="36"/>
  <c r="D269" i="36"/>
  <c r="J296" i="35"/>
  <c r="AS297" i="35" l="1"/>
  <c r="C297" i="35" s="1"/>
  <c r="A297" i="35" s="1"/>
  <c r="L270" i="36"/>
  <c r="C270" i="36" s="1"/>
  <c r="A270" i="36" s="1"/>
  <c r="AT298" i="35" l="1"/>
  <c r="B297" i="35"/>
  <c r="M271" i="36"/>
  <c r="F270" i="36"/>
  <c r="B270" i="36"/>
  <c r="I270" i="36" s="1"/>
  <c r="G270" i="36"/>
  <c r="H270" i="36"/>
  <c r="J297" i="35"/>
  <c r="G297" i="35" l="1"/>
  <c r="H297" i="35"/>
  <c r="F297" i="35"/>
  <c r="E297" i="35"/>
  <c r="D297" i="35"/>
  <c r="I297" i="35"/>
  <c r="AR298" i="35"/>
  <c r="D270" i="36"/>
  <c r="E270" i="36"/>
  <c r="K271" i="36"/>
  <c r="AS298" i="35" l="1"/>
  <c r="C298" i="35" s="1"/>
  <c r="A298" i="35" s="1"/>
  <c r="B298" i="35" s="1"/>
  <c r="I298" i="35" s="1"/>
  <c r="L271" i="36"/>
  <c r="C271" i="36" s="1"/>
  <c r="A271" i="36" s="1"/>
  <c r="F298" i="35" l="1"/>
  <c r="E298" i="35"/>
  <c r="G298" i="35"/>
  <c r="D298" i="35"/>
  <c r="H298" i="35"/>
  <c r="H271" i="36"/>
  <c r="F271" i="36"/>
  <c r="B271" i="36"/>
  <c r="I271" i="36" s="1"/>
  <c r="G271" i="36"/>
  <c r="M272" i="36"/>
  <c r="J298" i="35"/>
  <c r="E271" i="36" l="1"/>
  <c r="K272" i="36"/>
  <c r="D271" i="36"/>
  <c r="L272" i="36" l="1"/>
  <c r="C272" i="36" s="1"/>
  <c r="A272" i="36" s="1"/>
  <c r="M273" i="36" l="1"/>
  <c r="G272" i="36"/>
  <c r="B272" i="36"/>
  <c r="I272" i="36" s="1"/>
  <c r="F272" i="36"/>
  <c r="H272" i="36"/>
  <c r="E272" i="36" l="1"/>
  <c r="D272" i="36"/>
  <c r="K273" i="36"/>
  <c r="L273" i="36" l="1"/>
  <c r="C273" i="36" s="1"/>
  <c r="A273" i="36" s="1"/>
  <c r="M274" i="36" l="1"/>
  <c r="G273" i="36"/>
  <c r="F273" i="36"/>
  <c r="H273" i="36"/>
  <c r="B273" i="36"/>
  <c r="I273" i="36" s="1"/>
  <c r="E273" i="36" l="1"/>
  <c r="D273" i="36"/>
  <c r="K274" i="36"/>
  <c r="L274" i="36" l="1"/>
  <c r="C274" i="36" s="1"/>
  <c r="A274" i="36" s="1"/>
  <c r="B274" i="36" l="1"/>
  <c r="I274" i="36" s="1"/>
  <c r="F274" i="36"/>
  <c r="G274" i="36"/>
  <c r="H274" i="36"/>
  <c r="M275" i="36"/>
  <c r="D274" i="36" l="1"/>
  <c r="E274" i="36"/>
  <c r="K275" i="36"/>
  <c r="L275" i="36" l="1"/>
  <c r="C275" i="36" s="1"/>
  <c r="A275" i="36" s="1"/>
  <c r="M276" i="36" l="1"/>
  <c r="B275" i="36"/>
  <c r="I275" i="36" s="1"/>
  <c r="H275" i="36"/>
  <c r="F275" i="36"/>
  <c r="G275" i="36"/>
  <c r="D275" i="36" l="1"/>
  <c r="E275" i="36"/>
  <c r="K276" i="36"/>
  <c r="L276" i="36" l="1"/>
  <c r="C276" i="36" s="1"/>
  <c r="A276" i="36" s="1"/>
  <c r="F276" i="36" l="1"/>
  <c r="B276" i="36"/>
  <c r="I276" i="36" s="1"/>
  <c r="H276" i="36"/>
  <c r="G276" i="36"/>
  <c r="M277" i="36"/>
  <c r="K277" i="36" l="1"/>
  <c r="E276" i="36"/>
  <c r="D276" i="36"/>
  <c r="L277" i="36" l="1"/>
  <c r="C277" i="36" s="1"/>
  <c r="A277" i="36" s="1"/>
  <c r="G277" i="36" l="1"/>
  <c r="B277" i="36"/>
  <c r="I277" i="36" s="1"/>
  <c r="H277" i="36"/>
  <c r="F277" i="36"/>
  <c r="M278" i="36"/>
  <c r="D277" i="36" l="1"/>
  <c r="K278" i="36"/>
  <c r="E277" i="36"/>
  <c r="L278" i="36" l="1"/>
  <c r="C278" i="36" s="1"/>
  <c r="A278" i="36" s="1"/>
  <c r="H278" i="36" l="1"/>
  <c r="F278" i="36"/>
  <c r="B278" i="36"/>
  <c r="I278" i="36" s="1"/>
  <c r="G278" i="36"/>
  <c r="M279" i="36"/>
  <c r="D278" i="36" l="1"/>
  <c r="E278" i="36"/>
  <c r="K279" i="36"/>
  <c r="L279" i="36" l="1"/>
  <c r="C279" i="36" s="1"/>
  <c r="A279" i="36" s="1"/>
  <c r="M280" i="36" l="1"/>
  <c r="G279" i="36"/>
  <c r="H279" i="36"/>
  <c r="F279" i="36"/>
  <c r="B279" i="36"/>
  <c r="I279" i="36" s="1"/>
  <c r="D279" i="36" l="1"/>
  <c r="E279" i="36"/>
  <c r="K280" i="36"/>
  <c r="L280" i="36" l="1"/>
  <c r="C280" i="36" s="1"/>
  <c r="A280" i="36" s="1"/>
  <c r="F280" i="36" l="1"/>
  <c r="G280" i="36"/>
  <c r="H280" i="36"/>
  <c r="B280" i="36"/>
  <c r="I280" i="36" s="1"/>
  <c r="M281" i="36"/>
  <c r="D280" i="36" l="1"/>
  <c r="K281" i="36"/>
  <c r="E280" i="36"/>
  <c r="L281" i="36" l="1"/>
  <c r="C281" i="36" s="1"/>
  <c r="A281" i="36" s="1"/>
  <c r="G281" i="36" l="1"/>
  <c r="F281" i="36"/>
  <c r="B281" i="36"/>
  <c r="I281" i="36" s="1"/>
  <c r="H281" i="36"/>
  <c r="M282" i="36"/>
  <c r="K282" i="36" l="1"/>
  <c r="E281" i="36"/>
  <c r="D281" i="36"/>
  <c r="L282" i="36" l="1"/>
  <c r="C282" i="36" s="1"/>
  <c r="A282" i="36" s="1"/>
  <c r="H282" i="36" l="1"/>
  <c r="F282" i="36"/>
  <c r="B282" i="36"/>
  <c r="I282" i="36" s="1"/>
  <c r="G282" i="36"/>
  <c r="M283" i="36"/>
  <c r="K283" i="36" l="1"/>
  <c r="E282" i="36"/>
  <c r="D282" i="36"/>
  <c r="L283" i="36" l="1"/>
  <c r="C283" i="36" s="1"/>
  <c r="A283" i="36" s="1"/>
  <c r="B283" i="36" l="1"/>
  <c r="I283" i="36" s="1"/>
  <c r="F283" i="36"/>
  <c r="G283" i="36"/>
  <c r="H283" i="36"/>
  <c r="M284" i="36"/>
  <c r="E283" i="36" l="1"/>
  <c r="D283" i="36"/>
  <c r="K284" i="36"/>
  <c r="L284" i="36" l="1"/>
  <c r="C284" i="36" s="1"/>
  <c r="A284" i="36" s="1"/>
  <c r="G284" i="36" l="1"/>
  <c r="H284" i="36"/>
  <c r="F284" i="36"/>
  <c r="B284" i="36"/>
  <c r="I284" i="36" s="1"/>
  <c r="M285" i="36"/>
  <c r="K285" i="36" l="1"/>
  <c r="D284" i="36"/>
  <c r="E284" i="36"/>
  <c r="L285" i="36" l="1"/>
  <c r="C285" i="36" s="1"/>
  <c r="A285" i="36" s="1"/>
  <c r="F285" i="36" s="1"/>
  <c r="B285" i="36" l="1"/>
  <c r="I285" i="36" s="1"/>
  <c r="H285" i="36"/>
  <c r="G285" i="36"/>
  <c r="M286" i="36"/>
  <c r="Q8" i="6"/>
  <c r="D285" i="36" l="1"/>
  <c r="K286" i="36"/>
  <c r="E285" i="36"/>
  <c r="L286" i="36" l="1"/>
  <c r="C286" i="36" s="1"/>
  <c r="A286" i="36" s="1"/>
  <c r="P120" i="9"/>
  <c r="P123" i="9" s="1"/>
  <c r="M287" i="36" l="1"/>
  <c r="F286" i="36"/>
  <c r="G286" i="36"/>
  <c r="H286" i="36"/>
  <c r="B286" i="36"/>
  <c r="I286" i="36" s="1"/>
  <c r="P116" i="9"/>
  <c r="P115" i="9"/>
  <c r="P119" i="9"/>
  <c r="P122" i="9" s="1"/>
  <c r="S120" i="9"/>
  <c r="S123" i="9" s="1"/>
  <c r="S119" i="9"/>
  <c r="S122" i="9" s="1"/>
  <c r="S116" i="9"/>
  <c r="S115" i="9"/>
  <c r="D286" i="36" l="1"/>
  <c r="E286" i="36"/>
  <c r="K287" i="36"/>
  <c r="L287" i="36" l="1"/>
  <c r="C287" i="36" s="1"/>
  <c r="A287" i="36" s="1"/>
  <c r="X119" i="9"/>
  <c r="X122" i="9" s="1"/>
  <c r="M288" i="36" l="1"/>
  <c r="G287" i="36"/>
  <c r="H287" i="36"/>
  <c r="F287" i="36"/>
  <c r="B287" i="36"/>
  <c r="I287" i="36" s="1"/>
  <c r="X120" i="9"/>
  <c r="X123" i="9" s="1"/>
  <c r="X115" i="9"/>
  <c r="X116" i="9"/>
  <c r="D287" i="36" l="1"/>
  <c r="E287" i="36"/>
  <c r="K288" i="36"/>
  <c r="L288" i="36" l="1"/>
  <c r="C288" i="36" s="1"/>
  <c r="A288" i="36" s="1"/>
  <c r="M289" i="36" l="1"/>
  <c r="F288" i="36"/>
  <c r="G288" i="36"/>
  <c r="H288" i="36"/>
  <c r="B288" i="36"/>
  <c r="I288" i="36" s="1"/>
  <c r="AH119" i="9"/>
  <c r="AH122" i="9" s="1"/>
  <c r="D288" i="36" l="1"/>
  <c r="E288" i="36"/>
  <c r="K289" i="36"/>
  <c r="AH116" i="9"/>
  <c r="AH120" i="9"/>
  <c r="AH123" i="9" s="1"/>
  <c r="AH115" i="9"/>
  <c r="L289" i="36" l="1"/>
  <c r="C289" i="36" s="1"/>
  <c r="A289" i="36" s="1"/>
  <c r="M290" i="36" l="1"/>
  <c r="F289" i="36"/>
  <c r="G289" i="36"/>
  <c r="H289" i="36"/>
  <c r="B289" i="36"/>
  <c r="I289" i="36" s="1"/>
  <c r="K290" i="36" l="1"/>
  <c r="D289" i="36"/>
  <c r="E289" i="36"/>
  <c r="L290" i="36" l="1"/>
  <c r="C290" i="36" s="1"/>
  <c r="A290" i="36" s="1"/>
  <c r="AQ9" i="6"/>
  <c r="M81" i="6" s="1"/>
  <c r="J83" i="9" s="1"/>
  <c r="M291" i="36" l="1"/>
  <c r="B290" i="36"/>
  <c r="I290" i="36" s="1"/>
  <c r="H290" i="36"/>
  <c r="F290" i="36"/>
  <c r="G290" i="36"/>
  <c r="G14" i="6"/>
  <c r="I14" i="6"/>
  <c r="E290" i="36" l="1"/>
  <c r="D290" i="36"/>
  <c r="K291" i="36"/>
  <c r="AF28" i="6"/>
  <c r="AG35" i="6"/>
  <c r="H14" i="6"/>
  <c r="H19" i="6" s="1"/>
  <c r="G19" i="6"/>
  <c r="F14" i="6"/>
  <c r="F19" i="6" s="1"/>
  <c r="F20" i="6" s="1"/>
  <c r="I19" i="6"/>
  <c r="AG28" i="6"/>
  <c r="L291" i="36" l="1"/>
  <c r="C291" i="36" s="1"/>
  <c r="A291" i="36" s="1"/>
  <c r="H90" i="6"/>
  <c r="M45" i="9" s="1"/>
  <c r="AG27" i="6"/>
  <c r="AF27" i="6"/>
  <c r="AF26" i="6"/>
  <c r="AF29" i="6"/>
  <c r="AF30" i="6"/>
  <c r="AG30" i="6"/>
  <c r="AG36" i="6"/>
  <c r="AG29" i="6"/>
  <c r="AG34" i="6"/>
  <c r="I25" i="6"/>
  <c r="I20" i="6"/>
  <c r="I24" i="6"/>
  <c r="I22" i="6"/>
  <c r="I23" i="6"/>
  <c r="F24" i="6"/>
  <c r="F23" i="6"/>
  <c r="F25" i="6"/>
  <c r="F22" i="6"/>
  <c r="AG26" i="6"/>
  <c r="AG37" i="6"/>
  <c r="G20" i="6"/>
  <c r="G25" i="6"/>
  <c r="G31" i="6" s="1"/>
  <c r="G22" i="6"/>
  <c r="G28" i="6" s="1"/>
  <c r="G24" i="6"/>
  <c r="G30" i="6" s="1"/>
  <c r="G23" i="6"/>
  <c r="G29" i="6" s="1"/>
  <c r="H22" i="6"/>
  <c r="H24" i="6"/>
  <c r="H23" i="6"/>
  <c r="H25" i="6"/>
  <c r="H20" i="6"/>
  <c r="AG33" i="6"/>
  <c r="M292" i="36" l="1"/>
  <c r="F291" i="36"/>
  <c r="B291" i="36"/>
  <c r="I291" i="36" s="1"/>
  <c r="G291" i="36"/>
  <c r="H291" i="36"/>
  <c r="AJ28" i="6"/>
  <c r="AH28" i="6"/>
  <c r="H31" i="6"/>
  <c r="G85" i="6"/>
  <c r="J40" i="9" s="1"/>
  <c r="F81" i="6"/>
  <c r="F99" i="6"/>
  <c r="F26" i="6"/>
  <c r="F32" i="6"/>
  <c r="F61" i="6"/>
  <c r="AJ35" i="6"/>
  <c r="H28" i="6"/>
  <c r="G82" i="6"/>
  <c r="J37" i="9" s="1"/>
  <c r="G100" i="6"/>
  <c r="J55" i="9" s="1"/>
  <c r="F86" i="6"/>
  <c r="F29" i="6"/>
  <c r="F103" i="6"/>
  <c r="AH35" i="6"/>
  <c r="F30" i="6"/>
  <c r="F83" i="6"/>
  <c r="F101" i="6"/>
  <c r="F98" i="6" s="1"/>
  <c r="H96" i="6"/>
  <c r="M51" i="9" s="1"/>
  <c r="Y137" i="7"/>
  <c r="H103" i="6"/>
  <c r="M58" i="9" s="1"/>
  <c r="H86" i="6"/>
  <c r="M41" i="9" s="1"/>
  <c r="M17" i="92" s="1"/>
  <c r="I29" i="6"/>
  <c r="H100" i="6"/>
  <c r="M55" i="9" s="1"/>
  <c r="H82" i="6"/>
  <c r="M37" i="9" s="1"/>
  <c r="I28" i="6"/>
  <c r="G103" i="6"/>
  <c r="J58" i="9" s="1"/>
  <c r="G86" i="6"/>
  <c r="J41" i="9" s="1"/>
  <c r="J17" i="92" s="1"/>
  <c r="H29" i="6"/>
  <c r="H101" i="6"/>
  <c r="M56" i="9" s="1"/>
  <c r="I30" i="6"/>
  <c r="H83" i="6"/>
  <c r="M38" i="9" s="1"/>
  <c r="H30" i="6"/>
  <c r="G83" i="6"/>
  <c r="J38" i="9" s="1"/>
  <c r="G101" i="6"/>
  <c r="J56" i="9" s="1"/>
  <c r="I32" i="6"/>
  <c r="I26" i="6"/>
  <c r="H99" i="6"/>
  <c r="M54" i="9" s="1"/>
  <c r="H61" i="6"/>
  <c r="M16" i="9" s="1"/>
  <c r="H81" i="6"/>
  <c r="M36" i="9" s="1"/>
  <c r="F28" i="6"/>
  <c r="F100" i="6"/>
  <c r="F82" i="6"/>
  <c r="F87" i="6" s="1"/>
  <c r="F85" i="6"/>
  <c r="F31" i="6"/>
  <c r="G26" i="6"/>
  <c r="G32" i="6"/>
  <c r="I31" i="6"/>
  <c r="H85" i="6"/>
  <c r="M40" i="9" s="1"/>
  <c r="H32" i="6"/>
  <c r="G99" i="6"/>
  <c r="J54" i="9" s="1"/>
  <c r="H26" i="6"/>
  <c r="G81" i="6"/>
  <c r="J36" i="9" s="1"/>
  <c r="G61" i="6"/>
  <c r="J16" i="9" s="1"/>
  <c r="E291" i="36" l="1"/>
  <c r="D291" i="36"/>
  <c r="K292" i="36"/>
  <c r="AJ29" i="6"/>
  <c r="AJ26" i="6"/>
  <c r="AJ30" i="6"/>
  <c r="AH27" i="6"/>
  <c r="AH29" i="6"/>
  <c r="AH26" i="6"/>
  <c r="AJ27" i="6"/>
  <c r="AH36" i="6"/>
  <c r="AJ34" i="6"/>
  <c r="H80" i="6"/>
  <c r="M35" i="9" s="1"/>
  <c r="H88" i="6"/>
  <c r="M43" i="9" s="1"/>
  <c r="AJ36" i="6"/>
  <c r="J115" i="9"/>
  <c r="J119" i="9"/>
  <c r="J116" i="9"/>
  <c r="J120" i="9"/>
  <c r="G84" i="6"/>
  <c r="J39" i="9" s="1"/>
  <c r="G102" i="6"/>
  <c r="J57" i="9" s="1"/>
  <c r="M115" i="9"/>
  <c r="M120" i="9"/>
  <c r="M123" i="9" s="1"/>
  <c r="M116" i="9"/>
  <c r="M119" i="9"/>
  <c r="M122" i="9" s="1"/>
  <c r="G6" i="42"/>
  <c r="L19" i="6"/>
  <c r="H97" i="6"/>
  <c r="M52" i="9" s="1"/>
  <c r="F80" i="6"/>
  <c r="F88" i="6"/>
  <c r="G87" i="6"/>
  <c r="J42" i="9" s="1"/>
  <c r="H84" i="6"/>
  <c r="M39" i="9" s="1"/>
  <c r="H102" i="6"/>
  <c r="M57" i="9" s="1"/>
  <c r="H87" i="6"/>
  <c r="M42" i="9" s="1"/>
  <c r="F102" i="6"/>
  <c r="F84" i="6"/>
  <c r="AH30" i="6"/>
  <c r="E6" i="42"/>
  <c r="J19" i="6"/>
  <c r="AH37" i="6"/>
  <c r="AH33" i="6"/>
  <c r="AJ37" i="6"/>
  <c r="AJ33" i="6"/>
  <c r="G98" i="6"/>
  <c r="J53" i="9" s="1"/>
  <c r="H98" i="6"/>
  <c r="M53" i="9" s="1"/>
  <c r="G88" i="6"/>
  <c r="J43" i="9" s="1"/>
  <c r="G80" i="6"/>
  <c r="J35" i="9" s="1"/>
  <c r="AH34" i="6"/>
  <c r="L292" i="36" l="1"/>
  <c r="C292" i="36" s="1"/>
  <c r="A292" i="36" s="1"/>
  <c r="Z137" i="7"/>
  <c r="I96" i="6"/>
  <c r="L23" i="6"/>
  <c r="L22" i="6"/>
  <c r="L20" i="6"/>
  <c r="L24" i="6"/>
  <c r="L25" i="6"/>
  <c r="AA27" i="42"/>
  <c r="AA36" i="42"/>
  <c r="AA30" i="42"/>
  <c r="AA33" i="42"/>
  <c r="AA39" i="42"/>
  <c r="J122" i="9"/>
  <c r="I119" i="9"/>
  <c r="I90" i="6"/>
  <c r="R45" i="9" s="1"/>
  <c r="J22" i="6"/>
  <c r="J24" i="6"/>
  <c r="J25" i="6"/>
  <c r="J20" i="6"/>
  <c r="J23" i="6"/>
  <c r="Y30" i="42"/>
  <c r="Y39" i="42"/>
  <c r="Y36" i="42"/>
  <c r="Y33" i="42"/>
  <c r="Y27" i="42"/>
  <c r="J123" i="9"/>
  <c r="I120" i="9"/>
  <c r="AF35" i="6"/>
  <c r="AF34" i="6"/>
  <c r="AF33" i="6"/>
  <c r="AF36" i="6"/>
  <c r="AF37" i="6"/>
  <c r="G292" i="36" l="1"/>
  <c r="H292" i="36"/>
  <c r="B292" i="36"/>
  <c r="I292" i="36" s="1"/>
  <c r="F292" i="36"/>
  <c r="M293" i="36"/>
  <c r="J29" i="6"/>
  <c r="I103" i="6"/>
  <c r="R58" i="9" s="1"/>
  <c r="I86" i="6"/>
  <c r="R41" i="9" s="1"/>
  <c r="R17" i="92" s="1"/>
  <c r="I83" i="6"/>
  <c r="R38" i="9" s="1"/>
  <c r="J30" i="6"/>
  <c r="I101" i="6"/>
  <c r="R56" i="9" s="1"/>
  <c r="L31" i="6"/>
  <c r="K85" i="6"/>
  <c r="AN40" i="9" s="1"/>
  <c r="I82" i="6"/>
  <c r="I100" i="6"/>
  <c r="R55" i="9" s="1"/>
  <c r="J28" i="6"/>
  <c r="K83" i="6"/>
  <c r="AN38" i="9" s="1"/>
  <c r="L30" i="6"/>
  <c r="K101" i="6"/>
  <c r="AN56" i="9" s="1"/>
  <c r="K61" i="6"/>
  <c r="AN16" i="9" s="1"/>
  <c r="L32" i="6"/>
  <c r="K81" i="6"/>
  <c r="AN36" i="9" s="1"/>
  <c r="K99" i="6"/>
  <c r="AN54" i="9" s="1"/>
  <c r="L26" i="6"/>
  <c r="K82" i="6"/>
  <c r="AN37" i="9" s="1"/>
  <c r="L28" i="6"/>
  <c r="K100" i="6"/>
  <c r="AN55" i="9" s="1"/>
  <c r="I61" i="6"/>
  <c r="R16" i="9" s="1"/>
  <c r="J26" i="6"/>
  <c r="J32" i="6"/>
  <c r="I81" i="6"/>
  <c r="R36" i="9" s="1"/>
  <c r="I99" i="6"/>
  <c r="R54" i="9" s="1"/>
  <c r="K103" i="6"/>
  <c r="AN58" i="9" s="1"/>
  <c r="L29" i="6"/>
  <c r="K86" i="6"/>
  <c r="AN41" i="9" s="1"/>
  <c r="AN17" i="92" s="1"/>
  <c r="I85" i="6"/>
  <c r="R40" i="9" s="1"/>
  <c r="J31" i="6"/>
  <c r="I97" i="6"/>
  <c r="R37" i="9" l="1"/>
  <c r="E292" i="36"/>
  <c r="K293" i="36"/>
  <c r="D292" i="36"/>
  <c r="I102" i="6"/>
  <c r="R57" i="9" s="1"/>
  <c r="I84" i="6"/>
  <c r="R39" i="9" s="1"/>
  <c r="K88" i="6"/>
  <c r="AN43" i="9" s="1"/>
  <c r="K80" i="6"/>
  <c r="AN35" i="9" s="1"/>
  <c r="I87" i="6"/>
  <c r="R42" i="9" s="1"/>
  <c r="K87" i="6"/>
  <c r="AN42" i="9" s="1"/>
  <c r="K102" i="6"/>
  <c r="AN57" i="9" s="1"/>
  <c r="K84" i="6"/>
  <c r="AN39" i="9" s="1"/>
  <c r="I98" i="6"/>
  <c r="R53" i="9" s="1"/>
  <c r="AN119" i="9"/>
  <c r="AN122" i="9" s="1"/>
  <c r="AN115" i="9"/>
  <c r="AN116" i="9"/>
  <c r="AN120" i="9"/>
  <c r="AN123" i="9" s="1"/>
  <c r="I88" i="6"/>
  <c r="R43" i="9" s="1"/>
  <c r="I80" i="6"/>
  <c r="R35" i="9" s="1"/>
  <c r="R119" i="9"/>
  <c r="R122" i="9" s="1"/>
  <c r="R120" i="9"/>
  <c r="R123" i="9" s="1"/>
  <c r="R115" i="9"/>
  <c r="R116" i="9"/>
  <c r="K98" i="6"/>
  <c r="AN53" i="9" s="1"/>
  <c r="L293" i="36" l="1"/>
  <c r="C293" i="36" s="1"/>
  <c r="A293" i="36" s="1"/>
  <c r="AI28" i="6"/>
  <c r="U39" i="6" s="1"/>
  <c r="U36" i="6" s="1"/>
  <c r="AI35" i="6"/>
  <c r="U37" i="6" s="1"/>
  <c r="M294" i="36" l="1"/>
  <c r="B293" i="36"/>
  <c r="I293" i="36" s="1"/>
  <c r="F293" i="36"/>
  <c r="H293" i="36"/>
  <c r="G293" i="36"/>
  <c r="U35" i="6"/>
  <c r="S35" i="6" s="1"/>
  <c r="U40" i="6"/>
  <c r="F40" i="6" s="1"/>
  <c r="J40" i="6" s="1"/>
  <c r="I78" i="6" s="1"/>
  <c r="R33" i="9" s="1"/>
  <c r="U38" i="6"/>
  <c r="S38" i="6" s="1"/>
  <c r="F39" i="6"/>
  <c r="J39" i="6" s="1"/>
  <c r="I77" i="6" s="1"/>
  <c r="R32" i="9" s="1"/>
  <c r="AI27" i="6"/>
  <c r="AI29" i="6"/>
  <c r="AI30" i="6"/>
  <c r="AI26" i="6"/>
  <c r="AI37" i="6"/>
  <c r="AI33" i="6"/>
  <c r="AI34" i="6"/>
  <c r="F35" i="6"/>
  <c r="F38" i="6"/>
  <c r="R36" i="6"/>
  <c r="T36" i="6"/>
  <c r="S36" i="6"/>
  <c r="F36" i="6"/>
  <c r="F37" i="6"/>
  <c r="R37" i="6"/>
  <c r="T37" i="6"/>
  <c r="S37" i="6"/>
  <c r="AI36" i="6"/>
  <c r="K19" i="6"/>
  <c r="J76" i="6"/>
  <c r="F6" i="42"/>
  <c r="T38" i="6" l="1"/>
  <c r="R38" i="6"/>
  <c r="K294" i="36"/>
  <c r="E293" i="36"/>
  <c r="D293" i="36"/>
  <c r="R35" i="6"/>
  <c r="T35" i="6"/>
  <c r="K39" i="6"/>
  <c r="J77" i="6" s="1"/>
  <c r="AB32" i="9" s="1"/>
  <c r="K40" i="6"/>
  <c r="J78" i="6" s="1"/>
  <c r="AB33" i="9" s="1"/>
  <c r="H39" i="6"/>
  <c r="G77" i="6" s="1"/>
  <c r="J32" i="9" s="1"/>
  <c r="I39" i="6"/>
  <c r="H77" i="6" s="1"/>
  <c r="M32" i="9" s="1"/>
  <c r="L39" i="6"/>
  <c r="K77" i="6" s="1"/>
  <c r="AN32" i="9" s="1"/>
  <c r="G39" i="6"/>
  <c r="G40" i="6"/>
  <c r="H40" i="6"/>
  <c r="G78" i="6" s="1"/>
  <c r="I40" i="6"/>
  <c r="H78" i="6" s="1"/>
  <c r="M33" i="9" s="1"/>
  <c r="L40" i="6"/>
  <c r="K78" i="6" s="1"/>
  <c r="AN33" i="9" s="1"/>
  <c r="G35" i="6"/>
  <c r="I35" i="6"/>
  <c r="H63" i="6" s="1"/>
  <c r="M18" i="9" s="1"/>
  <c r="H35" i="6"/>
  <c r="G63" i="6" s="1"/>
  <c r="J18" i="9" s="1"/>
  <c r="J35" i="6"/>
  <c r="I63" i="6" s="1"/>
  <c r="R18" i="9" s="1"/>
  <c r="L35" i="6"/>
  <c r="K63" i="6" s="1"/>
  <c r="AN18" i="9" s="1"/>
  <c r="K35" i="6"/>
  <c r="J63" i="6" s="1"/>
  <c r="AB18" i="9" s="1"/>
  <c r="I37" i="6"/>
  <c r="G37" i="6"/>
  <c r="H37" i="6"/>
  <c r="G65" i="6" s="1"/>
  <c r="J20" i="9" s="1"/>
  <c r="G36" i="6"/>
  <c r="I36" i="6"/>
  <c r="H36" i="6"/>
  <c r="G64" i="6" s="1"/>
  <c r="J19" i="9" s="1"/>
  <c r="K90" i="6"/>
  <c r="AN45" i="9" s="1"/>
  <c r="G38" i="6"/>
  <c r="H38" i="6"/>
  <c r="I38" i="6"/>
  <c r="J38" i="6" s="1"/>
  <c r="K38" i="6" s="1"/>
  <c r="L38" i="6" s="1"/>
  <c r="Z27" i="42"/>
  <c r="Z36" i="42"/>
  <c r="Z30" i="42"/>
  <c r="Z39" i="42"/>
  <c r="Z33" i="42"/>
  <c r="J90" i="6"/>
  <c r="AB45" i="9" s="1"/>
  <c r="K76" i="6"/>
  <c r="J96" i="6"/>
  <c r="AA137" i="7"/>
  <c r="K25" i="6"/>
  <c r="K24" i="6"/>
  <c r="K23" i="6"/>
  <c r="K22" i="6"/>
  <c r="K20" i="6"/>
  <c r="F78" i="6" l="1"/>
  <c r="J33" i="9"/>
  <c r="F77" i="6"/>
  <c r="L294" i="36"/>
  <c r="C294" i="36" s="1"/>
  <c r="A294" i="36" s="1"/>
  <c r="F65" i="6"/>
  <c r="I93" i="6"/>
  <c r="R48" i="9" s="1"/>
  <c r="AC137" i="7"/>
  <c r="K96" i="6"/>
  <c r="J93" i="6"/>
  <c r="AB48" i="9" s="1"/>
  <c r="J61" i="6"/>
  <c r="AB16" i="9" s="1"/>
  <c r="J99" i="6"/>
  <c r="AB54" i="9" s="1"/>
  <c r="K32" i="6"/>
  <c r="K26" i="6"/>
  <c r="J81" i="6"/>
  <c r="K93" i="6"/>
  <c r="AN48" i="9" s="1"/>
  <c r="K28" i="6"/>
  <c r="J82" i="6"/>
  <c r="AB37" i="9" s="1"/>
  <c r="J100" i="6"/>
  <c r="AB55" i="9" s="1"/>
  <c r="H93" i="6"/>
  <c r="M48" i="9" s="1"/>
  <c r="K29" i="6"/>
  <c r="J103" i="6"/>
  <c r="AB58" i="9" s="1"/>
  <c r="J86" i="6"/>
  <c r="AB41" i="9" s="1"/>
  <c r="AB17" i="92" s="1"/>
  <c r="F93" i="6"/>
  <c r="F92" i="6" s="1"/>
  <c r="J101" i="6"/>
  <c r="AB56" i="9" s="1"/>
  <c r="K30" i="6"/>
  <c r="J83" i="6"/>
  <c r="AB38" i="9" s="1"/>
  <c r="J36" i="6"/>
  <c r="H64" i="6"/>
  <c r="M19" i="9" s="1"/>
  <c r="G93" i="6"/>
  <c r="J48" i="9" s="1"/>
  <c r="J85" i="6"/>
  <c r="AB40" i="9" s="1"/>
  <c r="K31" i="6"/>
  <c r="X138" i="7"/>
  <c r="X148" i="7" s="1"/>
  <c r="X151" i="7" s="1"/>
  <c r="J97" i="6"/>
  <c r="J37" i="6"/>
  <c r="H65" i="6"/>
  <c r="M20" i="9" s="1"/>
  <c r="F64" i="6"/>
  <c r="F63" i="6"/>
  <c r="AB36" i="9" l="1"/>
  <c r="AB119" i="9" s="1"/>
  <c r="AB122" i="9" s="1"/>
  <c r="B294" i="36"/>
  <c r="I294" i="36" s="1"/>
  <c r="F294" i="36"/>
  <c r="G294" i="36"/>
  <c r="H294" i="36"/>
  <c r="M295" i="36"/>
  <c r="AB137" i="7"/>
  <c r="I64" i="6"/>
  <c r="R19" i="9" s="1"/>
  <c r="K36" i="6"/>
  <c r="J80" i="6"/>
  <c r="AB35" i="9" s="1"/>
  <c r="J88" i="6"/>
  <c r="AB43" i="9" s="1"/>
  <c r="J84" i="6"/>
  <c r="AB39" i="9" s="1"/>
  <c r="J102" i="6"/>
  <c r="AB57" i="9" s="1"/>
  <c r="K37" i="6"/>
  <c r="I65" i="6"/>
  <c r="R20" i="9" s="1"/>
  <c r="J98" i="6"/>
  <c r="AB53" i="9" s="1"/>
  <c r="F62" i="6"/>
  <c r="F91" i="6"/>
  <c r="H92" i="6"/>
  <c r="M47" i="9" s="1"/>
  <c r="G92" i="6"/>
  <c r="J47" i="9" s="1"/>
  <c r="J87" i="6"/>
  <c r="AB42" i="9" s="1"/>
  <c r="K97" i="6"/>
  <c r="AB120" i="9" l="1"/>
  <c r="AB123" i="9" s="1"/>
  <c r="AB115" i="9"/>
  <c r="AB116" i="9"/>
  <c r="K295" i="36"/>
  <c r="E294" i="36"/>
  <c r="D294" i="36"/>
  <c r="H62" i="6"/>
  <c r="M17" i="9" s="1"/>
  <c r="H91" i="6"/>
  <c r="M46" i="9" s="1"/>
  <c r="Y138" i="7"/>
  <c r="Y148" i="7" s="1"/>
  <c r="Y151" i="7" s="1"/>
  <c r="J65" i="6"/>
  <c r="AB20" i="9" s="1"/>
  <c r="L37" i="6"/>
  <c r="K65" i="6" s="1"/>
  <c r="AN20" i="9" s="1"/>
  <c r="J64" i="6"/>
  <c r="AB19" i="9" s="1"/>
  <c r="L36" i="6"/>
  <c r="K64" i="6" s="1"/>
  <c r="AN19" i="9" s="1"/>
  <c r="I92" i="6"/>
  <c r="R47" i="9" s="1"/>
  <c r="G62" i="6"/>
  <c r="J17" i="9" s="1"/>
  <c r="G91" i="6"/>
  <c r="J46" i="9" s="1"/>
  <c r="L295" i="36" l="1"/>
  <c r="C295" i="36" s="1"/>
  <c r="A295" i="36" s="1"/>
  <c r="I91" i="6"/>
  <c r="R46" i="9" s="1"/>
  <c r="I62" i="6"/>
  <c r="R17" i="9" s="1"/>
  <c r="J92" i="6"/>
  <c r="AB47" i="9" s="1"/>
  <c r="AC138" i="7"/>
  <c r="AC148" i="7" s="1"/>
  <c r="AC151" i="7" s="1"/>
  <c r="AB175" i="7" s="1"/>
  <c r="Z138" i="7"/>
  <c r="M296" i="36" l="1"/>
  <c r="B295" i="36"/>
  <c r="I295" i="36" s="1"/>
  <c r="F295" i="36"/>
  <c r="H295" i="36"/>
  <c r="G295" i="36"/>
  <c r="AA138" i="7"/>
  <c r="Z148" i="7"/>
  <c r="Z151" i="7" s="1"/>
  <c r="J91" i="6"/>
  <c r="AB46" i="9" s="1"/>
  <c r="J62" i="6"/>
  <c r="AB17" i="9" s="1"/>
  <c r="K92" i="6"/>
  <c r="AN47" i="9" s="1"/>
  <c r="E295" i="36" l="1"/>
  <c r="D295" i="36"/>
  <c r="K296" i="36"/>
  <c r="K91" i="6"/>
  <c r="AN46" i="9" s="1"/>
  <c r="K62" i="6"/>
  <c r="AN17" i="9" s="1"/>
  <c r="AA148" i="7"/>
  <c r="AA151" i="7" s="1"/>
  <c r="AB138" i="7"/>
  <c r="AB148" i="7" s="1"/>
  <c r="AB151" i="7" s="1"/>
  <c r="U28" i="26"/>
  <c r="U34" i="26" s="1"/>
  <c r="O29" i="26"/>
  <c r="O34" i="26" s="1"/>
  <c r="M75" i="7"/>
  <c r="M63" i="7"/>
  <c r="M50" i="7"/>
  <c r="M78" i="7"/>
  <c r="M105" i="7"/>
  <c r="O38" i="7"/>
  <c r="J29" i="28" s="1"/>
  <c r="L296" i="36" l="1"/>
  <c r="C296" i="36" s="1"/>
  <c r="A296" i="36" s="1"/>
  <c r="U53" i="26"/>
  <c r="U54" i="26"/>
  <c r="M101" i="7"/>
  <c r="M98" i="7"/>
  <c r="M121" i="7"/>
  <c r="M67" i="7"/>
  <c r="M48" i="7"/>
  <c r="M99" i="7"/>
  <c r="M61" i="7"/>
  <c r="M83" i="7"/>
  <c r="M108" i="7"/>
  <c r="M73" i="7"/>
  <c r="M58" i="7"/>
  <c r="M56" i="7"/>
  <c r="M82" i="7"/>
  <c r="M53" i="7"/>
  <c r="M57" i="7"/>
  <c r="M64" i="7"/>
  <c r="M49" i="7"/>
  <c r="M65" i="7"/>
  <c r="M104" i="7"/>
  <c r="J114" i="7"/>
  <c r="M66" i="7"/>
  <c r="M116" i="7"/>
  <c r="M79" i="7"/>
  <c r="M71" i="7"/>
  <c r="M94" i="7"/>
  <c r="M124" i="7"/>
  <c r="M81" i="7"/>
  <c r="M115" i="7"/>
  <c r="M41" i="7"/>
  <c r="M62" i="7"/>
  <c r="M110" i="7"/>
  <c r="M59" i="7"/>
  <c r="M77" i="7"/>
  <c r="M112" i="7"/>
  <c r="M86" i="7"/>
  <c r="U38" i="7"/>
  <c r="J45" i="28" s="1"/>
  <c r="J44" i="28" s="1"/>
  <c r="M45" i="7"/>
  <c r="M85" i="7"/>
  <c r="M44" i="7"/>
  <c r="M103" i="7"/>
  <c r="M107" i="7"/>
  <c r="T114" i="7"/>
  <c r="J185" i="28" s="1"/>
  <c r="M90" i="7"/>
  <c r="M95" i="7"/>
  <c r="M42" i="7"/>
  <c r="M40" i="7"/>
  <c r="M88" i="7"/>
  <c r="M111" i="7"/>
  <c r="M120" i="7"/>
  <c r="M74" i="7"/>
  <c r="M122" i="7"/>
  <c r="M38" i="7"/>
  <c r="M60" i="7"/>
  <c r="M46" i="7"/>
  <c r="M52" i="7"/>
  <c r="M117" i="7"/>
  <c r="M76" i="7"/>
  <c r="M106" i="7"/>
  <c r="M39" i="7"/>
  <c r="M119" i="7"/>
  <c r="M96" i="7"/>
  <c r="M109" i="7"/>
  <c r="M55" i="7"/>
  <c r="M91" i="7"/>
  <c r="M89" i="7"/>
  <c r="M93" i="7"/>
  <c r="N48" i="26"/>
  <c r="M69" i="7"/>
  <c r="M43" i="7"/>
  <c r="M92" i="7"/>
  <c r="M54" i="7"/>
  <c r="M47" i="7"/>
  <c r="M113" i="7"/>
  <c r="M97" i="7"/>
  <c r="N45" i="26"/>
  <c r="K94" i="7" s="1"/>
  <c r="J96" i="28" s="1"/>
  <c r="O60" i="7"/>
  <c r="J70" i="28" s="1"/>
  <c r="K43" i="7"/>
  <c r="J37" i="28" s="1"/>
  <c r="K55" i="7"/>
  <c r="J59" i="28" s="1"/>
  <c r="S49" i="7"/>
  <c r="J63" i="28" s="1"/>
  <c r="O114" i="7"/>
  <c r="J173" i="28" s="1"/>
  <c r="K119" i="7"/>
  <c r="J50" i="7"/>
  <c r="J54" i="28" s="1"/>
  <c r="P70" i="7"/>
  <c r="M114" i="7"/>
  <c r="K52" i="7"/>
  <c r="J56" i="28" s="1"/>
  <c r="K107" i="7"/>
  <c r="K108" i="7"/>
  <c r="J119" i="28" s="1"/>
  <c r="J61" i="28"/>
  <c r="G114" i="7"/>
  <c r="J175" i="28" s="1"/>
  <c r="K120" i="7"/>
  <c r="N47" i="26"/>
  <c r="M123" i="7"/>
  <c r="M68" i="7"/>
  <c r="M87" i="7"/>
  <c r="H102" i="7"/>
  <c r="J108" i="28" s="1"/>
  <c r="M118" i="7"/>
  <c r="M72" i="7"/>
  <c r="M84" i="7"/>
  <c r="N51" i="26"/>
  <c r="K41" i="7"/>
  <c r="F70" i="7"/>
  <c r="N46" i="26"/>
  <c r="N49" i="26"/>
  <c r="K99" i="7" s="1"/>
  <c r="J49" i="7"/>
  <c r="O102" i="7"/>
  <c r="J110" i="28" s="1"/>
  <c r="O90" i="7"/>
  <c r="J89" i="28" s="1"/>
  <c r="K53" i="7"/>
  <c r="J57" i="28" s="1"/>
  <c r="K42" i="7"/>
  <c r="J36" i="28" s="1"/>
  <c r="K44" i="7"/>
  <c r="J38" i="28" s="1"/>
  <c r="T38" i="7"/>
  <c r="J43" i="28" s="1"/>
  <c r="T49" i="7"/>
  <c r="J64" i="28" s="1"/>
  <c r="J115" i="7"/>
  <c r="K121" i="7"/>
  <c r="F114" i="7"/>
  <c r="J187" i="28" s="1"/>
  <c r="N50" i="26"/>
  <c r="K96" i="7" s="1"/>
  <c r="J39" i="7"/>
  <c r="J33" i="28" s="1"/>
  <c r="N56" i="26"/>
  <c r="R35" i="26" s="1"/>
  <c r="K106" i="7"/>
  <c r="J117" i="28" s="1"/>
  <c r="K97" i="7"/>
  <c r="J99" i="28" s="1"/>
  <c r="K56" i="7"/>
  <c r="J60" i="28" s="1"/>
  <c r="K98" i="7"/>
  <c r="J100" i="28" s="1"/>
  <c r="K110" i="7"/>
  <c r="L102" i="7"/>
  <c r="I146" i="29" s="1"/>
  <c r="J116" i="7"/>
  <c r="K122" i="7"/>
  <c r="M51" i="7"/>
  <c r="M100" i="7"/>
  <c r="O70" i="7"/>
  <c r="M70" i="7"/>
  <c r="K95" i="7"/>
  <c r="J97" i="28" s="1"/>
  <c r="K45" i="7"/>
  <c r="J39" i="28" s="1"/>
  <c r="K46" i="7"/>
  <c r="J40" i="28" s="1"/>
  <c r="J62" i="28"/>
  <c r="K112" i="7"/>
  <c r="H114" i="7"/>
  <c r="J171" i="28" s="1"/>
  <c r="K117" i="7"/>
  <c r="S114" i="7"/>
  <c r="J184" i="28" s="1"/>
  <c r="U49" i="7"/>
  <c r="J38" i="7"/>
  <c r="L70" i="7"/>
  <c r="O49" i="7"/>
  <c r="J50" i="28" s="1"/>
  <c r="K54" i="7"/>
  <c r="J58" i="28" s="1"/>
  <c r="K109" i="7"/>
  <c r="J120" i="28" s="1"/>
  <c r="J42" i="28"/>
  <c r="K111" i="7"/>
  <c r="L114" i="7"/>
  <c r="I218" i="29" s="1"/>
  <c r="K118" i="7"/>
  <c r="J178" i="28" l="1"/>
  <c r="J179" i="28"/>
  <c r="M297" i="36"/>
  <c r="B296" i="36"/>
  <c r="I296" i="36" s="1"/>
  <c r="H296" i="36"/>
  <c r="F296" i="36"/>
  <c r="G296" i="36"/>
  <c r="J182" i="28"/>
  <c r="J176" i="28"/>
  <c r="J181" i="28"/>
  <c r="J122" i="28"/>
  <c r="J123" i="28"/>
  <c r="J121" i="28"/>
  <c r="J180" i="28"/>
  <c r="J183" i="28"/>
  <c r="J98" i="28"/>
  <c r="J101" i="28"/>
  <c r="J177" i="28"/>
  <c r="J118" i="28"/>
  <c r="K100" i="7"/>
  <c r="J102" i="28" s="1"/>
  <c r="V38" i="7"/>
  <c r="K45" i="28" s="1"/>
  <c r="K44" i="28" s="1"/>
  <c r="K47" i="7"/>
  <c r="J41" i="28" s="1"/>
  <c r="J35" i="28"/>
  <c r="K34" i="26"/>
  <c r="I170" i="29"/>
  <c r="L80" i="7"/>
  <c r="I194" i="29" s="1"/>
  <c r="J32" i="28"/>
  <c r="J40" i="7"/>
  <c r="J34" i="28" s="1"/>
  <c r="J65" i="28"/>
  <c r="V49" i="7"/>
  <c r="J186" i="28"/>
  <c r="L29" i="76"/>
  <c r="L30" i="76" s="1"/>
  <c r="J51" i="7"/>
  <c r="J55" i="28" s="1"/>
  <c r="J53" i="28"/>
  <c r="P80" i="7"/>
  <c r="J150" i="28" s="1"/>
  <c r="J130" i="28"/>
  <c r="J146" i="28"/>
  <c r="M80" i="7"/>
  <c r="J166" i="28" s="1"/>
  <c r="J133" i="28"/>
  <c r="O80" i="7"/>
  <c r="J153" i="28" s="1"/>
  <c r="N122" i="26"/>
  <c r="D255" i="26"/>
  <c r="U90" i="7"/>
  <c r="F80" i="7"/>
  <c r="J167" i="28" s="1"/>
  <c r="J147" i="28"/>
  <c r="E296" i="36" l="1"/>
  <c r="D296" i="36"/>
  <c r="K297" i="36"/>
  <c r="W38" i="7"/>
  <c r="J111" i="28"/>
  <c r="J105" i="28"/>
  <c r="V90" i="7"/>
  <c r="H255" i="26"/>
  <c r="W49" i="7"/>
  <c r="K65" i="28"/>
  <c r="X38" i="7" l="1"/>
  <c r="M45" i="28" s="1"/>
  <c r="M44" i="28" s="1"/>
  <c r="L45" i="28"/>
  <c r="L44" i="28" s="1"/>
  <c r="L297" i="36"/>
  <c r="C297" i="36" s="1"/>
  <c r="A297" i="36" s="1"/>
  <c r="B297" i="36" s="1"/>
  <c r="I297" i="36" s="1"/>
  <c r="X49" i="7"/>
  <c r="L65" i="28"/>
  <c r="W90" i="7"/>
  <c r="K105" i="28"/>
  <c r="Y38" i="7" l="1"/>
  <c r="N45" i="28" s="1"/>
  <c r="N44" i="28" s="1"/>
  <c r="F297" i="36"/>
  <c r="H297" i="36"/>
  <c r="G297" i="36"/>
  <c r="E297" i="36"/>
  <c r="D297" i="36"/>
  <c r="X90" i="7"/>
  <c r="L105" i="28"/>
  <c r="Z38" i="7"/>
  <c r="O45" i="28" s="1"/>
  <c r="O44" i="28" s="1"/>
  <c r="M65" i="28"/>
  <c r="Y49" i="7"/>
  <c r="N65" i="28" l="1"/>
  <c r="Z49" i="7"/>
  <c r="AA38" i="7"/>
  <c r="P45" i="28" s="1"/>
  <c r="P44" i="28" s="1"/>
  <c r="Y90" i="7"/>
  <c r="M105" i="28"/>
  <c r="N105" i="28" l="1"/>
  <c r="Z90" i="7"/>
  <c r="AB38" i="7"/>
  <c r="Q45" i="28" s="1"/>
  <c r="Q44" i="28" s="1"/>
  <c r="O65" i="28"/>
  <c r="AA49" i="7"/>
  <c r="AE38" i="7" l="1"/>
  <c r="T45" i="28" s="1"/>
  <c r="AC38" i="7"/>
  <c r="R45" i="28" s="1"/>
  <c r="R44" i="28" s="1"/>
  <c r="S44" i="28" s="1"/>
  <c r="T44" i="28" s="1"/>
  <c r="U44" i="28" s="1"/>
  <c r="V44" i="28" s="1"/>
  <c r="W44" i="28" s="1"/>
  <c r="X44" i="28" s="1"/>
  <c r="Y44" i="28" s="1"/>
  <c r="Z44" i="28" s="1"/>
  <c r="AA44" i="28" s="1"/>
  <c r="AB44" i="28" s="1"/>
  <c r="AC44" i="28" s="1"/>
  <c r="AD44" i="28" s="1"/>
  <c r="AE44" i="28" s="1"/>
  <c r="AF44" i="28" s="1"/>
  <c r="AG44" i="28" s="1"/>
  <c r="AH44" i="28" s="1"/>
  <c r="AI44" i="28" s="1"/>
  <c r="AJ44" i="28" s="1"/>
  <c r="AK44" i="28" s="1"/>
  <c r="AL44" i="28" s="1"/>
  <c r="AM44" i="28" s="1"/>
  <c r="AN44" i="28" s="1"/>
  <c r="AO44" i="28" s="1"/>
  <c r="AP44" i="28" s="1"/>
  <c r="AD38" i="7"/>
  <c r="S45" i="28" s="1"/>
  <c r="AM38" i="7"/>
  <c r="AB45" i="28" s="1"/>
  <c r="AW38" i="7" a="1"/>
  <c r="AW38" i="7" s="1"/>
  <c r="AL45" i="28" s="1"/>
  <c r="P65" i="28"/>
  <c r="AB49" i="7"/>
  <c r="AA90" i="7"/>
  <c r="O105" i="28"/>
  <c r="S30" i="28" l="1"/>
  <c r="T30" i="28"/>
  <c r="P105" i="28"/>
  <c r="AB90" i="7"/>
  <c r="Q65" i="28"/>
  <c r="AC49" i="7"/>
  <c r="R65" i="28" l="1"/>
  <c r="AD49" i="7"/>
  <c r="Q105" i="28"/>
  <c r="AC90" i="7"/>
  <c r="R105" i="28" l="1"/>
  <c r="AD90" i="7"/>
  <c r="AF38" i="7"/>
  <c r="U45" i="28" s="1"/>
  <c r="S65" i="28"/>
  <c r="AE49" i="7"/>
  <c r="T65" i="28" l="1"/>
  <c r="AF49" i="7"/>
  <c r="AG38" i="7"/>
  <c r="V45" i="28" s="1"/>
  <c r="AE90" i="7"/>
  <c r="S105" i="28"/>
  <c r="AF90" i="7" l="1"/>
  <c r="T105" i="28"/>
  <c r="AH38" i="7"/>
  <c r="W45" i="28" s="1"/>
  <c r="U65" i="28"/>
  <c r="AG49" i="7"/>
  <c r="AH49" i="7" l="1"/>
  <c r="V65" i="28"/>
  <c r="AI38" i="7"/>
  <c r="X45" i="28" s="1"/>
  <c r="AG90" i="7"/>
  <c r="U105" i="28"/>
  <c r="AH90" i="7" l="1"/>
  <c r="V105" i="28"/>
  <c r="AJ38" i="7"/>
  <c r="Y45" i="28" s="1"/>
  <c r="AI49" i="7"/>
  <c r="W65" i="28"/>
  <c r="X65" i="28" l="1"/>
  <c r="AJ49" i="7"/>
  <c r="AK38" i="7"/>
  <c r="Z45" i="28" s="1"/>
  <c r="W105" i="28"/>
  <c r="AI90" i="7"/>
  <c r="AJ90" i="7" l="1"/>
  <c r="X105" i="28"/>
  <c r="AL38" i="7"/>
  <c r="AA45" i="28" s="1"/>
  <c r="Y65" i="28"/>
  <c r="AK49" i="7"/>
  <c r="Z65" i="28" l="1"/>
  <c r="AL49" i="7"/>
  <c r="Y105" i="28"/>
  <c r="AK90" i="7"/>
  <c r="AL90" i="7" l="1"/>
  <c r="Z105" i="28"/>
  <c r="AN38" i="7"/>
  <c r="AC45" i="28" s="1"/>
  <c r="AA65" i="28"/>
  <c r="AM49" i="7"/>
  <c r="AB65" i="28" l="1"/>
  <c r="AN49" i="7"/>
  <c r="AO38" i="7"/>
  <c r="AD45" i="28" s="1"/>
  <c r="AA105" i="28"/>
  <c r="AM90" i="7"/>
  <c r="AB105" i="28" l="1"/>
  <c r="AN90" i="7"/>
  <c r="AP38" i="7"/>
  <c r="AE45" i="28" s="1"/>
  <c r="AO49" i="7"/>
  <c r="AC65" i="28"/>
  <c r="AP49" i="7" l="1"/>
  <c r="AD65" i="28"/>
  <c r="AQ38" i="7"/>
  <c r="AF45" i="28" s="1"/>
  <c r="AO90" i="7"/>
  <c r="AC105" i="28"/>
  <c r="AD105" i="28" l="1"/>
  <c r="AP90" i="7"/>
  <c r="AR38" i="7"/>
  <c r="AG45" i="28" s="1"/>
  <c r="AE65" i="28"/>
  <c r="AQ49" i="7"/>
  <c r="AR49" i="7" l="1"/>
  <c r="AF65" i="28"/>
  <c r="AS38" i="7"/>
  <c r="AH45" i="28" s="1"/>
  <c r="AE105" i="28"/>
  <c r="AQ90" i="7"/>
  <c r="AF105" i="28" l="1"/>
  <c r="AR90" i="7"/>
  <c r="AT38" i="7"/>
  <c r="AI45" i="28" s="1"/>
  <c r="AG65" i="28"/>
  <c r="AS49" i="7"/>
  <c r="AT49" i="7" l="1"/>
  <c r="AH65" i="28"/>
  <c r="AU38" i="7"/>
  <c r="AJ45" i="28" s="1"/>
  <c r="AG105" i="28"/>
  <c r="AS90" i="7"/>
  <c r="AH105" i="28" l="1"/>
  <c r="AT90" i="7"/>
  <c r="AV38" i="7"/>
  <c r="AK45" i="28" s="1"/>
  <c r="AI65" i="28"/>
  <c r="AU49" i="7"/>
  <c r="AV49" i="7" l="1"/>
  <c r="AJ65" i="28"/>
  <c r="AU90" i="7"/>
  <c r="AI105" i="28"/>
  <c r="AJ105" i="28" l="1"/>
  <c r="AV90" i="7"/>
  <c r="AX38" i="7"/>
  <c r="AM45" i="28" s="1"/>
  <c r="AK65" i="28"/>
  <c r="AW49" i="7"/>
  <c r="AX49" i="7" l="1"/>
  <c r="AL65" i="28"/>
  <c r="AY38" i="7"/>
  <c r="AN45" i="28" s="1"/>
  <c r="AW90" i="7"/>
  <c r="AK105" i="28"/>
  <c r="AL105" i="28" l="1"/>
  <c r="AX90" i="7"/>
  <c r="AZ38" i="7"/>
  <c r="AO45" i="28" s="1"/>
  <c r="AM65" i="28"/>
  <c r="AY49" i="7"/>
  <c r="AY90" i="7" l="1"/>
  <c r="AM105" i="28"/>
  <c r="AN65" i="28"/>
  <c r="AZ49" i="7"/>
  <c r="BA38" i="7"/>
  <c r="AP45" i="28" s="1"/>
  <c r="AZ90" i="7" l="1"/>
  <c r="AN105" i="28"/>
  <c r="AO65" i="28"/>
  <c r="BA49" i="7"/>
  <c r="AP65" i="28" s="1"/>
  <c r="BA90" i="7" l="1"/>
  <c r="AP105" i="28" s="1"/>
  <c r="AO105" i="28"/>
  <c r="J87" i="28"/>
  <c r="J30" i="72" s="1"/>
  <c r="K87" i="28" l="1"/>
  <c r="L87" i="28" s="1"/>
  <c r="M87" i="28" s="1"/>
  <c r="N87" i="28" s="1"/>
  <c r="O87" i="28" s="1"/>
  <c r="N141" i="26" l="1"/>
  <c r="T102" i="7" s="1"/>
  <c r="J125" i="28" s="1"/>
  <c r="T90" i="7"/>
  <c r="J104" i="28" s="1"/>
  <c r="F102" i="7"/>
  <c r="J127" i="28" s="1"/>
  <c r="N14" i="26"/>
  <c r="F30" i="80"/>
  <c r="F48" i="80"/>
  <c r="H31" i="26"/>
  <c r="D32" i="26" s="1"/>
  <c r="N124" i="26" l="1"/>
  <c r="G174" i="7" s="1"/>
  <c r="S174" i="7" s="1"/>
  <c r="J194" i="28" s="1"/>
  <c r="D33" i="26"/>
  <c r="S173" i="7" s="1"/>
  <c r="Z160" i="7"/>
  <c r="J193" i="28"/>
  <c r="AA160" i="7"/>
  <c r="AC160" i="7"/>
  <c r="T174" i="7"/>
  <c r="J195" i="28" s="1"/>
  <c r="AB160" i="7"/>
  <c r="X161" i="7"/>
  <c r="Y161" i="7" s="1"/>
  <c r="Z161" i="7" s="1"/>
  <c r="AA161" i="7" s="1"/>
  <c r="V160" i="7"/>
  <c r="X160" i="7"/>
  <c r="Y160" i="7"/>
  <c r="R13" i="80"/>
  <c r="S13" i="80" s="1"/>
  <c r="H32" i="80"/>
  <c r="H30" i="80"/>
  <c r="K47" i="80" s="1"/>
  <c r="F50" i="80"/>
  <c r="H49" i="80"/>
  <c r="R16" i="80"/>
  <c r="S15" i="80" s="1"/>
  <c r="K38" i="80"/>
  <c r="K39" i="80" s="1"/>
  <c r="G173" i="7"/>
  <c r="D35" i="26"/>
  <c r="D37" i="26" s="1"/>
  <c r="F48" i="1"/>
  <c r="D98" i="26"/>
  <c r="G98" i="26"/>
  <c r="D101" i="26"/>
  <c r="D30" i="26"/>
  <c r="H32" i="26" s="1"/>
  <c r="O13" i="26"/>
  <c r="Y163" i="7" l="1"/>
  <c r="X163" i="7"/>
  <c r="R13" i="1"/>
  <c r="S13" i="1" s="1"/>
  <c r="R16" i="1"/>
  <c r="S15" i="1" s="1"/>
  <c r="H49" i="1"/>
  <c r="K38" i="1"/>
  <c r="K39" i="1" s="1"/>
  <c r="F50" i="1"/>
  <c r="D41" i="26"/>
  <c r="D42" i="26" s="1"/>
  <c r="D47" i="26"/>
  <c r="D48" i="26" s="1"/>
  <c r="D44" i="26"/>
  <c r="J191" i="28"/>
  <c r="T173" i="7"/>
  <c r="J192" i="28" s="1"/>
  <c r="J190" i="28"/>
  <c r="AA163" i="7"/>
  <c r="AC161" i="7"/>
  <c r="AC163" i="7" s="1"/>
  <c r="AB161" i="7"/>
  <c r="AB163" i="7" s="1"/>
  <c r="R22" i="80"/>
  <c r="D60" i="80"/>
  <c r="D61" i="80" s="1"/>
  <c r="R25" i="80" s="1"/>
  <c r="S24" i="80" s="1"/>
  <c r="Z163" i="7"/>
  <c r="D46" i="26" l="1"/>
  <c r="M18" i="26" s="1"/>
  <c r="M17" i="26"/>
  <c r="K17" i="26" s="1"/>
  <c r="M19" i="26"/>
  <c r="K19" i="26" s="1"/>
  <c r="D68" i="26"/>
  <c r="D69" i="26" s="1"/>
  <c r="T19" i="26" l="1"/>
  <c r="O19" i="26"/>
  <c r="R17" i="26" s="1"/>
  <c r="N94" i="26"/>
  <c r="N100" i="26" s="1"/>
  <c r="N93" i="26"/>
  <c r="N99" i="26" s="1"/>
  <c r="M20" i="26"/>
  <c r="T20" i="26" s="1"/>
  <c r="T17" i="26"/>
  <c r="O17" i="26"/>
  <c r="M35" i="26"/>
  <c r="D115" i="26"/>
  <c r="D118" i="26" s="1"/>
  <c r="N57" i="26" s="1"/>
  <c r="T18" i="26"/>
  <c r="O18" i="26"/>
  <c r="R19" i="26" l="1"/>
  <c r="R20" i="26"/>
  <c r="N40" i="26"/>
  <c r="N41" i="26"/>
  <c r="N128" i="26" s="1"/>
  <c r="N43" i="26"/>
  <c r="N37" i="26"/>
  <c r="N39" i="26"/>
  <c r="U35" i="26"/>
  <c r="P90" i="7"/>
  <c r="J86" i="28" s="1"/>
  <c r="N145" i="26"/>
  <c r="D257" i="26"/>
  <c r="N42" i="26"/>
  <c r="O23" i="26"/>
  <c r="O20" i="26"/>
  <c r="N102" i="26"/>
  <c r="O25" i="26" l="1"/>
  <c r="N53" i="26" s="1"/>
  <c r="H257" i="26"/>
  <c r="P102" i="7"/>
  <c r="J107" i="28" s="1"/>
  <c r="U40" i="26"/>
  <c r="U41" i="26"/>
  <c r="U39" i="26"/>
  <c r="U43" i="26"/>
  <c r="U37" i="26"/>
  <c r="J92" i="7"/>
  <c r="J94" i="28" s="1"/>
  <c r="N130" i="26"/>
  <c r="J104" i="7" s="1"/>
  <c r="J115" i="28" s="1"/>
  <c r="U42" i="26"/>
  <c r="J90" i="7"/>
  <c r="J92" i="28" s="1"/>
  <c r="N126" i="26"/>
  <c r="G90" i="7"/>
  <c r="J91" i="28" s="1"/>
  <c r="D256" i="26"/>
  <c r="N123" i="26"/>
  <c r="J93" i="7"/>
  <c r="J95" i="28" s="1"/>
  <c r="N129" i="26"/>
  <c r="J105" i="7" s="1"/>
  <c r="J116" i="28" s="1"/>
  <c r="N127" i="26"/>
  <c r="J103" i="7" s="1"/>
  <c r="J91" i="7"/>
  <c r="J93" i="28" s="1"/>
  <c r="R12" i="26" l="1"/>
  <c r="R14" i="26" s="1"/>
  <c r="S90" i="7"/>
  <c r="J103" i="28" s="1"/>
  <c r="N140" i="26"/>
  <c r="S102" i="7" s="1"/>
  <c r="J124" i="28" s="1"/>
  <c r="N147" i="26"/>
  <c r="N149" i="26"/>
  <c r="J102" i="7"/>
  <c r="J113" i="28" s="1"/>
  <c r="H256" i="26"/>
  <c r="G102" i="7"/>
  <c r="J112" i="28" s="1"/>
  <c r="J114" i="28" l="1"/>
  <c r="R54" i="26"/>
  <c r="N59" i="26"/>
  <c r="D260" i="26" s="1"/>
  <c r="N58" i="26"/>
  <c r="D259" i="26" s="1"/>
  <c r="R55" i="26" l="1"/>
  <c r="I90" i="7"/>
  <c r="J88" i="28" s="1"/>
  <c r="K88" i="28" l="1"/>
  <c r="L88" i="28" s="1"/>
  <c r="M88" i="28" s="1"/>
  <c r="N88" i="28" s="1"/>
  <c r="O88" i="28" s="1"/>
  <c r="J31" i="72"/>
  <c r="X31" i="72" s="1"/>
  <c r="Q88" i="28"/>
  <c r="Q87" i="28"/>
  <c r="R87" i="28" s="1"/>
  <c r="S87" i="28" s="1"/>
  <c r="T87" i="28" s="1"/>
  <c r="U87" i="28" s="1"/>
  <c r="V87" i="28" s="1"/>
  <c r="W87" i="28" s="1"/>
  <c r="X87" i="28" s="1"/>
  <c r="Y87" i="28" s="1"/>
  <c r="Z87" i="28" s="1"/>
  <c r="AA87" i="28" s="1"/>
  <c r="AB87" i="28" s="1"/>
  <c r="R88" i="28" l="1"/>
  <c r="S88" i="28" s="1"/>
  <c r="T88" i="28" s="1"/>
  <c r="U88" i="28" s="1"/>
  <c r="V88" i="28" s="1"/>
  <c r="W88" i="28" s="1"/>
  <c r="X88" i="28" s="1"/>
  <c r="Y88" i="28" s="1"/>
  <c r="Z88" i="28" s="1"/>
  <c r="AA88" i="28" s="1"/>
  <c r="AB88" i="28" s="1"/>
  <c r="E228" i="26" l="1"/>
  <c r="E229" i="26" l="1"/>
  <c r="D223" i="26" s="1"/>
  <c r="N231" i="26" s="1"/>
  <c r="E216" i="26"/>
  <c r="E207" i="26"/>
  <c r="N218" i="26" s="1"/>
  <c r="D222" i="26"/>
  <c r="N230" i="26" s="1"/>
  <c r="D224" i="26"/>
  <c r="N232" i="26" s="1"/>
  <c r="D227" i="26"/>
  <c r="N235" i="26" s="1"/>
  <c r="D228" i="26"/>
  <c r="N236" i="26" s="1"/>
  <c r="D225" i="26"/>
  <c r="N233" i="26" s="1"/>
  <c r="D226" i="26"/>
  <c r="N234" i="26" s="1"/>
  <c r="K74" i="7" l="1"/>
  <c r="K84" i="7"/>
  <c r="K87" i="7"/>
  <c r="K77" i="7"/>
  <c r="K86" i="7"/>
  <c r="K76" i="7"/>
  <c r="K78" i="7"/>
  <c r="J143" i="28" s="1"/>
  <c r="K88" i="7"/>
  <c r="J163" i="28" s="1"/>
  <c r="K75" i="7"/>
  <c r="J140" i="28" s="1"/>
  <c r="K85" i="7"/>
  <c r="J160" i="28" s="1"/>
  <c r="K83" i="7"/>
  <c r="K73" i="7"/>
  <c r="U232" i="26"/>
  <c r="N217" i="26"/>
  <c r="N237" i="26" s="1"/>
  <c r="AG232" i="26"/>
  <c r="D204" i="26"/>
  <c r="J141" i="28" l="1"/>
  <c r="J161" i="28"/>
  <c r="J142" i="28"/>
  <c r="J162" i="28"/>
  <c r="J159" i="28"/>
  <c r="J139" i="28"/>
  <c r="E204" i="26"/>
  <c r="E208" i="26" s="1"/>
  <c r="G208" i="26" s="1"/>
  <c r="D208" i="26" s="1"/>
  <c r="N206" i="26"/>
  <c r="N226" i="26" s="1"/>
  <c r="N205" i="26" l="1"/>
  <c r="J62" i="7"/>
  <c r="J75" i="28" s="1"/>
  <c r="N208" i="26"/>
  <c r="G207" i="26"/>
  <c r="D207" i="26" s="1"/>
  <c r="J72" i="7"/>
  <c r="J138" i="28" s="1"/>
  <c r="J82" i="7"/>
  <c r="J158" i="28" s="1"/>
  <c r="G216" i="26"/>
  <c r="G211" i="26"/>
  <c r="G213" i="26"/>
  <c r="G214" i="26"/>
  <c r="G215" i="26"/>
  <c r="G212" i="26"/>
  <c r="G60" i="7"/>
  <c r="J72" i="28" s="1"/>
  <c r="G256" i="26"/>
  <c r="N228" i="26"/>
  <c r="G210" i="26" l="1"/>
  <c r="N204" i="26"/>
  <c r="N225" i="26"/>
  <c r="J61" i="7"/>
  <c r="J74" i="28" s="1"/>
  <c r="J256" i="26"/>
  <c r="G70" i="7"/>
  <c r="D214" i="26"/>
  <c r="J80" i="28" s="1"/>
  <c r="D212" i="26"/>
  <c r="D211" i="26"/>
  <c r="J77" i="28" s="1"/>
  <c r="D216" i="26"/>
  <c r="D213" i="26"/>
  <c r="J79" i="28" s="1"/>
  <c r="D215" i="26"/>
  <c r="J78" i="28" s="1"/>
  <c r="J71" i="7" l="1"/>
  <c r="J81" i="7"/>
  <c r="J60" i="7"/>
  <c r="J73" i="28" s="1"/>
  <c r="N224" i="26"/>
  <c r="J76" i="28"/>
  <c r="J81" i="28"/>
  <c r="U60" i="7"/>
  <c r="G255" i="26"/>
  <c r="J135" i="28"/>
  <c r="G80" i="7"/>
  <c r="J155" i="28" s="1"/>
  <c r="J157" i="28" l="1"/>
  <c r="J137" i="28"/>
  <c r="N245" i="26"/>
  <c r="J260" i="26" s="1"/>
  <c r="N244" i="26"/>
  <c r="J259" i="26" s="1"/>
  <c r="J80" i="7"/>
  <c r="J70" i="7" s="1"/>
  <c r="J136" i="28" s="1"/>
  <c r="J84" i="28"/>
  <c r="V60" i="7"/>
  <c r="J156" i="28" l="1"/>
  <c r="W60" i="7"/>
  <c r="K84" i="28"/>
  <c r="X60" i="7" l="1"/>
  <c r="L84" i="28"/>
  <c r="Y60" i="7" l="1"/>
  <c r="M84" i="28"/>
  <c r="Z60" i="7" l="1"/>
  <c r="N84" i="28"/>
  <c r="AA60" i="7" l="1"/>
  <c r="O84" i="28"/>
  <c r="P84" i="28" l="1"/>
  <c r="AB60" i="7"/>
  <c r="AC60" i="7" l="1"/>
  <c r="Q84" i="28"/>
  <c r="AD60" i="7" l="1"/>
  <c r="R84" i="28"/>
  <c r="AE60" i="7" l="1"/>
  <c r="S84" i="28"/>
  <c r="AF60" i="7" l="1"/>
  <c r="T84" i="28"/>
  <c r="AG60" i="7" l="1"/>
  <c r="U84" i="28"/>
  <c r="V84" i="28" l="1"/>
  <c r="AH60" i="7"/>
  <c r="AI60" i="7" l="1"/>
  <c r="W84" i="28"/>
  <c r="AJ60" i="7" l="1"/>
  <c r="X84" i="28"/>
  <c r="AK60" i="7" l="1"/>
  <c r="Y84" i="28"/>
  <c r="AL60" i="7" l="1"/>
  <c r="Z84" i="28"/>
  <c r="AM60" i="7" l="1"/>
  <c r="AB84" i="28" s="1"/>
  <c r="AA84" i="28"/>
  <c r="U217" i="26" l="1"/>
  <c r="U227" i="26" s="1"/>
  <c r="T227" i="26" s="1"/>
  <c r="T228" i="26" s="1"/>
  <c r="U228" i="26" s="1"/>
  <c r="U216" i="26"/>
  <c r="AB324" i="28" l="1" a="1"/>
  <c r="AB324" i="28" s="1"/>
  <c r="AB309" i="28" a="1"/>
  <c r="AB309" i="28" s="1"/>
  <c r="H16" i="79"/>
  <c r="I16" i="79" s="1"/>
  <c r="AG309" i="28" a="1"/>
  <c r="AG309" i="28" s="1"/>
  <c r="J16" i="79" l="1"/>
  <c r="I17" i="79"/>
  <c r="AL324" i="28" s="1" a="1"/>
  <c r="AL324" i="28" s="1"/>
  <c r="AL309" i="28" a="1"/>
  <c r="AL309" i="28" s="1"/>
  <c r="H17" i="79"/>
  <c r="AG324" i="28" s="1" a="1"/>
  <c r="AG324" i="28" s="1"/>
  <c r="AN309" i="28" l="1" a="1"/>
  <c r="AN309" i="28" s="1"/>
  <c r="J17" i="79"/>
  <c r="AN324" i="28" s="1" a="1"/>
  <c r="AN324" i="28" s="1"/>
  <c r="AB12" i="92" l="1" a="1"/>
  <c r="AB12" i="92" s="1"/>
  <c r="R12" i="92" a="1"/>
  <c r="R12" i="92" s="1"/>
  <c r="D119" i="94"/>
  <c r="D122" i="94" s="1"/>
  <c r="D123" i="94" s="1"/>
  <c r="G16" i="94"/>
  <c r="R13" i="92" a="1"/>
  <c r="R13" i="92" s="1"/>
  <c r="E119" i="94" l="1"/>
  <c r="E122" i="94" s="1"/>
  <c r="E123" i="94" s="1"/>
  <c r="H16" i="94"/>
  <c r="AB13" i="92" s="1" a="1"/>
  <c r="AB13" i="92" s="1"/>
  <c r="AG12" i="92" a="1"/>
  <c r="AG12" i="92" s="1"/>
  <c r="P15" i="94"/>
  <c r="I16" i="94"/>
  <c r="AG13" i="92" s="1" a="1"/>
  <c r="AG13" i="92" s="1"/>
  <c r="O15" i="94"/>
  <c r="Q15" i="94" l="1"/>
  <c r="J16" i="94"/>
  <c r="AL13" i="92" s="1" a="1"/>
  <c r="AL13" i="92" s="1"/>
  <c r="AL12" i="92" a="1"/>
  <c r="AL12" i="92" s="1"/>
  <c r="F119" i="94"/>
  <c r="F122" i="94" s="1"/>
  <c r="F123" i="94" s="1"/>
  <c r="AN12" i="92" l="1" a="1"/>
  <c r="AN12" i="92" s="1"/>
  <c r="K16" i="94"/>
  <c r="L15" i="94"/>
  <c r="M15" i="94" s="1"/>
  <c r="R15" i="94"/>
  <c r="AO12" i="92" l="1" a="1"/>
  <c r="AO12" i="92" s="1"/>
  <c r="AP12" i="92" a="1"/>
  <c r="AP12" i="92" s="1"/>
  <c r="AN13" i="92" a="1"/>
  <c r="AN13" i="92" s="1"/>
  <c r="L16" i="94"/>
  <c r="M16" i="94" l="1"/>
  <c r="AP13" i="92" s="1" a="1"/>
  <c r="AP13" i="92" s="1"/>
  <c r="AO13" i="92" a="1"/>
  <c r="AO13" i="92" s="1"/>
  <c r="X3" i="19" l="1"/>
  <c r="W3" i="19"/>
  <c r="V3" i="19"/>
  <c r="U3" i="19" s="1"/>
  <c r="W4" i="19"/>
  <c r="X4" i="19"/>
  <c r="V4" i="19"/>
  <c r="B15" i="19" l="1"/>
  <c r="B14" i="19" s="1"/>
  <c r="F52" i="40"/>
  <c r="U4" i="19"/>
  <c r="T3" i="19"/>
  <c r="T4" i="19" l="1"/>
  <c r="S3" i="19"/>
  <c r="R3" i="19" l="1"/>
  <c r="S4" i="19"/>
  <c r="Q3" i="19" l="1"/>
  <c r="R4" i="19"/>
  <c r="D58" i="40" s="1"/>
  <c r="D60" i="40" s="1"/>
  <c r="D61" i="40" s="1"/>
  <c r="P3" i="19" l="1"/>
  <c r="Q4" i="19"/>
  <c r="O3" i="19" l="1"/>
  <c r="P4" i="19"/>
  <c r="O4" i="19" l="1"/>
  <c r="N3" i="19"/>
  <c r="M3" i="19" l="1"/>
  <c r="N4" i="19"/>
  <c r="D96" i="26"/>
  <c r="D218" i="26" l="1"/>
  <c r="N219" i="26" s="1"/>
  <c r="D193" i="26"/>
  <c r="N196" i="26" s="1"/>
  <c r="D133" i="26"/>
  <c r="N144" i="26" s="1"/>
  <c r="D113" i="26"/>
  <c r="N87" i="26" s="1"/>
  <c r="D172" i="26"/>
  <c r="N173" i="26" s="1"/>
  <c r="M4" i="19"/>
  <c r="L3" i="19"/>
  <c r="K3" i="19" l="1"/>
  <c r="L4" i="19"/>
  <c r="P114" i="7"/>
  <c r="J170" i="28" s="1"/>
  <c r="N201" i="26"/>
  <c r="I260" i="26" s="1"/>
  <c r="I257" i="26"/>
  <c r="N200" i="26"/>
  <c r="I259" i="26" s="1"/>
  <c r="N175" i="26"/>
  <c r="F260" i="26" s="1"/>
  <c r="N174" i="26"/>
  <c r="F259" i="26" s="1"/>
  <c r="P38" i="7"/>
  <c r="J26" i="28" s="1"/>
  <c r="F257" i="26"/>
  <c r="N89" i="26"/>
  <c r="E260" i="26" s="1"/>
  <c r="N88" i="26"/>
  <c r="P49" i="7"/>
  <c r="J47" i="28" s="1"/>
  <c r="E257" i="26"/>
  <c r="N150" i="26"/>
  <c r="H260" i="26" s="1"/>
  <c r="H258" i="26"/>
  <c r="M102" i="7"/>
  <c r="N148" i="26"/>
  <c r="H259" i="26" s="1"/>
  <c r="N221" i="26"/>
  <c r="G260" i="26" s="1"/>
  <c r="N220" i="26"/>
  <c r="G259" i="26" s="1"/>
  <c r="P60" i="7"/>
  <c r="J67" i="28" s="1"/>
  <c r="G257" i="26"/>
  <c r="E259" i="26" l="1"/>
  <c r="O88" i="26"/>
  <c r="L33" i="76"/>
  <c r="L35" i="76" s="1"/>
  <c r="J126" i="28"/>
  <c r="J3" i="19"/>
  <c r="K4" i="19"/>
  <c r="I3" i="19" l="1"/>
  <c r="J4" i="19"/>
  <c r="I4" i="19" l="1"/>
  <c r="H3" i="19"/>
  <c r="H4" i="19" l="1"/>
  <c r="G3" i="19"/>
  <c r="G4" i="19" l="1"/>
  <c r="F3" i="19"/>
  <c r="E3" i="19" l="1"/>
  <c r="F4" i="19"/>
  <c r="D3" i="19" l="1"/>
  <c r="E4" i="19"/>
  <c r="C3" i="19" l="1"/>
  <c r="D4" i="19"/>
  <c r="B3" i="19" l="1"/>
  <c r="B4" i="19" s="1"/>
  <c r="C4"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I2" authorId="0" shapeId="0" xr:uid="{00000000-0006-0000-0000-000001000000}">
      <text>
        <r>
          <rPr>
            <sz val="9"/>
            <color indexed="81"/>
            <rFont val="Tahoma"/>
            <family val="2"/>
          </rPr>
          <t xml:space="preserve">Always selected
</t>
        </r>
      </text>
    </comment>
    <comment ref="J2" authorId="0" shapeId="0" xr:uid="{00000000-0006-0000-0000-000002000000}">
      <text>
        <r>
          <rPr>
            <sz val="9"/>
            <color indexed="81"/>
            <rFont val="Tahoma"/>
            <family val="2"/>
          </rPr>
          <t>Always selected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00000000-0006-0000-0100-000001000000}">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tc={77BB5465-28E6-45DB-B821-62C01E7D0C4F}</author>
    <author>Gregory</author>
    <author>Fadiel Ahjum</author>
    <author>01418624</author>
    <author>tc={1042885E-3091-434D-A470-C7D1F540DEFA}</author>
  </authors>
  <commentList>
    <comment ref="AI1" authorId="0" shapeId="0" xr:uid="{00000000-0006-0000-0200-000001000000}">
      <text>
        <r>
          <rPr>
            <b/>
            <sz val="9"/>
            <color indexed="81"/>
            <rFont val="Tahoma"/>
            <family val="2"/>
          </rPr>
          <t>bruno merven:</t>
        </r>
        <r>
          <rPr>
            <sz val="9"/>
            <color indexed="81"/>
            <rFont val="Tahoma"/>
            <family val="2"/>
          </rPr>
          <t xml:space="preserve">
This relates to distribution infrastructure. Need to populate this properly</t>
        </r>
      </text>
    </comment>
    <comment ref="AY12" authorId="1" shapeId="0" xr:uid="{77BB5465-28E6-45DB-B821-62C01E7D0C4F}">
      <text>
        <t>[Threaded comment]
Your version of Excel allows you to read this threaded comment; however, any edits to it will get removed if the file is opened in a newer version of Excel. Learn more: https://go.microsoft.com/fwlink/?linkid=870924
Comment:
    Accounted for in process emissions</t>
      </text>
    </comment>
    <comment ref="N16" authorId="2" shapeId="0" xr:uid="{00000000-0006-0000-0200-000002000000}">
      <text>
        <r>
          <rPr>
            <b/>
            <sz val="9"/>
            <color indexed="81"/>
            <rFont val="Tahoma"/>
            <family val="2"/>
          </rPr>
          <t>Gregory:</t>
        </r>
        <r>
          <rPr>
            <sz val="9"/>
            <color indexed="81"/>
            <rFont val="Tahoma"/>
            <family val="2"/>
          </rPr>
          <t xml:space="preserve">
Updated losses to NERSA 2012 numbers included in TIME_SLICES_10
</t>
        </r>
      </text>
    </comment>
    <comment ref="P16" authorId="3" shapeId="0" xr:uid="{00000000-0006-0000-0200-000003000000}">
      <text>
        <r>
          <rPr>
            <b/>
            <sz val="9"/>
            <color indexed="81"/>
            <rFont val="Tahoma"/>
            <family val="2"/>
          </rPr>
          <t>Fadiel Ahjum:</t>
        </r>
        <r>
          <rPr>
            <sz val="9"/>
            <color indexed="81"/>
            <rFont val="Tahoma"/>
            <family val="2"/>
          </rPr>
          <t xml:space="preserve">
If full sector then efficiency =1 (i.e ETRANS &amp; subsector Dx); otherwise set to aggregated industry value.</t>
        </r>
      </text>
    </comment>
    <comment ref="AI16" authorId="0" shapeId="0" xr:uid="{00000000-0006-0000-0200-000004000000}">
      <text>
        <r>
          <rPr>
            <b/>
            <sz val="9"/>
            <color indexed="81"/>
            <rFont val="Tahoma"/>
            <family val="2"/>
          </rPr>
          <t>bruno merven:</t>
        </r>
        <r>
          <rPr>
            <sz val="9"/>
            <color indexed="81"/>
            <rFont val="Tahoma"/>
            <family val="2"/>
          </rPr>
          <t xml:space="preserve">
Rough estimates based IRENA SAPP report.</t>
        </r>
      </text>
    </comment>
    <comment ref="AC18" authorId="4" shapeId="0" xr:uid="{00000000-0006-0000-0200-000005000000}">
      <text>
        <r>
          <rPr>
            <b/>
            <sz val="9"/>
            <color indexed="81"/>
            <rFont val="Tahoma"/>
            <family val="2"/>
          </rPr>
          <t>01418624:</t>
        </r>
        <r>
          <rPr>
            <sz val="9"/>
            <color indexed="81"/>
            <rFont val="Tahoma"/>
            <family val="2"/>
          </rPr>
          <t xml:space="preserve">
According to P. Dodds and W.Mcdowall, distribution pipelines have a life time of 60 years. which is slightly lower than the transmission pipelines due to disruptions that might occur near buildings when repairs are done. </t>
        </r>
      </text>
    </comment>
    <comment ref="AD18" authorId="4" shapeId="0" xr:uid="{00000000-0006-0000-0200-000006000000}">
      <text>
        <r>
          <rPr>
            <b/>
            <sz val="9"/>
            <color indexed="81"/>
            <rFont val="Tahoma"/>
            <family val="2"/>
          </rPr>
          <t>01418624:</t>
        </r>
        <r>
          <rPr>
            <sz val="9"/>
            <color indexed="81"/>
            <rFont val="Tahoma"/>
            <family val="2"/>
          </rPr>
          <t xml:space="preserve">
Since industry can get gas from transmission and distruution network, its life may be longer than the residential and commercial sectors hence the assumed lifetime of 70 years</t>
        </r>
      </text>
    </comment>
    <comment ref="AG18" authorId="4" shapeId="0" xr:uid="{00000000-0006-0000-0200-000007000000}">
      <text>
        <r>
          <rPr>
            <b/>
            <sz val="9"/>
            <color indexed="81"/>
            <rFont val="Tahoma"/>
            <family val="2"/>
          </rPr>
          <t>Senatla:</t>
        </r>
        <r>
          <rPr>
            <sz val="9"/>
            <color indexed="81"/>
            <rFont val="Tahoma"/>
            <family val="2"/>
          </rPr>
          <t xml:space="preserve">
According to P. Dodds and W.Mcdowall, new transmission gas pipelines can last up to 80 years. The fact that most of these pipelines are still to be built it is found reasonable to assume an average life of 80 for these sectors</t>
        </r>
      </text>
    </comment>
    <comment ref="AJ20" authorId="4" shapeId="0" xr:uid="{00000000-0006-0000-0200-000008000000}">
      <text>
        <r>
          <rPr>
            <b/>
            <sz val="9"/>
            <color indexed="81"/>
            <rFont val="Tahoma"/>
            <family val="2"/>
          </rPr>
          <t>01418624:</t>
        </r>
        <r>
          <rPr>
            <sz val="9"/>
            <color indexed="81"/>
            <rFont val="Tahoma"/>
            <family val="2"/>
          </rPr>
          <t xml:space="preserve">
this estimate was derived from Western Cape LNG importation Feasibility Study</t>
        </r>
      </text>
    </comment>
    <comment ref="AY26" authorId="5" shapeId="0" xr:uid="{1042885E-3091-434D-A470-C7D1F540DEFA}">
      <text>
        <t>[Threaded comment]
Your version of Excel allows you to read this threaded comment; however, any edits to it will get removed if the file is opened in a newer version of Excel. Learn more: https://go.microsoft.com/fwlink/?linkid=870924
Comment:
    Accounted for on Technology</t>
      </text>
    </comment>
    <comment ref="AY44" authorId="3" shapeId="0" xr:uid="{00000000-0006-0000-0200-000009000000}">
      <text>
        <r>
          <rPr>
            <b/>
            <sz val="9"/>
            <color indexed="81"/>
            <rFont val="Tahoma"/>
            <family val="2"/>
          </rPr>
          <t xml:space="preserve">Fadiel Ahjum:
</t>
        </r>
        <r>
          <rPr>
            <sz val="9"/>
            <color indexed="81"/>
            <rFont val="Tahoma"/>
            <family val="2"/>
          </rPr>
          <t>IPCC default EF for municipal waste (non biomass fraction)</t>
        </r>
      </text>
    </comment>
    <comment ref="BB44" authorId="3" shapeId="0" xr:uid="{00000000-0006-0000-0200-00000A000000}">
      <text>
        <r>
          <rPr>
            <b/>
            <sz val="9"/>
            <color indexed="81"/>
            <rFont val="Tahoma"/>
            <family val="2"/>
          </rPr>
          <t>Fadiel Ahjum:</t>
        </r>
        <r>
          <rPr>
            <sz val="9"/>
            <color indexed="81"/>
            <rFont val="Tahoma"/>
            <family val="2"/>
          </rPr>
          <t xml:space="preserve">
using HFO values from here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U8" authorId="0" shapeId="0" xr:uid="{00000000-0006-0000-0400-000001000000}">
      <text>
        <r>
          <rPr>
            <b/>
            <sz val="9"/>
            <color indexed="81"/>
            <rFont val="Tahoma"/>
            <family val="2"/>
          </rPr>
          <t>bruno merven:</t>
        </r>
        <r>
          <rPr>
            <sz val="9"/>
            <color indexed="81"/>
            <rFont val="Tahoma"/>
            <family val="2"/>
          </rPr>
          <t xml:space="preserve">
moved from prodction to import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ESAP PC</author>
    <author>tc={5ED86893-4688-47A2-AAA7-A0415B249DED}</author>
    <author>bruno merven</author>
  </authors>
  <commentList>
    <comment ref="E6" authorId="0" shapeId="0" xr:uid="{00000000-0006-0000-0500-000001000000}">
      <text>
        <r>
          <rPr>
            <b/>
            <sz val="9"/>
            <color indexed="81"/>
            <rFont val="Tahoma"/>
            <family val="2"/>
          </rPr>
          <t>fadiel:</t>
        </r>
        <r>
          <rPr>
            <sz val="9"/>
            <color indexed="81"/>
            <rFont val="Tahoma"/>
            <family val="2"/>
          </rPr>
          <t xml:space="preserve">
thumbsuck
</t>
        </r>
      </text>
    </comment>
    <comment ref="X8" authorId="1" shapeId="0" xr:uid="{00000000-0006-0000-0500-000002000000}">
      <text>
        <r>
          <rPr>
            <b/>
            <sz val="8"/>
            <color indexed="81"/>
            <rFont val="Tahoma"/>
            <family val="2"/>
          </rPr>
          <t>fadiel:</t>
        </r>
        <r>
          <rPr>
            <sz val="8"/>
            <color indexed="81"/>
            <rFont val="Tahoma"/>
            <family val="2"/>
          </rPr>
          <t xml:space="preserve">
infes in base year crude oil supply. Model has higher demand than historical demand in base year due to lower economic activity.</t>
        </r>
      </text>
    </comment>
    <comment ref="AE8" authorId="2" shapeId="0" xr:uid="{5ED86893-4688-47A2-AAA7-A0415B249DED}">
      <text>
        <t>[Threaded comment]
Your version of Excel allows you to read this threaded comment; however, any edits to it will get removed if the file is opened in a newer version of Excel. Learn more: https://go.microsoft.com/fwlink/?linkid=870924
Comment:
    added some to meet 2012 demand</t>
      </text>
    </comment>
    <comment ref="AU8" authorId="3" shapeId="0" xr:uid="{00000000-0006-0000-0500-000003000000}">
      <text>
        <r>
          <rPr>
            <b/>
            <sz val="9"/>
            <color indexed="81"/>
            <rFont val="Tahoma"/>
            <family val="2"/>
          </rPr>
          <t>bruno merven:</t>
        </r>
        <r>
          <rPr>
            <sz val="9"/>
            <color indexed="81"/>
            <rFont val="Tahoma"/>
            <family val="2"/>
          </rPr>
          <t xml:space="preserve">
moved from prodction to import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00000000-0006-0000-0600-000001000000}">
      <text>
        <r>
          <rPr>
            <b/>
            <sz val="9"/>
            <color indexed="81"/>
            <rFont val="Tahoma"/>
            <family val="2"/>
          </rPr>
          <t>bruno merven:</t>
        </r>
        <r>
          <rPr>
            <sz val="9"/>
            <color indexed="81"/>
            <rFont val="Tahoma"/>
            <family val="2"/>
          </rPr>
          <t xml:space="preserve">
To be modelled via distribution losses</t>
        </r>
      </text>
    </comment>
    <comment ref="U16" authorId="0" shapeId="0" xr:uid="{00000000-0006-0000-0600-000002000000}">
      <text>
        <r>
          <rPr>
            <b/>
            <sz val="9"/>
            <color indexed="81"/>
            <rFont val="Tahoma"/>
            <family val="2"/>
          </rPr>
          <t>bruno merven:</t>
        </r>
        <r>
          <rPr>
            <sz val="9"/>
            <color indexed="81"/>
            <rFont val="Tahoma"/>
            <family val="2"/>
          </rPr>
          <t xml:space="preserve">
To be modelled by an activity cost in R/GJ</t>
        </r>
      </text>
    </comment>
    <comment ref="AC106" authorId="0" shapeId="0" xr:uid="{00000000-0006-0000-0600-00000300000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32" authorId="0" shapeId="0" xr:uid="{00000000-0006-0000-0700-000001000000}">
      <text>
        <r>
          <rPr>
            <b/>
            <sz val="8"/>
            <color indexed="81"/>
            <rFont val="Tahoma"/>
            <family val="2"/>
          </rPr>
          <t>Bruno Merven:</t>
        </r>
        <r>
          <rPr>
            <sz val="8"/>
            <color indexed="81"/>
            <rFont val="Tahoma"/>
            <family val="2"/>
          </rPr>
          <t xml:space="preserve">
from IRP2010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tc={CF490E8D-48BD-4EF7-B0E4-8CC084719230}</author>
    <author>tc={9B57D1DB-693C-402E-98F9-1180A742499E}</author>
  </authors>
  <commentList>
    <comment ref="CM86" authorId="0" shapeId="0" xr:uid="{CF490E8D-48BD-4EF7-B0E4-8CC08471923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1" authorId="1" shapeId="0" xr:uid="{9B57D1DB-693C-402E-98F9-1180A742499E}">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00000000-0006-0000-0900-000001000000}">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00000000-0006-0000-0900-000002000000}">
      <text>
        <r>
          <rPr>
            <b/>
            <sz val="9"/>
            <color indexed="81"/>
            <rFont val="Tahoma"/>
            <family val="2"/>
          </rPr>
          <t>fadiel:</t>
        </r>
        <r>
          <rPr>
            <sz val="9"/>
            <color indexed="81"/>
            <rFont val="Tahoma"/>
            <family val="2"/>
          </rPr>
          <t xml:space="preserve">
guess
</t>
        </r>
      </text>
    </comment>
    <comment ref="K25" authorId="0" shapeId="0" xr:uid="{00000000-0006-0000-0900-000003000000}">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00000000-0006-0000-0900-000004000000}">
      <text>
        <r>
          <rPr>
            <b/>
            <sz val="9"/>
            <color indexed="81"/>
            <rFont val="Calibri"/>
            <family val="2"/>
          </rPr>
          <t>Alison hughes:</t>
        </r>
        <r>
          <rPr>
            <sz val="9"/>
            <color indexed="81"/>
            <rFont val="Calibri"/>
            <family val="2"/>
          </rPr>
          <t xml:space="preserve">
0.8 2015-2018</t>
        </r>
      </text>
    </comment>
    <comment ref="G60" authorId="3" shapeId="0" xr:uid="{00000000-0006-0000-0900-000005000000}">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00000000-0006-0000-0900-000006000000}">
      <text>
        <r>
          <rPr>
            <b/>
            <sz val="9"/>
            <color indexed="81"/>
            <rFont val="Calibri"/>
            <family val="2"/>
          </rPr>
          <t>Alison hughes:</t>
        </r>
        <r>
          <rPr>
            <sz val="9"/>
            <color indexed="81"/>
            <rFont val="Calibri"/>
            <family val="2"/>
          </rPr>
          <t xml:space="preserve">
pipeline can supply 1600GW at 90% load factor
</t>
        </r>
      </text>
    </comment>
    <comment ref="C78" authorId="4" shapeId="0" xr:uid="{00000000-0006-0000-0900-000007000000}">
      <text>
        <r>
          <rPr>
            <b/>
            <sz val="9"/>
            <color indexed="81"/>
            <rFont val="Tahoma"/>
            <family val="2"/>
          </rPr>
          <t>Senatla:</t>
        </r>
        <r>
          <rPr>
            <sz val="9"/>
            <color indexed="81"/>
            <rFont val="Tahoma"/>
            <family val="2"/>
          </rPr>
          <t xml:space="preserve">
changed from 40 to 80 depending on Dodds Finding</t>
        </r>
      </text>
    </comment>
    <comment ref="D78" authorId="4" shapeId="0" xr:uid="{00000000-0006-0000-0900-000008000000}">
      <text>
        <r>
          <rPr>
            <b/>
            <sz val="9"/>
            <color indexed="81"/>
            <rFont val="Tahoma"/>
            <family val="2"/>
          </rPr>
          <t>Senatla:</t>
        </r>
        <r>
          <rPr>
            <sz val="9"/>
            <color indexed="81"/>
            <rFont val="Tahoma"/>
            <family val="2"/>
          </rPr>
          <t xml:space="preserve">
changed from 40 to 80 depending on Dodds Finding</t>
        </r>
      </text>
    </comment>
    <comment ref="E78" authorId="4" shapeId="0" xr:uid="{00000000-0006-0000-0900-000009000000}">
      <text>
        <r>
          <rPr>
            <b/>
            <sz val="9"/>
            <color indexed="81"/>
            <rFont val="Tahoma"/>
            <family val="2"/>
          </rPr>
          <t>Senatla:</t>
        </r>
        <r>
          <rPr>
            <sz val="9"/>
            <color indexed="81"/>
            <rFont val="Tahoma"/>
            <family val="2"/>
          </rPr>
          <t xml:space="preserve">
changed from 40 to 80 depending on Dodds Finding</t>
        </r>
      </text>
    </comment>
    <comment ref="G79" authorId="3" shapeId="0" xr:uid="{00000000-0006-0000-0900-00000A000000}">
      <text>
        <r>
          <rPr>
            <b/>
            <sz val="9"/>
            <color indexed="81"/>
            <rFont val="Tahoma"/>
            <family val="2"/>
          </rPr>
          <t>bruno merven:</t>
        </r>
        <r>
          <rPr>
            <sz val="9"/>
            <color indexed="81"/>
            <rFont val="Tahoma"/>
            <family val="2"/>
          </rPr>
          <t xml:space="preserve">
assuming the 400 million includes finance chages (IDC)</t>
        </r>
      </text>
    </comment>
    <comment ref="G83" authorId="2" shapeId="0" xr:uid="{00000000-0006-0000-0900-00000B000000}">
      <text>
        <r>
          <rPr>
            <b/>
            <sz val="9"/>
            <color indexed="81"/>
            <rFont val="Calibri"/>
            <family val="2"/>
          </rPr>
          <t>Alison hughes:</t>
        </r>
        <r>
          <rPr>
            <sz val="9"/>
            <color indexed="81"/>
            <rFont val="Calibri"/>
            <family val="2"/>
          </rPr>
          <t xml:space="preserve">
number from IPCC guidelines for natural gas</t>
        </r>
      </text>
    </comment>
    <comment ref="AA105" authorId="3" shapeId="0" xr:uid="{00000000-0006-0000-0900-00000C000000}">
      <text>
        <r>
          <rPr>
            <b/>
            <sz val="9"/>
            <color indexed="81"/>
            <rFont val="Tahoma"/>
            <family val="2"/>
          </rPr>
          <t>bruno merven:</t>
        </r>
        <r>
          <rPr>
            <sz val="9"/>
            <color indexed="81"/>
            <rFont val="Tahoma"/>
            <family val="2"/>
          </rPr>
          <t xml:space="preserve">
overnight cost calculated by taking out IDC</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2" authorId="0" shapeId="0" xr:uid="{00000000-0006-0000-0A00-000001000000}">
      <text>
        <r>
          <rPr>
            <b/>
            <sz val="9"/>
            <color indexed="81"/>
            <rFont val="Tahoma"/>
            <family val="2"/>
          </rPr>
          <t>Lana:</t>
        </r>
        <r>
          <rPr>
            <sz val="9"/>
            <color indexed="81"/>
            <rFont val="Tahoma"/>
            <family val="2"/>
          </rPr>
          <t xml:space="preserve">
sum the GHG emissions from the five stages (DoE, 2014)</t>
        </r>
      </text>
    </comment>
    <comment ref="AD2" authorId="1" shapeId="0" xr:uid="{00000000-0006-0000-0A00-000002000000}">
      <text>
        <r>
          <rPr>
            <b/>
            <sz val="8"/>
            <color indexed="81"/>
            <rFont val="Tahoma"/>
            <family val="2"/>
          </rPr>
          <t>Pat DeLaquil:</t>
        </r>
        <r>
          <rPr>
            <sz val="8"/>
            <color indexed="81"/>
            <rFont val="Tahoma"/>
            <family val="2"/>
          </rPr>
          <t xml:space="preserve">
CH4 = 55 GJ/MT</t>
        </r>
      </text>
    </comment>
    <comment ref="V5" authorId="2" shapeId="0" xr:uid="{00000000-0006-0000-0A00-000003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6" authorId="0" shapeId="0" xr:uid="{00000000-0006-0000-0A00-000004000000}">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8" authorId="2" shapeId="0" xr:uid="{00000000-0006-0000-0A00-000005000000}">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9" authorId="0" shapeId="0" xr:uid="{00000000-0006-0000-0A00-00000600000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0" authorId="2" shapeId="0" xr:uid="{00000000-0006-0000-0A00-000007000000}">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0" authorId="3" shapeId="0" xr:uid="{00000000-0006-0000-0A00-000008000000}">
      <text>
        <r>
          <rPr>
            <b/>
            <sz val="8"/>
            <color indexed="81"/>
            <rFont val="Tahoma"/>
            <family val="2"/>
          </rPr>
          <t>IRG:</t>
        </r>
        <r>
          <rPr>
            <sz val="8"/>
            <color indexed="81"/>
            <rFont val="Tahoma"/>
            <family val="2"/>
          </rPr>
          <t xml:space="preserve">
See GDP deflators below; where 2000 =&gt; 1995 used here.</t>
        </r>
      </text>
    </comment>
    <comment ref="AD17" authorId="1" shapeId="0" xr:uid="{00000000-0006-0000-0A00-000009000000}">
      <text>
        <r>
          <rPr>
            <b/>
            <sz val="8"/>
            <color indexed="81"/>
            <rFont val="Tahoma"/>
            <family val="2"/>
          </rPr>
          <t>Pat DeLaquil:</t>
        </r>
        <r>
          <rPr>
            <sz val="8"/>
            <color indexed="81"/>
            <rFont val="Tahoma"/>
            <family val="2"/>
          </rPr>
          <t xml:space="preserve">
EIA approximate energy content of domestic oil</t>
        </r>
      </text>
    </comment>
    <comment ref="AD23" authorId="1" shapeId="0" xr:uid="{00000000-0006-0000-0A00-00000A000000}">
      <text>
        <r>
          <rPr>
            <b/>
            <sz val="8"/>
            <color indexed="81"/>
            <rFont val="Tahoma"/>
            <family val="2"/>
          </rPr>
          <t>Pat DeLaquil:</t>
        </r>
        <r>
          <rPr>
            <sz val="8"/>
            <color indexed="81"/>
            <rFont val="Tahoma"/>
            <family val="2"/>
          </rPr>
          <t xml:space="preserve">
Assumed 20 kg C/GJ</t>
        </r>
      </text>
    </comment>
    <comment ref="R27" authorId="2" shapeId="0" xr:uid="{00000000-0006-0000-0A00-00000B000000}">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28" authorId="2" shapeId="0" xr:uid="{00000000-0006-0000-0A00-00000C000000}">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29" authorId="2" shapeId="0" xr:uid="{00000000-0006-0000-0A00-00000D000000}">
      <text>
        <r>
          <rPr>
            <b/>
            <sz val="9"/>
            <color indexed="81"/>
            <rFont val="Tahoma"/>
            <family val="2"/>
          </rPr>
          <t>01418624:</t>
        </r>
        <r>
          <rPr>
            <sz val="9"/>
            <color indexed="81"/>
            <rFont val="Tahoma"/>
            <family val="2"/>
          </rPr>
          <t xml:space="preserve">
Venting is not well separated from flaring in PetroSa activities</t>
        </r>
      </text>
    </comment>
    <comment ref="G134" authorId="2" shapeId="0" xr:uid="{00000000-0006-0000-0A00-00000E000000}">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3" authorId="0" shapeId="0" xr:uid="{00000000-0006-0000-0B00-000001000000}">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37" authorId="1" shapeId="0" xr:uid="{00000000-0006-0000-0B00-000002000000}">
      <text>
        <r>
          <rPr>
            <b/>
            <sz val="8"/>
            <color indexed="81"/>
            <rFont val="Tahoma"/>
            <family val="2"/>
          </rPr>
          <t>Mamahloko:</t>
        </r>
        <r>
          <rPr>
            <sz val="8"/>
            <color indexed="81"/>
            <rFont val="Tahoma"/>
            <family val="2"/>
          </rPr>
          <t xml:space="preserve">
 CPI index as of July 2011</t>
        </r>
      </text>
    </comment>
    <comment ref="D45" authorId="2" shapeId="0" xr:uid="{00000000-0006-0000-0B00-000003000000}">
      <text>
        <r>
          <rPr>
            <b/>
            <sz val="9"/>
            <color indexed="81"/>
            <rFont val="Tahoma"/>
            <family val="2"/>
          </rPr>
          <t>01418624:</t>
        </r>
        <r>
          <rPr>
            <sz val="9"/>
            <color indexed="81"/>
            <rFont val="Tahoma"/>
            <family val="2"/>
          </rPr>
          <t xml:space="preserve">
equal demand +% of reserve margin</t>
        </r>
      </text>
    </comment>
    <comment ref="D49" authorId="2" shapeId="0" xr:uid="{00000000-0006-0000-0B00-000004000000}">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59" authorId="2" shapeId="0" xr:uid="{00000000-0006-0000-0B00-000005000000}">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59" authorId="2" shapeId="0" xr:uid="{00000000-0006-0000-0B00-000006000000}">
      <text>
        <r>
          <rPr>
            <b/>
            <sz val="9"/>
            <color indexed="81"/>
            <rFont val="Tahoma"/>
            <family val="2"/>
          </rPr>
          <t>01418624:</t>
        </r>
        <r>
          <rPr>
            <sz val="9"/>
            <color indexed="81"/>
            <rFont val="Tahoma"/>
            <family val="2"/>
          </rPr>
          <t xml:space="preserve">
11279 million litres
 value comes from Adrian's consumption sheet</t>
        </r>
      </text>
    </comment>
    <comment ref="C60" authorId="2" shapeId="0" xr:uid="{00000000-0006-0000-0B00-000007000000}">
      <text>
        <r>
          <rPr>
            <b/>
            <sz val="9"/>
            <color indexed="81"/>
            <rFont val="Tahoma"/>
            <family val="2"/>
          </rPr>
          <t>01418624:</t>
        </r>
        <r>
          <rPr>
            <sz val="9"/>
            <color indexed="81"/>
            <rFont val="Tahoma"/>
            <family val="2"/>
          </rPr>
          <t xml:space="preserve">
8708 million litres value comes from Adrian's consumption sheet</t>
        </r>
      </text>
    </comment>
    <comment ref="D73" authorId="2" shapeId="0" xr:uid="{00000000-0006-0000-0B00-000008000000}">
      <text>
        <r>
          <rPr>
            <b/>
            <sz val="9"/>
            <color indexed="81"/>
            <rFont val="Tahoma"/>
            <family val="2"/>
          </rPr>
          <t>01418624:</t>
        </r>
        <r>
          <rPr>
            <sz val="9"/>
            <color indexed="81"/>
            <rFont val="Tahoma"/>
            <family val="2"/>
          </rPr>
          <t xml:space="preserve">
Atlantis is where Eskom's Ankerlig power station is</t>
        </r>
      </text>
    </comment>
    <comment ref="I73" authorId="2" shapeId="0" xr:uid="{00000000-0006-0000-0B00-000009000000}">
      <text>
        <r>
          <rPr>
            <b/>
            <sz val="9"/>
            <color indexed="81"/>
            <rFont val="Tahoma"/>
            <family val="2"/>
          </rPr>
          <t>01418624:</t>
        </r>
        <r>
          <rPr>
            <sz val="9"/>
            <color indexed="81"/>
            <rFont val="Tahoma"/>
            <family val="2"/>
          </rPr>
          <t xml:space="preserve">
remember to use 2013 exchange rate</t>
        </r>
      </text>
    </comment>
    <comment ref="I77" authorId="2" shapeId="0" xr:uid="{00000000-0006-0000-0B00-00000A000000}">
      <text>
        <r>
          <rPr>
            <b/>
            <sz val="9"/>
            <color indexed="81"/>
            <rFont val="Tahoma"/>
            <family val="2"/>
          </rPr>
          <t>01418624:</t>
        </r>
        <r>
          <rPr>
            <sz val="9"/>
            <color indexed="81"/>
            <rFont val="Tahoma"/>
            <family val="2"/>
          </rPr>
          <t xml:space="preserve">
remember to use 2013 exrate</t>
        </r>
      </text>
    </comment>
    <comment ref="H84" authorId="2" shapeId="0" xr:uid="{00000000-0006-0000-0B00-00000B000000}">
      <text>
        <r>
          <rPr>
            <b/>
            <sz val="9"/>
            <color indexed="81"/>
            <rFont val="Tahoma"/>
            <family val="2"/>
          </rPr>
          <t>01418624:</t>
        </r>
        <r>
          <rPr>
            <sz val="9"/>
            <color indexed="81"/>
            <rFont val="Tahoma"/>
            <family val="2"/>
          </rPr>
          <t xml:space="preserve">
5 % cheaper</t>
        </r>
      </text>
    </comment>
    <comment ref="G88" authorId="2" shapeId="0" xr:uid="{00000000-0006-0000-0B00-00000C000000}">
      <text>
        <r>
          <rPr>
            <b/>
            <sz val="9"/>
            <color indexed="81"/>
            <rFont val="Tahoma"/>
            <family val="2"/>
          </rPr>
          <t>01418624:</t>
        </r>
        <r>
          <rPr>
            <sz val="9"/>
            <color indexed="81"/>
            <rFont val="Tahoma"/>
            <family val="2"/>
          </rPr>
          <t xml:space="preserve">
based on Adrian's analysis</t>
        </r>
      </text>
    </comment>
    <comment ref="G89" authorId="2" shapeId="0" xr:uid="{00000000-0006-0000-0B00-00000D000000}">
      <text>
        <r>
          <rPr>
            <b/>
            <sz val="9"/>
            <color indexed="81"/>
            <rFont val="Tahoma"/>
            <family val="2"/>
          </rPr>
          <t>01418624:</t>
        </r>
        <r>
          <rPr>
            <sz val="9"/>
            <color indexed="81"/>
            <rFont val="Tahoma"/>
            <family val="2"/>
          </rPr>
          <t xml:space="preserve">
Based on Adrian's analysis</t>
        </r>
      </text>
    </comment>
    <comment ref="G93" authorId="3" shapeId="0" xr:uid="{00000000-0006-0000-0B00-00000E000000}">
      <text>
        <r>
          <rPr>
            <b/>
            <sz val="9"/>
            <color indexed="81"/>
            <rFont val="Tahoma"/>
            <family val="2"/>
          </rPr>
          <t>bruno merven:</t>
        </r>
        <r>
          <rPr>
            <sz val="9"/>
            <color indexed="81"/>
            <rFont val="Tahoma"/>
            <family val="2"/>
          </rPr>
          <t xml:space="preserve">
Assumes to be connected directly to transmission.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tc={FA09FCA6-F7B4-4530-9A75-A4D12DC2F700}</author>
    <author>tc={23C904F1-FA3A-4A76-A9F3-2EBE1337442C}</author>
    <author>tc={FBF17F1D-49C3-480A-808A-9D9584A720C6}</author>
    <author>tc={46815726-5627-4C45-9BDF-8C2CE4B944F0}</author>
    <author>tc={9ECC9A61-6354-4F5E-BBA8-343035151CDB}</author>
  </authors>
  <commentList>
    <comment ref="F13" authorId="0" shapeId="0" xr:uid="{00000000-0006-0000-0C00-000001000000}">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4" authorId="1" shapeId="0" xr:uid="{00000000-0006-0000-0C00-000002000000}">
      <text>
        <r>
          <rPr>
            <b/>
            <sz val="9"/>
            <color indexed="81"/>
            <rFont val="Tahoma"/>
            <family val="2"/>
          </rPr>
          <t>tara:</t>
        </r>
        <r>
          <rPr>
            <sz val="9"/>
            <color indexed="81"/>
            <rFont val="Tahoma"/>
            <family val="2"/>
          </rPr>
          <t xml:space="preserve">
Just interpolated for now, can update</t>
        </r>
      </text>
    </comment>
    <comment ref="A26" authorId="0" shapeId="0" xr:uid="{00000000-0006-0000-0C00-000003000000}">
      <text>
        <r>
          <rPr>
            <b/>
            <sz val="9"/>
            <color indexed="81"/>
            <rFont val="Tahoma"/>
            <family val="2"/>
          </rPr>
          <t>bruno merven:</t>
        </r>
        <r>
          <rPr>
            <sz val="9"/>
            <color indexed="81"/>
            <rFont val="Tahoma"/>
            <family val="2"/>
          </rPr>
          <t xml:space="preserve">
Price parity assumed with Crude</t>
        </r>
      </text>
    </comment>
    <comment ref="O34" authorId="2" shapeId="0" xr:uid="{00000000-0006-0000-0C00-000004000000}">
      <text>
        <r>
          <rPr>
            <b/>
            <sz val="8"/>
            <color indexed="81"/>
            <rFont val="Tahoma"/>
            <family val="2"/>
          </rPr>
          <t>Bruno Merven:</t>
        </r>
        <r>
          <rPr>
            <sz val="8"/>
            <color indexed="81"/>
            <rFont val="Tahoma"/>
            <family val="2"/>
          </rPr>
          <t xml:space="preserve">
Darryl Hunt</t>
        </r>
      </text>
    </comment>
    <comment ref="U35" authorId="0" shapeId="0" xr:uid="{00000000-0006-0000-0C00-000005000000}">
      <text>
        <r>
          <rPr>
            <b/>
            <sz val="9"/>
            <color indexed="81"/>
            <rFont val="Tahoma"/>
            <family val="2"/>
          </rPr>
          <t>bruno merven:</t>
        </r>
        <r>
          <rPr>
            <sz val="9"/>
            <color indexed="81"/>
            <rFont val="Tahoma"/>
            <family val="2"/>
          </rPr>
          <t xml:space="preserve">
LNG price - liquefaction cost
</t>
        </r>
      </text>
    </comment>
    <comment ref="U38" authorId="0" shapeId="0" xr:uid="{00000000-0006-0000-0C00-000006000000}">
      <text>
        <r>
          <rPr>
            <b/>
            <sz val="9"/>
            <color indexed="81"/>
            <rFont val="Tahoma"/>
            <family val="2"/>
          </rPr>
          <t>bruno merven:</t>
        </r>
        <r>
          <rPr>
            <sz val="9"/>
            <color indexed="81"/>
            <rFont val="Tahoma"/>
            <family val="2"/>
          </rPr>
          <t xml:space="preserve">
LNG price - liquefaction cost
</t>
        </r>
      </text>
    </comment>
    <comment ref="V39" authorId="2" shapeId="0" xr:uid="{00000000-0006-0000-0C00-000007000000}">
      <text>
        <r>
          <rPr>
            <b/>
            <sz val="8"/>
            <color indexed="81"/>
            <rFont val="Tahoma"/>
            <family val="2"/>
          </rPr>
          <t>Bruno Merven:</t>
        </r>
        <r>
          <rPr>
            <sz val="8"/>
            <color indexed="81"/>
            <rFont val="Tahoma"/>
            <family val="2"/>
          </rPr>
          <t xml:space="preserve">
Regional LNG</t>
        </r>
      </text>
    </comment>
    <comment ref="C44" authorId="2" shapeId="0" xr:uid="{00000000-0006-0000-0C00-000008000000}">
      <text>
        <r>
          <rPr>
            <b/>
            <sz val="8"/>
            <color indexed="81"/>
            <rFont val="Tahoma"/>
            <family val="2"/>
          </rPr>
          <t>Bruno Merven:</t>
        </r>
        <r>
          <rPr>
            <sz val="8"/>
            <color indexed="81"/>
            <rFont val="Tahoma"/>
            <family val="2"/>
          </rPr>
          <t xml:space="preserve">
Open Cast Mines</t>
        </r>
      </text>
    </comment>
    <comment ref="D44" authorId="2" shapeId="0" xr:uid="{00000000-0006-0000-0C00-000009000000}">
      <text>
        <r>
          <rPr>
            <b/>
            <sz val="8"/>
            <color indexed="81"/>
            <rFont val="Tahoma"/>
            <family val="2"/>
          </rPr>
          <t>Bruno Merven:</t>
        </r>
        <r>
          <rPr>
            <sz val="8"/>
            <color indexed="81"/>
            <rFont val="Tahoma"/>
            <family val="2"/>
          </rPr>
          <t xml:space="preserve">
Underground mining</t>
        </r>
      </text>
    </comment>
    <comment ref="E44" authorId="2" shapeId="0" xr:uid="{00000000-0006-0000-0C00-00000A000000}">
      <text>
        <r>
          <rPr>
            <b/>
            <sz val="8"/>
            <color indexed="81"/>
            <rFont val="Tahoma"/>
            <family val="2"/>
          </rPr>
          <t>Bruno Merven:</t>
        </r>
        <r>
          <rPr>
            <sz val="8"/>
            <color indexed="81"/>
            <rFont val="Tahoma"/>
            <family val="2"/>
          </rPr>
          <t xml:space="preserve">
Shale Gas</t>
        </r>
      </text>
    </comment>
    <comment ref="F44" authorId="2" shapeId="0" xr:uid="{00000000-0006-0000-0C00-00000B000000}">
      <text>
        <r>
          <rPr>
            <b/>
            <sz val="8"/>
            <color indexed="81"/>
            <rFont val="Tahoma"/>
            <family val="2"/>
          </rPr>
          <t>Bruno Merven:</t>
        </r>
        <r>
          <rPr>
            <sz val="8"/>
            <color indexed="81"/>
            <rFont val="Tahoma"/>
            <family val="2"/>
          </rPr>
          <t xml:space="preserve">
Coal Bed Methane</t>
        </r>
      </text>
    </comment>
    <comment ref="E52" authorId="3" shapeId="0" xr:uid="{FA09FCA6-F7B4-4530-9A75-A4D12DC2F70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S55" authorId="0" shapeId="0" xr:uid="{00000000-0006-0000-0C00-00000D000000}">
      <text>
        <r>
          <rPr>
            <b/>
            <sz val="9"/>
            <color indexed="81"/>
            <rFont val="Tahoma"/>
            <family val="2"/>
          </rPr>
          <t>bruno merven:</t>
        </r>
        <r>
          <rPr>
            <sz val="9"/>
            <color indexed="81"/>
            <rFont val="Tahoma"/>
            <family val="2"/>
          </rPr>
          <t xml:space="preserve">
Gas Resource taken from Darryl's presentaion in October 2013</t>
        </r>
      </text>
    </comment>
    <comment ref="A58" authorId="0" shapeId="0" xr:uid="{00000000-0006-0000-0C00-00000E000000}">
      <text>
        <r>
          <rPr>
            <b/>
            <sz val="9"/>
            <color indexed="81"/>
            <rFont val="Tahoma"/>
            <family val="2"/>
          </rPr>
          <t>bruno merven:</t>
        </r>
        <r>
          <rPr>
            <sz val="9"/>
            <color indexed="81"/>
            <rFont val="Tahoma"/>
            <family val="2"/>
          </rPr>
          <t xml:space="preserve">
coal going to demand sectors</t>
        </r>
      </text>
    </comment>
    <comment ref="I58" authorId="4" shapeId="0" xr:uid="{23C904F1-FA3A-4A76-A9F3-2EBE1337442C}">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F61" authorId="0" shapeId="0" xr:uid="{00000000-0006-0000-0C00-000010000000}">
      <text>
        <r>
          <rPr>
            <b/>
            <sz val="9"/>
            <color indexed="81"/>
            <rFont val="Tahoma"/>
            <family val="2"/>
          </rPr>
          <t>bruno merven:</t>
        </r>
        <r>
          <rPr>
            <sz val="9"/>
            <color indexed="81"/>
            <rFont val="Tahoma"/>
            <family val="2"/>
          </rPr>
          <t xml:space="preserve">
10% taken off international price to account for saved transport costs.</t>
        </r>
      </text>
    </comment>
    <comment ref="B62" authorId="0" shapeId="0" xr:uid="{00000000-0006-0000-0C00-000011000000}">
      <text>
        <r>
          <rPr>
            <b/>
            <sz val="9"/>
            <color indexed="81"/>
            <rFont val="Tahoma"/>
            <family val="2"/>
          </rPr>
          <t>bruno merven:</t>
        </r>
        <r>
          <rPr>
            <sz val="9"/>
            <color indexed="81"/>
            <rFont val="Tahoma"/>
            <family val="2"/>
          </rPr>
          <t xml:space="preserve">
This is natural gas from Mossel Bay but gives out GIC</t>
        </r>
      </text>
    </comment>
    <comment ref="S63" authorId="0" shapeId="0" xr:uid="{00000000-0006-0000-0C00-000012000000}">
      <text>
        <r>
          <rPr>
            <b/>
            <sz val="9"/>
            <color indexed="81"/>
            <rFont val="Tahoma"/>
            <family val="2"/>
          </rPr>
          <t>bruno merven:</t>
        </r>
        <r>
          <rPr>
            <sz val="9"/>
            <color indexed="81"/>
            <rFont val="Tahoma"/>
            <family val="2"/>
          </rPr>
          <t xml:space="preserve">
http://www.southafrica.info/business/investing/energy-190315.htm#.VSaJwvmUebM</t>
        </r>
      </text>
    </comment>
    <comment ref="S65" authorId="0" shapeId="0" xr:uid="{00000000-0006-0000-0C00-000013000000}">
      <text>
        <r>
          <rPr>
            <b/>
            <sz val="9"/>
            <color indexed="81"/>
            <rFont val="Tahoma"/>
            <family val="2"/>
          </rPr>
          <t>bruno merven:</t>
        </r>
        <r>
          <rPr>
            <sz val="9"/>
            <color indexed="81"/>
            <rFont val="Tahoma"/>
            <family val="2"/>
          </rPr>
          <t xml:space="preserve">
Darryl had 18.5 in October 2013 presentation but this has been revised down since.</t>
        </r>
      </text>
    </comment>
    <comment ref="F68" authorId="2" shapeId="0" xr:uid="{00000000-0006-0000-0C00-000014000000}">
      <text>
        <r>
          <rPr>
            <b/>
            <sz val="8"/>
            <color indexed="81"/>
            <rFont val="Tahoma"/>
            <family val="2"/>
          </rPr>
          <t>Bruno Merven:</t>
        </r>
        <r>
          <rPr>
            <sz val="8"/>
            <color indexed="81"/>
            <rFont val="Tahoma"/>
            <family val="2"/>
          </rPr>
          <t xml:space="preserve">
IRP 2010</t>
        </r>
      </text>
    </comment>
    <comment ref="G69" authorId="5" shapeId="0" xr:uid="{FBF17F1D-49C3-480A-808A-9D9584A720C6}">
      <text>
        <t>[Threaded comment]
Your version of Excel allows you to read this threaded comment; however, any edits to it will get removed if the file is opened in a newer version of Excel. Learn more: https://go.microsoft.com/fwlink/?linkid=870924
Comment:
    Linked to coal price with slight price premium for lower CV and thus higher transport costs?</t>
      </text>
    </comment>
    <comment ref="M69" authorId="6" shapeId="0" xr:uid="{46815726-5627-4C45-9BDF-8C2CE4B944F0}">
      <text>
        <t>[Threaded comment]
Your version of Excel allows you to read this threaded comment; however, any edits to it will get removed if the file is opened in a newer version of Excel. Learn more: https://go.microsoft.com/fwlink/?linkid=870924
Comment:
    We need to determine what the limit is.</t>
      </text>
    </comment>
    <comment ref="M71" authorId="0" shapeId="0" xr:uid="{00000000-0006-0000-0C00-000015000000}">
      <text>
        <r>
          <rPr>
            <b/>
            <sz val="9"/>
            <color indexed="81"/>
            <rFont val="Tahoma"/>
            <family val="2"/>
          </rPr>
          <t>bruno merven:</t>
        </r>
        <r>
          <rPr>
            <sz val="9"/>
            <color indexed="81"/>
            <rFont val="Tahoma"/>
            <family val="2"/>
          </rPr>
          <t xml:space="preserve">
Added in August to cap production of Waste. This number needs further research.</t>
        </r>
      </text>
    </comment>
    <comment ref="F76" authorId="0" shapeId="0" xr:uid="{00000000-0006-0000-0C00-000016000000}">
      <text>
        <r>
          <rPr>
            <b/>
            <sz val="9"/>
            <color indexed="81"/>
            <rFont val="Tahoma"/>
            <family val="2"/>
          </rPr>
          <t>bruno merven:</t>
        </r>
        <r>
          <rPr>
            <sz val="9"/>
            <color indexed="81"/>
            <rFont val="Tahoma"/>
            <family val="2"/>
          </rPr>
          <t xml:space="preserve">
coking coal assumed to be 1.5 times coal price. This matches more or less SUTCoal in EB2017</t>
        </r>
      </text>
    </comment>
    <comment ref="B78" authorId="0" shapeId="0" xr:uid="{00000000-0006-0000-0C00-000017000000}">
      <text>
        <r>
          <rPr>
            <b/>
            <sz val="9"/>
            <color indexed="81"/>
            <rFont val="Tahoma"/>
            <family val="2"/>
          </rPr>
          <t>bruno merven:</t>
        </r>
        <r>
          <rPr>
            <sz val="9"/>
            <color indexed="81"/>
            <rFont val="Tahoma"/>
            <family val="2"/>
          </rPr>
          <t xml:space="preserve">
same commodity different price and start year</t>
        </r>
      </text>
    </comment>
    <comment ref="M85" authorId="7" shapeId="0" xr:uid="{9ECC9A61-6354-4F5E-BBA8-343035151CDB}">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F87" authorId="2" shapeId="0" xr:uid="{00000000-0006-0000-0C00-000018000000}">
      <text>
        <r>
          <rPr>
            <b/>
            <sz val="8"/>
            <color indexed="81"/>
            <rFont val="Tahoma"/>
            <family val="2"/>
          </rPr>
          <t>Bruno Merven:</t>
        </r>
        <r>
          <rPr>
            <sz val="8"/>
            <color indexed="81"/>
            <rFont val="Tahoma"/>
            <family val="2"/>
          </rPr>
          <t xml:space="preserve">
10% premium added to biodiesel import</t>
        </r>
      </text>
    </comment>
    <comment ref="F88" authorId="2" shapeId="0" xr:uid="{00000000-0006-0000-0C00-000019000000}">
      <text>
        <r>
          <rPr>
            <b/>
            <sz val="8"/>
            <color indexed="81"/>
            <rFont val="Tahoma"/>
            <family val="2"/>
          </rPr>
          <t>Bruno Merven:</t>
        </r>
        <r>
          <rPr>
            <sz val="8"/>
            <color indexed="81"/>
            <rFont val="Tahoma"/>
            <family val="2"/>
          </rPr>
          <t xml:space="preserve">
5% premium added to ethanol import - see box below</t>
        </r>
      </text>
    </comment>
    <comment ref="A90" authorId="0" shapeId="0" xr:uid="{00000000-0006-0000-0C00-00001A000000}">
      <text>
        <r>
          <rPr>
            <b/>
            <sz val="9"/>
            <color indexed="81"/>
            <rFont val="Tahoma"/>
            <family val="2"/>
          </rPr>
          <t>bruno merven:</t>
        </r>
        <r>
          <rPr>
            <sz val="9"/>
            <color indexed="81"/>
            <rFont val="Tahoma"/>
            <family val="2"/>
          </rPr>
          <t xml:space="preserve">
Assuming that coal mines in the region can produce coal at the same costs as SA.</t>
        </r>
      </text>
    </comment>
    <comment ref="F91" authorId="0" shapeId="0" xr:uid="{00000000-0006-0000-0C00-00001B000000}">
      <text>
        <r>
          <rPr>
            <b/>
            <sz val="9"/>
            <color indexed="81"/>
            <rFont val="Tahoma"/>
            <family val="2"/>
          </rPr>
          <t>bruno merven:</t>
        </r>
        <r>
          <rPr>
            <sz val="9"/>
            <color indexed="81"/>
            <rFont val="Tahoma"/>
            <family val="2"/>
          </rPr>
          <t xml:space="preserve">
linked to regional LNG</t>
        </r>
      </text>
    </comment>
    <comment ref="M92" authorId="0" shapeId="0" xr:uid="{00000000-0006-0000-0C00-00001C000000}">
      <text>
        <r>
          <rPr>
            <b/>
            <sz val="9"/>
            <color indexed="81"/>
            <rFont val="Tahoma"/>
            <family val="2"/>
          </rPr>
          <t>bruno merven:</t>
        </r>
        <r>
          <rPr>
            <sz val="9"/>
            <color indexed="81"/>
            <rFont val="Tahoma"/>
            <family val="2"/>
          </rPr>
          <t xml:space="preserve">
Based on Data from Derek received 17 October 2013 (92.3) rounded to 100 to avoid ZZs in the base year.</t>
        </r>
      </text>
    </comment>
    <comment ref="A94" authorId="0" shapeId="0" xr:uid="{00000000-0006-0000-0C00-00001D000000}">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 ref="F95" authorId="0" shapeId="0" xr:uid="{00000000-0006-0000-0C00-00001E000000}">
      <text>
        <r>
          <rPr>
            <b/>
            <sz val="9"/>
            <color indexed="81"/>
            <rFont val="Tahoma"/>
            <family val="2"/>
          </rPr>
          <t>bruno merven:</t>
        </r>
        <r>
          <rPr>
            <sz val="9"/>
            <color indexed="81"/>
            <rFont val="Tahoma"/>
            <family val="2"/>
          </rPr>
          <t xml:space="preserve">
This is revised in TCH_PWR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tc={EED58661-C088-4D71-95C6-0AC32B37B6B0}</author>
    <author>Fadiel Ahjum</author>
    <author>ESAP PC</author>
  </authors>
  <commentList>
    <comment ref="O64" authorId="0" shapeId="0" xr:uid="{EED58661-C088-4D71-95C6-0AC32B37B6B0}">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J117" authorId="1" shapeId="0" xr:uid="{00000000-0006-0000-0E00-000001000000}">
      <text>
        <r>
          <rPr>
            <b/>
            <sz val="9"/>
            <color indexed="81"/>
            <rFont val="Tahoma"/>
            <family val="2"/>
          </rPr>
          <t>Fadiel Ahjum:</t>
        </r>
        <r>
          <rPr>
            <sz val="9"/>
            <color indexed="81"/>
            <rFont val="Tahoma"/>
            <family val="2"/>
          </rPr>
          <t xml:space="preserve">
cents /litre (2010)
</t>
        </r>
      </text>
    </comment>
    <comment ref="R117" authorId="2" shapeId="0" xr:uid="{00000000-0006-0000-0E00-000002000000}">
      <text>
        <r>
          <rPr>
            <b/>
            <sz val="9"/>
            <color indexed="81"/>
            <rFont val="Tahoma"/>
            <family val="2"/>
          </rPr>
          <t>ESAP PC:</t>
        </r>
        <r>
          <rPr>
            <sz val="9"/>
            <color indexed="81"/>
            <rFont val="Tahoma"/>
            <family val="2"/>
          </rPr>
          <t xml:space="preserve">
2014 price
</t>
        </r>
      </text>
    </comment>
    <comment ref="S117" authorId="2" shapeId="0" xr:uid="{00000000-0006-0000-0E00-000003000000}">
      <text>
        <r>
          <rPr>
            <b/>
            <sz val="9"/>
            <color indexed="81"/>
            <rFont val="Tahoma"/>
            <family val="2"/>
          </rPr>
          <t>ESAP PC:</t>
        </r>
        <r>
          <rPr>
            <sz val="9"/>
            <color indexed="81"/>
            <rFont val="Tahoma"/>
            <family val="2"/>
          </rPr>
          <t xml:space="preserve">
2014 price
</t>
        </r>
      </text>
    </comment>
    <comment ref="J118" authorId="1" shapeId="0" xr:uid="{00000000-0006-0000-0E00-000004000000}">
      <text>
        <r>
          <rPr>
            <b/>
            <sz val="9"/>
            <color indexed="81"/>
            <rFont val="Tahoma"/>
            <family val="2"/>
          </rPr>
          <t>Fadiel Ahjum:</t>
        </r>
        <r>
          <rPr>
            <sz val="9"/>
            <color indexed="81"/>
            <rFont val="Tahoma"/>
            <family val="2"/>
          </rPr>
          <t xml:space="preserve">
Estimated from data in [SATIM_biofuels_v6.5.xlsx]Fuel Tax Historical Margins'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Cornelia Ras</author>
    <author>Brett Cohen</author>
    <author>Fadiel Ahjum</author>
  </authors>
  <commentList>
    <comment ref="Q14" authorId="0" shapeId="0" xr:uid="{00000000-0006-0000-1500-000001000000}">
      <text>
        <r>
          <rPr>
            <b/>
            <sz val="8"/>
            <color indexed="81"/>
            <rFont val="Tahoma"/>
            <family val="2"/>
          </rPr>
          <t>Cornelia Ras:</t>
        </r>
        <r>
          <rPr>
            <sz val="8"/>
            <color indexed="81"/>
            <rFont val="Tahoma"/>
            <family val="2"/>
          </rPr>
          <t xml:space="preserve">
http://www.engineeringtoolbox.com/fuels-densities-specific-volumes-d_166.html
Diesel 1D  - 54.6 lb/ft</t>
        </r>
        <r>
          <rPr>
            <vertAlign val="superscript"/>
            <sz val="8"/>
            <color indexed="81"/>
            <rFont val="Tahoma"/>
            <family val="2"/>
          </rPr>
          <t>3</t>
        </r>
        <r>
          <rPr>
            <sz val="8"/>
            <color indexed="81"/>
            <rFont val="Tahoma"/>
            <family val="2"/>
          </rPr>
          <t xml:space="preserve">
Diesel 2D - 53 lb/ft3
Diesel 4D - 59.9 lb/ft3</t>
        </r>
      </text>
    </comment>
    <comment ref="L17" authorId="1" shapeId="0" xr:uid="{00000000-0006-0000-1500-000002000000}">
      <text>
        <r>
          <rPr>
            <b/>
            <sz val="9"/>
            <color indexed="81"/>
            <rFont val="Arial"/>
            <family val="2"/>
          </rPr>
          <t>Brett Cohen:</t>
        </r>
        <r>
          <rPr>
            <sz val="9"/>
            <color indexed="81"/>
            <rFont val="Arial"/>
            <family val="2"/>
          </rPr>
          <t xml:space="preserve">
note that Lloyds paper had an extra 7 at the end of this number which must have been a mistake as numbers don’t tally, so assumption made it was a typo and removed </t>
        </r>
      </text>
    </comment>
    <comment ref="D59" authorId="2" shapeId="0" xr:uid="{00000000-0006-0000-1500-000003000000}">
      <text>
        <r>
          <rPr>
            <b/>
            <sz val="10"/>
            <color indexed="81"/>
            <rFont val="Tahoma"/>
            <family val="2"/>
          </rPr>
          <t xml:space="preserve">Fadiel Ahjum: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ESAP PC</author>
    <author>Fadiel</author>
  </authors>
  <commentList>
    <comment ref="H19" authorId="0" shapeId="0" xr:uid="{00000000-0006-0000-1600-000001000000}">
      <text>
        <r>
          <rPr>
            <sz val="8"/>
            <color indexed="81"/>
            <rFont val="Tahoma"/>
            <family val="2"/>
          </rPr>
          <t>estimated: 
GENERAL PROCESS PLANT
COST ESTIMATING
(ENGINEERING DESIGN GUIDELINE)
http://kolmetz.com/pdf/EDG/ENGINEERING_DESIGN_GUILDLINE_General_Plant_Cost_Estimating_Rev01web.pdf
Table 11 : Total production cost 
(Simple Chemical Processes)</t>
        </r>
      </text>
    </comment>
    <comment ref="H33" authorId="0" shapeId="0" xr:uid="{00000000-0006-0000-1600-000002000000}">
      <text>
        <r>
          <rPr>
            <sz val="8"/>
            <color indexed="81"/>
            <rFont val="Tahoma"/>
            <family val="2"/>
          </rPr>
          <t>estimated: 
GENERAL PROCESS PLANT
COST ESTIMATING
(ENGINEERING DESIGN GUIDELINE)
http://kolmetz.com/pdf/EDG/ENGINEERING_DESIGN_GUILDLINE_General_Plant_Cost_Estimating_Rev01web.pdf
Table 11 : Total production cost 
(Average Process)</t>
        </r>
      </text>
    </comment>
    <comment ref="D53" authorId="1" shapeId="0" xr:uid="{25178F4C-ED5B-492A-AF01-6EB0777FB3ED}">
      <text>
        <r>
          <rPr>
            <b/>
            <sz val="9"/>
            <color indexed="81"/>
            <rFont val="Tahoma"/>
            <family val="2"/>
          </rPr>
          <t>Fadiel:</t>
        </r>
        <r>
          <rPr>
            <sz val="9"/>
            <color indexed="81"/>
            <rFont val="Tahoma"/>
            <family val="2"/>
          </rPr>
          <t xml:space="preserve">
Invest in CF2 for refinery at specific milestone period or decom: Can't refurbish  late into the horizon.</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C5" authorId="0" shapeId="0" xr:uid="{00000000-0006-0000-1700-000001000000}">
      <text>
        <r>
          <rPr>
            <b/>
            <sz val="8"/>
            <color indexed="81"/>
            <rFont val="Tahoma"/>
            <family val="2"/>
          </rPr>
          <t>Cornelia Ras:</t>
        </r>
        <r>
          <rPr>
            <sz val="8"/>
            <color indexed="81"/>
            <rFont val="Tahoma"/>
            <family val="2"/>
          </rPr>
          <t xml:space="preserve">
m</t>
        </r>
        <r>
          <rPr>
            <vertAlign val="superscript"/>
            <sz val="8"/>
            <color indexed="81"/>
            <rFont val="Tahoma"/>
            <family val="2"/>
          </rPr>
          <t>3</t>
        </r>
        <r>
          <rPr>
            <sz val="8"/>
            <color indexed="81"/>
            <rFont val="Tahoma"/>
            <family val="2"/>
          </rPr>
          <t>/yr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Cornelia Ras</author>
  </authors>
  <commentList>
    <comment ref="B25" authorId="0" shapeId="0" xr:uid="{00000000-0006-0000-1800-000001000000}">
      <text>
        <r>
          <rPr>
            <b/>
            <sz val="8"/>
            <color indexed="81"/>
            <rFont val="Tahoma"/>
            <family val="2"/>
          </rPr>
          <t>Cornelia Ras:</t>
        </r>
        <r>
          <rPr>
            <sz val="8"/>
            <color indexed="81"/>
            <rFont val="Tahoma"/>
            <family val="2"/>
          </rPr>
          <t xml:space="preserve">
Excludes solvents and paraffin</t>
        </r>
      </text>
    </comment>
    <comment ref="F25" authorId="0" shapeId="0" xr:uid="{00000000-0006-0000-1800-000002000000}">
      <text>
        <r>
          <rPr>
            <b/>
            <sz val="8"/>
            <color indexed="81"/>
            <rFont val="Tahoma"/>
            <family val="2"/>
          </rPr>
          <t>Cornelia Ras:</t>
        </r>
        <r>
          <rPr>
            <sz val="8"/>
            <color indexed="81"/>
            <rFont val="Tahoma"/>
            <family val="2"/>
          </rPr>
          <t xml:space="preserve">
Excludes solvents and paraffin</t>
        </r>
      </text>
    </comment>
    <comment ref="B39" authorId="0" shapeId="0" xr:uid="{00000000-0006-0000-1800-000003000000}">
      <text>
        <r>
          <rPr>
            <b/>
            <sz val="8"/>
            <color indexed="81"/>
            <rFont val="Tahoma"/>
            <family val="2"/>
          </rPr>
          <t>Cornelia Ras:</t>
        </r>
        <r>
          <rPr>
            <sz val="8"/>
            <color indexed="81"/>
            <rFont val="Tahoma"/>
            <family val="2"/>
          </rPr>
          <t xml:space="preserve">
Excludes solvents and lubeoil</t>
        </r>
      </text>
    </comment>
    <comment ref="F39" authorId="0" shapeId="0" xr:uid="{00000000-0006-0000-1800-000004000000}">
      <text>
        <r>
          <rPr>
            <b/>
            <sz val="8"/>
            <color indexed="81"/>
            <rFont val="Tahoma"/>
            <family val="2"/>
          </rPr>
          <t>Cornelia Ras:</t>
        </r>
        <r>
          <rPr>
            <sz val="8"/>
            <color indexed="81"/>
            <rFont val="Tahoma"/>
            <family val="2"/>
          </rPr>
          <t xml:space="preserve">
Excludes solvents 
</t>
        </r>
      </text>
    </comment>
    <comment ref="H39" authorId="0" shapeId="0" xr:uid="{00000000-0006-0000-1800-000005000000}">
      <text>
        <r>
          <rPr>
            <b/>
            <sz val="8"/>
            <color indexed="81"/>
            <rFont val="Tahoma"/>
            <family val="2"/>
          </rPr>
          <t>Cornelia Ras:</t>
        </r>
        <r>
          <rPr>
            <sz val="8"/>
            <color indexed="81"/>
            <rFont val="Tahoma"/>
            <family val="2"/>
          </rPr>
          <t xml:space="preserve">
Excludes solvents and paraffin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D8" authorId="0" shapeId="0" xr:uid="{00000000-0006-0000-1400-000001000000}">
      <text>
        <r>
          <rPr>
            <b/>
            <sz val="8"/>
            <color indexed="81"/>
            <rFont val="Tahoma"/>
            <family val="2"/>
          </rPr>
          <t>Bruno Merven:</t>
        </r>
        <r>
          <rPr>
            <sz val="8"/>
            <color indexed="81"/>
            <rFont val="Tahoma"/>
            <family val="2"/>
          </rPr>
          <t xml:space="preserve">
</t>
        </r>
      </text>
    </comment>
    <comment ref="D9" authorId="0" shapeId="0" xr:uid="{00000000-0006-0000-1400-000002000000}">
      <text>
        <r>
          <rPr>
            <b/>
            <sz val="8"/>
            <color indexed="81"/>
            <rFont val="Tahoma"/>
            <family val="2"/>
          </rPr>
          <t>Bruno Merven:</t>
        </r>
        <r>
          <rPr>
            <sz val="8"/>
            <color indexed="81"/>
            <rFont val="Tahoma"/>
            <family val="2"/>
          </rPr>
          <t xml:space="preserve">
Assuming 35% eff for Eskom and 5% losses on transmission and that 95% of elc from coal - Check Eskom annual report grid factor</t>
        </r>
      </text>
    </comment>
    <comment ref="M19" authorId="0" shapeId="0" xr:uid="{00000000-0006-0000-1400-000003000000}">
      <text>
        <r>
          <rPr>
            <b/>
            <sz val="8"/>
            <color indexed="81"/>
            <rFont val="Tahoma"/>
            <family val="2"/>
          </rPr>
          <t>Bruno Merven:</t>
        </r>
        <r>
          <rPr>
            <sz val="8"/>
            <color indexed="81"/>
            <rFont val="Tahoma"/>
            <family val="2"/>
          </rPr>
          <t xml:space="preserve">
~50% of chemicals</t>
        </r>
      </text>
    </comment>
    <comment ref="H20" authorId="0" shapeId="0" xr:uid="{00000000-0006-0000-1400-000004000000}">
      <text>
        <r>
          <rPr>
            <b/>
            <sz val="8"/>
            <color indexed="81"/>
            <rFont val="Tahoma"/>
            <family val="2"/>
          </rPr>
          <t>Bruno Merven:</t>
        </r>
        <r>
          <rPr>
            <sz val="8"/>
            <color indexed="81"/>
            <rFont val="Tahoma"/>
            <family val="2"/>
          </rPr>
          <t xml:space="preserve">
all coal with cogen - ratio of electricity to heat to be checked</t>
        </r>
      </text>
    </comment>
    <comment ref="K20" authorId="0" shapeId="0" xr:uid="{00000000-0006-0000-1400-000005000000}">
      <text>
        <r>
          <rPr>
            <b/>
            <sz val="8"/>
            <color indexed="81"/>
            <rFont val="Tahoma"/>
            <family val="2"/>
          </rPr>
          <t>Bruno Merven:</t>
        </r>
        <r>
          <rPr>
            <sz val="8"/>
            <color indexed="81"/>
            <rFont val="Tahoma"/>
            <family val="2"/>
          </rPr>
          <t xml:space="preserve">
29PJ of Coal + 4.4 PJ of gas </t>
        </r>
      </text>
    </comment>
    <comment ref="H21" authorId="0" shapeId="0" xr:uid="{00000000-0006-0000-1400-000006000000}">
      <text>
        <r>
          <rPr>
            <b/>
            <sz val="8"/>
            <color indexed="81"/>
            <rFont val="Tahoma"/>
            <family val="2"/>
          </rPr>
          <t>Bruno Merven:</t>
        </r>
        <r>
          <rPr>
            <sz val="8"/>
            <color indexed="81"/>
            <rFont val="Tahoma"/>
            <family val="2"/>
          </rPr>
          <t xml:space="preserve">
From DOE IRP 2011 SSF: 520, Infrachem 130
to be confirmed</t>
        </r>
      </text>
    </comment>
    <comment ref="K21" authorId="0" shapeId="0" xr:uid="{00000000-0006-0000-1400-000007000000}">
      <text>
        <r>
          <rPr>
            <b/>
            <sz val="8"/>
            <color indexed="81"/>
            <rFont val="Tahoma"/>
            <family val="2"/>
          </rPr>
          <t>Bruno Merven:</t>
        </r>
        <r>
          <rPr>
            <sz val="8"/>
            <color indexed="81"/>
            <rFont val="Tahoma"/>
            <family val="2"/>
          </rPr>
          <t xml:space="preserve">
Elc input must be subtracted</t>
        </r>
      </text>
    </comment>
    <comment ref="R21" authorId="0" shapeId="0" xr:uid="{00000000-0006-0000-1400-000008000000}">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0" shapeId="0" xr:uid="{00000000-0006-0000-1400-000009000000}">
      <text>
        <r>
          <rPr>
            <b/>
            <sz val="8"/>
            <color indexed="81"/>
            <rFont val="Tahoma"/>
            <family val="2"/>
          </rPr>
          <t>Bruno Merven:</t>
        </r>
        <r>
          <rPr>
            <sz val="8"/>
            <color indexed="81"/>
            <rFont val="Tahoma"/>
            <family val="2"/>
          </rPr>
          <t xml:space="preserve">
Check</t>
        </r>
      </text>
    </comment>
    <comment ref="F24" authorId="0" shapeId="0" xr:uid="{00000000-0006-0000-1400-00000A000000}">
      <text>
        <r>
          <rPr>
            <b/>
            <sz val="8"/>
            <color indexed="81"/>
            <rFont val="Tahoma"/>
            <family val="2"/>
          </rPr>
          <t>Bruno Merven:</t>
        </r>
        <r>
          <rPr>
            <sz val="8"/>
            <color indexed="81"/>
            <rFont val="Tahoma"/>
            <family val="2"/>
          </rPr>
          <t xml:space="preserve">
efficiency from NIRP3</t>
        </r>
      </text>
    </comment>
    <comment ref="H25" authorId="0" shapeId="0" xr:uid="{00000000-0006-0000-1400-00000B000000}">
      <text>
        <r>
          <rPr>
            <b/>
            <sz val="8"/>
            <color indexed="81"/>
            <rFont val="Tahoma"/>
            <family val="2"/>
          </rPr>
          <t>Bruno Merven:</t>
        </r>
        <r>
          <rPr>
            <sz val="8"/>
            <color indexed="81"/>
            <rFont val="Tahoma"/>
            <family val="2"/>
          </rPr>
          <t xml:space="preserve">
2006 Sasol Sustainable report has 5,083 GWh, 4,512 From ESI stats 2006 - NERSA.</t>
        </r>
      </text>
    </comment>
    <comment ref="D26" authorId="0" shapeId="0" xr:uid="{00000000-0006-0000-1400-00000C000000}">
      <text>
        <r>
          <rPr>
            <b/>
            <sz val="8"/>
            <color indexed="81"/>
            <rFont val="Tahoma"/>
            <family val="2"/>
          </rPr>
          <t>Bruno Merven:</t>
        </r>
        <r>
          <rPr>
            <sz val="8"/>
            <color indexed="81"/>
            <rFont val="Tahoma"/>
            <family val="2"/>
          </rPr>
          <t xml:space="preserve">
DOE Energy Balance 2006</t>
        </r>
      </text>
    </comment>
    <comment ref="F30" authorId="0" shapeId="0" xr:uid="{00000000-0006-0000-1400-00000D000000}">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0" shapeId="0" xr:uid="{00000000-0006-0000-1400-00000E000000}">
      <text>
        <r>
          <rPr>
            <b/>
            <sz val="8"/>
            <color indexed="81"/>
            <rFont val="Tahoma"/>
            <family val="2"/>
          </rPr>
          <t>Bruno Merven:</t>
        </r>
        <r>
          <rPr>
            <sz val="8"/>
            <color indexed="81"/>
            <rFont val="Tahoma"/>
            <family val="2"/>
          </rPr>
          <t xml:space="preserve">
to be checked: no plans to use waste steam for cogen</t>
        </r>
      </text>
    </comment>
    <comment ref="H35" authorId="0" shapeId="0" xr:uid="{00000000-0006-0000-1400-00000F000000}">
      <text>
        <r>
          <rPr>
            <b/>
            <sz val="8"/>
            <color indexed="81"/>
            <rFont val="Tahoma"/>
            <family val="2"/>
          </rPr>
          <t>Bruno Merven:</t>
        </r>
        <r>
          <rPr>
            <sz val="8"/>
            <color indexed="81"/>
            <rFont val="Tahoma"/>
            <family val="2"/>
          </rPr>
          <t xml:space="preserve">
280 2011 CCGT, the rest in 2013 140MW gas engines in sasolburg: Efficiency of gas engines 45%</t>
        </r>
      </text>
    </comment>
    <comment ref="D38" authorId="0" shapeId="0" xr:uid="{00000000-0006-0000-1400-000010000000}">
      <text>
        <r>
          <rPr>
            <b/>
            <sz val="8"/>
            <color indexed="81"/>
            <rFont val="Tahoma"/>
            <family val="2"/>
          </rPr>
          <t>Fadiel Ahjum:</t>
        </r>
        <r>
          <rPr>
            <sz val="8"/>
            <color indexed="81"/>
            <rFont val="Tahoma"/>
            <family val="2"/>
          </rPr>
          <t xml:space="preserve">
From derek.bultitude@sasol.com [Sasol gas balance 2004-2029 march 11 2013.xls]
This is only what Sasol uses - there is more gas being imported.
DOE Energy Balance 2006 says 52,202.</t>
        </r>
      </text>
    </comment>
    <comment ref="H39" authorId="0" shapeId="0" xr:uid="{00000000-0006-0000-1400-000011000000}">
      <text>
        <r>
          <rPr>
            <b/>
            <sz val="8"/>
            <color indexed="81"/>
            <rFont val="Tahoma"/>
            <family val="2"/>
          </rPr>
          <t>Bruno Merven:</t>
        </r>
        <r>
          <rPr>
            <sz val="8"/>
            <color indexed="81"/>
            <rFont val="Tahoma"/>
            <family val="2"/>
          </rPr>
          <t xml:space="preserve">
Assuming equal share of heat and electricty output</t>
        </r>
      </text>
    </comment>
    <comment ref="K44" authorId="0" shapeId="0" xr:uid="{00000000-0006-0000-1400-000012000000}">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0" shapeId="0" xr:uid="{00000000-0006-0000-1400-000013000000}">
      <text>
        <r>
          <rPr>
            <b/>
            <sz val="8"/>
            <color indexed="81"/>
            <rFont val="Tahoma"/>
            <family val="2"/>
          </rPr>
          <t>Fadiel Ahjum:</t>
        </r>
        <r>
          <rPr>
            <sz val="8"/>
            <color indexed="81"/>
            <rFont val="Tahoma"/>
            <family val="2"/>
          </rPr>
          <t xml:space="preserve">
Sasolburg gas to FT</t>
        </r>
      </text>
    </comment>
    <comment ref="F47" authorId="0" shapeId="0" xr:uid="{00000000-0006-0000-1400-000014000000}">
      <text>
        <r>
          <rPr>
            <b/>
            <sz val="8"/>
            <color indexed="81"/>
            <rFont val="Tahoma"/>
            <family val="2"/>
          </rPr>
          <t>Bruno Merven:</t>
        </r>
        <r>
          <rPr>
            <sz val="8"/>
            <color indexed="81"/>
            <rFont val="Tahoma"/>
            <family val="2"/>
          </rPr>
          <t xml:space="preserve">
Steam input</t>
        </r>
      </text>
    </comment>
    <comment ref="G47" authorId="0" shapeId="0" xr:uid="{00000000-0006-0000-1400-000015000000}">
      <text>
        <r>
          <rPr>
            <b/>
            <sz val="8"/>
            <color indexed="81"/>
            <rFont val="Tahoma"/>
            <family val="2"/>
          </rPr>
          <t>Bruno Merven:</t>
        </r>
        <r>
          <rPr>
            <sz val="8"/>
            <color indexed="81"/>
            <rFont val="Tahoma"/>
            <family val="2"/>
          </rPr>
          <t xml:space="preserve">
Addition heat input from coal boilers</t>
        </r>
      </text>
    </comment>
    <comment ref="F48" authorId="0" shapeId="0" xr:uid="{00000000-0006-0000-1400-000016000000}">
      <text>
        <r>
          <rPr>
            <b/>
            <sz val="8"/>
            <color indexed="81"/>
            <rFont val="Tahoma"/>
            <family val="2"/>
          </rPr>
          <t>Bruno Merven:</t>
        </r>
        <r>
          <rPr>
            <sz val="8"/>
            <color indexed="81"/>
            <rFont val="Tahoma"/>
            <family val="2"/>
          </rPr>
          <t xml:space="preserve">
Sasol Sustainability report has 18,027 kt</t>
        </r>
      </text>
    </comment>
    <comment ref="G48" authorId="0" shapeId="0" xr:uid="{00000000-0006-0000-1400-000017000000}">
      <text>
        <r>
          <rPr>
            <b/>
            <sz val="8"/>
            <color indexed="81"/>
            <rFont val="Tahoma"/>
            <family val="2"/>
          </rPr>
          <t>Bruno Merven:</t>
        </r>
        <r>
          <rPr>
            <sz val="8"/>
            <color indexed="81"/>
            <rFont val="Tahoma"/>
            <family val="2"/>
          </rPr>
          <t xml:space="preserve">
Coal for syngas production excluding steam production</t>
        </r>
      </text>
    </comment>
    <comment ref="H50" authorId="0" shapeId="0" xr:uid="{00000000-0006-0000-1400-000018000000}">
      <text>
        <r>
          <rPr>
            <b/>
            <sz val="8"/>
            <color indexed="81"/>
            <rFont val="Tahoma"/>
            <family val="2"/>
          </rPr>
          <t>Bruno Merven:</t>
        </r>
        <r>
          <rPr>
            <sz val="8"/>
            <color indexed="81"/>
            <rFont val="Tahoma"/>
            <family val="2"/>
          </rPr>
          <t xml:space="preserve">
from 2000 GHG Inventory - pure process emissions</t>
        </r>
      </text>
    </comment>
    <comment ref="H51" authorId="0" shapeId="0" xr:uid="{00000000-0006-0000-1400-000019000000}">
      <text>
        <r>
          <rPr>
            <b/>
            <sz val="8"/>
            <color indexed="81"/>
            <rFont val="Tahoma"/>
            <family val="2"/>
          </rPr>
          <t>Bruno Merven:</t>
        </r>
        <r>
          <rPr>
            <sz val="8"/>
            <color indexed="81"/>
            <rFont val="Tahoma"/>
            <family val="2"/>
          </rPr>
          <t xml:space="preserve">
use 353 kt emission factor</t>
        </r>
      </text>
    </comment>
    <comment ref="M55" authorId="0" shapeId="0" xr:uid="{00000000-0006-0000-1400-00001A000000}">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0" shapeId="0" xr:uid="{00000000-0006-0000-1400-00001B000000}">
      <text>
        <r>
          <rPr>
            <b/>
            <sz val="8"/>
            <color indexed="81"/>
            <rFont val="Tahoma"/>
            <family val="2"/>
          </rPr>
          <t>Bruno Merven:</t>
        </r>
        <r>
          <rPr>
            <sz val="8"/>
            <color indexed="81"/>
            <rFont val="Tahoma"/>
            <family val="2"/>
          </rPr>
          <t xml:space="preserve">
4094 ktons crude oil processed in 2006 from 2009 Sustainability report</t>
        </r>
      </text>
    </comment>
    <comment ref="D59" authorId="0" shapeId="0" xr:uid="{00000000-0006-0000-1400-00001C000000}">
      <text>
        <r>
          <rPr>
            <b/>
            <sz val="8"/>
            <color indexed="81"/>
            <rFont val="Tahoma"/>
            <family val="2"/>
          </rPr>
          <t>Bruno Merven:</t>
        </r>
        <r>
          <rPr>
            <sz val="8"/>
            <color indexed="81"/>
            <rFont val="Tahoma"/>
            <family val="2"/>
          </rPr>
          <t xml:space="preserve">
from Sustainability report: Need to check whether it's steam or what it is. It could possibly be coke for - internally produced and consumed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Fadiel</author>
    <author>tc={2F97DE14-04F2-4340-A251-3937DB9A8131}</author>
    <author>Bruno Merven</author>
    <author>tc={5C8FFD7D-6226-47B2-86B2-26249845A2A4}</author>
  </authors>
  <commentList>
    <comment ref="D8" authorId="0" shapeId="0" xr:uid="{90AB57C1-120A-4B13-9C20-7EE6F6E5072D}">
      <text>
        <r>
          <rPr>
            <b/>
            <sz val="9"/>
            <color indexed="81"/>
            <rFont val="Tahoma"/>
            <family val="2"/>
          </rPr>
          <t>Fadiel:</t>
        </r>
        <r>
          <rPr>
            <sz val="9"/>
            <color indexed="81"/>
            <rFont val="Tahoma"/>
            <family val="2"/>
          </rPr>
          <t xml:space="preserve">
Sustainability Report 2018
Electricity (purchased)</t>
        </r>
      </text>
    </comment>
    <comment ref="D9" authorId="1" shapeId="0" xr:uid="{2F97DE14-04F2-4340-A251-3937DB9A8131}">
      <text>
        <t>[Threaded comment]
Your version of Excel allows you to read this threaded comment; however, any edits to it will get removed if the file is opened in a newer version of Excel. Learn more: https://go.microsoft.com/fwlink/?linkid=870924
Comment:
    Calculated from eskom CDM data</t>
      </text>
    </comment>
    <comment ref="M19" authorId="2" shapeId="0" xr:uid="{6EDE98D1-FFFC-4D2D-BF50-31CC38F38BBD}">
      <text>
        <r>
          <rPr>
            <b/>
            <sz val="8"/>
            <color indexed="81"/>
            <rFont val="Tahoma"/>
            <family val="2"/>
          </rPr>
          <t>Bruno Merven:</t>
        </r>
        <r>
          <rPr>
            <sz val="8"/>
            <color indexed="81"/>
            <rFont val="Tahoma"/>
            <family val="2"/>
          </rPr>
          <t xml:space="preserve">
~50% of chemicals</t>
        </r>
      </text>
    </comment>
    <comment ref="H20" authorId="2" shapeId="0" xr:uid="{2D44CCEC-C213-4F8B-8282-295E0E6E9CF1}">
      <text>
        <r>
          <rPr>
            <b/>
            <sz val="8"/>
            <color indexed="81"/>
            <rFont val="Tahoma"/>
            <family val="2"/>
          </rPr>
          <t>Bruno Merven:</t>
        </r>
        <r>
          <rPr>
            <sz val="8"/>
            <color indexed="81"/>
            <rFont val="Tahoma"/>
            <family val="2"/>
          </rPr>
          <t xml:space="preserve">
all coal with cogen - ratio of electricity to heat to be checked</t>
        </r>
      </text>
    </comment>
    <comment ref="K20" authorId="2" shapeId="0" xr:uid="{9703106F-8792-479A-B8C3-48282CDEC7DF}">
      <text>
        <r>
          <rPr>
            <b/>
            <sz val="8"/>
            <color indexed="81"/>
            <rFont val="Tahoma"/>
            <family val="2"/>
          </rPr>
          <t>Bruno Merven:</t>
        </r>
        <r>
          <rPr>
            <sz val="8"/>
            <color indexed="81"/>
            <rFont val="Tahoma"/>
            <family val="2"/>
          </rPr>
          <t xml:space="preserve">
29PJ of Coal + 4.4 PJ of gas </t>
        </r>
      </text>
    </comment>
    <comment ref="H21" authorId="2" shapeId="0" xr:uid="{0C54831C-4130-466C-A793-C960EBC1F7BE}">
      <text>
        <r>
          <rPr>
            <b/>
            <sz val="8"/>
            <color indexed="81"/>
            <rFont val="Tahoma"/>
            <family val="2"/>
          </rPr>
          <t>Bruno Merven:</t>
        </r>
        <r>
          <rPr>
            <sz val="8"/>
            <color indexed="81"/>
            <rFont val="Tahoma"/>
            <family val="2"/>
          </rPr>
          <t xml:space="preserve">
From DOE IRP 2011 SSF: 520, Infrachem 130
to be confirmed</t>
        </r>
      </text>
    </comment>
    <comment ref="K21" authorId="2" shapeId="0" xr:uid="{053503F8-A881-4985-B43F-38A6CE05B4F6}">
      <text>
        <r>
          <rPr>
            <b/>
            <sz val="8"/>
            <color indexed="81"/>
            <rFont val="Tahoma"/>
            <family val="2"/>
          </rPr>
          <t>Bruno Merven:</t>
        </r>
        <r>
          <rPr>
            <sz val="8"/>
            <color indexed="81"/>
            <rFont val="Tahoma"/>
            <family val="2"/>
          </rPr>
          <t xml:space="preserve">
Elc input must be subtracted</t>
        </r>
      </text>
    </comment>
    <comment ref="R21" authorId="2" shapeId="0" xr:uid="{D740C40B-CA48-4B85-AB39-105D6DC82AA9}">
      <text>
        <r>
          <rPr>
            <b/>
            <sz val="8"/>
            <color indexed="81"/>
            <rFont val="Tahoma"/>
            <family val="2"/>
          </rPr>
          <t>Bruno Merven:</t>
        </r>
        <r>
          <rPr>
            <sz val="8"/>
            <color indexed="81"/>
            <rFont val="Tahoma"/>
            <family val="2"/>
          </rPr>
          <t xml:space="preserve">
This was the number for Sasol international and needs to be adjusted for SA only</t>
        </r>
      </text>
    </comment>
    <comment ref="M22" authorId="2" shapeId="0" xr:uid="{AC929BFE-EB3E-4B25-980F-63C661D6F997}">
      <text>
        <r>
          <rPr>
            <b/>
            <sz val="8"/>
            <color indexed="81"/>
            <rFont val="Tahoma"/>
            <family val="2"/>
          </rPr>
          <t>Bruno Merven:</t>
        </r>
        <r>
          <rPr>
            <sz val="8"/>
            <color indexed="81"/>
            <rFont val="Tahoma"/>
            <family val="2"/>
          </rPr>
          <t xml:space="preserve">
Check</t>
        </r>
      </text>
    </comment>
    <comment ref="F24" authorId="2" shapeId="0" xr:uid="{A5A94D62-EED8-4F0A-A47F-C7C02408B3D3}">
      <text>
        <r>
          <rPr>
            <b/>
            <sz val="8"/>
            <color indexed="81"/>
            <rFont val="Tahoma"/>
            <family val="2"/>
          </rPr>
          <t>Bruno Merven:</t>
        </r>
        <r>
          <rPr>
            <sz val="8"/>
            <color indexed="81"/>
            <rFont val="Tahoma"/>
            <family val="2"/>
          </rPr>
          <t xml:space="preserve">
efficiency from NIRP3</t>
        </r>
      </text>
    </comment>
    <comment ref="R24" authorId="3" shapeId="0" xr:uid="{5C8FFD7D-6226-47B2-86B2-26249845A2A4}">
      <text>
        <t>[Threaded comment]
Your version of Excel allows you to read this threaded comment; however, any edits to it will get removed if the file is opened in a newer version of Excel. Learn more: https://go.microsoft.com/fwlink/?linkid=870924
Comment:
    sasol cc report 2017</t>
      </text>
    </comment>
    <comment ref="H25" authorId="2" shapeId="0" xr:uid="{7EA74FBB-F876-4751-A7B1-27733ABC76ED}">
      <text>
        <r>
          <rPr>
            <b/>
            <sz val="8"/>
            <color indexed="81"/>
            <rFont val="Tahoma"/>
            <family val="2"/>
          </rPr>
          <t xml:space="preserve">Fadiel:
</t>
        </r>
        <r>
          <rPr>
            <sz val="8"/>
            <color indexed="81"/>
            <rFont val="Tahoma"/>
            <family val="2"/>
          </rPr>
          <t>SR 2018.</t>
        </r>
      </text>
    </comment>
    <comment ref="D26" authorId="0" shapeId="0" xr:uid="{27CB8AD9-70F2-4802-B9C5-1771EFDAF1D0}">
      <text>
        <r>
          <rPr>
            <b/>
            <sz val="9"/>
            <color indexed="81"/>
            <rFont val="Tahoma"/>
            <family val="2"/>
          </rPr>
          <t>Fadiel:</t>
        </r>
        <r>
          <rPr>
            <sz val="9"/>
            <color indexed="81"/>
            <rFont val="Tahoma"/>
            <family val="2"/>
          </rPr>
          <t xml:space="preserve">
DMRE 2017 EB</t>
        </r>
      </text>
    </comment>
    <comment ref="F30" authorId="2" shapeId="0" xr:uid="{AA6CC404-D42C-4285-89E9-63BB196B0B3E}">
      <text>
        <r>
          <rPr>
            <b/>
            <sz val="8"/>
            <color indexed="81"/>
            <rFont val="Tahoma"/>
            <family val="2"/>
          </rPr>
          <t>Bruno Merven:</t>
        </r>
        <r>
          <rPr>
            <sz val="8"/>
            <color indexed="81"/>
            <rFont val="Tahoma"/>
            <family val="2"/>
          </rPr>
          <t xml:space="preserve">
275 in sustainability report of 2009 (split 40 Mtons ssf, 1.6 chemicals), 1.6 is without ash and should be handled with higher energy content.</t>
        </r>
      </text>
    </comment>
    <comment ref="H34" authorId="2" shapeId="0" xr:uid="{9FD4B233-C7EE-4E12-B5E1-6C8DF9956B36}">
      <text>
        <r>
          <rPr>
            <b/>
            <sz val="8"/>
            <color indexed="81"/>
            <rFont val="Tahoma"/>
            <family val="2"/>
          </rPr>
          <t>Bruno Merven:</t>
        </r>
        <r>
          <rPr>
            <sz val="8"/>
            <color indexed="81"/>
            <rFont val="Tahoma"/>
            <family val="2"/>
          </rPr>
          <t xml:space="preserve">
to be checked: no plans to use waste steam for cogen</t>
        </r>
      </text>
    </comment>
    <comment ref="H35" authorId="2" shapeId="0" xr:uid="{76CD46AC-A80B-4339-884B-363A8B612495}">
      <text>
        <r>
          <rPr>
            <b/>
            <sz val="8"/>
            <color indexed="81"/>
            <rFont val="Tahoma"/>
            <family val="2"/>
          </rPr>
          <t>Fadiel
tch-pwr.nersa2017</t>
        </r>
      </text>
    </comment>
    <comment ref="D38" authorId="2" shapeId="0" xr:uid="{9F09BC35-87F9-40E1-B387-287A08345B53}">
      <text>
        <r>
          <rPr>
            <b/>
            <sz val="8"/>
            <color indexed="81"/>
            <rFont val="Tahoma"/>
            <family val="2"/>
          </rPr>
          <t>Fadiel Ahjum:</t>
        </r>
        <r>
          <rPr>
            <sz val="8"/>
            <color indexed="81"/>
            <rFont val="Tahoma"/>
            <family val="2"/>
          </rPr>
          <t xml:space="preserve">
Sasol SR (2018)</t>
        </r>
      </text>
    </comment>
    <comment ref="H39" authorId="2" shapeId="0" xr:uid="{B136C5CF-DC71-49F2-8C17-27F9380002FC}">
      <text>
        <r>
          <rPr>
            <b/>
            <sz val="8"/>
            <color indexed="81"/>
            <rFont val="Tahoma"/>
            <family val="2"/>
          </rPr>
          <t>Bruno Merven:</t>
        </r>
        <r>
          <rPr>
            <sz val="8"/>
            <color indexed="81"/>
            <rFont val="Tahoma"/>
            <family val="2"/>
          </rPr>
          <t xml:space="preserve">
Assuming equal share of heat and electricty output</t>
        </r>
      </text>
    </comment>
    <comment ref="K44" authorId="2" shapeId="0" xr:uid="{056EEB03-EFF9-4A41-831E-915CBD597E45}">
      <text>
        <r>
          <rPr>
            <b/>
            <sz val="8"/>
            <color indexed="81"/>
            <rFont val="Tahoma"/>
            <family val="2"/>
          </rPr>
          <t>Bruno Merven:</t>
        </r>
        <r>
          <rPr>
            <sz val="8"/>
            <color indexed="81"/>
            <rFont val="Tahoma"/>
            <family val="2"/>
          </rPr>
          <t xml:space="preserve">
Scaling of initially quantified 5.05mt of energy products  to account for chemicals</t>
        </r>
      </text>
    </comment>
    <comment ref="F45" authorId="2" shapeId="0" xr:uid="{980F4EED-D9AF-4CE1-91AA-AFF5B1C9CE41}">
      <text>
        <r>
          <rPr>
            <b/>
            <sz val="8"/>
            <color indexed="81"/>
            <rFont val="Tahoma"/>
            <family val="2"/>
          </rPr>
          <t>Fadiel Ahjum:</t>
        </r>
        <r>
          <rPr>
            <sz val="8"/>
            <color indexed="81"/>
            <rFont val="Tahoma"/>
            <family val="2"/>
          </rPr>
          <t xml:space="preserve">
Sasolburg gas to FT</t>
        </r>
      </text>
    </comment>
    <comment ref="F47" authorId="2" shapeId="0" xr:uid="{B08F1879-B314-4113-ABA4-B15AAA8C24EB}">
      <text>
        <r>
          <rPr>
            <b/>
            <sz val="8"/>
            <color indexed="81"/>
            <rFont val="Tahoma"/>
            <family val="2"/>
          </rPr>
          <t>Bruno Merven:</t>
        </r>
        <r>
          <rPr>
            <sz val="8"/>
            <color indexed="81"/>
            <rFont val="Tahoma"/>
            <family val="2"/>
          </rPr>
          <t xml:space="preserve">
Steam input</t>
        </r>
      </text>
    </comment>
    <comment ref="G47" authorId="2" shapeId="0" xr:uid="{888C332E-38A2-4484-929A-6470640C5B40}">
      <text>
        <r>
          <rPr>
            <b/>
            <sz val="8"/>
            <color indexed="81"/>
            <rFont val="Tahoma"/>
            <family val="2"/>
          </rPr>
          <t>Bruno Merven:</t>
        </r>
        <r>
          <rPr>
            <sz val="8"/>
            <color indexed="81"/>
            <rFont val="Tahoma"/>
            <family val="2"/>
          </rPr>
          <t xml:space="preserve">
Addition heat input from coal boilers</t>
        </r>
      </text>
    </comment>
    <comment ref="F48" authorId="2" shapeId="0" xr:uid="{40BD645B-889B-4DDB-9938-3FB48A504215}">
      <text>
        <r>
          <rPr>
            <b/>
            <sz val="8"/>
            <color indexed="81"/>
            <rFont val="Tahoma"/>
            <family val="2"/>
          </rPr>
          <t>Bruno Merven:</t>
        </r>
        <r>
          <rPr>
            <sz val="8"/>
            <color indexed="81"/>
            <rFont val="Tahoma"/>
            <family val="2"/>
          </rPr>
          <t xml:space="preserve">
Sasol Sustainability report has 18,027 kt</t>
        </r>
      </text>
    </comment>
    <comment ref="G48" authorId="2" shapeId="0" xr:uid="{698F0950-3CF2-44AD-BA54-5458AC663513}">
      <text>
        <r>
          <rPr>
            <b/>
            <sz val="8"/>
            <color indexed="81"/>
            <rFont val="Tahoma"/>
            <family val="2"/>
          </rPr>
          <t>Bruno Merven:</t>
        </r>
        <r>
          <rPr>
            <sz val="8"/>
            <color indexed="81"/>
            <rFont val="Tahoma"/>
            <family val="2"/>
          </rPr>
          <t xml:space="preserve">
Coal for syngas production excluding steam production</t>
        </r>
      </text>
    </comment>
    <comment ref="H50" authorId="2" shapeId="0" xr:uid="{9C663380-6E94-4968-B4AA-7C264904896B}">
      <text>
        <r>
          <rPr>
            <b/>
            <sz val="8"/>
            <color indexed="81"/>
            <rFont val="Tahoma"/>
            <family val="2"/>
          </rPr>
          <t>Bruno Merven:</t>
        </r>
        <r>
          <rPr>
            <sz val="8"/>
            <color indexed="81"/>
            <rFont val="Tahoma"/>
            <family val="2"/>
          </rPr>
          <t xml:space="preserve">
from 2000 GHG Inventory - pure process emissions</t>
        </r>
      </text>
    </comment>
    <comment ref="H51" authorId="2" shapeId="0" xr:uid="{A778EEC4-8D00-43F7-B9BE-27DA4A10D259}">
      <text>
        <r>
          <rPr>
            <b/>
            <sz val="8"/>
            <color indexed="81"/>
            <rFont val="Tahoma"/>
            <family val="2"/>
          </rPr>
          <t>Bruno Merven:</t>
        </r>
        <r>
          <rPr>
            <sz val="8"/>
            <color indexed="81"/>
            <rFont val="Tahoma"/>
            <family val="2"/>
          </rPr>
          <t xml:space="preserve">
use 353 kt emission factor</t>
        </r>
      </text>
    </comment>
    <comment ref="M55" authorId="2" shapeId="0" xr:uid="{1E9719D8-0837-4ABE-B6DA-81EE87F9D7F9}">
      <text>
        <r>
          <rPr>
            <b/>
            <sz val="8"/>
            <color indexed="81"/>
            <rFont val="Tahoma"/>
            <family val="2"/>
          </rPr>
          <t>Bruno Merven:</t>
        </r>
        <r>
          <rPr>
            <sz val="8"/>
            <color indexed="81"/>
            <rFont val="Tahoma"/>
            <family val="2"/>
          </rPr>
          <t xml:space="preserve">
Sustainability report includes the whole of Natref even though Saol only owns 40% - to be checked.</t>
        </r>
      </text>
    </comment>
    <comment ref="K58" authorId="2" shapeId="0" xr:uid="{2EED7F28-B320-4BE6-9219-FC68A56BD0E5}">
      <text>
        <r>
          <rPr>
            <b/>
            <sz val="8"/>
            <color indexed="81"/>
            <rFont val="Tahoma"/>
            <family val="2"/>
          </rPr>
          <t>Bruno Merven:</t>
        </r>
        <r>
          <rPr>
            <sz val="8"/>
            <color indexed="81"/>
            <rFont val="Tahoma"/>
            <family val="2"/>
          </rPr>
          <t xml:space="preserve">
4094 ktons crude oil processed in 2006 from 2009 Sustainability report</t>
        </r>
      </text>
    </comment>
    <comment ref="D59" authorId="2" shapeId="0" xr:uid="{E0AD2418-AC8E-4FDD-B3CF-36272C8E3469}">
      <text>
        <r>
          <rPr>
            <b/>
            <sz val="8"/>
            <color indexed="81"/>
            <rFont val="Tahoma"/>
            <family val="2"/>
          </rPr>
          <t>Fadiel Ahjum:</t>
        </r>
        <r>
          <rPr>
            <sz val="8"/>
            <color indexed="81"/>
            <rFont val="Tahoma"/>
            <family val="2"/>
          </rPr>
          <t xml:space="preserve">
No purchases  recorded in Sustainability report (2018). Previous value: 8,523 TJ</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A36" authorId="0" shapeId="0" xr:uid="{961FA15F-0F9C-41AB-A0DD-F5525488D192}">
      <text>
        <r>
          <rPr>
            <b/>
            <sz val="9"/>
            <color indexed="81"/>
            <rFont val="Tahoma"/>
            <family val="2"/>
          </rPr>
          <t>Fadiel:</t>
        </r>
        <r>
          <rPr>
            <sz val="9"/>
            <color indexed="81"/>
            <rFont val="Tahoma"/>
            <family val="2"/>
          </rPr>
          <t xml:space="preserve">
</t>
        </r>
      </text>
    </comment>
    <comment ref="S36" authorId="0" shapeId="0" xr:uid="{5019C9E0-B47B-425B-B55A-DC6159FCBBB1}">
      <text>
        <r>
          <rPr>
            <b/>
            <sz val="9"/>
            <color indexed="81"/>
            <rFont val="Tahoma"/>
            <family val="2"/>
          </rPr>
          <t>Fadiel:</t>
        </r>
        <r>
          <rPr>
            <sz val="9"/>
            <color indexed="81"/>
            <rFont val="Tahoma"/>
            <family val="2"/>
          </rPr>
          <t xml:space="preserve">
Sasol additional analyst handbook 31 Dec2018</t>
        </r>
      </text>
    </comment>
    <comment ref="A45" authorId="0" shapeId="0" xr:uid="{11B35548-A1AA-42DF-A8AB-DB68A82DBCEA}">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46" authorId="0" shapeId="0" xr:uid="{264FD24E-5A13-474C-9E28-02BAB12944BC}">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47" authorId="0" shapeId="0" xr:uid="{8D381B7E-B211-413A-A741-447ADC781DC4}">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 ref="A85" authorId="0" shapeId="0" xr:uid="{94DB5B33-7705-494F-A245-8F87AB4D994C}">
      <text>
        <r>
          <rPr>
            <b/>
            <sz val="9"/>
            <color indexed="81"/>
            <rFont val="Tahoma"/>
            <family val="2"/>
          </rPr>
          <t>Fadiel:</t>
        </r>
        <r>
          <rPr>
            <sz val="9"/>
            <color indexed="81"/>
            <rFont val="Tahoma"/>
            <family val="2"/>
          </rPr>
          <t xml:space="preserve">
Base Chemicals markets a broad portfolio of commodity chemicals globally. The business consists of three key divisions: Polymers, Solvents, and  Fertilisers.Our key products include polymers (polyethylene, polypropylene, polyvinyl chloride); solvents (ketones, alcohols, acrylates), chlor-alkali chemicals (caustic soda, hydrochloric acid) and phenolics; as well as mining reagents (cyanide); ammonium nitrate base products; and sulphur derivatives. https://www.sasol.com/about-sasol/strategic-business-units/chemical-business/base-chemicals/overview</t>
        </r>
      </text>
    </comment>
    <comment ref="A86" authorId="0" shapeId="0" xr:uid="{F28E7306-97CE-4E1D-90A9-B400CE15EC08}">
      <text>
        <r>
          <rPr>
            <b/>
            <sz val="9"/>
            <color indexed="81"/>
            <rFont val="Tahoma"/>
            <family val="2"/>
          </rPr>
          <t xml:space="preserve">Fadiel:
</t>
        </r>
        <r>
          <rPr>
            <sz val="9"/>
            <color indexed="81"/>
            <rFont val="Tahoma"/>
            <family val="2"/>
          </rPr>
          <t>Sasol Performance Chemicals develops and markets a broad portfolio of organic and inorganic commodity and specialty chemicals and comprises three key business divisions: Organics, Advanced Materials and Wax. Our offices in 18 countries serve customers around the world with a multifaceted portfolio of state-of-the-art chemical products and solutions for a wide range of applications and industries.</t>
        </r>
        <r>
          <rPr>
            <sz val="9"/>
            <color indexed="81"/>
            <rFont val="Tahoma"/>
            <family val="2"/>
          </rPr>
          <t xml:space="preserve">
Surfactants, surfactant intermediates, fatty alcohols, linear alkyl benzene (LAB), short-chain linear alpha olefins, mineral oil-based and synthetic paraffin waxes, high-purity and ultra-high-purity alumina as well as high-quality carbon solutions form the basis of our key product range.</t>
        </r>
      </text>
    </comment>
    <comment ref="A87" authorId="0" shapeId="0" xr:uid="{6A8EAF4F-4A93-40E3-84E8-BE5062C2B09F}">
      <text>
        <r>
          <rPr>
            <b/>
            <sz val="9"/>
            <color indexed="81"/>
            <rFont val="Tahoma"/>
            <family val="2"/>
          </rPr>
          <t>Fadiel:</t>
        </r>
        <r>
          <rPr>
            <sz val="9"/>
            <color indexed="81"/>
            <rFont val="Tahoma"/>
            <family val="2"/>
          </rPr>
          <t xml:space="preserve">
The Energy Business manages the marketing and sales of all oil, gas and electricity products in Southern Africa, which have been consolidated under a single umbrella. In addition, this cluster oversees Sasol’s international GTL (gas to liquid) ventures in Qatar and Nigeria.</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tc={DDCF3564-49AA-4DC4-A97F-6E94BA9D3A99}</author>
    <author>Fadiel</author>
  </authors>
  <commentList>
    <comment ref="T50" authorId="0" shapeId="0" xr:uid="{DDCF3564-49AA-4DC4-A97F-6E94BA9D3A99}">
      <text>
        <t>[Threaded comment]
Your version of Excel allows you to read this threaded comment; however, any edits to it will get removed if the file is opened in a newer version of Excel. Learn more: https://go.microsoft.com/fwlink/?linkid=870924
Comment:
    adjusted to match sasol total CO2 direct emissions for 2017 in CC report (2017)</t>
      </text>
    </comment>
    <comment ref="P51" authorId="1" shapeId="0" xr:uid="{8F3CA143-2DD0-4E92-8D2D-B10106E46CEF}">
      <text>
        <r>
          <rPr>
            <b/>
            <sz val="9"/>
            <color indexed="81"/>
            <rFont val="Tahoma"/>
            <family val="2"/>
          </rPr>
          <t>Fadiel:</t>
        </r>
        <r>
          <rPr>
            <sz val="9"/>
            <color indexed="81"/>
            <rFont val="Tahoma"/>
            <family val="2"/>
          </rPr>
          <t xml:space="preserve">
CO2 value stated
</t>
        </r>
      </text>
    </comment>
    <comment ref="C94" authorId="1" shapeId="0" xr:uid="{E7392E39-9208-498B-91AF-DF3D2579FAAA}">
      <text>
        <r>
          <rPr>
            <b/>
            <sz val="9"/>
            <color indexed="81"/>
            <rFont val="Tahoma"/>
            <family val="2"/>
          </rPr>
          <t>Fadiel:</t>
        </r>
        <r>
          <rPr>
            <sz val="9"/>
            <color indexed="81"/>
            <rFont val="Tahoma"/>
            <family val="2"/>
          </rPr>
          <t xml:space="preserve">
261403 TJ : Sustainability Report 2018</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Fadiel</author>
    <author>tc={54C9F0EB-622C-47A8-9C91-7D3D3D18354E}</author>
    <author>tc={4EA3CB5D-7133-488B-BECE-BFD55EEFF4AC}</author>
    <author>tc={0BA273AE-6DCA-40D9-AE27-C9AB6D3006BE}</author>
    <author>tc={705A66FB-27F3-4F62-B38C-FB777BFE2821}</author>
    <author>tc={E2BE3853-D8BE-4488-8FAC-661407437727}</author>
    <author>tc={C9C9D365-219A-465B-B982-994E13D9E929}</author>
    <author>Bruno Merven</author>
    <author>bruno merven</author>
    <author>Fadiel Ahjum</author>
    <author>tc={D9E22C50-FBF5-4229-8E8B-05279D96177A}</author>
    <author>tc={3C70C4E7-C4D8-4D25-855A-177A02A5472B}</author>
  </authors>
  <commentList>
    <comment ref="T13" authorId="0" shapeId="0" xr:uid="{4F1D6502-2086-44B9-914F-74826E407D4B}">
      <text>
        <r>
          <rPr>
            <b/>
            <sz val="9"/>
            <color indexed="81"/>
            <rFont val="Tahoma"/>
            <family val="2"/>
          </rPr>
          <t>Fadiel:</t>
        </r>
        <r>
          <rPr>
            <sz val="9"/>
            <color indexed="81"/>
            <rFont val="Tahoma"/>
            <family val="2"/>
          </rPr>
          <t xml:space="preserve">
estimated from sasol SR 2018</t>
        </r>
      </text>
    </comment>
    <comment ref="O19" authorId="0" shapeId="0" xr:uid="{A28727AF-51AD-449F-91F3-C5D9A64B4931}">
      <text>
        <r>
          <rPr>
            <b/>
            <sz val="9"/>
            <color indexed="81"/>
            <rFont val="Tahoma"/>
            <family val="2"/>
          </rPr>
          <t>Fadiel:</t>
        </r>
        <r>
          <rPr>
            <sz val="9"/>
            <color indexed="81"/>
            <rFont val="Tahoma"/>
            <family val="2"/>
          </rPr>
          <t xml:space="preserve">
this should be in tch_pwr</t>
        </r>
      </text>
    </comment>
    <comment ref="D20" authorId="0" shapeId="0" xr:uid="{4EC49426-AF34-47DF-99C7-0D4D930D08A9}">
      <text>
        <r>
          <rPr>
            <b/>
            <sz val="9"/>
            <color indexed="81"/>
            <rFont val="Tahoma"/>
            <family val="2"/>
          </rPr>
          <t>Fadiel:</t>
        </r>
        <r>
          <rPr>
            <sz val="9"/>
            <color indexed="81"/>
            <rFont val="Tahoma"/>
            <family val="2"/>
          </rPr>
          <t xml:space="preserve">
Goal seek to match CV value given by sasol secunda DEA (2016)
Previous value 0.65
</t>
        </r>
      </text>
    </comment>
    <comment ref="P20" authorId="0" shapeId="0" xr:uid="{66B37531-D6A7-4ED9-80A6-416D19E51E50}">
      <text>
        <r>
          <rPr>
            <b/>
            <sz val="9"/>
            <color indexed="81"/>
            <rFont val="Tahoma"/>
            <family val="2"/>
          </rPr>
          <t>Fadiel:</t>
        </r>
        <r>
          <rPr>
            <sz val="9"/>
            <color indexed="81"/>
            <rFont val="Tahoma"/>
            <family val="2"/>
          </rPr>
          <t xml:space="preserve">
NIR 2017 boiler coal combustion</t>
        </r>
      </text>
    </comment>
    <comment ref="E22" authorId="0" shapeId="0" xr:uid="{351ED1B5-8CCB-43A3-8AEE-F665D952FA9C}">
      <text>
        <r>
          <rPr>
            <b/>
            <sz val="9"/>
            <color indexed="81"/>
            <rFont val="Tahoma"/>
            <family val="2"/>
          </rPr>
          <t>Fadiel:</t>
        </r>
        <r>
          <rPr>
            <sz val="9"/>
            <color indexed="81"/>
            <rFont val="Tahoma"/>
            <family val="2"/>
          </rPr>
          <t xml:space="preserve">
Alternate calc.</t>
        </r>
      </text>
    </comment>
    <comment ref="D23" authorId="0" shapeId="0" xr:uid="{15423409-21B2-4081-A243-1F85E276C61C}">
      <text>
        <r>
          <rPr>
            <b/>
            <sz val="9"/>
            <color indexed="81"/>
            <rFont val="Tahoma"/>
            <family val="2"/>
          </rPr>
          <t>Fadiel:</t>
        </r>
        <r>
          <rPr>
            <sz val="9"/>
            <color indexed="81"/>
            <rFont val="Tahoma"/>
            <family val="2"/>
          </rPr>
          <t xml:space="preserve">
261403 TJ : Sustainability Report 2018</t>
        </r>
      </text>
    </comment>
    <comment ref="P25" authorId="0" shapeId="0" xr:uid="{9106E1D1-6834-4DDD-B076-F40D3A224D3D}">
      <text>
        <r>
          <rPr>
            <b/>
            <sz val="9"/>
            <color indexed="81"/>
            <rFont val="Tahoma"/>
            <family val="2"/>
          </rPr>
          <t>Fadiel:</t>
        </r>
        <r>
          <rPr>
            <sz val="9"/>
            <color indexed="81"/>
            <rFont val="Tahoma"/>
            <family val="2"/>
          </rPr>
          <t xml:space="preserve">
Gas Flaring: already accounted for in total emissions
</t>
        </r>
      </text>
    </comment>
    <comment ref="M27" authorId="0" shapeId="0" xr:uid="{4401D41A-F848-4067-AFE5-3B433A84C6D5}">
      <text>
        <r>
          <rPr>
            <b/>
            <sz val="9"/>
            <color indexed="81"/>
            <rFont val="Tahoma"/>
            <family val="2"/>
          </rPr>
          <t>Fadiel:</t>
        </r>
        <r>
          <rPr>
            <sz val="9"/>
            <color indexed="81"/>
            <rFont val="Tahoma"/>
            <family val="2"/>
          </rPr>
          <t xml:space="preserve">
591  ktpa gasification</t>
        </r>
      </text>
    </comment>
    <comment ref="D28" authorId="1" shapeId="0" xr:uid="{54C9F0EB-622C-47A8-9C91-7D3D3D18354E}">
      <text>
        <t>[Threaded comment]
Your version of Excel allows you to read this threaded comment; however, any edits to it will get removed if the file is opened in a newer version of Excel. Learn more: https://go.microsoft.com/fwlink/?linkid=870924
Comment:
    https://www.thermexcel.com/english/tables/vapeau1.htm
Reply:
    2,627 previous value</t>
      </text>
    </comment>
    <comment ref="H28" authorId="2" shapeId="0" xr:uid="{4EA3CB5D-7133-488B-BECE-BFD55EEFF4AC}">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D29" authorId="0" shapeId="0" xr:uid="{A3F50E4E-8872-4936-B741-EE8BAB3858EA}">
      <text>
        <r>
          <rPr>
            <b/>
            <sz val="9"/>
            <color indexed="81"/>
            <rFont val="Tahoma"/>
            <family val="2"/>
          </rPr>
          <t>Fadiel:</t>
        </r>
        <r>
          <rPr>
            <sz val="9"/>
            <color indexed="81"/>
            <rFont val="Tahoma"/>
            <family val="2"/>
          </rPr>
          <t xml:space="preserve">
0.35 original value
</t>
        </r>
      </text>
    </comment>
    <comment ref="H29" authorId="3" shapeId="0" xr:uid="{0BA273AE-6DCA-40D9-AE27-C9AB6D3006BE}">
      <text>
        <t>[Threaded comment]
Your version of Excel allows you to read this threaded comment; however, any edits to it will get removed if the file is opened in a newer version of Excel. Learn more: https://go.microsoft.com/fwlink/?linkid=870924
Comment:
    https://www.environment.gov.za/sites/default/files/docs/publications/calculationofcountryspecificemissionfactors.pdf</t>
      </text>
    </comment>
    <comment ref="H30" authorId="4" shapeId="0" xr:uid="{705A66FB-27F3-4F62-B38C-FB777BFE2821}">
      <text>
        <t>[Threaded comment]
Your version of Excel allows you to read this threaded comment; however, any edits to it will get removed if the file is opened in a newer version of Excel. Learn more: https://go.microsoft.com/fwlink/?linkid=870924
Comment:
    http://mhps.co.za/en/references-sasol-ii-iii.html
Reply:
    Also as reported in SRK (2018)</t>
      </text>
    </comment>
    <comment ref="D31" authorId="0" shapeId="0" xr:uid="{45A0EA7B-109F-40A2-A413-B5BE8302236A}">
      <text>
        <r>
          <rPr>
            <b/>
            <sz val="9"/>
            <color indexed="81"/>
            <rFont val="Tahoma"/>
            <family val="2"/>
          </rPr>
          <t>Fadiel:</t>
        </r>
        <r>
          <rPr>
            <sz val="9"/>
            <color indexed="81"/>
            <rFont val="Tahoma"/>
            <family val="2"/>
          </rPr>
          <t xml:space="preserve">
96.25</t>
        </r>
      </text>
    </comment>
    <comment ref="E31" authorId="0" shapeId="0" xr:uid="{B9E097CF-FED9-43DB-B7D0-3AEC622C37DB}">
      <text>
        <r>
          <rPr>
            <b/>
            <sz val="9"/>
            <color indexed="81"/>
            <rFont val="Tahoma"/>
            <family val="2"/>
          </rPr>
          <t>Fadiel:</t>
        </r>
        <r>
          <rPr>
            <sz val="9"/>
            <color indexed="81"/>
            <rFont val="Tahoma"/>
            <family val="2"/>
          </rPr>
          <t xml:space="preserve">
SASOL EF from NIR 2017 data for secunda</t>
        </r>
      </text>
    </comment>
    <comment ref="J34" authorId="0" shapeId="0" xr:uid="{EDDC533F-F93A-4DA0-A718-230E017EC9DC}">
      <text>
        <r>
          <rPr>
            <b/>
            <sz val="9"/>
            <color indexed="81"/>
            <rFont val="Tahoma"/>
            <family val="2"/>
          </rPr>
          <t>Fadiel:</t>
        </r>
        <r>
          <rPr>
            <sz val="9"/>
            <color indexed="81"/>
            <rFont val="Tahoma"/>
            <family val="2"/>
          </rPr>
          <t xml:space="preserve">
SASOL AAI (2018) ktpa refined  product</t>
        </r>
      </text>
    </comment>
    <comment ref="D36" authorId="5" shapeId="0" xr:uid="{E2BE3853-D8BE-4488-8FAC-661407437727}">
      <text>
        <t>[Threaded comment]
Your version of Excel allows you to read this threaded comment; however, any edits to it will get removed if the file is opened in a newer version of Excel. Learn more: https://go.microsoft.com/fwlink/?linkid=870924
Comment:
    adjusted this to get actual estimated emissions from elc production.</t>
      </text>
    </comment>
    <comment ref="O54" authorId="0" shapeId="0" xr:uid="{87D91FB0-2AB1-4D3A-8F9E-06649CFAEEBE}">
      <text>
        <r>
          <rPr>
            <b/>
            <sz val="9"/>
            <color indexed="81"/>
            <rFont val="Tahoma"/>
            <family val="2"/>
          </rPr>
          <t>Fadiel:</t>
        </r>
        <r>
          <rPr>
            <sz val="9"/>
            <color indexed="81"/>
            <rFont val="Tahoma"/>
            <family val="2"/>
          </rPr>
          <t xml:space="preserve">
 adjustment based on AFA  to EF to match NIR 2017 </t>
        </r>
      </text>
    </comment>
    <comment ref="D67" authorId="6" shapeId="0" xr:uid="{C9C9D365-219A-465B-B982-994E13D9E929}">
      <text>
        <t>[Threaded comment]
Your version of Excel allows you to read this threaded comment; however, any edits to it will get removed if the file is opened in a newer version of Excel. Learn more: https://go.microsoft.com/fwlink/?linkid=870924
Comment:
    this is what was consumed the rest was exported.</t>
      </text>
    </comment>
    <comment ref="B80" authorId="7" shapeId="0" xr:uid="{00000000-0006-0000-1A00-000001000000}">
      <text>
        <r>
          <rPr>
            <b/>
            <sz val="8"/>
            <color indexed="81"/>
            <rFont val="Tahoma"/>
            <family val="2"/>
          </rPr>
          <t>Bruno Merven:</t>
        </r>
        <r>
          <rPr>
            <sz val="8"/>
            <color indexed="81"/>
            <rFont val="Tahoma"/>
            <family val="2"/>
          </rPr>
          <t xml:space="preserve">
Assumes 63% of Natref attributed to Sasol</t>
        </r>
      </text>
    </comment>
    <comment ref="B83" authorId="7" shapeId="0" xr:uid="{00000000-0006-0000-1A00-000002000000}">
      <text>
        <r>
          <rPr>
            <b/>
            <sz val="8"/>
            <color indexed="81"/>
            <rFont val="Tahoma"/>
            <family val="2"/>
          </rPr>
          <t>Bruno Merven:</t>
        </r>
        <r>
          <rPr>
            <sz val="8"/>
            <color indexed="81"/>
            <rFont val="Tahoma"/>
            <family val="2"/>
          </rPr>
          <t xml:space="preserve">
Total output including Sasol + ELFTOTAL</t>
        </r>
      </text>
    </comment>
    <comment ref="O84" authorId="0" shapeId="0" xr:uid="{6D3EA725-0F64-483F-8F7C-F086CAFD3DEF}">
      <text>
        <r>
          <rPr>
            <b/>
            <sz val="9"/>
            <color indexed="81"/>
            <rFont val="Tahoma"/>
            <family val="2"/>
          </rPr>
          <t>Fadiel:</t>
        </r>
        <r>
          <rPr>
            <sz val="9"/>
            <color indexed="81"/>
            <rFont val="Tahoma"/>
            <family val="2"/>
          </rPr>
          <t xml:space="preserve">
 adjustment based on AFA  to EF to match NIR 2017 </t>
        </r>
      </text>
    </comment>
    <comment ref="O88" authorId="0" shapeId="0" xr:uid="{0A4EFA90-2314-4105-AED4-7884112BC068}">
      <text>
        <r>
          <rPr>
            <b/>
            <sz val="9"/>
            <color indexed="81"/>
            <rFont val="Tahoma"/>
            <family val="2"/>
          </rPr>
          <t>Fadiel:</t>
        </r>
        <r>
          <rPr>
            <sz val="9"/>
            <color indexed="81"/>
            <rFont val="Tahoma"/>
            <family val="2"/>
          </rPr>
          <t xml:space="preserve">
ZAR2015 checl.
Do not adjust  here as it's scaled in import  sheet</t>
        </r>
      </text>
    </comment>
    <comment ref="G97" authorId="8" shapeId="0" xr:uid="{00000000-0006-0000-1A00-000003000000}">
      <text>
        <r>
          <rPr>
            <b/>
            <sz val="9"/>
            <color indexed="81"/>
            <rFont val="Tahoma"/>
            <family val="2"/>
          </rPr>
          <t>bruno merven:</t>
        </r>
        <r>
          <rPr>
            <sz val="9"/>
            <color indexed="81"/>
            <rFont val="Tahoma"/>
            <family val="2"/>
          </rPr>
          <t xml:space="preserve">
Analyst Book June 2012: Search for "Tonnages sold".</t>
        </r>
      </text>
    </comment>
    <comment ref="D102" authorId="8" shapeId="0" xr:uid="{00000000-0006-0000-1A00-000004000000}">
      <text>
        <r>
          <rPr>
            <b/>
            <sz val="9"/>
            <color indexed="81"/>
            <rFont val="Tahoma"/>
            <family val="2"/>
          </rPr>
          <t>bruno merven:</t>
        </r>
        <r>
          <rPr>
            <sz val="9"/>
            <color indexed="81"/>
            <rFont val="Tahoma"/>
            <family val="2"/>
          </rPr>
          <t xml:space="preserve">
combined sasol and external markets</t>
        </r>
      </text>
    </comment>
    <comment ref="G102" authorId="8" shapeId="0" xr:uid="{00000000-0006-0000-1A00-000005000000}">
      <text>
        <r>
          <rPr>
            <b/>
            <sz val="9"/>
            <color indexed="81"/>
            <rFont val="Tahoma"/>
            <family val="2"/>
          </rPr>
          <t>bruno merven:</t>
        </r>
        <r>
          <rPr>
            <sz val="9"/>
            <color indexed="81"/>
            <rFont val="Tahoma"/>
            <family val="2"/>
          </rPr>
          <t xml:space="preserve">
sasol market</t>
        </r>
      </text>
    </comment>
    <comment ref="B115" authorId="7" shapeId="0" xr:uid="{00000000-0006-0000-1A00-000006000000}">
      <text>
        <r>
          <rPr>
            <b/>
            <sz val="8"/>
            <color indexed="81"/>
            <rFont val="Tahoma"/>
            <family val="2"/>
          </rPr>
          <t>Bruno Merven:</t>
        </r>
        <r>
          <rPr>
            <sz val="8"/>
            <color indexed="81"/>
            <rFont val="Tahoma"/>
            <family val="2"/>
          </rPr>
          <t xml:space="preserve">
The inclusion or exclusion of electricity costs needs to be looked at again.</t>
        </r>
      </text>
    </comment>
    <comment ref="H123" authorId="9" shapeId="0" xr:uid="{00000000-0006-0000-1A00-000007000000}">
      <text>
        <r>
          <rPr>
            <sz val="9"/>
            <color indexed="81"/>
            <rFont val="Tahoma"/>
            <family val="2"/>
          </rPr>
          <t>1 barrel of oil (LHV) ≈
5.70 GJ (IEA def.)
5.86 GJ (global avg.)
Iain Staffell, University of Birmingham, UK 2011</t>
        </r>
      </text>
    </comment>
    <comment ref="D155" authorId="10" shapeId="0" xr:uid="{D9E22C50-FBF5-4229-8E8B-05279D96177A}">
      <text>
        <t>[Threaded comment]
Your version of Excel allows you to read this threaded comment; however, any edits to it will get removed if the file is opened in a newer version of Excel. Learn more: https://go.microsoft.com/fwlink/?linkid=870924
Comment:
    Something weird going on here - we should be subtracting crude used by PetroSA and Natref. Crude imports look ok in 2017, so leaving this for now. But it would be good to rebuild this spreadsheet at some point.</t>
      </text>
    </comment>
    <comment ref="N171" authorId="7" shapeId="0" xr:uid="{00000000-0006-0000-1A00-000008000000}">
      <text>
        <r>
          <rPr>
            <b/>
            <sz val="8"/>
            <color indexed="81"/>
            <rFont val="Tahoma"/>
            <family val="2"/>
          </rPr>
          <t xml:space="preserve">Fadiel:
</t>
        </r>
        <r>
          <rPr>
            <sz val="8"/>
            <color indexed="81"/>
            <rFont val="Tahoma"/>
            <family val="2"/>
          </rPr>
          <t xml:space="preserve"> Adjusted to match SAPIA and NIR  CO2 emisisons</t>
        </r>
        <r>
          <rPr>
            <b/>
            <sz val="8"/>
            <color indexed="81"/>
            <rFont val="Tahoma"/>
            <family val="2"/>
          </rPr>
          <t xml:space="preserve">
Bruno Merven: 2.9</t>
        </r>
        <r>
          <rPr>
            <sz val="8"/>
            <color indexed="81"/>
            <rFont val="Tahoma"/>
            <family val="2"/>
          </rPr>
          <t xml:space="preserve">
Table 2.6 in C.A. Lewis: Fuel and Energy Production Emission Factors (MEET Project Task number 3.4)</t>
        </r>
      </text>
    </comment>
    <comment ref="N195" authorId="7" shapeId="0" xr:uid="{00000000-0006-0000-1A00-000009000000}">
      <text>
        <r>
          <rPr>
            <b/>
            <sz val="8"/>
            <color indexed="81"/>
            <rFont val="Tahoma"/>
            <family val="2"/>
          </rPr>
          <t>Bruno Merven:</t>
        </r>
        <r>
          <rPr>
            <sz val="8"/>
            <color indexed="81"/>
            <rFont val="Tahoma"/>
            <family val="2"/>
          </rPr>
          <t xml:space="preserve">
Assume a 10% improvement on existing refineries</t>
        </r>
      </text>
    </comment>
    <comment ref="N201" authorId="9" shapeId="0" xr:uid="{00000000-0006-0000-1A00-00000A000000}">
      <text>
        <r>
          <rPr>
            <b/>
            <sz val="9"/>
            <color indexed="81"/>
            <rFont val="Tahoma"/>
            <family val="2"/>
          </rPr>
          <t>Fadiel Ahjum:</t>
        </r>
        <r>
          <rPr>
            <sz val="9"/>
            <color indexed="81"/>
            <rFont val="Tahoma"/>
            <family val="2"/>
          </rPr>
          <t xml:space="preserve">
2010ZAR legacy calcs: costs are inflated to 2015 ZAR before import to TIMES</t>
        </r>
      </text>
    </comment>
    <comment ref="B203" authorId="0" shapeId="0" xr:uid="{B69D4138-C3C9-4A34-9AE9-C1D05CC7E9C9}">
      <text>
        <r>
          <rPr>
            <b/>
            <sz val="9"/>
            <color indexed="81"/>
            <rFont val="Tahoma"/>
            <family val="2"/>
          </rPr>
          <t xml:space="preserve">Fadiel:
https://www.ge.com/news/press-releases/ge-energys-jenbacher-gas-engines-installed-south-africas-first-emissions-credit
</t>
        </r>
        <r>
          <rPr>
            <sz val="9"/>
            <color indexed="81"/>
            <rFont val="Tahoma"/>
            <family val="2"/>
          </rPr>
          <t xml:space="preserve">
JENBACH, AUSTRIA -- September 27, 2007 -- GE Energy has supplied three of its ecomagination SM-certified Jenbacher biogas generator sets to the owner of a process effluent-to-biogas plant that will provide electricity to a gas-to-liquids (GTL) refinery in South Africa. The plant represents the country's first commercial Independent Power Producer (IPP) Clean Development Mechanism (CDM) project, a United Nations carbon-emissions trading program under the Kyoto Protocol, and is expected to produce approximately 33,000 Certified Emissions Reductions (CERs) annually.
WSP Energy, a London-based IPP and a subsidiary of the listed WSP Group, developed and owns the 4.2- MW biogas project at the world's first GTL Refinery, owned and operated by the national oil company, PetroSA. The GTL Refinery is located on the southern tip of South Africa, near the coastal town of Mossel Bay.
The Jenbacher gas engines will be fueled by methane biogas created from the anaerobic digestion of reaction water collected in PetroSA's process effluent treatment plant at the refinery. The three Jenbacher JGS 420 GS-B.L. units will each generate 1.4 MW of electricity, which WSP Energy will then sell to PetroSA under a fifteen-year power purchase agreement (PPA). The units will be fully operational in October.</t>
        </r>
      </text>
    </comment>
    <comment ref="A204" authorId="9" shapeId="0" xr:uid="{00000000-0006-0000-1A00-00000B000000}">
      <text>
        <r>
          <rPr>
            <sz val="9"/>
            <color indexed="81"/>
            <rFont val="Tahoma"/>
            <family val="2"/>
          </rPr>
          <t>~100MW
Christo Cloete (PetroSA) pers. Comm. to Adrian Stone (August,2013)</t>
        </r>
      </text>
    </comment>
    <comment ref="S204" authorId="9" shapeId="0" xr:uid="{00000000-0006-0000-1A00-00000C000000}">
      <text>
        <r>
          <rPr>
            <b/>
            <sz val="9"/>
            <color indexed="81"/>
            <rFont val="Tahoma"/>
            <family val="2"/>
          </rPr>
          <t>Fadiel:</t>
        </r>
        <r>
          <rPr>
            <sz val="9"/>
            <color indexed="81"/>
            <rFont val="Tahoma"/>
            <family val="2"/>
          </rPr>
          <t xml:space="preserve">
Reduced capacity with 2 of 3 units operational. Christo Cloete (PetroSA) pers. Comm. to Adrian Stone (August,2013)
2 of 3 units operational running at 80% capacity. D.2.2. PetroSA (Mossgas) (FT Processes – A Brief Description, Akiner Tuzuner, Purdue University)</t>
        </r>
      </text>
    </comment>
    <comment ref="R205" authorId="9" shapeId="0" xr:uid="{00000000-0006-0000-1A00-00000D000000}">
      <text>
        <r>
          <rPr>
            <sz val="9"/>
            <color indexed="81"/>
            <rFont val="Tahoma"/>
            <family val="2"/>
          </rPr>
          <t>% mass
Christo Cloete (PetroSA) pers. Comm. to Adrian Stone (August,2013)</t>
        </r>
      </text>
    </comment>
    <comment ref="S206" authorId="9" shapeId="0" xr:uid="{00000000-0006-0000-1A00-00000E000000}">
      <text>
        <r>
          <rPr>
            <sz val="9"/>
            <color indexed="81"/>
            <rFont val="Tahoma"/>
            <family val="2"/>
          </rPr>
          <t>= .8 at  3/3  production units
Christo Cloete (PetroSA) pers. Comm. to Adrian Stone (August,2013)</t>
        </r>
      </text>
    </comment>
    <comment ref="D207" authorId="7" shapeId="0" xr:uid="{00000000-0006-0000-1A00-00000F000000}">
      <text>
        <r>
          <rPr>
            <b/>
            <sz val="8"/>
            <color indexed="81"/>
            <rFont val="Tahoma"/>
            <family val="2"/>
          </rPr>
          <t>Bruno Merven:</t>
        </r>
        <r>
          <rPr>
            <sz val="8"/>
            <color indexed="81"/>
            <rFont val="Tahoma"/>
            <family val="2"/>
          </rPr>
          <t xml:space="preserve">
Petrol SA annual report has 11.36MMbbl =11.36*0.136*42.66=65PJ!</t>
        </r>
      </text>
    </comment>
    <comment ref="S207" authorId="9" shapeId="0" xr:uid="{00000000-0006-0000-1A00-000010000000}">
      <text>
        <r>
          <rPr>
            <sz val="9"/>
            <color indexed="81"/>
            <rFont val="Tahoma"/>
            <family val="2"/>
          </rPr>
          <t>= .2 at  3/3  production units</t>
        </r>
      </text>
    </comment>
    <comment ref="D208" authorId="7" shapeId="0" xr:uid="{00000000-0006-0000-1A00-000011000000}">
      <text>
        <r>
          <rPr>
            <b/>
            <sz val="8"/>
            <color indexed="81"/>
            <rFont val="Tahoma"/>
            <family val="2"/>
          </rPr>
          <t>Bruno Merven:</t>
        </r>
        <r>
          <rPr>
            <sz val="8"/>
            <color indexed="81"/>
            <rFont val="Tahoma"/>
            <family val="2"/>
          </rPr>
          <t xml:space="preserve">
LTMS had 88%</t>
        </r>
      </text>
    </comment>
    <comment ref="R208" authorId="9" shapeId="0" xr:uid="{00000000-0006-0000-1A00-000012000000}">
      <text>
        <r>
          <rPr>
            <sz val="9"/>
            <color indexed="81"/>
            <rFont val="Tahoma"/>
            <family val="2"/>
          </rPr>
          <t>Iain Staffell, University of Birmingham, UK
staffell@gmail.com
March 2011</t>
        </r>
      </text>
    </comment>
    <comment ref="S209" authorId="9" shapeId="0" xr:uid="{00000000-0006-0000-1A00-000013000000}">
      <text>
        <r>
          <rPr>
            <sz val="9"/>
            <color indexed="81"/>
            <rFont val="Tahoma"/>
            <family val="2"/>
          </rPr>
          <t>IEA Oil Information
(weighted global average)</t>
        </r>
      </text>
    </comment>
    <comment ref="U209" authorId="9" shapeId="0" xr:uid="{00000000-0006-0000-1A00-000014000000}">
      <text>
        <r>
          <rPr>
            <sz val="9"/>
            <color indexed="81"/>
            <rFont val="Tahoma"/>
            <family val="2"/>
          </rPr>
          <t>Iain Staffell, University of Birmingham, UK
staffell@gmail.com
March 2011</t>
        </r>
      </text>
    </comment>
    <comment ref="S210" authorId="9" shapeId="0" xr:uid="{00000000-0006-0000-1A00-000015000000}">
      <text>
        <r>
          <rPr>
            <sz val="9"/>
            <color indexed="81"/>
            <rFont val="Tahoma"/>
            <family val="2"/>
          </rPr>
          <t>IEA GJ (LHV)</t>
        </r>
      </text>
    </comment>
    <comment ref="S211" authorId="9" shapeId="0" xr:uid="{00000000-0006-0000-1A00-000016000000}">
      <text>
        <r>
          <rPr>
            <sz val="9"/>
            <color indexed="81"/>
            <rFont val="Tahoma"/>
            <family val="2"/>
          </rPr>
          <t>http://www.bp.com/conversionfactors.jsp`</t>
        </r>
      </text>
    </comment>
    <comment ref="S212" authorId="9" shapeId="0" xr:uid="{00000000-0006-0000-1A00-000017000000}">
      <text>
        <r>
          <rPr>
            <b/>
            <sz val="9"/>
            <color indexed="81"/>
            <rFont val="Tahoma"/>
            <family val="2"/>
          </rPr>
          <t>Fadiel Ahjum:</t>
        </r>
        <r>
          <rPr>
            <sz val="9"/>
            <color indexed="81"/>
            <rFont val="Tahoma"/>
            <family val="2"/>
          </rPr>
          <t xml:space="preserve">
 ± 3.68</t>
        </r>
      </text>
    </comment>
    <comment ref="S215" authorId="9" shapeId="0" xr:uid="{00000000-0006-0000-1A00-000018000000}">
      <text>
        <r>
          <rPr>
            <b/>
            <sz val="9"/>
            <color indexed="81"/>
            <rFont val="Tahoma"/>
            <family val="2"/>
          </rPr>
          <t xml:space="preserve">Fadidel Ahjum:
</t>
        </r>
        <r>
          <rPr>
            <sz val="9"/>
            <color indexed="81"/>
            <rFont val="Tahoma"/>
            <family val="2"/>
          </rPr>
          <t>(PetroSA Annual Report,2007)</t>
        </r>
      </text>
    </comment>
    <comment ref="W215" authorId="9" shapeId="0" xr:uid="{00000000-0006-0000-1A00-000019000000}">
      <text>
        <r>
          <rPr>
            <b/>
            <sz val="9"/>
            <color indexed="81"/>
            <rFont val="Tahoma"/>
            <family val="2"/>
          </rPr>
          <t>Fadiel:</t>
        </r>
        <r>
          <rPr>
            <sz val="9"/>
            <color indexed="81"/>
            <rFont val="Tahoma"/>
            <family val="2"/>
          </rPr>
          <t xml:space="preserve">
(PetroSA Annual Report,2012)</t>
        </r>
      </text>
    </comment>
    <comment ref="AA215" authorId="9" shapeId="0" xr:uid="{12ECD907-2D0B-4BE4-8423-2D92593A3A50}">
      <text>
        <r>
          <rPr>
            <b/>
            <sz val="9"/>
            <color indexed="81"/>
            <rFont val="Tahoma"/>
            <family val="2"/>
          </rPr>
          <t>Fadiel:</t>
        </r>
        <r>
          <rPr>
            <sz val="9"/>
            <color indexed="81"/>
            <rFont val="Tahoma"/>
            <family val="2"/>
          </rPr>
          <t xml:space="preserve">
(PetroSA Annual Report,2018</t>
        </r>
      </text>
    </comment>
    <comment ref="AE215" authorId="9" shapeId="0" xr:uid="{00000000-0006-0000-1A00-00001A000000}">
      <text>
        <r>
          <rPr>
            <b/>
            <sz val="9"/>
            <color indexed="81"/>
            <rFont val="Tahoma"/>
            <family val="2"/>
          </rPr>
          <t>Fadiel:</t>
        </r>
        <r>
          <rPr>
            <sz val="9"/>
            <color indexed="81"/>
            <rFont val="Tahoma"/>
            <family val="2"/>
          </rPr>
          <t xml:space="preserve">
(PetroSA Annual Report,2019)</t>
        </r>
      </text>
    </comment>
    <comment ref="F217" authorId="0" shapeId="0" xr:uid="{3CF261CC-8C8D-4F95-9416-D204ADCFB4A9}">
      <text>
        <r>
          <rPr>
            <b/>
            <sz val="9"/>
            <color indexed="81"/>
            <rFont val="Tahoma"/>
            <family val="2"/>
          </rPr>
          <t xml:space="preserve">Fadiel:
</t>
        </r>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U217" authorId="9" shapeId="0" xr:uid="{00000000-0006-0000-1A00-00001B000000}">
      <text>
        <r>
          <rPr>
            <b/>
            <sz val="9"/>
            <color indexed="81"/>
            <rFont val="Tahoma"/>
            <family val="2"/>
          </rPr>
          <t>Fadiel Ahjum:</t>
        </r>
        <r>
          <rPr>
            <sz val="9"/>
            <color indexed="81"/>
            <rFont val="Tahoma"/>
            <family val="2"/>
          </rPr>
          <t xml:space="preserve">
discrepancy in accounting ~1.8%</t>
        </r>
      </text>
    </comment>
    <comment ref="AC217" authorId="0" shapeId="0" xr:uid="{E662069C-05CA-4A25-BD90-C4D752909C0F}">
      <text>
        <r>
          <rPr>
            <b/>
            <sz val="9"/>
            <color indexed="81"/>
            <rFont val="Tahoma"/>
            <family val="2"/>
          </rPr>
          <t>Fadiel:</t>
        </r>
        <r>
          <rPr>
            <sz val="9"/>
            <color indexed="81"/>
            <rFont val="Tahoma"/>
            <family val="2"/>
          </rPr>
          <t xml:space="preserve">
Indigenous Production
DMRE South-African-Refinery-Data-gas</t>
        </r>
      </text>
    </comment>
    <comment ref="AC218" authorId="0" shapeId="0" xr:uid="{2ED53350-9D53-4A04-B4F1-3C3B4F023D6E}">
      <text>
        <r>
          <rPr>
            <b/>
            <sz val="9"/>
            <color indexed="81"/>
            <rFont val="Tahoma"/>
            <family val="2"/>
          </rPr>
          <t>Fadiel:</t>
        </r>
        <r>
          <rPr>
            <sz val="9"/>
            <color indexed="81"/>
            <rFont val="Tahoma"/>
            <family val="2"/>
          </rPr>
          <t xml:space="preserve">
25 838 Indigenous Production
DMRE South-African-Refinery-Data-gas</t>
        </r>
      </text>
    </comment>
    <comment ref="D219" authorId="0" shapeId="0" xr:uid="{C722ADA4-B511-41D1-A240-CD8EEF0BBB1B}">
      <text>
        <r>
          <rPr>
            <b/>
            <sz val="9"/>
            <color indexed="81"/>
            <rFont val="Tahoma"/>
            <family val="2"/>
          </rPr>
          <t xml:space="preserve">Fadiel Ahjum:
</t>
        </r>
        <r>
          <rPr>
            <sz val="9"/>
            <color indexed="81"/>
            <rFont val="Tahoma"/>
            <family val="2"/>
          </rPr>
          <t>IEA ETSAP - Technology Brief S02 - May 2010 Liquid Fuels Production from Coal &amp; Gas = 0.28.
Calc. from PetroSA data gives = 51 which gives ~ 3x the nGHG inventory  (Jongi's data)</t>
        </r>
      </text>
    </comment>
    <comment ref="C221" authorId="0" shapeId="0" xr:uid="{4B18223B-96AF-400E-9AD3-86DBF510E095}">
      <text>
        <r>
          <rPr>
            <b/>
            <sz val="9"/>
            <color indexed="81"/>
            <rFont val="Tahoma"/>
            <family val="2"/>
          </rPr>
          <t>Fadiel:</t>
        </r>
        <r>
          <rPr>
            <sz val="9"/>
            <color indexed="81"/>
            <rFont val="Tahoma"/>
            <family val="2"/>
          </rPr>
          <t xml:space="preserve">
</t>
        </r>
      </text>
    </comment>
    <comment ref="W221" authorId="9" shapeId="0" xr:uid="{00000000-0006-0000-1A00-00001C000000}">
      <text>
        <r>
          <rPr>
            <sz val="9"/>
            <color indexed="81"/>
            <rFont val="Tahoma"/>
            <family val="2"/>
          </rPr>
          <t xml:space="preserve">Produced at Oribi-Oryx with Orca field down-production was restored after year-end.
</t>
        </r>
      </text>
    </comment>
    <comment ref="R223" authorId="9" shapeId="0" xr:uid="{00000000-0006-0000-1A00-00001E000000}">
      <text>
        <r>
          <rPr>
            <b/>
            <sz val="9"/>
            <color indexed="81"/>
            <rFont val="Tahoma"/>
            <family val="2"/>
          </rPr>
          <t>Fadiel Ahjum:</t>
        </r>
        <r>
          <rPr>
            <sz val="9"/>
            <color indexed="81"/>
            <rFont val="Tahoma"/>
            <family val="2"/>
          </rPr>
          <t xml:space="preserve">
Assumed to include non-energy products.
</t>
        </r>
      </text>
    </comment>
    <comment ref="S225" authorId="9" shapeId="0" xr:uid="{00000000-0006-0000-1A00-00001F000000}">
      <text>
        <r>
          <rPr>
            <sz val="9"/>
            <color indexed="81"/>
            <rFont val="Tahoma"/>
            <family val="2"/>
          </rPr>
          <t xml:space="preserve">guess
</t>
        </r>
      </text>
    </comment>
    <comment ref="W225" authorId="9" shapeId="0" xr:uid="{00000000-0006-0000-1A00-000020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A225" authorId="9" shapeId="0" xr:uid="{C2AAAFD4-6230-4543-8420-937886A06786}">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AE225" authorId="9" shapeId="0" xr:uid="{00000000-0006-0000-1A00-000021000000}">
      <text>
        <r>
          <rPr>
            <sz val="9"/>
            <color indexed="81"/>
            <rFont val="Tahoma"/>
            <family val="2"/>
          </rPr>
          <t>Reduced capacity with 2 of 3 units operational. Christo Cloete (PetroSA) pers. Comm. to Adrian Stone (August,2013)
2 of 3 units operational running at 80% capacity. D.2.2. PetroSA (Mossgas) (FT Processes – A Brief Description, Akiner Tuzuner, Purdue University)</t>
        </r>
      </text>
    </comment>
    <comment ref="N228" authorId="9" shapeId="0" xr:uid="{00000000-0006-0000-1A00-000022000000}">
      <text>
        <r>
          <rPr>
            <b/>
            <sz val="9"/>
            <color indexed="81"/>
            <rFont val="Tahoma"/>
            <family val="2"/>
          </rPr>
          <t>Fadiel Ahjum:</t>
        </r>
        <r>
          <rPr>
            <sz val="9"/>
            <color indexed="81"/>
            <rFont val="Tahoma"/>
            <family val="2"/>
          </rPr>
          <t xml:space="preserve">
assume 5% efficiency gain from existing</t>
        </r>
      </text>
    </comment>
    <comment ref="D232" authorId="9" shapeId="0" xr:uid="{00000000-0006-0000-1A00-000023000000}">
      <text>
        <r>
          <rPr>
            <b/>
            <sz val="9"/>
            <color indexed="81"/>
            <rFont val="Tahoma"/>
            <family val="2"/>
          </rPr>
          <t xml:space="preserve">Fadiel Ahjum:
</t>
        </r>
        <r>
          <rPr>
            <sz val="9"/>
            <color indexed="81"/>
            <rFont val="Tahoma"/>
            <family val="2"/>
          </rPr>
          <t xml:space="preserve"> Unless otherwise indicated, estimated from IEP charts.</t>
        </r>
      </text>
    </comment>
    <comment ref="E232" authorId="9" shapeId="0" xr:uid="{00000000-0006-0000-1A00-000024000000}">
      <text>
        <r>
          <rPr>
            <b/>
            <sz val="9"/>
            <color indexed="81"/>
            <rFont val="Tahoma"/>
            <family val="2"/>
          </rPr>
          <t xml:space="preserve">Fadiel Ahjum:
</t>
        </r>
        <r>
          <rPr>
            <sz val="9"/>
            <color indexed="81"/>
            <rFont val="Tahoma"/>
            <family val="2"/>
          </rPr>
          <t>In 2006USD IEA ETSAP - Technology Brief S02 (2010)
Liquid Fuels Production from Coal &amp; Gas
0.14 ~ 2006 ZAR-USD exchange rate</t>
        </r>
      </text>
    </comment>
    <comment ref="W235" authorId="9" shapeId="0" xr:uid="{00000000-0006-0000-1A00-000025000000}">
      <text>
        <r>
          <rPr>
            <b/>
            <sz val="9"/>
            <color indexed="81"/>
            <rFont val="Tahoma"/>
            <family val="2"/>
          </rPr>
          <t>Fadiel Ahjum:</t>
        </r>
        <r>
          <rPr>
            <sz val="9"/>
            <color indexed="81"/>
            <rFont val="Tahoma"/>
            <family val="2"/>
          </rPr>
          <t xml:space="preserve">
</t>
        </r>
      </text>
    </comment>
    <comment ref="N239" authorId="9" shapeId="0" xr:uid="{00000000-0006-0000-1A00-000026000000}">
      <text>
        <r>
          <rPr>
            <b/>
            <sz val="9"/>
            <color indexed="81"/>
            <rFont val="Tahoma"/>
            <family val="2"/>
          </rPr>
          <t>Fadiel Ahjum:</t>
        </r>
        <r>
          <rPr>
            <sz val="9"/>
            <color indexed="81"/>
            <rFont val="Tahoma"/>
            <family val="2"/>
          </rPr>
          <t xml:space="preserve">
 ~ from IEP (2013)</t>
        </r>
      </text>
    </comment>
    <comment ref="N240" authorId="9" shapeId="0" xr:uid="{00000000-0006-0000-1A00-000027000000}">
      <text>
        <r>
          <rPr>
            <b/>
            <sz val="9"/>
            <color indexed="81"/>
            <rFont val="Tahoma"/>
            <family val="2"/>
          </rPr>
          <t>Fadiel Ahjum:</t>
        </r>
        <r>
          <rPr>
            <sz val="9"/>
            <color indexed="81"/>
            <rFont val="Tahoma"/>
            <family val="2"/>
          </rPr>
          <t xml:space="preserve">
 ~ from IEP (2013)</t>
        </r>
      </text>
    </comment>
    <comment ref="E248" authorId="11" shapeId="0" xr:uid="{3C70C4E7-C4D8-4D25-855A-177A02A5472B}">
      <text>
        <t>[Threaded comment]
Your version of Excel allows you to read this threaded comment; however, any edits to it will get removed if the file is opened in a newer version of Excel. Learn more: https://go.microsoft.com/fwlink/?linkid=870924
Comment:
    ktCO2 NIR 2017 DEFF (2020)</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tc={633CBDFA-F50E-4951-9BCB-357F0A736F07}</author>
    <author>tc={E12D5432-E965-4047-86BB-668D88BEA140}</author>
    <author>Fadiel</author>
    <author>tc={3FDAA536-2195-40A4-9894-1733129029BE}</author>
  </authors>
  <commentList>
    <comment ref="H13" authorId="0" shapeId="0" xr:uid="{633CBDFA-F50E-4951-9BCB-357F0A736F07}">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E12D5432-E965-4047-86BB-668D88BEA140}">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3FDAA536-2195-40A4-9894-1733129029B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tc={15BA8B60-94D9-46DF-84EB-5861AD6EEC18}</author>
  </authors>
  <commentList>
    <comment ref="J19" authorId="0" shapeId="0" xr:uid="{15BA8B60-94D9-46DF-84EB-5861AD6EEC18}">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Fadiel Ahjum</author>
    <author>tc={8532AA27-6EBF-4713-89EB-ABAACCB03755}</author>
    <author>01418624</author>
  </authors>
  <commentList>
    <comment ref="E1" authorId="0" shapeId="0" xr:uid="{00000000-0006-0000-1D00-000001000000}">
      <text>
        <r>
          <rPr>
            <b/>
            <sz val="8"/>
            <color indexed="81"/>
            <rFont val="Tahoma"/>
            <family val="2"/>
          </rPr>
          <t>Bruno Merven:</t>
        </r>
        <r>
          <rPr>
            <sz val="8"/>
            <color indexed="81"/>
            <rFont val="Tahoma"/>
            <family val="2"/>
          </rPr>
          <t xml:space="preserve">
other than power generation which is treated in the PWR workbook.</t>
        </r>
      </text>
    </comment>
    <comment ref="C21" authorId="0" shapeId="0" xr:uid="{00000000-0006-0000-1D00-000002000000}">
      <text>
        <r>
          <rPr>
            <b/>
            <sz val="8"/>
            <color indexed="81"/>
            <rFont val="Tahoma"/>
            <family val="2"/>
          </rPr>
          <t>Bruno Merven:</t>
        </r>
        <r>
          <rPr>
            <sz val="8"/>
            <color indexed="81"/>
            <rFont val="Tahoma"/>
            <family val="2"/>
          </rPr>
          <t xml:space="preserve">
Coastal</t>
        </r>
      </text>
    </comment>
    <comment ref="D21" authorId="0" shapeId="0" xr:uid="{00000000-0006-0000-1D00-000003000000}">
      <text>
        <r>
          <rPr>
            <b/>
            <sz val="8"/>
            <color indexed="81"/>
            <rFont val="Tahoma"/>
            <family val="2"/>
          </rPr>
          <t>Bruno Merven:</t>
        </r>
        <r>
          <rPr>
            <sz val="8"/>
            <color indexed="81"/>
            <rFont val="Tahoma"/>
            <family val="2"/>
          </rPr>
          <t xml:space="preserve">
Inland</t>
        </r>
      </text>
    </comment>
    <comment ref="T34" authorId="1" shapeId="0" xr:uid="{00000000-0006-0000-1D00-000004000000}">
      <text>
        <r>
          <rPr>
            <b/>
            <sz val="9"/>
            <color indexed="81"/>
            <rFont val="Tahoma"/>
            <family val="2"/>
          </rPr>
          <t>bruno merven:</t>
        </r>
        <r>
          <rPr>
            <sz val="9"/>
            <color indexed="81"/>
            <rFont val="Tahoma"/>
            <family val="2"/>
          </rPr>
          <t xml:space="preserve">
need to add Sox, Nox N2o, CMO, NMVS and PM10 to boilers and methane rich gas conversion</t>
        </r>
      </text>
    </comment>
    <comment ref="H38" authorId="2" shapeId="0" xr:uid="{00000000-0006-0000-1D00-000005000000}">
      <text>
        <r>
          <rPr>
            <b/>
            <sz val="9"/>
            <color indexed="81"/>
            <rFont val="Tahoma"/>
            <family val="2"/>
          </rPr>
          <t>Fadiel Ahjum:</t>
        </r>
        <r>
          <rPr>
            <sz val="9"/>
            <color indexed="81"/>
            <rFont val="Tahoma"/>
            <family val="2"/>
          </rPr>
          <t xml:space="preserve">
Refinery AFAs hardcoded for the  2017 NIR calibration. Adjusted to match SAPIA reported volumes in 2017 (SAPIA, 2018).
Refinery data UCT-NDC2020.xls
Original formula
=SUMIF(RefineriesData!$J$15:$J$220,$B37&amp;H$33,RefineriesData!$N$15:$N$220)</t>
        </r>
      </text>
    </comment>
    <comment ref="AC38" authorId="3" shapeId="0" xr:uid="{8532AA27-6EBF-4713-89EB-ABAACCB03755}">
      <text>
        <t>[Threaded comment]
Your version of Excel allows you to read this threaded comment; however, any edits to it will get removed if the file is opened in a newer version of Excel. Learn more: https://go.microsoft.com/fwlink/?linkid=870924
Comment:
    Broken Astron and Enref refineries not expected to come back online (pers.comm. Dave Wright - April 2021).</t>
      </text>
    </comment>
    <comment ref="S60" authorId="2" shapeId="0" xr:uid="{00000000-0006-0000-1D00-000006000000}">
      <text/>
    </comment>
    <comment ref="M125" authorId="1" shapeId="0" xr:uid="{00000000-0006-0000-1D00-000007000000}">
      <text>
        <r>
          <rPr>
            <b/>
            <sz val="9"/>
            <color indexed="81"/>
            <rFont val="Tahoma"/>
            <family val="2"/>
          </rPr>
          <t>bruno merven:</t>
        </r>
        <r>
          <rPr>
            <sz val="9"/>
            <color indexed="81"/>
            <rFont val="Tahoma"/>
            <family val="2"/>
          </rPr>
          <t xml:space="preserve">
this may need a closer look at.</t>
        </r>
      </text>
    </comment>
    <comment ref="E138" authorId="4" shapeId="0" xr:uid="{00000000-0006-0000-1D00-000008000000}">
      <text>
        <r>
          <rPr>
            <b/>
            <sz val="9"/>
            <color indexed="81"/>
            <rFont val="Tahoma"/>
            <family val="2"/>
          </rPr>
          <t>Senatla:</t>
        </r>
        <r>
          <rPr>
            <sz val="9"/>
            <color indexed="81"/>
            <rFont val="Tahoma"/>
            <family val="2"/>
          </rPr>
          <t xml:space="preserve">
It referred to: +'Gas Price'!G55 previously </t>
        </r>
      </text>
    </comment>
    <comment ref="E141" authorId="4" shapeId="0" xr:uid="{00000000-0006-0000-1D00-000009000000}">
      <text>
        <r>
          <rPr>
            <b/>
            <sz val="9"/>
            <color indexed="81"/>
            <rFont val="Tahoma"/>
            <family val="2"/>
          </rPr>
          <t>Senatla:</t>
        </r>
        <r>
          <rPr>
            <sz val="9"/>
            <color indexed="81"/>
            <rFont val="Tahoma"/>
            <family val="2"/>
          </rPr>
          <t xml:space="preserve">
+'Gas Price'!G58</t>
        </r>
      </text>
    </comment>
    <comment ref="E144" authorId="4" shapeId="0" xr:uid="{00000000-0006-0000-1D00-00000A000000}">
      <text>
        <r>
          <rPr>
            <b/>
            <sz val="9"/>
            <color indexed="81"/>
            <rFont val="Tahoma"/>
            <family val="2"/>
          </rPr>
          <t>Senatla:</t>
        </r>
        <r>
          <rPr>
            <sz val="9"/>
            <color indexed="81"/>
            <rFont val="Tahoma"/>
            <family val="2"/>
          </rPr>
          <t xml:space="preserve">
+'Gas Price'!G58</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tc={AA693EDE-F6DF-4B35-B0F1-766D22111C98}</author>
    <author>tc={8D281F20-C49E-4119-B3FE-83CD993F6A61}</author>
  </authors>
  <commentList>
    <comment ref="A45" authorId="0" shapeId="0" xr:uid="{AA693EDE-F6DF-4B35-B0F1-766D22111C98}">
      <text>
        <t>[Threaded comment]
Your version of Excel allows you to read this threaded comment; however, any edits to it will get removed if the file is opened in a newer version of Excel. Learn more: https://go.microsoft.com/fwlink/?linkid=870924
Comment:
    Specific handling of RESID here because of endogenous retirement, which doesn't allow for RESID to go back up again.</t>
      </text>
    </comment>
    <comment ref="Z174" authorId="1" shapeId="0" xr:uid="{8D281F20-C49E-4119-B3FE-83CD993F6A61}">
      <text>
        <t>[Threaded comment]
Your version of Excel allows you to read this threaded comment; however, any edits to it will get removed if the file is opened in a newer version of Excel. Learn more: https://go.microsoft.com/fwlink/?linkid=870924
Comment:
    300 bpd Aramco refinery (as per request from DEFF).</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10" authorId="0" shapeId="0" xr:uid="{00000000-0006-0000-22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I9" authorId="0" shapeId="0" xr:uid="{00000000-0006-0000-23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 merven</author>
    <author>Fadiel</author>
  </authors>
  <commentList>
    <comment ref="AR7" authorId="0" shapeId="0" xr:uid="{00000000-0006-0000-2400-000001000000}">
      <text>
        <r>
          <rPr>
            <b/>
            <sz val="9"/>
            <color indexed="81"/>
            <rFont val="Tahoma"/>
            <family val="2"/>
          </rPr>
          <t>bruno merven:</t>
        </r>
        <r>
          <rPr>
            <sz val="9"/>
            <color indexed="81"/>
            <rFont val="Tahoma"/>
            <family val="2"/>
          </rPr>
          <t xml:space="preserve">
would increase this to 4 when NameConv sheet is populated.</t>
        </r>
      </text>
    </comment>
    <comment ref="N9" authorId="1" shapeId="0" xr:uid="{0829C8BE-E88F-4EBE-ABA2-1BA0D2FEF460}">
      <text>
        <r>
          <rPr>
            <b/>
            <sz val="9"/>
            <color indexed="81"/>
            <rFont val="Tahoma"/>
            <family val="2"/>
          </rPr>
          <t>Fadiel:</t>
        </r>
        <r>
          <rPr>
            <sz val="9"/>
            <color indexed="81"/>
            <rFont val="Tahoma"/>
            <family val="2"/>
          </rPr>
          <t xml:space="preserve">
Manual edit to remove ACT_EFF. Implement FLoEFF in "TS…xtras"</t>
        </r>
      </text>
    </comment>
    <comment ref="AT15" authorId="0" shapeId="0" xr:uid="{00000000-0006-0000-2400-000002000000}">
      <text>
        <r>
          <rPr>
            <b/>
            <sz val="9"/>
            <color indexed="81"/>
            <rFont val="Tahoma"/>
            <family val="2"/>
          </rPr>
          <t>bruno merven:</t>
        </r>
        <r>
          <rPr>
            <sz val="9"/>
            <color indexed="81"/>
            <rFont val="Tahoma"/>
            <family val="2"/>
          </rPr>
          <t xml:space="preserve">
Would change this to 1, when running full sector model.</t>
        </r>
      </text>
    </comment>
    <comment ref="AB133" authorId="1" shapeId="0" xr:uid="{FF57F5D2-0380-40D7-8F92-6E42A40FD28F}">
      <text>
        <r>
          <rPr>
            <b/>
            <sz val="9"/>
            <color indexed="81"/>
            <rFont val="Tahoma"/>
            <family val="2"/>
          </rPr>
          <t>Fadiel:</t>
        </r>
        <r>
          <rPr>
            <sz val="9"/>
            <color indexed="81"/>
            <rFont val="Tahoma"/>
            <family val="2"/>
          </rPr>
          <t xml:space="preserve">
see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B10" authorId="0" shapeId="0" xr:uid="{00000000-0006-0000-2500-000001000000}">
      <text>
        <r>
          <rPr>
            <b/>
            <sz val="9"/>
            <color indexed="81"/>
            <rFont val="Tahoma"/>
            <family val="2"/>
          </rPr>
          <t>bruno merven:</t>
        </r>
        <r>
          <rPr>
            <sz val="9"/>
            <color indexed="81"/>
            <rFont val="Tahoma"/>
            <family val="2"/>
          </rPr>
          <t xml:space="preserve">
One must be careful about the infrastructure cost of Elec - that it must be in R/GJ/yr and not in R/kW otherwise PRC_CAPACT must be specified as 31.536 for Elc infrastructure.</t>
        </r>
      </text>
    </comment>
    <comment ref="M14" authorId="0" shapeId="0" xr:uid="{00000000-0006-0000-2500-000002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H9" authorId="0" shapeId="0" xr:uid="{00000000-0006-0000-26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AS12" authorId="0" shapeId="0" xr:uid="{00000000-0006-0000-27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L12" authorId="0" shapeId="0" xr:uid="{00000000-0006-0000-2800-000001000000}">
      <text>
        <r>
          <rPr>
            <b/>
            <sz val="9"/>
            <color indexed="81"/>
            <rFont val="Tahoma"/>
            <family val="2"/>
          </rPr>
          <t>bruno merven:</t>
        </r>
        <r>
          <rPr>
            <sz val="9"/>
            <color indexed="81"/>
            <rFont val="Tahoma"/>
            <family val="2"/>
          </rPr>
          <t xml:space="preserve">
Would change this to 1, when running full sector model.</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T8" authorId="0" shapeId="0" xr:uid="{00000000-0006-0000-2900-000001000000}">
      <text>
        <r>
          <rPr>
            <b/>
            <sz val="9"/>
            <color indexed="81"/>
            <rFont val="Tahoma"/>
            <family val="2"/>
          </rPr>
          <t>bruno merven:</t>
        </r>
        <r>
          <rPr>
            <sz val="9"/>
            <color indexed="81"/>
            <rFont val="Tahoma"/>
            <family val="2"/>
          </rPr>
          <t xml:space="preserve">
USD inflation means that we first convert the dollar to the monetary year, then use the exchange rate of that year to convert.</t>
        </r>
      </text>
    </comment>
    <comment ref="W8" authorId="0" shapeId="0" xr:uid="{00000000-0006-0000-2900-000002000000}">
      <text>
        <r>
          <rPr>
            <b/>
            <sz val="9"/>
            <color indexed="81"/>
            <rFont val="Tahoma"/>
            <family val="2"/>
          </rPr>
          <t>bruno merven:</t>
        </r>
        <r>
          <rPr>
            <sz val="9"/>
            <color indexed="81"/>
            <rFont val="Tahoma"/>
            <family val="2"/>
          </rPr>
          <t xml:space="preserve">
ZAR inflation, means we convert using the exchange rate of the desired year then make the adjustment in rand terms using rand inflation rates.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tc={EAB115BB-5D12-42C2-9041-85365A922BD4}</author>
  </authors>
  <commentList>
    <comment ref="F16" authorId="0" shapeId="0" xr:uid="{EAB115BB-5D12-42C2-9041-85365A922BD4}">
      <text>
        <t>[Threaded comment]
Your version of Excel allows you to read this threaded comment; however, any edits to it will get removed if the file is opened in a newer version of Excel. Learn more: https://go.microsoft.com/fwlink/?linkid=870924
Comment:
    Modelled as Energy for now - as not sure whether efficiency equations apply to ENV/GHG commodities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01418624</author>
  </authors>
  <commentList>
    <comment ref="AW10" authorId="0" shapeId="0" xr:uid="{00000000-0006-0000-2D00-000001000000}">
      <text>
        <r>
          <rPr>
            <b/>
            <sz val="9"/>
            <color indexed="81"/>
            <rFont val="Tahoma"/>
            <family val="2"/>
          </rPr>
          <t>01418624:</t>
        </r>
        <r>
          <rPr>
            <sz val="9"/>
            <color indexed="81"/>
            <rFont val="Tahoma"/>
            <family val="2"/>
          </rPr>
          <t xml:space="preserve">
98% of emissions in conventional are in production and 2% are assumed to be in processing </t>
        </r>
      </text>
    </comment>
    <comment ref="AW13" authorId="0" shapeId="0" xr:uid="{00000000-0006-0000-2D00-000002000000}">
      <text>
        <r>
          <rPr>
            <b/>
            <sz val="9"/>
            <color indexed="81"/>
            <rFont val="Tahoma"/>
            <family val="2"/>
          </rPr>
          <t>confrim 50% lower emissions for conventional natural gas</t>
        </r>
      </text>
    </comment>
    <comment ref="J100" authorId="0" shapeId="0" xr:uid="{00000000-0006-0000-2D00-000003000000}">
      <text>
        <r>
          <rPr>
            <b/>
            <sz val="9"/>
            <color indexed="81"/>
            <rFont val="Tahoma"/>
            <family val="2"/>
          </rPr>
          <t>01418624:</t>
        </r>
        <r>
          <rPr>
            <sz val="9"/>
            <color indexed="81"/>
            <rFont val="Tahoma"/>
            <family val="2"/>
          </rPr>
          <t xml:space="preserve">
5% reduction in par with investment costs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tc={C7DF3656-7724-4333-926F-02CF5AD12752}</author>
  </authors>
  <commentList>
    <comment ref="D5" authorId="0" shapeId="0" xr:uid="{C7DF3656-7724-4333-926F-02CF5AD12752}">
      <text>
        <t>[Threaded comment]
Your version of Excel allows you to read this threaded comment; however, any edits to it will get removed if the file is opened in a newer version of Excel. Learn more: https://go.microsoft.com/fwlink/?linkid=870924
Comment:
    Changed to AR5 - August 2021</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J4" authorId="0" shapeId="0" xr:uid="{A3A75C3F-417D-460F-8AEF-B8984DC5743E}">
      <text>
        <r>
          <rPr>
            <b/>
            <sz val="9"/>
            <color indexed="81"/>
            <rFont val="Tahoma"/>
            <family val="2"/>
          </rPr>
          <t>Fadiel:</t>
        </r>
        <r>
          <rPr>
            <sz val="9"/>
            <color indexed="81"/>
            <rFont val="Tahoma"/>
            <family val="2"/>
          </rPr>
          <t xml:space="preserve">
losses captured in storage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<sst xmlns="http://schemas.openxmlformats.org/spreadsheetml/2006/main" count="29047" uniqueCount="14818">
  <si>
    <t>TJ</t>
  </si>
  <si>
    <t>Coal Boilers</t>
  </si>
  <si>
    <t>Coal</t>
  </si>
  <si>
    <t>Efficiency</t>
  </si>
  <si>
    <t xml:space="preserve"> Elc Capacity (MW)</t>
  </si>
  <si>
    <t>Co-gen Capacity (MW)</t>
  </si>
  <si>
    <t>Efficiency (CHP)</t>
  </si>
  <si>
    <t>Referenced value</t>
  </si>
  <si>
    <t>Estimated/Guessed</t>
  </si>
  <si>
    <t>Calculated</t>
  </si>
  <si>
    <t>Key</t>
  </si>
  <si>
    <t>Coal input (TJ)</t>
  </si>
  <si>
    <t>Elc output (GWh)</t>
  </si>
  <si>
    <t>Heat output (TJ)</t>
  </si>
  <si>
    <t>Lighting</t>
  </si>
  <si>
    <t>HVAC</t>
  </si>
  <si>
    <t>Other motive</t>
  </si>
  <si>
    <t>Pumping</t>
  </si>
  <si>
    <t>Fans</t>
  </si>
  <si>
    <t>Compressed Air</t>
  </si>
  <si>
    <t>Heating needs (TJ)</t>
  </si>
  <si>
    <t>Energy System for Sasol in 2006</t>
  </si>
  <si>
    <t>Electricity</t>
  </si>
  <si>
    <t>Heat</t>
  </si>
  <si>
    <t>Natref Heating needs (TJ)</t>
  </si>
  <si>
    <t>Electricity needs (GWh)</t>
  </si>
  <si>
    <t>Sasol Chemicals Other Electricity (GWh)</t>
  </si>
  <si>
    <t>Other process Elc</t>
  </si>
  <si>
    <t>Sasol Syngas Production</t>
  </si>
  <si>
    <t>Sasol FT Synthesis</t>
  </si>
  <si>
    <t>Coal Consumption (TJ)</t>
  </si>
  <si>
    <t>Sasol Gas Co-Gen</t>
  </si>
  <si>
    <t>Diesel</t>
  </si>
  <si>
    <t>Gasoline</t>
  </si>
  <si>
    <t>LPG</t>
  </si>
  <si>
    <t>Natref</t>
  </si>
  <si>
    <t>Other</t>
  </si>
  <si>
    <t>Syngas Output (TJ)</t>
  </si>
  <si>
    <t>HFO</t>
  </si>
  <si>
    <t>Gas input (TJ)</t>
  </si>
  <si>
    <t>Syngas Production Emission Factor</t>
  </si>
  <si>
    <t>Natural Gas Imports</t>
  </si>
  <si>
    <t>Coal Mining</t>
  </si>
  <si>
    <t>Jet Fuel</t>
  </si>
  <si>
    <t>Crude Oil input</t>
  </si>
  <si>
    <t>Combustion Emiss. Factor (t/TJ)</t>
  </si>
  <si>
    <t>CO2 Content (kt)</t>
  </si>
  <si>
    <t>CO2 Emissions (kt)</t>
  </si>
  <si>
    <t>Non Energy Gas Consumption</t>
  </si>
  <si>
    <t>Munic Distribution (GWh)</t>
  </si>
  <si>
    <t>Methane CO2 eq (kt)</t>
  </si>
  <si>
    <t>Net Eskom (GWh)</t>
  </si>
  <si>
    <t>Combustion Emiss. Factor (t/GWh)</t>
  </si>
  <si>
    <t>Syngas Consumption (TJ)</t>
  </si>
  <si>
    <t>Syngas and chemicals</t>
  </si>
  <si>
    <t>Purchased Steam</t>
  </si>
  <si>
    <t>Discrepensies:</t>
  </si>
  <si>
    <t>NERSA ESI Stats:</t>
  </si>
  <si>
    <t>Sasol SR:</t>
  </si>
  <si>
    <t>DOE Energy Balance</t>
  </si>
  <si>
    <t>Sum of coal cosumption</t>
  </si>
  <si>
    <t>Coal use (TJ/Mt)</t>
  </si>
  <si>
    <t>Elc generation (GWh)</t>
  </si>
  <si>
    <t>Sasol GHG Emissions Data</t>
  </si>
  <si>
    <t>Direct emissions (kt)</t>
  </si>
  <si>
    <t>Sum of GHG inv + coal cons.</t>
  </si>
  <si>
    <t>Sum of purch elc and stm</t>
  </si>
  <si>
    <t>Indirect Emissions (kt)</t>
  </si>
  <si>
    <t>Sum of oil Products</t>
  </si>
  <si>
    <t>Still missing in picture:</t>
  </si>
  <si>
    <t>Consumption of crude oil and Fuel oil</t>
  </si>
  <si>
    <t>Products vs coal use (TJ)</t>
  </si>
  <si>
    <t>Material Coal use</t>
  </si>
  <si>
    <t>Exports of Gas to others for combustion</t>
  </si>
  <si>
    <t>NH3 output</t>
  </si>
  <si>
    <t>Sasol Facts</t>
  </si>
  <si>
    <t>Ethelyne, propylene, solvents (e.g. acetone) 80% exported and monomers (35-40% of input goes to chemical products)</t>
  </si>
  <si>
    <t>Electrolysis</t>
  </si>
  <si>
    <t>Cyanide</t>
  </si>
  <si>
    <t>linked to gold mining</t>
  </si>
  <si>
    <t>linked to water purification</t>
  </si>
  <si>
    <t>gas input reformer</t>
  </si>
  <si>
    <t>HFO all goes to Natref for combustion</t>
  </si>
  <si>
    <t>Analyst Book - fuels and chemicals split from the Sasol website</t>
  </si>
  <si>
    <t>4Mton CO2 reduction potential on EE mainly coming from synfuel</t>
  </si>
  <si>
    <t>REGIONS</t>
  </si>
  <si>
    <t>_GLOBAL,REGION1</t>
  </si>
  <si>
    <t>RSA  2006  (Version 1)</t>
  </si>
  <si>
    <t>(TJ)</t>
  </si>
  <si>
    <t>Hard</t>
  </si>
  <si>
    <t>Brown</t>
  </si>
  <si>
    <t>Coking</t>
  </si>
  <si>
    <t>Bituminous</t>
  </si>
  <si>
    <t>Sub-</t>
  </si>
  <si>
    <t>Lignite</t>
  </si>
  <si>
    <t>Peat</t>
  </si>
  <si>
    <t>Patent</t>
  </si>
  <si>
    <t>Coke oven</t>
  </si>
  <si>
    <t>Gas Coke</t>
  </si>
  <si>
    <t xml:space="preserve">     BKB</t>
  </si>
  <si>
    <t>Gasworks</t>
  </si>
  <si>
    <t>Blast</t>
  </si>
  <si>
    <t>Oxygen</t>
  </si>
  <si>
    <t>Renewables</t>
  </si>
  <si>
    <t>SBIOMASS</t>
  </si>
  <si>
    <t>Industrial</t>
  </si>
  <si>
    <t>Muncipal</t>
  </si>
  <si>
    <t xml:space="preserve">   GLBIO</t>
  </si>
  <si>
    <t>Natural</t>
  </si>
  <si>
    <t>Crude + NGLs</t>
  </si>
  <si>
    <t>Crude Oil</t>
  </si>
  <si>
    <t>NGLs</t>
  </si>
  <si>
    <t>Refinery</t>
  </si>
  <si>
    <t>Additives</t>
  </si>
  <si>
    <t>Non-</t>
  </si>
  <si>
    <t>Ethane</t>
  </si>
  <si>
    <t xml:space="preserve">     LPG</t>
  </si>
  <si>
    <t>Motor</t>
  </si>
  <si>
    <t>Aviation</t>
  </si>
  <si>
    <t>Jet</t>
  </si>
  <si>
    <t>Gas Diesel</t>
  </si>
  <si>
    <t>Residual</t>
  </si>
  <si>
    <t>Naphtha</t>
  </si>
  <si>
    <t>White</t>
  </si>
  <si>
    <t>Lubricants</t>
  </si>
  <si>
    <t>Bitumen</t>
  </si>
  <si>
    <t>Parrafin</t>
  </si>
  <si>
    <t>Petroleum</t>
  </si>
  <si>
    <t>Non-specified</t>
  </si>
  <si>
    <t xml:space="preserve"> NONSPEC</t>
  </si>
  <si>
    <t>Nuclear</t>
  </si>
  <si>
    <t>Hydro</t>
  </si>
  <si>
    <t>Geothermal</t>
  </si>
  <si>
    <t>Solar</t>
  </si>
  <si>
    <t>Tide</t>
  </si>
  <si>
    <t>Wind</t>
  </si>
  <si>
    <t>Heatpumps</t>
  </si>
  <si>
    <t>Boilers</t>
  </si>
  <si>
    <t>Fuel</t>
  </si>
  <si>
    <t>coke</t>
  </si>
  <si>
    <t>Gas</t>
  </si>
  <si>
    <t>Furnace Gas</t>
  </si>
  <si>
    <t>&amp; Waste</t>
  </si>
  <si>
    <t>Waste</t>
  </si>
  <si>
    <t>+ Feedstocks</t>
  </si>
  <si>
    <t>Feedstocks</t>
  </si>
  <si>
    <t>Conventional</t>
  </si>
  <si>
    <t>Kerosene</t>
  </si>
  <si>
    <t>Spirit</t>
  </si>
  <si>
    <t>Wax</t>
  </si>
  <si>
    <t>Coke</t>
  </si>
  <si>
    <t>oil products</t>
  </si>
  <si>
    <t>VERSION:</t>
  </si>
  <si>
    <t>Crude</t>
  </si>
  <si>
    <t xml:space="preserve"> Indigenous Production</t>
  </si>
  <si>
    <t xml:space="preserve"> From Other Sources</t>
  </si>
  <si>
    <t xml:space="preserve"> Import</t>
  </si>
  <si>
    <t xml:space="preserve"> Export</t>
  </si>
  <si>
    <t xml:space="preserve"> Intl. Marine Bunkers</t>
  </si>
  <si>
    <t xml:space="preserve"> Stock Changes</t>
  </si>
  <si>
    <t xml:space="preserve"> Domestic Supply</t>
  </si>
  <si>
    <t xml:space="preserve"> Transfers</t>
  </si>
  <si>
    <t xml:space="preserve"> </t>
  </si>
  <si>
    <t xml:space="preserve"> Statistical Differences</t>
  </si>
  <si>
    <t xml:space="preserve"> Transformation Sector</t>
  </si>
  <si>
    <t xml:space="preserve"> Public Electricity Plant</t>
  </si>
  <si>
    <t xml:space="preserve"> Autoproducer Electricity Plant</t>
  </si>
  <si>
    <t xml:space="preserve"> Public CHP Plant</t>
  </si>
  <si>
    <t xml:space="preserve"> Autoproducer CHP Plant</t>
  </si>
  <si>
    <t xml:space="preserve"> Public Heat Plant</t>
  </si>
  <si>
    <t xml:space="preserve"> Autoproducer Heat Plant</t>
  </si>
  <si>
    <t xml:space="preserve"> Heat pumps</t>
  </si>
  <si>
    <t xml:space="preserve"> Electric Boilers</t>
  </si>
  <si>
    <t xml:space="preserve"> Patent Fuel Plants</t>
  </si>
  <si>
    <t xml:space="preserve"> Coke Ovens</t>
  </si>
  <si>
    <t xml:space="preserve"> Gas Works</t>
  </si>
  <si>
    <t xml:space="preserve"> For Blast Furnace Gas</t>
  </si>
  <si>
    <t xml:space="preserve"> Petrochemical Industry</t>
  </si>
  <si>
    <t xml:space="preserve"> For BKB</t>
  </si>
  <si>
    <t xml:space="preserve"> Oil Refineries</t>
  </si>
  <si>
    <t xml:space="preserve"> Liquefaction</t>
  </si>
  <si>
    <t xml:space="preserve"> Non-specified (Transformation)</t>
  </si>
  <si>
    <t xml:space="preserve"> Energy Sector</t>
  </si>
  <si>
    <t xml:space="preserve"> Coal Mines</t>
  </si>
  <si>
    <t xml:space="preserve"> Oil and Gas Extraction</t>
  </si>
  <si>
    <t xml:space="preserve"> BKB</t>
  </si>
  <si>
    <t xml:space="preserve"> Ownuse in Elec., CHP and Heat plant</t>
  </si>
  <si>
    <t xml:space="preserve"> Used for Pump Storage</t>
  </si>
  <si>
    <t xml:space="preserve"> Nuclear Industry</t>
  </si>
  <si>
    <t xml:space="preserve"> Non-specified (Energy)</t>
  </si>
  <si>
    <t xml:space="preserve"> Distribution Losses</t>
  </si>
  <si>
    <t xml:space="preserve"> Final Consumption</t>
  </si>
  <si>
    <t xml:space="preserve"> Industry Sector</t>
  </si>
  <si>
    <t xml:space="preserve"> Iron and Steel</t>
  </si>
  <si>
    <t xml:space="preserve"> Chemical and Petrochemical</t>
  </si>
  <si>
    <t xml:space="preserve"> Non-Ferrous Metals</t>
  </si>
  <si>
    <t xml:space="preserve"> Non-Metallic Minerals</t>
  </si>
  <si>
    <t xml:space="preserve"> Transport Equipment</t>
  </si>
  <si>
    <t xml:space="preserve"> Machinery</t>
  </si>
  <si>
    <t xml:space="preserve"> Mining and Quarrying</t>
  </si>
  <si>
    <t xml:space="preserve"> Food and Tobacco</t>
  </si>
  <si>
    <t xml:space="preserve"> Paper Pulp and Print</t>
  </si>
  <si>
    <t xml:space="preserve"> Wood and Wood Products</t>
  </si>
  <si>
    <t xml:space="preserve"> Construction</t>
  </si>
  <si>
    <t xml:space="preserve"> Textile and Leather</t>
  </si>
  <si>
    <t xml:space="preserve"> Non-specified (Industry)</t>
  </si>
  <si>
    <t xml:space="preserve"> Transport Sector</t>
  </si>
  <si>
    <t xml:space="preserve"> International Civil Aviation</t>
  </si>
  <si>
    <t xml:space="preserve"> Domestic Air Transport</t>
  </si>
  <si>
    <t xml:space="preserve"> Road</t>
  </si>
  <si>
    <t xml:space="preserve"> Rail</t>
  </si>
  <si>
    <t xml:space="preserve"> Pipeline Transport</t>
  </si>
  <si>
    <t xml:space="preserve"> Internal Navigation</t>
  </si>
  <si>
    <t xml:space="preserve"> Non-specified (Transport)</t>
  </si>
  <si>
    <t xml:space="preserve"> Other Sectors</t>
  </si>
  <si>
    <t xml:space="preserve"> Agriculture</t>
  </si>
  <si>
    <t xml:space="preserve"> Commerce and Public Services</t>
  </si>
  <si>
    <t xml:space="preserve"> Residential</t>
  </si>
  <si>
    <t xml:space="preserve"> Non-specified (Other)</t>
  </si>
  <si>
    <t xml:space="preserve"> Non-Energy Use</t>
  </si>
  <si>
    <t xml:space="preserve"> Memo:Non-Energy Use Ind/Transf/Ener</t>
  </si>
  <si>
    <t xml:space="preserve"> Memo:Non-Energy Use in Transport</t>
  </si>
  <si>
    <t xml:space="preserve"> Memo:Non-Energy Use in Oth.Sect.</t>
  </si>
  <si>
    <t xml:space="preserve"> Memo:Feedst.Use in Petchem. Ind.</t>
  </si>
  <si>
    <t xml:space="preserve"> Elect.Output in GWh</t>
  </si>
  <si>
    <t xml:space="preserve"> Elect.Output-public elec. plant</t>
  </si>
  <si>
    <t xml:space="preserve"> Elect.Output-autoprod. elec. plant</t>
  </si>
  <si>
    <t xml:space="preserve"> Elect.Output-public CHP plant</t>
  </si>
  <si>
    <t xml:space="preserve"> Elect.Output-autoprod. CHP plant</t>
  </si>
  <si>
    <t xml:space="preserve"> Heat Output-public CHP plant</t>
  </si>
  <si>
    <t xml:space="preserve"> Heat Output-autoproducer CHP plant</t>
  </si>
  <si>
    <t xml:space="preserve"> Heat Output-public heat plant</t>
  </si>
  <si>
    <t xml:space="preserve"> Heat Output-autoprod. heat plant</t>
  </si>
  <si>
    <t xml:space="preserve"> Heat Output in TJ</t>
  </si>
  <si>
    <t xml:space="preserve"> Pumped Hydro Production</t>
  </si>
  <si>
    <t xml:space="preserve"> Memo: Gas vented</t>
  </si>
  <si>
    <t xml:space="preserve"> Memo: Gas flared</t>
  </si>
  <si>
    <t xml:space="preserve"> Memo: Energy use for Gold Mining</t>
  </si>
  <si>
    <t xml:space="preserve"> Memo: Energy use for Other Mining</t>
  </si>
  <si>
    <t>South Africa</t>
  </si>
  <si>
    <t>Base Year Energy Balance</t>
  </si>
  <si>
    <t>Indigenous Production, Imports and Exports</t>
  </si>
  <si>
    <t>Base-year final energy aggregated by sector fuel</t>
  </si>
  <si>
    <t>Fuel #</t>
  </si>
  <si>
    <t>Ressources</t>
  </si>
  <si>
    <t>Total</t>
  </si>
  <si>
    <t>Sectoral Fuel Names</t>
  </si>
  <si>
    <t>Indigenous Production</t>
  </si>
  <si>
    <t>PJ</t>
  </si>
  <si>
    <t>Imports</t>
  </si>
  <si>
    <t>Exports</t>
  </si>
  <si>
    <t>Emission Factors</t>
  </si>
  <si>
    <t>kt/PJ</t>
  </si>
  <si>
    <t>Carbon Dioxide</t>
  </si>
  <si>
    <t>CO2</t>
  </si>
  <si>
    <t>Methane</t>
  </si>
  <si>
    <t>CH4</t>
  </si>
  <si>
    <t>Nitrous Oxide</t>
  </si>
  <si>
    <t>N2O</t>
  </si>
  <si>
    <t>Sulphur Gases</t>
  </si>
  <si>
    <t>SOX</t>
  </si>
  <si>
    <t>Nitrogen Gases</t>
  </si>
  <si>
    <t>NOX</t>
  </si>
  <si>
    <t>SUP Prefixes</t>
  </si>
  <si>
    <t>Code</t>
  </si>
  <si>
    <t>Types</t>
  </si>
  <si>
    <t>MIN</t>
  </si>
  <si>
    <t>OP</t>
  </si>
  <si>
    <t>UG</t>
  </si>
  <si>
    <t>SH</t>
  </si>
  <si>
    <t>CB</t>
  </si>
  <si>
    <t>IMP</t>
  </si>
  <si>
    <t>EXP</t>
  </si>
  <si>
    <t>Elc Upstream Commodities</t>
  </si>
  <si>
    <t>Electricity upstream of Transmission</t>
  </si>
  <si>
    <t>ELCC</t>
  </si>
  <si>
    <t>Electricity downstream of Transmission</t>
  </si>
  <si>
    <t>ELC</t>
  </si>
  <si>
    <t>~FI_T</t>
  </si>
  <si>
    <t>TechDesc</t>
  </si>
  <si>
    <t>TechName</t>
  </si>
  <si>
    <t>Comm-IN</t>
  </si>
  <si>
    <t>Comm-Out</t>
  </si>
  <si>
    <t>*Technology Description</t>
  </si>
  <si>
    <t>Technology Name</t>
  </si>
  <si>
    <t>Input Commodity</t>
  </si>
  <si>
    <t>Output</t>
  </si>
  <si>
    <t>\I:Units</t>
  </si>
  <si>
    <t>\I: Indegenous Production of Primary Energy - Fossil</t>
  </si>
  <si>
    <t>\I: Indegenous Production of Primary Energy - Renewable</t>
  </si>
  <si>
    <t>\I: Imports</t>
  </si>
  <si>
    <t>\I: Exports</t>
  </si>
  <si>
    <t>\I:</t>
  </si>
  <si>
    <t>Other Transformation</t>
  </si>
  <si>
    <t>Water</t>
  </si>
  <si>
    <t>WAT</t>
  </si>
  <si>
    <t>%</t>
  </si>
  <si>
    <t>Stock</t>
  </si>
  <si>
    <t>EFF</t>
  </si>
  <si>
    <t>AFA</t>
  </si>
  <si>
    <t>FIXOM</t>
  </si>
  <si>
    <t>VAROM</t>
  </si>
  <si>
    <t>Utilisation factor</t>
  </si>
  <si>
    <t>Input Share</t>
  </si>
  <si>
    <t>Fixed O&amp;M Cost</t>
  </si>
  <si>
    <t>Variable O&amp;M Cost</t>
  </si>
  <si>
    <t>(sum OUT/IN)</t>
  </si>
  <si>
    <t xml:space="preserve">Annual </t>
  </si>
  <si>
    <t>REGION1</t>
  </si>
  <si>
    <t>* Fuel #</t>
  </si>
  <si>
    <t>*</t>
  </si>
  <si>
    <t>Comp</t>
  </si>
  <si>
    <t>Name</t>
  </si>
  <si>
    <t>Description</t>
  </si>
  <si>
    <t>Unit(s)</t>
  </si>
  <si>
    <t>Set Memberships</t>
  </si>
  <si>
    <t>Comment</t>
  </si>
  <si>
    <t>\I: Backstop For Fuel Production</t>
  </si>
  <si>
    <t>PJ,PJa</t>
  </si>
  <si>
    <t>PRC,PRE,ANNUAL,IRE</t>
  </si>
  <si>
    <t>Parameter #</t>
  </si>
  <si>
    <t>row #</t>
  </si>
  <si>
    <t>Col #</t>
  </si>
  <si>
    <t>Parameter</t>
  </si>
  <si>
    <t>Arg1</t>
  </si>
  <si>
    <t>Arg2</t>
  </si>
  <si>
    <t>Arg3</t>
  </si>
  <si>
    <t>Arg4</t>
  </si>
  <si>
    <t>Arg5</t>
  </si>
  <si>
    <t>Arg6</t>
  </si>
  <si>
    <t>I/E Opt
or Value</t>
  </si>
  <si>
    <t>*1</t>
  </si>
  <si>
    <t>ACT_COST</t>
  </si>
  <si>
    <t>Process</t>
  </si>
  <si>
    <t>-</t>
  </si>
  <si>
    <t>*2</t>
  </si>
  <si>
    <t>ACT_BND</t>
  </si>
  <si>
    <t>ANNUAL</t>
  </si>
  <si>
    <t>UP</t>
  </si>
  <si>
    <t>Value</t>
  </si>
  <si>
    <t>PRC_ACTUNT</t>
  </si>
  <si>
    <t>CommGroup</t>
  </si>
  <si>
    <t>PRC_CAPACT</t>
  </si>
  <si>
    <t>*3</t>
  </si>
  <si>
    <t>TOP-OUT</t>
  </si>
  <si>
    <t>Commodity</t>
  </si>
  <si>
    <t>*4</t>
  </si>
  <si>
    <t>ACT_CUM</t>
  </si>
  <si>
    <t>BOH</t>
  </si>
  <si>
    <t>EOH</t>
  </si>
  <si>
    <t>* Entry #</t>
  </si>
  <si>
    <t>Fuel Commodities</t>
  </si>
  <si>
    <t>E</t>
  </si>
  <si>
    <t>COM,NRG,ANNUAL,FOSSIL</t>
  </si>
  <si>
    <t>Emission Commodities</t>
  </si>
  <si>
    <t>KT</t>
  </si>
  <si>
    <t>COM,ENV,ANNUAL,GHG</t>
  </si>
  <si>
    <t>FLO_EMIS</t>
  </si>
  <si>
    <t>*5</t>
  </si>
  <si>
    <t>ACT_EFF</t>
  </si>
  <si>
    <t>ACTGRP</t>
  </si>
  <si>
    <t>TOP-IN</t>
  </si>
  <si>
    <t>eps</t>
  </si>
  <si>
    <t>COA</t>
  </si>
  <si>
    <t>BIO</t>
  </si>
  <si>
    <t>COK</t>
  </si>
  <si>
    <t>GAS</t>
  </si>
  <si>
    <t>HYD</t>
  </si>
  <si>
    <t>SOL</t>
  </si>
  <si>
    <t>WND</t>
  </si>
  <si>
    <t>NUC</t>
  </si>
  <si>
    <t>Country Name</t>
  </si>
  <si>
    <t>Multiplier</t>
  </si>
  <si>
    <t>GDP deflator (annual change %) for South Africa from "The World Bank"</t>
  </si>
  <si>
    <t>http://search.worldbank.org/data?qterm=gdp%20deflator%20%22south%20africa%22&amp;language=EN</t>
  </si>
  <si>
    <t>Year to Convert from</t>
  </si>
  <si>
    <t>Rands</t>
  </si>
  <si>
    <t>Year to Convert to</t>
  </si>
  <si>
    <t>Conversion factor</t>
  </si>
  <si>
    <t>multipy by</t>
  </si>
  <si>
    <t>or divide by</t>
  </si>
  <si>
    <t>GDP deflator (annual change %) for US from "The World Bank"</t>
  </si>
  <si>
    <t>United States</t>
  </si>
  <si>
    <t xml:space="preserve">Official Exchange Rate (LCU per US$, period average) </t>
  </si>
  <si>
    <t>Real effective exchange rate index (2005 = 100)</t>
  </si>
  <si>
    <t>Volume basis</t>
  </si>
  <si>
    <t xml:space="preserve">Crude refineries </t>
  </si>
  <si>
    <t>PetroSA/Mossgas</t>
  </si>
  <si>
    <t>Sasol</t>
  </si>
  <si>
    <r>
      <t>(m</t>
    </r>
    <r>
      <rPr>
        <vertAlign val="superscript"/>
        <sz val="10"/>
        <color indexed="8"/>
        <rFont val="Arial"/>
        <family val="2"/>
      </rPr>
      <t>3</t>
    </r>
    <r>
      <rPr>
        <sz val="10"/>
        <rFont val="Arial"/>
        <family val="2"/>
      </rPr>
      <t>/year)</t>
    </r>
  </si>
  <si>
    <t>Avgas</t>
  </si>
  <si>
    <t>Fuel oil sales</t>
  </si>
  <si>
    <t>Jet fuel/Kerosene</t>
  </si>
  <si>
    <t>Power paraffin</t>
  </si>
  <si>
    <t>Petrol</t>
  </si>
  <si>
    <t>Subtotal</t>
  </si>
  <si>
    <t>TOTAL</t>
  </si>
  <si>
    <t>Mass basis</t>
  </si>
  <si>
    <t>(t/year)</t>
  </si>
  <si>
    <t>Energy basis</t>
  </si>
  <si>
    <t>Crude refineries coastal</t>
    <phoneticPr fontId="5" type="noConversion"/>
  </si>
  <si>
    <t>Crude refineries inland</t>
    <phoneticPr fontId="5" type="noConversion"/>
  </si>
  <si>
    <t>(TJ/year)</t>
  </si>
  <si>
    <t>Gas</t>
    <phoneticPr fontId="5" type="noConversion"/>
  </si>
  <si>
    <t>Energy basis (Full product split)</t>
    <phoneticPr fontId="5" type="noConversion"/>
  </si>
  <si>
    <t>Fuel alcohols</t>
    <phoneticPr fontId="5" type="noConversion"/>
  </si>
  <si>
    <t>-</t>
    <phoneticPr fontId="5" type="noConversion"/>
  </si>
  <si>
    <t>Total</t>
    <phoneticPr fontId="5" type="noConversion"/>
  </si>
  <si>
    <t>Coastal</t>
  </si>
  <si>
    <t>Inland</t>
  </si>
  <si>
    <t>CHEVREF</t>
  </si>
  <si>
    <t>SAPREF</t>
  </si>
  <si>
    <t>ENREF</t>
  </si>
  <si>
    <t>NATREF</t>
  </si>
  <si>
    <t>References</t>
  </si>
  <si>
    <t>Feed (Crude)</t>
  </si>
  <si>
    <t>m³/yr</t>
  </si>
  <si>
    <t>bbl/d</t>
  </si>
  <si>
    <t>SAPIA, 2006</t>
  </si>
  <si>
    <t>tpd</t>
  </si>
  <si>
    <t>SAPREF, 2006</t>
  </si>
  <si>
    <t>Average S.G</t>
  </si>
  <si>
    <t>Plant availability</t>
  </si>
  <si>
    <t>d/y</t>
  </si>
  <si>
    <r>
      <t>Products, m</t>
    </r>
    <r>
      <rPr>
        <b/>
        <vertAlign val="superscript"/>
        <sz val="10"/>
        <rFont val="Arial"/>
        <family val="2"/>
      </rPr>
      <t>3</t>
    </r>
    <r>
      <rPr>
        <b/>
        <sz val="10"/>
        <rFont val="Arial"/>
        <family val="2"/>
      </rPr>
      <t>/year</t>
    </r>
  </si>
  <si>
    <r>
      <t>Mass density (kg/m</t>
    </r>
    <r>
      <rPr>
        <vertAlign val="superscript"/>
        <sz val="10"/>
        <rFont val="Arial"/>
        <family val="2"/>
      </rPr>
      <t>3</t>
    </r>
    <r>
      <rPr>
        <sz val="10"/>
        <rFont val="Arial"/>
        <family val="2"/>
      </rPr>
      <t>)</t>
    </r>
  </si>
  <si>
    <t>Energy density (kJ/kg)</t>
  </si>
  <si>
    <r>
      <t>Volumetric flow (m</t>
    </r>
    <r>
      <rPr>
        <b/>
        <vertAlign val="superscript"/>
        <sz val="10"/>
        <rFont val="Arial"/>
        <family val="2"/>
      </rPr>
      <t>3</t>
    </r>
    <r>
      <rPr>
        <b/>
        <sz val="10"/>
        <rFont val="Arial"/>
        <family val="2"/>
      </rPr>
      <t>pa) - coastal refineries</t>
    </r>
  </si>
  <si>
    <r>
      <t>Volumetric flow (m</t>
    </r>
    <r>
      <rPr>
        <b/>
        <vertAlign val="superscript"/>
        <sz val="10"/>
        <rFont val="Arial"/>
        <family val="2"/>
      </rPr>
      <t>3</t>
    </r>
    <r>
      <rPr>
        <b/>
        <sz val="10"/>
        <rFont val="Arial"/>
        <family val="2"/>
      </rPr>
      <t>pa) - inland refineries</t>
    </r>
  </si>
  <si>
    <t>Massflow coastal (tpa)</t>
    <phoneticPr fontId="2" type="noConversion"/>
  </si>
  <si>
    <t>Massflow inland (tpa)</t>
    <phoneticPr fontId="2" type="noConversion"/>
  </si>
  <si>
    <t>Energy flow coastal refineries (TJ/year)</t>
  </si>
  <si>
    <t>Energy flow Inland refineries (TJ/year)</t>
  </si>
  <si>
    <t>Reece, 2004</t>
  </si>
  <si>
    <t>Bitumen/asphalt</t>
  </si>
  <si>
    <t>Chemical naphtha</t>
  </si>
  <si>
    <t>Engineering Toolbox, 2011</t>
  </si>
  <si>
    <t>Kaye &amp; Laby, 2011</t>
  </si>
  <si>
    <t>Kerosene/jet fuel</t>
  </si>
  <si>
    <t>Lube oil feedstock</t>
  </si>
  <si>
    <r>
      <t>Mogas 91</t>
    </r>
    <r>
      <rPr>
        <vertAlign val="superscript"/>
        <sz val="10"/>
        <rFont val="Arial"/>
        <family val="2"/>
      </rPr>
      <t>6</t>
    </r>
  </si>
  <si>
    <t>DME, 2005</t>
  </si>
  <si>
    <r>
      <t>Mogas 93</t>
    </r>
    <r>
      <rPr>
        <vertAlign val="superscript"/>
        <sz val="10"/>
        <rFont val="Arial"/>
        <family val="2"/>
      </rPr>
      <t>5</t>
    </r>
  </si>
  <si>
    <r>
      <t>Mogas 95</t>
    </r>
    <r>
      <rPr>
        <vertAlign val="superscript"/>
        <sz val="10"/>
        <rFont val="Arial"/>
        <family val="2"/>
      </rPr>
      <t>4</t>
    </r>
  </si>
  <si>
    <r>
      <t>Mogas 97</t>
    </r>
    <r>
      <rPr>
        <vertAlign val="superscript"/>
        <sz val="10"/>
        <rFont val="Arial"/>
        <family val="2"/>
      </rPr>
      <t>3</t>
    </r>
  </si>
  <si>
    <t>MJ/L</t>
  </si>
  <si>
    <t>Pavlinovic, 2011</t>
  </si>
  <si>
    <t>Solvents</t>
  </si>
  <si>
    <t>TOTALS</t>
    <phoneticPr fontId="2" type="noConversion"/>
  </si>
  <si>
    <t>References and footnotes</t>
  </si>
  <si>
    <t xml:space="preserve">All 1997 data from Lloyd, PJD, 2001. The South African Petroleum Industry: A Review, Energy Research Institute, University of Cape Town
</t>
  </si>
  <si>
    <t>kJ/m3</t>
    <phoneticPr fontId="2" type="noConversion"/>
  </si>
  <si>
    <t>m3/a</t>
    <phoneticPr fontId="2" type="noConversion"/>
  </si>
  <si>
    <t>Engineering Toolbox, 2011. Fuels - Densities and specific volumes, [Online], http://www.engineeringtoolbox.com/fuels-densities-specific-volumes-d_166.html</t>
  </si>
  <si>
    <t>Kaye &amp; Laby, 2011. Tables of Physical &amp; Chemical constants, National Physical Laboratory, [Online], http://www.kayelaby.npl.co.uk/chemistry/3_11/3_11_4.html</t>
  </si>
  <si>
    <t>Pavlinovic, P, 2011. Power Kerosene Recipes, Steam &amp; Engine of Australia, [Online], http://www.steamengine.com.au/index.php/ic/faq/173-power-kerosene-recipies</t>
  </si>
  <si>
    <t>Reece, M, 2004. Proposal for Oil Densities, Special Issue Paper 9, Energy Statistics Working Group Meeting, Energy Statistics Division, 16-17 November, International Energy Agency, Paris</t>
  </si>
  <si>
    <t>SAPREF, 2006. Sustainability in Focus Report, [Online], http://www.sapref.co.za/news%20publications/publications/stakeholder2006.pdf</t>
  </si>
  <si>
    <t>TOTAL TJ</t>
    <phoneticPr fontId="2" type="noConversion"/>
  </si>
  <si>
    <t>TJ/a</t>
    <phoneticPr fontId="2" type="noConversion"/>
  </si>
  <si>
    <t>bbl/a</t>
    <phoneticPr fontId="2" type="noConversion"/>
  </si>
  <si>
    <t>bbl/tonne</t>
  </si>
  <si>
    <t>TJ/tonne</t>
    <phoneticPr fontId="2" type="noConversion"/>
  </si>
  <si>
    <t>PetroSA</t>
  </si>
  <si>
    <t>SASOL</t>
  </si>
  <si>
    <t>Feed gas</t>
  </si>
  <si>
    <t>Feed coal</t>
  </si>
  <si>
    <t>tpa</t>
  </si>
  <si>
    <t>N/A</t>
  </si>
  <si>
    <t>Feed oil equivalent</t>
  </si>
  <si>
    <t>Energy density</t>
  </si>
  <si>
    <t>Production</t>
  </si>
  <si>
    <t>MMbbl</t>
  </si>
  <si>
    <t>PetroSA, 2007</t>
  </si>
  <si>
    <t>Mossgas</t>
  </si>
  <si>
    <r>
      <t>Volflow (m</t>
    </r>
    <r>
      <rPr>
        <b/>
        <vertAlign val="superscript"/>
        <sz val="10"/>
        <rFont val="Arial"/>
        <family val="2"/>
      </rPr>
      <t>3</t>
    </r>
    <r>
      <rPr>
        <b/>
        <sz val="10"/>
        <rFont val="Arial"/>
        <family val="2"/>
      </rPr>
      <t>pa)</t>
    </r>
  </si>
  <si>
    <t>Massflow (tpa)</t>
  </si>
  <si>
    <t>Energy flow (TJ/year)</t>
  </si>
  <si>
    <t>Chevron, 2006</t>
  </si>
  <si>
    <t xml:space="preserve">Fuel alcohols  </t>
  </si>
  <si>
    <t>BFIN, 2011</t>
  </si>
  <si>
    <t>Mogas 91</t>
  </si>
  <si>
    <t>Mogas 93</t>
  </si>
  <si>
    <t>Mogas 95</t>
  </si>
  <si>
    <t>Mogas 97</t>
  </si>
  <si>
    <t>BFIN, 2001. Bioenergy Conversion Factors, Bioenergy Feedstock Information Network, [Online], http://bioenergy.ornl.gov/papers/misc/energy_conv.html</t>
  </si>
  <si>
    <t>Chevron, 2006, Aviation Fuels Technical Review, [Online], http://www.chevronglobalaviation.com/docs/aviation_tech_review.pdf</t>
  </si>
  <si>
    <t>PetroSA, 2007. Operations Review, Annual Report, [Online], http://www.petrosa.co.za/AR20062007/09_ooperations_review.html</t>
  </si>
  <si>
    <t>Energy Balance Consumption</t>
  </si>
  <si>
    <t>Energy Balance Production</t>
  </si>
  <si>
    <t>Refinery Types</t>
  </si>
  <si>
    <t>CO</t>
  </si>
  <si>
    <t>IN</t>
  </si>
  <si>
    <t>Comm-IN-A</t>
  </si>
  <si>
    <t>Auxiliary Input fuels</t>
  </si>
  <si>
    <t>\I: Total number of Refinery tech entries</t>
  </si>
  <si>
    <t>Sasol Co-Gen SSF</t>
  </si>
  <si>
    <t>23% of steam goes to power generation</t>
  </si>
  <si>
    <t>Elc Efficiency</t>
  </si>
  <si>
    <t>Process emissions from synfuel process 23.5 mtons CO2 + 353kt CH4</t>
  </si>
  <si>
    <t>Ignore for now</t>
  </si>
  <si>
    <t>Steam needs (TJ)</t>
  </si>
  <si>
    <t>1.27mtons of steam</t>
  </si>
  <si>
    <t>Sasol1</t>
  </si>
  <si>
    <t>.35 tons Co2 per tons of steam</t>
  </si>
  <si>
    <t>Energy content of steam</t>
  </si>
  <si>
    <t>MJ/ton</t>
  </si>
  <si>
    <t>CO2 content per MJ of steam</t>
  </si>
  <si>
    <t>Co2 content per MJ of coal</t>
  </si>
  <si>
    <t>ton/MJ</t>
  </si>
  <si>
    <t>efficiency</t>
  </si>
  <si>
    <t>tons/MJ</t>
  </si>
  <si>
    <t>1 ton of steam</t>
  </si>
  <si>
    <t>.35 tons CO2</t>
  </si>
  <si>
    <t>2627 MJ of steam</t>
  </si>
  <si>
    <t>1 MJ of steam</t>
  </si>
  <si>
    <t>t CO2</t>
  </si>
  <si>
    <t>Sasolburg more efficient than Secunda</t>
  </si>
  <si>
    <t>kt CO2</t>
  </si>
  <si>
    <t>35 MW</t>
  </si>
  <si>
    <t>MW</t>
  </si>
  <si>
    <t>GWh</t>
  </si>
  <si>
    <t>2% international, 6.5% goes to mining, 24% chemicals, 63.5% synfuels, 4% Natref using Indirect CO2 table)</t>
  </si>
  <si>
    <t>elc</t>
  </si>
  <si>
    <t>Coal Steam</t>
  </si>
  <si>
    <t>Being checked</t>
  </si>
  <si>
    <t>4.4 PJ</t>
  </si>
  <si>
    <t>52.4 PJ goes to export (of 19.6 is synthetic</t>
  </si>
  <si>
    <t>Gas consumption for energy use/combustion: Check DOE document</t>
  </si>
  <si>
    <t>Exports of Coal: Check coal balance from Analyst booklet</t>
  </si>
  <si>
    <t>Electricity Exports: from 2010 OCGT's -&gt; CCGT 2011 - check CDM report</t>
  </si>
  <si>
    <t>Gas Engines</t>
  </si>
  <si>
    <t>Total emissions assuming 140MW running 8760 hrs: 550</t>
  </si>
  <si>
    <t>Electricity (GWh)</t>
  </si>
  <si>
    <t>Gas consumption</t>
  </si>
  <si>
    <t>15% reduction in intensity for utilities</t>
  </si>
  <si>
    <t>Generate reduction cost curve from standard approaches - that can be circulated to Sasol</t>
  </si>
  <si>
    <t>Biogas</t>
  </si>
  <si>
    <t>BIG</t>
  </si>
  <si>
    <t>Biomass bagasse</t>
  </si>
  <si>
    <t>BIB</t>
  </si>
  <si>
    <t>BIW</t>
  </si>
  <si>
    <t>Coal Discard</t>
  </si>
  <si>
    <t>CLD</t>
  </si>
  <si>
    <t>CLE</t>
  </si>
  <si>
    <t>Biomass Wood</t>
  </si>
  <si>
    <t>Oil Gasoline</t>
  </si>
  <si>
    <t>OGS</t>
  </si>
  <si>
    <t>Oil HFO</t>
  </si>
  <si>
    <t>OHF</t>
  </si>
  <si>
    <t>Oil LPG</t>
  </si>
  <si>
    <t>OLP</t>
  </si>
  <si>
    <t>Biomass Other</t>
  </si>
  <si>
    <t>Oil Crude</t>
  </si>
  <si>
    <t>Oil Diesel</t>
  </si>
  <si>
    <t>ODS</t>
  </si>
  <si>
    <t>Coal Coking</t>
  </si>
  <si>
    <t>Oil Av Gasoline</t>
  </si>
  <si>
    <t>OAG</t>
  </si>
  <si>
    <t>OCR</t>
  </si>
  <si>
    <t>\I: Regional Production of Primary Energy</t>
  </si>
  <si>
    <t>From Energy Balance:</t>
  </si>
  <si>
    <t>Dummy Commodities</t>
  </si>
  <si>
    <t>Dummy Commodity</t>
  </si>
  <si>
    <t>Other Commodities</t>
  </si>
  <si>
    <t>PRC,PRE,ANNUAL</t>
  </si>
  <si>
    <t>Backstop for whole system</t>
  </si>
  <si>
    <t>ZZZ</t>
  </si>
  <si>
    <t>Rands/US$</t>
  </si>
  <si>
    <t>Existing Refineries</t>
  </si>
  <si>
    <t>gas input</t>
  </si>
  <si>
    <t>Crude input</t>
  </si>
  <si>
    <t>Methane Rich Gas Input</t>
  </si>
  <si>
    <t>Elc Input (TJ)</t>
  </si>
  <si>
    <t>Crude mton</t>
  </si>
  <si>
    <t>Crude TJ</t>
  </si>
  <si>
    <t>shares</t>
  </si>
  <si>
    <t>Availability</t>
  </si>
  <si>
    <t>Life</t>
  </si>
  <si>
    <t>Lifetime</t>
  </si>
  <si>
    <t>years</t>
  </si>
  <si>
    <t>Share-I~FX</t>
  </si>
  <si>
    <t>INVCOST</t>
  </si>
  <si>
    <t>Investment Cost</t>
  </si>
  <si>
    <t>Refineries</t>
  </si>
  <si>
    <t>Refinery Crude Oil</t>
  </si>
  <si>
    <t>Refinery GTL</t>
  </si>
  <si>
    <t>Refinery CTL</t>
  </si>
  <si>
    <t>Refineries Onsite Steam Generation</t>
  </si>
  <si>
    <t>Start</t>
  </si>
  <si>
    <t>Start Year</t>
  </si>
  <si>
    <t>Oil Kerosene</t>
  </si>
  <si>
    <t>OKE</t>
  </si>
  <si>
    <t>Oil Other</t>
  </si>
  <si>
    <t>OTH</t>
  </si>
  <si>
    <t>HET</t>
  </si>
  <si>
    <t>Heat-Steam</t>
  </si>
  <si>
    <t>Gas Methane Rich</t>
  </si>
  <si>
    <t>D</t>
  </si>
  <si>
    <t>COM_GRP,COM_GRPTRU</t>
  </si>
  <si>
    <t>Commodity Groups for Refineries</t>
  </si>
  <si>
    <t>New Refineries</t>
  </si>
  <si>
    <t>NCAP_AFA</t>
  </si>
  <si>
    <t>Offset Index</t>
  </si>
  <si>
    <t>RESID</t>
  </si>
  <si>
    <t>Liquid Fuel Supply Sector</t>
  </si>
  <si>
    <t>Energy Data for Existing Sasol and Other Refineries in 2006 as well as Future Projects</t>
  </si>
  <si>
    <t>Available/Sourced Data Input</t>
  </si>
  <si>
    <t>Real Discount Rate</t>
  </si>
  <si>
    <t>Assumption</t>
  </si>
  <si>
    <t>Check</t>
  </si>
  <si>
    <t>Result to be used in model</t>
  </si>
  <si>
    <t>Raw Data - SASOL Existing</t>
  </si>
  <si>
    <t>Model Input Data Sasol Existing</t>
  </si>
  <si>
    <t>LTMS model data</t>
  </si>
  <si>
    <t>Coal Use</t>
  </si>
  <si>
    <t>Unit</t>
  </si>
  <si>
    <t>Source</t>
  </si>
  <si>
    <t>emis factors (LTMS)</t>
  </si>
  <si>
    <t>ktCO2</t>
  </si>
  <si>
    <t>Mton</t>
  </si>
  <si>
    <t>Analyst Book Dec 2006</t>
  </si>
  <si>
    <t>Synthetic Fuels</t>
  </si>
  <si>
    <t>DSL</t>
  </si>
  <si>
    <t>Chemicals</t>
  </si>
  <si>
    <t>Coal Material Input</t>
  </si>
  <si>
    <t>FAL</t>
  </si>
  <si>
    <t>Synfuels</t>
  </si>
  <si>
    <t>Gas Material Input</t>
  </si>
  <si>
    <t>JFL</t>
  </si>
  <si>
    <t>Export</t>
  </si>
  <si>
    <t>Gas Heat Input</t>
  </si>
  <si>
    <t>MRG</t>
  </si>
  <si>
    <t>Coal Steam (process heat)</t>
  </si>
  <si>
    <t>PAR</t>
  </si>
  <si>
    <t>Coal Calorific Value Estimation</t>
  </si>
  <si>
    <t>Coal Steam (Stoich)</t>
  </si>
  <si>
    <t>PET</t>
  </si>
  <si>
    <t>Synfuel Material Use (DAF)</t>
  </si>
  <si>
    <t>kton</t>
  </si>
  <si>
    <t>Coal Steam (Power Gen)</t>
  </si>
  <si>
    <t>Dry Ash Free to Run of Mine ratio [DAF:ROM]</t>
  </si>
  <si>
    <t>Total Heat Input</t>
  </si>
  <si>
    <t>SSF Material Use (ROM)</t>
  </si>
  <si>
    <t>Elc from Eskom (Indirect Emissions)</t>
  </si>
  <si>
    <t>Energy Use (ROM)</t>
  </si>
  <si>
    <t>Self Generated Electricity</t>
  </si>
  <si>
    <t>Total Coal Energy Input</t>
  </si>
  <si>
    <t>Coal Calorific Value (Synfuels)</t>
  </si>
  <si>
    <t>GJ/ton</t>
  </si>
  <si>
    <t>Process Emissions</t>
  </si>
  <si>
    <t>Sasol Coal Boilers Efficiency Estimation</t>
  </si>
  <si>
    <t>Energy Products Output</t>
  </si>
  <si>
    <t>Efficiency Calculation</t>
  </si>
  <si>
    <t>Lloyd PJD 2001</t>
  </si>
  <si>
    <t>Energy Content of Steam:</t>
  </si>
  <si>
    <t>Pers Comm Sasol</t>
  </si>
  <si>
    <t>CO2 emissions from steam:</t>
  </si>
  <si>
    <t>tonsCO2/tonSt</t>
  </si>
  <si>
    <t>Methane Rich Gas</t>
  </si>
  <si>
    <t>tonsCO2/TJ</t>
  </si>
  <si>
    <t>Kerosene/Jet Fuel/paraffin</t>
  </si>
  <si>
    <t>CO2 emission from coal:</t>
  </si>
  <si>
    <t>Gasoline/Petrol</t>
  </si>
  <si>
    <t>KJ/kg</t>
  </si>
  <si>
    <t>kgC/kg</t>
  </si>
  <si>
    <t>kgCO2/kg</t>
  </si>
  <si>
    <t>kgCO2/GJ</t>
  </si>
  <si>
    <t>Non Energy (alcohols)</t>
  </si>
  <si>
    <t>Ethanol:</t>
  </si>
  <si>
    <t>Total Output</t>
  </si>
  <si>
    <t>Steam</t>
  </si>
  <si>
    <t>Total Energy Input</t>
  </si>
  <si>
    <t>Share of Steam going to Power Gen</t>
  </si>
  <si>
    <t>Steam going to Power Generation</t>
  </si>
  <si>
    <t>Overall Efficiency</t>
  </si>
  <si>
    <t>Installed Capacity Sasolburg (Chemicals)</t>
  </si>
  <si>
    <t>ESI Stats</t>
  </si>
  <si>
    <t>Input Shares (energy)</t>
  </si>
  <si>
    <t>Installed Capacity Secunda (SSF)</t>
  </si>
  <si>
    <t>Steam going to Power Gen Chem (Sasolburg)</t>
  </si>
  <si>
    <t>Other steam going to Chemicals (Sasolburg)</t>
  </si>
  <si>
    <t>Steam Input (Stoich+heat)</t>
  </si>
  <si>
    <t>Electricity Input</t>
  </si>
  <si>
    <t>Total steam going to SSF</t>
  </si>
  <si>
    <t>Output Shares (energy)</t>
  </si>
  <si>
    <t>Share of Steam used in SSF Process (Stoich)</t>
  </si>
  <si>
    <t>Steam used in SSF Process (Stoic)</t>
  </si>
  <si>
    <t>Steam used for Power Gen</t>
  </si>
  <si>
    <t>Steam used for Process heat</t>
  </si>
  <si>
    <t>Total Electricity Purchased</t>
  </si>
  <si>
    <t>International share</t>
  </si>
  <si>
    <t>Mining share</t>
  </si>
  <si>
    <t>Process emission factor CO2</t>
  </si>
  <si>
    <t>kton/PJout</t>
  </si>
  <si>
    <t>Chemicas share</t>
  </si>
  <si>
    <t>Process emission factor CH4</t>
  </si>
  <si>
    <t>Natref share</t>
  </si>
  <si>
    <t>Synfuels share</t>
  </si>
  <si>
    <t>Capacity (in terms of energy products)</t>
  </si>
  <si>
    <t>PJ/annum</t>
  </si>
  <si>
    <t>Operating Costs (excl.fuel)</t>
  </si>
  <si>
    <t>mR/PJ</t>
  </si>
  <si>
    <t>Purchased Electricity</t>
  </si>
  <si>
    <t>Levelised Cost of products (current fuel price)</t>
  </si>
  <si>
    <t>R/GJ</t>
  </si>
  <si>
    <t>International</t>
  </si>
  <si>
    <t>Levelised Cost of products (IRP fuel price)</t>
  </si>
  <si>
    <t>Mining</t>
  </si>
  <si>
    <t>Material Input: Crude (ii)</t>
  </si>
  <si>
    <t>Total Input</t>
  </si>
  <si>
    <t>Generated Electricity</t>
  </si>
  <si>
    <t>Lloyd PJD 2001 scaled by change of capacity (91-108 '000 bbl/day)</t>
  </si>
  <si>
    <t>Efficiency (steam to elc)</t>
  </si>
  <si>
    <t>Efficiency (coal to elc)</t>
  </si>
  <si>
    <t>Non Energy Products</t>
  </si>
  <si>
    <t>Total Natural Gas</t>
  </si>
  <si>
    <t>Total Energy Products Output</t>
  </si>
  <si>
    <t>Synfuel Material Use</t>
  </si>
  <si>
    <t>Chemicals Material Use</t>
  </si>
  <si>
    <t>Chemicals Heat</t>
  </si>
  <si>
    <t>Crude Oil Natref</t>
  </si>
  <si>
    <t>Material Input (Crude)</t>
  </si>
  <si>
    <t>kTons (ktoe)</t>
  </si>
  <si>
    <t>Energy Density of Crude</t>
  </si>
  <si>
    <t>TJ/ktoe</t>
  </si>
  <si>
    <t>DOE EB 2006</t>
  </si>
  <si>
    <t>Energy input Crude (i)</t>
  </si>
  <si>
    <t>m3</t>
  </si>
  <si>
    <t>Density of Crude</t>
  </si>
  <si>
    <t>t/m3</t>
  </si>
  <si>
    <t>Lloyd, PJD, 2001. The South African Petroleum Industry: A Review, Energy Research Institute, University of Cape Town</t>
  </si>
  <si>
    <t>Energy input Crude (ii)</t>
  </si>
  <si>
    <t>Capacity</t>
  </si>
  <si>
    <t>CO2 direct (kt)</t>
  </si>
  <si>
    <t>CO2 Indirect (kT)</t>
  </si>
  <si>
    <t>Operating Costs</t>
  </si>
  <si>
    <t>Levelised Cost Product (no capital - 2006)</t>
  </si>
  <si>
    <t>Levelised cost Product (100$/bbl, IRP)</t>
  </si>
  <si>
    <t>Energy Input</t>
  </si>
  <si>
    <t>Steam (process heat)</t>
  </si>
  <si>
    <t>Conversion from 2006 to 2005 Rands</t>
  </si>
  <si>
    <t>Steam (Power Gen)</t>
  </si>
  <si>
    <t>Conversion from 2010 to 2006 Rands</t>
  </si>
  <si>
    <t>Electricity Purchased</t>
  </si>
  <si>
    <t>Gas (heat)</t>
  </si>
  <si>
    <t>SSF Coal Price</t>
  </si>
  <si>
    <t>R/ton</t>
  </si>
  <si>
    <t>Natural Gas Material Input</t>
  </si>
  <si>
    <t>Emissions</t>
  </si>
  <si>
    <t>IRP Coal Price</t>
  </si>
  <si>
    <t>IRP</t>
  </si>
  <si>
    <t>Chemicals Coal Price</t>
  </si>
  <si>
    <t>Heat (natural gas)</t>
  </si>
  <si>
    <t>Mozambique Natual Gas Price</t>
  </si>
  <si>
    <t>Other Direct (Process emission?)</t>
  </si>
  <si>
    <t>kTCO2</t>
  </si>
  <si>
    <t>IRP LNG Price</t>
  </si>
  <si>
    <t>KTCH4</t>
  </si>
  <si>
    <t>Average Crude Price in 2006</t>
  </si>
  <si>
    <t>$/bbl</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</si>
  <si>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</si>
  <si>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</si>
  <si>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</si>
  <si>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</si>
  <si>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</si>
  <si>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</si>
  <si>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</si>
  <si>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</si>
  <si>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</si>
  <si>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</si>
  <si>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</si>
  <si>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LTMS</t>
  </si>
  <si>
    <t>SSF (incl. Fuel)</t>
  </si>
  <si>
    <t>mR</t>
  </si>
  <si>
    <t>Coal Costs (excl. elc gen)</t>
  </si>
  <si>
    <t>Natural Gas Costs</t>
  </si>
  <si>
    <t>Electricity Costs</t>
  </si>
  <si>
    <t>SSF (excl. Fuel)</t>
  </si>
  <si>
    <t>Raw Data - Sasol New CTL (Mafutha)</t>
  </si>
  <si>
    <t>Model Input Data - Sasol New CTL (Mafutha)</t>
  </si>
  <si>
    <t>Capacity of new CTL</t>
  </si>
  <si>
    <t>PJ/a</t>
  </si>
  <si>
    <t>bbl/day</t>
  </si>
  <si>
    <t>Assume a 5% improvement in overall efficiency compared to Secunda</t>
  </si>
  <si>
    <t>Product Split</t>
  </si>
  <si>
    <t>(in energy terms)</t>
  </si>
  <si>
    <t>Coal Steam Efficiency</t>
  </si>
  <si>
    <t>Assume a 5% improvement on boiler efficiency</t>
  </si>
  <si>
    <t>Output Product Split (energy)</t>
  </si>
  <si>
    <t>Total Investment Cost</t>
  </si>
  <si>
    <t>Billions</t>
  </si>
  <si>
    <t>First Year</t>
  </si>
  <si>
    <t>mR/Pja</t>
  </si>
  <si>
    <t>Running Cost</t>
  </si>
  <si>
    <t>Weighted avg fuel (current fuel price)</t>
  </si>
  <si>
    <t>Weighted avg fuel (IRP fuel price)</t>
  </si>
  <si>
    <t>Raw Data - Other Refineries</t>
  </si>
  <si>
    <t>Model Input Data - Other Refineries</t>
  </si>
  <si>
    <t>Coastal Crude Refineries - Existing</t>
  </si>
  <si>
    <t>Coastal Crude Refineries</t>
  </si>
  <si>
    <t>Total Crude Oil Imported</t>
  </si>
  <si>
    <t>Energy Balance 2006</t>
  </si>
  <si>
    <t>Domestic Production of Crude</t>
  </si>
  <si>
    <t>Sasol Gas Sales</t>
  </si>
  <si>
    <t>Methane Rich Gas Input Share</t>
  </si>
  <si>
    <t>Estimate based on Natref</t>
  </si>
  <si>
    <t>Electricity Input Share</t>
  </si>
  <si>
    <t>Crude Input</t>
  </si>
  <si>
    <t>Material Input Crude Share</t>
  </si>
  <si>
    <t>Energy Products Output Share</t>
  </si>
  <si>
    <t>AvGas</t>
  </si>
  <si>
    <t>Kerosene/jet fuel/paraffin</t>
  </si>
  <si>
    <t>Other non energy</t>
  </si>
  <si>
    <t>Total products</t>
  </si>
  <si>
    <t>kt/Pjout</t>
  </si>
  <si>
    <t>Running Costs</t>
  </si>
  <si>
    <t>Pja</t>
  </si>
  <si>
    <t>Capital Cost</t>
  </si>
  <si>
    <t>bR2010</t>
  </si>
  <si>
    <t>bR2005</t>
  </si>
  <si>
    <t>Energy Products Output Share (flexible)</t>
  </si>
  <si>
    <t>Diesel (up)</t>
  </si>
  <si>
    <t>Kerosene/jet fuel/paraffin (up)</t>
  </si>
  <si>
    <t>LPG (up)</t>
  </si>
  <si>
    <t>Gasoline (up)</t>
  </si>
  <si>
    <t>mR/Pj</t>
  </si>
  <si>
    <t>GTL Existing - Petro SA</t>
  </si>
  <si>
    <t>Total Domestic Gas Input</t>
  </si>
  <si>
    <t>Material Input Gas Share</t>
  </si>
  <si>
    <t>Product Output</t>
  </si>
  <si>
    <t>Summary</t>
  </si>
  <si>
    <t>Sasol CTL</t>
  </si>
  <si>
    <t>Inland Crude Existing</t>
  </si>
  <si>
    <t>Coastal Crude Existing</t>
  </si>
  <si>
    <t>PetroSA GTL</t>
  </si>
  <si>
    <t>Mafutha</t>
  </si>
  <si>
    <t>Capacity in terms of outpus</t>
  </si>
  <si>
    <t>Running Costs per unit of output</t>
  </si>
  <si>
    <t>NCAP_COST</t>
  </si>
  <si>
    <t>mR/PJa</t>
  </si>
  <si>
    <t>LC_2006</t>
  </si>
  <si>
    <t>Lev. Cost of Production (in 2006)</t>
  </si>
  <si>
    <t>LC_Future</t>
  </si>
  <si>
    <t>Lev. Cost of production (with IRP/100$/bbl)</t>
  </si>
  <si>
    <t>FLO_EMI~SUPCO2</t>
  </si>
  <si>
    <t>FLO_EMI~SUPCH4</t>
  </si>
  <si>
    <t>Technology offset</t>
  </si>
  <si>
    <t>Commodity offset</t>
  </si>
  <si>
    <t>NCAP_FOM</t>
  </si>
  <si>
    <t>NCAP_BND</t>
  </si>
  <si>
    <t>FLO_FUNC</t>
  </si>
  <si>
    <t>CommGroup-I</t>
  </si>
  <si>
    <t>CommGroup-O</t>
  </si>
  <si>
    <t>*6</t>
  </si>
  <si>
    <t>FLO_SHAR</t>
  </si>
  <si>
    <t>FX</t>
  </si>
  <si>
    <t>*7</t>
  </si>
  <si>
    <t>*8</t>
  </si>
  <si>
    <t>*9</t>
  </si>
  <si>
    <t>PRC_RESID</t>
  </si>
  <si>
    <t>NCAP_TLIFE</t>
  </si>
  <si>
    <t>COM_GMAP</t>
  </si>
  <si>
    <t>Heat-Steam Existing</t>
  </si>
  <si>
    <t>Heat-Steam New</t>
  </si>
  <si>
    <t>HEE</t>
  </si>
  <si>
    <t>HEN</t>
  </si>
  <si>
    <t>Refinery CTL Boiler Existing</t>
  </si>
  <si>
    <t>Refinery Biofuel</t>
  </si>
  <si>
    <t>Refinery CTL Boiler New</t>
  </si>
  <si>
    <t>Sector Fuel</t>
  </si>
  <si>
    <t>Supply Data</t>
  </si>
  <si>
    <t>Power Sector</t>
  </si>
  <si>
    <t>PWR</t>
  </si>
  <si>
    <t>Base Commodities and Prices</t>
  </si>
  <si>
    <t>Natural Gas</t>
  </si>
  <si>
    <t>UREF</t>
  </si>
  <si>
    <t>UGTL</t>
  </si>
  <si>
    <t>UCTL</t>
  </si>
  <si>
    <t>UBIO</t>
  </si>
  <si>
    <t>UHET</t>
  </si>
  <si>
    <t>AGR</t>
  </si>
  <si>
    <t>COM</t>
  </si>
  <si>
    <t>IND</t>
  </si>
  <si>
    <t>TRA</t>
  </si>
  <si>
    <t>RES</t>
  </si>
  <si>
    <t>Electricity Upstream Transmission</t>
  </si>
  <si>
    <t>UPS</t>
  </si>
  <si>
    <t>Carbon dioxide South Africa</t>
  </si>
  <si>
    <t>Methane South Africa</t>
  </si>
  <si>
    <t>Nitrous Oxide South Africa</t>
  </si>
  <si>
    <t>Sulphur gases South Africa</t>
  </si>
  <si>
    <t>Nitrogen gases South Africa</t>
  </si>
  <si>
    <t>Carbon monoxide South Africa</t>
  </si>
  <si>
    <t>NMVOCs South Africa</t>
  </si>
  <si>
    <t>PM10 South Africa</t>
  </si>
  <si>
    <t>Carbon dioxide Region</t>
  </si>
  <si>
    <t>Methane Region</t>
  </si>
  <si>
    <t>Nitrous Oxide Region</t>
  </si>
  <si>
    <t>Sulphur gases Region</t>
  </si>
  <si>
    <t>Nitrogen gases Region</t>
  </si>
  <si>
    <t>Carbon monoxide Region</t>
  </si>
  <si>
    <t>NMVOCs Region</t>
  </si>
  <si>
    <t>PM10 Region</t>
  </si>
  <si>
    <t>CO2S</t>
  </si>
  <si>
    <t>CH4S</t>
  </si>
  <si>
    <t>N2OS</t>
  </si>
  <si>
    <t>SOXS</t>
  </si>
  <si>
    <t>NOXS</t>
  </si>
  <si>
    <t>CMOX</t>
  </si>
  <si>
    <t>NMVS</t>
  </si>
  <si>
    <t>P10S</t>
  </si>
  <si>
    <t>CO2R</t>
  </si>
  <si>
    <t>CH4R</t>
  </si>
  <si>
    <t>N2OR</t>
  </si>
  <si>
    <t>SOXR</t>
  </si>
  <si>
    <t>NOXR</t>
  </si>
  <si>
    <t>CMOR</t>
  </si>
  <si>
    <t>NMVR</t>
  </si>
  <si>
    <t>P10R</t>
  </si>
  <si>
    <t>Total Fuels used</t>
  </si>
  <si>
    <t>Sector Fuels, Losses and Emission Factors</t>
  </si>
  <si>
    <t>Fuel Techs</t>
  </si>
  <si>
    <t>Sector Col</t>
  </si>
  <si>
    <t>Agriculture</t>
  </si>
  <si>
    <t>Commercial</t>
  </si>
  <si>
    <t>Industry</t>
  </si>
  <si>
    <t>Transport</t>
  </si>
  <si>
    <t>Residential</t>
  </si>
  <si>
    <t>Supply Sector</t>
  </si>
  <si>
    <t>Sector #</t>
  </si>
  <si>
    <t>fuel #</t>
  </si>
  <si>
    <t>Emission #</t>
  </si>
  <si>
    <t>USD/bbl</t>
  </si>
  <si>
    <t>Petrol 93 Unleaded</t>
  </si>
  <si>
    <t>Petrol 95 Unleaded</t>
  </si>
  <si>
    <t xml:space="preserve">Diesel 0.05% Sulphur </t>
  </si>
  <si>
    <t>Diesel 0.005% sulphur</t>
  </si>
  <si>
    <t>Illum Paraffin</t>
  </si>
  <si>
    <t>Exchange Rate Rands/US$</t>
  </si>
  <si>
    <t>Average Dated Brent Crude</t>
  </si>
  <si>
    <t>c/l</t>
  </si>
  <si>
    <t>c/kg</t>
  </si>
  <si>
    <t>Date</t>
  </si>
  <si>
    <t>Exchange Rate (R/$)</t>
  </si>
  <si>
    <t>$/mbtu</t>
  </si>
  <si>
    <t>Rand/ton</t>
  </si>
  <si>
    <t>Oil Products Prices</t>
  </si>
  <si>
    <t>[Other Refineries]</t>
  </si>
  <si>
    <t>Bioethanol</t>
  </si>
  <si>
    <t>BIE</t>
  </si>
  <si>
    <t>Biodiesel</t>
  </si>
  <si>
    <t>BID</t>
  </si>
  <si>
    <t>Average Estimate of Ethanol to Gasoline Price ($/liter) ratio</t>
  </si>
  <si>
    <t>Break-even ratio</t>
  </si>
  <si>
    <t>Adjusted Ethanol to Gasoilne price ratio</t>
  </si>
  <si>
    <t>Source GHG: IPPC National GHG Guideline 2006 - kTon/PJ = ton/TJ</t>
  </si>
  <si>
    <t>http://www.energy.gov.za/files/media/explained/energy_price_report2010.PDF</t>
  </si>
  <si>
    <t>FUEL PRICES GAS</t>
  </si>
  <si>
    <t>Brent</t>
  </si>
  <si>
    <t>LNG Index</t>
  </si>
  <si>
    <t>Indigenous NG Index</t>
  </si>
  <si>
    <t>Regional NG Index</t>
  </si>
  <si>
    <t>Indigenous Shale Index</t>
  </si>
  <si>
    <t>LNGC Region</t>
  </si>
  <si>
    <t>USD/MMBtu</t>
  </si>
  <si>
    <t>LNGC Global</t>
  </si>
  <si>
    <t>FSRU</t>
  </si>
  <si>
    <t>2010 RT Flat, 1610 MW CCGT, 95 MGJ/a</t>
  </si>
  <si>
    <t>500km Domestic Pipeline (MM)</t>
  </si>
  <si>
    <t>2010 RT Flat, 1610 MW CCGT, 53 MGJ/a</t>
  </si>
  <si>
    <t>500km Domestic Pipeline (BL)</t>
  </si>
  <si>
    <t>LNGT (MM)</t>
  </si>
  <si>
    <t>LNGT (BL)</t>
  </si>
  <si>
    <t>LNGT (Max Utilisation)</t>
  </si>
  <si>
    <t>2010 RT Flat, 5730 MW CCGT @ BL, 338 MGJ/a</t>
  </si>
  <si>
    <t>IRP2010 Exchange Rate</t>
  </si>
  <si>
    <t>ZAR/USD</t>
  </si>
  <si>
    <t>ZAR/GJ</t>
  </si>
  <si>
    <t>Into Power Plant</t>
  </si>
  <si>
    <t>LNG FOB</t>
  </si>
  <si>
    <t>NG</t>
  </si>
  <si>
    <t>Shale</t>
  </si>
  <si>
    <t>LNGC</t>
  </si>
  <si>
    <t>LNGT</t>
  </si>
  <si>
    <t>PL</t>
  </si>
  <si>
    <t>RFSU</t>
  </si>
  <si>
    <t>LF_50</t>
  </si>
  <si>
    <t>LF_90</t>
  </si>
  <si>
    <t>Indigenous NG 500km Pipeline (MM)</t>
  </si>
  <si>
    <t>Indigenous NG 500km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</si>
  <si>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</si>
  <si>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</si>
  <si>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</si>
  <si>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</si>
  <si>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</si>
  <si>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</si>
  <si>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</si>
  <si>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</si>
  <si>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GAS Prices</t>
  </si>
  <si>
    <t>From model crude oil price in other years</t>
  </si>
  <si>
    <t>US$/km</t>
  </si>
  <si>
    <t>Investment cost</t>
  </si>
  <si>
    <t>Pipeline</t>
  </si>
  <si>
    <t>LNG Terminal</t>
  </si>
  <si>
    <t>Lower heating value</t>
  </si>
  <si>
    <t>Floating Terminal</t>
  </si>
  <si>
    <t>Gas Price</t>
  </si>
  <si>
    <t>UGAS</t>
  </si>
  <si>
    <t>Gas Terminals/Pipelines infrastructure</t>
  </si>
  <si>
    <t>no investment cost used, only cost of gas, because no infrastructure required</t>
  </si>
  <si>
    <t>Gas Transformation</t>
  </si>
  <si>
    <t>million$/PJ/annnum in model</t>
  </si>
  <si>
    <t>Average</t>
  </si>
  <si>
    <t>moderate</t>
  </si>
  <si>
    <t>low</t>
  </si>
  <si>
    <t>high</t>
  </si>
  <si>
    <t>life</t>
  </si>
  <si>
    <t>Source IEA data statistics handbook</t>
  </si>
  <si>
    <t>0.9 to get from gross to net</t>
  </si>
  <si>
    <t>LNG terminal capacity PJ</t>
  </si>
  <si>
    <t>conversion MJ/kg</t>
  </si>
  <si>
    <t>LNG terminal capacitybillion kg</t>
  </si>
  <si>
    <t>annualised cost million US$/annum</t>
  </si>
  <si>
    <t>pipeline size "</t>
  </si>
  <si>
    <t>Daryl says 53MGJ/a</t>
  </si>
  <si>
    <t>Total km</t>
  </si>
  <si>
    <t>Backstop for Electricity</t>
  </si>
  <si>
    <t>PRC,PRE,DAYNITE</t>
  </si>
  <si>
    <t>NCAP_PKCNT</t>
  </si>
  <si>
    <t>Shale Gas production as per email from Herman Neethling@shell.com - dated 2/11/2012</t>
  </si>
  <si>
    <t>Coal Costs</t>
  </si>
  <si>
    <t>2012/2013</t>
  </si>
  <si>
    <t>2013/2014</t>
  </si>
  <si>
    <t>2014/2015</t>
  </si>
  <si>
    <t>2015/2016</t>
  </si>
  <si>
    <t>2016/2017</t>
  </si>
  <si>
    <t>2017/2018</t>
  </si>
  <si>
    <t>Million tons</t>
  </si>
  <si>
    <t xml:space="preserve">Delivered </t>
  </si>
  <si>
    <t>R / ton</t>
  </si>
  <si>
    <t>Total Cost</t>
  </si>
  <si>
    <t>R million</t>
  </si>
  <si>
    <t>Cost 2012 R/ton</t>
  </si>
  <si>
    <t>Calorific value</t>
  </si>
  <si>
    <t>MJ/kg</t>
  </si>
  <si>
    <t>2012 R/GJ</t>
  </si>
  <si>
    <t>2010 R/GJ</t>
  </si>
  <si>
    <t>Source: MYPD 3, Pg 55</t>
  </si>
  <si>
    <t>convert from 2012 to 2010 rands</t>
  </si>
  <si>
    <t>3. Inflation (PPI)</t>
  </si>
  <si>
    <t>Economic Parameters</t>
  </si>
  <si>
    <t>Gross Domestic Product</t>
  </si>
  <si>
    <t>Consumer Price Index</t>
  </si>
  <si>
    <t>5.5</t>
  </si>
  <si>
    <t>Producer Price Index</t>
  </si>
  <si>
    <t>6.2</t>
  </si>
  <si>
    <t>Source: MYPD 3, Pg 136</t>
  </si>
  <si>
    <t>ton/MWh</t>
  </si>
  <si>
    <t>Model Check</t>
  </si>
  <si>
    <t xml:space="preserve">Coal </t>
  </si>
  <si>
    <t>Elc</t>
  </si>
  <si>
    <t>mtons</t>
  </si>
  <si>
    <t>TWh</t>
  </si>
  <si>
    <t>Burn rate</t>
  </si>
  <si>
    <t>Burn rate for Eskom coal - MYPD3</t>
  </si>
  <si>
    <t>Burn rate for Eskom coal - MYPD2</t>
  </si>
  <si>
    <t>  Moderate Low Sulfur Light (dollars per barrel)</t>
  </si>
  <si>
    <t>Gas Index Scenarios</t>
  </si>
  <si>
    <t>Oil Price Scenario</t>
  </si>
  <si>
    <t>Gas Price Index Scenario</t>
  </si>
  <si>
    <t>2009 USD</t>
  </si>
  <si>
    <t>2010 USD</t>
  </si>
  <si>
    <t>WEO 2011</t>
  </si>
  <si>
    <t>WEO 2012</t>
  </si>
  <si>
    <t>Real terms (2010 prices)</t>
  </si>
  <si>
    <t>New Policies</t>
  </si>
  <si>
    <t>Current Policies</t>
  </si>
  <si>
    <t>IEA crude oil imports</t>
  </si>
  <si>
    <t xml:space="preserve">Natural gas imports </t>
  </si>
  <si>
    <t>United States Mbtu</t>
  </si>
  <si>
    <t>Europe Mbtu</t>
  </si>
  <si>
    <t>Japan Mbtu</t>
  </si>
  <si>
    <t>OECD steam coal imports</t>
  </si>
  <si>
    <t>Oil Price growth</t>
  </si>
  <si>
    <t>Oil price</t>
  </si>
  <si>
    <t>gas - US</t>
  </si>
  <si>
    <t>Japan</t>
  </si>
  <si>
    <t>EU</t>
  </si>
  <si>
    <t>WEO 2010</t>
  </si>
  <si>
    <t>2010-2011</t>
  </si>
  <si>
    <t>2009-2010</t>
  </si>
  <si>
    <t>Real terms (2011 prices)</t>
  </si>
  <si>
    <t>Source AEO 2012, EIA - Table 21 - 2010 dollars per barrel</t>
  </si>
  <si>
    <t>Regional NG 2000km Pipeline (MM)</t>
  </si>
  <si>
    <t>2000km Import Pipeline (MM)</t>
  </si>
  <si>
    <t>2000km Import Pipeline (BL)</t>
  </si>
  <si>
    <t>Regional NG 2000km Pipeline  (BL)</t>
  </si>
  <si>
    <t>downloaded from: http://www.mapcrow.info/cgi-bin/cities_distance_airpt2.cgi?city3=-1812145%2CJ&amp;city4=-477622%2CA on Jan 25 2013</t>
  </si>
  <si>
    <t>Share-O~UP</t>
  </si>
  <si>
    <t>kton/PJ</t>
  </si>
  <si>
    <t>Table 1.4</t>
  </si>
  <si>
    <t>Oil Price</t>
  </si>
  <si>
    <t>Japan Gas price</t>
  </si>
  <si>
    <t>$/Mbtu</t>
  </si>
  <si>
    <t>Index</t>
  </si>
  <si>
    <t>Gas Infra</t>
  </si>
  <si>
    <t>PL_500</t>
  </si>
  <si>
    <t>PL_1000</t>
  </si>
  <si>
    <t>Gas Infra Description</t>
  </si>
  <si>
    <t>500 km               22 inches         compression</t>
  </si>
  <si>
    <t>500 km               22 inches         no compression</t>
  </si>
  <si>
    <t>1000 km               22 inches         compression</t>
  </si>
  <si>
    <t>1000 km               22 inches         no compression</t>
  </si>
  <si>
    <t xml:space="preserve">1 x LNGC berth               2 x 165 000 m3 tanks </t>
  </si>
  <si>
    <t xml:space="preserve">3 x FSRU units </t>
  </si>
  <si>
    <t>CCGT LF</t>
  </si>
  <si>
    <t>&gt;=50%</t>
  </si>
  <si>
    <t xml:space="preserve">CCGT  </t>
  </si>
  <si>
    <t>Development Costs</t>
  </si>
  <si>
    <t>USD m</t>
  </si>
  <si>
    <t>Owners' Team</t>
  </si>
  <si>
    <t>EPC</t>
  </si>
  <si>
    <t>CAPEX</t>
  </si>
  <si>
    <t>Capex Phasing</t>
  </si>
  <si>
    <t>Contract Term</t>
  </si>
  <si>
    <t>PL_2000</t>
  </si>
  <si>
    <t>2000 km               22 inches         compression</t>
  </si>
  <si>
    <t>2000 km               22 inches         no compression</t>
  </si>
  <si>
    <t>Exchange rate</t>
  </si>
  <si>
    <t>ODC mR</t>
  </si>
  <si>
    <t>Capital cost mR/PJ</t>
  </si>
  <si>
    <t>Pipeline cost mR/KM</t>
  </si>
  <si>
    <t>Total CAPEX</t>
  </si>
  <si>
    <t>EPC cost mR</t>
  </si>
  <si>
    <t>Lead Time</t>
  </si>
  <si>
    <t>NCAP_ILED</t>
  </si>
  <si>
    <t>http://www.engineeringnews.co.za/article/petrosa-moves-ahead-with-new-lng-import-studies-2012-12-10</t>
  </si>
  <si>
    <t>FSRU (Mossgas)</t>
  </si>
  <si>
    <t>capacity PJ/a</t>
  </si>
  <si>
    <t>volume</t>
  </si>
  <si>
    <t>'000 m3</t>
  </si>
  <si>
    <t>refil frequency</t>
  </si>
  <si>
    <t>1m3 lng</t>
  </si>
  <si>
    <t>m3 diesel</t>
  </si>
  <si>
    <t>GJ</t>
  </si>
  <si>
    <t>kg</t>
  </si>
  <si>
    <t>LNG storage volume</t>
  </si>
  <si>
    <t>Source AEO 2013, EIA - Table 21 - 2011 dollars per barrel</t>
  </si>
  <si>
    <t>Source AEO 2013, EIA - Table 21 - adjusted to 2010 dollars per barrel</t>
  </si>
  <si>
    <t xml:space="preserve">  West Texas Intermediate</t>
  </si>
  <si>
    <t>RES for Gas Supply</t>
  </si>
  <si>
    <t>Gas from Mozambique</t>
  </si>
  <si>
    <t>FSRU Terminal</t>
  </si>
  <si>
    <t>2000 km pipeline</t>
  </si>
  <si>
    <t>Gas from Ibhubezi</t>
  </si>
  <si>
    <t>500 km pipeline</t>
  </si>
  <si>
    <t>Shale Gas</t>
  </si>
  <si>
    <t>CCGT coastal</t>
  </si>
  <si>
    <t>CCGT Moz pipeline</t>
  </si>
  <si>
    <t>CCGT Shale</t>
  </si>
  <si>
    <t>OCGT Shale</t>
  </si>
  <si>
    <t>OCGT Moz pipeline</t>
  </si>
  <si>
    <t>OCGT coastal</t>
  </si>
  <si>
    <t>LNG from Region</t>
  </si>
  <si>
    <t>LNG from Elsewhere</t>
  </si>
  <si>
    <t>GMM</t>
  </si>
  <si>
    <t>START</t>
  </si>
  <si>
    <t>#1</t>
  </si>
  <si>
    <t>Commodities</t>
  </si>
  <si>
    <t xml:space="preserve">Pipeline </t>
  </si>
  <si>
    <t>MNZZZ</t>
  </si>
  <si>
    <t>Gas Southern Mozambique Piped</t>
  </si>
  <si>
    <t>Gas Regional LNG</t>
  </si>
  <si>
    <t>Gas International LNG</t>
  </si>
  <si>
    <t>Gas Regasified LNG</t>
  </si>
  <si>
    <t>Gas Northern Mozambique</t>
  </si>
  <si>
    <t>Gas Northern Mozambique Piped</t>
  </si>
  <si>
    <t>Gas Indigenous Ibhubezi</t>
  </si>
  <si>
    <t>Gas Indigenous Ibhubezi Piped</t>
  </si>
  <si>
    <t>Gas Indigenous Shale</t>
  </si>
  <si>
    <t>Gas Indigenous Piped Shale</t>
  </si>
  <si>
    <t>Efficiency(Losses)</t>
  </si>
  <si>
    <t>Default Value</t>
  </si>
  <si>
    <t>Gas South Africa</t>
  </si>
  <si>
    <t>emission number</t>
  </si>
  <si>
    <t>sector</t>
  </si>
  <si>
    <t>emission counter</t>
  </si>
  <si>
    <t>commodity counter</t>
  </si>
  <si>
    <t>OCGT Ankerlig</t>
  </si>
  <si>
    <t>Ankerlig CCGT convertion</t>
  </si>
  <si>
    <t>discount rate</t>
  </si>
  <si>
    <t>lead time</t>
  </si>
  <si>
    <t>IDC factor</t>
  </si>
  <si>
    <t>LO</t>
  </si>
  <si>
    <t>Pipeline in Palma</t>
  </si>
  <si>
    <t>IRP21010 Gas</t>
  </si>
  <si>
    <t>Sasol: 1Mton terminal: 900 MW</t>
  </si>
  <si>
    <t>Hydrogen</t>
  </si>
  <si>
    <t>HGN</t>
  </si>
  <si>
    <t>Check codes for duplicates</t>
  </si>
  <si>
    <t xml:space="preserve">Other Transformation </t>
  </si>
  <si>
    <t>Production Plant Hydrogen SMR</t>
  </si>
  <si>
    <t>Production Plant Hydrogen Coal Gas</t>
  </si>
  <si>
    <t>USMR</t>
  </si>
  <si>
    <t>UCOG</t>
  </si>
  <si>
    <t>Ram B.Gupta, 2009. Hydrogen Fuel: Production, Transport and Storage.ISBN 978-1-4200-4575-8</t>
  </si>
  <si>
    <t>used to produce 40% of world hydrogen</t>
  </si>
  <si>
    <t>Capacity range (100 t/h of H2&lt;H&lt;1t/h of H2. 100 t/h for ammonia manufacturing plants and &lt;1 t/h for small decentralised systems</t>
  </si>
  <si>
    <t xml:space="preserve">95% of hydrogen produced in the world comes from fossil fuels. </t>
  </si>
  <si>
    <t>Hydrogen produced by SMR at distributed scale is assumed to be more economical than central SMR production</t>
  </si>
  <si>
    <t xml:space="preserve">The cost is estimated at $5/gasoline gallon equivalent (gge) 2003 US dollar </t>
  </si>
  <si>
    <t>1 gge is equivalent to 1 kg of hydrogen</t>
  </si>
  <si>
    <t>Steam Methane Reforming (SMR)</t>
  </si>
  <si>
    <t>Source: Rand &amp; Dell (2008), "Hydrogen Energy Challenges and Prospects"</t>
  </si>
  <si>
    <t>The overall thermal efficiencies of steam reformer plants are, at best, only 75-80% and thus, in the absence of CCS the conversion of methane to hydrogen releases significantly more CO2 than burning the methane.</t>
  </si>
  <si>
    <t>Type</t>
  </si>
  <si>
    <t>micro</t>
  </si>
  <si>
    <t>medium scale for distributed production</t>
  </si>
  <si>
    <t>Volume Production (m3 H2)</t>
  </si>
  <si>
    <t>50 - 3000</t>
  </si>
  <si>
    <t>3000 - 30000</t>
  </si>
  <si>
    <t>75-80%</t>
  </si>
  <si>
    <t>67-73%</t>
  </si>
  <si>
    <t>Gupta (2009)</t>
  </si>
  <si>
    <t>Rand &amp; Dell (2008)</t>
  </si>
  <si>
    <t>EIA (2008)</t>
  </si>
  <si>
    <t>Volume</t>
  </si>
  <si>
    <t>Volume Units</t>
  </si>
  <si>
    <t>Nm3/day</t>
  </si>
  <si>
    <t>Nm3/day = normal m3/day ie: assuming gas at standard temperature and pressure</t>
  </si>
  <si>
    <t>Scholz in Gupta(2009)</t>
  </si>
  <si>
    <t>Comments</t>
  </si>
  <si>
    <t>HHV basis (steam output can't be used)</t>
  </si>
  <si>
    <t>HHV basis (steam input requires energy in)</t>
  </si>
  <si>
    <t>HHV basis - steam inputs and outputs included. Exothermic reaction to oxidsise CO can produce steam for input internally</t>
  </si>
  <si>
    <t>hydrogen plant efficiency</t>
  </si>
  <si>
    <t>Lower</t>
  </si>
  <si>
    <t>Upper</t>
  </si>
  <si>
    <t>GHG Emissions</t>
  </si>
  <si>
    <t>Spath &amp; Mann in Gupta:</t>
  </si>
  <si>
    <t>GHG Emissions of SMR =</t>
  </si>
  <si>
    <t>Nm3/Nm3 H2 produced</t>
  </si>
  <si>
    <t>Water Electrolysis</t>
  </si>
  <si>
    <t>The efficiency of water electrolyzers lies in the range 58-87%</t>
  </si>
  <si>
    <t>Adrian</t>
  </si>
  <si>
    <t>Crude Oil (OCR) that is input to conventional refineries is no longer prefixed with "UPS". This is because the crude oil is not actually burned and we don't want to track CO2 emissions against its consumption as feedstock for refineries.</t>
  </si>
  <si>
    <t>Coking Coal mapped to Industry Sector in Sheet("NameConv")</t>
  </si>
  <si>
    <t>Modeller</t>
  </si>
  <si>
    <t>Change</t>
  </si>
  <si>
    <t>Change History _ Fill this in when anything is changed in this workbook</t>
  </si>
  <si>
    <t>HHV basis (Case when steam output can't be used)</t>
  </si>
  <si>
    <t>HHV basis (Case when steam input requires energy in)</t>
  </si>
  <si>
    <t>Steam methane reforming (SMR), the most widely used being Catalytic steam reforming - it is the least expensive</t>
  </si>
  <si>
    <t>Note: The SMR processes both uses and produces steam</t>
  </si>
  <si>
    <t>General Notes</t>
  </si>
  <si>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</si>
  <si>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(Adapted from NREL (2002), "Hydrogen Supply: Cost Estimate for Hydrogen Pathways Scoping Analysis")</t>
  </si>
  <si>
    <r>
      <rPr>
        <b/>
        <sz val="11"/>
        <color indexed="8"/>
        <rFont val="Calibri"/>
        <family val="2"/>
      </rPr>
      <t>Reforming</t>
    </r>
    <r>
      <rPr>
        <sz val="11"/>
        <color theme="1"/>
        <rFont val="Calibri"/>
        <family val="2"/>
        <scheme val="minor"/>
      </rPr>
      <t xml:space="preserve"> is the technology of choice for converting gaseous and light liquid hydrocarbons</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</si>
  <si>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</si>
  <si>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r>
      <rPr>
        <b/>
        <sz val="11"/>
        <color indexed="8"/>
        <rFont val="Calibri"/>
        <family val="2"/>
      </rPr>
      <t>Electrolysis</t>
    </r>
    <r>
      <rPr>
        <sz val="11"/>
        <color theme="1"/>
        <rFont val="Calibri"/>
        <family val="2"/>
        <scheme val="minor"/>
      </rPr>
      <t xml:space="preserve"> to split hydrogen and water</t>
    </r>
  </si>
  <si>
    <t>Contents</t>
  </si>
  <si>
    <t>UK SHEC PROJECT MARKAL MODEL HYDROGEN SUPPLY TECHNOLOGY TABLES</t>
  </si>
  <si>
    <r>
      <rPr>
        <b/>
        <sz val="9"/>
        <color indexed="49"/>
        <rFont val="Calibri"/>
        <family val="2"/>
      </rPr>
      <t>Table 3. Recommended UK MARKAL investment cost and energy efficiency data for hydrogen production technologies</t>
    </r>
  </si>
  <si>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</si>
  <si>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</si>
  <si>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r>
      <rPr>
        <sz val="11"/>
        <rFont val="Calibri"/>
        <family val="2"/>
      </rPr>
      <t>Coal gasification</t>
    </r>
  </si>
  <si>
    <r>
      <rPr>
        <sz val="11"/>
        <rFont val="Calibri"/>
        <family val="2"/>
      </rPr>
      <t>Large</t>
    </r>
  </si>
  <si>
    <r>
      <rPr>
        <sz val="11"/>
        <rFont val="Calibri"/>
        <family val="2"/>
      </rPr>
      <t>65%</t>
    </r>
  </si>
  <si>
    <r>
      <rPr>
        <sz val="11"/>
        <rFont val="Calibri"/>
        <family val="2"/>
      </rPr>
      <t>126*</t>
    </r>
  </si>
  <si>
    <r>
      <rPr>
        <sz val="11"/>
        <rFont val="Calibri"/>
        <family val="2"/>
      </rPr>
      <t>60%</t>
    </r>
  </si>
  <si>
    <r>
      <rPr>
        <sz val="11"/>
        <rFont val="Calibri"/>
        <family val="2"/>
      </rPr>
      <t>SMR</t>
    </r>
  </si>
  <si>
    <r>
      <rPr>
        <sz val="11"/>
        <rFont val="Calibri"/>
        <family val="2"/>
      </rPr>
      <t>80%</t>
    </r>
  </si>
  <si>
    <r>
      <rPr>
        <sz val="11"/>
        <rFont val="Calibri"/>
        <family val="2"/>
      </rPr>
      <t>85%</t>
    </r>
  </si>
  <si>
    <r>
      <rPr>
        <sz val="11"/>
        <rFont val="Calibri"/>
        <family val="2"/>
      </rPr>
      <t>Medium</t>
    </r>
  </si>
  <si>
    <r>
      <rPr>
        <sz val="11"/>
        <rFont val="Calibri"/>
        <family val="2"/>
      </rPr>
      <t>75%</t>
    </r>
  </si>
  <si>
    <r>
      <rPr>
        <sz val="11"/>
        <rFont val="Calibri"/>
        <family val="2"/>
      </rPr>
      <t>Small</t>
    </r>
  </si>
  <si>
    <r>
      <rPr>
        <sz val="11"/>
        <rFont val="Calibri"/>
        <family val="2"/>
      </rPr>
      <t>Biomass gasification</t>
    </r>
  </si>
  <si>
    <r>
      <rPr>
        <sz val="11"/>
        <rFont val="Calibri"/>
        <family val="2"/>
      </rPr>
      <t>50%</t>
    </r>
  </si>
  <si>
    <r>
      <rPr>
        <sz val="11"/>
        <rFont val="Calibri"/>
        <family val="2"/>
      </rPr>
      <t>Biomass oil pyrolysis</t>
    </r>
  </si>
  <si>
    <r>
      <rPr>
        <sz val="11"/>
        <rFont val="Calibri"/>
        <family val="2"/>
      </rPr>
      <t>Waste gasification</t>
    </r>
  </si>
  <si>
    <r>
      <rPr>
        <sz val="11"/>
        <rFont val="Calibri"/>
        <family val="2"/>
      </rPr>
      <t>Nuclear</t>
    </r>
  </si>
  <si>
    <r>
      <rPr>
        <sz val="11"/>
        <rFont val="Calibri"/>
        <family val="2"/>
      </rPr>
      <t>Electrolysis</t>
    </r>
  </si>
  <si>
    <r>
      <rPr>
        <sz val="11"/>
        <rFont val="Calibri"/>
        <family val="2"/>
      </rPr>
      <t>90%</t>
    </r>
  </si>
  <si>
    <t>Table 4. Recommended TIAM-UCL investment cost and energy efficiency data for hydrogen production technologies for</t>
  </si>
  <si>
    <r>
      <rPr>
        <b/>
        <sz val="9"/>
        <color indexed="49"/>
        <rFont val="Calibri"/>
        <family val="2"/>
      </rPr>
      <t>the period 2000–2050, for use in energy systems models. Technologies with CCS should reduce the energy efficiencies</t>
    </r>
  </si>
  <si>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</si>
  <si>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 xml:space="preserve">Technology                                </t>
  </si>
  <si>
    <t xml:space="preserve">  Size       </t>
  </si>
  <si>
    <t xml:space="preserve"> First year   </t>
  </si>
  <si>
    <t xml:space="preserve"> Energy efficiency</t>
  </si>
  <si>
    <r>
      <rPr>
        <sz val="10"/>
        <rFont val="Cambria"/>
        <family val="1"/>
      </rPr>
      <t>Coal gasification</t>
    </r>
  </si>
  <si>
    <r>
      <rPr>
        <sz val="10"/>
        <rFont val="Cambria"/>
        <family val="1"/>
      </rPr>
      <t>Large</t>
    </r>
  </si>
  <si>
    <r>
      <rPr>
        <sz val="10"/>
        <rFont val="Cambria"/>
        <family val="1"/>
      </rPr>
      <t>65%</t>
    </r>
  </si>
  <si>
    <r>
      <rPr>
        <sz val="10"/>
        <rFont val="Cambria"/>
        <family val="1"/>
      </rPr>
      <t>IGCC generation (after</t>
    </r>
  </si>
  <si>
    <r>
      <rPr>
        <sz val="10"/>
        <rFont val="Cambria"/>
        <family val="1"/>
      </rPr>
      <t>60%</t>
    </r>
  </si>
  <si>
    <r>
      <rPr>
        <sz val="10"/>
        <rFont val="Cambria"/>
        <family val="1"/>
      </rPr>
      <t>coal gasification)</t>
    </r>
  </si>
  <si>
    <r>
      <rPr>
        <sz val="10"/>
        <rFont val="Cambria"/>
        <family val="1"/>
      </rPr>
      <t>SMR</t>
    </r>
  </si>
  <si>
    <r>
      <rPr>
        <sz val="10"/>
        <rFont val="Cambria"/>
        <family val="1"/>
      </rPr>
      <t>80%</t>
    </r>
  </si>
  <si>
    <r>
      <rPr>
        <sz val="10"/>
        <rFont val="Cambria"/>
        <family val="1"/>
      </rPr>
      <t>85%</t>
    </r>
  </si>
  <si>
    <r>
      <rPr>
        <sz val="10"/>
        <rFont val="Cambria"/>
        <family val="1"/>
      </rPr>
      <t>Medium</t>
    </r>
  </si>
  <si>
    <r>
      <rPr>
        <sz val="10"/>
        <rFont val="Cambria"/>
        <family val="1"/>
      </rPr>
      <t>75%</t>
    </r>
  </si>
  <si>
    <r>
      <rPr>
        <sz val="10"/>
        <rFont val="Cambria"/>
        <family val="1"/>
      </rPr>
      <t>Small</t>
    </r>
  </si>
  <si>
    <r>
      <rPr>
        <sz val="10"/>
        <rFont val="Cambria"/>
        <family val="1"/>
      </rPr>
      <t>Biomass gasification</t>
    </r>
  </si>
  <si>
    <r>
      <rPr>
        <sz val="10"/>
        <rFont val="Cambria"/>
        <family val="1"/>
      </rPr>
      <t>50%</t>
    </r>
  </si>
  <si>
    <r>
      <rPr>
        <sz val="10"/>
        <rFont val="Cambria"/>
        <family val="1"/>
      </rPr>
      <t>Biomass oil pyrolysis</t>
    </r>
  </si>
  <si>
    <r>
      <rPr>
        <sz val="10"/>
        <rFont val="Cambria"/>
        <family val="1"/>
      </rPr>
      <t>Waste gasification</t>
    </r>
  </si>
  <si>
    <r>
      <rPr>
        <sz val="10"/>
        <rFont val="Cambria"/>
        <family val="1"/>
      </rPr>
      <t>Nuclear</t>
    </r>
  </si>
  <si>
    <r>
      <rPr>
        <sz val="10"/>
        <rFont val="Cambria"/>
        <family val="1"/>
      </rPr>
      <t>Electrolysis</t>
    </r>
  </si>
  <si>
    <r>
      <rPr>
        <sz val="10"/>
        <rFont val="Cambria"/>
        <family val="1"/>
      </rPr>
      <t>90%</t>
    </r>
  </si>
  <si>
    <t>Size</t>
  </si>
  <si>
    <t xml:space="preserve">Technology    </t>
  </si>
  <si>
    <t>First year</t>
  </si>
  <si>
    <t>Investment costs</t>
  </si>
  <si>
    <r>
      <rPr>
        <b/>
        <sz val="10"/>
        <color indexed="49"/>
        <rFont val="Cambria"/>
        <family val="1"/>
      </rPr>
      <t>Table 5. Recommended UK MARKAL annual fixed O&amp;M cost data for hydrogen production technologies for the period</t>
    </r>
  </si>
  <si>
    <r>
      <rPr>
        <b/>
        <sz val="10"/>
        <color indexed="49"/>
        <rFont val="Cambria"/>
        <family val="1"/>
      </rPr>
      <t>2000–2050, for use in energy systems models. O&amp;M costs have units £(2000) GJ-1 y-1, except for those denoted by * that have units £m(2000) GW-1. See the text for a description of the data source.</t>
    </r>
  </si>
  <si>
    <t xml:space="preserve">Technology       </t>
  </si>
  <si>
    <t>Fixed O&amp;M (% of investment costs)</t>
  </si>
  <si>
    <r>
      <rPr>
        <b/>
        <sz val="10"/>
        <rFont val="Cambria"/>
        <family val="1"/>
      </rPr>
      <t>Fixed O&amp;M costs</t>
    </r>
  </si>
  <si>
    <r>
      <rPr>
        <sz val="10"/>
        <rFont val="Cambria"/>
        <family val="1"/>
      </rPr>
      <t>5%</t>
    </r>
  </si>
  <si>
    <r>
      <rPr>
        <sz val="10"/>
        <rFont val="Cambria"/>
        <family val="1"/>
      </rPr>
      <t>6.3*</t>
    </r>
  </si>
  <si>
    <r>
      <rPr>
        <sz val="10"/>
        <rFont val="Cambria"/>
        <family val="1"/>
      </rPr>
      <t>4%</t>
    </r>
  </si>
  <si>
    <r>
      <rPr>
        <sz val="10"/>
        <rFont val="Cambria"/>
        <family val="1"/>
      </rPr>
      <t>7%</t>
    </r>
  </si>
  <si>
    <r>
      <rPr>
        <sz val="10"/>
        <rFont val="Cambria"/>
        <family val="1"/>
      </rPr>
      <t>6%</t>
    </r>
  </si>
  <si>
    <r>
      <rPr>
        <b/>
        <sz val="10"/>
        <color indexed="49"/>
        <rFont val="Cambria"/>
        <family val="1"/>
      </rPr>
      <t>Table 6. Recommended TIAM-UCL annual fixed O&amp;M cost data for hydrogen production technologies for the period</t>
    </r>
  </si>
  <si>
    <r>
      <rPr>
        <b/>
        <sz val="10"/>
        <color indexed="49"/>
        <rFont val="Cambria"/>
        <family val="1"/>
      </rPr>
      <t>2000–2050, for use in energy systems models. O&amp;M costs have units $(2005) GJ-1 y-1, except for those denoted by * that</t>
    </r>
  </si>
  <si>
    <r>
      <rPr>
        <b/>
        <sz val="10"/>
        <color indexed="49"/>
        <rFont val="Cambria"/>
        <family val="1"/>
      </rPr>
      <t>have units $m(2005) GW-1. See the text for a description of the data source.</t>
    </r>
  </si>
  <si>
    <r>
      <rPr>
        <b/>
        <sz val="10"/>
        <color indexed="49"/>
        <rFont val="Cambria"/>
        <family val="1"/>
      </rPr>
      <t>Table 7. Recommended energy source input and output data for hydrogen production technologies for use in energy</t>
    </r>
  </si>
  <si>
    <r>
      <rPr>
        <b/>
        <sz val="10"/>
        <color indexed="49"/>
        <rFont val="Cambria"/>
        <family val="1"/>
      </rPr>
      <t>systems models. Technologies with CCS should increase the electricity input and reduce the feedstock by 4%. See the</t>
    </r>
  </si>
  <si>
    <r>
      <rPr>
        <b/>
        <sz val="10"/>
        <color indexed="49"/>
        <rFont val="Cambria"/>
        <family val="1"/>
      </rPr>
      <t>text for a description of the data source.</t>
    </r>
  </si>
  <si>
    <r>
      <rPr>
        <b/>
        <sz val="10"/>
        <rFont val="Cambria"/>
        <family val="1"/>
      </rPr>
      <t>Technology</t>
    </r>
  </si>
  <si>
    <r>
      <rPr>
        <b/>
        <sz val="10"/>
        <rFont val="Cambria"/>
        <family val="1"/>
      </rPr>
      <t>Energy input</t>
    </r>
  </si>
  <si>
    <r>
      <rPr>
        <b/>
        <sz val="10"/>
        <rFont val="Cambria"/>
        <family val="1"/>
      </rPr>
      <t>Energy output</t>
    </r>
  </si>
  <si>
    <r>
      <rPr>
        <b/>
        <sz val="10"/>
        <rFont val="Cambria"/>
        <family val="1"/>
      </rPr>
      <t>Feedstock</t>
    </r>
  </si>
  <si>
    <r>
      <rPr>
        <b/>
        <sz val="10"/>
        <rFont val="Cambria"/>
        <family val="1"/>
      </rPr>
      <t>Electricity</t>
    </r>
  </si>
  <si>
    <r>
      <rPr>
        <b/>
        <sz val="10"/>
        <rFont val="Cambria"/>
        <family val="1"/>
      </rPr>
      <t>GH2</t>
    </r>
  </si>
  <si>
    <r>
      <rPr>
        <b/>
        <sz val="10"/>
        <rFont val="Cambria"/>
        <family val="1"/>
      </rPr>
      <t>Coal gasification</t>
    </r>
  </si>
  <si>
    <r>
      <rPr>
        <sz val="10"/>
        <rFont val="Cambria"/>
        <family val="1"/>
      </rPr>
      <t>100%</t>
    </r>
  </si>
  <si>
    <r>
      <rPr>
        <sz val="10"/>
        <rFont val="Cambria"/>
        <family val="1"/>
      </rPr>
      <t>0%</t>
    </r>
  </si>
  <si>
    <r>
      <rPr>
        <b/>
        <sz val="10"/>
        <rFont val="Cambria"/>
        <family val="1"/>
      </rPr>
      <t>IGCC generation (after
coal gasification)</t>
    </r>
  </si>
  <si>
    <r>
      <rPr>
        <b/>
        <sz val="10"/>
        <rFont val="Cambria"/>
        <family val="1"/>
      </rPr>
      <t>SMR</t>
    </r>
  </si>
  <si>
    <r>
      <rPr>
        <b/>
        <sz val="10"/>
        <rFont val="Cambria"/>
        <family val="1"/>
      </rPr>
      <t>Biomass and waste</t>
    </r>
  </si>
  <si>
    <r>
      <rPr>
        <sz val="10"/>
        <rFont val="Cambria"/>
        <family val="1"/>
      </rPr>
      <t>97%</t>
    </r>
  </si>
  <si>
    <r>
      <rPr>
        <sz val="10"/>
        <rFont val="Cambria"/>
        <family val="1"/>
      </rPr>
      <t>3%</t>
    </r>
  </si>
  <si>
    <r>
      <rPr>
        <b/>
        <sz val="10"/>
        <rFont val="Cambria"/>
        <family val="1"/>
      </rPr>
      <t>Nuclear</t>
    </r>
  </si>
  <si>
    <r>
      <rPr>
        <sz val="10"/>
        <rFont val="Cambria"/>
        <family val="1"/>
      </rPr>
      <t>70%</t>
    </r>
  </si>
  <si>
    <r>
      <rPr>
        <sz val="10"/>
        <rFont val="Cambria"/>
        <family val="1"/>
      </rPr>
      <t>30%</t>
    </r>
  </si>
  <si>
    <r>
      <rPr>
        <b/>
        <sz val="10"/>
        <rFont val="Cambria"/>
        <family val="1"/>
      </rPr>
      <t>Electrolysis</t>
    </r>
  </si>
  <si>
    <t>IGCC generation (after coal gasification)</t>
  </si>
  <si>
    <t>UK_SHEC II (2012)</t>
  </si>
  <si>
    <t>Large SMR Plant</t>
  </si>
  <si>
    <t>Medium SMR Plant</t>
  </si>
  <si>
    <t>Small SMR Plant</t>
  </si>
  <si>
    <t>Medium Plant</t>
  </si>
  <si>
    <t>Small Plant</t>
  </si>
  <si>
    <t xml:space="preserve"> Investment costs   ( $(2005) GJ-1 y-1)</t>
  </si>
  <si>
    <t xml:space="preserve"> Investment costs   ( million ZAR(2010) PJ-1 y-1)</t>
  </si>
  <si>
    <t>Units of R/kW</t>
  </si>
  <si>
    <t>Units of $m(2005) GW-1</t>
  </si>
  <si>
    <t>Fixed O&amp;M costs ($(2005) GJ-1 y-1)</t>
  </si>
  <si>
    <t>Fixed O&amp;M costs (million ZAR(2010) PJ-1 y-1)</t>
  </si>
  <si>
    <t>Learning Rate</t>
  </si>
  <si>
    <t>2000 - 2025</t>
  </si>
  <si>
    <t>2025 - 2050</t>
  </si>
  <si>
    <t>Production Plant Hydrogen - Large Coal Gasification</t>
  </si>
  <si>
    <t>Hydrogen Production Technologies</t>
  </si>
  <si>
    <t>CO2 emissions(77.65% of GHG):</t>
  </si>
  <si>
    <t>kg CO2 eq/kg net H2 Produced</t>
  </si>
  <si>
    <t>CONSTANTS</t>
  </si>
  <si>
    <t>Ideal Gas Constant R</t>
  </si>
  <si>
    <t>kJ/(kg.K)</t>
  </si>
  <si>
    <t>Molar Mass</t>
  </si>
  <si>
    <t>kg/kmol</t>
  </si>
  <si>
    <t>Boiling Point</t>
  </si>
  <si>
    <t>deg. C</t>
  </si>
  <si>
    <t>density at standard conditions</t>
  </si>
  <si>
    <t>density of liquid hydrogen</t>
  </si>
  <si>
    <t>g/litre</t>
  </si>
  <si>
    <t>HHV</t>
  </si>
  <si>
    <t>LHV</t>
  </si>
  <si>
    <t>Octane Rating</t>
  </si>
  <si>
    <t>120 - 140</t>
  </si>
  <si>
    <t>kg/m3</t>
  </si>
  <si>
    <t>kton CO2 eq/PJ out</t>
  </si>
  <si>
    <t>kton CO2/PJ out</t>
  </si>
  <si>
    <t>Emission Factor</t>
  </si>
  <si>
    <t>kton CH4/PJ out</t>
  </si>
  <si>
    <t>kton CO2/PJ IN</t>
  </si>
  <si>
    <t>kton CH4/PJ IN</t>
  </si>
  <si>
    <t>Calculations</t>
  </si>
  <si>
    <t>Suffix -I = Input; Suffix -O + output; see mapping of commodities in TID_Ttech</t>
  </si>
  <si>
    <t>New Hydrogen Production</t>
  </si>
  <si>
    <t>New Hydrogen Production Technology</t>
  </si>
  <si>
    <t>New Hydrogen Production Plant</t>
  </si>
  <si>
    <t>Molar Mass O:</t>
  </si>
  <si>
    <t>Molar Mass H:</t>
  </si>
  <si>
    <t>kg H2O/kg H2</t>
  </si>
  <si>
    <t>kg H2O/MJ (HHV)</t>
  </si>
  <si>
    <t>kg H2O/MJ (LHV)</t>
  </si>
  <si>
    <t>WATER CONSUMPTION CALCS - INLAND ELECTROLYSIS</t>
  </si>
  <si>
    <t>Coal Gasification</t>
  </si>
  <si>
    <t>Source:</t>
  </si>
  <si>
    <t>CO2 out from WSG Unit:</t>
  </si>
  <si>
    <t>overall effic coal to H2</t>
  </si>
  <si>
    <t xml:space="preserve"> kg CO2/kg H2</t>
  </si>
  <si>
    <t>kg CO2/MJ (H2 HHV)</t>
  </si>
  <si>
    <t>kg CO2/MJ (H2 LHV)</t>
  </si>
  <si>
    <t>kton CO2/PJ (H2 HHV)</t>
  </si>
  <si>
    <t>kton CO2/PJ (H2 LHV)</t>
  </si>
  <si>
    <t>(Pg 53)</t>
  </si>
  <si>
    <t>kg/MJ (LHV)</t>
  </si>
  <si>
    <t>D. Simbeck and E. Chang (2002) "Hydrogen Supply: Cost Estimate for Hydrogen Pathways Scoping Analysis", NREL, NREL/SR-540-32525</t>
  </si>
  <si>
    <t>Alternative</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</si>
  <si>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</si>
  <si>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</si>
  <si>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</si>
  <si>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</si>
  <si>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</si>
  <si>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4.2.1 Liquid hydrogen delivery</t>
  </si>
  <si>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</si>
  <si>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</si>
  <si>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 distance.</t>
    </r>
  </si>
  <si>
    <r>
      <rPr>
        <b/>
        <sz val="11"/>
        <rFont val="Calibri"/>
        <family val="2"/>
      </rPr>
      <t>Technology</t>
    </r>
  </si>
  <si>
    <r>
      <rPr>
        <b/>
        <sz val="11"/>
        <rFont val="Calibri"/>
        <family val="2"/>
      </rPr>
      <t>Size</t>
    </r>
  </si>
  <si>
    <r>
      <rPr>
        <b/>
        <sz val="11"/>
        <rFont val="Calibri"/>
        <family val="2"/>
      </rPr>
      <t>First year</t>
    </r>
  </si>
  <si>
    <r>
      <rPr>
        <b/>
        <sz val="11"/>
        <rFont val="Calibri"/>
        <family val="2"/>
      </rPr>
      <t>INVCOST</t>
    </r>
  </si>
  <si>
    <r>
      <rPr>
        <b/>
        <sz val="11"/>
        <rFont val="Calibri"/>
        <family val="2"/>
      </rPr>
      <t>EFF</t>
    </r>
  </si>
  <si>
    <r>
      <rPr>
        <b/>
        <sz val="11"/>
        <rFont val="Calibri"/>
        <family val="2"/>
      </rPr>
      <t>Liquefaction</t>
    </r>
  </si>
  <si>
    <r>
      <rPr>
        <sz val="11"/>
        <rFont val="Calibri"/>
        <family val="2"/>
      </rPr>
      <t>Large</t>
    </r>
  </si>
  <si>
    <r>
      <rPr>
        <sz val="11"/>
        <rFont val="Calibri"/>
        <family val="2"/>
      </rPr>
      <t>Medium</t>
    </r>
  </si>
  <si>
    <r>
      <rPr>
        <b/>
        <sz val="11"/>
        <rFont val="Calibri"/>
        <family val="2"/>
      </rPr>
      <t>Ship*</t>
    </r>
  </si>
  <si>
    <r>
      <rPr>
        <b/>
        <sz val="11"/>
        <rFont val="Calibri"/>
        <family val="2"/>
      </rPr>
      <t>Road tanker*</t>
    </r>
  </si>
  <si>
    <r>
      <rPr>
        <sz val="11"/>
        <rFont val="Calibri"/>
        <family val="2"/>
      </rPr>
      <t>Small</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</si>
  <si>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</si>
  <si>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</si>
  <si>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description of the data source. * Ship and road tanker investment costs and efficiencies are influenced by the delivery</t>
    </r>
  </si>
  <si>
    <r>
      <rPr>
        <b/>
        <sz val="9"/>
        <color indexed="49"/>
        <rFont val="Calibri"/>
        <family val="2"/>
      </rPr>
      <t>distance.</t>
    </r>
  </si>
  <si>
    <r>
      <rPr>
        <b/>
        <sz val="11"/>
        <color indexed="8"/>
        <rFont val="Cambria"/>
        <family val="1"/>
      </rPr>
      <t>4.2.2    Tube trailer delivery</t>
    </r>
  </si>
  <si>
    <r>
      <rPr>
        <b/>
        <sz val="9"/>
        <color indexed="49"/>
        <rFont val="Calibri"/>
        <family val="2"/>
      </rPr>
      <t>Table 12. Recommended energy system model investment cost and energy efficiency data for tube trailers for the period</t>
    </r>
  </si>
  <si>
    <r>
      <rPr>
        <b/>
        <sz val="9"/>
        <color indexed="49"/>
        <rFont val="Calibri"/>
        <family val="2"/>
      </rPr>
      <t>2000–2050. These costs and efficiencies are only valid for short delivery distances (i.e. approximately 100 km). See the text for a description of the data source.</t>
    </r>
  </si>
  <si>
    <r>
      <rPr>
        <b/>
        <sz val="11"/>
        <rFont val="Calibri"/>
        <family val="2"/>
      </rPr>
      <t>First</t>
    </r>
  </si>
  <si>
    <r>
      <rPr>
        <b/>
        <sz val="11"/>
        <rFont val="Calibri"/>
        <family val="2"/>
      </rPr>
      <t>year</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</si>
  <si>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</si>
  <si>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</si>
  <si>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</si>
  <si>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</si>
  <si>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11"/>
        <rFont val="Calibri"/>
        <family val="2"/>
      </rPr>
      <t>Year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</si>
  <si>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</si>
  <si>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</si>
  <si>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</si>
  <si>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</si>
  <si>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</si>
  <si>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</si>
  <si>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Capital</t>
  </si>
  <si>
    <t>CO2 Price</t>
  </si>
  <si>
    <t>R/kton</t>
  </si>
  <si>
    <t>VOM</t>
  </si>
  <si>
    <t>LCOE</t>
  </si>
  <si>
    <t>boiler</t>
  </si>
  <si>
    <t>Elec (Nuc)</t>
  </si>
  <si>
    <t>(switch from COG to SMR occurs at R68/GJ)</t>
  </si>
  <si>
    <t>Bruno</t>
  </si>
  <si>
    <t>Added missing EPE and EPN fuels for pump storage</t>
  </si>
  <si>
    <t>Fixed Emission Factors that were previously broken by mistake</t>
  </si>
  <si>
    <t>Added losses by sector - linked to TIMESLICES</t>
  </si>
  <si>
    <t>Fuel Selection</t>
  </si>
  <si>
    <t>Existing Infrastructure</t>
  </si>
  <si>
    <t>Sasol Coal Power Gen</t>
  </si>
  <si>
    <t>Fixed Broken link of natural gas for material use into CTL plants: GMM-&gt;GMS (GMM is for mossgas, GMS is the gas for material use from southern mozambique</t>
  </si>
  <si>
    <t>Fixed the total coal input for material use in CTL - was using wrong calorific value</t>
  </si>
  <si>
    <t>WAS</t>
  </si>
  <si>
    <t>Fadiel</t>
  </si>
  <si>
    <t>Added waste as industrial fuel with IPCC  municipal waste  EF (non biomass fraction)</t>
  </si>
  <si>
    <t>In full sector/industry mode, xINDELC adjusted for zero infrastructure cost and 100% efficiency.</t>
  </si>
  <si>
    <t>Selected Sectors</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</si>
  <si>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</si>
  <si>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SATIM codes</t>
  </si>
  <si>
    <t>Model RUN code</t>
  </si>
  <si>
    <t>Model Description</t>
  </si>
  <si>
    <t>Indigenous GTL refinery production</t>
  </si>
  <si>
    <t>MMbbls</t>
  </si>
  <si>
    <t>Mmboe</t>
  </si>
  <si>
    <t>Production capacity</t>
  </si>
  <si>
    <t>Electricity Import</t>
  </si>
  <si>
    <t xml:space="preserve">Crude </t>
  </si>
  <si>
    <t>tonne of oil equivalent (toe)</t>
  </si>
  <si>
    <t>barrels per tonne</t>
  </si>
  <si>
    <t>The Energy and Fuel Data Sheet</t>
  </si>
  <si>
    <t>2006/07</t>
  </si>
  <si>
    <t>2011/12</t>
  </si>
  <si>
    <t>Bscf</t>
  </si>
  <si>
    <t>Material ratio</t>
  </si>
  <si>
    <t>Plant capacity:</t>
  </si>
  <si>
    <t>Condensate</t>
  </si>
  <si>
    <t>Oribi-Oryx</t>
  </si>
  <si>
    <t>Sable</t>
  </si>
  <si>
    <t>GJ (LHV)</t>
  </si>
  <si>
    <t>Total Oil Input</t>
  </si>
  <si>
    <t>Revised 2006  GTL energy figures based on PetroSA annual reports. Energy inputs. Should production capacity be revised as well to reflect reduced poerating capacity?</t>
  </si>
  <si>
    <t>1 billion cubic feet NG</t>
  </si>
  <si>
    <t>MMBoe</t>
  </si>
  <si>
    <t>http://www.bp.com/conversionfactors.jsp</t>
  </si>
  <si>
    <t>Ngas</t>
  </si>
  <si>
    <t>Mass (kg):</t>
  </si>
  <si>
    <t>Steam Production:</t>
  </si>
  <si>
    <t>Not captured as yet. Would derive from GMM amount</t>
  </si>
  <si>
    <t>Material ratio (%mass)</t>
  </si>
  <si>
    <t>Actual Production - PetroSA</t>
  </si>
  <si>
    <t>Crude Oil ($/bbl Real)</t>
  </si>
  <si>
    <t>$/bbl Real</t>
  </si>
  <si>
    <t>mlitres</t>
  </si>
  <si>
    <t>downloaded July 2013</t>
  </si>
  <si>
    <t>http://www.energy.gov.za/files/petroleum_frame.html</t>
  </si>
  <si>
    <t>Paraffin</t>
  </si>
  <si>
    <t>Coast</t>
  </si>
  <si>
    <t>Reef</t>
  </si>
  <si>
    <t>-&gt; Petrol Price Archive</t>
  </si>
  <si>
    <t>Inland 93</t>
  </si>
  <si>
    <t>Coast 95</t>
  </si>
  <si>
    <t>Check Date</t>
  </si>
  <si>
    <t>Check input</t>
  </si>
  <si>
    <t>R/bbl</t>
  </si>
  <si>
    <t>Simple Regression Models</t>
  </si>
  <si>
    <t>Model Inputs for Import Prices - BFP (R/GJ)</t>
  </si>
  <si>
    <t>Calorific Values</t>
  </si>
  <si>
    <t>Checks for price paid by Eskom for Diesel</t>
  </si>
  <si>
    <t>Crude Price (R/bbl) to BFP (c/l) Model</t>
  </si>
  <si>
    <t>MJ/l</t>
  </si>
  <si>
    <t>IRP 2010 price of Diesel</t>
  </si>
  <si>
    <t>standard error</t>
  </si>
  <si>
    <t>Offset</t>
  </si>
  <si>
    <t>R square</t>
  </si>
  <si>
    <t>Check 2 (c/l)</t>
  </si>
  <si>
    <t>Crude Price (R/bbl) to Pump Price (c/l) Model</t>
  </si>
  <si>
    <t>Comparison (c/l)</t>
  </si>
  <si>
    <t>Other Unit Conversions</t>
  </si>
  <si>
    <t>http://www.politicsweb.co.za/politicsweb/view/politicsweb/en/page71654?oid=290797&amp;sn=Detail&amp;pid=71654</t>
  </si>
  <si>
    <t>litres in a bbl</t>
  </si>
  <si>
    <t>l/bbl</t>
  </si>
  <si>
    <t>Average Generation cost of OCGT's in August 2011-feb 2012</t>
  </si>
  <si>
    <t>c/kWh</t>
  </si>
  <si>
    <t>litres in a ton of crude oil</t>
  </si>
  <si>
    <t>l/ton</t>
  </si>
  <si>
    <t>Litres consumed</t>
  </si>
  <si>
    <t>Electricity produced</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</si>
  <si>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</si>
  <si>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</si>
  <si>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</si>
  <si>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</si>
  <si>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</si>
  <si>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</si>
  <si>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</si>
  <si>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</si>
  <si>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</si>
  <si>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</si>
  <si>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Averages</t>
  </si>
  <si>
    <t>Model Check on crude oil</t>
  </si>
  <si>
    <t>Model Check on Crude Oil</t>
  </si>
  <si>
    <t>Model check on basic price</t>
  </si>
  <si>
    <t>Crude in Rands</t>
  </si>
  <si>
    <t>Average Petrol</t>
  </si>
  <si>
    <t>average diesel</t>
  </si>
  <si>
    <t>Crude Price Model Petrol</t>
  </si>
  <si>
    <t>Crude Price Model Diesel</t>
  </si>
  <si>
    <t>Average Diesel</t>
  </si>
  <si>
    <t>Average Paraffin</t>
  </si>
  <si>
    <t>Crude Price Model Paraffin</t>
  </si>
  <si>
    <t>BFP Model Petrol</t>
  </si>
  <si>
    <t>BFP Model Diesel</t>
  </si>
  <si>
    <t>BFP Model Paraffin</t>
  </si>
  <si>
    <t>Model Inputs for Sector (except power) Prices (R/GJ)</t>
  </si>
  <si>
    <t>sometime in between</t>
  </si>
  <si>
    <t>NB: Since the SATIM Methodology workbook is linked to some of the sheets in this workbook, make sure you get hold of the latest version and have it open if you are moving cells around, adding rows, column, etc… to linked sheets</t>
  </si>
  <si>
    <t>Updated Liquid fuel prices and method of calculation have replaced the old fuel prices sheet with "liq fuels prices"</t>
  </si>
  <si>
    <t>R/USD</t>
  </si>
  <si>
    <t>Basic Fuel Price</t>
  </si>
  <si>
    <t>Crude Price Model LPG</t>
  </si>
  <si>
    <t>Average LPG</t>
  </si>
  <si>
    <t>BFP Model LPG</t>
  </si>
  <si>
    <t>Reg.Coeff</t>
  </si>
  <si>
    <t>Prices at the pump (except for power sector)</t>
  </si>
  <si>
    <t>Coal Prices IRP2010</t>
  </si>
  <si>
    <t>Coal Price Assumptions:</t>
  </si>
  <si>
    <t>- IRP price for new plants used for CLN, COA ~300R/ton in 2010.</t>
  </si>
  <si>
    <t>- IRP price for discard coal used for CLD, CLE ~ 150R/ton in 2010.</t>
  </si>
  <si>
    <t>Discard Coal</t>
  </si>
  <si>
    <t>taken from the IRP 2010 table 28</t>
  </si>
  <si>
    <t>Fuel Prices (2010 Rands)</t>
  </si>
  <si>
    <t>Conversion from 2003 to 2010 Rands</t>
  </si>
  <si>
    <t>Coal price from SAM in 2007 (R/ton)</t>
  </si>
  <si>
    <t>Alternative path</t>
  </si>
  <si>
    <t>PQ0</t>
  </si>
  <si>
    <t>ccoal-low</t>
  </si>
  <si>
    <t>ccoal-hgh</t>
  </si>
  <si>
    <t>low grade coal</t>
  </si>
  <si>
    <t>2007 R / ton</t>
  </si>
  <si>
    <t>high grade coal</t>
  </si>
  <si>
    <t>Coal Price</t>
  </si>
  <si>
    <t>Average growth 2007-2012</t>
  </si>
  <si>
    <t>Export Price Estimates from figure 34 for the middle scenario for high grade coal</t>
  </si>
  <si>
    <t>2010 USD/ton</t>
  </si>
  <si>
    <t>2010 R/ton</t>
  </si>
  <si>
    <t>Calorific value MJ/kg</t>
  </si>
  <si>
    <t>Real growth</t>
  </si>
  <si>
    <t>2007 price from SAM</t>
  </si>
  <si>
    <t>2007 price in 2010 rands</t>
  </si>
  <si>
    <t>Ratio of price of low grade coal to high grade coal from table 20</t>
  </si>
  <si>
    <t>Export price estimates of low grade coal based on constant ratio</t>
  </si>
  <si>
    <t>Projections of the price of low and high grade coal from the Coal Road Map OUTLOOK FOR
THE COAL VALUE CHAIN:
SCENARIOS TO 2040
TECHNICAL REPORT - July 2013</t>
  </si>
  <si>
    <t>Coal Prices from MYPD3 for power plants and CTL plants</t>
  </si>
  <si>
    <t>Coal Prices from coal road map for demand sectors and exports</t>
  </si>
  <si>
    <t>Updated  gas consumption data for synfuels based on recent data provided by SASOL (Derek Bultitude)</t>
  </si>
  <si>
    <t>Real terms (2012 prices)</t>
  </si>
  <si>
    <t>WEO2013</t>
  </si>
  <si>
    <t>Conversion Methane Rich Gas Natural Gas for use in industry and refineries</t>
  </si>
  <si>
    <t>Table 6: Possible Karoo Pipeline Infrastructure</t>
  </si>
  <si>
    <t>Other studies</t>
  </si>
  <si>
    <t>From</t>
  </si>
  <si>
    <t>To</t>
  </si>
  <si>
    <t>Distance</t>
  </si>
  <si>
    <t>Cost (USA dollar) millions</t>
  </si>
  <si>
    <t>Million Rands (2013)</t>
  </si>
  <si>
    <t>Karoo</t>
  </si>
  <si>
    <t>Cape Town</t>
  </si>
  <si>
    <t>Mossel Bay</t>
  </si>
  <si>
    <t>Coega</t>
  </si>
  <si>
    <t>KZN</t>
  </si>
  <si>
    <t>Gauteng</t>
  </si>
  <si>
    <t>(Hunt, 2014) - Presentation in Shale gas debate</t>
  </si>
  <si>
    <t xml:space="preserve">To get gas from the Karooto major cities will need a pipeline network of 2480 km at an estimated cost of R33.5 billion </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</si>
  <si>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</si>
  <si>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</si>
  <si>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</si>
  <si>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 xml:space="preserve">Indicative Pipeline Capacity from (International Gas Union, 2014), </t>
  </si>
  <si>
    <t>Diametre</t>
  </si>
  <si>
    <t>Diametre (inches)</t>
  </si>
  <si>
    <t>Capacity (/year)</t>
  </si>
  <si>
    <t xml:space="preserve">Investment Costs </t>
  </si>
  <si>
    <t xml:space="preserve">1 bcm = </t>
  </si>
  <si>
    <t>cm</t>
  </si>
  <si>
    <t>inches</t>
  </si>
  <si>
    <t>bcm (billion cubic metres)</t>
  </si>
  <si>
    <t>mR/PJ/annum</t>
  </si>
  <si>
    <t xml:space="preserve">Estimated total length of pipelines will be 2480km related to shale and + 500 km </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</si>
  <si>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</si>
  <si>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</si>
  <si>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</si>
  <si>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</si>
  <si>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</si>
  <si>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</si>
  <si>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</si>
  <si>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</si>
  <si>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</si>
  <si>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 xml:space="preserve">Mains </t>
  </si>
  <si>
    <t>These calculation are based on the indicative capacity from International Gas Union, 2014)</t>
  </si>
  <si>
    <t>FOM</t>
  </si>
  <si>
    <t>Liquid Fuels</t>
  </si>
  <si>
    <t>capacity</t>
  </si>
  <si>
    <t>tanks, pumps and pipes</t>
  </si>
  <si>
    <t>Capital Costs</t>
  </si>
  <si>
    <t>Length of planned transmission pipelines</t>
  </si>
  <si>
    <t>Distribution pipelines</t>
  </si>
  <si>
    <t>Planned/feasibility study</t>
  </si>
  <si>
    <t>USA$ million</t>
  </si>
  <si>
    <t>km</t>
  </si>
  <si>
    <t>Saldhana Bay LNG teminal land based</t>
  </si>
  <si>
    <t>Details of LNG feasibility in Cape Town</t>
  </si>
  <si>
    <t>Length</t>
  </si>
  <si>
    <t>Cost</t>
  </si>
  <si>
    <t>assumed diametre</t>
  </si>
  <si>
    <t xml:space="preserve">Investment Cost </t>
  </si>
  <si>
    <t>Type of Pipeline</t>
  </si>
  <si>
    <t xml:space="preserve">From </t>
  </si>
  <si>
    <t>to</t>
  </si>
  <si>
    <t>US$ million</t>
  </si>
  <si>
    <t>PRC-NOFF</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</si>
  <si>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</si>
  <si>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</si>
  <si>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</si>
  <si>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</si>
  <si>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</si>
  <si>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</si>
  <si>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</si>
  <si>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</si>
  <si>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</si>
  <si>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</si>
  <si>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Distribution pipeline for Saldanha industry</t>
  </si>
  <si>
    <t>Investments Costs</t>
  </si>
  <si>
    <t>ACT_Cost</t>
  </si>
  <si>
    <t>FOM costs</t>
  </si>
  <si>
    <t>XTRAGAS</t>
  </si>
  <si>
    <t>XINDGAS</t>
  </si>
  <si>
    <t>XCOMGAS</t>
  </si>
  <si>
    <t>XRESGAS</t>
  </si>
  <si>
    <t>XTRAOGS</t>
  </si>
  <si>
    <t>XTRAODS</t>
  </si>
  <si>
    <t>Demand (PJ)</t>
  </si>
  <si>
    <t>GTL</t>
  </si>
  <si>
    <t>CTL</t>
  </si>
  <si>
    <t>gasoline</t>
  </si>
  <si>
    <t>diesel</t>
  </si>
  <si>
    <t>Density</t>
  </si>
  <si>
    <t>CH4SF</t>
  </si>
  <si>
    <t>Fugitive Emissions South Africa</t>
  </si>
  <si>
    <t>Fugitive Emissions Region</t>
  </si>
  <si>
    <t>CH4RF</t>
  </si>
  <si>
    <t>GAS Distribution Processes</t>
  </si>
  <si>
    <t>CO2SF</t>
  </si>
  <si>
    <t>Reference is found is TCH_RES sheet</t>
  </si>
  <si>
    <t>CPI Index</t>
  </si>
  <si>
    <t>Reference</t>
  </si>
  <si>
    <t>Year</t>
  </si>
  <si>
    <t>downloaded July 2011</t>
  </si>
  <si>
    <t>Distribution Infrastructure Coost</t>
  </si>
  <si>
    <t>Secondary Storage</t>
  </si>
  <si>
    <t>Secondary Distribution</t>
  </si>
  <si>
    <t>Cents/Litre</t>
  </si>
  <si>
    <t>cents/MJ</t>
  </si>
  <si>
    <t>mR/MJ</t>
  </si>
  <si>
    <t>Cents/MJ</t>
  </si>
  <si>
    <t>Distribution Investemnt Costs</t>
  </si>
  <si>
    <t>Coastal Gas</t>
  </si>
  <si>
    <t>Table 1: Summary from DEA (2014)</t>
  </si>
  <si>
    <t>Original source</t>
  </si>
  <si>
    <t>Cited in</t>
  </si>
  <si>
    <t>GHG emissions estimates for Stages i - iii  as defoned by DoE (2014)                           (gCO2e per MJ)</t>
  </si>
  <si>
    <t>Total  shale gas life cycle GHG emissions (100 year time scale)                                                        (gCO2e per MJ)</t>
  </si>
  <si>
    <r>
      <rPr>
        <b/>
        <u/>
        <sz val="11"/>
        <color theme="1"/>
        <rFont val="Calibri"/>
        <family val="2"/>
        <scheme val="minor"/>
      </rPr>
      <t>Notes :</t>
    </r>
    <r>
      <rPr>
        <sz val="11"/>
        <color theme="1"/>
        <rFont val="Calibri"/>
        <family val="2"/>
        <scheme val="minor"/>
      </rPr>
      <t xml:space="preserve"> </t>
    </r>
  </si>
  <si>
    <t>Low</t>
  </si>
  <si>
    <t>High</t>
  </si>
  <si>
    <t>Average*</t>
  </si>
  <si>
    <t>1. * own calculation</t>
  </si>
  <si>
    <t>Stephenson et al. (2011)</t>
  </si>
  <si>
    <t>DEA (2014)</t>
  </si>
  <si>
    <t xml:space="preserve">2. The five stages of natural gas life cycle as defined by DoE (2014): </t>
  </si>
  <si>
    <t>Jiang et al. ( 2011)</t>
  </si>
  <si>
    <t xml:space="preserve">i) Material acquisition and pre-production </t>
  </si>
  <si>
    <t>Skone et al. (2011)</t>
  </si>
  <si>
    <t>ii) Production</t>
  </si>
  <si>
    <t>Weber and Calvin (2012)</t>
  </si>
  <si>
    <t>iii) Storage and distribution</t>
  </si>
  <si>
    <t>Howarth et al. (2011)</t>
  </si>
  <si>
    <t>iv) Use</t>
  </si>
  <si>
    <t xml:space="preserve">Burnham et al. (2011) </t>
  </si>
  <si>
    <t>v) End of life</t>
  </si>
  <si>
    <t>NETL (2011)</t>
  </si>
  <si>
    <t xml:space="preserve">3. Studies differ in the methods they use and the stages they consider, and thus give different totals for Stages i) to iii). Table 2 highlights the stage considered by different studies. </t>
  </si>
  <si>
    <t>AEA (2012)</t>
  </si>
  <si>
    <t>Table 2: Summary from Cohen (2014)</t>
  </si>
  <si>
    <t>Breakdown of stages</t>
  </si>
  <si>
    <t>Well completion</t>
  </si>
  <si>
    <t>Jiang et al. (2011)</t>
  </si>
  <si>
    <t>Lechtenbohmer et al. (2005)</t>
  </si>
  <si>
    <t>Broderick et al. (2011)</t>
  </si>
  <si>
    <t>Venting, equipment leaks and gas processing</t>
  </si>
  <si>
    <t>Liquid unloading</t>
  </si>
  <si>
    <t>No estimates available</t>
  </si>
  <si>
    <t>Transport, storage and distribution</t>
  </si>
  <si>
    <t>From DEA, 2014 Shale Emissions Report</t>
  </si>
  <si>
    <t>Shale is composed of these gases</t>
  </si>
  <si>
    <t>IPCC 2006</t>
  </si>
  <si>
    <t>g Co2 per MJ</t>
  </si>
  <si>
    <t>Gg/PJ</t>
  </si>
  <si>
    <t>Ch4</t>
  </si>
  <si>
    <t>Natural gas</t>
  </si>
  <si>
    <t>Heating oil</t>
  </si>
  <si>
    <t>O2</t>
  </si>
  <si>
    <t>Nitrogen</t>
  </si>
  <si>
    <t>N2</t>
  </si>
  <si>
    <t>Hydrogen Sulphide</t>
  </si>
  <si>
    <t>H2S</t>
  </si>
  <si>
    <t>C2H6</t>
  </si>
  <si>
    <t>Propane</t>
  </si>
  <si>
    <t>C3H8</t>
  </si>
  <si>
    <t xml:space="preserve">96% of fugitive emissions from natural gas productio to a point of use is in the form of methane. </t>
  </si>
  <si>
    <t xml:space="preserve">     </t>
  </si>
  <si>
    <t>to high ignored</t>
  </si>
  <si>
    <t>Load factor</t>
  </si>
  <si>
    <t>GTL New</t>
  </si>
  <si>
    <t>GTL-New</t>
  </si>
  <si>
    <t>distillates</t>
  </si>
  <si>
    <t>lpg</t>
  </si>
  <si>
    <t>kero</t>
  </si>
  <si>
    <t>petrol</t>
  </si>
  <si>
    <t>alcohols</t>
  </si>
  <si>
    <t>fuel oil</t>
  </si>
  <si>
    <t>petrosa (2012)</t>
  </si>
  <si>
    <t>Steynberg&amp;Dry2004] Fischer-Tropsch Technology, Edited by Andre Steynberg (SASOL, Sasolburg,
South Afric) and Mark Dry (University of Cape Town, South Africa), Studies in Surface Science and
Catalysis, Vol. 152, Elsevier, 2004.</t>
  </si>
  <si>
    <t>[1] The total production is 1,020,000 tons per year</t>
  </si>
  <si>
    <t>TJ Vol (tch_sup)</t>
  </si>
  <si>
    <t>TJ Mass (tch_sup)</t>
  </si>
  <si>
    <t>TJ mass [1]</t>
  </si>
  <si>
    <t>Coal low grade</t>
  </si>
  <si>
    <t>Production Plant Hydrogen - Large SMR - Inland</t>
  </si>
  <si>
    <t>Production Plant Hydrogen - Large SMR - Coastal</t>
  </si>
  <si>
    <t>Gas Southern Mozambique</t>
  </si>
  <si>
    <t>Gas Input</t>
  </si>
  <si>
    <t>ULGT</t>
  </si>
  <si>
    <t>UTRN</t>
  </si>
  <si>
    <t>Gas Extraction</t>
  </si>
  <si>
    <t>GAS Distribution Lines</t>
  </si>
  <si>
    <t>Gas Namibia</t>
  </si>
  <si>
    <t>GIB</t>
  </si>
  <si>
    <t>GIH</t>
  </si>
  <si>
    <t>GIM</t>
  </si>
  <si>
    <t>GIC</t>
  </si>
  <si>
    <t>CRB</t>
  </si>
  <si>
    <t>Coal for plants in Botswana</t>
  </si>
  <si>
    <t>GRS</t>
  </si>
  <si>
    <t>GRN</t>
  </si>
  <si>
    <t>GRL</t>
  </si>
  <si>
    <t>GWL</t>
  </si>
  <si>
    <t>GRM</t>
  </si>
  <si>
    <t>Jim Petrie - Western Cape Feasibility Study</t>
  </si>
  <si>
    <t>Load on Proposed cape System:</t>
  </si>
  <si>
    <t>PJ.a</t>
  </si>
  <si>
    <t>Cost of Proposed Cape System</t>
  </si>
  <si>
    <t>million</t>
  </si>
  <si>
    <t>Cost:</t>
  </si>
  <si>
    <t>mR/PJ.a</t>
  </si>
  <si>
    <t>Dodds</t>
  </si>
  <si>
    <t>GBP CPI Index</t>
  </si>
  <si>
    <t>Current UK MARKAL costs Revised costs</t>
  </si>
  <si>
    <t>Transmission network</t>
  </si>
  <si>
    <t>Mains distribution network</t>
  </si>
  <si>
    <t>deflator</t>
  </si>
  <si>
    <t>Service distribution pipes</t>
  </si>
  <si>
    <t>Table 1: Revised investment costs for the gas system. All figures have units £(2000)m/PJ/a.</t>
  </si>
  <si>
    <t>(2010 Rands)/(2010 GBP)</t>
  </si>
  <si>
    <t>Table 1: Revised investment costs for the gas system. All figures have units £(2010)m/PJ/a.</t>
  </si>
  <si>
    <t>Share</t>
  </si>
  <si>
    <t>Table 1: Revised investment costs for the gas system. All figures have units ZAR(2010)m/PJ/a.</t>
  </si>
  <si>
    <t>Mains &amp; Service</t>
  </si>
  <si>
    <t>Location Factor:</t>
  </si>
  <si>
    <t>New Costs</t>
  </si>
  <si>
    <t>Coal Fugitive Emissions</t>
  </si>
  <si>
    <t xml:space="preserve">According to Natural Gas Conversion Pocketbook from IGU: </t>
  </si>
  <si>
    <t xml:space="preserve">1 tonne  of NG= </t>
  </si>
  <si>
    <t>Nm3</t>
  </si>
  <si>
    <t xml:space="preserve">According to SA GHG Inventory 2000 - 2010, coal has a colorific value of 0.0243 TJ/tonne. </t>
  </si>
  <si>
    <t>Mining Activities (GHG Inventory 2000 - 2010), DEA, 2013)</t>
  </si>
  <si>
    <t xml:space="preserve">Open Cast </t>
  </si>
  <si>
    <t>Underground</t>
  </si>
  <si>
    <t>Proportion</t>
  </si>
  <si>
    <t>PetroSA slate AR (2012)</t>
  </si>
  <si>
    <t>SATIM</t>
  </si>
  <si>
    <t>Product slate from Lloyd PJD 2001</t>
  </si>
  <si>
    <t>New GTL investments costs</t>
  </si>
  <si>
    <t>IEP 2013</t>
  </si>
  <si>
    <t>IEA</t>
  </si>
  <si>
    <t>Capital costs</t>
  </si>
  <si>
    <t>Fixed costs</t>
  </si>
  <si>
    <t>Edited product slate for exising and new GTL. Added ELC to new crude oil refineries based on existing refineries</t>
  </si>
  <si>
    <t>coal oil elasticity</t>
  </si>
  <si>
    <t>gas oil elasticity</t>
  </si>
  <si>
    <t>UGASGIB-N</t>
  </si>
  <si>
    <t>UGASGRM-N</t>
  </si>
  <si>
    <t>UGASGRS-N</t>
  </si>
  <si>
    <t>UGASGIH-N</t>
  </si>
  <si>
    <t>ULGTGRL-N</t>
  </si>
  <si>
    <t>ULGTGRLFSRU-N</t>
  </si>
  <si>
    <t>Transmissions pipeline systems South Africa</t>
  </si>
  <si>
    <t>Gas Transmission Processes</t>
  </si>
  <si>
    <t xml:space="preserve">LNG related terminal emissions </t>
  </si>
  <si>
    <t>FSRU terminal emisions</t>
  </si>
  <si>
    <t>USMRGASHGN</t>
  </si>
  <si>
    <t>USMRGICHGN</t>
  </si>
  <si>
    <t>Hydrogen Processes</t>
  </si>
  <si>
    <t>T</t>
  </si>
  <si>
    <t>Emission Control Technologies at production level</t>
  </si>
  <si>
    <t>MINGICFEC</t>
  </si>
  <si>
    <t>MINGIBFEC</t>
  </si>
  <si>
    <t>MINGIHFEC</t>
  </si>
  <si>
    <t>Coastal gas fugitive Emissions Control Technology</t>
  </si>
  <si>
    <t>Ibhubezi fugitive Emissions Control Technology</t>
  </si>
  <si>
    <t>Shale fugitive Emissions Control Technology</t>
  </si>
  <si>
    <t>Emission Control Technologies at Transmission Level</t>
  </si>
  <si>
    <t>UGASFEC</t>
  </si>
  <si>
    <t>UGLTFEC</t>
  </si>
  <si>
    <t>UGLTFFEC</t>
  </si>
  <si>
    <t>Emission Control Technologies at distribution Level</t>
  </si>
  <si>
    <t>XAGRFEC</t>
  </si>
  <si>
    <t>XCOMFEC</t>
  </si>
  <si>
    <t>XINDFEC</t>
  </si>
  <si>
    <t>XTRAFEC</t>
  </si>
  <si>
    <t>XRESFEC</t>
  </si>
  <si>
    <t>Agriculture Fugitive emissions control technology</t>
  </si>
  <si>
    <t>Commercial Fugitive emissions control technology</t>
  </si>
  <si>
    <t>Industrial Fugitive emissions control technology</t>
  </si>
  <si>
    <t>Transport Fugitive emissions control technology</t>
  </si>
  <si>
    <t>Residential Fugitive emissions control technology</t>
  </si>
  <si>
    <t>Power sector distribution Fugitive emissions control technology</t>
  </si>
  <si>
    <t>Refinery distribution Fugitive emissions control technology</t>
  </si>
  <si>
    <t>UPSGAS</t>
  </si>
  <si>
    <t>UPSGIC</t>
  </si>
  <si>
    <t>GIHC</t>
  </si>
  <si>
    <t>GASC</t>
  </si>
  <si>
    <t>Natural Gas Lifecycle Stages</t>
  </si>
  <si>
    <t>LOW</t>
  </si>
  <si>
    <t>HIGH</t>
  </si>
  <si>
    <t>gCO2e per MJ</t>
  </si>
  <si>
    <t xml:space="preserve">CH4 emissions </t>
  </si>
  <si>
    <t>Units</t>
  </si>
  <si>
    <t>gCH4/MJ</t>
  </si>
  <si>
    <t>All of the above factors include CO2 related emissions, during venting, flaring and leaks</t>
  </si>
  <si>
    <t>Conversion Factors</t>
  </si>
  <si>
    <t xml:space="preserve">1 Gg CH4 = </t>
  </si>
  <si>
    <t>1 Tg =</t>
  </si>
  <si>
    <t>Bcf</t>
  </si>
  <si>
    <t>1 Bcf =</t>
  </si>
  <si>
    <t>MMTCE</t>
  </si>
  <si>
    <t>1 MMT MSW =</t>
  </si>
  <si>
    <t>1 m3 CH4 =</t>
  </si>
  <si>
    <t>MJ</t>
  </si>
  <si>
    <t>1 $/TCE =</t>
  </si>
  <si>
    <t>m$/PJ</t>
  </si>
  <si>
    <t>1 kg CH4 =</t>
  </si>
  <si>
    <t>kg CO2 eq.</t>
  </si>
  <si>
    <t>Model Monetary Units</t>
  </si>
  <si>
    <t>1995$US M</t>
  </si>
  <si>
    <t>1 short ton coal =</t>
  </si>
  <si>
    <t>Million Btu</t>
  </si>
  <si>
    <t>1 million short ton coal =</t>
  </si>
  <si>
    <t>ft3 CH4/short ton coal =</t>
  </si>
  <si>
    <t>kg CH4</t>
  </si>
  <si>
    <t>1 GW =</t>
  </si>
  <si>
    <t>PJa</t>
  </si>
  <si>
    <t>M$/PJ(lfg) =</t>
  </si>
  <si>
    <t>M$/PJ(msw)</t>
  </si>
  <si>
    <t>1 million barrels oil =</t>
  </si>
  <si>
    <t>1 PJ  CH4 released =</t>
  </si>
  <si>
    <t>kt CH4</t>
  </si>
  <si>
    <t>1 PJ  CH4 burned =</t>
  </si>
  <si>
    <t>mt CO2 (carbon)</t>
  </si>
  <si>
    <t>1 PJ MSW burned =</t>
  </si>
  <si>
    <t>1 kt CH4 burned =</t>
  </si>
  <si>
    <t>kt CO2 (carbon)</t>
  </si>
  <si>
    <t>100% Venting</t>
  </si>
  <si>
    <t xml:space="preserve">CO2 emissions </t>
  </si>
  <si>
    <t>gCO2/MJ</t>
  </si>
  <si>
    <t>gCO2eper MJ</t>
  </si>
  <si>
    <t>Gas Production Processes</t>
  </si>
  <si>
    <t>Coal Production Processes</t>
  </si>
  <si>
    <t>Scenario Matrix for emissions</t>
  </si>
  <si>
    <t>Vent</t>
  </si>
  <si>
    <t>Flare</t>
  </si>
  <si>
    <t>Capture</t>
  </si>
  <si>
    <t>50% Venting, 50% Flaring</t>
  </si>
  <si>
    <t>90 Capture, 10% Flare</t>
  </si>
  <si>
    <t>100% Capture</t>
  </si>
  <si>
    <t>GHG Inventory for South Africa (1990 – 2010) [Jongi]</t>
  </si>
  <si>
    <t>1B1a Coal Mining and Handling [1B1a]</t>
  </si>
  <si>
    <t>Table 14: Comparison of country-specific and IPCC default emission factors for coal mining</t>
  </si>
  <si>
    <t>pg76</t>
  </si>
  <si>
    <t>Mining method</t>
  </si>
  <si>
    <t>Activity</t>
  </si>
  <si>
    <t>Greenhouse Gas</t>
  </si>
  <si>
    <t>Underground Mining</t>
  </si>
  <si>
    <t>Post-mining (handling and transport)</t>
  </si>
  <si>
    <t>Surface Mining</t>
  </si>
  <si>
    <t>Coal mining</t>
  </si>
  <si>
    <t>Post-mining (storage and transport)</t>
  </si>
  <si>
    <t>NA</t>
  </si>
  <si>
    <t>The major source of uncertainty in this category is activity data on coal production statistics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</si>
  <si>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</si>
  <si>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</si>
  <si>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r>
      <t>CH</t>
    </r>
    <r>
      <rPr>
        <vertAlign val="subscript"/>
        <sz val="10"/>
        <color theme="1"/>
        <rFont val="Calibri"/>
        <family val="2"/>
        <scheme val="minor"/>
      </rPr>
      <t>4</t>
    </r>
  </si>
  <si>
    <r>
      <t>CO</t>
    </r>
    <r>
      <rPr>
        <vertAlign val="subscript"/>
        <sz val="10"/>
        <color theme="1"/>
        <rFont val="Calibri"/>
        <family val="2"/>
        <scheme val="minor"/>
      </rPr>
      <t>2</t>
    </r>
  </si>
  <si>
    <t>Table 13: Coal mining activity data for the period 2000 to 2010 (tonnes)</t>
  </si>
  <si>
    <t>Period</t>
  </si>
  <si>
    <t>Opencast (tons)</t>
  </si>
  <si>
    <t>Underground (tons)</t>
  </si>
  <si>
    <t>Opencast (%)</t>
  </si>
  <si>
    <t>Underground (%)</t>
  </si>
  <si>
    <t>Total (tonnes)</t>
  </si>
  <si>
    <t>% year growth</t>
  </si>
  <si>
    <t>n/a</t>
  </si>
  <si>
    <r>
      <t xml:space="preserve">p75: </t>
    </r>
    <r>
      <rPr>
        <i/>
        <sz val="11"/>
        <color theme="1"/>
        <rFont val="Calibri"/>
        <family val="2"/>
        <scheme val="minor"/>
      </rPr>
      <t>Split on coal production by mining-type, 53% surface mining and 47% underground mining, was based on the South Africa’s Mineral Industry (SAMI) report for 2008</t>
    </r>
  </si>
  <si>
    <t/>
  </si>
  <si>
    <t>For a proper accounting, We must know % of emissions that come from operations such as movement of trucks, compressor station and etc so that we can subtract them</t>
  </si>
  <si>
    <t>Gas Processing</t>
  </si>
  <si>
    <t>0% Venting, 0% Flaring</t>
  </si>
  <si>
    <t>Distribution</t>
  </si>
  <si>
    <t>Transmission</t>
  </si>
  <si>
    <t>Prod</t>
  </si>
  <si>
    <t>CO6</t>
  </si>
  <si>
    <t>CO7</t>
  </si>
  <si>
    <t>CO8</t>
  </si>
  <si>
    <t>CO9</t>
  </si>
  <si>
    <t>CO10</t>
  </si>
  <si>
    <t>CO11</t>
  </si>
  <si>
    <t>CO12</t>
  </si>
  <si>
    <t>CO13</t>
  </si>
  <si>
    <t>CO14</t>
  </si>
  <si>
    <t>CO15</t>
  </si>
  <si>
    <t>CO16</t>
  </si>
  <si>
    <t>CO17</t>
  </si>
  <si>
    <t>CO18</t>
  </si>
  <si>
    <t>CO19</t>
  </si>
  <si>
    <t>CO20</t>
  </si>
  <si>
    <t>CO21</t>
  </si>
  <si>
    <t>CO22</t>
  </si>
  <si>
    <t>CO23</t>
  </si>
  <si>
    <t>CO24</t>
  </si>
  <si>
    <t>CO25</t>
  </si>
  <si>
    <t>CO26</t>
  </si>
  <si>
    <t>CO27</t>
  </si>
  <si>
    <t>CO28</t>
  </si>
  <si>
    <t>CO29</t>
  </si>
  <si>
    <t>CO30</t>
  </si>
  <si>
    <t>CO31</t>
  </si>
  <si>
    <t>CO32</t>
  </si>
  <si>
    <t>CO33</t>
  </si>
  <si>
    <t>CO34</t>
  </si>
  <si>
    <t>CO35</t>
  </si>
  <si>
    <t>CO36</t>
  </si>
  <si>
    <t>Processing</t>
  </si>
  <si>
    <t xml:space="preserve">0.77 m3 CH4 = </t>
  </si>
  <si>
    <t xml:space="preserve">Total GHG emissions from venting and flaring </t>
  </si>
  <si>
    <t>Gg CO2 eq</t>
  </si>
  <si>
    <t>CH4 (PJ)</t>
  </si>
  <si>
    <t>CO2 eq/PJ</t>
  </si>
  <si>
    <t>CO2 (Gg)</t>
  </si>
  <si>
    <t>Fugitive emissions from coal mining</t>
  </si>
  <si>
    <t>CH4 (Gg)</t>
  </si>
  <si>
    <t>CH4 (CO2 eq Gg)</t>
  </si>
  <si>
    <t>Total CO2 eq (Gg)</t>
  </si>
  <si>
    <t>CO2 (Gg/tonne)</t>
  </si>
  <si>
    <t>CO2 (kt/PJ)</t>
  </si>
  <si>
    <t>CH4 (kt/PJ)</t>
  </si>
  <si>
    <t>kg CH4 per tonne</t>
  </si>
  <si>
    <t>kt CH4/tonne</t>
  </si>
  <si>
    <t>CH4 (m3/tonne)</t>
  </si>
  <si>
    <t>CH4 (TJ)</t>
  </si>
  <si>
    <t>kt CO2 eq</t>
  </si>
  <si>
    <t>Venting and Flaring</t>
  </si>
  <si>
    <t xml:space="preserve"> CO2 (kt/annum)</t>
  </si>
  <si>
    <t>CH4 (kt CO2 eq)</t>
  </si>
  <si>
    <t>CH4(kt/PJ)</t>
  </si>
  <si>
    <t>Percentage of emissions vs production</t>
  </si>
  <si>
    <t>PWRFEC</t>
  </si>
  <si>
    <t>UPSFEC</t>
  </si>
  <si>
    <t xml:space="preserve">RAND </t>
  </si>
  <si>
    <t>Industry Standard</t>
  </si>
  <si>
    <t>Fugitive emission factor</t>
  </si>
  <si>
    <t>Production Technologies</t>
  </si>
  <si>
    <t>US$</t>
  </si>
  <si>
    <t>Years</t>
  </si>
  <si>
    <t>kT/PJ</t>
  </si>
  <si>
    <t>mt/PJ</t>
  </si>
  <si>
    <t>Compressed air pneumatic devices (Prod)</t>
  </si>
  <si>
    <t>No</t>
  </si>
  <si>
    <t>Low-Bleed pneumatic devices</t>
  </si>
  <si>
    <t>Directed I&amp;M of Pipeline Leaks &amp; Chem Pumps (Prod)</t>
  </si>
  <si>
    <t>Reduce Glycol Circulation Rates in Dehydr (Prod)</t>
  </si>
  <si>
    <t>Flash Tank Separators (Prod)</t>
  </si>
  <si>
    <t>Prod-D I&amp;M (Offshore)</t>
  </si>
  <si>
    <t>Installing Plunger Lift Systems In Gas Wells</t>
  </si>
  <si>
    <t>Install Flares</t>
  </si>
  <si>
    <t>Processing and Transmission Technologies</t>
  </si>
  <si>
    <t>Compressed air pneumatic devices (P&amp;T)</t>
  </si>
  <si>
    <t>Low-bleed pneumatic devices (P&amp;T)</t>
  </si>
  <si>
    <t>Fuel Gas Blowdown Valve (P&amp;T)</t>
  </si>
  <si>
    <t>Catalytic Converter (P&amp;T)</t>
  </si>
  <si>
    <t>Dry Seals on Centrifugal Compressors (P&amp;T)</t>
  </si>
  <si>
    <t>Gas turbines replace reciprocating engines (P&amp;T)</t>
  </si>
  <si>
    <t>Static-Pacs on reciprocating compressors (P&amp;T)</t>
  </si>
  <si>
    <t>Portable Evac. Compressor for Pipe. Vent (P&amp;T)</t>
  </si>
  <si>
    <t>Surge Vessels for Station/Well Venting (P&amp;T)</t>
  </si>
  <si>
    <t>P&amp;T-D I&amp;M (Compressor Stations)</t>
  </si>
  <si>
    <t>P&amp;T-D I&amp;M (Compressor Stations: Enhanced)</t>
  </si>
  <si>
    <t>P&amp;T-D I&amp;M (Storage wells &amp; Pipelines)</t>
  </si>
  <si>
    <t xml:space="preserve">P&amp;T-D I&amp;M (Enhanced: Storage wells &amp; Pipelines) </t>
  </si>
  <si>
    <t xml:space="preserve">Installation of Flash Tank Separators (P&amp;T) </t>
  </si>
  <si>
    <t>ClockSpring Repair Kits (Trans&amp;Stor)</t>
  </si>
  <si>
    <t>Redesign Blowdown/ESD (Trans&amp;Stor)</t>
  </si>
  <si>
    <t>Hot Taps (Trans&amp;Stor)</t>
  </si>
  <si>
    <t>Distribution Technologies</t>
  </si>
  <si>
    <t>Directed I&amp;M (Distrib)</t>
  </si>
  <si>
    <t>Yes</t>
  </si>
  <si>
    <t>Enhanced I&amp;M (Distrib)</t>
  </si>
  <si>
    <t>Electronic Monitor at Lg Surface Fac. (Distrib)</t>
  </si>
  <si>
    <t>Use smart regulators/clocking solenoids (D)</t>
  </si>
  <si>
    <t>Replacement of Iron/Unprotected Steel Pipe. (D)</t>
  </si>
  <si>
    <t>Replacement of Unprotected Steel Services (D)</t>
  </si>
  <si>
    <t>UGASGIC-N</t>
  </si>
  <si>
    <t>Fugitive emissions scenarios</t>
  </si>
  <si>
    <t>XAGRGAS</t>
  </si>
  <si>
    <t>XPWRGAS</t>
  </si>
  <si>
    <t>XPWRGIC</t>
  </si>
  <si>
    <t>XPWRGIH</t>
  </si>
  <si>
    <t>XUPSGAS</t>
  </si>
  <si>
    <t>XPWRGRS</t>
  </si>
  <si>
    <t>XPWRGRN</t>
  </si>
  <si>
    <t>XPWRGRM</t>
  </si>
  <si>
    <t>XUPSGIC</t>
  </si>
  <si>
    <t>CO2e</t>
  </si>
  <si>
    <t>proportion</t>
  </si>
  <si>
    <t>PIPELINES</t>
  </si>
  <si>
    <t>X***GAS</t>
  </si>
  <si>
    <t>Ditribution</t>
  </si>
  <si>
    <t>GREEN COPLMETIONS</t>
  </si>
  <si>
    <t>Distribution Costs</t>
  </si>
  <si>
    <t>From Source</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</si>
  <si>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</si>
  <si>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</si>
  <si>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</si>
  <si>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</si>
  <si>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</si>
  <si>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</si>
  <si>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Fugitive Control Measures for supply sectors</t>
  </si>
  <si>
    <t>Gas Transformation Pipelines</t>
  </si>
  <si>
    <t>Removed upper bound on Import of coking coal to allow for demand to be met</t>
  </si>
  <si>
    <t>Added a conditional comment on UPS emissions as otherwise we would have double-counting. This could be done better.</t>
  </si>
  <si>
    <t>Reviewed the distribution cost of gas to industry - and commerce based on electricity</t>
  </si>
  <si>
    <t>Checked coal distribution costs and it seems to already be captured by the wholesale supply cost</t>
  </si>
  <si>
    <t>Cumulative Limit</t>
  </si>
  <si>
    <t>reduced minimum run on CTL and GTL plants</t>
  </si>
  <si>
    <t>Extraction of Gas Indigenous Coal Bed Methane</t>
  </si>
  <si>
    <t>added CBM as a supply of Gas</t>
  </si>
  <si>
    <t>Gas Indigenous Coal Bed Methane</t>
  </si>
  <si>
    <t>Coupled to Oil?</t>
  </si>
  <si>
    <t>Levelized Cost Check</t>
  </si>
  <si>
    <t>Discount Rate</t>
  </si>
  <si>
    <t>CO2EQS</t>
  </si>
  <si>
    <t>Sectors</t>
  </si>
  <si>
    <t>co2eq</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</si>
  <si>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</si>
  <si>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</si>
  <si>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</si>
  <si>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</si>
  <si>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</si>
  <si>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Changed composition of CTL for 2010 and 2015 to track history</t>
  </si>
  <si>
    <t>Increased Shale Gas annual upper constraint and added a cumulative limit, also added cumul limit to other gas supply options</t>
  </si>
  <si>
    <t>Took out the emissions on XSUP* as they are already linked to U* processes</t>
  </si>
  <si>
    <t>Presentation made by Sasol in 2011 at the ERC</t>
  </si>
  <si>
    <t>NB: UPS Emissions should not be included as they are already allocated to technologies (refineries, boilers etc.)</t>
  </si>
  <si>
    <t>Unconventional</t>
  </si>
  <si>
    <t>SADC imports</t>
  </si>
  <si>
    <t>ROW imports</t>
  </si>
  <si>
    <t>CBM</t>
  </si>
  <si>
    <t>Commodity price</t>
  </si>
  <si>
    <t>Shipping costs</t>
  </si>
  <si>
    <t>Infrastructure costs</t>
  </si>
  <si>
    <t>0.5-2</t>
  </si>
  <si>
    <t>0.5-3.5</t>
  </si>
  <si>
    <t>Price into market</t>
  </si>
  <si>
    <t>11-18.5</t>
  </si>
  <si>
    <t>14-19.5</t>
  </si>
  <si>
    <t>14-21</t>
  </si>
  <si>
    <t>From Elicitation from Darryl in June 2014</t>
  </si>
  <si>
    <t>6-8</t>
  </si>
  <si>
    <t>7-10</t>
  </si>
  <si>
    <t>7-14</t>
  </si>
  <si>
    <t>3-8</t>
  </si>
  <si>
    <t>10-16</t>
  </si>
  <si>
    <t>12-16</t>
  </si>
  <si>
    <t>0</t>
  </si>
  <si>
    <t>0.5</t>
  </si>
  <si>
    <t>1.5</t>
  </si>
  <si>
    <t>1-3</t>
  </si>
  <si>
    <t>3-5</t>
  </si>
  <si>
    <t>1-4</t>
  </si>
  <si>
    <t>7-11</t>
  </si>
  <si>
    <t>10-15</t>
  </si>
  <si>
    <t>8-18</t>
  </si>
  <si>
    <t>6-16</t>
  </si>
  <si>
    <t>11-20</t>
  </si>
  <si>
    <t>Dyn H</t>
  </si>
  <si>
    <t>Dyn M</t>
  </si>
  <si>
    <t>Dyn L</t>
  </si>
  <si>
    <t>Export Prices only</t>
  </si>
  <si>
    <t>1 represents reference case =</t>
  </si>
  <si>
    <t>this is when the system has 0.5% of system wide gas leakage</t>
  </si>
  <si>
    <t>2 represents worst case =</t>
  </si>
  <si>
    <t xml:space="preserve">the overall gas system leakage is 3% </t>
  </si>
  <si>
    <t xml:space="preserve">the overall gas system leakage is 0.01% </t>
  </si>
  <si>
    <t>3 represents best practice =</t>
  </si>
  <si>
    <t>11 means you are in reference case and you are venting all the gas, 12, means you are flaring it at 50/50</t>
  </si>
  <si>
    <t>NOT implemented now</t>
  </si>
  <si>
    <t>caters for leakage</t>
  </si>
  <si>
    <t>Load cases (1 is reference,enter 2 for worst case, 3 for best practice)</t>
  </si>
  <si>
    <t>choice of SUP to import</t>
  </si>
  <si>
    <t>choice of emission cases</t>
  </si>
  <si>
    <t xml:space="preserve">Transmission </t>
  </si>
  <si>
    <t>Fixed Cost</t>
  </si>
  <si>
    <t>mR/a</t>
  </si>
  <si>
    <t>Some Changes made to efficiency of piplines linked to fugitive emissions and other small changes?</t>
  </si>
  <si>
    <t>Mamahloko</t>
  </si>
  <si>
    <t>Added Industry gasoline link</t>
  </si>
  <si>
    <t>Addded waste production</t>
  </si>
  <si>
    <t>Capped waste production to 100PJ/annum - this number should be checked</t>
  </si>
  <si>
    <t>Regional production of primary energy</t>
  </si>
  <si>
    <t>MIR</t>
  </si>
  <si>
    <t>Added a cost to distribution of hydrogen, which was missing (set it to 3 times the gas infrastructure cost)</t>
  </si>
  <si>
    <t>Added a time series on the upper limit of exports</t>
  </si>
  <si>
    <t>Changed the CTL Emissions to fugitive emissions</t>
  </si>
  <si>
    <t>COM_AGG</t>
  </si>
  <si>
    <t>Aggregating the Sectoral Emissions</t>
  </si>
  <si>
    <t>Rand per US Dollar (from the SA reserve bank)</t>
  </si>
  <si>
    <t>Weighted average of the banks' daily rates at approximately 10:30 am. Weights are based on the banks' foreign exchange transactions.</t>
  </si>
  <si>
    <t>start</t>
  </si>
  <si>
    <t>growth</t>
  </si>
  <si>
    <t>Real Exchange Rates</t>
  </si>
  <si>
    <t>Nominal Exchange Rates</t>
  </si>
  <si>
    <t>downloaded from Wold Bank data website</t>
  </si>
  <si>
    <t>date</t>
  </si>
  <si>
    <t>Actual Daily</t>
  </si>
  <si>
    <t>model1 (simple exp.func.)</t>
  </si>
  <si>
    <t>Actual Annual</t>
  </si>
  <si>
    <t>model2 (infl. Diff.)</t>
  </si>
  <si>
    <t>model3 (lending diff.)</t>
  </si>
  <si>
    <t>differential in inflation</t>
  </si>
  <si>
    <t>differential lending rate (adj)</t>
  </si>
  <si>
    <t>differential lending rate (original)</t>
  </si>
  <si>
    <t>Actual (adj.by USD infl.)</t>
  </si>
  <si>
    <t>Model 2:infl. diff (USD infl.)</t>
  </si>
  <si>
    <t>Model 3:lend.rate diff. (USD infl.)</t>
  </si>
  <si>
    <t>Actual (ZAR adj.by ZAR infl.)</t>
  </si>
  <si>
    <t>Model 2: infl.diff. (ZAR infl.)</t>
  </si>
  <si>
    <t>Model 3:lend.rate diff. (ZAR infl.)</t>
  </si>
  <si>
    <t>Country Code</t>
  </si>
  <si>
    <t>USA</t>
  </si>
  <si>
    <t>ZAF</t>
  </si>
  <si>
    <t>2014-08-29</t>
  </si>
  <si>
    <t>10.6038</t>
  </si>
  <si>
    <t>Indicator Name</t>
  </si>
  <si>
    <t>Lending interest rate (%)</t>
  </si>
  <si>
    <t>2014-08-28</t>
  </si>
  <si>
    <t>10.6435</t>
  </si>
  <si>
    <t>Indicator Code</t>
  </si>
  <si>
    <t>FR.INR.LEND</t>
  </si>
  <si>
    <t>Inflation, GDP deflator (annual %)</t>
  </si>
  <si>
    <t>Difference</t>
  </si>
  <si>
    <t>Scaled</t>
  </si>
  <si>
    <t>Inflation, consumer prices (annual %)</t>
  </si>
  <si>
    <t>2014-08-27</t>
  </si>
  <si>
    <t>10.6418</t>
  </si>
  <si>
    <t>1960</t>
  </si>
  <si>
    <t>NY.GDP.DEFL.KD.ZG</t>
  </si>
  <si>
    <t>FP.CPI.TOTL.ZG</t>
  </si>
  <si>
    <t>2014-08-26</t>
  </si>
  <si>
    <t>10.6879</t>
  </si>
  <si>
    <t>1961</t>
  </si>
  <si>
    <t>2014-08-25</t>
  </si>
  <si>
    <t>10.6920</t>
  </si>
  <si>
    <t>1962</t>
  </si>
  <si>
    <t>2014-08-22</t>
  </si>
  <si>
    <t>10.6905</t>
  </si>
  <si>
    <t>1963</t>
  </si>
  <si>
    <t>2014-08-21</t>
  </si>
  <si>
    <t>10.7064</t>
  </si>
  <si>
    <t>1964</t>
  </si>
  <si>
    <t>2014-08-20</t>
  </si>
  <si>
    <t>10.6652</t>
  </si>
  <si>
    <t>1965</t>
  </si>
  <si>
    <t>2014-08-19</t>
  </si>
  <si>
    <t>10.6320</t>
  </si>
  <si>
    <t>1966</t>
  </si>
  <si>
    <t>2014-08-18</t>
  </si>
  <si>
    <t>10.5909</t>
  </si>
  <si>
    <t>1967</t>
  </si>
  <si>
    <t>2014-08-15</t>
  </si>
  <si>
    <t>10.5469</t>
  </si>
  <si>
    <t>1968</t>
  </si>
  <si>
    <t>2014-08-14</t>
  </si>
  <si>
    <t>10.5873</t>
  </si>
  <si>
    <t>1969</t>
  </si>
  <si>
    <t>2014-08-13</t>
  </si>
  <si>
    <t>10.6268</t>
  </si>
  <si>
    <t>1970</t>
  </si>
  <si>
    <t>1971</t>
  </si>
  <si>
    <t>2014-08-12</t>
  </si>
  <si>
    <t>10.6609</t>
  </si>
  <si>
    <t>1972</t>
  </si>
  <si>
    <t>2014-08-11</t>
  </si>
  <si>
    <t>10.6983</t>
  </si>
  <si>
    <t>1973</t>
  </si>
  <si>
    <t>2014-08-08</t>
  </si>
  <si>
    <t>10.7889</t>
  </si>
  <si>
    <t>1974</t>
  </si>
  <si>
    <t>2014-08-07</t>
  </si>
  <si>
    <t>10.7312</t>
  </si>
  <si>
    <t>1975</t>
  </si>
  <si>
    <t>2014-08-06</t>
  </si>
  <si>
    <t>10.7716</t>
  </si>
  <si>
    <t>1976</t>
  </si>
  <si>
    <t>2014-08-05</t>
  </si>
  <si>
    <t>10.6295</t>
  </si>
  <si>
    <t>1977</t>
  </si>
  <si>
    <t>2014-08-04</t>
  </si>
  <si>
    <t>10.6659</t>
  </si>
  <si>
    <t>1978</t>
  </si>
  <si>
    <t>2014-08-01</t>
  </si>
  <si>
    <t>10.7297</t>
  </si>
  <si>
    <t>1979</t>
  </si>
  <si>
    <t>2014-07-31</t>
  </si>
  <si>
    <t>10.7058</t>
  </si>
  <si>
    <t>1980</t>
  </si>
  <si>
    <t>2014-07-30</t>
  </si>
  <si>
    <t>10.6001</t>
  </si>
  <si>
    <t>1981</t>
  </si>
  <si>
    <t>2014-07-29</t>
  </si>
  <si>
    <t>10.6140</t>
  </si>
  <si>
    <t>1982</t>
  </si>
  <si>
    <t>2014-07-28</t>
  </si>
  <si>
    <t>10.5317</t>
  </si>
  <si>
    <t>1983</t>
  </si>
  <si>
    <t>2014-07-25</t>
  </si>
  <si>
    <t>10.5406</t>
  </si>
  <si>
    <t>1984</t>
  </si>
  <si>
    <t>2014-07-24</t>
  </si>
  <si>
    <t>10.5202</t>
  </si>
  <si>
    <t>1985</t>
  </si>
  <si>
    <t>2014-07-23</t>
  </si>
  <si>
    <t>10.5214</t>
  </si>
  <si>
    <t>1986</t>
  </si>
  <si>
    <t>2014-07-22</t>
  </si>
  <si>
    <t>10.6254</t>
  </si>
  <si>
    <t>1987</t>
  </si>
  <si>
    <t>2014-07-21</t>
  </si>
  <si>
    <t>10.6326</t>
  </si>
  <si>
    <t>1988</t>
  </si>
  <si>
    <t>2014-07-18</t>
  </si>
  <si>
    <t>10.6972</t>
  </si>
  <si>
    <t>1989</t>
  </si>
  <si>
    <t>2014-07-17</t>
  </si>
  <si>
    <t>10.6684</t>
  </si>
  <si>
    <t>1990</t>
  </si>
  <si>
    <t>2014-07-16</t>
  </si>
  <si>
    <t>10.6940</t>
  </si>
  <si>
    <t>1991</t>
  </si>
  <si>
    <t>2014-07-15</t>
  </si>
  <si>
    <t>10.7074</t>
  </si>
  <si>
    <t>1992</t>
  </si>
  <si>
    <t>2014-07-14</t>
  </si>
  <si>
    <t>10.7268</t>
  </si>
  <si>
    <t>1993</t>
  </si>
  <si>
    <t>2014-07-11</t>
  </si>
  <si>
    <t>10.7156</t>
  </si>
  <si>
    <t>1994</t>
  </si>
  <si>
    <t>2014-07-10</t>
  </si>
  <si>
    <t>1995</t>
  </si>
  <si>
    <t>2014-07-09</t>
  </si>
  <si>
    <t>10.6729</t>
  </si>
  <si>
    <t>1996</t>
  </si>
  <si>
    <t>2014-07-08</t>
  </si>
  <si>
    <t>10.7043</t>
  </si>
  <si>
    <t>1997</t>
  </si>
  <si>
    <t>2014-07-07</t>
  </si>
  <si>
    <t>10.8215</t>
  </si>
  <si>
    <t>1998</t>
  </si>
  <si>
    <t>2014-07-04</t>
  </si>
  <si>
    <t>10.7516</t>
  </si>
  <si>
    <t>1999</t>
  </si>
  <si>
    <t>2014-07-03</t>
  </si>
  <si>
    <t>10.7787</t>
  </si>
  <si>
    <t>2000</t>
  </si>
  <si>
    <t>2014-07-02</t>
  </si>
  <si>
    <t>10.7059</t>
  </si>
  <si>
    <t>2001</t>
  </si>
  <si>
    <t>2014-07-01</t>
  </si>
  <si>
    <t>10.6172</t>
  </si>
  <si>
    <t>2002</t>
  </si>
  <si>
    <t>2014-06-30</t>
  </si>
  <si>
    <t>10.6135</t>
  </si>
  <si>
    <t>2003</t>
  </si>
  <si>
    <t>2014-06-27</t>
  </si>
  <si>
    <t>10.6177</t>
  </si>
  <si>
    <t>2004</t>
  </si>
  <si>
    <t>2014-06-26</t>
  </si>
  <si>
    <t>10.6113</t>
  </si>
  <si>
    <t>2005</t>
  </si>
  <si>
    <t>2014-06-25</t>
  </si>
  <si>
    <t>10.6137</t>
  </si>
  <si>
    <t>2006</t>
  </si>
  <si>
    <t>2014-06-24</t>
  </si>
  <si>
    <t>10.5625</t>
  </si>
  <si>
    <t>2007</t>
  </si>
  <si>
    <t>2014-06-23</t>
  </si>
  <si>
    <t>10.6537</t>
  </si>
  <si>
    <t>2008</t>
  </si>
  <si>
    <t>2014-06-20</t>
  </si>
  <si>
    <t>10.7115</t>
  </si>
  <si>
    <t>2009</t>
  </si>
  <si>
    <t>2014-06-19</t>
  </si>
  <si>
    <t>10.6188</t>
  </si>
  <si>
    <t>2010</t>
  </si>
  <si>
    <t>2014-06-18</t>
  </si>
  <si>
    <t>10.7996</t>
  </si>
  <si>
    <t>2011</t>
  </si>
  <si>
    <t>2014-06-17</t>
  </si>
  <si>
    <t>10.7422</t>
  </si>
  <si>
    <t>2012</t>
  </si>
  <si>
    <t>2014-06-13</t>
  </si>
  <si>
    <t>10.7379</t>
  </si>
  <si>
    <t>2013</t>
  </si>
  <si>
    <t>2014-06-12</t>
  </si>
  <si>
    <t>10.7429</t>
  </si>
  <si>
    <t>2014</t>
  </si>
  <si>
    <t>2014-06-11</t>
  </si>
  <si>
    <t>10.7876</t>
  </si>
  <si>
    <t>2014-06-10</t>
  </si>
  <si>
    <t>2014-06-09</t>
  </si>
  <si>
    <t>10.5698</t>
  </si>
  <si>
    <t>2014-06-06</t>
  </si>
  <si>
    <t>10.6506</t>
  </si>
  <si>
    <t>2014-06-05</t>
  </si>
  <si>
    <t>10.7430</t>
  </si>
  <si>
    <t>2014-06-04</t>
  </si>
  <si>
    <t>10.7979</t>
  </si>
  <si>
    <t>2014-06-03</t>
  </si>
  <si>
    <t>10.6638</t>
  </si>
  <si>
    <t>2014-06-02</t>
  </si>
  <si>
    <t>10.5829</t>
  </si>
  <si>
    <t>2014-05-30</t>
  </si>
  <si>
    <t>10.4422</t>
  </si>
  <si>
    <t>2014-05-29</t>
  </si>
  <si>
    <t>10.4201</t>
  </si>
  <si>
    <t>2014-05-28</t>
  </si>
  <si>
    <t>10.4906</t>
  </si>
  <si>
    <t>2014-05-27</t>
  </si>
  <si>
    <t>10.4022</t>
  </si>
  <si>
    <t>2014-05-26</t>
  </si>
  <si>
    <t>10.3364</t>
  </si>
  <si>
    <t>2014-05-23</t>
  </si>
  <si>
    <t>10.3489</t>
  </si>
  <si>
    <t>2014-05-22</t>
  </si>
  <si>
    <t>10.3808</t>
  </si>
  <si>
    <t>2014-05-21</t>
  </si>
  <si>
    <t>10.4435</t>
  </si>
  <si>
    <t>2014-05-20</t>
  </si>
  <si>
    <t>10.4459</t>
  </si>
  <si>
    <t>2014-05-19</t>
  </si>
  <si>
    <t>10.3439</t>
  </si>
  <si>
    <t>2014-05-16</t>
  </si>
  <si>
    <t>10.3988</t>
  </si>
  <si>
    <t>2014-05-15</t>
  </si>
  <si>
    <t>10.3248</t>
  </si>
  <si>
    <t>2014-05-14</t>
  </si>
  <si>
    <t>10.2815</t>
  </si>
  <si>
    <t>2014-05-13</t>
  </si>
  <si>
    <t>10.3334</t>
  </si>
  <si>
    <t>2014-05-12</t>
  </si>
  <si>
    <t>10.3528</t>
  </si>
  <si>
    <t>2014-05-09</t>
  </si>
  <si>
    <t>10.3366</t>
  </si>
  <si>
    <t>2014-05-08</t>
  </si>
  <si>
    <t>10.3730</t>
  </si>
  <si>
    <t>2014-05-06</t>
  </si>
  <si>
    <t>10.5228</t>
  </si>
  <si>
    <t>2014-05-05</t>
  </si>
  <si>
    <t>10.4776</t>
  </si>
  <si>
    <t>2014-05-02</t>
  </si>
  <si>
    <t>10.5145</t>
  </si>
  <si>
    <t>2014-04-30</t>
  </si>
  <si>
    <t>10.5525</t>
  </si>
  <si>
    <t>2014-04-29</t>
  </si>
  <si>
    <t>10.5793</t>
  </si>
  <si>
    <t>2014-04-25</t>
  </si>
  <si>
    <t>10.6279</t>
  </si>
  <si>
    <t>2014-04-24</t>
  </si>
  <si>
    <t>10.5933</t>
  </si>
  <si>
    <t>2014-04-23</t>
  </si>
  <si>
    <t>10.5916</t>
  </si>
  <si>
    <t>2014-04-22</t>
  </si>
  <si>
    <t>10.5394</t>
  </si>
  <si>
    <t>2014-04-17</t>
  </si>
  <si>
    <t>10.5257</t>
  </si>
  <si>
    <t>2014-04-16</t>
  </si>
  <si>
    <t>10.5459</t>
  </si>
  <si>
    <t>2014-04-15</t>
  </si>
  <si>
    <t>10.5219</t>
  </si>
  <si>
    <t>2014-04-14</t>
  </si>
  <si>
    <t>10.5622</t>
  </si>
  <si>
    <t>2014-04-11</t>
  </si>
  <si>
    <t>10.4505</t>
  </si>
  <si>
    <t>2014-04-10</t>
  </si>
  <si>
    <t>10.3964</t>
  </si>
  <si>
    <t>2014-04-09</t>
  </si>
  <si>
    <t>10.4359</t>
  </si>
  <si>
    <t>2014-04-08</t>
  </si>
  <si>
    <t>10.4282</t>
  </si>
  <si>
    <t>2014-04-07</t>
  </si>
  <si>
    <t>2014-04-04</t>
  </si>
  <si>
    <t>10.6495</t>
  </si>
  <si>
    <t>2014-04-03</t>
  </si>
  <si>
    <t>10.6541</t>
  </si>
  <si>
    <t>2014-04-02</t>
  </si>
  <si>
    <t>10.5997</t>
  </si>
  <si>
    <t>2014-04-01</t>
  </si>
  <si>
    <t>10.5794</t>
  </si>
  <si>
    <t>2014-03-31</t>
  </si>
  <si>
    <t>10.5953</t>
  </si>
  <si>
    <t>2014-03-28</t>
  </si>
  <si>
    <t>10.6139</t>
  </si>
  <si>
    <t>2014-03-27</t>
  </si>
  <si>
    <t>10.7219</t>
  </si>
  <si>
    <t>2014-03-26</t>
  </si>
  <si>
    <t>10.7413</t>
  </si>
  <si>
    <t>2014-03-25</t>
  </si>
  <si>
    <t>10.8205</t>
  </si>
  <si>
    <t>2014-03-24</t>
  </si>
  <si>
    <t>10.8516</t>
  </si>
  <si>
    <t>2014-03-20</t>
  </si>
  <si>
    <t>10.8729</t>
  </si>
  <si>
    <t>2014-03-19</t>
  </si>
  <si>
    <t>10.6952</t>
  </si>
  <si>
    <t>2014-03-18</t>
  </si>
  <si>
    <t>10.7722</t>
  </si>
  <si>
    <t>2014-03-17</t>
  </si>
  <si>
    <t>10.6949</t>
  </si>
  <si>
    <t>2014-03-14</t>
  </si>
  <si>
    <t>10.7768</t>
  </si>
  <si>
    <t>2014-03-13</t>
  </si>
  <si>
    <t>10.7771</t>
  </si>
  <si>
    <t>2014-03-12</t>
  </si>
  <si>
    <t>10.9062</t>
  </si>
  <si>
    <t>2014-03-11</t>
  </si>
  <si>
    <t>10.7272</t>
  </si>
  <si>
    <t>2014-03-10</t>
  </si>
  <si>
    <t>10.7354</t>
  </si>
  <si>
    <t>2014-03-07</t>
  </si>
  <si>
    <t>10.6126</t>
  </si>
  <si>
    <t>2014-03-06</t>
  </si>
  <si>
    <t>10.6680</t>
  </si>
  <si>
    <t>2014-03-05</t>
  </si>
  <si>
    <t>10.7554</t>
  </si>
  <si>
    <t>2014-03-04</t>
  </si>
  <si>
    <t>10.8299</t>
  </si>
  <si>
    <t>2014-03-03</t>
  </si>
  <si>
    <t>10.7799</t>
  </si>
  <si>
    <t>2014-02-28</t>
  </si>
  <si>
    <t>10.7175</t>
  </si>
  <si>
    <t>2014-02-27</t>
  </si>
  <si>
    <t>10.8085</t>
  </si>
  <si>
    <t>2014-02-26</t>
  </si>
  <si>
    <t>10.7483</t>
  </si>
  <si>
    <t>2014-02-25</t>
  </si>
  <si>
    <t>10.8308</t>
  </si>
  <si>
    <t>2014-02-24</t>
  </si>
  <si>
    <t>10.9475</t>
  </si>
  <si>
    <t>2014-02-21</t>
  </si>
  <si>
    <t>11.0272</t>
  </si>
  <si>
    <t>2014-02-20</t>
  </si>
  <si>
    <t>11.0848</t>
  </si>
  <si>
    <t>2014-02-19</t>
  </si>
  <si>
    <t>10.9376</t>
  </si>
  <si>
    <t>2014-02-18</t>
  </si>
  <si>
    <t>10.8761</t>
  </si>
  <si>
    <t>2014-02-17</t>
  </si>
  <si>
    <t>10.8524</t>
  </si>
  <si>
    <t>2014-02-14</t>
  </si>
  <si>
    <t>10.9946</t>
  </si>
  <si>
    <t>2014-02-13</t>
  </si>
  <si>
    <t>11.0495</t>
  </si>
  <si>
    <t>2014-02-12</t>
  </si>
  <si>
    <t>10.9492</t>
  </si>
  <si>
    <t>2014-02-11</t>
  </si>
  <si>
    <t>11.1253</t>
  </si>
  <si>
    <t>2014-02-10</t>
  </si>
  <si>
    <t>11.1395</t>
  </si>
  <si>
    <t>2014-02-07</t>
  </si>
  <si>
    <t>11.0410</t>
  </si>
  <si>
    <t>2014-02-06</t>
  </si>
  <si>
    <t>11.1428</t>
  </si>
  <si>
    <t>2014-02-05</t>
  </si>
  <si>
    <t>11.1238</t>
  </si>
  <si>
    <t>2014-02-04</t>
  </si>
  <si>
    <t>11.1804</t>
  </si>
  <si>
    <t>2014-02-03</t>
  </si>
  <si>
    <t>11.1558</t>
  </si>
  <si>
    <t>2014-01-31</t>
  </si>
  <si>
    <t>11.1715</t>
  </si>
  <si>
    <t>2014-01-30</t>
  </si>
  <si>
    <t>11.3573</t>
  </si>
  <si>
    <t>2014-01-29</t>
  </si>
  <si>
    <t>10.9749</t>
  </si>
  <si>
    <t>2014-01-28</t>
  </si>
  <si>
    <t>11.0593</t>
  </si>
  <si>
    <t>2014-01-27</t>
  </si>
  <si>
    <t>11.1939</t>
  </si>
  <si>
    <t>2014-01-24</t>
  </si>
  <si>
    <t>11.0118</t>
  </si>
  <si>
    <t>2014-01-23</t>
  </si>
  <si>
    <t>10.9175</t>
  </si>
  <si>
    <t>2014-01-22</t>
  </si>
  <si>
    <t>2014-01-21</t>
  </si>
  <si>
    <t>10.8425</t>
  </si>
  <si>
    <t>2014-01-20</t>
  </si>
  <si>
    <t>10.8811</t>
  </si>
  <si>
    <t>2014-01-17</t>
  </si>
  <si>
    <t>10.8662</t>
  </si>
  <si>
    <t>2014-01-16</t>
  </si>
  <si>
    <t>10.9422</t>
  </si>
  <si>
    <t>2014-01-15</t>
  </si>
  <si>
    <t>10.8648</t>
  </si>
  <si>
    <t>2014-01-14</t>
  </si>
  <si>
    <t>10.8629</t>
  </si>
  <si>
    <t>2014-01-13</t>
  </si>
  <si>
    <t>10.7084</t>
  </si>
  <si>
    <t>2014-01-10</t>
  </si>
  <si>
    <t>10.7647</t>
  </si>
  <si>
    <t>2014-01-09</t>
  </si>
  <si>
    <t>10.8024</t>
  </si>
  <si>
    <t>2014-01-08</t>
  </si>
  <si>
    <t>10.6668</t>
  </si>
  <si>
    <t>2014-01-07</t>
  </si>
  <si>
    <t>2014-01-06</t>
  </si>
  <si>
    <t>10.6925</t>
  </si>
  <si>
    <t>2014-01-03</t>
  </si>
  <si>
    <t>10.6148</t>
  </si>
  <si>
    <t>2014-01-02</t>
  </si>
  <si>
    <t>2013-12-31</t>
  </si>
  <si>
    <t>10.4675</t>
  </si>
  <si>
    <t>2013-12-30</t>
  </si>
  <si>
    <t>10.4623</t>
  </si>
  <si>
    <t>2013-12-27</t>
  </si>
  <si>
    <t>10.3505</t>
  </si>
  <si>
    <t>2013-12-24</t>
  </si>
  <si>
    <t>2013-12-23</t>
  </si>
  <si>
    <t>10.3442</t>
  </si>
  <si>
    <t>2013-12-20</t>
  </si>
  <si>
    <t>10.4429</t>
  </si>
  <si>
    <t>2013-12-19</t>
  </si>
  <si>
    <t>10.3313</t>
  </si>
  <si>
    <t>2013-12-18</t>
  </si>
  <si>
    <t>10.3329</t>
  </si>
  <si>
    <t>2013-12-17</t>
  </si>
  <si>
    <t>10.2982</t>
  </si>
  <si>
    <t>2013-12-13</t>
  </si>
  <si>
    <t>10.4036</t>
  </si>
  <si>
    <t>2013-12-12</t>
  </si>
  <si>
    <t>10.3885</t>
  </si>
  <si>
    <t>2013-12-11</t>
  </si>
  <si>
    <t>10.3516</t>
  </si>
  <si>
    <t>2013-12-10</t>
  </si>
  <si>
    <t>2013-12-09</t>
  </si>
  <si>
    <t>10.3311</t>
  </si>
  <si>
    <t>2013-12-06</t>
  </si>
  <si>
    <t>10.4730</t>
  </si>
  <si>
    <t>2013-12-05</t>
  </si>
  <si>
    <t>10.4849</t>
  </si>
  <si>
    <t>2013-12-04</t>
  </si>
  <si>
    <t>10.3761</t>
  </si>
  <si>
    <t>2013-12-03</t>
  </si>
  <si>
    <t>10.2942</t>
  </si>
  <si>
    <t>2013-12-02</t>
  </si>
  <si>
    <t>10.1627</t>
  </si>
  <si>
    <t>2013-11-29</t>
  </si>
  <si>
    <t>10.1911</t>
  </si>
  <si>
    <t>2013-11-28</t>
  </si>
  <si>
    <t>10.2267</t>
  </si>
  <si>
    <t>2013-11-27</t>
  </si>
  <si>
    <t>10.1488</t>
  </si>
  <si>
    <t>2013-11-26</t>
  </si>
  <si>
    <t>10.0959</t>
  </si>
  <si>
    <t>2013-11-25</t>
  </si>
  <si>
    <t>10.0708</t>
  </si>
  <si>
    <t>2013-11-22</t>
  </si>
  <si>
    <t>10.1217</t>
  </si>
  <si>
    <t>2013-11-21</t>
  </si>
  <si>
    <t>10.1658</t>
  </si>
  <si>
    <t>2013-11-20</t>
  </si>
  <si>
    <t>10.1689</t>
  </si>
  <si>
    <t>2013-11-19</t>
  </si>
  <si>
    <t>10.1004</t>
  </si>
  <si>
    <t>2013-11-18</t>
  </si>
  <si>
    <t>10.1485</t>
  </si>
  <si>
    <t>2013-11-15</t>
  </si>
  <si>
    <t>10.2163</t>
  </si>
  <si>
    <t>2013-11-14</t>
  </si>
  <si>
    <t>10.2960</t>
  </si>
  <si>
    <t>2013-11-13</t>
  </si>
  <si>
    <t>10.3584</t>
  </si>
  <si>
    <t>2013-11-12</t>
  </si>
  <si>
    <t>10.4147</t>
  </si>
  <si>
    <t>2013-11-11</t>
  </si>
  <si>
    <t>10.3288</t>
  </si>
  <si>
    <t>2013-11-08</t>
  </si>
  <si>
    <t>10.2768</t>
  </si>
  <si>
    <t>2013-11-07</t>
  </si>
  <si>
    <t>10.2698</t>
  </si>
  <si>
    <t>2013-11-06</t>
  </si>
  <si>
    <t>10.2261</t>
  </si>
  <si>
    <t>2013-11-05</t>
  </si>
  <si>
    <t>2013-11-04</t>
  </si>
  <si>
    <t>10.1638</t>
  </si>
  <si>
    <t>2013-11-01</t>
  </si>
  <si>
    <t>10.0631</t>
  </si>
  <si>
    <t>2013-10-31</t>
  </si>
  <si>
    <t>9.9560</t>
  </si>
  <si>
    <t>2013-10-30</t>
  </si>
  <si>
    <t>9.8816</t>
  </si>
  <si>
    <t>2013-10-29</t>
  </si>
  <si>
    <t>9.8553</t>
  </si>
  <si>
    <t>2013-10-28</t>
  </si>
  <si>
    <t>9.7930</t>
  </si>
  <si>
    <t>2013-10-25</t>
  </si>
  <si>
    <t>9.8168</t>
  </si>
  <si>
    <t>2013-10-24</t>
  </si>
  <si>
    <t>9.7743</t>
  </si>
  <si>
    <t>2013-10-23</t>
  </si>
  <si>
    <t>9.8018</t>
  </si>
  <si>
    <t>2013-10-22</t>
  </si>
  <si>
    <t>9.8500</t>
  </si>
  <si>
    <t>2013-10-21</t>
  </si>
  <si>
    <t>9.8315</t>
  </si>
  <si>
    <t>2013-10-18</t>
  </si>
  <si>
    <t>9.8424</t>
  </si>
  <si>
    <t>2013-10-17</t>
  </si>
  <si>
    <t>9.8592</t>
  </si>
  <si>
    <t>2013-10-16</t>
  </si>
  <si>
    <t>9.9662</t>
  </si>
  <si>
    <t>2013-10-15</t>
  </si>
  <si>
    <t>9.8960</t>
  </si>
  <si>
    <t>2013-10-14</t>
  </si>
  <si>
    <t>9.9189</t>
  </si>
  <si>
    <t>2013-10-11</t>
  </si>
  <si>
    <t>9.8931</t>
  </si>
  <si>
    <t>2013-10-10</t>
  </si>
  <si>
    <t>9.9721</t>
  </si>
  <si>
    <t>2013-10-09</t>
  </si>
  <si>
    <t>10.0001</t>
  </si>
  <si>
    <t>2013-10-08</t>
  </si>
  <si>
    <t>9.9887</t>
  </si>
  <si>
    <t>2013-10-07</t>
  </si>
  <si>
    <t>10.0384</t>
  </si>
  <si>
    <t>2013-10-04</t>
  </si>
  <si>
    <t>10.0136</t>
  </si>
  <si>
    <t>2013-10-03</t>
  </si>
  <si>
    <t>10.0572</t>
  </si>
  <si>
    <t>2013-10-02</t>
  </si>
  <si>
    <t>10.1287</t>
  </si>
  <si>
    <t>2013-10-01</t>
  </si>
  <si>
    <t>9.9807</t>
  </si>
  <si>
    <t>2013-09-30</t>
  </si>
  <si>
    <t>10.1012</t>
  </si>
  <si>
    <t>2013-09-27</t>
  </si>
  <si>
    <t>10.1036</t>
  </si>
  <si>
    <t>2013-09-26</t>
  </si>
  <si>
    <t>9.9777</t>
  </si>
  <si>
    <t>2013-09-25</t>
  </si>
  <si>
    <t>9.8540</t>
  </si>
  <si>
    <t>2013-09-23</t>
  </si>
  <si>
    <t>9.8667</t>
  </si>
  <si>
    <t>2013-09-20</t>
  </si>
  <si>
    <t>9.7323</t>
  </si>
  <si>
    <t>2013-09-19</t>
  </si>
  <si>
    <t>9.6222</t>
  </si>
  <si>
    <t>2013-09-18</t>
  </si>
  <si>
    <t>9.8341</t>
  </si>
  <si>
    <t>2013-09-17</t>
  </si>
  <si>
    <t>9.8282</t>
  </si>
  <si>
    <t>2013-09-16</t>
  </si>
  <si>
    <t>9.7614</t>
  </si>
  <si>
    <t>2013-09-13</t>
  </si>
  <si>
    <t>9.9675</t>
  </si>
  <si>
    <t>2013-09-12</t>
  </si>
  <si>
    <t>9.9333</t>
  </si>
  <si>
    <t>2013-09-11</t>
  </si>
  <si>
    <t>9.9367</t>
  </si>
  <si>
    <t>2013-09-10</t>
  </si>
  <si>
    <t>10.0149</t>
  </si>
  <si>
    <t>2013-09-09</t>
  </si>
  <si>
    <t>9.9774</t>
  </si>
  <si>
    <t>2013-09-06</t>
  </si>
  <si>
    <t>10.1845</t>
  </si>
  <si>
    <t>2013-09-05</t>
  </si>
  <si>
    <t>10.2977</t>
  </si>
  <si>
    <t>2013-09-04</t>
  </si>
  <si>
    <t>10.2557</t>
  </si>
  <si>
    <t>2013-09-03</t>
  </si>
  <si>
    <t>10.2758</t>
  </si>
  <si>
    <t>2013-09-02</t>
  </si>
  <si>
    <t>10.2059</t>
  </si>
  <si>
    <t>2013-08-30</t>
  </si>
  <si>
    <t>10.3348</t>
  </si>
  <si>
    <t>2013-08-29</t>
  </si>
  <si>
    <t>10.3204</t>
  </si>
  <si>
    <t>2013-08-28</t>
  </si>
  <si>
    <t>10.3969</t>
  </si>
  <si>
    <t>2013-08-27</t>
  </si>
  <si>
    <t>10.4363</t>
  </si>
  <si>
    <t>2013-08-26</t>
  </si>
  <si>
    <t>10.2417</t>
  </si>
  <si>
    <t>2013-08-23</t>
  </si>
  <si>
    <t>10.1922</t>
  </si>
  <si>
    <t>2013-08-22</t>
  </si>
  <si>
    <t>10.3141</t>
  </si>
  <si>
    <t>2013-08-21</t>
  </si>
  <si>
    <t>10.2277</t>
  </si>
  <si>
    <t>2013-08-20</t>
  </si>
  <si>
    <t>10.1825</t>
  </si>
  <si>
    <t>2013-08-19</t>
  </si>
  <si>
    <t>10.1187</t>
  </si>
  <si>
    <t>2013-08-16</t>
  </si>
  <si>
    <t>9.9840</t>
  </si>
  <si>
    <t>2013-08-15</t>
  </si>
  <si>
    <t>9.9163</t>
  </si>
  <si>
    <t>2013-08-14</t>
  </si>
  <si>
    <t>9.9920</t>
  </si>
  <si>
    <t>2013-08-13</t>
  </si>
  <si>
    <t>9.9173</t>
  </si>
  <si>
    <t>2013-08-12</t>
  </si>
  <si>
    <t>9.8575</t>
  </si>
  <si>
    <t>2013-08-08</t>
  </si>
  <si>
    <t>9.8878</t>
  </si>
  <si>
    <t>2013-08-07</t>
  </si>
  <si>
    <t>9.9347</t>
  </si>
  <si>
    <t>2013-08-06</t>
  </si>
  <si>
    <t>9.8393</t>
  </si>
  <si>
    <t>2013-08-05</t>
  </si>
  <si>
    <t>9.8098</t>
  </si>
  <si>
    <t>2013-08-02</t>
  </si>
  <si>
    <t>10.0203</t>
  </si>
  <si>
    <t>2013-08-01</t>
  </si>
  <si>
    <t>9.8915</t>
  </si>
  <si>
    <t>2013-07-31</t>
  </si>
  <si>
    <t>9.8551</t>
  </si>
  <si>
    <t>2013-07-30</t>
  </si>
  <si>
    <t>2013-07-29</t>
  </si>
  <si>
    <t>9.8185</t>
  </si>
  <si>
    <t>2013-07-26</t>
  </si>
  <si>
    <t>9.6993</t>
  </si>
  <si>
    <t>2013-07-25</t>
  </si>
  <si>
    <t>9.7847</t>
  </si>
  <si>
    <t>2013-07-24</t>
  </si>
  <si>
    <t>9.6933</t>
  </si>
  <si>
    <t>2013-07-23</t>
  </si>
  <si>
    <t>9.8170</t>
  </si>
  <si>
    <t>2013-07-22</t>
  </si>
  <si>
    <t>9.8126</t>
  </si>
  <si>
    <t>2013-07-19</t>
  </si>
  <si>
    <t>9.9104</t>
  </si>
  <si>
    <t>2013-07-18</t>
  </si>
  <si>
    <t>9.8415</t>
  </si>
  <si>
    <t>2013-07-17</t>
  </si>
  <si>
    <t>9.8604</t>
  </si>
  <si>
    <t>2013-07-16</t>
  </si>
  <si>
    <t>9.9081</t>
  </si>
  <si>
    <t>2013-07-15</t>
  </si>
  <si>
    <t>9.9116</t>
  </si>
  <si>
    <t>2013-07-12</t>
  </si>
  <si>
    <t>10.0340</t>
  </si>
  <si>
    <t>2013-07-11</t>
  </si>
  <si>
    <t>9.9380</t>
  </si>
  <si>
    <t>2013-07-10</t>
  </si>
  <si>
    <t>10.0028</t>
  </si>
  <si>
    <t>2013-07-09</t>
  </si>
  <si>
    <t>10.0620</t>
  </si>
  <si>
    <t>2013-07-08</t>
  </si>
  <si>
    <t>2013-07-05</t>
  </si>
  <si>
    <t>10.0284</t>
  </si>
  <si>
    <t>2013-07-04</t>
  </si>
  <si>
    <t>10.0562</t>
  </si>
  <si>
    <t>2013-07-03</t>
  </si>
  <si>
    <t>10.0616</t>
  </si>
  <si>
    <t>2013-07-02</t>
  </si>
  <si>
    <t>9.8980</t>
  </si>
  <si>
    <t>2013-07-01</t>
  </si>
  <si>
    <t>9.8918</t>
  </si>
  <si>
    <t>2013-06-28</t>
  </si>
  <si>
    <t>9.9655</t>
  </si>
  <si>
    <t>2013-06-27</t>
  </si>
  <si>
    <t>10.0445</t>
  </si>
  <si>
    <t>2013-06-26</t>
  </si>
  <si>
    <t>10.0604</t>
  </si>
  <si>
    <t>2013-06-25</t>
  </si>
  <si>
    <t>9.9696</t>
  </si>
  <si>
    <t>2013-06-24</t>
  </si>
  <si>
    <t>10.2195</t>
  </si>
  <si>
    <t>2013-06-21</t>
  </si>
  <si>
    <t>10.2354</t>
  </si>
  <si>
    <t>2013-06-20</t>
  </si>
  <si>
    <t>10.2832</t>
  </si>
  <si>
    <t>2013-06-19</t>
  </si>
  <si>
    <t>9.9223</t>
  </si>
  <si>
    <t>2013-06-18</t>
  </si>
  <si>
    <t>10.0265</t>
  </si>
  <si>
    <t>2013-06-14</t>
  </si>
  <si>
    <t>9.8735</t>
  </si>
  <si>
    <t>2013-06-13</t>
  </si>
  <si>
    <t>10.0322</t>
  </si>
  <si>
    <t>2013-06-12</t>
  </si>
  <si>
    <t>9.9853</t>
  </si>
  <si>
    <t>2013-06-11</t>
  </si>
  <si>
    <t>10.2511</t>
  </si>
  <si>
    <t>2013-06-10</t>
  </si>
  <si>
    <t>10.1561</t>
  </si>
  <si>
    <t>2013-06-07</t>
  </si>
  <si>
    <t>9.9308</t>
  </si>
  <si>
    <t>2013-06-06</t>
  </si>
  <si>
    <t>9.9987</t>
  </si>
  <si>
    <t>2013-06-05</t>
  </si>
  <si>
    <t>9.8587</t>
  </si>
  <si>
    <t>2013-06-04</t>
  </si>
  <si>
    <t>9.7660</t>
  </si>
  <si>
    <t>2013-06-03</t>
  </si>
  <si>
    <t>10.0406</t>
  </si>
  <si>
    <t>2013-05-31</t>
  </si>
  <si>
    <t>10.1985</t>
  </si>
  <si>
    <t>2013-05-30</t>
  </si>
  <si>
    <t>9.7869</t>
  </si>
  <si>
    <t>2013-05-29</t>
  </si>
  <si>
    <t>9.8325</t>
  </si>
  <si>
    <t>2013-05-28</t>
  </si>
  <si>
    <t>9.6863</t>
  </si>
  <si>
    <t>2013-05-27</t>
  </si>
  <si>
    <t>9.6032</t>
  </si>
  <si>
    <t>2013-05-24</t>
  </si>
  <si>
    <t>9.5356</t>
  </si>
  <si>
    <t>2013-05-23</t>
  </si>
  <si>
    <t>9.6623</t>
  </si>
  <si>
    <t>2013-05-22</t>
  </si>
  <si>
    <t>9.5215</t>
  </si>
  <si>
    <t>2013-05-21</t>
  </si>
  <si>
    <t>9.4979</t>
  </si>
  <si>
    <t>2013-05-20</t>
  </si>
  <si>
    <t>9.3931</t>
  </si>
  <si>
    <t>2013-05-17</t>
  </si>
  <si>
    <t>9.4113</t>
  </si>
  <si>
    <t>2013-05-16</t>
  </si>
  <si>
    <t>9.3094</t>
  </si>
  <si>
    <t>2013-05-15</t>
  </si>
  <si>
    <t>9.2575</t>
  </si>
  <si>
    <t>2013-05-14</t>
  </si>
  <si>
    <t>9.1962</t>
  </si>
  <si>
    <t>2013-05-13</t>
  </si>
  <si>
    <t>9.0973</t>
  </si>
  <si>
    <t>2013-05-10</t>
  </si>
  <si>
    <t>9.0547</t>
  </si>
  <si>
    <t>2013-05-09</t>
  </si>
  <si>
    <t>8.9974</t>
  </si>
  <si>
    <t>2013-05-08</t>
  </si>
  <si>
    <t>9.0483</t>
  </si>
  <si>
    <t>2013-05-07</t>
  </si>
  <si>
    <t>9.0356</t>
  </si>
  <si>
    <t>2013-05-06</t>
  </si>
  <si>
    <t>8.9623</t>
  </si>
  <si>
    <t>2013-05-03</t>
  </si>
  <si>
    <t>8.9527</t>
  </si>
  <si>
    <t>2013-05-02</t>
  </si>
  <si>
    <t>9.0441</t>
  </si>
  <si>
    <t>2013-04-30</t>
  </si>
  <si>
    <t>8.9686</t>
  </si>
  <si>
    <t>2013-04-29</t>
  </si>
  <si>
    <t>9.0641</t>
  </si>
  <si>
    <t>2013-04-26</t>
  </si>
  <si>
    <t>9.1508</t>
  </si>
  <si>
    <t>2013-04-25</t>
  </si>
  <si>
    <t>9.0875</t>
  </si>
  <si>
    <t>2013-04-24</t>
  </si>
  <si>
    <t>9.2177</t>
  </si>
  <si>
    <t>2013-04-23</t>
  </si>
  <si>
    <t>9.3004</t>
  </si>
  <si>
    <t>2013-04-22</t>
  </si>
  <si>
    <t>9.2977</t>
  </si>
  <si>
    <t>2013-04-19</t>
  </si>
  <si>
    <t>9.1533</t>
  </si>
  <si>
    <t>2013-04-18</t>
  </si>
  <si>
    <t>9.1755</t>
  </si>
  <si>
    <t>2013-04-17</t>
  </si>
  <si>
    <t>9.1411</t>
  </si>
  <si>
    <t>2013-04-16</t>
  </si>
  <si>
    <t>9.2137</t>
  </si>
  <si>
    <t>2013-04-15</t>
  </si>
  <si>
    <t>9.0170</t>
  </si>
  <si>
    <t>2013-04-12</t>
  </si>
  <si>
    <t>8.9339</t>
  </si>
  <si>
    <t>2013-04-11</t>
  </si>
  <si>
    <t>8.8762</t>
  </si>
  <si>
    <t>2013-04-10</t>
  </si>
  <si>
    <t>8.9074</t>
  </si>
  <si>
    <t>2013-04-09</t>
  </si>
  <si>
    <t>8.9786</t>
  </si>
  <si>
    <t>2013-04-08</t>
  </si>
  <si>
    <t>9.0625</t>
  </si>
  <si>
    <t>2013-04-05</t>
  </si>
  <si>
    <t>9.1574</t>
  </si>
  <si>
    <t>2013-04-04</t>
  </si>
  <si>
    <t>9.2699</t>
  </si>
  <si>
    <t>2013-04-03</t>
  </si>
  <si>
    <t>9.2332</t>
  </si>
  <si>
    <t>2013-04-02</t>
  </si>
  <si>
    <t>9.1912</t>
  </si>
  <si>
    <t>2013-03-28</t>
  </si>
  <si>
    <t>9.2521</t>
  </si>
  <si>
    <t>2013-03-27</t>
  </si>
  <si>
    <t>9.2861</t>
  </si>
  <si>
    <t>2013-03-26</t>
  </si>
  <si>
    <t>9.2576</t>
  </si>
  <si>
    <t>2013-03-25</t>
  </si>
  <si>
    <t>9.2372</t>
  </si>
  <si>
    <t>2013-03-22</t>
  </si>
  <si>
    <t>9.3247</t>
  </si>
  <si>
    <t>2013-03-20</t>
  </si>
  <si>
    <t>9.2178</t>
  </si>
  <si>
    <t>2013-03-19</t>
  </si>
  <si>
    <t>9.2023</t>
  </si>
  <si>
    <t>2013-03-18</t>
  </si>
  <si>
    <t>9.2196</t>
  </si>
  <si>
    <t>2013-03-15</t>
  </si>
  <si>
    <t>9.1910</t>
  </si>
  <si>
    <t>2013-03-14</t>
  </si>
  <si>
    <t>9.2442</t>
  </si>
  <si>
    <t>2013-03-13</t>
  </si>
  <si>
    <t>9.1464</t>
  </si>
  <si>
    <t>2013-03-12</t>
  </si>
  <si>
    <t>9.2005</t>
  </si>
  <si>
    <t>2013-03-11</t>
  </si>
  <si>
    <t>9.1116</t>
  </si>
  <si>
    <t>2013-03-08</t>
  </si>
  <si>
    <t>9.1336</t>
  </si>
  <si>
    <t>2013-03-07</t>
  </si>
  <si>
    <t>9.1014</t>
  </si>
  <si>
    <t>2013-03-06</t>
  </si>
  <si>
    <t>9.0333</t>
  </si>
  <si>
    <t>2013-03-05</t>
  </si>
  <si>
    <t>9.0591</t>
  </si>
  <si>
    <t>2013-03-04</t>
  </si>
  <si>
    <t>9.0864</t>
  </si>
  <si>
    <t>2013-03-01</t>
  </si>
  <si>
    <t>9.0296</t>
  </si>
  <si>
    <t>2013-02-28</t>
  </si>
  <si>
    <t>8.8410</t>
  </si>
  <si>
    <t>2013-02-27</t>
  </si>
  <si>
    <t>8.8387</t>
  </si>
  <si>
    <t>2013-02-26</t>
  </si>
  <si>
    <t>8.8343</t>
  </si>
  <si>
    <t>2013-02-25</t>
  </si>
  <si>
    <t>8.8673</t>
  </si>
  <si>
    <t>2013-02-22</t>
  </si>
  <si>
    <t>8.8681</t>
  </si>
  <si>
    <t>2013-02-21</t>
  </si>
  <si>
    <t>8.9016</t>
  </si>
  <si>
    <t>2013-02-20</t>
  </si>
  <si>
    <t>8.8461</t>
  </si>
  <si>
    <t>2013-02-19</t>
  </si>
  <si>
    <t>8.9228</t>
  </si>
  <si>
    <t>2013-02-18</t>
  </si>
  <si>
    <t>8.8402</t>
  </si>
  <si>
    <t>2013-02-15</t>
  </si>
  <si>
    <t>8.8109</t>
  </si>
  <si>
    <t>2013-02-14</t>
  </si>
  <si>
    <t>8.8742</t>
  </si>
  <si>
    <t>2013-02-13</t>
  </si>
  <si>
    <t>8.9070</t>
  </si>
  <si>
    <t>2013-02-12</t>
  </si>
  <si>
    <t>8.9690</t>
  </si>
  <si>
    <t>2013-02-11</t>
  </si>
  <si>
    <t>8.8811</t>
  </si>
  <si>
    <t>2013-02-08</t>
  </si>
  <si>
    <t>8.9401</t>
  </si>
  <si>
    <t>2013-02-07</t>
  </si>
  <si>
    <t>8.8888</t>
  </si>
  <si>
    <t>2013-02-06</t>
  </si>
  <si>
    <t>8.8542</t>
  </si>
  <si>
    <t>2013-02-05</t>
  </si>
  <si>
    <t>8.9181</t>
  </si>
  <si>
    <t>2013-02-04</t>
  </si>
  <si>
    <t>8.8862</t>
  </si>
  <si>
    <t>2013-02-01</t>
  </si>
  <si>
    <t>8.9682</t>
  </si>
  <si>
    <t>2013-01-31</t>
  </si>
  <si>
    <t>9.0582</t>
  </si>
  <si>
    <t>2013-01-30</t>
  </si>
  <si>
    <t>9.0366</t>
  </si>
  <si>
    <t>2013-01-29</t>
  </si>
  <si>
    <t>9.0908</t>
  </si>
  <si>
    <t>2013-01-28</t>
  </si>
  <si>
    <t>8.9655</t>
  </si>
  <si>
    <t>2013-01-25</t>
  </si>
  <si>
    <t>8.9902</t>
  </si>
  <si>
    <t>2013-01-24</t>
  </si>
  <si>
    <t>9.0414</t>
  </si>
  <si>
    <t>2013-01-23</t>
  </si>
  <si>
    <t>8.8941</t>
  </si>
  <si>
    <t>2013-01-22</t>
  </si>
  <si>
    <t>8.8375</t>
  </si>
  <si>
    <t>2013-01-21</t>
  </si>
  <si>
    <t>8.8749</t>
  </si>
  <si>
    <t>2013-01-18</t>
  </si>
  <si>
    <t>8.8528</t>
  </si>
  <si>
    <t>2013-01-17</t>
  </si>
  <si>
    <t>8.7784</t>
  </si>
  <si>
    <t>2013-01-16</t>
  </si>
  <si>
    <t>8.8642</t>
  </si>
  <si>
    <t>2013-01-15</t>
  </si>
  <si>
    <t>8.7311</t>
  </si>
  <si>
    <t>2013-01-14</t>
  </si>
  <si>
    <t>8.7209</t>
  </si>
  <si>
    <t>2013-01-11</t>
  </si>
  <si>
    <t>8.6734</t>
  </si>
  <si>
    <t>2013-01-10</t>
  </si>
  <si>
    <t>8.5965</t>
  </si>
  <si>
    <t>2013-01-09</t>
  </si>
  <si>
    <t>8.5716</t>
  </si>
  <si>
    <t>2013-01-08</t>
  </si>
  <si>
    <t>8.5882</t>
  </si>
  <si>
    <t>2013-01-07</t>
  </si>
  <si>
    <t>8.6089</t>
  </si>
  <si>
    <t>2013-01-04</t>
  </si>
  <si>
    <t>8.6295</t>
  </si>
  <si>
    <t>2013-01-03</t>
  </si>
  <si>
    <t>8.5224</t>
  </si>
  <si>
    <t>2013-01-02</t>
  </si>
  <si>
    <t>8.4478</t>
  </si>
  <si>
    <t>2012-12-31</t>
  </si>
  <si>
    <t>8.4838</t>
  </si>
  <si>
    <t>2012-12-28</t>
  </si>
  <si>
    <t>8.5031</t>
  </si>
  <si>
    <t>2012-12-27</t>
  </si>
  <si>
    <t>8.5695</t>
  </si>
  <si>
    <t>2012-12-24</t>
  </si>
  <si>
    <t>8.5660</t>
  </si>
  <si>
    <t>2012-12-21</t>
  </si>
  <si>
    <t>8.5461</t>
  </si>
  <si>
    <t>2012-12-20</t>
  </si>
  <si>
    <t>8.5083</t>
  </si>
  <si>
    <t>2012-12-19</t>
  </si>
  <si>
    <t>8.4822</t>
  </si>
  <si>
    <t>2012-12-18</t>
  </si>
  <si>
    <t>8.5607</t>
  </si>
  <si>
    <t>2012-12-14</t>
  </si>
  <si>
    <t>8.6507</t>
  </si>
  <si>
    <t>2012-12-13</t>
  </si>
  <si>
    <t>8.6418</t>
  </si>
  <si>
    <t>2012-12-12</t>
  </si>
  <si>
    <t>8.6763</t>
  </si>
  <si>
    <t>2012-12-11</t>
  </si>
  <si>
    <t>8.6635</t>
  </si>
  <si>
    <t>2012-12-10</t>
  </si>
  <si>
    <t>8.6756</t>
  </si>
  <si>
    <t>2012-12-07</t>
  </si>
  <si>
    <t>8.7031</t>
  </si>
  <si>
    <t>2012-12-06</t>
  </si>
  <si>
    <t>8.7550</t>
  </si>
  <si>
    <t>2012-12-05</t>
  </si>
  <si>
    <t>8.7957</t>
  </si>
  <si>
    <t>2012-12-04</t>
  </si>
  <si>
    <t>8.8523</t>
  </si>
  <si>
    <t>2012-12-03</t>
  </si>
  <si>
    <t>8.8895</t>
  </si>
  <si>
    <t>2012-11-30</t>
  </si>
  <si>
    <t>8.7732</t>
  </si>
  <si>
    <t>2012-11-29</t>
  </si>
  <si>
    <t>8.7818</t>
  </si>
  <si>
    <t>2012-11-28</t>
  </si>
  <si>
    <t>8.8407</t>
  </si>
  <si>
    <t>2012-11-27</t>
  </si>
  <si>
    <t>8.8384</t>
  </si>
  <si>
    <t>2012-11-26</t>
  </si>
  <si>
    <t>8.8582</t>
  </si>
  <si>
    <t>2012-11-23</t>
  </si>
  <si>
    <t>8.9432</t>
  </si>
  <si>
    <t>2012-11-22</t>
  </si>
  <si>
    <t>8.9418</t>
  </si>
  <si>
    <t>2012-11-21</t>
  </si>
  <si>
    <t>8.9105</t>
  </si>
  <si>
    <t>2012-11-20</t>
  </si>
  <si>
    <t>8.8608</t>
  </si>
  <si>
    <t>2012-11-19</t>
  </si>
  <si>
    <t>8.8479</t>
  </si>
  <si>
    <t>2012-11-16</t>
  </si>
  <si>
    <t>8.8887</t>
  </si>
  <si>
    <t>2012-11-15</t>
  </si>
  <si>
    <t>8.9172</t>
  </si>
  <si>
    <t>2012-11-14</t>
  </si>
  <si>
    <t>8.8008</t>
  </si>
  <si>
    <t>2012-11-13</t>
  </si>
  <si>
    <t>8.8000</t>
  </si>
  <si>
    <t>2012-11-12</t>
  </si>
  <si>
    <t>8.7015</t>
  </si>
  <si>
    <t>2012-11-09</t>
  </si>
  <si>
    <t>8.6961</t>
  </si>
  <si>
    <t>2012-11-08</t>
  </si>
  <si>
    <t>8.6527</t>
  </si>
  <si>
    <t>2012-11-07</t>
  </si>
  <si>
    <t>8.6028</t>
  </si>
  <si>
    <t>2012-11-06</t>
  </si>
  <si>
    <t>8.7371</t>
  </si>
  <si>
    <t>2012-11-05</t>
  </si>
  <si>
    <t>8.7925</t>
  </si>
  <si>
    <t>2012-11-02</t>
  </si>
  <si>
    <t>8.6582</t>
  </si>
  <si>
    <t>2012-11-01</t>
  </si>
  <si>
    <t>8.6579</t>
  </si>
  <si>
    <t>2012-10-31</t>
  </si>
  <si>
    <t>8.6235</t>
  </si>
  <si>
    <t>2012-10-30</t>
  </si>
  <si>
    <t>8.6632</t>
  </si>
  <si>
    <t>2012-10-29</t>
  </si>
  <si>
    <t>8.6788</t>
  </si>
  <si>
    <t>2012-10-26</t>
  </si>
  <si>
    <t>8.7508</t>
  </si>
  <si>
    <t>2012-10-25</t>
  </si>
  <si>
    <t>8.7025</t>
  </si>
  <si>
    <t>2012-10-24</t>
  </si>
  <si>
    <t>8.7889</t>
  </si>
  <si>
    <t>2012-10-23</t>
  </si>
  <si>
    <t>8.7069</t>
  </si>
  <si>
    <t>2012-10-22</t>
  </si>
  <si>
    <t>8.6278</t>
  </si>
  <si>
    <t>2012-10-19</t>
  </si>
  <si>
    <t>8.6530</t>
  </si>
  <si>
    <t>2012-10-18</t>
  </si>
  <si>
    <t>8.6214</t>
  </si>
  <si>
    <t>2012-10-17</t>
  </si>
  <si>
    <t>8.7112</t>
  </si>
  <si>
    <t>2012-10-16</t>
  </si>
  <si>
    <t>8.7676</t>
  </si>
  <si>
    <t>2012-10-15</t>
  </si>
  <si>
    <t>8.7426</t>
  </si>
  <si>
    <t>2012-10-12</t>
  </si>
  <si>
    <t>8.6288</t>
  </si>
  <si>
    <t>2012-10-11</t>
  </si>
  <si>
    <t>8.6658</t>
  </si>
  <si>
    <t>2012-10-10</t>
  </si>
  <si>
    <t>8.6700</t>
  </si>
  <si>
    <t>2012-10-09</t>
  </si>
  <si>
    <t>8.8389</t>
  </si>
  <si>
    <t>2012-10-08</t>
  </si>
  <si>
    <t>8.8591</t>
  </si>
  <si>
    <t>2012-10-05</t>
  </si>
  <si>
    <t>8.6497</t>
  </si>
  <si>
    <t>2012-10-04</t>
  </si>
  <si>
    <t>8.4760</t>
  </si>
  <si>
    <t>2012-10-03</t>
  </si>
  <si>
    <t>8.4275</t>
  </si>
  <si>
    <t>2012-10-02</t>
  </si>
  <si>
    <t>8.3413</t>
  </si>
  <si>
    <t>2012-10-01</t>
  </si>
  <si>
    <t>8.2804</t>
  </si>
  <si>
    <t>2012-09-28</t>
  </si>
  <si>
    <t>8.2222</t>
  </si>
  <si>
    <t>2012-09-27</t>
  </si>
  <si>
    <t>8.2042</t>
  </si>
  <si>
    <t>2012-09-26</t>
  </si>
  <si>
    <t>8.2197</t>
  </si>
  <si>
    <t>2012-09-25</t>
  </si>
  <si>
    <t>8.1990</t>
  </si>
  <si>
    <t>2012-09-21</t>
  </si>
  <si>
    <t>8.2786</t>
  </si>
  <si>
    <t>2012-09-20</t>
  </si>
  <si>
    <t>8.3399</t>
  </si>
  <si>
    <t>2012-09-19</t>
  </si>
  <si>
    <t>8.1970</t>
  </si>
  <si>
    <t>2012-09-18</t>
  </si>
  <si>
    <t>8.2666</t>
  </si>
  <si>
    <t>2012-09-17</t>
  </si>
  <si>
    <t>8.2728</t>
  </si>
  <si>
    <t>2012-09-14</t>
  </si>
  <si>
    <t>8.2598</t>
  </si>
  <si>
    <t>2012-09-13</t>
  </si>
  <si>
    <t>8.3826</t>
  </si>
  <si>
    <t>2012-09-12</t>
  </si>
  <si>
    <t>8.1890</t>
  </si>
  <si>
    <t>2012-09-11</t>
  </si>
  <si>
    <t>8.2214</t>
  </si>
  <si>
    <t>2012-09-10</t>
  </si>
  <si>
    <t>8.2093</t>
  </si>
  <si>
    <t>2012-09-07</t>
  </si>
  <si>
    <t>8.2401</t>
  </si>
  <si>
    <t>2012-09-06</t>
  </si>
  <si>
    <t>8.3690</t>
  </si>
  <si>
    <t>2012-09-05</t>
  </si>
  <si>
    <t>8.4598</t>
  </si>
  <si>
    <t>2012-09-04</t>
  </si>
  <si>
    <t>8.3611</t>
  </si>
  <si>
    <t>2012-09-03</t>
  </si>
  <si>
    <t>8.4119</t>
  </si>
  <si>
    <t>2012-08-31</t>
  </si>
  <si>
    <t>8.4314</t>
  </si>
  <si>
    <t>2012-08-30</t>
  </si>
  <si>
    <t>8.4361</t>
  </si>
  <si>
    <t>2012-08-29</t>
  </si>
  <si>
    <t>8.4197</t>
  </si>
  <si>
    <t>2012-08-28</t>
  </si>
  <si>
    <t>8.4112</t>
  </si>
  <si>
    <t>2012-08-27</t>
  </si>
  <si>
    <t>8.3999</t>
  </si>
  <si>
    <t>2012-08-24</t>
  </si>
  <si>
    <t>8.3737</t>
  </si>
  <si>
    <t>2012-08-23</t>
  </si>
  <si>
    <t>8.2623</t>
  </si>
  <si>
    <t>2012-08-22</t>
  </si>
  <si>
    <t>8.2915</t>
  </si>
  <si>
    <t>2012-08-21</t>
  </si>
  <si>
    <t>8.2630</t>
  </si>
  <si>
    <t>2012-08-20</t>
  </si>
  <si>
    <t>8.3086</t>
  </si>
  <si>
    <t>2012-08-17</t>
  </si>
  <si>
    <t>8.2673</t>
  </si>
  <si>
    <t>2012-08-16</t>
  </si>
  <si>
    <t>8.2556</t>
  </si>
  <si>
    <t>2012-08-15</t>
  </si>
  <si>
    <t>8.2000</t>
  </si>
  <si>
    <t>2012-08-14</t>
  </si>
  <si>
    <t>8.1100</t>
  </si>
  <si>
    <t>2012-08-13</t>
  </si>
  <si>
    <t>8.1323</t>
  </si>
  <si>
    <t>2012-08-10</t>
  </si>
  <si>
    <t>8.1377</t>
  </si>
  <si>
    <t>2012-08-08</t>
  </si>
  <si>
    <t>8.1854</t>
  </si>
  <si>
    <t>2012-08-07</t>
  </si>
  <si>
    <t>8.1675</t>
  </si>
  <si>
    <t>2012-08-06</t>
  </si>
  <si>
    <t>2012-08-03</t>
  </si>
  <si>
    <t>8.3026</t>
  </si>
  <si>
    <t>2012-08-02</t>
  </si>
  <si>
    <t>8.3259</t>
  </si>
  <si>
    <t>2012-08-01</t>
  </si>
  <si>
    <t>8.2324</t>
  </si>
  <si>
    <t>2012-07-31</t>
  </si>
  <si>
    <t>8.2074</t>
  </si>
  <si>
    <t>2012-07-30</t>
  </si>
  <si>
    <t>8.2105</t>
  </si>
  <si>
    <t>2012-07-27</t>
  </si>
  <si>
    <t>8.2425</t>
  </si>
  <si>
    <t>2012-07-26</t>
  </si>
  <si>
    <t>8.4238</t>
  </si>
  <si>
    <t>2012-07-25</t>
  </si>
  <si>
    <t>8.4836</t>
  </si>
  <si>
    <t>2012-07-24</t>
  </si>
  <si>
    <t>8.4519</t>
  </si>
  <si>
    <t>2012-07-23</t>
  </si>
  <si>
    <t>8.4059</t>
  </si>
  <si>
    <t>2012-07-20</t>
  </si>
  <si>
    <t>8.1902</t>
  </si>
  <si>
    <t>2012-07-19</t>
  </si>
  <si>
    <t>8.1372</t>
  </si>
  <si>
    <t>2012-07-18</t>
  </si>
  <si>
    <t>8.1908</t>
  </si>
  <si>
    <t>2012-07-17</t>
  </si>
  <si>
    <t>8.1829</t>
  </si>
  <si>
    <t>2012-07-16</t>
  </si>
  <si>
    <t>8.2584</t>
  </si>
  <si>
    <t>2012-07-13</t>
  </si>
  <si>
    <t>8.3333</t>
  </si>
  <si>
    <t>2012-07-12</t>
  </si>
  <si>
    <t>8.3113</t>
  </si>
  <si>
    <t>2012-07-11</t>
  </si>
  <si>
    <t>8.1897</t>
  </si>
  <si>
    <t>2012-07-10</t>
  </si>
  <si>
    <t>8.2276</t>
  </si>
  <si>
    <t>2012-07-09</t>
  </si>
  <si>
    <t>8.2748</t>
  </si>
  <si>
    <t>2012-07-06</t>
  </si>
  <si>
    <t>8.1596</t>
  </si>
  <si>
    <t>2012-07-05</t>
  </si>
  <si>
    <t>8.1574</t>
  </si>
  <si>
    <t>2012-07-04</t>
  </si>
  <si>
    <t>8.1116</t>
  </si>
  <si>
    <t>2012-07-03</t>
  </si>
  <si>
    <t>8.1298</t>
  </si>
  <si>
    <t>2012-07-02</t>
  </si>
  <si>
    <t>8.1737</t>
  </si>
  <si>
    <t>2012-06-29</t>
  </si>
  <si>
    <t>8.3075</t>
  </si>
  <si>
    <t>2012-06-28</t>
  </si>
  <si>
    <t>8.4405</t>
  </si>
  <si>
    <t>2012-06-27</t>
  </si>
  <si>
    <t>8.4262</t>
  </si>
  <si>
    <t>2012-06-26</t>
  </si>
  <si>
    <t>8.4574</t>
  </si>
  <si>
    <t>2012-06-25</t>
  </si>
  <si>
    <t>8.4485</t>
  </si>
  <si>
    <t>2012-06-22</t>
  </si>
  <si>
    <t>8.3833</t>
  </si>
  <si>
    <t>2012-06-21</t>
  </si>
  <si>
    <t>8.2616</t>
  </si>
  <si>
    <t>2012-06-20</t>
  </si>
  <si>
    <t>8.2201</t>
  </si>
  <si>
    <t>2012-06-19</t>
  </si>
  <si>
    <t>8.3134</t>
  </si>
  <si>
    <t>2012-06-18</t>
  </si>
  <si>
    <t>8.3219</t>
  </si>
  <si>
    <t>2012-06-15</t>
  </si>
  <si>
    <t>8.3724</t>
  </si>
  <si>
    <t>2012-06-14</t>
  </si>
  <si>
    <t>8.4151</t>
  </si>
  <si>
    <t>2012-06-13</t>
  </si>
  <si>
    <t>8.3787</t>
  </si>
  <si>
    <t>2012-06-12</t>
  </si>
  <si>
    <t>8.4368</t>
  </si>
  <si>
    <t>2012-06-11</t>
  </si>
  <si>
    <t>8.2913</t>
  </si>
  <si>
    <t>2012-06-08</t>
  </si>
  <si>
    <t>8.4913</t>
  </si>
  <si>
    <t>2012-06-07</t>
  </si>
  <si>
    <t>8.3191</t>
  </si>
  <si>
    <t>2012-06-06</t>
  </si>
  <si>
    <t>8.3968</t>
  </si>
  <si>
    <t>2012-06-05</t>
  </si>
  <si>
    <t>8.5025</t>
  </si>
  <si>
    <t>2012-06-04</t>
  </si>
  <si>
    <t>8.5909</t>
  </si>
  <si>
    <t>2012-06-01</t>
  </si>
  <si>
    <t>8.5671</t>
  </si>
  <si>
    <t>2012-05-31</t>
  </si>
  <si>
    <t>8.5206</t>
  </si>
  <si>
    <t>2012-05-30</t>
  </si>
  <si>
    <t>8.4055</t>
  </si>
  <si>
    <t>2012-05-29</t>
  </si>
  <si>
    <t>8.3156</t>
  </si>
  <si>
    <t>2012-05-28</t>
  </si>
  <si>
    <t>8.3210</t>
  </si>
  <si>
    <t>2012-05-25</t>
  </si>
  <si>
    <t>8.3225</t>
  </si>
  <si>
    <t>2012-05-24</t>
  </si>
  <si>
    <t>8.4101</t>
  </si>
  <si>
    <t>2012-05-23</t>
  </si>
  <si>
    <t>8.4099</t>
  </si>
  <si>
    <t>2012-05-22</t>
  </si>
  <si>
    <t>8.2393</t>
  </si>
  <si>
    <t>2012-05-21</t>
  </si>
  <si>
    <t>8.2708</t>
  </si>
  <si>
    <t>2012-05-18</t>
  </si>
  <si>
    <t>8.3524</t>
  </si>
  <si>
    <t>2012-05-17</t>
  </si>
  <si>
    <t>8.2855</t>
  </si>
  <si>
    <t>2012-05-16</t>
  </si>
  <si>
    <t>8.3335</t>
  </si>
  <si>
    <t>2012-05-15</t>
  </si>
  <si>
    <t>8.1688</t>
  </si>
  <si>
    <t>2012-05-14</t>
  </si>
  <si>
    <t>8.1914</t>
  </si>
  <si>
    <t>2012-05-11</t>
  </si>
  <si>
    <t>8.0866</t>
  </si>
  <si>
    <t>2012-05-10</t>
  </si>
  <si>
    <t>8.0286</t>
  </si>
  <si>
    <t>2012-05-09</t>
  </si>
  <si>
    <t>7.9423</t>
  </si>
  <si>
    <t>2012-05-08</t>
  </si>
  <si>
    <t>7.8505</t>
  </si>
  <si>
    <t>2012-05-07</t>
  </si>
  <si>
    <t>7.8375</t>
  </si>
  <si>
    <t>2012-05-04</t>
  </si>
  <si>
    <t>7.7471</t>
  </si>
  <si>
    <t>2012-05-03</t>
  </si>
  <si>
    <t>7.7314</t>
  </si>
  <si>
    <t>2012-05-02</t>
  </si>
  <si>
    <t>7.7423</t>
  </si>
  <si>
    <t>2012-04-30</t>
  </si>
  <si>
    <t>7.7422</t>
  </si>
  <si>
    <t>2012-04-26</t>
  </si>
  <si>
    <t>7.7413</t>
  </si>
  <si>
    <t>2012-04-25</t>
  </si>
  <si>
    <t>7.7624</t>
  </si>
  <si>
    <t>2012-04-24</t>
  </si>
  <si>
    <t>7.8225</t>
  </si>
  <si>
    <t>2012-04-23</t>
  </si>
  <si>
    <t>7.8398</t>
  </si>
  <si>
    <t>2012-04-20</t>
  </si>
  <si>
    <t>7.8073</t>
  </si>
  <si>
    <t>2012-04-19</t>
  </si>
  <si>
    <t>7.8108</t>
  </si>
  <si>
    <t>2012-04-18</t>
  </si>
  <si>
    <t>7.8002</t>
  </si>
  <si>
    <t>2012-04-17</t>
  </si>
  <si>
    <t>7.9102</t>
  </si>
  <si>
    <t>2012-04-16</t>
  </si>
  <si>
    <t>8.0040</t>
  </si>
  <si>
    <t>2012-04-13</t>
  </si>
  <si>
    <t>7.9270</t>
  </si>
  <si>
    <t>2012-04-12</t>
  </si>
  <si>
    <t>7.9424</t>
  </si>
  <si>
    <t>2012-04-11</t>
  </si>
  <si>
    <t>8.0295</t>
  </si>
  <si>
    <t>2012-04-10</t>
  </si>
  <si>
    <t>7.9109</t>
  </si>
  <si>
    <t>2012-04-05</t>
  </si>
  <si>
    <t>7.8233</t>
  </si>
  <si>
    <t>2012-04-04</t>
  </si>
  <si>
    <t>7.7705</t>
  </si>
  <si>
    <t>2012-04-03</t>
  </si>
  <si>
    <t>7.6490</t>
  </si>
  <si>
    <t>2012-04-02</t>
  </si>
  <si>
    <t>7.6268</t>
  </si>
  <si>
    <t>2012-03-30</t>
  </si>
  <si>
    <t>7.6820</t>
  </si>
  <si>
    <t>2012-03-29</t>
  </si>
  <si>
    <t>7.6617</t>
  </si>
  <si>
    <t>2012-03-28</t>
  </si>
  <si>
    <t>7.6070</t>
  </si>
  <si>
    <t>2012-03-27</t>
  </si>
  <si>
    <t>7.5789</t>
  </si>
  <si>
    <t>2012-03-26</t>
  </si>
  <si>
    <t>7.6898</t>
  </si>
  <si>
    <t>2012-03-23</t>
  </si>
  <si>
    <t>7.6826</t>
  </si>
  <si>
    <t>2012-03-22</t>
  </si>
  <si>
    <t>7.6862</t>
  </si>
  <si>
    <t>2012-03-20</t>
  </si>
  <si>
    <t>7.5898</t>
  </si>
  <si>
    <t>2012-03-19</t>
  </si>
  <si>
    <t>7.5822</t>
  </si>
  <si>
    <t>2012-03-16</t>
  </si>
  <si>
    <t>7.6369</t>
  </si>
  <si>
    <t>2012-03-15</t>
  </si>
  <si>
    <t>7.6718</t>
  </si>
  <si>
    <t>2012-03-14</t>
  </si>
  <si>
    <t>7.5580</t>
  </si>
  <si>
    <t>2012-03-13</t>
  </si>
  <si>
    <t>7.5444</t>
  </si>
  <si>
    <t>2012-03-12</t>
  </si>
  <si>
    <t>7.5885</t>
  </si>
  <si>
    <t>2012-03-09</t>
  </si>
  <si>
    <t>7.5077</t>
  </si>
  <si>
    <t>2012-03-08</t>
  </si>
  <si>
    <t>7.5622</t>
  </si>
  <si>
    <t>2012-03-07</t>
  </si>
  <si>
    <t>7.6381</t>
  </si>
  <si>
    <t>2012-03-06</t>
  </si>
  <si>
    <t>7.6069</t>
  </si>
  <si>
    <t>2012-03-05</t>
  </si>
  <si>
    <t>7.5536</t>
  </si>
  <si>
    <t>2012-03-02</t>
  </si>
  <si>
    <t>7.4877</t>
  </si>
  <si>
    <t>2012-03-01</t>
  </si>
  <si>
    <t>7.4914</t>
  </si>
  <si>
    <t>2012-02-29</t>
  </si>
  <si>
    <t>7.4777</t>
  </si>
  <si>
    <t>2012-02-28</t>
  </si>
  <si>
    <t>7.5172</t>
  </si>
  <si>
    <t>2012-02-27</t>
  </si>
  <si>
    <t>7.6377</t>
  </si>
  <si>
    <t>2012-02-24</t>
  </si>
  <si>
    <t>7.6305</t>
  </si>
  <si>
    <t>2012-02-23</t>
  </si>
  <si>
    <t>7.6858</t>
  </si>
  <si>
    <t>2012-02-22</t>
  </si>
  <si>
    <t>7.7313</t>
  </si>
  <si>
    <t>2012-02-21</t>
  </si>
  <si>
    <t>7.6941</t>
  </si>
  <si>
    <t>2012-02-20</t>
  </si>
  <si>
    <t>7.6904</t>
  </si>
  <si>
    <t>2012-02-17</t>
  </si>
  <si>
    <t>7.7709</t>
  </si>
  <si>
    <t>2012-02-16</t>
  </si>
  <si>
    <t>7.8105</t>
  </si>
  <si>
    <t>2012-02-15</t>
  </si>
  <si>
    <t>7.6929</t>
  </si>
  <si>
    <t>2012-02-14</t>
  </si>
  <si>
    <t>7.7270</t>
  </si>
  <si>
    <t>2012-02-13</t>
  </si>
  <si>
    <t>7.6489</t>
  </si>
  <si>
    <t>2012-02-10</t>
  </si>
  <si>
    <t>7.6641</t>
  </si>
  <si>
    <t>2012-02-09</t>
  </si>
  <si>
    <t>7.5778</t>
  </si>
  <si>
    <t>2012-02-08</t>
  </si>
  <si>
    <t>7.5300</t>
  </si>
  <si>
    <t>2012-02-07</t>
  </si>
  <si>
    <t>7.5481</t>
  </si>
  <si>
    <t>2012-02-06</t>
  </si>
  <si>
    <t>7.5877</t>
  </si>
  <si>
    <t>2012-02-03</t>
  </si>
  <si>
    <t>7.6606</t>
  </si>
  <si>
    <t>2012-02-02</t>
  </si>
  <si>
    <t>7.6942</t>
  </si>
  <si>
    <t>2012-02-01</t>
  </si>
  <si>
    <t>7.8030</t>
  </si>
  <si>
    <t>2012-01-31</t>
  </si>
  <si>
    <t>7.8034</t>
  </si>
  <si>
    <t>2012-01-30</t>
  </si>
  <si>
    <t>7.8252</t>
  </si>
  <si>
    <t>2012-01-27</t>
  </si>
  <si>
    <t>7.8113</t>
  </si>
  <si>
    <t>2012-01-26</t>
  </si>
  <si>
    <t>7.8639</t>
  </si>
  <si>
    <t>2012-01-25</t>
  </si>
  <si>
    <t>7.9383</t>
  </si>
  <si>
    <t>2012-01-24</t>
  </si>
  <si>
    <t>7.9826</t>
  </si>
  <si>
    <t>2012-01-23</t>
  </si>
  <si>
    <t>7.9409</t>
  </si>
  <si>
    <t>2012-01-20</t>
  </si>
  <si>
    <t>7.9553</t>
  </si>
  <si>
    <t>2012-01-19</t>
  </si>
  <si>
    <t>7.9819</t>
  </si>
  <si>
    <t>2012-01-18</t>
  </si>
  <si>
    <t>8.0268</t>
  </si>
  <si>
    <t>2012-01-17</t>
  </si>
  <si>
    <t>8.0194</t>
  </si>
  <si>
    <t>2012-01-16</t>
  </si>
  <si>
    <t>8.1426</t>
  </si>
  <si>
    <t>2012-01-13</t>
  </si>
  <si>
    <t>8.0373</t>
  </si>
  <si>
    <t>2012-01-12</t>
  </si>
  <si>
    <t>8.0869</t>
  </si>
  <si>
    <t>2012-01-11</t>
  </si>
  <si>
    <t>8.0979</t>
  </si>
  <si>
    <t>2012-01-10</t>
  </si>
  <si>
    <t>8.1296</t>
  </si>
  <si>
    <t>2012-01-09</t>
  </si>
  <si>
    <t>8.1594</t>
  </si>
  <si>
    <t>2012-01-06</t>
  </si>
  <si>
    <t>8.1569</t>
  </si>
  <si>
    <t>2012-01-05</t>
  </si>
  <si>
    <t>8.1800</t>
  </si>
  <si>
    <t>2012-01-04</t>
  </si>
  <si>
    <t>8.0613</t>
  </si>
  <si>
    <t>2012-01-03</t>
  </si>
  <si>
    <t>8.0562</t>
  </si>
  <si>
    <t>2011-12-30</t>
  </si>
  <si>
    <t>8.1319</t>
  </si>
  <si>
    <t>2011-12-29</t>
  </si>
  <si>
    <t>8.1578</t>
  </si>
  <si>
    <t>2011-12-28</t>
  </si>
  <si>
    <t>8.1478</t>
  </si>
  <si>
    <t>2011-12-23</t>
  </si>
  <si>
    <t>8.1730</t>
  </si>
  <si>
    <t>2011-12-22</t>
  </si>
  <si>
    <t>8.1876</t>
  </si>
  <si>
    <t>2011-12-21</t>
  </si>
  <si>
    <t>8.1128</t>
  </si>
  <si>
    <t>2011-12-20</t>
  </si>
  <si>
    <t>8.3381</t>
  </si>
  <si>
    <t>2011-12-19</t>
  </si>
  <si>
    <t>8.3672</t>
  </si>
  <si>
    <t>2011-12-15</t>
  </si>
  <si>
    <t>8.3659</t>
  </si>
  <si>
    <t>2011-12-14</t>
  </si>
  <si>
    <t>8.3294</t>
  </si>
  <si>
    <t>2011-12-13</t>
  </si>
  <si>
    <t>8.2528</t>
  </si>
  <si>
    <t>2011-12-12</t>
  </si>
  <si>
    <t>8.1606</t>
  </si>
  <si>
    <t>2011-12-09</t>
  </si>
  <si>
    <t>8.2529</t>
  </si>
  <si>
    <t>2011-12-08</t>
  </si>
  <si>
    <t>8.0633</t>
  </si>
  <si>
    <t>2011-12-07</t>
  </si>
  <si>
    <t>7.9702</t>
  </si>
  <si>
    <t>2011-12-06</t>
  </si>
  <si>
    <t>8.0703</t>
  </si>
  <si>
    <t>2011-12-05</t>
  </si>
  <si>
    <t>8.0065</t>
  </si>
  <si>
    <t>2011-12-02</t>
  </si>
  <si>
    <t>8.0872</t>
  </si>
  <si>
    <t>2011-12-01</t>
  </si>
  <si>
    <t>8.1708</t>
  </si>
  <si>
    <t>2011-11-30</t>
  </si>
  <si>
    <t>8.4278</t>
  </si>
  <si>
    <t>2011-11-29</t>
  </si>
  <si>
    <t>8.3478</t>
  </si>
  <si>
    <t>2011-11-28</t>
  </si>
  <si>
    <t>8.3998</t>
  </si>
  <si>
    <t>2011-11-25</t>
  </si>
  <si>
    <t>8.5187</t>
  </si>
  <si>
    <t>2011-11-24</t>
  </si>
  <si>
    <t>8.5423</t>
  </si>
  <si>
    <t>2011-11-23</t>
  </si>
  <si>
    <t>8.4388</t>
  </si>
  <si>
    <t>2011-11-22</t>
  </si>
  <si>
    <t>8.2783</t>
  </si>
  <si>
    <t>2011-11-21</t>
  </si>
  <si>
    <t>8.2594</t>
  </si>
  <si>
    <t>2011-11-18</t>
  </si>
  <si>
    <t>8.2205</t>
  </si>
  <si>
    <t>2011-11-17</t>
  </si>
  <si>
    <t>8.1491</t>
  </si>
  <si>
    <t>2011-11-16</t>
  </si>
  <si>
    <t>8.1689</t>
  </si>
  <si>
    <t>2011-11-15</t>
  </si>
  <si>
    <t>8.0468</t>
  </si>
  <si>
    <t>2011-11-14</t>
  </si>
  <si>
    <t>7.9100</t>
  </si>
  <si>
    <t>2011-11-11</t>
  </si>
  <si>
    <t>7.9640</t>
  </si>
  <si>
    <t>2011-11-10</t>
  </si>
  <si>
    <t>8.0327</t>
  </si>
  <si>
    <t>2011-11-09</t>
  </si>
  <si>
    <t>7.9062</t>
  </si>
  <si>
    <t>2011-11-08</t>
  </si>
  <si>
    <t>7.9401</t>
  </si>
  <si>
    <t>2011-11-07</t>
  </si>
  <si>
    <t>7.9827</t>
  </si>
  <si>
    <t>2011-11-04</t>
  </si>
  <si>
    <t>7.8702</t>
  </si>
  <si>
    <t>2011-11-03</t>
  </si>
  <si>
    <t>8.0476</t>
  </si>
  <si>
    <t>2011-11-02</t>
  </si>
  <si>
    <t>8.0053</t>
  </si>
  <si>
    <t>2011-11-01</t>
  </si>
  <si>
    <t>8.0746</t>
  </si>
  <si>
    <t>2011-10-31</t>
  </si>
  <si>
    <t>7.8180</t>
  </si>
  <si>
    <t>2011-10-28</t>
  </si>
  <si>
    <t>7.6993</t>
  </si>
  <si>
    <t>2011-10-27</t>
  </si>
  <si>
    <t>7.8408</t>
  </si>
  <si>
    <t>2011-10-26</t>
  </si>
  <si>
    <t>7.9700</t>
  </si>
  <si>
    <t>2011-10-25</t>
  </si>
  <si>
    <t>7.9143</t>
  </si>
  <si>
    <t>2011-10-24</t>
  </si>
  <si>
    <t>8.0186</t>
  </si>
  <si>
    <t>2011-10-21</t>
  </si>
  <si>
    <t>8.1913</t>
  </si>
  <si>
    <t>2011-10-20</t>
  </si>
  <si>
    <t>8.0721</t>
  </si>
  <si>
    <t>2011-10-19</t>
  </si>
  <si>
    <t>7.9980</t>
  </si>
  <si>
    <t>2011-10-18</t>
  </si>
  <si>
    <t>8.0360</t>
  </si>
  <si>
    <t>2011-10-17</t>
  </si>
  <si>
    <t>7.8026</t>
  </si>
  <si>
    <t>2011-10-14</t>
  </si>
  <si>
    <t>7.8465</t>
  </si>
  <si>
    <t>2011-10-13</t>
  </si>
  <si>
    <t>7.8589</t>
  </si>
  <si>
    <t>2011-10-12</t>
  </si>
  <si>
    <t>7.8063</t>
  </si>
  <si>
    <t>2011-10-11</t>
  </si>
  <si>
    <t>7.9217</t>
  </si>
  <si>
    <t>2011-10-10</t>
  </si>
  <si>
    <t>7.8572</t>
  </si>
  <si>
    <t>2011-10-07</t>
  </si>
  <si>
    <t>7.9464</t>
  </si>
  <si>
    <t>2011-10-06</t>
  </si>
  <si>
    <t>2011-10-05</t>
  </si>
  <si>
    <t>8.1359</t>
  </si>
  <si>
    <t>2011-10-04</t>
  </si>
  <si>
    <t>8.2609</t>
  </si>
  <si>
    <t>2011-10-03</t>
  </si>
  <si>
    <t>8.0783</t>
  </si>
  <si>
    <t>2011-09-30</t>
  </si>
  <si>
    <t>2011-09-29</t>
  </si>
  <si>
    <t>7.8728</t>
  </si>
  <si>
    <t>2011-09-28</t>
  </si>
  <si>
    <t>7.8612</t>
  </si>
  <si>
    <t>2011-09-27</t>
  </si>
  <si>
    <t>7.9481</t>
  </si>
  <si>
    <t>2011-09-26</t>
  </si>
  <si>
    <t>8.1599</t>
  </si>
  <si>
    <t>2011-09-23</t>
  </si>
  <si>
    <t>8.2825</t>
  </si>
  <si>
    <t>2011-09-22</t>
  </si>
  <si>
    <t>8.1412</t>
  </si>
  <si>
    <t>2011-09-21</t>
  </si>
  <si>
    <t>7.7977</t>
  </si>
  <si>
    <t>2011-09-20</t>
  </si>
  <si>
    <t>7.6659</t>
  </si>
  <si>
    <t>2011-09-19</t>
  </si>
  <si>
    <t>7.5486</t>
  </si>
  <si>
    <t>2011-09-16</t>
  </si>
  <si>
    <t>7.4261</t>
  </si>
  <si>
    <t>2011-09-15</t>
  </si>
  <si>
    <t>7.4081</t>
  </si>
  <si>
    <t>2011-09-14</t>
  </si>
  <si>
    <t>7.3989</t>
  </si>
  <si>
    <t>2011-09-13</t>
  </si>
  <si>
    <t>7.4272</t>
  </si>
  <si>
    <t>2011-09-12</t>
  </si>
  <si>
    <t>7.3321</t>
  </si>
  <si>
    <t>2011-09-09</t>
  </si>
  <si>
    <t>7.2444</t>
  </si>
  <si>
    <t>2011-09-08</t>
  </si>
  <si>
    <t>7.1315</t>
  </si>
  <si>
    <t>2011-09-07</t>
  </si>
  <si>
    <t>7.0930</t>
  </si>
  <si>
    <t>2011-09-06</t>
  </si>
  <si>
    <t>7.0810</t>
  </si>
  <si>
    <t>2011-09-05</t>
  </si>
  <si>
    <t>7.0805</t>
  </si>
  <si>
    <t>2011-09-02</t>
  </si>
  <si>
    <t>7.0016</t>
  </si>
  <si>
    <t>2011-09-01</t>
  </si>
  <si>
    <t>7.0067</t>
  </si>
  <si>
    <t>2011-08-31</t>
  </si>
  <si>
    <t>7.0220</t>
  </si>
  <si>
    <t>2011-08-30</t>
  </si>
  <si>
    <t>7.0575</t>
  </si>
  <si>
    <t>2011-08-29</t>
  </si>
  <si>
    <t>7.0912</t>
  </si>
  <si>
    <t>2011-08-26</t>
  </si>
  <si>
    <t>7.2105</t>
  </si>
  <si>
    <t>2011-08-25</t>
  </si>
  <si>
    <t>7.2464</t>
  </si>
  <si>
    <t>2011-08-24</t>
  </si>
  <si>
    <t>7.2109</t>
  </si>
  <si>
    <t>2011-08-23</t>
  </si>
  <si>
    <t>7.1685</t>
  </si>
  <si>
    <t>2011-08-22</t>
  </si>
  <si>
    <t>7.1971</t>
  </si>
  <si>
    <t>2011-08-19</t>
  </si>
  <si>
    <t>7.2207</t>
  </si>
  <si>
    <t>2011-08-18</t>
  </si>
  <si>
    <t>7.1260</t>
  </si>
  <si>
    <t>2011-08-17</t>
  </si>
  <si>
    <t>7.1295</t>
  </si>
  <si>
    <t>2011-08-16</t>
  </si>
  <si>
    <t>7.1646</t>
  </si>
  <si>
    <t>2011-08-15</t>
  </si>
  <si>
    <t>7.1370</t>
  </si>
  <si>
    <t>2011-08-12</t>
  </si>
  <si>
    <t>7.2318</t>
  </si>
  <si>
    <t>2011-08-11</t>
  </si>
  <si>
    <t>7.1815</t>
  </si>
  <si>
    <t>2011-08-10</t>
  </si>
  <si>
    <t>7.1558</t>
  </si>
  <si>
    <t>2011-08-08</t>
  </si>
  <si>
    <t>6.9307</t>
  </si>
  <si>
    <t>2011-08-05</t>
  </si>
  <si>
    <t>6.9480</t>
  </si>
  <si>
    <t>2011-08-04</t>
  </si>
  <si>
    <t>6.7998</t>
  </si>
  <si>
    <t>2011-08-03</t>
  </si>
  <si>
    <t>6.7808</t>
  </si>
  <si>
    <t>2011-08-02</t>
  </si>
  <si>
    <t>6.7228</t>
  </si>
  <si>
    <t>2011-08-01</t>
  </si>
  <si>
    <t>6.6771</t>
  </si>
  <si>
    <t>2011-07-29</t>
  </si>
  <si>
    <t>6.7708</t>
  </si>
  <si>
    <t>2011-07-28</t>
  </si>
  <si>
    <t>6.6425</t>
  </si>
  <si>
    <t>2011-07-27</t>
  </si>
  <si>
    <t>6.6466</t>
  </si>
  <si>
    <t>2011-07-26</t>
  </si>
  <si>
    <t>6.7080</t>
  </si>
  <si>
    <t>2011-07-25</t>
  </si>
  <si>
    <t>6.8129</t>
  </si>
  <si>
    <t>2011-07-22</t>
  </si>
  <si>
    <t>6.7559</t>
  </si>
  <si>
    <t>2011-07-21</t>
  </si>
  <si>
    <t>6.8729</t>
  </si>
  <si>
    <t>2011-07-20</t>
  </si>
  <si>
    <t>6.9114</t>
  </si>
  <si>
    <t>2011-07-19</t>
  </si>
  <si>
    <t>6.9606</t>
  </si>
  <si>
    <t>2011-07-18</t>
  </si>
  <si>
    <t>6.9460</t>
  </si>
  <si>
    <t>2011-07-15</t>
  </si>
  <si>
    <t>6.9019</t>
  </si>
  <si>
    <t>2011-07-14</t>
  </si>
  <si>
    <t>6.8604</t>
  </si>
  <si>
    <t>2011-07-13</t>
  </si>
  <si>
    <t>6.8423</t>
  </si>
  <si>
    <t>2011-07-12</t>
  </si>
  <si>
    <t>6.8991</t>
  </si>
  <si>
    <t>2011-07-11</t>
  </si>
  <si>
    <t>6.7487</t>
  </si>
  <si>
    <t>2011-07-08</t>
  </si>
  <si>
    <t>6.6917</t>
  </si>
  <si>
    <t>2011-07-07</t>
  </si>
  <si>
    <t>6.7237</t>
  </si>
  <si>
    <t>2011-07-06</t>
  </si>
  <si>
    <t>6.7537</t>
  </si>
  <si>
    <t>2011-07-05</t>
  </si>
  <si>
    <t>6.7528</t>
  </si>
  <si>
    <t>2011-07-04</t>
  </si>
  <si>
    <t>6.7174</t>
  </si>
  <si>
    <t>2011-07-01</t>
  </si>
  <si>
    <t>6.7631</t>
  </si>
  <si>
    <t>2011-06-30</t>
  </si>
  <si>
    <t>6.7791</t>
  </si>
  <si>
    <t>2011-06-29</t>
  </si>
  <si>
    <t>6.8270</t>
  </si>
  <si>
    <t>2011-06-28</t>
  </si>
  <si>
    <t>6.8596</t>
  </si>
  <si>
    <t>2011-06-27</t>
  </si>
  <si>
    <t>6.9267</t>
  </si>
  <si>
    <t>2011-06-24</t>
  </si>
  <si>
    <t>6.8913</t>
  </si>
  <si>
    <t>2011-06-23</t>
  </si>
  <si>
    <t>6.8066</t>
  </si>
  <si>
    <t>2011-06-22</t>
  </si>
  <si>
    <t>6.7287</t>
  </si>
  <si>
    <t>2011-06-21</t>
  </si>
  <si>
    <t>6.7590</t>
  </si>
  <si>
    <t>2011-06-20</t>
  </si>
  <si>
    <t>6.8219</t>
  </si>
  <si>
    <t>2011-06-17</t>
  </si>
  <si>
    <t>6.8672</t>
  </si>
  <si>
    <t>2011-06-15</t>
  </si>
  <si>
    <t>6.7878</t>
  </si>
  <si>
    <t>2011-06-14</t>
  </si>
  <si>
    <t>6.7524</t>
  </si>
  <si>
    <t>2011-06-13</t>
  </si>
  <si>
    <t>6.7759</t>
  </si>
  <si>
    <t>2011-06-10</t>
  </si>
  <si>
    <t>6.7625</t>
  </si>
  <si>
    <t>2011-06-09</t>
  </si>
  <si>
    <t>6.7113</t>
  </si>
  <si>
    <t>2011-06-08</t>
  </si>
  <si>
    <t>6.7486</t>
  </si>
  <si>
    <t>2011-06-07</t>
  </si>
  <si>
    <t>6.7434</t>
  </si>
  <si>
    <t>2011-06-06</t>
  </si>
  <si>
    <t>6.7019</t>
  </si>
  <si>
    <t>2011-06-03</t>
  </si>
  <si>
    <t>6.7183</t>
  </si>
  <si>
    <t>2011-06-02</t>
  </si>
  <si>
    <t>6.7965</t>
  </si>
  <si>
    <t>2011-06-01</t>
  </si>
  <si>
    <t>6.7821</t>
  </si>
  <si>
    <t>2011-05-31</t>
  </si>
  <si>
    <t>6.8907</t>
  </si>
  <si>
    <t>2011-05-30</t>
  </si>
  <si>
    <t>6.9016</t>
  </si>
  <si>
    <t>2011-05-27</t>
  </si>
  <si>
    <t>6.9312</t>
  </si>
  <si>
    <t>2011-05-26</t>
  </si>
  <si>
    <t>6.9719</t>
  </si>
  <si>
    <t>2011-05-25</t>
  </si>
  <si>
    <t>7.0404</t>
  </si>
  <si>
    <t>2011-05-24</t>
  </si>
  <si>
    <t>7.0008</t>
  </si>
  <si>
    <t>2011-05-23</t>
  </si>
  <si>
    <t>2011-05-20</t>
  </si>
  <si>
    <t>6.8817</t>
  </si>
  <si>
    <t>2011-05-19</t>
  </si>
  <si>
    <t>6.9280</t>
  </si>
  <si>
    <t>2011-05-17</t>
  </si>
  <si>
    <t>6.9963</t>
  </si>
  <si>
    <t>2011-05-16</t>
  </si>
  <si>
    <t>7.0257</t>
  </si>
  <si>
    <t>2011-05-13</t>
  </si>
  <si>
    <t>6.8971</t>
  </si>
  <si>
    <t>2011-05-12</t>
  </si>
  <si>
    <t>6.9396</t>
  </si>
  <si>
    <t>2011-05-11</t>
  </si>
  <si>
    <t>6.7680</t>
  </si>
  <si>
    <t>2011-05-10</t>
  </si>
  <si>
    <t>6.7388</t>
  </si>
  <si>
    <t>2011-05-09</t>
  </si>
  <si>
    <t>6.6628</t>
  </si>
  <si>
    <t>2011-05-06</t>
  </si>
  <si>
    <t>6.7568</t>
  </si>
  <si>
    <t>2011-05-05</t>
  </si>
  <si>
    <t>6.6576</t>
  </si>
  <si>
    <t>2011-05-04</t>
  </si>
  <si>
    <t>6.6288</t>
  </si>
  <si>
    <t>2011-05-03</t>
  </si>
  <si>
    <t>6.6532</t>
  </si>
  <si>
    <t>2011-04-29</t>
  </si>
  <si>
    <t>6.6227</t>
  </si>
  <si>
    <t>2011-04-28</t>
  </si>
  <si>
    <t>6.5962</t>
  </si>
  <si>
    <t>2011-04-26</t>
  </si>
  <si>
    <t>6.7385</t>
  </si>
  <si>
    <t>2011-04-21</t>
  </si>
  <si>
    <t>6.7663</t>
  </si>
  <si>
    <t>2011-04-20</t>
  </si>
  <si>
    <t>6.7924</t>
  </si>
  <si>
    <t>2011-04-19</t>
  </si>
  <si>
    <t>6.8464</t>
  </si>
  <si>
    <t>2011-04-18</t>
  </si>
  <si>
    <t>6.8556</t>
  </si>
  <si>
    <t>2011-04-15</t>
  </si>
  <si>
    <t>6.8468</t>
  </si>
  <si>
    <t>2011-04-14</t>
  </si>
  <si>
    <t>6.7903</t>
  </si>
  <si>
    <t>2011-04-13</t>
  </si>
  <si>
    <t>6.7404</t>
  </si>
  <si>
    <t>2011-04-12</t>
  </si>
  <si>
    <t>6.6978</t>
  </si>
  <si>
    <t>2011-04-11</t>
  </si>
  <si>
    <t>6.6517</t>
  </si>
  <si>
    <t>2011-04-08</t>
  </si>
  <si>
    <t>6.6479</t>
  </si>
  <si>
    <t>2011-04-07</t>
  </si>
  <si>
    <t>6.6872</t>
  </si>
  <si>
    <t>2011-04-06</t>
  </si>
  <si>
    <t>6.6925</t>
  </si>
  <si>
    <t>2011-04-05</t>
  </si>
  <si>
    <t>6.7378</t>
  </si>
  <si>
    <t>2011-04-04</t>
  </si>
  <si>
    <t>6.7203</t>
  </si>
  <si>
    <t>2011-04-01</t>
  </si>
  <si>
    <t>6.7665</t>
  </si>
  <si>
    <t>2011-03-31</t>
  </si>
  <si>
    <t>6.7820</t>
  </si>
  <si>
    <t>2011-03-30</t>
  </si>
  <si>
    <t>6.8347</t>
  </si>
  <si>
    <t>2011-03-29</t>
  </si>
  <si>
    <t>6.8629</t>
  </si>
  <si>
    <t>2011-03-28</t>
  </si>
  <si>
    <t>6.8772</t>
  </si>
  <si>
    <t>2011-03-25</t>
  </si>
  <si>
    <t>6.8768</t>
  </si>
  <si>
    <t>2011-03-24</t>
  </si>
  <si>
    <t>6.9302</t>
  </si>
  <si>
    <t>2011-03-23</t>
  </si>
  <si>
    <t>6.9080</t>
  </si>
  <si>
    <t>2011-03-22</t>
  </si>
  <si>
    <t>6.9031</t>
  </si>
  <si>
    <t>2011-03-18</t>
  </si>
  <si>
    <t>7.0470</t>
  </si>
  <si>
    <t>2011-03-17</t>
  </si>
  <si>
    <t>7.0777</t>
  </si>
  <si>
    <t>2011-03-16</t>
  </si>
  <si>
    <t>6.9850</t>
  </si>
  <si>
    <t>2011-03-15</t>
  </si>
  <si>
    <t>6.8756</t>
  </si>
  <si>
    <t>2011-03-14</t>
  </si>
  <si>
    <t>6.8926</t>
  </si>
  <si>
    <t>2011-03-11</t>
  </si>
  <si>
    <t>6.9125</t>
  </si>
  <si>
    <t>2011-03-10</t>
  </si>
  <si>
    <t>6.8982</t>
  </si>
  <si>
    <t>2011-03-09</t>
  </si>
  <si>
    <t>2011-03-08</t>
  </si>
  <si>
    <t>6.8684</t>
  </si>
  <si>
    <t>2011-03-07</t>
  </si>
  <si>
    <t>6.8834</t>
  </si>
  <si>
    <t>2011-03-04</t>
  </si>
  <si>
    <t>6.8892</t>
  </si>
  <si>
    <t>2011-03-03</t>
  </si>
  <si>
    <t>6.8674</t>
  </si>
  <si>
    <t>2011-03-02</t>
  </si>
  <si>
    <t>6.9789</t>
  </si>
  <si>
    <t>2011-03-01</t>
  </si>
  <si>
    <t>6.9409</t>
  </si>
  <si>
    <t>2011-02-28</t>
  </si>
  <si>
    <t>6.9880</t>
  </si>
  <si>
    <t>2011-02-25</t>
  </si>
  <si>
    <t>7.0260</t>
  </si>
  <si>
    <t>2011-02-24</t>
  </si>
  <si>
    <t>7.1221</t>
  </si>
  <si>
    <t>2011-02-23</t>
  </si>
  <si>
    <t>7.1257</t>
  </si>
  <si>
    <t>2011-02-22</t>
  </si>
  <si>
    <t>2011-02-21</t>
  </si>
  <si>
    <t>7.1349</t>
  </si>
  <si>
    <t>2011-02-18</t>
  </si>
  <si>
    <t>7.1982</t>
  </si>
  <si>
    <t>2011-02-17</t>
  </si>
  <si>
    <t>7.2195</t>
  </si>
  <si>
    <t>2011-02-16</t>
  </si>
  <si>
    <t>7.3116</t>
  </si>
  <si>
    <t>2011-02-15</t>
  </si>
  <si>
    <t>7.2952</t>
  </si>
  <si>
    <t>2011-02-14</t>
  </si>
  <si>
    <t>7.2713</t>
  </si>
  <si>
    <t>2011-02-11</t>
  </si>
  <si>
    <t>7.2853</t>
  </si>
  <si>
    <t>2011-02-10</t>
  </si>
  <si>
    <t>7.2748</t>
  </si>
  <si>
    <t>2011-02-09</t>
  </si>
  <si>
    <t>7.2164</t>
  </si>
  <si>
    <t>2011-02-08</t>
  </si>
  <si>
    <t>7.2228</t>
  </si>
  <si>
    <t>2011-02-07</t>
  </si>
  <si>
    <t>7.2498</t>
  </si>
  <si>
    <t>2011-02-04</t>
  </si>
  <si>
    <t>7.2700</t>
  </si>
  <si>
    <t>2011-02-03</t>
  </si>
  <si>
    <t>7.1705</t>
  </si>
  <si>
    <t>2011-02-02</t>
  </si>
  <si>
    <t>7.1021</t>
  </si>
  <si>
    <t>2011-02-01</t>
  </si>
  <si>
    <t>7.1477</t>
  </si>
  <si>
    <t>2011-01-31</t>
  </si>
  <si>
    <t>7.1817</t>
  </si>
  <si>
    <t>2011-01-28</t>
  </si>
  <si>
    <t>7.1002</t>
  </si>
  <si>
    <t>2011-01-27</t>
  </si>
  <si>
    <t>7.0919</t>
  </si>
  <si>
    <t>2011-01-26</t>
  </si>
  <si>
    <t>7.0863</t>
  </si>
  <si>
    <t>2011-01-25</t>
  </si>
  <si>
    <t>7.0197</t>
  </si>
  <si>
    <t>2011-01-24</t>
  </si>
  <si>
    <t>7.0743</t>
  </si>
  <si>
    <t>2011-01-21</t>
  </si>
  <si>
    <t>7.0621</t>
  </si>
  <si>
    <t>2011-01-20</t>
  </si>
  <si>
    <t>7.0159</t>
  </si>
  <si>
    <t>2011-01-19</t>
  </si>
  <si>
    <t>6.8785</t>
  </si>
  <si>
    <t>2011-01-18</t>
  </si>
  <si>
    <t>6.8519</t>
  </si>
  <si>
    <t>2011-01-17</t>
  </si>
  <si>
    <t>6.9482</t>
  </si>
  <si>
    <t>2011-01-14</t>
  </si>
  <si>
    <t>6.8268</t>
  </si>
  <si>
    <t>2011-01-13</t>
  </si>
  <si>
    <t>6.8331</t>
  </si>
  <si>
    <t>2011-01-12</t>
  </si>
  <si>
    <t>6.8330</t>
  </si>
  <si>
    <t>2011-01-11</t>
  </si>
  <si>
    <t>6.8332</t>
  </si>
  <si>
    <t>2011-01-10</t>
  </si>
  <si>
    <t>6.8380</t>
  </si>
  <si>
    <t>2011-01-07</t>
  </si>
  <si>
    <t>6.8110</t>
  </si>
  <si>
    <t>2011-01-06</t>
  </si>
  <si>
    <t>6.7305</t>
  </si>
  <si>
    <t>2011-01-05</t>
  </si>
  <si>
    <t>6.7222</t>
  </si>
  <si>
    <t>2011-01-04</t>
  </si>
  <si>
    <t>6.6558</t>
  </si>
  <si>
    <t>2011-01-03</t>
  </si>
  <si>
    <t>6.6238</t>
  </si>
  <si>
    <t>2010-12-31</t>
  </si>
  <si>
    <t>6.6224</t>
  </si>
  <si>
    <t>2010-12-30</t>
  </si>
  <si>
    <t>2010-12-29</t>
  </si>
  <si>
    <t>6.6908</t>
  </si>
  <si>
    <t>2010-12-28</t>
  </si>
  <si>
    <t>6.7007</t>
  </si>
  <si>
    <t>2010-12-24</t>
  </si>
  <si>
    <t>6.7407</t>
  </si>
  <si>
    <t>2010-12-23</t>
  </si>
  <si>
    <t>2010-12-22</t>
  </si>
  <si>
    <t>6.8016</t>
  </si>
  <si>
    <t>2010-12-21</t>
  </si>
  <si>
    <t>6.8167</t>
  </si>
  <si>
    <t>2010-12-20</t>
  </si>
  <si>
    <t>6.8614</t>
  </si>
  <si>
    <t>2010-12-17</t>
  </si>
  <si>
    <t>6.8211</t>
  </si>
  <si>
    <t>2010-12-15</t>
  </si>
  <si>
    <t>6.8424</t>
  </si>
  <si>
    <t>2010-12-14</t>
  </si>
  <si>
    <t>6.8175</t>
  </si>
  <si>
    <t>2010-12-13</t>
  </si>
  <si>
    <t>6.8520</t>
  </si>
  <si>
    <t>2010-12-10</t>
  </si>
  <si>
    <t>6.8981</t>
  </si>
  <si>
    <t>2010-12-09</t>
  </si>
  <si>
    <t>6.9026</t>
  </si>
  <si>
    <t>2010-12-08</t>
  </si>
  <si>
    <t>6.9620</t>
  </si>
  <si>
    <t>2010-12-07</t>
  </si>
  <si>
    <t>6.8865</t>
  </si>
  <si>
    <t>2010-12-06</t>
  </si>
  <si>
    <t>6.8875</t>
  </si>
  <si>
    <t>2010-12-03</t>
  </si>
  <si>
    <t>6.9293</t>
  </si>
  <si>
    <t>2010-12-02</t>
  </si>
  <si>
    <t>6.9788</t>
  </si>
  <si>
    <t>2010-12-01</t>
  </si>
  <si>
    <t>7.0517</t>
  </si>
  <si>
    <t>2010-11-30</t>
  </si>
  <si>
    <t>7.1267</t>
  </si>
  <si>
    <t>2010-11-29</t>
  </si>
  <si>
    <t>7.1185</t>
  </si>
  <si>
    <t>2010-11-26</t>
  </si>
  <si>
    <t>7.0917</t>
  </si>
  <si>
    <t>2010-11-25</t>
  </si>
  <si>
    <t>7.0560</t>
  </si>
  <si>
    <t>2010-11-24</t>
  </si>
  <si>
    <t>7.0973</t>
  </si>
  <si>
    <t>2010-11-23</t>
  </si>
  <si>
    <t>7.0563</t>
  </si>
  <si>
    <t>2010-11-22</t>
  </si>
  <si>
    <t>6.9760</t>
  </si>
  <si>
    <t>2010-11-19</t>
  </si>
  <si>
    <t>6.9527</t>
  </si>
  <si>
    <t>2010-11-18</t>
  </si>
  <si>
    <t>6.9978</t>
  </si>
  <si>
    <t>2010-11-17</t>
  </si>
  <si>
    <t>7.0677</t>
  </si>
  <si>
    <t>2010-11-16</t>
  </si>
  <si>
    <t>6.9822</t>
  </si>
  <si>
    <t>2010-11-15</t>
  </si>
  <si>
    <t>7.0062</t>
  </si>
  <si>
    <t>2010-11-12</t>
  </si>
  <si>
    <t>7.0107</t>
  </si>
  <si>
    <t>2010-11-11</t>
  </si>
  <si>
    <t>6.8709</t>
  </si>
  <si>
    <t>2010-11-10</t>
  </si>
  <si>
    <t>6.8635</t>
  </si>
  <si>
    <t>2010-11-09</t>
  </si>
  <si>
    <t>6.8711</t>
  </si>
  <si>
    <t>2010-11-08</t>
  </si>
  <si>
    <t>6.8285</t>
  </si>
  <si>
    <t>2010-11-05</t>
  </si>
  <si>
    <t>6.8028</t>
  </si>
  <si>
    <t>2010-11-04</t>
  </si>
  <si>
    <t>6.8325</t>
  </si>
  <si>
    <t>2010-11-03</t>
  </si>
  <si>
    <t>6.8809</t>
  </si>
  <si>
    <t>2010-11-02</t>
  </si>
  <si>
    <t>6.9576</t>
  </si>
  <si>
    <t>2010-11-01</t>
  </si>
  <si>
    <t>6.9661</t>
  </si>
  <si>
    <t>2010-10-29</t>
  </si>
  <si>
    <t>7.0269</t>
  </si>
  <si>
    <t>2010-10-28</t>
  </si>
  <si>
    <t>2010-10-27</t>
  </si>
  <si>
    <t>7.0089</t>
  </si>
  <si>
    <t>2010-10-26</t>
  </si>
  <si>
    <t>6.9037</t>
  </si>
  <si>
    <t>2010-10-25</t>
  </si>
  <si>
    <t>6.8877</t>
  </si>
  <si>
    <t>2010-10-22</t>
  </si>
  <si>
    <t>6.9614</t>
  </si>
  <si>
    <t>2010-10-21</t>
  </si>
  <si>
    <t>6.9225</t>
  </si>
  <si>
    <t>2010-10-20</t>
  </si>
  <si>
    <t>6.9508</t>
  </si>
  <si>
    <t>2010-10-19</t>
  </si>
  <si>
    <t>6.9086</t>
  </si>
  <si>
    <t>2010-10-18</t>
  </si>
  <si>
    <t>6.8919</t>
  </si>
  <si>
    <t>2010-10-15</t>
  </si>
  <si>
    <t>6.8076</t>
  </si>
  <si>
    <t>2010-10-14</t>
  </si>
  <si>
    <t>6.7780</t>
  </si>
  <si>
    <t>2010-10-13</t>
  </si>
  <si>
    <t>6.8356</t>
  </si>
  <si>
    <t>2010-10-12</t>
  </si>
  <si>
    <t>6.9039</t>
  </si>
  <si>
    <t>2010-10-11</t>
  </si>
  <si>
    <t>6.8718</t>
  </si>
  <si>
    <t>2010-10-08</t>
  </si>
  <si>
    <t>6.9308</t>
  </si>
  <si>
    <t>2010-10-07</t>
  </si>
  <si>
    <t>6.8497</t>
  </si>
  <si>
    <t>2010-10-06</t>
  </si>
  <si>
    <t>6.8853</t>
  </si>
  <si>
    <t>2010-10-05</t>
  </si>
  <si>
    <t>6.9930</t>
  </si>
  <si>
    <t>2010-10-04</t>
  </si>
  <si>
    <t>6.9581</t>
  </si>
  <si>
    <t>2010-10-01</t>
  </si>
  <si>
    <t>6.9529</t>
  </si>
  <si>
    <t>2010-09-30</t>
  </si>
  <si>
    <t>6.9621</t>
  </si>
  <si>
    <t>2010-09-29</t>
  </si>
  <si>
    <t>6.9705</t>
  </si>
  <si>
    <t>2010-09-28</t>
  </si>
  <si>
    <t>7.0276</t>
  </si>
  <si>
    <t>2010-09-27</t>
  </si>
  <si>
    <t>7.0101</t>
  </si>
  <si>
    <t>2010-09-23</t>
  </si>
  <si>
    <t>7.0584</t>
  </si>
  <si>
    <t>2010-09-22</t>
  </si>
  <si>
    <t>7.0368</t>
  </si>
  <si>
    <t>2010-09-21</t>
  </si>
  <si>
    <t>7.1076</t>
  </si>
  <si>
    <t>2010-09-20</t>
  </si>
  <si>
    <t>7.1179</t>
  </si>
  <si>
    <t>2010-09-17</t>
  </si>
  <si>
    <t>7.1276</t>
  </si>
  <si>
    <t>2010-09-16</t>
  </si>
  <si>
    <t>7.1011</t>
  </si>
  <si>
    <t>2010-09-15</t>
  </si>
  <si>
    <t>7.0994</t>
  </si>
  <si>
    <t>2010-09-14</t>
  </si>
  <si>
    <t>7.1474</t>
  </si>
  <si>
    <t>2010-09-13</t>
  </si>
  <si>
    <t>7.1448</t>
  </si>
  <si>
    <t>2010-09-10</t>
  </si>
  <si>
    <t>7.1912</t>
  </si>
  <si>
    <t>2010-09-09</t>
  </si>
  <si>
    <t>7.2306</t>
  </si>
  <si>
    <t>2010-09-08</t>
  </si>
  <si>
    <t>7.2819</t>
  </si>
  <si>
    <t>2010-09-07</t>
  </si>
  <si>
    <t>7.2662</t>
  </si>
  <si>
    <t>2010-09-06</t>
  </si>
  <si>
    <t>7.1908</t>
  </si>
  <si>
    <t>2010-09-03</t>
  </si>
  <si>
    <t>7.2191</t>
  </si>
  <si>
    <t>2010-09-02</t>
  </si>
  <si>
    <t>7.2784</t>
  </si>
  <si>
    <t>2010-09-01</t>
  </si>
  <si>
    <t>7.3826</t>
  </si>
  <si>
    <t>2010-08-31</t>
  </si>
  <si>
    <t>7.3763</t>
  </si>
  <si>
    <t>2010-08-30</t>
  </si>
  <si>
    <t>7.3065</t>
  </si>
  <si>
    <t>2010-08-27</t>
  </si>
  <si>
    <t>7.3228</t>
  </si>
  <si>
    <t>2010-08-26</t>
  </si>
  <si>
    <t>7.3213</t>
  </si>
  <si>
    <t>2010-08-25</t>
  </si>
  <si>
    <t>7.3496</t>
  </si>
  <si>
    <t>2010-08-24</t>
  </si>
  <si>
    <t>7.4004</t>
  </si>
  <si>
    <t>2010-08-23</t>
  </si>
  <si>
    <t>7.2830</t>
  </si>
  <si>
    <t>2010-08-20</t>
  </si>
  <si>
    <t>7.3024</t>
  </si>
  <si>
    <t>2010-08-19</t>
  </si>
  <si>
    <t>7.2826</t>
  </si>
  <si>
    <t>2010-08-18</t>
  </si>
  <si>
    <t>7.2818</t>
  </si>
  <si>
    <t>2010-08-17</t>
  </si>
  <si>
    <t>7.2391</t>
  </si>
  <si>
    <t>2010-08-16</t>
  </si>
  <si>
    <t>7.3164</t>
  </si>
  <si>
    <t>2010-08-13</t>
  </si>
  <si>
    <t>7.2573</t>
  </si>
  <si>
    <t>2010-08-12</t>
  </si>
  <si>
    <t>7.3082</t>
  </si>
  <si>
    <t>2010-08-11</t>
  </si>
  <si>
    <t>7.2590</t>
  </si>
  <si>
    <t>2010-08-10</t>
  </si>
  <si>
    <t>7.2278</t>
  </si>
  <si>
    <t>2010-08-06</t>
  </si>
  <si>
    <t>7.2461</t>
  </si>
  <si>
    <t>2010-08-05</t>
  </si>
  <si>
    <t>7.2815</t>
  </si>
  <si>
    <t>2010-08-04</t>
  </si>
  <si>
    <t>7.3118</t>
  </si>
  <si>
    <t>2010-08-03</t>
  </si>
  <si>
    <t>7.3183</t>
  </si>
  <si>
    <t>2010-08-02</t>
  </si>
  <si>
    <t>7.2564</t>
  </si>
  <si>
    <t>2010-07-30</t>
  </si>
  <si>
    <t>7.3477</t>
  </si>
  <si>
    <t>2010-07-29</t>
  </si>
  <si>
    <t>7.2965</t>
  </si>
  <si>
    <t>2010-07-28</t>
  </si>
  <si>
    <t>7.3566</t>
  </si>
  <si>
    <t>2010-07-27</t>
  </si>
  <si>
    <t>7.3483</t>
  </si>
  <si>
    <t>2010-07-26</t>
  </si>
  <si>
    <t>7.3998</t>
  </si>
  <si>
    <t>2010-07-23</t>
  </si>
  <si>
    <t>7.4386</t>
  </si>
  <si>
    <t>2010-07-22</t>
  </si>
  <si>
    <t>7.5623</t>
  </si>
  <si>
    <t>2010-07-21</t>
  </si>
  <si>
    <t>7.5606</t>
  </si>
  <si>
    <t>2010-07-20</t>
  </si>
  <si>
    <t>7.6014</t>
  </si>
  <si>
    <t>2010-07-19</t>
  </si>
  <si>
    <t>7.6198</t>
  </si>
  <si>
    <t>2010-07-16</t>
  </si>
  <si>
    <t>7.5620</t>
  </si>
  <si>
    <t>2010-07-15</t>
  </si>
  <si>
    <t>7.5406</t>
  </si>
  <si>
    <t>2010-07-14</t>
  </si>
  <si>
    <t>7.5297</t>
  </si>
  <si>
    <t>2010-07-13</t>
  </si>
  <si>
    <t>7.6114</t>
  </si>
  <si>
    <t>2010-07-12</t>
  </si>
  <si>
    <t>7.6119</t>
  </si>
  <si>
    <t>2010-07-09</t>
  </si>
  <si>
    <t>7.5659</t>
  </si>
  <si>
    <t>2010-07-08</t>
  </si>
  <si>
    <t>7.5980</t>
  </si>
  <si>
    <t>2010-07-07</t>
  </si>
  <si>
    <t>7.6772</t>
  </si>
  <si>
    <t>2010-07-06</t>
  </si>
  <si>
    <t>7.7110</t>
  </si>
  <si>
    <t>2010-07-05</t>
  </si>
  <si>
    <t>7.7378</t>
  </si>
  <si>
    <t>2010-07-02</t>
  </si>
  <si>
    <t>7.7008</t>
  </si>
  <si>
    <t>2010-07-01</t>
  </si>
  <si>
    <t>7.6998</t>
  </si>
  <si>
    <t>2010-06-30</t>
  </si>
  <si>
    <t>7.6492</t>
  </si>
  <si>
    <t>2010-06-29</t>
  </si>
  <si>
    <t>7.6491</t>
  </si>
  <si>
    <t>2010-06-28</t>
  </si>
  <si>
    <t>7.5400</t>
  </si>
  <si>
    <t>2010-06-25</t>
  </si>
  <si>
    <t>7.6366</t>
  </si>
  <si>
    <t>2010-06-24</t>
  </si>
  <si>
    <t>7.5698</t>
  </si>
  <si>
    <t>2010-06-23</t>
  </si>
  <si>
    <t>7.5757</t>
  </si>
  <si>
    <t>2010-06-22</t>
  </si>
  <si>
    <t>7.5228</t>
  </si>
  <si>
    <t>2010-06-21</t>
  </si>
  <si>
    <t>7.4324</t>
  </si>
  <si>
    <t>2010-06-18</t>
  </si>
  <si>
    <t>7.5465</t>
  </si>
  <si>
    <t>2010-06-17</t>
  </si>
  <si>
    <t>7.6215</t>
  </si>
  <si>
    <t>2010-06-15</t>
  </si>
  <si>
    <t>7.6888</t>
  </si>
  <si>
    <t>2010-06-14</t>
  </si>
  <si>
    <t>7.6514</t>
  </si>
  <si>
    <t>2010-06-11</t>
  </si>
  <si>
    <t>7.7091</t>
  </si>
  <si>
    <t>2010-06-10</t>
  </si>
  <si>
    <t>7.7824</t>
  </si>
  <si>
    <t>2010-06-09</t>
  </si>
  <si>
    <t>7.7212</t>
  </si>
  <si>
    <t>2010-06-08</t>
  </si>
  <si>
    <t>7.7889</t>
  </si>
  <si>
    <t>2010-06-07</t>
  </si>
  <si>
    <t>7.8197</t>
  </si>
  <si>
    <t>2010-06-04</t>
  </si>
  <si>
    <t>7.6440</t>
  </si>
  <si>
    <t>2010-06-03</t>
  </si>
  <si>
    <t>7.6072</t>
  </si>
  <si>
    <t>2010-06-02</t>
  </si>
  <si>
    <t>7.7120</t>
  </si>
  <si>
    <t>2010-06-01</t>
  </si>
  <si>
    <t>7.7503</t>
  </si>
  <si>
    <t>2010-05-31</t>
  </si>
  <si>
    <t>7.6362</t>
  </si>
  <si>
    <t>2010-05-28</t>
  </si>
  <si>
    <t>7.5425</t>
  </si>
  <si>
    <t>2010-05-27</t>
  </si>
  <si>
    <t>7.6982</t>
  </si>
  <si>
    <t>2010-05-26</t>
  </si>
  <si>
    <t>7.8314</t>
  </si>
  <si>
    <t>2010-05-25</t>
  </si>
  <si>
    <t>7.9704</t>
  </si>
  <si>
    <t>2010-05-24</t>
  </si>
  <si>
    <t>7.8523</t>
  </si>
  <si>
    <t>2010-05-21</t>
  </si>
  <si>
    <t>7.9490</t>
  </si>
  <si>
    <t>2010-05-20</t>
  </si>
  <si>
    <t>2010-05-19</t>
  </si>
  <si>
    <t>7.6868</t>
  </si>
  <si>
    <t>2010-05-18</t>
  </si>
  <si>
    <t>7.5170</t>
  </si>
  <si>
    <t>2010-05-17</t>
  </si>
  <si>
    <t>7.5777</t>
  </si>
  <si>
    <t>2010-05-14</t>
  </si>
  <si>
    <t>7.5243</t>
  </si>
  <si>
    <t>2010-05-13</t>
  </si>
  <si>
    <t>7.4742</t>
  </si>
  <si>
    <t>2010-05-12</t>
  </si>
  <si>
    <t>7.5076</t>
  </si>
  <si>
    <t>2010-05-11</t>
  </si>
  <si>
    <t>7.5306</t>
  </si>
  <si>
    <t>2010-05-10</t>
  </si>
  <si>
    <t>7.4455</t>
  </si>
  <si>
    <t>2010-05-07</t>
  </si>
  <si>
    <t>7.7344</t>
  </si>
  <si>
    <t>2010-05-06</t>
  </si>
  <si>
    <t>7.6436</t>
  </si>
  <si>
    <t>2010-05-05</t>
  </si>
  <si>
    <t>7.5953</t>
  </si>
  <si>
    <t>2010-05-04</t>
  </si>
  <si>
    <t>7.4435</t>
  </si>
  <si>
    <t>2010-05-03</t>
  </si>
  <si>
    <t>7.3893</t>
  </si>
  <si>
    <t>2010-04-30</t>
  </si>
  <si>
    <t>7.3263</t>
  </si>
  <si>
    <t>2010-04-29</t>
  </si>
  <si>
    <t>7.3859</t>
  </si>
  <si>
    <t>2010-04-28</t>
  </si>
  <si>
    <t>7.4876</t>
  </si>
  <si>
    <t>2010-04-26</t>
  </si>
  <si>
    <t>7.3772</t>
  </si>
  <si>
    <t>2010-04-23</t>
  </si>
  <si>
    <t>7.4733</t>
  </si>
  <si>
    <t>2010-04-22</t>
  </si>
  <si>
    <t>7.4230</t>
  </si>
  <si>
    <t>2010-04-21</t>
  </si>
  <si>
    <t>7.3773</t>
  </si>
  <si>
    <t>2010-04-20</t>
  </si>
  <si>
    <t>7.4221</t>
  </si>
  <si>
    <t>2010-04-19</t>
  </si>
  <si>
    <t>7.4364</t>
  </si>
  <si>
    <t>2010-04-16</t>
  </si>
  <si>
    <t>2010-04-15</t>
  </si>
  <si>
    <t>7.3413</t>
  </si>
  <si>
    <t>2010-04-14</t>
  </si>
  <si>
    <t>7.2677</t>
  </si>
  <si>
    <t>2010-04-13</t>
  </si>
  <si>
    <t>7.2886</t>
  </si>
  <si>
    <t>2010-04-12</t>
  </si>
  <si>
    <t>7.2553</t>
  </si>
  <si>
    <t>2010-04-09</t>
  </si>
  <si>
    <t>7.2376</t>
  </si>
  <si>
    <t>2010-04-08</t>
  </si>
  <si>
    <t>7.3577</t>
  </si>
  <si>
    <t>2010-04-07</t>
  </si>
  <si>
    <t>7.2288</t>
  </si>
  <si>
    <t>2010-04-06</t>
  </si>
  <si>
    <t>7.2601</t>
  </si>
  <si>
    <t>2010-04-01</t>
  </si>
  <si>
    <t>7.2380</t>
  </si>
  <si>
    <t>2010-03-31</t>
  </si>
  <si>
    <t>7.3273</t>
  </si>
  <si>
    <t>2010-03-30</t>
  </si>
  <si>
    <t>7.3996</t>
  </si>
  <si>
    <t>2010-03-29</t>
  </si>
  <si>
    <t>7.3912</t>
  </si>
  <si>
    <t>2010-03-26</t>
  </si>
  <si>
    <t>7.4421</t>
  </si>
  <si>
    <t>2010-03-25</t>
  </si>
  <si>
    <t>7.3786</t>
  </si>
  <si>
    <t>2010-03-24</t>
  </si>
  <si>
    <t>7.3491</t>
  </si>
  <si>
    <t>2010-03-23</t>
  </si>
  <si>
    <t>7.3585</t>
  </si>
  <si>
    <t>2010-03-19</t>
  </si>
  <si>
    <t>7.3076</t>
  </si>
  <si>
    <t>2010-03-18</t>
  </si>
  <si>
    <t>7.3031</t>
  </si>
  <si>
    <t>2010-03-17</t>
  </si>
  <si>
    <t>7.3374</t>
  </si>
  <si>
    <t>2010-03-16</t>
  </si>
  <si>
    <t>7.4066</t>
  </si>
  <si>
    <t>2010-03-15</t>
  </si>
  <si>
    <t>2010-03-12</t>
  </si>
  <si>
    <t>7.4007</t>
  </si>
  <si>
    <t>2010-03-11</t>
  </si>
  <si>
    <t>7.4617</t>
  </si>
  <si>
    <t>2010-03-10</t>
  </si>
  <si>
    <t>7.4155</t>
  </si>
  <si>
    <t>2010-03-09</t>
  </si>
  <si>
    <t>7.4073</t>
  </si>
  <si>
    <t>2010-03-08</t>
  </si>
  <si>
    <t>7.3977</t>
  </si>
  <si>
    <t>2010-03-05</t>
  </si>
  <si>
    <t>7.4637</t>
  </si>
  <si>
    <t>2010-03-04</t>
  </si>
  <si>
    <t>7.5142</t>
  </si>
  <si>
    <t>2010-03-03</t>
  </si>
  <si>
    <t>7.5817</t>
  </si>
  <si>
    <t>2010-03-02</t>
  </si>
  <si>
    <t>7.6528</t>
  </si>
  <si>
    <t>2010-03-01</t>
  </si>
  <si>
    <t>7.6776</t>
  </si>
  <si>
    <t>2010-02-26</t>
  </si>
  <si>
    <t>7.7859</t>
  </si>
  <si>
    <t>2010-02-25</t>
  </si>
  <si>
    <t>7.7974</t>
  </si>
  <si>
    <t>2010-02-24</t>
  </si>
  <si>
    <t>7.7698</t>
  </si>
  <si>
    <t>2010-02-23</t>
  </si>
  <si>
    <t>7.6757</t>
  </si>
  <si>
    <t>2010-02-22</t>
  </si>
  <si>
    <t>7.6497</t>
  </si>
  <si>
    <t>2010-02-19</t>
  </si>
  <si>
    <t>7.6891</t>
  </si>
  <si>
    <t>2010-02-18</t>
  </si>
  <si>
    <t>7.6461</t>
  </si>
  <si>
    <t>2010-02-17</t>
  </si>
  <si>
    <t>7.6618</t>
  </si>
  <si>
    <t>2010-02-16</t>
  </si>
  <si>
    <t>7.6882</t>
  </si>
  <si>
    <t>2010-02-15</t>
  </si>
  <si>
    <t>7.7191</t>
  </si>
  <si>
    <t>2010-02-12</t>
  </si>
  <si>
    <t>7.6488</t>
  </si>
  <si>
    <t>2010-02-11</t>
  </si>
  <si>
    <t>7.6780</t>
  </si>
  <si>
    <t>2010-02-10</t>
  </si>
  <si>
    <t>7.6975</t>
  </si>
  <si>
    <t>2010-02-09</t>
  </si>
  <si>
    <t>7.6878</t>
  </si>
  <si>
    <t>2010-02-08</t>
  </si>
  <si>
    <t>7.7172</t>
  </si>
  <si>
    <t>2010-02-05</t>
  </si>
  <si>
    <t>7.7089</t>
  </si>
  <si>
    <t>2010-02-04</t>
  </si>
  <si>
    <t>7.5289</t>
  </si>
  <si>
    <t>2010-02-03</t>
  </si>
  <si>
    <t>7.4303</t>
  </si>
  <si>
    <t>2010-02-02</t>
  </si>
  <si>
    <t>7.4900</t>
  </si>
  <si>
    <t>2010-02-01</t>
  </si>
  <si>
    <t>7.5765</t>
  </si>
  <si>
    <t>2010-01-29</t>
  </si>
  <si>
    <t>7.5879</t>
  </si>
  <si>
    <t>2010-01-28</t>
  </si>
  <si>
    <t>7.5568</t>
  </si>
  <si>
    <t>2010-01-27</t>
  </si>
  <si>
    <t>7.6283</t>
  </si>
  <si>
    <t>2010-01-26</t>
  </si>
  <si>
    <t>7.6327</t>
  </si>
  <si>
    <t>2010-01-25</t>
  </si>
  <si>
    <t>7.6039</t>
  </si>
  <si>
    <t>2010-01-22</t>
  </si>
  <si>
    <t>2010-01-21</t>
  </si>
  <si>
    <t>7.5279</t>
  </si>
  <si>
    <t>2010-01-20</t>
  </si>
  <si>
    <t>7.4835</t>
  </si>
  <si>
    <t>2010-01-19</t>
  </si>
  <si>
    <t>7.3980</t>
  </si>
  <si>
    <t>2010-01-18</t>
  </si>
  <si>
    <t>7.3913</t>
  </si>
  <si>
    <t>2010-01-15</t>
  </si>
  <si>
    <t>7.4196</t>
  </si>
  <si>
    <t>2010-01-14</t>
  </si>
  <si>
    <t>7.3997</t>
  </si>
  <si>
    <t>2010-01-13</t>
  </si>
  <si>
    <t>7.4362</t>
  </si>
  <si>
    <t>2010-01-12</t>
  </si>
  <si>
    <t>7.3907</t>
  </si>
  <si>
    <t>2010-01-11</t>
  </si>
  <si>
    <t>7.3308</t>
  </si>
  <si>
    <t>2010-01-08</t>
  </si>
  <si>
    <t>7.4206</t>
  </si>
  <si>
    <t>2010-01-07</t>
  </si>
  <si>
    <t>7.3537</t>
  </si>
  <si>
    <t>2010-01-06</t>
  </si>
  <si>
    <t>7.3414</t>
  </si>
  <si>
    <t>2010-01-05</t>
  </si>
  <si>
    <t>7.2924</t>
  </si>
  <si>
    <t>2010-01-04</t>
  </si>
  <si>
    <t>7.3397</t>
  </si>
  <si>
    <t>2009-12-31</t>
  </si>
  <si>
    <t>7.3721</t>
  </si>
  <si>
    <t>2009-12-30</t>
  </si>
  <si>
    <t>7.3889</t>
  </si>
  <si>
    <t>2009-12-29</t>
  </si>
  <si>
    <t>7.4629</t>
  </si>
  <si>
    <t>2009-12-28</t>
  </si>
  <si>
    <t>7.5523</t>
  </si>
  <si>
    <t>2009-12-24</t>
  </si>
  <si>
    <t>7.5819</t>
  </si>
  <si>
    <t>2009-12-23</t>
  </si>
  <si>
    <t>7.7209</t>
  </si>
  <si>
    <t>2009-12-22</t>
  </si>
  <si>
    <t>7.7272</t>
  </si>
  <si>
    <t>2009-12-21</t>
  </si>
  <si>
    <t>7.6260</t>
  </si>
  <si>
    <t>2009-12-18</t>
  </si>
  <si>
    <t>7.5190</t>
  </si>
  <si>
    <t>2009-12-17</t>
  </si>
  <si>
    <t>7.4715</t>
  </si>
  <si>
    <t>2009-12-15</t>
  </si>
  <si>
    <t>7.4591</t>
  </si>
  <si>
    <t>2009-12-14</t>
  </si>
  <si>
    <t>7.4910</t>
  </si>
  <si>
    <t>2009-12-11</t>
  </si>
  <si>
    <t>7.5354</t>
  </si>
  <si>
    <t>2009-12-10</t>
  </si>
  <si>
    <t>7.5800</t>
  </si>
  <si>
    <t>2009-12-09</t>
  </si>
  <si>
    <t>7.5657</t>
  </si>
  <si>
    <t>2009-12-08</t>
  </si>
  <si>
    <t>7.4823</t>
  </si>
  <si>
    <t>2009-12-07</t>
  </si>
  <si>
    <t>2009-12-04</t>
  </si>
  <si>
    <t>7.3687</t>
  </si>
  <si>
    <t>2009-12-03</t>
  </si>
  <si>
    <t>7.2823</t>
  </si>
  <si>
    <t>2009-12-02</t>
  </si>
  <si>
    <t>7.2868</t>
  </si>
  <si>
    <t>2009-12-01</t>
  </si>
  <si>
    <t>7.3661</t>
  </si>
  <si>
    <t>2009-11-30</t>
  </si>
  <si>
    <t>7.4003</t>
  </si>
  <si>
    <t>2009-11-27</t>
  </si>
  <si>
    <t>7.5878</t>
  </si>
  <si>
    <t>2009-11-26</t>
  </si>
  <si>
    <t>7.3880</t>
  </si>
  <si>
    <t>2009-11-25</t>
  </si>
  <si>
    <t>7.3975</t>
  </si>
  <si>
    <t>2009-11-24</t>
  </si>
  <si>
    <t>7.5216</t>
  </si>
  <si>
    <t>2009-11-23</t>
  </si>
  <si>
    <t>7.5015</t>
  </si>
  <si>
    <t>2009-11-20</t>
  </si>
  <si>
    <t>7.5239</t>
  </si>
  <si>
    <t>2009-11-19</t>
  </si>
  <si>
    <t>7.5229</t>
  </si>
  <si>
    <t>2009-11-18</t>
  </si>
  <si>
    <t>7.4391</t>
  </si>
  <si>
    <t>2009-11-17</t>
  </si>
  <si>
    <t>7.4135</t>
  </si>
  <si>
    <t>2009-11-16</t>
  </si>
  <si>
    <t>7.3771</t>
  </si>
  <si>
    <t>2009-11-13</t>
  </si>
  <si>
    <t>7.4551</t>
  </si>
  <si>
    <t>2009-11-12</t>
  </si>
  <si>
    <t>7.3948</t>
  </si>
  <si>
    <t>2009-11-11</t>
  </si>
  <si>
    <t>7.3466</t>
  </si>
  <si>
    <t>2009-11-10</t>
  </si>
  <si>
    <t>7.4405</t>
  </si>
  <si>
    <t>2009-11-09</t>
  </si>
  <si>
    <t>7.4529</t>
  </si>
  <si>
    <t>2009-11-06</t>
  </si>
  <si>
    <t>7.5700</t>
  </si>
  <si>
    <t>2009-11-05</t>
  </si>
  <si>
    <t>7.6709</t>
  </si>
  <si>
    <t>2009-11-04</t>
  </si>
  <si>
    <t>7.7481</t>
  </si>
  <si>
    <t>2009-11-03</t>
  </si>
  <si>
    <t>7.9174</t>
  </si>
  <si>
    <t>2009-11-02</t>
  </si>
  <si>
    <t>7.8797</t>
  </si>
  <si>
    <t>2009-10-30</t>
  </si>
  <si>
    <t>7.7703</t>
  </si>
  <si>
    <t>2009-10-29</t>
  </si>
  <si>
    <t>7.8320</t>
  </si>
  <si>
    <t>2009-10-28</t>
  </si>
  <si>
    <t>7.7221</t>
  </si>
  <si>
    <t>2009-10-27</t>
  </si>
  <si>
    <t>7.5863</t>
  </si>
  <si>
    <t>2009-10-26</t>
  </si>
  <si>
    <t>7.4916</t>
  </si>
  <si>
    <t>2009-10-23</t>
  </si>
  <si>
    <t>7.4492</t>
  </si>
  <si>
    <t>2009-10-22</t>
  </si>
  <si>
    <t>7.5079</t>
  </si>
  <si>
    <t>2009-10-21</t>
  </si>
  <si>
    <t>7.3828</t>
  </si>
  <si>
    <t>2009-10-20</t>
  </si>
  <si>
    <t>7.3286</t>
  </si>
  <si>
    <t>2009-10-19</t>
  </si>
  <si>
    <t>7.3358</t>
  </si>
  <si>
    <t>2009-10-16</t>
  </si>
  <si>
    <t>7.3480</t>
  </si>
  <si>
    <t>2009-10-15</t>
  </si>
  <si>
    <t>7.2439</t>
  </si>
  <si>
    <t>2009-10-14</t>
  </si>
  <si>
    <t>7.2889</t>
  </si>
  <si>
    <t>2009-10-13</t>
  </si>
  <si>
    <t>7.3597</t>
  </si>
  <si>
    <t>2009-10-12</t>
  </si>
  <si>
    <t>2009-10-09</t>
  </si>
  <si>
    <t>7.4070</t>
  </si>
  <si>
    <t>2009-10-08</t>
  </si>
  <si>
    <t>7.3320</t>
  </si>
  <si>
    <t>2009-10-07</t>
  </si>
  <si>
    <t>7.4381</t>
  </si>
  <si>
    <t>2009-10-06</t>
  </si>
  <si>
    <t>7.4458</t>
  </si>
  <si>
    <t>2009-10-05</t>
  </si>
  <si>
    <t>7.6386</t>
  </si>
  <si>
    <t>2009-10-02</t>
  </si>
  <si>
    <t>7.7587</t>
  </si>
  <si>
    <t>2009-10-01</t>
  </si>
  <si>
    <t>7.6021</t>
  </si>
  <si>
    <t>2009-09-30</t>
  </si>
  <si>
    <t>7.4083</t>
  </si>
  <si>
    <t>2009-09-29</t>
  </si>
  <si>
    <t>7.3986</t>
  </si>
  <si>
    <t>2009-09-28</t>
  </si>
  <si>
    <t>7.4292</t>
  </si>
  <si>
    <t>2009-09-25</t>
  </si>
  <si>
    <t>7.4921</t>
  </si>
  <si>
    <t>2009-09-23</t>
  </si>
  <si>
    <t>7.3788</t>
  </si>
  <si>
    <t>2009-09-22</t>
  </si>
  <si>
    <t>7.4189</t>
  </si>
  <si>
    <t>2009-09-21</t>
  </si>
  <si>
    <t>7.5116</t>
  </si>
  <si>
    <t>2009-09-18</t>
  </si>
  <si>
    <t>7.4623</t>
  </si>
  <si>
    <t>2009-09-17</t>
  </si>
  <si>
    <t>7.3411</t>
  </si>
  <si>
    <t>2009-09-16</t>
  </si>
  <si>
    <t>7.3683</t>
  </si>
  <si>
    <t>2009-09-15</t>
  </si>
  <si>
    <t>2009-09-14</t>
  </si>
  <si>
    <t>7.5073</t>
  </si>
  <si>
    <t>2009-09-11</t>
  </si>
  <si>
    <t>7.6115</t>
  </si>
  <si>
    <t>2009-09-10</t>
  </si>
  <si>
    <t>2009-09-09</t>
  </si>
  <si>
    <t>7.5509</t>
  </si>
  <si>
    <t>2009-09-08</t>
  </si>
  <si>
    <t>7.5364</t>
  </si>
  <si>
    <t>2009-09-07</t>
  </si>
  <si>
    <t>7.5840</t>
  </si>
  <si>
    <t>2009-09-04</t>
  </si>
  <si>
    <t>7.6712</t>
  </si>
  <si>
    <t>2009-09-03</t>
  </si>
  <si>
    <t>7.7616</t>
  </si>
  <si>
    <t>2009-09-02</t>
  </si>
  <si>
    <t>7.8764</t>
  </si>
  <si>
    <t>2009-09-01</t>
  </si>
  <si>
    <t>7.7910</t>
  </si>
  <si>
    <t>2009-08-31</t>
  </si>
  <si>
    <t>7.7819</t>
  </si>
  <si>
    <t>2009-08-28</t>
  </si>
  <si>
    <t>7.7820</t>
  </si>
  <si>
    <t>2009-08-27</t>
  </si>
  <si>
    <t>7.8748</t>
  </si>
  <si>
    <t>2009-08-26</t>
  </si>
  <si>
    <t>2009-08-25</t>
  </si>
  <si>
    <t>7.8179</t>
  </si>
  <si>
    <t>2009-08-24</t>
  </si>
  <si>
    <t>7.7905</t>
  </si>
  <si>
    <t>2009-08-21</t>
  </si>
  <si>
    <t>7.8864</t>
  </si>
  <si>
    <t>2009-08-20</t>
  </si>
  <si>
    <t>7.9505</t>
  </si>
  <si>
    <t>2009-08-19</t>
  </si>
  <si>
    <t>8.0820</t>
  </si>
  <si>
    <t>2009-08-18</t>
  </si>
  <si>
    <t>8.0566</t>
  </si>
  <si>
    <t>2009-08-17</t>
  </si>
  <si>
    <t>8.1859</t>
  </si>
  <si>
    <t>2009-08-14</t>
  </si>
  <si>
    <t>8.0274</t>
  </si>
  <si>
    <t>2009-08-13</t>
  </si>
  <si>
    <t>8.0066</t>
  </si>
  <si>
    <t>2009-08-12</t>
  </si>
  <si>
    <t>8.1758</t>
  </si>
  <si>
    <t>2009-08-11</t>
  </si>
  <si>
    <t>8.0597</t>
  </si>
  <si>
    <t>2009-08-07</t>
  </si>
  <si>
    <t>8.1415</t>
  </si>
  <si>
    <t>2009-08-06</t>
  </si>
  <si>
    <t>7.9966</t>
  </si>
  <si>
    <t>2009-08-05</t>
  </si>
  <si>
    <t>7.9012</t>
  </si>
  <si>
    <t>2009-08-04</t>
  </si>
  <si>
    <t>2009-08-03</t>
  </si>
  <si>
    <t>7.7572</t>
  </si>
  <si>
    <t>2009-07-31</t>
  </si>
  <si>
    <t>7.8074</t>
  </si>
  <si>
    <t>2009-07-30</t>
  </si>
  <si>
    <t>7.8512</t>
  </si>
  <si>
    <t>2009-07-29</t>
  </si>
  <si>
    <t>7.9080</t>
  </si>
  <si>
    <t>2009-07-28</t>
  </si>
  <si>
    <t>2009-07-27</t>
  </si>
  <si>
    <t>7.7734</t>
  </si>
  <si>
    <t>2009-07-24</t>
  </si>
  <si>
    <t>7.7043</t>
  </si>
  <si>
    <t>2009-07-23</t>
  </si>
  <si>
    <t>7.6847</t>
  </si>
  <si>
    <t>2009-07-22</t>
  </si>
  <si>
    <t>7.8291</t>
  </si>
  <si>
    <t>2009-07-21</t>
  </si>
  <si>
    <t>7.8870</t>
  </si>
  <si>
    <t>2009-07-20</t>
  </si>
  <si>
    <t>2009-07-17</t>
  </si>
  <si>
    <t>8.0980</t>
  </si>
  <si>
    <t>2009-07-16</t>
  </si>
  <si>
    <t>8.1520</t>
  </si>
  <si>
    <t>2009-07-15</t>
  </si>
  <si>
    <t>8.2161</t>
  </si>
  <si>
    <t>2009-07-14</t>
  </si>
  <si>
    <t>8.1723</t>
  </si>
  <si>
    <t>2009-07-13</t>
  </si>
  <si>
    <t>8.3167</t>
  </si>
  <si>
    <t>2009-07-10</t>
  </si>
  <si>
    <t>8.1641</t>
  </si>
  <si>
    <t>2009-07-09</t>
  </si>
  <si>
    <t>8.1220</t>
  </si>
  <si>
    <t>2009-07-08</t>
  </si>
  <si>
    <t>8.1297</t>
  </si>
  <si>
    <t>2009-07-07</t>
  </si>
  <si>
    <t>8.0069</t>
  </si>
  <si>
    <t>2009-07-06</t>
  </si>
  <si>
    <t>8.0110</t>
  </si>
  <si>
    <t>2009-07-03</t>
  </si>
  <si>
    <t>7.9260</t>
  </si>
  <si>
    <t>2009-07-02</t>
  </si>
  <si>
    <t>7.8116</t>
  </si>
  <si>
    <t>2009-07-01</t>
  </si>
  <si>
    <t>7.7069</t>
  </si>
  <si>
    <t>2009-06-30</t>
  </si>
  <si>
    <t>7.7756</t>
  </si>
  <si>
    <t>2009-06-29</t>
  </si>
  <si>
    <t>7.9096</t>
  </si>
  <si>
    <t>2009-06-26</t>
  </si>
  <si>
    <t>7.9981</t>
  </si>
  <si>
    <t>2009-06-25</t>
  </si>
  <si>
    <t>8.0716</t>
  </si>
  <si>
    <t>2009-06-24</t>
  </si>
  <si>
    <t>8.1379</t>
  </si>
  <si>
    <t>2009-06-23</t>
  </si>
  <si>
    <t>8.2684</t>
  </si>
  <si>
    <t>2009-06-22</t>
  </si>
  <si>
    <t>8.0898</t>
  </si>
  <si>
    <t>2009-06-19</t>
  </si>
  <si>
    <t>8.1337</t>
  </si>
  <si>
    <t>2009-06-18</t>
  </si>
  <si>
    <t>8.0674</t>
  </si>
  <si>
    <t>2009-06-17</t>
  </si>
  <si>
    <t>8.0424</t>
  </si>
  <si>
    <t>2009-06-15</t>
  </si>
  <si>
    <t>8.0867</t>
  </si>
  <si>
    <t>2009-06-12</t>
  </si>
  <si>
    <t>7.9929</t>
  </si>
  <si>
    <t>2009-06-11</t>
  </si>
  <si>
    <t>2009-06-10</t>
  </si>
  <si>
    <t>8.0365</t>
  </si>
  <si>
    <t>2009-06-09</t>
  </si>
  <si>
    <t>8.1470</t>
  </si>
  <si>
    <t>2009-06-08</t>
  </si>
  <si>
    <t>2009-06-05</t>
  </si>
  <si>
    <t>8.0412</t>
  </si>
  <si>
    <t>2009-06-04</t>
  </si>
  <si>
    <t>8.0303</t>
  </si>
  <si>
    <t>2009-06-03</t>
  </si>
  <si>
    <t>8.0181</t>
  </si>
  <si>
    <t>2009-06-02</t>
  </si>
  <si>
    <t>8.0914</t>
  </si>
  <si>
    <t>2009-06-01</t>
  </si>
  <si>
    <t>7.9721</t>
  </si>
  <si>
    <t>2009-05-29</t>
  </si>
  <si>
    <t>7.9795</t>
  </si>
  <si>
    <t>2009-05-28</t>
  </si>
  <si>
    <t>8.1463</t>
  </si>
  <si>
    <t>2009-05-27</t>
  </si>
  <si>
    <t>8.2699</t>
  </si>
  <si>
    <t>2009-05-26</t>
  </si>
  <si>
    <t>8.3319</t>
  </si>
  <si>
    <t>2009-05-25</t>
  </si>
  <si>
    <t>8.3234</t>
  </si>
  <si>
    <t>2009-05-22</t>
  </si>
  <si>
    <t>8.3173</t>
  </si>
  <si>
    <t>2009-05-21</t>
  </si>
  <si>
    <t>8.3498</t>
  </si>
  <si>
    <t>2009-05-20</t>
  </si>
  <si>
    <t>8.4105</t>
  </si>
  <si>
    <t>2009-05-19</t>
  </si>
  <si>
    <t>8.4676</t>
  </si>
  <si>
    <t>2009-05-18</t>
  </si>
  <si>
    <t>2009-05-15</t>
  </si>
  <si>
    <t>8.5493</t>
  </si>
  <si>
    <t>2009-05-14</t>
  </si>
  <si>
    <t>8.5443</t>
  </si>
  <si>
    <t>2009-05-13</t>
  </si>
  <si>
    <t>8.3711</t>
  </si>
  <si>
    <t>2009-05-12</t>
  </si>
  <si>
    <t>8.4591</t>
  </si>
  <si>
    <t>2009-05-11</t>
  </si>
  <si>
    <t>8.2949</t>
  </si>
  <si>
    <t>2009-05-08</t>
  </si>
  <si>
    <t>8.4474</t>
  </si>
  <si>
    <t>2009-05-07</t>
  </si>
  <si>
    <t>8.3476</t>
  </si>
  <si>
    <t>2009-05-06</t>
  </si>
  <si>
    <t>8.4971</t>
  </si>
  <si>
    <t>2009-05-05</t>
  </si>
  <si>
    <t>8.3035</t>
  </si>
  <si>
    <t>2009-05-04</t>
  </si>
  <si>
    <t>8.3929</t>
  </si>
  <si>
    <t>2009-04-30</t>
  </si>
  <si>
    <t>8.4291</t>
  </si>
  <si>
    <t>2009-04-29</t>
  </si>
  <si>
    <t>8.6305</t>
  </si>
  <si>
    <t>2009-04-28</t>
  </si>
  <si>
    <t>8.8489</t>
  </si>
  <si>
    <t>2009-04-24</t>
  </si>
  <si>
    <t>8.8234</t>
  </si>
  <si>
    <t>2009-04-23</t>
  </si>
  <si>
    <t>8.9091</t>
  </si>
  <si>
    <t>2009-04-21</t>
  </si>
  <si>
    <t>9.0896</t>
  </si>
  <si>
    <t>2009-04-20</t>
  </si>
  <si>
    <t>9.0417</t>
  </si>
  <si>
    <t>2009-04-17</t>
  </si>
  <si>
    <t>8.9202</t>
  </si>
  <si>
    <t>2009-04-16</t>
  </si>
  <si>
    <t>9.0585</t>
  </si>
  <si>
    <t>2009-04-15</t>
  </si>
  <si>
    <t>9.1615</t>
  </si>
  <si>
    <t>2009-04-14</t>
  </si>
  <si>
    <t>9.0005</t>
  </si>
  <si>
    <t>2009-04-09</t>
  </si>
  <si>
    <t>9.1395</t>
  </si>
  <si>
    <t>2009-04-08</t>
  </si>
  <si>
    <t>9.2523</t>
  </si>
  <si>
    <t>2009-04-07</t>
  </si>
  <si>
    <t>9.1435</t>
  </si>
  <si>
    <t>2009-04-06</t>
  </si>
  <si>
    <t>9.0160</t>
  </si>
  <si>
    <t>2009-04-03</t>
  </si>
  <si>
    <t>9.0943</t>
  </si>
  <si>
    <t>2009-04-02</t>
  </si>
  <si>
    <t>9.3611</t>
  </si>
  <si>
    <t>2009-04-01</t>
  </si>
  <si>
    <t>9.5260</t>
  </si>
  <si>
    <t>2009-03-31</t>
  </si>
  <si>
    <t>9.6266</t>
  </si>
  <si>
    <t>2009-03-30</t>
  </si>
  <si>
    <t>9.7111</t>
  </si>
  <si>
    <t>2009-03-27</t>
  </si>
  <si>
    <t>9.4816</t>
  </si>
  <si>
    <t>2009-03-26</t>
  </si>
  <si>
    <t>9.5484</t>
  </si>
  <si>
    <t>2009-03-25</t>
  </si>
  <si>
    <t>2009-03-24</t>
  </si>
  <si>
    <t>9.5436</t>
  </si>
  <si>
    <t>2009-03-23</t>
  </si>
  <si>
    <t>9.5635</t>
  </si>
  <si>
    <t>2009-03-20</t>
  </si>
  <si>
    <t>9.7388</t>
  </si>
  <si>
    <t>2009-03-19</t>
  </si>
  <si>
    <t>9.7631</t>
  </si>
  <si>
    <t>2009-03-18</t>
  </si>
  <si>
    <t>2009-03-17</t>
  </si>
  <si>
    <t>9.9629</t>
  </si>
  <si>
    <t>2009-03-16</t>
  </si>
  <si>
    <t>9.9155</t>
  </si>
  <si>
    <t>2009-03-13</t>
  </si>
  <si>
    <t>9.9109</t>
  </si>
  <si>
    <t>2009-03-12</t>
  </si>
  <si>
    <t>10.1863</t>
  </si>
  <si>
    <t>2009-03-11</t>
  </si>
  <si>
    <t>10.3161</t>
  </si>
  <si>
    <t>2009-03-10</t>
  </si>
  <si>
    <t>10.4767</t>
  </si>
  <si>
    <t>2009-03-09</t>
  </si>
  <si>
    <t>10.4947</t>
  </si>
  <si>
    <t>2009-03-06</t>
  </si>
  <si>
    <t>10.5948</t>
  </si>
  <si>
    <t>2009-03-05</t>
  </si>
  <si>
    <t>2009-03-04</t>
  </si>
  <si>
    <t>10.4685</t>
  </si>
  <si>
    <t>2009-03-03</t>
  </si>
  <si>
    <t>10.3676</t>
  </si>
  <si>
    <t>2009-03-02</t>
  </si>
  <si>
    <t>10.3636</t>
  </si>
  <si>
    <t>2009-02-27</t>
  </si>
  <si>
    <t>9.9498</t>
  </si>
  <si>
    <t>2009-02-26</t>
  </si>
  <si>
    <t>9.9558</t>
  </si>
  <si>
    <t>2009-02-25</t>
  </si>
  <si>
    <t>9.9459</t>
  </si>
  <si>
    <t>2009-02-24</t>
  </si>
  <si>
    <t>10.0718</t>
  </si>
  <si>
    <t>2009-02-23</t>
  </si>
  <si>
    <t>9.9854</t>
  </si>
  <si>
    <t>2009-02-20</t>
  </si>
  <si>
    <t>10.2224</t>
  </si>
  <si>
    <t>2009-02-19</t>
  </si>
  <si>
    <t>10.0709</t>
  </si>
  <si>
    <t>2009-02-18</t>
  </si>
  <si>
    <t>10.1746</t>
  </si>
  <si>
    <t>2009-02-17</t>
  </si>
  <si>
    <t>10.2298</t>
  </si>
  <si>
    <t>2009-02-16</t>
  </si>
  <si>
    <t>10.0648</t>
  </si>
  <si>
    <t>2009-02-13</t>
  </si>
  <si>
    <t>9.9352</t>
  </si>
  <si>
    <t>2009-02-12</t>
  </si>
  <si>
    <t>9.9357</t>
  </si>
  <si>
    <t>2009-02-11</t>
  </si>
  <si>
    <t>9.8709</t>
  </si>
  <si>
    <t>2009-02-10</t>
  </si>
  <si>
    <t>9.6721</t>
  </si>
  <si>
    <t>2009-02-09</t>
  </si>
  <si>
    <t>9.7300</t>
  </si>
  <si>
    <t>2009-02-06</t>
  </si>
  <si>
    <t>9.8822</t>
  </si>
  <si>
    <t>2009-02-05</t>
  </si>
  <si>
    <t>10.0405</t>
  </si>
  <si>
    <t>2009-02-04</t>
  </si>
  <si>
    <t>10.1008</t>
  </si>
  <si>
    <t>2009-02-03</t>
  </si>
  <si>
    <t>10.1417</t>
  </si>
  <si>
    <t>2009-02-02</t>
  </si>
  <si>
    <t>10.1880</t>
  </si>
  <si>
    <t>2009-01-30</t>
  </si>
  <si>
    <t>10.1333</t>
  </si>
  <si>
    <t>2009-01-29</t>
  </si>
  <si>
    <t>9.9684</t>
  </si>
  <si>
    <t>2009-01-28</t>
  </si>
  <si>
    <t>9.9485</t>
  </si>
  <si>
    <t>2009-01-27</t>
  </si>
  <si>
    <t>9.9905</t>
  </si>
  <si>
    <t>2009-01-26</t>
  </si>
  <si>
    <t>10.2284</t>
  </si>
  <si>
    <t>2009-01-23</t>
  </si>
  <si>
    <t>10.2549</t>
  </si>
  <si>
    <t>2009-01-22</t>
  </si>
  <si>
    <t>10.0266</t>
  </si>
  <si>
    <t>2009-01-21</t>
  </si>
  <si>
    <t>10.2088</t>
  </si>
  <si>
    <t>2009-01-20</t>
  </si>
  <si>
    <t>10.2219</t>
  </si>
  <si>
    <t>2009-01-19</t>
  </si>
  <si>
    <t>9.9753</t>
  </si>
  <si>
    <t>2009-01-16</t>
  </si>
  <si>
    <t>9.9291</t>
  </si>
  <si>
    <t>2009-01-15</t>
  </si>
  <si>
    <t>10.1813</t>
  </si>
  <si>
    <t>2009-01-14</t>
  </si>
  <si>
    <t>9.8713</t>
  </si>
  <si>
    <t>2009-01-13</t>
  </si>
  <si>
    <t>10.1414</t>
  </si>
  <si>
    <t>2009-01-12</t>
  </si>
  <si>
    <t>9.9077</t>
  </si>
  <si>
    <t>2009-01-09</t>
  </si>
  <si>
    <t>9.6866</t>
  </si>
  <si>
    <t>2009-01-08</t>
  </si>
  <si>
    <t>9.7231</t>
  </si>
  <si>
    <t>2009-01-07</t>
  </si>
  <si>
    <t>9.3163</t>
  </si>
  <si>
    <t>2009-01-06</t>
  </si>
  <si>
    <t>9.3825</t>
  </si>
  <si>
    <t>2009-01-05</t>
  </si>
  <si>
    <t>9.4616</t>
  </si>
  <si>
    <t>2009-01-02</t>
  </si>
  <si>
    <t>9.4580</t>
  </si>
  <si>
    <t>2008-12-31</t>
  </si>
  <si>
    <t>9.3035</t>
  </si>
  <si>
    <t>2008-12-30</t>
  </si>
  <si>
    <t>9.4434</t>
  </si>
  <si>
    <t>2008-12-29</t>
  </si>
  <si>
    <t>9.5970</t>
  </si>
  <si>
    <t>2008-12-24</t>
  </si>
  <si>
    <t>9.6584</t>
  </si>
  <si>
    <t>2008-12-23</t>
  </si>
  <si>
    <t>9.6891</t>
  </si>
  <si>
    <t>2008-12-22</t>
  </si>
  <si>
    <t>9.6458</t>
  </si>
  <si>
    <t>2008-12-19</t>
  </si>
  <si>
    <t>9.6665</t>
  </si>
  <si>
    <t>2008-12-18</t>
  </si>
  <si>
    <t>9.8015</t>
  </si>
  <si>
    <t>2008-12-17</t>
  </si>
  <si>
    <t>9.9756</t>
  </si>
  <si>
    <t>2008-12-15</t>
  </si>
  <si>
    <t>10.1511</t>
  </si>
  <si>
    <t>2008-12-12</t>
  </si>
  <si>
    <t>10.1730</t>
  </si>
  <si>
    <t>2008-12-11</t>
  </si>
  <si>
    <t>10.1430</t>
  </si>
  <si>
    <t>2008-12-10</t>
  </si>
  <si>
    <t>10.1346</t>
  </si>
  <si>
    <t>2008-12-09</t>
  </si>
  <si>
    <t>10.2067</t>
  </si>
  <si>
    <t>2008-12-08</t>
  </si>
  <si>
    <t>10.1885</t>
  </si>
  <si>
    <t>2008-12-05</t>
  </si>
  <si>
    <t>10.2449</t>
  </si>
  <si>
    <t>2008-12-04</t>
  </si>
  <si>
    <t>10.2098</t>
  </si>
  <si>
    <t>2008-12-03</t>
  </si>
  <si>
    <t>10.3229</t>
  </si>
  <si>
    <t>2008-12-02</t>
  </si>
  <si>
    <t>10.4178</t>
  </si>
  <si>
    <t>2008-12-01</t>
  </si>
  <si>
    <t>10.1416</t>
  </si>
  <si>
    <t>2008-11-28</t>
  </si>
  <si>
    <t>9.9080</t>
  </si>
  <si>
    <t>2008-11-27</t>
  </si>
  <si>
    <t>9.9009</t>
  </si>
  <si>
    <t>2008-11-26</t>
  </si>
  <si>
    <t>9.9201</t>
  </si>
  <si>
    <t>2008-11-25</t>
  </si>
  <si>
    <t>10.0491</t>
  </si>
  <si>
    <t>2008-11-24</t>
  </si>
  <si>
    <t>10.4903</t>
  </si>
  <si>
    <t>2008-11-21</t>
  </si>
  <si>
    <t>10.5924</t>
  </si>
  <si>
    <t>2008-11-20</t>
  </si>
  <si>
    <t>10.5991</t>
  </si>
  <si>
    <t>2008-11-19</t>
  </si>
  <si>
    <t>10.2498</t>
  </si>
  <si>
    <t>2008-11-18</t>
  </si>
  <si>
    <t>10.1862</t>
  </si>
  <si>
    <t>2008-11-17</t>
  </si>
  <si>
    <t>10.1322</t>
  </si>
  <si>
    <t>2008-11-14</t>
  </si>
  <si>
    <t>10.2818</t>
  </si>
  <si>
    <t>2008-11-13</t>
  </si>
  <si>
    <t>10.4116</t>
  </si>
  <si>
    <t>2008-11-12</t>
  </si>
  <si>
    <t>10.2797</t>
  </si>
  <si>
    <t>2008-11-11</t>
  </si>
  <si>
    <t>10.1693</t>
  </si>
  <si>
    <t>2008-11-10</t>
  </si>
  <si>
    <t>9.9890</t>
  </si>
  <si>
    <t>2008-11-07</t>
  </si>
  <si>
    <t>2008-11-06</t>
  </si>
  <si>
    <t>9.7537</t>
  </si>
  <si>
    <t>2008-11-05</t>
  </si>
  <si>
    <t>9.7716</t>
  </si>
  <si>
    <t>2008-11-04</t>
  </si>
  <si>
    <t>10.0154</t>
  </si>
  <si>
    <t>2008-11-03</t>
  </si>
  <si>
    <t>9.7534</t>
  </si>
  <si>
    <t>2008-10-31</t>
  </si>
  <si>
    <t>10.1919</t>
  </si>
  <si>
    <t>2008-10-30</t>
  </si>
  <si>
    <t>9.5778</t>
  </si>
  <si>
    <t>2008-10-29</t>
  </si>
  <si>
    <t>10.3137</t>
  </si>
  <si>
    <t>2008-10-28</t>
  </si>
  <si>
    <t>10.7140</t>
  </si>
  <si>
    <t>2008-10-27</t>
  </si>
  <si>
    <t>11.3088</t>
  </si>
  <si>
    <t>2008-10-24</t>
  </si>
  <si>
    <t>11.4740</t>
  </si>
  <si>
    <t>2008-10-23</t>
  </si>
  <si>
    <t>11.4324</t>
  </si>
  <si>
    <t>2008-10-22</t>
  </si>
  <si>
    <t>10.9255</t>
  </si>
  <si>
    <t>2008-10-21</t>
  </si>
  <si>
    <t>10.2727</t>
  </si>
  <si>
    <t>2008-10-20</t>
  </si>
  <si>
    <t>10.0127</t>
  </si>
  <si>
    <t>2008-10-17</t>
  </si>
  <si>
    <t>10.1609</t>
  </si>
  <si>
    <t>2008-10-16</t>
  </si>
  <si>
    <t>10.2475</t>
  </si>
  <si>
    <t>2008-10-15</t>
  </si>
  <si>
    <t>9.2213</t>
  </si>
  <si>
    <t>2008-10-14</t>
  </si>
  <si>
    <t>9.0639</t>
  </si>
  <si>
    <t>2008-10-13</t>
  </si>
  <si>
    <t>9.1667</t>
  </si>
  <si>
    <t>2008-10-10</t>
  </si>
  <si>
    <t>9.3626</t>
  </si>
  <si>
    <t>2008-10-09</t>
  </si>
  <si>
    <t>9.0357</t>
  </si>
  <si>
    <t>2008-10-08</t>
  </si>
  <si>
    <t>9.3658</t>
  </si>
  <si>
    <t>2008-10-07</t>
  </si>
  <si>
    <t>8.9282</t>
  </si>
  <si>
    <t>2008-10-06</t>
  </si>
  <si>
    <t>8.6692</t>
  </si>
  <si>
    <t>2008-10-03</t>
  </si>
  <si>
    <t>2008-10-02</t>
  </si>
  <si>
    <t>8.3749</t>
  </si>
  <si>
    <t>2008-10-01</t>
  </si>
  <si>
    <t>8.2485</t>
  </si>
  <si>
    <t>2008-09-30</t>
  </si>
  <si>
    <t>8.3145</t>
  </si>
  <si>
    <t>2008-09-29</t>
  </si>
  <si>
    <t>8.2610</t>
  </si>
  <si>
    <t>2008-09-26</t>
  </si>
  <si>
    <t>8.1604</t>
  </si>
  <si>
    <t>2008-09-25</t>
  </si>
  <si>
    <t>8.1766</t>
  </si>
  <si>
    <t>2008-09-23</t>
  </si>
  <si>
    <t>7.9833</t>
  </si>
  <si>
    <t>2008-09-22</t>
  </si>
  <si>
    <t>8.0292</t>
  </si>
  <si>
    <t>2008-09-19</t>
  </si>
  <si>
    <t>8.0774</t>
  </si>
  <si>
    <t>2008-09-18</t>
  </si>
  <si>
    <t>8.1858</t>
  </si>
  <si>
    <t>2008-09-17</t>
  </si>
  <si>
    <t>8.1138</t>
  </si>
  <si>
    <t>2008-09-16</t>
  </si>
  <si>
    <t>8.2026</t>
  </si>
  <si>
    <t>2008-09-15</t>
  </si>
  <si>
    <t>8.1168</t>
  </si>
  <si>
    <t>2008-09-12</t>
  </si>
  <si>
    <t>8.0795</t>
  </si>
  <si>
    <t>2008-09-11</t>
  </si>
  <si>
    <t>8.2613</t>
  </si>
  <si>
    <t>2008-09-10</t>
  </si>
  <si>
    <t>8.0317</t>
  </si>
  <si>
    <t>2008-09-09</t>
  </si>
  <si>
    <t>7.9297</t>
  </si>
  <si>
    <t>2008-09-08</t>
  </si>
  <si>
    <t>7.8338</t>
  </si>
  <si>
    <t>2008-09-05</t>
  </si>
  <si>
    <t>8.0549</t>
  </si>
  <si>
    <t>2008-09-04</t>
  </si>
  <si>
    <t>7.8564</t>
  </si>
  <si>
    <t>2008-09-03</t>
  </si>
  <si>
    <t>7.8603</t>
  </si>
  <si>
    <t>2008-09-02</t>
  </si>
  <si>
    <t>7.8021</t>
  </si>
  <si>
    <t>2008-09-01</t>
  </si>
  <si>
    <t>2008-08-29</t>
  </si>
  <si>
    <t>7.6696</t>
  </si>
  <si>
    <t>2008-08-28</t>
  </si>
  <si>
    <t>7.7200</t>
  </si>
  <si>
    <t>2008-08-27</t>
  </si>
  <si>
    <t>7.7799</t>
  </si>
  <si>
    <t>2008-08-26</t>
  </si>
  <si>
    <t>7.7929</t>
  </si>
  <si>
    <t>2008-08-25</t>
  </si>
  <si>
    <t>7.7331</t>
  </si>
  <si>
    <t>2008-08-22</t>
  </si>
  <si>
    <t>7.6566</t>
  </si>
  <si>
    <t>2008-08-21</t>
  </si>
  <si>
    <t>7.7146</t>
  </si>
  <si>
    <t>2008-08-20</t>
  </si>
  <si>
    <t>7.7464</t>
  </si>
  <si>
    <t>2008-08-19</t>
  </si>
  <si>
    <t>7.7793</t>
  </si>
  <si>
    <t>2008-08-18</t>
  </si>
  <si>
    <t>7.8860</t>
  </si>
  <si>
    <t>2008-08-15</t>
  </si>
  <si>
    <t>7.9594</t>
  </si>
  <si>
    <t>2008-08-14</t>
  </si>
  <si>
    <t>7.8442</t>
  </si>
  <si>
    <t>2008-08-13</t>
  </si>
  <si>
    <t>7.8079</t>
  </si>
  <si>
    <t>2008-08-12</t>
  </si>
  <si>
    <t>7.8011</t>
  </si>
  <si>
    <t>2008-08-11</t>
  </si>
  <si>
    <t>7.6750</t>
  </si>
  <si>
    <t>2008-08-08</t>
  </si>
  <si>
    <t>7.5951</t>
  </si>
  <si>
    <t>2008-08-07</t>
  </si>
  <si>
    <t>7.4338</t>
  </si>
  <si>
    <t>2008-08-06</t>
  </si>
  <si>
    <t>2008-08-05</t>
  </si>
  <si>
    <t>7.3293</t>
  </si>
  <si>
    <t>2008-08-04</t>
  </si>
  <si>
    <t>7.2210</t>
  </si>
  <si>
    <t>2008-08-01</t>
  </si>
  <si>
    <t>7.3464</t>
  </si>
  <si>
    <t>2008-07-31</t>
  </si>
  <si>
    <t>7.3899</t>
  </si>
  <si>
    <t>2008-07-30</t>
  </si>
  <si>
    <t>7.3862</t>
  </si>
  <si>
    <t>2008-07-29</t>
  </si>
  <si>
    <t>7.5093</t>
  </si>
  <si>
    <t>2008-07-28</t>
  </si>
  <si>
    <t>7.5457</t>
  </si>
  <si>
    <t>2008-07-25</t>
  </si>
  <si>
    <t>7.6160</t>
  </si>
  <si>
    <t>2008-07-24</t>
  </si>
  <si>
    <t>7.5574</t>
  </si>
  <si>
    <t>2008-07-23</t>
  </si>
  <si>
    <t>7.4966</t>
  </si>
  <si>
    <t>2008-07-22</t>
  </si>
  <si>
    <t>7.5764</t>
  </si>
  <si>
    <t>2008-07-21</t>
  </si>
  <si>
    <t>7.5895</t>
  </si>
  <si>
    <t>2008-07-18</t>
  </si>
  <si>
    <t>7.5766</t>
  </si>
  <si>
    <t>2008-07-17</t>
  </si>
  <si>
    <t>2008-07-16</t>
  </si>
  <si>
    <t>7.6736</t>
  </si>
  <si>
    <t>2008-07-15</t>
  </si>
  <si>
    <t>7.6199</t>
  </si>
  <si>
    <t>2008-07-14</t>
  </si>
  <si>
    <t>7.6351</t>
  </si>
  <si>
    <t>2008-07-11</t>
  </si>
  <si>
    <t>7.7262</t>
  </si>
  <si>
    <t>2008-07-10</t>
  </si>
  <si>
    <t>7.6804</t>
  </si>
  <si>
    <t>2008-07-09</t>
  </si>
  <si>
    <t>7.6893</t>
  </si>
  <si>
    <t>2008-07-08</t>
  </si>
  <si>
    <t>7.8158</t>
  </si>
  <si>
    <t>2008-07-07</t>
  </si>
  <si>
    <t>7.7444</t>
  </si>
  <si>
    <t>2008-07-04</t>
  </si>
  <si>
    <t>2008-07-03</t>
  </si>
  <si>
    <t>7.8668</t>
  </si>
  <si>
    <t>2008-07-02</t>
  </si>
  <si>
    <t>7.8660</t>
  </si>
  <si>
    <t>2008-07-01</t>
  </si>
  <si>
    <t>7.8637</t>
  </si>
  <si>
    <t>2008-06-30</t>
  </si>
  <si>
    <t>7.8791</t>
  </si>
  <si>
    <t>2008-06-27</t>
  </si>
  <si>
    <t>7.9417</t>
  </si>
  <si>
    <t>2008-06-26</t>
  </si>
  <si>
    <t>7.8949</t>
  </si>
  <si>
    <t>2008-06-25</t>
  </si>
  <si>
    <t>7.9793</t>
  </si>
  <si>
    <t>2008-06-24</t>
  </si>
  <si>
    <t>8.0511</t>
  </si>
  <si>
    <t>2008-06-23</t>
  </si>
  <si>
    <t>8.0238</t>
  </si>
  <si>
    <t>2008-06-20</t>
  </si>
  <si>
    <t>7.9503</t>
  </si>
  <si>
    <t>2008-06-19</t>
  </si>
  <si>
    <t>8.0402</t>
  </si>
  <si>
    <t>2008-06-18</t>
  </si>
  <si>
    <t>8.0058</t>
  </si>
  <si>
    <t>2008-06-17</t>
  </si>
  <si>
    <t>8.0201</t>
  </si>
  <si>
    <t>2008-06-13</t>
  </si>
  <si>
    <t>8.0964</t>
  </si>
  <si>
    <t>2008-06-12</t>
  </si>
  <si>
    <t>7.9891</t>
  </si>
  <si>
    <t>2008-06-11</t>
  </si>
  <si>
    <t>7.9384</t>
  </si>
  <si>
    <t>2008-06-10</t>
  </si>
  <si>
    <t>7.9234</t>
  </si>
  <si>
    <t>2008-06-09</t>
  </si>
  <si>
    <t>7.8712</t>
  </si>
  <si>
    <t>2008-06-06</t>
  </si>
  <si>
    <t>7.8437</t>
  </si>
  <si>
    <t>2008-06-05</t>
  </si>
  <si>
    <t>7.7584</t>
  </si>
  <si>
    <t>2008-06-04</t>
  </si>
  <si>
    <t>7.7699</t>
  </si>
  <si>
    <t>2008-06-03</t>
  </si>
  <si>
    <t>7.7521</t>
  </si>
  <si>
    <t>2008-06-02</t>
  </si>
  <si>
    <t>7.6791</t>
  </si>
  <si>
    <t>2008-05-30</t>
  </si>
  <si>
    <t>7.5874</t>
  </si>
  <si>
    <t>2008-05-29</t>
  </si>
  <si>
    <t>7.6354</t>
  </si>
  <si>
    <t>2008-05-28</t>
  </si>
  <si>
    <t>7.7458</t>
  </si>
  <si>
    <t>2008-05-27</t>
  </si>
  <si>
    <t>7.6974</t>
  </si>
  <si>
    <t>2008-05-26</t>
  </si>
  <si>
    <t>7.6999</t>
  </si>
  <si>
    <t>2008-05-23</t>
  </si>
  <si>
    <t>7.6773</t>
  </si>
  <si>
    <t>2008-05-22</t>
  </si>
  <si>
    <t>2008-05-21</t>
  </si>
  <si>
    <t>7.6501</t>
  </si>
  <si>
    <t>2008-05-20</t>
  </si>
  <si>
    <t>7.5914</t>
  </si>
  <si>
    <t>2008-05-19</t>
  </si>
  <si>
    <t>7.4883</t>
  </si>
  <si>
    <t>2008-05-16</t>
  </si>
  <si>
    <t>7.5455</t>
  </si>
  <si>
    <t>2008-05-15</t>
  </si>
  <si>
    <t>7.6186</t>
  </si>
  <si>
    <t>2008-05-14</t>
  </si>
  <si>
    <t>7.6252</t>
  </si>
  <si>
    <t>2008-05-13</t>
  </si>
  <si>
    <t>7.5928</t>
  </si>
  <si>
    <t>2008-05-12</t>
  </si>
  <si>
    <t>2008-05-09</t>
  </si>
  <si>
    <t>7.6815</t>
  </si>
  <si>
    <t>2008-05-08</t>
  </si>
  <si>
    <t>7.6173</t>
  </si>
  <si>
    <t>2008-05-07</t>
  </si>
  <si>
    <t>7.5301</t>
  </si>
  <si>
    <t>2008-05-06</t>
  </si>
  <si>
    <t>7.5238</t>
  </si>
  <si>
    <t>2008-05-05</t>
  </si>
  <si>
    <t>7.6030</t>
  </si>
  <si>
    <t>2008-04-30</t>
  </si>
  <si>
    <t>7.5940</t>
  </si>
  <si>
    <t>2008-04-29</t>
  </si>
  <si>
    <t>7.5627</t>
  </si>
  <si>
    <t>2008-04-25</t>
  </si>
  <si>
    <t>7.6744</t>
  </si>
  <si>
    <t>2008-04-24</t>
  </si>
  <si>
    <t>7.7238</t>
  </si>
  <si>
    <t>2008-04-23</t>
  </si>
  <si>
    <t>7.6177</t>
  </si>
  <si>
    <t>2008-04-22</t>
  </si>
  <si>
    <t>7.7182</t>
  </si>
  <si>
    <t>2008-04-21</t>
  </si>
  <si>
    <t>7.7909</t>
  </si>
  <si>
    <t>2008-04-18</t>
  </si>
  <si>
    <t>7.8155</t>
  </si>
  <si>
    <t>2008-04-17</t>
  </si>
  <si>
    <t>7.9205</t>
  </si>
  <si>
    <t>2008-04-16</t>
  </si>
  <si>
    <t>7.9686</t>
  </si>
  <si>
    <t>2008-04-15</t>
  </si>
  <si>
    <t>7.8774</t>
  </si>
  <si>
    <t>2008-04-14</t>
  </si>
  <si>
    <t>7.8581</t>
  </si>
  <si>
    <t>2008-04-11</t>
  </si>
  <si>
    <t>7.7741</t>
  </si>
  <si>
    <t>2008-04-10</t>
  </si>
  <si>
    <t>7.9032</t>
  </si>
  <si>
    <t>2008-04-09</t>
  </si>
  <si>
    <t>7.7784</t>
  </si>
  <si>
    <t>2008-04-08</t>
  </si>
  <si>
    <t>7.8035</t>
  </si>
  <si>
    <t>2008-04-07</t>
  </si>
  <si>
    <t>7.7597</t>
  </si>
  <si>
    <t>2008-04-04</t>
  </si>
  <si>
    <t>7.7891</t>
  </si>
  <si>
    <t>2008-04-03</t>
  </si>
  <si>
    <t>7.7466</t>
  </si>
  <si>
    <t>2008-04-02</t>
  </si>
  <si>
    <t>7.9068</t>
  </si>
  <si>
    <t>2008-04-01</t>
  </si>
  <si>
    <t>8.1207</t>
  </si>
  <si>
    <t>2008-03-31</t>
  </si>
  <si>
    <t>8.1216</t>
  </si>
  <si>
    <t>2008-03-28</t>
  </si>
  <si>
    <t>8.0207</t>
  </si>
  <si>
    <t>2008-03-27</t>
  </si>
  <si>
    <t>8.0333</t>
  </si>
  <si>
    <t>2008-03-26</t>
  </si>
  <si>
    <t>8.1036</t>
  </si>
  <si>
    <t>2008-03-25</t>
  </si>
  <si>
    <t>8.0544</t>
  </si>
  <si>
    <t>2008-03-20</t>
  </si>
  <si>
    <t>8.1161</t>
  </si>
  <si>
    <t>2008-03-19</t>
  </si>
  <si>
    <t>8.0323</t>
  </si>
  <si>
    <t>2008-03-18</t>
  </si>
  <si>
    <t>8.0749</t>
  </si>
  <si>
    <t>2008-03-17</t>
  </si>
  <si>
    <t>8.0977</t>
  </si>
  <si>
    <t>2008-03-14</t>
  </si>
  <si>
    <t>7.9365</t>
  </si>
  <si>
    <t>2008-03-13</t>
  </si>
  <si>
    <t>7.9327</t>
  </si>
  <si>
    <t>2008-03-12</t>
  </si>
  <si>
    <t>7.8036</t>
  </si>
  <si>
    <t>2008-03-11</t>
  </si>
  <si>
    <t>7.9878</t>
  </si>
  <si>
    <t>2008-03-10</t>
  </si>
  <si>
    <t>8.0243</t>
  </si>
  <si>
    <t>2008-03-07</t>
  </si>
  <si>
    <t>7.9943</t>
  </si>
  <si>
    <t>2008-03-06</t>
  </si>
  <si>
    <t>7.7353</t>
  </si>
  <si>
    <t>2008-03-05</t>
  </si>
  <si>
    <t>7.8345</t>
  </si>
  <si>
    <t>2008-03-04</t>
  </si>
  <si>
    <t>7.7975</t>
  </si>
  <si>
    <t>2008-03-03</t>
  </si>
  <si>
    <t>7.9486</t>
  </si>
  <si>
    <t>2008-02-29</t>
  </si>
  <si>
    <t>7.6342</t>
  </si>
  <si>
    <t>2008-02-28</t>
  </si>
  <si>
    <t>7.4795</t>
  </si>
  <si>
    <t>2008-02-27</t>
  </si>
  <si>
    <t>7.4732</t>
  </si>
  <si>
    <t>2008-02-26</t>
  </si>
  <si>
    <t>7.6916</t>
  </si>
  <si>
    <t>2008-02-25</t>
  </si>
  <si>
    <t>7.7004</t>
  </si>
  <si>
    <t>2008-02-22</t>
  </si>
  <si>
    <t>7.7976</t>
  </si>
  <si>
    <t>2008-02-21</t>
  </si>
  <si>
    <t>7.8507</t>
  </si>
  <si>
    <t>2008-02-20</t>
  </si>
  <si>
    <t>2008-02-19</t>
  </si>
  <si>
    <t>7.5900</t>
  </si>
  <si>
    <t>2008-02-18</t>
  </si>
  <si>
    <t>7.6336</t>
  </si>
  <si>
    <t>2008-02-15</t>
  </si>
  <si>
    <t>7.5956</t>
  </si>
  <si>
    <t>2008-02-14</t>
  </si>
  <si>
    <t>2008-02-13</t>
  </si>
  <si>
    <t>7.7381</t>
  </si>
  <si>
    <t>2008-02-12</t>
  </si>
  <si>
    <t>7.7318</t>
  </si>
  <si>
    <t>2008-02-11</t>
  </si>
  <si>
    <t>2008-02-08</t>
  </si>
  <si>
    <t>7.6478</t>
  </si>
  <si>
    <t>2008-02-07</t>
  </si>
  <si>
    <t>7.6604</t>
  </si>
  <si>
    <t>2008-02-06</t>
  </si>
  <si>
    <t>7.6784</t>
  </si>
  <si>
    <t>2008-02-05</t>
  </si>
  <si>
    <t>7.4633</t>
  </si>
  <si>
    <t>2008-02-04</t>
  </si>
  <si>
    <t>7.3572</t>
  </si>
  <si>
    <t>2008-02-01</t>
  </si>
  <si>
    <t>7.4547</t>
  </si>
  <si>
    <t>2008-01-31</t>
  </si>
  <si>
    <t>2008-01-30</t>
  </si>
  <si>
    <t>7.2151</t>
  </si>
  <si>
    <t>2008-01-29</t>
  </si>
  <si>
    <t>7.1691</t>
  </si>
  <si>
    <t>2008-01-28</t>
  </si>
  <si>
    <t>7.1921</t>
  </si>
  <si>
    <t>2008-01-25</t>
  </si>
  <si>
    <t>7.0339</t>
  </si>
  <si>
    <t>2008-01-24</t>
  </si>
  <si>
    <t>7.0758</t>
  </si>
  <si>
    <t>2008-01-23</t>
  </si>
  <si>
    <t>7.1132</t>
  </si>
  <si>
    <t>2008-01-22</t>
  </si>
  <si>
    <t>7.3040</t>
  </si>
  <si>
    <t>2008-01-21</t>
  </si>
  <si>
    <t>7.1698</t>
  </si>
  <si>
    <t>2008-01-18</t>
  </si>
  <si>
    <t>7.0479</t>
  </si>
  <si>
    <t>2008-01-17</t>
  </si>
  <si>
    <t>6.9448</t>
  </si>
  <si>
    <t>2008-01-16</t>
  </si>
  <si>
    <t>6.8623</t>
  </si>
  <si>
    <t>2008-01-15</t>
  </si>
  <si>
    <t>6.7244</t>
  </si>
  <si>
    <t>2008-01-14</t>
  </si>
  <si>
    <t>6.7211</t>
  </si>
  <si>
    <t>2008-01-11</t>
  </si>
  <si>
    <t>2008-01-10</t>
  </si>
  <si>
    <t>6.8559</t>
  </si>
  <si>
    <t>2008-01-09</t>
  </si>
  <si>
    <t>6.8554</t>
  </si>
  <si>
    <t>2008-01-08</t>
  </si>
  <si>
    <t>6.8881</t>
  </si>
  <si>
    <t>2008-01-07</t>
  </si>
  <si>
    <t>6.9098</t>
  </si>
  <si>
    <t>2008-01-04</t>
  </si>
  <si>
    <t>6.8452</t>
  </si>
  <si>
    <t>2008-01-03</t>
  </si>
  <si>
    <t>6.8419</t>
  </si>
  <si>
    <t>2008-01-02</t>
  </si>
  <si>
    <t>6.8627</t>
  </si>
  <si>
    <t>2007-12-31</t>
  </si>
  <si>
    <t>6.7862</t>
  </si>
  <si>
    <t>2007-12-28</t>
  </si>
  <si>
    <t>6.8429</t>
  </si>
  <si>
    <t>2007-12-27</t>
  </si>
  <si>
    <t>6.9265</t>
  </si>
  <si>
    <t>2007-12-24</t>
  </si>
  <si>
    <t>6.9986</t>
  </si>
  <si>
    <t>2007-12-21</t>
  </si>
  <si>
    <t>2007-12-20</t>
  </si>
  <si>
    <t>6.9695</t>
  </si>
  <si>
    <t>2007-12-19</t>
  </si>
  <si>
    <t>6.9005</t>
  </si>
  <si>
    <t>2007-12-18</t>
  </si>
  <si>
    <t>2007-12-14</t>
  </si>
  <si>
    <t>6.7725</t>
  </si>
  <si>
    <t>2007-12-13</t>
  </si>
  <si>
    <t>6.7478</t>
  </si>
  <si>
    <t>2007-12-12</t>
  </si>
  <si>
    <t>6.7556</t>
  </si>
  <si>
    <t>2007-12-11</t>
  </si>
  <si>
    <t>6.6639</t>
  </si>
  <si>
    <t>2007-12-10</t>
  </si>
  <si>
    <t>6.7104</t>
  </si>
  <si>
    <t>2007-12-07</t>
  </si>
  <si>
    <t>6.7253</t>
  </si>
  <si>
    <t>2007-12-06</t>
  </si>
  <si>
    <t>6.7914</t>
  </si>
  <si>
    <t>2007-12-05</t>
  </si>
  <si>
    <t>6.8050</t>
  </si>
  <si>
    <t>2007-12-04</t>
  </si>
  <si>
    <t>6.7889</t>
  </si>
  <si>
    <t>2007-12-03</t>
  </si>
  <si>
    <t>6.8042</t>
  </si>
  <si>
    <t>2007-11-30</t>
  </si>
  <si>
    <t>6.8119</t>
  </si>
  <si>
    <t>2007-11-29</t>
  </si>
  <si>
    <t>6.9153</t>
  </si>
  <si>
    <t>2007-11-28</t>
  </si>
  <si>
    <t>7.0221</t>
  </si>
  <si>
    <t>2007-11-27</t>
  </si>
  <si>
    <t>7.0127</t>
  </si>
  <si>
    <t>2007-11-26</t>
  </si>
  <si>
    <t>6.7983</t>
  </si>
  <si>
    <t>2007-11-23</t>
  </si>
  <si>
    <t>6.8168</t>
  </si>
  <si>
    <t>2007-11-22</t>
  </si>
  <si>
    <t>6.7763</t>
  </si>
  <si>
    <t>2007-11-21</t>
  </si>
  <si>
    <t>6.7532</t>
  </si>
  <si>
    <t>2007-11-20</t>
  </si>
  <si>
    <t>6.7089</t>
  </si>
  <si>
    <t>2007-11-19</t>
  </si>
  <si>
    <t>6.7025</t>
  </si>
  <si>
    <t>2007-11-16</t>
  </si>
  <si>
    <t>6.7297</t>
  </si>
  <si>
    <t>2007-11-15</t>
  </si>
  <si>
    <t>6.6136</t>
  </si>
  <si>
    <t>2007-11-14</t>
  </si>
  <si>
    <t>6.6627</t>
  </si>
  <si>
    <t>2007-11-13</t>
  </si>
  <si>
    <t>6.7828</t>
  </si>
  <si>
    <t>2007-11-12</t>
  </si>
  <si>
    <t>6.6787</t>
  </si>
  <si>
    <t>2007-11-09</t>
  </si>
  <si>
    <t>6.4639</t>
  </si>
  <si>
    <t>2007-11-08</t>
  </si>
  <si>
    <t>6.5265</t>
  </si>
  <si>
    <t>2007-11-07</t>
  </si>
  <si>
    <t>6.4739</t>
  </si>
  <si>
    <t>2007-11-06</t>
  </si>
  <si>
    <t>6.5253</t>
  </si>
  <si>
    <t>2007-11-05</t>
  </si>
  <si>
    <t>6.5941</t>
  </si>
  <si>
    <t>2007-11-02</t>
  </si>
  <si>
    <t>6.6032</t>
  </si>
  <si>
    <t>2007-11-01</t>
  </si>
  <si>
    <t>6.5278</t>
  </si>
  <si>
    <t>2007-10-31</t>
  </si>
  <si>
    <t>6.5353</t>
  </si>
  <si>
    <t>2007-10-30</t>
  </si>
  <si>
    <t>6.5728</t>
  </si>
  <si>
    <t>2007-10-29</t>
  </si>
  <si>
    <t>6.4691</t>
  </si>
  <si>
    <t>2007-10-26</t>
  </si>
  <si>
    <t>6.5374</t>
  </si>
  <si>
    <t>2007-10-25</t>
  </si>
  <si>
    <t>6.6201</t>
  </si>
  <si>
    <t>2007-10-24</t>
  </si>
  <si>
    <t>6.6965</t>
  </si>
  <si>
    <t>2007-10-23</t>
  </si>
  <si>
    <t>2007-10-22</t>
  </si>
  <si>
    <t>6.8591</t>
  </si>
  <si>
    <t>2007-10-19</t>
  </si>
  <si>
    <t>6.8069</t>
  </si>
  <si>
    <t>2007-10-18</t>
  </si>
  <si>
    <t>6.8059</t>
  </si>
  <si>
    <t>2007-10-17</t>
  </si>
  <si>
    <t>6.8235</t>
  </si>
  <si>
    <t>2007-10-16</t>
  </si>
  <si>
    <t>6.8820</t>
  </si>
  <si>
    <t>2007-10-15</t>
  </si>
  <si>
    <t>6.7249</t>
  </si>
  <si>
    <t>2007-10-12</t>
  </si>
  <si>
    <t>6.7536</t>
  </si>
  <si>
    <t>2007-10-11</t>
  </si>
  <si>
    <t>6.8681</t>
  </si>
  <si>
    <t>2007-10-10</t>
  </si>
  <si>
    <t>6.8328</t>
  </si>
  <si>
    <t>2007-10-09</t>
  </si>
  <si>
    <t>6.8679</t>
  </si>
  <si>
    <t>2007-10-08</t>
  </si>
  <si>
    <t>6.8320</t>
  </si>
  <si>
    <t>2007-10-05</t>
  </si>
  <si>
    <t>6.8994</t>
  </si>
  <si>
    <t>2007-10-04</t>
  </si>
  <si>
    <t>6.9402</t>
  </si>
  <si>
    <t>2007-10-03</t>
  </si>
  <si>
    <t>6.9066</t>
  </si>
  <si>
    <t>2007-10-02</t>
  </si>
  <si>
    <t>6.8979</t>
  </si>
  <si>
    <t>2007-10-01</t>
  </si>
  <si>
    <t>6.8904</t>
  </si>
  <si>
    <t>2007-09-28</t>
  </si>
  <si>
    <t>6.8839</t>
  </si>
  <si>
    <t>2007-09-27</t>
  </si>
  <si>
    <t>6.9112</t>
  </si>
  <si>
    <t>2007-09-26</t>
  </si>
  <si>
    <t>6.9712</t>
  </si>
  <si>
    <t>2007-09-25</t>
  </si>
  <si>
    <t>7.0157</t>
  </si>
  <si>
    <t>2007-09-21</t>
  </si>
  <si>
    <t>7.0496</t>
  </si>
  <si>
    <t>2007-09-20</t>
  </si>
  <si>
    <t>7.0730</t>
  </si>
  <si>
    <t>2007-09-19</t>
  </si>
  <si>
    <t>7.0900</t>
  </si>
  <si>
    <t>2007-09-18</t>
  </si>
  <si>
    <t>7.1914</t>
  </si>
  <si>
    <t>2007-09-17</t>
  </si>
  <si>
    <t>7.1954</t>
  </si>
  <si>
    <t>2007-09-14</t>
  </si>
  <si>
    <t>7.1928</t>
  </si>
  <si>
    <t>2007-09-13</t>
  </si>
  <si>
    <t>7.1424</t>
  </si>
  <si>
    <t>2007-09-12</t>
  </si>
  <si>
    <t>7.1741</t>
  </si>
  <si>
    <t>2007-09-11</t>
  </si>
  <si>
    <t>7.2283</t>
  </si>
  <si>
    <t>2007-09-10</t>
  </si>
  <si>
    <t>7.2491</t>
  </si>
  <si>
    <t>2007-09-07</t>
  </si>
  <si>
    <t>7.1898</t>
  </si>
  <si>
    <t>2007-09-06</t>
  </si>
  <si>
    <t>7.2319</t>
  </si>
  <si>
    <t>2007-09-05</t>
  </si>
  <si>
    <t>7.2453</t>
  </si>
  <si>
    <t>2007-09-04</t>
  </si>
  <si>
    <t>7.2559</t>
  </si>
  <si>
    <t>2007-09-03</t>
  </si>
  <si>
    <t>7.1783</t>
  </si>
  <si>
    <t>2007-08-31</t>
  </si>
  <si>
    <t>7.1094</t>
  </si>
  <si>
    <t>2007-08-30</t>
  </si>
  <si>
    <t>7.1811</t>
  </si>
  <si>
    <t>2007-08-29</t>
  </si>
  <si>
    <t>7.2838</t>
  </si>
  <si>
    <t>2007-08-28</t>
  </si>
  <si>
    <t>7.2473</t>
  </si>
  <si>
    <t>2007-08-27</t>
  </si>
  <si>
    <t>7.1828</t>
  </si>
  <si>
    <t>2007-08-24</t>
  </si>
  <si>
    <t>7.2869</t>
  </si>
  <si>
    <t>2007-08-23</t>
  </si>
  <si>
    <t>7.2370</t>
  </si>
  <si>
    <t>2007-08-22</t>
  </si>
  <si>
    <t>7.3376</t>
  </si>
  <si>
    <t>2007-08-21</t>
  </si>
  <si>
    <t>7.4603</t>
  </si>
  <si>
    <t>2007-08-20</t>
  </si>
  <si>
    <t>7.3412</t>
  </si>
  <si>
    <t>2007-08-17</t>
  </si>
  <si>
    <t>7.4840</t>
  </si>
  <si>
    <t>2007-08-16</t>
  </si>
  <si>
    <t>7.4774</t>
  </si>
  <si>
    <t>2007-08-15</t>
  </si>
  <si>
    <t>7.3914</t>
  </si>
  <si>
    <t>2007-08-14</t>
  </si>
  <si>
    <t>7.2452</t>
  </si>
  <si>
    <t>2007-08-13</t>
  </si>
  <si>
    <t>7.1789</t>
  </si>
  <si>
    <t>2007-08-10</t>
  </si>
  <si>
    <t>7.1707</t>
  </si>
  <si>
    <t>2007-08-08</t>
  </si>
  <si>
    <t>7.0392</t>
  </si>
  <si>
    <t>2007-08-07</t>
  </si>
  <si>
    <t>7.0494</t>
  </si>
  <si>
    <t>2007-08-06</t>
  </si>
  <si>
    <t>7.1122</t>
  </si>
  <si>
    <t>2007-08-03</t>
  </si>
  <si>
    <t>7.0590</t>
  </si>
  <si>
    <t>2007-08-02</t>
  </si>
  <si>
    <t>7.1177</t>
  </si>
  <si>
    <t>2007-08-01</t>
  </si>
  <si>
    <t>7.1949</t>
  </si>
  <si>
    <t>2007-07-31</t>
  </si>
  <si>
    <t>2007-07-30</t>
  </si>
  <si>
    <t>7.1022</t>
  </si>
  <si>
    <t>2007-07-27</t>
  </si>
  <si>
    <t>7.1051</t>
  </si>
  <si>
    <t>2007-07-26</t>
  </si>
  <si>
    <t>6.9249</t>
  </si>
  <si>
    <t>2007-07-25</t>
  </si>
  <si>
    <t>6.8505</t>
  </si>
  <si>
    <t>2007-07-24</t>
  </si>
  <si>
    <t>6.8233</t>
  </si>
  <si>
    <t>2007-07-23</t>
  </si>
  <si>
    <t>2007-07-20</t>
  </si>
  <si>
    <t>2007-07-19</t>
  </si>
  <si>
    <t>6.9172</t>
  </si>
  <si>
    <t>2007-07-18</t>
  </si>
  <si>
    <t>6.9815</t>
  </si>
  <si>
    <t>2007-07-17</t>
  </si>
  <si>
    <t>6.9774</t>
  </si>
  <si>
    <t>2007-07-16</t>
  </si>
  <si>
    <t>6.9672</t>
  </si>
  <si>
    <t>2007-07-13</t>
  </si>
  <si>
    <t>6.9611</t>
  </si>
  <si>
    <t>2007-07-12</t>
  </si>
  <si>
    <t>7.0275</t>
  </si>
  <si>
    <t>2007-07-11</t>
  </si>
  <si>
    <t>7.0237</t>
  </si>
  <si>
    <t>2007-07-10</t>
  </si>
  <si>
    <t>2007-07-09</t>
  </si>
  <si>
    <t>6.9833</t>
  </si>
  <si>
    <t>2007-07-06</t>
  </si>
  <si>
    <t>7.0356</t>
  </si>
  <si>
    <t>2007-07-05</t>
  </si>
  <si>
    <t>6.9829</t>
  </si>
  <si>
    <t>2007-07-04</t>
  </si>
  <si>
    <t>6.9853</t>
  </si>
  <si>
    <t>2007-07-03</t>
  </si>
  <si>
    <t>6.9635</t>
  </si>
  <si>
    <t>2007-07-02</t>
  </si>
  <si>
    <t>7.0175</t>
  </si>
  <si>
    <t>2007-06-29</t>
  </si>
  <si>
    <t>7.0964</t>
  </si>
  <si>
    <t>2007-06-28</t>
  </si>
  <si>
    <t>7.1112</t>
  </si>
  <si>
    <t>2007-06-27</t>
  </si>
  <si>
    <t>7.2279</t>
  </si>
  <si>
    <t>2007-06-26</t>
  </si>
  <si>
    <t>7.1821</t>
  </si>
  <si>
    <t>2007-06-25</t>
  </si>
  <si>
    <t>7.1641</t>
  </si>
  <si>
    <t>2007-06-22</t>
  </si>
  <si>
    <t>7.1374</t>
  </si>
  <si>
    <t>2007-06-21</t>
  </si>
  <si>
    <t>7.1572</t>
  </si>
  <si>
    <t>2007-06-20</t>
  </si>
  <si>
    <t>7.0845</t>
  </si>
  <si>
    <t>2007-06-19</t>
  </si>
  <si>
    <t>7.0966</t>
  </si>
  <si>
    <t>2007-06-18</t>
  </si>
  <si>
    <t>7.1033</t>
  </si>
  <si>
    <t>2007-06-15</t>
  </si>
  <si>
    <t>7.1920</t>
  </si>
  <si>
    <t>2007-06-14</t>
  </si>
  <si>
    <t>7.2321</t>
  </si>
  <si>
    <t>2007-06-13</t>
  </si>
  <si>
    <t>7.3097</t>
  </si>
  <si>
    <t>2007-06-12</t>
  </si>
  <si>
    <t>7.2287</t>
  </si>
  <si>
    <t>2007-06-11</t>
  </si>
  <si>
    <t>7.2483</t>
  </si>
  <si>
    <t>2007-06-08</t>
  </si>
  <si>
    <t>7.2820</t>
  </si>
  <si>
    <t>2007-06-07</t>
  </si>
  <si>
    <t>7.1890</t>
  </si>
  <si>
    <t>2007-06-06</t>
  </si>
  <si>
    <t>7.1838</t>
  </si>
  <si>
    <t>2007-06-05</t>
  </si>
  <si>
    <t>7.1305</t>
  </si>
  <si>
    <t>2007-06-04</t>
  </si>
  <si>
    <t>7.1402</t>
  </si>
  <si>
    <t>2007-06-01</t>
  </si>
  <si>
    <t>7.1216</t>
  </si>
  <si>
    <t>2007-05-31</t>
  </si>
  <si>
    <t>7.1649</t>
  </si>
  <si>
    <t>2007-05-30</t>
  </si>
  <si>
    <t>7.1657</t>
  </si>
  <si>
    <t>2007-05-29</t>
  </si>
  <si>
    <t>2007-05-28</t>
  </si>
  <si>
    <t>7.0953</t>
  </si>
  <si>
    <t>2007-05-25</t>
  </si>
  <si>
    <t>7.1261</t>
  </si>
  <si>
    <t>2007-05-24</t>
  </si>
  <si>
    <t>7.0893</t>
  </si>
  <si>
    <t>2007-05-23</t>
  </si>
  <si>
    <t>7.0761</t>
  </si>
  <si>
    <t>2007-05-22</t>
  </si>
  <si>
    <t>7.0025</t>
  </si>
  <si>
    <t>2007-05-21</t>
  </si>
  <si>
    <t>6.9956</t>
  </si>
  <si>
    <t>2007-05-18</t>
  </si>
  <si>
    <t>7.0471</t>
  </si>
  <si>
    <t>2007-05-17</t>
  </si>
  <si>
    <t>6.9646</t>
  </si>
  <si>
    <t>2007-05-16</t>
  </si>
  <si>
    <t>6.9301</t>
  </si>
  <si>
    <t>2007-05-15</t>
  </si>
  <si>
    <t>6.9796</t>
  </si>
  <si>
    <t>2007-05-14</t>
  </si>
  <si>
    <t>6.9361</t>
  </si>
  <si>
    <t>2007-05-11</t>
  </si>
  <si>
    <t>7.0154</t>
  </si>
  <si>
    <t>2007-05-10</t>
  </si>
  <si>
    <t>6.9053</t>
  </si>
  <si>
    <t>2007-05-09</t>
  </si>
  <si>
    <t>6.9263</t>
  </si>
  <si>
    <t>2007-05-08</t>
  </si>
  <si>
    <t>6.9128</t>
  </si>
  <si>
    <t>2007-05-07</t>
  </si>
  <si>
    <t>6.9385</t>
  </si>
  <si>
    <t>2007-05-04</t>
  </si>
  <si>
    <t>7.0137</t>
  </si>
  <si>
    <t>2007-05-03</t>
  </si>
  <si>
    <t>6.9860</t>
  </si>
  <si>
    <t>2007-05-02</t>
  </si>
  <si>
    <t>7.0388</t>
  </si>
  <si>
    <t>2007-04-30</t>
  </si>
  <si>
    <t>7.1241</t>
  </si>
  <si>
    <t>2007-04-27</t>
  </si>
  <si>
    <t>7.0824</t>
  </si>
  <si>
    <t>2007-04-26</t>
  </si>
  <si>
    <t>6.9721</t>
  </si>
  <si>
    <t>2007-04-25</t>
  </si>
  <si>
    <t>7.0285</t>
  </si>
  <si>
    <t>2007-04-24</t>
  </si>
  <si>
    <t>7.1053</t>
  </si>
  <si>
    <t>2007-04-23</t>
  </si>
  <si>
    <t>7.0437</t>
  </si>
  <si>
    <t>2007-04-20</t>
  </si>
  <si>
    <t>7.0378</t>
  </si>
  <si>
    <t>2007-04-19</t>
  </si>
  <si>
    <t>7.1313</t>
  </si>
  <si>
    <t>2007-04-18</t>
  </si>
  <si>
    <t>7.0583</t>
  </si>
  <si>
    <t>2007-04-17</t>
  </si>
  <si>
    <t>7.1173</t>
  </si>
  <si>
    <t>2007-04-16</t>
  </si>
  <si>
    <t>7.1329</t>
  </si>
  <si>
    <t>2007-04-13</t>
  </si>
  <si>
    <t>7.1712</t>
  </si>
  <si>
    <t>2007-04-12</t>
  </si>
  <si>
    <t>2007-04-11</t>
  </si>
  <si>
    <t>7.1561</t>
  </si>
  <si>
    <t>2007-04-10</t>
  </si>
  <si>
    <t>7.1650</t>
  </si>
  <si>
    <t>2007-04-05</t>
  </si>
  <si>
    <t>7.1358</t>
  </si>
  <si>
    <t>2007-04-04</t>
  </si>
  <si>
    <t>7.1620</t>
  </si>
  <si>
    <t>2007-04-03</t>
  </si>
  <si>
    <t>7.2254</t>
  </si>
  <si>
    <t>2007-04-02</t>
  </si>
  <si>
    <t>7.2524</t>
  </si>
  <si>
    <t>2007-03-30</t>
  </si>
  <si>
    <t>7.2649</t>
  </si>
  <si>
    <t>2007-03-29</t>
  </si>
  <si>
    <t>7.3153</t>
  </si>
  <si>
    <t>2007-03-28</t>
  </si>
  <si>
    <t>7.2926</t>
  </si>
  <si>
    <t>2007-03-27</t>
  </si>
  <si>
    <t>7.2475</t>
  </si>
  <si>
    <t>2007-03-26</t>
  </si>
  <si>
    <t>7.2232</t>
  </si>
  <si>
    <t>2007-03-23</t>
  </si>
  <si>
    <t>2007-03-22</t>
  </si>
  <si>
    <t>7.2967</t>
  </si>
  <si>
    <t>2007-03-20</t>
  </si>
  <si>
    <t>7.4060</t>
  </si>
  <si>
    <t>2007-03-19</t>
  </si>
  <si>
    <t>7.4430</t>
  </si>
  <si>
    <t>2007-03-16</t>
  </si>
  <si>
    <t>7.4407</t>
  </si>
  <si>
    <t>2007-03-15</t>
  </si>
  <si>
    <t>7.4315</t>
  </si>
  <si>
    <t>2007-03-14</t>
  </si>
  <si>
    <t>7.4931</t>
  </si>
  <si>
    <t>2007-03-13</t>
  </si>
  <si>
    <t>7.3870</t>
  </si>
  <si>
    <t>2007-03-12</t>
  </si>
  <si>
    <t>7.3060</t>
  </si>
  <si>
    <t>2007-03-09</t>
  </si>
  <si>
    <t>2007-03-08</t>
  </si>
  <si>
    <t>7.4042</t>
  </si>
  <si>
    <t>2007-03-07</t>
  </si>
  <si>
    <t>7.4067</t>
  </si>
  <si>
    <t>2007-03-06</t>
  </si>
  <si>
    <t>7.4122</t>
  </si>
  <si>
    <t>2007-03-05</t>
  </si>
  <si>
    <t>7.5233</t>
  </si>
  <si>
    <t>2007-03-02</t>
  </si>
  <si>
    <t>7.2770</t>
  </si>
  <si>
    <t>2007-03-01</t>
  </si>
  <si>
    <t>7.2510</t>
  </si>
  <si>
    <t>2007-02-28</t>
  </si>
  <si>
    <t>7.2541</t>
  </si>
  <si>
    <t>2007-02-27</t>
  </si>
  <si>
    <t>7.1362</t>
  </si>
  <si>
    <t>2007-02-26</t>
  </si>
  <si>
    <t>7.0806</t>
  </si>
  <si>
    <t>2007-02-23</t>
  </si>
  <si>
    <t>7.0724</t>
  </si>
  <si>
    <t>2007-02-22</t>
  </si>
  <si>
    <t>7.1156</t>
  </si>
  <si>
    <t>2007-02-21</t>
  </si>
  <si>
    <t>7.1239</t>
  </si>
  <si>
    <t>2007-02-20</t>
  </si>
  <si>
    <t>2007-02-19</t>
  </si>
  <si>
    <t>2007-02-16</t>
  </si>
  <si>
    <t>7.1864</t>
  </si>
  <si>
    <t>2007-02-15</t>
  </si>
  <si>
    <t>7.1761</t>
  </si>
  <si>
    <t>2007-02-14</t>
  </si>
  <si>
    <t>7.2264</t>
  </si>
  <si>
    <t>2007-02-13</t>
  </si>
  <si>
    <t>7.2646</t>
  </si>
  <si>
    <t>2007-02-12</t>
  </si>
  <si>
    <t>7.2441</t>
  </si>
  <si>
    <t>2007-02-09</t>
  </si>
  <si>
    <t>7.1415</t>
  </si>
  <si>
    <t>2007-02-08</t>
  </si>
  <si>
    <t>7.1667</t>
  </si>
  <si>
    <t>2007-02-07</t>
  </si>
  <si>
    <t>7.1863</t>
  </si>
  <si>
    <t>2007-02-06</t>
  </si>
  <si>
    <t>7.2005</t>
  </si>
  <si>
    <t>2007-02-05</t>
  </si>
  <si>
    <t>2007-02-02</t>
  </si>
  <si>
    <t>7.1878</t>
  </si>
  <si>
    <t>2007-02-01</t>
  </si>
  <si>
    <t>7.1983</t>
  </si>
  <si>
    <t>2007-01-31</t>
  </si>
  <si>
    <t>7.2957</t>
  </si>
  <si>
    <t>2007-01-30</t>
  </si>
  <si>
    <t>7.3141</t>
  </si>
  <si>
    <t>2007-01-29</t>
  </si>
  <si>
    <t>7.2803</t>
  </si>
  <si>
    <t>2007-01-26</t>
  </si>
  <si>
    <t>7.2843</t>
  </si>
  <si>
    <t>2007-01-25</t>
  </si>
  <si>
    <t>2007-01-24</t>
  </si>
  <si>
    <t>7.1557</t>
  </si>
  <si>
    <t>2007-01-23</t>
  </si>
  <si>
    <t>7.1282</t>
  </si>
  <si>
    <t>2007-01-22</t>
  </si>
  <si>
    <t>7.1341</t>
  </si>
  <si>
    <t>2007-01-19</t>
  </si>
  <si>
    <t>7.1470</t>
  </si>
  <si>
    <t>2007-01-18</t>
  </si>
  <si>
    <t>7.1441</t>
  </si>
  <si>
    <t>2007-01-17</t>
  </si>
  <si>
    <t>7.2701</t>
  </si>
  <si>
    <t>2007-01-16</t>
  </si>
  <si>
    <t>7.2224</t>
  </si>
  <si>
    <t>2007-01-15</t>
  </si>
  <si>
    <t>7.2083</t>
  </si>
  <si>
    <t>2007-01-12</t>
  </si>
  <si>
    <t>7.2611</t>
  </si>
  <si>
    <t>2007-01-11</t>
  </si>
  <si>
    <t>7.3001</t>
  </si>
  <si>
    <t>2007-01-10</t>
  </si>
  <si>
    <t>7.3497</t>
  </si>
  <si>
    <t>2007-01-09</t>
  </si>
  <si>
    <t>7.1906</t>
  </si>
  <si>
    <t>2007-01-08</t>
  </si>
  <si>
    <t>2007-01-05</t>
  </si>
  <si>
    <t>7.1279</t>
  </si>
  <si>
    <t>2007-01-04</t>
  </si>
  <si>
    <t>7.0402</t>
  </si>
  <si>
    <t>2007-01-03</t>
  </si>
  <si>
    <t>2007-01-02</t>
  </si>
  <si>
    <t>6.9418</t>
  </si>
  <si>
    <t>2006-12-29</t>
  </si>
  <si>
    <t>6.9737</t>
  </si>
  <si>
    <t>2006-12-28</t>
  </si>
  <si>
    <t>7.0357</t>
  </si>
  <si>
    <t>2006-12-27</t>
  </si>
  <si>
    <t>7.0333</t>
  </si>
  <si>
    <t>2006-12-22</t>
  </si>
  <si>
    <t>2006-12-21</t>
  </si>
  <si>
    <t>6.9339</t>
  </si>
  <si>
    <t>2006-12-20</t>
  </si>
  <si>
    <t>6.9993</t>
  </si>
  <si>
    <t>2006-12-19</t>
  </si>
  <si>
    <t>2006-12-18</t>
  </si>
  <si>
    <t>6.9918</t>
  </si>
  <si>
    <t>2006-12-15</t>
  </si>
  <si>
    <t>6.9970</t>
  </si>
  <si>
    <t>2006-12-14</t>
  </si>
  <si>
    <t>7.0072</t>
  </si>
  <si>
    <t>2006-12-13</t>
  </si>
  <si>
    <t>6.9968</t>
  </si>
  <si>
    <t>2006-12-12</t>
  </si>
  <si>
    <t>2006-12-11</t>
  </si>
  <si>
    <t>7.0927</t>
  </si>
  <si>
    <t>2006-12-08</t>
  </si>
  <si>
    <t>7.0722</t>
  </si>
  <si>
    <t>2006-12-07</t>
  </si>
  <si>
    <t>7.0458</t>
  </si>
  <si>
    <t>2006-12-06</t>
  </si>
  <si>
    <t>7.1199</t>
  </si>
  <si>
    <t>2006-12-05</t>
  </si>
  <si>
    <t>7.1252</t>
  </si>
  <si>
    <t>2006-12-04</t>
  </si>
  <si>
    <t>7.1499</t>
  </si>
  <si>
    <t>2006-12-01</t>
  </si>
  <si>
    <t>7.1273</t>
  </si>
  <si>
    <t>2006-11-30</t>
  </si>
  <si>
    <t>2006-11-29</t>
  </si>
  <si>
    <t>7.1113</t>
  </si>
  <si>
    <t>2006-11-28</t>
  </si>
  <si>
    <t>7.1758</t>
  </si>
  <si>
    <t>2006-11-27</t>
  </si>
  <si>
    <t>7.1066</t>
  </si>
  <si>
    <t>2006-11-24</t>
  </si>
  <si>
    <t>7.2575</t>
  </si>
  <si>
    <t>2006-11-23</t>
  </si>
  <si>
    <t>7.1621</t>
  </si>
  <si>
    <t>2006-11-22</t>
  </si>
  <si>
    <t>7.1747</t>
  </si>
  <si>
    <t>2006-11-21</t>
  </si>
  <si>
    <t>7.2146</t>
  </si>
  <si>
    <t>2006-11-20</t>
  </si>
  <si>
    <t>2006-11-17</t>
  </si>
  <si>
    <t>7.2731</t>
  </si>
  <si>
    <t>2006-11-16</t>
  </si>
  <si>
    <t>2006-11-15</t>
  </si>
  <si>
    <t>7.2753</t>
  </si>
  <si>
    <t>2006-11-14</t>
  </si>
  <si>
    <t>7.2509</t>
  </si>
  <si>
    <t>2006-11-13</t>
  </si>
  <si>
    <t>7.2645</t>
  </si>
  <si>
    <t>2006-11-10</t>
  </si>
  <si>
    <t>7.2333</t>
  </si>
  <si>
    <t>2006-11-09</t>
  </si>
  <si>
    <t>7.3503</t>
  </si>
  <si>
    <t>2006-11-08</t>
  </si>
  <si>
    <t>7.3706</t>
  </si>
  <si>
    <t>2006-11-07</t>
  </si>
  <si>
    <t>7.3145</t>
  </si>
  <si>
    <t>2006-11-06</t>
  </si>
  <si>
    <t>7.3742</t>
  </si>
  <si>
    <t>2006-11-03</t>
  </si>
  <si>
    <t>7.4612</t>
  </si>
  <si>
    <t>2006-11-02</t>
  </si>
  <si>
    <t>2006-11-01</t>
  </si>
  <si>
    <t>7.3693</t>
  </si>
  <si>
    <t>2006-10-31</t>
  </si>
  <si>
    <t>7.5842</t>
  </si>
  <si>
    <t>2006-10-30</t>
  </si>
  <si>
    <t>7.4320</t>
  </si>
  <si>
    <t>2006-10-27</t>
  </si>
  <si>
    <t>7.5213</t>
  </si>
  <si>
    <t>2006-10-26</t>
  </si>
  <si>
    <t>7.5309</t>
  </si>
  <si>
    <t>2006-10-25</t>
  </si>
  <si>
    <t>7.7190</t>
  </si>
  <si>
    <t>2006-10-24</t>
  </si>
  <si>
    <t>7.7785</t>
  </si>
  <si>
    <t>2006-10-23</t>
  </si>
  <si>
    <t>7.5835</t>
  </si>
  <si>
    <t>2006-10-20</t>
  </si>
  <si>
    <t>7.5060</t>
  </si>
  <si>
    <t>2006-10-19</t>
  </si>
  <si>
    <t>7.5758</t>
  </si>
  <si>
    <t>2006-10-18</t>
  </si>
  <si>
    <t>7.6142</t>
  </si>
  <si>
    <t>2006-10-17</t>
  </si>
  <si>
    <t>7.5098</t>
  </si>
  <si>
    <t>2006-10-16</t>
  </si>
  <si>
    <t>7.4923</t>
  </si>
  <si>
    <t>2006-10-13</t>
  </si>
  <si>
    <t>7.5529</t>
  </si>
  <si>
    <t>2006-10-12</t>
  </si>
  <si>
    <t>7.6321</t>
  </si>
  <si>
    <t>2006-10-11</t>
  </si>
  <si>
    <t>7.7543</t>
  </si>
  <si>
    <t>2006-10-10</t>
  </si>
  <si>
    <t>7.8075</t>
  </si>
  <si>
    <t>2006-10-09</t>
  </si>
  <si>
    <t>7.7842</t>
  </si>
  <si>
    <t>2006-10-06</t>
  </si>
  <si>
    <t>7.7675</t>
  </si>
  <si>
    <t>2006-10-05</t>
  </si>
  <si>
    <t>7.8194</t>
  </si>
  <si>
    <t>2006-10-04</t>
  </si>
  <si>
    <t>7.9530</t>
  </si>
  <si>
    <t>2006-10-03</t>
  </si>
  <si>
    <t>7.6799</t>
  </si>
  <si>
    <t>2006-10-02</t>
  </si>
  <si>
    <t>7.7348</t>
  </si>
  <si>
    <t>2006-09-29</t>
  </si>
  <si>
    <t>2006-09-28</t>
  </si>
  <si>
    <t>7.5741</t>
  </si>
  <si>
    <t>2006-09-27</t>
  </si>
  <si>
    <t>7.6061</t>
  </si>
  <si>
    <t>2006-09-26</t>
  </si>
  <si>
    <t>7.6575</t>
  </si>
  <si>
    <t>2006-09-22</t>
  </si>
  <si>
    <t>7.6590</t>
  </si>
  <si>
    <t>2006-09-21</t>
  </si>
  <si>
    <t>7.4317</t>
  </si>
  <si>
    <t>2006-09-20</t>
  </si>
  <si>
    <t>7.3662</t>
  </si>
  <si>
    <t>2006-09-19</t>
  </si>
  <si>
    <t>7.3645</t>
  </si>
  <si>
    <t>2006-09-18</t>
  </si>
  <si>
    <t>7.3229</t>
  </si>
  <si>
    <t>2006-09-15</t>
  </si>
  <si>
    <t>7.4283</t>
  </si>
  <si>
    <t>2006-09-14</t>
  </si>
  <si>
    <t>7.4371</t>
  </si>
  <si>
    <t>2006-09-13</t>
  </si>
  <si>
    <t>7.3385</t>
  </si>
  <si>
    <t>2006-09-12</t>
  </si>
  <si>
    <t>7.3660</t>
  </si>
  <si>
    <t>2006-09-11</t>
  </si>
  <si>
    <t>7.4497</t>
  </si>
  <si>
    <t>2006-09-08</t>
  </si>
  <si>
    <t>7.3801</t>
  </si>
  <si>
    <t>2006-09-07</t>
  </si>
  <si>
    <t>7.3864</t>
  </si>
  <si>
    <t>2006-09-06</t>
  </si>
  <si>
    <t>7.2108</t>
  </si>
  <si>
    <t>2006-09-05</t>
  </si>
  <si>
    <t>7.1857</t>
  </si>
  <si>
    <t>2006-09-04</t>
  </si>
  <si>
    <t>7.1961</t>
  </si>
  <si>
    <t>2006-09-01</t>
  </si>
  <si>
    <t>7.1965</t>
  </si>
  <si>
    <t>2006-08-31</t>
  </si>
  <si>
    <t>7.0736</t>
  </si>
  <si>
    <t>2006-08-30</t>
  </si>
  <si>
    <t>7.0784</t>
  </si>
  <si>
    <t>2006-08-29</t>
  </si>
  <si>
    <t>7.1365</t>
  </si>
  <si>
    <t>2006-08-28</t>
  </si>
  <si>
    <t>7.1683</t>
  </si>
  <si>
    <t>2006-08-25</t>
  </si>
  <si>
    <t>7.1348</t>
  </si>
  <si>
    <t>2006-08-24</t>
  </si>
  <si>
    <t>7.1384</t>
  </si>
  <si>
    <t>2006-08-23</t>
  </si>
  <si>
    <t>7.0979</t>
  </si>
  <si>
    <t>2006-08-22</t>
  </si>
  <si>
    <t>7.1255</t>
  </si>
  <si>
    <t>2006-08-21</t>
  </si>
  <si>
    <t>7.0606</t>
  </si>
  <si>
    <t>2006-08-18</t>
  </si>
  <si>
    <t>2006-08-17</t>
  </si>
  <si>
    <t>6.7849</t>
  </si>
  <si>
    <t>2006-08-16</t>
  </si>
  <si>
    <t>6.8744</t>
  </si>
  <si>
    <t>2006-08-15</t>
  </si>
  <si>
    <t>6.8917</t>
  </si>
  <si>
    <t>2006-08-14</t>
  </si>
  <si>
    <t>6.8026</t>
  </si>
  <si>
    <t>2006-08-11</t>
  </si>
  <si>
    <t>6.7861</t>
  </si>
  <si>
    <t>2006-08-10</t>
  </si>
  <si>
    <t>6.7628</t>
  </si>
  <si>
    <t>2006-08-08</t>
  </si>
  <si>
    <t>6.7984</t>
  </si>
  <si>
    <t>2006-08-07</t>
  </si>
  <si>
    <t>6.8184</t>
  </si>
  <si>
    <t>2006-08-04</t>
  </si>
  <si>
    <t>6.8701</t>
  </si>
  <si>
    <t>2006-08-03</t>
  </si>
  <si>
    <t>2006-08-02</t>
  </si>
  <si>
    <t>6.9457</t>
  </si>
  <si>
    <t>2006-08-01</t>
  </si>
  <si>
    <t>6.9762</t>
  </si>
  <si>
    <t>2006-07-31</t>
  </si>
  <si>
    <t>6.8555</t>
  </si>
  <si>
    <t>2006-07-28</t>
  </si>
  <si>
    <t>6.9151</t>
  </si>
  <si>
    <t>2006-07-27</t>
  </si>
  <si>
    <t>6.8882</t>
  </si>
  <si>
    <t>2006-07-26</t>
  </si>
  <si>
    <t>7.0287</t>
  </si>
  <si>
    <t>2006-07-25</t>
  </si>
  <si>
    <t>7.0075</t>
  </si>
  <si>
    <t>2006-07-24</t>
  </si>
  <si>
    <t>7.0804</t>
  </si>
  <si>
    <t>2006-07-21</t>
  </si>
  <si>
    <t>6.9808</t>
  </si>
  <si>
    <t>2006-07-20</t>
  </si>
  <si>
    <t>7.0572</t>
  </si>
  <si>
    <t>2006-07-19</t>
  </si>
  <si>
    <t>2006-07-18</t>
  </si>
  <si>
    <t>7.2101</t>
  </si>
  <si>
    <t>2006-07-17</t>
  </si>
  <si>
    <t>7.2428</t>
  </si>
  <si>
    <t>2006-07-14</t>
  </si>
  <si>
    <t>7.2012</t>
  </si>
  <si>
    <t>2006-07-13</t>
  </si>
  <si>
    <t>7.2240</t>
  </si>
  <si>
    <t>2006-07-12</t>
  </si>
  <si>
    <t>7.0909</t>
  </si>
  <si>
    <t>2006-07-11</t>
  </si>
  <si>
    <t>7.1065</t>
  </si>
  <si>
    <t>2006-07-10</t>
  </si>
  <si>
    <t>7.0667</t>
  </si>
  <si>
    <t>2006-07-07</t>
  </si>
  <si>
    <t>7.1539</t>
  </si>
  <si>
    <t>2006-07-06</t>
  </si>
  <si>
    <t>7.2581</t>
  </si>
  <si>
    <t>2006-07-05</t>
  </si>
  <si>
    <t>2006-07-04</t>
  </si>
  <si>
    <t>7.0218</t>
  </si>
  <si>
    <t>2006-07-03</t>
  </si>
  <si>
    <t>7.0945</t>
  </si>
  <si>
    <t>2006-06-30</t>
  </si>
  <si>
    <t>7.1389</t>
  </si>
  <si>
    <t>2006-06-29</t>
  </si>
  <si>
    <t>7.2634</t>
  </si>
  <si>
    <t>2006-06-28</t>
  </si>
  <si>
    <t>7.3106</t>
  </si>
  <si>
    <t>2006-06-27</t>
  </si>
  <si>
    <t>2006-06-26</t>
  </si>
  <si>
    <t>7.4323</t>
  </si>
  <si>
    <t>2006-06-23</t>
  </si>
  <si>
    <t>2006-06-22</t>
  </si>
  <si>
    <t>7.1161</t>
  </si>
  <si>
    <t>2006-06-21</t>
  </si>
  <si>
    <t>2006-06-20</t>
  </si>
  <si>
    <t>7.0179</t>
  </si>
  <si>
    <t>2006-06-19</t>
  </si>
  <si>
    <t>6.8819</t>
  </si>
  <si>
    <t>2006-06-15</t>
  </si>
  <si>
    <t>6.8134</t>
  </si>
  <si>
    <t>2006-06-14</t>
  </si>
  <si>
    <t>6.8274</t>
  </si>
  <si>
    <t>2006-06-13</t>
  </si>
  <si>
    <t>2006-06-12</t>
  </si>
  <si>
    <t>6.7169</t>
  </si>
  <si>
    <t>2006-06-09</t>
  </si>
  <si>
    <t>6.7433</t>
  </si>
  <si>
    <t>2006-06-08</t>
  </si>
  <si>
    <t>6.8170</t>
  </si>
  <si>
    <t>2006-06-07</t>
  </si>
  <si>
    <t>2006-06-06</t>
  </si>
  <si>
    <t>6.7356</t>
  </si>
  <si>
    <t>2006-06-05</t>
  </si>
  <si>
    <t>6.6304</t>
  </si>
  <si>
    <t>2006-06-02</t>
  </si>
  <si>
    <t>6.6449</t>
  </si>
  <si>
    <t>2006-06-01</t>
  </si>
  <si>
    <t>6.7257</t>
  </si>
  <si>
    <t>2006-05-31</t>
  </si>
  <si>
    <t>6.6692</t>
  </si>
  <si>
    <t>2006-05-30</t>
  </si>
  <si>
    <t>6.5140</t>
  </si>
  <si>
    <t>2006-05-29</t>
  </si>
  <si>
    <t>6.4894</t>
  </si>
  <si>
    <t>2006-05-26</t>
  </si>
  <si>
    <t>6.5378</t>
  </si>
  <si>
    <t>2006-05-25</t>
  </si>
  <si>
    <t>6.5978</t>
  </si>
  <si>
    <t>2006-05-24</t>
  </si>
  <si>
    <t>6.6347</t>
  </si>
  <si>
    <t>2006-05-23</t>
  </si>
  <si>
    <t>2006-05-22</t>
  </si>
  <si>
    <t>6.6343</t>
  </si>
  <si>
    <t>2006-05-19</t>
  </si>
  <si>
    <t>6.4135</t>
  </si>
  <si>
    <t>2006-05-18</t>
  </si>
  <si>
    <t>6.4361</t>
  </si>
  <si>
    <t>2006-05-17</t>
  </si>
  <si>
    <t>6.2264</t>
  </si>
  <si>
    <t>2006-05-16</t>
  </si>
  <si>
    <t>6.4168</t>
  </si>
  <si>
    <t>2006-05-15</t>
  </si>
  <si>
    <t>6.4248</t>
  </si>
  <si>
    <t>2006-05-12</t>
  </si>
  <si>
    <t>6.1166</t>
  </si>
  <si>
    <t>2006-05-11</t>
  </si>
  <si>
    <t>6.1198</t>
  </si>
  <si>
    <t>2006-05-10</t>
  </si>
  <si>
    <t>6.0579</t>
  </si>
  <si>
    <t>2006-05-09</t>
  </si>
  <si>
    <t>6.1046</t>
  </si>
  <si>
    <t>2006-05-08</t>
  </si>
  <si>
    <t>6.0348</t>
  </si>
  <si>
    <t>2006-05-05</t>
  </si>
  <si>
    <t>6.0578</t>
  </si>
  <si>
    <t>2006-05-04</t>
  </si>
  <si>
    <t>6.1229</t>
  </si>
  <si>
    <t>2006-05-03</t>
  </si>
  <si>
    <t>6.0465</t>
  </si>
  <si>
    <t>2006-05-02</t>
  </si>
  <si>
    <t>6.0381</t>
  </si>
  <si>
    <t>2006-04-28</t>
  </si>
  <si>
    <t>6.1460</t>
  </si>
  <si>
    <t>2006-04-26</t>
  </si>
  <si>
    <t>6.1679</t>
  </si>
  <si>
    <t>2006-04-25</t>
  </si>
  <si>
    <t>6.0385</t>
  </si>
  <si>
    <t>2006-04-24</t>
  </si>
  <si>
    <t>5.9782</t>
  </si>
  <si>
    <t>2006-04-21</t>
  </si>
  <si>
    <t>6.0392</t>
  </si>
  <si>
    <t>2006-04-20</t>
  </si>
  <si>
    <t>5.9698</t>
  </si>
  <si>
    <t>2006-04-19</t>
  </si>
  <si>
    <t>5.9680</t>
  </si>
  <si>
    <t>2006-04-18</t>
  </si>
  <si>
    <t>6.0708</t>
  </si>
  <si>
    <t>2006-04-13</t>
  </si>
  <si>
    <t>6.1216</t>
  </si>
  <si>
    <t>2006-04-12</t>
  </si>
  <si>
    <t>6.1142</t>
  </si>
  <si>
    <t>2006-04-11</t>
  </si>
  <si>
    <t>6.1226</t>
  </si>
  <si>
    <t>2006-04-10</t>
  </si>
  <si>
    <t>6.1071</t>
  </si>
  <si>
    <t>2006-04-07</t>
  </si>
  <si>
    <t>6.0537</t>
  </si>
  <si>
    <t>2006-04-06</t>
  </si>
  <si>
    <t>6.0308</t>
  </si>
  <si>
    <t>2006-04-05</t>
  </si>
  <si>
    <t>6.0543</t>
  </si>
  <si>
    <t>2006-04-04</t>
  </si>
  <si>
    <t>6.0980</t>
  </si>
  <si>
    <t>2006-04-03</t>
  </si>
  <si>
    <t>6.1546</t>
  </si>
  <si>
    <t>2006-03-31</t>
  </si>
  <si>
    <t>6.1942</t>
  </si>
  <si>
    <t>2006-03-30</t>
  </si>
  <si>
    <t>6.2709</t>
  </si>
  <si>
    <t>2006-03-29</t>
  </si>
  <si>
    <t>6.3097</t>
  </si>
  <si>
    <t>2006-03-28</t>
  </si>
  <si>
    <t>6.2737</t>
  </si>
  <si>
    <t>2006-03-27</t>
  </si>
  <si>
    <t>6.2745</t>
  </si>
  <si>
    <t>2006-03-24</t>
  </si>
  <si>
    <t>6.3354</t>
  </si>
  <si>
    <t>2006-03-23</t>
  </si>
  <si>
    <t>6.3133</t>
  </si>
  <si>
    <t>2006-03-22</t>
  </si>
  <si>
    <t>6.3752</t>
  </si>
  <si>
    <t>2006-03-20</t>
  </si>
  <si>
    <t>6.2554</t>
  </si>
  <si>
    <t>2006-03-17</t>
  </si>
  <si>
    <t>6.1909</t>
  </si>
  <si>
    <t>2006-03-16</t>
  </si>
  <si>
    <t>6.2141</t>
  </si>
  <si>
    <t>2006-03-15</t>
  </si>
  <si>
    <t>6.2278</t>
  </si>
  <si>
    <t>2006-03-14</t>
  </si>
  <si>
    <t>6.2747</t>
  </si>
  <si>
    <t>2006-03-13</t>
  </si>
  <si>
    <t>6.2073</t>
  </si>
  <si>
    <t>2006-03-10</t>
  </si>
  <si>
    <t>6.2766</t>
  </si>
  <si>
    <t>2006-03-09</t>
  </si>
  <si>
    <t>2006-03-08</t>
  </si>
  <si>
    <t>6.2735</t>
  </si>
  <si>
    <t>2006-03-07</t>
  </si>
  <si>
    <t>6.2998</t>
  </si>
  <si>
    <t>2006-03-06</t>
  </si>
  <si>
    <t>6.2379</t>
  </si>
  <si>
    <t>2006-03-03</t>
  </si>
  <si>
    <t>6.1184</t>
  </si>
  <si>
    <t>2006-03-02</t>
  </si>
  <si>
    <t>6.1563</t>
  </si>
  <si>
    <t>2006-02-28</t>
  </si>
  <si>
    <t>6.1729</t>
  </si>
  <si>
    <t>2006-02-27</t>
  </si>
  <si>
    <t>6.1382</t>
  </si>
  <si>
    <t>2006-02-24</t>
  </si>
  <si>
    <t>6.1256</t>
  </si>
  <si>
    <t>2006-02-23</t>
  </si>
  <si>
    <t>6.0926</t>
  </si>
  <si>
    <t>2006-02-22</t>
  </si>
  <si>
    <t>6.0950</t>
  </si>
  <si>
    <t>2006-02-21</t>
  </si>
  <si>
    <t>6.0548</t>
  </si>
  <si>
    <t>2006-02-20</t>
  </si>
  <si>
    <t>6.0384</t>
  </si>
  <si>
    <t>2006-02-17</t>
  </si>
  <si>
    <t>6.0505</t>
  </si>
  <si>
    <t>2006-02-16</t>
  </si>
  <si>
    <t>6.0997</t>
  </si>
  <si>
    <t>2006-02-15</t>
  </si>
  <si>
    <t>6.1269</t>
  </si>
  <si>
    <t>2006-02-14</t>
  </si>
  <si>
    <t>6.1676</t>
  </si>
  <si>
    <t>2006-02-13</t>
  </si>
  <si>
    <t>6.1731</t>
  </si>
  <si>
    <t>2006-02-10</t>
  </si>
  <si>
    <t>6.1132</t>
  </si>
  <si>
    <t>2006-02-09</t>
  </si>
  <si>
    <t>6.1687</t>
  </si>
  <si>
    <t>2006-02-08</t>
  </si>
  <si>
    <t>6.2291</t>
  </si>
  <si>
    <t>2006-02-07</t>
  </si>
  <si>
    <t>6.1251</t>
  </si>
  <si>
    <t>2006-02-06</t>
  </si>
  <si>
    <t>6.0951</t>
  </si>
  <si>
    <t>2006-02-03</t>
  </si>
  <si>
    <t>6.0857</t>
  </si>
  <si>
    <t>2006-02-02</t>
  </si>
  <si>
    <t>6.1304</t>
  </si>
  <si>
    <t>2006-02-01</t>
  </si>
  <si>
    <t>6.0778</t>
  </si>
  <si>
    <t>2006-01-31</t>
  </si>
  <si>
    <t>6.1126</t>
  </si>
  <si>
    <t>2006-01-30</t>
  </si>
  <si>
    <t>6.1748</t>
  </si>
  <si>
    <t>2006-01-27</t>
  </si>
  <si>
    <t>6.1072</t>
  </si>
  <si>
    <t>2006-01-26</t>
  </si>
  <si>
    <t>6.0759</t>
  </si>
  <si>
    <t>2006-01-25</t>
  </si>
  <si>
    <t>6.0379</t>
  </si>
  <si>
    <t>2006-01-24</t>
  </si>
  <si>
    <t>6.0152</t>
  </si>
  <si>
    <t>2006-01-23</t>
  </si>
  <si>
    <t>5.9777</t>
  </si>
  <si>
    <t>2006-01-20</t>
  </si>
  <si>
    <t>5.9929</t>
  </si>
  <si>
    <t>2006-01-19</t>
  </si>
  <si>
    <t>6.0587</t>
  </si>
  <si>
    <t>2006-01-18</t>
  </si>
  <si>
    <t>6.0710</t>
  </si>
  <si>
    <t>2006-01-17</t>
  </si>
  <si>
    <t>5.9986</t>
  </si>
  <si>
    <t>2006-01-16</t>
  </si>
  <si>
    <t>5.9952</t>
  </si>
  <si>
    <t>2006-01-13</t>
  </si>
  <si>
    <t>6.0960</t>
  </si>
  <si>
    <t>2006-01-12</t>
  </si>
  <si>
    <t>6.0389</t>
  </si>
  <si>
    <t>2006-01-11</t>
  </si>
  <si>
    <t>6.1398</t>
  </si>
  <si>
    <t>2006-01-10</t>
  </si>
  <si>
    <t>6.0771</t>
  </si>
  <si>
    <t>2006-01-09</t>
  </si>
  <si>
    <t>6.1092</t>
  </si>
  <si>
    <t>2006-01-06</t>
  </si>
  <si>
    <t>6.1508</t>
  </si>
  <si>
    <t>2006-01-05</t>
  </si>
  <si>
    <t>6.1969</t>
  </si>
  <si>
    <t>2006-01-04</t>
  </si>
  <si>
    <t>6.1702</t>
  </si>
  <si>
    <t>2006-01-03</t>
  </si>
  <si>
    <t>6.2961</t>
  </si>
  <si>
    <t>2005-12-30</t>
  </si>
  <si>
    <t>6.3205</t>
  </si>
  <si>
    <t>2005-12-29</t>
  </si>
  <si>
    <t>6.3355</t>
  </si>
  <si>
    <t>2005-12-28</t>
  </si>
  <si>
    <t>6.3348</t>
  </si>
  <si>
    <t>2005-12-27</t>
  </si>
  <si>
    <t>6.3705</t>
  </si>
  <si>
    <t>2005-12-23</t>
  </si>
  <si>
    <t>6.3755</t>
  </si>
  <si>
    <t>2005-12-22</t>
  </si>
  <si>
    <t>6.3875</t>
  </si>
  <si>
    <t>2005-12-21</t>
  </si>
  <si>
    <t>6.3832</t>
  </si>
  <si>
    <t>2005-12-20</t>
  </si>
  <si>
    <t>6.3645</t>
  </si>
  <si>
    <t>2005-12-19</t>
  </si>
  <si>
    <t>6.3874</t>
  </si>
  <si>
    <t>2005-12-15</t>
  </si>
  <si>
    <t>6.3568</t>
  </si>
  <si>
    <t>2005-12-14</t>
  </si>
  <si>
    <t>6.2629</t>
  </si>
  <si>
    <t>2005-12-13</t>
  </si>
  <si>
    <t>6.3449</t>
  </si>
  <si>
    <t>2005-12-12</t>
  </si>
  <si>
    <t>6.3627</t>
  </si>
  <si>
    <t>2005-12-09</t>
  </si>
  <si>
    <t>6.3630</t>
  </si>
  <si>
    <t>2005-12-08</t>
  </si>
  <si>
    <t>6.3207</t>
  </si>
  <si>
    <t>2005-12-07</t>
  </si>
  <si>
    <t>6.3079</t>
  </si>
  <si>
    <t>2005-12-06</t>
  </si>
  <si>
    <t>6.3217</t>
  </si>
  <si>
    <t>2005-12-05</t>
  </si>
  <si>
    <t>6.3905</t>
  </si>
  <si>
    <t>2005-12-02</t>
  </si>
  <si>
    <t>6.4284</t>
  </si>
  <si>
    <t>2005-12-01</t>
  </si>
  <si>
    <t>6.4692</t>
  </si>
  <si>
    <t>2005-11-30</t>
  </si>
  <si>
    <t>6.4753</t>
  </si>
  <si>
    <t>2005-11-29</t>
  </si>
  <si>
    <t>6.4837</t>
  </si>
  <si>
    <t>2005-11-28</t>
  </si>
  <si>
    <t>6.5341</t>
  </si>
  <si>
    <t>2005-11-25</t>
  </si>
  <si>
    <t>6.5257</t>
  </si>
  <si>
    <t>2005-11-24</t>
  </si>
  <si>
    <t>6.5175</t>
  </si>
  <si>
    <t>2005-11-23</t>
  </si>
  <si>
    <t>6.5869</t>
  </si>
  <si>
    <t>2005-11-22</t>
  </si>
  <si>
    <t>6.6196</t>
  </si>
  <si>
    <t>2005-11-21</t>
  </si>
  <si>
    <t>6.6583</t>
  </si>
  <si>
    <t>2005-11-18</t>
  </si>
  <si>
    <t>6.7141</t>
  </si>
  <si>
    <t>2005-11-17</t>
  </si>
  <si>
    <t>6.7375</t>
  </si>
  <si>
    <t>2005-11-16</t>
  </si>
  <si>
    <t>6.7600</t>
  </si>
  <si>
    <t>2005-11-15</t>
  </si>
  <si>
    <t>6.7733</t>
  </si>
  <si>
    <t>2005-11-14</t>
  </si>
  <si>
    <t>6.7180</t>
  </si>
  <si>
    <t>2005-11-11</t>
  </si>
  <si>
    <t>6.7669</t>
  </si>
  <si>
    <t>2005-11-10</t>
  </si>
  <si>
    <t>6.7560</t>
  </si>
  <si>
    <t>2005-11-09</t>
  </si>
  <si>
    <t>6.7161</t>
  </si>
  <si>
    <t>2005-11-08</t>
  </si>
  <si>
    <t>6.7674</t>
  </si>
  <si>
    <t>2005-11-07</t>
  </si>
  <si>
    <t>6.7067</t>
  </si>
  <si>
    <t>2005-11-04</t>
  </si>
  <si>
    <t>6.6485</t>
  </si>
  <si>
    <t>2005-11-03</t>
  </si>
  <si>
    <t>6.6333</t>
  </si>
  <si>
    <t>2005-11-02</t>
  </si>
  <si>
    <t>6.6548</t>
  </si>
  <si>
    <t>2005-11-01</t>
  </si>
  <si>
    <t>6.7190</t>
  </si>
  <si>
    <t>2005-10-31</t>
  </si>
  <si>
    <t>6.7121</t>
  </si>
  <si>
    <t>2005-10-28</t>
  </si>
  <si>
    <t>6.6936</t>
  </si>
  <si>
    <t>2005-10-27</t>
  </si>
  <si>
    <t>6.7041</t>
  </si>
  <si>
    <t>2005-10-26</t>
  </si>
  <si>
    <t>6.6235</t>
  </si>
  <si>
    <t>2005-10-25</t>
  </si>
  <si>
    <t>6.6392</t>
  </si>
  <si>
    <t>2005-10-24</t>
  </si>
  <si>
    <t>6.6324</t>
  </si>
  <si>
    <t>2005-10-21</t>
  </si>
  <si>
    <t>6.5866</t>
  </si>
  <si>
    <t>2005-10-20</t>
  </si>
  <si>
    <t>6.5762</t>
  </si>
  <si>
    <t>2005-10-19</t>
  </si>
  <si>
    <t>6.6219</t>
  </si>
  <si>
    <t>2005-10-18</t>
  </si>
  <si>
    <t>6.5704</t>
  </si>
  <si>
    <t>2005-10-17</t>
  </si>
  <si>
    <t>6.4994</t>
  </si>
  <si>
    <t>2005-10-14</t>
  </si>
  <si>
    <t>6.5916</t>
  </si>
  <si>
    <t>2005-10-13</t>
  </si>
  <si>
    <t>6.6397</t>
  </si>
  <si>
    <t>2005-10-12</t>
  </si>
  <si>
    <t>6.5625</t>
  </si>
  <si>
    <t>2005-10-11</t>
  </si>
  <si>
    <t>6.5256</t>
  </si>
  <si>
    <t>2005-10-10</t>
  </si>
  <si>
    <t>6.5350</t>
  </si>
  <si>
    <t>2005-10-07</t>
  </si>
  <si>
    <t>6.5475</t>
  </si>
  <si>
    <t>2005-10-06</t>
  </si>
  <si>
    <t>6.5612</t>
  </si>
  <si>
    <t>2005-10-05</t>
  </si>
  <si>
    <t>6.4556</t>
  </si>
  <si>
    <t>2005-10-04</t>
  </si>
  <si>
    <t>6.4422</t>
  </si>
  <si>
    <t>2005-10-03</t>
  </si>
  <si>
    <t>6.4093</t>
  </si>
  <si>
    <t>2005-09-30</t>
  </si>
  <si>
    <t>6.3692</t>
  </si>
  <si>
    <t>2005-09-29</t>
  </si>
  <si>
    <t>6.3870</t>
  </si>
  <si>
    <t>2005-09-28</t>
  </si>
  <si>
    <t>6.4524</t>
  </si>
  <si>
    <t>2005-09-27</t>
  </si>
  <si>
    <t>6.3797</t>
  </si>
  <si>
    <t>2005-09-26</t>
  </si>
  <si>
    <t>6.3933</t>
  </si>
  <si>
    <t>2005-09-23</t>
  </si>
  <si>
    <t>6.3552</t>
  </si>
  <si>
    <t>2005-09-22</t>
  </si>
  <si>
    <t>6.3478</t>
  </si>
  <si>
    <t>2005-09-21</t>
  </si>
  <si>
    <t>6.3736</t>
  </si>
  <si>
    <t>2005-09-20</t>
  </si>
  <si>
    <t>6.4050</t>
  </si>
  <si>
    <t>2005-09-19</t>
  </si>
  <si>
    <t>6.4539</t>
  </si>
  <si>
    <t>2005-09-16</t>
  </si>
  <si>
    <t>6.3642</t>
  </si>
  <si>
    <t>2005-09-15</t>
  </si>
  <si>
    <t>6.3938</t>
  </si>
  <si>
    <t>2005-09-14</t>
  </si>
  <si>
    <t>6.3589</t>
  </si>
  <si>
    <t>2005-09-13</t>
  </si>
  <si>
    <t>6.3751</t>
  </si>
  <si>
    <t>2005-09-12</t>
  </si>
  <si>
    <t>6.3711</t>
  </si>
  <si>
    <t>2005-09-09</t>
  </si>
  <si>
    <t>6.3160</t>
  </si>
  <si>
    <t>2005-09-08</t>
  </si>
  <si>
    <t>6.3258</t>
  </si>
  <si>
    <t>2005-09-07</t>
  </si>
  <si>
    <t>6.2977</t>
  </si>
  <si>
    <t>2005-09-06</t>
  </si>
  <si>
    <t>6.2811</t>
  </si>
  <si>
    <t>2005-09-05</t>
  </si>
  <si>
    <t>6.2347</t>
  </si>
  <si>
    <t>2005-09-02</t>
  </si>
  <si>
    <t>6.2647</t>
  </si>
  <si>
    <t>2005-09-01</t>
  </si>
  <si>
    <t>6.3810</t>
  </si>
  <si>
    <t>2005-08-31</t>
  </si>
  <si>
    <t>6.5033</t>
  </si>
  <si>
    <t>2005-08-30</t>
  </si>
  <si>
    <t>6.4808</t>
  </si>
  <si>
    <t>2005-08-29</t>
  </si>
  <si>
    <t>6.4355</t>
  </si>
  <si>
    <t>2005-08-26</t>
  </si>
  <si>
    <t>6.4562</t>
  </si>
  <si>
    <t>2005-08-25</t>
  </si>
  <si>
    <t>6.4565</t>
  </si>
  <si>
    <t>2005-08-24</t>
  </si>
  <si>
    <t>6.4959</t>
  </si>
  <si>
    <t>2005-08-23</t>
  </si>
  <si>
    <t>6.4883</t>
  </si>
  <si>
    <t>2005-08-22</t>
  </si>
  <si>
    <t>6.5226</t>
  </si>
  <si>
    <t>2005-08-19</t>
  </si>
  <si>
    <t>6.5480</t>
  </si>
  <si>
    <t>2005-08-18</t>
  </si>
  <si>
    <t>6.4973</t>
  </si>
  <si>
    <t>2005-08-17</t>
  </si>
  <si>
    <t>6.4630</t>
  </si>
  <si>
    <t>2005-08-16</t>
  </si>
  <si>
    <t>6.4401</t>
  </si>
  <si>
    <t>2005-08-15</t>
  </si>
  <si>
    <t>6.4304</t>
  </si>
  <si>
    <t>2005-08-12</t>
  </si>
  <si>
    <t>6.3438</t>
  </si>
  <si>
    <t>2005-08-11</t>
  </si>
  <si>
    <t>6.3753</t>
  </si>
  <si>
    <t>2005-08-10</t>
  </si>
  <si>
    <t>6.3984</t>
  </si>
  <si>
    <t>2005-08-08</t>
  </si>
  <si>
    <t>6.4747</t>
  </si>
  <si>
    <t>2005-08-05</t>
  </si>
  <si>
    <t>6.4405</t>
  </si>
  <si>
    <t>2005-08-04</t>
  </si>
  <si>
    <t>2005-08-03</t>
  </si>
  <si>
    <t>6.5044</t>
  </si>
  <si>
    <t>2005-08-02</t>
  </si>
  <si>
    <t>6.4943</t>
  </si>
  <si>
    <t>2005-08-01</t>
  </si>
  <si>
    <t>6.5490</t>
  </si>
  <si>
    <t>2005-07-29</t>
  </si>
  <si>
    <t>6.6329</t>
  </si>
  <si>
    <t>2005-07-28</t>
  </si>
  <si>
    <t>6.6429</t>
  </si>
  <si>
    <t>2005-07-27</t>
  </si>
  <si>
    <t>6.6907</t>
  </si>
  <si>
    <t>2005-07-26</t>
  </si>
  <si>
    <t>6.6801</t>
  </si>
  <si>
    <t>2005-07-25</t>
  </si>
  <si>
    <t>6.6769</t>
  </si>
  <si>
    <t>2005-07-22</t>
  </si>
  <si>
    <t>6.5769</t>
  </si>
  <si>
    <t>2005-07-21</t>
  </si>
  <si>
    <t>6.5858</t>
  </si>
  <si>
    <t>2005-07-20</t>
  </si>
  <si>
    <t>6.6619</t>
  </si>
  <si>
    <t>2005-07-19</t>
  </si>
  <si>
    <t>6.7118</t>
  </si>
  <si>
    <t>2005-07-18</t>
  </si>
  <si>
    <t>6.6408</t>
  </si>
  <si>
    <t>2005-07-15</t>
  </si>
  <si>
    <t>6.5952</t>
  </si>
  <si>
    <t>2005-07-14</t>
  </si>
  <si>
    <t>6.6648</t>
  </si>
  <si>
    <t>2005-07-13</t>
  </si>
  <si>
    <t>6.5371</t>
  </si>
  <si>
    <t>2005-07-12</t>
  </si>
  <si>
    <t>6.6564</t>
  </si>
  <si>
    <t>2005-07-11</t>
  </si>
  <si>
    <t>6.8383</t>
  </si>
  <si>
    <t>2005-07-08</t>
  </si>
  <si>
    <t>6.9186</t>
  </si>
  <si>
    <t>2005-07-07</t>
  </si>
  <si>
    <t>6.8558</t>
  </si>
  <si>
    <t>2005-07-06</t>
  </si>
  <si>
    <t>6.8141</t>
  </si>
  <si>
    <t>2005-07-05</t>
  </si>
  <si>
    <t>6.8687</t>
  </si>
  <si>
    <t>2005-07-04</t>
  </si>
  <si>
    <t>6.8509</t>
  </si>
  <si>
    <t>2005-07-01</t>
  </si>
  <si>
    <t>6.7081</t>
  </si>
  <si>
    <t>2005-06-30</t>
  </si>
  <si>
    <t>6.6728</t>
  </si>
  <si>
    <t>2005-06-29</t>
  </si>
  <si>
    <t>6.7541</t>
  </si>
  <si>
    <t>2005-06-28</t>
  </si>
  <si>
    <t>2005-06-27</t>
  </si>
  <si>
    <t>6.6644</t>
  </si>
  <si>
    <t>2005-06-24</t>
  </si>
  <si>
    <t>6.7629</t>
  </si>
  <si>
    <t>2005-06-23</t>
  </si>
  <si>
    <t>6.7641</t>
  </si>
  <si>
    <t>2005-06-22</t>
  </si>
  <si>
    <t>6.7037</t>
  </si>
  <si>
    <t>2005-06-21</t>
  </si>
  <si>
    <t>6.7940</t>
  </si>
  <si>
    <t>2005-06-20</t>
  </si>
  <si>
    <t>6.6622</t>
  </si>
  <si>
    <t>2005-06-17</t>
  </si>
  <si>
    <t>6.6937</t>
  </si>
  <si>
    <t>2005-06-15</t>
  </si>
  <si>
    <t>6.8680</t>
  </si>
  <si>
    <t>2005-06-14</t>
  </si>
  <si>
    <t>6.8533</t>
  </si>
  <si>
    <t>2005-06-13</t>
  </si>
  <si>
    <t>6.7833</t>
  </si>
  <si>
    <t>2005-06-10</t>
  </si>
  <si>
    <t>2005-06-09</t>
  </si>
  <si>
    <t>6.8240</t>
  </si>
  <si>
    <t>2005-06-08</t>
  </si>
  <si>
    <t>6.6664</t>
  </si>
  <si>
    <t>2005-06-07</t>
  </si>
  <si>
    <t>6.6862</t>
  </si>
  <si>
    <t>2005-06-06</t>
  </si>
  <si>
    <t>6.7696</t>
  </si>
  <si>
    <t>2005-06-03</t>
  </si>
  <si>
    <t>6.8049</t>
  </si>
  <si>
    <t>2005-06-02</t>
  </si>
  <si>
    <t>6.8607</t>
  </si>
  <si>
    <t>2005-06-01</t>
  </si>
  <si>
    <t>2005-05-31</t>
  </si>
  <si>
    <t>6.7072</t>
  </si>
  <si>
    <t>2005-05-30</t>
  </si>
  <si>
    <t>6.6306</t>
  </si>
  <si>
    <t>2005-05-27</t>
  </si>
  <si>
    <t>6.6355</t>
  </si>
  <si>
    <t>2005-05-26</t>
  </si>
  <si>
    <t>6.5238</t>
  </si>
  <si>
    <t>2005-05-25</t>
  </si>
  <si>
    <t>6.5574</t>
  </si>
  <si>
    <t>2005-05-24</t>
  </si>
  <si>
    <t>6.5047</t>
  </si>
  <si>
    <t>2005-05-23</t>
  </si>
  <si>
    <t>6.5572</t>
  </si>
  <si>
    <t>2005-05-20</t>
  </si>
  <si>
    <t>6.3790</t>
  </si>
  <si>
    <t>2005-05-19</t>
  </si>
  <si>
    <t>6.3749</t>
  </si>
  <si>
    <t>2005-05-18</t>
  </si>
  <si>
    <t>6.4398</t>
  </si>
  <si>
    <t>2005-05-17</t>
  </si>
  <si>
    <t>6.4166</t>
  </si>
  <si>
    <t>2005-05-16</t>
  </si>
  <si>
    <t>6.3376</t>
  </si>
  <si>
    <t>2005-05-13</t>
  </si>
  <si>
    <t>6.3059</t>
  </si>
  <si>
    <t>2005-05-12</t>
  </si>
  <si>
    <t>6.2300</t>
  </si>
  <si>
    <t>2005-05-11</t>
  </si>
  <si>
    <t>6.1737</t>
  </si>
  <si>
    <t>2005-05-10</t>
  </si>
  <si>
    <t>6.1857</t>
  </si>
  <si>
    <t>2005-05-09</t>
  </si>
  <si>
    <t>6.0655</t>
  </si>
  <si>
    <t>2005-05-06</t>
  </si>
  <si>
    <t>5.9656</t>
  </si>
  <si>
    <t>2005-05-05</t>
  </si>
  <si>
    <t>5.9519</t>
  </si>
  <si>
    <t>2005-05-04</t>
  </si>
  <si>
    <t>6.0569</t>
  </si>
  <si>
    <t>2005-05-03</t>
  </si>
  <si>
    <t>6.1246</t>
  </si>
  <si>
    <t>2005-04-29</t>
  </si>
  <si>
    <t>6.0772</t>
  </si>
  <si>
    <t>2005-04-28</t>
  </si>
  <si>
    <t>6.0831</t>
  </si>
  <si>
    <t>2005-04-26</t>
  </si>
  <si>
    <t>6.0878</t>
  </si>
  <si>
    <t>2005-04-25</t>
  </si>
  <si>
    <t>6.0442</t>
  </si>
  <si>
    <t>2005-04-22</t>
  </si>
  <si>
    <t>6.0678</t>
  </si>
  <si>
    <t>2005-04-21</t>
  </si>
  <si>
    <t>6.1003</t>
  </si>
  <si>
    <t>2005-04-20</t>
  </si>
  <si>
    <t>6.1721</t>
  </si>
  <si>
    <t>2005-04-19</t>
  </si>
  <si>
    <t>6.2354</t>
  </si>
  <si>
    <t>2005-04-18</t>
  </si>
  <si>
    <t>6.2614</t>
  </si>
  <si>
    <t>2005-04-15</t>
  </si>
  <si>
    <t>6.3100</t>
  </si>
  <si>
    <t>2005-04-14</t>
  </si>
  <si>
    <t>6.1577</t>
  </si>
  <si>
    <t>2005-04-13</t>
  </si>
  <si>
    <t>6.1228</t>
  </si>
  <si>
    <t>2005-04-12</t>
  </si>
  <si>
    <t>6.1476</t>
  </si>
  <si>
    <t>2005-04-11</t>
  </si>
  <si>
    <t>6.1053</t>
  </si>
  <si>
    <t>2005-04-08</t>
  </si>
  <si>
    <t>6.1858</t>
  </si>
  <si>
    <t>2005-04-07</t>
  </si>
  <si>
    <t>6.1050</t>
  </si>
  <si>
    <t>2005-04-06</t>
  </si>
  <si>
    <t>6.1017</t>
  </si>
  <si>
    <t>2005-04-05</t>
  </si>
  <si>
    <t>6.2693</t>
  </si>
  <si>
    <t>2005-04-04</t>
  </si>
  <si>
    <t>6.2015</t>
  </si>
  <si>
    <t>2005-04-01</t>
  </si>
  <si>
    <t>6.2234</t>
  </si>
  <si>
    <t>2005-03-31</t>
  </si>
  <si>
    <t>6.2404</t>
  </si>
  <si>
    <t>2005-03-30</t>
  </si>
  <si>
    <t>6.2910</t>
  </si>
  <si>
    <t>2005-03-29</t>
  </si>
  <si>
    <t>6.3613</t>
  </si>
  <si>
    <t>2005-03-24</t>
  </si>
  <si>
    <t>6.1839</t>
  </si>
  <si>
    <t>2005-03-23</t>
  </si>
  <si>
    <t>6.2252</t>
  </si>
  <si>
    <t>2005-03-22</t>
  </si>
  <si>
    <t>6.0962</t>
  </si>
  <si>
    <t>2005-03-18</t>
  </si>
  <si>
    <t>6.0800</t>
  </si>
  <si>
    <t>2005-03-17</t>
  </si>
  <si>
    <t>6.0929</t>
  </si>
  <si>
    <t>2005-03-16</t>
  </si>
  <si>
    <t>6.0957</t>
  </si>
  <si>
    <t>2005-03-15</t>
  </si>
  <si>
    <t>6.0401</t>
  </si>
  <si>
    <t>2005-03-14</t>
  </si>
  <si>
    <t>5.8666</t>
  </si>
  <si>
    <t>2005-03-11</t>
  </si>
  <si>
    <t>5.8501</t>
  </si>
  <si>
    <t>2005-03-10</t>
  </si>
  <si>
    <t>5.7789</t>
  </si>
  <si>
    <t>2005-03-09</t>
  </si>
  <si>
    <t>5.7577</t>
  </si>
  <si>
    <t>2005-03-08</t>
  </si>
  <si>
    <t>5.8537</t>
  </si>
  <si>
    <t>2005-03-07</t>
  </si>
  <si>
    <t>5.8753</t>
  </si>
  <si>
    <t>2005-03-04</t>
  </si>
  <si>
    <t>5.9757</t>
  </si>
  <si>
    <t>2005-03-03</t>
  </si>
  <si>
    <t>5.9278</t>
  </si>
  <si>
    <t>2005-03-02</t>
  </si>
  <si>
    <t>5.8726</t>
  </si>
  <si>
    <t>2005-03-01</t>
  </si>
  <si>
    <t>5.8421</t>
  </si>
  <si>
    <t>2005-02-28</t>
  </si>
  <si>
    <t>5.7871</t>
  </si>
  <si>
    <t>2005-02-25</t>
  </si>
  <si>
    <t>5.8507</t>
  </si>
  <si>
    <t>2005-02-24</t>
  </si>
  <si>
    <t>5.8429</t>
  </si>
  <si>
    <t>2005-02-23</t>
  </si>
  <si>
    <t>5.8161</t>
  </si>
  <si>
    <t>2005-02-22</t>
  </si>
  <si>
    <t>5.8573</t>
  </si>
  <si>
    <t>2005-02-21</t>
  </si>
  <si>
    <t>5.9385</t>
  </si>
  <si>
    <t>2005-02-18</t>
  </si>
  <si>
    <t>5.9554</t>
  </si>
  <si>
    <t>2005-02-17</t>
  </si>
  <si>
    <t>5.9749</t>
  </si>
  <si>
    <t>2005-02-16</t>
  </si>
  <si>
    <t>5.9896</t>
  </si>
  <si>
    <t>2005-02-15</t>
  </si>
  <si>
    <t>6.0446</t>
  </si>
  <si>
    <t>2005-02-14</t>
  </si>
  <si>
    <t>6.0622</t>
  </si>
  <si>
    <t>2005-02-11</t>
  </si>
  <si>
    <t>6.1355</t>
  </si>
  <si>
    <t>2005-02-10</t>
  </si>
  <si>
    <t>6.2302</t>
  </si>
  <si>
    <t>2005-02-09</t>
  </si>
  <si>
    <t>6.2518</t>
  </si>
  <si>
    <t>2005-02-08</t>
  </si>
  <si>
    <t>6.2392</t>
  </si>
  <si>
    <t>2005-02-07</t>
  </si>
  <si>
    <t>6.1852</t>
  </si>
  <si>
    <t>2005-02-04</t>
  </si>
  <si>
    <t>6.1613</t>
  </si>
  <si>
    <t>2005-02-03</t>
  </si>
  <si>
    <t>6.0274</t>
  </si>
  <si>
    <t>2005-02-02</t>
  </si>
  <si>
    <t>2005-02-01</t>
  </si>
  <si>
    <t>6.0245</t>
  </si>
  <si>
    <t>2005-01-31</t>
  </si>
  <si>
    <t>5.9830</t>
  </si>
  <si>
    <t>2005-01-28</t>
  </si>
  <si>
    <t>5.9374</t>
  </si>
  <si>
    <t>2005-01-27</t>
  </si>
  <si>
    <t>5.9052</t>
  </si>
  <si>
    <t>2005-01-26</t>
  </si>
  <si>
    <t>5.9724</t>
  </si>
  <si>
    <t>2005-01-25</t>
  </si>
  <si>
    <t>5.9553</t>
  </si>
  <si>
    <t>2005-01-24</t>
  </si>
  <si>
    <t>5.9603</t>
  </si>
  <si>
    <t>2005-01-21</t>
  </si>
  <si>
    <t>6.0652</t>
  </si>
  <si>
    <t>2005-01-20</t>
  </si>
  <si>
    <t>6.0669</t>
  </si>
  <si>
    <t>2005-01-19</t>
  </si>
  <si>
    <t>6.0453</t>
  </si>
  <si>
    <t>2005-01-18</t>
  </si>
  <si>
    <t>6.1031</t>
  </si>
  <si>
    <t>2005-01-17</t>
  </si>
  <si>
    <t>6.0649</t>
  </si>
  <si>
    <t>2005-01-14</t>
  </si>
  <si>
    <t>6.0877</t>
  </si>
  <si>
    <t>2005-01-13</t>
  </si>
  <si>
    <t>2005-01-12</t>
  </si>
  <si>
    <t>6.0187</t>
  </si>
  <si>
    <t>2005-01-11</t>
  </si>
  <si>
    <t>5.9586</t>
  </si>
  <si>
    <t>2005-01-10</t>
  </si>
  <si>
    <t>6.0518</t>
  </si>
  <si>
    <t>2005-01-07</t>
  </si>
  <si>
    <t>6.0795</t>
  </si>
  <si>
    <t>2005-01-06</t>
  </si>
  <si>
    <t>6.0006</t>
  </si>
  <si>
    <t>2005-01-05</t>
  </si>
  <si>
    <t>5.8459</t>
  </si>
  <si>
    <t>2005-01-04</t>
  </si>
  <si>
    <t>5.6736</t>
  </si>
  <si>
    <t>2005-01-03</t>
  </si>
  <si>
    <t>5.6497</t>
  </si>
  <si>
    <t>2004-12-31</t>
  </si>
  <si>
    <t>5.6356</t>
  </si>
  <si>
    <t>2004-12-30</t>
  </si>
  <si>
    <t>5.6903</t>
  </si>
  <si>
    <t>2004-12-29</t>
  </si>
  <si>
    <t>5.6148</t>
  </si>
  <si>
    <t>2004-12-28</t>
  </si>
  <si>
    <t>5.6332</t>
  </si>
  <si>
    <t>2004-12-24</t>
  </si>
  <si>
    <t>5.6487</t>
  </si>
  <si>
    <t>2004-12-23</t>
  </si>
  <si>
    <t>5.6419</t>
  </si>
  <si>
    <t>2004-12-22</t>
  </si>
  <si>
    <t>5.6634</t>
  </si>
  <si>
    <t>2004-12-21</t>
  </si>
  <si>
    <t>5.7044</t>
  </si>
  <si>
    <t>2004-12-20</t>
  </si>
  <si>
    <t>5.7514</t>
  </si>
  <si>
    <t>2004-12-17</t>
  </si>
  <si>
    <t>5.7681</t>
  </si>
  <si>
    <t>2004-12-15</t>
  </si>
  <si>
    <t>5.7318</t>
  </si>
  <si>
    <t>2004-12-14</t>
  </si>
  <si>
    <t>5.6987</t>
  </si>
  <si>
    <t>2004-12-13</t>
  </si>
  <si>
    <t>5.7859</t>
  </si>
  <si>
    <t>2004-12-10</t>
  </si>
  <si>
    <t>5.8842</t>
  </si>
  <si>
    <t>2004-12-09</t>
  </si>
  <si>
    <t>5.8535</t>
  </si>
  <si>
    <t>2004-12-08</t>
  </si>
  <si>
    <t>5.8593</t>
  </si>
  <si>
    <t>2004-12-07</t>
  </si>
  <si>
    <t>5.7262</t>
  </si>
  <si>
    <t>2004-12-06</t>
  </si>
  <si>
    <t>5.7345</t>
  </si>
  <si>
    <t>2004-12-03</t>
  </si>
  <si>
    <t>5.8388</t>
  </si>
  <si>
    <t>2004-12-02</t>
  </si>
  <si>
    <t>5.7427</t>
  </si>
  <si>
    <t>2004-12-01</t>
  </si>
  <si>
    <t>5.7935</t>
  </si>
  <si>
    <t>2004-11-30</t>
  </si>
  <si>
    <t>5.7945</t>
  </si>
  <si>
    <t>2004-11-29</t>
  </si>
  <si>
    <t>5.8493</t>
  </si>
  <si>
    <t>2004-11-26</t>
  </si>
  <si>
    <t>5.8851</t>
  </si>
  <si>
    <t>2004-11-25</t>
  </si>
  <si>
    <t>5.9087</t>
  </si>
  <si>
    <t>2004-11-24</t>
  </si>
  <si>
    <t>5.9579</t>
  </si>
  <si>
    <t>2004-11-23</t>
  </si>
  <si>
    <t>6.0229</t>
  </si>
  <si>
    <t>2004-11-22</t>
  </si>
  <si>
    <t>6.0377</t>
  </si>
  <si>
    <t>2004-11-19</t>
  </si>
  <si>
    <t>6.0203</t>
  </si>
  <si>
    <t>2004-11-18</t>
  </si>
  <si>
    <t>5.9600</t>
  </si>
  <si>
    <t>2004-11-17</t>
  </si>
  <si>
    <t>6.0231</t>
  </si>
  <si>
    <t>2004-11-16</t>
  </si>
  <si>
    <t>6.0849</t>
  </si>
  <si>
    <t>2004-11-15</t>
  </si>
  <si>
    <t>6.0699</t>
  </si>
  <si>
    <t>2004-11-12</t>
  </si>
  <si>
    <t>6.1877</t>
  </si>
  <si>
    <t>2004-11-11</t>
  </si>
  <si>
    <t>6.1994</t>
  </si>
  <si>
    <t>2004-11-10</t>
  </si>
  <si>
    <t>6.2238</t>
  </si>
  <si>
    <t>2004-11-09</t>
  </si>
  <si>
    <t>6.2209</t>
  </si>
  <si>
    <t>2004-11-08</t>
  </si>
  <si>
    <t>6.1395</t>
  </si>
  <si>
    <t>2004-11-05</t>
  </si>
  <si>
    <t>6.1491</t>
  </si>
  <si>
    <t>2004-11-04</t>
  </si>
  <si>
    <t>6.1029</t>
  </si>
  <si>
    <t>2004-11-03</t>
  </si>
  <si>
    <t>6.1529</t>
  </si>
  <si>
    <t>2004-11-02</t>
  </si>
  <si>
    <t>6.1638</t>
  </si>
  <si>
    <t>2004-11-01</t>
  </si>
  <si>
    <t>6.1272</t>
  </si>
  <si>
    <t>2004-10-29</t>
  </si>
  <si>
    <t>6.0865</t>
  </si>
  <si>
    <t>2004-10-28</t>
  </si>
  <si>
    <t>6.1602</t>
  </si>
  <si>
    <t>2004-10-27</t>
  </si>
  <si>
    <t>6.2361</t>
  </si>
  <si>
    <t>2004-10-26</t>
  </si>
  <si>
    <t>6.2069</t>
  </si>
  <si>
    <t>2004-10-25</t>
  </si>
  <si>
    <t>6.1204</t>
  </si>
  <si>
    <t>2004-10-22</t>
  </si>
  <si>
    <t>6.1894</t>
  </si>
  <si>
    <t>2004-10-21</t>
  </si>
  <si>
    <t>6.2978</t>
  </si>
  <si>
    <t>2004-10-20</t>
  </si>
  <si>
    <t>6.2746</t>
  </si>
  <si>
    <t>2004-10-19</t>
  </si>
  <si>
    <t>6.3725</t>
  </si>
  <si>
    <t>2004-10-18</t>
  </si>
  <si>
    <t>6.4138</t>
  </si>
  <si>
    <t>2004-10-15</t>
  </si>
  <si>
    <t>6.4918</t>
  </si>
  <si>
    <t>2004-10-14</t>
  </si>
  <si>
    <t>6.5749</t>
  </si>
  <si>
    <t>2004-10-13</t>
  </si>
  <si>
    <t>6.5640</t>
  </si>
  <si>
    <t>2004-10-12</t>
  </si>
  <si>
    <t>2004-10-11</t>
  </si>
  <si>
    <t>6.5564</t>
  </si>
  <si>
    <t>2004-10-08</t>
  </si>
  <si>
    <t>6.5925</t>
  </si>
  <si>
    <t>2004-10-07</t>
  </si>
  <si>
    <t>6.5851</t>
  </si>
  <si>
    <t>2004-10-06</t>
  </si>
  <si>
    <t>6.5240</t>
  </si>
  <si>
    <t>2004-10-05</t>
  </si>
  <si>
    <t>6.5149</t>
  </si>
  <si>
    <t>2004-10-04</t>
  </si>
  <si>
    <t>6.4748</t>
  </si>
  <si>
    <t>2004-10-01</t>
  </si>
  <si>
    <t>6.4570</t>
  </si>
  <si>
    <t>2004-09-30</t>
  </si>
  <si>
    <t>6.4399</t>
  </si>
  <si>
    <t>2004-09-29</t>
  </si>
  <si>
    <t>6.4458</t>
  </si>
  <si>
    <t>2004-09-28</t>
  </si>
  <si>
    <t>6.4120</t>
  </si>
  <si>
    <t>2004-09-27</t>
  </si>
  <si>
    <t>6.4245</t>
  </si>
  <si>
    <t>2004-09-23</t>
  </si>
  <si>
    <t>6.4789</t>
  </si>
  <si>
    <t>2004-09-22</t>
  </si>
  <si>
    <t>6.4580</t>
  </si>
  <si>
    <t>2004-09-21</t>
  </si>
  <si>
    <t>6.4749</t>
  </si>
  <si>
    <t>2004-09-20</t>
  </si>
  <si>
    <t>6.5400</t>
  </si>
  <si>
    <t>2004-09-17</t>
  </si>
  <si>
    <t>6.5595</t>
  </si>
  <si>
    <t>2004-09-16</t>
  </si>
  <si>
    <t>6.5530</t>
  </si>
  <si>
    <t>2004-09-15</t>
  </si>
  <si>
    <t>6.5349</t>
  </si>
  <si>
    <t>2004-09-14</t>
  </si>
  <si>
    <t>6.5220</t>
  </si>
  <si>
    <t>2004-09-13</t>
  </si>
  <si>
    <t>6.5756</t>
  </si>
  <si>
    <t>2004-09-10</t>
  </si>
  <si>
    <t>2004-09-09</t>
  </si>
  <si>
    <t>6.6318</t>
  </si>
  <si>
    <t>2004-09-08</t>
  </si>
  <si>
    <t>6.6451</t>
  </si>
  <si>
    <t>2004-09-07</t>
  </si>
  <si>
    <t>2004-09-06</t>
  </si>
  <si>
    <t>6.6389</t>
  </si>
  <si>
    <t>2004-09-03</t>
  </si>
  <si>
    <t>6.5877</t>
  </si>
  <si>
    <t>2004-09-02</t>
  </si>
  <si>
    <t>2004-09-01</t>
  </si>
  <si>
    <t>6.6529</t>
  </si>
  <si>
    <t>2004-08-31</t>
  </si>
  <si>
    <t>6.7009</t>
  </si>
  <si>
    <t>2004-08-30</t>
  </si>
  <si>
    <t>6.6949</t>
  </si>
  <si>
    <t>2004-08-27</t>
  </si>
  <si>
    <t>2004-08-26</t>
  </si>
  <si>
    <t>6.6729</t>
  </si>
  <si>
    <t>2004-08-25</t>
  </si>
  <si>
    <t>6.7120</t>
  </si>
  <si>
    <t>2004-08-24</t>
  </si>
  <si>
    <t>6.7108</t>
  </si>
  <si>
    <t>2004-08-23</t>
  </si>
  <si>
    <t>6.6438</t>
  </si>
  <si>
    <t>2004-08-20</t>
  </si>
  <si>
    <t>6.5659</t>
  </si>
  <si>
    <t>2004-08-19</t>
  </si>
  <si>
    <t>6.4900</t>
  </si>
  <si>
    <t>2004-08-18</t>
  </si>
  <si>
    <t>6.5133</t>
  </si>
  <si>
    <t>2004-08-17</t>
  </si>
  <si>
    <t>6.5700</t>
  </si>
  <si>
    <t>2004-08-16</t>
  </si>
  <si>
    <t>6.5051</t>
  </si>
  <si>
    <t>2004-08-13</t>
  </si>
  <si>
    <t>6.5200</t>
  </si>
  <si>
    <t>2004-08-12</t>
  </si>
  <si>
    <t>6.1915</t>
  </si>
  <si>
    <t>2004-08-11</t>
  </si>
  <si>
    <t>6.2078</t>
  </si>
  <si>
    <t>2004-08-10</t>
  </si>
  <si>
    <t>6.1069</t>
  </si>
  <si>
    <t>2004-08-06</t>
  </si>
  <si>
    <t>6.2563</t>
  </si>
  <si>
    <t>2004-08-05</t>
  </si>
  <si>
    <t>6.2325</t>
  </si>
  <si>
    <t>2004-08-04</t>
  </si>
  <si>
    <t>6.2591</t>
  </si>
  <si>
    <t>2004-08-03</t>
  </si>
  <si>
    <t>6.3269</t>
  </si>
  <si>
    <t>2004-08-02</t>
  </si>
  <si>
    <t>6.2171</t>
  </si>
  <si>
    <t>2004-07-30</t>
  </si>
  <si>
    <t>6.2395</t>
  </si>
  <si>
    <t>2004-07-29</t>
  </si>
  <si>
    <t>6.2513</t>
  </si>
  <si>
    <t>2004-07-28</t>
  </si>
  <si>
    <t>6.3149</t>
  </si>
  <si>
    <t>2004-07-27</t>
  </si>
  <si>
    <t>6.2580</t>
  </si>
  <si>
    <t>2004-07-26</t>
  </si>
  <si>
    <t>6.1649</t>
  </si>
  <si>
    <t>2004-07-23</t>
  </si>
  <si>
    <t>6.1718</t>
  </si>
  <si>
    <t>2004-07-22</t>
  </si>
  <si>
    <t>2004-07-21</t>
  </si>
  <si>
    <t>5.9720</t>
  </si>
  <si>
    <t>2004-07-20</t>
  </si>
  <si>
    <t>5.9360</t>
  </si>
  <si>
    <t>2004-07-19</t>
  </si>
  <si>
    <t>5.9439</t>
  </si>
  <si>
    <t>2004-07-16</t>
  </si>
  <si>
    <t>6.0814</t>
  </si>
  <si>
    <t>2004-07-15</t>
  </si>
  <si>
    <t>6.1073</t>
  </si>
  <si>
    <t>2004-07-14</t>
  </si>
  <si>
    <t>6.1049</t>
  </si>
  <si>
    <t>2004-07-13</t>
  </si>
  <si>
    <t>6.0644</t>
  </si>
  <si>
    <t>2004-07-12</t>
  </si>
  <si>
    <t>6.0498</t>
  </si>
  <si>
    <t>2004-07-09</t>
  </si>
  <si>
    <t>6.0798</t>
  </si>
  <si>
    <t>2004-07-08</t>
  </si>
  <si>
    <t>6.0829</t>
  </si>
  <si>
    <t>2004-07-07</t>
  </si>
  <si>
    <t>6.2142</t>
  </si>
  <si>
    <t>2004-07-06</t>
  </si>
  <si>
    <t>6.1943</t>
  </si>
  <si>
    <t>2004-07-05</t>
  </si>
  <si>
    <t>6.1616</t>
  </si>
  <si>
    <t>2004-07-02</t>
  </si>
  <si>
    <t>6.2049</t>
  </si>
  <si>
    <t>2004-07-01</t>
  </si>
  <si>
    <t>6.1926</t>
  </si>
  <si>
    <t>2004-06-30</t>
  </si>
  <si>
    <t>2004-06-29</t>
  </si>
  <si>
    <t>6.2298</t>
  </si>
  <si>
    <t>2004-06-28</t>
  </si>
  <si>
    <t>6.3118</t>
  </si>
  <si>
    <t>2004-06-25</t>
  </si>
  <si>
    <t>6.3278</t>
  </si>
  <si>
    <t>2004-06-24</t>
  </si>
  <si>
    <t>6.3069</t>
  </si>
  <si>
    <t>2004-06-23</t>
  </si>
  <si>
    <t>6.2900</t>
  </si>
  <si>
    <t>2004-06-22</t>
  </si>
  <si>
    <t>6.3089</t>
  </si>
  <si>
    <t>2004-06-21</t>
  </si>
  <si>
    <t>6.3854</t>
  </si>
  <si>
    <t>2004-06-18</t>
  </si>
  <si>
    <t>6.5011</t>
  </si>
  <si>
    <t>2004-06-17</t>
  </si>
  <si>
    <t>6.4703</t>
  </si>
  <si>
    <t>2004-06-15</t>
  </si>
  <si>
    <t>6.6160</t>
  </si>
  <si>
    <t>2004-06-14</t>
  </si>
  <si>
    <t>6.5717</t>
  </si>
  <si>
    <t>2004-06-11</t>
  </si>
  <si>
    <t>6.5440</t>
  </si>
  <si>
    <t>2004-06-10</t>
  </si>
  <si>
    <t>6.6823</t>
  </si>
  <si>
    <t>2004-06-09</t>
  </si>
  <si>
    <t>6.6220</t>
  </si>
  <si>
    <t>2004-06-08</t>
  </si>
  <si>
    <t>6.4629</t>
  </si>
  <si>
    <t>2004-06-07</t>
  </si>
  <si>
    <t>6.4569</t>
  </si>
  <si>
    <t>2004-06-04</t>
  </si>
  <si>
    <t>6.4620</t>
  </si>
  <si>
    <t>2004-06-03</t>
  </si>
  <si>
    <t>6.4929</t>
  </si>
  <si>
    <t>2004-06-02</t>
  </si>
  <si>
    <t>6.4009</t>
  </si>
  <si>
    <t>2004-06-01</t>
  </si>
  <si>
    <t>6.4738</t>
  </si>
  <si>
    <t>2004-05-31</t>
  </si>
  <si>
    <t>6.5109</t>
  </si>
  <si>
    <t>2004-05-28</t>
  </si>
  <si>
    <t>6.5178</t>
  </si>
  <si>
    <t>2004-05-27</t>
  </si>
  <si>
    <t>6.5724</t>
  </si>
  <si>
    <t>2004-05-26</t>
  </si>
  <si>
    <t>6.5894</t>
  </si>
  <si>
    <t>2004-05-25</t>
  </si>
  <si>
    <t>6.6549</t>
  </si>
  <si>
    <t>2004-05-24</t>
  </si>
  <si>
    <t>2004-05-21</t>
  </si>
  <si>
    <t>6.7549</t>
  </si>
  <si>
    <t>2004-05-20</t>
  </si>
  <si>
    <t>2004-05-19</t>
  </si>
  <si>
    <t>6.7300</t>
  </si>
  <si>
    <t>2004-05-18</t>
  </si>
  <si>
    <t>6.7938</t>
  </si>
  <si>
    <t>2004-05-17</t>
  </si>
  <si>
    <t>6.7213</t>
  </si>
  <si>
    <t>2004-05-14</t>
  </si>
  <si>
    <t>2004-05-13</t>
  </si>
  <si>
    <t>6.9413</t>
  </si>
  <si>
    <t>2004-05-12</t>
  </si>
  <si>
    <t>6.8378</t>
  </si>
  <si>
    <t>2004-05-11</t>
  </si>
  <si>
    <t>6.9303</t>
  </si>
  <si>
    <t>2004-05-10</t>
  </si>
  <si>
    <t>7.0876</t>
  </si>
  <si>
    <t>2004-05-07</t>
  </si>
  <si>
    <t>6.8923</t>
  </si>
  <si>
    <t>2004-05-06</t>
  </si>
  <si>
    <t>6.8000</t>
  </si>
  <si>
    <t>2004-05-05</t>
  </si>
  <si>
    <t>6.8600</t>
  </si>
  <si>
    <t>2004-05-04</t>
  </si>
  <si>
    <t>6.9665</t>
  </si>
  <si>
    <t>2004-05-03</t>
  </si>
  <si>
    <t>6.8950</t>
  </si>
  <si>
    <t>2004-04-30</t>
  </si>
  <si>
    <t>2004-04-29</t>
  </si>
  <si>
    <t>6.9664</t>
  </si>
  <si>
    <t>2004-04-28</t>
  </si>
  <si>
    <t>2004-04-26</t>
  </si>
  <si>
    <t>6.6900</t>
  </si>
  <si>
    <t>2004-04-23</t>
  </si>
  <si>
    <t>6.7751</t>
  </si>
  <si>
    <t>2004-04-22</t>
  </si>
  <si>
    <t>6.8459</t>
  </si>
  <si>
    <t>2004-04-21</t>
  </si>
  <si>
    <t>2004-04-20</t>
  </si>
  <si>
    <t>6.5169</t>
  </si>
  <si>
    <t>2004-04-19</t>
  </si>
  <si>
    <t>6.4400</t>
  </si>
  <si>
    <t>2004-04-16</t>
  </si>
  <si>
    <t>6.4631</t>
  </si>
  <si>
    <t>2004-04-15</t>
  </si>
  <si>
    <t>6.5780</t>
  </si>
  <si>
    <t>2004-04-13</t>
  </si>
  <si>
    <t>6.3811</t>
  </si>
  <si>
    <t>2004-04-08</t>
  </si>
  <si>
    <t>6.3171</t>
  </si>
  <si>
    <t>2004-04-07</t>
  </si>
  <si>
    <t>6.3358</t>
  </si>
  <si>
    <t>2004-04-06</t>
  </si>
  <si>
    <t>6.4592</t>
  </si>
  <si>
    <t>2004-04-05</t>
  </si>
  <si>
    <t>6.4300</t>
  </si>
  <si>
    <t>2004-04-02</t>
  </si>
  <si>
    <t>6.3549</t>
  </si>
  <si>
    <t>2004-04-01</t>
  </si>
  <si>
    <t>6.3135</t>
  </si>
  <si>
    <t>2004-03-31</t>
  </si>
  <si>
    <t>6.3352</t>
  </si>
  <si>
    <t>2004-03-30</t>
  </si>
  <si>
    <t>6.3401</t>
  </si>
  <si>
    <t>2004-03-29</t>
  </si>
  <si>
    <t>6.5106</t>
  </si>
  <si>
    <t>2004-03-26</t>
  </si>
  <si>
    <t>6.6107</t>
  </si>
  <si>
    <t>2004-03-25</t>
  </si>
  <si>
    <t>6.6078</t>
  </si>
  <si>
    <t>2004-03-24</t>
  </si>
  <si>
    <t>6.5458</t>
  </si>
  <si>
    <t>2004-03-23</t>
  </si>
  <si>
    <t>6.5295</t>
  </si>
  <si>
    <t>2004-03-19</t>
  </si>
  <si>
    <t>6.6497</t>
  </si>
  <si>
    <t>2004-03-18</t>
  </si>
  <si>
    <t>6.6827</t>
  </si>
  <si>
    <t>2004-03-17</t>
  </si>
  <si>
    <t>6.7346</t>
  </si>
  <si>
    <t>2004-03-16</t>
  </si>
  <si>
    <t>6.6773</t>
  </si>
  <si>
    <t>2004-03-15</t>
  </si>
  <si>
    <t>6.7429</t>
  </si>
  <si>
    <t>2004-03-12</t>
  </si>
  <si>
    <t>6.6751</t>
  </si>
  <si>
    <t>2004-03-11</t>
  </si>
  <si>
    <t>6.7149</t>
  </si>
  <si>
    <t>2004-03-10</t>
  </si>
  <si>
    <t>6.6269</t>
  </si>
  <si>
    <t>2004-03-09</t>
  </si>
  <si>
    <t>6.5538</t>
  </si>
  <si>
    <t>2004-03-08</t>
  </si>
  <si>
    <t>6.6376</t>
  </si>
  <si>
    <t>2004-03-05</t>
  </si>
  <si>
    <t>6.8460</t>
  </si>
  <si>
    <t>2004-03-04</t>
  </si>
  <si>
    <t>6.7857</t>
  </si>
  <si>
    <t>2004-03-03</t>
  </si>
  <si>
    <t>6.9102</t>
  </si>
  <si>
    <t>2004-03-02</t>
  </si>
  <si>
    <t>6.6494</t>
  </si>
  <si>
    <t>2004-03-01</t>
  </si>
  <si>
    <t>6.6159</t>
  </si>
  <si>
    <t>2004-02-27</t>
  </si>
  <si>
    <t>6.6419</t>
  </si>
  <si>
    <t>2004-02-26</t>
  </si>
  <si>
    <t>6.6320</t>
  </si>
  <si>
    <t>2004-02-25</t>
  </si>
  <si>
    <t>6.5671</t>
  </si>
  <si>
    <t>2004-02-24</t>
  </si>
  <si>
    <t>6.6879</t>
  </si>
  <si>
    <t>2004-02-23</t>
  </si>
  <si>
    <t>6.7576</t>
  </si>
  <si>
    <t>2004-02-20</t>
  </si>
  <si>
    <t>6.6726</t>
  </si>
  <si>
    <t>2004-02-19</t>
  </si>
  <si>
    <t>6.6672</t>
  </si>
  <si>
    <t>2004-02-18</t>
  </si>
  <si>
    <t>6.5603</t>
  </si>
  <si>
    <t>2004-02-17</t>
  </si>
  <si>
    <t>6.6600</t>
  </si>
  <si>
    <t>2004-02-16</t>
  </si>
  <si>
    <t>6.6094</t>
  </si>
  <si>
    <t>2004-02-13</t>
  </si>
  <si>
    <t>6.6180</t>
  </si>
  <si>
    <t>2004-02-12</t>
  </si>
  <si>
    <t>6.7640</t>
  </si>
  <si>
    <t>2004-02-11</t>
  </si>
  <si>
    <t>6.9084</t>
  </si>
  <si>
    <t>2004-02-10</t>
  </si>
  <si>
    <t>6.9229</t>
  </si>
  <si>
    <t>2004-02-09</t>
  </si>
  <si>
    <t>6.9862</t>
  </si>
  <si>
    <t>2004-02-06</t>
  </si>
  <si>
    <t>7.0289</t>
  </si>
  <si>
    <t>2004-02-05</t>
  </si>
  <si>
    <t>6.8549</t>
  </si>
  <si>
    <t>2004-02-04</t>
  </si>
  <si>
    <t>6.9309</t>
  </si>
  <si>
    <t>2004-02-03</t>
  </si>
  <si>
    <t>6.9155</t>
  </si>
  <si>
    <t>2004-02-02</t>
  </si>
  <si>
    <t>7.0598</t>
  </si>
  <si>
    <t>2004-01-30</t>
  </si>
  <si>
    <t>7.1126</t>
  </si>
  <si>
    <t>2004-01-29</t>
  </si>
  <si>
    <t>7.0380</t>
  </si>
  <si>
    <t>2004-01-28</t>
  </si>
  <si>
    <t>7.0646</t>
  </si>
  <si>
    <t>2004-01-27</t>
  </si>
  <si>
    <t>7.1688</t>
  </si>
  <si>
    <t>2004-01-26</t>
  </si>
  <si>
    <t>7.2612</t>
  </si>
  <si>
    <t>2004-01-23</t>
  </si>
  <si>
    <t>7.1464</t>
  </si>
  <si>
    <t>2004-01-22</t>
  </si>
  <si>
    <t>7.1601</t>
  </si>
  <si>
    <t>2004-01-21</t>
  </si>
  <si>
    <t>7.0707</t>
  </si>
  <si>
    <t>2004-01-20</t>
  </si>
  <si>
    <t>7.2900</t>
  </si>
  <si>
    <t>2004-01-19</t>
  </si>
  <si>
    <t>7.1790</t>
  </si>
  <si>
    <t>2004-01-16</t>
  </si>
  <si>
    <t>7.5197</t>
  </si>
  <si>
    <t>2004-01-15</t>
  </si>
  <si>
    <t>7.1778</t>
  </si>
  <si>
    <t>2004-01-14</t>
  </si>
  <si>
    <t>6.9374</t>
  </si>
  <si>
    <t>2004-01-13</t>
  </si>
  <si>
    <t>6.8570</t>
  </si>
  <si>
    <t>2004-01-12</t>
  </si>
  <si>
    <t>6.6111</t>
  </si>
  <si>
    <t>2004-01-09</t>
  </si>
  <si>
    <t>6.5923</t>
  </si>
  <si>
    <t>2004-01-08</t>
  </si>
  <si>
    <t>6.5586</t>
  </si>
  <si>
    <t>2004-01-07</t>
  </si>
  <si>
    <t>2004-01-06</t>
  </si>
  <si>
    <t>6.2827</t>
  </si>
  <si>
    <t>2004-01-05</t>
  </si>
  <si>
    <t>6.4316</t>
  </si>
  <si>
    <t>2004-01-02</t>
  </si>
  <si>
    <t>6.6357</t>
  </si>
  <si>
    <t>2003-12-31</t>
  </si>
  <si>
    <t>2003-12-30</t>
  </si>
  <si>
    <t>6.7040</t>
  </si>
  <si>
    <t>2003-12-29</t>
  </si>
  <si>
    <t>6.7474</t>
  </si>
  <si>
    <t>2003-12-24</t>
  </si>
  <si>
    <t>6.9009</t>
  </si>
  <si>
    <t>2003-12-23</t>
  </si>
  <si>
    <t>6.9208</t>
  </si>
  <si>
    <t>2003-12-22</t>
  </si>
  <si>
    <t>6.9362</t>
  </si>
  <si>
    <t>2003-12-19</t>
  </si>
  <si>
    <t>6.6415</t>
  </si>
  <si>
    <t>2003-12-18</t>
  </si>
  <si>
    <t>6.5356</t>
  </si>
  <si>
    <t>2003-12-17</t>
  </si>
  <si>
    <t>6.3864</t>
  </si>
  <si>
    <t>2003-12-15</t>
  </si>
  <si>
    <t>6.3969</t>
  </si>
  <si>
    <t>2003-12-12</t>
  </si>
  <si>
    <t>6.3989</t>
  </si>
  <si>
    <t>2003-12-11</t>
  </si>
  <si>
    <t>6.4353</t>
  </si>
  <si>
    <t>2003-12-10</t>
  </si>
  <si>
    <t>6.4358</t>
  </si>
  <si>
    <t>2003-12-09</t>
  </si>
  <si>
    <t>6.4140</t>
  </si>
  <si>
    <t>2003-12-08</t>
  </si>
  <si>
    <t>6.2787</t>
  </si>
  <si>
    <t>2003-12-05</t>
  </si>
  <si>
    <t>6.3154</t>
  </si>
  <si>
    <t>2003-12-04</t>
  </si>
  <si>
    <t>6.2577</t>
  </si>
  <si>
    <t>2003-12-03</t>
  </si>
  <si>
    <t>6.3287</t>
  </si>
  <si>
    <t>2003-12-02</t>
  </si>
  <si>
    <t>6.3720</t>
  </si>
  <si>
    <t>2003-12-01</t>
  </si>
  <si>
    <t>6.3932</t>
  </si>
  <si>
    <t>2003-11-28</t>
  </si>
  <si>
    <t>6.4049</t>
  </si>
  <si>
    <t>2003-11-27</t>
  </si>
  <si>
    <t>6.4079</t>
  </si>
  <si>
    <t>2003-11-26</t>
  </si>
  <si>
    <t>6.4829</t>
  </si>
  <si>
    <t>2003-11-25</t>
  </si>
  <si>
    <t>6.5818</t>
  </si>
  <si>
    <t>2003-11-24</t>
  </si>
  <si>
    <t>6.5258</t>
  </si>
  <si>
    <t>2003-11-21</t>
  </si>
  <si>
    <t>6.5489</t>
  </si>
  <si>
    <t>2003-11-20</t>
  </si>
  <si>
    <t>6.5931</t>
  </si>
  <si>
    <t>2003-11-19</t>
  </si>
  <si>
    <t>2003-11-18</t>
  </si>
  <si>
    <t>6.7318</t>
  </si>
  <si>
    <t>2003-11-17</t>
  </si>
  <si>
    <t>6.7341</t>
  </si>
  <si>
    <t>2003-11-14</t>
  </si>
  <si>
    <t>6.7371</t>
  </si>
  <si>
    <t>2003-11-13</t>
  </si>
  <si>
    <t>6.8728</t>
  </si>
  <si>
    <t>2003-11-12</t>
  </si>
  <si>
    <t>6.9100</t>
  </si>
  <si>
    <t>2003-11-11</t>
  </si>
  <si>
    <t>6.9649</t>
  </si>
  <si>
    <t>2003-11-10</t>
  </si>
  <si>
    <t>6.9541</t>
  </si>
  <si>
    <t>2003-11-07</t>
  </si>
  <si>
    <t>7.0192</t>
  </si>
  <si>
    <t>2003-11-06</t>
  </si>
  <si>
    <t>6.9379</t>
  </si>
  <si>
    <t>2003-11-05</t>
  </si>
  <si>
    <t>6.8949</t>
  </si>
  <si>
    <t>2003-11-04</t>
  </si>
  <si>
    <t>6.9189</t>
  </si>
  <si>
    <t>2003-11-03</t>
  </si>
  <si>
    <t>2003-10-31</t>
  </si>
  <si>
    <t>6.9194</t>
  </si>
  <si>
    <t>2003-10-30</t>
  </si>
  <si>
    <t>6.9013</t>
  </si>
  <si>
    <t>2003-10-29</t>
  </si>
  <si>
    <t>6.9590</t>
  </si>
  <si>
    <t>2003-10-28</t>
  </si>
  <si>
    <t>6.9240</t>
  </si>
  <si>
    <t>2003-10-27</t>
  </si>
  <si>
    <t>2003-10-24</t>
  </si>
  <si>
    <t>6.9686</t>
  </si>
  <si>
    <t>2003-10-23</t>
  </si>
  <si>
    <t>2003-10-22</t>
  </si>
  <si>
    <t>7.1430</t>
  </si>
  <si>
    <t>2003-10-21</t>
  </si>
  <si>
    <t>7.1543</t>
  </si>
  <si>
    <t>2003-10-20</t>
  </si>
  <si>
    <t>7.1958</t>
  </si>
  <si>
    <t>2003-10-17</t>
  </si>
  <si>
    <t>7.0534</t>
  </si>
  <si>
    <t>2003-10-16</t>
  </si>
  <si>
    <t>6.9980</t>
  </si>
  <si>
    <t>2003-10-15</t>
  </si>
  <si>
    <t>6.9618</t>
  </si>
  <si>
    <t>2003-10-14</t>
  </si>
  <si>
    <t>7.0362</t>
  </si>
  <si>
    <t>2003-10-13</t>
  </si>
  <si>
    <t>6.9849</t>
  </si>
  <si>
    <t>2003-10-10</t>
  </si>
  <si>
    <t>6.9058</t>
  </si>
  <si>
    <t>2003-10-09</t>
  </si>
  <si>
    <t>6.8560</t>
  </si>
  <si>
    <t>2003-10-08</t>
  </si>
  <si>
    <t>6.8649</t>
  </si>
  <si>
    <t>2003-10-07</t>
  </si>
  <si>
    <t>6.8128</t>
  </si>
  <si>
    <t>2003-10-06</t>
  </si>
  <si>
    <t>6.9427</t>
  </si>
  <si>
    <t>2003-10-03</t>
  </si>
  <si>
    <t>6.8589</t>
  </si>
  <si>
    <t>2003-10-02</t>
  </si>
  <si>
    <t>6.8940</t>
  </si>
  <si>
    <t>2003-10-01</t>
  </si>
  <si>
    <t>6.9489</t>
  </si>
  <si>
    <t>2003-09-30</t>
  </si>
  <si>
    <t>7.0048</t>
  </si>
  <si>
    <t>2003-09-29</t>
  </si>
  <si>
    <t>7.1665</t>
  </si>
  <si>
    <t>2003-09-26</t>
  </si>
  <si>
    <t>7.1217</t>
  </si>
  <si>
    <t>2003-09-25</t>
  </si>
  <si>
    <t>7.1107</t>
  </si>
  <si>
    <t>2003-09-23</t>
  </si>
  <si>
    <t>7.1942</t>
  </si>
  <si>
    <t>2003-09-22</t>
  </si>
  <si>
    <t>7.2786</t>
  </si>
  <si>
    <t>2003-09-19</t>
  </si>
  <si>
    <t>7.3571</t>
  </si>
  <si>
    <t>2003-09-18</t>
  </si>
  <si>
    <t>7.4131</t>
  </si>
  <si>
    <t>2003-09-17</t>
  </si>
  <si>
    <t>7.4809</t>
  </si>
  <si>
    <t>2003-09-16</t>
  </si>
  <si>
    <t>7.4431</t>
  </si>
  <si>
    <t>2003-09-15</t>
  </si>
  <si>
    <t>7.3588</t>
  </si>
  <si>
    <t>2003-09-12</t>
  </si>
  <si>
    <t>7.3949</t>
  </si>
  <si>
    <t>2003-09-11</t>
  </si>
  <si>
    <t>7.3961</t>
  </si>
  <si>
    <t>2003-09-10</t>
  </si>
  <si>
    <t>7.4878</t>
  </si>
  <si>
    <t>2003-09-09</t>
  </si>
  <si>
    <t>7.5498</t>
  </si>
  <si>
    <t>2003-09-08</t>
  </si>
  <si>
    <t>7.5091</t>
  </si>
  <si>
    <t>2003-09-05</t>
  </si>
  <si>
    <t>7.3563</t>
  </si>
  <si>
    <t>2003-09-04</t>
  </si>
  <si>
    <t>7.2469</t>
  </si>
  <si>
    <t>2003-09-03</t>
  </si>
  <si>
    <t>2003-09-02</t>
  </si>
  <si>
    <t>7.3678</t>
  </si>
  <si>
    <t>2003-09-01</t>
  </si>
  <si>
    <t>7.3311</t>
  </si>
  <si>
    <t>2003-08-29</t>
  </si>
  <si>
    <t>7.3388</t>
  </si>
  <si>
    <t>2003-08-28</t>
  </si>
  <si>
    <t>7.3569</t>
  </si>
  <si>
    <t>2003-08-27</t>
  </si>
  <si>
    <t>7.3727</t>
  </si>
  <si>
    <t>2003-08-26</t>
  </si>
  <si>
    <t>7.4885</t>
  </si>
  <si>
    <t>2003-08-25</t>
  </si>
  <si>
    <t>7.4640</t>
  </si>
  <si>
    <t>2003-08-22</t>
  </si>
  <si>
    <t>7.5009</t>
  </si>
  <si>
    <t>2003-08-21</t>
  </si>
  <si>
    <t>7.4187</t>
  </si>
  <si>
    <t>2003-08-20</t>
  </si>
  <si>
    <t>7.3729</t>
  </si>
  <si>
    <t>2003-08-19</t>
  </si>
  <si>
    <t>7.3140</t>
  </si>
  <si>
    <t>2003-08-18</t>
  </si>
  <si>
    <t>7.2899</t>
  </si>
  <si>
    <t>2003-08-15</t>
  </si>
  <si>
    <t>7.3547</t>
  </si>
  <si>
    <t>2003-08-14</t>
  </si>
  <si>
    <t>7.3869</t>
  </si>
  <si>
    <t>2003-08-13</t>
  </si>
  <si>
    <t>7.4220</t>
  </si>
  <si>
    <t>2003-08-12</t>
  </si>
  <si>
    <t>7.3702</t>
  </si>
  <si>
    <t>2003-08-11</t>
  </si>
  <si>
    <t>7.4029</t>
  </si>
  <si>
    <t>2003-08-08</t>
  </si>
  <si>
    <t>2003-08-07</t>
  </si>
  <si>
    <t>7.3605</t>
  </si>
  <si>
    <t>2003-08-06</t>
  </si>
  <si>
    <t>7.3638</t>
  </si>
  <si>
    <t>2003-08-05</t>
  </si>
  <si>
    <t>7.4791</t>
  </si>
  <si>
    <t>2003-08-04</t>
  </si>
  <si>
    <t>7.4991</t>
  </si>
  <si>
    <t>2003-08-01</t>
  </si>
  <si>
    <t>2003-07-31</t>
  </si>
  <si>
    <t>7.4669</t>
  </si>
  <si>
    <t>2003-07-30</t>
  </si>
  <si>
    <t>7.4138</t>
  </si>
  <si>
    <t>2003-07-29</t>
  </si>
  <si>
    <t>7.2519</t>
  </si>
  <si>
    <t>2003-07-28</t>
  </si>
  <si>
    <t>7.3749</t>
  </si>
  <si>
    <t>2003-07-25</t>
  </si>
  <si>
    <t>7.5458</t>
  </si>
  <si>
    <t>2003-07-24</t>
  </si>
  <si>
    <t>7.4847</t>
  </si>
  <si>
    <t>2003-07-23</t>
  </si>
  <si>
    <t>7.5920</t>
  </si>
  <si>
    <t>2003-07-22</t>
  </si>
  <si>
    <t>7.5653</t>
  </si>
  <si>
    <t>2003-07-21</t>
  </si>
  <si>
    <t>7.6349</t>
  </si>
  <si>
    <t>2003-07-18</t>
  </si>
  <si>
    <t>7.7058</t>
  </si>
  <si>
    <t>2003-07-17</t>
  </si>
  <si>
    <t>2003-07-16</t>
  </si>
  <si>
    <t>7.7907</t>
  </si>
  <si>
    <t>2003-07-15</t>
  </si>
  <si>
    <t>7.6897</t>
  </si>
  <si>
    <t>2003-07-14</t>
  </si>
  <si>
    <t>7.5749</t>
  </si>
  <si>
    <t>2003-07-11</t>
  </si>
  <si>
    <t>2003-07-10</t>
  </si>
  <si>
    <t>7.5936</t>
  </si>
  <si>
    <t>2003-07-09</t>
  </si>
  <si>
    <t>7.6789</t>
  </si>
  <si>
    <t>2003-07-08</t>
  </si>
  <si>
    <t>7.5854</t>
  </si>
  <si>
    <t>2003-07-07</t>
  </si>
  <si>
    <t>7.5059</t>
  </si>
  <si>
    <t>2003-07-04</t>
  </si>
  <si>
    <t>7.5218</t>
  </si>
  <si>
    <t>2003-07-03</t>
  </si>
  <si>
    <t>2003-07-02</t>
  </si>
  <si>
    <t>7.4378</t>
  </si>
  <si>
    <t>2003-07-01</t>
  </si>
  <si>
    <t>7.4229</t>
  </si>
  <si>
    <t>2003-06-30</t>
  </si>
  <si>
    <t>2003-06-27</t>
  </si>
  <si>
    <t>7.4469</t>
  </si>
  <si>
    <t>2003-06-26</t>
  </si>
  <si>
    <t>7.7290</t>
  </si>
  <si>
    <t>2003-06-25</t>
  </si>
  <si>
    <t>7.7758</t>
  </si>
  <si>
    <t>2003-06-24</t>
  </si>
  <si>
    <t>7.9669</t>
  </si>
  <si>
    <t>2003-06-23</t>
  </si>
  <si>
    <t>7.9209</t>
  </si>
  <si>
    <t>2003-06-20</t>
  </si>
  <si>
    <t>7.9518</t>
  </si>
  <si>
    <t>2003-06-19</t>
  </si>
  <si>
    <t>7.9949</t>
  </si>
  <si>
    <t>2003-06-18</t>
  </si>
  <si>
    <t>7.8820</t>
  </si>
  <si>
    <t>2003-06-17</t>
  </si>
  <si>
    <t>7.8238</t>
  </si>
  <si>
    <t>2003-06-13</t>
  </si>
  <si>
    <t>7.8191</t>
  </si>
  <si>
    <t>2003-06-12</t>
  </si>
  <si>
    <t>7.9520</t>
  </si>
  <si>
    <t>2003-06-11</t>
  </si>
  <si>
    <t>7.9271</t>
  </si>
  <si>
    <t>2003-06-10</t>
  </si>
  <si>
    <t>2003-06-09</t>
  </si>
  <si>
    <t>8.0681</t>
  </si>
  <si>
    <t>2003-06-06</t>
  </si>
  <si>
    <t>2003-06-05</t>
  </si>
  <si>
    <t>8.2314</t>
  </si>
  <si>
    <t>2003-06-04</t>
  </si>
  <si>
    <t>8.0720</t>
  </si>
  <si>
    <t>2003-06-03</t>
  </si>
  <si>
    <t>8.0678</t>
  </si>
  <si>
    <t>2003-06-02</t>
  </si>
  <si>
    <t>8.1598</t>
  </si>
  <si>
    <t>2003-05-30</t>
  </si>
  <si>
    <t>2003-05-29</t>
  </si>
  <si>
    <t>8.2489</t>
  </si>
  <si>
    <t>2003-05-28</t>
  </si>
  <si>
    <t>8.2020</t>
  </si>
  <si>
    <t>2003-05-27</t>
  </si>
  <si>
    <t>7.9592</t>
  </si>
  <si>
    <t>2003-05-26</t>
  </si>
  <si>
    <t>7.9013</t>
  </si>
  <si>
    <t>2003-05-23</t>
  </si>
  <si>
    <t>7.8317</t>
  </si>
  <si>
    <t>2003-05-22</t>
  </si>
  <si>
    <t>7.8857</t>
  </si>
  <si>
    <t>2003-05-21</t>
  </si>
  <si>
    <t>7.7806</t>
  </si>
  <si>
    <t>2003-05-20</t>
  </si>
  <si>
    <t>2003-05-19</t>
  </si>
  <si>
    <t>7.7199</t>
  </si>
  <si>
    <t>2003-05-16</t>
  </si>
  <si>
    <t>7.9267</t>
  </si>
  <si>
    <t>2003-05-15</t>
  </si>
  <si>
    <t>2003-05-14</t>
  </si>
  <si>
    <t>7.4549</t>
  </si>
  <si>
    <t>2003-05-13</t>
  </si>
  <si>
    <t>7.3612</t>
  </si>
  <si>
    <t>2003-05-12</t>
  </si>
  <si>
    <t>7.2303</t>
  </si>
  <si>
    <t>2003-05-09</t>
  </si>
  <si>
    <t>7.2396</t>
  </si>
  <si>
    <t>2003-05-08</t>
  </si>
  <si>
    <t>7.3400</t>
  </si>
  <si>
    <t>2003-05-07</t>
  </si>
  <si>
    <t>2003-05-06</t>
  </si>
  <si>
    <t>2003-05-05</t>
  </si>
  <si>
    <t>7.4830</t>
  </si>
  <si>
    <t>2003-05-02</t>
  </si>
  <si>
    <t>7.4016</t>
  </si>
  <si>
    <t>2003-04-30</t>
  </si>
  <si>
    <t>7.1328</t>
  </si>
  <si>
    <t>2003-04-29</t>
  </si>
  <si>
    <t>7.2560</t>
  </si>
  <si>
    <t>2003-04-25</t>
  </si>
  <si>
    <t>7.3123</t>
  </si>
  <si>
    <t>2003-04-24</t>
  </si>
  <si>
    <t>7.3929</t>
  </si>
  <si>
    <t>2003-04-23</t>
  </si>
  <si>
    <t>7.5889</t>
  </si>
  <si>
    <t>2003-04-22</t>
  </si>
  <si>
    <t>2003-04-17</t>
  </si>
  <si>
    <t>7.6229</t>
  </si>
  <si>
    <t>2003-04-16</t>
  </si>
  <si>
    <t>7.6769</t>
  </si>
  <si>
    <t>2003-04-15</t>
  </si>
  <si>
    <t>7.8334</t>
  </si>
  <si>
    <t>2003-04-14</t>
  </si>
  <si>
    <t>7.8948</t>
  </si>
  <si>
    <t>2003-04-11</t>
  </si>
  <si>
    <t>2003-04-10</t>
  </si>
  <si>
    <t>7.8019</t>
  </si>
  <si>
    <t>2003-04-09</t>
  </si>
  <si>
    <t>8.0149</t>
  </si>
  <si>
    <t>2003-04-08</t>
  </si>
  <si>
    <t>8.0061</t>
  </si>
  <si>
    <t>2003-04-07</t>
  </si>
  <si>
    <t>8.0578</t>
  </si>
  <si>
    <t>2003-04-04</t>
  </si>
  <si>
    <t>7.8980</t>
  </si>
  <si>
    <t>2003-04-03</t>
  </si>
  <si>
    <t>7.9372</t>
  </si>
  <si>
    <t>2003-04-02</t>
  </si>
  <si>
    <t>7.9190</t>
  </si>
  <si>
    <t>2003-04-01</t>
  </si>
  <si>
    <t>7.8731</t>
  </si>
  <si>
    <t>2003-03-31</t>
  </si>
  <si>
    <t>2003-03-28</t>
  </si>
  <si>
    <t>7.9858</t>
  </si>
  <si>
    <t>2003-03-27</t>
  </si>
  <si>
    <t>7.9342</t>
  </si>
  <si>
    <t>2003-03-26</t>
  </si>
  <si>
    <t>8.0482</t>
  </si>
  <si>
    <t>2003-03-25</t>
  </si>
  <si>
    <t>8.0376</t>
  </si>
  <si>
    <t>2003-03-24</t>
  </si>
  <si>
    <t>8.1789</t>
  </si>
  <si>
    <t>2003-03-20</t>
  </si>
  <si>
    <t>8.1757</t>
  </si>
  <si>
    <t>2003-03-19</t>
  </si>
  <si>
    <t>8.1768</t>
  </si>
  <si>
    <t>2003-03-18</t>
  </si>
  <si>
    <t>8.1981</t>
  </si>
  <si>
    <t>2003-03-17</t>
  </si>
  <si>
    <t>2003-03-14</t>
  </si>
  <si>
    <t>8.1673</t>
  </si>
  <si>
    <t>2003-03-13</t>
  </si>
  <si>
    <t>8.0689</t>
  </si>
  <si>
    <t>2003-03-12</t>
  </si>
  <si>
    <t>7.9890</t>
  </si>
  <si>
    <t>2003-03-11</t>
  </si>
  <si>
    <t>7.9129</t>
  </si>
  <si>
    <t>2003-03-10</t>
  </si>
  <si>
    <t>7.9390</t>
  </si>
  <si>
    <t>2003-03-07</t>
  </si>
  <si>
    <t>8.0048</t>
  </si>
  <si>
    <t>2003-03-06</t>
  </si>
  <si>
    <t>8.0229</t>
  </si>
  <si>
    <t>2003-03-05</t>
  </si>
  <si>
    <t>7.9290</t>
  </si>
  <si>
    <t>2003-03-04</t>
  </si>
  <si>
    <t>7.9579</t>
  </si>
  <si>
    <t>2003-03-03</t>
  </si>
  <si>
    <t>8.1078</t>
  </si>
  <si>
    <t>2003-02-28</t>
  </si>
  <si>
    <t>7.9909</t>
  </si>
  <si>
    <t>2003-02-27</t>
  </si>
  <si>
    <t>8.1151</t>
  </si>
  <si>
    <t>2003-02-26</t>
  </si>
  <si>
    <t>8.1019</t>
  </si>
  <si>
    <t>2003-02-25</t>
  </si>
  <si>
    <t>8.1060</t>
  </si>
  <si>
    <t>2003-02-24</t>
  </si>
  <si>
    <t>8.0811</t>
  </si>
  <si>
    <t>2003-02-21</t>
  </si>
  <si>
    <t>8.0960</t>
  </si>
  <si>
    <t>2003-02-20</t>
  </si>
  <si>
    <t>8.2248</t>
  </si>
  <si>
    <t>2003-02-19</t>
  </si>
  <si>
    <t>8.3944</t>
  </si>
  <si>
    <t>2003-02-18</t>
  </si>
  <si>
    <t>8.3880</t>
  </si>
  <si>
    <t>2003-02-17</t>
  </si>
  <si>
    <t>8.4008</t>
  </si>
  <si>
    <t>2003-02-14</t>
  </si>
  <si>
    <t>8.3089</t>
  </si>
  <si>
    <t>2003-02-13</t>
  </si>
  <si>
    <t>8.3691</t>
  </si>
  <si>
    <t>2003-02-12</t>
  </si>
  <si>
    <t>8.4036</t>
  </si>
  <si>
    <t>2003-02-11</t>
  </si>
  <si>
    <t>8.5620</t>
  </si>
  <si>
    <t>2003-02-10</t>
  </si>
  <si>
    <t>8.3946</t>
  </si>
  <si>
    <t>2003-02-07</t>
  </si>
  <si>
    <t>8.4348</t>
  </si>
  <si>
    <t>2003-02-06</t>
  </si>
  <si>
    <t>8.4337</t>
  </si>
  <si>
    <t>2003-02-05</t>
  </si>
  <si>
    <t>8.3058</t>
  </si>
  <si>
    <t>2003-02-04</t>
  </si>
  <si>
    <t>8.4820</t>
  </si>
  <si>
    <t>2003-02-03</t>
  </si>
  <si>
    <t>8.5348</t>
  </si>
  <si>
    <t>2003-01-31</t>
  </si>
  <si>
    <t>8.5780</t>
  </si>
  <si>
    <t>2003-01-30</t>
  </si>
  <si>
    <t>8.5826</t>
  </si>
  <si>
    <t>2003-01-29</t>
  </si>
  <si>
    <t>8.7459</t>
  </si>
  <si>
    <t>2003-01-28</t>
  </si>
  <si>
    <t>8.7309</t>
  </si>
  <si>
    <t>2003-01-27</t>
  </si>
  <si>
    <t>8.7295</t>
  </si>
  <si>
    <t>2003-01-24</t>
  </si>
  <si>
    <t>8.7436</t>
  </si>
  <si>
    <t>2003-01-23</t>
  </si>
  <si>
    <t>8.9077</t>
  </si>
  <si>
    <t>2003-01-22</t>
  </si>
  <si>
    <t>9.0398</t>
  </si>
  <si>
    <t>2003-01-21</t>
  </si>
  <si>
    <t>8.9150</t>
  </si>
  <si>
    <t>2003-01-20</t>
  </si>
  <si>
    <t>8.8481</t>
  </si>
  <si>
    <t>2003-01-17</t>
  </si>
  <si>
    <t>8.8371</t>
  </si>
  <si>
    <t>2003-01-16</t>
  </si>
  <si>
    <t>8.8087</t>
  </si>
  <si>
    <t>2003-01-15</t>
  </si>
  <si>
    <t>8.8611</t>
  </si>
  <si>
    <t>2003-01-14</t>
  </si>
  <si>
    <t>8.6234</t>
  </si>
  <si>
    <t>2003-01-13</t>
  </si>
  <si>
    <t>8.5471</t>
  </si>
  <si>
    <t>2003-01-10</t>
  </si>
  <si>
    <t>8.5129</t>
  </si>
  <si>
    <t>2003-01-09</t>
  </si>
  <si>
    <t>8.5178</t>
  </si>
  <si>
    <t>2003-01-08</t>
  </si>
  <si>
    <t>8.6511</t>
  </si>
  <si>
    <t>2003-01-07</t>
  </si>
  <si>
    <t>8.5218</t>
  </si>
  <si>
    <t>2003-01-06</t>
  </si>
  <si>
    <t>2003-01-03</t>
  </si>
  <si>
    <t>8.4218</t>
  </si>
  <si>
    <t>2003-01-02</t>
  </si>
  <si>
    <t>8.5712</t>
  </si>
  <si>
    <t>2002-12-31</t>
  </si>
  <si>
    <t>8.6580</t>
  </si>
  <si>
    <t>2002-12-30</t>
  </si>
  <si>
    <t>8.7384</t>
  </si>
  <si>
    <t>2002-12-27</t>
  </si>
  <si>
    <t>8.7933</t>
  </si>
  <si>
    <t>2002-12-24</t>
  </si>
  <si>
    <t>8.7669</t>
  </si>
  <si>
    <t>2002-12-23</t>
  </si>
  <si>
    <t>8.8899</t>
  </si>
  <si>
    <t>2002-12-20</t>
  </si>
  <si>
    <t>9.0785</t>
  </si>
  <si>
    <t>2002-12-19</t>
  </si>
  <si>
    <t>8.8488</t>
  </si>
  <si>
    <t>2002-12-18</t>
  </si>
  <si>
    <t>9.0995</t>
  </si>
  <si>
    <t>2002-12-17</t>
  </si>
  <si>
    <t>8.7178</t>
  </si>
  <si>
    <t>2002-12-13</t>
  </si>
  <si>
    <t>8.7740</t>
  </si>
  <si>
    <t>2002-12-12</t>
  </si>
  <si>
    <t>8.8937</t>
  </si>
  <si>
    <t>2002-12-11</t>
  </si>
  <si>
    <t>8.9372</t>
  </si>
  <si>
    <t>2002-12-10</t>
  </si>
  <si>
    <t>8.9962</t>
  </si>
  <si>
    <t>2002-12-09</t>
  </si>
  <si>
    <t>9.1961</t>
  </si>
  <si>
    <t>2002-12-06</t>
  </si>
  <si>
    <t>9.1513</t>
  </si>
  <si>
    <t>2002-12-05</t>
  </si>
  <si>
    <t>9.1180</t>
  </si>
  <si>
    <t>2002-12-04</t>
  </si>
  <si>
    <t>9.2310</t>
  </si>
  <si>
    <t>2002-12-03</t>
  </si>
  <si>
    <t>9.2001</t>
  </si>
  <si>
    <t>2002-12-02</t>
  </si>
  <si>
    <t>9.2202</t>
  </si>
  <si>
    <t>2002-11-29</t>
  </si>
  <si>
    <t>9.2717</t>
  </si>
  <si>
    <t>2002-11-28</t>
  </si>
  <si>
    <t>9.2037</t>
  </si>
  <si>
    <t>2002-11-27</t>
  </si>
  <si>
    <t>9.1942</t>
  </si>
  <si>
    <t>2002-11-26</t>
  </si>
  <si>
    <t>9.2193</t>
  </si>
  <si>
    <t>2002-11-25</t>
  </si>
  <si>
    <t>9.4954</t>
  </si>
  <si>
    <t>2002-11-22</t>
  </si>
  <si>
    <t>9.5589</t>
  </si>
  <si>
    <t>2002-11-21</t>
  </si>
  <si>
    <t>9.6766</t>
  </si>
  <si>
    <t>2002-11-20</t>
  </si>
  <si>
    <t>9.6560</t>
  </si>
  <si>
    <t>2002-11-19</t>
  </si>
  <si>
    <t>9.6157</t>
  </si>
  <si>
    <t>2002-11-18</t>
  </si>
  <si>
    <t>9.5917</t>
  </si>
  <si>
    <t>2002-11-15</t>
  </si>
  <si>
    <t>9.6808</t>
  </si>
  <si>
    <t>2002-11-14</t>
  </si>
  <si>
    <t>9.8109</t>
  </si>
  <si>
    <t>2002-11-13</t>
  </si>
  <si>
    <t>9.7878</t>
  </si>
  <si>
    <t>2002-11-12</t>
  </si>
  <si>
    <t>9.9100</t>
  </si>
  <si>
    <t>2002-11-11</t>
  </si>
  <si>
    <t>9.8279</t>
  </si>
  <si>
    <t>2002-11-08</t>
  </si>
  <si>
    <t>9.7400</t>
  </si>
  <si>
    <t>2002-11-07</t>
  </si>
  <si>
    <t>9.8189</t>
  </si>
  <si>
    <t>2002-11-06</t>
  </si>
  <si>
    <t>2002-11-05</t>
  </si>
  <si>
    <t>9.8755</t>
  </si>
  <si>
    <t>2002-11-04</t>
  </si>
  <si>
    <t>9.9249</t>
  </si>
  <si>
    <t>2002-11-01</t>
  </si>
  <si>
    <t>9.9788</t>
  </si>
  <si>
    <t>2002-10-31</t>
  </si>
  <si>
    <t>10.0619</t>
  </si>
  <si>
    <t>2002-10-30</t>
  </si>
  <si>
    <t>10.1468</t>
  </si>
  <si>
    <t>2002-10-29</t>
  </si>
  <si>
    <t>2002-10-28</t>
  </si>
  <si>
    <t>10.1189</t>
  </si>
  <si>
    <t>2002-10-25</t>
  </si>
  <si>
    <t>10.1257</t>
  </si>
  <si>
    <t>2002-10-24</t>
  </si>
  <si>
    <t>10.1662</t>
  </si>
  <si>
    <t>2002-10-23</t>
  </si>
  <si>
    <t>10.2069</t>
  </si>
  <si>
    <t>2002-10-22</t>
  </si>
  <si>
    <t>10.2220</t>
  </si>
  <si>
    <t>2002-10-21</t>
  </si>
  <si>
    <t>10.3523</t>
  </si>
  <si>
    <t>2002-10-18</t>
  </si>
  <si>
    <t>10.3550</t>
  </si>
  <si>
    <t>2002-10-17</t>
  </si>
  <si>
    <t>10.3648</t>
  </si>
  <si>
    <t>2002-10-16</t>
  </si>
  <si>
    <t>10.4310</t>
  </si>
  <si>
    <t>2002-10-15</t>
  </si>
  <si>
    <t>10.4686</t>
  </si>
  <si>
    <t>2002-10-14</t>
  </si>
  <si>
    <t>10.4231</t>
  </si>
  <si>
    <t>2002-10-11</t>
  </si>
  <si>
    <t>10.4307</t>
  </si>
  <si>
    <t>2002-10-10</t>
  </si>
  <si>
    <t>10.4700</t>
  </si>
  <si>
    <t>2002-10-09</t>
  </si>
  <si>
    <t>10.5061</t>
  </si>
  <si>
    <t>2002-10-08</t>
  </si>
  <si>
    <t>10.5164</t>
  </si>
  <si>
    <t>2002-10-07</t>
  </si>
  <si>
    <t>2002-10-04</t>
  </si>
  <si>
    <t>10.3758</t>
  </si>
  <si>
    <t>2002-10-03</t>
  </si>
  <si>
    <t>10.4338</t>
  </si>
  <si>
    <t>2002-10-02</t>
  </si>
  <si>
    <t>10.3857</t>
  </si>
  <si>
    <t>2002-10-01</t>
  </si>
  <si>
    <t>10.5371</t>
  </si>
  <si>
    <t>2002-09-30</t>
  </si>
  <si>
    <t>10.5687</t>
  </si>
  <si>
    <t>2002-09-27</t>
  </si>
  <si>
    <t>2002-09-26</t>
  </si>
  <si>
    <t>10.5889</t>
  </si>
  <si>
    <t>2002-09-25</t>
  </si>
  <si>
    <t>10.7110</t>
  </si>
  <si>
    <t>2002-09-23</t>
  </si>
  <si>
    <t>10.6075</t>
  </si>
  <si>
    <t>2002-09-20</t>
  </si>
  <si>
    <t>10.5771</t>
  </si>
  <si>
    <t>2002-09-19</t>
  </si>
  <si>
    <t>10.5504</t>
  </si>
  <si>
    <t>2002-09-18</t>
  </si>
  <si>
    <t>10.5367</t>
  </si>
  <si>
    <t>2002-09-17</t>
  </si>
  <si>
    <t>10.6971</t>
  </si>
  <si>
    <t>2002-09-16</t>
  </si>
  <si>
    <t>10.6271</t>
  </si>
  <si>
    <t>2002-09-13</t>
  </si>
  <si>
    <t>10.5017</t>
  </si>
  <si>
    <t>2002-09-12</t>
  </si>
  <si>
    <t>10.6219</t>
  </si>
  <si>
    <t>2002-09-11</t>
  </si>
  <si>
    <t>10.5971</t>
  </si>
  <si>
    <t>2002-09-10</t>
  </si>
  <si>
    <t>10.5047</t>
  </si>
  <si>
    <t>2002-09-09</t>
  </si>
  <si>
    <t>10.5151</t>
  </si>
  <si>
    <t>2002-09-06</t>
  </si>
  <si>
    <t>10.5488</t>
  </si>
  <si>
    <t>2002-09-05</t>
  </si>
  <si>
    <t>10.6938</t>
  </si>
  <si>
    <t>2002-09-04</t>
  </si>
  <si>
    <t>10.8396</t>
  </si>
  <si>
    <t>2002-09-03</t>
  </si>
  <si>
    <t>10.6608</t>
  </si>
  <si>
    <t>2002-09-02</t>
  </si>
  <si>
    <t>10.5890</t>
  </si>
  <si>
    <t>2002-08-30</t>
  </si>
  <si>
    <t>10.6299</t>
  </si>
  <si>
    <t>2002-08-29</t>
  </si>
  <si>
    <t>10.6249</t>
  </si>
  <si>
    <t>2002-08-28</t>
  </si>
  <si>
    <t>10.4949</t>
  </si>
  <si>
    <t>2002-08-27</t>
  </si>
  <si>
    <t>10.7496</t>
  </si>
  <si>
    <t>2002-08-26</t>
  </si>
  <si>
    <t>10.8212</t>
  </si>
  <si>
    <t>2002-08-23</t>
  </si>
  <si>
    <t>10.8615</t>
  </si>
  <si>
    <t>2002-08-22</t>
  </si>
  <si>
    <t>10.9038</t>
  </si>
  <si>
    <t>2002-08-21</t>
  </si>
  <si>
    <t>10.9051</t>
  </si>
  <si>
    <t>2002-08-20</t>
  </si>
  <si>
    <t>10.6280</t>
  </si>
  <si>
    <t>2002-08-19</t>
  </si>
  <si>
    <t>2002-08-16</t>
  </si>
  <si>
    <t>10.6459</t>
  </si>
  <si>
    <t>2002-08-15</t>
  </si>
  <si>
    <t>10.5695</t>
  </si>
  <si>
    <t>2002-08-14</t>
  </si>
  <si>
    <t>10.5609</t>
  </si>
  <si>
    <t>2002-08-13</t>
  </si>
  <si>
    <t>10.5360</t>
  </si>
  <si>
    <t>2002-08-12</t>
  </si>
  <si>
    <t>10.4377</t>
  </si>
  <si>
    <t>2002-08-08</t>
  </si>
  <si>
    <t>10.4070</t>
  </si>
  <si>
    <t>2002-08-07</t>
  </si>
  <si>
    <t>10.5686</t>
  </si>
  <si>
    <t>2002-08-06</t>
  </si>
  <si>
    <t>10.7001</t>
  </si>
  <si>
    <t>2002-08-05</t>
  </si>
  <si>
    <t>10.3310</t>
  </si>
  <si>
    <t>2002-08-02</t>
  </si>
  <si>
    <t>10.1980</t>
  </si>
  <si>
    <t>2002-08-01</t>
  </si>
  <si>
    <t>10.2530</t>
  </si>
  <si>
    <t>2002-07-31</t>
  </si>
  <si>
    <t>10.1589</t>
  </si>
  <si>
    <t>2002-07-30</t>
  </si>
  <si>
    <t>10.1705</t>
  </si>
  <si>
    <t>2002-07-29</t>
  </si>
  <si>
    <t>10.2060</t>
  </si>
  <si>
    <t>2002-07-26</t>
  </si>
  <si>
    <t>10.1559</t>
  </si>
  <si>
    <t>2002-07-25</t>
  </si>
  <si>
    <t>10.2458</t>
  </si>
  <si>
    <t>2002-07-24</t>
  </si>
  <si>
    <t>10.1791</t>
  </si>
  <si>
    <t>2002-07-23</t>
  </si>
  <si>
    <t>10.0810</t>
  </si>
  <si>
    <t>2002-07-22</t>
  </si>
  <si>
    <t>9.9791</t>
  </si>
  <si>
    <t>2002-07-19</t>
  </si>
  <si>
    <t>9.9731</t>
  </si>
  <si>
    <t>2002-07-18</t>
  </si>
  <si>
    <t>10.1171</t>
  </si>
  <si>
    <t>2002-07-17</t>
  </si>
  <si>
    <t>10.1269</t>
  </si>
  <si>
    <t>2002-07-16</t>
  </si>
  <si>
    <t>10.0749</t>
  </si>
  <si>
    <t>2002-07-15</t>
  </si>
  <si>
    <t>10.0447</t>
  </si>
  <si>
    <t>2002-07-12</t>
  </si>
  <si>
    <t>10.0814</t>
  </si>
  <si>
    <t>2002-07-11</t>
  </si>
  <si>
    <t>10.0062</t>
  </si>
  <si>
    <t>2002-07-10</t>
  </si>
  <si>
    <t>9.9702</t>
  </si>
  <si>
    <t>2002-07-09</t>
  </si>
  <si>
    <t>10.0748</t>
  </si>
  <si>
    <t>2002-07-08</t>
  </si>
  <si>
    <t>10.0862</t>
  </si>
  <si>
    <t>2002-07-05</t>
  </si>
  <si>
    <t>10.1943</t>
  </si>
  <si>
    <t>2002-07-04</t>
  </si>
  <si>
    <t>10.2084</t>
  </si>
  <si>
    <t>2002-07-03</t>
  </si>
  <si>
    <t>10.1419</t>
  </si>
  <si>
    <t>2002-07-02</t>
  </si>
  <si>
    <t>10.0960</t>
  </si>
  <si>
    <t>2002-07-01</t>
  </si>
  <si>
    <t>10.2579</t>
  </si>
  <si>
    <t>2002-06-28</t>
  </si>
  <si>
    <t>10.3749</t>
  </si>
  <si>
    <t>2002-06-27</t>
  </si>
  <si>
    <t>10.3430</t>
  </si>
  <si>
    <t>2002-06-26</t>
  </si>
  <si>
    <t>10.3475</t>
  </si>
  <si>
    <t>2002-06-25</t>
  </si>
  <si>
    <t>10.3328</t>
  </si>
  <si>
    <t>2002-06-24</t>
  </si>
  <si>
    <t>10.3563</t>
  </si>
  <si>
    <t>2002-06-21</t>
  </si>
  <si>
    <t>10.4770</t>
  </si>
  <si>
    <t>2002-06-20</t>
  </si>
  <si>
    <t>2002-06-19</t>
  </si>
  <si>
    <t>10.2250</t>
  </si>
  <si>
    <t>2002-06-18</t>
  </si>
  <si>
    <t>10.5479</t>
  </si>
  <si>
    <t>2002-06-14</t>
  </si>
  <si>
    <t>10.3539</t>
  </si>
  <si>
    <t>2002-06-13</t>
  </si>
  <si>
    <t>10.1991</t>
  </si>
  <si>
    <t>2002-06-12</t>
  </si>
  <si>
    <t>10.0289</t>
  </si>
  <si>
    <t>2002-06-11</t>
  </si>
  <si>
    <t>10.0119</t>
  </si>
  <si>
    <t>2002-06-10</t>
  </si>
  <si>
    <t>9.9922</t>
  </si>
  <si>
    <t>2002-06-07</t>
  </si>
  <si>
    <t>9.8086</t>
  </si>
  <si>
    <t>2002-06-06</t>
  </si>
  <si>
    <t>9.8529</t>
  </si>
  <si>
    <t>2002-06-05</t>
  </si>
  <si>
    <t>9.7572</t>
  </si>
  <si>
    <t>2002-06-04</t>
  </si>
  <si>
    <t>9.7408</t>
  </si>
  <si>
    <t>2002-06-03</t>
  </si>
  <si>
    <t>9.8101</t>
  </si>
  <si>
    <t>2002-05-31</t>
  </si>
  <si>
    <t>9.7367</t>
  </si>
  <si>
    <t>2002-05-30</t>
  </si>
  <si>
    <t>9.7690</t>
  </si>
  <si>
    <t>2002-05-29</t>
  </si>
  <si>
    <t>9.9269</t>
  </si>
  <si>
    <t>2002-05-28</t>
  </si>
  <si>
    <t>9.9160</t>
  </si>
  <si>
    <t>2002-05-27</t>
  </si>
  <si>
    <t>10.0048</t>
  </si>
  <si>
    <t>2002-05-24</t>
  </si>
  <si>
    <t>10.1219</t>
  </si>
  <si>
    <t>2002-05-23</t>
  </si>
  <si>
    <t>10.1240</t>
  </si>
  <si>
    <t>2002-05-22</t>
  </si>
  <si>
    <t>10.1121</t>
  </si>
  <si>
    <t>2002-05-21</t>
  </si>
  <si>
    <t>10.0501</t>
  </si>
  <si>
    <t>2002-05-20</t>
  </si>
  <si>
    <t>10.0359</t>
  </si>
  <si>
    <t>2002-05-17</t>
  </si>
  <si>
    <t>10.0911</t>
  </si>
  <si>
    <t>2002-05-16</t>
  </si>
  <si>
    <t>10.1725</t>
  </si>
  <si>
    <t>2002-05-15</t>
  </si>
  <si>
    <t>10.2919</t>
  </si>
  <si>
    <t>2002-05-14</t>
  </si>
  <si>
    <t>10.1530</t>
  </si>
  <si>
    <t>2002-05-13</t>
  </si>
  <si>
    <t>10.1841</t>
  </si>
  <si>
    <t>2002-05-10</t>
  </si>
  <si>
    <t>10.3063</t>
  </si>
  <si>
    <t>2002-05-09</t>
  </si>
  <si>
    <t>10.3680</t>
  </si>
  <si>
    <t>2002-05-08</t>
  </si>
  <si>
    <t>10.1282</t>
  </si>
  <si>
    <t>2002-05-07</t>
  </si>
  <si>
    <t>10.4370</t>
  </si>
  <si>
    <t>2002-05-06</t>
  </si>
  <si>
    <t>2002-05-03</t>
  </si>
  <si>
    <t>10.4911</t>
  </si>
  <si>
    <t>2002-05-02</t>
  </si>
  <si>
    <t>10.5390</t>
  </si>
  <si>
    <t>2002-04-30</t>
  </si>
  <si>
    <t>10.6344</t>
  </si>
  <si>
    <t>2002-04-29</t>
  </si>
  <si>
    <t>10.6189</t>
  </si>
  <si>
    <t>2002-04-26</t>
  </si>
  <si>
    <t>10.8872</t>
  </si>
  <si>
    <t>2002-04-25</t>
  </si>
  <si>
    <t>10.8948</t>
  </si>
  <si>
    <t>2002-04-24</t>
  </si>
  <si>
    <t>10.9629</t>
  </si>
  <si>
    <t>2002-04-23</t>
  </si>
  <si>
    <t>10.9423</t>
  </si>
  <si>
    <t>2002-04-22</t>
  </si>
  <si>
    <t>11.0911</t>
  </si>
  <si>
    <t>2002-04-19</t>
  </si>
  <si>
    <t>11.1108</t>
  </si>
  <si>
    <t>2002-04-18</t>
  </si>
  <si>
    <t>11.1150</t>
  </si>
  <si>
    <t>2002-04-17</t>
  </si>
  <si>
    <t>11.2229</t>
  </si>
  <si>
    <t>2002-04-16</t>
  </si>
  <si>
    <t>11.1838</t>
  </si>
  <si>
    <t>2002-04-15</t>
  </si>
  <si>
    <t>11.1888</t>
  </si>
  <si>
    <t>2002-04-12</t>
  </si>
  <si>
    <t>11.2171</t>
  </si>
  <si>
    <t>2002-04-11</t>
  </si>
  <si>
    <t>11.2371</t>
  </si>
  <si>
    <t>2002-04-10</t>
  </si>
  <si>
    <t>11.2211</t>
  </si>
  <si>
    <t>2002-04-09</t>
  </si>
  <si>
    <t>11.1850</t>
  </si>
  <si>
    <t>2002-04-08</t>
  </si>
  <si>
    <t>11.1129</t>
  </si>
  <si>
    <t>2002-04-05</t>
  </si>
  <si>
    <t>11.2491</t>
  </si>
  <si>
    <t>2002-04-04</t>
  </si>
  <si>
    <t>11.1494</t>
  </si>
  <si>
    <t>2002-04-03</t>
  </si>
  <si>
    <t>11.2294</t>
  </si>
  <si>
    <t>2002-04-02</t>
  </si>
  <si>
    <t>11.2848</t>
  </si>
  <si>
    <t>2002-03-28</t>
  </si>
  <si>
    <t>11.4038</t>
  </si>
  <si>
    <t>2002-03-27</t>
  </si>
  <si>
    <t>11.4788</t>
  </si>
  <si>
    <t>2002-03-26</t>
  </si>
  <si>
    <t>11.5757</t>
  </si>
  <si>
    <t>2002-03-25</t>
  </si>
  <si>
    <t>11.5611</t>
  </si>
  <si>
    <t>2002-03-22</t>
  </si>
  <si>
    <t>11.5485</t>
  </si>
  <si>
    <t>2002-03-20</t>
  </si>
  <si>
    <t>11.5030</t>
  </si>
  <si>
    <t>2002-03-19</t>
  </si>
  <si>
    <t>11.7789</t>
  </si>
  <si>
    <t>2002-03-18</t>
  </si>
  <si>
    <t>11.9228</t>
  </si>
  <si>
    <t>2002-03-15</t>
  </si>
  <si>
    <t>11.6760</t>
  </si>
  <si>
    <t>2002-03-14</t>
  </si>
  <si>
    <t>11.6712</t>
  </si>
  <si>
    <t>2002-03-13</t>
  </si>
  <si>
    <t>11.6808</t>
  </si>
  <si>
    <t>2002-03-12</t>
  </si>
  <si>
    <t>11.5422</t>
  </si>
  <si>
    <t>2002-03-11</t>
  </si>
  <si>
    <t>11.4720</t>
  </si>
  <si>
    <t>2002-03-08</t>
  </si>
  <si>
    <t>11.9116</t>
  </si>
  <si>
    <t>2002-03-07</t>
  </si>
  <si>
    <t>11.0949</t>
  </si>
  <si>
    <t>2002-03-06</t>
  </si>
  <si>
    <t>11.0175</t>
  </si>
  <si>
    <t>2002-03-05</t>
  </si>
  <si>
    <t>10.9779</t>
  </si>
  <si>
    <t>2002-03-04</t>
  </si>
  <si>
    <t>11.3055</t>
  </si>
  <si>
    <t>2002-03-01</t>
  </si>
  <si>
    <t>11.3713</t>
  </si>
  <si>
    <t>2002-02-28</t>
  </si>
  <si>
    <t>11.4521</t>
  </si>
  <si>
    <t>2002-02-27</t>
  </si>
  <si>
    <t>11.4081</t>
  </si>
  <si>
    <t>2002-02-26</t>
  </si>
  <si>
    <t>11.4330</t>
  </si>
  <si>
    <t>2002-02-25</t>
  </si>
  <si>
    <t>11.3818</t>
  </si>
  <si>
    <t>2002-02-22</t>
  </si>
  <si>
    <t>11.4686</t>
  </si>
  <si>
    <t>2002-02-21</t>
  </si>
  <si>
    <t>11.4259</t>
  </si>
  <si>
    <t>2002-02-20</t>
  </si>
  <si>
    <t>11.4884</t>
  </si>
  <si>
    <t>2002-02-19</t>
  </si>
  <si>
    <t>11.5330</t>
  </si>
  <si>
    <t>2002-02-18</t>
  </si>
  <si>
    <t>11.3619</t>
  </si>
  <si>
    <t>2002-02-15</t>
  </si>
  <si>
    <t>11.5061</t>
  </si>
  <si>
    <t>2002-02-14</t>
  </si>
  <si>
    <t>11.4860</t>
  </si>
  <si>
    <t>2002-02-13</t>
  </si>
  <si>
    <t>11.4848</t>
  </si>
  <si>
    <t>2002-02-12</t>
  </si>
  <si>
    <t>11.5820</t>
  </si>
  <si>
    <t>2002-02-11</t>
  </si>
  <si>
    <t>11.5175</t>
  </si>
  <si>
    <t>2002-02-08</t>
  </si>
  <si>
    <t>11.4310</t>
  </si>
  <si>
    <t>2002-02-07</t>
  </si>
  <si>
    <t>11.5621</t>
  </si>
  <si>
    <t>2002-02-06</t>
  </si>
  <si>
    <t>11.4698</t>
  </si>
  <si>
    <t>2002-02-05</t>
  </si>
  <si>
    <t>11.6145</t>
  </si>
  <si>
    <t>2002-02-04</t>
  </si>
  <si>
    <t>11.6104</t>
  </si>
  <si>
    <t>2002-02-01</t>
  </si>
  <si>
    <t>11.4768</t>
  </si>
  <si>
    <t>2002-01-31</t>
  </si>
  <si>
    <t>11.4492</t>
  </si>
  <si>
    <t>2002-01-30</t>
  </si>
  <si>
    <t>11.4649</t>
  </si>
  <si>
    <t>2002-01-29</t>
  </si>
  <si>
    <t>11.5192</t>
  </si>
  <si>
    <t>2002-01-28</t>
  </si>
  <si>
    <t>11.4778</t>
  </si>
  <si>
    <t>2002-01-25</t>
  </si>
  <si>
    <t>11.1672</t>
  </si>
  <si>
    <t>2002-01-24</t>
  </si>
  <si>
    <t>11.2908</t>
  </si>
  <si>
    <t>2002-01-23</t>
  </si>
  <si>
    <t>11.6428</t>
  </si>
  <si>
    <t>2002-01-22</t>
  </si>
  <si>
    <t>11.4418</t>
  </si>
  <si>
    <t>2002-01-21</t>
  </si>
  <si>
    <t>11.5091</t>
  </si>
  <si>
    <t>2002-01-18</t>
  </si>
  <si>
    <t>11.3728</t>
  </si>
  <si>
    <t>2002-01-17</t>
  </si>
  <si>
    <t>11.6159</t>
  </si>
  <si>
    <t>2002-01-16</t>
  </si>
  <si>
    <t>11.7997</t>
  </si>
  <si>
    <t>2002-01-15</t>
  </si>
  <si>
    <t>11.4771</t>
  </si>
  <si>
    <t>2002-01-14</t>
  </si>
  <si>
    <t>11.4478</t>
  </si>
  <si>
    <t>2002-01-11</t>
  </si>
  <si>
    <t>11.5946</t>
  </si>
  <si>
    <t>2002-01-10</t>
  </si>
  <si>
    <t>11.3989</t>
  </si>
  <si>
    <t>2002-01-09</t>
  </si>
  <si>
    <t>11.4240</t>
  </si>
  <si>
    <t>2002-01-08</t>
  </si>
  <si>
    <t>11.6118</t>
  </si>
  <si>
    <t>2002-01-07</t>
  </si>
  <si>
    <t>11.9336</t>
  </si>
  <si>
    <t>2002-01-04</t>
  </si>
  <si>
    <t>12.0381</t>
  </si>
  <si>
    <t>2002-01-03</t>
  </si>
  <si>
    <t>12.5359</t>
  </si>
  <si>
    <t>2002-01-02</t>
  </si>
  <si>
    <t>12.3546</t>
  </si>
  <si>
    <t>2001-12-31</t>
  </si>
  <si>
    <t>12.0862</t>
  </si>
  <si>
    <t>2001-12-28</t>
  </si>
  <si>
    <t>11.9318</t>
  </si>
  <si>
    <t>2001-12-27</t>
  </si>
  <si>
    <t>12.1119</t>
  </si>
  <si>
    <t>2001-12-24</t>
  </si>
  <si>
    <t>12.2016</t>
  </si>
  <si>
    <t>2001-12-21</t>
  </si>
  <si>
    <t>12.7765</t>
  </si>
  <si>
    <t>2001-12-20</t>
  </si>
  <si>
    <t>13.0028</t>
  </si>
  <si>
    <t>2001-12-19</t>
  </si>
  <si>
    <t>12.5028</t>
  </si>
  <si>
    <t>2001-12-18</t>
  </si>
  <si>
    <t>12.2312</t>
  </si>
  <si>
    <t>2001-12-14</t>
  </si>
  <si>
    <t>11.7933</t>
  </si>
  <si>
    <t>2001-12-13</t>
  </si>
  <si>
    <t>11.2889</t>
  </si>
  <si>
    <t>2001-12-12</t>
  </si>
  <si>
    <t>11.1391</t>
  </si>
  <si>
    <t>2001-12-11</t>
  </si>
  <si>
    <t>11.0766</t>
  </si>
  <si>
    <t>2001-12-10</t>
  </si>
  <si>
    <t>11.1687</t>
  </si>
  <si>
    <t>2001-12-07</t>
  </si>
  <si>
    <t>10.9404</t>
  </si>
  <si>
    <t>2001-12-06</t>
  </si>
  <si>
    <t>11.1393</t>
  </si>
  <si>
    <t>2001-12-05</t>
  </si>
  <si>
    <t>2001-12-04</t>
  </si>
  <si>
    <t>10.3669</t>
  </si>
  <si>
    <t>2001-12-03</t>
  </si>
  <si>
    <t>10.3061</t>
  </si>
  <si>
    <t>2001-11-30</t>
  </si>
  <si>
    <t>10.3492</t>
  </si>
  <si>
    <t>2001-11-29</t>
  </si>
  <si>
    <t>9.8089</t>
  </si>
  <si>
    <t>2001-11-28</t>
  </si>
  <si>
    <t>9.9210</t>
  </si>
  <si>
    <t>2001-11-27</t>
  </si>
  <si>
    <t>9.8725</t>
  </si>
  <si>
    <t>2001-11-26</t>
  </si>
  <si>
    <t>9.9305</t>
  </si>
  <si>
    <t>2001-11-23</t>
  </si>
  <si>
    <t>9.9740</t>
  </si>
  <si>
    <t>2001-11-22</t>
  </si>
  <si>
    <t>9.9673</t>
  </si>
  <si>
    <t>2001-11-21</t>
  </si>
  <si>
    <t>9.7922</t>
  </si>
  <si>
    <t>2001-11-20</t>
  </si>
  <si>
    <t>9.7464</t>
  </si>
  <si>
    <t>2001-11-19</t>
  </si>
  <si>
    <t>9.6150</t>
  </si>
  <si>
    <t>2001-11-16</t>
  </si>
  <si>
    <t>9.4939</t>
  </si>
  <si>
    <t>2001-11-15</t>
  </si>
  <si>
    <t>9.6459</t>
  </si>
  <si>
    <t>2001-11-14</t>
  </si>
  <si>
    <t>9.7014</t>
  </si>
  <si>
    <t>2001-11-13</t>
  </si>
  <si>
    <t>9.6947</t>
  </si>
  <si>
    <t>2001-11-12</t>
  </si>
  <si>
    <t>9.6678</t>
  </si>
  <si>
    <t>2001-11-09</t>
  </si>
  <si>
    <t>9.6260</t>
  </si>
  <si>
    <t>2001-11-08</t>
  </si>
  <si>
    <t>9.5327</t>
  </si>
  <si>
    <t>2001-11-07</t>
  </si>
  <si>
    <t>9.4758</t>
  </si>
  <si>
    <t>2001-11-06</t>
  </si>
  <si>
    <t>9.4657</t>
  </si>
  <si>
    <t>2001-11-05</t>
  </si>
  <si>
    <t>9.6400</t>
  </si>
  <si>
    <t>2001-11-02</t>
  </si>
  <si>
    <t>9.5503</t>
  </si>
  <si>
    <t>2001-11-01</t>
  </si>
  <si>
    <t>9.4294</t>
  </si>
  <si>
    <t>2001-10-31</t>
  </si>
  <si>
    <t>9.4379</t>
  </si>
  <si>
    <t>2001-10-30</t>
  </si>
  <si>
    <t>9.3734</t>
  </si>
  <si>
    <t>2001-10-29</t>
  </si>
  <si>
    <t>9.3183</t>
  </si>
  <si>
    <t>2001-10-26</t>
  </si>
  <si>
    <t>9.3790</t>
  </si>
  <si>
    <t>2001-10-25</t>
  </si>
  <si>
    <t>9.4584</t>
  </si>
  <si>
    <t>2001-10-24</t>
  </si>
  <si>
    <t>9.4060</t>
  </si>
  <si>
    <t>2001-10-23</t>
  </si>
  <si>
    <t>9.5573</t>
  </si>
  <si>
    <t>2001-10-22</t>
  </si>
  <si>
    <t>9.2886</t>
  </si>
  <si>
    <t>2001-10-19</t>
  </si>
  <si>
    <t>9.1891</t>
  </si>
  <si>
    <t>2001-10-18</t>
  </si>
  <si>
    <t>9.2587</t>
  </si>
  <si>
    <t>2001-10-17</t>
  </si>
  <si>
    <t>9.2623</t>
  </si>
  <si>
    <t>2001-10-16</t>
  </si>
  <si>
    <t>9.0632</t>
  </si>
  <si>
    <t>2001-10-15</t>
  </si>
  <si>
    <t>9.0125</t>
  </si>
  <si>
    <t>2001-10-12</t>
  </si>
  <si>
    <t>9.1500</t>
  </si>
  <si>
    <t>2001-10-11</t>
  </si>
  <si>
    <t>9.1775</t>
  </si>
  <si>
    <t>2001-10-10</t>
  </si>
  <si>
    <t>9.3024</t>
  </si>
  <si>
    <t>2001-10-09</t>
  </si>
  <si>
    <t>9.2910</t>
  </si>
  <si>
    <t>2001-10-08</t>
  </si>
  <si>
    <t>9.3395</t>
  </si>
  <si>
    <t>2001-10-05</t>
  </si>
  <si>
    <t>9.2594</t>
  </si>
  <si>
    <t>2001-10-04</t>
  </si>
  <si>
    <t>9.2839</t>
  </si>
  <si>
    <t>2001-10-03</t>
  </si>
  <si>
    <t>9.2455</t>
  </si>
  <si>
    <t>2001-10-02</t>
  </si>
  <si>
    <t>9.1229</t>
  </si>
  <si>
    <t>2001-10-01</t>
  </si>
  <si>
    <t>9.0395</t>
  </si>
  <si>
    <t>2001-09-28</t>
  </si>
  <si>
    <t>8.9425</t>
  </si>
  <si>
    <t>2001-09-27</t>
  </si>
  <si>
    <t>8.9750</t>
  </si>
  <si>
    <t>2001-09-26</t>
  </si>
  <si>
    <t>8.8107</t>
  </si>
  <si>
    <t>2001-09-25</t>
  </si>
  <si>
    <t>8.7528</t>
  </si>
  <si>
    <t>2001-09-21</t>
  </si>
  <si>
    <t>8.7310</t>
  </si>
  <si>
    <t>2001-09-20</t>
  </si>
  <si>
    <t>8.6550</t>
  </si>
  <si>
    <t>2001-09-19</t>
  </si>
  <si>
    <t>8.6518</t>
  </si>
  <si>
    <t>2001-09-18</t>
  </si>
  <si>
    <t>8.6594</t>
  </si>
  <si>
    <t>2001-09-17</t>
  </si>
  <si>
    <t>8.6102</t>
  </si>
  <si>
    <t>2001-09-14</t>
  </si>
  <si>
    <t>8.6221</t>
  </si>
  <si>
    <t>2001-09-13</t>
  </si>
  <si>
    <t>8.6323</t>
  </si>
  <si>
    <t>2001-09-12</t>
  </si>
  <si>
    <t>8.5797</t>
  </si>
  <si>
    <t>2001-09-11</t>
  </si>
  <si>
    <t>8.5397</t>
  </si>
  <si>
    <t>2001-09-10</t>
  </si>
  <si>
    <t>8.4709</t>
  </si>
  <si>
    <t>2001-09-07</t>
  </si>
  <si>
    <t>8.4655</t>
  </si>
  <si>
    <t>2001-09-06</t>
  </si>
  <si>
    <t>8.4745</t>
  </si>
  <si>
    <t>2001-09-05</t>
  </si>
  <si>
    <t>2001-09-04</t>
  </si>
  <si>
    <t>8.4713</t>
  </si>
  <si>
    <t>2001-09-03</t>
  </si>
  <si>
    <t>8.4410</t>
  </si>
  <si>
    <t>2001-08-31</t>
  </si>
  <si>
    <t>8.3963</t>
  </si>
  <si>
    <t>2001-08-30</t>
  </si>
  <si>
    <t>8.3563</t>
  </si>
  <si>
    <t>2001-08-29</t>
  </si>
  <si>
    <t>8.3570</t>
  </si>
  <si>
    <t>2001-08-28</t>
  </si>
  <si>
    <t>8.4129</t>
  </si>
  <si>
    <t>2001-08-27</t>
  </si>
  <si>
    <t>2001-08-24</t>
  </si>
  <si>
    <t>8.3574</t>
  </si>
  <si>
    <t>2001-08-23</t>
  </si>
  <si>
    <t>8.3907</t>
  </si>
  <si>
    <t>2001-08-22</t>
  </si>
  <si>
    <t>8.3791</t>
  </si>
  <si>
    <t>2001-08-21</t>
  </si>
  <si>
    <t>8.2922</t>
  </si>
  <si>
    <t>2001-08-20</t>
  </si>
  <si>
    <t>8.3108</t>
  </si>
  <si>
    <t>2001-08-17</t>
  </si>
  <si>
    <t>8.2583</t>
  </si>
  <si>
    <t>2001-08-16</t>
  </si>
  <si>
    <t>8.2291</t>
  </si>
  <si>
    <t>2001-08-15</t>
  </si>
  <si>
    <t>8.2645</t>
  </si>
  <si>
    <t>2001-08-14</t>
  </si>
  <si>
    <t>8.2768</t>
  </si>
  <si>
    <t>2001-08-13</t>
  </si>
  <si>
    <t>8.2444</t>
  </si>
  <si>
    <t>2001-08-10</t>
  </si>
  <si>
    <t>8.2515</t>
  </si>
  <si>
    <t>2001-08-08</t>
  </si>
  <si>
    <t>8.3043</t>
  </si>
  <si>
    <t>2001-08-07</t>
  </si>
  <si>
    <t>8.3215</t>
  </si>
  <si>
    <t>2001-08-06</t>
  </si>
  <si>
    <t>8.2669</t>
  </si>
  <si>
    <t>2001-08-03</t>
  </si>
  <si>
    <t>8.2420</t>
  </si>
  <si>
    <t>2001-08-02</t>
  </si>
  <si>
    <t>8.2203</t>
  </si>
  <si>
    <t>2001-08-01</t>
  </si>
  <si>
    <t>8.2634</t>
  </si>
  <si>
    <t>2001-07-31</t>
  </si>
  <si>
    <t>8.2600</t>
  </si>
  <si>
    <t>2001-07-30</t>
  </si>
  <si>
    <t>8.2139</t>
  </si>
  <si>
    <t>2001-07-27</t>
  </si>
  <si>
    <t>8.1813</t>
  </si>
  <si>
    <t>2001-07-26</t>
  </si>
  <si>
    <t>8.1960</t>
  </si>
  <si>
    <t>2001-07-25</t>
  </si>
  <si>
    <t>8.2186</t>
  </si>
  <si>
    <t>2001-07-24</t>
  </si>
  <si>
    <t>8.1954</t>
  </si>
  <si>
    <t>2001-07-23</t>
  </si>
  <si>
    <t>8.2166</t>
  </si>
  <si>
    <t>2001-07-20</t>
  </si>
  <si>
    <t>8.2573</t>
  </si>
  <si>
    <t>2001-07-19</t>
  </si>
  <si>
    <t>8.2478</t>
  </si>
  <si>
    <t>2001-07-18</t>
  </si>
  <si>
    <t>2001-07-17</t>
  </si>
  <si>
    <t>8.2522</t>
  </si>
  <si>
    <t>2001-07-16</t>
  </si>
  <si>
    <t>8.2505</t>
  </si>
  <si>
    <t>2001-07-13</t>
  </si>
  <si>
    <t>8.2372</t>
  </si>
  <si>
    <t>2001-07-12</t>
  </si>
  <si>
    <t>8.2362</t>
  </si>
  <si>
    <t>2001-07-11</t>
  </si>
  <si>
    <t>8.2908</t>
  </si>
  <si>
    <t>2001-07-10</t>
  </si>
  <si>
    <t>8.1977</t>
  </si>
  <si>
    <t>2001-07-09</t>
  </si>
  <si>
    <t>8.2403</t>
  </si>
  <si>
    <t>2001-07-06</t>
  </si>
  <si>
    <t>8.1863</t>
  </si>
  <si>
    <t>2001-07-05</t>
  </si>
  <si>
    <t>8.1238</t>
  </si>
  <si>
    <t>2001-07-04</t>
  </si>
  <si>
    <t>8.0515</t>
  </si>
  <si>
    <t>2001-07-03</t>
  </si>
  <si>
    <t>8.0141</t>
  </si>
  <si>
    <t>2001-07-02</t>
  </si>
  <si>
    <t>8.0519</t>
  </si>
  <si>
    <t>2001-06-29</t>
  </si>
  <si>
    <t>8.0671</t>
  </si>
  <si>
    <t>2001-06-28</t>
  </si>
  <si>
    <t>8.0428</t>
  </si>
  <si>
    <t>2001-06-27</t>
  </si>
  <si>
    <t>8.0128</t>
  </si>
  <si>
    <t>2001-06-26</t>
  </si>
  <si>
    <t>8.0157</t>
  </si>
  <si>
    <t>2001-06-25</t>
  </si>
  <si>
    <t>8.0321</t>
  </si>
  <si>
    <t>2001-06-22</t>
  </si>
  <si>
    <t>8.0704</t>
  </si>
  <si>
    <t>2001-06-21</t>
  </si>
  <si>
    <t>8.0802</t>
  </si>
  <si>
    <t>2001-06-20</t>
  </si>
  <si>
    <t>8.0887</t>
  </si>
  <si>
    <t>2001-06-19</t>
  </si>
  <si>
    <t>8.0460</t>
  </si>
  <si>
    <t>2001-06-18</t>
  </si>
  <si>
    <t>8.0176</t>
  </si>
  <si>
    <t>2001-06-15</t>
  </si>
  <si>
    <t>2001-06-14</t>
  </si>
  <si>
    <t>8.0782</t>
  </si>
  <si>
    <t>2001-06-13</t>
  </si>
  <si>
    <t>8.1004</t>
  </si>
  <si>
    <t>2001-06-12</t>
  </si>
  <si>
    <t>2001-06-11</t>
  </si>
  <si>
    <t>8.0694</t>
  </si>
  <si>
    <t>2001-06-08</t>
  </si>
  <si>
    <t>8.0844</t>
  </si>
  <si>
    <t>2001-06-07</t>
  </si>
  <si>
    <t>8.1288</t>
  </si>
  <si>
    <t>2001-06-06</t>
  </si>
  <si>
    <t>8.0192</t>
  </si>
  <si>
    <t>2001-06-05</t>
  </si>
  <si>
    <t>8.0860</t>
  </si>
  <si>
    <t>2001-06-04</t>
  </si>
  <si>
    <t>7.9859</t>
  </si>
  <si>
    <t>2001-06-01</t>
  </si>
  <si>
    <t>7.9971</t>
  </si>
  <si>
    <t>2001-05-31</t>
  </si>
  <si>
    <t>8.0138</t>
  </si>
  <si>
    <t>2001-05-30</t>
  </si>
  <si>
    <t>7.9529</t>
  </si>
  <si>
    <t>2001-05-29</t>
  </si>
  <si>
    <t>7.9230</t>
  </si>
  <si>
    <t>2001-05-28</t>
  </si>
  <si>
    <t>7.8927</t>
  </si>
  <si>
    <t>2001-05-25</t>
  </si>
  <si>
    <t>7.9368</t>
  </si>
  <si>
    <t>2001-05-24</t>
  </si>
  <si>
    <t>7.9551</t>
  </si>
  <si>
    <t>2001-05-23</t>
  </si>
  <si>
    <t>7.8945</t>
  </si>
  <si>
    <t>2001-05-22</t>
  </si>
  <si>
    <t>7.9070</t>
  </si>
  <si>
    <t>2001-05-21</t>
  </si>
  <si>
    <t>7.8920</t>
  </si>
  <si>
    <t>2001-05-18</t>
  </si>
  <si>
    <t>7.9665</t>
  </si>
  <si>
    <t>2001-05-17</t>
  </si>
  <si>
    <t>7.9968</t>
  </si>
  <si>
    <t>2001-05-16</t>
  </si>
  <si>
    <t>7.9869</t>
  </si>
  <si>
    <t>2001-05-15</t>
  </si>
  <si>
    <t>2001-05-14</t>
  </si>
  <si>
    <t>7.9888</t>
  </si>
  <si>
    <t>2001-05-11</t>
  </si>
  <si>
    <t>7.9296</t>
  </si>
  <si>
    <t>2001-05-10</t>
  </si>
  <si>
    <t>7.9359</t>
  </si>
  <si>
    <t>2001-05-09</t>
  </si>
  <si>
    <t>7.9586</t>
  </si>
  <si>
    <t>2001-05-08</t>
  </si>
  <si>
    <t>8.0080</t>
  </si>
  <si>
    <t>2001-05-07</t>
  </si>
  <si>
    <t>8.0144</t>
  </si>
  <si>
    <t>2001-05-04</t>
  </si>
  <si>
    <t>8.0766</t>
  </si>
  <si>
    <t>2001-05-03</t>
  </si>
  <si>
    <t>8.0421</t>
  </si>
  <si>
    <t>2001-05-02</t>
  </si>
  <si>
    <t>8.0131</t>
  </si>
  <si>
    <t>2001-04-30</t>
  </si>
  <si>
    <t>7.9847</t>
  </si>
  <si>
    <t>2001-04-26</t>
  </si>
  <si>
    <t>8.1096</t>
  </si>
  <si>
    <t>2001-04-25</t>
  </si>
  <si>
    <t>8.0893</t>
  </si>
  <si>
    <t>2001-04-24</t>
  </si>
  <si>
    <t>8.1506</t>
  </si>
  <si>
    <t>2001-04-23</t>
  </si>
  <si>
    <t>8.1773</t>
  </si>
  <si>
    <t>2001-04-20</t>
  </si>
  <si>
    <t>8.1189</t>
  </si>
  <si>
    <t>2001-04-19</t>
  </si>
  <si>
    <t>8.1460</t>
  </si>
  <si>
    <t>2001-04-18</t>
  </si>
  <si>
    <t>2001-04-17</t>
  </si>
  <si>
    <t>8.0873</t>
  </si>
  <si>
    <t>2001-04-12</t>
  </si>
  <si>
    <t>8.0016</t>
  </si>
  <si>
    <t>2001-04-11</t>
  </si>
  <si>
    <t>8.0454</t>
  </si>
  <si>
    <t>2001-04-10</t>
  </si>
  <si>
    <t>8.0619</t>
  </si>
  <si>
    <t>2001-04-09</t>
  </si>
  <si>
    <t>8.0383</t>
  </si>
  <si>
    <t>2001-04-06</t>
  </si>
  <si>
    <t>8.1070</t>
  </si>
  <si>
    <t>2001-04-05</t>
  </si>
  <si>
    <t>8.0189</t>
  </si>
  <si>
    <t>2001-04-04</t>
  </si>
  <si>
    <t>8.0730</t>
  </si>
  <si>
    <t>2001-04-03</t>
  </si>
  <si>
    <t>8.1024</t>
  </si>
  <si>
    <t>2001-04-02</t>
  </si>
  <si>
    <t>8.0480</t>
  </si>
  <si>
    <t>2001-03-30</t>
  </si>
  <si>
    <t>8.0183</t>
  </si>
  <si>
    <t>2001-03-29</t>
  </si>
  <si>
    <t>8.0225</t>
  </si>
  <si>
    <t>2001-03-28</t>
  </si>
  <si>
    <t>8.0160</t>
  </si>
  <si>
    <t>2001-03-27</t>
  </si>
  <si>
    <t>7.9460</t>
  </si>
  <si>
    <t>2001-03-26</t>
  </si>
  <si>
    <t>7.9488</t>
  </si>
  <si>
    <t>2001-03-23</t>
  </si>
  <si>
    <t>7.9780</t>
  </si>
  <si>
    <t>2001-03-22</t>
  </si>
  <si>
    <t>8.0642</t>
  </si>
  <si>
    <t>2001-03-20</t>
  </si>
  <si>
    <t>7.9837</t>
  </si>
  <si>
    <t>2001-03-19</t>
  </si>
  <si>
    <t>7.9729</t>
  </si>
  <si>
    <t>2001-03-16</t>
  </si>
  <si>
    <t>7.8697</t>
  </si>
  <si>
    <t>2001-03-15</t>
  </si>
  <si>
    <t>7.8802</t>
  </si>
  <si>
    <t>2001-03-14</t>
  </si>
  <si>
    <t>7.8502</t>
  </si>
  <si>
    <t>2001-03-13</t>
  </si>
  <si>
    <t>7.8217</t>
  </si>
  <si>
    <t>2001-03-12</t>
  </si>
  <si>
    <t>7.7667</t>
  </si>
  <si>
    <t>2001-03-09</t>
  </si>
  <si>
    <t>2001-03-08</t>
  </si>
  <si>
    <t>7.9170</t>
  </si>
  <si>
    <t>2001-03-07</t>
  </si>
  <si>
    <t>7.8759</t>
  </si>
  <si>
    <t>2001-03-06</t>
  </si>
  <si>
    <t>7.7848</t>
  </si>
  <si>
    <t>2001-03-05</t>
  </si>
  <si>
    <t>7.7411</t>
  </si>
  <si>
    <t>2001-03-02</t>
  </si>
  <si>
    <t>7.7408</t>
  </si>
  <si>
    <t>2001-03-01</t>
  </si>
  <si>
    <t>7.6911</t>
  </si>
  <si>
    <t>2001-02-28</t>
  </si>
  <si>
    <t>7.6864</t>
  </si>
  <si>
    <t>2001-02-27</t>
  </si>
  <si>
    <t>7.7220</t>
  </si>
  <si>
    <t>2001-02-26</t>
  </si>
  <si>
    <t>2001-02-23</t>
  </si>
  <si>
    <t>7.8012</t>
  </si>
  <si>
    <t>2001-02-22</t>
  </si>
  <si>
    <t>7.8131</t>
  </si>
  <si>
    <t>2001-02-21</t>
  </si>
  <si>
    <t>7.7751</t>
  </si>
  <si>
    <t>2001-02-20</t>
  </si>
  <si>
    <t>7.7691</t>
  </si>
  <si>
    <t>2001-02-19</t>
  </si>
  <si>
    <t>7.7649</t>
  </si>
  <si>
    <t>2001-02-16</t>
  </si>
  <si>
    <t>7.8784</t>
  </si>
  <si>
    <t>2001-02-15</t>
  </si>
  <si>
    <t>2001-02-14</t>
  </si>
  <si>
    <t>7.9375</t>
  </si>
  <si>
    <t>2001-02-13</t>
  </si>
  <si>
    <t>7.8428</t>
  </si>
  <si>
    <t>2001-02-12</t>
  </si>
  <si>
    <t>7.8542</t>
  </si>
  <si>
    <t>2001-02-09</t>
  </si>
  <si>
    <t>8.0029</t>
  </si>
  <si>
    <t>2001-02-08</t>
  </si>
  <si>
    <t>7.9608</t>
  </si>
  <si>
    <t>2001-02-07</t>
  </si>
  <si>
    <t>7.7619</t>
  </si>
  <si>
    <t>2001-02-06</t>
  </si>
  <si>
    <t>2001-02-05</t>
  </si>
  <si>
    <t>7.7733</t>
  </si>
  <si>
    <t>2001-02-02</t>
  </si>
  <si>
    <t>7.7393</t>
  </si>
  <si>
    <t>2001-02-01</t>
  </si>
  <si>
    <t>7.7540</t>
  </si>
  <si>
    <t>2001-01-31</t>
  </si>
  <si>
    <t>7.7915</t>
  </si>
  <si>
    <t>2001-01-30</t>
  </si>
  <si>
    <t>7.8976</t>
  </si>
  <si>
    <t>2001-01-29</t>
  </si>
  <si>
    <t>7.8687</t>
  </si>
  <si>
    <t>2001-01-26</t>
  </si>
  <si>
    <t>7.8815</t>
  </si>
  <si>
    <t>2001-01-25</t>
  </si>
  <si>
    <t>2001-01-24</t>
  </si>
  <si>
    <t>7.8499</t>
  </si>
  <si>
    <t>2001-01-23</t>
  </si>
  <si>
    <t>7.8555</t>
  </si>
  <si>
    <t>2001-01-22</t>
  </si>
  <si>
    <t>7.9158</t>
  </si>
  <si>
    <t>2001-01-19</t>
  </si>
  <si>
    <t>7.9139</t>
  </si>
  <si>
    <t>2001-01-18</t>
  </si>
  <si>
    <t>7.8867</t>
  </si>
  <si>
    <t>2001-01-17</t>
  </si>
  <si>
    <t>7.7879</t>
  </si>
  <si>
    <t>2001-01-16</t>
  </si>
  <si>
    <t>7.8561</t>
  </si>
  <si>
    <t>2001-01-15</t>
  </si>
  <si>
    <t>7.8725</t>
  </si>
  <si>
    <t>2001-01-12</t>
  </si>
  <si>
    <t>7.8601</t>
  </si>
  <si>
    <t>2001-01-11</t>
  </si>
  <si>
    <t>7.9151</t>
  </si>
  <si>
    <t>2001-01-10</t>
  </si>
  <si>
    <t>7.7310</t>
  </si>
  <si>
    <t>2001-01-09</t>
  </si>
  <si>
    <t>7.6109</t>
  </si>
  <si>
    <t>2001-01-08</t>
  </si>
  <si>
    <t>7.5435</t>
  </si>
  <si>
    <t>2001-01-05</t>
  </si>
  <si>
    <t>7.4822</t>
  </si>
  <si>
    <t>2001-01-04</t>
  </si>
  <si>
    <t>7.5355</t>
  </si>
  <si>
    <t>2001-01-03</t>
  </si>
  <si>
    <t>7.5148</t>
  </si>
  <si>
    <t>2001-01-02</t>
  </si>
  <si>
    <t>7.5709</t>
  </si>
  <si>
    <t>2000-12-29</t>
  </si>
  <si>
    <t>7.5683</t>
  </si>
  <si>
    <t>2000-12-28</t>
  </si>
  <si>
    <t>7.5792</t>
  </si>
  <si>
    <t>2000-12-27</t>
  </si>
  <si>
    <t>7.5335</t>
  </si>
  <si>
    <t>2000-12-22</t>
  </si>
  <si>
    <t>7.6080</t>
  </si>
  <si>
    <t>2000-12-21</t>
  </si>
  <si>
    <t>7.6257</t>
  </si>
  <si>
    <t>2000-12-20</t>
  </si>
  <si>
    <t>7.6938</t>
  </si>
  <si>
    <t>2000-12-19</t>
  </si>
  <si>
    <t>7.6843</t>
  </si>
  <si>
    <t>2000-12-18</t>
  </si>
  <si>
    <t>7.6397</t>
  </si>
  <si>
    <t>2000-12-15</t>
  </si>
  <si>
    <t>7.6979</t>
  </si>
  <si>
    <t>2000-12-14</t>
  </si>
  <si>
    <t>7.7122</t>
  </si>
  <si>
    <t>2000-12-13</t>
  </si>
  <si>
    <t>7.7459</t>
  </si>
  <si>
    <t>2000-12-12</t>
  </si>
  <si>
    <t>2000-12-11</t>
  </si>
  <si>
    <t>7.6637</t>
  </si>
  <si>
    <t>2000-12-08</t>
  </si>
  <si>
    <t>7.5979</t>
  </si>
  <si>
    <t>2000-12-07</t>
  </si>
  <si>
    <t>7.5586</t>
  </si>
  <si>
    <t>2000-12-06</t>
  </si>
  <si>
    <t>7.6141</t>
  </si>
  <si>
    <t>2000-12-04</t>
  </si>
  <si>
    <t>7.6315</t>
  </si>
  <si>
    <t>2000-12-01</t>
  </si>
  <si>
    <t>7.6737</t>
  </si>
  <si>
    <t>2000-11-30</t>
  </si>
  <si>
    <t>7.7369</t>
  </si>
  <si>
    <t>2000-11-29</t>
  </si>
  <si>
    <t>7.7945</t>
  </si>
  <si>
    <t>2000-11-28</t>
  </si>
  <si>
    <t>7.7414</t>
  </si>
  <si>
    <t>2000-11-27</t>
  </si>
  <si>
    <t>7.7664</t>
  </si>
  <si>
    <t>2000-11-24</t>
  </si>
  <si>
    <t>7.8453</t>
  </si>
  <si>
    <t>2000-11-23</t>
  </si>
  <si>
    <t>7.7567</t>
  </si>
  <si>
    <t>2000-11-22</t>
  </si>
  <si>
    <t>2000-11-21</t>
  </si>
  <si>
    <t>7.7450</t>
  </si>
  <si>
    <t>2000-11-20</t>
  </si>
  <si>
    <t>2000-11-17</t>
  </si>
  <si>
    <t>7.6240</t>
  </si>
  <si>
    <t>2000-11-16</t>
  </si>
  <si>
    <t>2000-11-15</t>
  </si>
  <si>
    <t>7.6415</t>
  </si>
  <si>
    <t>2000-11-14</t>
  </si>
  <si>
    <t>7.6263</t>
  </si>
  <si>
    <t>2000-11-13</t>
  </si>
  <si>
    <t>7.6345</t>
  </si>
  <si>
    <t>2000-11-10</t>
  </si>
  <si>
    <t>7.6719</t>
  </si>
  <si>
    <t>2000-11-09</t>
  </si>
  <si>
    <t>7.7592</t>
  </si>
  <si>
    <t>2000-11-08</t>
  </si>
  <si>
    <t>7.6479</t>
  </si>
  <si>
    <t>2000-11-07</t>
  </si>
  <si>
    <t>7.5512</t>
  </si>
  <si>
    <t>2000-11-06</t>
  </si>
  <si>
    <t>7.5185</t>
  </si>
  <si>
    <t>2000-11-03</t>
  </si>
  <si>
    <t>7.5290</t>
  </si>
  <si>
    <t>2000-11-02</t>
  </si>
  <si>
    <t>7.5047</t>
  </si>
  <si>
    <t>2000-11-01</t>
  </si>
  <si>
    <t>7.5154</t>
  </si>
  <si>
    <t>2000-10-31</t>
  </si>
  <si>
    <t>7.5609</t>
  </si>
  <si>
    <t>2000-10-30</t>
  </si>
  <si>
    <t>7.6286</t>
  </si>
  <si>
    <t>2000-10-27</t>
  </si>
  <si>
    <t>7.6348</t>
  </si>
  <si>
    <t>2000-10-26</t>
  </si>
  <si>
    <t>7.6956</t>
  </si>
  <si>
    <t>2000-10-25</t>
  </si>
  <si>
    <t>7.6564</t>
  </si>
  <si>
    <t>2000-10-24</t>
  </si>
  <si>
    <t>7.5674</t>
  </si>
  <si>
    <t>2000-10-23</t>
  </si>
  <si>
    <t>7.6031</t>
  </si>
  <si>
    <t>2000-10-20</t>
  </si>
  <si>
    <t>2000-10-19</t>
  </si>
  <si>
    <t>7.6684</t>
  </si>
  <si>
    <t>2000-10-18</t>
  </si>
  <si>
    <t>7.5640</t>
  </si>
  <si>
    <t>2000-10-17</t>
  </si>
  <si>
    <t>7.5838</t>
  </si>
  <si>
    <t>2000-10-16</t>
  </si>
  <si>
    <t>7.4738</t>
  </si>
  <si>
    <t>2000-10-13</t>
  </si>
  <si>
    <t>7.5191</t>
  </si>
  <si>
    <t>2000-10-12</t>
  </si>
  <si>
    <t>2000-10-11</t>
  </si>
  <si>
    <t>7.3446</t>
  </si>
  <si>
    <t>2000-10-10</t>
  </si>
  <si>
    <t>7.3500</t>
  </si>
  <si>
    <t>2000-10-09</t>
  </si>
  <si>
    <t>7.3244</t>
  </si>
  <si>
    <t>2000-10-06</t>
  </si>
  <si>
    <t>7.2730</t>
  </si>
  <si>
    <t>2000-10-05</t>
  </si>
  <si>
    <t>7.2200</t>
  </si>
  <si>
    <t>2000-10-04</t>
  </si>
  <si>
    <t>7.2220</t>
  </si>
  <si>
    <t>2000-10-03</t>
  </si>
  <si>
    <t>2000-10-02</t>
  </si>
  <si>
    <t>7.1950</t>
  </si>
  <si>
    <t>2000-09-29</t>
  </si>
  <si>
    <t>7.2772</t>
  </si>
  <si>
    <t>2000-09-28</t>
  </si>
  <si>
    <t>7.2424</t>
  </si>
  <si>
    <t>2000-09-27</t>
  </si>
  <si>
    <t>7.1847</t>
  </si>
  <si>
    <t>2000-09-26</t>
  </si>
  <si>
    <t>7.2273</t>
  </si>
  <si>
    <t>2000-09-22</t>
  </si>
  <si>
    <t>7.3239</t>
  </si>
  <si>
    <t>2000-09-21</t>
  </si>
  <si>
    <t>2000-09-20</t>
  </si>
  <si>
    <t>7.2870</t>
  </si>
  <si>
    <t>2000-09-19</t>
  </si>
  <si>
    <t>7.2974</t>
  </si>
  <si>
    <t>2000-09-18</t>
  </si>
  <si>
    <t>7.2301</t>
  </si>
  <si>
    <t>2000-09-15</t>
  </si>
  <si>
    <t>7.1380</t>
  </si>
  <si>
    <t>2000-09-14</t>
  </si>
  <si>
    <t>7.1528</t>
  </si>
  <si>
    <t>2000-09-13</t>
  </si>
  <si>
    <t>2000-09-12</t>
  </si>
  <si>
    <t>7.1416</t>
  </si>
  <si>
    <t>2000-09-11</t>
  </si>
  <si>
    <t>7.1104</t>
  </si>
  <si>
    <t>2000-09-08</t>
  </si>
  <si>
    <t>7.0879</t>
  </si>
  <si>
    <t>2000-09-07</t>
  </si>
  <si>
    <t>7.1281</t>
  </si>
  <si>
    <t>2000-09-06</t>
  </si>
  <si>
    <t>2000-09-05</t>
  </si>
  <si>
    <t>6.9820</t>
  </si>
  <si>
    <t>2000-09-04</t>
  </si>
  <si>
    <t>6.9512</t>
  </si>
  <si>
    <t>2000-09-01</t>
  </si>
  <si>
    <t>6.9979</t>
  </si>
  <si>
    <t>2000-08-31</t>
  </si>
  <si>
    <t>6.9599</t>
  </si>
  <si>
    <t>2000-08-30</t>
  </si>
  <si>
    <t>6.9752</t>
  </si>
  <si>
    <t>2000-08-29</t>
  </si>
  <si>
    <t>2000-08-28</t>
  </si>
  <si>
    <t>6.9274</t>
  </si>
  <si>
    <t>2000-08-25</t>
  </si>
  <si>
    <t>6.9355</t>
  </si>
  <si>
    <t>2000-08-24</t>
  </si>
  <si>
    <t>6.9539</t>
  </si>
  <si>
    <t>2000-08-23</t>
  </si>
  <si>
    <t>6.9915</t>
  </si>
  <si>
    <t>2000-08-22</t>
  </si>
  <si>
    <t>6.9682</t>
  </si>
  <si>
    <t>2000-08-21</t>
  </si>
  <si>
    <t>6.9375</t>
  </si>
  <si>
    <t>2000-08-18</t>
  </si>
  <si>
    <t>6.8987</t>
  </si>
  <si>
    <t>2000-08-17</t>
  </si>
  <si>
    <t>2000-08-16</t>
  </si>
  <si>
    <t>6.9408</t>
  </si>
  <si>
    <t>2000-08-15</t>
  </si>
  <si>
    <t>6.9073</t>
  </si>
  <si>
    <t>2000-08-14</t>
  </si>
  <si>
    <t>6.8916</t>
  </si>
  <si>
    <t>2000-08-11</t>
  </si>
  <si>
    <t>6.9322</t>
  </si>
  <si>
    <t>2000-08-10</t>
  </si>
  <si>
    <t>6.9750</t>
  </si>
  <si>
    <t>2000-08-08</t>
  </si>
  <si>
    <t>2000-08-07</t>
  </si>
  <si>
    <t>2000-08-04</t>
  </si>
  <si>
    <t>2000-08-03</t>
  </si>
  <si>
    <t>6.9903</t>
  </si>
  <si>
    <t>2000-08-02</t>
  </si>
  <si>
    <t>7.0045</t>
  </si>
  <si>
    <t>2000-08-01</t>
  </si>
  <si>
    <t>6.9536</t>
  </si>
  <si>
    <t>2000-07-31</t>
  </si>
  <si>
    <t>6.9560</t>
  </si>
  <si>
    <t>2000-07-28</t>
  </si>
  <si>
    <t>2000-07-27</t>
  </si>
  <si>
    <t>6.9442</t>
  </si>
  <si>
    <t>2000-07-26</t>
  </si>
  <si>
    <t>2000-07-25</t>
  </si>
  <si>
    <t>6.9444</t>
  </si>
  <si>
    <t>2000-07-24</t>
  </si>
  <si>
    <t>2000-07-21</t>
  </si>
  <si>
    <t>6.9001</t>
  </si>
  <si>
    <t>2000-07-20</t>
  </si>
  <si>
    <t>6.9830</t>
  </si>
  <si>
    <t>2000-07-19</t>
  </si>
  <si>
    <t>6.9728</t>
  </si>
  <si>
    <t>2000-07-18</t>
  </si>
  <si>
    <t>6.9006</t>
  </si>
  <si>
    <t>2000-07-17</t>
  </si>
  <si>
    <t>6.8788</t>
  </si>
  <si>
    <t>2000-07-14</t>
  </si>
  <si>
    <t>6.8369</t>
  </si>
  <si>
    <t>2000-07-13</t>
  </si>
  <si>
    <t>6.8456</t>
  </si>
  <si>
    <t>2000-07-12</t>
  </si>
  <si>
    <t>2000-07-11</t>
  </si>
  <si>
    <t>6.8094</t>
  </si>
  <si>
    <t>2000-07-10</t>
  </si>
  <si>
    <t>6.8472</t>
  </si>
  <si>
    <t>2000-07-07</t>
  </si>
  <si>
    <t>6.8418</t>
  </si>
  <si>
    <t>2000-07-06</t>
  </si>
  <si>
    <t>6.7900</t>
  </si>
  <si>
    <t>2000-07-05</t>
  </si>
  <si>
    <t>6.7531</t>
  </si>
  <si>
    <t>2000-07-04</t>
  </si>
  <si>
    <t>6.8097</t>
  </si>
  <si>
    <t>2000-07-03</t>
  </si>
  <si>
    <t>6.7937</t>
  </si>
  <si>
    <t>2000-06-30</t>
  </si>
  <si>
    <t>6.8234</t>
  </si>
  <si>
    <t>2000-06-29</t>
  </si>
  <si>
    <t>6.8108</t>
  </si>
  <si>
    <t>2000-06-28</t>
  </si>
  <si>
    <t>6.7958</t>
  </si>
  <si>
    <t>2000-06-27</t>
  </si>
  <si>
    <t>6.8406</t>
  </si>
  <si>
    <t>2000-06-26</t>
  </si>
  <si>
    <t>6.8691</t>
  </si>
  <si>
    <t>2000-06-23</t>
  </si>
  <si>
    <t>6.9288</t>
  </si>
  <si>
    <t>2000-06-22</t>
  </si>
  <si>
    <t>6.9437</t>
  </si>
  <si>
    <t>2000-06-21</t>
  </si>
  <si>
    <t>6.9054</t>
  </si>
  <si>
    <t>2000-06-20</t>
  </si>
  <si>
    <t>6.8887</t>
  </si>
  <si>
    <t>2000-06-19</t>
  </si>
  <si>
    <t>6.8807</t>
  </si>
  <si>
    <t>2000-06-15</t>
  </si>
  <si>
    <t>2000-06-14</t>
  </si>
  <si>
    <t>6.9694</t>
  </si>
  <si>
    <t>2000-06-13</t>
  </si>
  <si>
    <t>7.0348</t>
  </si>
  <si>
    <t>2000-06-12</t>
  </si>
  <si>
    <t>7.0445</t>
  </si>
  <si>
    <t>2000-06-09</t>
  </si>
  <si>
    <t>7.0589</t>
  </si>
  <si>
    <t>2000-06-08</t>
  </si>
  <si>
    <t>7.0084</t>
  </si>
  <si>
    <t>2000-06-07</t>
  </si>
  <si>
    <t>6.9667</t>
  </si>
  <si>
    <t>2000-06-06</t>
  </si>
  <si>
    <t>6.9204</t>
  </si>
  <si>
    <t>2000-06-05</t>
  </si>
  <si>
    <t>6.9324</t>
  </si>
  <si>
    <t>2000-06-02</t>
  </si>
  <si>
    <t>6.9423</t>
  </si>
  <si>
    <t>2000-06-01</t>
  </si>
  <si>
    <t>6.9854</t>
  </si>
  <si>
    <t>2000-05-31</t>
  </si>
  <si>
    <t>2000-05-30</t>
  </si>
  <si>
    <t>7.0751</t>
  </si>
  <si>
    <t>2000-05-29</t>
  </si>
  <si>
    <t>7.1063</t>
  </si>
  <si>
    <t>2000-05-26</t>
  </si>
  <si>
    <t>2000-05-25</t>
  </si>
  <si>
    <t>7.1523</t>
  </si>
  <si>
    <t>2000-05-24</t>
  </si>
  <si>
    <t>7.0937</t>
  </si>
  <si>
    <t>2000-05-23</t>
  </si>
  <si>
    <t>7.0636</t>
  </si>
  <si>
    <t>2000-05-22</t>
  </si>
  <si>
    <t>7.1030</t>
  </si>
  <si>
    <t>2000-05-19</t>
  </si>
  <si>
    <t>7.1759</t>
  </si>
  <si>
    <t>2000-05-18</t>
  </si>
  <si>
    <t>7.1656</t>
  </si>
  <si>
    <t>2000-05-17</t>
  </si>
  <si>
    <t>7.0771</t>
  </si>
  <si>
    <t>2000-05-16</t>
  </si>
  <si>
    <t>2000-05-15</t>
  </si>
  <si>
    <t>6.9962</t>
  </si>
  <si>
    <t>2000-05-12</t>
  </si>
  <si>
    <t>7.0168</t>
  </si>
  <si>
    <t>2000-05-11</t>
  </si>
  <si>
    <t>6.9669</t>
  </si>
  <si>
    <t>2000-05-10</t>
  </si>
  <si>
    <t>7.0477</t>
  </si>
  <si>
    <t>2000-05-09</t>
  </si>
  <si>
    <t>6.9859</t>
  </si>
  <si>
    <t>2000-05-08</t>
  </si>
  <si>
    <t>6.9365</t>
  </si>
  <si>
    <t>2000-05-05</t>
  </si>
  <si>
    <t>7.0004</t>
  </si>
  <si>
    <t>2000-05-04</t>
  </si>
  <si>
    <t>6.8416</t>
  </si>
  <si>
    <t>2000-05-03</t>
  </si>
  <si>
    <t>6.7893</t>
  </si>
  <si>
    <t>2000-05-02</t>
  </si>
  <si>
    <t>6.7463</t>
  </si>
  <si>
    <t>2000-04-28</t>
  </si>
  <si>
    <t>6.8231</t>
  </si>
  <si>
    <t>2000-04-26</t>
  </si>
  <si>
    <t>2000-04-25</t>
  </si>
  <si>
    <t>6.7376</t>
  </si>
  <si>
    <t>2000-04-20</t>
  </si>
  <si>
    <t>6.6394</t>
  </si>
  <si>
    <t>2000-04-19</t>
  </si>
  <si>
    <t>6.6140</t>
  </si>
  <si>
    <t>2000-04-18</t>
  </si>
  <si>
    <t>6.6044</t>
  </si>
  <si>
    <t>2000-04-17</t>
  </si>
  <si>
    <t>6.6289</t>
  </si>
  <si>
    <t>2000-04-14</t>
  </si>
  <si>
    <t>6.5529</t>
  </si>
  <si>
    <t>2000-04-13</t>
  </si>
  <si>
    <t>6.5922</t>
  </si>
  <si>
    <t>2000-04-12</t>
  </si>
  <si>
    <t>6.5658</t>
  </si>
  <si>
    <t>2000-04-11</t>
  </si>
  <si>
    <t>6.5896</t>
  </si>
  <si>
    <t>2000-04-10</t>
  </si>
  <si>
    <t>6.5394</t>
  </si>
  <si>
    <t>2000-04-07</t>
  </si>
  <si>
    <t>6.5744</t>
  </si>
  <si>
    <t>2000-04-06</t>
  </si>
  <si>
    <t>6.5883</t>
  </si>
  <si>
    <t>2000-04-05</t>
  </si>
  <si>
    <t>6.5514</t>
  </si>
  <si>
    <t>2000-04-04</t>
  </si>
  <si>
    <t>6.5554</t>
  </si>
  <si>
    <t>2000-04-03</t>
  </si>
  <si>
    <t>6.5377</t>
  </si>
  <si>
    <t>2000-03-31</t>
  </si>
  <si>
    <t>6.5857</t>
  </si>
  <si>
    <t>2000-03-30</t>
  </si>
  <si>
    <t>6.5298</t>
  </si>
  <si>
    <t>2000-03-29</t>
  </si>
  <si>
    <t>2000-03-28</t>
  </si>
  <si>
    <t>6.4817</t>
  </si>
  <si>
    <t>2000-03-27</t>
  </si>
  <si>
    <t>6.4687</t>
  </si>
  <si>
    <t>2000-03-24</t>
  </si>
  <si>
    <t>6.4819</t>
  </si>
  <si>
    <t>2000-03-23</t>
  </si>
  <si>
    <t>6.4599</t>
  </si>
  <si>
    <t>2000-03-22</t>
  </si>
  <si>
    <t>6.4885</t>
  </si>
  <si>
    <t>2000-03-20</t>
  </si>
  <si>
    <t>2000-03-17</t>
  </si>
  <si>
    <t>6.4387</t>
  </si>
  <si>
    <t>2000-03-16</t>
  </si>
  <si>
    <t>6.4658</t>
  </si>
  <si>
    <t>2000-03-15</t>
  </si>
  <si>
    <t>6.4616</t>
  </si>
  <si>
    <t>2000-03-14</t>
  </si>
  <si>
    <t>6.4265</t>
  </si>
  <si>
    <t>2000-03-13</t>
  </si>
  <si>
    <t>6.3930</t>
  </si>
  <si>
    <t>2000-03-10</t>
  </si>
  <si>
    <t>2000-03-09</t>
  </si>
  <si>
    <t>2000-03-08</t>
  </si>
  <si>
    <t>6.4990</t>
  </si>
  <si>
    <t>2000-03-07</t>
  </si>
  <si>
    <t>6.5153</t>
  </si>
  <si>
    <t>2000-03-06</t>
  </si>
  <si>
    <t>2000-03-03</t>
  </si>
  <si>
    <t>6.4267</t>
  </si>
  <si>
    <t>2000-03-02</t>
  </si>
  <si>
    <t>6.3454</t>
  </si>
  <si>
    <t>2000-03-01</t>
  </si>
  <si>
    <t>6.3365</t>
  </si>
  <si>
    <t>2000-02-29</t>
  </si>
  <si>
    <t>6.3644</t>
  </si>
  <si>
    <t>2000-02-28</t>
  </si>
  <si>
    <t>6.3225</t>
  </si>
  <si>
    <t>2000-02-25</t>
  </si>
  <si>
    <t>6.3341</t>
  </si>
  <si>
    <t>2000-02-24</t>
  </si>
  <si>
    <t>6.3293</t>
  </si>
  <si>
    <t>2000-02-23</t>
  </si>
  <si>
    <t>6.3117</t>
  </si>
  <si>
    <t>2000-02-22</t>
  </si>
  <si>
    <t>6.2895</t>
  </si>
  <si>
    <t>2000-02-21</t>
  </si>
  <si>
    <t>6.3321</t>
  </si>
  <si>
    <t>2000-02-18</t>
  </si>
  <si>
    <t>2000-02-17</t>
  </si>
  <si>
    <t>6.3557</t>
  </si>
  <si>
    <t>2000-02-16</t>
  </si>
  <si>
    <t>6.3615</t>
  </si>
  <si>
    <t>2000-02-15</t>
  </si>
  <si>
    <t>2000-02-14</t>
  </si>
  <si>
    <t>6.3406</t>
  </si>
  <si>
    <t>2000-02-11</t>
  </si>
  <si>
    <t>2000-02-10</t>
  </si>
  <si>
    <t>6.3631</t>
  </si>
  <si>
    <t>2000-02-09</t>
  </si>
  <si>
    <t>6.2755</t>
  </si>
  <si>
    <t>2000-02-08</t>
  </si>
  <si>
    <t>2000-02-07</t>
  </si>
  <si>
    <t>6.2445</t>
  </si>
  <si>
    <t>2000-02-04</t>
  </si>
  <si>
    <t>6.2305</t>
  </si>
  <si>
    <t>2000-02-03</t>
  </si>
  <si>
    <t>6.2668</t>
  </si>
  <si>
    <t>2000-02-02</t>
  </si>
  <si>
    <t>6.2718</t>
  </si>
  <si>
    <t>2000-02-01</t>
  </si>
  <si>
    <t>6.3026</t>
  </si>
  <si>
    <t>2000-01-31</t>
  </si>
  <si>
    <t>2000-01-28</t>
  </si>
  <si>
    <t>6.2551</t>
  </si>
  <si>
    <t>2000-01-27</t>
  </si>
  <si>
    <t>6.1637</t>
  </si>
  <si>
    <t>2000-01-26</t>
  </si>
  <si>
    <t>2000-01-25</t>
  </si>
  <si>
    <t>6.1603</t>
  </si>
  <si>
    <t>2000-01-24</t>
  </si>
  <si>
    <t>6.1501</t>
  </si>
  <si>
    <t>2000-01-21</t>
  </si>
  <si>
    <t>6.1026</t>
  </si>
  <si>
    <t>2000-01-20</t>
  </si>
  <si>
    <t>6.1130</t>
  </si>
  <si>
    <t>2000-01-19</t>
  </si>
  <si>
    <t>6.1009</t>
  </si>
  <si>
    <t>2000-01-18</t>
  </si>
  <si>
    <t>6.0807</t>
  </si>
  <si>
    <t>2000-01-17</t>
  </si>
  <si>
    <t>6.0744</t>
  </si>
  <si>
    <t>2000-01-14</t>
  </si>
  <si>
    <t>6.0705</t>
  </si>
  <si>
    <t>2000-01-13</t>
  </si>
  <si>
    <t>6.0637</t>
  </si>
  <si>
    <t>2000-01-12</t>
  </si>
  <si>
    <t>6.0977</t>
  </si>
  <si>
    <t>2000-01-11</t>
  </si>
  <si>
    <t>6.0883</t>
  </si>
  <si>
    <t>2000-01-10</t>
  </si>
  <si>
    <t>6.0593</t>
  </si>
  <si>
    <t>2000-01-07</t>
  </si>
  <si>
    <t>6.0672</t>
  </si>
  <si>
    <t>2000-01-06</t>
  </si>
  <si>
    <t>6.0825</t>
  </si>
  <si>
    <t>2000-01-05</t>
  </si>
  <si>
    <t>6.0881</t>
  </si>
  <si>
    <t>2000-01-04</t>
  </si>
  <si>
    <t>6.1188</t>
  </si>
  <si>
    <t>1999-12-30</t>
  </si>
  <si>
    <t>6.1548</t>
  </si>
  <si>
    <t>1999-12-29</t>
  </si>
  <si>
    <t>6.1527</t>
  </si>
  <si>
    <t>1999-12-28</t>
  </si>
  <si>
    <t>6.1484</t>
  </si>
  <si>
    <t>1999-12-24</t>
  </si>
  <si>
    <t>6.1516</t>
  </si>
  <si>
    <t>1999-12-23</t>
  </si>
  <si>
    <t>6.1463</t>
  </si>
  <si>
    <t>1999-12-22</t>
  </si>
  <si>
    <t>6.1410</t>
  </si>
  <si>
    <t>1999-12-21</t>
  </si>
  <si>
    <t>1999-12-20</t>
  </si>
  <si>
    <t>6.1352</t>
  </si>
  <si>
    <t>1999-12-17</t>
  </si>
  <si>
    <t>6.1448</t>
  </si>
  <si>
    <t>1999-12-15</t>
  </si>
  <si>
    <t>6.1320</t>
  </si>
  <si>
    <t>1999-12-14</t>
  </si>
  <si>
    <t>6.1250</t>
  </si>
  <si>
    <t>1999-12-13</t>
  </si>
  <si>
    <t>6.1194</t>
  </si>
  <si>
    <t>1999-12-10</t>
  </si>
  <si>
    <t>6.1457</t>
  </si>
  <si>
    <t>1999-12-09</t>
  </si>
  <si>
    <t>1999-12-08</t>
  </si>
  <si>
    <t>6.1550</t>
  </si>
  <si>
    <t>1999-12-07</t>
  </si>
  <si>
    <t>6.1489</t>
  </si>
  <si>
    <t>1999-12-06</t>
  </si>
  <si>
    <t>1999-12-03</t>
  </si>
  <si>
    <t>6.1662</t>
  </si>
  <si>
    <t>1999-12-02</t>
  </si>
  <si>
    <t>6.1482</t>
  </si>
  <si>
    <t>1999-12-01</t>
  </si>
  <si>
    <t>6.1648</t>
  </si>
  <si>
    <t>1999-11-30</t>
  </si>
  <si>
    <t>6.1849</t>
  </si>
  <si>
    <t>1999-11-29</t>
  </si>
  <si>
    <t>6.1423</t>
  </si>
  <si>
    <t>1999-11-26</t>
  </si>
  <si>
    <t>6.1276</t>
  </si>
  <si>
    <t>1999-11-25</t>
  </si>
  <si>
    <t>6.1340</t>
  </si>
  <si>
    <t>1999-11-24</t>
  </si>
  <si>
    <t>6.1321</t>
  </si>
  <si>
    <t>1999-11-23</t>
  </si>
  <si>
    <t>6.1357</t>
  </si>
  <si>
    <t>1999-11-22</t>
  </si>
  <si>
    <t>6.1416</t>
  </si>
  <si>
    <t>1999-11-19</t>
  </si>
  <si>
    <t>1999-11-18</t>
  </si>
  <si>
    <t>6.1442</t>
  </si>
  <si>
    <t>1999-11-17</t>
  </si>
  <si>
    <t>6.1470</t>
  </si>
  <si>
    <t>1999-11-16</t>
  </si>
  <si>
    <t>6.1468</t>
  </si>
  <si>
    <t>1999-11-15</t>
  </si>
  <si>
    <t>1999-11-12</t>
  </si>
  <si>
    <t>6.1346</t>
  </si>
  <si>
    <t>1999-11-11</t>
  </si>
  <si>
    <t>6.1350</t>
  </si>
  <si>
    <t>1999-11-10</t>
  </si>
  <si>
    <t>6.1218</t>
  </si>
  <si>
    <t>1999-11-09</t>
  </si>
  <si>
    <t>6.1087</t>
  </si>
  <si>
    <t>1999-11-08</t>
  </si>
  <si>
    <t>6.1181</t>
  </si>
  <si>
    <t>1999-11-05</t>
  </si>
  <si>
    <t>6.1143</t>
  </si>
  <si>
    <t>1999-11-04</t>
  </si>
  <si>
    <t>6.1312</t>
  </si>
  <si>
    <t>1999-11-03</t>
  </si>
  <si>
    <t>6.1557</t>
  </si>
  <si>
    <t>1999-11-02</t>
  </si>
  <si>
    <t>6.1475</t>
  </si>
  <si>
    <t>1999-11-01</t>
  </si>
  <si>
    <t>1999-10-29</t>
  </si>
  <si>
    <t>6.1425</t>
  </si>
  <si>
    <t>1999-10-28</t>
  </si>
  <si>
    <t>1999-10-27</t>
  </si>
  <si>
    <t>6.1633</t>
  </si>
  <si>
    <t>1999-10-26</t>
  </si>
  <si>
    <t>6.1444</t>
  </si>
  <si>
    <t>1999-10-25</t>
  </si>
  <si>
    <t>6.1367</t>
  </si>
  <si>
    <t>1999-10-22</t>
  </si>
  <si>
    <t>1999-10-21</t>
  </si>
  <si>
    <t>6.1237</t>
  </si>
  <si>
    <t>1999-10-20</t>
  </si>
  <si>
    <t>6.1275</t>
  </si>
  <si>
    <t>1999-10-19</t>
  </si>
  <si>
    <t>6.1406</t>
  </si>
  <si>
    <t>1999-10-18</t>
  </si>
  <si>
    <t>1999-10-15</t>
  </si>
  <si>
    <t>6.1293</t>
  </si>
  <si>
    <t>1999-10-14</t>
  </si>
  <si>
    <t>6.1106</t>
  </si>
  <si>
    <t>1999-10-13</t>
  </si>
  <si>
    <t>6.0716</t>
  </si>
  <si>
    <t>1999-10-12</t>
  </si>
  <si>
    <t>1999-10-11</t>
  </si>
  <si>
    <t>6.0551</t>
  </si>
  <si>
    <t>1999-10-08</t>
  </si>
  <si>
    <t>6.0533</t>
  </si>
  <si>
    <t>1999-10-07</t>
  </si>
  <si>
    <t>6.0624</t>
  </si>
  <si>
    <t>1999-10-06</t>
  </si>
  <si>
    <t>5.9934</t>
  </si>
  <si>
    <t>1999-10-05</t>
  </si>
  <si>
    <t>5.9898</t>
  </si>
  <si>
    <t>1999-10-04</t>
  </si>
  <si>
    <t>6.0078</t>
  </si>
  <si>
    <t>1999-10-01</t>
  </si>
  <si>
    <t>6.0042</t>
  </si>
  <si>
    <t>1999-09-30</t>
  </si>
  <si>
    <t>6.0223</t>
  </si>
  <si>
    <t>1999-09-29</t>
  </si>
  <si>
    <t>5.9791</t>
  </si>
  <si>
    <t>1999-09-28</t>
  </si>
  <si>
    <t>6.0060</t>
  </si>
  <si>
    <t>1999-09-27</t>
  </si>
  <si>
    <t>1999-09-23</t>
  </si>
  <si>
    <t>6.0661</t>
  </si>
  <si>
    <t>1999-09-22</t>
  </si>
  <si>
    <t>6.0588</t>
  </si>
  <si>
    <t>1999-09-21</t>
  </si>
  <si>
    <t>6.0888</t>
  </si>
  <si>
    <t>1999-09-20</t>
  </si>
  <si>
    <t>6.0896</t>
  </si>
  <si>
    <t>1999-09-17</t>
  </si>
  <si>
    <t>6.1173</t>
  </si>
  <si>
    <t>1999-09-16</t>
  </si>
  <si>
    <t>6.1363</t>
  </si>
  <si>
    <t>1999-09-15</t>
  </si>
  <si>
    <t>6.0946</t>
  </si>
  <si>
    <t>1999-09-14</t>
  </si>
  <si>
    <t>6.0737</t>
  </si>
  <si>
    <t>1999-09-13</t>
  </si>
  <si>
    <t>6.0580</t>
  </si>
  <si>
    <t>1999-09-10</t>
  </si>
  <si>
    <t>1999-09-09</t>
  </si>
  <si>
    <t>6.0862</t>
  </si>
  <si>
    <t>1999-09-08</t>
  </si>
  <si>
    <t>6.0623</t>
  </si>
  <si>
    <t>1999-09-07</t>
  </si>
  <si>
    <t>6.0335</t>
  </si>
  <si>
    <t>1999-09-06</t>
  </si>
  <si>
    <t>6.0292</t>
  </si>
  <si>
    <t>1999-09-03</t>
  </si>
  <si>
    <t>6.0350</t>
  </si>
  <si>
    <t>1999-09-02</t>
  </si>
  <si>
    <t>6.0430</t>
  </si>
  <si>
    <t>1999-09-01</t>
  </si>
  <si>
    <t>6.0851</t>
  </si>
  <si>
    <t>1999-08-31</t>
  </si>
  <si>
    <t>1999-08-30</t>
  </si>
  <si>
    <t>6.0922</t>
  </si>
  <si>
    <t>1999-08-27</t>
  </si>
  <si>
    <t>1999-08-26</t>
  </si>
  <si>
    <t>1999-08-25</t>
  </si>
  <si>
    <t>6.0966</t>
  </si>
  <si>
    <t>1999-08-24</t>
  </si>
  <si>
    <t>6.1011</t>
  </si>
  <si>
    <t>1999-08-23</t>
  </si>
  <si>
    <t>1999-08-20</t>
  </si>
  <si>
    <t>6.1220</t>
  </si>
  <si>
    <t>1999-08-19</t>
  </si>
  <si>
    <t>1999-08-18</t>
  </si>
  <si>
    <t>6.1108</t>
  </si>
  <si>
    <t>1999-08-17</t>
  </si>
  <si>
    <t>6.0994</t>
  </si>
  <si>
    <t>1999-08-16</t>
  </si>
  <si>
    <t>6.1113</t>
  </si>
  <si>
    <t>1999-08-13</t>
  </si>
  <si>
    <t>1999-08-12</t>
  </si>
  <si>
    <t>1999-08-11</t>
  </si>
  <si>
    <t>6.1595</t>
  </si>
  <si>
    <t>1999-08-10</t>
  </si>
  <si>
    <t>6.1805</t>
  </si>
  <si>
    <t>1999-08-06</t>
  </si>
  <si>
    <t>6.1690</t>
  </si>
  <si>
    <t>1999-08-05</t>
  </si>
  <si>
    <t>1999-08-04</t>
  </si>
  <si>
    <t>6.1786</t>
  </si>
  <si>
    <t>1999-08-03</t>
  </si>
  <si>
    <t>6.2093</t>
  </si>
  <si>
    <t>1999-08-02</t>
  </si>
  <si>
    <t>6.1881</t>
  </si>
  <si>
    <t>1999-07-30</t>
  </si>
  <si>
    <t>6.1538</t>
  </si>
  <si>
    <t>1999-07-29</t>
  </si>
  <si>
    <t>1999-07-28</t>
  </si>
  <si>
    <t>6.1331</t>
  </si>
  <si>
    <t>1999-07-27</t>
  </si>
  <si>
    <t>1999-07-26</t>
  </si>
  <si>
    <t>1999-07-23</t>
  </si>
  <si>
    <t>1999-07-22</t>
  </si>
  <si>
    <t>1999-07-21</t>
  </si>
  <si>
    <t>6.1387</t>
  </si>
  <si>
    <t>1999-07-20</t>
  </si>
  <si>
    <t>6.1576</t>
  </si>
  <si>
    <t>1999-07-19</t>
  </si>
  <si>
    <t>6.1614</t>
  </si>
  <si>
    <t>1999-07-16</t>
  </si>
  <si>
    <t>1999-07-15</t>
  </si>
  <si>
    <t>1999-07-14</t>
  </si>
  <si>
    <t>1999-07-13</t>
  </si>
  <si>
    <t>1999-07-12</t>
  </si>
  <si>
    <t>6.0938</t>
  </si>
  <si>
    <t>1999-07-09</t>
  </si>
  <si>
    <t>6.0901</t>
  </si>
  <si>
    <t>1999-07-08</t>
  </si>
  <si>
    <t>6.0496</t>
  </si>
  <si>
    <t>1999-07-07</t>
  </si>
  <si>
    <t>1999-07-06</t>
  </si>
  <si>
    <t>5.9916</t>
  </si>
  <si>
    <t>1999-07-05</t>
  </si>
  <si>
    <t>6.0241</t>
  </si>
  <si>
    <t>1999-07-02</t>
  </si>
  <si>
    <t>1999-07-01</t>
  </si>
  <si>
    <t>1999-06-30</t>
  </si>
  <si>
    <t>6.0332</t>
  </si>
  <si>
    <t>1999-06-29</t>
  </si>
  <si>
    <t>1999-06-28</t>
  </si>
  <si>
    <t>1999-06-25</t>
  </si>
  <si>
    <t>1999-06-24</t>
  </si>
  <si>
    <t>1999-06-23</t>
  </si>
  <si>
    <t>5.9988</t>
  </si>
  <si>
    <t>1999-06-22</t>
  </si>
  <si>
    <t>1999-06-21</t>
  </si>
  <si>
    <t>5.9880</t>
  </si>
  <si>
    <t>1999-06-18</t>
  </si>
  <si>
    <t>6.0386</t>
  </si>
  <si>
    <t>1999-06-17</t>
  </si>
  <si>
    <t>6.0827</t>
  </si>
  <si>
    <t>1999-06-15</t>
  </si>
  <si>
    <t>6.0920</t>
  </si>
  <si>
    <t>1999-06-14</t>
  </si>
  <si>
    <t>6.0864</t>
  </si>
  <si>
    <t>1999-06-11</t>
  </si>
  <si>
    <t>6.1200</t>
  </si>
  <si>
    <t>1999-06-10</t>
  </si>
  <si>
    <t>6.1369</t>
  </si>
  <si>
    <t>1999-06-09</t>
  </si>
  <si>
    <t>1999-06-08</t>
  </si>
  <si>
    <t>6.1013</t>
  </si>
  <si>
    <t>1999-06-07</t>
  </si>
  <si>
    <t>1999-06-04</t>
  </si>
  <si>
    <t>6.1747</t>
  </si>
  <si>
    <t>1999-06-03</t>
  </si>
  <si>
    <t>6.2131</t>
  </si>
  <si>
    <t>1999-06-01</t>
  </si>
  <si>
    <t>6.2189</t>
  </si>
  <si>
    <t>1999-05-31</t>
  </si>
  <si>
    <t>6.2170</t>
  </si>
  <si>
    <t>1999-05-28</t>
  </si>
  <si>
    <t>1999-05-27</t>
  </si>
  <si>
    <t>6.2402</t>
  </si>
  <si>
    <t>1999-05-26</t>
  </si>
  <si>
    <t>6.2598</t>
  </si>
  <si>
    <t>1999-05-25</t>
  </si>
  <si>
    <t>6.2344</t>
  </si>
  <si>
    <t>1999-05-24</t>
  </si>
  <si>
    <t>6.2247</t>
  </si>
  <si>
    <t>1999-05-21</t>
  </si>
  <si>
    <t>1999-05-20</t>
  </si>
  <si>
    <t>6.2150</t>
  </si>
  <si>
    <t>1999-05-19</t>
  </si>
  <si>
    <t>1999-05-18</t>
  </si>
  <si>
    <t>1999-05-17</t>
  </si>
  <si>
    <t>1999-05-14</t>
  </si>
  <si>
    <t>6.1939</t>
  </si>
  <si>
    <t>1999-05-13</t>
  </si>
  <si>
    <t>1999-05-12</t>
  </si>
  <si>
    <t>1999-05-11</t>
  </si>
  <si>
    <t>6.1728</t>
  </si>
  <si>
    <t>1999-05-10</t>
  </si>
  <si>
    <t>1999-05-07</t>
  </si>
  <si>
    <t>6.1125</t>
  </si>
  <si>
    <t>1999-05-06</t>
  </si>
  <si>
    <t>1999-05-05</t>
  </si>
  <si>
    <t>6.0790</t>
  </si>
  <si>
    <t>1999-05-04</t>
  </si>
  <si>
    <t>1999-05-03</t>
  </si>
  <si>
    <t>6.0809</t>
  </si>
  <si>
    <t>1999-04-30</t>
  </si>
  <si>
    <t>1999-04-29</t>
  </si>
  <si>
    <t>6.0643</t>
  </si>
  <si>
    <t>1999-04-28</t>
  </si>
  <si>
    <t>6.0698</t>
  </si>
  <si>
    <t>1999-04-26</t>
  </si>
  <si>
    <t>1999-04-23</t>
  </si>
  <si>
    <t>1999-04-22</t>
  </si>
  <si>
    <t>6.0753</t>
  </si>
  <si>
    <t>1999-04-21</t>
  </si>
  <si>
    <t>1999-04-20</t>
  </si>
  <si>
    <t>1999-04-19</t>
  </si>
  <si>
    <t>6.0846</t>
  </si>
  <si>
    <t>1999-04-16</t>
  </si>
  <si>
    <t>1999-04-15</t>
  </si>
  <si>
    <t>1999-04-14</t>
  </si>
  <si>
    <t>1999-04-13</t>
  </si>
  <si>
    <t>1999-04-12</t>
  </si>
  <si>
    <t>1999-04-09</t>
  </si>
  <si>
    <t>6.2054</t>
  </si>
  <si>
    <t>1999-04-08</t>
  </si>
  <si>
    <t>6.1996</t>
  </si>
  <si>
    <t>1999-04-07</t>
  </si>
  <si>
    <t>6.1824</t>
  </si>
  <si>
    <t>1999-04-06</t>
  </si>
  <si>
    <t>1999-04-01</t>
  </si>
  <si>
    <t>6.1767</t>
  </si>
  <si>
    <t>1999-03-31</t>
  </si>
  <si>
    <t>6.1977</t>
  </si>
  <si>
    <t>1999-03-30</t>
  </si>
  <si>
    <t>6.2286</t>
  </si>
  <si>
    <t>1999-03-29</t>
  </si>
  <si>
    <t>1999-03-26</t>
  </si>
  <si>
    <t>1999-03-25</t>
  </si>
  <si>
    <t>1999-03-24</t>
  </si>
  <si>
    <t>1999-03-23</t>
  </si>
  <si>
    <t>6.2016</t>
  </si>
  <si>
    <t>1999-03-19</t>
  </si>
  <si>
    <t>1999-03-18</t>
  </si>
  <si>
    <t>6.2441</t>
  </si>
  <si>
    <t>1999-03-17</t>
  </si>
  <si>
    <t>6.2637</t>
  </si>
  <si>
    <t>1999-03-16</t>
  </si>
  <si>
    <t>6.2208</t>
  </si>
  <si>
    <t>1999-03-15</t>
  </si>
  <si>
    <t>1999-03-12</t>
  </si>
  <si>
    <t>1999-03-11</t>
  </si>
  <si>
    <t>1999-03-10</t>
  </si>
  <si>
    <t>1999-03-09</t>
  </si>
  <si>
    <t>1999-03-08</t>
  </si>
  <si>
    <t>1999-03-05</t>
  </si>
  <si>
    <t>1999-03-04</t>
  </si>
  <si>
    <t>1999-03-03</t>
  </si>
  <si>
    <t>1999-03-02</t>
  </si>
  <si>
    <t>6.2383</t>
  </si>
  <si>
    <t>1999-03-01</t>
  </si>
  <si>
    <t>1999-02-26</t>
  </si>
  <si>
    <t>1999-02-25</t>
  </si>
  <si>
    <t>1999-02-24</t>
  </si>
  <si>
    <t>1999-02-23</t>
  </si>
  <si>
    <t>1999-02-22</t>
  </si>
  <si>
    <t>6.2578</t>
  </si>
  <si>
    <t>1999-02-19</t>
  </si>
  <si>
    <t>1999-02-18</t>
  </si>
  <si>
    <t>1999-02-17</t>
  </si>
  <si>
    <t>1999-02-16</t>
  </si>
  <si>
    <t>1999-02-15</t>
  </si>
  <si>
    <t>1999-02-12</t>
  </si>
  <si>
    <t>1999-02-11</t>
  </si>
  <si>
    <t>1999-02-10</t>
  </si>
  <si>
    <t>1999-02-09</t>
  </si>
  <si>
    <t>6.0096</t>
  </si>
  <si>
    <t>1999-02-08</t>
  </si>
  <si>
    <t>5.9684</t>
  </si>
  <si>
    <t>1999-02-05</t>
  </si>
  <si>
    <t>6.0459</t>
  </si>
  <si>
    <t>1999-02-04</t>
  </si>
  <si>
    <t>6.0168</t>
  </si>
  <si>
    <t>1999-02-03</t>
  </si>
  <si>
    <t>1999-02-02</t>
  </si>
  <si>
    <t>6.0259</t>
  </si>
  <si>
    <t>1999-02-01</t>
  </si>
  <si>
    <t>1999-01-29</t>
  </si>
  <si>
    <t>1999-01-28</t>
  </si>
  <si>
    <t>1999-01-27</t>
  </si>
  <si>
    <t>5.9862</t>
  </si>
  <si>
    <t>1999-01-26</t>
  </si>
  <si>
    <t>1999-01-25</t>
  </si>
  <si>
    <t>1999-01-22</t>
  </si>
  <si>
    <t>1999-01-21</t>
  </si>
  <si>
    <t>1999-01-20</t>
  </si>
  <si>
    <t>1999-01-19</t>
  </si>
  <si>
    <t>6.0314</t>
  </si>
  <si>
    <t>1999-01-18</t>
  </si>
  <si>
    <t>1999-01-15</t>
  </si>
  <si>
    <t>6.2794</t>
  </si>
  <si>
    <t>1999-01-14</t>
  </si>
  <si>
    <t>1999-01-13</t>
  </si>
  <si>
    <t>1999-01-12</t>
  </si>
  <si>
    <t>5.9630</t>
  </si>
  <si>
    <t>1999-01-11</t>
  </si>
  <si>
    <t>5.8720</t>
  </si>
  <si>
    <t>1999-01-08</t>
  </si>
  <si>
    <t>5.8005</t>
  </si>
  <si>
    <t>1999-01-07</t>
  </si>
  <si>
    <t>5.7339</t>
  </si>
  <si>
    <t>1999-01-06</t>
  </si>
  <si>
    <t>5.7078</t>
  </si>
  <si>
    <t>1999-01-05</t>
  </si>
  <si>
    <t>5.8445</t>
  </si>
  <si>
    <t>1999-01-04</t>
  </si>
  <si>
    <t>5.8858</t>
  </si>
  <si>
    <t>1998-12-31</t>
  </si>
  <si>
    <t>5.8617</t>
  </si>
  <si>
    <t>1998-12-30</t>
  </si>
  <si>
    <t>1998-12-29</t>
  </si>
  <si>
    <t>5.8824</t>
  </si>
  <si>
    <t>1998-12-28</t>
  </si>
  <si>
    <t>5.8962</t>
  </si>
  <si>
    <t>1998-12-24</t>
  </si>
  <si>
    <t>5.9207</t>
  </si>
  <si>
    <t>1998-12-23</t>
  </si>
  <si>
    <t>5.8928</t>
  </si>
  <si>
    <t>1998-12-22</t>
  </si>
  <si>
    <t>5.9172</t>
  </si>
  <si>
    <t>1998-12-21</t>
  </si>
  <si>
    <t>5.9049</t>
  </si>
  <si>
    <t>1998-12-18</t>
  </si>
  <si>
    <t>5.8893</t>
  </si>
  <si>
    <t>1998-12-17</t>
  </si>
  <si>
    <t>5.9773</t>
  </si>
  <si>
    <t>1998-12-15</t>
  </si>
  <si>
    <t>1998-12-14</t>
  </si>
  <si>
    <t>5.9809</t>
  </si>
  <si>
    <t>1998-12-11</t>
  </si>
  <si>
    <t>5.9418</t>
  </si>
  <si>
    <t>1998-12-10</t>
  </si>
  <si>
    <t>5.9666</t>
  </si>
  <si>
    <t>1998-12-09</t>
  </si>
  <si>
    <t>1998-12-08</t>
  </si>
  <si>
    <t>1998-12-07</t>
  </si>
  <si>
    <t>5.9137</t>
  </si>
  <si>
    <t>1998-12-04</t>
  </si>
  <si>
    <t>5.7571</t>
  </si>
  <si>
    <t>1998-12-03</t>
  </si>
  <si>
    <t>5.6721</t>
  </si>
  <si>
    <t>1998-12-02</t>
  </si>
  <si>
    <t>5.6593</t>
  </si>
  <si>
    <t>1998-12-01</t>
  </si>
  <si>
    <t>5.6883</t>
  </si>
  <si>
    <t>1998-11-30</t>
  </si>
  <si>
    <t>5.7192</t>
  </si>
  <si>
    <t>1998-11-27</t>
  </si>
  <si>
    <t>5.7307</t>
  </si>
  <si>
    <t>1998-11-26</t>
  </si>
  <si>
    <t>5.6850</t>
  </si>
  <si>
    <t>1998-11-25</t>
  </si>
  <si>
    <t>5.6948</t>
  </si>
  <si>
    <t>1998-11-24</t>
  </si>
  <si>
    <t>5.7013</t>
  </si>
  <si>
    <t>1998-11-23</t>
  </si>
  <si>
    <t>5.6306</t>
  </si>
  <si>
    <t>1998-11-20</t>
  </si>
  <si>
    <t>5.6433</t>
  </si>
  <si>
    <t>1998-11-19</t>
  </si>
  <si>
    <t>1998-11-18</t>
  </si>
  <si>
    <t>5.6786</t>
  </si>
  <si>
    <t>1998-11-17</t>
  </si>
  <si>
    <t>5.6529</t>
  </si>
  <si>
    <t>1998-11-16</t>
  </si>
  <si>
    <t>5.7225</t>
  </si>
  <si>
    <t>1998-11-13</t>
  </si>
  <si>
    <t>5.7208</t>
  </si>
  <si>
    <t>1998-11-12</t>
  </si>
  <si>
    <t>5.7504</t>
  </si>
  <si>
    <t>1998-11-11</t>
  </si>
  <si>
    <t>5.6609</t>
  </si>
  <si>
    <t>1998-11-10</t>
  </si>
  <si>
    <t>5.6211</t>
  </si>
  <si>
    <t>1998-11-09</t>
  </si>
  <si>
    <t>5.5325</t>
  </si>
  <si>
    <t>1998-11-06</t>
  </si>
  <si>
    <t>5.5571</t>
  </si>
  <si>
    <t>1998-11-05</t>
  </si>
  <si>
    <t>5.6132</t>
  </si>
  <si>
    <t>1998-11-04</t>
  </si>
  <si>
    <t>5.6117</t>
  </si>
  <si>
    <t>1998-11-03</t>
  </si>
  <si>
    <t>5.6465</t>
  </si>
  <si>
    <t>1998-11-02</t>
  </si>
  <si>
    <t>5.5944</t>
  </si>
  <si>
    <t>1998-10-30</t>
  </si>
  <si>
    <t>1998-10-29</t>
  </si>
  <si>
    <t>5.7045</t>
  </si>
  <si>
    <t>1998-10-28</t>
  </si>
  <si>
    <t>5.7703</t>
  </si>
  <si>
    <t>1998-10-27</t>
  </si>
  <si>
    <t>1998-10-26</t>
  </si>
  <si>
    <t>5.7803</t>
  </si>
  <si>
    <t>1998-10-23</t>
  </si>
  <si>
    <t>5.7471</t>
  </si>
  <si>
    <t>1998-10-22</t>
  </si>
  <si>
    <t>1998-10-21</t>
  </si>
  <si>
    <t>5.7637</t>
  </si>
  <si>
    <t>1998-10-20</t>
  </si>
  <si>
    <t>5.6899</t>
  </si>
  <si>
    <t>1998-10-19</t>
  </si>
  <si>
    <t>5.6818</t>
  </si>
  <si>
    <t>1998-10-16</t>
  </si>
  <si>
    <t>5.6022</t>
  </si>
  <si>
    <t>1998-10-15</t>
  </si>
  <si>
    <t>1998-10-14</t>
  </si>
  <si>
    <t>5.8207</t>
  </si>
  <si>
    <t>1998-10-13</t>
  </si>
  <si>
    <t>5.7971</t>
  </si>
  <si>
    <t>1998-10-12</t>
  </si>
  <si>
    <t>5.7537</t>
  </si>
  <si>
    <t>1998-10-09</t>
  </si>
  <si>
    <t>5.8480</t>
  </si>
  <si>
    <t>1998-10-08</t>
  </si>
  <si>
    <t>1998-10-07</t>
  </si>
  <si>
    <t>1998-10-06</t>
  </si>
  <si>
    <t>1998-10-05</t>
  </si>
  <si>
    <t>1998-10-02</t>
  </si>
  <si>
    <t>1998-10-01</t>
  </si>
  <si>
    <t>1998-09-30</t>
  </si>
  <si>
    <t>1998-09-29</t>
  </si>
  <si>
    <t>1998-09-28</t>
  </si>
  <si>
    <t>5.8326</t>
  </si>
  <si>
    <t>1998-09-25</t>
  </si>
  <si>
    <t>1998-09-23</t>
  </si>
  <si>
    <t>5.9577</t>
  </si>
  <si>
    <t>1998-09-22</t>
  </si>
  <si>
    <t>1998-09-21</t>
  </si>
  <si>
    <t>1998-09-18</t>
  </si>
  <si>
    <t>1998-09-17</t>
  </si>
  <si>
    <t>1998-09-16</t>
  </si>
  <si>
    <t>1998-09-15</t>
  </si>
  <si>
    <t>1998-09-14</t>
  </si>
  <si>
    <t>1998-09-11</t>
  </si>
  <si>
    <t>6.2992</t>
  </si>
  <si>
    <t>1998-09-10</t>
  </si>
  <si>
    <t>1998-09-09</t>
  </si>
  <si>
    <t>6.2716</t>
  </si>
  <si>
    <t>1998-09-08</t>
  </si>
  <si>
    <t>1998-09-07</t>
  </si>
  <si>
    <t>6.1652</t>
  </si>
  <si>
    <t>1998-09-04</t>
  </si>
  <si>
    <t>6.2814</t>
  </si>
  <si>
    <t>1998-09-03</t>
  </si>
  <si>
    <t>1998-09-02</t>
  </si>
  <si>
    <t>1998-09-01</t>
  </si>
  <si>
    <t>6.3311</t>
  </si>
  <si>
    <t>1998-08-31</t>
  </si>
  <si>
    <t>6.4641</t>
  </si>
  <si>
    <t>1998-08-28</t>
  </si>
  <si>
    <t>6.6667</t>
  </si>
  <si>
    <t>1998-08-27</t>
  </si>
  <si>
    <t>6.4725</t>
  </si>
  <si>
    <t>1998-08-26</t>
  </si>
  <si>
    <t>6.3032</t>
  </si>
  <si>
    <t>1998-08-25</t>
  </si>
  <si>
    <t>1998-08-24</t>
  </si>
  <si>
    <t>6.3980</t>
  </si>
  <si>
    <t>1998-08-21</t>
  </si>
  <si>
    <t>6.3694</t>
  </si>
  <si>
    <t>1998-08-20</t>
  </si>
  <si>
    <t>1998-08-19</t>
  </si>
  <si>
    <t>1998-08-18</t>
  </si>
  <si>
    <t>1998-08-17</t>
  </si>
  <si>
    <t>6.3291</t>
  </si>
  <si>
    <t>1998-08-14</t>
  </si>
  <si>
    <t>6.2657</t>
  </si>
  <si>
    <t>1998-08-13</t>
  </si>
  <si>
    <t>6.4103</t>
  </si>
  <si>
    <t>1998-08-12</t>
  </si>
  <si>
    <t>6.3091</t>
  </si>
  <si>
    <t>1998-08-11</t>
  </si>
  <si>
    <t>6.3654</t>
  </si>
  <si>
    <t>1998-08-07</t>
  </si>
  <si>
    <t>1998-08-06</t>
  </si>
  <si>
    <t>1998-08-05</t>
  </si>
  <si>
    <t>1998-08-04</t>
  </si>
  <si>
    <t>6.2228</t>
  </si>
  <si>
    <t>1998-08-03</t>
  </si>
  <si>
    <t>6.1709</t>
  </si>
  <si>
    <t>1998-07-31</t>
  </si>
  <si>
    <t>1998-07-30</t>
  </si>
  <si>
    <t>1998-07-29</t>
  </si>
  <si>
    <t>1998-07-28</t>
  </si>
  <si>
    <t>6.2952</t>
  </si>
  <si>
    <t>1998-07-27</t>
  </si>
  <si>
    <t>6.2676</t>
  </si>
  <si>
    <t>1998-07-24</t>
  </si>
  <si>
    <t>1998-07-23</t>
  </si>
  <si>
    <t>1998-07-22</t>
  </si>
  <si>
    <t>6.3452</t>
  </si>
  <si>
    <t>1998-07-21</t>
  </si>
  <si>
    <t>1998-07-20</t>
  </si>
  <si>
    <t>6.4041</t>
  </si>
  <si>
    <t>1998-07-17</t>
  </si>
  <si>
    <t>6.2834</t>
  </si>
  <si>
    <t>1998-07-16</t>
  </si>
  <si>
    <t>1998-07-15</t>
  </si>
  <si>
    <t>1998-07-14</t>
  </si>
  <si>
    <t>1998-07-13</t>
  </si>
  <si>
    <t>6.2854</t>
  </si>
  <si>
    <t>1998-07-10</t>
  </si>
  <si>
    <t>6.2972</t>
  </si>
  <si>
    <t>1998-07-09</t>
  </si>
  <si>
    <t>6.1920</t>
  </si>
  <si>
    <t>1998-07-08</t>
  </si>
  <si>
    <t>1998-07-07</t>
  </si>
  <si>
    <t>6.3251</t>
  </si>
  <si>
    <t>1998-07-06</t>
  </si>
  <si>
    <t>6.6247</t>
  </si>
  <si>
    <t>1998-07-03</t>
  </si>
  <si>
    <t>6.3492</t>
  </si>
  <si>
    <t>1998-07-02</t>
  </si>
  <si>
    <t>1998-07-01</t>
  </si>
  <si>
    <t>1998-06-30</t>
  </si>
  <si>
    <t>5.8945</t>
  </si>
  <si>
    <t>1998-06-29</t>
  </si>
  <si>
    <t>1998-06-26</t>
  </si>
  <si>
    <t>1998-06-25</t>
  </si>
  <si>
    <t>5.4645</t>
  </si>
  <si>
    <t>1998-06-24</t>
  </si>
  <si>
    <t>5.5021</t>
  </si>
  <si>
    <t>1998-06-23</t>
  </si>
  <si>
    <t>5.4570</t>
  </si>
  <si>
    <t>1998-06-22</t>
  </si>
  <si>
    <t>5.5264</t>
  </si>
  <si>
    <t>1998-06-19</t>
  </si>
  <si>
    <t>5.4990</t>
  </si>
  <si>
    <t>1998-06-18</t>
  </si>
  <si>
    <t>5.2757</t>
  </si>
  <si>
    <t>1998-06-17</t>
  </si>
  <si>
    <t>5.3519</t>
  </si>
  <si>
    <t>1998-06-15</t>
  </si>
  <si>
    <t>5.3952</t>
  </si>
  <si>
    <t>1998-06-12</t>
  </si>
  <si>
    <t>5.2425</t>
  </si>
  <si>
    <t>1998-06-11</t>
  </si>
  <si>
    <t>5.2124</t>
  </si>
  <si>
    <t>1998-06-10</t>
  </si>
  <si>
    <t>5.1854</t>
  </si>
  <si>
    <t>1998-06-09</t>
  </si>
  <si>
    <t>5.1666</t>
  </si>
  <si>
    <t>1998-06-08</t>
  </si>
  <si>
    <t>5.1533</t>
  </si>
  <si>
    <t>1998-06-05</t>
  </si>
  <si>
    <t>5.1243</t>
  </si>
  <si>
    <t>1998-06-04</t>
  </si>
  <si>
    <t>5.1151</t>
  </si>
  <si>
    <t>1998-06-03</t>
  </si>
  <si>
    <t>5.1112</t>
  </si>
  <si>
    <t>1998-06-02</t>
  </si>
  <si>
    <t>5.2029</t>
  </si>
  <si>
    <t>1998-06-01</t>
  </si>
  <si>
    <t>5.1746</t>
  </si>
  <si>
    <t>1998-05-29</t>
  </si>
  <si>
    <t>5.1560</t>
  </si>
  <si>
    <t>1998-05-28</t>
  </si>
  <si>
    <t>5.1454</t>
  </si>
  <si>
    <t>1998-05-27</t>
  </si>
  <si>
    <t>5.1216</t>
  </si>
  <si>
    <t>1998-05-26</t>
  </si>
  <si>
    <t>5.1269</t>
  </si>
  <si>
    <t>1998-05-25</t>
  </si>
  <si>
    <t>5.1480</t>
  </si>
  <si>
    <t>1998-05-22</t>
  </si>
  <si>
    <t>5.0852</t>
  </si>
  <si>
    <t>1998-05-21</t>
  </si>
  <si>
    <t>5.0981</t>
  </si>
  <si>
    <t>1998-05-20</t>
  </si>
  <si>
    <t>5.1007</t>
  </si>
  <si>
    <t>1998-05-19</t>
  </si>
  <si>
    <t>5.0929</t>
  </si>
  <si>
    <t>1998-05-18</t>
  </si>
  <si>
    <t>5.0955</t>
  </si>
  <si>
    <t>1998-05-15</t>
  </si>
  <si>
    <t>5.0839</t>
  </si>
  <si>
    <t>1998-05-14</t>
  </si>
  <si>
    <t>5.0800</t>
  </si>
  <si>
    <t>1998-05-13</t>
  </si>
  <si>
    <t>5.0774</t>
  </si>
  <si>
    <t>1998-05-12</t>
  </si>
  <si>
    <t>5.0671</t>
  </si>
  <si>
    <t>1998-05-11</t>
  </si>
  <si>
    <t>5.0620</t>
  </si>
  <si>
    <t>1998-05-08</t>
  </si>
  <si>
    <t>1998-05-07</t>
  </si>
  <si>
    <t>1998-05-06</t>
  </si>
  <si>
    <t>5.0582</t>
  </si>
  <si>
    <t>1998-05-05</t>
  </si>
  <si>
    <t>5.0569</t>
  </si>
  <si>
    <t>1998-05-04</t>
  </si>
  <si>
    <t>5.0543</t>
  </si>
  <si>
    <t>1998-04-30</t>
  </si>
  <si>
    <t>5.0518</t>
  </si>
  <si>
    <t>1998-04-29</t>
  </si>
  <si>
    <t>5.0531</t>
  </si>
  <si>
    <t>1998-04-28</t>
  </si>
  <si>
    <t>1998-04-24</t>
  </si>
  <si>
    <t>1998-04-23</t>
  </si>
  <si>
    <t>1998-04-22</t>
  </si>
  <si>
    <t>5.0480</t>
  </si>
  <si>
    <t>1998-04-21</t>
  </si>
  <si>
    <t>5.0467</t>
  </si>
  <si>
    <t>1998-04-20</t>
  </si>
  <si>
    <t>1998-04-17</t>
  </si>
  <si>
    <t>5.0403</t>
  </si>
  <si>
    <t>1998-04-16</t>
  </si>
  <si>
    <t>5.0492</t>
  </si>
  <si>
    <t>1998-04-15</t>
  </si>
  <si>
    <t>5.0340</t>
  </si>
  <si>
    <t>1998-04-14</t>
  </si>
  <si>
    <t>5.0391</t>
  </si>
  <si>
    <t>1998-04-09</t>
  </si>
  <si>
    <t>5.0441</t>
  </si>
  <si>
    <t>1998-04-08</t>
  </si>
  <si>
    <t>1998-04-07</t>
  </si>
  <si>
    <t>5.0505</t>
  </si>
  <si>
    <t>1998-04-06</t>
  </si>
  <si>
    <t>1998-04-03</t>
  </si>
  <si>
    <t>5.0365</t>
  </si>
  <si>
    <t>1998-04-02</t>
  </si>
  <si>
    <t>5.0416</t>
  </si>
  <si>
    <t>1998-04-01</t>
  </si>
  <si>
    <t>1998-03-31</t>
  </si>
  <si>
    <t>1998-03-30</t>
  </si>
  <si>
    <t>4.9813</t>
  </si>
  <si>
    <t>1998-03-27</t>
  </si>
  <si>
    <t>4.9739</t>
  </si>
  <si>
    <t>1998-03-26</t>
  </si>
  <si>
    <t>1998-03-25</t>
  </si>
  <si>
    <t>4.9751</t>
  </si>
  <si>
    <t>1998-03-24</t>
  </si>
  <si>
    <t>4.9764</t>
  </si>
  <si>
    <t>1998-03-23</t>
  </si>
  <si>
    <t>1998-03-20</t>
  </si>
  <si>
    <t>4.9826</t>
  </si>
  <si>
    <t>1998-03-19</t>
  </si>
  <si>
    <t>4.9776</t>
  </si>
  <si>
    <t>1998-03-18</t>
  </si>
  <si>
    <t>1998-03-17</t>
  </si>
  <si>
    <t>4.9677</t>
  </si>
  <si>
    <t>1998-03-16</t>
  </si>
  <si>
    <t>4.9689</t>
  </si>
  <si>
    <t>1998-03-13</t>
  </si>
  <si>
    <t>1998-03-12</t>
  </si>
  <si>
    <t>4.9850</t>
  </si>
  <si>
    <t>1998-03-11</t>
  </si>
  <si>
    <t>1998-03-10</t>
  </si>
  <si>
    <t>4.9788</t>
  </si>
  <si>
    <t>1998-03-09</t>
  </si>
  <si>
    <t>4.9838</t>
  </si>
  <si>
    <t>1998-03-06</t>
  </si>
  <si>
    <t>4.9628</t>
  </si>
  <si>
    <t>1998-03-05</t>
  </si>
  <si>
    <t>4.9346</t>
  </si>
  <si>
    <t>1998-03-04</t>
  </si>
  <si>
    <t>4.9322</t>
  </si>
  <si>
    <t>1998-03-03</t>
  </si>
  <si>
    <t>1998-03-02</t>
  </si>
  <si>
    <t>1998-02-27</t>
  </si>
  <si>
    <t>4.9444</t>
  </si>
  <si>
    <t>1998-02-26</t>
  </si>
  <si>
    <t>4.9542</t>
  </si>
  <si>
    <t>1998-02-25</t>
  </si>
  <si>
    <t>4.9383</t>
  </si>
  <si>
    <t>1998-02-24</t>
  </si>
  <si>
    <t>4.9395</t>
  </si>
  <si>
    <t>1998-02-23</t>
  </si>
  <si>
    <t>4.9566</t>
  </si>
  <si>
    <t>1998-02-20</t>
  </si>
  <si>
    <t>4.9419</t>
  </si>
  <si>
    <t>1998-02-19</t>
  </si>
  <si>
    <t>4.9468</t>
  </si>
  <si>
    <t>1998-02-18</t>
  </si>
  <si>
    <t>4.9456</t>
  </si>
  <si>
    <t>1998-02-17</t>
  </si>
  <si>
    <t>4.9358</t>
  </si>
  <si>
    <t>1998-02-16</t>
  </si>
  <si>
    <t>1998-02-13</t>
  </si>
  <si>
    <t>1998-02-12</t>
  </si>
  <si>
    <t>4.9334</t>
  </si>
  <si>
    <t>1998-02-11</t>
  </si>
  <si>
    <t>4.9249</t>
  </si>
  <si>
    <t>1998-02-10</t>
  </si>
  <si>
    <t>4.9273</t>
  </si>
  <si>
    <t>1998-02-09</t>
  </si>
  <si>
    <t>4.9116</t>
  </si>
  <si>
    <t>1998-02-06</t>
  </si>
  <si>
    <t>4.9128</t>
  </si>
  <si>
    <t>1998-02-05</t>
  </si>
  <si>
    <t>4.9188</t>
  </si>
  <si>
    <t>1998-02-04</t>
  </si>
  <si>
    <t>1998-02-03</t>
  </si>
  <si>
    <t>4.9261</t>
  </si>
  <si>
    <t>1998-02-02</t>
  </si>
  <si>
    <t>4.9371</t>
  </si>
  <si>
    <t>1998-01-30</t>
  </si>
  <si>
    <t>1998-01-29</t>
  </si>
  <si>
    <t>4.9200</t>
  </si>
  <si>
    <t>1998-01-28</t>
  </si>
  <si>
    <t>4.9176</t>
  </si>
  <si>
    <t>1998-01-27</t>
  </si>
  <si>
    <t>4.9056</t>
  </si>
  <si>
    <t>1998-01-26</t>
  </si>
  <si>
    <t>4.8960</t>
  </si>
  <si>
    <t>1998-01-23</t>
  </si>
  <si>
    <t>1998-01-22</t>
  </si>
  <si>
    <t>1998-01-21</t>
  </si>
  <si>
    <t>4.9665</t>
  </si>
  <si>
    <t>1998-01-20</t>
  </si>
  <si>
    <t>4.9863</t>
  </si>
  <si>
    <t>1998-01-19</t>
  </si>
  <si>
    <t>1998-01-16</t>
  </si>
  <si>
    <t>1998-01-15</t>
  </si>
  <si>
    <t>4.9591</t>
  </si>
  <si>
    <t>1998-01-14</t>
  </si>
  <si>
    <t>1998-01-13</t>
  </si>
  <si>
    <t>1998-01-12</t>
  </si>
  <si>
    <t>1998-01-09</t>
  </si>
  <si>
    <t>1998-01-08</t>
  </si>
  <si>
    <t>1998-01-07</t>
  </si>
  <si>
    <t>1998-01-06</t>
  </si>
  <si>
    <t>1998-01-05</t>
  </si>
  <si>
    <t>4.8840</t>
  </si>
  <si>
    <t>1998-01-02</t>
  </si>
  <si>
    <t>4.8721</t>
  </si>
  <si>
    <t>1997-12-31</t>
  </si>
  <si>
    <t>4.8662</t>
  </si>
  <si>
    <t>1997-12-30</t>
  </si>
  <si>
    <t>4.8626</t>
  </si>
  <si>
    <t>1997-12-29</t>
  </si>
  <si>
    <t>1997-12-24</t>
  </si>
  <si>
    <t>4.8603</t>
  </si>
  <si>
    <t>1997-12-23</t>
  </si>
  <si>
    <t>4.8650</t>
  </si>
  <si>
    <t>1997-12-22</t>
  </si>
  <si>
    <t>1997-12-19</t>
  </si>
  <si>
    <t>1997-12-18</t>
  </si>
  <si>
    <t>4.8555</t>
  </si>
  <si>
    <t>1997-12-17</t>
  </si>
  <si>
    <t>4.8757</t>
  </si>
  <si>
    <t>1997-12-15</t>
  </si>
  <si>
    <t>4.8912</t>
  </si>
  <si>
    <t>1997-12-12</t>
  </si>
  <si>
    <t>4.8936</t>
  </si>
  <si>
    <t>1997-12-11</t>
  </si>
  <si>
    <t>4.8888</t>
  </si>
  <si>
    <t>1997-12-10</t>
  </si>
  <si>
    <t>4.8876</t>
  </si>
  <si>
    <t>1997-12-09</t>
  </si>
  <si>
    <t>4.8697</t>
  </si>
  <si>
    <t>1997-12-08</t>
  </si>
  <si>
    <t>4.8733</t>
  </si>
  <si>
    <t>1997-12-05</t>
  </si>
  <si>
    <t>4.8745</t>
  </si>
  <si>
    <t>1997-12-04</t>
  </si>
  <si>
    <t>4.8674</t>
  </si>
  <si>
    <t>1997-12-03</t>
  </si>
  <si>
    <t>1997-12-02</t>
  </si>
  <si>
    <t>1997-12-01</t>
  </si>
  <si>
    <t>4.8579</t>
  </si>
  <si>
    <t>1997-11-28</t>
  </si>
  <si>
    <t>4.8544</t>
  </si>
  <si>
    <t>1997-11-27</t>
  </si>
  <si>
    <t>4.8591</t>
  </si>
  <si>
    <t>1997-11-26</t>
  </si>
  <si>
    <t>1997-11-25</t>
  </si>
  <si>
    <t>4.8508</t>
  </si>
  <si>
    <t>1997-11-24</t>
  </si>
  <si>
    <t>4.8368</t>
  </si>
  <si>
    <t>1997-11-21</t>
  </si>
  <si>
    <t>4.8461</t>
  </si>
  <si>
    <t>1997-11-20</t>
  </si>
  <si>
    <t>1997-11-19</t>
  </si>
  <si>
    <t>1997-11-18</t>
  </si>
  <si>
    <t>4.8485</t>
  </si>
  <si>
    <t>1997-11-17</t>
  </si>
  <si>
    <t>4.8567</t>
  </si>
  <si>
    <t>1997-11-14</t>
  </si>
  <si>
    <t>4.8321</t>
  </si>
  <si>
    <t>1997-11-13</t>
  </si>
  <si>
    <t>4.8251</t>
  </si>
  <si>
    <t>1997-11-12</t>
  </si>
  <si>
    <t>4.8239</t>
  </si>
  <si>
    <t>1997-11-11</t>
  </si>
  <si>
    <t>4.8146</t>
  </si>
  <si>
    <t>1997-11-10</t>
  </si>
  <si>
    <t>4.8274</t>
  </si>
  <si>
    <t>1997-11-07</t>
  </si>
  <si>
    <t>4.8286</t>
  </si>
  <si>
    <t>1997-11-06</t>
  </si>
  <si>
    <t>4.8170</t>
  </si>
  <si>
    <t>1997-11-05</t>
  </si>
  <si>
    <t>4.8228</t>
  </si>
  <si>
    <t>1997-11-04</t>
  </si>
  <si>
    <t>4.7973</t>
  </si>
  <si>
    <t>1997-11-03</t>
  </si>
  <si>
    <t>4.7996</t>
  </si>
  <si>
    <t>1997-10-31</t>
  </si>
  <si>
    <t>4.8135</t>
  </si>
  <si>
    <t>1997-10-30</t>
  </si>
  <si>
    <t>4.8309</t>
  </si>
  <si>
    <t>1997-10-29</t>
  </si>
  <si>
    <t>4.8019</t>
  </si>
  <si>
    <t>1997-10-28</t>
  </si>
  <si>
    <t>4.8520</t>
  </si>
  <si>
    <t>1997-10-27</t>
  </si>
  <si>
    <t>4.7472</t>
  </si>
  <si>
    <t>1997-10-24</t>
  </si>
  <si>
    <t>4.7237</t>
  </si>
  <si>
    <t>1997-10-23</t>
  </si>
  <si>
    <t>4.7281</t>
  </si>
  <si>
    <t>1997-10-22</t>
  </si>
  <si>
    <t>4.7159</t>
  </si>
  <si>
    <t>1997-10-21</t>
  </si>
  <si>
    <t>4.6959</t>
  </si>
  <si>
    <t>1997-10-20</t>
  </si>
  <si>
    <t>4.7048</t>
  </si>
  <si>
    <t>1997-10-17</t>
  </si>
  <si>
    <t>4.6948</t>
  </si>
  <si>
    <t>1997-10-16</t>
  </si>
  <si>
    <t>4.6827</t>
  </si>
  <si>
    <t>1997-10-15</t>
  </si>
  <si>
    <t>4.6707</t>
  </si>
  <si>
    <t>1997-10-14</t>
  </si>
  <si>
    <t>4.6674</t>
  </si>
  <si>
    <t>1997-10-13</t>
  </si>
  <si>
    <t>4.6664</t>
  </si>
  <si>
    <t>1997-10-10</t>
  </si>
  <si>
    <t>4.6696</t>
  </si>
  <si>
    <t>1997-10-09</t>
  </si>
  <si>
    <t>1997-10-08</t>
  </si>
  <si>
    <t>1997-10-07</t>
  </si>
  <si>
    <t>1997-10-06</t>
  </si>
  <si>
    <t>4.6631</t>
  </si>
  <si>
    <t>1997-10-03</t>
  </si>
  <si>
    <t>1997-10-02</t>
  </si>
  <si>
    <t>1997-10-01</t>
  </si>
  <si>
    <t>4.6544</t>
  </si>
  <si>
    <t>1997-09-30</t>
  </si>
  <si>
    <t>1997-09-29</t>
  </si>
  <si>
    <t>1997-09-26</t>
  </si>
  <si>
    <t>4.6740</t>
  </si>
  <si>
    <t>1997-09-25</t>
  </si>
  <si>
    <t>4.6893</t>
  </si>
  <si>
    <t>1997-09-23</t>
  </si>
  <si>
    <t>4.7004</t>
  </si>
  <si>
    <t>1997-09-22</t>
  </si>
  <si>
    <t>4.7059</t>
  </si>
  <si>
    <t>1997-09-19</t>
  </si>
  <si>
    <t>4.6773</t>
  </si>
  <si>
    <t>1997-09-18</t>
  </si>
  <si>
    <t>4.6806</t>
  </si>
  <si>
    <t>1997-09-17</t>
  </si>
  <si>
    <t>1997-09-16</t>
  </si>
  <si>
    <t>1997-09-15</t>
  </si>
  <si>
    <t>1997-09-12</t>
  </si>
  <si>
    <t>4.6904</t>
  </si>
  <si>
    <t>1997-09-11</t>
  </si>
  <si>
    <t>1997-09-10</t>
  </si>
  <si>
    <t>1997-09-09</t>
  </si>
  <si>
    <t>4.7015</t>
  </si>
  <si>
    <t>1997-09-08</t>
  </si>
  <si>
    <t>4.6795</t>
  </si>
  <si>
    <t>1997-09-05</t>
  </si>
  <si>
    <t>4.6915</t>
  </si>
  <si>
    <t>1997-09-04</t>
  </si>
  <si>
    <t>4.7070</t>
  </si>
  <si>
    <t>1997-09-03</t>
  </si>
  <si>
    <t>1997-09-02</t>
  </si>
  <si>
    <t>4.7037</t>
  </si>
  <si>
    <t>1997-09-01</t>
  </si>
  <si>
    <t>1997-08-29</t>
  </si>
  <si>
    <t>4.6849</t>
  </si>
  <si>
    <t>1997-08-28</t>
  </si>
  <si>
    <t>4.7125</t>
  </si>
  <si>
    <t>1997-08-27</t>
  </si>
  <si>
    <t>4.6871</t>
  </si>
  <si>
    <t>1997-08-26</t>
  </si>
  <si>
    <t>1997-08-25</t>
  </si>
  <si>
    <t>1997-08-22</t>
  </si>
  <si>
    <t>4.6981</t>
  </si>
  <si>
    <t>1997-08-21</t>
  </si>
  <si>
    <t>4.7790</t>
  </si>
  <si>
    <t>1997-08-20</t>
  </si>
  <si>
    <t>4.7181</t>
  </si>
  <si>
    <t>1997-08-19</t>
  </si>
  <si>
    <t>1997-08-18</t>
  </si>
  <si>
    <t>1997-08-15</t>
  </si>
  <si>
    <t>1997-08-14</t>
  </si>
  <si>
    <t>4.6414</t>
  </si>
  <si>
    <t>1997-08-13</t>
  </si>
  <si>
    <t>4.6653</t>
  </si>
  <si>
    <t>1997-08-12</t>
  </si>
  <si>
    <t>1997-08-11</t>
  </si>
  <si>
    <t>4.6729</t>
  </si>
  <si>
    <t>1997-08-08</t>
  </si>
  <si>
    <t>1997-08-07</t>
  </si>
  <si>
    <t>1997-08-06</t>
  </si>
  <si>
    <t>4.6718</t>
  </si>
  <si>
    <t>1997-08-05</t>
  </si>
  <si>
    <t>4.6522</t>
  </si>
  <si>
    <t>1997-08-04</t>
  </si>
  <si>
    <t>1997-08-01</t>
  </si>
  <si>
    <t>4.6125</t>
  </si>
  <si>
    <t>1997-07-31</t>
  </si>
  <si>
    <t>4.6136</t>
  </si>
  <si>
    <t>1997-07-30</t>
  </si>
  <si>
    <t>4.5893</t>
  </si>
  <si>
    <t>1997-07-29</t>
  </si>
  <si>
    <t>4.5819</t>
  </si>
  <si>
    <t>1997-07-28</t>
  </si>
  <si>
    <t>4.5704</t>
  </si>
  <si>
    <t>1997-07-25</t>
  </si>
  <si>
    <t>4.5434</t>
  </si>
  <si>
    <t>1997-07-24</t>
  </si>
  <si>
    <t>4.5579</t>
  </si>
  <si>
    <t>1997-07-23</t>
  </si>
  <si>
    <t>4.5662</t>
  </si>
  <si>
    <t>1997-07-22</t>
  </si>
  <si>
    <t>4.5735</t>
  </si>
  <si>
    <t>1997-07-21</t>
  </si>
  <si>
    <t>1997-07-18</t>
  </si>
  <si>
    <t>4.5610</t>
  </si>
  <si>
    <t>1997-07-17</t>
  </si>
  <si>
    <t>4.5558</t>
  </si>
  <si>
    <t>1997-07-16</t>
  </si>
  <si>
    <t>1997-07-15</t>
  </si>
  <si>
    <t>4.5548</t>
  </si>
  <si>
    <t>1997-07-14</t>
  </si>
  <si>
    <t>4.5517</t>
  </si>
  <si>
    <t>1997-07-11</t>
  </si>
  <si>
    <t>1997-07-10</t>
  </si>
  <si>
    <t>1997-07-09</t>
  </si>
  <si>
    <t>1997-07-08</t>
  </si>
  <si>
    <t>4.5465</t>
  </si>
  <si>
    <t>1997-07-07</t>
  </si>
  <si>
    <t>4.5372</t>
  </si>
  <si>
    <t>1997-07-04</t>
  </si>
  <si>
    <t>4.5280</t>
  </si>
  <si>
    <t>1997-07-03</t>
  </si>
  <si>
    <t>1997-07-02</t>
  </si>
  <si>
    <t>4.5341</t>
  </si>
  <si>
    <t>1997-07-01</t>
  </si>
  <si>
    <t>4.5362</t>
  </si>
  <si>
    <t>1997-06-30</t>
  </si>
  <si>
    <t>4.5249</t>
  </si>
  <si>
    <t>1997-06-27</t>
  </si>
  <si>
    <t>4.5116</t>
  </si>
  <si>
    <t>1997-06-26</t>
  </si>
  <si>
    <t>4.5106</t>
  </si>
  <si>
    <t>1997-06-25</t>
  </si>
  <si>
    <t>4.5045</t>
  </si>
  <si>
    <t>1997-06-24</t>
  </si>
  <si>
    <t>4.4994</t>
  </si>
  <si>
    <t>1997-06-23</t>
  </si>
  <si>
    <t>4.5015</t>
  </si>
  <si>
    <t>1997-06-20</t>
  </si>
  <si>
    <t>4.5086</t>
  </si>
  <si>
    <t>1997-06-19</t>
  </si>
  <si>
    <t>4.5157</t>
  </si>
  <si>
    <t>1997-06-18</t>
  </si>
  <si>
    <t>1997-06-17</t>
  </si>
  <si>
    <t>4.5065</t>
  </si>
  <si>
    <t>1997-06-13</t>
  </si>
  <si>
    <t>4.4974</t>
  </si>
  <si>
    <t>1997-06-12</t>
  </si>
  <si>
    <t>1997-06-11</t>
  </si>
  <si>
    <t>1997-06-10</t>
  </si>
  <si>
    <t>1997-06-09</t>
  </si>
  <si>
    <t>4.4893</t>
  </si>
  <si>
    <t>1997-06-06</t>
  </si>
  <si>
    <t>4.4823</t>
  </si>
  <si>
    <t>1997-06-05</t>
  </si>
  <si>
    <t>4.4793</t>
  </si>
  <si>
    <t>1997-06-04</t>
  </si>
  <si>
    <t>4.4713</t>
  </si>
  <si>
    <t>1997-06-03</t>
  </si>
  <si>
    <t>4.4673</t>
  </si>
  <si>
    <t>1997-06-02</t>
  </si>
  <si>
    <t>4.4723</t>
  </si>
  <si>
    <t>1997-05-30</t>
  </si>
  <si>
    <t>1997-05-29</t>
  </si>
  <si>
    <t>1997-05-28</t>
  </si>
  <si>
    <t>4.4773</t>
  </si>
  <si>
    <t>1997-05-27</t>
  </si>
  <si>
    <t>4.4753</t>
  </si>
  <si>
    <t>1997-05-26</t>
  </si>
  <si>
    <t>1997-05-23</t>
  </si>
  <si>
    <t>1997-05-22</t>
  </si>
  <si>
    <t>4.4683</t>
  </si>
  <si>
    <t>1997-05-21</t>
  </si>
  <si>
    <t>4.4623</t>
  </si>
  <si>
    <t>1997-05-20</t>
  </si>
  <si>
    <t>4.4643</t>
  </si>
  <si>
    <t>1997-05-19</t>
  </si>
  <si>
    <t>4.4703</t>
  </si>
  <si>
    <t>1997-05-16</t>
  </si>
  <si>
    <t>4.4783</t>
  </si>
  <si>
    <t>1997-05-15</t>
  </si>
  <si>
    <t>1997-05-14</t>
  </si>
  <si>
    <t>1997-05-13</t>
  </si>
  <si>
    <t>4.4663</t>
  </si>
  <si>
    <t>1997-05-12</t>
  </si>
  <si>
    <t>1997-05-09</t>
  </si>
  <si>
    <t>1997-05-08</t>
  </si>
  <si>
    <t>4.4763</t>
  </si>
  <si>
    <t>1997-05-07</t>
  </si>
  <si>
    <t>4.4543</t>
  </si>
  <si>
    <t>1997-05-06</t>
  </si>
  <si>
    <t>4.4573</t>
  </si>
  <si>
    <t>1997-05-05</t>
  </si>
  <si>
    <t>4.4563</t>
  </si>
  <si>
    <t>1997-05-02</t>
  </si>
  <si>
    <t>4.4524</t>
  </si>
  <si>
    <t>1997-04-30</t>
  </si>
  <si>
    <t>4.4464</t>
  </si>
  <si>
    <t>1997-04-29</t>
  </si>
  <si>
    <t>4.4444</t>
  </si>
  <si>
    <t>1997-04-25</t>
  </si>
  <si>
    <t>1997-04-24</t>
  </si>
  <si>
    <t>4.4504</t>
  </si>
  <si>
    <t>1997-04-23</t>
  </si>
  <si>
    <t>4.4425</t>
  </si>
  <si>
    <t>1997-04-22</t>
  </si>
  <si>
    <t>4.4454</t>
  </si>
  <si>
    <t>1997-04-21</t>
  </si>
  <si>
    <t>1997-04-18</t>
  </si>
  <si>
    <t>1997-04-17</t>
  </si>
  <si>
    <t>1997-04-16</t>
  </si>
  <si>
    <t>1997-04-15</t>
  </si>
  <si>
    <t>1997-04-14</t>
  </si>
  <si>
    <t>1997-04-11</t>
  </si>
  <si>
    <t>1997-04-10</t>
  </si>
  <si>
    <t>4.4484</t>
  </si>
  <si>
    <t>1997-04-09</t>
  </si>
  <si>
    <t>4.4336</t>
  </si>
  <si>
    <t>1997-04-08</t>
  </si>
  <si>
    <t>4.4326</t>
  </si>
  <si>
    <t>1997-04-07</t>
  </si>
  <si>
    <t>4.4170</t>
  </si>
  <si>
    <t>1997-04-04</t>
  </si>
  <si>
    <t>4.4121</t>
  </si>
  <si>
    <t>1997-04-03</t>
  </si>
  <si>
    <t>4.4199</t>
  </si>
  <si>
    <t>1997-04-02</t>
  </si>
  <si>
    <t>4.4179</t>
  </si>
  <si>
    <t>1997-04-01</t>
  </si>
  <si>
    <t>4.4150</t>
  </si>
  <si>
    <t>1997-03-27</t>
  </si>
  <si>
    <t>1997-03-26</t>
  </si>
  <si>
    <t>1997-03-25</t>
  </si>
  <si>
    <t>4.4228</t>
  </si>
  <si>
    <t>1997-03-24</t>
  </si>
  <si>
    <t>4.4366</t>
  </si>
  <si>
    <t>1997-03-20</t>
  </si>
  <si>
    <t>4.4385</t>
  </si>
  <si>
    <t>1997-03-19</t>
  </si>
  <si>
    <t>4.4238</t>
  </si>
  <si>
    <t>1997-03-18</t>
  </si>
  <si>
    <t>1997-03-17</t>
  </si>
  <si>
    <t>1997-03-14</t>
  </si>
  <si>
    <t>4.4160</t>
  </si>
  <si>
    <t>1997-03-13</t>
  </si>
  <si>
    <t>4.3995</t>
  </si>
  <si>
    <t>1997-03-12</t>
  </si>
  <si>
    <t>1997-03-11</t>
  </si>
  <si>
    <t>1997-03-10</t>
  </si>
  <si>
    <t>1997-03-07</t>
  </si>
  <si>
    <t>4.4593</t>
  </si>
  <si>
    <t>1997-03-06</t>
  </si>
  <si>
    <t>4.4534</t>
  </si>
  <si>
    <t>1997-03-05</t>
  </si>
  <si>
    <t>1997-03-04</t>
  </si>
  <si>
    <t>1997-03-03</t>
  </si>
  <si>
    <t>4.4693</t>
  </si>
  <si>
    <t>1997-02-28</t>
  </si>
  <si>
    <t>1997-02-27</t>
  </si>
  <si>
    <t>1997-02-26</t>
  </si>
  <si>
    <t>4.4287</t>
  </si>
  <si>
    <t>1997-02-25</t>
  </si>
  <si>
    <t>4.4189</t>
  </si>
  <si>
    <t>1997-02-24</t>
  </si>
  <si>
    <t>1997-02-21</t>
  </si>
  <si>
    <t>1997-02-20</t>
  </si>
  <si>
    <t>1997-02-19</t>
  </si>
  <si>
    <t>4.4964</t>
  </si>
  <si>
    <t>1997-02-18</t>
  </si>
  <si>
    <t>4.4111</t>
  </si>
  <si>
    <t>1997-02-17</t>
  </si>
  <si>
    <t>4.4209</t>
  </si>
  <si>
    <t>1997-02-14</t>
  </si>
  <si>
    <t>4.4248</t>
  </si>
  <si>
    <t>1997-02-13</t>
  </si>
  <si>
    <t>4.3908</t>
  </si>
  <si>
    <t>1997-02-12</t>
  </si>
  <si>
    <t>1997-02-11</t>
  </si>
  <si>
    <t>4.3860</t>
  </si>
  <si>
    <t>1997-02-10</t>
  </si>
  <si>
    <t>4.4267</t>
  </si>
  <si>
    <t>1997-02-07</t>
  </si>
  <si>
    <t>1997-02-06</t>
  </si>
  <si>
    <t>1997-02-05</t>
  </si>
  <si>
    <t>4.5126</t>
  </si>
  <si>
    <t>1997-02-04</t>
  </si>
  <si>
    <t>1997-02-03</t>
  </si>
  <si>
    <t>1997-01-31</t>
  </si>
  <si>
    <t>4.5631</t>
  </si>
  <si>
    <t>1997-01-30</t>
  </si>
  <si>
    <t>4.5620</t>
  </si>
  <si>
    <t>1997-01-29</t>
  </si>
  <si>
    <t>4.5673</t>
  </si>
  <si>
    <t>1997-01-28</t>
  </si>
  <si>
    <t>1997-01-27</t>
  </si>
  <si>
    <t>4.6041</t>
  </si>
  <si>
    <t>1997-01-24</t>
  </si>
  <si>
    <t>1997-01-23</t>
  </si>
  <si>
    <t>4.6211</t>
  </si>
  <si>
    <t>1997-01-22</t>
  </si>
  <si>
    <t>4.6339</t>
  </si>
  <si>
    <t>1997-01-21</t>
  </si>
  <si>
    <t>4.6458</t>
  </si>
  <si>
    <t>1997-01-20</t>
  </si>
  <si>
    <t>4.6512</t>
  </si>
  <si>
    <t>1997-01-17</t>
  </si>
  <si>
    <t>4.6685</t>
  </si>
  <si>
    <t>1997-01-16</t>
  </si>
  <si>
    <t>4.6555</t>
  </si>
  <si>
    <t>1997-01-15</t>
  </si>
  <si>
    <t>1997-01-14</t>
  </si>
  <si>
    <t>4.6751</t>
  </si>
  <si>
    <t>1997-01-13</t>
  </si>
  <si>
    <t>1997-01-10</t>
  </si>
  <si>
    <t>1997-01-09</t>
  </si>
  <si>
    <t>1997-01-08</t>
  </si>
  <si>
    <t>1997-01-07</t>
  </si>
  <si>
    <t>4.6762</t>
  </si>
  <si>
    <t>1997-01-06</t>
  </si>
  <si>
    <t>1997-01-03</t>
  </si>
  <si>
    <t>1997-01-02</t>
  </si>
  <si>
    <t>4.6882</t>
  </si>
  <si>
    <t>1996-12-31</t>
  </si>
  <si>
    <t>4.6838</t>
  </si>
  <si>
    <t>1996-12-30</t>
  </si>
  <si>
    <t>1996-12-27</t>
  </si>
  <si>
    <t>1996-12-24</t>
  </si>
  <si>
    <t>1996-12-23</t>
  </si>
  <si>
    <t>4.6860</t>
  </si>
  <si>
    <t>1996-12-20</t>
  </si>
  <si>
    <t>1996-12-19</t>
  </si>
  <si>
    <t>1996-12-18</t>
  </si>
  <si>
    <t>4.7259</t>
  </si>
  <si>
    <t>1996-12-17</t>
  </si>
  <si>
    <t>1996-12-13</t>
  </si>
  <si>
    <t>4.7371</t>
  </si>
  <si>
    <t>1996-12-12</t>
  </si>
  <si>
    <t>1996-12-11</t>
  </si>
  <si>
    <t>1996-12-10</t>
  </si>
  <si>
    <t>1996-12-09</t>
  </si>
  <si>
    <t>1996-12-06</t>
  </si>
  <si>
    <t>1996-12-05</t>
  </si>
  <si>
    <t>1996-12-04</t>
  </si>
  <si>
    <t>1996-12-03</t>
  </si>
  <si>
    <t>4.6425</t>
  </si>
  <si>
    <t>1996-12-02</t>
  </si>
  <si>
    <t>4.6189</t>
  </si>
  <si>
    <t>1996-11-29</t>
  </si>
  <si>
    <t>4.5935</t>
  </si>
  <si>
    <t>1996-11-28</t>
  </si>
  <si>
    <t>1996-11-27</t>
  </si>
  <si>
    <t>4.5683</t>
  </si>
  <si>
    <t>1996-11-26</t>
  </si>
  <si>
    <t>4.5977</t>
  </si>
  <si>
    <t>1996-11-25</t>
  </si>
  <si>
    <t>4.6104</t>
  </si>
  <si>
    <t>1996-11-22</t>
  </si>
  <si>
    <t>1996-11-21</t>
  </si>
  <si>
    <t>1996-11-20</t>
  </si>
  <si>
    <t>4.6566</t>
  </si>
  <si>
    <t>1996-11-19</t>
  </si>
  <si>
    <t>4.6468</t>
  </si>
  <si>
    <t>1996-11-18</t>
  </si>
  <si>
    <t>1996-11-15</t>
  </si>
  <si>
    <t>1996-11-14</t>
  </si>
  <si>
    <t>1996-11-13</t>
  </si>
  <si>
    <t>1996-11-12</t>
  </si>
  <si>
    <t>1996-11-11</t>
  </si>
  <si>
    <t>4.7148</t>
  </si>
  <si>
    <t>1996-11-08</t>
  </si>
  <si>
    <t>1996-11-07</t>
  </si>
  <si>
    <t>1996-11-06</t>
  </si>
  <si>
    <t>1996-11-05</t>
  </si>
  <si>
    <t>1996-11-04</t>
  </si>
  <si>
    <t>4.6970</t>
  </si>
  <si>
    <t>1996-11-01</t>
  </si>
  <si>
    <t>1996-10-31</t>
  </si>
  <si>
    <t>4.7393</t>
  </si>
  <si>
    <t>1996-10-30</t>
  </si>
  <si>
    <t>1996-10-29</t>
  </si>
  <si>
    <t>1996-10-28</t>
  </si>
  <si>
    <t>4.6404</t>
  </si>
  <si>
    <t>1996-10-25</t>
  </si>
  <si>
    <t>4.5840</t>
  </si>
  <si>
    <t>1996-10-24</t>
  </si>
  <si>
    <t>4.5830</t>
  </si>
  <si>
    <t>1996-10-23</t>
  </si>
  <si>
    <t>1996-10-22</t>
  </si>
  <si>
    <t>4.5767</t>
  </si>
  <si>
    <t>1996-10-21</t>
  </si>
  <si>
    <t>1996-10-18</t>
  </si>
  <si>
    <t>4.5506</t>
  </si>
  <si>
    <t>1996-10-17</t>
  </si>
  <si>
    <t>1996-10-16</t>
  </si>
  <si>
    <t>4.5496</t>
  </si>
  <si>
    <t>1996-10-15</t>
  </si>
  <si>
    <t>1996-10-14</t>
  </si>
  <si>
    <t>4.5413</t>
  </si>
  <si>
    <t>1996-10-11</t>
  </si>
  <si>
    <t>1996-10-10</t>
  </si>
  <si>
    <t>4.5589</t>
  </si>
  <si>
    <t>1996-10-09</t>
  </si>
  <si>
    <t>1996-10-08</t>
  </si>
  <si>
    <t>4.5331</t>
  </si>
  <si>
    <t>1996-10-07</t>
  </si>
  <si>
    <t>1996-10-04</t>
  </si>
  <si>
    <t>4.5218</t>
  </si>
  <si>
    <t>1996-10-03</t>
  </si>
  <si>
    <t>1996-10-02</t>
  </si>
  <si>
    <t>1996-10-01</t>
  </si>
  <si>
    <t>1996-09-30</t>
  </si>
  <si>
    <t>4.5198</t>
  </si>
  <si>
    <t>1996-09-27</t>
  </si>
  <si>
    <t>4.5351</t>
  </si>
  <si>
    <t>1996-09-26</t>
  </si>
  <si>
    <t>4.5167</t>
  </si>
  <si>
    <t>1996-09-25</t>
  </si>
  <si>
    <t>4.5137</t>
  </si>
  <si>
    <t>1996-09-23</t>
  </si>
  <si>
    <t>1996-09-20</t>
  </si>
  <si>
    <t>4.4934</t>
  </si>
  <si>
    <t>1996-09-19</t>
  </si>
  <si>
    <t>4.4853</t>
  </si>
  <si>
    <t>1996-09-18</t>
  </si>
  <si>
    <t>4.4863</t>
  </si>
  <si>
    <t>1996-09-17</t>
  </si>
  <si>
    <t>1996-09-16</t>
  </si>
  <si>
    <t>1996-09-13</t>
  </si>
  <si>
    <t>1996-09-12</t>
  </si>
  <si>
    <t>1996-09-11</t>
  </si>
  <si>
    <t>1996-09-10</t>
  </si>
  <si>
    <t>4.4914</t>
  </si>
  <si>
    <t>1996-09-09</t>
  </si>
  <si>
    <t>1996-09-06</t>
  </si>
  <si>
    <t>1996-09-05</t>
  </si>
  <si>
    <t>1996-09-04</t>
  </si>
  <si>
    <t>4.4843</t>
  </si>
  <si>
    <t>1996-09-03</t>
  </si>
  <si>
    <t>1996-09-02</t>
  </si>
  <si>
    <t>1996-08-30</t>
  </si>
  <si>
    <t>1996-08-29</t>
  </si>
  <si>
    <t>1996-08-28</t>
  </si>
  <si>
    <t>1996-08-27</t>
  </si>
  <si>
    <t>4.5259</t>
  </si>
  <si>
    <t>1996-08-26</t>
  </si>
  <si>
    <t>4.5382</t>
  </si>
  <si>
    <t>1996-08-23</t>
  </si>
  <si>
    <t>4.5310</t>
  </si>
  <si>
    <t>1996-08-22</t>
  </si>
  <si>
    <t>1996-08-21</t>
  </si>
  <si>
    <t>1996-08-20</t>
  </si>
  <si>
    <t>1996-08-19</t>
  </si>
  <si>
    <t>1996-08-16</t>
  </si>
  <si>
    <t>4.5527</t>
  </si>
  <si>
    <t>1996-08-15</t>
  </si>
  <si>
    <t>4.5424</t>
  </si>
  <si>
    <t>1996-08-14</t>
  </si>
  <si>
    <t>4.5475</t>
  </si>
  <si>
    <t>1996-08-13</t>
  </si>
  <si>
    <t>1996-08-12</t>
  </si>
  <si>
    <t>1996-08-08</t>
  </si>
  <si>
    <t>4.5147</t>
  </si>
  <si>
    <t>1996-08-07</t>
  </si>
  <si>
    <t>1996-08-06</t>
  </si>
  <si>
    <t>1996-08-05</t>
  </si>
  <si>
    <t>1996-08-02</t>
  </si>
  <si>
    <t>4.4944</t>
  </si>
  <si>
    <t>1996-08-01</t>
  </si>
  <si>
    <t>1996-07-31</t>
  </si>
  <si>
    <t>1996-07-30</t>
  </si>
  <si>
    <t>1996-07-29</t>
  </si>
  <si>
    <t>1996-07-26</t>
  </si>
  <si>
    <t>4.4553</t>
  </si>
  <si>
    <t>1996-07-25</t>
  </si>
  <si>
    <t>4.4297</t>
  </si>
  <si>
    <t>1996-07-24</t>
  </si>
  <si>
    <t>1996-07-23</t>
  </si>
  <si>
    <t>1996-07-22</t>
  </si>
  <si>
    <t>4.3927</t>
  </si>
  <si>
    <t>1996-07-19</t>
  </si>
  <si>
    <t>4.3869</t>
  </si>
  <si>
    <t>1996-07-18</t>
  </si>
  <si>
    <t>1996-07-17</t>
  </si>
  <si>
    <t>4.4024</t>
  </si>
  <si>
    <t>1996-07-16</t>
  </si>
  <si>
    <t>4.4405</t>
  </si>
  <si>
    <t>1996-07-15</t>
  </si>
  <si>
    <t>1996-07-12</t>
  </si>
  <si>
    <t>4.3716</t>
  </si>
  <si>
    <t>1996-07-11</t>
  </si>
  <si>
    <t>4.3412</t>
  </si>
  <si>
    <t>1996-07-10</t>
  </si>
  <si>
    <t>4.3299</t>
  </si>
  <si>
    <t>1996-07-09</t>
  </si>
  <si>
    <t>4.3375</t>
  </si>
  <si>
    <t>1996-07-08</t>
  </si>
  <si>
    <t>4.3431</t>
  </si>
  <si>
    <t>1996-07-05</t>
  </si>
  <si>
    <t>1996-07-04</t>
  </si>
  <si>
    <t>4.3328</t>
  </si>
  <si>
    <t>1996-07-03</t>
  </si>
  <si>
    <t>4.3337</t>
  </si>
  <si>
    <t>1996-07-02</t>
  </si>
  <si>
    <t>1996-07-01</t>
  </si>
  <si>
    <t>4.3365</t>
  </si>
  <si>
    <t>1996-06-28</t>
  </si>
  <si>
    <t>1996-06-27</t>
  </si>
  <si>
    <t>1996-06-26</t>
  </si>
  <si>
    <t>4.3497</t>
  </si>
  <si>
    <t>1996-06-25</t>
  </si>
  <si>
    <t>4.3526</t>
  </si>
  <si>
    <t>1996-06-24</t>
  </si>
  <si>
    <t>4.3659</t>
  </si>
  <si>
    <t>1996-06-21</t>
  </si>
  <si>
    <t>4.3621</t>
  </si>
  <si>
    <t>1996-06-20</t>
  </si>
  <si>
    <t>4.3582</t>
  </si>
  <si>
    <t>1996-06-19</t>
  </si>
  <si>
    <t>4.3469</t>
  </si>
  <si>
    <t>1996-06-18</t>
  </si>
  <si>
    <t>1996-06-14</t>
  </si>
  <si>
    <t>4.3271</t>
  </si>
  <si>
    <t>1996-06-13</t>
  </si>
  <si>
    <t>4.3113</t>
  </si>
  <si>
    <t>1996-06-12</t>
  </si>
  <si>
    <t>1996-06-11</t>
  </si>
  <si>
    <t>4.3459</t>
  </si>
  <si>
    <t>1996-06-10</t>
  </si>
  <si>
    <t>4.3725</t>
  </si>
  <si>
    <t>1996-06-07</t>
  </si>
  <si>
    <t>4.3478</t>
  </si>
  <si>
    <t>1996-06-06</t>
  </si>
  <si>
    <t>1996-06-05</t>
  </si>
  <si>
    <t>4.3812</t>
  </si>
  <si>
    <t>1996-06-04</t>
  </si>
  <si>
    <t>1996-06-03</t>
  </si>
  <si>
    <t>1996-05-31</t>
  </si>
  <si>
    <t>4.3649</t>
  </si>
  <si>
    <t>1996-05-30</t>
  </si>
  <si>
    <t>1996-05-29</t>
  </si>
  <si>
    <t>4.3946</t>
  </si>
  <si>
    <t>1996-05-28</t>
  </si>
  <si>
    <t>1996-05-27</t>
  </si>
  <si>
    <t>1996-05-24</t>
  </si>
  <si>
    <t>4.3563</t>
  </si>
  <si>
    <t>1996-05-23</t>
  </si>
  <si>
    <t>1996-05-22</t>
  </si>
  <si>
    <t>4.3403</t>
  </si>
  <si>
    <t>1996-05-21</t>
  </si>
  <si>
    <t>4.3253</t>
  </si>
  <si>
    <t>1996-05-20</t>
  </si>
  <si>
    <t>1996-05-17</t>
  </si>
  <si>
    <t>4.3393</t>
  </si>
  <si>
    <t>1996-05-16</t>
  </si>
  <si>
    <t>1996-05-15</t>
  </si>
  <si>
    <t>4.3187</t>
  </si>
  <si>
    <t>1996-05-14</t>
  </si>
  <si>
    <t>1996-05-13</t>
  </si>
  <si>
    <t>4.3697</t>
  </si>
  <si>
    <t>1996-05-10</t>
  </si>
  <si>
    <t>1996-05-09</t>
  </si>
  <si>
    <t>1996-05-08</t>
  </si>
  <si>
    <t>4.3898</t>
  </si>
  <si>
    <t>1996-05-07</t>
  </si>
  <si>
    <t>4.3966</t>
  </si>
  <si>
    <t>1996-05-06</t>
  </si>
  <si>
    <t>1996-05-03</t>
  </si>
  <si>
    <t>4.3792</t>
  </si>
  <si>
    <t>1996-05-02</t>
  </si>
  <si>
    <t>1996-04-30</t>
  </si>
  <si>
    <t>1996-04-29</t>
  </si>
  <si>
    <t>1996-04-26</t>
  </si>
  <si>
    <t>1996-04-25</t>
  </si>
  <si>
    <t>4.3234</t>
  </si>
  <si>
    <t>1996-04-24</t>
  </si>
  <si>
    <t>4.2373</t>
  </si>
  <si>
    <t>1996-04-23</t>
  </si>
  <si>
    <t>4.2409</t>
  </si>
  <si>
    <t>1996-04-22</t>
  </si>
  <si>
    <t>4.2599</t>
  </si>
  <si>
    <t>1996-04-19</t>
  </si>
  <si>
    <t>4.2626</t>
  </si>
  <si>
    <t>1996-04-18</t>
  </si>
  <si>
    <t>1996-04-17</t>
  </si>
  <si>
    <t>4.2310</t>
  </si>
  <si>
    <t>1996-04-16</t>
  </si>
  <si>
    <t>4.2418</t>
  </si>
  <si>
    <t>1996-04-15</t>
  </si>
  <si>
    <t>4.1973</t>
  </si>
  <si>
    <t>1996-04-12</t>
  </si>
  <si>
    <t>4.1545</t>
  </si>
  <si>
    <t>1996-04-11</t>
  </si>
  <si>
    <t>4.1425</t>
  </si>
  <si>
    <t>1996-04-10</t>
  </si>
  <si>
    <t>4.1632</t>
  </si>
  <si>
    <t>1996-04-09</t>
  </si>
  <si>
    <t>4.1322</t>
  </si>
  <si>
    <t>1996-04-04</t>
  </si>
  <si>
    <t>4.0866</t>
  </si>
  <si>
    <t>1996-04-03</t>
  </si>
  <si>
    <t>4.0891</t>
  </si>
  <si>
    <t>1996-04-02</t>
  </si>
  <si>
    <t>4.0185</t>
  </si>
  <si>
    <t>1996-04-01</t>
  </si>
  <si>
    <t>3.9738</t>
  </si>
  <si>
    <t>1996-03-29</t>
  </si>
  <si>
    <t>4.0048</t>
  </si>
  <si>
    <t>1996-03-28</t>
  </si>
  <si>
    <t>4.0008</t>
  </si>
  <si>
    <t>1996-03-27</t>
  </si>
  <si>
    <t>3.9612</t>
  </si>
  <si>
    <t>1996-03-26</t>
  </si>
  <si>
    <t>3.9362</t>
  </si>
  <si>
    <t>1996-03-25</t>
  </si>
  <si>
    <t>3.9262</t>
  </si>
  <si>
    <t>1996-03-22</t>
  </si>
  <si>
    <t>3.9216</t>
  </si>
  <si>
    <t>1996-03-20</t>
  </si>
  <si>
    <t>3.9293</t>
  </si>
  <si>
    <t>1996-03-19</t>
  </si>
  <si>
    <t>3.9339</t>
  </si>
  <si>
    <t>1996-03-18</t>
  </si>
  <si>
    <t>3.9270</t>
  </si>
  <si>
    <t>1996-03-15</t>
  </si>
  <si>
    <t>3.9424</t>
  </si>
  <si>
    <t>1996-03-14</t>
  </si>
  <si>
    <t>3.9147</t>
  </si>
  <si>
    <t>1996-03-13</t>
  </si>
  <si>
    <t>1996-03-12</t>
  </si>
  <si>
    <t>3.9208</t>
  </si>
  <si>
    <t>1996-03-11</t>
  </si>
  <si>
    <t>3.9456</t>
  </si>
  <si>
    <t>1996-03-08</t>
  </si>
  <si>
    <t>3.9378</t>
  </si>
  <si>
    <t>1996-03-07</t>
  </si>
  <si>
    <t>3.8827</t>
  </si>
  <si>
    <t>1996-03-06</t>
  </si>
  <si>
    <t>3.8760</t>
  </si>
  <si>
    <t>1996-03-05</t>
  </si>
  <si>
    <t>3.8737</t>
  </si>
  <si>
    <t>1996-03-04</t>
  </si>
  <si>
    <t>3.9032</t>
  </si>
  <si>
    <t>1996-03-01</t>
  </si>
  <si>
    <t>3.8956</t>
  </si>
  <si>
    <t>1996-02-29</t>
  </si>
  <si>
    <t>3.8469</t>
  </si>
  <si>
    <t>1996-02-28</t>
  </si>
  <si>
    <t>3.8124</t>
  </si>
  <si>
    <t>1996-02-27</t>
  </si>
  <si>
    <t>3.8248</t>
  </si>
  <si>
    <t>1996-02-26</t>
  </si>
  <si>
    <t>3.8625</t>
  </si>
  <si>
    <t>1996-02-23</t>
  </si>
  <si>
    <t>3.8588</t>
  </si>
  <si>
    <t>1996-02-22</t>
  </si>
  <si>
    <t>3.9285</t>
  </si>
  <si>
    <t>1996-02-21</t>
  </si>
  <si>
    <t>3.9746</t>
  </si>
  <si>
    <t>1996-02-20</t>
  </si>
  <si>
    <t>3.8685</t>
  </si>
  <si>
    <t>1996-02-19</t>
  </si>
  <si>
    <t>3.8146</t>
  </si>
  <si>
    <t>1996-02-16</t>
  </si>
  <si>
    <t>3.6975</t>
  </si>
  <si>
    <t>1996-02-15</t>
  </si>
  <si>
    <t>3.6490</t>
  </si>
  <si>
    <t>1996-02-14</t>
  </si>
  <si>
    <t>3.6450</t>
  </si>
  <si>
    <t>1996-02-13</t>
  </si>
  <si>
    <t>3.6476</t>
  </si>
  <si>
    <t>1996-02-12</t>
  </si>
  <si>
    <t>1996-02-09</t>
  </si>
  <si>
    <t>3.6463</t>
  </si>
  <si>
    <t>1996-02-08</t>
  </si>
  <si>
    <t>1996-02-07</t>
  </si>
  <si>
    <t>3.6456</t>
  </si>
  <si>
    <t>1996-02-06</t>
  </si>
  <si>
    <t>3.6423</t>
  </si>
  <si>
    <t>1996-02-05</t>
  </si>
  <si>
    <t>1996-02-02</t>
  </si>
  <si>
    <t>3.6516</t>
  </si>
  <si>
    <t>1996-02-01</t>
  </si>
  <si>
    <t>1996-01-31</t>
  </si>
  <si>
    <t>3.6523</t>
  </si>
  <si>
    <t>1996-01-30</t>
  </si>
  <si>
    <t>3.6530</t>
  </si>
  <si>
    <t>1996-01-29</t>
  </si>
  <si>
    <t>3.6543</t>
  </si>
  <si>
    <t>1996-01-26</t>
  </si>
  <si>
    <t>1996-01-25</t>
  </si>
  <si>
    <t>1996-01-24</t>
  </si>
  <si>
    <t>3.6503</t>
  </si>
  <si>
    <t>1996-01-23</t>
  </si>
  <si>
    <t>1996-01-22</t>
  </si>
  <si>
    <t>1996-01-19</t>
  </si>
  <si>
    <t>1996-01-18</t>
  </si>
  <si>
    <t>1996-01-17</t>
  </si>
  <si>
    <t>1996-01-16</t>
  </si>
  <si>
    <t>3.6397</t>
  </si>
  <si>
    <t>1996-01-15</t>
  </si>
  <si>
    <t>3.6344</t>
  </si>
  <si>
    <t>1996-01-12</t>
  </si>
  <si>
    <t>3.6304</t>
  </si>
  <si>
    <t>1996-01-11</t>
  </si>
  <si>
    <t>3.6252</t>
  </si>
  <si>
    <t>1996-01-10</t>
  </si>
  <si>
    <t>3.6265</t>
  </si>
  <si>
    <t>1996-01-09</t>
  </si>
  <si>
    <t>3.6350</t>
  </si>
  <si>
    <t>1996-01-08</t>
  </si>
  <si>
    <t>1996-01-05</t>
  </si>
  <si>
    <t>3.6278</t>
  </si>
  <si>
    <t>1996-01-04</t>
  </si>
  <si>
    <t>3.6291</t>
  </si>
  <si>
    <t>1996-01-03</t>
  </si>
  <si>
    <t>3.6357</t>
  </si>
  <si>
    <t>1996-01-02</t>
  </si>
  <si>
    <t>1995-12-29</t>
  </si>
  <si>
    <t>1995-12-28</t>
  </si>
  <si>
    <t>1995-12-27</t>
  </si>
  <si>
    <t>3.6583</t>
  </si>
  <si>
    <t>1995-12-22</t>
  </si>
  <si>
    <t>3.6643</t>
  </si>
  <si>
    <t>1995-12-21</t>
  </si>
  <si>
    <t>3.6650</t>
  </si>
  <si>
    <t>1995-12-20</t>
  </si>
  <si>
    <t>3.6691</t>
  </si>
  <si>
    <t>1995-12-19</t>
  </si>
  <si>
    <t>3.6664</t>
  </si>
  <si>
    <t>1995-12-18</t>
  </si>
  <si>
    <t>3.6677</t>
  </si>
  <si>
    <t>1995-12-15</t>
  </si>
  <si>
    <t>1995-12-14</t>
  </si>
  <si>
    <t>3.6697</t>
  </si>
  <si>
    <t>1995-12-13</t>
  </si>
  <si>
    <t>3.6704</t>
  </si>
  <si>
    <t>1995-12-12</t>
  </si>
  <si>
    <t>1995-12-11</t>
  </si>
  <si>
    <t>1995-12-08</t>
  </si>
  <si>
    <t>1995-12-07</t>
  </si>
  <si>
    <t>1995-12-06</t>
  </si>
  <si>
    <t>1995-12-05</t>
  </si>
  <si>
    <t>3.6657</t>
  </si>
  <si>
    <t>1995-12-04</t>
  </si>
  <si>
    <t>3.6610</t>
  </si>
  <si>
    <t>1995-12-01</t>
  </si>
  <si>
    <t>1995-11-30</t>
  </si>
  <si>
    <t>3.6637</t>
  </si>
  <si>
    <t>1995-11-29</t>
  </si>
  <si>
    <t>1995-11-28</t>
  </si>
  <si>
    <t>1995-11-27</t>
  </si>
  <si>
    <t>3.6597</t>
  </si>
  <si>
    <t>1995-11-24</t>
  </si>
  <si>
    <t>1995-11-23</t>
  </si>
  <si>
    <t>1995-11-22</t>
  </si>
  <si>
    <t>1995-11-21</t>
  </si>
  <si>
    <t>1995-11-20</t>
  </si>
  <si>
    <t>1995-11-17</t>
  </si>
  <si>
    <t>1995-11-16</t>
  </si>
  <si>
    <t>3.6437</t>
  </si>
  <si>
    <t>1995-11-15</t>
  </si>
  <si>
    <t>3.6383</t>
  </si>
  <si>
    <t>1995-11-14</t>
  </si>
  <si>
    <t>3.6410</t>
  </si>
  <si>
    <t>1995-11-13</t>
  </si>
  <si>
    <t>1995-11-10</t>
  </si>
  <si>
    <t>1995-11-09</t>
  </si>
  <si>
    <t>3.6417</t>
  </si>
  <si>
    <t>1995-11-08</t>
  </si>
  <si>
    <t>3.6403</t>
  </si>
  <si>
    <t>1995-11-07</t>
  </si>
  <si>
    <t>1995-11-06</t>
  </si>
  <si>
    <t>3.6483</t>
  </si>
  <si>
    <t>1995-11-03</t>
  </si>
  <si>
    <t>1995-11-02</t>
  </si>
  <si>
    <t>1995-10-31</t>
  </si>
  <si>
    <t>1995-10-30</t>
  </si>
  <si>
    <t>1995-10-27</t>
  </si>
  <si>
    <t>1995-10-26</t>
  </si>
  <si>
    <t>1995-10-25</t>
  </si>
  <si>
    <t>3.6370</t>
  </si>
  <si>
    <t>1995-10-24</t>
  </si>
  <si>
    <t>1995-10-23</t>
  </si>
  <si>
    <t>1995-10-20</t>
  </si>
  <si>
    <t>1995-10-19</t>
  </si>
  <si>
    <t>1995-10-18</t>
  </si>
  <si>
    <t>1995-10-17</t>
  </si>
  <si>
    <t>3.6556</t>
  </si>
  <si>
    <t>1995-10-16</t>
  </si>
  <si>
    <t>1995-10-13</t>
  </si>
  <si>
    <t>1995-10-12</t>
  </si>
  <si>
    <t>3.6570</t>
  </si>
  <si>
    <t>1995-10-11</t>
  </si>
  <si>
    <t>1995-10-10</t>
  </si>
  <si>
    <t>1995-10-09</t>
  </si>
  <si>
    <t>1995-10-06</t>
  </si>
  <si>
    <t>1995-10-05</t>
  </si>
  <si>
    <t>1995-10-04</t>
  </si>
  <si>
    <t>3.6623</t>
  </si>
  <si>
    <t>1995-10-03</t>
  </si>
  <si>
    <t>1995-10-02</t>
  </si>
  <si>
    <t>1995-09-29</t>
  </si>
  <si>
    <t>3.6470</t>
  </si>
  <si>
    <t>1995-09-28</t>
  </si>
  <si>
    <t>1995-09-27</t>
  </si>
  <si>
    <t>1995-09-26</t>
  </si>
  <si>
    <t>1995-09-22</t>
  </si>
  <si>
    <t>1995-09-21</t>
  </si>
  <si>
    <t>1995-09-20</t>
  </si>
  <si>
    <t>3.6744</t>
  </si>
  <si>
    <t>1995-09-19</t>
  </si>
  <si>
    <t>1995-09-18</t>
  </si>
  <si>
    <t>3.6758</t>
  </si>
  <si>
    <t>1995-09-15</t>
  </si>
  <si>
    <t>3.6717</t>
  </si>
  <si>
    <t>1995-09-14</t>
  </si>
  <si>
    <t>3.6738</t>
  </si>
  <si>
    <t>1995-09-13</t>
  </si>
  <si>
    <t>1995-09-12</t>
  </si>
  <si>
    <t>1995-09-11</t>
  </si>
  <si>
    <t>1995-09-08</t>
  </si>
  <si>
    <t>1995-09-07</t>
  </si>
  <si>
    <t>1995-09-06</t>
  </si>
  <si>
    <t>1995-09-05</t>
  </si>
  <si>
    <t>1995-09-04</t>
  </si>
  <si>
    <t>1995-09-01</t>
  </si>
  <si>
    <t>1995-08-31</t>
  </si>
  <si>
    <t>3.6576</t>
  </si>
  <si>
    <t>1995-08-30</t>
  </si>
  <si>
    <t>1995-08-29</t>
  </si>
  <si>
    <t>1995-08-28</t>
  </si>
  <si>
    <t>1995-08-25</t>
  </si>
  <si>
    <t>1995-08-24</t>
  </si>
  <si>
    <t>1995-08-23</t>
  </si>
  <si>
    <t>1995-08-22</t>
  </si>
  <si>
    <t>1995-08-21</t>
  </si>
  <si>
    <t>1995-08-18</t>
  </si>
  <si>
    <t>1995-08-17</t>
  </si>
  <si>
    <t>3.6536</t>
  </si>
  <si>
    <t>1995-08-16</t>
  </si>
  <si>
    <t>1995-08-15</t>
  </si>
  <si>
    <t>1995-08-14</t>
  </si>
  <si>
    <t>3.6337</t>
  </si>
  <si>
    <t>1995-08-11</t>
  </si>
  <si>
    <t>1995-08-10</t>
  </si>
  <si>
    <t>3.6095</t>
  </si>
  <si>
    <t>1995-08-08</t>
  </si>
  <si>
    <t>3.6108</t>
  </si>
  <si>
    <t>1995-08-07</t>
  </si>
  <si>
    <t>3.6134</t>
  </si>
  <si>
    <t>1995-08-04</t>
  </si>
  <si>
    <t>3.6173</t>
  </si>
  <si>
    <t>1995-08-03</t>
  </si>
  <si>
    <t>1995-08-02</t>
  </si>
  <si>
    <t>3.6056</t>
  </si>
  <si>
    <t>1995-08-01</t>
  </si>
  <si>
    <t>3.6166</t>
  </si>
  <si>
    <t>1995-07-31</t>
  </si>
  <si>
    <t>3.6225</t>
  </si>
  <si>
    <t>1995-07-28</t>
  </si>
  <si>
    <t>1995-07-27</t>
  </si>
  <si>
    <t>1995-07-26</t>
  </si>
  <si>
    <t>1995-07-25</t>
  </si>
  <si>
    <t>1995-07-24</t>
  </si>
  <si>
    <t>1995-07-21</t>
  </si>
  <si>
    <t>1995-07-20</t>
  </si>
  <si>
    <t>1995-07-19</t>
  </si>
  <si>
    <t>1995-07-18</t>
  </si>
  <si>
    <t>1995-07-17</t>
  </si>
  <si>
    <t>1995-07-14</t>
  </si>
  <si>
    <t>1995-07-13</t>
  </si>
  <si>
    <t>1995-07-12</t>
  </si>
  <si>
    <t>1995-07-11</t>
  </si>
  <si>
    <t>1995-07-10</t>
  </si>
  <si>
    <t>1995-07-07</t>
  </si>
  <si>
    <t>3.6364</t>
  </si>
  <si>
    <t>1995-07-06</t>
  </si>
  <si>
    <t>1995-07-05</t>
  </si>
  <si>
    <t>1995-07-04</t>
  </si>
  <si>
    <t>3.6317</t>
  </si>
  <si>
    <t>1995-07-03</t>
  </si>
  <si>
    <t>1995-06-30</t>
  </si>
  <si>
    <t>1995-06-29</t>
  </si>
  <si>
    <t>1995-06-28</t>
  </si>
  <si>
    <t>1995-06-27</t>
  </si>
  <si>
    <t>3.6331</t>
  </si>
  <si>
    <t>1995-06-26</t>
  </si>
  <si>
    <t>1995-06-23</t>
  </si>
  <si>
    <t>3.6443</t>
  </si>
  <si>
    <t>1995-06-22</t>
  </si>
  <si>
    <t>1995-06-21</t>
  </si>
  <si>
    <t>1995-06-20</t>
  </si>
  <si>
    <t>1995-06-19</t>
  </si>
  <si>
    <t>1995-06-15</t>
  </si>
  <si>
    <t>1995-06-14</t>
  </si>
  <si>
    <t>1995-06-13</t>
  </si>
  <si>
    <t>1995-06-12</t>
  </si>
  <si>
    <t>1995-06-09</t>
  </si>
  <si>
    <t>3.6799</t>
  </si>
  <si>
    <t>1995-06-08</t>
  </si>
  <si>
    <t>1995-06-07</t>
  </si>
  <si>
    <t>1995-06-06</t>
  </si>
  <si>
    <t>3.6771</t>
  </si>
  <si>
    <t>1995-06-05</t>
  </si>
  <si>
    <t>3.6778</t>
  </si>
  <si>
    <t>1995-06-02</t>
  </si>
  <si>
    <t>3.6832</t>
  </si>
  <si>
    <t>1995-06-01</t>
  </si>
  <si>
    <t>3.6894</t>
  </si>
  <si>
    <t>1995-05-31</t>
  </si>
  <si>
    <t>1995-05-30</t>
  </si>
  <si>
    <t>1995-05-29</t>
  </si>
  <si>
    <t>1995-05-26</t>
  </si>
  <si>
    <t>1995-05-25</t>
  </si>
  <si>
    <t>1995-05-24</t>
  </si>
  <si>
    <t>3.6989</t>
  </si>
  <si>
    <t>1995-05-23</t>
  </si>
  <si>
    <t>3.6880</t>
  </si>
  <si>
    <t>1995-05-22</t>
  </si>
  <si>
    <t>3.6948</t>
  </si>
  <si>
    <t>1995-05-19</t>
  </si>
  <si>
    <t>3.6853</t>
  </si>
  <si>
    <t>1995-05-18</t>
  </si>
  <si>
    <t>3.6785</t>
  </si>
  <si>
    <t>1995-05-17</t>
  </si>
  <si>
    <t>1995-05-16</t>
  </si>
  <si>
    <t>3.6496</t>
  </si>
  <si>
    <t>1995-05-15</t>
  </si>
  <si>
    <t>1995-05-12</t>
  </si>
  <si>
    <t>1995-05-11</t>
  </si>
  <si>
    <t>1995-05-10</t>
  </si>
  <si>
    <t>1995-05-09</t>
  </si>
  <si>
    <t>1995-05-08</t>
  </si>
  <si>
    <t>1995-05-05</t>
  </si>
  <si>
    <t>1995-05-04</t>
  </si>
  <si>
    <t>1995-05-03</t>
  </si>
  <si>
    <t>1995-05-02</t>
  </si>
  <si>
    <t>1995-04-28</t>
  </si>
  <si>
    <t>3.6193</t>
  </si>
  <si>
    <t>1995-04-26</t>
  </si>
  <si>
    <t>3.6219</t>
  </si>
  <si>
    <t>1995-04-25</t>
  </si>
  <si>
    <t>3.6140</t>
  </si>
  <si>
    <t>1995-04-24</t>
  </si>
  <si>
    <t>3.6043</t>
  </si>
  <si>
    <t>1995-04-21</t>
  </si>
  <si>
    <t>3.6160</t>
  </si>
  <si>
    <t>1995-04-20</t>
  </si>
  <si>
    <t>3.6023</t>
  </si>
  <si>
    <t>1995-04-19</t>
  </si>
  <si>
    <t>3.5823</t>
  </si>
  <si>
    <t>1995-04-18</t>
  </si>
  <si>
    <t>3.5932</t>
  </si>
  <si>
    <t>1995-04-13</t>
  </si>
  <si>
    <t>1995-04-12</t>
  </si>
  <si>
    <t>1995-04-11</t>
  </si>
  <si>
    <t>3.6004</t>
  </si>
  <si>
    <t>1995-04-10</t>
  </si>
  <si>
    <t>3.5965</t>
  </si>
  <si>
    <t>1995-04-07</t>
  </si>
  <si>
    <t>3.5939</t>
  </si>
  <si>
    <t>1995-04-06</t>
  </si>
  <si>
    <t>3.5887</t>
  </si>
  <si>
    <t>1995-04-05</t>
  </si>
  <si>
    <t>1995-04-04</t>
  </si>
  <si>
    <t>3.5874</t>
  </si>
  <si>
    <t>1995-04-03</t>
  </si>
  <si>
    <t>3.5849</t>
  </si>
  <si>
    <t>1995-03-31</t>
  </si>
  <si>
    <t>1995-03-30</t>
  </si>
  <si>
    <t>1995-03-29</t>
  </si>
  <si>
    <t>3.5894</t>
  </si>
  <si>
    <t>1995-03-28</t>
  </si>
  <si>
    <t>1995-03-27</t>
  </si>
  <si>
    <t>3.6030</t>
  </si>
  <si>
    <t>1995-03-24</t>
  </si>
  <si>
    <t>3.6121</t>
  </si>
  <si>
    <t>1995-03-23</t>
  </si>
  <si>
    <t>3.5991</t>
  </si>
  <si>
    <t>1995-03-22</t>
  </si>
  <si>
    <t>1995-03-20</t>
  </si>
  <si>
    <t>1995-03-17</t>
  </si>
  <si>
    <t>3.5829</t>
  </si>
  <si>
    <t>1995-03-16</t>
  </si>
  <si>
    <t>3.5721</t>
  </si>
  <si>
    <t>1995-03-15</t>
  </si>
  <si>
    <t>1995-03-14</t>
  </si>
  <si>
    <t>1995-03-13</t>
  </si>
  <si>
    <t>3.6311</t>
  </si>
  <si>
    <t>1995-03-10</t>
  </si>
  <si>
    <t>1995-03-09</t>
  </si>
  <si>
    <t>1995-03-08</t>
  </si>
  <si>
    <t>3.5708</t>
  </si>
  <si>
    <t>1995-03-07</t>
  </si>
  <si>
    <t>3.5644</t>
  </si>
  <si>
    <t>1995-03-06</t>
  </si>
  <si>
    <t>3.5379</t>
  </si>
  <si>
    <t>1995-03-03</t>
  </si>
  <si>
    <t>3.5900</t>
  </si>
  <si>
    <t>1995-03-02</t>
  </si>
  <si>
    <t>1995-03-01</t>
  </si>
  <si>
    <t>1995-02-28</t>
  </si>
  <si>
    <t>1995-02-27</t>
  </si>
  <si>
    <t>3.6088</t>
  </si>
  <si>
    <t>1995-02-24</t>
  </si>
  <si>
    <t>1995-02-23</t>
  </si>
  <si>
    <t>1995-02-22</t>
  </si>
  <si>
    <t>3.5772</t>
  </si>
  <si>
    <t>1995-02-21</t>
  </si>
  <si>
    <t>3.5455</t>
  </si>
  <si>
    <t>1995-02-20</t>
  </si>
  <si>
    <t>3.5354</t>
  </si>
  <si>
    <t>1995-02-17</t>
  </si>
  <si>
    <t>1995-02-16</t>
  </si>
  <si>
    <t>3.5467</t>
  </si>
  <si>
    <t>1995-02-15</t>
  </si>
  <si>
    <t>3.5417</t>
  </si>
  <si>
    <t>1995-02-14</t>
  </si>
  <si>
    <t>3.5442</t>
  </si>
  <si>
    <t>1995-02-13</t>
  </si>
  <si>
    <t>1995-02-10</t>
  </si>
  <si>
    <t>3.5492</t>
  </si>
  <si>
    <t>1995-02-09</t>
  </si>
  <si>
    <t>3.5518</t>
  </si>
  <si>
    <t>1995-02-08</t>
  </si>
  <si>
    <t>1995-02-07</t>
  </si>
  <si>
    <t>3.5474</t>
  </si>
  <si>
    <t>1995-02-06</t>
  </si>
  <si>
    <t>3.5499</t>
  </si>
  <si>
    <t>1995-02-03</t>
  </si>
  <si>
    <t>1995-02-02</t>
  </si>
  <si>
    <t>3.5430</t>
  </si>
  <si>
    <t>1995-02-01</t>
  </si>
  <si>
    <t>3.5404</t>
  </si>
  <si>
    <t>1995-01-31</t>
  </si>
  <si>
    <t>3.5255</t>
  </si>
  <si>
    <t>1995-01-30</t>
  </si>
  <si>
    <t>1995-01-27</t>
  </si>
  <si>
    <t>1995-01-26</t>
  </si>
  <si>
    <t>3.5367</t>
  </si>
  <si>
    <t>1995-01-25</t>
  </si>
  <si>
    <t>3.5323</t>
  </si>
  <si>
    <t>1995-01-24</t>
  </si>
  <si>
    <t>1995-01-23</t>
  </si>
  <si>
    <t>1995-01-20</t>
  </si>
  <si>
    <t>3.5280</t>
  </si>
  <si>
    <t>1995-01-19</t>
  </si>
  <si>
    <t>1995-01-18</t>
  </si>
  <si>
    <t>1995-01-17</t>
  </si>
  <si>
    <t>1995-01-16</t>
  </si>
  <si>
    <t>1995-01-13</t>
  </si>
  <si>
    <t>3.5236</t>
  </si>
  <si>
    <t>1995-01-12</t>
  </si>
  <si>
    <t>1995-01-11</t>
  </si>
  <si>
    <t>3.5273</t>
  </si>
  <si>
    <t>1995-01-10</t>
  </si>
  <si>
    <t>1995-01-09</t>
  </si>
  <si>
    <t>3.5632</t>
  </si>
  <si>
    <t>1995-01-06</t>
  </si>
  <si>
    <t>3.5543</t>
  </si>
  <si>
    <t>1995-01-05</t>
  </si>
  <si>
    <t>3.5537</t>
  </si>
  <si>
    <t>1995-01-04</t>
  </si>
  <si>
    <t>3.5530</t>
  </si>
  <si>
    <t>1995-01-03</t>
  </si>
  <si>
    <t>3.5486</t>
  </si>
  <si>
    <t>1994-12-30</t>
  </si>
  <si>
    <t>1994-12-29</t>
  </si>
  <si>
    <t>3.5505</t>
  </si>
  <si>
    <t>1994-12-28</t>
  </si>
  <si>
    <t>3.5613</t>
  </si>
  <si>
    <t>1994-12-27</t>
  </si>
  <si>
    <t>3.5670</t>
  </si>
  <si>
    <t>1994-12-23</t>
  </si>
  <si>
    <t>1994-12-22</t>
  </si>
  <si>
    <t>3.5594</t>
  </si>
  <si>
    <t>1994-12-21</t>
  </si>
  <si>
    <t>3.5524</t>
  </si>
  <si>
    <t>1994-12-20</t>
  </si>
  <si>
    <t>1994-12-19</t>
  </si>
  <si>
    <t>3.5657</t>
  </si>
  <si>
    <t>1994-12-15</t>
  </si>
  <si>
    <t>1994-12-14</t>
  </si>
  <si>
    <t>1994-12-13</t>
  </si>
  <si>
    <t>1994-12-12</t>
  </si>
  <si>
    <t>3.5638</t>
  </si>
  <si>
    <t>1994-12-09</t>
  </si>
  <si>
    <t>1994-12-08</t>
  </si>
  <si>
    <t>3.5556</t>
  </si>
  <si>
    <t>1994-12-07</t>
  </si>
  <si>
    <t>1994-12-06</t>
  </si>
  <si>
    <t>1994-12-05</t>
  </si>
  <si>
    <t>1994-12-02</t>
  </si>
  <si>
    <t>1994-12-01</t>
  </si>
  <si>
    <t>1994-11-30</t>
  </si>
  <si>
    <t>1994-11-29</t>
  </si>
  <si>
    <t>1994-11-28</t>
  </si>
  <si>
    <t>1994-11-25</t>
  </si>
  <si>
    <t>1994-11-24</t>
  </si>
  <si>
    <t>1994-11-23</t>
  </si>
  <si>
    <t>3.5392</t>
  </si>
  <si>
    <t>1994-11-22</t>
  </si>
  <si>
    <t>1994-11-21</t>
  </si>
  <si>
    <t>1994-11-18</t>
  </si>
  <si>
    <t>1994-11-17</t>
  </si>
  <si>
    <t>1994-11-16</t>
  </si>
  <si>
    <t>1994-11-15</t>
  </si>
  <si>
    <t>3.5193</t>
  </si>
  <si>
    <t>1994-11-14</t>
  </si>
  <si>
    <t>3.5317</t>
  </si>
  <si>
    <t>1994-11-11</t>
  </si>
  <si>
    <t>1994-11-10</t>
  </si>
  <si>
    <t>3.5186</t>
  </si>
  <si>
    <t>1994-11-09</t>
  </si>
  <si>
    <t>3.5008</t>
  </si>
  <si>
    <t>1994-11-08</t>
  </si>
  <si>
    <t>3.5020</t>
  </si>
  <si>
    <t>1994-11-07</t>
  </si>
  <si>
    <t>3.5106</t>
  </si>
  <si>
    <t>1994-11-04</t>
  </si>
  <si>
    <t>3.5125</t>
  </si>
  <si>
    <t>1994-11-03</t>
  </si>
  <si>
    <t>3.5057</t>
  </si>
  <si>
    <t>1994-11-02</t>
  </si>
  <si>
    <t>3.4941</t>
  </si>
  <si>
    <t>1994-11-01</t>
  </si>
  <si>
    <t>3.4953</t>
  </si>
  <si>
    <t>1994-10-31</t>
  </si>
  <si>
    <t>3.5051</t>
  </si>
  <si>
    <t>1994-10-28</t>
  </si>
  <si>
    <t>1994-10-27</t>
  </si>
  <si>
    <t>3.4983</t>
  </si>
  <si>
    <t>1994-10-26</t>
  </si>
  <si>
    <t>3.4977</t>
  </si>
  <si>
    <t>1994-10-25</t>
  </si>
  <si>
    <t>3.4947</t>
  </si>
  <si>
    <t>1994-10-24</t>
  </si>
  <si>
    <t>3.5063</t>
  </si>
  <si>
    <t>1994-10-21</t>
  </si>
  <si>
    <t>3.5180</t>
  </si>
  <si>
    <t>1994-10-20</t>
  </si>
  <si>
    <t>3.5217</t>
  </si>
  <si>
    <t>1994-10-19</t>
  </si>
  <si>
    <t>3.5131</t>
  </si>
  <si>
    <t>1994-10-18</t>
  </si>
  <si>
    <t>1994-10-17</t>
  </si>
  <si>
    <t>1994-10-14</t>
  </si>
  <si>
    <t>1994-10-13</t>
  </si>
  <si>
    <t>3.5746</t>
  </si>
  <si>
    <t>1994-10-12</t>
  </si>
  <si>
    <t>3.5714</t>
  </si>
  <si>
    <t>1994-10-11</t>
  </si>
  <si>
    <t>3.5676</t>
  </si>
  <si>
    <t>1994-10-07</t>
  </si>
  <si>
    <t>1994-10-06</t>
  </si>
  <si>
    <t>1994-10-05</t>
  </si>
  <si>
    <t>1994-10-04</t>
  </si>
  <si>
    <t>3.5682</t>
  </si>
  <si>
    <t>1994-10-03</t>
  </si>
  <si>
    <t>3.5785</t>
  </si>
  <si>
    <t>1994-09-30</t>
  </si>
  <si>
    <t>3.5733</t>
  </si>
  <si>
    <t>1994-09-29</t>
  </si>
  <si>
    <t>1994-09-28</t>
  </si>
  <si>
    <t>1994-09-27</t>
  </si>
  <si>
    <t>1994-09-26</t>
  </si>
  <si>
    <t>1994-09-23</t>
  </si>
  <si>
    <t>3.5342</t>
  </si>
  <si>
    <t>1994-09-22</t>
  </si>
  <si>
    <t>1994-09-21</t>
  </si>
  <si>
    <t>1994-09-20</t>
  </si>
  <si>
    <t>1994-09-19</t>
  </si>
  <si>
    <t>1994-09-16</t>
  </si>
  <si>
    <t>3.5568</t>
  </si>
  <si>
    <t>1994-09-15</t>
  </si>
  <si>
    <t>1994-09-14</t>
  </si>
  <si>
    <t>1994-09-13</t>
  </si>
  <si>
    <t>1994-09-12</t>
  </si>
  <si>
    <t>1994-09-09</t>
  </si>
  <si>
    <t>3.5581</t>
  </si>
  <si>
    <t>1994-09-08</t>
  </si>
  <si>
    <t>1994-09-07</t>
  </si>
  <si>
    <t>1994-09-06</t>
  </si>
  <si>
    <t>1994-09-05</t>
  </si>
  <si>
    <t>1994-09-02</t>
  </si>
  <si>
    <t>3.5836</t>
  </si>
  <si>
    <t>1994-09-01</t>
  </si>
  <si>
    <t>1994-08-31</t>
  </si>
  <si>
    <t>3.5862</t>
  </si>
  <si>
    <t>1994-08-30</t>
  </si>
  <si>
    <t>1994-08-29</t>
  </si>
  <si>
    <t>1994-08-26</t>
  </si>
  <si>
    <t>1994-08-25</t>
  </si>
  <si>
    <t>3.5797</t>
  </si>
  <si>
    <t>1994-08-24</t>
  </si>
  <si>
    <t>1994-08-23</t>
  </si>
  <si>
    <t>1994-08-22</t>
  </si>
  <si>
    <t>1994-08-19</t>
  </si>
  <si>
    <t>1994-08-18</t>
  </si>
  <si>
    <t>1994-08-17</t>
  </si>
  <si>
    <t>1994-08-16</t>
  </si>
  <si>
    <t>1994-08-15</t>
  </si>
  <si>
    <t>3.5855</t>
  </si>
  <si>
    <t>1994-08-12</t>
  </si>
  <si>
    <t>1994-08-11</t>
  </si>
  <si>
    <t>1994-08-10</t>
  </si>
  <si>
    <t>1994-08-09</t>
  </si>
  <si>
    <t>1994-08-08</t>
  </si>
  <si>
    <t>1994-08-05</t>
  </si>
  <si>
    <t>3.6284</t>
  </si>
  <si>
    <t>1994-08-04</t>
  </si>
  <si>
    <t>3.6153</t>
  </si>
  <si>
    <t>1994-08-03</t>
  </si>
  <si>
    <t>1994-08-02</t>
  </si>
  <si>
    <t>1994-08-01</t>
  </si>
  <si>
    <t>1994-07-29</t>
  </si>
  <si>
    <t>1994-07-28</t>
  </si>
  <si>
    <t>3.6670</t>
  </si>
  <si>
    <t>1994-07-27</t>
  </si>
  <si>
    <t>1994-07-26</t>
  </si>
  <si>
    <t>1994-07-25</t>
  </si>
  <si>
    <t>3.6928</t>
  </si>
  <si>
    <t>1994-07-22</t>
  </si>
  <si>
    <t>3.6907</t>
  </si>
  <si>
    <t>1994-07-21</t>
  </si>
  <si>
    <t>1994-07-20</t>
  </si>
  <si>
    <t>1994-07-19</t>
  </si>
  <si>
    <t>1994-07-18</t>
  </si>
  <si>
    <t>1994-07-15</t>
  </si>
  <si>
    <t>1994-07-14</t>
  </si>
  <si>
    <t>1994-07-13</t>
  </si>
  <si>
    <t>1994-07-12</t>
  </si>
  <si>
    <t>1994-07-11</t>
  </si>
  <si>
    <t>1994-07-08</t>
  </si>
  <si>
    <t>1994-07-07</t>
  </si>
  <si>
    <t>1994-07-06</t>
  </si>
  <si>
    <t>3.6684</t>
  </si>
  <si>
    <t>1994-07-05</t>
  </si>
  <si>
    <t>1994-07-04</t>
  </si>
  <si>
    <t>1994-07-01</t>
  </si>
  <si>
    <t>1994-06-30</t>
  </si>
  <si>
    <t>1994-06-29</t>
  </si>
  <si>
    <t>1994-06-28</t>
  </si>
  <si>
    <t>3.6271</t>
  </si>
  <si>
    <t>1994-06-27</t>
  </si>
  <si>
    <t>1994-06-24</t>
  </si>
  <si>
    <t>3.5978</t>
  </si>
  <si>
    <t>1994-06-23</t>
  </si>
  <si>
    <t>3.6147</t>
  </si>
  <si>
    <t>1994-06-22</t>
  </si>
  <si>
    <t>1994-06-21</t>
  </si>
  <si>
    <t>1994-06-20</t>
  </si>
  <si>
    <t>1994-06-17</t>
  </si>
  <si>
    <t>3.6510</t>
  </si>
  <si>
    <t>1994-06-16</t>
  </si>
  <si>
    <t>1994-06-15</t>
  </si>
  <si>
    <t>3.6199</t>
  </si>
  <si>
    <t>1994-06-14</t>
  </si>
  <si>
    <t>1994-06-13</t>
  </si>
  <si>
    <t>1994-06-10</t>
  </si>
  <si>
    <t>1994-06-09</t>
  </si>
  <si>
    <t>3.6186</t>
  </si>
  <si>
    <t>1994-06-08</t>
  </si>
  <si>
    <t>1994-06-07</t>
  </si>
  <si>
    <t>1994-06-06</t>
  </si>
  <si>
    <t>1994-06-03</t>
  </si>
  <si>
    <t>1994-06-02</t>
  </si>
  <si>
    <t>1994-06-01</t>
  </si>
  <si>
    <t>1994-05-30</t>
  </si>
  <si>
    <t>1994-05-27</t>
  </si>
  <si>
    <t>1994-05-26</t>
  </si>
  <si>
    <t>1994-05-25</t>
  </si>
  <si>
    <t>1994-05-24</t>
  </si>
  <si>
    <t>1994-05-23</t>
  </si>
  <si>
    <t>3.6731</t>
  </si>
  <si>
    <t>1994-05-20</t>
  </si>
  <si>
    <t>1994-05-19</t>
  </si>
  <si>
    <t>1994-05-18</t>
  </si>
  <si>
    <t>1994-05-17</t>
  </si>
  <si>
    <t>1994-05-16</t>
  </si>
  <si>
    <t>1994-05-13</t>
  </si>
  <si>
    <t>1994-05-11</t>
  </si>
  <si>
    <t>1994-05-09</t>
  </si>
  <si>
    <t>1994-05-06</t>
  </si>
  <si>
    <t>1994-05-05</t>
  </si>
  <si>
    <t>1994-05-04</t>
  </si>
  <si>
    <t>1994-05-03</t>
  </si>
  <si>
    <t>1994-05-02</t>
  </si>
  <si>
    <t>1994-04-29</t>
  </si>
  <si>
    <t>3.5298</t>
  </si>
  <si>
    <t>1994-04-26</t>
  </si>
  <si>
    <t>1994-04-25</t>
  </si>
  <si>
    <t>1994-04-22</t>
  </si>
  <si>
    <t>1994-04-21</t>
  </si>
  <si>
    <t>1994-04-20</t>
  </si>
  <si>
    <t>3.5411</t>
  </si>
  <si>
    <t>1994-04-19</t>
  </si>
  <si>
    <t>1994-04-18</t>
  </si>
  <si>
    <t>1994-04-15</t>
  </si>
  <si>
    <t>1994-04-14</t>
  </si>
  <si>
    <t>1994-04-13</t>
  </si>
  <si>
    <t>1994-04-12</t>
  </si>
  <si>
    <t>1994-04-11</t>
  </si>
  <si>
    <t>1994-04-08</t>
  </si>
  <si>
    <t>3.5461</t>
  </si>
  <si>
    <t>1994-04-07</t>
  </si>
  <si>
    <t>1994-04-05</t>
  </si>
  <si>
    <t>1994-03-31</t>
  </si>
  <si>
    <t>3.4716</t>
  </si>
  <si>
    <t>1994-03-30</t>
  </si>
  <si>
    <t>3.4590</t>
  </si>
  <si>
    <t>1994-03-29</t>
  </si>
  <si>
    <t>3.4483</t>
  </si>
  <si>
    <t>1994-03-28</t>
  </si>
  <si>
    <t>3.4358</t>
  </si>
  <si>
    <t>1994-03-25</t>
  </si>
  <si>
    <t>3.4323</t>
  </si>
  <si>
    <t>1994-03-24</t>
  </si>
  <si>
    <t>3.4412</t>
  </si>
  <si>
    <t>1994-03-23</t>
  </si>
  <si>
    <t>3.4465</t>
  </si>
  <si>
    <t>1994-03-22</t>
  </si>
  <si>
    <t>3.4417</t>
  </si>
  <si>
    <t>1994-03-21</t>
  </si>
  <si>
    <t>3.4513</t>
  </si>
  <si>
    <t>1994-03-18</t>
  </si>
  <si>
    <t>1994-03-17</t>
  </si>
  <si>
    <t>1994-03-16</t>
  </si>
  <si>
    <t>3.4524</t>
  </si>
  <si>
    <t>1994-03-15</t>
  </si>
  <si>
    <t>3.4489</t>
  </si>
  <si>
    <t>1994-03-14</t>
  </si>
  <si>
    <t>3.4435</t>
  </si>
  <si>
    <t>1994-03-11</t>
  </si>
  <si>
    <t>3.4211</t>
  </si>
  <si>
    <t>1994-03-10</t>
  </si>
  <si>
    <t>3.4447</t>
  </si>
  <si>
    <t>1994-03-09</t>
  </si>
  <si>
    <t>3.4752</t>
  </si>
  <si>
    <t>1994-03-08</t>
  </si>
  <si>
    <t>3.4886</t>
  </si>
  <si>
    <t>1994-03-07</t>
  </si>
  <si>
    <t>3.4874</t>
  </si>
  <si>
    <t>1994-03-04</t>
  </si>
  <si>
    <t>3.4704</t>
  </si>
  <si>
    <t>1994-03-03</t>
  </si>
  <si>
    <t>3.4650</t>
  </si>
  <si>
    <t>1994-03-02</t>
  </si>
  <si>
    <t>3.4656</t>
  </si>
  <si>
    <t>1994-03-01</t>
  </si>
  <si>
    <t>3.4584</t>
  </si>
  <si>
    <t>1994-02-28</t>
  </si>
  <si>
    <t>1994-02-25</t>
  </si>
  <si>
    <t>3.4783</t>
  </si>
  <si>
    <t>1994-02-24</t>
  </si>
  <si>
    <t>1994-02-23</t>
  </si>
  <si>
    <t>3.4861</t>
  </si>
  <si>
    <t>1994-02-22</t>
  </si>
  <si>
    <t>3.4686</t>
  </si>
  <si>
    <t>1994-02-21</t>
  </si>
  <si>
    <t>1994-02-18</t>
  </si>
  <si>
    <t>3.4518</t>
  </si>
  <si>
    <t>1994-02-17</t>
  </si>
  <si>
    <t>3.4501</t>
  </si>
  <si>
    <t>1994-02-16</t>
  </si>
  <si>
    <t>3.4477</t>
  </si>
  <si>
    <t>1994-02-15</t>
  </si>
  <si>
    <t>3.4341</t>
  </si>
  <si>
    <t>1994-02-14</t>
  </si>
  <si>
    <t>1994-02-11</t>
  </si>
  <si>
    <t>1994-02-10</t>
  </si>
  <si>
    <t>3.4453</t>
  </si>
  <si>
    <t>1994-02-09</t>
  </si>
  <si>
    <t>3.4370</t>
  </si>
  <si>
    <t>1994-02-08</t>
  </si>
  <si>
    <t>1994-02-07</t>
  </si>
  <si>
    <t>1994-02-04</t>
  </si>
  <si>
    <t>3.4223</t>
  </si>
  <si>
    <t>1994-02-03</t>
  </si>
  <si>
    <t>3.4159</t>
  </si>
  <si>
    <t>1994-02-02</t>
  </si>
  <si>
    <t>3.4124</t>
  </si>
  <si>
    <t>1994-02-01</t>
  </si>
  <si>
    <t>1994-01-31</t>
  </si>
  <si>
    <t>3.4229</t>
  </si>
  <si>
    <t>1994-01-28</t>
  </si>
  <si>
    <t>3.4153</t>
  </si>
  <si>
    <t>1994-01-27</t>
  </si>
  <si>
    <t>3.4200</t>
  </si>
  <si>
    <t>1994-01-26</t>
  </si>
  <si>
    <t>3.4188</t>
  </si>
  <si>
    <t>1994-01-25</t>
  </si>
  <si>
    <t>1994-01-24</t>
  </si>
  <si>
    <t>3.4206</t>
  </si>
  <si>
    <t>1994-01-21</t>
  </si>
  <si>
    <t>3.4089</t>
  </si>
  <si>
    <t>1994-01-20</t>
  </si>
  <si>
    <t>3.4141</t>
  </si>
  <si>
    <t>1994-01-19</t>
  </si>
  <si>
    <t>3.4101</t>
  </si>
  <si>
    <t>1994-01-18</t>
  </si>
  <si>
    <t>3.4147</t>
  </si>
  <si>
    <t>1994-01-17</t>
  </si>
  <si>
    <t>3.4136</t>
  </si>
  <si>
    <t>1994-01-14</t>
  </si>
  <si>
    <t>1994-01-13</t>
  </si>
  <si>
    <t>3.3985</t>
  </si>
  <si>
    <t>1994-01-12</t>
  </si>
  <si>
    <t>3.4014</t>
  </si>
  <si>
    <t>1994-01-11</t>
  </si>
  <si>
    <t>3.4008</t>
  </si>
  <si>
    <t>1994-01-10</t>
  </si>
  <si>
    <t>3.3967</t>
  </si>
  <si>
    <t>1994-01-07</t>
  </si>
  <si>
    <t>1994-01-06</t>
  </si>
  <si>
    <t>1994-01-05</t>
  </si>
  <si>
    <t>3.4031</t>
  </si>
  <si>
    <t>1994-01-04</t>
  </si>
  <si>
    <t>3.4043</t>
  </si>
  <si>
    <t>1994-01-03</t>
  </si>
  <si>
    <t>1993-12-31</t>
  </si>
  <si>
    <t>1993-12-30</t>
  </si>
  <si>
    <t>3.3996</t>
  </si>
  <si>
    <t>1993-12-29</t>
  </si>
  <si>
    <t>3.3772</t>
  </si>
  <si>
    <t>1993-12-28</t>
  </si>
  <si>
    <t>3.3755</t>
  </si>
  <si>
    <t>1993-12-27</t>
  </si>
  <si>
    <t>3.3733</t>
  </si>
  <si>
    <t>1993-12-24</t>
  </si>
  <si>
    <t>3.3767</t>
  </si>
  <si>
    <t>1993-12-23</t>
  </si>
  <si>
    <t>3.3789</t>
  </si>
  <si>
    <t>1993-12-22</t>
  </si>
  <si>
    <t>3.3835</t>
  </si>
  <si>
    <t>1993-12-21</t>
  </si>
  <si>
    <t>3.3852</t>
  </si>
  <si>
    <t>1993-12-20</t>
  </si>
  <si>
    <t>1993-12-17</t>
  </si>
  <si>
    <t>3.3824</t>
  </si>
  <si>
    <t>1993-12-15</t>
  </si>
  <si>
    <t>3.3778</t>
  </si>
  <si>
    <t>1993-12-14</t>
  </si>
  <si>
    <t>3.3687</t>
  </si>
  <si>
    <t>1993-12-13</t>
  </si>
  <si>
    <t>3.3580</t>
  </si>
  <si>
    <t>1993-12-10</t>
  </si>
  <si>
    <t>3.3630</t>
  </si>
  <si>
    <t>1993-12-09</t>
  </si>
  <si>
    <t>3.3664</t>
  </si>
  <si>
    <t>1993-12-08</t>
  </si>
  <si>
    <t>3.3659</t>
  </si>
  <si>
    <t>1993-12-07</t>
  </si>
  <si>
    <t>3.3574</t>
  </si>
  <si>
    <t>1993-12-06</t>
  </si>
  <si>
    <t>3.3653</t>
  </si>
  <si>
    <t>1993-12-03</t>
  </si>
  <si>
    <t>3.3710</t>
  </si>
  <si>
    <t>1993-12-02</t>
  </si>
  <si>
    <t>1993-12-01</t>
  </si>
  <si>
    <t>3.3698</t>
  </si>
  <si>
    <t>1993-11-30</t>
  </si>
  <si>
    <t>1993-11-29</t>
  </si>
  <si>
    <t>1993-11-26</t>
  </si>
  <si>
    <t>1993-11-25</t>
  </si>
  <si>
    <t>1993-11-24</t>
  </si>
  <si>
    <t>3.3563</t>
  </si>
  <si>
    <t>1993-11-23</t>
  </si>
  <si>
    <t>1993-11-22</t>
  </si>
  <si>
    <t>3.3676</t>
  </si>
  <si>
    <t>1993-11-19</t>
  </si>
  <si>
    <t>3.3693</t>
  </si>
  <si>
    <t>1993-11-18</t>
  </si>
  <si>
    <t>1993-11-17</t>
  </si>
  <si>
    <t>1993-11-16</t>
  </si>
  <si>
    <t>3.3585</t>
  </si>
  <si>
    <t>1993-11-15</t>
  </si>
  <si>
    <t>1993-11-12</t>
  </si>
  <si>
    <t>3.3636</t>
  </si>
  <si>
    <t>1993-11-11</t>
  </si>
  <si>
    <t>1993-11-10</t>
  </si>
  <si>
    <t>1993-11-09</t>
  </si>
  <si>
    <t>1993-11-08</t>
  </si>
  <si>
    <t>1993-11-05</t>
  </si>
  <si>
    <t>1993-11-04</t>
  </si>
  <si>
    <t>3.3568</t>
  </si>
  <si>
    <t>1993-11-03</t>
  </si>
  <si>
    <t>1993-11-02</t>
  </si>
  <si>
    <t>3.3727</t>
  </si>
  <si>
    <t>1993-11-01</t>
  </si>
  <si>
    <t>1993-10-29</t>
  </si>
  <si>
    <t>3.3591</t>
  </si>
  <si>
    <t>1993-10-28</t>
  </si>
  <si>
    <t>1993-10-27</t>
  </si>
  <si>
    <t>1993-10-26</t>
  </si>
  <si>
    <t>1993-10-25</t>
  </si>
  <si>
    <t>1993-10-22</t>
  </si>
  <si>
    <t>1993-10-21</t>
  </si>
  <si>
    <t>3.3490</t>
  </si>
  <si>
    <t>1993-10-20</t>
  </si>
  <si>
    <t>3.3478</t>
  </si>
  <si>
    <t>1993-10-19</t>
  </si>
  <si>
    <t>1993-10-18</t>
  </si>
  <si>
    <t>3.3356</t>
  </si>
  <si>
    <t>1993-10-15</t>
  </si>
  <si>
    <t>3.3462</t>
  </si>
  <si>
    <t>1993-10-14</t>
  </si>
  <si>
    <t>3.3761</t>
  </si>
  <si>
    <t>1993-10-13</t>
  </si>
  <si>
    <t>3.4095</t>
  </si>
  <si>
    <t>1993-10-12</t>
  </si>
  <si>
    <t>1993-10-11</t>
  </si>
  <si>
    <t>3.4400</t>
  </si>
  <si>
    <t>1993-10-08</t>
  </si>
  <si>
    <t>3.4572</t>
  </si>
  <si>
    <t>1993-10-07</t>
  </si>
  <si>
    <t>1993-10-06</t>
  </si>
  <si>
    <t>1993-10-05</t>
  </si>
  <si>
    <t>1993-10-04</t>
  </si>
  <si>
    <t>3.4536</t>
  </si>
  <si>
    <t>1993-10-01</t>
  </si>
  <si>
    <t>3.4560</t>
  </si>
  <si>
    <t>1993-09-30</t>
  </si>
  <si>
    <t>1993-09-29</t>
  </si>
  <si>
    <t>1993-09-28</t>
  </si>
  <si>
    <t>3.4194</t>
  </si>
  <si>
    <t>1993-09-27</t>
  </si>
  <si>
    <t>3.4288</t>
  </si>
  <si>
    <t>1993-09-24</t>
  </si>
  <si>
    <t>1993-09-23</t>
  </si>
  <si>
    <t>3.4217</t>
  </si>
  <si>
    <t>1993-09-22</t>
  </si>
  <si>
    <t>3.4294</t>
  </si>
  <si>
    <t>1993-09-21</t>
  </si>
  <si>
    <t>1993-09-20</t>
  </si>
  <si>
    <t>1993-09-17</t>
  </si>
  <si>
    <t>1993-09-16</t>
  </si>
  <si>
    <t>1993-09-15</t>
  </si>
  <si>
    <t>3.4077</t>
  </si>
  <si>
    <t>1993-09-14</t>
  </si>
  <si>
    <t>3.4182</t>
  </si>
  <si>
    <t>1993-09-13</t>
  </si>
  <si>
    <t>1993-09-10</t>
  </si>
  <si>
    <t>1993-09-09</t>
  </si>
  <si>
    <t>3.4106</t>
  </si>
  <si>
    <t>1993-09-08</t>
  </si>
  <si>
    <t>1993-09-07</t>
  </si>
  <si>
    <t>3.3870</t>
  </si>
  <si>
    <t>1993-09-06</t>
  </si>
  <si>
    <t>3.3721</t>
  </si>
  <si>
    <t>1993-09-03</t>
  </si>
  <si>
    <t>3.3801</t>
  </si>
  <si>
    <t>1993-09-02</t>
  </si>
  <si>
    <t>1993-09-01</t>
  </si>
  <si>
    <t>3.3795</t>
  </si>
  <si>
    <t>1993-08-31</t>
  </si>
  <si>
    <t>3.3750</t>
  </si>
  <si>
    <t>1993-08-30</t>
  </si>
  <si>
    <t>3.3670</t>
  </si>
  <si>
    <t>1993-08-27</t>
  </si>
  <si>
    <t>3.3608</t>
  </si>
  <si>
    <t>1993-08-26</t>
  </si>
  <si>
    <t>1993-08-25</t>
  </si>
  <si>
    <t>1993-08-24</t>
  </si>
  <si>
    <t>3.3715</t>
  </si>
  <si>
    <t>1993-08-23</t>
  </si>
  <si>
    <t>3.3642</t>
  </si>
  <si>
    <t>1993-08-20</t>
  </si>
  <si>
    <t>1993-08-19</t>
  </si>
  <si>
    <t>3.3484</t>
  </si>
  <si>
    <t>1993-08-18</t>
  </si>
  <si>
    <t>1993-08-17</t>
  </si>
  <si>
    <t>3.3473</t>
  </si>
  <si>
    <t>1993-08-16</t>
  </si>
  <si>
    <t>1993-08-13</t>
  </si>
  <si>
    <t>3.3744</t>
  </si>
  <si>
    <t>1993-08-12</t>
  </si>
  <si>
    <t>1993-08-11</t>
  </si>
  <si>
    <t>1993-08-10</t>
  </si>
  <si>
    <t>1993-08-09</t>
  </si>
  <si>
    <t>1993-08-06</t>
  </si>
  <si>
    <t>1993-08-05</t>
  </si>
  <si>
    <t>1993-08-04</t>
  </si>
  <si>
    <t>1993-08-03</t>
  </si>
  <si>
    <t>3.3439</t>
  </si>
  <si>
    <t>1993-08-02</t>
  </si>
  <si>
    <t>1993-07-30</t>
  </si>
  <si>
    <t>1993-07-29</t>
  </si>
  <si>
    <t>1993-07-28</t>
  </si>
  <si>
    <t>1993-07-27</t>
  </si>
  <si>
    <t>3.3546</t>
  </si>
  <si>
    <t>1993-07-26</t>
  </si>
  <si>
    <t>1993-07-23</t>
  </si>
  <si>
    <t>1993-07-22</t>
  </si>
  <si>
    <t>1993-07-21</t>
  </si>
  <si>
    <t>3.3328</t>
  </si>
  <si>
    <t>1993-07-20</t>
  </si>
  <si>
    <t>1993-07-19</t>
  </si>
  <si>
    <t>3.3417</t>
  </si>
  <si>
    <t>1993-07-16</t>
  </si>
  <si>
    <t>3.3597</t>
  </si>
  <si>
    <t>1993-07-15</t>
  </si>
  <si>
    <t>3.3501</t>
  </si>
  <si>
    <t>1993-07-14</t>
  </si>
  <si>
    <t>3.3613</t>
  </si>
  <si>
    <t>1993-07-13</t>
  </si>
  <si>
    <t>3.3512</t>
  </si>
  <si>
    <t>1993-07-12</t>
  </si>
  <si>
    <t>1993-07-09</t>
  </si>
  <si>
    <t>3.3389</t>
  </si>
  <si>
    <t>1993-07-08</t>
  </si>
  <si>
    <t>3.3361</t>
  </si>
  <si>
    <t>1993-07-07</t>
  </si>
  <si>
    <t>3.3317</t>
  </si>
  <si>
    <t>1993-07-06</t>
  </si>
  <si>
    <t>1993-07-05</t>
  </si>
  <si>
    <t>3.3395</t>
  </si>
  <si>
    <t>1993-07-02</t>
  </si>
  <si>
    <t>3.3306</t>
  </si>
  <si>
    <t>1993-07-01</t>
  </si>
  <si>
    <t>1993-06-30</t>
  </si>
  <si>
    <t>3.3250</t>
  </si>
  <si>
    <t>1993-06-29</t>
  </si>
  <si>
    <t>3.3267</t>
  </si>
  <si>
    <t>1993-06-28</t>
  </si>
  <si>
    <t>3.3300</t>
  </si>
  <si>
    <t>1993-06-25</t>
  </si>
  <si>
    <t>3.3025</t>
  </si>
  <si>
    <t>1993-06-24</t>
  </si>
  <si>
    <t>3.3031</t>
  </si>
  <si>
    <t>1993-06-23</t>
  </si>
  <si>
    <t>3.3014</t>
  </si>
  <si>
    <t>1993-06-22</t>
  </si>
  <si>
    <t>3.2868</t>
  </si>
  <si>
    <t>1993-06-21</t>
  </si>
  <si>
    <t>3.2690</t>
  </si>
  <si>
    <t>1993-06-18</t>
  </si>
  <si>
    <t>3.2373</t>
  </si>
  <si>
    <t>1993-06-17</t>
  </si>
  <si>
    <t>3.2232</t>
  </si>
  <si>
    <t>1993-06-16</t>
  </si>
  <si>
    <t>3.2051</t>
  </si>
  <si>
    <t>1993-06-15</t>
  </si>
  <si>
    <t>3.1908</t>
  </si>
  <si>
    <t>1993-06-14</t>
  </si>
  <si>
    <t>3.1873</t>
  </si>
  <si>
    <t>1993-06-11</t>
  </si>
  <si>
    <t>3.1878</t>
  </si>
  <si>
    <t>1993-06-10</t>
  </si>
  <si>
    <t>3.1944</t>
  </si>
  <si>
    <t>1993-06-09</t>
  </si>
  <si>
    <t>1993-06-08</t>
  </si>
  <si>
    <t>3.1862</t>
  </si>
  <si>
    <t>1993-06-07</t>
  </si>
  <si>
    <t>3.1923</t>
  </si>
  <si>
    <t>1993-06-04</t>
  </si>
  <si>
    <t>3.1857</t>
  </si>
  <si>
    <t>1993-06-03</t>
  </si>
  <si>
    <t>1993-06-02</t>
  </si>
  <si>
    <t>3.1726</t>
  </si>
  <si>
    <t>1993-06-01</t>
  </si>
  <si>
    <t>3.1791</t>
  </si>
  <si>
    <t>1993-05-28</t>
  </si>
  <si>
    <t>3.1751</t>
  </si>
  <si>
    <t>1993-05-27</t>
  </si>
  <si>
    <t>1993-05-26</t>
  </si>
  <si>
    <t>1993-05-25</t>
  </si>
  <si>
    <t>3.1913</t>
  </si>
  <si>
    <t>1993-05-24</t>
  </si>
  <si>
    <t>3.1980</t>
  </si>
  <si>
    <t>1993-05-21</t>
  </si>
  <si>
    <t>3.1802</t>
  </si>
  <si>
    <t>1993-05-19</t>
  </si>
  <si>
    <t>3.1822</t>
  </si>
  <si>
    <t>1993-05-18</t>
  </si>
  <si>
    <t>3.1893</t>
  </si>
  <si>
    <t>1993-05-17</t>
  </si>
  <si>
    <t>3.1731</t>
  </si>
  <si>
    <t>1993-05-14</t>
  </si>
  <si>
    <t>1993-05-13</t>
  </si>
  <si>
    <t>3.1786</t>
  </si>
  <si>
    <t>1993-05-12</t>
  </si>
  <si>
    <t>3.1832</t>
  </si>
  <si>
    <t>1993-05-11</t>
  </si>
  <si>
    <t>3.1817</t>
  </si>
  <si>
    <t>1993-05-10</t>
  </si>
  <si>
    <t>3.1651</t>
  </si>
  <si>
    <t>1993-05-07</t>
  </si>
  <si>
    <t>3.1546</t>
  </si>
  <si>
    <t>1993-05-06</t>
  </si>
  <si>
    <t>3.1606</t>
  </si>
  <si>
    <t>1993-05-05</t>
  </si>
  <si>
    <t>3.1541</t>
  </si>
  <si>
    <t>1993-05-04</t>
  </si>
  <si>
    <t>3.1576</t>
  </si>
  <si>
    <t>1993-05-03</t>
  </si>
  <si>
    <t>1993-04-30</t>
  </si>
  <si>
    <t>3.1556</t>
  </si>
  <si>
    <t>1993-04-29</t>
  </si>
  <si>
    <t>3.1521</t>
  </si>
  <si>
    <t>1993-04-28</t>
  </si>
  <si>
    <t>3.1691</t>
  </si>
  <si>
    <t>1993-04-27</t>
  </si>
  <si>
    <t>3.1437</t>
  </si>
  <si>
    <t>1993-04-26</t>
  </si>
  <si>
    <t>3.1422</t>
  </si>
  <si>
    <t>1993-04-23</t>
  </si>
  <si>
    <t>3.1531</t>
  </si>
  <si>
    <t>1993-04-22</t>
  </si>
  <si>
    <t>3.1641</t>
  </si>
  <si>
    <t>1993-04-21</t>
  </si>
  <si>
    <t>3.1671</t>
  </si>
  <si>
    <t>1993-04-20</t>
  </si>
  <si>
    <t>3.1631</t>
  </si>
  <si>
    <t>1993-04-19</t>
  </si>
  <si>
    <t>3.1898</t>
  </si>
  <si>
    <t>1993-04-16</t>
  </si>
  <si>
    <t>1993-04-15</t>
  </si>
  <si>
    <t>3.1776</t>
  </si>
  <si>
    <t>1993-04-14</t>
  </si>
  <si>
    <t>3.1571</t>
  </si>
  <si>
    <t>1993-04-13</t>
  </si>
  <si>
    <t>3.1701</t>
  </si>
  <si>
    <t>1993-04-08</t>
  </si>
  <si>
    <t>1993-04-07</t>
  </si>
  <si>
    <t>1993-04-05</t>
  </si>
  <si>
    <t>1993-04-02</t>
  </si>
  <si>
    <t>3.1676</t>
  </si>
  <si>
    <t>1993-04-01</t>
  </si>
  <si>
    <t>3.1761</t>
  </si>
  <si>
    <t>1993-03-31</t>
  </si>
  <si>
    <t>1993-03-30</t>
  </si>
  <si>
    <t>1993-03-29</t>
  </si>
  <si>
    <t>1993-03-26</t>
  </si>
  <si>
    <t>1993-03-25</t>
  </si>
  <si>
    <t>1993-03-24</t>
  </si>
  <si>
    <t>3.1711</t>
  </si>
  <si>
    <t>1993-03-23</t>
  </si>
  <si>
    <t>1993-03-22</t>
  </si>
  <si>
    <t>3.1756</t>
  </si>
  <si>
    <t>1993-03-19</t>
  </si>
  <si>
    <t>3.1812</t>
  </si>
  <si>
    <t>1993-03-18</t>
  </si>
  <si>
    <t>3.1959</t>
  </si>
  <si>
    <t>1993-03-17</t>
  </si>
  <si>
    <t>1993-03-16</t>
  </si>
  <si>
    <t>1993-03-15</t>
  </si>
  <si>
    <t>3.2000</t>
  </si>
  <si>
    <t>1993-03-12</t>
  </si>
  <si>
    <t>3.1903</t>
  </si>
  <si>
    <t>1993-03-11</t>
  </si>
  <si>
    <t>1993-03-10</t>
  </si>
  <si>
    <t>3.1842</t>
  </si>
  <si>
    <t>1993-03-09</t>
  </si>
  <si>
    <t>3.1847</t>
  </si>
  <si>
    <t>1993-03-08</t>
  </si>
  <si>
    <t>1993-03-05</t>
  </si>
  <si>
    <t>1993-03-04</t>
  </si>
  <si>
    <t>3.1656</t>
  </si>
  <si>
    <t>1993-03-03</t>
  </si>
  <si>
    <t>3.1491</t>
  </si>
  <si>
    <t>1993-03-02</t>
  </si>
  <si>
    <t>3.1526</t>
  </si>
  <si>
    <t>1993-03-01</t>
  </si>
  <si>
    <t>3.1516</t>
  </si>
  <si>
    <t>1993-02-26</t>
  </si>
  <si>
    <t>3.1412</t>
  </si>
  <si>
    <t>1993-02-25</t>
  </si>
  <si>
    <t>3.1304</t>
  </si>
  <si>
    <t>1993-02-24</t>
  </si>
  <si>
    <t>3.1230</t>
  </si>
  <si>
    <t>1993-02-23</t>
  </si>
  <si>
    <t>3.1221</t>
  </si>
  <si>
    <t>1993-02-22</t>
  </si>
  <si>
    <t>1993-02-19</t>
  </si>
  <si>
    <t>3.1196</t>
  </si>
  <si>
    <t>1993-02-18</t>
  </si>
  <si>
    <t>3.1265</t>
  </si>
  <si>
    <t>1993-02-17</t>
  </si>
  <si>
    <t>3.1148</t>
  </si>
  <si>
    <t>1993-02-16</t>
  </si>
  <si>
    <t>3.1348</t>
  </si>
  <si>
    <t>1993-02-15</t>
  </si>
  <si>
    <t>3.1377</t>
  </si>
  <si>
    <t>1993-02-12</t>
  </si>
  <si>
    <t>3.1255</t>
  </si>
  <si>
    <t>1993-02-11</t>
  </si>
  <si>
    <t>3.1279</t>
  </si>
  <si>
    <t>1993-02-10</t>
  </si>
  <si>
    <t>3.1153</t>
  </si>
  <si>
    <t>1993-02-09</t>
  </si>
  <si>
    <t>3.1289</t>
  </si>
  <si>
    <t>1993-02-08</t>
  </si>
  <si>
    <t>3.1187</t>
  </si>
  <si>
    <t>1993-02-05</t>
  </si>
  <si>
    <t>1993-02-04</t>
  </si>
  <si>
    <t>3.1099</t>
  </si>
  <si>
    <t>1993-02-03</t>
  </si>
  <si>
    <t>3.0979</t>
  </si>
  <si>
    <t>1993-02-02</t>
  </si>
  <si>
    <t>3.0926</t>
  </si>
  <si>
    <t>1993-02-01</t>
  </si>
  <si>
    <t>3.0893</t>
  </si>
  <si>
    <t>1993-01-29</t>
  </si>
  <si>
    <t>3.0661</t>
  </si>
  <si>
    <t>1993-01-28</t>
  </si>
  <si>
    <t>3.0562</t>
  </si>
  <si>
    <t>1993-01-27</t>
  </si>
  <si>
    <t>3.0633</t>
  </si>
  <si>
    <t>1993-01-26</t>
  </si>
  <si>
    <t>3.0576</t>
  </si>
  <si>
    <t>1993-01-25</t>
  </si>
  <si>
    <t>3.0572</t>
  </si>
  <si>
    <t>1993-01-22</t>
  </si>
  <si>
    <t>3.0755</t>
  </si>
  <si>
    <t>1993-01-21</t>
  </si>
  <si>
    <t>3.0703</t>
  </si>
  <si>
    <t>1993-01-20</t>
  </si>
  <si>
    <t>1993-01-19</t>
  </si>
  <si>
    <t>3.0656</t>
  </si>
  <si>
    <t>1993-01-18</t>
  </si>
  <si>
    <t>1993-01-15</t>
  </si>
  <si>
    <t>3.0731</t>
  </si>
  <si>
    <t>1993-01-14</t>
  </si>
  <si>
    <t>3.0651</t>
  </si>
  <si>
    <t>1993-01-13</t>
  </si>
  <si>
    <t>3.0760</t>
  </si>
  <si>
    <t>1993-01-12</t>
  </si>
  <si>
    <t>1993-01-11</t>
  </si>
  <si>
    <t>3.0826</t>
  </si>
  <si>
    <t>1993-01-08</t>
  </si>
  <si>
    <t>3.0845</t>
  </si>
  <si>
    <t>1993-01-07</t>
  </si>
  <si>
    <t>3.0647</t>
  </si>
  <si>
    <t>1993-01-06</t>
  </si>
  <si>
    <t>3.0544</t>
  </si>
  <si>
    <t>1993-01-05</t>
  </si>
  <si>
    <t>3.0722</t>
  </si>
  <si>
    <t>1993-01-04</t>
  </si>
  <si>
    <t>1992-12-31</t>
  </si>
  <si>
    <t>1992-12-30</t>
  </si>
  <si>
    <t>3.0548</t>
  </si>
  <si>
    <t>1992-12-29</t>
  </si>
  <si>
    <t>3.0506</t>
  </si>
  <si>
    <t>1992-12-28</t>
  </si>
  <si>
    <t>3.0331</t>
  </si>
  <si>
    <t>1992-12-24</t>
  </si>
  <si>
    <t>3.0184</t>
  </si>
  <si>
    <t>1992-12-23</t>
  </si>
  <si>
    <t>3.0239</t>
  </si>
  <si>
    <t>1992-12-22</t>
  </si>
  <si>
    <t>3.0148</t>
  </si>
  <si>
    <t>1992-12-21</t>
  </si>
  <si>
    <t>3.0048</t>
  </si>
  <si>
    <t>1992-12-18</t>
  </si>
  <si>
    <t>3.0062</t>
  </si>
  <si>
    <t>1992-12-17</t>
  </si>
  <si>
    <t>2.9886</t>
  </si>
  <si>
    <t>1992-12-15</t>
  </si>
  <si>
    <t>3.0111</t>
  </si>
  <si>
    <t>1992-12-14</t>
  </si>
  <si>
    <t>3.0084</t>
  </si>
  <si>
    <t>1992-12-11</t>
  </si>
  <si>
    <t>3.0143</t>
  </si>
  <si>
    <t>1992-12-10</t>
  </si>
  <si>
    <t>3.0039</t>
  </si>
  <si>
    <t>1992-12-09</t>
  </si>
  <si>
    <t>2.9913</t>
  </si>
  <si>
    <t>1992-12-08</t>
  </si>
  <si>
    <t>2.9833</t>
  </si>
  <si>
    <t>1992-12-07</t>
  </si>
  <si>
    <t>3.0180</t>
  </si>
  <si>
    <t>1992-12-04</t>
  </si>
  <si>
    <t>2.9967</t>
  </si>
  <si>
    <t>1992-12-03</t>
  </si>
  <si>
    <t>3.0003</t>
  </si>
  <si>
    <t>1992-12-02</t>
  </si>
  <si>
    <t>2.9972</t>
  </si>
  <si>
    <t>1992-12-01</t>
  </si>
  <si>
    <t>1992-11-30</t>
  </si>
  <si>
    <t>3.0285</t>
  </si>
  <si>
    <t>1992-11-27</t>
  </si>
  <si>
    <t>3.0207</t>
  </si>
  <si>
    <t>1992-11-26</t>
  </si>
  <si>
    <t>3.0026</t>
  </si>
  <si>
    <t>1992-11-25</t>
  </si>
  <si>
    <t>3.0093</t>
  </si>
  <si>
    <t>1992-11-24</t>
  </si>
  <si>
    <t>1992-11-23</t>
  </si>
  <si>
    <t>3.0166</t>
  </si>
  <si>
    <t>1992-11-20</t>
  </si>
  <si>
    <t>2.9806</t>
  </si>
  <si>
    <t>1992-11-19</t>
  </si>
  <si>
    <t>1992-11-18</t>
  </si>
  <si>
    <t>2.9985</t>
  </si>
  <si>
    <t>1992-11-17</t>
  </si>
  <si>
    <t>3.0130</t>
  </si>
  <si>
    <t>1992-11-16</t>
  </si>
  <si>
    <t>2.9931</t>
  </si>
  <si>
    <t>1992-11-13</t>
  </si>
  <si>
    <t>2.9842</t>
  </si>
  <si>
    <t>1992-11-12</t>
  </si>
  <si>
    <t>2.9878</t>
  </si>
  <si>
    <t>1992-11-11</t>
  </si>
  <si>
    <t>2.9922</t>
  </si>
  <si>
    <t>1992-11-10</t>
  </si>
  <si>
    <t>3.0066</t>
  </si>
  <si>
    <t>1992-11-09</t>
  </si>
  <si>
    <t>2.9954</t>
  </si>
  <si>
    <t>1992-11-06</t>
  </si>
  <si>
    <t>2.9824</t>
  </si>
  <si>
    <t>1992-11-05</t>
  </si>
  <si>
    <t>2.9753</t>
  </si>
  <si>
    <t>1992-11-04</t>
  </si>
  <si>
    <t>2.9749</t>
  </si>
  <si>
    <t>1992-11-03</t>
  </si>
  <si>
    <t>2.9869</t>
  </si>
  <si>
    <t>1992-11-02</t>
  </si>
  <si>
    <t>2.9608</t>
  </si>
  <si>
    <t>1992-10-30</t>
  </si>
  <si>
    <t>2.9573</t>
  </si>
  <si>
    <t>1992-10-29</t>
  </si>
  <si>
    <t>2.9542</t>
  </si>
  <si>
    <t>1992-10-28</t>
  </si>
  <si>
    <t>2.9481</t>
  </si>
  <si>
    <t>1992-10-27</t>
  </si>
  <si>
    <t>2.9516</t>
  </si>
  <si>
    <t>1992-10-26</t>
  </si>
  <si>
    <t>2.9351</t>
  </si>
  <si>
    <t>1992-10-23</t>
  </si>
  <si>
    <t>2.9138</t>
  </si>
  <si>
    <t>1992-10-22</t>
  </si>
  <si>
    <t>2.9274</t>
  </si>
  <si>
    <t>1992-10-21</t>
  </si>
  <si>
    <t>2.9206</t>
  </si>
  <si>
    <t>1992-10-20</t>
  </si>
  <si>
    <t>2.9061</t>
  </si>
  <si>
    <t>1992-10-19</t>
  </si>
  <si>
    <t>2.8969</t>
  </si>
  <si>
    <t>1992-10-16</t>
  </si>
  <si>
    <t>2.8637</t>
  </si>
  <si>
    <t>1992-10-15</t>
  </si>
  <si>
    <t>2.8482</t>
  </si>
  <si>
    <t>1992-10-14</t>
  </si>
  <si>
    <t>2.8547</t>
  </si>
  <si>
    <t>1992-10-13</t>
  </si>
  <si>
    <t>2.8736</t>
  </si>
  <si>
    <t>1992-10-12</t>
  </si>
  <si>
    <t>2.8580</t>
  </si>
  <si>
    <t>1992-10-09</t>
  </si>
  <si>
    <t>2.8686</t>
  </si>
  <si>
    <t>1992-10-08</t>
  </si>
  <si>
    <t>2.8555</t>
  </si>
  <si>
    <t>1992-10-07</t>
  </si>
  <si>
    <t>2.8345</t>
  </si>
  <si>
    <t>1992-10-06</t>
  </si>
  <si>
    <t>2.8233</t>
  </si>
  <si>
    <t>1992-10-05</t>
  </si>
  <si>
    <t>2.8153</t>
  </si>
  <si>
    <t>1992-10-02</t>
  </si>
  <si>
    <t>2.8289</t>
  </si>
  <si>
    <t>1992-10-01</t>
  </si>
  <si>
    <t>2.8201</t>
  </si>
  <si>
    <t>1992-09-30</t>
  </si>
  <si>
    <t>2.8106</t>
  </si>
  <si>
    <t>1992-09-29</t>
  </si>
  <si>
    <t>2.8305</t>
  </si>
  <si>
    <t>1992-09-28</t>
  </si>
  <si>
    <t>2.8401</t>
  </si>
  <si>
    <t>1992-09-25</t>
  </si>
  <si>
    <t>2.8466</t>
  </si>
  <si>
    <t>1992-09-24</t>
  </si>
  <si>
    <t>2.8531</t>
  </si>
  <si>
    <t>1992-09-23</t>
  </si>
  <si>
    <t>2.8600</t>
  </si>
  <si>
    <t>1992-09-22</t>
  </si>
  <si>
    <t>2.8441</t>
  </si>
  <si>
    <t>1992-09-21</t>
  </si>
  <si>
    <t>2.8474</t>
  </si>
  <si>
    <t>1992-09-18</t>
  </si>
  <si>
    <t>2.8458</t>
  </si>
  <si>
    <t>1992-09-17</t>
  </si>
  <si>
    <t>2.8417</t>
  </si>
  <si>
    <t>1992-09-16</t>
  </si>
  <si>
    <t>2.8090</t>
  </si>
  <si>
    <t>1992-09-15</t>
  </si>
  <si>
    <t>2.7925</t>
  </si>
  <si>
    <t>1992-09-14</t>
  </si>
  <si>
    <t>2.8110</t>
  </si>
  <si>
    <t>1992-09-11</t>
  </si>
  <si>
    <t>2.7732</t>
  </si>
  <si>
    <t>1992-09-10</t>
  </si>
  <si>
    <t>2.7693</t>
  </si>
  <si>
    <t>1992-09-09</t>
  </si>
  <si>
    <t>2.7503</t>
  </si>
  <si>
    <t>1992-09-08</t>
  </si>
  <si>
    <t>2.7367</t>
  </si>
  <si>
    <t>1992-09-07</t>
  </si>
  <si>
    <t>1992-09-04</t>
  </si>
  <si>
    <t>2.7647</t>
  </si>
  <si>
    <t>1992-09-03</t>
  </si>
  <si>
    <t>2.7420</t>
  </si>
  <si>
    <t>1992-09-02</t>
  </si>
  <si>
    <t>2.7233</t>
  </si>
  <si>
    <t>1992-09-01</t>
  </si>
  <si>
    <t>2.7248</t>
  </si>
  <si>
    <t>1992-08-31</t>
  </si>
  <si>
    <t>2.7382</t>
  </si>
  <si>
    <t>1992-08-28</t>
  </si>
  <si>
    <t>2.7427</t>
  </si>
  <si>
    <t>1992-08-27</t>
  </si>
  <si>
    <t>2.7533</t>
  </si>
  <si>
    <t>1992-08-26</t>
  </si>
  <si>
    <t>2.7495</t>
  </si>
  <si>
    <t>1992-08-25</t>
  </si>
  <si>
    <t>2.7594</t>
  </si>
  <si>
    <t>1992-08-24</t>
  </si>
  <si>
    <t>2.7609</t>
  </si>
  <si>
    <t>1992-08-21</t>
  </si>
  <si>
    <t>1992-08-20</t>
  </si>
  <si>
    <t>2.7678</t>
  </si>
  <si>
    <t>1992-08-19</t>
  </si>
  <si>
    <t>2.7663</t>
  </si>
  <si>
    <t>1992-08-18</t>
  </si>
  <si>
    <t>2.7685</t>
  </si>
  <si>
    <t>1992-08-17</t>
  </si>
  <si>
    <t>2.7785</t>
  </si>
  <si>
    <t>1992-08-14</t>
  </si>
  <si>
    <t>2.7655</t>
  </si>
  <si>
    <t>1992-08-13</t>
  </si>
  <si>
    <t>2.7701</t>
  </si>
  <si>
    <t>1992-08-12</t>
  </si>
  <si>
    <t>2.7716</t>
  </si>
  <si>
    <t>1992-08-11</t>
  </si>
  <si>
    <t>1992-08-10</t>
  </si>
  <si>
    <t>2.7640</t>
  </si>
  <si>
    <t>1992-08-07</t>
  </si>
  <si>
    <t>1992-08-06</t>
  </si>
  <si>
    <t>2.7739</t>
  </si>
  <si>
    <t>1992-08-05</t>
  </si>
  <si>
    <t>1992-08-04</t>
  </si>
  <si>
    <t>1992-08-03</t>
  </si>
  <si>
    <t>1992-07-31</t>
  </si>
  <si>
    <t>2.7628</t>
  </si>
  <si>
    <t>1992-07-30</t>
  </si>
  <si>
    <t>1992-07-29</t>
  </si>
  <si>
    <t>2.7541</t>
  </si>
  <si>
    <t>1992-07-28</t>
  </si>
  <si>
    <t>2.7548</t>
  </si>
  <si>
    <t>1992-07-27</t>
  </si>
  <si>
    <t>2.7632</t>
  </si>
  <si>
    <t>1992-07-24</t>
  </si>
  <si>
    <t>1992-07-23</t>
  </si>
  <si>
    <t>1992-07-22</t>
  </si>
  <si>
    <t>2.7556</t>
  </si>
  <si>
    <t>1992-07-21</t>
  </si>
  <si>
    <t>1992-07-20</t>
  </si>
  <si>
    <t>2.7211</t>
  </si>
  <si>
    <t>1992-07-17</t>
  </si>
  <si>
    <t>2.7412</t>
  </si>
  <si>
    <t>1992-07-16</t>
  </si>
  <si>
    <t>1992-07-15</t>
  </si>
  <si>
    <t>1992-07-14</t>
  </si>
  <si>
    <t>2.7473</t>
  </si>
  <si>
    <t>1992-07-13</t>
  </si>
  <si>
    <t>1992-07-10</t>
  </si>
  <si>
    <t>1992-07-09</t>
  </si>
  <si>
    <t>2.7442</t>
  </si>
  <si>
    <t>1992-07-08</t>
  </si>
  <si>
    <t>2.7337</t>
  </si>
  <si>
    <t>1992-07-07</t>
  </si>
  <si>
    <t>1992-07-06</t>
  </si>
  <si>
    <t>1992-07-03</t>
  </si>
  <si>
    <t>2.7510</t>
  </si>
  <si>
    <t>1992-07-02</t>
  </si>
  <si>
    <t>1992-07-01</t>
  </si>
  <si>
    <t>1992-06-30</t>
  </si>
  <si>
    <t>2.7724</t>
  </si>
  <si>
    <t>1992-06-29</t>
  </si>
  <si>
    <t>1992-06-26</t>
  </si>
  <si>
    <t>2.7863</t>
  </si>
  <si>
    <t>1992-06-25</t>
  </si>
  <si>
    <t>2.7941</t>
  </si>
  <si>
    <t>1992-06-24</t>
  </si>
  <si>
    <t>2.7996</t>
  </si>
  <si>
    <t>1992-06-23</t>
  </si>
  <si>
    <t>2.8011</t>
  </si>
  <si>
    <t>1992-06-22</t>
  </si>
  <si>
    <t>2.8082</t>
  </si>
  <si>
    <t>1992-06-19</t>
  </si>
  <si>
    <t>2.8043</t>
  </si>
  <si>
    <t>1992-06-18</t>
  </si>
  <si>
    <t>2.8145</t>
  </si>
  <si>
    <t>1992-06-17</t>
  </si>
  <si>
    <t>2.7988</t>
  </si>
  <si>
    <t>1992-06-16</t>
  </si>
  <si>
    <t>2.8035</t>
  </si>
  <si>
    <t>1992-06-15</t>
  </si>
  <si>
    <t>1992-06-12</t>
  </si>
  <si>
    <t>1992-06-11</t>
  </si>
  <si>
    <t>2.8205</t>
  </si>
  <si>
    <t>1992-06-10</t>
  </si>
  <si>
    <t>2.8273</t>
  </si>
  <si>
    <t>1992-06-09</t>
  </si>
  <si>
    <t>2.8137</t>
  </si>
  <si>
    <t>1992-06-08</t>
  </si>
  <si>
    <t>2.8249</t>
  </si>
  <si>
    <t>1992-06-05</t>
  </si>
  <si>
    <t>1992-06-04</t>
  </si>
  <si>
    <t>2.8373</t>
  </si>
  <si>
    <t>1992-06-03</t>
  </si>
  <si>
    <t>1992-06-02</t>
  </si>
  <si>
    <t>2.8405</t>
  </si>
  <si>
    <t>1992-06-01</t>
  </si>
  <si>
    <t>1992-05-29</t>
  </si>
  <si>
    <t>2.8353</t>
  </si>
  <si>
    <t>1992-05-27</t>
  </si>
  <si>
    <t>2.8498</t>
  </si>
  <si>
    <t>1992-05-26</t>
  </si>
  <si>
    <t>2.8297</t>
  </si>
  <si>
    <t>1992-05-25</t>
  </si>
  <si>
    <t>2.8337</t>
  </si>
  <si>
    <t>1992-05-22</t>
  </si>
  <si>
    <t>1992-05-21</t>
  </si>
  <si>
    <t>2.8321</t>
  </si>
  <si>
    <t>1992-05-20</t>
  </si>
  <si>
    <t>2.8265</t>
  </si>
  <si>
    <t>1992-05-19</t>
  </si>
  <si>
    <t>2.8281</t>
  </si>
  <si>
    <t>1992-05-18</t>
  </si>
  <si>
    <t>2.8397</t>
  </si>
  <si>
    <t>1992-05-15</t>
  </si>
  <si>
    <t>2.8490</t>
  </si>
  <si>
    <t>1992-05-14</t>
  </si>
  <si>
    <t>2.8425</t>
  </si>
  <si>
    <t>1992-05-13</t>
  </si>
  <si>
    <t>2.8437</t>
  </si>
  <si>
    <t>1992-05-12</t>
  </si>
  <si>
    <t>2.8612</t>
  </si>
  <si>
    <t>1992-05-11</t>
  </si>
  <si>
    <t>1992-05-08</t>
  </si>
  <si>
    <t>2.8620</t>
  </si>
  <si>
    <t>1992-05-07</t>
  </si>
  <si>
    <t>2.8596</t>
  </si>
  <si>
    <t>1992-05-06</t>
  </si>
  <si>
    <t>2.8662</t>
  </si>
  <si>
    <t>1992-05-05</t>
  </si>
  <si>
    <t>1992-05-04</t>
  </si>
  <si>
    <t>1992-04-30</t>
  </si>
  <si>
    <t>2.8769</t>
  </si>
  <si>
    <t>1992-04-29</t>
  </si>
  <si>
    <t>2.8752</t>
  </si>
  <si>
    <t>1992-04-28</t>
  </si>
  <si>
    <t>2.8785</t>
  </si>
  <si>
    <t>1992-04-27</t>
  </si>
  <si>
    <t>2.8823</t>
  </si>
  <si>
    <t>1992-04-24</t>
  </si>
  <si>
    <t>2.8802</t>
  </si>
  <si>
    <t>1992-04-23</t>
  </si>
  <si>
    <t>2.8818</t>
  </si>
  <si>
    <t>1992-04-22</t>
  </si>
  <si>
    <t>2.8873</t>
  </si>
  <si>
    <t>1992-04-21</t>
  </si>
  <si>
    <t>1992-04-16</t>
  </si>
  <si>
    <t>2.8843</t>
  </si>
  <si>
    <t>1992-04-15</t>
  </si>
  <si>
    <t>2.8777</t>
  </si>
  <si>
    <t>1992-04-14</t>
  </si>
  <si>
    <t>1992-04-13</t>
  </si>
  <si>
    <t>1992-04-10</t>
  </si>
  <si>
    <t>2.8645</t>
  </si>
  <si>
    <t>1992-04-09</t>
  </si>
  <si>
    <t>1992-04-08</t>
  </si>
  <si>
    <t>2.8703</t>
  </si>
  <si>
    <t>1992-04-07</t>
  </si>
  <si>
    <t>2.8678</t>
  </si>
  <si>
    <t>1992-04-03</t>
  </si>
  <si>
    <t>1992-04-02</t>
  </si>
  <si>
    <t>2.8852</t>
  </si>
  <si>
    <t>1992-04-01</t>
  </si>
  <si>
    <t>2.8794</t>
  </si>
  <si>
    <t>1992-03-31</t>
  </si>
  <si>
    <t>1992-03-30</t>
  </si>
  <si>
    <t>1992-03-27</t>
  </si>
  <si>
    <t>2.8935</t>
  </si>
  <si>
    <t>1992-03-26</t>
  </si>
  <si>
    <t>1992-03-25</t>
  </si>
  <si>
    <t>2.8860</t>
  </si>
  <si>
    <t>1992-03-24</t>
  </si>
  <si>
    <t>2.8914</t>
  </si>
  <si>
    <t>1992-03-23</t>
  </si>
  <si>
    <t>2.8944</t>
  </si>
  <si>
    <t>1992-03-20</t>
  </si>
  <si>
    <t>2.8960</t>
  </si>
  <si>
    <t>1992-03-19</t>
  </si>
  <si>
    <t>1992-03-18</t>
  </si>
  <si>
    <t>2.8810</t>
  </si>
  <si>
    <t>1992-03-17</t>
  </si>
  <si>
    <t>1992-03-16</t>
  </si>
  <si>
    <t>2.8906</t>
  </si>
  <si>
    <t>1992-03-13</t>
  </si>
  <si>
    <t>1992-03-12</t>
  </si>
  <si>
    <t>2.8893</t>
  </si>
  <si>
    <t>1992-03-11</t>
  </si>
  <si>
    <t>2.8868</t>
  </si>
  <si>
    <t>1992-03-10</t>
  </si>
  <si>
    <t>1992-03-09</t>
  </si>
  <si>
    <t>1992-03-06</t>
  </si>
  <si>
    <t>1992-03-05</t>
  </si>
  <si>
    <t>1992-03-04</t>
  </si>
  <si>
    <t>1992-03-03</t>
  </si>
  <si>
    <t>2.8592</t>
  </si>
  <si>
    <t>1992-03-02</t>
  </si>
  <si>
    <t>1992-02-28</t>
  </si>
  <si>
    <t>2.8514</t>
  </si>
  <si>
    <t>1992-02-27</t>
  </si>
  <si>
    <t>2.8657</t>
  </si>
  <si>
    <t>1992-02-26</t>
  </si>
  <si>
    <t>2.8760</t>
  </si>
  <si>
    <t>1992-02-25</t>
  </si>
  <si>
    <t>2.8567</t>
  </si>
  <si>
    <t>1992-02-24</t>
  </si>
  <si>
    <t>1992-02-21</t>
  </si>
  <si>
    <t>1992-02-20</t>
  </si>
  <si>
    <t>2.8450</t>
  </si>
  <si>
    <t>1992-02-19</t>
  </si>
  <si>
    <t>1992-02-18</t>
  </si>
  <si>
    <t>2.8257</t>
  </si>
  <si>
    <t>1992-02-17</t>
  </si>
  <si>
    <t>2.8003</t>
  </si>
  <si>
    <t>1992-02-14</t>
  </si>
  <si>
    <t>1992-02-13</t>
  </si>
  <si>
    <t>1992-02-12</t>
  </si>
  <si>
    <t>2.7878</t>
  </si>
  <si>
    <t>1992-02-11</t>
  </si>
  <si>
    <t>2.7778</t>
  </si>
  <si>
    <t>1992-02-10</t>
  </si>
  <si>
    <t>1992-02-07</t>
  </si>
  <si>
    <t>1992-02-06</t>
  </si>
  <si>
    <t>1992-02-05</t>
  </si>
  <si>
    <t>2.7793</t>
  </si>
  <si>
    <t>1992-02-04</t>
  </si>
  <si>
    <t>1992-02-03</t>
  </si>
  <si>
    <t>2.7952</t>
  </si>
  <si>
    <t>1992-01-31</t>
  </si>
  <si>
    <t>1992-01-30</t>
  </si>
  <si>
    <t>2.8019</t>
  </si>
  <si>
    <t>1992-01-29</t>
  </si>
  <si>
    <t>2.7824</t>
  </si>
  <si>
    <t>1992-01-28</t>
  </si>
  <si>
    <t>1992-01-27</t>
  </si>
  <si>
    <t>2.8062</t>
  </si>
  <si>
    <t>1992-01-24</t>
  </si>
  <si>
    <t>2.8098</t>
  </si>
  <si>
    <t>1992-01-23</t>
  </si>
  <si>
    <t>2.7840</t>
  </si>
  <si>
    <t>1992-01-22</t>
  </si>
  <si>
    <t>1992-01-21</t>
  </si>
  <si>
    <t>2.7755</t>
  </si>
  <si>
    <t>1992-01-20</t>
  </si>
  <si>
    <t>1992-01-17</t>
  </si>
  <si>
    <t>2.8177</t>
  </si>
  <si>
    <t>1992-01-16</t>
  </si>
  <si>
    <t>2.8121</t>
  </si>
  <si>
    <t>1992-01-15</t>
  </si>
  <si>
    <t>2.8058</t>
  </si>
  <si>
    <t>1992-01-14</t>
  </si>
  <si>
    <t>2.7816</t>
  </si>
  <si>
    <t>1992-01-13</t>
  </si>
  <si>
    <t>2.7855</t>
  </si>
  <si>
    <t>1992-01-10</t>
  </si>
  <si>
    <t>1992-01-09</t>
  </si>
  <si>
    <t>2.7397</t>
  </si>
  <si>
    <t>1992-01-08</t>
  </si>
  <si>
    <t>2.7322</t>
  </si>
  <si>
    <t>1992-01-07</t>
  </si>
  <si>
    <t>2.7330</t>
  </si>
  <si>
    <t>1992-01-06</t>
  </si>
  <si>
    <t>1992-01-03</t>
  </si>
  <si>
    <t>1992-01-02</t>
  </si>
  <si>
    <t>2.7457</t>
  </si>
  <si>
    <t>1991-12-31</t>
  </si>
  <si>
    <t>2.7435</t>
  </si>
  <si>
    <t>1991-12-30</t>
  </si>
  <si>
    <t>2.7465</t>
  </si>
  <si>
    <t>1991-12-27</t>
  </si>
  <si>
    <t>2.7375</t>
  </si>
  <si>
    <t>1991-12-24</t>
  </si>
  <si>
    <t>1991-12-23</t>
  </si>
  <si>
    <t>2.7518</t>
  </si>
  <si>
    <t>1991-12-20</t>
  </si>
  <si>
    <t>1991-12-19</t>
  </si>
  <si>
    <t>2.7709</t>
  </si>
  <si>
    <t>1991-12-18</t>
  </si>
  <si>
    <t>1991-12-17</t>
  </si>
  <si>
    <t>1991-12-13</t>
  </si>
  <si>
    <t>1991-12-12</t>
  </si>
  <si>
    <t>1991-12-11</t>
  </si>
  <si>
    <t>1991-12-10</t>
  </si>
  <si>
    <t>1991-12-09</t>
  </si>
  <si>
    <t>2.7762</t>
  </si>
  <si>
    <t>1991-12-06</t>
  </si>
  <si>
    <t>2.7809</t>
  </si>
  <si>
    <t>1991-12-05</t>
  </si>
  <si>
    <t>1991-12-04</t>
  </si>
  <si>
    <t>1991-12-03</t>
  </si>
  <si>
    <t>1991-12-02</t>
  </si>
  <si>
    <t>2.7886</t>
  </si>
  <si>
    <t>1991-11-29</t>
  </si>
  <si>
    <t>1991-11-28</t>
  </si>
  <si>
    <t>2.7972</t>
  </si>
  <si>
    <t>1991-11-27</t>
  </si>
  <si>
    <t>2.7902</t>
  </si>
  <si>
    <t>1991-11-26</t>
  </si>
  <si>
    <t>1991-11-25</t>
  </si>
  <si>
    <t>2.7747</t>
  </si>
  <si>
    <t>1991-11-22</t>
  </si>
  <si>
    <t>1991-11-21</t>
  </si>
  <si>
    <t>2.7847</t>
  </si>
  <si>
    <t>1991-11-20</t>
  </si>
  <si>
    <t>2.7801</t>
  </si>
  <si>
    <t>1991-11-19</t>
  </si>
  <si>
    <t>2.7871</t>
  </si>
  <si>
    <t>1991-11-18</t>
  </si>
  <si>
    <t>1991-11-15</t>
  </si>
  <si>
    <t>1991-11-14</t>
  </si>
  <si>
    <t>2.7956</t>
  </si>
  <si>
    <t>1991-11-13</t>
  </si>
  <si>
    <t>1991-11-12</t>
  </si>
  <si>
    <t>2.7980</t>
  </si>
  <si>
    <t>1991-11-11</t>
  </si>
  <si>
    <t>2.8070</t>
  </si>
  <si>
    <t>1991-11-08</t>
  </si>
  <si>
    <t>2.8027</t>
  </si>
  <si>
    <t>1991-11-07</t>
  </si>
  <si>
    <t>1991-11-06</t>
  </si>
  <si>
    <t>2.8074</t>
  </si>
  <si>
    <t>1991-11-05</t>
  </si>
  <si>
    <t>1991-11-04</t>
  </si>
  <si>
    <t>1991-11-01</t>
  </si>
  <si>
    <t>2.8313</t>
  </si>
  <si>
    <t>1991-10-31</t>
  </si>
  <si>
    <t>2.8317</t>
  </si>
  <si>
    <t>1991-10-30</t>
  </si>
  <si>
    <t>1991-10-29</t>
  </si>
  <si>
    <t>1991-10-28</t>
  </si>
  <si>
    <t>1991-10-25</t>
  </si>
  <si>
    <t>1991-10-24</t>
  </si>
  <si>
    <t>1991-10-23</t>
  </si>
  <si>
    <t>2.8433</t>
  </si>
  <si>
    <t>1991-10-22</t>
  </si>
  <si>
    <t>1991-10-21</t>
  </si>
  <si>
    <t>1991-10-18</t>
  </si>
  <si>
    <t>1991-10-17</t>
  </si>
  <si>
    <t>1991-10-16</t>
  </si>
  <si>
    <t>2.8369</t>
  </si>
  <si>
    <t>1991-10-15</t>
  </si>
  <si>
    <t>1991-10-14</t>
  </si>
  <si>
    <t>2.8225</t>
  </si>
  <si>
    <t>1991-10-11</t>
  </si>
  <si>
    <t>1991-10-09</t>
  </si>
  <si>
    <t>1991-10-08</t>
  </si>
  <si>
    <t>2.8169</t>
  </si>
  <si>
    <t>1991-10-07</t>
  </si>
  <si>
    <t>1991-10-04</t>
  </si>
  <si>
    <t>1991-10-03</t>
  </si>
  <si>
    <t>2.8066</t>
  </si>
  <si>
    <t>1991-10-02</t>
  </si>
  <si>
    <t>1991-10-01</t>
  </si>
  <si>
    <t>1991-09-30</t>
  </si>
  <si>
    <t>1991-09-27</t>
  </si>
  <si>
    <t>2.8241</t>
  </si>
  <si>
    <t>1991-09-26</t>
  </si>
  <si>
    <t>1991-09-25</t>
  </si>
  <si>
    <t>1991-09-24</t>
  </si>
  <si>
    <t>2.8185</t>
  </si>
  <si>
    <t>1991-09-23</t>
  </si>
  <si>
    <t>1991-09-20</t>
  </si>
  <si>
    <t>2.8329</t>
  </si>
  <si>
    <t>1991-09-19</t>
  </si>
  <si>
    <t>1991-09-18</t>
  </si>
  <si>
    <t>2.8209</t>
  </si>
  <si>
    <t>1991-09-17</t>
  </si>
  <si>
    <t>1991-09-16</t>
  </si>
  <si>
    <t>1991-09-13</t>
  </si>
  <si>
    <t>1991-09-12</t>
  </si>
  <si>
    <t>1991-09-11</t>
  </si>
  <si>
    <t>2.8377</t>
  </si>
  <si>
    <t>1991-09-10</t>
  </si>
  <si>
    <t>2.8409</t>
  </si>
  <si>
    <t>1991-09-09</t>
  </si>
  <si>
    <t>2.8421</t>
  </si>
  <si>
    <t>1991-09-06</t>
  </si>
  <si>
    <t>2.8629</t>
  </si>
  <si>
    <t>1991-09-05</t>
  </si>
  <si>
    <t>2.8649</t>
  </si>
  <si>
    <t>1991-09-04</t>
  </si>
  <si>
    <t>2.8670</t>
  </si>
  <si>
    <t>1991-09-03</t>
  </si>
  <si>
    <t>2.8715</t>
  </si>
  <si>
    <t>1991-09-02</t>
  </si>
  <si>
    <t>1991-08-30</t>
  </si>
  <si>
    <t>2.8719</t>
  </si>
  <si>
    <t>1991-08-29</t>
  </si>
  <si>
    <t>2.8563</t>
  </si>
  <si>
    <t>1991-08-28</t>
  </si>
  <si>
    <t>1991-08-27</t>
  </si>
  <si>
    <t>1991-08-26</t>
  </si>
  <si>
    <t>1991-08-23</t>
  </si>
  <si>
    <t>2.8756</t>
  </si>
  <si>
    <t>1991-08-22</t>
  </si>
  <si>
    <t>1991-08-21</t>
  </si>
  <si>
    <t>2.9011</t>
  </si>
  <si>
    <t>1991-08-20</t>
  </si>
  <si>
    <t>2.9129</t>
  </si>
  <si>
    <t>1991-08-19</t>
  </si>
  <si>
    <t>2.9044</t>
  </si>
  <si>
    <t>1991-08-16</t>
  </si>
  <si>
    <t>2.8877</t>
  </si>
  <si>
    <t>1991-08-15</t>
  </si>
  <si>
    <t>2.8773</t>
  </si>
  <si>
    <t>1991-08-14</t>
  </si>
  <si>
    <t>1991-08-13</t>
  </si>
  <si>
    <t>1991-08-12</t>
  </si>
  <si>
    <t>1991-08-09</t>
  </si>
  <si>
    <t>2.8535</t>
  </si>
  <si>
    <t>1991-08-08</t>
  </si>
  <si>
    <t>1991-08-07</t>
  </si>
  <si>
    <t>2.8506</t>
  </si>
  <si>
    <t>1991-08-06</t>
  </si>
  <si>
    <t>1991-08-05</t>
  </si>
  <si>
    <t>1991-08-02</t>
  </si>
  <si>
    <t>2.8827</t>
  </si>
  <si>
    <t>1991-08-01</t>
  </si>
  <si>
    <t>1991-07-31</t>
  </si>
  <si>
    <t>1991-07-30</t>
  </si>
  <si>
    <t>1991-07-29</t>
  </si>
  <si>
    <t>2.8732</t>
  </si>
  <si>
    <t>1991-07-26</t>
  </si>
  <si>
    <t>1991-07-25</t>
  </si>
  <si>
    <t>1991-07-24</t>
  </si>
  <si>
    <t>1991-07-23</t>
  </si>
  <si>
    <t>1991-07-22</t>
  </si>
  <si>
    <t>1991-07-19</t>
  </si>
  <si>
    <t>2.8559</t>
  </si>
  <si>
    <t>1991-07-18</t>
  </si>
  <si>
    <t>1991-07-17</t>
  </si>
  <si>
    <t>2.8748</t>
  </si>
  <si>
    <t>1991-07-16</t>
  </si>
  <si>
    <t>1991-07-15</t>
  </si>
  <si>
    <t>2.8727</t>
  </si>
  <si>
    <t>1991-07-12</t>
  </si>
  <si>
    <t>2.8977</t>
  </si>
  <si>
    <t>1991-07-11</t>
  </si>
  <si>
    <t>2.8885</t>
  </si>
  <si>
    <t>1991-07-10</t>
  </si>
  <si>
    <t>1991-07-09</t>
  </si>
  <si>
    <t>2.8910</t>
  </si>
  <si>
    <t>1991-07-08</t>
  </si>
  <si>
    <t>1991-07-05</t>
  </si>
  <si>
    <t>2.9099</t>
  </si>
  <si>
    <t>1991-07-04</t>
  </si>
  <si>
    <t>1991-07-03</t>
  </si>
  <si>
    <t>2.9087</t>
  </si>
  <si>
    <t>1991-07-02</t>
  </si>
  <si>
    <t>2.9002</t>
  </si>
  <si>
    <t>1991-07-01</t>
  </si>
  <si>
    <t>2.8918</t>
  </si>
  <si>
    <t>1991-06-28</t>
  </si>
  <si>
    <t>1991-06-27</t>
  </si>
  <si>
    <t>1991-06-26</t>
  </si>
  <si>
    <t>1991-06-25</t>
  </si>
  <si>
    <t>1991-06-24</t>
  </si>
  <si>
    <t>2.8902</t>
  </si>
  <si>
    <t>1991-06-21</t>
  </si>
  <si>
    <t>1991-06-20</t>
  </si>
  <si>
    <t>1991-06-19</t>
  </si>
  <si>
    <t>1991-06-18</t>
  </si>
  <si>
    <t>2.8927</t>
  </si>
  <si>
    <t>1991-06-17</t>
  </si>
  <si>
    <t>1991-06-14</t>
  </si>
  <si>
    <t>1991-06-13</t>
  </si>
  <si>
    <t>1991-06-12</t>
  </si>
  <si>
    <t>1991-06-11</t>
  </si>
  <si>
    <t>1991-06-10</t>
  </si>
  <si>
    <t>1991-06-07</t>
  </si>
  <si>
    <t>1991-06-06</t>
  </si>
  <si>
    <t>1991-06-05</t>
  </si>
  <si>
    <t>1991-06-04</t>
  </si>
  <si>
    <t>1991-06-03</t>
  </si>
  <si>
    <t>1991-05-30</t>
  </si>
  <si>
    <t>2.8129</t>
  </si>
  <si>
    <t>1991-05-29</t>
  </si>
  <si>
    <t>1991-05-28</t>
  </si>
  <si>
    <t>1991-05-27</t>
  </si>
  <si>
    <t>2.7917</t>
  </si>
  <si>
    <t>1991-05-24</t>
  </si>
  <si>
    <t>1991-05-23</t>
  </si>
  <si>
    <t>1991-05-22</t>
  </si>
  <si>
    <t>2.8047</t>
  </si>
  <si>
    <t>1991-05-21</t>
  </si>
  <si>
    <t>1991-05-20</t>
  </si>
  <si>
    <t>2.8114</t>
  </si>
  <si>
    <t>1991-05-17</t>
  </si>
  <si>
    <t>1991-05-16</t>
  </si>
  <si>
    <t>1991-05-15</t>
  </si>
  <si>
    <t>1991-05-14</t>
  </si>
  <si>
    <t>1991-05-13</t>
  </si>
  <si>
    <t>1991-05-10</t>
  </si>
  <si>
    <t>1991-05-08</t>
  </si>
  <si>
    <t>1991-05-07</t>
  </si>
  <si>
    <t>1991-05-06</t>
  </si>
  <si>
    <t>1991-05-03</t>
  </si>
  <si>
    <t>1991-05-02</t>
  </si>
  <si>
    <t>2.7720</t>
  </si>
  <si>
    <t>1991-04-30</t>
  </si>
  <si>
    <t>2.7910</t>
  </si>
  <si>
    <t>1991-04-29</t>
  </si>
  <si>
    <t>1991-04-26</t>
  </si>
  <si>
    <t>1991-04-25</t>
  </si>
  <si>
    <t>1991-04-24</t>
  </si>
  <si>
    <t>1991-04-23</t>
  </si>
  <si>
    <t>1991-04-22</t>
  </si>
  <si>
    <t>1991-04-19</t>
  </si>
  <si>
    <t>2.7670</t>
  </si>
  <si>
    <t>1991-04-18</t>
  </si>
  <si>
    <t>2.7278</t>
  </si>
  <si>
    <t>1991-04-17</t>
  </si>
  <si>
    <t>2.7108</t>
  </si>
  <si>
    <t>1991-04-16</t>
  </si>
  <si>
    <t>1991-04-15</t>
  </si>
  <si>
    <t>2.7189</t>
  </si>
  <si>
    <t>1991-04-12</t>
  </si>
  <si>
    <t>2.7137</t>
  </si>
  <si>
    <t>1991-04-11</t>
  </si>
  <si>
    <t>1991-04-10</t>
  </si>
  <si>
    <t>2.7056</t>
  </si>
  <si>
    <t>1991-04-09</t>
  </si>
  <si>
    <t>1991-04-08</t>
  </si>
  <si>
    <t>1991-04-05</t>
  </si>
  <si>
    <t>2.6976</t>
  </si>
  <si>
    <t>1991-04-04</t>
  </si>
  <si>
    <t>2.7122</t>
  </si>
  <si>
    <t>1991-04-03</t>
  </si>
  <si>
    <t>2.6914</t>
  </si>
  <si>
    <t>1991-04-02</t>
  </si>
  <si>
    <t>2.7005</t>
  </si>
  <si>
    <t>1991-03-28</t>
  </si>
  <si>
    <t>1991-03-27</t>
  </si>
  <si>
    <t>2.7159</t>
  </si>
  <si>
    <t>1991-03-26</t>
  </si>
  <si>
    <t>1991-03-25</t>
  </si>
  <si>
    <t>2.7086</t>
  </si>
  <si>
    <t>1991-03-22</t>
  </si>
  <si>
    <t>2.6842</t>
  </si>
  <si>
    <t>1991-03-21</t>
  </si>
  <si>
    <t>2.6965</t>
  </si>
  <si>
    <t>1991-03-20</t>
  </si>
  <si>
    <t>2.6882</t>
  </si>
  <si>
    <t>1991-03-19</t>
  </si>
  <si>
    <t>1991-03-18</t>
  </si>
  <si>
    <t>2.6713</t>
  </si>
  <si>
    <t>1991-03-15</t>
  </si>
  <si>
    <t>2.6364</t>
  </si>
  <si>
    <t>1991-03-14</t>
  </si>
  <si>
    <t>2.6192</t>
  </si>
  <si>
    <t>1991-03-13</t>
  </si>
  <si>
    <t>2.6157</t>
  </si>
  <si>
    <t>1991-03-12</t>
  </si>
  <si>
    <t>2.6082</t>
  </si>
  <si>
    <t>1991-03-11</t>
  </si>
  <si>
    <t>2.6281</t>
  </si>
  <si>
    <t>1991-03-08</t>
  </si>
  <si>
    <t>2.6028</t>
  </si>
  <si>
    <t>1991-03-07</t>
  </si>
  <si>
    <t>2.5880</t>
  </si>
  <si>
    <t>1991-03-06</t>
  </si>
  <si>
    <t>2.5988</t>
  </si>
  <si>
    <t>1991-03-05</t>
  </si>
  <si>
    <t>1991-03-04</t>
  </si>
  <si>
    <t>2.5954</t>
  </si>
  <si>
    <t>1991-03-01</t>
  </si>
  <si>
    <t>2.5793</t>
  </si>
  <si>
    <t>1991-02-28</t>
  </si>
  <si>
    <t>2.5628</t>
  </si>
  <si>
    <t>1991-02-27</t>
  </si>
  <si>
    <t>2.5690</t>
  </si>
  <si>
    <t>1991-02-26</t>
  </si>
  <si>
    <t>2.5664</t>
  </si>
  <si>
    <t>1991-02-25</t>
  </si>
  <si>
    <t>2.5602</t>
  </si>
  <si>
    <t>1991-02-22</t>
  </si>
  <si>
    <t>2.5377</t>
  </si>
  <si>
    <t>1991-02-21</t>
  </si>
  <si>
    <t>2.5468</t>
  </si>
  <si>
    <t>1991-02-20</t>
  </si>
  <si>
    <t>2.5452</t>
  </si>
  <si>
    <t>1991-02-19</t>
  </si>
  <si>
    <t>2.5381</t>
  </si>
  <si>
    <t>1991-02-18</t>
  </si>
  <si>
    <t>2.5329</t>
  </si>
  <si>
    <t>1991-02-15</t>
  </si>
  <si>
    <t>2.5355</t>
  </si>
  <si>
    <t>1991-02-14</t>
  </si>
  <si>
    <t>1991-02-13</t>
  </si>
  <si>
    <t>2.5284</t>
  </si>
  <si>
    <t>1991-02-12</t>
  </si>
  <si>
    <t>2.5214</t>
  </si>
  <si>
    <t>1991-02-11</t>
  </si>
  <si>
    <t>2.5268</t>
  </si>
  <si>
    <t>1991-02-08</t>
  </si>
  <si>
    <t>2.5265</t>
  </si>
  <si>
    <t>1991-02-07</t>
  </si>
  <si>
    <t>2.5227</t>
  </si>
  <si>
    <t>1991-02-06</t>
  </si>
  <si>
    <t>2.5221</t>
  </si>
  <si>
    <t>1991-02-05</t>
  </si>
  <si>
    <t>2.5326</t>
  </si>
  <si>
    <t>1991-02-04</t>
  </si>
  <si>
    <t>1991-02-01</t>
  </si>
  <si>
    <t>1991-01-31</t>
  </si>
  <si>
    <t>2.5458</t>
  </si>
  <si>
    <t>1991-01-30</t>
  </si>
  <si>
    <t>2.5497</t>
  </si>
  <si>
    <t>1991-01-29</t>
  </si>
  <si>
    <t>2.5419</t>
  </si>
  <si>
    <t>1991-01-28</t>
  </si>
  <si>
    <t>2.5484</t>
  </si>
  <si>
    <t>1991-01-25</t>
  </si>
  <si>
    <t>2.5494</t>
  </si>
  <si>
    <t>1991-01-24</t>
  </si>
  <si>
    <t>2.5397</t>
  </si>
  <si>
    <t>1991-01-23</t>
  </si>
  <si>
    <t>2.5549</t>
  </si>
  <si>
    <t>1991-01-22</t>
  </si>
  <si>
    <t>2.5400</t>
  </si>
  <si>
    <t>1991-01-21</t>
  </si>
  <si>
    <t>2.5556</t>
  </si>
  <si>
    <t>1991-01-18</t>
  </si>
  <si>
    <t>2.5618</t>
  </si>
  <si>
    <t>1991-01-17</t>
  </si>
  <si>
    <t>2.5654</t>
  </si>
  <si>
    <t>1991-01-16</t>
  </si>
  <si>
    <t>2.5927</t>
  </si>
  <si>
    <t>1991-01-15</t>
  </si>
  <si>
    <t>2.5940</t>
  </si>
  <si>
    <t>1991-01-14</t>
  </si>
  <si>
    <t>2.6069</t>
  </si>
  <si>
    <t>1991-01-11</t>
  </si>
  <si>
    <t>2.5816</t>
  </si>
  <si>
    <t>1991-01-10</t>
  </si>
  <si>
    <t>2.5773</t>
  </si>
  <si>
    <t>1991-01-09</t>
  </si>
  <si>
    <t>2.5893</t>
  </si>
  <si>
    <t>1991-01-08</t>
  </si>
  <si>
    <t>1991-01-07</t>
  </si>
  <si>
    <t>2.5727</t>
  </si>
  <si>
    <t>1991-01-04</t>
  </si>
  <si>
    <t>1991-01-03</t>
  </si>
  <si>
    <t>2.5387</t>
  </si>
  <si>
    <t>1991-01-02</t>
  </si>
  <si>
    <t>2.5526</t>
  </si>
  <si>
    <t>1990-12-31</t>
  </si>
  <si>
    <t>2.5634</t>
  </si>
  <si>
    <t>1990-12-28</t>
  </si>
  <si>
    <t>2.5687</t>
  </si>
  <si>
    <t>1990-12-27</t>
  </si>
  <si>
    <t>1990-12-24</t>
  </si>
  <si>
    <t>1990-12-21</t>
  </si>
  <si>
    <t>2.5553</t>
  </si>
  <si>
    <t>1990-12-20</t>
  </si>
  <si>
    <t>2.5291</t>
  </si>
  <si>
    <t>1990-12-19</t>
  </si>
  <si>
    <t>2.5189</t>
  </si>
  <si>
    <t>1990-12-18</t>
  </si>
  <si>
    <t>2.5253</t>
  </si>
  <si>
    <t>1990-12-17</t>
  </si>
  <si>
    <t>2.5218</t>
  </si>
  <si>
    <t>1990-12-14</t>
  </si>
  <si>
    <t>2.5183</t>
  </si>
  <si>
    <t>1990-12-13</t>
  </si>
  <si>
    <t>2.5141</t>
  </si>
  <si>
    <t>1990-12-12</t>
  </si>
  <si>
    <t>2.5116</t>
  </si>
  <si>
    <t>1990-12-11</t>
  </si>
  <si>
    <t>2.5082</t>
  </si>
  <si>
    <t>1990-12-10</t>
  </si>
  <si>
    <t>2.5019</t>
  </si>
  <si>
    <t>1990-12-07</t>
  </si>
  <si>
    <t>2.5126</t>
  </si>
  <si>
    <t>1990-12-06</t>
  </si>
  <si>
    <t>1990-12-05</t>
  </si>
  <si>
    <t>1990-12-04</t>
  </si>
  <si>
    <t>1990-12-03</t>
  </si>
  <si>
    <t>2.5132</t>
  </si>
  <si>
    <t>1990-11-30</t>
  </si>
  <si>
    <t>1990-11-29</t>
  </si>
  <si>
    <t>2.5053</t>
  </si>
  <si>
    <t>1990-11-28</t>
  </si>
  <si>
    <t>2.5107</t>
  </si>
  <si>
    <t>1990-11-27</t>
  </si>
  <si>
    <t>2.5195</t>
  </si>
  <si>
    <t>1990-11-26</t>
  </si>
  <si>
    <t>2.5157</t>
  </si>
  <si>
    <t>1990-11-23</t>
  </si>
  <si>
    <t>2.5122</t>
  </si>
  <si>
    <t>1990-11-22</t>
  </si>
  <si>
    <t>2.5173</t>
  </si>
  <si>
    <t>1990-11-21</t>
  </si>
  <si>
    <t>1990-11-20</t>
  </si>
  <si>
    <t>1990-11-19</t>
  </si>
  <si>
    <t>2.5233</t>
  </si>
  <si>
    <t>1990-11-16</t>
  </si>
  <si>
    <t>2.5304</t>
  </si>
  <si>
    <t>1990-11-15</t>
  </si>
  <si>
    <t>1990-11-14</t>
  </si>
  <si>
    <t>1990-11-13</t>
  </si>
  <si>
    <t>1990-11-12</t>
  </si>
  <si>
    <t>2.5237</t>
  </si>
  <si>
    <t>1990-11-09</t>
  </si>
  <si>
    <t>2.5352</t>
  </si>
  <si>
    <t>1990-11-08</t>
  </si>
  <si>
    <t>2.5281</t>
  </si>
  <si>
    <t>1990-11-07</t>
  </si>
  <si>
    <t>1990-11-06</t>
  </si>
  <si>
    <t>1990-11-05</t>
  </si>
  <si>
    <t>1990-11-02</t>
  </si>
  <si>
    <t>1990-11-01</t>
  </si>
  <si>
    <t>1990-10-31</t>
  </si>
  <si>
    <t>2.5407</t>
  </si>
  <si>
    <t>1990-10-30</t>
  </si>
  <si>
    <t>1990-10-29</t>
  </si>
  <si>
    <t>1990-10-26</t>
  </si>
  <si>
    <t>2.5439</t>
  </si>
  <si>
    <t>1990-10-25</t>
  </si>
  <si>
    <t>2.5316</t>
  </si>
  <si>
    <t>1990-10-24</t>
  </si>
  <si>
    <t>2.5361</t>
  </si>
  <si>
    <t>1990-10-23</t>
  </si>
  <si>
    <t>1990-10-22</t>
  </si>
  <si>
    <t>1990-10-19</t>
  </si>
  <si>
    <t>2.5358</t>
  </si>
  <si>
    <t>1990-10-18</t>
  </si>
  <si>
    <t>2.5313</t>
  </si>
  <si>
    <t>1990-10-17</t>
  </si>
  <si>
    <t>1990-10-16</t>
  </si>
  <si>
    <t>2.5426</t>
  </si>
  <si>
    <t>1990-10-15</t>
  </si>
  <si>
    <t>1990-10-12</t>
  </si>
  <si>
    <t>2.5278</t>
  </si>
  <si>
    <t>1990-10-11</t>
  </si>
  <si>
    <t>2.5413</t>
  </si>
  <si>
    <t>1990-10-09</t>
  </si>
  <si>
    <t>2.5368</t>
  </si>
  <si>
    <t>1990-10-08</t>
  </si>
  <si>
    <t>1990-10-05</t>
  </si>
  <si>
    <t>2.5592</t>
  </si>
  <si>
    <t>1990-10-04</t>
  </si>
  <si>
    <t>1990-10-03</t>
  </si>
  <si>
    <t>2.5697</t>
  </si>
  <si>
    <t>1990-10-02</t>
  </si>
  <si>
    <t>2.5757</t>
  </si>
  <si>
    <t>1990-10-01</t>
  </si>
  <si>
    <t>1990-09-28</t>
  </si>
  <si>
    <t>1990-09-27</t>
  </si>
  <si>
    <t>1990-09-26</t>
  </si>
  <si>
    <t>2.5681</t>
  </si>
  <si>
    <t>1990-09-25</t>
  </si>
  <si>
    <t>1990-09-24</t>
  </si>
  <si>
    <t>2.5753</t>
  </si>
  <si>
    <t>1990-09-21</t>
  </si>
  <si>
    <t>2.5767</t>
  </si>
  <si>
    <t>1990-09-20</t>
  </si>
  <si>
    <t>1990-09-19</t>
  </si>
  <si>
    <t>1990-09-18</t>
  </si>
  <si>
    <t>1990-09-17</t>
  </si>
  <si>
    <t>2.5638</t>
  </si>
  <si>
    <t>1990-09-14</t>
  </si>
  <si>
    <t>1990-09-13</t>
  </si>
  <si>
    <t>2.5867</t>
  </si>
  <si>
    <t>1990-09-12</t>
  </si>
  <si>
    <t>1990-09-11</t>
  </si>
  <si>
    <t>2.5810</t>
  </si>
  <si>
    <t>1990-09-10</t>
  </si>
  <si>
    <t>2.5740</t>
  </si>
  <si>
    <t>1990-09-07</t>
  </si>
  <si>
    <t>1990-09-06</t>
  </si>
  <si>
    <t>2.5572</t>
  </si>
  <si>
    <t>1990-09-05</t>
  </si>
  <si>
    <t>2.5657</t>
  </si>
  <si>
    <t>1990-09-04</t>
  </si>
  <si>
    <t>2.5717</t>
  </si>
  <si>
    <t>1990-09-03</t>
  </si>
  <si>
    <t>1990-08-31</t>
  </si>
  <si>
    <t>2.5608</t>
  </si>
  <si>
    <t>1990-08-30</t>
  </si>
  <si>
    <t>1990-08-29</t>
  </si>
  <si>
    <t>2.5533</t>
  </si>
  <si>
    <t>1990-08-28</t>
  </si>
  <si>
    <t>2.5536</t>
  </si>
  <si>
    <t>1990-08-27</t>
  </si>
  <si>
    <t>1990-08-24</t>
  </si>
  <si>
    <t>2.5510</t>
  </si>
  <si>
    <t>1990-08-23</t>
  </si>
  <si>
    <t>1990-08-22</t>
  </si>
  <si>
    <t>1990-08-21</t>
  </si>
  <si>
    <t>2.5677</t>
  </si>
  <si>
    <t>1990-08-20</t>
  </si>
  <si>
    <t>1990-08-17</t>
  </si>
  <si>
    <t>1990-08-16</t>
  </si>
  <si>
    <t>2.5747</t>
  </si>
  <si>
    <t>1990-08-15</t>
  </si>
  <si>
    <t>2.5737</t>
  </si>
  <si>
    <t>1990-08-14</t>
  </si>
  <si>
    <t>2.5820</t>
  </si>
  <si>
    <t>1990-08-13</t>
  </si>
  <si>
    <t>2.5836</t>
  </si>
  <si>
    <t>1990-08-10</t>
  </si>
  <si>
    <t>2.5974</t>
  </si>
  <si>
    <t>1990-08-09</t>
  </si>
  <si>
    <t>2.5917</t>
  </si>
  <si>
    <t>1990-08-08</t>
  </si>
  <si>
    <t>2.5833</t>
  </si>
  <si>
    <t>1990-08-07</t>
  </si>
  <si>
    <t>2.5873</t>
  </si>
  <si>
    <t>1990-08-06</t>
  </si>
  <si>
    <t>1990-08-03</t>
  </si>
  <si>
    <t>1990-08-02</t>
  </si>
  <si>
    <t>2.6018</t>
  </si>
  <si>
    <t>1990-08-01</t>
  </si>
  <si>
    <t>1990-07-31</t>
  </si>
  <si>
    <t>2.5994</t>
  </si>
  <si>
    <t>1990-07-30</t>
  </si>
  <si>
    <t>2.6072</t>
  </si>
  <si>
    <t>1990-07-27</t>
  </si>
  <si>
    <t>2.6164</t>
  </si>
  <si>
    <t>1990-07-26</t>
  </si>
  <si>
    <t>2.6151</t>
  </si>
  <si>
    <t>1990-07-25</t>
  </si>
  <si>
    <t>1990-07-24</t>
  </si>
  <si>
    <t>2.6089</t>
  </si>
  <si>
    <t>1990-07-23</t>
  </si>
  <si>
    <t>2.6185</t>
  </si>
  <si>
    <t>1990-07-20</t>
  </si>
  <si>
    <t>2.6223</t>
  </si>
  <si>
    <t>1990-07-19</t>
  </si>
  <si>
    <t>1990-07-18</t>
  </si>
  <si>
    <t>2.6257</t>
  </si>
  <si>
    <t>1990-07-17</t>
  </si>
  <si>
    <t>2.6392</t>
  </si>
  <si>
    <t>1990-07-16</t>
  </si>
  <si>
    <t>2.6382</t>
  </si>
  <si>
    <t>1990-07-13</t>
  </si>
  <si>
    <t>2.6350</t>
  </si>
  <si>
    <t>1990-07-12</t>
  </si>
  <si>
    <t>2.6473</t>
  </si>
  <si>
    <t>1990-07-11</t>
  </si>
  <si>
    <t>2.6357</t>
  </si>
  <si>
    <t>1990-07-10</t>
  </si>
  <si>
    <t>2.6347</t>
  </si>
  <si>
    <t>1990-07-09</t>
  </si>
  <si>
    <t>2.6406</t>
  </si>
  <si>
    <t>1990-07-06</t>
  </si>
  <si>
    <t>2.6455</t>
  </si>
  <si>
    <t>1990-07-05</t>
  </si>
  <si>
    <t>2.6427</t>
  </si>
  <si>
    <t>1990-07-04</t>
  </si>
  <si>
    <t>2.6434</t>
  </si>
  <si>
    <t>1990-07-03</t>
  </si>
  <si>
    <t>2.6490</t>
  </si>
  <si>
    <t>1990-07-02</t>
  </si>
  <si>
    <t>2.6497</t>
  </si>
  <si>
    <t>1990-06-29</t>
  </si>
  <si>
    <t>2.6589</t>
  </si>
  <si>
    <t>1990-06-28</t>
  </si>
  <si>
    <t>2.6560</t>
  </si>
  <si>
    <t>1990-06-27</t>
  </si>
  <si>
    <t>2.6553</t>
  </si>
  <si>
    <t>1990-06-26</t>
  </si>
  <si>
    <t>2.6652</t>
  </si>
  <si>
    <t>1990-06-25</t>
  </si>
  <si>
    <t>2.6642</t>
  </si>
  <si>
    <t>1990-06-22</t>
  </si>
  <si>
    <t>1990-06-21</t>
  </si>
  <si>
    <t>1990-06-20</t>
  </si>
  <si>
    <t>2.6667</t>
  </si>
  <si>
    <t>1990-06-19</t>
  </si>
  <si>
    <t>2.6638</t>
  </si>
  <si>
    <t>1990-06-18</t>
  </si>
  <si>
    <t>1990-06-15</t>
  </si>
  <si>
    <t>2.6674</t>
  </si>
  <si>
    <t>1990-06-14</t>
  </si>
  <si>
    <t>2.6617</t>
  </si>
  <si>
    <t>1990-06-13</t>
  </si>
  <si>
    <t>2.6677</t>
  </si>
  <si>
    <t>1990-06-12</t>
  </si>
  <si>
    <t>1990-06-11</t>
  </si>
  <si>
    <t>2.6702</t>
  </si>
  <si>
    <t>1990-06-08</t>
  </si>
  <si>
    <t>1990-06-07</t>
  </si>
  <si>
    <t>2.6709</t>
  </si>
  <si>
    <t>1990-06-06</t>
  </si>
  <si>
    <t>1990-06-05</t>
  </si>
  <si>
    <t>1990-06-04</t>
  </si>
  <si>
    <t>2.6717</t>
  </si>
  <si>
    <t>1990-06-01</t>
  </si>
  <si>
    <t>2.6631</t>
  </si>
  <si>
    <t>1990-05-30</t>
  </si>
  <si>
    <t>2.6539</t>
  </si>
  <si>
    <t>1990-05-29</t>
  </si>
  <si>
    <t>2.6522</t>
  </si>
  <si>
    <t>1990-05-28</t>
  </si>
  <si>
    <t>1990-05-25</t>
  </si>
  <si>
    <t>2.6504</t>
  </si>
  <si>
    <t>1990-05-23</t>
  </si>
  <si>
    <t>1990-05-22</t>
  </si>
  <si>
    <t>1990-05-21</t>
  </si>
  <si>
    <t>2.6413</t>
  </si>
  <si>
    <t>1990-05-18</t>
  </si>
  <si>
    <t>2.6403</t>
  </si>
  <si>
    <t>1990-05-17</t>
  </si>
  <si>
    <t>2.6330</t>
  </si>
  <si>
    <t>1990-05-16</t>
  </si>
  <si>
    <t>2.6462</t>
  </si>
  <si>
    <t>1990-05-15</t>
  </si>
  <si>
    <t>1990-05-14</t>
  </si>
  <si>
    <t>1990-05-11</t>
  </si>
  <si>
    <t>2.6337</t>
  </si>
  <si>
    <t>1990-05-10</t>
  </si>
  <si>
    <t>1990-05-09</t>
  </si>
  <si>
    <t>2.6378</t>
  </si>
  <si>
    <t>1990-05-08</t>
  </si>
  <si>
    <t>1990-05-07</t>
  </si>
  <si>
    <t>2.6476</t>
  </si>
  <si>
    <t>1990-05-04</t>
  </si>
  <si>
    <t>2.6582</t>
  </si>
  <si>
    <t>1990-05-03</t>
  </si>
  <si>
    <t>2.6610</t>
  </si>
  <si>
    <t>1990-05-02</t>
  </si>
  <si>
    <t>2.6624</t>
  </si>
  <si>
    <t>1990-04-30</t>
  </si>
  <si>
    <t>2.6575</t>
  </si>
  <si>
    <t>1990-04-27</t>
  </si>
  <si>
    <t>2.6596</t>
  </si>
  <si>
    <t>1990-04-26</t>
  </si>
  <si>
    <t>2.6546</t>
  </si>
  <si>
    <t>1990-04-25</t>
  </si>
  <si>
    <t>1990-04-24</t>
  </si>
  <si>
    <t>1990-04-23</t>
  </si>
  <si>
    <t>1990-04-20</t>
  </si>
  <si>
    <t>1990-04-19</t>
  </si>
  <si>
    <t>2.6483</t>
  </si>
  <si>
    <t>1990-04-18</t>
  </si>
  <si>
    <t>1990-04-17</t>
  </si>
  <si>
    <t>1990-04-12</t>
  </si>
  <si>
    <t>2.6469</t>
  </si>
  <si>
    <t>1990-04-11</t>
  </si>
  <si>
    <t>1990-04-10</t>
  </si>
  <si>
    <t>2.6567</t>
  </si>
  <si>
    <t>1990-04-09</t>
  </si>
  <si>
    <t>1990-04-05</t>
  </si>
  <si>
    <t>1990-04-04</t>
  </si>
  <si>
    <t>1990-04-03</t>
  </si>
  <si>
    <t>2.6592</t>
  </si>
  <si>
    <t>1990-04-02</t>
  </si>
  <si>
    <t>2.6695</t>
  </si>
  <si>
    <t>1990-03-30</t>
  </si>
  <si>
    <t>1990-03-29</t>
  </si>
  <si>
    <t>2.6532</t>
  </si>
  <si>
    <t>1990-03-28</t>
  </si>
  <si>
    <t>1990-03-27</t>
  </si>
  <si>
    <t>2.6603</t>
  </si>
  <si>
    <t>1990-03-26</t>
  </si>
  <si>
    <t>1990-03-23</t>
  </si>
  <si>
    <t>2.6292</t>
  </si>
  <si>
    <t>1990-03-22</t>
  </si>
  <si>
    <t>1990-03-21</t>
  </si>
  <si>
    <t>2.6302</t>
  </si>
  <si>
    <t>1990-03-20</t>
  </si>
  <si>
    <t>2.6076</t>
  </si>
  <si>
    <t>1990-03-19</t>
  </si>
  <si>
    <t>2.5998</t>
  </si>
  <si>
    <t>1990-03-16</t>
  </si>
  <si>
    <t>2.6035</t>
  </si>
  <si>
    <t>1990-03-15</t>
  </si>
  <si>
    <t>1990-03-14</t>
  </si>
  <si>
    <t>2.6171</t>
  </si>
  <si>
    <t>1990-03-13</t>
  </si>
  <si>
    <t>1990-03-12</t>
  </si>
  <si>
    <t>2.5947</t>
  </si>
  <si>
    <t>1990-03-09</t>
  </si>
  <si>
    <t>1990-03-08</t>
  </si>
  <si>
    <t>2.5846</t>
  </si>
  <si>
    <t>1990-03-07</t>
  </si>
  <si>
    <t>2.5860</t>
  </si>
  <si>
    <t>1990-03-06</t>
  </si>
  <si>
    <t>2.5714</t>
  </si>
  <si>
    <t>1990-03-05</t>
  </si>
  <si>
    <t>2.5800</t>
  </si>
  <si>
    <t>1990-03-02</t>
  </si>
  <si>
    <t>2.5853</t>
  </si>
  <si>
    <t>1990-03-01</t>
  </si>
  <si>
    <t>1990-02-28</t>
  </si>
  <si>
    <t>1990-02-27</t>
  </si>
  <si>
    <t>1990-02-26</t>
  </si>
  <si>
    <t>2.5507</t>
  </si>
  <si>
    <t>1990-02-23</t>
  </si>
  <si>
    <t>2.5455</t>
  </si>
  <si>
    <t>1990-02-22</t>
  </si>
  <si>
    <t>1990-02-21</t>
  </si>
  <si>
    <t>2.5336</t>
  </si>
  <si>
    <t>1990-02-20</t>
  </si>
  <si>
    <t>1990-02-19</t>
  </si>
  <si>
    <t>1990-02-16</t>
  </si>
  <si>
    <t>2.5569</t>
  </si>
  <si>
    <t>1990-02-15</t>
  </si>
  <si>
    <t>2.5504</t>
  </si>
  <si>
    <t>1990-02-14</t>
  </si>
  <si>
    <t>2.5478</t>
  </si>
  <si>
    <t>1990-02-13</t>
  </si>
  <si>
    <t>1990-02-12</t>
  </si>
  <si>
    <t>1990-02-09</t>
  </si>
  <si>
    <t>1990-02-08</t>
  </si>
  <si>
    <t>1990-02-07</t>
  </si>
  <si>
    <t>1990-02-06</t>
  </si>
  <si>
    <t>2.5342</t>
  </si>
  <si>
    <t>1990-02-05</t>
  </si>
  <si>
    <t>2.5474</t>
  </si>
  <si>
    <t>1990-02-02</t>
  </si>
  <si>
    <t>2.5517</t>
  </si>
  <si>
    <t>1990-02-01</t>
  </si>
  <si>
    <t>2.5589</t>
  </si>
  <si>
    <t>1990-01-31</t>
  </si>
  <si>
    <t>2.5582</t>
  </si>
  <si>
    <t>1990-01-30</t>
  </si>
  <si>
    <t>2.5471</t>
  </si>
  <si>
    <t>1990-01-29</t>
  </si>
  <si>
    <t>2.5461</t>
  </si>
  <si>
    <t>1990-01-26</t>
  </si>
  <si>
    <t>1990-01-25</t>
  </si>
  <si>
    <t>2.5562</t>
  </si>
  <si>
    <t>1990-01-24</t>
  </si>
  <si>
    <t>1990-01-23</t>
  </si>
  <si>
    <t>1990-01-22</t>
  </si>
  <si>
    <t>1990-01-19</t>
  </si>
  <si>
    <t>1990-01-18</t>
  </si>
  <si>
    <t>2.5707</t>
  </si>
  <si>
    <t>1990-01-17</t>
  </si>
  <si>
    <t>1990-01-16</t>
  </si>
  <si>
    <t>2.5674</t>
  </si>
  <si>
    <t>1990-01-15</t>
  </si>
  <si>
    <t>2.5523</t>
  </si>
  <si>
    <t>1990-01-12</t>
  </si>
  <si>
    <t>2.5445</t>
  </si>
  <si>
    <t>1990-01-11</t>
  </si>
  <si>
    <t>1990-01-10</t>
  </si>
  <si>
    <t>1990-01-09</t>
  </si>
  <si>
    <t>2.5394</t>
  </si>
  <si>
    <t>1990-01-08</t>
  </si>
  <si>
    <t>1990-01-05</t>
  </si>
  <si>
    <t>1990-01-04</t>
  </si>
  <si>
    <t>1990-01-03</t>
  </si>
  <si>
    <t>2.5813</t>
  </si>
  <si>
    <t>1990-01-02</t>
  </si>
  <si>
    <t>ZAR,USD</t>
  </si>
  <si>
    <t>FEER</t>
  </si>
  <si>
    <t>BEER</t>
  </si>
  <si>
    <t>https://ujdigispace.uj.ac.za/handle/10210/8745</t>
  </si>
  <si>
    <r>
      <t>Mabe, Queen Magadi. </t>
    </r>
    <r>
      <rPr>
        <i/>
        <sz val="7"/>
        <color rgb="FF222222"/>
        <rFont val="Arial"/>
        <family val="2"/>
      </rPr>
      <t>Estimating equilibrium exchange rates in South Africa</t>
    </r>
    <r>
      <rPr>
        <sz val="7"/>
        <color rgb="FF222222"/>
        <rFont val="Arial"/>
        <family val="2"/>
      </rPr>
      <t>. Diss. 2013.</t>
    </r>
  </si>
  <si>
    <t>AFA(LO)</t>
  </si>
  <si>
    <t>Minimum Utilisation factor</t>
  </si>
  <si>
    <t>NCAP_START</t>
  </si>
  <si>
    <t>Backstop for all energy except elc</t>
  </si>
  <si>
    <t>ZZBKNRG</t>
  </si>
  <si>
    <t>ZZBKELCC</t>
  </si>
  <si>
    <t>PJ,GW</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</si>
  <si>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</si>
  <si>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</si>
  <si>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</si>
  <si>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</si>
  <si>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</si>
  <si>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</si>
  <si>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</si>
  <si>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 xml:space="preserve">Future Work: </t>
  </si>
  <si>
    <t>Put Gas and Coal supply in a separate workbook</t>
  </si>
  <si>
    <t>Add region dimension to model</t>
  </si>
  <si>
    <t>*#1</t>
  </si>
  <si>
    <t>*#2</t>
  </si>
  <si>
    <t>*#3</t>
  </si>
  <si>
    <t>*#4</t>
  </si>
  <si>
    <t>*#5</t>
  </si>
  <si>
    <t>*#6</t>
  </si>
  <si>
    <t>*#7</t>
  </si>
  <si>
    <t>*#8</t>
  </si>
  <si>
    <t>*#9</t>
  </si>
  <si>
    <t>*#10</t>
  </si>
  <si>
    <t>*#11</t>
  </si>
  <si>
    <t>*#12</t>
  </si>
  <si>
    <t>*#13</t>
  </si>
  <si>
    <t>*#14</t>
  </si>
  <si>
    <t>*#15</t>
  </si>
  <si>
    <t>Water Supply</t>
  </si>
  <si>
    <t>uvol,uvol/a</t>
  </si>
  <si>
    <t>PRC,PRV,ANNUAL,IRE</t>
  </si>
  <si>
    <t>MINWAT</t>
  </si>
  <si>
    <t>Added missing CO2SF and CH4SF to COM_AGG of CO2eqs</t>
  </si>
  <si>
    <t>Taken out emissions from UTR (methan rich gas conversion - not sure why it was there in the first place)</t>
  </si>
  <si>
    <t>WEO2014</t>
  </si>
  <si>
    <t>From UNEP Uncertainty Analysis</t>
  </si>
  <si>
    <t>UNEP avg</t>
  </si>
  <si>
    <t>From DDPP Analysis</t>
  </si>
  <si>
    <t>Scenario</t>
  </si>
  <si>
    <t>IEA crude oil import price</t>
  </si>
  <si>
    <t>(2010 US$/bbl)</t>
  </si>
  <si>
    <t>6DS</t>
  </si>
  <si>
    <t>2DS</t>
  </si>
  <si>
    <t>OECD steam coal import price</t>
  </si>
  <si>
    <t>(2010 US$/ton)</t>
  </si>
  <si>
    <t>US import price</t>
  </si>
  <si>
    <t>(2010 US$/Mbtu)</t>
  </si>
  <si>
    <t>EU import price</t>
  </si>
  <si>
    <t>Japan import price</t>
  </si>
  <si>
    <t>weighting</t>
  </si>
  <si>
    <t>4ds</t>
  </si>
  <si>
    <t>Added WEO2014 oil, coal and gas prices for DDPP project</t>
  </si>
  <si>
    <t>Minimum Activity Constraints</t>
  </si>
  <si>
    <t>C</t>
  </si>
  <si>
    <t>uconstraint</t>
  </si>
  <si>
    <t>UC_N,UCRT</t>
  </si>
  <si>
    <t>UC_ACT</t>
  </si>
  <si>
    <t>LHS</t>
  </si>
  <si>
    <t>UC__RHSRT</t>
  </si>
  <si>
    <t>UC_R_EACH</t>
  </si>
  <si>
    <t>Import constraints</t>
  </si>
  <si>
    <t>UCACT-ODS</t>
  </si>
  <si>
    <t>UCACT-OGS</t>
  </si>
  <si>
    <t>Import constraint on diesel as a share of consumption</t>
  </si>
  <si>
    <t>Import constraint on gasoline as a share of consumption</t>
  </si>
  <si>
    <t>Import limit</t>
  </si>
  <si>
    <t>XAGRODS</t>
  </si>
  <si>
    <t>XCOMODS</t>
  </si>
  <si>
    <t>XINDODS</t>
  </si>
  <si>
    <t>XMINODS</t>
  </si>
  <si>
    <t>XWATODS</t>
  </si>
  <si>
    <t>XAGROGS</t>
  </si>
  <si>
    <t>XCOMOGS</t>
  </si>
  <si>
    <t>XINDOGS</t>
  </si>
  <si>
    <t>XMINOGS</t>
  </si>
  <si>
    <t>XWATOGS</t>
  </si>
  <si>
    <t>Added a constraint on import of diesel and gasoline set to 25%</t>
  </si>
  <si>
    <t>UCTLCLEIN-A-N-G</t>
  </si>
  <si>
    <t>PCG for UCTLCLEIN-A-N (Refinery CTL New: Waterberg Region: WSR-A)</t>
  </si>
  <si>
    <t>UCTLCLEIN-A-N-I</t>
  </si>
  <si>
    <t>UCTLCLEIN-A-N-I WSR-A</t>
  </si>
  <si>
    <t>UCTLCLEIN-A-N-O</t>
  </si>
  <si>
    <t>UCTLCLEIN-A-N-O WSR-A</t>
  </si>
  <si>
    <t>UCTLCLEIN-B-E-I</t>
  </si>
  <si>
    <t>UCTLCLEIN-B-E-I WSR-B</t>
  </si>
  <si>
    <t>UCTLCLEIN-B-E-O</t>
  </si>
  <si>
    <t>UCTLCLEIN-B-E-O WSR-B</t>
  </si>
  <si>
    <t>UCTLCLEIN-E-B-G</t>
  </si>
  <si>
    <t>PCG for UCTLCLEIN-E-B (Refinery CTL Existing: WSR-B)</t>
  </si>
  <si>
    <t>UREFOCRIN-C-E-G</t>
  </si>
  <si>
    <t>PCG for UREFOCRIN-C-E (Refinery Crude Oil Inland Existing: WSR-C)</t>
  </si>
  <si>
    <t>UREFOCRIN-C-E-I</t>
  </si>
  <si>
    <t>UREFOCRIN-C-E-O</t>
  </si>
  <si>
    <t>CLE-B</t>
  </si>
  <si>
    <t>Coal low grade - Central Basin WSR B (Upper Olifants)</t>
  </si>
  <si>
    <t>CLS-A</t>
  </si>
  <si>
    <t>Coal low grade - Sasol - Waterberg</t>
  </si>
  <si>
    <t>CLS-B</t>
  </si>
  <si>
    <t>Coal low grade - Sasol - WSR-B</t>
  </si>
  <si>
    <t>UPSCLE-A</t>
  </si>
  <si>
    <t>Supply Sector Coal low grade - Waterberg</t>
  </si>
  <si>
    <t>UPSCLE-B</t>
  </si>
  <si>
    <t>Supply Sector Coal low grade- Central Basin: WSR-B</t>
  </si>
  <si>
    <t>UCTLCLEIN-A-N</t>
  </si>
  <si>
    <t>Refinery CTL New: Waterberg Region: WSR-A</t>
  </si>
  <si>
    <t>UCTLCLEIN-B-E</t>
  </si>
  <si>
    <t>Refinery CTL Existing WSR-B</t>
  </si>
  <si>
    <t>UGTLGASIN-B-N</t>
  </si>
  <si>
    <t>Refinery GTL New - Inland - WSR-B  (ATR process - net water producer)</t>
  </si>
  <si>
    <t>UGTLGASIN-C-N</t>
  </si>
  <si>
    <t>Refinery GTL New - Inland - WSR-C (ATR process - net water producer)</t>
  </si>
  <si>
    <t>UHETCLE-A-N</t>
  </si>
  <si>
    <t>Refinery CTL Boiler New: WSR-A</t>
  </si>
  <si>
    <t>UHETCLE-B-E</t>
  </si>
  <si>
    <t>Refinery CTL Boiler Existing:WSR-B</t>
  </si>
  <si>
    <t>UREFOCRIN-C-E</t>
  </si>
  <si>
    <t>Refinery Crude Oil Inland Existing: WSR-C</t>
  </si>
  <si>
    <t>null</t>
  </si>
  <si>
    <t>UPSELC</t>
  </si>
  <si>
    <t>UPSHEN</t>
  </si>
  <si>
    <t>UPSCH4S</t>
  </si>
  <si>
    <t>UPSCO2S</t>
  </si>
  <si>
    <t>PRC_ACTFLO</t>
  </si>
  <si>
    <t>WA-P1-A</t>
  </si>
  <si>
    <t>UPSHEE</t>
  </si>
  <si>
    <t>WA-P1-B</t>
  </si>
  <si>
    <t>CAP_BND</t>
  </si>
  <si>
    <t>UCTLCLEIN-E</t>
  </si>
  <si>
    <t>UCTLCLEIN-N</t>
  </si>
  <si>
    <t>UPSOCR</t>
  </si>
  <si>
    <t>WA-H1-B</t>
  </si>
  <si>
    <t>WA-H1-C</t>
  </si>
  <si>
    <t>WA-P1-C</t>
  </si>
  <si>
    <t>WA-H1-A</t>
  </si>
  <si>
    <t>UHETCLE-E</t>
  </si>
  <si>
    <t>UHETCLE-N</t>
  </si>
  <si>
    <t>UREFOCRIN-E</t>
  </si>
  <si>
    <t>UCOGCLEHGN-I</t>
  </si>
  <si>
    <t>UCTLCLEIN-N-I</t>
  </si>
  <si>
    <t>sum</t>
  </si>
  <si>
    <t>Water Sector</t>
  </si>
  <si>
    <t>SUP</t>
  </si>
  <si>
    <t>alison</t>
  </si>
  <si>
    <t>Added distribution cost to kerosene and gas going to residential sector</t>
  </si>
  <si>
    <t>WEO2015</t>
  </si>
  <si>
    <t>Downloaded from StatsSA: CPI headline index Dec 2012 = 100) in 2013</t>
  </si>
  <si>
    <t>Convert From</t>
  </si>
  <si>
    <t>Convert To</t>
  </si>
  <si>
    <t>Jan</t>
  </si>
  <si>
    <t>Feb</t>
  </si>
  <si>
    <t>Mar</t>
  </si>
  <si>
    <t>Apr</t>
  </si>
  <si>
    <t>May</t>
  </si>
  <si>
    <t>Jun</t>
  </si>
  <si>
    <t>Jul</t>
  </si>
  <si>
    <t>Aug</t>
  </si>
  <si>
    <t>Sep</t>
  </si>
  <si>
    <t>Oct</t>
  </si>
  <si>
    <t>Nov</t>
  </si>
  <si>
    <t>Dec</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</si>
  <si>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</si>
  <si>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</si>
  <si>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</si>
  <si>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</si>
  <si>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</si>
  <si>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</si>
  <si>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</si>
  <si>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</si>
  <si>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</si>
  <si>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</si>
  <si>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</si>
  <si>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</si>
  <si>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</si>
  <si>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</si>
  <si>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</si>
  <si>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</si>
  <si>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</si>
  <si>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</si>
  <si>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</si>
  <si>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</si>
  <si>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</si>
  <si>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</si>
  <si>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</si>
  <si>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</si>
  <si>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</si>
  <si>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</si>
  <si>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4,2</t>
  </si>
  <si>
    <t>4,3</t>
  </si>
  <si>
    <t>4,1</t>
  </si>
  <si>
    <t>4,4</t>
  </si>
  <si>
    <t>4,5</t>
  </si>
  <si>
    <t>4,6</t>
  </si>
  <si>
    <t>4,8</t>
  </si>
  <si>
    <t>4,9</t>
  </si>
  <si>
    <t>5,0</t>
  </si>
  <si>
    <t>4,7</t>
  </si>
  <si>
    <t>5,1</t>
  </si>
  <si>
    <t>5,2</t>
  </si>
  <si>
    <t>5,3</t>
  </si>
  <si>
    <t>5,4</t>
  </si>
  <si>
    <t>5,5</t>
  </si>
  <si>
    <t>5,7</t>
  </si>
  <si>
    <t>5,8</t>
  </si>
  <si>
    <t>5,9</t>
  </si>
  <si>
    <t>6,0</t>
  </si>
  <si>
    <t>6,1</t>
  </si>
  <si>
    <t>6,2</t>
  </si>
  <si>
    <t>6,3</t>
  </si>
  <si>
    <t>6,5</t>
  </si>
  <si>
    <t>6,6</t>
  </si>
  <si>
    <t>6,7</t>
  </si>
  <si>
    <t>6,9</t>
  </si>
  <si>
    <t>7,0</t>
  </si>
  <si>
    <t>7,1</t>
  </si>
  <si>
    <t>7,2</t>
  </si>
  <si>
    <t>7,3</t>
  </si>
  <si>
    <t>7,4</t>
  </si>
  <si>
    <t>7,5</t>
  </si>
  <si>
    <t>7,7</t>
  </si>
  <si>
    <t>7,8</t>
  </si>
  <si>
    <t>7,9</t>
  </si>
  <si>
    <t>8,0</t>
  </si>
  <si>
    <t>8,1</t>
  </si>
  <si>
    <t>8,2</t>
  </si>
  <si>
    <t>8,3</t>
  </si>
  <si>
    <t>8,4</t>
  </si>
  <si>
    <t>8,5</t>
  </si>
  <si>
    <t>8,7</t>
  </si>
  <si>
    <t>8,8</t>
  </si>
  <si>
    <t>8,9</t>
  </si>
  <si>
    <t>9,0</t>
  </si>
  <si>
    <t>9,1</t>
  </si>
  <si>
    <t>9,2</t>
  </si>
  <si>
    <t>9,3</t>
  </si>
  <si>
    <t>9,4</t>
  </si>
  <si>
    <t>9,5</t>
  </si>
  <si>
    <t>9,8</t>
  </si>
  <si>
    <t>10,1</t>
  </si>
  <si>
    <t>10,2</t>
  </si>
  <si>
    <t>10,3</t>
  </si>
  <si>
    <t>10,5</t>
  </si>
  <si>
    <t>10,6</t>
  </si>
  <si>
    <t>10,7</t>
  </si>
  <si>
    <t>10,9</t>
  </si>
  <si>
    <t>11,1</t>
  </si>
  <si>
    <t>11,4</t>
  </si>
  <si>
    <t>11,5</t>
  </si>
  <si>
    <t>11,7</t>
  </si>
  <si>
    <t>11,9</t>
  </si>
  <si>
    <t>12,1</t>
  </si>
  <si>
    <t>12,3</t>
  </si>
  <si>
    <t>12,5</t>
  </si>
  <si>
    <t>12,7</t>
  </si>
  <si>
    <t>12,9</t>
  </si>
  <si>
    <t>13,0</t>
  </si>
  <si>
    <t>13,1</t>
  </si>
  <si>
    <t>13,3</t>
  </si>
  <si>
    <t>13,5</t>
  </si>
  <si>
    <t>13,7</t>
  </si>
  <si>
    <t>13,9</t>
  </si>
  <si>
    <t>14,0</t>
  </si>
  <si>
    <t>14,1</t>
  </si>
  <si>
    <t>14,2</t>
  </si>
  <si>
    <t>14,4</t>
  </si>
  <si>
    <t>14,7</t>
  </si>
  <si>
    <t>14,8</t>
  </si>
  <si>
    <t>15,0</t>
  </si>
  <si>
    <t>15,1</t>
  </si>
  <si>
    <t>15,2</t>
  </si>
  <si>
    <t>15,5</t>
  </si>
  <si>
    <t>15,6</t>
  </si>
  <si>
    <t>15,8</t>
  </si>
  <si>
    <t>15,9</t>
  </si>
  <si>
    <t>16,1</t>
  </si>
  <si>
    <t>16,3</t>
  </si>
  <si>
    <t>16,5</t>
  </si>
  <si>
    <t>16,7</t>
  </si>
  <si>
    <t>16,8</t>
  </si>
  <si>
    <t>17,0</t>
  </si>
  <si>
    <t>17,2</t>
  </si>
  <si>
    <t>17,4</t>
  </si>
  <si>
    <t>17,7</t>
  </si>
  <si>
    <t>17,9</t>
  </si>
  <si>
    <t>18,2</t>
  </si>
  <si>
    <t>18,3</t>
  </si>
  <si>
    <t>18,5</t>
  </si>
  <si>
    <t>18,8</t>
  </si>
  <si>
    <t>18,9</t>
  </si>
  <si>
    <t>19,1</t>
  </si>
  <si>
    <t>19,3</t>
  </si>
  <si>
    <t>19,6</t>
  </si>
  <si>
    <t>18,4</t>
  </si>
  <si>
    <t>19,8</t>
  </si>
  <si>
    <t>20,0</t>
  </si>
  <si>
    <t>20,3</t>
  </si>
  <si>
    <t>20,4</t>
  </si>
  <si>
    <t>20,7</t>
  </si>
  <si>
    <t>20,8</t>
  </si>
  <si>
    <t>21,0</t>
  </si>
  <si>
    <t>21,3</t>
  </si>
  <si>
    <t>21,6</t>
  </si>
  <si>
    <t>21,8</t>
  </si>
  <si>
    <t>22,3</t>
  </si>
  <si>
    <t>22,4</t>
  </si>
  <si>
    <t>22,7</t>
  </si>
  <si>
    <t>23,0</t>
  </si>
  <si>
    <t>23,1</t>
  </si>
  <si>
    <t>23,5</t>
  </si>
  <si>
    <t>23,8</t>
  </si>
  <si>
    <t>24,0</t>
  </si>
  <si>
    <t>24,3</t>
  </si>
  <si>
    <t>24,6</t>
  </si>
  <si>
    <t>25,0</t>
  </si>
  <si>
    <t>25,4</t>
  </si>
  <si>
    <t>25,7</t>
  </si>
  <si>
    <t>26,0</t>
  </si>
  <si>
    <t>26,4</t>
  </si>
  <si>
    <t>26,6</t>
  </si>
  <si>
    <t>26,8</t>
  </si>
  <si>
    <t>27,2</t>
  </si>
  <si>
    <t>27,3</t>
  </si>
  <si>
    <t>27,6</t>
  </si>
  <si>
    <t>27,9</t>
  </si>
  <si>
    <t>28,2</t>
  </si>
  <si>
    <t>28,3</t>
  </si>
  <si>
    <t>28,4</t>
  </si>
  <si>
    <t>28,6</t>
  </si>
  <si>
    <t>27,7</t>
  </si>
  <si>
    <t>28,9</t>
  </si>
  <si>
    <t>29,0</t>
  </si>
  <si>
    <t>29,4</t>
  </si>
  <si>
    <t>30,1</t>
  </si>
  <si>
    <t>30,2</t>
  </si>
  <si>
    <t>30,4</t>
  </si>
  <si>
    <t>30,6</t>
  </si>
  <si>
    <t>30,8</t>
  </si>
  <si>
    <t>30,9</t>
  </si>
  <si>
    <t>31,1</t>
  </si>
  <si>
    <t>31,2</t>
  </si>
  <si>
    <t>31,3</t>
  </si>
  <si>
    <t>30,3</t>
  </si>
  <si>
    <t>31,7</t>
  </si>
  <si>
    <t>31,8</t>
  </si>
  <si>
    <t>32,0</t>
  </si>
  <si>
    <t>32,2</t>
  </si>
  <si>
    <t>32,4</t>
  </si>
  <si>
    <t>32,6</t>
  </si>
  <si>
    <t>33,1</t>
  </si>
  <si>
    <t>33,6</t>
  </si>
  <si>
    <t>34,0</t>
  </si>
  <si>
    <t>34,2</t>
  </si>
  <si>
    <t>34,3</t>
  </si>
  <si>
    <t>33,0</t>
  </si>
  <si>
    <t>34,8</t>
  </si>
  <si>
    <t>35,0</t>
  </si>
  <si>
    <t>35,4</t>
  </si>
  <si>
    <t>35,8</t>
  </si>
  <si>
    <t>35,9</t>
  </si>
  <si>
    <t>36,1</t>
  </si>
  <si>
    <t>36,2</t>
  </si>
  <si>
    <t>36,3</t>
  </si>
  <si>
    <t>36,5</t>
  </si>
  <si>
    <t>36,7</t>
  </si>
  <si>
    <t>37,2</t>
  </si>
  <si>
    <t>37,3</t>
  </si>
  <si>
    <t>37,5</t>
  </si>
  <si>
    <t>37,8</t>
  </si>
  <si>
    <t>38,0</t>
  </si>
  <si>
    <t>38,4</t>
  </si>
  <si>
    <t>38,7</t>
  </si>
  <si>
    <t>38,8</t>
  </si>
  <si>
    <t>39,2</t>
  </si>
  <si>
    <t>39,6</t>
  </si>
  <si>
    <t>39,8</t>
  </si>
  <si>
    <t>40,2</t>
  </si>
  <si>
    <t>38,5</t>
  </si>
  <si>
    <t>40,6</t>
  </si>
  <si>
    <t>40,9</t>
  </si>
  <si>
    <t>41,1</t>
  </si>
  <si>
    <t>41,5</t>
  </si>
  <si>
    <t>41,7</t>
  </si>
  <si>
    <t>41,8</t>
  </si>
  <si>
    <t>42,2</t>
  </si>
  <si>
    <t>42,5</t>
  </si>
  <si>
    <t>42,6</t>
  </si>
  <si>
    <t>41,9</t>
  </si>
  <si>
    <t>43,0</t>
  </si>
  <si>
    <t>43,1</t>
  </si>
  <si>
    <t>43,4</t>
  </si>
  <si>
    <t>43,6</t>
  </si>
  <si>
    <t>43,8</t>
  </si>
  <si>
    <t>44,0</t>
  </si>
  <si>
    <t>45,0</t>
  </si>
  <si>
    <t>45,5</t>
  </si>
  <si>
    <t>46,3</t>
  </si>
  <si>
    <t>46,5</t>
  </si>
  <si>
    <t>44,8</t>
  </si>
  <si>
    <t>46,8</t>
  </si>
  <si>
    <t>46,9</t>
  </si>
  <si>
    <t>47,1</t>
  </si>
  <si>
    <t>47,0</t>
  </si>
  <si>
    <t>47,3</t>
  </si>
  <si>
    <t>47,4</t>
  </si>
  <si>
    <t>47,5</t>
  </si>
  <si>
    <t>48,1</t>
  </si>
  <si>
    <t>47,9</t>
  </si>
  <si>
    <t>48,4</t>
  </si>
  <si>
    <t>49,0</t>
  </si>
  <si>
    <t>49,3</t>
  </si>
  <si>
    <t>49,6</t>
  </si>
  <si>
    <t>50,0</t>
  </si>
  <si>
    <t>50,2</t>
  </si>
  <si>
    <t>50,4</t>
  </si>
  <si>
    <t>50,6</t>
  </si>
  <si>
    <t>50,7</t>
  </si>
  <si>
    <t>50,8</t>
  </si>
  <si>
    <t>51,5</t>
  </si>
  <si>
    <t>51,6</t>
  </si>
  <si>
    <t>51,9</t>
  </si>
  <si>
    <t>52,2</t>
  </si>
  <si>
    <t>52,4</t>
  </si>
  <si>
    <t>52,6</t>
  </si>
  <si>
    <t>52,5</t>
  </si>
  <si>
    <t>52,9</t>
  </si>
  <si>
    <t>53,1</t>
  </si>
  <si>
    <t>54,1</t>
  </si>
  <si>
    <t>54,6</t>
  </si>
  <si>
    <t>55,2</t>
  </si>
  <si>
    <t>56,0</t>
  </si>
  <si>
    <t>56,4</t>
  </si>
  <si>
    <t>56,8</t>
  </si>
  <si>
    <t>57,7</t>
  </si>
  <si>
    <t>57,9</t>
  </si>
  <si>
    <t>58,6</t>
  </si>
  <si>
    <t>59,4</t>
  </si>
  <si>
    <t>59,7</t>
  </si>
  <si>
    <t>57,2</t>
  </si>
  <si>
    <t>60,3</t>
  </si>
  <si>
    <t>60,2</t>
  </si>
  <si>
    <t>60,9</t>
  </si>
  <si>
    <t>61,0</t>
  </si>
  <si>
    <t>60,7</t>
  </si>
  <si>
    <t>59,9</t>
  </si>
  <si>
    <t>60,5</t>
  </si>
  <si>
    <t>60,4</t>
  </si>
  <si>
    <t>61,1</t>
  </si>
  <si>
    <t>61,2</t>
  </si>
  <si>
    <t>61,4</t>
  </si>
  <si>
    <t>61,6</t>
  </si>
  <si>
    <t>61,8</t>
  </si>
  <si>
    <t>62,1</t>
  </si>
  <si>
    <t>62,0</t>
  </si>
  <si>
    <t>62,2</t>
  </si>
  <si>
    <t>62,3</t>
  </si>
  <si>
    <t>62,9</t>
  </si>
  <si>
    <t>63,2</t>
  </si>
  <si>
    <t>63,1</t>
  </si>
  <si>
    <t>63,7</t>
  </si>
  <si>
    <t>63,9</t>
  </si>
  <si>
    <t>64,2</t>
  </si>
  <si>
    <t>63,4</t>
  </si>
  <si>
    <t>64,6</t>
  </si>
  <si>
    <t>64,7</t>
  </si>
  <si>
    <t>65,0</t>
  </si>
  <si>
    <t>65,4</t>
  </si>
  <si>
    <t>65,7</t>
  </si>
  <si>
    <t>66,2</t>
  </si>
  <si>
    <t>66,9</t>
  </si>
  <si>
    <t>67,4</t>
  </si>
  <si>
    <t>67,6</t>
  </si>
  <si>
    <t>67,7</t>
  </si>
  <si>
    <t>68,0</t>
  </si>
  <si>
    <t>66,4</t>
  </si>
  <si>
    <t>68,5</t>
  </si>
  <si>
    <t>68,4</t>
  </si>
  <si>
    <t>69,0</t>
  </si>
  <si>
    <t>69,9</t>
  </si>
  <si>
    <t>70,3</t>
  </si>
  <si>
    <t>70,9</t>
  </si>
  <si>
    <t>71,6</t>
  </si>
  <si>
    <t>71,9</t>
  </si>
  <si>
    <t>72,5</t>
  </si>
  <si>
    <t>73,1</t>
  </si>
  <si>
    <t>73,4</t>
  </si>
  <si>
    <t>74,0</t>
  </si>
  <si>
    <t>71,1</t>
  </si>
  <si>
    <t>74,8</t>
  </si>
  <si>
    <t>75,1</t>
  </si>
  <si>
    <t>76,3</t>
  </si>
  <si>
    <t>77,7</t>
  </si>
  <si>
    <t>78,5</t>
  </si>
  <si>
    <t>79,6</t>
  </si>
  <si>
    <t>81,2</t>
  </si>
  <si>
    <t>81,8</t>
  </si>
  <si>
    <t>81,9</t>
  </si>
  <si>
    <t>82,0</t>
  </si>
  <si>
    <t>81,1</t>
  </si>
  <si>
    <t>79,3</t>
  </si>
  <si>
    <t>81,4</t>
  </si>
  <si>
    <t>82,3</t>
  </si>
  <si>
    <t>83,4</t>
  </si>
  <si>
    <t>83,8</t>
  </si>
  <si>
    <t>84,1</t>
  </si>
  <si>
    <t>84,5</t>
  </si>
  <si>
    <t>85,4</t>
  </si>
  <si>
    <t>85,6</t>
  </si>
  <si>
    <t>86,0</t>
  </si>
  <si>
    <t>86,2</t>
  </si>
  <si>
    <t>84,6</t>
  </si>
  <si>
    <t>86,4</t>
  </si>
  <si>
    <t>87,0</t>
  </si>
  <si>
    <t>87,7</t>
  </si>
  <si>
    <t>87,8</t>
  </si>
  <si>
    <t>88,0</t>
  </si>
  <si>
    <t>88,6</t>
  </si>
  <si>
    <t>88,7</t>
  </si>
  <si>
    <t>88,9</t>
  </si>
  <si>
    <t>89,0</t>
  </si>
  <si>
    <t>89,2</t>
  </si>
  <si>
    <t>88,2</t>
  </si>
  <si>
    <t>89,6</t>
  </si>
  <si>
    <t>90,2</t>
  </si>
  <si>
    <t>91,3</t>
  </si>
  <si>
    <t>91,6</t>
  </si>
  <si>
    <t>92,0</t>
  </si>
  <si>
    <t>92,4</t>
  </si>
  <si>
    <t>93,2</t>
  </si>
  <si>
    <t>93,4</t>
  </si>
  <si>
    <t>93,8</t>
  </si>
  <si>
    <t>94,2</t>
  </si>
  <si>
    <t>94,5</t>
  </si>
  <si>
    <t>94,6</t>
  </si>
  <si>
    <t>92,6</t>
  </si>
  <si>
    <t>95,2</t>
  </si>
  <si>
    <t>95,7</t>
  </si>
  <si>
    <t>96,8</t>
  </si>
  <si>
    <t>97,2</t>
  </si>
  <si>
    <t>97,5</t>
  </si>
  <si>
    <t>97,8</t>
  </si>
  <si>
    <t>98,0</t>
  </si>
  <si>
    <t>98,9</t>
  </si>
  <si>
    <t>99,5</t>
  </si>
  <si>
    <t>99,8</t>
  </si>
  <si>
    <t>100,0</t>
  </si>
  <si>
    <t>100,3</t>
  </si>
  <si>
    <t>101,3</t>
  </si>
  <si>
    <t>102,5</t>
  </si>
  <si>
    <t>102,9</t>
  </si>
  <si>
    <t>102,6</t>
  </si>
  <si>
    <t>104,0</t>
  </si>
  <si>
    <t>104,3</t>
  </si>
  <si>
    <t>104,8</t>
  </si>
  <si>
    <t>105,0</t>
  </si>
  <si>
    <t>105,1</t>
  </si>
  <si>
    <t>105,4</t>
  </si>
  <si>
    <t>103,4</t>
  </si>
  <si>
    <t>Added the CPI_1960-2013 index sheet  and Name References ( e.g. zar.2012) for TCH_XXX sheet monetary conversions</t>
  </si>
  <si>
    <t>Proxy(thumbsuck)</t>
  </si>
  <si>
    <t>fadiel</t>
  </si>
  <si>
    <t>avg tax:</t>
  </si>
  <si>
    <t>IMPOCR</t>
  </si>
  <si>
    <t>TAX_ODS</t>
  </si>
  <si>
    <t>TAX_OGS</t>
  </si>
  <si>
    <t>TAX_BID</t>
  </si>
  <si>
    <t>TAX_BIE</t>
  </si>
  <si>
    <t>density</t>
  </si>
  <si>
    <t>Litre</t>
  </si>
  <si>
    <t>kg/l</t>
  </si>
  <si>
    <t>R/GJ (mR/PJ)</t>
  </si>
  <si>
    <t>avg petrol (R/GJ)</t>
  </si>
  <si>
    <t>avg diesel (R/GJ)</t>
  </si>
  <si>
    <t>avg petrol (R/l)</t>
  </si>
  <si>
    <t>avg diesel (R/l)</t>
  </si>
  <si>
    <t>Base Year Monetary Year link to Deflator.xlsx</t>
  </si>
  <si>
    <t>SAPIA (Fuel Tax Historical Margins)</t>
  </si>
  <si>
    <t>avg petrol price (minus BFP) vs crude price</t>
  </si>
  <si>
    <t>avg diesel price (minus BFP) vs crude price</t>
  </si>
  <si>
    <t>450 Scenario</t>
  </si>
  <si>
    <t>Real terms ($2015)</t>
  </si>
  <si>
    <t>IEA crude oil</t>
  </si>
  <si>
    <t>($/barrel)</t>
  </si>
  <si>
    <t>($/MBtu)</t>
  </si>
  <si>
    <t>European Union</t>
  </si>
  <si>
    <t>China</t>
  </si>
  <si>
    <t>Steam coal</t>
  </si>
  <si>
    <t>($/tonne)</t>
  </si>
  <si>
    <t>OECD</t>
  </si>
  <si>
    <t>Coastal China</t>
  </si>
  <si>
    <t>Exchange rate for 2015</t>
  </si>
  <si>
    <t>Gas Infrastructure costs from Darryl (2012 $)</t>
  </si>
  <si>
    <t>to convert from 2012 to 2015 $</t>
  </si>
  <si>
    <t>ZAR/USD Exchange Rate from IRP 2016:</t>
  </si>
  <si>
    <t>convert 2005$ to 2015 $</t>
  </si>
  <si>
    <t xml:space="preserve">Euro 5 </t>
  </si>
  <si>
    <t>USD rate</t>
  </si>
  <si>
    <t>UREFOCRCO-E</t>
  </si>
  <si>
    <t>UREFOCRCO-N</t>
  </si>
  <si>
    <t>UREFOCR*-E</t>
  </si>
  <si>
    <t>NCAP_COST (mR/PJ.a)</t>
  </si>
  <si>
    <t>FOM %</t>
  </si>
  <si>
    <t>CRF</t>
  </si>
  <si>
    <t>Plant Life</t>
  </si>
  <si>
    <t>utlisation</t>
  </si>
  <si>
    <t>CAPEX (2010 ZAR) mR/PJ/a</t>
  </si>
  <si>
    <t>OM mR/PJ/yr</t>
  </si>
  <si>
    <t>annualised FOM</t>
  </si>
  <si>
    <t>Mm3/a</t>
  </si>
  <si>
    <t>m3/GJ or Mm3/PJ</t>
  </si>
  <si>
    <t>semi-dry CFB-FGD</t>
  </si>
  <si>
    <t>WFGD</t>
  </si>
  <si>
    <t>2015zar</t>
  </si>
  <si>
    <t>New CTL FGD</t>
  </si>
  <si>
    <t>UCTLCLEIN-N-A</t>
  </si>
  <si>
    <t xml:space="preserve">WaterBerg CTL Pipeline </t>
  </si>
  <si>
    <t>2010zar</t>
  </si>
  <si>
    <t>NCAP_FOM (FGD:semi-dry;pipeline)</t>
  </si>
  <si>
    <t>2015 check</t>
  </si>
  <si>
    <t>model</t>
  </si>
  <si>
    <t>SATIM 2012</t>
  </si>
  <si>
    <t>RFSU delay (years)</t>
  </si>
  <si>
    <t>TS STech</t>
  </si>
  <si>
    <t>CO2SP</t>
  </si>
  <si>
    <t>Process Emissions South Africa</t>
  </si>
  <si>
    <t>Added CO2SP process emissions commodity which is produced by industry</t>
  </si>
  <si>
    <t>23-01-2018</t>
  </si>
  <si>
    <t>Bryce</t>
  </si>
  <si>
    <t>Gregory</t>
  </si>
  <si>
    <t>Updated Sectorwise distribution losses to NERSA 2012. Removed double counted transmission system losses</t>
  </si>
  <si>
    <t>http://www.wholesem.ac.uk/bartlett/energy/research/themes/energy-systems/hydrogen/</t>
  </si>
  <si>
    <t>Refinery Retirement Profile</t>
  </si>
  <si>
    <t>Refinery sector value add</t>
  </si>
  <si>
    <t>R/$ =</t>
  </si>
  <si>
    <t>Design</t>
  </si>
  <si>
    <t>Gross Ref</t>
  </si>
  <si>
    <t>Crude rate</t>
  </si>
  <si>
    <t>% Util</t>
  </si>
  <si>
    <t>run</t>
  </si>
  <si>
    <t>produced</t>
  </si>
  <si>
    <t>margin</t>
  </si>
  <si>
    <t>Value Add</t>
  </si>
  <si>
    <t>000 bbl/sd</t>
  </si>
  <si>
    <t>000 bbl/cd</t>
  </si>
  <si>
    <t>$ 000/cd</t>
  </si>
  <si>
    <t>$ mill p.a.</t>
  </si>
  <si>
    <t>ZAR mill p.a.</t>
  </si>
  <si>
    <t>Chevref</t>
  </si>
  <si>
    <t>Enref</t>
  </si>
  <si>
    <t>Sapref</t>
  </si>
  <si>
    <t>Secunda</t>
  </si>
  <si>
    <t>(Incl. Upstream or crude margin)</t>
  </si>
  <si>
    <t>(2017 FY made a loss of R2bill)</t>
  </si>
  <si>
    <t>From Dave Wright</t>
  </si>
  <si>
    <t>enref</t>
  </si>
  <si>
    <t>sapref</t>
  </si>
  <si>
    <t>bbl</t>
  </si>
  <si>
    <t>bR2019</t>
  </si>
  <si>
    <t>ARAMCO, Richards Bay  (CEF,2019)</t>
  </si>
  <si>
    <t>Coastal Crude Refineries - New (ARAMCO)</t>
  </si>
  <si>
    <t>ZAR</t>
  </si>
  <si>
    <t>M$/PJ</t>
  </si>
  <si>
    <t>$/J</t>
  </si>
  <si>
    <t>2019USD/kWe</t>
  </si>
  <si>
    <t>life (hr)</t>
  </si>
  <si>
    <t>tlife.hrs</t>
  </si>
  <si>
    <t>Electrical Efficiency (LHV)</t>
  </si>
  <si>
    <t>Tlife</t>
  </si>
  <si>
    <t xml:space="preserve">AFA </t>
  </si>
  <si>
    <t>INVcost (2015 mR/PJa)</t>
  </si>
  <si>
    <t>http://www.psi.org.uk/pdf/2008/HydrogenMARKAL_report.pdf</t>
  </si>
  <si>
    <t>LHV-H2</t>
  </si>
  <si>
    <t>Coastal Crude Refineries - New  (ARAMCO)</t>
  </si>
  <si>
    <t>Fixed Costs</t>
  </si>
  <si>
    <t>2018/19</t>
  </si>
  <si>
    <t>AFA(UP)</t>
  </si>
  <si>
    <t>adjust new crude refinery  costs and capacity to  reported CEF ARAMCO data</t>
  </si>
  <si>
    <t xml:space="preserve"> CT transport updates</t>
  </si>
  <si>
    <t>add petrosa  updates to GTL production</t>
  </si>
  <si>
    <t>all over</t>
  </si>
  <si>
    <t>NIR 2017 update</t>
  </si>
  <si>
    <t>1- Adjust Refinery AFAs to better match SAPIA 2017 production volumes 
2- revise H2-electrolysis to 2019 IEA data</t>
  </si>
  <si>
    <t>1 - Added blended biothanol-petrol  (BGS)  commodity 
2- Add CF2  to TCH_SUP</t>
  </si>
  <si>
    <t>tCO2eq/MWh</t>
  </si>
  <si>
    <t xml:space="preserve">Combustion Emiss. Factor </t>
  </si>
  <si>
    <t>estimated from sasol SR 2018</t>
  </si>
  <si>
    <t>estimated from sasol SR 2017</t>
  </si>
  <si>
    <t>external purchases</t>
  </si>
  <si>
    <t>SASOL Additional Analyst Information - 31 December 2017 2018</t>
  </si>
  <si>
    <t>Internal Sales</t>
  </si>
  <si>
    <t>Sustainability Report 2018</t>
  </si>
  <si>
    <t>Analyst Book Dec 2017</t>
  </si>
  <si>
    <t>CH4 (t)</t>
  </si>
  <si>
    <t>N2O (t)</t>
  </si>
  <si>
    <r>
      <rPr>
        <b/>
        <sz val="8"/>
        <color rgb="FF231F20"/>
        <rFont val="Arial"/>
        <family val="2"/>
      </rPr>
      <t>Secunda</t>
    </r>
  </si>
  <si>
    <r>
      <rPr>
        <b/>
        <sz val="8"/>
        <color rgb="FF231F20"/>
        <rFont val="Arial"/>
        <family val="2"/>
      </rPr>
      <t>Sasolburg</t>
    </r>
  </si>
  <si>
    <t>Slate</t>
  </si>
  <si>
    <t>All data for Calendar years</t>
  </si>
  <si>
    <t>Actual data (calculated from Sasol Analyst book) - public domain</t>
  </si>
  <si>
    <t>Forecast data</t>
  </si>
  <si>
    <t>Pipeline gas sales PJ/annum</t>
  </si>
  <si>
    <t>Methane rich gas</t>
  </si>
  <si>
    <t>Hydrogen rich gas</t>
  </si>
  <si>
    <t>Total Supply</t>
  </si>
  <si>
    <t>Sasol internal use of gas</t>
  </si>
  <si>
    <t>External market</t>
  </si>
  <si>
    <t>Total Sales</t>
  </si>
  <si>
    <t>Sasol synfuels - Secunda</t>
  </si>
  <si>
    <t>Gas to FT process Secunda</t>
  </si>
  <si>
    <t>Gas to Gas Turbines - Secunda</t>
  </si>
  <si>
    <t>Sasol new energy</t>
  </si>
  <si>
    <t>Gas to Gas Engines - Sasolburg</t>
  </si>
  <si>
    <t xml:space="preserve">Sasol chemicals -Sasolburg </t>
  </si>
  <si>
    <t>Gas to FT process -Sasolburg</t>
  </si>
  <si>
    <t>Notes</t>
  </si>
  <si>
    <r>
      <t>1. Sasol has recently completed a US$220 million gas project to expand the capacity of the central processing facility (CPF) in Mozambique - increasing capacity to 183 MGJ/a [</t>
    </r>
    <r>
      <rPr>
        <i/>
        <sz val="11"/>
        <color indexed="8"/>
        <rFont val="Calibri"/>
        <family val="2"/>
      </rPr>
      <t>source:Sasol web-site</t>
    </r>
    <r>
      <rPr>
        <sz val="10"/>
        <color rgb="FF000000"/>
        <rFont val="Times New Roman"/>
        <family val="1"/>
      </rPr>
      <t>].</t>
    </r>
  </si>
  <si>
    <t>2. Long-term use of 183 MGJ/a is 27 MGJ/a to Mozambique electricity generation market and 156 MGJ/annum to South Africa.</t>
  </si>
  <si>
    <t>3. A limited amount of gas to Sasol Synfuels can be reallocated from electricity generation to FT process - figures show maximum gas to electricity generation.</t>
  </si>
  <si>
    <t>4. Sasolburg gas engine power plant comes on line in December 2012.</t>
  </si>
  <si>
    <t>5. Gas to Sasol chemicals in Sasolburg increases due to wax-expansion project.</t>
  </si>
  <si>
    <r>
      <t>6. Sasol has agreements in Mozambique to obtain gas until 2029 [</t>
    </r>
    <r>
      <rPr>
        <i/>
        <sz val="11"/>
        <color indexed="8"/>
        <rFont val="Calibri"/>
        <family val="2"/>
      </rPr>
      <t>Form 20-F 2012 - public domain</t>
    </r>
    <r>
      <rPr>
        <sz val="10"/>
        <color rgb="FF000000"/>
        <rFont val="Times New Roman"/>
        <family val="1"/>
      </rPr>
      <t>]</t>
    </r>
  </si>
  <si>
    <t>7. After 2029 - gas supply can continue at same levels if new agreements are in place - maximum capacity remains 183 MGJ/annum with 156 MGJ/annum to RSA without further investment in infrastructure.</t>
  </si>
  <si>
    <t>mycalcs:</t>
  </si>
  <si>
    <t>FY17</t>
  </si>
  <si>
    <t>total production (bcf)</t>
  </si>
  <si>
    <t>bcf-&gt;PJ</t>
  </si>
  <si>
    <t>Moz ext sales</t>
  </si>
  <si>
    <t>ZA external sales:</t>
  </si>
  <si>
    <t>Methane Rich Gas (PJ)</t>
  </si>
  <si>
    <t>Moz Ngas</t>
  </si>
  <si>
    <t>base chemicals</t>
  </si>
  <si>
    <t>performance chemicals</t>
  </si>
  <si>
    <t>energy</t>
  </si>
  <si>
    <t>Total sasol consumption</t>
  </si>
  <si>
    <t>Derek's calculations: SASOL internal usage</t>
  </si>
  <si>
    <t>Gas to FT process</t>
  </si>
  <si>
    <t>Gas SASOL</t>
  </si>
  <si>
    <t>MJ/m3</t>
  </si>
  <si>
    <t>DEFF 2020 Calorific Values [CV]</t>
  </si>
  <si>
    <t>1 mcf nat. gas (LHV) = 10.27 therm = 1.027 mmBtu = 1.082 GJ</t>
  </si>
  <si>
    <t>GJ/mcf</t>
  </si>
  <si>
    <t>MIT 2007 Units &amp; Conversions Fact Sheet</t>
  </si>
  <si>
    <t>TJ/bcf</t>
  </si>
  <si>
    <t>cf-&gt;m3</t>
  </si>
  <si>
    <t xml:space="preserve">BP </t>
  </si>
  <si>
    <t>GAS - bcf</t>
  </si>
  <si>
    <t>total Production</t>
  </si>
  <si>
    <t>Moz sales</t>
  </si>
  <si>
    <t>external sales</t>
  </si>
  <si>
    <t>methane-rich</t>
  </si>
  <si>
    <t>ngas-Moz</t>
  </si>
  <si>
    <t>kt</t>
  </si>
  <si>
    <t>Dave Wright (2018)</t>
  </si>
  <si>
    <t>deviation</t>
  </si>
  <si>
    <t>2019 CC Report</t>
  </si>
  <si>
    <t>source</t>
  </si>
  <si>
    <t>type</t>
  </si>
  <si>
    <t>satim</t>
  </si>
  <si>
    <t>emissions</t>
  </si>
  <si>
    <t xml:space="preserve"> steam share</t>
  </si>
  <si>
    <t>eskom</t>
  </si>
  <si>
    <t>tch_sup</t>
  </si>
  <si>
    <t>gas turbine</t>
  </si>
  <si>
    <t>tch_pwr</t>
  </si>
  <si>
    <t>3a</t>
  </si>
  <si>
    <t>steam for drives</t>
  </si>
  <si>
    <t>3b</t>
  </si>
  <si>
    <t>steam for gasifiers</t>
  </si>
  <si>
    <t>steam for elec</t>
  </si>
  <si>
    <t>process emissions</t>
  </si>
  <si>
    <t>cdp 2015/16 (july-june)</t>
  </si>
  <si>
    <t>secunda total</t>
  </si>
  <si>
    <t>Scope 1</t>
  </si>
  <si>
    <t>Wed 01 Jul 2015 - Thu 30 Jun 2016</t>
  </si>
  <si>
    <t>Please state how much fuel in MWh your organization has consumed (for energy purposes) during the reporting year</t>
  </si>
  <si>
    <t>Please complete the table by breaking down the total "Fuel" figure entered above by fuel type</t>
  </si>
  <si>
    <t>Diesel/Gas Oil</t>
  </si>
  <si>
    <t>(MWh)</t>
  </si>
  <si>
    <t>Bituminous-coal</t>
  </si>
  <si>
    <t>fuel gas</t>
  </si>
  <si>
    <t>Please state how much heat, steam, and cooling in MWh your organization has purchased and consumed during the reporting year</t>
  </si>
  <si>
    <t>Cooling</t>
  </si>
  <si>
    <t>Please report how much electricity you produce in MWh, and how much electricity you consume in MWh</t>
  </si>
  <si>
    <t>SRK 2019</t>
  </si>
  <si>
    <t>Mwe</t>
  </si>
  <si>
    <t>tch-SUP</t>
  </si>
  <si>
    <t>Rectisol SO operates a Rectisol plant on the Sasol One Site. The purpose of the Rectisol plant is “dew point correction” and “CO2” removal. Due to the high concentration of methane and other hydrocarbons, the gas from the first two stages are sent to the flare and those from the last three stages are sent to atmosphere through the Steam Station 1 Stacks. Emissions include hydrocarbons specifically with high concentrations of CO2 emitted from the Steam Station 1 stacks.</t>
  </si>
  <si>
    <t>SO operates a Benfield unit as part of the ammonia plant on the Sasol One Site. The Benfield unit consists of a CO2 absorber column were CO2 is removed from the process gas stream using the benfield solution. The benfield solution is regenerated in the desorber column were the CO2 is desorbed to the atmosphere.</t>
  </si>
  <si>
    <t>electricity-purchased</t>
  </si>
  <si>
    <t>electricity-generated</t>
  </si>
  <si>
    <t>process heat</t>
  </si>
  <si>
    <t>FT</t>
  </si>
  <si>
    <t>flaring - CO2 (from NIR 2017 submission)</t>
  </si>
  <si>
    <t>5a</t>
  </si>
  <si>
    <t>5b</t>
  </si>
  <si>
    <t>FT- Rectisol</t>
  </si>
  <si>
    <t>FT -Benfield</t>
  </si>
  <si>
    <t>FT -non-boiler emissions</t>
  </si>
  <si>
    <t>FT -boiler emissions</t>
  </si>
  <si>
    <t>Secunda Coal CV (Synfuels) (DEA, 2016)</t>
  </si>
  <si>
    <t>NDC2020 -runzero 2017 -PJ</t>
  </si>
  <si>
    <r>
      <rPr>
        <b/>
        <sz val="19"/>
        <color rgb="FF007DB6"/>
        <rFont val="Arial"/>
        <family val="2"/>
      </rPr>
      <t xml:space="preserve">Performance data - these are from July to June as per the CDP report
</t>
    </r>
    <r>
      <rPr>
        <b/>
        <sz val="12"/>
        <color rgb="FF007DB6"/>
        <rFont val="Arial"/>
        <family val="2"/>
      </rPr>
      <t>Natural Capital: Climate change-related data table</t>
    </r>
  </si>
  <si>
    <t>co2 eq</t>
  </si>
  <si>
    <r>
      <rPr>
        <b/>
        <sz val="8"/>
        <color rgb="FF231F20"/>
        <rFont val="Arial"/>
        <family val="2"/>
      </rPr>
      <t>Footnote</t>
    </r>
  </si>
  <si>
    <r>
      <rPr>
        <b/>
        <sz val="8"/>
        <color rgb="FF231F20"/>
        <rFont val="Arial"/>
        <family val="2"/>
      </rPr>
      <t xml:space="preserve">Level of
</t>
    </r>
    <r>
      <rPr>
        <b/>
        <sz val="8"/>
        <color rgb="FF231F20"/>
        <rFont val="Arial"/>
        <family val="2"/>
      </rPr>
      <t>assurance 2019</t>
    </r>
  </si>
  <si>
    <r>
      <rPr>
        <b/>
        <sz val="8"/>
        <color rgb="FF00AEEF"/>
        <rFont val="Arial"/>
        <family val="2"/>
      </rPr>
      <t>Production performance</t>
    </r>
  </si>
  <si>
    <r>
      <rPr>
        <b/>
        <sz val="8"/>
        <color rgb="FF231F20"/>
        <rFont val="Arial"/>
        <family val="2"/>
      </rPr>
      <t>Reasonable</t>
    </r>
  </si>
  <si>
    <r>
      <rPr>
        <b/>
        <sz val="8"/>
        <color rgb="FF003862"/>
        <rFont val="Arial"/>
        <family val="2"/>
      </rPr>
      <t>Product meant for external sale (kilotons)</t>
    </r>
  </si>
  <si>
    <r>
      <rPr>
        <b/>
        <sz val="8"/>
        <color rgb="FF231F20"/>
        <rFont val="Arial"/>
        <family val="2"/>
      </rPr>
      <t>Mining</t>
    </r>
  </si>
  <si>
    <r>
      <rPr>
        <b/>
        <sz val="8"/>
        <color rgb="FF231F20"/>
        <rFont val="Arial"/>
        <family val="2"/>
      </rPr>
      <t>Natref</t>
    </r>
  </si>
  <si>
    <r>
      <rPr>
        <b/>
        <sz val="8"/>
        <color rgb="FF231F20"/>
        <rFont val="Arial"/>
        <family val="2"/>
      </rPr>
      <t>Eurasia</t>
    </r>
  </si>
  <si>
    <r>
      <rPr>
        <b/>
        <sz val="8"/>
        <color rgb="FF231F20"/>
        <rFont val="Arial"/>
        <family val="2"/>
      </rPr>
      <t>North America</t>
    </r>
  </si>
  <si>
    <r>
      <rPr>
        <b/>
        <sz val="8"/>
        <color rgb="FF231F20"/>
        <rFont val="Arial"/>
        <family val="2"/>
      </rPr>
      <t>Mozambique</t>
    </r>
  </si>
  <si>
    <r>
      <rPr>
        <b/>
        <sz val="8"/>
        <color rgb="FF231F20"/>
        <rFont val="Arial"/>
        <family val="2"/>
      </rPr>
      <t>Satellite Operations, Strategic Business Units and Functions</t>
    </r>
  </si>
  <si>
    <r>
      <rPr>
        <b/>
        <sz val="8"/>
        <color rgb="FF00AEEF"/>
        <rFont val="Arial"/>
        <family val="2"/>
      </rPr>
      <t>Greenhouse gases (GHG) (kilotons)</t>
    </r>
  </si>
  <si>
    <r>
      <rPr>
        <b/>
        <sz val="8"/>
        <color rgb="FF003862"/>
        <rFont val="Arial"/>
        <family val="2"/>
      </rPr>
      <t>Direct methane (CH</t>
    </r>
    <r>
      <rPr>
        <b/>
        <vertAlign val="subscript"/>
        <sz val="4.5"/>
        <color rgb="FF003862"/>
        <rFont val="Arial"/>
        <family val="2"/>
      </rPr>
      <t>4</t>
    </r>
    <r>
      <rPr>
        <b/>
        <sz val="8"/>
        <color rgb="FF003862"/>
        <rFont val="Arial"/>
        <family val="2"/>
      </rPr>
      <t>)</t>
    </r>
  </si>
  <si>
    <r>
      <rPr>
        <b/>
        <sz val="8"/>
        <color rgb="FF003862"/>
        <rFont val="Arial"/>
        <family val="2"/>
      </rPr>
      <t>Nitrous oxide (N</t>
    </r>
    <r>
      <rPr>
        <b/>
        <vertAlign val="subscript"/>
        <sz val="4.5"/>
        <color rgb="FF003862"/>
        <rFont val="Arial"/>
        <family val="2"/>
      </rPr>
      <t>2</t>
    </r>
    <r>
      <rPr>
        <b/>
        <sz val="8"/>
        <color rgb="FF003862"/>
        <rFont val="Arial"/>
        <family val="2"/>
      </rPr>
      <t>O)</t>
    </r>
  </si>
  <si>
    <r>
      <rPr>
        <b/>
        <sz val="8"/>
        <color rgb="FF003862"/>
        <rFont val="Arial"/>
        <family val="2"/>
      </rPr>
      <t>Direct carbon dioxide (CO</t>
    </r>
    <r>
      <rPr>
        <b/>
        <vertAlign val="subscript"/>
        <sz val="4.5"/>
        <color rgb="FF003862"/>
        <rFont val="Arial"/>
        <family val="2"/>
      </rPr>
      <t>2</t>
    </r>
    <r>
      <rPr>
        <b/>
        <sz val="8"/>
        <color rgb="FF003862"/>
        <rFont val="Arial"/>
        <family val="2"/>
      </rPr>
      <t>) Scope 1</t>
    </r>
  </si>
  <si>
    <r>
      <rPr>
        <b/>
        <sz val="8"/>
        <color rgb="FF003862"/>
        <rFont val="Arial"/>
        <family val="2"/>
      </rPr>
      <t>Indirect carbon dioxide (CO</t>
    </r>
    <r>
      <rPr>
        <b/>
        <vertAlign val="subscript"/>
        <sz val="4.5"/>
        <color rgb="FF003862"/>
        <rFont val="Arial"/>
        <family val="2"/>
      </rPr>
      <t>2</t>
    </r>
    <r>
      <rPr>
        <b/>
        <sz val="8"/>
        <color rgb="FF003862"/>
        <rFont val="Arial"/>
        <family val="2"/>
      </rPr>
      <t>) Scope 2</t>
    </r>
  </si>
  <si>
    <r>
      <rPr>
        <b/>
        <sz val="8"/>
        <color rgb="FF003862"/>
        <rFont val="Arial"/>
        <family val="2"/>
      </rPr>
      <t>Indirect carbon dioxide (CO</t>
    </r>
    <r>
      <rPr>
        <b/>
        <vertAlign val="subscript"/>
        <sz val="4.5"/>
        <color rgb="FF003862"/>
        <rFont val="Arial"/>
        <family val="2"/>
      </rPr>
      <t>2</t>
    </r>
    <r>
      <rPr>
        <b/>
        <sz val="8"/>
        <color rgb="FF003862"/>
        <rFont val="Arial"/>
        <family val="2"/>
      </rPr>
      <t>) Scope 3</t>
    </r>
  </si>
  <si>
    <r>
      <rPr>
        <b/>
        <sz val="8"/>
        <color rgb="FF231F20"/>
        <rFont val="Arial"/>
        <family val="2"/>
      </rPr>
      <t>Limited</t>
    </r>
  </si>
  <si>
    <r>
      <rPr>
        <b/>
        <vertAlign val="superscript"/>
        <sz val="8"/>
        <color rgb="FF231F20"/>
        <rFont val="Arial"/>
        <family val="2"/>
      </rPr>
      <t xml:space="preserve">Sasol Climate Change Report 2019      </t>
    </r>
    <r>
      <rPr>
        <b/>
        <sz val="9"/>
        <color rgb="FF007DB6"/>
        <rFont val="Arial"/>
        <family val="2"/>
      </rPr>
      <t>31</t>
    </r>
  </si>
  <si>
    <r>
      <rPr>
        <b/>
        <sz val="8"/>
        <color rgb="FF231F20"/>
        <rFont val="Arial"/>
        <family val="2"/>
      </rPr>
      <t>Level of assurance 2019</t>
    </r>
  </si>
  <si>
    <r>
      <rPr>
        <b/>
        <sz val="8"/>
        <color rgb="FF003862"/>
        <rFont val="Arial"/>
        <family val="2"/>
      </rPr>
      <t>Total greenhouse gas (CO</t>
    </r>
    <r>
      <rPr>
        <b/>
        <vertAlign val="subscript"/>
        <sz val="4.5"/>
        <color rgb="FF003862"/>
        <rFont val="Arial"/>
        <family val="2"/>
      </rPr>
      <t xml:space="preserve">2  </t>
    </r>
    <r>
      <rPr>
        <b/>
        <sz val="8"/>
        <color rgb="FF003862"/>
        <rFont val="Arial"/>
        <family val="2"/>
      </rPr>
      <t>equivalent)</t>
    </r>
  </si>
  <si>
    <r>
      <rPr>
        <b/>
        <sz val="8"/>
        <color rgb="FF231F20"/>
        <rFont val="Arial"/>
        <family val="2"/>
      </rPr>
      <t>66 558</t>
    </r>
  </si>
  <si>
    <r>
      <rPr>
        <b/>
        <sz val="8"/>
        <color rgb="FF231F20"/>
        <rFont val="Arial"/>
        <family val="2"/>
      </rPr>
      <t>67 412</t>
    </r>
  </si>
  <si>
    <r>
      <rPr>
        <b/>
        <sz val="8"/>
        <color rgb="FF231F20"/>
        <rFont val="Arial"/>
        <family val="2"/>
      </rPr>
      <t>67 632</t>
    </r>
  </si>
  <si>
    <r>
      <rPr>
        <b/>
        <sz val="8"/>
        <color rgb="FF231F20"/>
        <rFont val="Arial"/>
        <family val="2"/>
      </rPr>
      <t>69 250</t>
    </r>
  </si>
  <si>
    <r>
      <rPr>
        <b/>
        <sz val="8"/>
        <color rgb="FF231F20"/>
        <rFont val="Arial"/>
        <family val="2"/>
      </rPr>
      <t>56 492</t>
    </r>
  </si>
  <si>
    <r>
      <rPr>
        <b/>
        <sz val="8"/>
        <color rgb="FF231F20"/>
        <rFont val="Arial"/>
        <family val="2"/>
      </rPr>
      <t>57 586</t>
    </r>
  </si>
  <si>
    <r>
      <rPr>
        <b/>
        <sz val="8"/>
        <color rgb="FF231F20"/>
        <rFont val="Arial"/>
        <family val="2"/>
      </rPr>
      <t>57 267</t>
    </r>
  </si>
  <si>
    <r>
      <rPr>
        <b/>
        <sz val="8"/>
        <color rgb="FF231F20"/>
        <rFont val="Arial"/>
        <family val="2"/>
      </rPr>
      <t>58 633</t>
    </r>
  </si>
  <si>
    <r>
      <rPr>
        <b/>
        <sz val="8"/>
        <color rgb="FF231F20"/>
        <rFont val="Arial"/>
        <family val="2"/>
      </rPr>
      <t>5 297</t>
    </r>
  </si>
  <si>
    <r>
      <rPr>
        <b/>
        <sz val="8"/>
        <color rgb="FF231F20"/>
        <rFont val="Arial"/>
        <family val="2"/>
      </rPr>
      <t>5 483</t>
    </r>
  </si>
  <si>
    <r>
      <rPr>
        <b/>
        <sz val="8"/>
        <color rgb="FF231F20"/>
        <rFont val="Arial"/>
        <family val="2"/>
      </rPr>
      <t>5 763</t>
    </r>
  </si>
  <si>
    <r>
      <rPr>
        <b/>
        <sz val="8"/>
        <color rgb="FF231F20"/>
        <rFont val="Arial"/>
        <family val="2"/>
      </rPr>
      <t>5 947</t>
    </r>
  </si>
  <si>
    <r>
      <rPr>
        <b/>
        <sz val="8"/>
        <color rgb="FF231F20"/>
        <rFont val="Arial"/>
        <family val="2"/>
      </rPr>
      <t>1 221</t>
    </r>
  </si>
  <si>
    <r>
      <rPr>
        <b/>
        <sz val="8"/>
        <color rgb="FF231F20"/>
        <rFont val="Arial"/>
        <family val="2"/>
      </rPr>
      <t>1 038</t>
    </r>
  </si>
  <si>
    <r>
      <rPr>
        <b/>
        <sz val="8"/>
        <color rgb="FF231F20"/>
        <rFont val="Arial"/>
        <family val="2"/>
      </rPr>
      <t>1 166</t>
    </r>
  </si>
  <si>
    <r>
      <rPr>
        <b/>
        <sz val="8"/>
        <color rgb="FF231F20"/>
        <rFont val="Arial"/>
        <family val="2"/>
      </rPr>
      <t>1 199</t>
    </r>
  </si>
  <si>
    <r>
      <rPr>
        <b/>
        <sz val="8"/>
        <color rgb="FF231F20"/>
        <rFont val="Arial"/>
        <family val="2"/>
      </rPr>
      <t>1 665</t>
    </r>
  </si>
  <si>
    <r>
      <rPr>
        <b/>
        <sz val="8"/>
        <color rgb="FF231F20"/>
        <rFont val="Arial"/>
        <family val="2"/>
      </rPr>
      <t>1 340</t>
    </r>
  </si>
  <si>
    <r>
      <rPr>
        <b/>
        <sz val="8"/>
        <color rgb="FF231F20"/>
        <rFont val="Arial"/>
        <family val="2"/>
      </rPr>
      <t>1 338</t>
    </r>
  </si>
  <si>
    <r>
      <rPr>
        <b/>
        <sz val="8"/>
        <color rgb="FF231F20"/>
        <rFont val="Arial"/>
        <family val="2"/>
      </rPr>
      <t>1 242</t>
    </r>
  </si>
  <si>
    <r>
      <rPr>
        <b/>
        <sz val="8"/>
        <color rgb="FF003862"/>
        <rFont val="Arial"/>
        <family val="2"/>
      </rPr>
      <t>GHG intensity (CO</t>
    </r>
    <r>
      <rPr>
        <b/>
        <vertAlign val="subscript"/>
        <sz val="4.5"/>
        <color rgb="FF003862"/>
        <rFont val="Arial"/>
        <family val="2"/>
      </rPr>
      <t xml:space="preserve">2  </t>
    </r>
    <r>
      <rPr>
        <b/>
        <sz val="8"/>
        <color rgb="FF003862"/>
        <rFont val="Arial"/>
        <family val="2"/>
      </rPr>
      <t>equivalent/ton production)</t>
    </r>
  </si>
  <si>
    <r>
      <rPr>
        <b/>
        <sz val="8"/>
        <color rgb="FF231F20"/>
        <rFont val="Arial"/>
        <family val="2"/>
      </rPr>
      <t>3,61</t>
    </r>
  </si>
  <si>
    <r>
      <rPr>
        <b/>
        <sz val="8"/>
        <color rgb="FF231F20"/>
        <rFont val="Arial"/>
        <family val="2"/>
      </rPr>
      <t>3,78</t>
    </r>
  </si>
  <si>
    <r>
      <rPr>
        <b/>
        <sz val="8"/>
        <color rgb="FF231F20"/>
        <rFont val="Arial"/>
        <family val="2"/>
      </rPr>
      <t>3,66</t>
    </r>
  </si>
  <si>
    <r>
      <rPr>
        <b/>
        <sz val="8"/>
        <color rgb="FF231F20"/>
        <rFont val="Arial"/>
        <family val="2"/>
      </rPr>
      <t>3,68</t>
    </r>
  </si>
  <si>
    <r>
      <rPr>
        <b/>
        <sz val="8"/>
        <color rgb="FF231F20"/>
        <rFont val="Arial"/>
        <family val="2"/>
      </rPr>
      <t>8,39</t>
    </r>
  </si>
  <si>
    <r>
      <rPr>
        <b/>
        <sz val="8"/>
        <color rgb="FF231F20"/>
        <rFont val="Arial"/>
        <family val="2"/>
      </rPr>
      <t>8,57</t>
    </r>
  </si>
  <si>
    <r>
      <rPr>
        <b/>
        <sz val="8"/>
        <color rgb="FF231F20"/>
        <rFont val="Arial"/>
        <family val="2"/>
      </rPr>
      <t>8,21</t>
    </r>
  </si>
  <si>
    <r>
      <rPr>
        <b/>
        <sz val="8"/>
        <color rgb="FF231F20"/>
        <rFont val="Arial"/>
        <family val="2"/>
      </rPr>
      <t>8,35</t>
    </r>
  </si>
  <si>
    <r>
      <rPr>
        <b/>
        <sz val="8"/>
        <color rgb="FF231F20"/>
        <rFont val="Arial"/>
        <family val="2"/>
      </rPr>
      <t>3,46</t>
    </r>
  </si>
  <si>
    <r>
      <rPr>
        <b/>
        <sz val="8"/>
        <color rgb="FF231F20"/>
        <rFont val="Arial"/>
        <family val="2"/>
      </rPr>
      <t>3,69</t>
    </r>
  </si>
  <si>
    <r>
      <rPr>
        <b/>
        <sz val="8"/>
        <color rgb="FF231F20"/>
        <rFont val="Arial"/>
        <family val="2"/>
      </rPr>
      <t>4,07</t>
    </r>
  </si>
  <si>
    <r>
      <rPr>
        <b/>
        <sz val="8"/>
        <color rgb="FF231F20"/>
        <rFont val="Arial"/>
        <family val="2"/>
      </rPr>
      <t>0,26</t>
    </r>
  </si>
  <si>
    <r>
      <rPr>
        <b/>
        <sz val="8"/>
        <color rgb="FF231F20"/>
        <rFont val="Arial"/>
        <family val="2"/>
      </rPr>
      <t>0,25</t>
    </r>
  </si>
  <si>
    <r>
      <rPr>
        <b/>
        <sz val="8"/>
        <color rgb="FF231F20"/>
        <rFont val="Arial"/>
        <family val="2"/>
      </rPr>
      <t>0,27</t>
    </r>
  </si>
  <si>
    <r>
      <rPr>
        <b/>
        <sz val="8"/>
        <color rgb="FF231F20"/>
        <rFont val="Arial"/>
        <family val="2"/>
      </rPr>
      <t>0,29</t>
    </r>
  </si>
  <si>
    <r>
      <rPr>
        <b/>
        <sz val="8"/>
        <color rgb="FF231F20"/>
        <rFont val="Arial"/>
        <family val="2"/>
      </rPr>
      <t>0,56</t>
    </r>
  </si>
  <si>
    <r>
      <rPr>
        <b/>
        <sz val="8"/>
        <color rgb="FF231F20"/>
        <rFont val="Arial"/>
        <family val="2"/>
      </rPr>
      <t>0,61</t>
    </r>
  </si>
  <si>
    <r>
      <rPr>
        <b/>
        <sz val="8"/>
        <color rgb="FF231F20"/>
        <rFont val="Arial"/>
        <family val="2"/>
      </rPr>
      <t>0,70</t>
    </r>
  </si>
  <si>
    <r>
      <rPr>
        <b/>
        <sz val="8"/>
        <color rgb="FF231F20"/>
        <rFont val="Arial"/>
        <family val="2"/>
      </rPr>
      <t>2,42</t>
    </r>
  </si>
  <si>
    <r>
      <rPr>
        <b/>
        <sz val="8"/>
        <color rgb="FF231F20"/>
        <rFont val="Arial"/>
        <family val="2"/>
      </rPr>
      <t>1,89</t>
    </r>
  </si>
  <si>
    <r>
      <rPr>
        <b/>
        <sz val="8"/>
        <color rgb="FF231F20"/>
        <rFont val="Arial"/>
        <family val="2"/>
      </rPr>
      <t>1,65</t>
    </r>
  </si>
  <si>
    <r>
      <rPr>
        <b/>
        <sz val="8"/>
        <color rgb="FF231F20"/>
        <rFont val="Arial"/>
        <family val="2"/>
      </rPr>
      <t>1,57</t>
    </r>
  </si>
  <si>
    <r>
      <rPr>
        <b/>
        <sz val="8"/>
        <color rgb="FF231F20"/>
        <rFont val="Arial"/>
        <family val="2"/>
      </rPr>
      <t>4,92</t>
    </r>
  </si>
  <si>
    <r>
      <rPr>
        <b/>
        <sz val="8"/>
        <color rgb="FF231F20"/>
        <rFont val="Arial"/>
        <family val="2"/>
      </rPr>
      <t>4,74</t>
    </r>
  </si>
  <si>
    <r>
      <rPr>
        <b/>
        <sz val="8"/>
        <color rgb="FF231F20"/>
        <rFont val="Arial"/>
        <family val="2"/>
      </rPr>
      <t>4,08</t>
    </r>
  </si>
  <si>
    <r>
      <rPr>
        <b/>
        <sz val="8"/>
        <color rgb="FF231F20"/>
        <rFont val="Arial"/>
        <family val="2"/>
      </rPr>
      <t>4,38</t>
    </r>
  </si>
  <si>
    <r>
      <rPr>
        <b/>
        <sz val="8"/>
        <color rgb="FF231F20"/>
        <rFont val="Arial"/>
        <family val="2"/>
      </rPr>
      <t>0,11</t>
    </r>
  </si>
  <si>
    <r>
      <rPr>
        <b/>
        <sz val="8"/>
        <color rgb="FF231F20"/>
        <rFont val="Arial"/>
        <family val="2"/>
      </rPr>
      <t>0,13</t>
    </r>
  </si>
  <si>
    <r>
      <rPr>
        <b/>
        <sz val="9"/>
        <color rgb="FF007DB6"/>
        <rFont val="Arial"/>
        <family val="2"/>
      </rPr>
      <t xml:space="preserve">32    </t>
    </r>
    <r>
      <rPr>
        <b/>
        <vertAlign val="superscript"/>
        <sz val="8"/>
        <color rgb="FF231F20"/>
        <rFont val="Arial"/>
        <family val="2"/>
      </rPr>
      <t>Sasol Climate Change Report 2019</t>
    </r>
  </si>
  <si>
    <t>total</t>
  </si>
  <si>
    <t>GWPs</t>
  </si>
  <si>
    <t>SAR</t>
  </si>
  <si>
    <t>N20</t>
  </si>
  <si>
    <t>ch4</t>
  </si>
  <si>
    <t>TAR</t>
  </si>
  <si>
    <t>Sasol 2019 CC Report -2017</t>
  </si>
  <si>
    <t>1B3 Other Emissions</t>
  </si>
  <si>
    <t>NIR2017</t>
  </si>
  <si>
    <t>CO comparision</t>
  </si>
  <si>
    <t>diff</t>
  </si>
  <si>
    <t>1A1b Petroleum refining</t>
  </si>
  <si>
    <t xml:space="preserve">1- Adjust CTL Refinery data  (AFAs and Process EFs) to better match SASOL data for  NIR 2017
</t>
  </si>
  <si>
    <t>Onsite Steam exc. Electricity</t>
  </si>
  <si>
    <t>flaring</t>
  </si>
  <si>
    <t>SATIM CO2</t>
  </si>
  <si>
    <r>
      <rPr>
        <b/>
        <sz val="11"/>
        <color rgb="FF231F20"/>
        <rFont val="Arial"/>
        <family val="2"/>
      </rPr>
      <t>Footnotes
1.     Production – external sales – The boundaries of this figure only include a product that is destined for sale to Sasol customers, and does not include a product utilised or sold between the Sasol Group of companies. Stable production was experienced at Natref and resulted in increased production for external sale as compared to last year, in which planned shutdowns occurred.
2.     Greenhouse gas (GHG) emissions have been calculated and reported in accordance with the GHG Protocol (www.ghgprotocol.org) and the Intergovernmental Panel on Climate Change (IPCC) 2006 Guidelines. In our GHG measurements, in which included 100% of the emissions for the following joint ventures (JVs): Natref in South Africa and Sasol Exploration &amp; Production International. Data for those JVs where we do not have a significant influence or operational control is not included. An external assurance
provider has once again independently verified our direct and indirect emissions levels. Our GHG emission intensity (tons CO</t>
    </r>
    <r>
      <rPr>
        <b/>
        <vertAlign val="subscript"/>
        <sz val="11"/>
        <color rgb="FF231F20"/>
        <rFont val="Arial"/>
        <family val="2"/>
      </rPr>
      <t>2</t>
    </r>
    <r>
      <rPr>
        <b/>
        <sz val="11"/>
        <color rgb="FF231F20"/>
        <rFont val="Arial"/>
        <family val="2"/>
      </rPr>
      <t>e per ton of production – external sales) decreased to 3,61 in 2019 from 3,78 in 2018, due to an increase in the production – meant for external sale and a decrease in total GHG CO</t>
    </r>
    <r>
      <rPr>
        <b/>
        <vertAlign val="subscript"/>
        <sz val="11"/>
        <color rgb="FF231F20"/>
        <rFont val="Arial"/>
        <family val="2"/>
      </rPr>
      <t>2</t>
    </r>
    <r>
      <rPr>
        <b/>
        <sz val="11"/>
        <color rgb="FF231F20"/>
        <rFont val="Arial"/>
        <family val="2"/>
      </rPr>
      <t>e.
3.     The reduced indirect CO</t>
    </r>
    <r>
      <rPr>
        <b/>
        <vertAlign val="subscript"/>
        <sz val="11"/>
        <color rgb="FF231F20"/>
        <rFont val="Arial"/>
        <family val="2"/>
      </rPr>
      <t xml:space="preserve">2  </t>
    </r>
    <r>
      <rPr>
        <b/>
        <sz val="11"/>
        <color rgb="FF231F20"/>
        <rFont val="Arial"/>
        <family val="2"/>
      </rPr>
      <t>Scope 2 emissions for this year are as a result of the Secunda Synfuels Operations total shutdown in September 2018, as well as less electricity purchased by Sasolburg Operations following increased own electricity generation.
4.     Indirect carbon dioxide (CO</t>
    </r>
    <r>
      <rPr>
        <b/>
        <vertAlign val="subscript"/>
        <sz val="11"/>
        <color rgb="FF231F20"/>
        <rFont val="Arial"/>
        <family val="2"/>
      </rPr>
      <t>2</t>
    </r>
    <r>
      <rPr>
        <b/>
        <sz val="11"/>
        <color rgb="FF231F20"/>
        <rFont val="Arial"/>
        <family val="2"/>
      </rPr>
      <t>) Scope 3 includes only the emissions as a result of the charter flights to Vilanculos, Mozambique, where our Central Processing Facility is located. These flights have been discontinued resulting in the significant decrease in these Scope 3 emissions. Our other categories of Scope 3 emissions can be found on page 11 and
in our CDP submission available at www.sasol.com.</t>
    </r>
  </si>
  <si>
    <t>refined product</t>
  </si>
  <si>
    <t>mass of fuel consumed (tons/hr)</t>
  </si>
  <si>
    <t>Steam total heat at 66 bar</t>
  </si>
  <si>
    <t>Tons CO2/ton coal</t>
  </si>
  <si>
    <t>steam production (t/h)</t>
  </si>
  <si>
    <t>boiler efficiency 1</t>
  </si>
  <si>
    <t>boiler efficiency 2</t>
  </si>
  <si>
    <t>Boiler Efficiency:</t>
  </si>
  <si>
    <t>goal seek to match ROM value</t>
  </si>
  <si>
    <t>Mt</t>
  </si>
  <si>
    <t xml:space="preserve">secunda coal combustion estimated from NIR 2017 </t>
  </si>
  <si>
    <t>Total Direct Emissions exc Eskom</t>
  </si>
  <si>
    <t>Steam use -Secunda</t>
  </si>
  <si>
    <t xml:space="preserve">Electricity Use </t>
  </si>
  <si>
    <t>Natural Gas Use -exc Power Gen</t>
  </si>
  <si>
    <t>NIR 2017</t>
  </si>
  <si>
    <t>estimated</t>
  </si>
  <si>
    <t>Coal Calorific Value (Sasolburg)</t>
  </si>
  <si>
    <t xml:space="preserve"> steam share: adjuasted for SATIM</t>
  </si>
  <si>
    <t>Secunda 2017/16</t>
  </si>
  <si>
    <t>Process emissions</t>
  </si>
  <si>
    <t>total Direct CO2</t>
  </si>
  <si>
    <t>2017</t>
  </si>
  <si>
    <t>Petro SA AR (see Cell Range R216: for detail)</t>
  </si>
  <si>
    <t>Total GTL production</t>
  </si>
  <si>
    <t>Total Material Feedstock</t>
  </si>
  <si>
    <t>1B3 Other emissions from energy production</t>
  </si>
  <si>
    <t>1B3CO2</t>
  </si>
  <si>
    <t>ktCO2/PJ</t>
  </si>
  <si>
    <t>SATIM runzero ndc2020 calibration</t>
  </si>
  <si>
    <t>total product</t>
  </si>
  <si>
    <t>DMRE Value</t>
  </si>
  <si>
    <t>UPSGIC flo.in</t>
  </si>
  <si>
    <t>CRF Category</t>
  </si>
  <si>
    <t xml:space="preserve">Activity </t>
  </si>
  <si>
    <t>1B1ai1 Mining, 1B1ai2 Post-Mining (Underground)</t>
  </si>
  <si>
    <t>Amount of coal produced</t>
  </si>
  <si>
    <t>Tonnes</t>
  </si>
  <si>
    <t>1B1aii1 Mining, 1B1aii2 Post-Mining (Surface)</t>
  </si>
  <si>
    <t>1B1ai1 Mining (Underground)</t>
  </si>
  <si>
    <t>Emissions of CO2</t>
  </si>
  <si>
    <t>Gg CO2</t>
  </si>
  <si>
    <t>1B1ai2 Post-Mining (Underground)</t>
  </si>
  <si>
    <t>Emissions of CH4</t>
  </si>
  <si>
    <t>Gg CH4</t>
  </si>
  <si>
    <t>Total CO2</t>
  </si>
  <si>
    <t>Total CH4</t>
  </si>
  <si>
    <t>Kton</t>
  </si>
  <si>
    <t>kton/Mton</t>
  </si>
  <si>
    <t>GHG Inventory for South Africa (2017)</t>
  </si>
  <si>
    <t>MINCLE</t>
  </si>
  <si>
    <t>CV</t>
  </si>
  <si>
    <t>MINCOA</t>
  </si>
  <si>
    <t>PJ/Mton</t>
  </si>
  <si>
    <t xml:space="preserve">CF2 </t>
  </si>
  <si>
    <t>CF2 flexi retirement schedule</t>
  </si>
  <si>
    <t>coastal (PJ)</t>
  </si>
  <si>
    <t>inland (PJ)</t>
  </si>
  <si>
    <t>Residual Capacity</t>
  </si>
  <si>
    <t>Need to run the above configuration in SUPREF_CF2 with New Refinery as Discrete Unit Invesment</t>
  </si>
  <si>
    <t>Otherwise  in  SUPREF_CF2R with Constant CAP_BND with base year value  until 2050</t>
  </si>
  <si>
    <t>: CF2 investment with no new refinery</t>
  </si>
  <si>
    <t xml:space="preserve">: no CF2 investment no new refinery capacity and </t>
  </si>
  <si>
    <t>ZAR adjust</t>
  </si>
  <si>
    <t>WEO 2016</t>
  </si>
  <si>
    <t>WEO 2019</t>
  </si>
  <si>
    <t>Stated Policies</t>
  </si>
  <si>
    <t>Sustainable Dev</t>
  </si>
  <si>
    <t>Added Hydrogen to PWR in NameConv</t>
  </si>
  <si>
    <t>Changed UELEHGN from annual to daynight</t>
  </si>
  <si>
    <t>Changed emission factors for INDCOK to zero</t>
  </si>
  <si>
    <t>2020/12/?</t>
  </si>
  <si>
    <t>Updated oil price to WEO2020</t>
  </si>
  <si>
    <t>WEO2020</t>
  </si>
  <si>
    <t>Sustainable Development</t>
  </si>
  <si>
    <t>Delayed Recovery</t>
  </si>
  <si>
    <t>WEO2020 Stated Policies</t>
  </si>
  <si>
    <t>WEO 2020 Sust. Dev.</t>
  </si>
  <si>
    <t>WEO 2020 Delayed Recovery</t>
  </si>
  <si>
    <t>Deflator</t>
  </si>
  <si>
    <t>Crude Oil price in 2015 rands (R/bbl)</t>
  </si>
  <si>
    <t>'2015R/bbl</t>
  </si>
  <si>
    <t>Coal Price (EU)</t>
  </si>
  <si>
    <t>Ratio: 2040:2019</t>
  </si>
  <si>
    <t>Oil</t>
  </si>
  <si>
    <t>EU Coal</t>
  </si>
  <si>
    <t>US Coal</t>
  </si>
  <si>
    <t>Coal Price (US)</t>
  </si>
  <si>
    <t>US Coal elas</t>
  </si>
  <si>
    <t>Coal Price (Coastal China)</t>
  </si>
  <si>
    <t>China Coal</t>
  </si>
  <si>
    <t>China Coal elas</t>
  </si>
  <si>
    <t>EU Coal elas</t>
  </si>
  <si>
    <t>Ratio: 2040:2025</t>
  </si>
  <si>
    <t>US</t>
  </si>
  <si>
    <t>elas oil</t>
  </si>
  <si>
    <t>Conversion Factor</t>
  </si>
  <si>
    <t>Updated coal prices - constant (looking at WEO2020)</t>
  </si>
  <si>
    <t>Retired Astron(Chevref) + Enref in 2020 and taken out the forced Aramco refinery.</t>
  </si>
  <si>
    <t>Added CO2SP to COMAGG for CO2S</t>
  </si>
  <si>
    <t>Storage</t>
  </si>
  <si>
    <t>CH2</t>
  </si>
  <si>
    <t>2015 mR/PJ</t>
  </si>
  <si>
    <t>2015 mR/PJa</t>
  </si>
  <si>
    <t>estimate</t>
  </si>
  <si>
    <t>yrs</t>
  </si>
  <si>
    <t xml:space="preserve"> Efficiency</t>
  </si>
  <si>
    <t>DoE target</t>
  </si>
  <si>
    <t>DoE target-2020</t>
  </si>
  <si>
    <t>USD-2020/kg</t>
  </si>
  <si>
    <t>ZAR2015/kg</t>
  </si>
  <si>
    <t>Currency</t>
  </si>
  <si>
    <t>USD 2020 -&gt; ZAR 2020</t>
  </si>
  <si>
    <t>https://www.resbank.co.za/en/home</t>
  </si>
  <si>
    <t>ZAR 2020 -&gt; ZAR 2015</t>
  </si>
  <si>
    <t>https://inflationcalc.co.za/</t>
  </si>
  <si>
    <t xml:space="preserve">Large scale </t>
  </si>
  <si>
    <t>pressure (bar)</t>
  </si>
  <si>
    <t>application</t>
  </si>
  <si>
    <t>time period</t>
  </si>
  <si>
    <t>H2 pressure from electrolyser</t>
  </si>
  <si>
    <t>Compressor efficiency</t>
  </si>
  <si>
    <t>Compression (kWh/kg)</t>
  </si>
  <si>
    <t>turbine</t>
  </si>
  <si>
    <t>seasonal</t>
  </si>
  <si>
    <t>pipeline</t>
  </si>
  <si>
    <t>daynite</t>
  </si>
  <si>
    <t>vehicle</t>
  </si>
  <si>
    <t>Capex</t>
  </si>
  <si>
    <t>Pressure (Bar)</t>
  </si>
  <si>
    <t>USD (2020)</t>
  </si>
  <si>
    <t>bar</t>
  </si>
  <si>
    <t>Tube Trailer x4</t>
  </si>
  <si>
    <t>300-950</t>
  </si>
  <si>
    <t>Chart</t>
  </si>
  <si>
    <t>Houchins C. and James B.D. (2020)  2020 DOE Hydrogen and Fuel Cells Program Review:  Hydrogen Storage Cost Analysis (ST100)</t>
  </si>
  <si>
    <t>Images taken from https://hdsam.es.anl.gov/</t>
  </si>
  <si>
    <t>https://www.hydrogen.energy.gov/storage.html</t>
  </si>
  <si>
    <t>https://www.energy.gov/eere/fuelcells/doe-technical-targets-hydrogen-delivery</t>
  </si>
  <si>
    <t>Analyzed 700 bar LDV System Cost Reduction Strategies &amp; Identified Path to Near Ultimate DOE $/kWh target</t>
  </si>
  <si>
    <t>https://www.hydrogen.energy.gov/pdfs/9013_energy_requirements_for_hydrogen_gas_compression.pdf</t>
  </si>
  <si>
    <t>DOE Hydrogen and Fuel Cells Program Record</t>
  </si>
  <si>
    <t>Record #: 9013</t>
  </si>
  <si>
    <r>
      <rPr>
        <b/>
        <sz val="11"/>
        <color rgb="FFFFFFFF"/>
        <rFont val="Calibri"/>
        <family val="2"/>
      </rPr>
      <t>Parameter</t>
    </r>
  </si>
  <si>
    <r>
      <rPr>
        <b/>
        <sz val="11"/>
        <color rgb="FFFFFFFF"/>
        <rFont val="Calibri"/>
        <family val="2"/>
      </rPr>
      <t>GH2</t>
    </r>
  </si>
  <si>
    <r>
      <rPr>
        <b/>
        <sz val="11"/>
        <color rgb="FFFFFFFF"/>
        <rFont val="Calibri"/>
        <family val="2"/>
      </rPr>
      <t>LH2</t>
    </r>
  </si>
  <si>
    <r>
      <rPr>
        <b/>
        <sz val="11"/>
        <color rgb="FFFFFFFF"/>
        <rFont val="Calibri"/>
        <family val="2"/>
      </rPr>
      <t>Notes/Design Basis</t>
    </r>
  </si>
  <si>
    <t>Date: July 7th, 2009</t>
  </si>
  <si>
    <t>Bulk Storage Method Assumption</t>
  </si>
  <si>
    <t>Tube Trailer</t>
  </si>
  <si>
    <t>Dewer</t>
  </si>
  <si>
    <t>HRSAM</t>
  </si>
  <si>
    <t>Title: Energy requirements for hydrogen gas compression and liquefaction as related to vehicle storage needs</t>
  </si>
  <si>
    <r>
      <t>Station Max Daily Dispensing Capacity (kgH</t>
    </r>
    <r>
      <rPr>
        <vertAlign val="subscript"/>
        <sz val="9"/>
        <rFont val="Calibri"/>
        <family val="2"/>
      </rPr>
      <t>2</t>
    </r>
    <r>
      <rPr>
        <sz val="9"/>
        <rFont val="Calibri"/>
        <family val="2"/>
      </rPr>
      <t>/day)</t>
    </r>
  </si>
  <si>
    <t>Originator: Monterey Gardiner</t>
  </si>
  <si>
    <t>Number of refueling modules</t>
  </si>
  <si>
    <t>ANL/Linde design</t>
  </si>
  <si>
    <t>Approved by: Sunita Satyapal</t>
  </si>
  <si>
    <r>
      <t>Module Dispensing Capacity (kgH</t>
    </r>
    <r>
      <rPr>
        <vertAlign val="subscript"/>
        <sz val="9"/>
        <rFont val="Calibri"/>
        <family val="2"/>
      </rPr>
      <t>2</t>
    </r>
    <r>
      <rPr>
        <sz val="9"/>
        <rFont val="Calibri"/>
        <family val="2"/>
      </rPr>
      <t>/day/module)</t>
    </r>
  </si>
  <si>
    <t>ANL assumption based on Linde design</t>
  </si>
  <si>
    <t>Date: October 26th, 2009</t>
  </si>
  <si>
    <t>Target Vehicle Pressure (bar)</t>
  </si>
  <si>
    <t>Max dispensed pressure is higher 875 bar</t>
  </si>
  <si>
    <t>No. of Tanks per Module in Cascade Storage Bank</t>
  </si>
  <si>
    <t>ANL optimization parameter</t>
  </si>
  <si>
    <t>Cascade Vessel Type</t>
  </si>
  <si>
    <t>Type 2</t>
  </si>
  <si>
    <t>Based on Linde and FIBA Tech design</t>
  </si>
  <si>
    <t>Cascade Storage Pressure (bar)</t>
  </si>
  <si>
    <t>Tube Trailer Vessel Type</t>
  </si>
  <si>
    <t>Type 4</t>
  </si>
  <si>
    <t>Hexagon Titan XL</t>
  </si>
  <si>
    <r>
      <t>Tube Trailer Capacity (kgH</t>
    </r>
    <r>
      <rPr>
        <vertAlign val="subscript"/>
        <sz val="9"/>
        <rFont val="Calibri"/>
        <family val="2"/>
      </rPr>
      <t>2</t>
    </r>
    <r>
      <rPr>
        <sz val="9"/>
        <rFont val="Calibri"/>
        <family val="2"/>
      </rPr>
      <t>)</t>
    </r>
  </si>
  <si>
    <t>Tube Trailer Pressure (bar)</t>
  </si>
  <si>
    <t>Cascade and Tube Trailer Storage Composite</t>
  </si>
  <si>
    <r>
      <rPr>
        <sz val="9"/>
        <rFont val="Calibri"/>
        <family val="2"/>
      </rPr>
      <t>T700S/
Vinyl Ester</t>
    </r>
  </si>
  <si>
    <t>Adams (2019)</t>
  </si>
  <si>
    <t>Carbon fiber volume fraction</t>
  </si>
  <si>
    <t>Gotthold (2015 AMR)</t>
  </si>
  <si>
    <t>Quantity Per System</t>
  </si>
  <si>
    <t>Cost per Unit @100 Trailers per Year</t>
  </si>
  <si>
    <t>Cost per Trailer @100 Trailers per Year</t>
  </si>
  <si>
    <t>Type 4 220 kgH2 capacity Pressure Vessel</t>
  </si>
  <si>
    <t>$76,851/vessel</t>
  </si>
  <si>
    <t>40’ Trailer</t>
  </si>
  <si>
    <t>$40,000/trailer</t>
  </si>
  <si>
    <t>Steel Containment Structure</t>
  </si>
  <si>
    <t>$50,000/structure</t>
  </si>
  <si>
    <t>Balance of System</t>
  </si>
  <si>
    <t>Pressure Relief Device (PRD)</t>
  </si>
  <si>
    <t>$3,000 each</t>
  </si>
  <si>
    <t>Manual Shutoff Valves</t>
  </si>
  <si>
    <t>$270 each</t>
  </si>
  <si>
    <t>Valve Box./Common Manifold</t>
  </si>
  <si>
    <t>$300 each</t>
  </si>
  <si>
    <t>Block &amp; Bleed Valve</t>
  </si>
  <si>
    <t>$1,250 each</t>
  </si>
  <si>
    <t>Pressure Gauges (analog)</t>
  </si>
  <si>
    <t>$156 each</t>
  </si>
  <si>
    <t>Tubing</t>
  </si>
  <si>
    <t>35 ft.</t>
  </si>
  <si>
    <t>$15/ft</t>
  </si>
  <si>
    <t>Assembly</t>
  </si>
  <si>
    <t>Total USD (2020)</t>
  </si>
  <si>
    <t>[1] NIST Web book site:</t>
  </si>
  <si>
    <t>http://webbook.nist.gov/chemistry/</t>
  </si>
  <si>
    <t>[2] NREL Composite Data Products from the DOE Tech Validation Program http://www.nrel.gov/hydrogen/proj_learning_demo.html</t>
  </si>
  <si>
    <t>Refueling Station Compressor Efficiency, CDP #61, 3/2/09 http://www.nrel.gov/hydrogen/docs/cdp/cdp_61.ppt</t>
  </si>
  <si>
    <t>Reported average efficiency of 3.1 kWh/kg for 1 quarter reported data for on site hydrogen generation with a range of 7 to 16 MJ/kg (2 to 4 kWh/kg) excluding outliers</t>
  </si>
  <si>
    <t>[3] Next Energy 70MPa Specification Documents:</t>
  </si>
  <si>
    <t>http://www.nextenergy.org/Modules/Document/upload_documents/Fueling Specification for 70 MPa Compressed Hydrogen Vehicles Release Version A.pdf</t>
  </si>
  <si>
    <t>[4] Technical Assessment of Compressed Hydrogen Storage for Automotive Applications</t>
  </si>
  <si>
    <t>TIAX LLC, Argonne National Laboratory, 2009</t>
  </si>
  <si>
    <t>http://www.eere.energy.gov/hydrogenandfuelcells/hydrogen_publications.html#h2_storage</t>
  </si>
  <si>
    <t>[5] Report: “H2A Hydrogen Delivery Infrastructure Analysis Models and Conventional Pathway Options Analysis Results”, May 2008, http://www.hydrogen.energy.gov/h2a_delivery.html</t>
  </si>
  <si>
    <t>[6] Peschka, W. (1992). “Liquid Hydrogen.” Springer-Verlag, New York.</t>
  </si>
  <si>
    <t>[7] Active Magnetic Regenerative Liquefier, John Barclay, Prometheus Energy DOE Annual Merit Review, May 2009</t>
  </si>
  <si>
    <t>http://www.hydrogen.energy.gov/pdfs/review09/pd_37_barclay.pdf</t>
  </si>
  <si>
    <t>[8] DOE, Website on Tank Safety.</t>
  </si>
  <si>
    <t>http://www.eere.energy.gov/hydrogenandfuelcells/storage/hydrogen_storage_testing.html</t>
  </si>
  <si>
    <t>DOT 2.25 Factor of Safety, Table 4: Hydrogen Cylinder Test Matrix P. 6</t>
  </si>
  <si>
    <t>http://www-nrd.nhtsa.dot.gov/pdf/nrd-01/esv/esv20/07-0046-O.pdf</t>
  </si>
  <si>
    <t>EU 2.35 Factor of Safety Table 7A.5: Minimum Burst Pressure Ratios P. 59-60,</t>
  </si>
  <si>
    <t>http://www.eihp.org/unece/drafts/cgh2/GRPE_12a-b/CGH2R-12b.pdf</t>
  </si>
  <si>
    <t>[9] DOE Hydrogen Delivery Website and Model http://www.hydrogen.energy.gov/h2a_delivery.html (HDSAM V2.0.6)</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</si>
  <si>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</si>
  <si>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[11] M Bracha, et al., “Large-Scale Hydrogen Liquefaction in Germany” International Journal of Hydrogen Energy 19 (Jan 1994) pp. 53-59.</t>
  </si>
  <si>
    <t>E4Tech  (2012)  Electrolysis in the EU APPENDIX 2B FCHJU ElectrolysisStudy (ID 1329459)</t>
  </si>
  <si>
    <t>For comparison, the lower heating value (LHV) of hydrogen is 33.3 kWh/kg H2.</t>
  </si>
  <si>
    <t>Added  centralised storage for compressed (CH2) HGN with @ 200-300 bar pressure (power turbine ready) from 30 bar supply with compression for transport (700 bar)</t>
  </si>
  <si>
    <t>Compression</t>
  </si>
  <si>
    <t>PJ/PJ</t>
  </si>
  <si>
    <t>scaling factor</t>
  </si>
  <si>
    <r>
      <t>10E</t>
    </r>
    <r>
      <rPr>
        <vertAlign val="superscript"/>
        <sz val="11"/>
        <color theme="1"/>
        <rFont val="Calibri"/>
        <family val="2"/>
        <scheme val="minor"/>
      </rPr>
      <t>x</t>
    </r>
  </si>
  <si>
    <t>Added new storage scenario (STORH2UTL) in SATIM to inlcude in TCHSUP (New comms and processes)</t>
  </si>
  <si>
    <t>ITEMS</t>
  </si>
  <si>
    <t>COM,NRG,DAYNITE,FOSSIL</t>
  </si>
  <si>
    <t>UPSHGN</t>
  </si>
  <si>
    <t>Hydrogen Upstream Production</t>
  </si>
  <si>
    <t>HGNSTSUTL</t>
  </si>
  <si>
    <t>Utility Scale Storage - Hydrogen</t>
  </si>
  <si>
    <t>PRC,PRE,STGTSS,DAYNITE</t>
  </si>
  <si>
    <t>HGNXUPS</t>
  </si>
  <si>
    <t>Hydrogen Compression for Storage at 200 bar</t>
  </si>
  <si>
    <t>TS DATA</t>
  </si>
  <si>
    <t>FLO_EFF</t>
  </si>
  <si>
    <t>NCAP_AF</t>
  </si>
  <si>
    <t>NCAP_AFC</t>
  </si>
  <si>
    <t>DAYNITE</t>
  </si>
  <si>
    <t>STG_EFF</t>
  </si>
  <si>
    <t>TID DATA</t>
  </si>
  <si>
    <t>process</t>
  </si>
  <si>
    <t>parameter</t>
  </si>
  <si>
    <t>Production Plant Hydrogen Electrolysis PEM</t>
  </si>
  <si>
    <t>Production Plant Hydrogen Electrolysis Alkaline</t>
  </si>
  <si>
    <t>UELEP1</t>
  </si>
  <si>
    <t>UELEA1</t>
  </si>
  <si>
    <t>XTRAHGN</t>
  </si>
  <si>
    <t>Added new HGN commodities: UPSHGN</t>
  </si>
  <si>
    <t>Remapped topology for hydrogen production to new commodity (UPSHGN)</t>
  </si>
  <si>
    <t>Change set memberships to DayNite for hydrogen commodities</t>
  </si>
  <si>
    <t>Additional TS &amp; TID sheets for XTRA (hydrogen techs) to inlcude ancillary storage and distribution parameters</t>
  </si>
  <si>
    <t>$$$</t>
  </si>
  <si>
    <t>SSS</t>
  </si>
  <si>
    <t>DAYNITE:TRUE?</t>
  </si>
  <si>
    <t>DAYNIGHT commodities</t>
  </si>
  <si>
    <t>Modify formulae in ITEMS_Comm; ITEMS_CommX;ITEMS_Xtech to inlcude daynite option for non elc commodities such as HGN</t>
  </si>
  <si>
    <t>FOSSIL</t>
  </si>
  <si>
    <t>membership</t>
  </si>
  <si>
    <t>Start dates for large scale H2 from Coal and SMR changed to 2025</t>
  </si>
  <si>
    <t>UELEP1HGN</t>
  </si>
  <si>
    <t>UELEA1HGN</t>
  </si>
  <si>
    <t>PEM</t>
  </si>
  <si>
    <t>Alk</t>
  </si>
  <si>
    <t>Alkaline</t>
  </si>
  <si>
    <t>UNITS</t>
  </si>
  <si>
    <t>Joules</t>
  </si>
  <si>
    <t>Projected from IEA (2019) data</t>
  </si>
  <si>
    <t>ZAR 2019-&gt;2015</t>
  </si>
  <si>
    <t>ZAR2019-&gt;ZAR2010</t>
  </si>
  <si>
    <t>USD2019-&gt;ZAR2019</t>
  </si>
  <si>
    <t>$Mil.PJ</t>
  </si>
  <si>
    <t>Construction time</t>
  </si>
  <si>
    <t>ACT_UPS</t>
  </si>
  <si>
    <t>Item4</t>
  </si>
  <si>
    <t>Item5</t>
  </si>
  <si>
    <t>Item6</t>
  </si>
  <si>
    <t>I/E</t>
  </si>
  <si>
    <t>Comm</t>
  </si>
  <si>
    <t>CommGrp</t>
  </si>
  <si>
    <t>Item3</t>
  </si>
  <si>
    <t>Added Alkaline ELTS from IEA (2019) data and inlcuded ACT_UPS ramp rates as per Coal plant implementation. Ramp rates need a revisit.</t>
  </si>
  <si>
    <r>
      <t>Effect changes to  TS_Ttech as lookups  for commodity groups appear broken.</t>
    </r>
    <r>
      <rPr>
        <b/>
        <sz val="11"/>
        <color rgb="FFFF0000"/>
        <rFont val="Calibri"/>
        <family val="2"/>
        <scheme val="minor"/>
      </rPr>
      <t xml:space="preserve"> UPS &amp; TS_Ttech  sheets needs a major revision as it breaks too easily.</t>
    </r>
  </si>
  <si>
    <t>TRAHGN</t>
  </si>
  <si>
    <t>To fix XTRAHGN issue with Primary comm grp: Edit TS_Xtechs to remove ACT_EFF and replace with flo_eff in sheet "..TS..xtras"</t>
  </si>
  <si>
    <t>UFTHGNCO2-N-I</t>
  </si>
  <si>
    <t>UFTHGNCO2-N-O</t>
  </si>
  <si>
    <t>UFTHGNCO2-N</t>
  </si>
  <si>
    <t>Fischer-Tropsch SynFuel plant for Chemicals and Jetfuel-NEW</t>
  </si>
  <si>
    <t>CO2 from direct air capture as carbon feedstock for Fischer-Tropsch chemicals and fuels: Energy and economic analysis</t>
  </si>
  <si>
    <t>CASE 4: exc. DAC</t>
  </si>
  <si>
    <t>Marchese (2021)</t>
  </si>
  <si>
    <t>operation hours/year</t>
  </si>
  <si>
    <t>flofunc</t>
  </si>
  <si>
    <t>input based:</t>
  </si>
  <si>
    <t>output based:</t>
  </si>
  <si>
    <t>hr</t>
  </si>
  <si>
    <t>annum</t>
  </si>
  <si>
    <t>Feedstock (t/hour)</t>
  </si>
  <si>
    <t>CASE 4 (No NGAS)</t>
  </si>
  <si>
    <t>CASE 5 (no CC and No Ngas)</t>
  </si>
  <si>
    <t>H2O electrolysis</t>
  </si>
  <si>
    <t>t/hr</t>
  </si>
  <si>
    <t>oag</t>
  </si>
  <si>
    <t>Condensed H2O</t>
  </si>
  <si>
    <t>h2</t>
  </si>
  <si>
    <t>oke</t>
  </si>
  <si>
    <t>O2 electrolysis</t>
  </si>
  <si>
    <t>flo_shar</t>
  </si>
  <si>
    <t>CO2-&gt; RWGS</t>
  </si>
  <si>
    <t>Absorber Solvent</t>
  </si>
  <si>
    <t>FT Products</t>
  </si>
  <si>
    <t>Gas to Burner</t>
  </si>
  <si>
    <t>flo emmis</t>
  </si>
  <si>
    <t>Gas Fraction Recirculated</t>
  </si>
  <si>
    <t>co2</t>
  </si>
  <si>
    <t>t</t>
  </si>
  <si>
    <t>Liquid/Wax fraction</t>
  </si>
  <si>
    <t>(C5-C11)</t>
  </si>
  <si>
    <t xml:space="preserve">(C11-C20) </t>
  </si>
  <si>
    <t>other product</t>
  </si>
  <si>
    <t xml:space="preserve">(C20+) </t>
  </si>
  <si>
    <t>oth</t>
  </si>
  <si>
    <t>Auxiliaries</t>
  </si>
  <si>
    <t>FT compression</t>
  </si>
  <si>
    <t>Suitable for Aviation gasoline</t>
  </si>
  <si>
    <t>Suitable for Jet fuel</t>
  </si>
  <si>
    <t>jetfuel C chain length C12-18</t>
  </si>
  <si>
    <t>H2O-&gt; H2</t>
  </si>
  <si>
    <t>kg/kg</t>
  </si>
  <si>
    <t>H2</t>
  </si>
  <si>
    <t>t.hr</t>
  </si>
  <si>
    <t>GJ.hr</t>
  </si>
  <si>
    <t>t.t</t>
  </si>
  <si>
    <t>Jetfuel per annum @ 8000 hrs</t>
  </si>
  <si>
    <t>Net Efficiency Calc.</t>
  </si>
  <si>
    <t>input:</t>
  </si>
  <si>
    <t>MWh</t>
  </si>
  <si>
    <t>GJ/t</t>
  </si>
  <si>
    <t>kt/t</t>
  </si>
  <si>
    <t>Aviation Fuel Product</t>
  </si>
  <si>
    <t>output:</t>
  </si>
  <si>
    <t>Other Product</t>
  </si>
  <si>
    <t>share:</t>
  </si>
  <si>
    <t>ZAR 2020-&gt;2015</t>
  </si>
  <si>
    <t>USD-&gt;EUR</t>
  </si>
  <si>
    <t>installed cost = purchase price x installation factor</t>
  </si>
  <si>
    <t>J</t>
  </si>
  <si>
    <t>EUR/kW</t>
  </si>
  <si>
    <t>mEUR/PJ</t>
  </si>
  <si>
    <t>ZAR2020</t>
  </si>
  <si>
    <t>ZAR2015</t>
  </si>
  <si>
    <t>learning rate:</t>
  </si>
  <si>
    <t>per annum</t>
  </si>
  <si>
    <t>M.EUR</t>
  </si>
  <si>
    <t>MEUR</t>
  </si>
  <si>
    <t>M$</t>
  </si>
  <si>
    <t>H2 Calorific Value</t>
  </si>
  <si>
    <t>H2 HHV: low temp processess</t>
  </si>
  <si>
    <t>H2 LHV: high temp processes</t>
  </si>
  <si>
    <t>IEA Stats Manual Table A3.8 Typical Calorific Values for Selected Petroleum Products</t>
  </si>
  <si>
    <r>
      <rPr>
        <i/>
        <sz val="11"/>
        <color rgb="FF212126"/>
        <rFont val="Calibri"/>
        <family val="2"/>
        <scheme val="minor"/>
      </rPr>
      <t>Product</t>
    </r>
  </si>
  <si>
    <r>
      <rPr>
        <i/>
        <sz val="11"/>
        <color rgb="FF212126"/>
        <rFont val="Calibri"/>
        <family val="2"/>
        <scheme val="minor"/>
      </rPr>
      <t>Density kg/m3</t>
    </r>
  </si>
  <si>
    <r>
      <rPr>
        <i/>
        <sz val="11"/>
        <color rgb="FF212126"/>
        <rFont val="Calibri"/>
        <family val="2"/>
        <scheme val="minor"/>
      </rPr>
      <t>Litres per tonne</t>
    </r>
  </si>
  <si>
    <r>
      <rPr>
        <i/>
        <sz val="11"/>
        <color rgb="FF212126"/>
        <rFont val="Calibri"/>
        <family val="2"/>
        <scheme val="minor"/>
      </rPr>
      <t>Gross calorific value (GJ/t)</t>
    </r>
  </si>
  <si>
    <r>
      <rPr>
        <i/>
        <sz val="11"/>
        <color rgb="FF212126"/>
        <rFont val="Calibri"/>
        <family val="2"/>
        <scheme val="minor"/>
      </rPr>
      <t>Net calorific value
(GJ/t)(1)</t>
    </r>
  </si>
  <si>
    <t>Net calorific value
(MJ/litre)(1)</t>
  </si>
  <si>
    <r>
      <rPr>
        <i/>
        <sz val="11"/>
        <color rgb="FF212126"/>
        <rFont val="Calibri"/>
        <family val="2"/>
        <scheme val="minor"/>
      </rPr>
      <t>Ethane</t>
    </r>
  </si>
  <si>
    <r>
      <rPr>
        <i/>
        <sz val="11"/>
        <color rgb="FF212126"/>
        <rFont val="Calibri"/>
        <family val="2"/>
        <scheme val="minor"/>
      </rPr>
      <t>Propane</t>
    </r>
  </si>
  <si>
    <r>
      <rPr>
        <i/>
        <sz val="11"/>
        <color rgb="FF212126"/>
        <rFont val="Calibri"/>
        <family val="2"/>
        <scheme val="minor"/>
      </rPr>
      <t>Butane</t>
    </r>
  </si>
  <si>
    <r>
      <rPr>
        <i/>
        <sz val="11"/>
        <color rgb="FF212126"/>
        <rFont val="Calibri"/>
        <family val="2"/>
        <scheme val="minor"/>
      </rPr>
      <t>LPG(2)</t>
    </r>
  </si>
  <si>
    <r>
      <rPr>
        <i/>
        <sz val="11"/>
        <color rgb="FF212126"/>
        <rFont val="Calibri"/>
        <family val="2"/>
        <scheme val="minor"/>
      </rPr>
      <t>Naphtha</t>
    </r>
  </si>
  <si>
    <r>
      <rPr>
        <i/>
        <sz val="11"/>
        <color rgb="FF212126"/>
        <rFont val="Calibri"/>
        <family val="2"/>
        <scheme val="minor"/>
      </rPr>
      <t>Aviation gasoline</t>
    </r>
  </si>
  <si>
    <r>
      <rPr>
        <i/>
        <sz val="11"/>
        <color rgb="FF212126"/>
        <rFont val="Calibri"/>
        <family val="2"/>
        <scheme val="minor"/>
      </rPr>
      <t>Aviation turbine fuel</t>
    </r>
  </si>
  <si>
    <r>
      <rPr>
        <i/>
        <sz val="11"/>
        <color rgb="FF212126"/>
        <rFont val="Calibri"/>
        <family val="2"/>
        <scheme val="minor"/>
      </rPr>
      <t>Motor gasoline(3)</t>
    </r>
  </si>
  <si>
    <r>
      <rPr>
        <i/>
        <sz val="11"/>
        <color rgb="FF212126"/>
        <rFont val="Calibri"/>
        <family val="2"/>
        <scheme val="minor"/>
      </rPr>
      <t>Other kerosene</t>
    </r>
  </si>
  <si>
    <r>
      <rPr>
        <i/>
        <sz val="11"/>
        <color rgb="FF212126"/>
        <rFont val="Calibri"/>
        <family val="2"/>
        <scheme val="minor"/>
      </rPr>
      <t>Gas/diesel oil</t>
    </r>
  </si>
  <si>
    <r>
      <rPr>
        <i/>
        <sz val="11"/>
        <color rgb="FF212126"/>
        <rFont val="Calibri"/>
        <family val="2"/>
        <scheme val="minor"/>
      </rPr>
      <t>Fuel oil, low-sulphur</t>
    </r>
  </si>
  <si>
    <r>
      <rPr>
        <i/>
        <sz val="11"/>
        <color rgb="FF212126"/>
        <rFont val="Calibri"/>
        <family val="2"/>
        <scheme val="minor"/>
      </rPr>
      <t>Fuel oil, high-sulphur</t>
    </r>
  </si>
  <si>
    <t>Ethanol</t>
  </si>
  <si>
    <t>E85</t>
  </si>
  <si>
    <t>(1) For naphtha and heavier oils, the net calorific value is assumed to be 95% of gross.</t>
  </si>
  <si>
    <t>(2) Assumes a mixture of 70% propane and 30% butane by mass.</t>
  </si>
  <si>
    <t>(3) An average for motor gasolines with RON between 91 and 95.</t>
  </si>
  <si>
    <t>1989_Bookmatter_ChemicalEngineeringEconomics</t>
  </si>
  <si>
    <t>Marchese et al 2021 CO2 from direct air capture as carbon feedstock for Fischer-Tropsch chemicals and fuels: Energy and economic analysis</t>
  </si>
  <si>
    <t>Campanario et al (2017) Techno-economic assessment of bio-oil aqueous phase-to-liquids via Fischer-Tropsch synthesis and based on supercritical water reforming</t>
  </si>
  <si>
    <t>fixed costs</t>
  </si>
  <si>
    <t>running costs</t>
  </si>
  <si>
    <t>annual availibility min</t>
  </si>
  <si>
    <t>annual availibility max</t>
  </si>
  <si>
    <t>technical life of plant</t>
  </si>
  <si>
    <t>kerosene: jetfuel</t>
  </si>
  <si>
    <t>aviation gasoline</t>
  </si>
  <si>
    <t>start year</t>
  </si>
  <si>
    <t>conversion efficiency</t>
  </si>
  <si>
    <t>hydrogen feed</t>
  </si>
  <si>
    <t>CO2 feed</t>
  </si>
  <si>
    <t>electricity feed</t>
  </si>
  <si>
    <t>References:</t>
  </si>
  <si>
    <t>Ronald M. Dell, ... David A.J. Rand, 2014, Hydrogen, Fuel Cells and Fuel Cell Vehicles in Towards Sustainable Road Transport</t>
  </si>
  <si>
    <t>Add Aviation Synfuel sheets for inlcusion of H2+CO2 production route</t>
  </si>
  <si>
    <t>https://www1.oanda.com/currency/converter/</t>
  </si>
  <si>
    <t>ZAR 2019 mR/PJ</t>
  </si>
  <si>
    <t>OR</t>
  </si>
  <si>
    <t>NetZero-SSN</t>
  </si>
  <si>
    <t>Adjust capex projections for electrolysers  to the average of IEA (2019) range  for PEM and Alk; with IEA's "longterm"  projection set to 2035 and 2050 values taken as the lower bound (with 20% higher margin)</t>
  </si>
  <si>
    <t>Adjust capex projections for new  FT unit for synfuel production for a lower cost trajectory in line with the IEA (2019)-Annex data</t>
  </si>
  <si>
    <t>CO2SPIFC</t>
  </si>
  <si>
    <t>Process Emissions FerroChrome South Africa</t>
  </si>
  <si>
    <t>CO2SPIFM</t>
  </si>
  <si>
    <t>Process Emissions FerroManganese South Africa</t>
  </si>
  <si>
    <t>CO2SPCEM</t>
  </si>
  <si>
    <t>Process Emissions Cement South Africa</t>
  </si>
  <si>
    <t>bruno</t>
  </si>
  <si>
    <t>Stack lifetime</t>
  </si>
  <si>
    <t>USD2017-&gt;USD2019 IEA(2019)</t>
  </si>
  <si>
    <t>https://www.inflationtool.com/us-dollar?amount=1&amp;year1=2017&amp;year2=2019</t>
  </si>
  <si>
    <t>IEA long term lower bound</t>
  </si>
  <si>
    <t>optimistic</t>
  </si>
  <si>
    <t>conservative</t>
  </si>
  <si>
    <t>a1</t>
  </si>
  <si>
    <t>a2</t>
  </si>
  <si>
    <t>linear-trend</t>
  </si>
  <si>
    <t>Bar</t>
  </si>
  <si>
    <t>Compression energy</t>
  </si>
  <si>
    <t>DoE (2009)</t>
  </si>
  <si>
    <t>USD2016-&gt;2020</t>
  </si>
  <si>
    <t>https://www.in2013dollars.com/us/inflation/2016?endYear=2020&amp;amount=1</t>
  </si>
  <si>
    <t>INVcost 2019 EUR/kW</t>
  </si>
  <si>
    <t>INVcost 2019 USD/kW</t>
  </si>
  <si>
    <t>IEA (2019) -annex</t>
  </si>
  <si>
    <t>INVcost 2017 USD/kW</t>
  </si>
  <si>
    <t>EUR2019-&gt;USD2019</t>
  </si>
  <si>
    <t>EUR2019-&gt;ZAR2019</t>
  </si>
  <si>
    <t>average</t>
  </si>
  <si>
    <t>CAPACT</t>
  </si>
  <si>
    <t>Ramp rates per TS period</t>
  </si>
  <si>
    <t>NZ</t>
  </si>
  <si>
    <t>annual km</t>
  </si>
  <si>
    <t>MJ/km/truck</t>
  </si>
  <si>
    <t>trucks</t>
  </si>
  <si>
    <t>$Trucks-100</t>
  </si>
  <si>
    <t>$2019/GJ-Trucks-100</t>
  </si>
  <si>
    <t>$2019/GJ-Trucks-1000</t>
  </si>
  <si>
    <t>R/GJ-Trucks-100</t>
  </si>
  <si>
    <t>R/GJ-Trucks-1000</t>
  </si>
  <si>
    <t>R2015/GJ (1000 Trucks)</t>
  </si>
  <si>
    <t>R2015/GJ (100 Trucks)</t>
  </si>
  <si>
    <t>See IKI-road-corridor-calcs v2.4 (NZ).xls\Fuel-Cell Fleet ICCT (2019)</t>
  </si>
  <si>
    <t>https://africa.com/repurposing-south-africas-refineries/</t>
  </si>
  <si>
    <t xml:space="preserve"> Post Covid-19 crude refinery capacity: Natref restarts in 2021; Astron Refinery restarts in 2022 [Crude Refineries; UPS]</t>
  </si>
  <si>
    <t>Renamed water electrolysis to allow for multiple techs such as Alkaline {1,2,3} and Platinum based {1,2,3,}</t>
  </si>
  <si>
    <t>extra process emissions specific to cement and ferro-alloys{CO2SPIFC, CO2SPIFM,CO2SPCEM}  - this is needed for Carbon capture and storage [ITEMS_XFEmiss, TS Temiss]</t>
  </si>
  <si>
    <t>Adjust capex projections for new  FT unit for synfuel production and H2 from ELT to match values in technical report; and transport hydrogen distribution costs [HGN-TSData xtras]</t>
  </si>
  <si>
    <t>ICCT (2019)</t>
  </si>
  <si>
    <t>Removed deflator conversion from TS Stech</t>
  </si>
  <si>
    <t>Alternative Oil Price Scenarios (2019 USD)</t>
  </si>
  <si>
    <t>Removal of superfluous name references</t>
  </si>
  <si>
    <t>http://beta2.statssa.gov.za/publications/P0141/CPIHistory.pdf</t>
  </si>
  <si>
    <t>Source Limits</t>
  </si>
  <si>
    <t>Source Cost/Price</t>
  </si>
  <si>
    <t>XMP 2017v2</t>
  </si>
  <si>
    <t>IEA WEO 2020</t>
  </si>
  <si>
    <t>EPRI 2017</t>
  </si>
  <si>
    <t>XMP 2017v2 (synfuels)</t>
  </si>
  <si>
    <t>GTB</t>
  </si>
  <si>
    <t>Gas Indigenous Ibhubezi - Transported to Angelig</t>
  </si>
  <si>
    <t>logarithmic</t>
  </si>
  <si>
    <t>https://www.webqc.org/molecular-weight-of-h.html</t>
  </si>
  <si>
    <t>https://www.webqc.org/molecular-weight-of-o.html</t>
  </si>
  <si>
    <t>Water Use:H2</t>
  </si>
  <si>
    <t>Water Use:O2</t>
  </si>
  <si>
    <t>kg H2O/kg O2</t>
  </si>
  <si>
    <t>kgO2/kgH2</t>
  </si>
  <si>
    <t>IEA (2019)</t>
  </si>
  <si>
    <t>$2017/kW.H2</t>
  </si>
  <si>
    <t>M$/PJ; $/GJ</t>
  </si>
  <si>
    <t>Conversion to compare with IEA (2019) $2017/kWhH2 [USD 2005-&gt;2017]</t>
  </si>
  <si>
    <t>Add IEA H2 (2019) data to compare with Dodds (2012) for H2 "Other production" {i.e. Coal, SMR} Currently SATIM still used Dodds (2012) assuming local  costs are within the lower  bound  on account of SASOL experience</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</si>
  <si>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</si>
  <si>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</si>
  <si>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</si>
  <si>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</si>
  <si>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</si>
  <si>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OKG</t>
  </si>
  <si>
    <t>Oil Green JetFuel</t>
  </si>
  <si>
    <t>XOKGOKE</t>
  </si>
  <si>
    <t xml:space="preserve">Conversion Tech from Green </t>
  </si>
  <si>
    <t>Exports of Green JetFuel</t>
  </si>
  <si>
    <t>Premium on "green" jet fuel relative to normal</t>
  </si>
  <si>
    <t>PEXOKG</t>
  </si>
  <si>
    <t>CO2CAPT</t>
  </si>
  <si>
    <t>Made some changes to FT to OKE (now OKG) process</t>
  </si>
  <si>
    <t>CO2 Captured</t>
  </si>
  <si>
    <t>INVcost (2015 R/kW)</t>
  </si>
  <si>
    <t>USD2017-&gt;ZAR2015</t>
  </si>
  <si>
    <t>ZAR 2019 R/kW</t>
  </si>
  <si>
    <t>IDUM</t>
  </si>
  <si>
    <t>Dummy commodity</t>
  </si>
  <si>
    <t>WEO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</si>
</sst>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1">
    <numFmt numFmtId="6" formatCode="&quot;R&quot;#,##0;[Red]\-&quot;R&quot;#,##0"/>
    <numFmt numFmtId="41" formatCode="_-* #,##0_-;\-* #,##0_-;_-* &quot;-&quot;_-;_-@_-"/>
    <numFmt numFmtId="43" formatCode="_-* #,##0.00_-;\-* #,##0.00_-;_-* &quot;-&quot;??_-;_-@_-"/>
    <numFmt numFmtId="164" formatCode="_ &quot;R&quot;\ * #,##0.00_ ;_ &quot;R&quot;\ * \-#,##0.00_ ;_ &quot;R&quot;\ * &quot;-&quot;??_ ;_ @_ "/>
    <numFmt numFmtId="165" formatCode="_ * #,##0.00_ ;_ * \-#,##0.00_ ;_ * &quot;-&quot;??_ ;_ @_ "/>
    <numFmt numFmtId="166" formatCode="&quot;$&quot;#,##0.00_);[Red]\(&quot;$&quot;#,##0.00\)"/>
    <numFmt numFmtId="167" formatCode="_(&quot;$&quot;* #,##0.00_);_(&quot;$&quot;* \(#,##0.00\);_(&quot;$&quot;* &quot;-&quot;??_);_(@_)"/>
    <numFmt numFmtId="168" formatCode="_(* #,##0.00_);_(* \(#,##0.00\);_(* &quot;-&quot;??_);_(@_)"/>
    <numFmt numFmtId="169" formatCode="_(* #,##0_);_(* \(#,##0\);_(* &quot;-&quot;??_);_(@_)"/>
    <numFmt numFmtId="170" formatCode="#,##0.0"/>
    <numFmt numFmtId="171" formatCode="0.0"/>
    <numFmt numFmtId="172" formatCode="#,##0.00;\-#,##0.00;\-"/>
    <numFmt numFmtId="173" formatCode="#,##0.00000;\-#,##0.00000;\-"/>
    <numFmt numFmtId="174" formatCode="0.0_)"/>
    <numFmt numFmtId="175" formatCode="0.0%"/>
    <numFmt numFmtId="176" formatCode="0.000"/>
    <numFmt numFmtId="177" formatCode="#,##0.00\ ;&quot; -&quot;#,##0.00\ ;&quot; -&quot;#\ ;@\ "/>
    <numFmt numFmtId="178" formatCode="[$-809]General"/>
    <numFmt numFmtId="179" formatCode="#,##0.00&quot; &quot;;&quot; -&quot;#,##0.00&quot; &quot;;&quot; -&quot;#&quot; &quot;;@&quot; &quot;"/>
    <numFmt numFmtId="180" formatCode="[$£-809]#,##0.00;[Red]&quot;-&quot;[$£-809]#,##0.00"/>
    <numFmt numFmtId="181" formatCode="_ * #,##0_ ;_ * \-#,##0_ ;_ * &quot;-&quot;??_ ;_ @_ "/>
    <numFmt numFmtId="182" formatCode="_-* #,##0_-;\-* #,##0_-;_-* &quot;-&quot;??_-;_-@_-"/>
    <numFmt numFmtId="183" formatCode="_-* #,##0.0_-;\-* #,##0.0_-;_-* &quot;-&quot;??_-;_-@_-"/>
    <numFmt numFmtId="184" formatCode="_(&quot;R&quot;* #,##0_);_(&quot;R&quot;* \(#,##0\);_(&quot;R&quot;* &quot;-&quot;??_);_(@_)"/>
    <numFmt numFmtId="185" formatCode="0.00000"/>
    <numFmt numFmtId="186" formatCode="0.0000"/>
    <numFmt numFmtId="187" formatCode="#,##0.000"/>
    <numFmt numFmtId="188" formatCode="0.000%"/>
    <numFmt numFmtId="189" formatCode="###0;###0"/>
    <numFmt numFmtId="190" formatCode="###0.0;###0.0"/>
    <numFmt numFmtId="191" formatCode="#,##0.0000"/>
    <numFmt numFmtId="192" formatCode="###0.00;###0.00"/>
    <numFmt numFmtId="193" formatCode="[$-F800]dddd\,\ mmmm\ dd\,\ yyyy"/>
    <numFmt numFmtId="194" formatCode="_ * #,##0.0_ ;_ * \-#,##0.0_ ;_ * &quot;-&quot;??_ ;_ @_ "/>
    <numFmt numFmtId="195" formatCode="0.000_)"/>
    <numFmt numFmtId="196" formatCode="0_(&quot;$&quot;* #,##0;_)_(&quot;$&quot;* \(#,##0;\)_(&quot;$&quot;* &quot;-&quot;;_)_(@"/>
    <numFmt numFmtId="197" formatCode="#,##0_);\(#,##0\);&quot;-&quot;"/>
    <numFmt numFmtId="198" formatCode="0.00_)"/>
    <numFmt numFmtId="199" formatCode="_(* #,##0.0000000_);_(* \(#,##0.0000000\);_(* &quot;-&quot;??_);_(@_)"/>
    <numFmt numFmtId="200" formatCode="_(* #,##0.0000_);_(* \(#,##0.0000\);_(* &quot;-&quot;??_);_(@_)"/>
    <numFmt numFmtId="201" formatCode="0.0000000"/>
    <numFmt numFmtId="202" formatCode="[$£-809]#,##0.000;[Red]&quot;-&quot;[$£-809]#,##0.000"/>
    <numFmt numFmtId="203" formatCode="0.000000"/>
    <numFmt numFmtId="204" formatCode="_-&quot;£&quot;* #,##0_-;\-&quot;£&quot;* #,##0_-;_-&quot;£&quot;* &quot;-&quot;_-;_-@_-"/>
    <numFmt numFmtId="205" formatCode="_-&quot;£&quot;* #,##0.00_-;\-&quot;£&quot;* #,##0.00_-;_-&quot;£&quot;* &quot;-&quot;??_-;_-@_-"/>
    <numFmt numFmtId="206" formatCode="_-[$€-2]* #,##0.00_-;\-[$€-2]* #,##0.00_-;_-[$€-2]* &quot;-&quot;??_-"/>
    <numFmt numFmtId="207" formatCode="[&gt;0.5]#,##0;[&lt;-0.5]\-#,##0;\-"/>
    <numFmt numFmtId="208" formatCode="_-* #,##0\ _F_-;\-* #,##0\ _F_-;_-* &quot;-&quot;\ _F_-;_-@_-"/>
    <numFmt numFmtId="209" formatCode="_-* #,##0.00\ _F_-;\-* #,##0.00\ _F_-;_-* &quot;-&quot;??\ _F_-;_-@_-"/>
    <numFmt numFmtId="210" formatCode="_-* #,##0\ &quot;F&quot;_-;\-* #,##0\ &quot;F&quot;_-;_-* &quot;-&quot;\ &quot;F&quot;_-;_-@_-"/>
    <numFmt numFmtId="211" formatCode="_-* #,##0.00\ &quot;F&quot;_-;\-* #,##0.00\ &quot;F&quot;_-;_-* &quot;-&quot;??\ &quot;F&quot;_-;_-@_-"/>
    <numFmt numFmtId="212" formatCode="###.0"/>
    <numFmt numFmtId="213" formatCode="##.0"/>
    <numFmt numFmtId="214" formatCode="#,###,##0"/>
    <numFmt numFmtId="215" formatCode="_-&quot;öS&quot;\ * #,##0_-;\-&quot;öS&quot;\ * #,##0_-;_-&quot;öS&quot;\ * &quot;-&quot;_-;_-@_-"/>
    <numFmt numFmtId="216" formatCode="_-&quot;öS&quot;\ * #,##0.00_-;\-&quot;öS&quot;\ * #,##0.00_-;_-&quot;öS&quot;\ * &quot;-&quot;??_-;_-@_-"/>
    <numFmt numFmtId="217" formatCode="_(* #,##0.000_);_(* \(#,##0.000\);_(* &quot;-&quot;??_);_(@_)"/>
    <numFmt numFmtId="218" formatCode="_ * #,##0.000_ ;_ * \-#,##0.000_ ;_ * &quot;-&quot;??_ ;_ @_ "/>
    <numFmt numFmtId="219" formatCode="_-* #,##0.00000_-;\-* #,##0.00000_-;_-* &quot;-&quot;??_-;_-@_-"/>
    <numFmt numFmtId="220" formatCode="###0.000;###0.000"/>
    <numFmt numFmtId="221" formatCode="_(* #,##0.0_);_(* \(#,##0.0\);_(* &quot;-&quot;??_);_(@_)"/>
  </numFmts>
  <fonts count="237">
    <font>
      <sz val="11"/>
      <color theme="1"/>
      <name val="Calibri"/>
      <family val="2"/>
      <scheme val="minor"/>
    </font>
    <font>
      <sz val="11"/>
      <color indexed="8"/>
      <name val="Calibri"/>
      <family val="2"/>
    </font>
    <font>
      <b/>
      <sz val="15"/>
      <color indexed="56"/>
      <name val="Calibri"/>
      <family val="2"/>
    </font>
    <font>
      <sz val="8"/>
      <color indexed="81"/>
      <name val="Tahoma"/>
      <family val="2"/>
    </font>
    <font>
      <b/>
      <sz val="8"/>
      <color indexed="81"/>
      <name val="Tahoma"/>
      <family val="2"/>
    </font>
    <font>
      <sz val="11"/>
      <color indexed="9"/>
      <name val="Calibri"/>
      <family val="2"/>
    </font>
    <font>
      <sz val="10"/>
      <name val="Arial"/>
      <family val="2"/>
    </font>
    <font>
      <b/>
      <sz val="8"/>
      <name val="Arial"/>
      <family val="2"/>
    </font>
    <font>
      <sz val="8"/>
      <name val="Arial"/>
      <family val="2"/>
    </font>
    <font>
      <b/>
      <sz val="18"/>
      <name val="Helv"/>
    </font>
    <font>
      <sz val="10"/>
      <name val="Helv"/>
      <family val="2"/>
    </font>
    <font>
      <b/>
      <sz val="10"/>
      <color indexed="8"/>
      <name val="Helv"/>
    </font>
    <font>
      <b/>
      <sz val="10"/>
      <color indexed="9"/>
      <name val="Helv"/>
    </font>
    <font>
      <b/>
      <sz val="10"/>
      <name val="Helv"/>
    </font>
    <font>
      <b/>
      <sz val="8"/>
      <color indexed="9"/>
      <name val="Helv"/>
      <family val="2"/>
    </font>
    <font>
      <b/>
      <sz val="8"/>
      <name val="Helv"/>
      <family val="2"/>
    </font>
    <font>
      <b/>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b/>
      <sz val="14"/>
      <name val="Arial"/>
      <family val="2"/>
    </font>
    <font>
      <sz val="10"/>
      <color indexed="12"/>
      <name val="Arial"/>
      <family val="2"/>
    </font>
    <font>
      <b/>
      <sz val="8"/>
      <color indexed="8"/>
      <name val="Arial"/>
      <family val="2"/>
    </font>
    <font>
      <sz val="9"/>
      <color indexed="63"/>
      <name val="Times New Roman"/>
      <family val="1"/>
    </font>
    <font>
      <sz val="9"/>
      <name val="Times New Roman"/>
      <family val="1"/>
    </font>
    <font>
      <u/>
      <sz val="10"/>
      <color indexed="12"/>
      <name val="Arial"/>
      <family val="2"/>
    </font>
    <font>
      <sz val="10"/>
      <name val="Arial Unicode MS"/>
      <family val="2"/>
    </font>
    <font>
      <sz val="11"/>
      <color indexed="8"/>
      <name val="Calibri"/>
      <family val="2"/>
    </font>
    <font>
      <sz val="10"/>
      <name val="Verdana"/>
      <family val="2"/>
    </font>
    <font>
      <i/>
      <sz val="10"/>
      <color indexed="8"/>
      <name val="Arial"/>
      <family val="2"/>
    </font>
    <font>
      <b/>
      <sz val="10"/>
      <color indexed="8"/>
      <name val="Arial"/>
      <family val="2"/>
    </font>
    <font>
      <vertAlign val="superscript"/>
      <sz val="10"/>
      <color indexed="8"/>
      <name val="Arial"/>
      <family val="2"/>
    </font>
    <font>
      <b/>
      <sz val="11"/>
      <color indexed="8"/>
      <name val="Calibri"/>
      <family val="2"/>
    </font>
    <font>
      <sz val="10"/>
      <color indexed="17"/>
      <name val="Arial"/>
      <family val="2"/>
    </font>
    <font>
      <sz val="11"/>
      <name val="Calibri"/>
      <family val="2"/>
    </font>
    <font>
      <sz val="10"/>
      <color indexed="8"/>
      <name val="Tahoma"/>
      <family val="2"/>
    </font>
    <font>
      <i/>
      <sz val="8"/>
      <color indexed="23"/>
      <name val="Arial"/>
      <family val="2"/>
    </font>
    <font>
      <sz val="9"/>
      <name val="Arial"/>
      <family val="2"/>
    </font>
    <font>
      <b/>
      <vertAlign val="superscript"/>
      <sz val="10"/>
      <name val="Arial"/>
      <family val="2"/>
    </font>
    <font>
      <vertAlign val="superscript"/>
      <sz val="10"/>
      <name val="Arial"/>
      <family val="2"/>
    </font>
    <font>
      <b/>
      <i/>
      <sz val="8"/>
      <color indexed="23"/>
      <name val="Arial"/>
      <family val="2"/>
    </font>
    <font>
      <sz val="10"/>
      <color indexed="60"/>
      <name val="Arial"/>
      <family val="2"/>
    </font>
    <font>
      <sz val="10"/>
      <color indexed="53"/>
      <name val="Arial"/>
      <family val="2"/>
    </font>
    <font>
      <b/>
      <i/>
      <sz val="10"/>
      <name val="Arial"/>
      <family val="2"/>
    </font>
    <font>
      <vertAlign val="superscript"/>
      <sz val="8"/>
      <color indexed="81"/>
      <name val="Tahoma"/>
      <family val="2"/>
    </font>
    <font>
      <b/>
      <sz val="9"/>
      <color indexed="81"/>
      <name val="Arial"/>
      <family val="2"/>
    </font>
    <font>
      <sz val="9"/>
      <color indexed="81"/>
      <name val="Arial"/>
      <family val="2"/>
    </font>
    <font>
      <b/>
      <sz val="11"/>
      <name val="Arial"/>
      <family val="2"/>
    </font>
    <font>
      <i/>
      <sz val="10"/>
      <name val="Arial"/>
      <family val="2"/>
    </font>
    <font>
      <b/>
      <sz val="10"/>
      <color indexed="40"/>
      <name val="Arial"/>
      <family val="2"/>
    </font>
    <font>
      <sz val="8"/>
      <name val="Helv"/>
    </font>
    <font>
      <sz val="8"/>
      <color indexed="8"/>
      <name val="Arial"/>
      <family val="2"/>
    </font>
    <font>
      <b/>
      <u/>
      <sz val="10"/>
      <name val="Arial"/>
      <family val="2"/>
    </font>
    <font>
      <b/>
      <sz val="14"/>
      <name val="Arial"/>
      <family val="2"/>
    </font>
    <font>
      <sz val="8"/>
      <name val="Calibri"/>
      <family val="2"/>
    </font>
    <font>
      <b/>
      <sz val="9"/>
      <color indexed="81"/>
      <name val="Tahoma"/>
      <family val="2"/>
    </font>
    <font>
      <sz val="9"/>
      <color indexed="81"/>
      <name val="Tahoma"/>
      <family val="2"/>
    </font>
    <font>
      <sz val="9"/>
      <color indexed="81"/>
      <name val="Calibri"/>
      <family val="2"/>
    </font>
    <font>
      <b/>
      <sz val="9"/>
      <color indexed="81"/>
      <name val="Calibri"/>
      <family val="2"/>
    </font>
    <font>
      <b/>
      <sz val="9"/>
      <color indexed="49"/>
      <name val="Calibri"/>
      <family val="2"/>
    </font>
    <font>
      <b/>
      <sz val="6"/>
      <color indexed="49"/>
      <name val="Calibri"/>
      <family val="2"/>
    </font>
    <font>
      <b/>
      <sz val="11"/>
      <name val="Calibri"/>
      <family val="2"/>
    </font>
    <font>
      <sz val="11"/>
      <name val="Calibri"/>
      <family val="2"/>
    </font>
    <font>
      <b/>
      <sz val="10"/>
      <name val="Cambria"/>
      <family val="1"/>
    </font>
    <font>
      <sz val="10"/>
      <name val="Cambria"/>
      <family val="1"/>
    </font>
    <font>
      <b/>
      <sz val="10"/>
      <color indexed="49"/>
      <name val="Cambria"/>
      <family val="1"/>
    </font>
    <font>
      <b/>
      <sz val="11"/>
      <color indexed="8"/>
      <name val="Cambria"/>
      <family val="1"/>
    </font>
    <font>
      <b/>
      <sz val="7"/>
      <name val="Calibri"/>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charset val="238"/>
    </font>
    <font>
      <sz val="11"/>
      <color rgb="FF006100"/>
      <name val="Calibri"/>
      <family val="2"/>
      <scheme val="minor"/>
    </font>
    <font>
      <b/>
      <i/>
      <sz val="16"/>
      <color theme="1"/>
      <name val="Arial1"/>
    </font>
    <font>
      <b/>
      <sz val="15"/>
      <color theme="3"/>
      <name val="Calibri"/>
      <family val="2"/>
      <scheme val="minor"/>
    </font>
    <font>
      <b/>
      <sz val="15"/>
      <color indexed="56"/>
      <name val="Calibri"/>
      <family val="2"/>
      <scheme val="minor"/>
    </font>
    <font>
      <b/>
      <sz val="13"/>
      <color theme="3"/>
      <name val="Calibri"/>
      <family val="2"/>
      <scheme val="minor"/>
    </font>
    <font>
      <b/>
      <sz val="13"/>
      <color indexed="56"/>
      <name val="Calibri"/>
      <family val="2"/>
      <scheme val="minor"/>
    </font>
    <font>
      <b/>
      <sz val="11"/>
      <color theme="3"/>
      <name val="Calibri"/>
      <family val="2"/>
      <scheme val="minor"/>
    </font>
    <font>
      <b/>
      <sz val="11"/>
      <color indexed="56"/>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b/>
      <sz val="11"/>
      <color rgb="FF3F3F3F"/>
      <name val="Calibri"/>
      <family val="2"/>
      <scheme val="minor"/>
    </font>
    <font>
      <b/>
      <i/>
      <u/>
      <sz val="11"/>
      <color theme="1"/>
      <name val="Arial1"/>
    </font>
    <font>
      <b/>
      <sz val="11"/>
      <color theme="1"/>
      <name val="Calibri"/>
      <family val="2"/>
      <scheme val="minor"/>
    </font>
    <font>
      <sz val="11"/>
      <color rgb="FFFF0000"/>
      <name val="Calibri"/>
      <family val="2"/>
      <scheme val="minor"/>
    </font>
    <font>
      <b/>
      <sz val="11"/>
      <color rgb="FF9C6500"/>
      <name val="Calibri"/>
      <family val="2"/>
      <scheme val="minor"/>
    </font>
    <font>
      <sz val="11"/>
      <color theme="4"/>
      <name val="Calibri"/>
      <family val="2"/>
      <scheme val="minor"/>
    </font>
    <font>
      <sz val="11"/>
      <color rgb="FFC00000"/>
      <name val="Calibri"/>
      <family val="2"/>
      <scheme val="minor"/>
    </font>
    <font>
      <sz val="11"/>
      <color theme="6" tint="-0.499984740745262"/>
      <name val="Calibri"/>
      <family val="2"/>
      <scheme val="minor"/>
    </font>
    <font>
      <b/>
      <sz val="11"/>
      <color theme="4"/>
      <name val="Calibri"/>
      <family val="2"/>
      <scheme val="minor"/>
    </font>
    <font>
      <sz val="11"/>
      <color theme="3"/>
      <name val="Calibri"/>
      <family val="2"/>
      <scheme val="minor"/>
    </font>
    <font>
      <sz val="11"/>
      <color theme="5" tint="-0.249977111117893"/>
      <name val="Calibri"/>
      <family val="2"/>
      <scheme val="minor"/>
    </font>
    <font>
      <sz val="11"/>
      <color theme="1" tint="0.499984740745262"/>
      <name val="Calibri"/>
      <family val="2"/>
      <scheme val="minor"/>
    </font>
    <font>
      <sz val="10"/>
      <color theme="3"/>
      <name val="Arial"/>
      <family val="2"/>
    </font>
    <font>
      <b/>
      <sz val="8"/>
      <color rgb="FF800080"/>
      <name val="Arial"/>
      <family val="2"/>
    </font>
    <font>
      <sz val="8"/>
      <color rgb="FF800080"/>
      <name val="Arial"/>
      <family val="2"/>
    </font>
    <font>
      <b/>
      <sz val="11"/>
      <color rgb="FF3F3F76"/>
      <name val="Calibri"/>
      <family val="2"/>
      <scheme val="minor"/>
    </font>
    <font>
      <b/>
      <sz val="11"/>
      <color rgb="FF006100"/>
      <name val="Calibri"/>
      <family val="2"/>
      <scheme val="minor"/>
    </font>
    <font>
      <sz val="8"/>
      <color theme="5"/>
      <name val="Arial"/>
      <family val="2"/>
    </font>
    <font>
      <sz val="8"/>
      <color theme="1"/>
      <name val="Calibri"/>
      <family val="2"/>
      <scheme val="minor"/>
    </font>
    <font>
      <b/>
      <sz val="11"/>
      <color rgb="FFFF0000"/>
      <name val="Calibri"/>
      <family val="2"/>
      <scheme val="minor"/>
    </font>
    <font>
      <b/>
      <sz val="8"/>
      <color theme="1"/>
      <name val="Calibri"/>
      <family val="2"/>
      <scheme val="minor"/>
    </font>
    <font>
      <sz val="10"/>
      <color theme="1"/>
      <name val="Times"/>
      <family val="1"/>
    </font>
    <font>
      <sz val="8"/>
      <color rgb="FFFF0000"/>
      <name val="Arial"/>
      <family val="2"/>
    </font>
    <font>
      <b/>
      <sz val="8"/>
      <color rgb="FFFF0000"/>
      <name val="Arial"/>
      <family val="2"/>
    </font>
    <font>
      <b/>
      <sz val="9"/>
      <color theme="1"/>
      <name val="Arial"/>
      <family val="2"/>
    </font>
    <font>
      <b/>
      <sz val="12"/>
      <color theme="1"/>
      <name val="Calibri"/>
      <family val="2"/>
      <scheme val="minor"/>
    </font>
    <font>
      <sz val="9"/>
      <color rgb="FF000000"/>
      <name val="Calibri"/>
      <family val="2"/>
      <scheme val="minor"/>
    </font>
    <font>
      <sz val="8"/>
      <color theme="1"/>
      <name val="Arial"/>
      <family val="2"/>
    </font>
    <font>
      <sz val="8"/>
      <color rgb="FF000000"/>
      <name val="Arial"/>
      <family val="2"/>
    </font>
    <font>
      <sz val="12"/>
      <color rgb="FF000000"/>
      <name val="Calibri"/>
      <family val="2"/>
      <scheme val="minor"/>
    </font>
    <font>
      <sz val="9"/>
      <color theme="1"/>
      <name val="Arial"/>
      <family val="2"/>
    </font>
    <font>
      <sz val="11"/>
      <color rgb="FF000000"/>
      <name val="Calibri"/>
      <family val="2"/>
      <scheme val="minor"/>
    </font>
    <font>
      <b/>
      <i/>
      <sz val="10"/>
      <color theme="3"/>
      <name val="Arial"/>
      <family val="2"/>
    </font>
    <font>
      <b/>
      <i/>
      <u/>
      <sz val="11"/>
      <color theme="1"/>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u/>
      <sz val="14"/>
      <color theme="1"/>
      <name val="Calibri"/>
      <family val="2"/>
      <scheme val="minor"/>
    </font>
    <font>
      <sz val="10"/>
      <color rgb="FF000000"/>
      <name val="Cambria"/>
      <family val="1"/>
      <scheme val="major"/>
    </font>
    <font>
      <b/>
      <sz val="11"/>
      <color rgb="FF000000"/>
      <name val="Calibri"/>
      <family val="2"/>
    </font>
    <font>
      <sz val="11"/>
      <color rgb="FF000000"/>
      <name val="Calibri"/>
      <family val="2"/>
    </font>
    <font>
      <b/>
      <sz val="9"/>
      <color rgb="FF4F81BC"/>
      <name val="Calibri"/>
      <family val="2"/>
    </font>
    <font>
      <b/>
      <sz val="10"/>
      <color rgb="FF4F81BC"/>
      <name val="Calibri"/>
      <family val="2"/>
    </font>
    <font>
      <b/>
      <sz val="10"/>
      <name val="Cambria"/>
      <family val="1"/>
      <scheme val="major"/>
    </font>
    <font>
      <b/>
      <sz val="10"/>
      <color rgb="FF000000"/>
      <name val="Cambria"/>
      <family val="1"/>
      <scheme val="major"/>
    </font>
    <font>
      <sz val="10"/>
      <name val="Cambria"/>
      <family val="1"/>
      <scheme val="major"/>
    </font>
    <font>
      <b/>
      <i/>
      <sz val="11"/>
      <color theme="1"/>
      <name val="Calibri"/>
      <family val="2"/>
      <scheme val="minor"/>
    </font>
    <font>
      <i/>
      <sz val="10"/>
      <color theme="3" tint="0.39997558519241921"/>
      <name val="Arial"/>
      <family val="2"/>
    </font>
    <font>
      <sz val="10"/>
      <color theme="3" tint="0.39997558519241921"/>
      <name val="Arial"/>
      <family val="2"/>
    </font>
    <font>
      <b/>
      <sz val="12"/>
      <color rgb="FF000000"/>
      <name val="Times New Roman"/>
      <family val="1"/>
    </font>
    <font>
      <sz val="10"/>
      <color theme="1"/>
      <name val="Times New Roman"/>
      <family val="1"/>
    </font>
    <font>
      <b/>
      <sz val="11"/>
      <color rgb="FF9C0006"/>
      <name val="Calibri"/>
      <family val="2"/>
      <scheme val="minor"/>
    </font>
    <font>
      <b/>
      <sz val="10"/>
      <color rgb="FFFF0000"/>
      <name val="Arial"/>
      <family val="2"/>
    </font>
    <font>
      <sz val="10"/>
      <color rgb="FF000000"/>
      <name val="Arial"/>
      <family val="2"/>
    </font>
    <font>
      <b/>
      <sz val="11"/>
      <color theme="9" tint="-0.249977111117893"/>
      <name val="Calibri"/>
      <family val="2"/>
      <scheme val="minor"/>
    </font>
    <font>
      <u/>
      <sz val="11"/>
      <color theme="10"/>
      <name val="Calibri"/>
      <family val="2"/>
      <scheme val="minor"/>
    </font>
    <font>
      <sz val="9"/>
      <color theme="1"/>
      <name val="Calibri"/>
      <family val="2"/>
      <scheme val="minor"/>
    </font>
    <font>
      <b/>
      <sz val="9"/>
      <color theme="3"/>
      <name val="Calibri"/>
      <family val="2"/>
      <scheme val="minor"/>
    </font>
    <font>
      <sz val="9"/>
      <color rgb="FF000000"/>
      <name val="Arial"/>
      <family val="2"/>
    </font>
    <font>
      <sz val="11"/>
      <name val="Tms Rmn"/>
    </font>
    <font>
      <sz val="12"/>
      <color indexed="24"/>
      <name val="Arial"/>
      <family val="2"/>
    </font>
    <font>
      <sz val="1"/>
      <color indexed="8"/>
      <name val="Courier"/>
      <family val="3"/>
    </font>
    <font>
      <i/>
      <sz val="1"/>
      <color indexed="8"/>
      <name val="Courier"/>
      <family val="3"/>
    </font>
    <font>
      <b/>
      <i/>
      <sz val="16"/>
      <name val="Helv"/>
    </font>
    <font>
      <sz val="10"/>
      <name val="Tahoma"/>
      <family val="2"/>
    </font>
    <font>
      <sz val="8"/>
      <color indexed="10"/>
      <name val="Arial Narrow"/>
      <family val="2"/>
    </font>
    <font>
      <u/>
      <sz val="8"/>
      <color theme="10"/>
      <name val="Arial"/>
      <family val="2"/>
    </font>
    <font>
      <b/>
      <i/>
      <sz val="8"/>
      <name val="Arial"/>
      <family val="2"/>
    </font>
    <font>
      <sz val="9"/>
      <color rgb="FFFF0000"/>
      <name val="Times New Roman"/>
      <family val="1"/>
    </font>
    <font>
      <sz val="11"/>
      <name val="Calibri"/>
      <family val="2"/>
      <scheme val="minor"/>
    </font>
    <font>
      <b/>
      <sz val="9"/>
      <name val="Arial"/>
      <family val="2"/>
    </font>
    <font>
      <sz val="11"/>
      <color theme="0"/>
      <name val="Calibri"/>
      <family val="2"/>
      <scheme val="minor"/>
    </font>
    <font>
      <sz val="10"/>
      <color theme="1"/>
      <name val="Calibri"/>
      <family val="2"/>
      <scheme val="minor"/>
    </font>
    <font>
      <b/>
      <i/>
      <sz val="11"/>
      <color rgb="FF00B050"/>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b/>
      <sz val="10"/>
      <color theme="4"/>
      <name val="Arial"/>
      <family val="2"/>
    </font>
    <font>
      <sz val="11"/>
      <color rgb="FF00B0F0"/>
      <name val="Calibri"/>
      <family val="2"/>
      <scheme val="minor"/>
    </font>
    <font>
      <sz val="9"/>
      <color rgb="FF9C0006"/>
      <name val="Calibri"/>
      <family val="2"/>
      <scheme val="minor"/>
    </font>
    <font>
      <b/>
      <sz val="8"/>
      <color rgb="FF00B050"/>
      <name val="Arial"/>
      <family val="2"/>
    </font>
    <font>
      <sz val="11"/>
      <color theme="1"/>
      <name val="Calibri"/>
      <family val="2"/>
    </font>
    <font>
      <i/>
      <sz val="11"/>
      <color theme="1"/>
      <name val="Calibri"/>
      <family val="2"/>
    </font>
    <font>
      <b/>
      <sz val="11"/>
      <color rgb="FF00B050"/>
      <name val="Calibri"/>
      <family val="2"/>
      <scheme val="minor"/>
    </font>
    <font>
      <sz val="12"/>
      <color theme="1"/>
      <name val="Cambria"/>
      <family val="1"/>
    </font>
    <font>
      <b/>
      <sz val="12"/>
      <color theme="1"/>
      <name val="Cambria"/>
      <family val="1"/>
    </font>
    <font>
      <b/>
      <sz val="11"/>
      <color theme="1"/>
      <name val="Cambria"/>
      <family val="1"/>
    </font>
    <font>
      <sz val="11"/>
      <color theme="1"/>
      <name val="Cambria"/>
      <family val="1"/>
    </font>
    <font>
      <sz val="7"/>
      <color rgb="FF222222"/>
      <name val="Arial"/>
      <family val="2"/>
    </font>
    <font>
      <i/>
      <sz val="7"/>
      <color rgb="FF222222"/>
      <name val="Arial"/>
      <family val="2"/>
    </font>
    <font>
      <sz val="10"/>
      <color rgb="FFFF0000"/>
      <name val="Arial"/>
      <family val="2"/>
    </font>
    <font>
      <strike/>
      <sz val="8"/>
      <color rgb="FFFF0000"/>
      <name val="Arial"/>
      <family val="2"/>
    </font>
    <font>
      <sz val="12"/>
      <name val="Arial"/>
      <family val="2"/>
    </font>
    <font>
      <sz val="10"/>
      <color rgb="FF000000"/>
      <name val="Times New Roman"/>
      <family val="1"/>
    </font>
    <font>
      <sz val="8"/>
      <color indexed="54"/>
      <name val="Arial"/>
      <family val="2"/>
    </font>
    <font>
      <sz val="11"/>
      <color rgb="FF000000"/>
      <name val="Calibri"/>
      <family val="2"/>
    </font>
    <font>
      <sz val="9"/>
      <color rgb="FF000000"/>
      <name val="Times New Roman"/>
      <family val="1"/>
    </font>
    <font>
      <b/>
      <sz val="9"/>
      <name val="Times New Roman"/>
      <family val="1"/>
    </font>
    <font>
      <sz val="10"/>
      <color theme="6" tint="-0.24994659260841701"/>
      <name val="Arial"/>
      <family val="2"/>
    </font>
    <font>
      <sz val="10"/>
      <color theme="1"/>
      <name val="Arial"/>
      <family val="2"/>
    </font>
    <font>
      <sz val="11"/>
      <color theme="1"/>
      <name val="Arial"/>
      <family val="2"/>
    </font>
    <font>
      <sz val="10"/>
      <name val="Arial Cyr"/>
      <charset val="204"/>
    </font>
    <font>
      <sz val="14"/>
      <name val="Arial"/>
      <family val="2"/>
    </font>
    <font>
      <sz val="11"/>
      <color indexed="8"/>
      <name val="Arial"/>
      <family val="2"/>
    </font>
    <font>
      <sz val="10"/>
      <name val="Times New Roman"/>
      <family val="1"/>
    </font>
    <font>
      <i/>
      <sz val="12"/>
      <name val="Times New Roman"/>
      <family val="1"/>
    </font>
    <font>
      <b/>
      <sz val="14"/>
      <name val="Helv"/>
    </font>
    <font>
      <b/>
      <sz val="12"/>
      <name val="Helv"/>
    </font>
    <font>
      <b/>
      <sz val="10"/>
      <color indexed="18"/>
      <name val="Arial"/>
      <family val="2"/>
    </font>
    <font>
      <b/>
      <sz val="12"/>
      <color indexed="12"/>
      <name val="Arial"/>
      <family val="2"/>
    </font>
    <font>
      <u/>
      <sz val="9"/>
      <color theme="10"/>
      <name val="Arial"/>
      <family val="2"/>
    </font>
    <font>
      <b/>
      <sz val="10"/>
      <color indexed="81"/>
      <name val="Tahoma"/>
      <family val="2"/>
    </font>
    <font>
      <sz val="8"/>
      <name val="Calibri"/>
      <family val="2"/>
      <scheme val="minor"/>
    </font>
    <font>
      <b/>
      <sz val="8"/>
      <color rgb="FF231F20"/>
      <name val="Arial"/>
      <family val="2"/>
    </font>
    <font>
      <i/>
      <sz val="11"/>
      <color indexed="8"/>
      <name val="Calibri"/>
      <family val="2"/>
    </font>
    <font>
      <sz val="12"/>
      <color theme="1"/>
      <name val="Calibri"/>
      <family val="2"/>
      <scheme val="minor"/>
    </font>
    <font>
      <b/>
      <sz val="12"/>
      <color rgb="FF7030A0"/>
      <name val="Times New Roman"/>
      <family val="1"/>
    </font>
    <font>
      <b/>
      <sz val="10"/>
      <color rgb="FF007DB6"/>
      <name val="Arial"/>
      <family val="2"/>
    </font>
    <font>
      <b/>
      <sz val="19"/>
      <color rgb="FF007DB6"/>
      <name val="Arial"/>
      <family val="2"/>
    </font>
    <font>
      <b/>
      <sz val="12"/>
      <color rgb="FF007DB6"/>
      <name val="Arial"/>
      <family val="2"/>
    </font>
    <font>
      <b/>
      <sz val="8"/>
      <color rgb="FFFFFFFF"/>
      <name val="Arial"/>
      <family val="2"/>
    </font>
    <font>
      <b/>
      <sz val="8"/>
      <color rgb="FF00AEEF"/>
      <name val="Arial"/>
      <family val="2"/>
    </font>
    <font>
      <b/>
      <sz val="8"/>
      <color rgb="FF003862"/>
      <name val="Arial"/>
      <family val="2"/>
    </font>
    <font>
      <b/>
      <vertAlign val="subscript"/>
      <sz val="4.5"/>
      <color rgb="FF003862"/>
      <name val="Arial"/>
      <family val="2"/>
    </font>
    <font>
      <b/>
      <vertAlign val="superscript"/>
      <sz val="8"/>
      <color rgb="FF231F20"/>
      <name val="Arial"/>
      <family val="2"/>
    </font>
    <font>
      <b/>
      <sz val="9"/>
      <color rgb="FF007DB6"/>
      <name val="Arial"/>
      <family val="2"/>
    </font>
    <font>
      <b/>
      <sz val="11"/>
      <color rgb="FF7030A0"/>
      <name val="Calibri"/>
      <family val="2"/>
      <scheme val="minor"/>
    </font>
    <font>
      <b/>
      <sz val="11"/>
      <color rgb="FF231F20"/>
      <name val="Arial"/>
      <family val="2"/>
    </font>
    <font>
      <b/>
      <vertAlign val="subscript"/>
      <sz val="11"/>
      <color rgb="FF231F20"/>
      <name val="Arial"/>
      <family val="2"/>
    </font>
    <font>
      <b/>
      <i/>
      <sz val="11"/>
      <color theme="9" tint="-0.249977111117893"/>
      <name val="Calibri"/>
      <family val="2"/>
      <scheme val="minor"/>
    </font>
    <font>
      <sz val="10"/>
      <color rgb="FFFF0000"/>
      <name val="Helv"/>
      <family val="2"/>
    </font>
    <font>
      <sz val="16"/>
      <color theme="1"/>
      <name val="Calibri"/>
      <family val="2"/>
      <scheme val="minor"/>
    </font>
    <font>
      <vertAlign val="superscript"/>
      <sz val="11"/>
      <color theme="1"/>
      <name val="Calibri"/>
      <family val="2"/>
      <scheme val="minor"/>
    </font>
    <font>
      <b/>
      <sz val="11"/>
      <color rgb="FFFFFFFF"/>
      <name val="Calibri"/>
      <family val="2"/>
    </font>
    <font>
      <sz val="9"/>
      <name val="Calibri"/>
      <family val="2"/>
    </font>
    <font>
      <vertAlign val="subscript"/>
      <sz val="9"/>
      <name val="Calibri"/>
      <family val="2"/>
    </font>
    <font>
      <sz val="9"/>
      <color rgb="FF000000"/>
      <name val="Calibri"/>
      <family val="2"/>
    </font>
    <font>
      <sz val="11"/>
      <color rgb="FFFFFF00"/>
      <name val="Calibri"/>
      <family val="2"/>
      <scheme val="minor"/>
    </font>
    <font>
      <i/>
      <sz val="11"/>
      <color rgb="FF212126"/>
      <name val="Calibri"/>
      <family val="2"/>
      <scheme val="minor"/>
    </font>
    <font>
      <sz val="11"/>
      <color rgb="FF212126"/>
      <name val="Calibri"/>
      <family val="2"/>
      <scheme val="minor"/>
    </font>
    <font>
      <sz val="11"/>
      <color theme="9" tint="-0.249977111117893"/>
      <name val="Calibri"/>
      <family val="2"/>
      <scheme val="minor"/>
    </font>
    <font>
      <sz val="8"/>
      <color theme="9" tint="-0.249977111117893"/>
      <name val="Arial"/>
      <family val="2"/>
    </font>
    <font>
      <i/>
      <sz val="8"/>
      <name val="Arial"/>
      <family val="2"/>
    </font>
    <font>
      <i/>
      <sz val="8"/>
      <color rgb="FFC00000"/>
      <name val="Arial"/>
      <family val="2"/>
    </font>
    <font>
      <sz val="10"/>
      <color rgb="FF800080"/>
      <name val="Arial"/>
      <family val="2"/>
    </font>
  </fonts>
  <fills count="84">
    <fill>
      <patternFill patternType="none"/>
    </fill>
    <fill>
      <patternFill patternType="gray125"/>
    </fill>
    <fill>
      <patternFill patternType="solid">
        <fgColor indexed="31"/>
        <bgColor indexed="64"/>
      </patternFill>
    </fill>
    <fill>
      <patternFill patternType="solid">
        <fgColor indexed="10"/>
        <bgColor indexed="64"/>
      </patternFill>
    </fill>
    <fill>
      <patternFill patternType="solid">
        <fgColor indexed="60"/>
        <bgColor indexed="64"/>
      </patternFill>
    </fill>
    <fill>
      <patternFill patternType="solid">
        <fgColor indexed="45"/>
        <bgColor indexed="64"/>
      </patternFill>
    </fill>
    <fill>
      <patternFill patternType="solid">
        <fgColor indexed="22"/>
        <bgColor indexed="64"/>
      </patternFill>
    </fill>
    <fill>
      <patternFill patternType="solid">
        <fgColor indexed="11"/>
        <bgColor indexed="64"/>
      </patternFill>
    </fill>
    <fill>
      <patternFill patternType="solid">
        <fgColor indexed="40"/>
        <bgColor indexed="64"/>
      </patternFill>
    </fill>
    <fill>
      <patternFill patternType="solid">
        <fgColor indexed="15"/>
        <bgColor indexed="64"/>
      </patternFill>
    </fill>
    <fill>
      <patternFill patternType="solid">
        <fgColor indexed="35"/>
        <bgColor indexed="64"/>
      </patternFill>
    </fill>
    <fill>
      <patternFill patternType="solid">
        <fgColor indexed="19"/>
        <bgColor indexed="64"/>
      </patternFill>
    </fill>
    <fill>
      <patternFill patternType="solid">
        <fgColor indexed="9"/>
        <bgColor indexed="64"/>
      </patternFill>
    </fill>
    <fill>
      <patternFill patternType="solid">
        <fgColor indexed="43"/>
        <bgColor indexed="64"/>
      </patternFill>
    </fill>
    <fill>
      <patternFill patternType="solid">
        <fgColor indexed="65"/>
        <bgColor indexed="64"/>
      </patternFill>
    </fill>
    <fill>
      <patternFill patternType="solid">
        <fgColor indexed="13"/>
        <bgColor indexed="64"/>
      </patternFill>
    </fill>
    <fill>
      <patternFill patternType="solid">
        <fgColor indexed="42"/>
        <bgColor indexed="64"/>
      </patternFill>
    </fill>
    <fill>
      <patternFill patternType="solid">
        <fgColor indexed="44"/>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7" tint="0.39997558519241921"/>
        <bgColor indexed="64"/>
      </patternFill>
    </fill>
    <fill>
      <patternFill patternType="solid">
        <fgColor theme="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FF"/>
      </patternFill>
    </fill>
    <fill>
      <patternFill patternType="solid">
        <fgColor theme="3"/>
        <bgColor indexed="64"/>
      </patternFill>
    </fill>
    <fill>
      <patternFill patternType="solid">
        <fgColor rgb="FF66FF66"/>
        <bgColor indexed="64"/>
      </patternFill>
    </fill>
    <fill>
      <patternFill patternType="solid">
        <fgColor rgb="FF66FF33"/>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CC"/>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FFEB9C"/>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theme="5"/>
      </patternFill>
    </fill>
    <fill>
      <patternFill patternType="solid">
        <fgColor theme="7"/>
      </patternFill>
    </fill>
    <fill>
      <patternFill patternType="solid">
        <fgColor rgb="FF00B050"/>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indexed="9"/>
        <bgColor indexed="0"/>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79998168889431442"/>
        <bgColor indexed="65"/>
      </patternFill>
    </fill>
    <fill>
      <patternFill patternType="solid">
        <fgColor rgb="FFFFCC99"/>
        <bgColor indexed="64"/>
      </patternFill>
    </fill>
    <fill>
      <patternFill patternType="solid">
        <fgColor indexed="55"/>
        <bgColor indexed="64"/>
      </patternFill>
    </fill>
    <fill>
      <patternFill patternType="solid">
        <fgColor indexed="27"/>
        <bgColor indexed="64"/>
      </patternFill>
    </fill>
    <fill>
      <patternFill patternType="lightGray">
        <fgColor indexed="9"/>
      </patternFill>
    </fill>
    <fill>
      <patternFill patternType="gray0625">
        <fgColor indexed="9"/>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4" tint="0.59999389629810485"/>
        <bgColor theme="4" tint="0.59999389629810485"/>
      </patternFill>
    </fill>
    <fill>
      <patternFill patternType="solid">
        <fgColor rgb="FFE6E7E8"/>
      </patternFill>
    </fill>
    <fill>
      <patternFill patternType="solid">
        <fgColor rgb="FF003862"/>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6C8FF"/>
        <bgColor indexed="64"/>
      </patternFill>
    </fill>
    <fill>
      <patternFill patternType="solid">
        <fgColor rgb="FFFFFF78"/>
        <bgColor indexed="64"/>
      </patternFill>
    </fill>
    <fill>
      <patternFill patternType="solid">
        <fgColor rgb="FF4F81BC"/>
      </patternFill>
    </fill>
    <fill>
      <patternFill patternType="solid">
        <fgColor rgb="FFE7E7E7"/>
      </patternFill>
    </fill>
    <fill>
      <patternFill patternType="solid">
        <fgColor rgb="FFF0F2DF"/>
      </patternFill>
    </fill>
    <fill>
      <patternFill patternType="solid">
        <fgColor theme="0"/>
        <bgColor indexed="64"/>
      </patternFill>
    </fill>
    <fill>
      <patternFill patternType="solid">
        <fgColor theme="4" tint="0.39997558519241921"/>
        <bgColor indexed="64"/>
      </patternFill>
    </fill>
    <fill>
      <patternFill patternType="solid">
        <fgColor theme="8" tint="0.39997558519241921"/>
        <bgColor indexed="64"/>
      </patternFill>
    </fill>
  </fills>
  <borders count="120">
    <border>
      <left/>
      <right/>
      <top/>
      <bottom/>
      <diagonal/>
    </border>
    <border>
      <left/>
      <right/>
      <top/>
      <bottom style="thick">
        <color indexed="62"/>
      </bottom>
      <diagonal/>
    </border>
    <border>
      <left/>
      <right/>
      <top/>
      <bottom style="thin">
        <color indexed="64"/>
      </bottom>
      <diagonal/>
    </border>
    <border>
      <left/>
      <right/>
      <top/>
      <bottom style="medium">
        <color indexed="64"/>
      </bottom>
      <diagonal/>
    </border>
    <border>
      <left/>
      <right/>
      <top style="thin">
        <color indexed="64"/>
      </top>
      <bottom/>
      <diagonal/>
    </border>
    <border>
      <left style="thin">
        <color indexed="64"/>
      </left>
      <right/>
      <top/>
      <bottom style="medium">
        <color indexed="64"/>
      </bottom>
      <diagonal/>
    </border>
    <border>
      <left style="thin">
        <color indexed="64"/>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indexed="64"/>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right style="thin">
        <color rgb="FF000000"/>
      </right>
      <top/>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medium">
        <color indexed="64"/>
      </bottom>
      <diagonal/>
    </border>
    <border>
      <left/>
      <right/>
      <top style="medium">
        <color indexed="64"/>
      </top>
      <bottom style="thin">
        <color indexed="64"/>
      </bottom>
      <diagonal/>
    </border>
    <border>
      <left style="medium">
        <color indexed="64"/>
      </left>
      <right style="thin">
        <color rgb="FF7F7F7F"/>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medium">
        <color indexed="64"/>
      </left>
      <right style="thin">
        <color rgb="FF7F7F7F"/>
      </right>
      <top style="thin">
        <color rgb="FF7F7F7F"/>
      </top>
      <bottom style="medium">
        <color indexed="64"/>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7F7F7F"/>
      </right>
      <top style="thin">
        <color rgb="FF7F7F7F"/>
      </top>
      <bottom style="thin">
        <color rgb="FF7F7F7F"/>
      </bottom>
      <diagonal/>
    </border>
    <border>
      <left/>
      <right style="thin">
        <color rgb="FF7F7F7F"/>
      </right>
      <top style="thin">
        <color indexed="64"/>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right style="medium">
        <color indexed="64"/>
      </right>
      <top style="medium">
        <color indexed="64"/>
      </top>
      <bottom style="medium">
        <color indexed="64"/>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0"/>
      </left>
      <right style="thin">
        <color theme="0"/>
      </right>
      <top style="thin">
        <color theme="0"/>
      </top>
      <bottom/>
      <diagonal/>
    </border>
    <border>
      <left/>
      <right/>
      <top/>
      <bottom style="thin">
        <color rgb="FF00AEEF"/>
      </bottom>
      <diagonal/>
    </border>
    <border>
      <left/>
      <right style="thin">
        <color rgb="FF231F20"/>
      </right>
      <top/>
      <bottom style="thin">
        <color rgb="FF00AEEF"/>
      </bottom>
      <diagonal/>
    </border>
    <border>
      <left style="thin">
        <color rgb="FF231F20"/>
      </left>
      <right/>
      <top/>
      <bottom style="thin">
        <color rgb="FF00AEEF"/>
      </bottom>
      <diagonal/>
    </border>
    <border>
      <left/>
      <right/>
      <top style="thin">
        <color rgb="FF00AEEF"/>
      </top>
      <bottom/>
      <diagonal/>
    </border>
    <border>
      <left/>
      <right style="thin">
        <color rgb="FF231F20"/>
      </right>
      <top style="thin">
        <color rgb="FF00AEEF"/>
      </top>
      <bottom/>
      <diagonal/>
    </border>
    <border>
      <left style="thin">
        <color rgb="FF231F20"/>
      </left>
      <right/>
      <top style="thin">
        <color rgb="FF00AEEF"/>
      </top>
      <bottom/>
      <diagonal/>
    </border>
    <border>
      <left/>
      <right style="thin">
        <color rgb="FF231F20"/>
      </right>
      <top/>
      <bottom/>
      <diagonal/>
    </border>
    <border>
      <left style="thin">
        <color rgb="FF231F20"/>
      </left>
      <right/>
      <top/>
      <bottom/>
      <diagonal/>
    </border>
    <border>
      <left/>
      <right/>
      <top/>
      <bottom style="thin">
        <color rgb="FF003862"/>
      </bottom>
      <diagonal/>
    </border>
    <border>
      <left/>
      <right style="thin">
        <color rgb="FF231F20"/>
      </right>
      <top/>
      <bottom style="thin">
        <color rgb="FF003862"/>
      </bottom>
      <diagonal/>
    </border>
    <border>
      <left style="thin">
        <color rgb="FF231F20"/>
      </left>
      <right/>
      <top/>
      <bottom style="thin">
        <color rgb="FF003862"/>
      </bottom>
      <diagonal/>
    </border>
    <border>
      <left/>
      <right/>
      <top style="thin">
        <color rgb="FF003862"/>
      </top>
      <bottom/>
      <diagonal/>
    </border>
    <border>
      <left/>
      <right style="thin">
        <color rgb="FF231F20"/>
      </right>
      <top style="thin">
        <color rgb="FF003862"/>
      </top>
      <bottom/>
      <diagonal/>
    </border>
    <border>
      <left style="thin">
        <color rgb="FF231F20"/>
      </left>
      <right/>
      <top style="thin">
        <color rgb="FF003862"/>
      </top>
      <bottom/>
      <diagonal/>
    </border>
    <border>
      <left style="thin">
        <color rgb="FF7F7F7F"/>
      </left>
      <right style="thin">
        <color rgb="FF7F7F7F"/>
      </right>
      <top/>
      <bottom style="thin">
        <color rgb="FF7F7F7F"/>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519">
    <xf numFmtId="0" fontId="0" fillId="0" borderId="0"/>
    <xf numFmtId="0" fontId="71" fillId="18" borderId="0" applyNumberFormat="0" applyBorder="0" applyAlignment="0" applyProtection="0"/>
    <xf numFmtId="0" fontId="72" fillId="0" borderId="0" applyNumberFormat="0" applyFill="0" applyBorder="0" applyAlignment="0" applyProtection="0"/>
    <xf numFmtId="0" fontId="73" fillId="19" borderId="40" applyNumberFormat="0" applyAlignment="0" applyProtection="0"/>
    <xf numFmtId="168" fontId="70" fillId="0" borderId="0" applyFont="0" applyFill="0" applyBorder="0" applyAlignment="0" applyProtection="0"/>
    <xf numFmtId="177" fontId="28" fillId="0" borderId="0" applyFill="0" applyBorder="0" applyAlignment="0" applyProtection="0"/>
    <xf numFmtId="168" fontId="6" fillId="0" borderId="0" applyFont="0" applyFill="0" applyBorder="0" applyAlignment="0" applyProtection="0"/>
    <xf numFmtId="168" fontId="29" fillId="0" borderId="0" applyFont="0" applyFill="0" applyBorder="0" applyAlignment="0" applyProtection="0"/>
    <xf numFmtId="168" fontId="1" fillId="0" borderId="0" applyFont="0" applyFill="0" applyBorder="0" applyAlignment="0" applyProtection="0"/>
    <xf numFmtId="43" fontId="6" fillId="0" borderId="0" applyFont="0" applyFill="0" applyBorder="0" applyAlignment="0" applyProtection="0"/>
    <xf numFmtId="178" fontId="74" fillId="0" borderId="0"/>
    <xf numFmtId="0" fontId="30" fillId="0" borderId="0"/>
    <xf numFmtId="179" fontId="75" fillId="0" borderId="0"/>
    <xf numFmtId="4" fontId="76" fillId="0" borderId="0" applyNumberFormat="0" applyFill="0" applyBorder="0" applyAlignment="0" applyProtection="0">
      <alignment horizontal="center"/>
    </xf>
    <xf numFmtId="0" fontId="77" fillId="20" borderId="0" applyNumberFormat="0" applyBorder="0" applyAlignment="0" applyProtection="0"/>
    <xf numFmtId="0" fontId="78" fillId="0" borderId="0">
      <alignment horizontal="center"/>
    </xf>
    <xf numFmtId="0" fontId="79" fillId="0" borderId="41" applyNumberFormat="0" applyFill="0" applyAlignment="0" applyProtection="0"/>
    <xf numFmtId="0" fontId="80" fillId="0" borderId="1" applyNumberFormat="0" applyFill="0" applyAlignment="0" applyProtection="0"/>
    <xf numFmtId="0" fontId="81" fillId="0" borderId="42" applyNumberFormat="0" applyFill="0" applyAlignment="0" applyProtection="0"/>
    <xf numFmtId="0" fontId="82" fillId="0" borderId="42"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78" fillId="0" borderId="0">
      <alignment horizontal="center" textRotation="90"/>
    </xf>
    <xf numFmtId="0" fontId="27"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6" fillId="21" borderId="40" applyNumberFormat="0" applyAlignment="0" applyProtection="0"/>
    <xf numFmtId="0" fontId="87" fillId="0" borderId="0" applyNumberFormat="0" applyFill="0" applyBorder="0" applyAlignment="0" applyProtection="0"/>
    <xf numFmtId="0" fontId="88" fillId="22" borderId="0" applyNumberFormat="0" applyBorder="0" applyAlignment="0" applyProtection="0"/>
    <xf numFmtId="0" fontId="6" fillId="0" borderId="0"/>
    <xf numFmtId="0" fontId="6" fillId="0" borderId="0"/>
    <xf numFmtId="0" fontId="6" fillId="0" borderId="0"/>
    <xf numFmtId="0" fontId="70" fillId="0" borderId="0"/>
    <xf numFmtId="0" fontId="70" fillId="0" borderId="0"/>
    <xf numFmtId="0" fontId="89" fillId="19" borderId="44" applyNumberFormat="0" applyAlignment="0" applyProtection="0"/>
    <xf numFmtId="9" fontId="7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0" fontId="90" fillId="0" borderId="0"/>
    <xf numFmtId="180" fontId="90" fillId="0" borderId="0"/>
    <xf numFmtId="0" fontId="144" fillId="0" borderId="0" applyNumberFormat="0" applyFill="0" applyBorder="0" applyAlignment="0" applyProtection="0"/>
    <xf numFmtId="0" fontId="70" fillId="42" borderId="68" applyNumberFormat="0" applyFont="0" applyAlignment="0" applyProtection="0"/>
    <xf numFmtId="0" fontId="6" fillId="0" borderId="0"/>
    <xf numFmtId="165" fontId="70" fillId="0" borderId="0" applyFont="0" applyFill="0" applyBorder="0" applyAlignment="0" applyProtection="0"/>
    <xf numFmtId="180" fontId="71" fillId="43" borderId="0" applyNumberFormat="0" applyBorder="0" applyAlignment="0" applyProtection="0"/>
    <xf numFmtId="180" fontId="73" fillId="19" borderId="40" applyNumberFormat="0" applyAlignment="0" applyProtection="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195" fontId="148" fillId="0" borderId="0"/>
    <xf numFmtId="3" fontId="149" fillId="0" borderId="0" applyFont="0" applyFill="0" applyBorder="0" applyAlignment="0" applyProtection="0"/>
    <xf numFmtId="196" fontId="6" fillId="0" borderId="0" applyFont="0" applyFill="0" applyBorder="0" applyAlignment="0" applyProtection="0"/>
    <xf numFmtId="180" fontId="149" fillId="0" borderId="0" applyFont="0" applyFill="0" applyBorder="0" applyAlignment="0" applyProtection="0"/>
    <xf numFmtId="180" fontId="150" fillId="0" borderId="0">
      <protection locked="0"/>
    </xf>
    <xf numFmtId="180" fontId="150" fillId="0" borderId="0">
      <protection locked="0"/>
    </xf>
    <xf numFmtId="180" fontId="151" fillId="0" borderId="0">
      <protection locked="0"/>
    </xf>
    <xf numFmtId="180" fontId="150" fillId="0" borderId="0">
      <protection locked="0"/>
    </xf>
    <xf numFmtId="180" fontId="150" fillId="0" borderId="0">
      <protection locked="0"/>
    </xf>
    <xf numFmtId="180" fontId="150" fillId="0" borderId="0">
      <protection locked="0"/>
    </xf>
    <xf numFmtId="180" fontId="151" fillId="0" borderId="0">
      <protection locked="0"/>
    </xf>
    <xf numFmtId="2" fontId="149" fillId="0" borderId="0" applyFont="0" applyFill="0" applyBorder="0" applyAlignment="0" applyProtection="0"/>
    <xf numFmtId="180" fontId="77" fillId="44" borderId="0" applyNumberFormat="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86" fillId="21" borderId="40" applyNumberFormat="0" applyAlignment="0" applyProtection="0"/>
    <xf numFmtId="197" fontId="6" fillId="45" borderId="0" applyNumberFormat="0" applyFont="0" applyBorder="0" applyAlignment="0" applyProtection="0"/>
    <xf numFmtId="180" fontId="88" fillId="46" borderId="0" applyNumberFormat="0" applyBorder="0" applyAlignment="0" applyProtection="0"/>
    <xf numFmtId="198" fontId="152" fillId="0" borderId="0"/>
    <xf numFmtId="0" fontId="153" fillId="0" borderId="0"/>
    <xf numFmtId="180" fontId="154" fillId="0" borderId="0">
      <alignment vertical="top"/>
    </xf>
    <xf numFmtId="0" fontId="160" fillId="50" borderId="0" applyNumberFormat="0" applyBorder="0" applyAlignment="0" applyProtection="0"/>
    <xf numFmtId="0" fontId="160" fillId="51" borderId="0" applyNumberFormat="0" applyBorder="0" applyAlignment="0" applyProtection="0"/>
    <xf numFmtId="0" fontId="86" fillId="21" borderId="40" applyNumberFormat="0" applyAlignment="0" applyProtection="0"/>
    <xf numFmtId="185" fontId="6" fillId="57" borderId="92" applyNumberFormat="0" applyFont="0" applyAlignment="0"/>
    <xf numFmtId="0" fontId="6" fillId="58" borderId="93" applyNumberFormat="0" applyFont="0" applyAlignment="0"/>
    <xf numFmtId="0" fontId="8" fillId="59" borderId="93" applyNumberFormat="0" applyFont="0" applyAlignment="0"/>
    <xf numFmtId="168" fontId="70" fillId="0" borderId="0" applyFont="0" applyFill="0" applyBorder="0" applyAlignment="0" applyProtection="0"/>
    <xf numFmtId="0" fontId="80" fillId="0" borderId="1" applyNumberFormat="0" applyFill="0" applyAlignment="0" applyProtection="0"/>
    <xf numFmtId="0" fontId="82" fillId="0" borderId="42" applyNumberFormat="0" applyFill="0" applyAlignment="0" applyProtection="0"/>
    <xf numFmtId="0" fontId="84" fillId="0" borderId="0" applyNumberFormat="0" applyFill="0" applyBorder="0" applyAlignment="0" applyProtection="0"/>
    <xf numFmtId="0" fontId="6" fillId="60" borderId="94" applyNumberFormat="0" applyFont="0" applyAlignment="0"/>
    <xf numFmtId="0" fontId="70" fillId="0" borderId="0"/>
    <xf numFmtId="202" fontId="6" fillId="0" borderId="0"/>
    <xf numFmtId="202" fontId="70" fillId="0" borderId="0"/>
    <xf numFmtId="0" fontId="70" fillId="0" borderId="0"/>
    <xf numFmtId="202" fontId="70" fillId="0" borderId="0"/>
    <xf numFmtId="180" fontId="70" fillId="0" borderId="0"/>
    <xf numFmtId="9" fontId="70" fillId="0" borderId="0" applyFont="0" applyFill="0" applyBorder="0" applyAlignment="0" applyProtection="0"/>
    <xf numFmtId="9" fontId="70" fillId="0" borderId="0" applyFont="0" applyFill="0" applyBorder="0" applyAlignment="0" applyProtection="0"/>
    <xf numFmtId="202" fontId="6" fillId="0" borderId="0"/>
    <xf numFmtId="165" fontId="1" fillId="0" borderId="0" applyFont="0" applyFill="0" applyBorder="0" applyAlignment="0" applyProtection="0"/>
    <xf numFmtId="165" fontId="70" fillId="0" borderId="0" applyFont="0" applyFill="0" applyBorder="0" applyAlignment="0" applyProtection="0"/>
    <xf numFmtId="167" fontId="6" fillId="0" borderId="0" applyFont="0" applyFill="0" applyBorder="0" applyAlignment="0" applyProtection="0"/>
    <xf numFmtId="0" fontId="83" fillId="0" borderId="43" applyNumberFormat="0" applyFill="0" applyAlignment="0" applyProtection="0"/>
    <xf numFmtId="0" fontId="70" fillId="0" borderId="0"/>
    <xf numFmtId="0" fontId="70" fillId="0" borderId="0"/>
    <xf numFmtId="0" fontId="70" fillId="0" borderId="0"/>
    <xf numFmtId="0" fontId="70" fillId="0" borderId="0"/>
    <xf numFmtId="9" fontId="70" fillId="0" borderId="0" applyFont="0" applyFill="0" applyBorder="0" applyAlignment="0" applyProtection="0"/>
    <xf numFmtId="40" fontId="184" fillId="0" borderId="0"/>
    <xf numFmtId="166" fontId="184" fillId="0" borderId="0"/>
    <xf numFmtId="0" fontId="185" fillId="0" borderId="0"/>
    <xf numFmtId="9" fontId="185"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1" fillId="0" borderId="0" applyFont="0" applyFill="0" applyBorder="0" applyAlignment="0" applyProtection="0"/>
    <xf numFmtId="0" fontId="187"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165" fontId="6"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70" fillId="0" borderId="0"/>
    <xf numFmtId="165" fontId="70" fillId="0" borderId="0" applyFont="0" applyFill="0" applyBorder="0" applyAlignment="0" applyProtection="0"/>
    <xf numFmtId="165" fontId="70" fillId="0" borderId="0" applyFont="0" applyFill="0" applyBorder="0" applyAlignment="0" applyProtection="0"/>
    <xf numFmtId="180" fontId="70" fillId="0" borderId="0"/>
    <xf numFmtId="165" fontId="70"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70" fillId="0" borderId="0" applyFont="0" applyFill="0" applyBorder="0" applyAlignment="0" applyProtection="0"/>
    <xf numFmtId="180" fontId="6" fillId="0" borderId="0"/>
    <xf numFmtId="165" fontId="6" fillId="0" borderId="0" applyFont="0" applyFill="0" applyBorder="0" applyAlignment="0" applyProtection="0"/>
    <xf numFmtId="180" fontId="88" fillId="22" borderId="0" applyNumberFormat="0" applyBorder="0" applyAlignment="0" applyProtection="0"/>
    <xf numFmtId="180" fontId="71" fillId="18" borderId="0" applyNumberFormat="0" applyBorder="0" applyAlignment="0" applyProtection="0"/>
    <xf numFmtId="4" fontId="190" fillId="0" borderId="0" applyNumberFormat="0" applyFill="0" applyBorder="0" applyAlignment="0" applyProtection="0">
      <alignment horizontal="center"/>
    </xf>
    <xf numFmtId="43" fontId="6" fillId="0" borderId="0" applyFont="0" applyFill="0" applyBorder="0" applyAlignment="0" applyProtection="0"/>
    <xf numFmtId="180" fontId="87" fillId="0" borderId="0" applyNumberFormat="0" applyFill="0" applyBorder="0" applyAlignment="0" applyProtection="0"/>
    <xf numFmtId="180" fontId="72" fillId="0" borderId="0" applyNumberFormat="0" applyFill="0" applyBorder="0" applyAlignment="0" applyProtection="0"/>
    <xf numFmtId="180" fontId="74" fillId="0" borderId="0"/>
    <xf numFmtId="180" fontId="30" fillId="0" borderId="0"/>
    <xf numFmtId="180" fontId="78" fillId="0" borderId="0">
      <alignment horizontal="center"/>
    </xf>
    <xf numFmtId="180" fontId="78" fillId="0" borderId="0">
      <alignment horizontal="center" textRotation="90"/>
    </xf>
    <xf numFmtId="180" fontId="90" fillId="0" borderId="0"/>
    <xf numFmtId="165" fontId="70" fillId="0" borderId="0" applyFont="0" applyFill="0" applyBorder="0" applyAlignment="0" applyProtection="0"/>
    <xf numFmtId="180" fontId="70"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180" fontId="86" fillId="62" borderId="40" applyNumberFormat="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165" fontId="1" fillId="0" borderId="0" applyFont="0" applyFill="0" applyBorder="0" applyAlignment="0" applyProtection="0"/>
    <xf numFmtId="180" fontId="80" fillId="0" borderId="1" applyNumberFormat="0" applyFill="0" applyAlignment="0" applyProtection="0"/>
    <xf numFmtId="180" fontId="82" fillId="0" borderId="42" applyNumberFormat="0" applyFill="0" applyAlignment="0" applyProtection="0"/>
    <xf numFmtId="180" fontId="84" fillId="0" borderId="0" applyNumberFormat="0" applyFill="0" applyBorder="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65" fontId="70" fillId="0" borderId="0" applyFont="0" applyFill="0" applyBorder="0" applyAlignment="0" applyProtection="0"/>
    <xf numFmtId="180" fontId="17" fillId="0" borderId="62" applyNumberFormat="0" applyAlignment="0" applyProtection="0">
      <alignment horizontal="left" vertical="center"/>
    </xf>
    <xf numFmtId="180" fontId="17" fillId="0" borderId="69">
      <alignment horizontal="left" vertical="center"/>
    </xf>
    <xf numFmtId="180" fontId="6" fillId="0" borderId="0"/>
    <xf numFmtId="180" fontId="88" fillId="22" borderId="0" applyNumberFormat="0" applyBorder="0" applyAlignment="0" applyProtection="0"/>
    <xf numFmtId="180" fontId="71" fillId="18" borderId="0" applyNumberFormat="0" applyBorder="0" applyAlignment="0" applyProtection="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86" fillId="21" borderId="40" applyNumberFormat="0" applyAlignment="0" applyProtection="0"/>
    <xf numFmtId="180" fontId="89" fillId="19" borderId="44" applyNumberFormat="0" applyAlignment="0" applyProtection="0"/>
    <xf numFmtId="180" fontId="70" fillId="61"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185" fillId="0" borderId="0"/>
    <xf numFmtId="0" fontId="185" fillId="0" borderId="0"/>
    <xf numFmtId="0" fontId="185" fillId="0" borderId="0"/>
    <xf numFmtId="9" fontId="185" fillId="0" borderId="0" applyFont="0" applyFill="0" applyBorder="0" applyAlignment="0" applyProtection="0"/>
    <xf numFmtId="0" fontId="119" fillId="0" borderId="0"/>
    <xf numFmtId="0" fontId="6" fillId="0" borderId="0"/>
    <xf numFmtId="9" fontId="119" fillId="0" borderId="0" applyFont="0" applyFill="0" applyBorder="0" applyAlignment="0" applyProtection="0"/>
    <xf numFmtId="0" fontId="27" fillId="0" borderId="0" applyNumberFormat="0" applyFill="0" applyBorder="0" applyAlignment="0" applyProtection="0">
      <alignment vertical="top"/>
      <protection locked="0"/>
    </xf>
    <xf numFmtId="0" fontId="193" fillId="0" borderId="0" applyNumberFormat="0" applyFont="0" applyFill="0" applyBorder="0" applyProtection="0">
      <alignment horizontal="left" vertical="center" indent="5"/>
    </xf>
    <xf numFmtId="4" fontId="26" fillId="64" borderId="16">
      <alignment horizontal="right" vertical="center"/>
    </xf>
    <xf numFmtId="4" fontId="189" fillId="0" borderId="11" applyFill="0" applyBorder="0" applyProtection="0">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0" fontId="6" fillId="13" borderId="0" applyNumberFormat="0" applyFont="0" applyBorder="0" applyAlignment="0"/>
    <xf numFmtId="41" fontId="6" fillId="0" borderId="0" applyFont="0" applyFill="0" applyBorder="0" applyAlignment="0" applyProtection="0">
      <alignment wrapText="1"/>
    </xf>
    <xf numFmtId="43" fontId="6" fillId="0" borderId="0" applyFont="0" applyFill="0" applyBorder="0" applyAlignment="0" applyProtection="0">
      <alignment wrapText="1"/>
    </xf>
    <xf numFmtId="206" fontId="6" fillId="0" borderId="0" applyFont="0" applyFill="0" applyBorder="0" applyAlignment="0" applyProtection="0"/>
    <xf numFmtId="207" fontId="194" fillId="0" borderId="0">
      <alignment horizontal="left" vertical="center"/>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4" fontId="26" fillId="0" borderId="76">
      <alignment horizontal="right" vertical="center"/>
    </xf>
    <xf numFmtId="0" fontId="6" fillId="49" borderId="0" applyNumberFormat="0" applyFont="0" applyBorder="0" applyAlignment="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0" fontId="6" fillId="0" borderId="0"/>
    <xf numFmtId="0" fontId="6" fillId="0" borderId="0"/>
    <xf numFmtId="0" fontId="6"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192" fillId="0" borderId="0"/>
    <xf numFmtId="0" fontId="6" fillId="0" borderId="0"/>
    <xf numFmtId="0" fontId="193" fillId="63" borderId="0" applyNumberFormat="0" applyFont="0" applyBorder="0" applyAlignment="0" applyProtection="0"/>
    <xf numFmtId="9" fontId="191" fillId="0" borderId="0" applyFont="0" applyFill="0" applyBorder="0" applyAlignment="0" applyProtection="0"/>
    <xf numFmtId="9" fontId="6"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5"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13" fontId="6" fillId="0" borderId="0" applyFont="0" applyFill="0" applyProtection="0"/>
    <xf numFmtId="9" fontId="192" fillId="0" borderId="0" applyFont="0" applyFill="0" applyBorder="0" applyAlignment="0" applyProtection="0"/>
    <xf numFmtId="207" fontId="196" fillId="0" borderId="0" applyFill="0" applyBorder="0" applyAlignment="0" applyProtection="0"/>
    <xf numFmtId="0" fontId="6" fillId="0" borderId="0"/>
    <xf numFmtId="0" fontId="26" fillId="63" borderId="16"/>
    <xf numFmtId="0" fontId="197" fillId="0" borderId="0"/>
    <xf numFmtId="0" fontId="52" fillId="0" borderId="0">
      <alignment horizontal="right"/>
    </xf>
    <xf numFmtId="0" fontId="52" fillId="0" borderId="0">
      <alignment horizontal="left"/>
    </xf>
    <xf numFmtId="0" fontId="8" fillId="0" borderId="0"/>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212" fontId="6" fillId="0" borderId="0" applyFont="0" applyFill="0" applyBorder="0" applyAlignment="0" applyProtection="0">
      <alignment horizontal="left"/>
    </xf>
    <xf numFmtId="176" fontId="6" fillId="0" borderId="0" applyFont="0" applyFill="0" applyBorder="0" applyAlignment="0" applyProtection="0">
      <alignment horizontal="left"/>
    </xf>
    <xf numFmtId="213" fontId="6" fillId="0" borderId="0" applyFont="0" applyFill="0" applyBorder="0" applyAlignment="0" applyProtection="0">
      <alignment horizontal="left"/>
    </xf>
    <xf numFmtId="49" fontId="6" fillId="0" borderId="0" applyFill="0" applyBorder="0" applyProtection="0">
      <alignment horizontal="left"/>
    </xf>
    <xf numFmtId="0" fontId="198" fillId="0" borderId="0">
      <alignment horizontal="left" vertical="top"/>
    </xf>
    <xf numFmtId="0" fontId="199" fillId="0" borderId="0">
      <alignment horizontal="left"/>
    </xf>
    <xf numFmtId="214" fontId="200" fillId="65" borderId="0" applyNumberFormat="0" applyBorder="0">
      <protection locked="0"/>
    </xf>
    <xf numFmtId="214" fontId="32" fillId="66" borderId="0" applyNumberFormat="0" applyBorder="0">
      <protection locked="0"/>
    </xf>
    <xf numFmtId="41" fontId="6" fillId="0" borderId="0" applyFont="0" applyFill="0" applyBorder="0" applyAlignment="0" applyProtection="0"/>
    <xf numFmtId="43" fontId="6" fillId="0" borderId="0" applyFont="0" applyFill="0" applyBorder="0" applyAlignment="0" applyProtection="0"/>
    <xf numFmtId="204" fontId="6" fillId="0" borderId="0" applyFont="0" applyFill="0" applyBorder="0" applyAlignment="0" applyProtection="0"/>
    <xf numFmtId="205" fontId="6" fillId="0" borderId="0" applyFont="0" applyFill="0" applyBorder="0" applyAlignment="0" applyProtection="0"/>
    <xf numFmtId="215" fontId="196" fillId="0" borderId="0" applyFont="0" applyFill="0" applyBorder="0" applyAlignment="0" applyProtection="0"/>
    <xf numFmtId="216" fontId="196" fillId="0" borderId="0" applyFont="0" applyFill="0" applyBorder="0" applyAlignment="0" applyProtection="0"/>
    <xf numFmtId="0" fontId="201" fillId="13" borderId="0">
      <alignment horizontal="left" vertical="center" indent="1"/>
    </xf>
    <xf numFmtId="4" fontId="26" fillId="0" borderId="0"/>
    <xf numFmtId="43" fontId="119" fillId="0" borderId="0" applyFont="0" applyFill="0" applyBorder="0" applyAlignment="0" applyProtection="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202" fillId="0" borderId="0" applyNumberFormat="0" applyFill="0" applyBorder="0" applyAlignment="0" applyProtection="0">
      <alignment vertical="top"/>
      <protection locked="0"/>
    </xf>
    <xf numFmtId="0" fontId="70" fillId="0" borderId="0"/>
    <xf numFmtId="0" fontId="119" fillId="0" borderId="0"/>
    <xf numFmtId="0" fontId="119" fillId="0" borderId="0"/>
    <xf numFmtId="0" fontId="119" fillId="0" borderId="0"/>
    <xf numFmtId="0" fontId="119" fillId="0" borderId="0"/>
    <xf numFmtId="180" fontId="71" fillId="18" borderId="0" applyNumberFormat="0" applyBorder="0" applyAlignment="0" applyProtection="0"/>
    <xf numFmtId="165" fontId="70" fillId="0" borderId="0" applyFont="0" applyFill="0" applyBorder="0" applyAlignment="0" applyProtection="0"/>
    <xf numFmtId="180" fontId="88" fillId="22" borderId="0" applyNumberFormat="0" applyBorder="0" applyAlignment="0" applyProtection="0"/>
    <xf numFmtId="9" fontId="70" fillId="0" borderId="0" applyFont="0" applyFill="0" applyBorder="0" applyAlignment="0" applyProtection="0"/>
    <xf numFmtId="165" fontId="6" fillId="0" borderId="0" applyFont="0" applyFill="0" applyBorder="0" applyAlignment="0" applyProtection="0"/>
    <xf numFmtId="180" fontId="70" fillId="0" borderId="0"/>
    <xf numFmtId="180" fontId="6" fillId="0" borderId="0"/>
    <xf numFmtId="165" fontId="6" fillId="0" borderId="0" applyFont="0" applyFill="0" applyBorder="0" applyAlignment="0" applyProtection="0"/>
    <xf numFmtId="180" fontId="78" fillId="0" borderId="0">
      <alignment horizontal="center"/>
    </xf>
    <xf numFmtId="0" fontId="119" fillId="0" borderId="0"/>
    <xf numFmtId="43" fontId="119" fillId="0" borderId="0" applyFont="0" applyFill="0" applyBorder="0" applyAlignment="0" applyProtection="0"/>
    <xf numFmtId="0" fontId="119" fillId="0" borderId="0"/>
    <xf numFmtId="0" fontId="119" fillId="0" borderId="0"/>
    <xf numFmtId="180" fontId="85" fillId="0" borderId="0" applyNumberFormat="0" applyFill="0" applyBorder="0" applyAlignment="0" applyProtection="0">
      <alignment vertical="top"/>
      <protection locked="0"/>
    </xf>
    <xf numFmtId="180" fontId="70" fillId="0" borderId="0"/>
    <xf numFmtId="180" fontId="6" fillId="0" borderId="0"/>
    <xf numFmtId="9" fontId="70" fillId="0" borderId="0" applyFont="0" applyFill="0" applyBorder="0" applyAlignment="0" applyProtection="0"/>
    <xf numFmtId="9" fontId="6" fillId="0" borderId="0" applyFont="0" applyFill="0" applyBorder="0" applyAlignment="0" applyProtection="0"/>
    <xf numFmtId="180" fontId="73" fillId="19" borderId="40" applyNumberFormat="0" applyAlignment="0" applyProtection="0"/>
    <xf numFmtId="0" fontId="119" fillId="0" borderId="0"/>
    <xf numFmtId="180" fontId="70" fillId="42" borderId="68" applyNumberFormat="0" applyFont="0" applyAlignment="0" applyProtection="0"/>
    <xf numFmtId="180" fontId="79" fillId="0" borderId="41" applyNumberFormat="0" applyFill="0" applyAlignment="0" applyProtection="0"/>
    <xf numFmtId="180" fontId="81" fillId="0" borderId="42" applyNumberFormat="0" applyFill="0" applyAlignment="0" applyProtection="0"/>
    <xf numFmtId="180" fontId="83" fillId="0" borderId="43" applyNumberFormat="0" applyFill="0" applyAlignment="0" applyProtection="0"/>
    <xf numFmtId="180" fontId="6" fillId="0" borderId="0"/>
    <xf numFmtId="180" fontId="86" fillId="21" borderId="40" applyNumberFormat="0" applyAlignment="0" applyProtection="0"/>
    <xf numFmtId="180" fontId="27" fillId="0" borderId="0" applyNumberFormat="0" applyFill="0" applyBorder="0" applyAlignment="0" applyProtection="0">
      <alignment vertical="top"/>
      <protection locked="0"/>
    </xf>
    <xf numFmtId="0" fontId="119" fillId="0" borderId="0"/>
    <xf numFmtId="180" fontId="89" fillId="19" borderId="44" applyNumberFormat="0" applyAlignment="0" applyProtection="0"/>
    <xf numFmtId="180" fontId="70" fillId="61" borderId="0" applyNumberFormat="0" applyBorder="0" applyAlignment="0" applyProtection="0"/>
    <xf numFmtId="0" fontId="70" fillId="0" borderId="0"/>
    <xf numFmtId="180" fontId="70" fillId="0" borderId="0"/>
    <xf numFmtId="180" fontId="6" fillId="0" borderId="0"/>
    <xf numFmtId="0" fontId="70" fillId="0" borderId="0"/>
    <xf numFmtId="0" fontId="70" fillId="0" borderId="0"/>
    <xf numFmtId="0" fontId="70" fillId="0" borderId="0"/>
    <xf numFmtId="0" fontId="70" fillId="0" borderId="0"/>
    <xf numFmtId="0" fontId="70" fillId="0" borderId="0"/>
    <xf numFmtId="0" fontId="70" fillId="0" borderId="0"/>
    <xf numFmtId="0" fontId="119" fillId="0" borderId="0"/>
    <xf numFmtId="0" fontId="119" fillId="0" borderId="0"/>
    <xf numFmtId="0" fontId="119" fillId="0" borderId="0"/>
    <xf numFmtId="0" fontId="119" fillId="0" borderId="0"/>
    <xf numFmtId="0" fontId="119" fillId="0" borderId="0"/>
    <xf numFmtId="165" fontId="6" fillId="0" borderId="0" applyFont="0" applyFill="0" applyBorder="0" applyAlignment="0" applyProtection="0"/>
    <xf numFmtId="0" fontId="119" fillId="0" borderId="0"/>
    <xf numFmtId="0" fontId="119"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85"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164" fontId="70"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0" fontId="119" fillId="0" borderId="0"/>
    <xf numFmtId="43" fontId="119" fillId="0" borderId="0" applyFont="0" applyFill="0" applyBorder="0" applyAlignment="0" applyProtection="0"/>
    <xf numFmtId="43" fontId="119" fillId="0" borderId="0" applyFont="0" applyFill="0" applyBorder="0" applyAlignment="0" applyProtection="0"/>
    <xf numFmtId="0" fontId="129" fillId="0" borderId="0"/>
    <xf numFmtId="0" fontId="70" fillId="0" borderId="0"/>
    <xf numFmtId="165" fontId="70" fillId="0" borderId="0" applyFont="0" applyFill="0" applyBorder="0" applyAlignment="0" applyProtection="0"/>
    <xf numFmtId="9" fontId="129" fillId="0" borderId="0" applyFont="0" applyFill="0" applyBorder="0" applyAlignment="0" applyProtection="0"/>
    <xf numFmtId="0" fontId="70" fillId="0" borderId="0"/>
    <xf numFmtId="0" fontId="6" fillId="0" borderId="0"/>
    <xf numFmtId="165" fontId="6" fillId="0" borderId="0" applyFont="0" applyFill="0" applyBorder="0" applyAlignment="0" applyProtection="0"/>
    <xf numFmtId="0" fontId="70" fillId="0" borderId="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70" fillId="0" borderId="0"/>
    <xf numFmtId="165" fontId="70" fillId="0" borderId="0" applyFont="0" applyFill="0" applyBorder="0" applyAlignment="0" applyProtection="0"/>
    <xf numFmtId="9" fontId="70" fillId="0" borderId="0" applyFont="0" applyFill="0" applyBorder="0" applyAlignment="0" applyProtection="0"/>
    <xf numFmtId="0" fontId="144" fillId="0" borderId="0" applyNumberForma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9" fontId="70" fillId="0" borderId="0" applyFont="0" applyFill="0" applyBorder="0" applyAlignment="0" applyProtection="0"/>
    <xf numFmtId="0" fontId="71" fillId="18" borderId="0" applyNumberFormat="0" applyBorder="0" applyAlignment="0" applyProtection="0"/>
    <xf numFmtId="0" fontId="70" fillId="0" borderId="0"/>
    <xf numFmtId="165" fontId="129" fillId="0" borderId="0" applyFont="0" applyFill="0" applyBorder="0" applyAlignment="0" applyProtection="0"/>
    <xf numFmtId="0" fontId="70" fillId="0" borderId="0"/>
    <xf numFmtId="0" fontId="70" fillId="0" borderId="0"/>
    <xf numFmtId="0" fontId="129" fillId="0" borderId="0"/>
    <xf numFmtId="165" fontId="129" fillId="0" borderId="0" applyFont="0" applyFill="0" applyBorder="0" applyAlignment="0" applyProtection="0"/>
    <xf numFmtId="165" fontId="70" fillId="0" borderId="0" applyFont="0" applyFill="0" applyBorder="0" applyAlignment="0" applyProtection="0"/>
    <xf numFmtId="165" fontId="6"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12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165" fontId="129" fillId="0" borderId="0" applyFont="0" applyFill="0" applyBorder="0" applyAlignment="0" applyProtection="0"/>
    <xf numFmtId="0" fontId="129" fillId="0" borderId="0"/>
    <xf numFmtId="0" fontId="129" fillId="0" borderId="0"/>
    <xf numFmtId="0" fontId="129" fillId="0" borderId="0"/>
    <xf numFmtId="180" fontId="17" fillId="0" borderId="69">
      <alignment horizontal="left" vertical="center"/>
    </xf>
    <xf numFmtId="165" fontId="70" fillId="0" borderId="0" applyFont="0" applyFill="0" applyBorder="0" applyAlignment="0" applyProtection="0"/>
    <xf numFmtId="180" fontId="70" fillId="0" borderId="0"/>
    <xf numFmtId="4" fontId="189" fillId="0" borderId="11" applyFill="0" applyBorder="0" applyProtection="0">
      <alignment horizontal="right" vertical="center"/>
    </xf>
    <xf numFmtId="0" fontId="207" fillId="0" borderId="0"/>
    <xf numFmtId="43" fontId="70"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70" fillId="0" borderId="0" applyFont="0" applyFill="0" applyBorder="0" applyAlignment="0" applyProtection="0"/>
    <xf numFmtId="0" fontId="88" fillId="22" borderId="0" applyNumberFormat="0" applyBorder="0" applyAlignment="0" applyProtection="0"/>
    <xf numFmtId="43" fontId="70" fillId="0" borderId="0" applyFont="0" applyFill="0" applyBorder="0" applyAlignment="0" applyProtection="0"/>
    <xf numFmtId="0" fontId="129"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185" fillId="0" borderId="0"/>
    <xf numFmtId="165" fontId="70" fillId="0" borderId="0" applyFont="0" applyFill="0" applyBorder="0" applyAlignment="0" applyProtection="0"/>
    <xf numFmtId="0" fontId="185" fillId="0" borderId="0"/>
    <xf numFmtId="0" fontId="185" fillId="0" borderId="0"/>
  </cellStyleXfs>
  <cellXfs count="1940">
    <xf numFmtId="0" fontId="0" fillId="0" borderId="0" xfId="0"/>
    <xf numFmtId="3" fontId="0" fillId="0" borderId="0" xfId="0" applyNumberFormat="1"/>
    <xf numFmtId="0" fontId="0" fillId="0" borderId="0" xfId="0" applyAlignment="1">
      <alignment wrapText="1"/>
    </xf>
    <xf numFmtId="0" fontId="88" fillId="22" borderId="0" xfId="28"/>
    <xf numFmtId="3" fontId="88" fillId="22" borderId="0" xfId="28" applyNumberFormat="1"/>
    <xf numFmtId="0" fontId="88" fillId="22" borderId="0" xfId="28" applyAlignment="1">
      <alignment horizontal="center"/>
    </xf>
    <xf numFmtId="0" fontId="0" fillId="0" borderId="0" xfId="0" applyAlignment="1">
      <alignment horizontal="center"/>
    </xf>
    <xf numFmtId="0" fontId="88" fillId="22" borderId="0" xfId="28" applyAlignment="1">
      <alignment horizontal="left"/>
    </xf>
    <xf numFmtId="0" fontId="93" fillId="22" borderId="0" xfId="28" applyFont="1" applyAlignment="1">
      <alignment horizontal="center"/>
    </xf>
    <xf numFmtId="0" fontId="93" fillId="22" borderId="0" xfId="28" applyFont="1" applyAlignment="1">
      <alignment horizontal="left"/>
    </xf>
    <xf numFmtId="0" fontId="93" fillId="22" borderId="0" xfId="28" applyFont="1"/>
    <xf numFmtId="3" fontId="94" fillId="22" borderId="0" xfId="28" applyNumberFormat="1" applyFont="1"/>
    <xf numFmtId="3" fontId="95" fillId="22" borderId="0" xfId="28" applyNumberFormat="1" applyFont="1"/>
    <xf numFmtId="0" fontId="88" fillId="22" borderId="0" xfId="28" applyFont="1" applyAlignment="1">
      <alignment horizontal="center"/>
    </xf>
    <xf numFmtId="9" fontId="95" fillId="22" borderId="0" xfId="35" applyFont="1" applyFill="1"/>
    <xf numFmtId="9" fontId="95" fillId="22" borderId="0" xfId="28" applyNumberFormat="1" applyFont="1"/>
    <xf numFmtId="0" fontId="79" fillId="0" borderId="41" xfId="16"/>
    <xf numFmtId="3" fontId="96" fillId="22" borderId="0" xfId="28" applyNumberFormat="1" applyFont="1"/>
    <xf numFmtId="3" fontId="97" fillId="22" borderId="0" xfId="28" applyNumberFormat="1" applyFont="1"/>
    <xf numFmtId="0" fontId="88" fillId="0" borderId="0" xfId="28" applyFill="1"/>
    <xf numFmtId="0" fontId="98" fillId="0" borderId="0" xfId="28" applyFont="1" applyFill="1"/>
    <xf numFmtId="0" fontId="99" fillId="0" borderId="0" xfId="28" applyFont="1" applyFill="1"/>
    <xf numFmtId="0" fontId="100" fillId="0" borderId="0" xfId="28" applyFont="1" applyFill="1"/>
    <xf numFmtId="0" fontId="88" fillId="22" borderId="0" xfId="28" applyFont="1" applyAlignment="1">
      <alignment horizontal="left"/>
    </xf>
    <xf numFmtId="169" fontId="88" fillId="22" borderId="0" xfId="4" applyNumberFormat="1" applyFont="1" applyFill="1"/>
    <xf numFmtId="168" fontId="0" fillId="0" borderId="0" xfId="0" applyNumberFormat="1"/>
    <xf numFmtId="0" fontId="88" fillId="22" borderId="0" xfId="28" applyAlignment="1">
      <alignment horizontal="right"/>
    </xf>
    <xf numFmtId="0" fontId="88" fillId="22" borderId="0" xfId="28" applyFont="1" applyAlignment="1">
      <alignment horizontal="right"/>
    </xf>
    <xf numFmtId="169" fontId="88" fillId="22" borderId="0" xfId="28" applyNumberFormat="1"/>
    <xf numFmtId="0" fontId="86" fillId="21" borderId="40" xfId="26"/>
    <xf numFmtId="3" fontId="86" fillId="21" borderId="40" xfId="26" applyNumberFormat="1"/>
    <xf numFmtId="170" fontId="95" fillId="22" borderId="0" xfId="28" applyNumberFormat="1" applyFont="1"/>
    <xf numFmtId="171" fontId="0" fillId="0" borderId="0" xfId="0" applyNumberFormat="1"/>
    <xf numFmtId="169" fontId="0" fillId="0" borderId="0" xfId="0" applyNumberFormat="1"/>
    <xf numFmtId="9" fontId="70" fillId="0" borderId="0" xfId="35" applyFont="1"/>
    <xf numFmtId="3" fontId="71" fillId="18" borderId="0" xfId="1" applyNumberFormat="1"/>
    <xf numFmtId="3" fontId="95" fillId="22" borderId="2" xfId="28" applyNumberFormat="1" applyFont="1" applyBorder="1"/>
    <xf numFmtId="0" fontId="88" fillId="22" borderId="2" xfId="28" applyFont="1" applyBorder="1" applyAlignment="1">
      <alignment horizontal="left"/>
    </xf>
    <xf numFmtId="0" fontId="88" fillId="22" borderId="2" xfId="28" applyBorder="1"/>
    <xf numFmtId="0" fontId="71" fillId="18" borderId="0" xfId="1"/>
    <xf numFmtId="0" fontId="86" fillId="21" borderId="40" xfId="26" applyAlignment="1">
      <alignment horizontal="right"/>
    </xf>
    <xf numFmtId="0" fontId="7" fillId="0" borderId="0" xfId="29" applyFont="1"/>
    <xf numFmtId="0" fontId="8" fillId="0" borderId="0" xfId="29" applyFont="1"/>
    <xf numFmtId="0" fontId="9" fillId="2" borderId="0" xfId="30" applyFont="1" applyFill="1"/>
    <xf numFmtId="0" fontId="6" fillId="2" borderId="0" xfId="30" applyFill="1"/>
    <xf numFmtId="0" fontId="10" fillId="2" borderId="0" xfId="30" applyFont="1" applyFill="1"/>
    <xf numFmtId="0" fontId="8" fillId="0" borderId="0" xfId="30" applyFont="1" applyAlignment="1">
      <alignment wrapText="1"/>
    </xf>
    <xf numFmtId="0" fontId="11" fillId="3" borderId="0" xfId="30" applyFont="1" applyFill="1"/>
    <xf numFmtId="2" fontId="12" fillId="4" borderId="0" xfId="30" applyNumberFormat="1" applyFont="1" applyFill="1" applyAlignment="1">
      <alignment horizontal="left"/>
    </xf>
    <xf numFmtId="2" fontId="12" fillId="5" borderId="0" xfId="30" applyNumberFormat="1" applyFont="1" applyFill="1" applyAlignment="1">
      <alignment horizontal="left"/>
    </xf>
    <xf numFmtId="2" fontId="13" fillId="2" borderId="0" xfId="30" applyNumberFormat="1" applyFont="1" applyFill="1" applyAlignment="1">
      <alignment horizontal="left"/>
    </xf>
    <xf numFmtId="2" fontId="13" fillId="6" borderId="0" xfId="30" applyNumberFormat="1" applyFont="1" applyFill="1" applyAlignment="1">
      <alignment horizontal="left"/>
    </xf>
    <xf numFmtId="2" fontId="13" fillId="7" borderId="0" xfId="30" applyNumberFormat="1" applyFont="1" applyFill="1" applyAlignment="1">
      <alignment horizontal="left"/>
    </xf>
    <xf numFmtId="2" fontId="13" fillId="8" borderId="0" xfId="30" applyNumberFormat="1" applyFont="1" applyFill="1" applyAlignment="1">
      <alignment horizontal="left"/>
    </xf>
    <xf numFmtId="2" fontId="13" fillId="9" borderId="0" xfId="30" applyNumberFormat="1" applyFont="1" applyFill="1" applyAlignment="1">
      <alignment horizontal="left"/>
    </xf>
    <xf numFmtId="2" fontId="13" fillId="10" borderId="0" xfId="30" applyNumberFormat="1" applyFont="1" applyFill="1" applyAlignment="1">
      <alignment horizontal="left"/>
    </xf>
    <xf numFmtId="2" fontId="12" fillId="11" borderId="0" xfId="30" applyNumberFormat="1" applyFont="1" applyFill="1" applyAlignment="1">
      <alignment horizontal="left"/>
    </xf>
    <xf numFmtId="0" fontId="6" fillId="0" borderId="0" xfId="30"/>
    <xf numFmtId="0" fontId="10" fillId="3" borderId="0" xfId="30" applyFont="1" applyFill="1"/>
    <xf numFmtId="2" fontId="13" fillId="11" borderId="0" xfId="30" applyNumberFormat="1" applyFont="1" applyFill="1" applyAlignment="1">
      <alignment horizontal="left"/>
    </xf>
    <xf numFmtId="0" fontId="13" fillId="3" borderId="0" xfId="30" applyFont="1" applyFill="1" applyAlignment="1">
      <alignment horizontal="center"/>
    </xf>
    <xf numFmtId="2" fontId="14" fillId="4" borderId="0" xfId="30" applyNumberFormat="1" applyFont="1" applyFill="1" applyAlignment="1">
      <alignment horizontal="left"/>
    </xf>
    <xf numFmtId="2" fontId="14" fillId="5" borderId="0" xfId="30" applyNumberFormat="1" applyFont="1" applyFill="1" applyAlignment="1">
      <alignment horizontal="left"/>
    </xf>
    <xf numFmtId="2" fontId="15" fillId="2" borderId="0" xfId="30" applyNumberFormat="1" applyFont="1" applyFill="1" applyAlignment="1">
      <alignment horizontal="left"/>
    </xf>
    <xf numFmtId="2" fontId="15" fillId="6" borderId="0" xfId="30" applyNumberFormat="1" applyFont="1" applyFill="1" applyAlignment="1">
      <alignment horizontal="left"/>
    </xf>
    <xf numFmtId="2" fontId="15" fillId="7" borderId="0" xfId="30" applyNumberFormat="1" applyFont="1" applyFill="1" applyAlignment="1">
      <alignment horizontal="left"/>
    </xf>
    <xf numFmtId="2" fontId="15" fillId="8" borderId="0" xfId="30" applyNumberFormat="1" applyFont="1" applyFill="1" applyAlignment="1">
      <alignment horizontal="left"/>
    </xf>
    <xf numFmtId="2" fontId="15" fillId="9" borderId="0" xfId="30" applyNumberFormat="1" applyFont="1" applyFill="1" applyAlignment="1">
      <alignment horizontal="left"/>
    </xf>
    <xf numFmtId="2" fontId="15" fillId="10" borderId="0" xfId="30" applyNumberFormat="1" applyFont="1" applyFill="1" applyAlignment="1">
      <alignment horizontal="left"/>
    </xf>
    <xf numFmtId="2" fontId="15" fillId="11" borderId="0" xfId="30" applyNumberFormat="1" applyFont="1" applyFill="1" applyAlignment="1">
      <alignment horizontal="left"/>
    </xf>
    <xf numFmtId="1" fontId="13" fillId="12" borderId="0" xfId="30" applyNumberFormat="1" applyFont="1" applyFill="1" applyAlignment="1">
      <alignment horizontal="center"/>
    </xf>
    <xf numFmtId="172" fontId="14" fillId="12" borderId="0" xfId="30" applyNumberFormat="1" applyFont="1" applyFill="1" applyAlignment="1">
      <alignment horizontal="left"/>
    </xf>
    <xf numFmtId="172" fontId="15" fillId="12" borderId="0" xfId="30" applyNumberFormat="1" applyFont="1" applyFill="1" applyAlignment="1">
      <alignment horizontal="left"/>
    </xf>
    <xf numFmtId="0" fontId="10" fillId="13" borderId="0" xfId="30" applyFont="1" applyFill="1"/>
    <xf numFmtId="172" fontId="10" fillId="14" borderId="0" xfId="30" applyNumberFormat="1" applyFont="1" applyFill="1"/>
    <xf numFmtId="172" fontId="6" fillId="0" borderId="0" xfId="30" applyNumberFormat="1"/>
    <xf numFmtId="172" fontId="10" fillId="12" borderId="0" xfId="30" applyNumberFormat="1" applyFont="1" applyFill="1"/>
    <xf numFmtId="0" fontId="13" fillId="13" borderId="0" xfId="30" applyFont="1" applyFill="1"/>
    <xf numFmtId="172" fontId="13" fillId="14" borderId="0" xfId="30" applyNumberFormat="1" applyFont="1" applyFill="1"/>
    <xf numFmtId="172" fontId="13" fillId="12" borderId="0" xfId="30" applyNumberFormat="1" applyFont="1" applyFill="1"/>
    <xf numFmtId="173" fontId="6" fillId="14" borderId="0" xfId="30" applyNumberFormat="1" applyFill="1"/>
    <xf numFmtId="172" fontId="16" fillId="14" borderId="0" xfId="30" applyNumberFormat="1" applyFont="1" applyFill="1"/>
    <xf numFmtId="172" fontId="16" fillId="12" borderId="0" xfId="30" applyNumberFormat="1" applyFont="1" applyFill="1"/>
    <xf numFmtId="172" fontId="6" fillId="14" borderId="0" xfId="30" applyNumberFormat="1" applyFill="1"/>
    <xf numFmtId="172" fontId="10" fillId="14" borderId="0" xfId="30" applyNumberFormat="1" applyFont="1" applyFill="1" applyAlignment="1">
      <alignment horizontal="right"/>
    </xf>
    <xf numFmtId="0" fontId="6" fillId="13" borderId="0" xfId="30" applyFill="1"/>
    <xf numFmtId="0" fontId="17" fillId="0" borderId="0" xfId="29" applyFont="1" applyFill="1" applyAlignment="1">
      <alignment horizontal="center"/>
    </xf>
    <xf numFmtId="0" fontId="17" fillId="0" borderId="0" xfId="29" applyFont="1" applyFill="1" applyAlignment="1"/>
    <xf numFmtId="0" fontId="18" fillId="0" borderId="0" xfId="29" applyFont="1" applyFill="1"/>
    <xf numFmtId="0" fontId="19" fillId="0" borderId="0" xfId="29" applyFont="1" applyFill="1"/>
    <xf numFmtId="0" fontId="19" fillId="0" borderId="0" xfId="29" applyFont="1" applyAlignment="1">
      <alignment horizontal="center"/>
    </xf>
    <xf numFmtId="0" fontId="19" fillId="0" borderId="0" xfId="29" applyFont="1" applyFill="1" applyBorder="1" applyAlignment="1" applyProtection="1">
      <alignment horizontal="center"/>
      <protection locked="0"/>
    </xf>
    <xf numFmtId="0" fontId="19" fillId="0" borderId="0" xfId="29" applyFont="1" applyFill="1" applyAlignment="1">
      <alignment horizontal="center"/>
    </xf>
    <xf numFmtId="0" fontId="6" fillId="0" borderId="0" xfId="29"/>
    <xf numFmtId="0" fontId="18" fillId="0" borderId="0" xfId="29" applyFont="1" applyFill="1" applyAlignment="1">
      <alignment horizontal="left"/>
    </xf>
    <xf numFmtId="0" fontId="6" fillId="0" borderId="0" xfId="29" applyAlignment="1">
      <alignment horizontal="center"/>
    </xf>
    <xf numFmtId="0" fontId="18" fillId="0" borderId="0" xfId="29" applyFont="1"/>
    <xf numFmtId="0" fontId="19" fillId="0" borderId="0" xfId="29" applyFont="1"/>
    <xf numFmtId="0" fontId="6" fillId="0" borderId="0" xfId="29" applyFont="1"/>
    <xf numFmtId="2" fontId="19" fillId="0" borderId="0" xfId="29" applyNumberFormat="1" applyFont="1" applyFill="1" applyAlignment="1">
      <alignment horizontal="center"/>
    </xf>
    <xf numFmtId="170" fontId="76" fillId="0" borderId="0" xfId="13" applyNumberFormat="1">
      <alignment horizontal="center"/>
    </xf>
    <xf numFmtId="2" fontId="20" fillId="0" borderId="0" xfId="29" applyNumberFormat="1" applyFont="1" applyFill="1" applyAlignment="1">
      <alignment horizontal="center"/>
    </xf>
    <xf numFmtId="4" fontId="76" fillId="0" borderId="0" xfId="13">
      <alignment horizontal="center"/>
    </xf>
    <xf numFmtId="0" fontId="6" fillId="0" borderId="0" xfId="29" applyFont="1" applyFill="1"/>
    <xf numFmtId="0" fontId="18" fillId="0" borderId="0" xfId="29" applyFont="1" applyAlignment="1">
      <alignment horizontal="center"/>
    </xf>
    <xf numFmtId="0" fontId="16" fillId="0" borderId="0" xfId="29" applyFont="1" applyAlignment="1">
      <alignment horizontal="center"/>
    </xf>
    <xf numFmtId="0" fontId="18" fillId="0" borderId="2" xfId="29" applyFont="1" applyFill="1" applyBorder="1"/>
    <xf numFmtId="0" fontId="18" fillId="0" borderId="2" xfId="29" applyFont="1" applyFill="1" applyBorder="1" applyAlignment="1">
      <alignment horizontal="center"/>
    </xf>
    <xf numFmtId="0" fontId="6" fillId="0" borderId="2" xfId="29" applyBorder="1"/>
    <xf numFmtId="2" fontId="16" fillId="0" borderId="2" xfId="29" applyNumberFormat="1" applyFont="1" applyFill="1" applyBorder="1" applyAlignment="1">
      <alignment horizontal="center"/>
    </xf>
    <xf numFmtId="2" fontId="19" fillId="0" borderId="2" xfId="29" applyNumberFormat="1" applyFont="1" applyFill="1" applyBorder="1" applyAlignment="1">
      <alignment horizontal="center"/>
    </xf>
    <xf numFmtId="2" fontId="20" fillId="0" borderId="0" xfId="29" applyNumberFormat="1" applyFont="1" applyFill="1" applyBorder="1" applyAlignment="1">
      <alignment horizontal="center"/>
    </xf>
    <xf numFmtId="2" fontId="19" fillId="0" borderId="0" xfId="29" applyNumberFormat="1" applyFont="1" applyFill="1" applyBorder="1" applyAlignment="1">
      <alignment horizontal="left"/>
    </xf>
    <xf numFmtId="2" fontId="19" fillId="0" borderId="0" xfId="29" applyNumberFormat="1" applyFont="1" applyFill="1" applyBorder="1" applyAlignment="1">
      <alignment horizontal="center"/>
    </xf>
    <xf numFmtId="0" fontId="19" fillId="0" borderId="0" xfId="29" applyFont="1" applyFill="1" applyBorder="1"/>
    <xf numFmtId="174" fontId="19" fillId="0" borderId="0" xfId="29" applyNumberFormat="1" applyFont="1" applyFill="1" applyBorder="1" applyAlignment="1" applyProtection="1">
      <alignment horizontal="right"/>
      <protection locked="0"/>
    </xf>
    <xf numFmtId="2" fontId="21" fillId="0" borderId="0" xfId="29" applyNumberFormat="1" applyFont="1" applyFill="1" applyAlignment="1">
      <alignment horizontal="center"/>
    </xf>
    <xf numFmtId="3" fontId="6" fillId="0" borderId="0" xfId="29" applyNumberFormat="1" applyFont="1" applyFill="1" applyAlignment="1">
      <alignment horizontal="left"/>
    </xf>
    <xf numFmtId="2" fontId="19" fillId="0" borderId="3" xfId="29" applyNumberFormat="1" applyFont="1" applyFill="1" applyBorder="1" applyAlignment="1">
      <alignment horizontal="center"/>
    </xf>
    <xf numFmtId="0" fontId="22" fillId="0" borderId="0" xfId="29" applyFont="1" applyFill="1" applyBorder="1" applyAlignment="1">
      <alignment wrapText="1"/>
    </xf>
    <xf numFmtId="0" fontId="16" fillId="0" borderId="0" xfId="29" applyFont="1" applyFill="1" applyBorder="1" applyAlignment="1">
      <alignment horizontal="center" wrapText="1"/>
    </xf>
    <xf numFmtId="0" fontId="19" fillId="0" borderId="0" xfId="29" applyFont="1" applyBorder="1"/>
    <xf numFmtId="0" fontId="19" fillId="0" borderId="0" xfId="29" applyFont="1" applyBorder="1" applyAlignment="1">
      <alignment horizontal="center"/>
    </xf>
    <xf numFmtId="0" fontId="16" fillId="0" borderId="2" xfId="29" applyFont="1" applyFill="1" applyBorder="1" applyAlignment="1">
      <alignment horizontal="center" wrapText="1"/>
    </xf>
    <xf numFmtId="0" fontId="6" fillId="0" borderId="0" xfId="29" applyFill="1"/>
    <xf numFmtId="0" fontId="16" fillId="0" borderId="4" xfId="29" applyFont="1" applyFill="1" applyBorder="1" applyAlignment="1">
      <alignment horizontal="center" wrapText="1"/>
    </xf>
    <xf numFmtId="0" fontId="18" fillId="0" borderId="4" xfId="29" applyFont="1" applyFill="1" applyBorder="1" applyAlignment="1">
      <alignment horizontal="center" vertical="center" wrapText="1"/>
    </xf>
    <xf numFmtId="0" fontId="16" fillId="0" borderId="0" xfId="29" applyFont="1" applyFill="1" applyBorder="1" applyAlignment="1">
      <alignment horizontal="center" vertical="center" wrapText="1"/>
    </xf>
    <xf numFmtId="0" fontId="6" fillId="0" borderId="0" xfId="29" applyFill="1" applyBorder="1" applyAlignment="1">
      <alignment horizontal="center" vertical="center"/>
    </xf>
    <xf numFmtId="0" fontId="19" fillId="0" borderId="0" xfId="29" applyFont="1" applyFill="1" applyBorder="1" applyAlignment="1">
      <alignment wrapText="1"/>
    </xf>
    <xf numFmtId="0" fontId="19" fillId="0" borderId="3" xfId="29" applyFont="1" applyFill="1" applyBorder="1"/>
    <xf numFmtId="2" fontId="23" fillId="0" borderId="3" xfId="29" applyNumberFormat="1" applyFont="1" applyFill="1" applyBorder="1" applyAlignment="1">
      <alignment horizontal="center"/>
    </xf>
    <xf numFmtId="1" fontId="19" fillId="0" borderId="3" xfId="29" applyNumberFormat="1" applyFont="1" applyFill="1" applyBorder="1" applyAlignment="1">
      <alignment horizontal="center"/>
    </xf>
    <xf numFmtId="0" fontId="19" fillId="0" borderId="3" xfId="29" applyFont="1" applyBorder="1"/>
    <xf numFmtId="0" fontId="16" fillId="23" borderId="5" xfId="29" applyFont="1" applyFill="1" applyBorder="1" applyAlignment="1">
      <alignment horizontal="center" wrapText="1"/>
    </xf>
    <xf numFmtId="0" fontId="16" fillId="23" borderId="3" xfId="29" applyFont="1" applyFill="1" applyBorder="1" applyAlignment="1">
      <alignment horizontal="center" wrapText="1"/>
    </xf>
    <xf numFmtId="2" fontId="19" fillId="0" borderId="3" xfId="29" applyNumberFormat="1" applyFont="1" applyBorder="1"/>
    <xf numFmtId="0" fontId="6" fillId="0" borderId="3" xfId="29" applyBorder="1"/>
    <xf numFmtId="0" fontId="16" fillId="0" borderId="0" xfId="29" applyFont="1" applyFill="1" applyBorder="1" applyAlignment="1" applyProtection="1">
      <alignment horizontal="left"/>
      <protection locked="0"/>
    </xf>
    <xf numFmtId="0" fontId="101" fillId="0" borderId="0" xfId="29" applyFont="1" applyFill="1" applyBorder="1" applyAlignment="1" applyProtection="1">
      <alignment horizontal="center"/>
      <protection locked="0"/>
    </xf>
    <xf numFmtId="0" fontId="101" fillId="0" borderId="0" xfId="29" applyFont="1" applyFill="1" applyAlignment="1">
      <alignment horizontal="center"/>
    </xf>
    <xf numFmtId="0" fontId="101" fillId="0" borderId="0" xfId="29" applyFont="1" applyFill="1" applyBorder="1" applyAlignment="1">
      <alignment horizontal="center"/>
    </xf>
    <xf numFmtId="0" fontId="101" fillId="0" borderId="0" xfId="29" applyFont="1" applyFill="1" applyBorder="1" applyAlignment="1" applyProtection="1">
      <alignment horizontal="left"/>
      <protection locked="0"/>
    </xf>
    <xf numFmtId="2" fontId="6" fillId="0" borderId="0" xfId="36" applyNumberFormat="1" applyFont="1" applyFill="1" applyAlignment="1">
      <alignment horizontal="right"/>
    </xf>
    <xf numFmtId="0" fontId="6" fillId="0" borderId="0" xfId="29" applyNumberFormat="1" applyFont="1" applyFill="1" applyAlignment="1">
      <alignment horizontal="right"/>
    </xf>
    <xf numFmtId="3" fontId="6" fillId="0" borderId="0" xfId="29" applyNumberFormat="1" applyFont="1" applyFill="1" applyAlignment="1">
      <alignment horizontal="right"/>
    </xf>
    <xf numFmtId="0" fontId="6" fillId="0" borderId="0" xfId="36" applyNumberFormat="1" applyFont="1" applyFill="1" applyAlignment="1">
      <alignment horizontal="right"/>
    </xf>
    <xf numFmtId="0" fontId="6" fillId="0" borderId="0" xfId="36" applyNumberFormat="1" applyFont="1" applyFill="1" applyBorder="1" applyAlignment="1">
      <alignment horizontal="right"/>
    </xf>
    <xf numFmtId="0" fontId="6" fillId="0" borderId="0" xfId="29" applyNumberFormat="1" applyFont="1" applyFill="1" applyBorder="1" applyAlignment="1">
      <alignment horizontal="right"/>
    </xf>
    <xf numFmtId="0" fontId="6" fillId="24" borderId="0" xfId="29" applyFont="1" applyFill="1"/>
    <xf numFmtId="0" fontId="6" fillId="24" borderId="0" xfId="29" applyFill="1"/>
    <xf numFmtId="0" fontId="6" fillId="24" borderId="0" xfId="29" applyFill="1" applyBorder="1"/>
    <xf numFmtId="175" fontId="6" fillId="0" borderId="0" xfId="36" applyNumberFormat="1" applyFont="1" applyFill="1" applyAlignment="1">
      <alignment horizontal="right"/>
    </xf>
    <xf numFmtId="2" fontId="6" fillId="0" borderId="0" xfId="36" applyNumberFormat="1" applyFont="1" applyFill="1" applyBorder="1" applyAlignment="1">
      <alignment horizontal="right"/>
    </xf>
    <xf numFmtId="3" fontId="6" fillId="0" borderId="0" xfId="29" applyNumberFormat="1" applyFont="1" applyFill="1" applyBorder="1" applyAlignment="1">
      <alignment horizontal="right"/>
    </xf>
    <xf numFmtId="174" fontId="19" fillId="0" borderId="0" xfId="29" applyNumberFormat="1" applyFont="1" applyFill="1" applyBorder="1" applyAlignment="1" applyProtection="1">
      <alignment horizontal="left"/>
      <protection locked="0"/>
    </xf>
    <xf numFmtId="2" fontId="18" fillId="0" borderId="6" xfId="29" applyNumberFormat="1" applyFont="1" applyFill="1" applyBorder="1" applyAlignment="1">
      <alignment horizontal="left" vertical="center"/>
    </xf>
    <xf numFmtId="0" fontId="6" fillId="0" borderId="3" xfId="29" applyFont="1" applyBorder="1" applyAlignment="1">
      <alignment horizontal="center" wrapText="1"/>
    </xf>
    <xf numFmtId="1" fontId="19" fillId="0" borderId="5" xfId="29" applyNumberFormat="1" applyFont="1" applyFill="1" applyBorder="1" applyAlignment="1">
      <alignment horizontal="center"/>
    </xf>
    <xf numFmtId="0" fontId="6" fillId="0" borderId="0" xfId="29" applyFont="1" applyFill="1" applyBorder="1" applyAlignment="1" applyProtection="1">
      <alignment horizontal="left"/>
      <protection locked="0"/>
    </xf>
    <xf numFmtId="3" fontId="6" fillId="0" borderId="6" xfId="29" applyNumberFormat="1" applyFont="1" applyFill="1" applyBorder="1" applyAlignment="1">
      <alignment horizontal="right"/>
    </xf>
    <xf numFmtId="0" fontId="24" fillId="0" borderId="0" xfId="29" applyFont="1"/>
    <xf numFmtId="0" fontId="102" fillId="0" borderId="0" xfId="29" applyFont="1" applyFill="1"/>
    <xf numFmtId="0" fontId="8" fillId="0" borderId="0" xfId="29" applyFont="1" applyFill="1"/>
    <xf numFmtId="0" fontId="8" fillId="0" borderId="0" xfId="29" applyFont="1" applyAlignment="1">
      <alignment horizontal="center"/>
    </xf>
    <xf numFmtId="0" fontId="7" fillId="0" borderId="0" xfId="29" applyFont="1" applyAlignment="1">
      <alignment horizontal="center" wrapText="1"/>
    </xf>
    <xf numFmtId="0" fontId="102" fillId="0" borderId="0" xfId="29" applyFont="1" applyFill="1" applyAlignment="1">
      <alignment horizontal="center" wrapText="1"/>
    </xf>
    <xf numFmtId="0" fontId="103" fillId="0" borderId="0" xfId="29" applyFont="1" applyFill="1"/>
    <xf numFmtId="0" fontId="7" fillId="0" borderId="0" xfId="30" applyFont="1"/>
    <xf numFmtId="0" fontId="8" fillId="0" borderId="0" xfId="30" applyFont="1"/>
    <xf numFmtId="0" fontId="8" fillId="0" borderId="0" xfId="30" applyFont="1" applyAlignment="1">
      <alignment horizontal="center"/>
    </xf>
    <xf numFmtId="0" fontId="7" fillId="0" borderId="0" xfId="30" applyFont="1" applyAlignment="1">
      <alignment horizontal="center" wrapText="1"/>
    </xf>
    <xf numFmtId="0" fontId="8" fillId="0" borderId="0" xfId="30" applyFont="1" applyAlignment="1">
      <alignment horizontal="center" wrapText="1"/>
    </xf>
    <xf numFmtId="0" fontId="102" fillId="0" borderId="0" xfId="30" applyFont="1" applyFill="1"/>
    <xf numFmtId="0" fontId="102" fillId="0" borderId="0" xfId="30" applyFont="1" applyFill="1" applyAlignment="1">
      <alignment horizontal="center" wrapText="1"/>
    </xf>
    <xf numFmtId="0" fontId="103" fillId="0" borderId="0" xfId="30" applyFont="1" applyFill="1"/>
    <xf numFmtId="0" fontId="103" fillId="0" borderId="0" xfId="30" applyFont="1" applyFill="1" applyAlignment="1">
      <alignment horizontal="center"/>
    </xf>
    <xf numFmtId="0" fontId="8" fillId="0" borderId="0" xfId="30" applyFont="1" applyFill="1"/>
    <xf numFmtId="11" fontId="6" fillId="0" borderId="0" xfId="29" applyNumberFormat="1"/>
    <xf numFmtId="0" fontId="25" fillId="25" borderId="7" xfId="29" applyNumberFormat="1" applyFont="1" applyFill="1" applyBorder="1" applyAlignment="1" applyProtection="1">
      <alignment horizontal="center" vertical="center" wrapText="1"/>
    </xf>
    <xf numFmtId="0" fontId="26" fillId="0" borderId="7" xfId="29" applyNumberFormat="1" applyFont="1" applyFill="1" applyBorder="1" applyAlignment="1" applyProtection="1">
      <alignment horizontal="left" vertical="center" wrapText="1"/>
    </xf>
    <xf numFmtId="4" fontId="26" fillId="0" borderId="7" xfId="29" applyNumberFormat="1" applyFont="1" applyFill="1" applyBorder="1" applyAlignment="1" applyProtection="1">
      <alignment horizontal="right" vertical="center" wrapText="1"/>
    </xf>
    <xf numFmtId="0" fontId="26" fillId="0" borderId="0" xfId="29" applyNumberFormat="1" applyFont="1" applyFill="1" applyBorder="1" applyAlignment="1" applyProtection="1">
      <alignment horizontal="left" vertical="center" wrapText="1"/>
    </xf>
    <xf numFmtId="4" fontId="26" fillId="0" borderId="0" xfId="29" applyNumberFormat="1" applyFont="1" applyFill="1" applyBorder="1" applyAlignment="1" applyProtection="1">
      <alignment horizontal="left" vertical="center"/>
    </xf>
    <xf numFmtId="0" fontId="27" fillId="0" borderId="0" xfId="24" applyAlignment="1" applyProtection="1"/>
    <xf numFmtId="0" fontId="73" fillId="19" borderId="40" xfId="3"/>
    <xf numFmtId="176" fontId="73" fillId="19" borderId="40" xfId="3" applyNumberFormat="1"/>
    <xf numFmtId="0" fontId="26" fillId="0" borderId="0" xfId="29" applyNumberFormat="1" applyFont="1" applyFill="1" applyBorder="1" applyAlignment="1" applyProtection="1">
      <alignment horizontal="left" vertical="center"/>
    </xf>
    <xf numFmtId="0" fontId="6" fillId="6" borderId="0" xfId="29" applyFont="1" applyFill="1" applyAlignment="1">
      <alignment wrapText="1"/>
    </xf>
    <xf numFmtId="0" fontId="31" fillId="0" borderId="0" xfId="29" applyFont="1" applyAlignment="1">
      <alignment wrapText="1"/>
    </xf>
    <xf numFmtId="0" fontId="6" fillId="0" borderId="0" xfId="29" applyFont="1" applyAlignment="1">
      <alignment wrapText="1"/>
    </xf>
    <xf numFmtId="0" fontId="31" fillId="0" borderId="8" xfId="29" applyFont="1" applyBorder="1" applyAlignment="1">
      <alignment wrapText="1"/>
    </xf>
    <xf numFmtId="0" fontId="6" fillId="0" borderId="9" xfId="29" applyFont="1" applyBorder="1" applyAlignment="1"/>
    <xf numFmtId="0" fontId="6" fillId="0" borderId="6" xfId="29" applyFont="1" applyBorder="1" applyAlignment="1">
      <alignment horizontal="center" vertical="center"/>
    </xf>
    <xf numFmtId="0" fontId="6" fillId="0" borderId="10" xfId="29" applyFont="1" applyFill="1" applyBorder="1" applyAlignment="1">
      <alignment horizontal="center"/>
    </xf>
    <xf numFmtId="0" fontId="6" fillId="0" borderId="9" xfId="29" applyFont="1" applyFill="1" applyBorder="1" applyAlignment="1">
      <alignment wrapText="1"/>
    </xf>
    <xf numFmtId="181" fontId="6" fillId="0" borderId="6" xfId="9" applyNumberFormat="1" applyFont="1" applyFill="1" applyBorder="1" applyAlignment="1">
      <alignment wrapText="1"/>
    </xf>
    <xf numFmtId="175" fontId="6" fillId="0" borderId="10" xfId="36" applyNumberFormat="1" applyFont="1" applyFill="1" applyBorder="1" applyAlignment="1">
      <alignment horizontal="right" wrapText="1"/>
    </xf>
    <xf numFmtId="181" fontId="6" fillId="0" borderId="6" xfId="9" applyNumberFormat="1" applyFont="1" applyBorder="1" applyAlignment="1">
      <alignment wrapText="1"/>
    </xf>
    <xf numFmtId="181" fontId="6" fillId="0" borderId="6" xfId="29" applyNumberFormat="1" applyFont="1" applyBorder="1" applyAlignment="1">
      <alignment wrapText="1"/>
    </xf>
    <xf numFmtId="0" fontId="32" fillId="0" borderId="9" xfId="29" applyFont="1" applyBorder="1" applyAlignment="1">
      <alignment wrapText="1"/>
    </xf>
    <xf numFmtId="181" fontId="32" fillId="0" borderId="6" xfId="29" applyNumberFormat="1" applyFont="1" applyBorder="1" applyAlignment="1">
      <alignment wrapText="1"/>
    </xf>
    <xf numFmtId="175" fontId="32" fillId="0" borderId="10" xfId="36" applyNumberFormat="1" applyFont="1" applyFill="1" applyBorder="1" applyAlignment="1">
      <alignment horizontal="right" wrapText="1"/>
    </xf>
    <xf numFmtId="0" fontId="32" fillId="0" borderId="11" xfId="29" applyFont="1" applyBorder="1" applyAlignment="1">
      <alignment wrapText="1"/>
    </xf>
    <xf numFmtId="181" fontId="32" fillId="0" borderId="12" xfId="9" applyNumberFormat="1" applyFont="1" applyBorder="1" applyAlignment="1">
      <alignment wrapText="1"/>
    </xf>
    <xf numFmtId="9" fontId="32" fillId="0" borderId="13" xfId="36" applyFont="1" applyBorder="1" applyAlignment="1">
      <alignment wrapText="1"/>
    </xf>
    <xf numFmtId="0" fontId="34" fillId="0" borderId="0" xfId="29" applyFont="1" applyAlignment="1">
      <alignment wrapText="1"/>
    </xf>
    <xf numFmtId="181" fontId="34" fillId="0" borderId="0" xfId="9" applyNumberFormat="1" applyFont="1" applyAlignment="1">
      <alignment wrapText="1"/>
    </xf>
    <xf numFmtId="9" fontId="34" fillId="0" borderId="0" xfId="36" applyFont="1" applyAlignment="1">
      <alignment wrapText="1"/>
    </xf>
    <xf numFmtId="0" fontId="6" fillId="6" borderId="0" xfId="29" applyFill="1" applyAlignment="1">
      <alignment wrapText="1"/>
    </xf>
    <xf numFmtId="181" fontId="70" fillId="0" borderId="0" xfId="9" applyNumberFormat="1" applyFont="1" applyFill="1" applyAlignment="1">
      <alignment wrapText="1"/>
    </xf>
    <xf numFmtId="175" fontId="70" fillId="0" borderId="0" xfId="36" applyNumberFormat="1" applyFont="1" applyFill="1" applyAlignment="1">
      <alignment horizontal="right" wrapText="1"/>
    </xf>
    <xf numFmtId="181" fontId="70" fillId="0" borderId="0" xfId="9" applyNumberFormat="1" applyFont="1" applyAlignment="1">
      <alignment wrapText="1"/>
    </xf>
    <xf numFmtId="9" fontId="70" fillId="0" borderId="0" xfId="36" applyFont="1" applyAlignment="1">
      <alignment wrapText="1"/>
    </xf>
    <xf numFmtId="0" fontId="6" fillId="0" borderId="8" xfId="29" applyFont="1" applyBorder="1" applyAlignment="1">
      <alignment wrapText="1"/>
    </xf>
    <xf numFmtId="0" fontId="6" fillId="0" borderId="9" xfId="29" applyFont="1" applyBorder="1" applyAlignment="1">
      <alignment wrapText="1"/>
    </xf>
    <xf numFmtId="0" fontId="6" fillId="0" borderId="6" xfId="29" applyBorder="1" applyAlignment="1">
      <alignment horizontal="center" vertical="center" wrapText="1"/>
    </xf>
    <xf numFmtId="0" fontId="6" fillId="0" borderId="10" xfId="29" applyFill="1" applyBorder="1" applyAlignment="1">
      <alignment horizontal="center"/>
    </xf>
    <xf numFmtId="181" fontId="70" fillId="0" borderId="6" xfId="9" applyNumberFormat="1" applyFont="1" applyFill="1" applyBorder="1" applyAlignment="1">
      <alignment wrapText="1"/>
    </xf>
    <xf numFmtId="175" fontId="70" fillId="0" borderId="10" xfId="36" applyNumberFormat="1" applyFont="1" applyFill="1" applyBorder="1" applyAlignment="1">
      <alignment horizontal="right" wrapText="1"/>
    </xf>
    <xf numFmtId="181" fontId="70" fillId="0" borderId="6" xfId="9" applyNumberFormat="1" applyFont="1" applyBorder="1" applyAlignment="1">
      <alignment wrapText="1"/>
    </xf>
    <xf numFmtId="9" fontId="70" fillId="0" borderId="10" xfId="36" applyFont="1" applyBorder="1" applyAlignment="1">
      <alignment wrapText="1"/>
    </xf>
    <xf numFmtId="3" fontId="35" fillId="3" borderId="6" xfId="29" applyNumberFormat="1" applyFont="1" applyFill="1" applyBorder="1" applyAlignment="1"/>
    <xf numFmtId="0" fontId="34" fillId="0" borderId="9" xfId="29" applyFont="1" applyBorder="1" applyAlignment="1">
      <alignment wrapText="1"/>
    </xf>
    <xf numFmtId="181" fontId="34" fillId="0" borderId="6" xfId="29" applyNumberFormat="1" applyFont="1" applyBorder="1" applyAlignment="1">
      <alignment wrapText="1"/>
    </xf>
    <xf numFmtId="175" fontId="34" fillId="0" borderId="10" xfId="36" applyNumberFormat="1" applyFont="1" applyFill="1" applyBorder="1" applyAlignment="1">
      <alignment horizontal="right" wrapText="1"/>
    </xf>
    <xf numFmtId="9" fontId="34" fillId="0" borderId="10" xfId="36" applyFont="1" applyBorder="1" applyAlignment="1">
      <alignment wrapText="1"/>
    </xf>
    <xf numFmtId="181" fontId="34" fillId="0" borderId="6" xfId="9" applyNumberFormat="1" applyFont="1" applyBorder="1" applyAlignment="1">
      <alignment wrapText="1"/>
    </xf>
    <xf numFmtId="0" fontId="34" fillId="0" borderId="11" xfId="29" applyFont="1" applyBorder="1" applyAlignment="1">
      <alignment wrapText="1"/>
    </xf>
    <xf numFmtId="181" fontId="34" fillId="0" borderId="12" xfId="9" applyNumberFormat="1" applyFont="1" applyBorder="1" applyAlignment="1">
      <alignment wrapText="1"/>
    </xf>
    <xf numFmtId="9" fontId="34" fillId="0" borderId="13" xfId="36" applyFont="1" applyBorder="1" applyAlignment="1">
      <alignment wrapText="1"/>
    </xf>
    <xf numFmtId="0" fontId="6" fillId="0" borderId="14" xfId="29" applyFont="1" applyBorder="1" applyAlignment="1">
      <alignment horizontal="center" wrapText="1"/>
    </xf>
    <xf numFmtId="0" fontId="6" fillId="0" borderId="15" xfId="29" applyFont="1" applyBorder="1" applyAlignment="1">
      <alignment horizontal="center" wrapText="1"/>
    </xf>
    <xf numFmtId="0" fontId="6" fillId="0" borderId="6" xfId="29" applyFont="1" applyBorder="1" applyAlignment="1">
      <alignment horizontal="center" vertical="center" wrapText="1"/>
    </xf>
    <xf numFmtId="0" fontId="6" fillId="0" borderId="0" xfId="29" applyFont="1" applyFill="1" applyBorder="1" applyAlignment="1">
      <alignment wrapText="1"/>
    </xf>
    <xf numFmtId="0" fontId="6" fillId="0" borderId="0" xfId="29" applyFont="1" applyBorder="1" applyAlignment="1">
      <alignment wrapText="1"/>
    </xf>
    <xf numFmtId="0" fontId="6" fillId="0" borderId="10" xfId="29" applyFont="1" applyBorder="1" applyAlignment="1">
      <alignment wrapText="1"/>
    </xf>
    <xf numFmtId="0" fontId="6" fillId="0" borderId="0" xfId="29" applyFont="1" applyAlignment="1"/>
    <xf numFmtId="175" fontId="70" fillId="0" borderId="0" xfId="36" applyNumberFormat="1" applyFont="1" applyBorder="1" applyAlignment="1">
      <alignment wrapText="1"/>
    </xf>
    <xf numFmtId="175" fontId="70" fillId="0" borderId="10" xfId="36" applyNumberFormat="1" applyFont="1" applyBorder="1" applyAlignment="1">
      <alignment wrapText="1"/>
    </xf>
    <xf numFmtId="0" fontId="6" fillId="0" borderId="9" xfId="29" applyFill="1" applyBorder="1" applyAlignment="1">
      <alignment wrapText="1"/>
    </xf>
    <xf numFmtId="182" fontId="36" fillId="0" borderId="6" xfId="9" applyNumberFormat="1" applyFont="1" applyFill="1" applyBorder="1"/>
    <xf numFmtId="181" fontId="36" fillId="0" borderId="6" xfId="9" applyNumberFormat="1" applyFont="1" applyFill="1" applyBorder="1"/>
    <xf numFmtId="175" fontId="34" fillId="0" borderId="0" xfId="36" applyNumberFormat="1" applyFont="1" applyBorder="1" applyAlignment="1">
      <alignment wrapText="1"/>
    </xf>
    <xf numFmtId="175" fontId="34" fillId="0" borderId="10" xfId="36" applyNumberFormat="1" applyFont="1" applyBorder="1" applyAlignment="1">
      <alignment wrapText="1"/>
    </xf>
    <xf numFmtId="0" fontId="6" fillId="0" borderId="0" xfId="29" applyAlignment="1">
      <alignment wrapText="1"/>
    </xf>
    <xf numFmtId="9" fontId="34" fillId="0" borderId="2" xfId="36" applyNumberFormat="1" applyFont="1" applyBorder="1" applyAlignment="1">
      <alignment wrapText="1"/>
    </xf>
    <xf numFmtId="181" fontId="6" fillId="0" borderId="0" xfId="29" applyNumberFormat="1" applyFont="1" applyAlignment="1">
      <alignment wrapText="1"/>
    </xf>
    <xf numFmtId="182" fontId="6" fillId="12" borderId="14" xfId="9" applyNumberFormat="1" applyFont="1" applyFill="1" applyBorder="1"/>
    <xf numFmtId="182" fontId="6" fillId="12" borderId="6" xfId="9" applyNumberFormat="1" applyFont="1" applyFill="1" applyBorder="1"/>
    <xf numFmtId="181" fontId="70" fillId="0" borderId="6" xfId="9" quotePrefix="1" applyNumberFormat="1" applyFont="1" applyBorder="1" applyAlignment="1">
      <alignment horizontal="center" wrapText="1"/>
    </xf>
    <xf numFmtId="0" fontId="6" fillId="12" borderId="6" xfId="29" applyFont="1" applyFill="1" applyBorder="1" applyAlignment="1">
      <alignment horizontal="justify"/>
    </xf>
    <xf numFmtId="182" fontId="6" fillId="12" borderId="12" xfId="9" applyNumberFormat="1" applyFont="1" applyFill="1" applyBorder="1"/>
    <xf numFmtId="0" fontId="16" fillId="0" borderId="9" xfId="29" applyFont="1" applyFill="1" applyBorder="1" applyAlignment="1">
      <alignment wrapText="1"/>
    </xf>
    <xf numFmtId="0" fontId="37" fillId="0" borderId="0" xfId="29" applyFont="1"/>
    <xf numFmtId="0" fontId="6" fillId="12" borderId="0" xfId="29" applyFont="1" applyFill="1" applyBorder="1"/>
    <xf numFmtId="3" fontId="6" fillId="15" borderId="16" xfId="29" applyNumberFormat="1" applyFont="1" applyFill="1" applyBorder="1"/>
    <xf numFmtId="3" fontId="6" fillId="12" borderId="0" xfId="29" applyNumberFormat="1" applyFont="1" applyFill="1" applyBorder="1"/>
    <xf numFmtId="3" fontId="38" fillId="12" borderId="0" xfId="29" applyNumberFormat="1" applyFont="1" applyFill="1" applyBorder="1"/>
    <xf numFmtId="3" fontId="16" fillId="12" borderId="0" xfId="29" applyNumberFormat="1" applyFont="1" applyFill="1" applyBorder="1"/>
    <xf numFmtId="0" fontId="16" fillId="12" borderId="0" xfId="29" applyFont="1" applyFill="1" applyBorder="1"/>
    <xf numFmtId="0" fontId="38" fillId="12" borderId="0" xfId="29" applyFont="1" applyFill="1" applyBorder="1"/>
    <xf numFmtId="0" fontId="6" fillId="12" borderId="0" xfId="29" applyFont="1" applyFill="1" applyBorder="1" applyAlignment="1">
      <alignment horizontal="center"/>
    </xf>
    <xf numFmtId="0" fontId="6" fillId="0" borderId="0" xfId="29" applyBorder="1" applyAlignment="1">
      <alignment horizontal="center"/>
    </xf>
    <xf numFmtId="3" fontId="6" fillId="12" borderId="0" xfId="29" applyNumberFormat="1" applyFont="1" applyFill="1" applyBorder="1" applyAlignment="1">
      <alignment horizontal="center"/>
    </xf>
    <xf numFmtId="1" fontId="6" fillId="12" borderId="6" xfId="29" applyNumberFormat="1" applyFont="1" applyFill="1" applyBorder="1"/>
    <xf numFmtId="1" fontId="16" fillId="12" borderId="0" xfId="29" applyNumberFormat="1" applyFont="1" applyFill="1" applyBorder="1"/>
    <xf numFmtId="0" fontId="38" fillId="12" borderId="10" xfId="29" applyFont="1" applyFill="1" applyBorder="1"/>
    <xf numFmtId="1" fontId="6" fillId="12" borderId="0" xfId="29" applyNumberFormat="1" applyFont="1" applyFill="1" applyBorder="1"/>
    <xf numFmtId="3" fontId="39" fillId="12" borderId="6" xfId="29" applyNumberFormat="1" applyFont="1" applyFill="1" applyBorder="1" applyAlignment="1">
      <alignment horizontal="right" vertical="top" wrapText="1"/>
    </xf>
    <xf numFmtId="3" fontId="39" fillId="12" borderId="0" xfId="29" applyNumberFormat="1" applyFont="1" applyFill="1" applyBorder="1" applyAlignment="1">
      <alignment horizontal="right" vertical="top" wrapText="1"/>
    </xf>
    <xf numFmtId="3" fontId="6" fillId="12" borderId="6" xfId="29" applyNumberFormat="1" applyFont="1" applyFill="1" applyBorder="1" applyAlignment="1">
      <alignment horizontal="right"/>
    </xf>
    <xf numFmtId="3" fontId="38" fillId="12" borderId="10" xfId="29" applyNumberFormat="1" applyFont="1" applyFill="1" applyBorder="1"/>
    <xf numFmtId="3" fontId="6" fillId="12" borderId="6" xfId="29" applyNumberFormat="1" applyFont="1" applyFill="1" applyBorder="1"/>
    <xf numFmtId="3" fontId="6" fillId="12" borderId="12" xfId="29" applyNumberFormat="1" applyFont="1" applyFill="1" applyBorder="1"/>
    <xf numFmtId="3" fontId="16" fillId="12" borderId="2" xfId="29" applyNumberFormat="1" applyFont="1" applyFill="1" applyBorder="1"/>
    <xf numFmtId="0" fontId="38" fillId="12" borderId="13" xfId="29" applyFont="1" applyFill="1" applyBorder="1"/>
    <xf numFmtId="0" fontId="42" fillId="12" borderId="0" xfId="29" applyFont="1" applyFill="1" applyBorder="1"/>
    <xf numFmtId="0" fontId="6" fillId="12" borderId="14" xfId="29" applyFont="1" applyFill="1" applyBorder="1" applyAlignment="1">
      <alignment horizontal="justify"/>
    </xf>
    <xf numFmtId="0" fontId="6" fillId="12" borderId="4" xfId="29" applyFont="1" applyFill="1" applyBorder="1"/>
    <xf numFmtId="3" fontId="39" fillId="12" borderId="14" xfId="29" applyNumberFormat="1" applyFont="1" applyFill="1" applyBorder="1" applyAlignment="1">
      <alignment horizontal="right" vertical="top" wrapText="1"/>
    </xf>
    <xf numFmtId="3" fontId="16" fillId="12" borderId="4" xfId="9" applyNumberFormat="1" applyFont="1" applyFill="1" applyBorder="1"/>
    <xf numFmtId="175" fontId="6" fillId="12" borderId="0" xfId="29" applyNumberFormat="1" applyFont="1" applyFill="1" applyBorder="1"/>
    <xf numFmtId="3" fontId="6" fillId="12" borderId="14" xfId="29" applyNumberFormat="1" applyFont="1" applyFill="1" applyBorder="1" applyAlignment="1">
      <alignment horizontal="right"/>
    </xf>
    <xf numFmtId="3" fontId="6" fillId="12" borderId="14" xfId="9" applyNumberFormat="1" applyFont="1" applyFill="1" applyBorder="1" applyAlignment="1">
      <alignment horizontal="right"/>
    </xf>
    <xf numFmtId="0" fontId="26" fillId="12" borderId="0" xfId="29" applyFont="1" applyFill="1" applyAlignment="1">
      <alignment horizontal="right"/>
    </xf>
    <xf numFmtId="3" fontId="38" fillId="12" borderId="15" xfId="29" applyNumberFormat="1" applyFont="1" applyFill="1" applyBorder="1"/>
    <xf numFmtId="182" fontId="43" fillId="12" borderId="4" xfId="9" applyNumberFormat="1" applyFont="1" applyFill="1" applyBorder="1"/>
    <xf numFmtId="182" fontId="6" fillId="12" borderId="4" xfId="9" applyNumberFormat="1" applyFont="1" applyFill="1" applyBorder="1"/>
    <xf numFmtId="182" fontId="6" fillId="12" borderId="8" xfId="9" applyNumberFormat="1" applyFont="1" applyFill="1" applyBorder="1"/>
    <xf numFmtId="3" fontId="16" fillId="12" borderId="0" xfId="9" applyNumberFormat="1" applyFont="1" applyFill="1" applyBorder="1"/>
    <xf numFmtId="3" fontId="6" fillId="12" borderId="6" xfId="9" applyNumberFormat="1" applyFont="1" applyFill="1" applyBorder="1" applyAlignment="1">
      <alignment horizontal="right"/>
    </xf>
    <xf numFmtId="182" fontId="43" fillId="12" borderId="0" xfId="9" applyNumberFormat="1" applyFont="1" applyFill="1" applyBorder="1"/>
    <xf numFmtId="182" fontId="6" fillId="12" borderId="9" xfId="9" applyNumberFormat="1" applyFont="1" applyFill="1" applyBorder="1"/>
    <xf numFmtId="182" fontId="6" fillId="12" borderId="0" xfId="9" applyNumberFormat="1" applyFont="1" applyFill="1" applyBorder="1"/>
    <xf numFmtId="3" fontId="39" fillId="3" borderId="6" xfId="29" applyNumberFormat="1" applyFont="1" applyFill="1" applyBorder="1" applyAlignment="1">
      <alignment horizontal="right" vertical="top" wrapText="1"/>
    </xf>
    <xf numFmtId="3" fontId="16" fillId="0" borderId="0" xfId="9" applyNumberFormat="1" applyFont="1" applyFill="1" applyBorder="1"/>
    <xf numFmtId="182" fontId="6" fillId="6" borderId="6" xfId="9" applyNumberFormat="1" applyFont="1" applyFill="1" applyBorder="1"/>
    <xf numFmtId="182" fontId="6" fillId="6" borderId="0" xfId="9" applyNumberFormat="1" applyFont="1" applyFill="1" applyBorder="1"/>
    <xf numFmtId="182" fontId="6" fillId="6" borderId="10" xfId="9" applyNumberFormat="1" applyFont="1" applyFill="1" applyBorder="1"/>
    <xf numFmtId="182" fontId="6" fillId="6" borderId="9" xfId="9" applyNumberFormat="1" applyFont="1" applyFill="1" applyBorder="1"/>
    <xf numFmtId="3" fontId="16" fillId="12" borderId="0" xfId="9" applyNumberFormat="1" applyFont="1" applyFill="1" applyBorder="1" applyAlignment="1">
      <alignment horizontal="center"/>
    </xf>
    <xf numFmtId="3" fontId="6" fillId="12" borderId="0" xfId="29" applyNumberFormat="1" applyFont="1" applyFill="1" applyBorder="1" applyAlignment="1"/>
    <xf numFmtId="3" fontId="6" fillId="12" borderId="10" xfId="29" applyNumberFormat="1" applyFont="1" applyFill="1" applyBorder="1" applyAlignment="1"/>
    <xf numFmtId="183" fontId="6" fillId="16" borderId="6" xfId="9" applyNumberFormat="1" applyFont="1" applyFill="1" applyBorder="1"/>
    <xf numFmtId="183" fontId="6" fillId="16" borderId="0" xfId="9" applyNumberFormat="1" applyFont="1" applyFill="1" applyBorder="1"/>
    <xf numFmtId="43" fontId="6" fillId="12" borderId="9" xfId="9" applyFont="1" applyFill="1" applyBorder="1"/>
    <xf numFmtId="0" fontId="6" fillId="12" borderId="12" xfId="29" applyFont="1" applyFill="1" applyBorder="1" applyAlignment="1">
      <alignment horizontal="justify"/>
    </xf>
    <xf numFmtId="0" fontId="6" fillId="12" borderId="2" xfId="29" applyFont="1" applyFill="1" applyBorder="1"/>
    <xf numFmtId="3" fontId="39" fillId="12" borderId="12" xfId="29" applyNumberFormat="1" applyFont="1" applyFill="1" applyBorder="1" applyAlignment="1">
      <alignment horizontal="right" vertical="top" wrapText="1"/>
    </xf>
    <xf numFmtId="3" fontId="16" fillId="12" borderId="2" xfId="9" applyNumberFormat="1" applyFont="1" applyFill="1" applyBorder="1"/>
    <xf numFmtId="3" fontId="6" fillId="12" borderId="12" xfId="29" applyNumberFormat="1" applyFont="1" applyFill="1" applyBorder="1" applyAlignment="1">
      <alignment horizontal="right"/>
    </xf>
    <xf numFmtId="3" fontId="6" fillId="12" borderId="12" xfId="9" applyNumberFormat="1" applyFont="1" applyFill="1" applyBorder="1" applyAlignment="1">
      <alignment horizontal="right"/>
    </xf>
    <xf numFmtId="0" fontId="6" fillId="6" borderId="2" xfId="29" applyFont="1" applyFill="1" applyBorder="1"/>
    <xf numFmtId="0" fontId="44" fillId="12" borderId="13" xfId="29" applyFont="1" applyFill="1" applyBorder="1"/>
    <xf numFmtId="182" fontId="6" fillId="6" borderId="12" xfId="9" applyNumberFormat="1" applyFont="1" applyFill="1" applyBorder="1"/>
    <xf numFmtId="182" fontId="6" fillId="6" borderId="2" xfId="9" applyNumberFormat="1" applyFont="1" applyFill="1" applyBorder="1"/>
    <xf numFmtId="182" fontId="6" fillId="12" borderId="13" xfId="9" applyNumberFormat="1" applyFont="1" applyFill="1" applyBorder="1"/>
    <xf numFmtId="182" fontId="6" fillId="3" borderId="12" xfId="9" applyNumberFormat="1" applyFont="1" applyFill="1" applyBorder="1"/>
    <xf numFmtId="182" fontId="6" fillId="3" borderId="11" xfId="9" applyNumberFormat="1" applyFont="1" applyFill="1" applyBorder="1"/>
    <xf numFmtId="0" fontId="26" fillId="12" borderId="0" xfId="29" applyFont="1" applyFill="1"/>
    <xf numFmtId="0" fontId="45" fillId="12" borderId="0" xfId="29" applyFont="1" applyFill="1" applyBorder="1"/>
    <xf numFmtId="0" fontId="6" fillId="12" borderId="0" xfId="29" applyFont="1" applyFill="1" applyBorder="1" applyAlignment="1"/>
    <xf numFmtId="3" fontId="38" fillId="12" borderId="0" xfId="29" applyNumberFormat="1" applyFont="1" applyFill="1" applyBorder="1" applyAlignment="1"/>
    <xf numFmtId="3" fontId="16" fillId="12" borderId="0" xfId="29" applyNumberFormat="1" applyFont="1" applyFill="1" applyBorder="1" applyAlignment="1"/>
    <xf numFmtId="0" fontId="38" fillId="12" borderId="0" xfId="29" applyFont="1" applyFill="1" applyBorder="1" applyAlignment="1"/>
    <xf numFmtId="168" fontId="6" fillId="12" borderId="0" xfId="29" applyNumberFormat="1" applyFont="1" applyFill="1" applyBorder="1" applyAlignment="1"/>
    <xf numFmtId="0" fontId="16" fillId="12" borderId="0" xfId="29" applyFont="1" applyFill="1" applyBorder="1" applyAlignment="1"/>
    <xf numFmtId="168" fontId="16" fillId="12" borderId="0" xfId="29" applyNumberFormat="1" applyFont="1" applyFill="1" applyBorder="1" applyAlignment="1"/>
    <xf numFmtId="0" fontId="6" fillId="0" borderId="17" xfId="29" applyBorder="1"/>
    <xf numFmtId="0" fontId="6" fillId="0" borderId="18" xfId="29" applyBorder="1"/>
    <xf numFmtId="0" fontId="6" fillId="0" borderId="19" xfId="29" applyBorder="1"/>
    <xf numFmtId="0" fontId="6" fillId="0" borderId="20" xfId="29" applyBorder="1"/>
    <xf numFmtId="184" fontId="6" fillId="12" borderId="0" xfId="29" applyNumberFormat="1" applyFont="1" applyFill="1" applyBorder="1"/>
    <xf numFmtId="3" fontId="6" fillId="9" borderId="8" xfId="29" applyNumberFormat="1" applyFont="1" applyFill="1" applyBorder="1"/>
    <xf numFmtId="0" fontId="6" fillId="9" borderId="8" xfId="29" applyFont="1" applyFill="1" applyBorder="1"/>
    <xf numFmtId="0" fontId="6" fillId="12" borderId="14" xfId="29" applyFont="1" applyFill="1" applyBorder="1"/>
    <xf numFmtId="0" fontId="6" fillId="12" borderId="6" xfId="29" applyFont="1" applyFill="1" applyBorder="1"/>
    <xf numFmtId="1" fontId="38" fillId="12" borderId="0" xfId="29" applyNumberFormat="1" applyFont="1" applyFill="1" applyBorder="1"/>
    <xf numFmtId="1" fontId="38" fillId="12" borderId="10" xfId="29" applyNumberFormat="1" applyFont="1" applyFill="1" applyBorder="1"/>
    <xf numFmtId="3" fontId="16" fillId="12" borderId="6" xfId="29" applyNumberFormat="1" applyFont="1" applyFill="1" applyBorder="1" applyAlignment="1">
      <alignment horizontal="right" vertical="top" wrapText="1"/>
    </xf>
    <xf numFmtId="0" fontId="49" fillId="12" borderId="6" xfId="29" applyFont="1" applyFill="1" applyBorder="1"/>
    <xf numFmtId="3" fontId="6" fillId="12" borderId="6" xfId="9" applyNumberFormat="1" applyFont="1" applyFill="1" applyBorder="1"/>
    <xf numFmtId="3" fontId="6" fillId="12" borderId="6" xfId="29" applyNumberFormat="1" applyFont="1" applyFill="1" applyBorder="1" applyAlignment="1">
      <alignment horizontal="right" vertical="top" wrapText="1"/>
    </xf>
    <xf numFmtId="3" fontId="16" fillId="12" borderId="0" xfId="29" applyNumberFormat="1" applyFont="1" applyFill="1" applyBorder="1" applyAlignment="1">
      <alignment horizontal="right" vertical="top" wrapText="1"/>
    </xf>
    <xf numFmtId="3" fontId="38" fillId="12" borderId="10" xfId="29" applyNumberFormat="1" applyFont="1" applyFill="1" applyBorder="1" applyAlignment="1">
      <alignment horizontal="right" vertical="top" wrapText="1"/>
    </xf>
    <xf numFmtId="0" fontId="50" fillId="12" borderId="6" xfId="29" applyFont="1" applyFill="1" applyBorder="1"/>
    <xf numFmtId="3" fontId="38" fillId="12" borderId="13" xfId="29" applyNumberFormat="1" applyFont="1" applyFill="1" applyBorder="1"/>
    <xf numFmtId="3" fontId="6" fillId="12" borderId="4" xfId="29" applyNumberFormat="1" applyFont="1" applyFill="1" applyBorder="1" applyAlignment="1">
      <alignment horizontal="right"/>
    </xf>
    <xf numFmtId="3" fontId="16" fillId="12" borderId="4" xfId="29" applyNumberFormat="1" applyFont="1" applyFill="1" applyBorder="1"/>
    <xf numFmtId="3" fontId="38" fillId="12" borderId="4" xfId="29" applyNumberFormat="1" applyFont="1" applyFill="1" applyBorder="1"/>
    <xf numFmtId="0" fontId="6" fillId="12" borderId="15" xfId="29" applyFont="1" applyFill="1" applyBorder="1"/>
    <xf numFmtId="0" fontId="51" fillId="12" borderId="14" xfId="29" applyFont="1" applyFill="1" applyBorder="1"/>
    <xf numFmtId="0" fontId="51" fillId="12" borderId="15" xfId="29" applyFont="1" applyFill="1" applyBorder="1"/>
    <xf numFmtId="3" fontId="6" fillId="12" borderId="2" xfId="29" applyNumberFormat="1" applyFont="1" applyFill="1" applyBorder="1" applyAlignment="1">
      <alignment horizontal="right"/>
    </xf>
    <xf numFmtId="3" fontId="38" fillId="12" borderId="2" xfId="29" applyNumberFormat="1" applyFont="1" applyFill="1" applyBorder="1"/>
    <xf numFmtId="3" fontId="6" fillId="12" borderId="2" xfId="29" applyNumberFormat="1" applyFont="1" applyFill="1" applyBorder="1"/>
    <xf numFmtId="0" fontId="6" fillId="12" borderId="12" xfId="29" applyFont="1" applyFill="1" applyBorder="1"/>
    <xf numFmtId="0" fontId="42" fillId="12" borderId="13" xfId="29" applyFont="1" applyFill="1" applyBorder="1"/>
    <xf numFmtId="3" fontId="16" fillId="12" borderId="0" xfId="9" applyNumberFormat="1" applyFont="1" applyFill="1" applyBorder="1" applyAlignment="1">
      <alignment horizontal="right"/>
    </xf>
    <xf numFmtId="3" fontId="38" fillId="12" borderId="0" xfId="9" applyNumberFormat="1" applyFont="1" applyFill="1" applyBorder="1" applyAlignment="1">
      <alignment horizontal="right"/>
    </xf>
    <xf numFmtId="182" fontId="38" fillId="12" borderId="15" xfId="9" applyNumberFormat="1" applyFont="1" applyFill="1" applyBorder="1"/>
    <xf numFmtId="3" fontId="6" fillId="12" borderId="8" xfId="29" applyNumberFormat="1" applyFont="1" applyFill="1" applyBorder="1"/>
    <xf numFmtId="3" fontId="6" fillId="12" borderId="9" xfId="29" applyNumberFormat="1" applyFont="1" applyFill="1" applyBorder="1"/>
    <xf numFmtId="3" fontId="38" fillId="12" borderId="0" xfId="9" applyNumberFormat="1" applyFont="1" applyFill="1" applyBorder="1"/>
    <xf numFmtId="182" fontId="38" fillId="12" borderId="10" xfId="9" applyNumberFormat="1" applyFont="1" applyFill="1" applyBorder="1"/>
    <xf numFmtId="182" fontId="38" fillId="12" borderId="0" xfId="9" applyNumberFormat="1" applyFont="1" applyFill="1" applyBorder="1"/>
    <xf numFmtId="182" fontId="38" fillId="6" borderId="0" xfId="9" applyNumberFormat="1" applyFont="1" applyFill="1" applyBorder="1"/>
    <xf numFmtId="182" fontId="6" fillId="12" borderId="0" xfId="29" applyNumberFormat="1" applyFont="1" applyFill="1" applyBorder="1"/>
    <xf numFmtId="3" fontId="35" fillId="3" borderId="0" xfId="29" applyNumberFormat="1" applyFont="1" applyFill="1" applyBorder="1" applyAlignment="1"/>
    <xf numFmtId="183" fontId="35" fillId="16" borderId="6" xfId="9" applyNumberFormat="1" applyFont="1" applyFill="1" applyBorder="1"/>
    <xf numFmtId="183" fontId="35" fillId="16" borderId="0" xfId="9" applyNumberFormat="1" applyFont="1" applyFill="1" applyBorder="1"/>
    <xf numFmtId="3" fontId="35" fillId="0" borderId="6" xfId="29" applyNumberFormat="1" applyFont="1" applyFill="1" applyBorder="1" applyAlignment="1"/>
    <xf numFmtId="3" fontId="16" fillId="12" borderId="2" xfId="9" applyNumberFormat="1" applyFont="1" applyFill="1" applyBorder="1" applyAlignment="1">
      <alignment horizontal="right"/>
    </xf>
    <xf numFmtId="3" fontId="38" fillId="12" borderId="2" xfId="9" applyNumberFormat="1" applyFont="1" applyFill="1" applyBorder="1" applyAlignment="1">
      <alignment horizontal="right"/>
    </xf>
    <xf numFmtId="3" fontId="6" fillId="12" borderId="12" xfId="29" applyNumberFormat="1" applyFont="1" applyFill="1" applyBorder="1" applyAlignment="1">
      <alignment horizontal="right" vertical="top" wrapText="1"/>
    </xf>
    <xf numFmtId="3" fontId="16" fillId="12" borderId="2" xfId="29" applyNumberFormat="1" applyFont="1" applyFill="1" applyBorder="1" applyAlignment="1">
      <alignment horizontal="right" vertical="top" wrapText="1"/>
    </xf>
    <xf numFmtId="3" fontId="38" fillId="12" borderId="13" xfId="29" applyNumberFormat="1" applyFont="1" applyFill="1" applyBorder="1" applyAlignment="1">
      <alignment horizontal="right" vertical="top" wrapText="1"/>
    </xf>
    <xf numFmtId="182" fontId="6" fillId="3" borderId="2" xfId="9" applyNumberFormat="1" applyFont="1" applyFill="1" applyBorder="1"/>
    <xf numFmtId="182" fontId="6" fillId="12" borderId="2" xfId="9" applyNumberFormat="1" applyFont="1" applyFill="1" applyBorder="1"/>
    <xf numFmtId="182" fontId="38" fillId="12" borderId="2" xfId="9" applyNumberFormat="1" applyFont="1" applyFill="1" applyBorder="1"/>
    <xf numFmtId="3" fontId="6" fillId="12" borderId="11" xfId="29" applyNumberFormat="1" applyFont="1" applyFill="1" applyBorder="1"/>
    <xf numFmtId="9" fontId="0" fillId="0" borderId="0" xfId="0" applyNumberFormat="1"/>
    <xf numFmtId="3" fontId="104" fillId="21" borderId="40" xfId="26" applyNumberFormat="1" applyFont="1"/>
    <xf numFmtId="169" fontId="71" fillId="18" borderId="0" xfId="1" applyNumberFormat="1"/>
    <xf numFmtId="1" fontId="0" fillId="0" borderId="0" xfId="0" applyNumberFormat="1"/>
    <xf numFmtId="182" fontId="71" fillId="18" borderId="9" xfId="1" applyNumberFormat="1" applyBorder="1"/>
    <xf numFmtId="0" fontId="0" fillId="0" borderId="2" xfId="0" applyBorder="1"/>
    <xf numFmtId="0" fontId="91" fillId="0" borderId="0" xfId="0" applyFont="1"/>
    <xf numFmtId="0" fontId="19" fillId="0" borderId="0" xfId="29" applyFont="1" applyFill="1" applyBorder="1" applyAlignment="1">
      <alignment horizontal="left"/>
    </xf>
    <xf numFmtId="0" fontId="6" fillId="0" borderId="0" xfId="29" applyFont="1" applyBorder="1"/>
    <xf numFmtId="0" fontId="6" fillId="0" borderId="0" xfId="29" applyBorder="1"/>
    <xf numFmtId="0" fontId="0" fillId="0" borderId="0" xfId="0" applyFill="1" applyBorder="1"/>
    <xf numFmtId="172" fontId="52" fillId="12" borderId="0" xfId="30" applyNumberFormat="1" applyFont="1" applyFill="1" applyAlignment="1">
      <alignment horizontal="left"/>
    </xf>
    <xf numFmtId="0" fontId="16" fillId="0" borderId="0" xfId="29" applyFont="1" applyFill="1"/>
    <xf numFmtId="0" fontId="103" fillId="0" borderId="0" xfId="30" applyFont="1" applyFill="1" applyAlignment="1">
      <alignment horizontal="center" wrapText="1"/>
    </xf>
    <xf numFmtId="0" fontId="18" fillId="0" borderId="0" xfId="29" applyFont="1" applyFill="1" applyBorder="1" applyAlignment="1">
      <alignment horizontal="center" vertical="center" wrapText="1"/>
    </xf>
    <xf numFmtId="0" fontId="18" fillId="0" borderId="0" xfId="29" applyNumberFormat="1" applyFont="1" applyFill="1" applyBorder="1" applyAlignment="1">
      <alignment horizontal="center" vertical="center" wrapText="1"/>
    </xf>
    <xf numFmtId="0" fontId="19" fillId="0" borderId="3" xfId="29" applyNumberFormat="1" applyFont="1" applyFill="1" applyBorder="1" applyAlignment="1">
      <alignment horizontal="center"/>
    </xf>
    <xf numFmtId="9" fontId="6" fillId="12" borderId="0" xfId="35" applyFont="1" applyFill="1" applyBorder="1"/>
    <xf numFmtId="175" fontId="6" fillId="12" borderId="0" xfId="35" applyNumberFormat="1" applyFont="1" applyFill="1" applyBorder="1"/>
    <xf numFmtId="10" fontId="6" fillId="12" borderId="0" xfId="35" applyNumberFormat="1" applyFont="1" applyFill="1" applyBorder="1"/>
    <xf numFmtId="175" fontId="89" fillId="19" borderId="44" xfId="34" applyNumberFormat="1"/>
    <xf numFmtId="180" fontId="0" fillId="0" borderId="0" xfId="0" applyNumberFormat="1" applyFont="1"/>
    <xf numFmtId="3" fontId="105" fillId="20" borderId="40" xfId="14" applyNumberFormat="1" applyFont="1" applyBorder="1"/>
    <xf numFmtId="4" fontId="86" fillId="21" borderId="40" xfId="26" applyNumberFormat="1"/>
    <xf numFmtId="2" fontId="0" fillId="0" borderId="0" xfId="0" applyNumberFormat="1"/>
    <xf numFmtId="2" fontId="86" fillId="21" borderId="40" xfId="26" applyNumberFormat="1"/>
    <xf numFmtId="180" fontId="81" fillId="0" borderId="42" xfId="18" applyNumberFormat="1"/>
    <xf numFmtId="180" fontId="89" fillId="19" borderId="44" xfId="34" applyNumberFormat="1"/>
    <xf numFmtId="180" fontId="105" fillId="20" borderId="40" xfId="14" applyNumberFormat="1" applyFont="1" applyBorder="1"/>
    <xf numFmtId="180" fontId="73" fillId="19" borderId="40" xfId="3" applyNumberFormat="1"/>
    <xf numFmtId="175" fontId="73" fillId="19" borderId="40" xfId="3" applyNumberFormat="1"/>
    <xf numFmtId="180" fontId="91" fillId="0" borderId="0" xfId="0" applyNumberFormat="1" applyFont="1"/>
    <xf numFmtId="180" fontId="86" fillId="21" borderId="40" xfId="26" applyNumberFormat="1"/>
    <xf numFmtId="180" fontId="83" fillId="0" borderId="43" xfId="20" applyNumberFormat="1"/>
    <xf numFmtId="180" fontId="79" fillId="0" borderId="41" xfId="16" applyNumberFormat="1"/>
    <xf numFmtId="169" fontId="6" fillId="0" borderId="6" xfId="4" applyNumberFormat="1" applyFont="1" applyFill="1" applyBorder="1" applyAlignment="1">
      <alignment horizontal="right"/>
    </xf>
    <xf numFmtId="176" fontId="6" fillId="0" borderId="0" xfId="36" applyNumberFormat="1" applyFont="1" applyFill="1" applyAlignment="1">
      <alignment horizontal="right"/>
    </xf>
    <xf numFmtId="0" fontId="53" fillId="0" borderId="0" xfId="30" applyNumberFormat="1" applyFont="1"/>
    <xf numFmtId="0" fontId="102" fillId="0" borderId="0" xfId="30" applyNumberFormat="1" applyFont="1" applyFill="1"/>
    <xf numFmtId="180" fontId="24" fillId="0" borderId="0" xfId="30" applyNumberFormat="1" applyFont="1"/>
    <xf numFmtId="180" fontId="8" fillId="0" borderId="0" xfId="30" applyNumberFormat="1" applyFont="1"/>
    <xf numFmtId="180" fontId="7" fillId="0" borderId="0" xfId="30" applyNumberFormat="1" applyFont="1"/>
    <xf numFmtId="9" fontId="8" fillId="0" borderId="0" xfId="0" applyNumberFormat="1" applyFont="1" applyFill="1"/>
    <xf numFmtId="180" fontId="102" fillId="0" borderId="0" xfId="0" applyNumberFormat="1" applyFont="1" applyFill="1"/>
    <xf numFmtId="180" fontId="24" fillId="0" borderId="0" xfId="0" applyNumberFormat="1" applyFont="1"/>
    <xf numFmtId="180" fontId="0" fillId="0" borderId="0" xfId="0" applyNumberFormat="1"/>
    <xf numFmtId="180" fontId="8" fillId="0" borderId="0" xfId="0" applyNumberFormat="1" applyFont="1"/>
    <xf numFmtId="180" fontId="7" fillId="0" borderId="0" xfId="0" applyNumberFormat="1" applyFont="1"/>
    <xf numFmtId="0" fontId="0" fillId="0" borderId="0" xfId="0"/>
    <xf numFmtId="3" fontId="0" fillId="0" borderId="0" xfId="0" applyNumberFormat="1"/>
    <xf numFmtId="3" fontId="86" fillId="21" borderId="40" xfId="26" applyNumberFormat="1"/>
    <xf numFmtId="171" fontId="0" fillId="0" borderId="0" xfId="0" applyNumberFormat="1"/>
    <xf numFmtId="3" fontId="71" fillId="18" borderId="0" xfId="1" applyNumberFormat="1"/>
    <xf numFmtId="0" fontId="101" fillId="0" borderId="0" xfId="29" applyFont="1" applyFill="1" applyAlignment="1">
      <alignment horizontal="center"/>
    </xf>
    <xf numFmtId="0" fontId="101" fillId="0" borderId="0" xfId="29" applyFont="1" applyFill="1" applyBorder="1" applyAlignment="1" applyProtection="1">
      <alignment horizontal="left"/>
      <protection locked="0"/>
    </xf>
    <xf numFmtId="0" fontId="6" fillId="24" borderId="0" xfId="29" applyFill="1"/>
    <xf numFmtId="0" fontId="102" fillId="0" borderId="0" xfId="29" applyFont="1" applyFill="1"/>
    <xf numFmtId="0" fontId="102" fillId="0" borderId="0" xfId="29" applyFont="1" applyFill="1" applyAlignment="1">
      <alignment horizontal="center" wrapText="1"/>
    </xf>
    <xf numFmtId="0" fontId="103" fillId="0" borderId="0" xfId="29" applyFont="1" applyFill="1"/>
    <xf numFmtId="0" fontId="103" fillId="0" borderId="0" xfId="29" applyFont="1" applyFill="1" applyAlignment="1">
      <alignment horizontal="center"/>
    </xf>
    <xf numFmtId="176" fontId="73" fillId="19" borderId="40" xfId="3" applyNumberFormat="1"/>
    <xf numFmtId="1" fontId="0" fillId="0" borderId="0" xfId="0" applyNumberFormat="1"/>
    <xf numFmtId="3" fontId="77" fillId="20" borderId="0" xfId="14" applyNumberFormat="1"/>
    <xf numFmtId="9" fontId="86" fillId="21" borderId="40" xfId="26" applyNumberFormat="1"/>
    <xf numFmtId="175" fontId="89" fillId="19" borderId="44" xfId="35" applyNumberFormat="1" applyFont="1" applyFill="1" applyBorder="1"/>
    <xf numFmtId="10" fontId="86" fillId="21" borderId="40" xfId="26" applyNumberFormat="1"/>
    <xf numFmtId="171" fontId="89" fillId="19" borderId="44" xfId="34" applyNumberFormat="1"/>
    <xf numFmtId="176" fontId="89" fillId="19" borderId="44" xfId="34" applyNumberFormat="1"/>
    <xf numFmtId="175" fontId="86" fillId="21" borderId="40" xfId="26" applyNumberFormat="1"/>
    <xf numFmtId="180" fontId="83" fillId="0" borderId="0" xfId="21" applyNumberFormat="1"/>
    <xf numFmtId="171" fontId="77" fillId="20" borderId="44" xfId="14" applyNumberFormat="1" applyBorder="1"/>
    <xf numFmtId="175" fontId="70" fillId="0" borderId="0" xfId="35" applyNumberFormat="1" applyFont="1"/>
    <xf numFmtId="187" fontId="86" fillId="21" borderId="40" xfId="26" applyNumberFormat="1"/>
    <xf numFmtId="185" fontId="89" fillId="19" borderId="44" xfId="34" applyNumberFormat="1"/>
    <xf numFmtId="171" fontId="86" fillId="21" borderId="40" xfId="26" applyNumberFormat="1"/>
    <xf numFmtId="170" fontId="0" fillId="0" borderId="0" xfId="0" applyNumberFormat="1"/>
    <xf numFmtId="176" fontId="0" fillId="0" borderId="0" xfId="0" applyNumberFormat="1"/>
    <xf numFmtId="1" fontId="71" fillId="18" borderId="40" xfId="1" applyNumberFormat="1" applyBorder="1"/>
    <xf numFmtId="1" fontId="73" fillId="19" borderId="40" xfId="3" applyNumberFormat="1"/>
    <xf numFmtId="1" fontId="89" fillId="19" borderId="44" xfId="34" applyNumberFormat="1"/>
    <xf numFmtId="2" fontId="77" fillId="20" borderId="0" xfId="14" applyNumberFormat="1"/>
    <xf numFmtId="3" fontId="73" fillId="19" borderId="40" xfId="3" applyNumberFormat="1"/>
    <xf numFmtId="175" fontId="73" fillId="19" borderId="40" xfId="35" applyNumberFormat="1" applyFont="1" applyFill="1" applyBorder="1"/>
    <xf numFmtId="175" fontId="86" fillId="21" borderId="40" xfId="35" applyNumberFormat="1" applyFont="1" applyFill="1" applyBorder="1"/>
    <xf numFmtId="170" fontId="73" fillId="19" borderId="40" xfId="3" applyNumberFormat="1"/>
    <xf numFmtId="2" fontId="89" fillId="19" borderId="44" xfId="34" applyNumberFormat="1"/>
    <xf numFmtId="0" fontId="86" fillId="21" borderId="40" xfId="26" applyNumberFormat="1"/>
    <xf numFmtId="170" fontId="86" fillId="21" borderId="40" xfId="26" applyNumberFormat="1"/>
    <xf numFmtId="175" fontId="71" fillId="18" borderId="40" xfId="1" applyNumberFormat="1" applyBorder="1"/>
    <xf numFmtId="9" fontId="73" fillId="19" borderId="40" xfId="3" applyNumberFormat="1"/>
    <xf numFmtId="180" fontId="81" fillId="0" borderId="0" xfId="18" applyNumberFormat="1" applyBorder="1"/>
    <xf numFmtId="180" fontId="0" fillId="0" borderId="21" xfId="0" applyNumberFormat="1" applyBorder="1"/>
    <xf numFmtId="180" fontId="0" fillId="0" borderId="22" xfId="0" applyNumberFormat="1" applyBorder="1"/>
    <xf numFmtId="180" fontId="91" fillId="0" borderId="23" xfId="0" applyNumberFormat="1" applyFont="1" applyBorder="1"/>
    <xf numFmtId="180" fontId="91" fillId="0" borderId="24" xfId="0" applyNumberFormat="1" applyFont="1" applyBorder="1"/>
    <xf numFmtId="180" fontId="91" fillId="0" borderId="25" xfId="0" applyNumberFormat="1" applyFont="1" applyBorder="1"/>
    <xf numFmtId="180" fontId="0" fillId="0" borderId="8" xfId="0" applyNumberFormat="1" applyBorder="1" applyAlignment="1">
      <alignment horizontal="center"/>
    </xf>
    <xf numFmtId="3" fontId="0" fillId="0" borderId="9" xfId="0" applyNumberFormat="1" applyBorder="1"/>
    <xf numFmtId="3" fontId="0" fillId="0" borderId="26" xfId="0" applyNumberFormat="1" applyBorder="1"/>
    <xf numFmtId="180" fontId="91" fillId="0" borderId="17" xfId="0" applyNumberFormat="1" applyFont="1" applyBorder="1"/>
    <xf numFmtId="180" fontId="0" fillId="0" borderId="9" xfId="0" applyNumberFormat="1" applyBorder="1" applyAlignment="1">
      <alignment horizontal="center"/>
    </xf>
    <xf numFmtId="1" fontId="0" fillId="0" borderId="9" xfId="0" applyNumberFormat="1" applyBorder="1"/>
    <xf numFmtId="1" fontId="0" fillId="0" borderId="26" xfId="0" applyNumberFormat="1" applyBorder="1"/>
    <xf numFmtId="9" fontId="70" fillId="0" borderId="9" xfId="35" applyFont="1" applyBorder="1"/>
    <xf numFmtId="9" fontId="70" fillId="0" borderId="26" xfId="35" applyFont="1" applyBorder="1"/>
    <xf numFmtId="1" fontId="91" fillId="0" borderId="9" xfId="0" applyNumberFormat="1" applyFont="1" applyBorder="1"/>
    <xf numFmtId="1" fontId="91" fillId="0" borderId="26" xfId="0" applyNumberFormat="1" applyFont="1" applyBorder="1"/>
    <xf numFmtId="180" fontId="91" fillId="0" borderId="19" xfId="0" applyNumberFormat="1" applyFont="1" applyBorder="1"/>
    <xf numFmtId="180" fontId="0" fillId="0" borderId="27" xfId="0" applyNumberFormat="1" applyBorder="1" applyAlignment="1">
      <alignment horizontal="center"/>
    </xf>
    <xf numFmtId="1" fontId="91" fillId="0" borderId="27" xfId="0" applyNumberFormat="1" applyFont="1" applyBorder="1"/>
    <xf numFmtId="1" fontId="91" fillId="0" borderId="28" xfId="0" applyNumberFormat="1" applyFont="1" applyBorder="1"/>
    <xf numFmtId="9" fontId="16" fillId="12" borderId="0" xfId="35" applyFont="1" applyFill="1" applyBorder="1"/>
    <xf numFmtId="1" fontId="6" fillId="0" borderId="0" xfId="36" applyNumberFormat="1" applyFont="1" applyFill="1" applyAlignment="1">
      <alignment horizontal="right"/>
    </xf>
    <xf numFmtId="0" fontId="8" fillId="0" borderId="0" xfId="30" applyNumberFormat="1" applyFont="1"/>
    <xf numFmtId="0" fontId="16" fillId="0" borderId="0" xfId="29" applyFont="1" applyFill="1" applyAlignment="1">
      <alignment horizontal="left" wrapText="1"/>
    </xf>
    <xf numFmtId="0" fontId="6" fillId="0" borderId="0" xfId="29" applyFont="1" applyAlignment="1">
      <alignment horizontal="center" wrapText="1"/>
    </xf>
    <xf numFmtId="0" fontId="19" fillId="0" borderId="0" xfId="29" applyFont="1" applyFill="1" applyAlignment="1">
      <alignment horizontal="center" wrapText="1"/>
    </xf>
    <xf numFmtId="2" fontId="8" fillId="0" borderId="0" xfId="29" applyNumberFormat="1" applyFont="1" applyFill="1"/>
    <xf numFmtId="0" fontId="103" fillId="0" borderId="0" xfId="29" applyNumberFormat="1" applyFont="1" applyFill="1" applyAlignment="1">
      <alignment horizontal="center"/>
    </xf>
    <xf numFmtId="0" fontId="16" fillId="0" borderId="0" xfId="29" applyFont="1"/>
    <xf numFmtId="175" fontId="6" fillId="0" borderId="0" xfId="36" applyNumberFormat="1" applyFont="1" applyFill="1" applyAlignment="1">
      <alignment horizontal="left"/>
    </xf>
    <xf numFmtId="0" fontId="0" fillId="0" borderId="0" xfId="0" applyNumberFormat="1"/>
    <xf numFmtId="168" fontId="70" fillId="0" borderId="0" xfId="4" applyFont="1"/>
    <xf numFmtId="0" fontId="91" fillId="0" borderId="0" xfId="0" applyNumberFormat="1" applyFont="1"/>
    <xf numFmtId="0" fontId="70" fillId="0" borderId="0" xfId="35" applyNumberFormat="1" applyFont="1"/>
    <xf numFmtId="180" fontId="0" fillId="0" borderId="0" xfId="0" applyNumberFormat="1" applyFill="1" applyBorder="1"/>
    <xf numFmtId="180" fontId="0" fillId="0" borderId="0" xfId="0" applyNumberFormat="1" applyFill="1" applyBorder="1" applyAlignment="1">
      <alignment wrapText="1"/>
    </xf>
    <xf numFmtId="0" fontId="55" fillId="0" borderId="0" xfId="29" applyFont="1"/>
    <xf numFmtId="180" fontId="102" fillId="0" borderId="0" xfId="30" applyNumberFormat="1" applyFont="1" applyFill="1"/>
    <xf numFmtId="0" fontId="8" fillId="0" borderId="0" xfId="30" applyNumberFormat="1" applyFont="1" applyAlignment="1">
      <alignment horizontal="center"/>
    </xf>
    <xf numFmtId="0" fontId="7" fillId="0" borderId="0" xfId="30" applyNumberFormat="1" applyFont="1" applyAlignment="1">
      <alignment horizontal="center" wrapText="1"/>
    </xf>
    <xf numFmtId="0" fontId="8" fillId="0" borderId="0" xfId="30" applyNumberFormat="1" applyFont="1" applyAlignment="1">
      <alignment horizontal="center" wrapText="1"/>
    </xf>
    <xf numFmtId="0" fontId="102" fillId="0" borderId="0" xfId="30" applyNumberFormat="1" applyFont="1" applyFill="1" applyAlignment="1">
      <alignment horizontal="center" wrapText="1"/>
    </xf>
    <xf numFmtId="180" fontId="103" fillId="0" borderId="0" xfId="30" applyNumberFormat="1" applyFont="1" applyFill="1"/>
    <xf numFmtId="0" fontId="103" fillId="0" borderId="0" xfId="30" applyNumberFormat="1" applyFont="1" applyFill="1" applyAlignment="1">
      <alignment horizontal="center"/>
    </xf>
    <xf numFmtId="0" fontId="103" fillId="0" borderId="0" xfId="0" applyNumberFormat="1" applyFont="1" applyFill="1"/>
    <xf numFmtId="0" fontId="103" fillId="0" borderId="0" xfId="30" applyNumberFormat="1" applyFont="1" applyFill="1"/>
    <xf numFmtId="0" fontId="6" fillId="0" borderId="6" xfId="29" applyBorder="1" applyAlignment="1">
      <alignment horizontal="center"/>
    </xf>
    <xf numFmtId="0" fontId="6" fillId="0" borderId="10" xfId="29" applyBorder="1" applyAlignment="1">
      <alignment horizontal="center"/>
    </xf>
    <xf numFmtId="0" fontId="16" fillId="0" borderId="6" xfId="29" applyFont="1" applyBorder="1" applyAlignment="1">
      <alignment horizontal="center"/>
    </xf>
    <xf numFmtId="0" fontId="7" fillId="0" borderId="0" xfId="30" applyNumberFormat="1" applyFont="1"/>
    <xf numFmtId="0" fontId="8" fillId="0" borderId="0" xfId="30" applyNumberFormat="1" applyFont="1" applyFill="1"/>
    <xf numFmtId="0" fontId="106" fillId="0" borderId="0" xfId="29" applyFont="1" applyFill="1"/>
    <xf numFmtId="0" fontId="106" fillId="0" borderId="0" xfId="29" applyFont="1"/>
    <xf numFmtId="0" fontId="107" fillId="0" borderId="0" xfId="0" applyFont="1"/>
    <xf numFmtId="180" fontId="107" fillId="0" borderId="0" xfId="0" applyNumberFormat="1" applyFont="1"/>
    <xf numFmtId="0" fontId="54" fillId="0" borderId="29" xfId="29" applyFont="1" applyFill="1" applyBorder="1"/>
    <xf numFmtId="0" fontId="6" fillId="0" borderId="30" xfId="29" applyBorder="1"/>
    <xf numFmtId="0" fontId="16" fillId="0" borderId="30" xfId="29" applyFont="1" applyBorder="1" applyAlignment="1">
      <alignment horizontal="center"/>
    </xf>
    <xf numFmtId="0" fontId="16" fillId="0" borderId="31" xfId="29" applyFont="1" applyBorder="1" applyAlignment="1">
      <alignment horizontal="center"/>
    </xf>
    <xf numFmtId="0" fontId="0" fillId="0" borderId="0" xfId="0" applyBorder="1"/>
    <xf numFmtId="0" fontId="19" fillId="0" borderId="17" xfId="29" applyFont="1" applyFill="1" applyBorder="1"/>
    <xf numFmtId="0" fontId="6" fillId="0" borderId="19" xfId="29" applyFont="1" applyBorder="1"/>
    <xf numFmtId="0" fontId="19" fillId="0" borderId="3" xfId="29" applyFont="1" applyBorder="1" applyAlignment="1">
      <alignment horizontal="center"/>
    </xf>
    <xf numFmtId="0" fontId="16" fillId="0" borderId="29" xfId="29" applyFont="1" applyBorder="1"/>
    <xf numFmtId="0" fontId="19" fillId="0" borderId="30" xfId="29" applyFont="1" applyBorder="1" applyAlignment="1">
      <alignment horizontal="center"/>
    </xf>
    <xf numFmtId="0" fontId="0" fillId="0" borderId="17" xfId="0" applyBorder="1"/>
    <xf numFmtId="0" fontId="6" fillId="0" borderId="0" xfId="29" quotePrefix="1" applyBorder="1"/>
    <xf numFmtId="1" fontId="0" fillId="0" borderId="0" xfId="0" applyNumberFormat="1" applyBorder="1"/>
    <xf numFmtId="1" fontId="0" fillId="0" borderId="18" xfId="0" applyNumberFormat="1" applyBorder="1"/>
    <xf numFmtId="0" fontId="18" fillId="0" borderId="0" xfId="29" applyFont="1" applyBorder="1" applyAlignment="1">
      <alignment horizontal="left" wrapText="1"/>
    </xf>
    <xf numFmtId="0" fontId="91" fillId="0" borderId="0" xfId="0" applyFont="1" applyBorder="1" applyAlignment="1">
      <alignment wrapText="1"/>
    </xf>
    <xf numFmtId="2" fontId="0" fillId="0" borderId="0" xfId="0" applyNumberFormat="1" applyBorder="1"/>
    <xf numFmtId="2" fontId="0" fillId="0" borderId="18" xfId="0" applyNumberFormat="1" applyBorder="1"/>
    <xf numFmtId="171" fontId="0" fillId="0" borderId="0" xfId="0" applyNumberFormat="1" applyBorder="1"/>
    <xf numFmtId="0" fontId="6" fillId="0" borderId="0" xfId="29" applyFont="1" applyBorder="1" applyAlignment="1">
      <alignment horizontal="center"/>
    </xf>
    <xf numFmtId="0" fontId="0" fillId="0" borderId="3" xfId="0" applyBorder="1"/>
    <xf numFmtId="1" fontId="0" fillId="0" borderId="3" xfId="0" applyNumberFormat="1" applyBorder="1"/>
    <xf numFmtId="1" fontId="0" fillId="0" borderId="20" xfId="0" applyNumberFormat="1" applyBorder="1"/>
    <xf numFmtId="171" fontId="0" fillId="0" borderId="3" xfId="0" applyNumberFormat="1" applyBorder="1"/>
    <xf numFmtId="0" fontId="16" fillId="0" borderId="32" xfId="29" applyFont="1" applyFill="1" applyBorder="1" applyAlignment="1">
      <alignment horizontal="center"/>
    </xf>
    <xf numFmtId="0" fontId="0" fillId="0" borderId="6" xfId="0" applyBorder="1"/>
    <xf numFmtId="0" fontId="19" fillId="0" borderId="6" xfId="29" applyFont="1" applyFill="1" applyBorder="1" applyAlignment="1">
      <alignment horizontal="center"/>
    </xf>
    <xf numFmtId="0" fontId="18" fillId="0" borderId="5" xfId="29" applyFont="1" applyBorder="1" applyAlignment="1">
      <alignment horizontal="center"/>
    </xf>
    <xf numFmtId="0" fontId="18" fillId="0" borderId="32" xfId="29" applyFont="1" applyBorder="1" applyAlignment="1">
      <alignment horizontal="center"/>
    </xf>
    <xf numFmtId="1" fontId="0" fillId="0" borderId="6" xfId="0" applyNumberFormat="1" applyBorder="1"/>
    <xf numFmtId="2" fontId="0" fillId="0" borderId="6" xfId="0" applyNumberFormat="1" applyBorder="1"/>
    <xf numFmtId="1" fontId="0" fillId="0" borderId="5" xfId="0" applyNumberFormat="1" applyBorder="1"/>
    <xf numFmtId="0" fontId="8" fillId="0" borderId="0" xfId="0" applyFont="1"/>
    <xf numFmtId="0" fontId="6" fillId="0" borderId="0" xfId="29" applyFill="1" applyBorder="1"/>
    <xf numFmtId="0" fontId="6" fillId="24" borderId="0" xfId="29" applyNumberFormat="1" applyFill="1" applyBorder="1"/>
    <xf numFmtId="0" fontId="6" fillId="0" borderId="0" xfId="29" applyFont="1" applyFill="1" applyBorder="1" applyAlignment="1">
      <alignment horizontal="center"/>
    </xf>
    <xf numFmtId="0" fontId="6" fillId="0" borderId="0" xfId="36" applyNumberFormat="1" applyFont="1" applyFill="1" applyBorder="1" applyAlignment="1">
      <alignment horizontal="center"/>
    </xf>
    <xf numFmtId="0" fontId="101" fillId="0" borderId="0" xfId="29" applyNumberFormat="1" applyFont="1" applyFill="1" applyBorder="1" applyAlignment="1">
      <alignment horizontal="center"/>
    </xf>
    <xf numFmtId="0" fontId="6" fillId="0" borderId="0" xfId="29" applyNumberFormat="1" applyBorder="1" applyAlignment="1">
      <alignment horizontal="center"/>
    </xf>
    <xf numFmtId="0" fontId="6" fillId="24" borderId="0" xfId="29" applyNumberFormat="1" applyFill="1" applyBorder="1" applyAlignment="1">
      <alignment horizontal="center"/>
    </xf>
    <xf numFmtId="3" fontId="6" fillId="0" borderId="0" xfId="29" applyNumberFormat="1"/>
    <xf numFmtId="176" fontId="71" fillId="18" borderId="0" xfId="1" applyNumberFormat="1" applyAlignment="1">
      <alignment horizontal="right"/>
    </xf>
    <xf numFmtId="2" fontId="71" fillId="18" borderId="0" xfId="1" applyNumberFormat="1" applyAlignment="1">
      <alignment horizontal="right"/>
    </xf>
    <xf numFmtId="0" fontId="0" fillId="27" borderId="0" xfId="0" applyFill="1"/>
    <xf numFmtId="0" fontId="86" fillId="21" borderId="40" xfId="26" applyAlignment="1">
      <alignment horizontal="center"/>
    </xf>
    <xf numFmtId="0" fontId="0" fillId="0" borderId="0" xfId="0" applyAlignment="1">
      <alignment horizontal="left"/>
    </xf>
    <xf numFmtId="10" fontId="86" fillId="21" borderId="40" xfId="26" applyNumberFormat="1" applyAlignment="1">
      <alignment horizontal="center"/>
    </xf>
    <xf numFmtId="4" fontId="86" fillId="21" borderId="40" xfId="26" applyNumberFormat="1" applyAlignment="1">
      <alignment horizontal="center"/>
    </xf>
    <xf numFmtId="4" fontId="77" fillId="20" borderId="40" xfId="14" applyNumberFormat="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0" xfId="0" applyFill="1" applyBorder="1" applyAlignment="1">
      <alignment horizontal="center"/>
    </xf>
    <xf numFmtId="0" fontId="0" fillId="0" borderId="16" xfId="0" applyBorder="1" applyAlignment="1">
      <alignment horizontal="center"/>
    </xf>
    <xf numFmtId="0" fontId="0" fillId="0" borderId="14" xfId="0" applyBorder="1"/>
    <xf numFmtId="0" fontId="0" fillId="0" borderId="14" xfId="0" applyBorder="1" applyAlignment="1">
      <alignment horizontal="center"/>
    </xf>
    <xf numFmtId="2" fontId="73" fillId="19" borderId="45" xfId="3" applyNumberFormat="1" applyBorder="1" applyAlignment="1">
      <alignment horizontal="center"/>
    </xf>
    <xf numFmtId="0" fontId="0" fillId="0" borderId="15" xfId="0" applyBorder="1" applyAlignment="1">
      <alignment horizontal="center"/>
    </xf>
    <xf numFmtId="0" fontId="0" fillId="0" borderId="4" xfId="0" applyBorder="1" applyAlignment="1">
      <alignment horizontal="center"/>
    </xf>
    <xf numFmtId="4" fontId="73" fillId="19" borderId="46" xfId="3" applyNumberFormat="1" applyBorder="1" applyAlignment="1">
      <alignment horizontal="center"/>
    </xf>
    <xf numFmtId="4" fontId="73" fillId="19" borderId="47" xfId="3" applyNumberFormat="1" applyBorder="1" applyAlignment="1">
      <alignment horizontal="center"/>
    </xf>
    <xf numFmtId="0" fontId="0" fillId="0" borderId="8" xfId="0" applyBorder="1"/>
    <xf numFmtId="0" fontId="0" fillId="0" borderId="12" xfId="0" applyBorder="1"/>
    <xf numFmtId="0" fontId="0" fillId="0" borderId="12" xfId="0" applyBorder="1" applyAlignment="1">
      <alignment horizontal="center"/>
    </xf>
    <xf numFmtId="2" fontId="73" fillId="19" borderId="48" xfId="3" applyNumberFormat="1"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4" fontId="73" fillId="19" borderId="49" xfId="3" applyNumberFormat="1" applyBorder="1" applyAlignment="1">
      <alignment horizontal="center"/>
    </xf>
    <xf numFmtId="0" fontId="0" fillId="0" borderId="11" xfId="0" applyBorder="1"/>
    <xf numFmtId="4" fontId="73" fillId="19" borderId="50" xfId="3" applyNumberFormat="1" applyBorder="1" applyAlignment="1">
      <alignment horizontal="center"/>
    </xf>
    <xf numFmtId="0" fontId="0" fillId="0" borderId="15" xfId="0" applyBorder="1"/>
    <xf numFmtId="0" fontId="0" fillId="0" borderId="4" xfId="0" applyBorder="1"/>
    <xf numFmtId="0" fontId="0" fillId="0" borderId="13" xfId="0" applyBorder="1"/>
    <xf numFmtId="2" fontId="73" fillId="19" borderId="46" xfId="3" applyNumberFormat="1" applyBorder="1" applyAlignment="1">
      <alignment horizontal="center"/>
    </xf>
    <xf numFmtId="2" fontId="73" fillId="19" borderId="49" xfId="3" applyNumberFormat="1" applyBorder="1" applyAlignment="1">
      <alignment horizontal="center"/>
    </xf>
    <xf numFmtId="2" fontId="73" fillId="19" borderId="51" xfId="3" applyNumberFormat="1" applyBorder="1" applyAlignment="1">
      <alignment horizontal="center"/>
    </xf>
    <xf numFmtId="4" fontId="73" fillId="19" borderId="45" xfId="3" applyNumberFormat="1" applyBorder="1" applyAlignment="1">
      <alignment horizontal="center"/>
    </xf>
    <xf numFmtId="2" fontId="73" fillId="19" borderId="52" xfId="3" applyNumberFormat="1" applyBorder="1" applyAlignment="1">
      <alignment horizontal="center"/>
    </xf>
    <xf numFmtId="4" fontId="73" fillId="19" borderId="48" xfId="3" applyNumberFormat="1" applyBorder="1" applyAlignment="1">
      <alignment horizontal="center"/>
    </xf>
    <xf numFmtId="0" fontId="0" fillId="0" borderId="33" xfId="0" applyBorder="1"/>
    <xf numFmtId="2" fontId="73" fillId="19" borderId="53" xfId="3" applyNumberFormat="1" applyBorder="1" applyAlignment="1">
      <alignment horizontal="center"/>
    </xf>
    <xf numFmtId="4" fontId="73" fillId="19" borderId="54" xfId="3" applyNumberFormat="1" applyBorder="1" applyAlignment="1">
      <alignment horizontal="center"/>
    </xf>
    <xf numFmtId="0" fontId="0" fillId="0" borderId="16" xfId="0" applyBorder="1"/>
    <xf numFmtId="4" fontId="73" fillId="19" borderId="16" xfId="3" applyNumberFormat="1" applyBorder="1" applyAlignment="1">
      <alignment horizontal="center"/>
    </xf>
    <xf numFmtId="0" fontId="0" fillId="0" borderId="0" xfId="0" applyBorder="1" applyAlignment="1">
      <alignment horizontal="center"/>
    </xf>
    <xf numFmtId="0" fontId="6" fillId="28" borderId="0" xfId="36" applyNumberFormat="1" applyFont="1" applyFill="1" applyBorder="1" applyAlignment="1">
      <alignment horizontal="center"/>
    </xf>
    <xf numFmtId="6" fontId="0" fillId="0" borderId="0" xfId="0" applyNumberFormat="1"/>
    <xf numFmtId="4" fontId="0" fillId="0" borderId="0" xfId="0" applyNumberFormat="1"/>
    <xf numFmtId="0" fontId="0" fillId="29" borderId="14" xfId="0" applyFill="1" applyBorder="1"/>
    <xf numFmtId="0" fontId="0" fillId="29" borderId="12" xfId="0" applyFill="1" applyBorder="1"/>
    <xf numFmtId="0" fontId="0" fillId="29" borderId="0" xfId="0" applyFill="1"/>
    <xf numFmtId="0" fontId="6" fillId="0" borderId="0" xfId="29" applyFont="1" applyFill="1" applyAlignment="1">
      <alignment horizontal="center"/>
    </xf>
    <xf numFmtId="2" fontId="18" fillId="0" borderId="0" xfId="29" applyNumberFormat="1" applyFont="1" applyFill="1" applyAlignment="1">
      <alignment horizontal="left"/>
    </xf>
    <xf numFmtId="2" fontId="6" fillId="0" borderId="0" xfId="29" applyNumberFormat="1" applyFont="1" applyFill="1" applyBorder="1" applyAlignment="1">
      <alignment horizontal="center"/>
    </xf>
    <xf numFmtId="0" fontId="6" fillId="30" borderId="0" xfId="29" applyNumberFormat="1" applyFill="1" applyBorder="1" applyAlignment="1">
      <alignment horizontal="center"/>
    </xf>
    <xf numFmtId="0" fontId="6" fillId="30" borderId="0" xfId="36" applyNumberFormat="1" applyFont="1" applyFill="1" applyBorder="1" applyAlignment="1">
      <alignment horizontal="center"/>
    </xf>
    <xf numFmtId="0" fontId="0" fillId="31" borderId="14" xfId="0" applyFill="1" applyBorder="1"/>
    <xf numFmtId="2" fontId="73" fillId="31" borderId="51" xfId="3" applyNumberFormat="1" applyFill="1" applyBorder="1" applyAlignment="1">
      <alignment horizontal="center"/>
    </xf>
    <xf numFmtId="0" fontId="0" fillId="31" borderId="4" xfId="0" applyFill="1" applyBorder="1" applyAlignment="1">
      <alignment horizontal="center"/>
    </xf>
    <xf numFmtId="0" fontId="0" fillId="31" borderId="15" xfId="0" applyFill="1" applyBorder="1" applyAlignment="1">
      <alignment horizontal="center"/>
    </xf>
    <xf numFmtId="4" fontId="73" fillId="31" borderId="45" xfId="3" applyNumberFormat="1" applyFill="1" applyBorder="1" applyAlignment="1">
      <alignment horizontal="center"/>
    </xf>
    <xf numFmtId="0" fontId="0" fillId="31" borderId="12" xfId="0" applyFill="1" applyBorder="1"/>
    <xf numFmtId="2" fontId="73" fillId="31" borderId="52" xfId="3" applyNumberFormat="1" applyFill="1" applyBorder="1" applyAlignment="1">
      <alignment horizontal="center"/>
    </xf>
    <xf numFmtId="0" fontId="0" fillId="31" borderId="2" xfId="0" applyFill="1" applyBorder="1" applyAlignment="1">
      <alignment horizontal="center"/>
    </xf>
    <xf numFmtId="0" fontId="0" fillId="31" borderId="13" xfId="0" applyFill="1" applyBorder="1" applyAlignment="1">
      <alignment horizontal="center"/>
    </xf>
    <xf numFmtId="4" fontId="73" fillId="31" borderId="48" xfId="3" applyNumberFormat="1" applyFill="1" applyBorder="1" applyAlignment="1">
      <alignment horizontal="center"/>
    </xf>
    <xf numFmtId="0" fontId="0" fillId="31" borderId="33" xfId="0" applyFill="1" applyBorder="1"/>
    <xf numFmtId="2" fontId="73" fillId="31" borderId="53" xfId="3" applyNumberFormat="1" applyFill="1" applyBorder="1" applyAlignment="1">
      <alignment horizontal="center"/>
    </xf>
    <xf numFmtId="0" fontId="0" fillId="31" borderId="34" xfId="0" applyFill="1" applyBorder="1" applyAlignment="1">
      <alignment horizontal="center"/>
    </xf>
    <xf numFmtId="0" fontId="0" fillId="31" borderId="35" xfId="0" applyFill="1" applyBorder="1" applyAlignment="1">
      <alignment horizontal="center"/>
    </xf>
    <xf numFmtId="4" fontId="73" fillId="31" borderId="54" xfId="3" applyNumberFormat="1" applyFill="1" applyBorder="1" applyAlignment="1">
      <alignment horizontal="center"/>
    </xf>
    <xf numFmtId="2" fontId="108" fillId="19" borderId="53" xfId="3" applyNumberFormat="1" applyFont="1" applyBorder="1" applyAlignment="1">
      <alignment horizontal="center"/>
    </xf>
    <xf numFmtId="0" fontId="0" fillId="0" borderId="36" xfId="0" applyBorder="1"/>
    <xf numFmtId="174" fontId="6" fillId="0" borderId="0" xfId="29" applyNumberFormat="1" applyFont="1" applyFill="1" applyBorder="1" applyAlignment="1" applyProtection="1">
      <alignment horizontal="left"/>
      <protection locked="0"/>
    </xf>
    <xf numFmtId="0" fontId="109" fillId="0" borderId="0" xfId="0" applyFont="1"/>
    <xf numFmtId="1" fontId="6" fillId="0" borderId="0" xfId="35" applyNumberFormat="1" applyFont="1" applyFill="1" applyAlignment="1">
      <alignment horizontal="right"/>
    </xf>
    <xf numFmtId="171" fontId="6" fillId="0" borderId="0" xfId="36" applyNumberFormat="1" applyFont="1" applyFill="1" applyAlignment="1">
      <alignment horizontal="right"/>
    </xf>
    <xf numFmtId="171" fontId="71" fillId="18" borderId="0" xfId="1" applyNumberFormat="1" applyAlignment="1">
      <alignment horizontal="right"/>
    </xf>
    <xf numFmtId="0" fontId="110" fillId="0" borderId="55" xfId="0" applyFont="1" applyBorder="1" applyAlignment="1">
      <alignment wrapText="1"/>
    </xf>
    <xf numFmtId="0" fontId="110" fillId="0" borderId="0" xfId="0" applyFont="1" applyAlignment="1">
      <alignment wrapText="1"/>
    </xf>
    <xf numFmtId="10" fontId="110" fillId="0" borderId="0" xfId="0" applyNumberFormat="1" applyFont="1" applyAlignment="1">
      <alignment wrapText="1"/>
    </xf>
    <xf numFmtId="0" fontId="8" fillId="0" borderId="0" xfId="0" applyNumberFormat="1" applyFont="1"/>
    <xf numFmtId="0" fontId="92" fillId="0" borderId="0" xfId="0" applyFont="1"/>
    <xf numFmtId="0" fontId="111" fillId="0" borderId="0" xfId="30" applyFont="1"/>
    <xf numFmtId="0" fontId="112" fillId="0" borderId="0" xfId="30" applyFont="1" applyFill="1"/>
    <xf numFmtId="0" fontId="111" fillId="0" borderId="0" xfId="30" applyNumberFormat="1" applyFont="1"/>
    <xf numFmtId="0" fontId="6" fillId="0" borderId="0" xfId="29" applyNumberFormat="1" applyFont="1" applyFill="1" applyBorder="1" applyAlignment="1">
      <alignment horizontal="left"/>
    </xf>
    <xf numFmtId="0" fontId="113" fillId="32" borderId="0" xfId="0" applyFont="1" applyFill="1"/>
    <xf numFmtId="0" fontId="114" fillId="32" borderId="0" xfId="0" applyFont="1" applyFill="1"/>
    <xf numFmtId="0" fontId="115" fillId="32" borderId="0" xfId="0" applyFont="1" applyFill="1"/>
    <xf numFmtId="0" fontId="116" fillId="32" borderId="0" xfId="0" applyFont="1" applyFill="1"/>
    <xf numFmtId="0" fontId="116" fillId="0" borderId="0" xfId="0" applyFont="1"/>
    <xf numFmtId="0" fontId="117" fillId="32" borderId="0" xfId="0" applyFont="1" applyFill="1"/>
    <xf numFmtId="0" fontId="107" fillId="32" borderId="0" xfId="0" applyFont="1" applyFill="1"/>
    <xf numFmtId="171" fontId="116" fillId="0" borderId="0" xfId="0" applyNumberFormat="1" applyFont="1"/>
    <xf numFmtId="10" fontId="116" fillId="0" borderId="0" xfId="35" applyNumberFormat="1" applyFont="1"/>
    <xf numFmtId="2" fontId="116" fillId="0" borderId="0" xfId="0" applyNumberFormat="1" applyFont="1"/>
    <xf numFmtId="175" fontId="70" fillId="0" borderId="0" xfId="35" applyNumberFormat="1" applyFont="1"/>
    <xf numFmtId="186" fontId="0" fillId="0" borderId="0" xfId="0" applyNumberFormat="1"/>
    <xf numFmtId="0" fontId="86" fillId="21" borderId="40" xfId="26" applyAlignment="1" applyProtection="1">
      <alignment horizontal="center"/>
      <protection locked="0"/>
    </xf>
    <xf numFmtId="0" fontId="118" fillId="0" borderId="0" xfId="0" applyFont="1"/>
    <xf numFmtId="0" fontId="119" fillId="32" borderId="0" xfId="0" applyFont="1" applyFill="1"/>
    <xf numFmtId="0" fontId="116" fillId="0" borderId="0" xfId="0" applyFont="1" applyAlignment="1">
      <alignment horizontal="right"/>
    </xf>
    <xf numFmtId="0" fontId="119" fillId="0" borderId="0" xfId="0" applyFont="1"/>
    <xf numFmtId="0" fontId="81" fillId="0" borderId="42" xfId="18"/>
    <xf numFmtId="2" fontId="116" fillId="0" borderId="0" xfId="35" applyNumberFormat="1" applyFont="1"/>
    <xf numFmtId="2" fontId="6" fillId="0" borderId="0" xfId="36" applyNumberFormat="1" applyFont="1" applyFill="1" applyBorder="1" applyAlignment="1">
      <alignment horizontal="center"/>
    </xf>
    <xf numFmtId="2" fontId="19" fillId="0" borderId="0" xfId="29" applyNumberFormat="1" applyFont="1" applyAlignment="1">
      <alignment horizontal="center"/>
    </xf>
    <xf numFmtId="0" fontId="6" fillId="0" borderId="0" xfId="29" applyFont="1" applyFill="1" applyBorder="1" applyAlignment="1" applyProtection="1">
      <alignment horizontal="center"/>
      <protection locked="0"/>
    </xf>
    <xf numFmtId="0" fontId="25" fillId="25" borderId="7" xfId="30" applyNumberFormat="1" applyFont="1" applyFill="1" applyBorder="1" applyAlignment="1" applyProtection="1">
      <alignment horizontal="center" vertical="center" wrapText="1"/>
    </xf>
    <xf numFmtId="4" fontId="26" fillId="0" borderId="7" xfId="0" applyNumberFormat="1" applyFont="1" applyFill="1" applyBorder="1" applyAlignment="1" applyProtection="1">
      <alignment horizontal="right" vertical="center" wrapText="1"/>
    </xf>
    <xf numFmtId="4" fontId="71" fillId="18" borderId="7" xfId="1" applyNumberFormat="1" applyBorder="1" applyAlignment="1" applyProtection="1">
      <alignment horizontal="right" vertical="center" wrapText="1"/>
    </xf>
    <xf numFmtId="4" fontId="26" fillId="0" borderId="0" xfId="30" applyNumberFormat="1" applyFont="1" applyFill="1" applyBorder="1" applyAlignment="1" applyProtection="1">
      <alignment horizontal="left" vertical="center"/>
    </xf>
    <xf numFmtId="4" fontId="26" fillId="0" borderId="7" xfId="30" applyNumberFormat="1" applyFont="1" applyFill="1" applyBorder="1" applyAlignment="1" applyProtection="1">
      <alignment horizontal="right" vertical="center" wrapText="1"/>
    </xf>
    <xf numFmtId="175" fontId="19" fillId="0" borderId="0" xfId="35" applyNumberFormat="1" applyFont="1" applyAlignment="1">
      <alignment horizontal="center"/>
    </xf>
    <xf numFmtId="1" fontId="19" fillId="0" borderId="0" xfId="29" applyNumberFormat="1" applyFont="1" applyFill="1" applyBorder="1" applyAlignment="1" applyProtection="1">
      <alignment horizontal="right"/>
      <protection locked="0"/>
    </xf>
    <xf numFmtId="0" fontId="19" fillId="0" borderId="18" xfId="29" applyFont="1" applyFill="1" applyBorder="1" applyAlignment="1" applyProtection="1">
      <alignment horizontal="center"/>
      <protection locked="0"/>
    </xf>
    <xf numFmtId="0" fontId="6" fillId="0" borderId="17" xfId="29" applyFont="1" applyFill="1" applyBorder="1" applyAlignment="1" applyProtection="1">
      <alignment horizontal="left"/>
      <protection locked="0"/>
    </xf>
    <xf numFmtId="0" fontId="6" fillId="0" borderId="19" xfId="29" applyBorder="1" applyAlignment="1">
      <alignment horizontal="left"/>
    </xf>
    <xf numFmtId="0" fontId="0" fillId="0" borderId="20" xfId="0" applyBorder="1"/>
    <xf numFmtId="4" fontId="76" fillId="0" borderId="29" xfId="13" applyBorder="1">
      <alignment horizontal="center"/>
    </xf>
    <xf numFmtId="2" fontId="20" fillId="0" borderId="17" xfId="29" applyNumberFormat="1" applyFont="1" applyFill="1" applyBorder="1" applyAlignment="1">
      <alignment horizontal="center"/>
    </xf>
    <xf numFmtId="1" fontId="6" fillId="0" borderId="0" xfId="29" applyNumberFormat="1" applyBorder="1"/>
    <xf numFmtId="0" fontId="0" fillId="0" borderId="29" xfId="0" applyBorder="1"/>
    <xf numFmtId="175" fontId="70" fillId="0" borderId="17" xfId="35" applyNumberFormat="1" applyFont="1" applyBorder="1"/>
    <xf numFmtId="175" fontId="70" fillId="0" borderId="19" xfId="35" applyNumberFormat="1" applyFont="1" applyBorder="1"/>
    <xf numFmtId="0" fontId="6" fillId="0" borderId="37" xfId="29" applyBorder="1"/>
    <xf numFmtId="0" fontId="6" fillId="0" borderId="38" xfId="29" applyBorder="1"/>
    <xf numFmtId="4" fontId="6" fillId="0" borderId="38" xfId="29" applyNumberFormat="1" applyBorder="1"/>
    <xf numFmtId="4" fontId="6" fillId="0" borderId="39" xfId="29" applyNumberFormat="1" applyBorder="1"/>
    <xf numFmtId="0" fontId="73" fillId="19" borderId="40" xfId="3" applyAlignment="1">
      <alignment horizontal="center"/>
    </xf>
    <xf numFmtId="0" fontId="0" fillId="0" borderId="4" xfId="0" applyFill="1" applyBorder="1"/>
    <xf numFmtId="0" fontId="120" fillId="0" borderId="14" xfId="0" applyFont="1" applyFill="1" applyBorder="1"/>
    <xf numFmtId="0" fontId="73" fillId="19" borderId="56" xfId="3" applyBorder="1"/>
    <xf numFmtId="175" fontId="6" fillId="0" borderId="0" xfId="35" applyNumberFormat="1" applyFont="1" applyBorder="1"/>
    <xf numFmtId="175" fontId="6" fillId="0" borderId="3" xfId="29" applyNumberFormat="1" applyBorder="1"/>
    <xf numFmtId="0" fontId="73" fillId="19" borderId="57" xfId="3" applyBorder="1"/>
    <xf numFmtId="0" fontId="0" fillId="0" borderId="30" xfId="0" applyBorder="1"/>
    <xf numFmtId="0" fontId="0" fillId="0" borderId="31" xfId="0" applyBorder="1"/>
    <xf numFmtId="0" fontId="0" fillId="0" borderId="18" xfId="0" applyBorder="1"/>
    <xf numFmtId="0" fontId="0" fillId="0" borderId="19" xfId="0" applyBorder="1"/>
    <xf numFmtId="175" fontId="70" fillId="0" borderId="0" xfId="35" applyNumberFormat="1" applyFont="1"/>
    <xf numFmtId="175" fontId="0" fillId="0" borderId="0" xfId="0" applyNumberFormat="1"/>
    <xf numFmtId="9" fontId="70" fillId="0" borderId="0" xfId="35" applyFont="1"/>
    <xf numFmtId="10" fontId="70" fillId="0" borderId="0" xfId="35" applyNumberFormat="1" applyFont="1"/>
    <xf numFmtId="10" fontId="0" fillId="0" borderId="0" xfId="0" applyNumberFormat="1"/>
    <xf numFmtId="188" fontId="70" fillId="0" borderId="0" xfId="35" applyNumberFormat="1" applyFont="1"/>
    <xf numFmtId="2" fontId="6" fillId="0" borderId="3" xfId="29" applyNumberFormat="1" applyFont="1" applyFill="1" applyBorder="1" applyAlignment="1">
      <alignment horizontal="center"/>
    </xf>
    <xf numFmtId="0" fontId="73" fillId="19" borderId="58" xfId="3" applyBorder="1" applyAlignment="1" applyProtection="1">
      <alignment horizontal="left"/>
      <protection locked="0"/>
    </xf>
    <xf numFmtId="4" fontId="73" fillId="19" borderId="58" xfId="3" applyNumberFormat="1" applyBorder="1" applyAlignment="1">
      <alignment horizontal="center"/>
    </xf>
    <xf numFmtId="0" fontId="73" fillId="19" borderId="59" xfId="3" applyBorder="1"/>
    <xf numFmtId="0" fontId="0" fillId="0" borderId="0" xfId="0" applyAlignment="1">
      <alignment horizontal="center" vertical="center"/>
    </xf>
    <xf numFmtId="0" fontId="0" fillId="0" borderId="0" xfId="0" applyAlignment="1">
      <alignment horizontal="center" vertical="center" wrapText="1"/>
    </xf>
    <xf numFmtId="9" fontId="70" fillId="0" borderId="0" xfId="35" applyFont="1" applyAlignment="1">
      <alignment horizontal="center"/>
    </xf>
    <xf numFmtId="3" fontId="70" fillId="0" borderId="0" xfId="35" applyNumberFormat="1" applyFont="1" applyAlignment="1">
      <alignment horizontal="center"/>
    </xf>
    <xf numFmtId="3" fontId="86" fillId="21" borderId="40" xfId="26" applyNumberFormat="1" applyAlignment="1">
      <alignment horizontal="center"/>
    </xf>
    <xf numFmtId="3" fontId="73" fillId="19" borderId="40" xfId="3" applyNumberFormat="1" applyAlignment="1">
      <alignment horizontal="center"/>
    </xf>
    <xf numFmtId="9" fontId="86" fillId="21" borderId="40" xfId="26" applyNumberFormat="1" applyAlignment="1">
      <alignment horizontal="center"/>
    </xf>
    <xf numFmtId="9" fontId="73" fillId="19" borderId="40" xfId="3" applyNumberFormat="1" applyAlignment="1">
      <alignment horizontal="center"/>
    </xf>
    <xf numFmtId="3" fontId="73" fillId="19" borderId="60" xfId="3" applyNumberFormat="1" applyBorder="1" applyAlignment="1">
      <alignment horizontal="center"/>
    </xf>
    <xf numFmtId="0" fontId="0" fillId="0" borderId="0" xfId="0" quotePrefix="1"/>
    <xf numFmtId="169" fontId="70" fillId="0" borderId="0" xfId="4" applyNumberFormat="1" applyFont="1"/>
    <xf numFmtId="165" fontId="0" fillId="0" borderId="0" xfId="0" applyNumberFormat="1"/>
    <xf numFmtId="0" fontId="16" fillId="0" borderId="0" xfId="0" applyFont="1"/>
    <xf numFmtId="0" fontId="16" fillId="0" borderId="0" xfId="0" applyFont="1" applyAlignment="1">
      <alignment horizontal="right"/>
    </xf>
    <xf numFmtId="2" fontId="110" fillId="0" borderId="0" xfId="0" applyNumberFormat="1" applyFont="1" applyAlignment="1">
      <alignment wrapText="1"/>
    </xf>
    <xf numFmtId="2" fontId="110" fillId="0" borderId="55" xfId="0" applyNumberFormat="1" applyFont="1" applyBorder="1" applyAlignment="1">
      <alignment wrapText="1"/>
    </xf>
    <xf numFmtId="0" fontId="86" fillId="21" borderId="40" xfId="26" applyAlignment="1">
      <alignment wrapText="1"/>
    </xf>
    <xf numFmtId="2" fontId="86" fillId="21" borderId="40" xfId="26" applyNumberFormat="1" applyAlignment="1">
      <alignment wrapText="1"/>
    </xf>
    <xf numFmtId="175" fontId="70" fillId="0" borderId="0" xfId="35" applyNumberFormat="1" applyFont="1"/>
    <xf numFmtId="0" fontId="71" fillId="18" borderId="0" xfId="1" applyNumberFormat="1"/>
    <xf numFmtId="180" fontId="71" fillId="18" borderId="0" xfId="1" applyNumberFormat="1"/>
    <xf numFmtId="180" fontId="103" fillId="0" borderId="0" xfId="30" quotePrefix="1" applyNumberFormat="1" applyFont="1" applyFill="1"/>
    <xf numFmtId="0" fontId="8" fillId="0" borderId="0" xfId="30" applyNumberFormat="1" applyFont="1" applyAlignment="1">
      <alignment wrapText="1"/>
    </xf>
    <xf numFmtId="176" fontId="71" fillId="18" borderId="0" xfId="1" applyNumberFormat="1"/>
    <xf numFmtId="0" fontId="121" fillId="0" borderId="0" xfId="29" applyFont="1" applyFill="1"/>
    <xf numFmtId="0" fontId="121" fillId="0" borderId="0" xfId="29" applyFont="1" applyFill="1" applyBorder="1"/>
    <xf numFmtId="0" fontId="121" fillId="0" borderId="0" xfId="29" applyFont="1" applyFill="1" applyBorder="1" applyAlignment="1">
      <alignment horizontal="center"/>
    </xf>
    <xf numFmtId="180" fontId="0" fillId="33" borderId="16" xfId="0" applyNumberFormat="1" applyFill="1" applyBorder="1" applyAlignment="1">
      <alignment horizontal="center" wrapText="1"/>
    </xf>
    <xf numFmtId="180" fontId="0" fillId="33" borderId="16" xfId="0" applyNumberFormat="1" applyFill="1" applyBorder="1" applyAlignment="1">
      <alignment horizontal="center"/>
    </xf>
    <xf numFmtId="0" fontId="121" fillId="0" borderId="0" xfId="29" applyFont="1"/>
    <xf numFmtId="0" fontId="121" fillId="0" borderId="0" xfId="29" applyFont="1" applyAlignment="1">
      <alignment horizontal="center"/>
    </xf>
    <xf numFmtId="0" fontId="16" fillId="0" borderId="2" xfId="29" applyFont="1" applyBorder="1" applyAlignment="1">
      <alignment horizontal="center"/>
    </xf>
    <xf numFmtId="2" fontId="6" fillId="0" borderId="6" xfId="29" applyNumberFormat="1" applyFont="1" applyFill="1" applyBorder="1" applyAlignment="1">
      <alignment horizontal="right"/>
    </xf>
    <xf numFmtId="2" fontId="6" fillId="0" borderId="0" xfId="29" applyNumberFormat="1" applyFont="1" applyFill="1" applyAlignment="1">
      <alignment horizontal="right"/>
    </xf>
    <xf numFmtId="2" fontId="6" fillId="0" borderId="0" xfId="29" applyNumberFormat="1"/>
    <xf numFmtId="2" fontId="101" fillId="0" borderId="0" xfId="29" applyNumberFormat="1" applyFont="1" applyFill="1" applyAlignment="1">
      <alignment horizontal="center"/>
    </xf>
    <xf numFmtId="2" fontId="6" fillId="24" borderId="0" xfId="29" applyNumberFormat="1" applyFill="1"/>
    <xf numFmtId="2" fontId="6" fillId="24" borderId="6" xfId="29" applyNumberFormat="1" applyFill="1" applyBorder="1"/>
    <xf numFmtId="0" fontId="122" fillId="0" borderId="0" xfId="0" applyFont="1"/>
    <xf numFmtId="0" fontId="123" fillId="0" borderId="0" xfId="0" applyFont="1"/>
    <xf numFmtId="10" fontId="0" fillId="0" borderId="16" xfId="0" applyNumberFormat="1" applyBorder="1" applyAlignment="1">
      <alignment horizontal="center"/>
    </xf>
    <xf numFmtId="0" fontId="91" fillId="0" borderId="16" xfId="0" applyFont="1" applyBorder="1" applyAlignment="1">
      <alignment horizontal="center"/>
    </xf>
    <xf numFmtId="0" fontId="124" fillId="0" borderId="0" xfId="0" applyFont="1"/>
    <xf numFmtId="11" fontId="0" fillId="0" borderId="16" xfId="0" applyNumberFormat="1" applyBorder="1" applyAlignment="1">
      <alignment horizontal="center"/>
    </xf>
    <xf numFmtId="0" fontId="91" fillId="0" borderId="16" xfId="0" applyFont="1" applyFill="1" applyBorder="1" applyAlignment="1">
      <alignment horizontal="center"/>
    </xf>
    <xf numFmtId="0" fontId="0" fillId="0" borderId="16" xfId="0" applyBorder="1" applyAlignment="1">
      <alignment horizontal="left" wrapText="1"/>
    </xf>
    <xf numFmtId="0" fontId="0" fillId="0" borderId="16" xfId="0" applyBorder="1" applyAlignment="1">
      <alignment horizontal="left"/>
    </xf>
    <xf numFmtId="10" fontId="0" fillId="0" borderId="16" xfId="0" applyNumberFormat="1" applyBorder="1" applyAlignment="1">
      <alignment horizontal="center" vertical="center"/>
    </xf>
    <xf numFmtId="11" fontId="0" fillId="0" borderId="16" xfId="0" applyNumberFormat="1" applyBorder="1" applyAlignment="1">
      <alignment horizontal="center" vertical="center"/>
    </xf>
    <xf numFmtId="0" fontId="0" fillId="0" borderId="16" xfId="0" applyBorder="1" applyAlignment="1">
      <alignment horizontal="center" vertical="center"/>
    </xf>
    <xf numFmtId="9" fontId="0" fillId="0" borderId="16" xfId="0" applyNumberFormat="1" applyBorder="1" applyAlignment="1">
      <alignment horizontal="center"/>
    </xf>
    <xf numFmtId="22" fontId="0" fillId="0" borderId="16" xfId="0" applyNumberFormat="1" applyBorder="1"/>
    <xf numFmtId="0" fontId="0" fillId="0" borderId="16" xfId="0" applyBorder="1" applyAlignment="1">
      <alignment wrapText="1"/>
    </xf>
    <xf numFmtId="0" fontId="91" fillId="0" borderId="16" xfId="0" applyFont="1" applyBorder="1"/>
    <xf numFmtId="0" fontId="125" fillId="0" borderId="0" xfId="0" applyFont="1"/>
    <xf numFmtId="0" fontId="126" fillId="33" borderId="0" xfId="0" applyFont="1" applyFill="1"/>
    <xf numFmtId="0" fontId="0" fillId="33" borderId="0" xfId="0" applyFill="1"/>
    <xf numFmtId="0" fontId="125" fillId="33" borderId="0" xfId="0" applyFont="1" applyFill="1"/>
    <xf numFmtId="0" fontId="127" fillId="34" borderId="16" xfId="0" applyFont="1" applyFill="1" applyBorder="1" applyAlignment="1">
      <alignment horizontal="left" vertical="top" wrapText="1"/>
    </xf>
    <xf numFmtId="0" fontId="127" fillId="34" borderId="16" xfId="0" applyFont="1" applyFill="1" applyBorder="1" applyAlignment="1">
      <alignment horizontal="center" vertical="top" wrapText="1"/>
    </xf>
    <xf numFmtId="0" fontId="0" fillId="0" borderId="0" xfId="0" applyFill="1"/>
    <xf numFmtId="0" fontId="0" fillId="0" borderId="0" xfId="0" applyFill="1" applyBorder="1" applyAlignment="1">
      <alignment horizontal="left" vertical="top"/>
    </xf>
    <xf numFmtId="0" fontId="63" fillId="0" borderId="16" xfId="0" applyFont="1" applyFill="1" applyBorder="1" applyAlignment="1">
      <alignment horizontal="left" vertical="top"/>
    </xf>
    <xf numFmtId="0" fontId="91" fillId="0" borderId="16" xfId="0" applyFont="1" applyFill="1" applyBorder="1" applyAlignment="1">
      <alignment horizontal="left" vertical="top"/>
    </xf>
    <xf numFmtId="189" fontId="128" fillId="0" borderId="16" xfId="0" applyNumberFormat="1" applyFont="1" applyFill="1" applyBorder="1" applyAlignment="1">
      <alignment horizontal="center" vertical="top" wrapText="1"/>
    </xf>
    <xf numFmtId="0" fontId="0" fillId="0" borderId="16" xfId="0" applyFill="1" applyBorder="1" applyAlignment="1">
      <alignment horizontal="left" vertical="top" wrapText="1"/>
    </xf>
    <xf numFmtId="189" fontId="129" fillId="0" borderId="16" xfId="0" applyNumberFormat="1" applyFont="1" applyFill="1" applyBorder="1" applyAlignment="1">
      <alignment horizontal="left" vertical="top" wrapText="1"/>
    </xf>
    <xf numFmtId="189" fontId="129" fillId="0" borderId="16" xfId="0" applyNumberFormat="1" applyFont="1" applyFill="1" applyBorder="1" applyAlignment="1">
      <alignment horizontal="center" vertical="top" wrapText="1"/>
    </xf>
    <xf numFmtId="0" fontId="0" fillId="0" borderId="16" xfId="0" applyFill="1" applyBorder="1" applyAlignment="1">
      <alignment horizontal="center" vertical="top" wrapText="1"/>
    </xf>
    <xf numFmtId="0" fontId="130" fillId="0" borderId="0" xfId="0" applyFont="1" applyFill="1" applyBorder="1" applyAlignment="1">
      <alignment horizontal="left" vertical="top"/>
    </xf>
    <xf numFmtId="0" fontId="131" fillId="0" borderId="0" xfId="0" applyFont="1" applyFill="1" applyBorder="1" applyAlignment="1">
      <alignment horizontal="left" vertical="top"/>
    </xf>
    <xf numFmtId="0" fontId="132" fillId="0" borderId="16" xfId="0" applyFont="1" applyFill="1" applyBorder="1" applyAlignment="1">
      <alignment horizontal="left" vertical="top"/>
    </xf>
    <xf numFmtId="0" fontId="133" fillId="0" borderId="16" xfId="0" applyFont="1" applyFill="1" applyBorder="1" applyAlignment="1">
      <alignment horizontal="left" vertical="top"/>
    </xf>
    <xf numFmtId="189" fontId="133" fillId="0" borderId="16" xfId="0" applyNumberFormat="1" applyFont="1" applyFill="1" applyBorder="1" applyAlignment="1">
      <alignment horizontal="left" vertical="top" wrapText="1"/>
    </xf>
    <xf numFmtId="0" fontId="127" fillId="0" borderId="16" xfId="0" applyFont="1" applyFill="1" applyBorder="1" applyAlignment="1">
      <alignment horizontal="left" vertical="top" wrapText="1"/>
    </xf>
    <xf numFmtId="189" fontId="127" fillId="0" borderId="16" xfId="0" applyNumberFormat="1" applyFont="1" applyFill="1" applyBorder="1" applyAlignment="1">
      <alignment horizontal="left" vertical="top" wrapText="1"/>
    </xf>
    <xf numFmtId="189"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xf>
    <xf numFmtId="189" fontId="133" fillId="0" borderId="16" xfId="0" applyNumberFormat="1" applyFont="1" applyFill="1" applyBorder="1" applyAlignment="1">
      <alignment horizontal="center" vertical="top" wrapText="1"/>
    </xf>
    <xf numFmtId="0" fontId="127" fillId="0" borderId="16" xfId="0" applyFont="1" applyFill="1" applyBorder="1" applyAlignment="1">
      <alignment horizontal="center" vertical="top" wrapText="1"/>
    </xf>
    <xf numFmtId="190" fontId="127" fillId="0" borderId="16" xfId="0" applyNumberFormat="1" applyFont="1" applyFill="1" applyBorder="1" applyAlignment="1">
      <alignment horizontal="center" vertical="top" wrapText="1"/>
    </xf>
    <xf numFmtId="0" fontId="127" fillId="0" borderId="0" xfId="0" applyFont="1" applyFill="1" applyBorder="1" applyAlignment="1">
      <alignment horizontal="left" vertical="top" wrapText="1"/>
    </xf>
    <xf numFmtId="0" fontId="127" fillId="0" borderId="0" xfId="0" applyFont="1" applyFill="1" applyBorder="1" applyAlignment="1">
      <alignment horizontal="center" vertical="top" wrapText="1"/>
    </xf>
    <xf numFmtId="190" fontId="127" fillId="0" borderId="0" xfId="0" applyNumberFormat="1" applyFont="1" applyFill="1" applyBorder="1" applyAlignment="1">
      <alignment horizontal="center" vertical="top" wrapText="1"/>
    </xf>
    <xf numFmtId="0" fontId="134" fillId="0" borderId="16" xfId="0" applyFont="1" applyFill="1" applyBorder="1" applyAlignment="1">
      <alignment horizontal="left" vertical="top" wrapText="1"/>
    </xf>
    <xf numFmtId="0" fontId="64" fillId="0" borderId="16" xfId="0" applyFont="1" applyFill="1" applyBorder="1" applyAlignment="1">
      <alignment horizontal="left" vertical="top" wrapText="1"/>
    </xf>
    <xf numFmtId="0" fontId="0" fillId="35" borderId="0" xfId="0" applyFill="1"/>
    <xf numFmtId="191" fontId="26" fillId="0" borderId="0" xfId="29" applyNumberFormat="1" applyFont="1" applyFill="1" applyBorder="1" applyAlignment="1" applyProtection="1">
      <alignment horizontal="left" vertical="center"/>
    </xf>
    <xf numFmtId="189" fontId="127" fillId="36" borderId="16" xfId="0" applyNumberFormat="1" applyFont="1" applyFill="1" applyBorder="1" applyAlignment="1">
      <alignment horizontal="center" vertical="top" wrapText="1"/>
    </xf>
    <xf numFmtId="0" fontId="0" fillId="36" borderId="0" xfId="0" applyFill="1"/>
    <xf numFmtId="0" fontId="127" fillId="36" borderId="16" xfId="0" applyFont="1" applyFill="1" applyBorder="1" applyAlignment="1">
      <alignment horizontal="center" vertical="top" wrapText="1"/>
    </xf>
    <xf numFmtId="10" fontId="70" fillId="0" borderId="16" xfId="35" applyNumberFormat="1" applyFont="1" applyBorder="1" applyAlignment="1">
      <alignment horizontal="center"/>
    </xf>
    <xf numFmtId="190" fontId="127" fillId="36" borderId="16" xfId="0" applyNumberFormat="1" applyFont="1" applyFill="1" applyBorder="1" applyAlignment="1">
      <alignment horizontal="center" vertical="top" wrapText="1"/>
    </xf>
    <xf numFmtId="0" fontId="98" fillId="35" borderId="0" xfId="0" applyFont="1" applyFill="1"/>
    <xf numFmtId="176" fontId="0" fillId="0" borderId="16" xfId="0" applyNumberFormat="1" applyBorder="1" applyAlignment="1">
      <alignment horizontal="center"/>
    </xf>
    <xf numFmtId="0" fontId="0" fillId="37" borderId="29" xfId="0" applyFont="1" applyFill="1" applyBorder="1" applyAlignment="1">
      <alignment wrapText="1"/>
    </xf>
    <xf numFmtId="0" fontId="0" fillId="37" borderId="30" xfId="0" applyFont="1" applyFill="1" applyBorder="1"/>
    <xf numFmtId="0" fontId="0" fillId="37" borderId="17" xfId="0" applyFont="1" applyFill="1" applyBorder="1" applyAlignment="1">
      <alignment wrapText="1"/>
    </xf>
    <xf numFmtId="0" fontId="0" fillId="37" borderId="0" xfId="0" applyFont="1" applyFill="1" applyBorder="1"/>
    <xf numFmtId="0" fontId="0" fillId="37" borderId="19" xfId="0" applyFill="1" applyBorder="1"/>
    <xf numFmtId="0" fontId="0" fillId="37" borderId="3" xfId="0" applyFill="1" applyBorder="1"/>
    <xf numFmtId="0" fontId="0" fillId="38" borderId="18" xfId="0" applyFill="1" applyBorder="1"/>
    <xf numFmtId="171" fontId="0" fillId="38" borderId="0" xfId="0" applyNumberFormat="1" applyFont="1" applyFill="1" applyBorder="1"/>
    <xf numFmtId="0" fontId="0" fillId="38" borderId="3" xfId="0" applyFill="1" applyBorder="1"/>
    <xf numFmtId="0" fontId="0" fillId="38" borderId="29" xfId="0" applyFill="1" applyBorder="1"/>
    <xf numFmtId="186" fontId="0" fillId="38" borderId="30" xfId="0" applyNumberFormat="1" applyFont="1" applyFill="1" applyBorder="1"/>
    <xf numFmtId="0" fontId="0" fillId="38" borderId="31" xfId="0" applyFill="1" applyBorder="1"/>
    <xf numFmtId="0" fontId="0" fillId="38" borderId="17" xfId="0" applyFill="1" applyBorder="1"/>
    <xf numFmtId="0" fontId="0" fillId="38" borderId="0" xfId="0" applyFill="1" applyBorder="1"/>
    <xf numFmtId="0" fontId="0" fillId="38" borderId="19" xfId="0" applyFill="1" applyBorder="1"/>
    <xf numFmtId="0" fontId="0" fillId="38" borderId="20" xfId="0" applyFill="1" applyBorder="1"/>
    <xf numFmtId="2" fontId="0" fillId="38" borderId="3" xfId="0" applyNumberFormat="1" applyFill="1" applyBorder="1"/>
    <xf numFmtId="171" fontId="0" fillId="38" borderId="0" xfId="0" applyNumberFormat="1" applyFill="1" applyBorder="1"/>
    <xf numFmtId="0" fontId="0" fillId="38" borderId="30" xfId="0" applyFill="1" applyBorder="1"/>
    <xf numFmtId="0" fontId="135" fillId="37" borderId="17" xfId="0" applyFont="1" applyFill="1" applyBorder="1" applyAlignment="1">
      <alignment wrapText="1"/>
    </xf>
    <xf numFmtId="0" fontId="135" fillId="0" borderId="0" xfId="0" applyFont="1"/>
    <xf numFmtId="180" fontId="116" fillId="0" borderId="0" xfId="0" applyNumberFormat="1" applyFont="1"/>
    <xf numFmtId="0" fontId="7" fillId="0" borderId="0" xfId="29" applyFont="1" applyAlignment="1">
      <alignment horizontal="center"/>
    </xf>
    <xf numFmtId="0" fontId="102" fillId="0" borderId="0" xfId="29" applyFont="1" applyFill="1" applyAlignment="1">
      <alignment horizontal="center"/>
    </xf>
    <xf numFmtId="0" fontId="71" fillId="18" borderId="0" xfId="1" applyAlignment="1">
      <alignment horizontal="center"/>
    </xf>
    <xf numFmtId="0" fontId="136" fillId="0" borderId="0" xfId="29" applyFont="1"/>
    <xf numFmtId="0" fontId="137" fillId="0" borderId="0" xfId="29" applyFont="1" applyAlignment="1">
      <alignment horizontal="center"/>
    </xf>
    <xf numFmtId="0" fontId="6" fillId="0" borderId="0" xfId="29" applyFont="1" applyFill="1" applyAlignment="1">
      <alignment horizontal="center" wrapText="1"/>
    </xf>
    <xf numFmtId="0" fontId="6" fillId="39" borderId="0" xfId="29" applyFont="1" applyFill="1" applyAlignment="1">
      <alignment wrapText="1"/>
    </xf>
    <xf numFmtId="0" fontId="6" fillId="39" borderId="0" xfId="29" applyFill="1" applyAlignment="1">
      <alignment wrapText="1"/>
    </xf>
    <xf numFmtId="0" fontId="19" fillId="39" borderId="0" xfId="29" applyFont="1" applyFill="1" applyAlignment="1">
      <alignment horizontal="center" wrapText="1"/>
    </xf>
    <xf numFmtId="0" fontId="7" fillId="0" borderId="0" xfId="29" applyFont="1" applyFill="1"/>
    <xf numFmtId="0" fontId="24" fillId="0" borderId="0" xfId="29" applyFont="1" applyFill="1"/>
    <xf numFmtId="0" fontId="138" fillId="34" borderId="0" xfId="0" applyFont="1" applyFill="1" applyBorder="1" applyAlignment="1">
      <alignment horizontal="left" vertical="top"/>
    </xf>
    <xf numFmtId="0" fontId="0" fillId="34" borderId="0" xfId="0" applyFill="1" applyBorder="1" applyAlignment="1">
      <alignment horizontal="left" vertical="top"/>
    </xf>
    <xf numFmtId="0" fontId="0" fillId="34" borderId="16" xfId="0" applyFill="1" applyBorder="1" applyAlignment="1">
      <alignment horizontal="left" vertical="top" wrapText="1"/>
    </xf>
    <xf numFmtId="189" fontId="129" fillId="34" borderId="0" xfId="0" applyNumberFormat="1" applyFont="1" applyFill="1" applyBorder="1" applyAlignment="1">
      <alignment horizontal="left" vertical="top"/>
    </xf>
    <xf numFmtId="0" fontId="0" fillId="34" borderId="0" xfId="0" applyFill="1" applyBorder="1" applyAlignment="1">
      <alignment horizontal="left" vertical="top" wrapText="1"/>
    </xf>
    <xf numFmtId="189" fontId="129" fillId="34" borderId="0" xfId="0" applyNumberFormat="1" applyFont="1" applyFill="1" applyBorder="1" applyAlignment="1">
      <alignment horizontal="left" vertical="top" wrapText="1"/>
    </xf>
    <xf numFmtId="189" fontId="129" fillId="34" borderId="0" xfId="0" applyNumberFormat="1" applyFont="1" applyFill="1" applyBorder="1" applyAlignment="1">
      <alignment horizontal="center" vertical="top" wrapText="1"/>
    </xf>
    <xf numFmtId="0" fontId="139" fillId="34" borderId="0" xfId="0" applyFont="1" applyFill="1" applyBorder="1" applyAlignment="1">
      <alignment horizontal="left" vertical="top"/>
    </xf>
    <xf numFmtId="0" fontId="0" fillId="34" borderId="16" xfId="0" applyFill="1" applyBorder="1" applyAlignment="1">
      <alignment horizontal="center" vertical="top" wrapText="1"/>
    </xf>
    <xf numFmtId="189" fontId="129" fillId="34" borderId="16" xfId="0" applyNumberFormat="1" applyFont="1" applyFill="1" applyBorder="1" applyAlignment="1">
      <alignment horizontal="left" vertical="top" wrapText="1"/>
    </xf>
    <xf numFmtId="189" fontId="129" fillId="34" borderId="16" xfId="0" applyNumberFormat="1" applyFont="1" applyFill="1" applyBorder="1" applyAlignment="1">
      <alignment horizontal="center" vertical="top" wrapText="1"/>
    </xf>
    <xf numFmtId="189" fontId="128" fillId="34" borderId="16" xfId="0" applyNumberFormat="1" applyFont="1" applyFill="1" applyBorder="1" applyAlignment="1">
      <alignment horizontal="center" vertical="top" wrapText="1"/>
    </xf>
    <xf numFmtId="192" fontId="129" fillId="34" borderId="16" xfId="0" applyNumberFormat="1" applyFont="1" applyFill="1" applyBorder="1" applyAlignment="1">
      <alignment horizontal="center" vertical="top" wrapText="1"/>
    </xf>
    <xf numFmtId="0" fontId="0" fillId="34" borderId="33" xfId="0" applyFill="1" applyBorder="1" applyAlignment="1">
      <alignmen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189" fontId="129" fillId="34" borderId="33" xfId="0" applyNumberFormat="1" applyFont="1" applyFill="1" applyBorder="1" applyAlignment="1">
      <alignment horizontal="center" vertical="top" wrapText="1"/>
    </xf>
    <xf numFmtId="189" fontId="128" fillId="34" borderId="33" xfId="0" applyNumberFormat="1" applyFont="1" applyFill="1" applyBorder="1" applyAlignment="1">
      <alignment horizontal="center" vertical="top" wrapText="1"/>
    </xf>
    <xf numFmtId="189" fontId="129" fillId="34" borderId="33" xfId="0" applyNumberFormat="1" applyFont="1" applyFill="1" applyBorder="1" applyAlignment="1">
      <alignment vertical="top" wrapText="1"/>
    </xf>
    <xf numFmtId="0" fontId="0" fillId="34" borderId="16" xfId="0" applyFill="1" applyBorder="1" applyAlignment="1">
      <alignment vertical="top" wrapText="1"/>
    </xf>
    <xf numFmtId="180" fontId="0" fillId="40" borderId="16" xfId="0" applyNumberFormat="1" applyFill="1" applyBorder="1" applyAlignment="1">
      <alignment horizontal="center" wrapText="1"/>
    </xf>
    <xf numFmtId="180" fontId="0" fillId="40" borderId="16" xfId="0" applyNumberFormat="1" applyFill="1" applyBorder="1" applyAlignment="1">
      <alignment horizontal="center"/>
    </xf>
    <xf numFmtId="0" fontId="6" fillId="40" borderId="0" xfId="29" applyFill="1"/>
    <xf numFmtId="0" fontId="6" fillId="40" borderId="0" xfId="29" applyFill="1" applyAlignment="1">
      <alignment horizontal="center"/>
    </xf>
    <xf numFmtId="2" fontId="8" fillId="0" borderId="0" xfId="29" applyNumberFormat="1" applyFont="1"/>
    <xf numFmtId="175" fontId="6" fillId="0" borderId="0" xfId="35" applyNumberFormat="1" applyFont="1" applyFill="1" applyAlignment="1">
      <alignment horizontal="right"/>
    </xf>
    <xf numFmtId="170" fontId="6" fillId="0" borderId="0" xfId="29" applyNumberFormat="1" applyFont="1" applyFill="1" applyAlignment="1">
      <alignment horizontal="right"/>
    </xf>
    <xf numFmtId="4" fontId="6" fillId="0" borderId="0" xfId="29" applyNumberFormat="1" applyFont="1" applyFill="1" applyAlignment="1">
      <alignment horizontal="right"/>
    </xf>
    <xf numFmtId="10" fontId="70" fillId="0" borderId="16" xfId="35" applyNumberFormat="1" applyFont="1" applyFill="1" applyBorder="1" applyAlignment="1">
      <alignment horizontal="center"/>
    </xf>
    <xf numFmtId="0" fontId="0" fillId="0" borderId="9" xfId="0" applyFill="1" applyBorder="1"/>
    <xf numFmtId="9" fontId="6" fillId="41" borderId="0" xfId="29" applyNumberFormat="1" applyFill="1" applyAlignment="1">
      <alignment horizontal="center"/>
    </xf>
    <xf numFmtId="0" fontId="6" fillId="41" borderId="0" xfId="29" applyFill="1" applyAlignment="1">
      <alignment horizontal="center"/>
    </xf>
    <xf numFmtId="186" fontId="6" fillId="41" borderId="0" xfId="29" applyNumberFormat="1" applyFill="1" applyAlignment="1">
      <alignment horizontal="center"/>
    </xf>
    <xf numFmtId="175" fontId="6" fillId="41" borderId="0" xfId="29" applyNumberFormat="1" applyFill="1" applyAlignment="1">
      <alignment horizontal="center"/>
    </xf>
    <xf numFmtId="0" fontId="140" fillId="18" borderId="0" xfId="1" applyFont="1"/>
    <xf numFmtId="2" fontId="8" fillId="0" borderId="0" xfId="30" applyNumberFormat="1" applyFont="1"/>
    <xf numFmtId="0" fontId="6" fillId="0" borderId="0" xfId="29" applyFill="1" applyAlignment="1">
      <alignment horizontal="right"/>
    </xf>
    <xf numFmtId="0" fontId="0" fillId="0" borderId="8" xfId="0" applyFill="1" applyBorder="1"/>
    <xf numFmtId="0" fontId="0" fillId="0" borderId="10" xfId="0" applyBorder="1"/>
    <xf numFmtId="14" fontId="0" fillId="0" borderId="4" xfId="0" applyNumberFormat="1" applyBorder="1"/>
    <xf numFmtId="15" fontId="0" fillId="0" borderId="0" xfId="0" applyNumberFormat="1" applyBorder="1"/>
    <xf numFmtId="0" fontId="0" fillId="0" borderId="10" xfId="0" applyFill="1" applyBorder="1"/>
    <xf numFmtId="0" fontId="0" fillId="0" borderId="11" xfId="0" applyFill="1" applyBorder="1" applyAlignment="1">
      <alignment wrapText="1"/>
    </xf>
    <xf numFmtId="0" fontId="16" fillId="41" borderId="39" xfId="29" applyFont="1" applyFill="1" applyBorder="1" applyAlignment="1">
      <alignment horizontal="center"/>
    </xf>
    <xf numFmtId="0" fontId="141" fillId="41" borderId="39" xfId="29" applyFont="1" applyFill="1" applyBorder="1" applyAlignment="1">
      <alignment horizontal="center"/>
    </xf>
    <xf numFmtId="0" fontId="6" fillId="0" borderId="62" xfId="29" applyBorder="1" applyAlignment="1">
      <alignment horizontal="center"/>
    </xf>
    <xf numFmtId="0" fontId="6" fillId="0" borderId="36" xfId="29" applyBorder="1" applyAlignment="1">
      <alignment horizontal="center"/>
    </xf>
    <xf numFmtId="0" fontId="0" fillId="0" borderId="61" xfId="0" applyBorder="1" applyAlignment="1">
      <alignment horizontal="center"/>
    </xf>
    <xf numFmtId="1" fontId="0" fillId="0" borderId="0" xfId="0" applyNumberFormat="1" applyAlignment="1">
      <alignment horizontal="right"/>
    </xf>
    <xf numFmtId="2" fontId="0" fillId="0" borderId="0" xfId="0" applyNumberFormat="1" applyAlignment="1">
      <alignment horizontal="center"/>
    </xf>
    <xf numFmtId="175" fontId="89" fillId="19" borderId="8" xfId="35" applyNumberFormat="1" applyFont="1" applyFill="1" applyBorder="1"/>
    <xf numFmtId="175" fontId="89" fillId="19" borderId="11" xfId="35" applyNumberFormat="1" applyFont="1" applyFill="1" applyBorder="1"/>
    <xf numFmtId="180" fontId="0" fillId="0" borderId="0" xfId="0" applyNumberFormat="1" applyAlignment="1">
      <alignment horizontal="left"/>
    </xf>
    <xf numFmtId="180" fontId="92" fillId="0" borderId="0" xfId="0" applyNumberFormat="1" applyFont="1"/>
    <xf numFmtId="0" fontId="0" fillId="0" borderId="0" xfId="0" applyNumberFormat="1" applyFont="1"/>
    <xf numFmtId="0" fontId="0" fillId="0" borderId="0" xfId="0" applyNumberFormat="1" applyAlignment="1">
      <alignment horizontal="left"/>
    </xf>
    <xf numFmtId="22" fontId="0" fillId="0" borderId="0" xfId="0" applyNumberFormat="1"/>
    <xf numFmtId="0" fontId="0" fillId="0" borderId="9" xfId="0" applyFill="1" applyBorder="1" applyAlignment="1">
      <alignment wrapText="1"/>
    </xf>
    <xf numFmtId="2" fontId="73" fillId="19" borderId="40" xfId="3" applyNumberFormat="1"/>
    <xf numFmtId="2" fontId="91" fillId="0" borderId="0" xfId="0" applyNumberFormat="1" applyFont="1"/>
    <xf numFmtId="11" fontId="91" fillId="0" borderId="0" xfId="0" applyNumberFormat="1" applyFont="1"/>
    <xf numFmtId="0" fontId="142" fillId="0" borderId="0" xfId="0" applyFont="1"/>
    <xf numFmtId="0" fontId="27" fillId="0" borderId="0" xfId="24" applyNumberFormat="1" applyAlignment="1" applyProtection="1"/>
    <xf numFmtId="0" fontId="0" fillId="0" borderId="0" xfId="0" applyNumberFormat="1" applyFill="1" applyBorder="1"/>
    <xf numFmtId="171" fontId="73" fillId="19" borderId="56" xfId="3" applyNumberFormat="1" applyBorder="1"/>
    <xf numFmtId="0" fontId="0" fillId="0" borderId="29" xfId="0" applyNumberFormat="1" applyFill="1" applyBorder="1"/>
    <xf numFmtId="0" fontId="0" fillId="0" borderId="31" xfId="0" applyNumberFormat="1" applyBorder="1"/>
    <xf numFmtId="0" fontId="0" fillId="0" borderId="17" xfId="0" applyNumberFormat="1" applyBorder="1"/>
    <xf numFmtId="0" fontId="0" fillId="0" borderId="18" xfId="0" applyNumberFormat="1" applyBorder="1"/>
    <xf numFmtId="0" fontId="0" fillId="0" borderId="29" xfId="0" applyNumberFormat="1" applyFont="1" applyBorder="1"/>
    <xf numFmtId="0" fontId="0" fillId="0" borderId="17" xfId="0" applyNumberFormat="1" applyFont="1" applyBorder="1" applyAlignment="1">
      <alignment horizontal="right"/>
    </xf>
    <xf numFmtId="0" fontId="0" fillId="0" borderId="19" xfId="0" applyNumberFormat="1" applyBorder="1" applyAlignment="1">
      <alignment horizontal="right"/>
    </xf>
    <xf numFmtId="180" fontId="0" fillId="0" borderId="29" xfId="0" applyNumberFormat="1" applyFont="1" applyBorder="1"/>
    <xf numFmtId="180" fontId="124" fillId="0" borderId="17" xfId="0" applyNumberFormat="1" applyFont="1" applyBorder="1"/>
    <xf numFmtId="180" fontId="0" fillId="0" borderId="17" xfId="0" applyNumberFormat="1" applyBorder="1"/>
    <xf numFmtId="0" fontId="0" fillId="0" borderId="17" xfId="0" applyNumberFormat="1" applyFont="1" applyBorder="1" applyAlignment="1">
      <alignment horizontal="left"/>
    </xf>
    <xf numFmtId="180" fontId="0" fillId="0" borderId="19" xfId="0" applyNumberFormat="1" applyFont="1" applyBorder="1" applyAlignment="1">
      <alignment horizontal="left"/>
    </xf>
    <xf numFmtId="180" fontId="0" fillId="0" borderId="18" xfId="0" applyNumberFormat="1" applyBorder="1"/>
    <xf numFmtId="0" fontId="0" fillId="0" borderId="30" xfId="0" applyNumberFormat="1" applyBorder="1"/>
    <xf numFmtId="0" fontId="0" fillId="0" borderId="0" xfId="0" applyNumberFormat="1" applyBorder="1"/>
    <xf numFmtId="180" fontId="0" fillId="0" borderId="19" xfId="0" applyNumberFormat="1" applyFill="1" applyBorder="1"/>
    <xf numFmtId="0" fontId="0" fillId="0" borderId="3" xfId="0" applyNumberFormat="1" applyFill="1" applyBorder="1"/>
    <xf numFmtId="0" fontId="0" fillId="0" borderId="31" xfId="0" applyNumberFormat="1" applyBorder="1" applyAlignment="1">
      <alignment horizontal="left"/>
    </xf>
    <xf numFmtId="0" fontId="0" fillId="0" borderId="18" xfId="0" applyNumberFormat="1" applyBorder="1" applyAlignment="1">
      <alignment horizontal="left"/>
    </xf>
    <xf numFmtId="0" fontId="0" fillId="0" borderId="18" xfId="0" applyNumberFormat="1" applyFill="1" applyBorder="1" applyAlignment="1">
      <alignment horizontal="left"/>
    </xf>
    <xf numFmtId="0" fontId="0" fillId="0" borderId="20" xfId="0" applyNumberFormat="1" applyFill="1" applyBorder="1" applyAlignment="1">
      <alignment horizontal="left"/>
    </xf>
    <xf numFmtId="170" fontId="86" fillId="21" borderId="58" xfId="26" applyNumberFormat="1" applyBorder="1"/>
    <xf numFmtId="1" fontId="0" fillId="0" borderId="30" xfId="0" applyNumberFormat="1" applyBorder="1"/>
    <xf numFmtId="171" fontId="73" fillId="19" borderId="40" xfId="3" applyNumberFormat="1" applyBorder="1"/>
    <xf numFmtId="1" fontId="0" fillId="26" borderId="0" xfId="0" applyNumberFormat="1" applyFill="1" applyBorder="1"/>
    <xf numFmtId="170" fontId="86" fillId="21" borderId="40" xfId="26" applyNumberFormat="1" applyBorder="1"/>
    <xf numFmtId="180" fontId="0" fillId="0" borderId="0" xfId="0" applyNumberFormat="1" applyBorder="1"/>
    <xf numFmtId="1" fontId="0" fillId="0" borderId="3" xfId="0" applyNumberFormat="1" applyFill="1" applyBorder="1" applyAlignment="1">
      <alignment horizontal="right"/>
    </xf>
    <xf numFmtId="170" fontId="86" fillId="21" borderId="63" xfId="26" applyNumberFormat="1" applyBorder="1"/>
    <xf numFmtId="0" fontId="0" fillId="0" borderId="3" xfId="0" applyNumberFormat="1" applyBorder="1"/>
    <xf numFmtId="0" fontId="0" fillId="0" borderId="20" xfId="0" applyNumberFormat="1" applyBorder="1" applyAlignment="1">
      <alignment horizontal="left"/>
    </xf>
    <xf numFmtId="180" fontId="0" fillId="0" borderId="3" xfId="0" applyNumberFormat="1" applyBorder="1"/>
    <xf numFmtId="180" fontId="0" fillId="0" borderId="19" xfId="0" applyNumberFormat="1" applyBorder="1"/>
    <xf numFmtId="171" fontId="73" fillId="19" borderId="63" xfId="3" applyNumberFormat="1" applyBorder="1"/>
    <xf numFmtId="49" fontId="143" fillId="0" borderId="0" xfId="0" applyNumberFormat="1" applyFont="1"/>
    <xf numFmtId="4" fontId="86" fillId="21" borderId="65" xfId="26" applyNumberFormat="1" applyBorder="1"/>
    <xf numFmtId="4" fontId="86" fillId="21" borderId="66" xfId="26" applyNumberFormat="1" applyBorder="1"/>
    <xf numFmtId="171" fontId="73" fillId="19" borderId="66" xfId="3" applyNumberFormat="1" applyBorder="1"/>
    <xf numFmtId="180" fontId="0" fillId="0" borderId="3" xfId="0" applyNumberFormat="1" applyFill="1" applyBorder="1"/>
    <xf numFmtId="1" fontId="0" fillId="0" borderId="3" xfId="0" applyNumberFormat="1" applyFill="1" applyBorder="1"/>
    <xf numFmtId="180" fontId="0" fillId="0" borderId="20" xfId="0" applyNumberFormat="1" applyBorder="1"/>
    <xf numFmtId="2" fontId="73" fillId="19" borderId="67" xfId="3" applyNumberFormat="1" applyBorder="1"/>
    <xf numFmtId="180" fontId="0" fillId="0" borderId="29" xfId="0" applyNumberFormat="1" applyBorder="1"/>
    <xf numFmtId="180" fontId="0" fillId="0" borderId="30" xfId="0" applyNumberFormat="1" applyBorder="1"/>
    <xf numFmtId="180" fontId="0" fillId="0" borderId="31" xfId="0" applyNumberFormat="1" applyBorder="1"/>
    <xf numFmtId="171" fontId="73" fillId="19" borderId="67" xfId="3" applyNumberFormat="1" applyBorder="1"/>
    <xf numFmtId="4" fontId="6" fillId="0" borderId="0" xfId="29" applyNumberFormat="1"/>
    <xf numFmtId="187" fontId="26" fillId="0" borderId="0" xfId="30" applyNumberFormat="1" applyFont="1" applyFill="1" applyBorder="1" applyAlignment="1" applyProtection="1">
      <alignment horizontal="left" vertical="center"/>
    </xf>
    <xf numFmtId="0" fontId="6" fillId="0" borderId="17" xfId="29" applyFont="1" applyFill="1" applyBorder="1"/>
    <xf numFmtId="186" fontId="6" fillId="0" borderId="0" xfId="29" applyNumberFormat="1" applyBorder="1"/>
    <xf numFmtId="17" fontId="86" fillId="21" borderId="40" xfId="26" applyNumberFormat="1"/>
    <xf numFmtId="0" fontId="83" fillId="0" borderId="0" xfId="21"/>
    <xf numFmtId="0" fontId="144" fillId="0" borderId="0" xfId="42"/>
    <xf numFmtId="175" fontId="0" fillId="0" borderId="0" xfId="35" applyNumberFormat="1" applyFont="1"/>
    <xf numFmtId="0" fontId="81" fillId="0" borderId="0" xfId="18" applyBorder="1"/>
    <xf numFmtId="0" fontId="91" fillId="0" borderId="4" xfId="0" applyFont="1" applyBorder="1"/>
    <xf numFmtId="0" fontId="91" fillId="0" borderId="0" xfId="0" applyFont="1" applyBorder="1"/>
    <xf numFmtId="0" fontId="91" fillId="0" borderId="15" xfId="0" applyFont="1" applyBorder="1"/>
    <xf numFmtId="0" fontId="91" fillId="0" borderId="14" xfId="0" applyFont="1" applyBorder="1"/>
    <xf numFmtId="0" fontId="144" fillId="0" borderId="0" xfId="42" applyBorder="1" applyAlignment="1" applyProtection="1"/>
    <xf numFmtId="0" fontId="0" fillId="0" borderId="0" xfId="0" quotePrefix="1" applyBorder="1"/>
    <xf numFmtId="0" fontId="91" fillId="0" borderId="6" xfId="0" applyFont="1" applyBorder="1"/>
    <xf numFmtId="0" fontId="91" fillId="0" borderId="10" xfId="0" applyFont="1" applyBorder="1"/>
    <xf numFmtId="0" fontId="91" fillId="0" borderId="2" xfId="0" applyFont="1" applyBorder="1" applyAlignment="1">
      <alignment wrapText="1"/>
    </xf>
    <xf numFmtId="0" fontId="91" fillId="0" borderId="13" xfId="0" applyFont="1" applyBorder="1" applyAlignment="1">
      <alignment wrapText="1"/>
    </xf>
    <xf numFmtId="17" fontId="0" fillId="0" borderId="9" xfId="0" applyNumberFormat="1" applyBorder="1"/>
    <xf numFmtId="2" fontId="0" fillId="0" borderId="9" xfId="0" applyNumberFormat="1" applyBorder="1"/>
    <xf numFmtId="171" fontId="0" fillId="0" borderId="6" xfId="0" applyNumberFormat="1" applyBorder="1"/>
    <xf numFmtId="4" fontId="0" fillId="0" borderId="6" xfId="0" applyNumberFormat="1" applyBorder="1"/>
    <xf numFmtId="17" fontId="0" fillId="0" borderId="11" xfId="0" applyNumberFormat="1" applyBorder="1"/>
    <xf numFmtId="2" fontId="0" fillId="0" borderId="11" xfId="0" applyNumberFormat="1" applyBorder="1"/>
    <xf numFmtId="171" fontId="0" fillId="0" borderId="12" xfId="0" applyNumberFormat="1" applyBorder="1"/>
    <xf numFmtId="171" fontId="0" fillId="0" borderId="2" xfId="0" applyNumberFormat="1" applyBorder="1"/>
    <xf numFmtId="0" fontId="0" fillId="0" borderId="0" xfId="0" applyFill="1" applyBorder="1" applyAlignment="1">
      <alignment wrapText="1"/>
    </xf>
    <xf numFmtId="0" fontId="16" fillId="0" borderId="17" xfId="29" applyFont="1" applyBorder="1"/>
    <xf numFmtId="0" fontId="91" fillId="0" borderId="12" xfId="0" applyFont="1" applyBorder="1" applyAlignment="1">
      <alignment wrapText="1"/>
    </xf>
    <xf numFmtId="0" fontId="91" fillId="0" borderId="13" xfId="0" applyFont="1" applyFill="1" applyBorder="1" applyAlignment="1">
      <alignment wrapText="1"/>
    </xf>
    <xf numFmtId="0" fontId="83" fillId="0" borderId="43" xfId="20"/>
    <xf numFmtId="170" fontId="6" fillId="0" borderId="0" xfId="29" applyNumberFormat="1" applyFont="1" applyFill="1" applyBorder="1" applyAlignment="1">
      <alignment horizontal="center"/>
    </xf>
    <xf numFmtId="0" fontId="6" fillId="0" borderId="0" xfId="29" applyNumberFormat="1" applyFont="1" applyFill="1" applyBorder="1" applyAlignment="1">
      <alignment horizontal="center"/>
    </xf>
    <xf numFmtId="2" fontId="71" fillId="18" borderId="0" xfId="1" applyNumberFormat="1" applyBorder="1" applyAlignment="1">
      <alignment horizontal="center"/>
    </xf>
    <xf numFmtId="2" fontId="6" fillId="28" borderId="0" xfId="36" applyNumberFormat="1" applyFont="1" applyFill="1" applyBorder="1" applyAlignment="1">
      <alignment horizontal="center"/>
    </xf>
    <xf numFmtId="0" fontId="6" fillId="28" borderId="0" xfId="29" applyNumberFormat="1" applyFont="1" applyFill="1" applyBorder="1" applyAlignment="1">
      <alignment horizontal="center"/>
    </xf>
    <xf numFmtId="2" fontId="6" fillId="30" borderId="0" xfId="36" applyNumberFormat="1" applyFont="1" applyFill="1" applyBorder="1" applyAlignment="1">
      <alignment horizontal="center"/>
    </xf>
    <xf numFmtId="0" fontId="6" fillId="30" borderId="0" xfId="29" applyNumberFormat="1" applyFont="1" applyFill="1" applyBorder="1" applyAlignment="1">
      <alignment horizontal="center"/>
    </xf>
    <xf numFmtId="1" fontId="6" fillId="0" borderId="18" xfId="29" applyNumberFormat="1" applyBorder="1"/>
    <xf numFmtId="0" fontId="145" fillId="0" borderId="0" xfId="0" applyFont="1"/>
    <xf numFmtId="186" fontId="145" fillId="0" borderId="0" xfId="0" applyNumberFormat="1" applyFont="1"/>
    <xf numFmtId="0" fontId="146" fillId="0" borderId="42" xfId="18" applyFont="1"/>
    <xf numFmtId="9" fontId="145" fillId="0" borderId="0" xfId="0" applyNumberFormat="1" applyFont="1"/>
    <xf numFmtId="0" fontId="147" fillId="32" borderId="0" xfId="0" applyFont="1" applyFill="1"/>
    <xf numFmtId="0" fontId="145" fillId="32" borderId="0" xfId="0" applyFont="1" applyFill="1"/>
    <xf numFmtId="1" fontId="119" fillId="0" borderId="0" xfId="0" applyNumberFormat="1" applyFont="1"/>
    <xf numFmtId="2" fontId="119" fillId="0" borderId="0" xfId="0" applyNumberFormat="1" applyFont="1"/>
    <xf numFmtId="0" fontId="147" fillId="42" borderId="68" xfId="43" applyFont="1"/>
    <xf numFmtId="0" fontId="119" fillId="42" borderId="68" xfId="43" applyFont="1"/>
    <xf numFmtId="2" fontId="113" fillId="42" borderId="68" xfId="43" applyNumberFormat="1" applyFont="1"/>
    <xf numFmtId="10" fontId="145" fillId="0" borderId="0" xfId="35" applyNumberFormat="1" applyFont="1"/>
    <xf numFmtId="1" fontId="145" fillId="0" borderId="0" xfId="0" applyNumberFormat="1" applyFont="1"/>
    <xf numFmtId="0" fontId="145" fillId="0" borderId="0" xfId="0" applyFont="1" applyAlignment="1">
      <alignment horizontal="left"/>
    </xf>
    <xf numFmtId="171" fontId="145" fillId="0" borderId="0" xfId="0" applyNumberFormat="1" applyFont="1"/>
    <xf numFmtId="0" fontId="145" fillId="0" borderId="0" xfId="0" applyFont="1" applyAlignment="1"/>
    <xf numFmtId="175" fontId="145" fillId="0" borderId="0" xfId="35" applyNumberFormat="1" applyFont="1"/>
    <xf numFmtId="1" fontId="145" fillId="0" borderId="0" xfId="0" applyNumberFormat="1" applyFont="1" applyAlignment="1">
      <alignment horizontal="left"/>
    </xf>
    <xf numFmtId="170" fontId="71" fillId="18" borderId="0" xfId="1" applyNumberFormat="1"/>
    <xf numFmtId="1" fontId="0" fillId="0" borderId="17" xfId="0" applyNumberFormat="1" applyBorder="1"/>
    <xf numFmtId="171" fontId="0" fillId="0" borderId="17" xfId="0" applyNumberFormat="1" applyBorder="1"/>
    <xf numFmtId="171" fontId="0" fillId="0" borderId="19" xfId="0" applyNumberFormat="1" applyBorder="1"/>
    <xf numFmtId="0" fontId="0" fillId="0" borderId="0" xfId="0" applyAlignment="1">
      <alignment horizontal="center" wrapText="1"/>
    </xf>
    <xf numFmtId="1" fontId="0" fillId="0" borderId="0" xfId="0" applyNumberFormat="1" applyAlignment="1">
      <alignment horizontal="center"/>
    </xf>
    <xf numFmtId="181" fontId="0" fillId="0" borderId="0" xfId="45" applyNumberFormat="1" applyFont="1" applyAlignment="1">
      <alignment horizontal="center"/>
    </xf>
    <xf numFmtId="0" fontId="0" fillId="0" borderId="16" xfId="0" applyBorder="1" applyAlignment="1">
      <alignment horizontal="center" wrapText="1"/>
    </xf>
    <xf numFmtId="1" fontId="0" fillId="0" borderId="16" xfId="0" applyNumberFormat="1" applyBorder="1" applyAlignment="1">
      <alignment horizontal="center"/>
    </xf>
    <xf numFmtId="1" fontId="0" fillId="0" borderId="16" xfId="0" applyNumberFormat="1" applyBorder="1"/>
    <xf numFmtId="165" fontId="0" fillId="0" borderId="16" xfId="0" applyNumberFormat="1" applyBorder="1"/>
    <xf numFmtId="1" fontId="108" fillId="0" borderId="16" xfId="0" applyNumberFormat="1" applyFont="1" applyBorder="1"/>
    <xf numFmtId="165" fontId="108" fillId="0" borderId="16" xfId="0" applyNumberFormat="1" applyFont="1" applyBorder="1"/>
    <xf numFmtId="165" fontId="108" fillId="0" borderId="16" xfId="45" applyFont="1" applyBorder="1"/>
    <xf numFmtId="0" fontId="91" fillId="0" borderId="0" xfId="0" applyFont="1" applyAlignment="1">
      <alignment wrapText="1"/>
    </xf>
    <xf numFmtId="165" fontId="91" fillId="0" borderId="0" xfId="45" applyFont="1" applyAlignment="1">
      <alignment horizontal="left"/>
    </xf>
    <xf numFmtId="194" fontId="91" fillId="0" borderId="0" xfId="45" applyNumberFormat="1" applyFont="1"/>
    <xf numFmtId="0" fontId="108" fillId="0" borderId="0" xfId="0" applyFont="1"/>
    <xf numFmtId="0" fontId="108" fillId="0" borderId="16" xfId="0" applyFont="1" applyBorder="1"/>
    <xf numFmtId="0" fontId="91" fillId="0" borderId="70" xfId="0" applyFont="1" applyBorder="1"/>
    <xf numFmtId="0" fontId="0" fillId="0" borderId="71" xfId="0" applyFont="1" applyBorder="1"/>
    <xf numFmtId="0" fontId="0" fillId="0" borderId="72" xfId="0" applyBorder="1"/>
    <xf numFmtId="0" fontId="0" fillId="0" borderId="6" xfId="0" applyFont="1" applyBorder="1"/>
    <xf numFmtId="0" fontId="0" fillId="0" borderId="0" xfId="0" applyFont="1" applyBorder="1"/>
    <xf numFmtId="0" fontId="16" fillId="0" borderId="0" xfId="29" applyFont="1" applyFill="1" applyBorder="1" applyAlignment="1">
      <alignment horizontal="center" wrapText="1"/>
    </xf>
    <xf numFmtId="2" fontId="0" fillId="0" borderId="0" xfId="0" applyNumberFormat="1" applyFont="1" applyBorder="1"/>
    <xf numFmtId="0" fontId="103" fillId="0" borderId="0" xfId="30" quotePrefix="1" applyNumberFormat="1" applyFont="1" applyFill="1"/>
    <xf numFmtId="0" fontId="111" fillId="0" borderId="0" xfId="29" applyFont="1"/>
    <xf numFmtId="1" fontId="6" fillId="41" borderId="0" xfId="29" applyNumberFormat="1" applyFill="1" applyAlignment="1">
      <alignment horizontal="center"/>
    </xf>
    <xf numFmtId="0" fontId="155" fillId="0" borderId="0" xfId="42" applyFont="1" applyAlignment="1" applyProtection="1">
      <alignment horizontal="center"/>
    </xf>
    <xf numFmtId="0" fontId="8" fillId="0" borderId="0" xfId="0" applyFont="1" applyFill="1" applyBorder="1"/>
    <xf numFmtId="0" fontId="8" fillId="0" borderId="0" xfId="0" applyFont="1" applyBorder="1"/>
    <xf numFmtId="0" fontId="8" fillId="0" borderId="0" xfId="0" applyFont="1" applyFill="1"/>
    <xf numFmtId="0" fontId="8" fillId="0" borderId="0" xfId="0" applyFont="1" applyAlignment="1">
      <alignment horizontal="center"/>
    </xf>
    <xf numFmtId="0" fontId="156" fillId="0" borderId="0" xfId="0" applyFont="1"/>
    <xf numFmtId="0" fontId="156" fillId="0" borderId="0" xfId="0" applyFont="1" applyFill="1"/>
    <xf numFmtId="180" fontId="26" fillId="0" borderId="7" xfId="29" applyNumberFormat="1" applyFont="1" applyFill="1" applyBorder="1" applyAlignment="1" applyProtection="1">
      <alignment horizontal="left" vertical="center" wrapText="1"/>
    </xf>
    <xf numFmtId="180" fontId="6" fillId="0" borderId="0" xfId="29" applyNumberFormat="1"/>
    <xf numFmtId="180" fontId="25" fillId="25" borderId="7" xfId="29" applyNumberFormat="1" applyFont="1" applyFill="1" applyBorder="1" applyAlignment="1" applyProtection="1">
      <alignment horizontal="center" vertical="center" wrapText="1"/>
    </xf>
    <xf numFmtId="0" fontId="6" fillId="0" borderId="0" xfId="29" applyNumberFormat="1"/>
    <xf numFmtId="180" fontId="26" fillId="0" borderId="0" xfId="29" applyNumberFormat="1" applyFont="1" applyFill="1" applyBorder="1" applyAlignment="1" applyProtection="1">
      <alignment horizontal="left" vertical="center"/>
    </xf>
    <xf numFmtId="180" fontId="26" fillId="0" borderId="0" xfId="29" applyNumberFormat="1" applyFont="1" applyFill="1" applyBorder="1" applyAlignment="1" applyProtection="1">
      <alignment horizontal="left" vertical="center" wrapText="1"/>
    </xf>
    <xf numFmtId="0" fontId="26" fillId="0" borderId="7" xfId="29" applyNumberFormat="1" applyFont="1" applyFill="1" applyBorder="1" applyAlignment="1" applyProtection="1">
      <alignment horizontal="right" vertical="center" wrapText="1"/>
    </xf>
    <xf numFmtId="176" fontId="73" fillId="19" borderId="40" xfId="47" applyNumberFormat="1"/>
    <xf numFmtId="0" fontId="73" fillId="19" borderId="40" xfId="47" applyNumberFormat="1"/>
    <xf numFmtId="180" fontId="6" fillId="0" borderId="0" xfId="29" applyNumberFormat="1" applyFont="1"/>
    <xf numFmtId="0" fontId="86" fillId="21" borderId="40" xfId="70" applyNumberFormat="1"/>
    <xf numFmtId="0" fontId="85" fillId="0" borderId="0" xfId="25" applyAlignment="1" applyProtection="1"/>
    <xf numFmtId="4" fontId="157" fillId="0" borderId="7" xfId="29" applyNumberFormat="1" applyFont="1" applyFill="1" applyBorder="1" applyAlignment="1" applyProtection="1">
      <alignment horizontal="right" vertical="center" wrapText="1"/>
    </xf>
    <xf numFmtId="1" fontId="71" fillId="18" borderId="0" xfId="1" applyNumberFormat="1" applyAlignment="1">
      <alignment horizontal="center"/>
    </xf>
    <xf numFmtId="171" fontId="0" fillId="30" borderId="0" xfId="0" applyNumberFormat="1" applyFill="1"/>
    <xf numFmtId="2" fontId="91" fillId="0" borderId="16" xfId="0" applyNumberFormat="1" applyFont="1" applyBorder="1"/>
    <xf numFmtId="0" fontId="91" fillId="0" borderId="6" xfId="0" applyFont="1" applyBorder="1" applyAlignment="1">
      <alignment horizontal="left" wrapText="1"/>
    </xf>
    <xf numFmtId="0" fontId="91" fillId="0" borderId="9" xfId="0" applyFont="1" applyBorder="1" applyAlignment="1">
      <alignment horizontal="left"/>
    </xf>
    <xf numFmtId="16" fontId="0" fillId="47" borderId="6" xfId="0" applyNumberFormat="1" applyFill="1" applyBorder="1"/>
    <xf numFmtId="0" fontId="0" fillId="47" borderId="0" xfId="0" applyFill="1" applyBorder="1"/>
    <xf numFmtId="0" fontId="0" fillId="0" borderId="70" xfId="0" applyBorder="1"/>
    <xf numFmtId="171" fontId="0" fillId="0" borderId="70" xfId="0" applyNumberFormat="1" applyBorder="1"/>
    <xf numFmtId="171" fontId="0" fillId="0" borderId="71" xfId="0" applyNumberFormat="1" applyBorder="1"/>
    <xf numFmtId="171" fontId="0" fillId="0" borderId="8" xfId="0" applyNumberFormat="1" applyBorder="1"/>
    <xf numFmtId="171" fontId="0" fillId="0" borderId="9" xfId="0" applyNumberFormat="1" applyBorder="1"/>
    <xf numFmtId="171" fontId="0" fillId="0" borderId="11" xfId="0" applyNumberFormat="1" applyBorder="1"/>
    <xf numFmtId="0" fontId="91" fillId="0" borderId="33" xfId="0" applyFont="1" applyBorder="1"/>
    <xf numFmtId="0" fontId="91" fillId="0" borderId="69" xfId="0" applyFont="1" applyBorder="1"/>
    <xf numFmtId="0" fontId="91" fillId="0" borderId="69" xfId="0" applyFont="1" applyBorder="1" applyAlignment="1">
      <alignment horizontal="right"/>
    </xf>
    <xf numFmtId="0" fontId="91" fillId="0" borderId="35" xfId="0" applyFont="1" applyBorder="1" applyAlignment="1">
      <alignment horizontal="right"/>
    </xf>
    <xf numFmtId="0" fontId="0" fillId="0" borderId="71" xfId="0" applyBorder="1"/>
    <xf numFmtId="0" fontId="92" fillId="0" borderId="0" xfId="0" applyFont="1" applyBorder="1"/>
    <xf numFmtId="0" fontId="92" fillId="0" borderId="0" xfId="0" applyFont="1" applyFill="1" applyBorder="1"/>
    <xf numFmtId="0" fontId="92" fillId="0" borderId="10" xfId="0" applyFont="1" applyBorder="1"/>
    <xf numFmtId="0" fontId="92" fillId="0" borderId="16" xfId="0" applyFont="1" applyBorder="1"/>
    <xf numFmtId="0" fontId="0" fillId="0" borderId="72" xfId="0" applyFill="1" applyBorder="1"/>
    <xf numFmtId="0" fontId="92" fillId="0" borderId="10" xfId="0" applyFont="1" applyFill="1" applyBorder="1"/>
    <xf numFmtId="0" fontId="0" fillId="0" borderId="2" xfId="0" applyFill="1" applyBorder="1"/>
    <xf numFmtId="0" fontId="0" fillId="0" borderId="13" xfId="0" applyFill="1" applyBorder="1"/>
    <xf numFmtId="0" fontId="0" fillId="0" borderId="69" xfId="0" applyBorder="1"/>
    <xf numFmtId="0" fontId="0" fillId="0" borderId="35" xfId="0" applyBorder="1"/>
    <xf numFmtId="0" fontId="101" fillId="39" borderId="0" xfId="29" applyFont="1" applyFill="1" applyBorder="1" applyAlignment="1" applyProtection="1">
      <alignment horizontal="left"/>
      <protection locked="0"/>
    </xf>
    <xf numFmtId="0" fontId="101" fillId="39" borderId="0" xfId="29" applyFont="1" applyFill="1" applyAlignment="1">
      <alignment horizontal="center"/>
    </xf>
    <xf numFmtId="0" fontId="6" fillId="39" borderId="0" xfId="29" applyFill="1"/>
    <xf numFmtId="1" fontId="6" fillId="39" borderId="0" xfId="36" applyNumberFormat="1" applyFont="1" applyFill="1" applyAlignment="1">
      <alignment horizontal="right"/>
    </xf>
    <xf numFmtId="171" fontId="6" fillId="39" borderId="0" xfId="36" applyNumberFormat="1" applyFont="1" applyFill="1" applyAlignment="1">
      <alignment horizontal="right"/>
    </xf>
    <xf numFmtId="171" fontId="71" fillId="39" borderId="0" xfId="1" applyNumberFormat="1" applyFill="1" applyAlignment="1">
      <alignment horizontal="right"/>
    </xf>
    <xf numFmtId="3" fontId="6" fillId="39" borderId="6" xfId="29" applyNumberFormat="1" applyFont="1" applyFill="1" applyBorder="1" applyAlignment="1">
      <alignment horizontal="right"/>
    </xf>
    <xf numFmtId="3" fontId="6" fillId="39" borderId="0" xfId="29" applyNumberFormat="1" applyFont="1" applyFill="1" applyAlignment="1">
      <alignment horizontal="right"/>
    </xf>
    <xf numFmtId="1" fontId="6" fillId="39" borderId="0" xfId="35" applyNumberFormat="1" applyFont="1" applyFill="1" applyAlignment="1">
      <alignment horizontal="right"/>
    </xf>
    <xf numFmtId="0" fontId="103" fillId="41" borderId="0" xfId="30" applyNumberFormat="1" applyFont="1" applyFill="1"/>
    <xf numFmtId="180" fontId="103" fillId="41" borderId="0" xfId="30" applyNumberFormat="1" applyFont="1" applyFill="1"/>
    <xf numFmtId="0" fontId="92" fillId="0" borderId="2" xfId="0" applyFont="1" applyFill="1" applyBorder="1"/>
    <xf numFmtId="0" fontId="92" fillId="0" borderId="13" xfId="0" applyFont="1" applyFill="1" applyBorder="1"/>
    <xf numFmtId="0" fontId="92" fillId="0" borderId="6" xfId="0" applyFont="1" applyBorder="1"/>
    <xf numFmtId="0" fontId="92" fillId="0" borderId="12" xfId="0" applyFont="1" applyBorder="1"/>
    <xf numFmtId="169" fontId="6" fillId="12" borderId="0" xfId="4" applyNumberFormat="1" applyFont="1" applyFill="1" applyBorder="1"/>
    <xf numFmtId="175" fontId="89" fillId="19" borderId="44" xfId="35" applyNumberFormat="1" applyFont="1" applyFill="1" applyBorder="1" applyAlignment="1">
      <alignment horizontal="center"/>
    </xf>
    <xf numFmtId="9" fontId="6" fillId="12" borderId="0" xfId="29" applyNumberFormat="1" applyFont="1" applyFill="1" applyBorder="1"/>
    <xf numFmtId="0" fontId="50" fillId="12" borderId="0" xfId="29" applyFont="1" applyFill="1" applyBorder="1"/>
    <xf numFmtId="169" fontId="6" fillId="12" borderId="0" xfId="29" applyNumberFormat="1" applyFont="1" applyFill="1" applyBorder="1"/>
    <xf numFmtId="9" fontId="0" fillId="0" borderId="0" xfId="35" applyFont="1"/>
    <xf numFmtId="3" fontId="8" fillId="0" borderId="0" xfId="29" applyNumberFormat="1" applyFont="1"/>
    <xf numFmtId="191" fontId="8" fillId="0" borderId="0" xfId="29" applyNumberFormat="1" applyFont="1"/>
    <xf numFmtId="0" fontId="6" fillId="0" borderId="0" xfId="29" applyFont="1" applyAlignment="1">
      <alignment horizontal="center"/>
    </xf>
    <xf numFmtId="0" fontId="6" fillId="0" borderId="0" xfId="29" applyFont="1" applyFill="1" applyBorder="1"/>
    <xf numFmtId="0" fontId="158" fillId="0" borderId="0" xfId="1" applyFont="1" applyFill="1" applyBorder="1"/>
    <xf numFmtId="2" fontId="0" fillId="0" borderId="16" xfId="0" applyNumberFormat="1" applyBorder="1" applyAlignment="1">
      <alignment horizontal="center"/>
    </xf>
    <xf numFmtId="0" fontId="0" fillId="0" borderId="0" xfId="0" applyAlignment="1">
      <alignment horizontal="right"/>
    </xf>
    <xf numFmtId="0" fontId="91" fillId="0" borderId="2" xfId="0" applyFont="1" applyBorder="1"/>
    <xf numFmtId="0" fontId="0" fillId="0" borderId="0" xfId="0" applyFont="1"/>
    <xf numFmtId="9" fontId="0" fillId="0" borderId="16" xfId="35" applyFont="1" applyBorder="1"/>
    <xf numFmtId="171" fontId="71" fillId="18" borderId="0" xfId="1" applyNumberFormat="1" applyAlignment="1">
      <alignment horizontal="center"/>
    </xf>
    <xf numFmtId="0" fontId="53" fillId="0" borderId="0" xfId="30" applyNumberFormat="1" applyFont="1" applyFill="1"/>
    <xf numFmtId="0" fontId="0" fillId="0" borderId="30" xfId="0" applyFill="1" applyBorder="1"/>
    <xf numFmtId="0" fontId="0" fillId="0" borderId="3" xfId="0" applyFill="1" applyBorder="1"/>
    <xf numFmtId="0" fontId="0" fillId="0" borderId="23" xfId="0" applyFill="1" applyBorder="1"/>
    <xf numFmtId="0" fontId="0" fillId="0" borderId="76" xfId="0" applyBorder="1"/>
    <xf numFmtId="0" fontId="0" fillId="0" borderId="26" xfId="0" applyFill="1" applyBorder="1"/>
    <xf numFmtId="186" fontId="71" fillId="18" borderId="0" xfId="1" applyNumberFormat="1"/>
    <xf numFmtId="186" fontId="39" fillId="0" borderId="0" xfId="0" applyNumberFormat="1" applyFont="1" applyBorder="1"/>
    <xf numFmtId="175" fontId="0" fillId="0" borderId="0" xfId="35" applyNumberFormat="1" applyFont="1" applyBorder="1"/>
    <xf numFmtId="0" fontId="0" fillId="0" borderId="77" xfId="0" applyFill="1" applyBorder="1"/>
    <xf numFmtId="0" fontId="0" fillId="0" borderId="6" xfId="0" applyFill="1" applyBorder="1"/>
    <xf numFmtId="0" fontId="0" fillId="0" borderId="78" xfId="0" applyBorder="1"/>
    <xf numFmtId="175" fontId="0" fillId="0" borderId="30" xfId="35" applyNumberFormat="1" applyFont="1" applyBorder="1"/>
    <xf numFmtId="175" fontId="0" fillId="0" borderId="3" xfId="35" applyNumberFormat="1" applyFont="1" applyBorder="1"/>
    <xf numFmtId="0" fontId="0" fillId="0" borderId="31" xfId="0" applyFill="1" applyBorder="1"/>
    <xf numFmtId="0" fontId="8" fillId="0" borderId="0" xfId="0" applyFont="1" applyFill="1" applyBorder="1" applyAlignment="1">
      <alignment horizontal="right" vertical="top" wrapText="1"/>
    </xf>
    <xf numFmtId="176" fontId="8" fillId="0" borderId="0" xfId="0" applyNumberFormat="1" applyFont="1" applyBorder="1"/>
    <xf numFmtId="0" fontId="8" fillId="0" borderId="0" xfId="0" applyFont="1" applyBorder="1" applyAlignment="1">
      <alignment horizontal="right"/>
    </xf>
    <xf numFmtId="176" fontId="8" fillId="0" borderId="0" xfId="0" applyNumberFormat="1" applyFont="1" applyBorder="1" applyAlignment="1">
      <alignment vertical="top" wrapText="1"/>
    </xf>
    <xf numFmtId="0" fontId="8" fillId="0" borderId="0" xfId="0" applyFont="1" applyFill="1" applyBorder="1" applyAlignment="1">
      <alignment horizontal="right"/>
    </xf>
    <xf numFmtId="176" fontId="8" fillId="0" borderId="0" xfId="0" applyNumberFormat="1" applyFont="1" applyFill="1" applyBorder="1"/>
    <xf numFmtId="176" fontId="8" fillId="0" borderId="0" xfId="0" applyNumberFormat="1" applyFont="1"/>
    <xf numFmtId="0" fontId="39" fillId="0" borderId="0" xfId="0" applyFont="1" applyBorder="1"/>
    <xf numFmtId="0" fontId="39" fillId="0" borderId="0" xfId="0" applyFont="1" applyAlignment="1">
      <alignment horizontal="right"/>
    </xf>
    <xf numFmtId="185" fontId="39" fillId="0" borderId="0" xfId="0" applyNumberFormat="1" applyFont="1" applyBorder="1"/>
    <xf numFmtId="0" fontId="39" fillId="0" borderId="0" xfId="0" applyFont="1"/>
    <xf numFmtId="0" fontId="39" fillId="0" borderId="0" xfId="0" applyFont="1" applyFill="1" applyBorder="1"/>
    <xf numFmtId="0" fontId="0" fillId="0" borderId="0" xfId="0" applyBorder="1" applyAlignment="1"/>
    <xf numFmtId="0" fontId="0" fillId="0" borderId="17" xfId="0" applyBorder="1" applyAlignment="1">
      <alignment horizontal="center" wrapText="1"/>
    </xf>
    <xf numFmtId="0" fontId="0" fillId="0" borderId="0" xfId="0" applyFill="1" applyBorder="1" applyAlignment="1">
      <alignment horizontal="center" wrapText="1"/>
    </xf>
    <xf numFmtId="171" fontId="0" fillId="0" borderId="0" xfId="0" applyNumberFormat="1" applyFill="1" applyBorder="1"/>
    <xf numFmtId="0" fontId="0" fillId="48" borderId="9" xfId="0" applyFill="1" applyBorder="1" applyAlignment="1">
      <alignment horizontal="center" wrapText="1"/>
    </xf>
    <xf numFmtId="9" fontId="158" fillId="22" borderId="0" xfId="28" applyNumberFormat="1" applyFont="1" applyAlignment="1">
      <alignment horizontal="center"/>
    </xf>
    <xf numFmtId="9" fontId="0" fillId="0" borderId="17" xfId="0" applyNumberFormat="1" applyBorder="1" applyAlignment="1">
      <alignment horizontal="center" wrapText="1"/>
    </xf>
    <xf numFmtId="9" fontId="160" fillId="50" borderId="0" xfId="76" applyNumberFormat="1"/>
    <xf numFmtId="9" fontId="160" fillId="51" borderId="0" xfId="77" applyNumberFormat="1"/>
    <xf numFmtId="200" fontId="0" fillId="0" borderId="0" xfId="4" applyNumberFormat="1" applyFont="1"/>
    <xf numFmtId="200" fontId="161" fillId="0" borderId="0" xfId="4" applyNumberFormat="1" applyFont="1"/>
    <xf numFmtId="0" fontId="39" fillId="0" borderId="0" xfId="0" applyFont="1" applyAlignment="1">
      <alignment horizontal="left"/>
    </xf>
    <xf numFmtId="0" fontId="162" fillId="0" borderId="0" xfId="0" applyFont="1"/>
    <xf numFmtId="0" fontId="163" fillId="0" borderId="0" xfId="0" applyFont="1"/>
    <xf numFmtId="0" fontId="164" fillId="0" borderId="0" xfId="0" applyFont="1"/>
    <xf numFmtId="0" fontId="165" fillId="52" borderId="79" xfId="0" applyFont="1" applyFill="1" applyBorder="1" applyAlignment="1">
      <alignment horizontal="center" vertical="center" wrapText="1"/>
    </xf>
    <xf numFmtId="0" fontId="165" fillId="52" borderId="80" xfId="0" applyFont="1" applyFill="1" applyBorder="1" applyAlignment="1">
      <alignment horizontal="center" vertical="center" wrapText="1"/>
    </xf>
    <xf numFmtId="0" fontId="107" fillId="0" borderId="82" xfId="0" applyFont="1" applyBorder="1" applyAlignment="1">
      <alignment horizontal="center" vertical="center" wrapText="1"/>
    </xf>
    <xf numFmtId="0" fontId="168" fillId="52" borderId="81" xfId="0" applyFont="1" applyFill="1" applyBorder="1" applyAlignment="1">
      <alignment horizontal="justify" vertical="center"/>
    </xf>
    <xf numFmtId="0" fontId="168" fillId="52" borderId="85" xfId="0" applyFont="1" applyFill="1" applyBorder="1" applyAlignment="1">
      <alignment horizontal="center" vertical="center"/>
    </xf>
    <xf numFmtId="0" fontId="107" fillId="0" borderId="84" xfId="0" applyFont="1" applyBorder="1" applyAlignment="1">
      <alignment horizontal="justify" vertical="center"/>
    </xf>
    <xf numFmtId="1" fontId="107" fillId="0" borderId="86" xfId="0" applyNumberFormat="1" applyFont="1" applyBorder="1" applyAlignment="1">
      <alignment horizontal="center" vertical="center"/>
    </xf>
    <xf numFmtId="10" fontId="107" fillId="0" borderId="86" xfId="35" applyNumberFormat="1" applyFont="1" applyBorder="1" applyAlignment="1">
      <alignment horizontal="center" vertical="center"/>
    </xf>
    <xf numFmtId="0" fontId="107" fillId="0" borderId="84" xfId="0" applyFont="1" applyBorder="1" applyAlignment="1">
      <alignment horizontal="center" vertical="center"/>
    </xf>
    <xf numFmtId="0" fontId="107" fillId="0" borderId="83" xfId="0" applyFont="1" applyBorder="1" applyAlignment="1">
      <alignment horizontal="justify" vertical="center"/>
    </xf>
    <xf numFmtId="1" fontId="107" fillId="0" borderId="82" xfId="0" applyNumberFormat="1" applyFont="1" applyBorder="1" applyAlignment="1">
      <alignment horizontal="center" vertical="center"/>
    </xf>
    <xf numFmtId="10" fontId="107" fillId="0" borderId="82" xfId="35" applyNumberFormat="1" applyFont="1" applyBorder="1" applyAlignment="1">
      <alignment horizontal="center" vertical="center"/>
    </xf>
    <xf numFmtId="0" fontId="107" fillId="0" borderId="83" xfId="0" applyFont="1" applyBorder="1" applyAlignment="1">
      <alignment horizontal="center" vertical="center"/>
    </xf>
    <xf numFmtId="171" fontId="0" fillId="0" borderId="0" xfId="0" quotePrefix="1" applyNumberFormat="1" applyBorder="1"/>
    <xf numFmtId="199" fontId="0" fillId="0" borderId="0" xfId="4" applyNumberFormat="1" applyFont="1" applyBorder="1"/>
    <xf numFmtId="199" fontId="0" fillId="0" borderId="30" xfId="4" applyNumberFormat="1" applyFont="1" applyBorder="1"/>
    <xf numFmtId="199" fontId="0" fillId="0" borderId="3" xfId="4" applyNumberFormat="1" applyFont="1" applyBorder="1"/>
    <xf numFmtId="0" fontId="0" fillId="0" borderId="61" xfId="0" applyBorder="1" applyAlignment="1">
      <alignment horizontal="center" wrapText="1"/>
    </xf>
    <xf numFmtId="0" fontId="0" fillId="0" borderId="36" xfId="0" applyBorder="1" applyAlignment="1">
      <alignment horizontal="center" wrapText="1"/>
    </xf>
    <xf numFmtId="9" fontId="86" fillId="21" borderId="87" xfId="26" applyNumberFormat="1" applyBorder="1"/>
    <xf numFmtId="0" fontId="0" fillId="0" borderId="9" xfId="0" applyBorder="1"/>
    <xf numFmtId="0" fontId="0" fillId="0" borderId="8" xfId="0" applyBorder="1" applyAlignment="1"/>
    <xf numFmtId="0" fontId="0" fillId="0" borderId="9" xfId="0" applyBorder="1" applyAlignment="1"/>
    <xf numFmtId="0" fontId="0" fillId="0" borderId="11" xfId="0" applyBorder="1" applyAlignment="1"/>
    <xf numFmtId="9" fontId="86" fillId="21" borderId="88" xfId="26" applyNumberFormat="1" applyBorder="1"/>
    <xf numFmtId="9" fontId="86" fillId="21" borderId="45" xfId="26" applyNumberFormat="1" applyBorder="1"/>
    <xf numFmtId="9" fontId="86" fillId="21" borderId="46" xfId="26" applyNumberFormat="1" applyBorder="1"/>
    <xf numFmtId="9" fontId="86" fillId="21" borderId="40" xfId="26" applyNumberFormat="1" applyBorder="1"/>
    <xf numFmtId="9" fontId="86" fillId="21" borderId="89" xfId="26" applyNumberFormat="1" applyBorder="1"/>
    <xf numFmtId="9" fontId="86" fillId="21" borderId="90" xfId="26" applyNumberFormat="1" applyBorder="1"/>
    <xf numFmtId="9" fontId="86" fillId="21" borderId="48" xfId="26" applyNumberFormat="1" applyBorder="1"/>
    <xf numFmtId="9" fontId="86" fillId="21" borderId="49" xfId="26" applyNumberFormat="1" applyBorder="1"/>
    <xf numFmtId="175" fontId="160" fillId="51" borderId="0" xfId="77" applyNumberFormat="1"/>
    <xf numFmtId="0" fontId="0" fillId="0" borderId="0" xfId="0" applyFont="1" applyBorder="1" applyAlignment="1"/>
    <xf numFmtId="0" fontId="77" fillId="20" borderId="0" xfId="14" applyNumberFormat="1"/>
    <xf numFmtId="10" fontId="0" fillId="0" borderId="0" xfId="35" applyNumberFormat="1" applyFont="1"/>
    <xf numFmtId="1" fontId="0" fillId="0" borderId="0" xfId="0" applyNumberFormat="1" applyFont="1" applyFill="1" applyBorder="1" applyAlignment="1">
      <alignment vertical="center"/>
    </xf>
    <xf numFmtId="3" fontId="0" fillId="0" borderId="0" xfId="0" applyNumberFormat="1" applyFont="1" applyAlignment="1"/>
    <xf numFmtId="0" fontId="168" fillId="52" borderId="86" xfId="0" applyFont="1" applyFill="1" applyBorder="1" applyAlignment="1">
      <alignment horizontal="center" vertical="center"/>
    </xf>
    <xf numFmtId="0" fontId="94" fillId="0" borderId="0" xfId="0" applyFont="1" applyFill="1" applyBorder="1"/>
    <xf numFmtId="2" fontId="169" fillId="0" borderId="0" xfId="0" applyNumberFormat="1" applyFont="1" applyBorder="1"/>
    <xf numFmtId="0" fontId="94" fillId="0" borderId="0" xfId="0" applyFont="1"/>
    <xf numFmtId="3" fontId="94" fillId="0" borderId="0" xfId="0" applyNumberFormat="1" applyFont="1"/>
    <xf numFmtId="0" fontId="97" fillId="0" borderId="0" xfId="0" applyFont="1"/>
    <xf numFmtId="0" fontId="0" fillId="53" borderId="0" xfId="0" applyFill="1"/>
    <xf numFmtId="0" fontId="0" fillId="26" borderId="0" xfId="0" applyFill="1"/>
    <xf numFmtId="0" fontId="170" fillId="0" borderId="0" xfId="0" applyFont="1"/>
    <xf numFmtId="0" fontId="158" fillId="53" borderId="0" xfId="0" applyFont="1" applyFill="1"/>
    <xf numFmtId="0" fontId="170" fillId="53" borderId="0" xfId="0" applyFont="1" applyFill="1"/>
    <xf numFmtId="0" fontId="171" fillId="0" borderId="0" xfId="1" applyNumberFormat="1" applyFont="1" applyFill="1"/>
    <xf numFmtId="9" fontId="8" fillId="0" borderId="0" xfId="35" applyFont="1"/>
    <xf numFmtId="0" fontId="16" fillId="0" borderId="0" xfId="29" applyFont="1" applyFill="1" applyBorder="1" applyAlignment="1">
      <alignment horizontal="center" wrapText="1"/>
    </xf>
    <xf numFmtId="0" fontId="16" fillId="0" borderId="71" xfId="29" applyFont="1" applyFill="1" applyBorder="1" applyAlignment="1">
      <alignment horizontal="center" wrapText="1"/>
    </xf>
    <xf numFmtId="0" fontId="16" fillId="0" borderId="0" xfId="29" applyFont="1" applyFill="1" applyBorder="1" applyAlignment="1">
      <alignment horizontal="center" wrapText="1"/>
    </xf>
    <xf numFmtId="0" fontId="91" fillId="40" borderId="2" xfId="0" applyFont="1" applyFill="1" applyBorder="1"/>
    <xf numFmtId="0" fontId="0" fillId="40" borderId="0" xfId="0" applyFill="1"/>
    <xf numFmtId="0" fontId="173" fillId="0" borderId="0" xfId="0" applyFont="1" applyAlignment="1">
      <alignment horizontal="left" vertical="center" indent="3"/>
    </xf>
    <xf numFmtId="9" fontId="175" fillId="21" borderId="87" xfId="26" applyNumberFormat="1" applyFont="1" applyBorder="1"/>
    <xf numFmtId="9" fontId="175" fillId="21" borderId="40" xfId="26" applyNumberFormat="1" applyFont="1" applyBorder="1"/>
    <xf numFmtId="9" fontId="175" fillId="21" borderId="89" xfId="26" applyNumberFormat="1" applyFont="1" applyBorder="1"/>
    <xf numFmtId="0" fontId="0" fillId="39" borderId="0" xfId="0" applyFill="1"/>
    <xf numFmtId="176" fontId="103" fillId="0" borderId="0" xfId="30" applyNumberFormat="1" applyFont="1" applyFill="1"/>
    <xf numFmtId="171" fontId="103" fillId="0" borderId="0" xfId="30" applyNumberFormat="1" applyFont="1" applyFill="1"/>
    <xf numFmtId="171" fontId="103" fillId="0" borderId="0" xfId="4" applyNumberFormat="1" applyFont="1" applyFill="1"/>
    <xf numFmtId="0" fontId="175" fillId="0" borderId="0" xfId="0" applyNumberFormat="1" applyFont="1"/>
    <xf numFmtId="1" fontId="86" fillId="21" borderId="16" xfId="26" applyNumberFormat="1" applyBorder="1"/>
    <xf numFmtId="1" fontId="175" fillId="21" borderId="16" xfId="26" applyNumberFormat="1" applyFont="1" applyBorder="1"/>
    <xf numFmtId="1" fontId="8" fillId="0" borderId="0" xfId="30" applyNumberFormat="1" applyFont="1"/>
    <xf numFmtId="1" fontId="172" fillId="0" borderId="0" xfId="30" applyNumberFormat="1" applyFont="1"/>
    <xf numFmtId="1" fontId="7" fillId="0" borderId="0" xfId="30" applyNumberFormat="1" applyFont="1"/>
    <xf numFmtId="186" fontId="158" fillId="18" borderId="0" xfId="1" applyNumberFormat="1" applyFont="1"/>
    <xf numFmtId="186" fontId="175" fillId="18" borderId="0" xfId="1" applyNumberFormat="1" applyFont="1"/>
    <xf numFmtId="186" fontId="158" fillId="0" borderId="0" xfId="1" applyNumberFormat="1" applyFont="1" applyFill="1"/>
    <xf numFmtId="186" fontId="175" fillId="0" borderId="0" xfId="1" applyNumberFormat="1" applyFont="1" applyFill="1"/>
    <xf numFmtId="186" fontId="172" fillId="0" borderId="0" xfId="30" applyNumberFormat="1" applyFont="1"/>
    <xf numFmtId="201" fontId="0" fillId="0" borderId="0" xfId="0" applyNumberFormat="1"/>
    <xf numFmtId="14" fontId="0" fillId="0" borderId="0" xfId="0" applyNumberFormat="1"/>
    <xf numFmtId="0" fontId="71" fillId="18" borderId="0" xfId="1" applyBorder="1" applyAlignment="1">
      <alignment horizontal="center"/>
    </xf>
    <xf numFmtId="0" fontId="176" fillId="0" borderId="36" xfId="0" applyFont="1" applyBorder="1" applyAlignment="1">
      <alignment vertical="top"/>
    </xf>
    <xf numFmtId="0" fontId="178" fillId="0" borderId="62" xfId="0" applyFont="1" applyBorder="1" applyAlignment="1">
      <alignment horizontal="center" vertical="center"/>
    </xf>
    <xf numFmtId="0" fontId="179" fillId="0" borderId="39" xfId="0" applyFont="1" applyBorder="1" applyAlignment="1">
      <alignment vertical="center"/>
    </xf>
    <xf numFmtId="0" fontId="178" fillId="0" borderId="20" xfId="0" applyFont="1" applyBorder="1" applyAlignment="1">
      <alignment vertical="center"/>
    </xf>
    <xf numFmtId="0" fontId="178" fillId="0" borderId="20" xfId="0" applyFont="1" applyBorder="1" applyAlignment="1">
      <alignment horizontal="center" vertical="center"/>
    </xf>
    <xf numFmtId="0" fontId="178" fillId="0" borderId="61" xfId="0" applyFont="1" applyBorder="1" applyAlignment="1">
      <alignment horizontal="center" vertical="center"/>
    </xf>
    <xf numFmtId="0" fontId="178" fillId="0" borderId="91" xfId="0" applyFont="1" applyBorder="1" applyAlignment="1">
      <alignment horizontal="center" vertical="center"/>
    </xf>
    <xf numFmtId="49" fontId="179" fillId="0" borderId="20" xfId="0" applyNumberFormat="1" applyFont="1" applyBorder="1" applyAlignment="1">
      <alignment vertical="center"/>
    </xf>
    <xf numFmtId="49" fontId="179" fillId="0" borderId="20" xfId="0" applyNumberFormat="1" applyFont="1" applyBorder="1" applyAlignment="1">
      <alignment horizontal="center" vertical="center"/>
    </xf>
    <xf numFmtId="0" fontId="177" fillId="0" borderId="91" xfId="0" applyFont="1" applyBorder="1" applyAlignment="1">
      <alignment vertical="top"/>
    </xf>
    <xf numFmtId="9" fontId="6" fillId="0" borderId="0" xfId="29" applyNumberFormat="1"/>
    <xf numFmtId="175" fontId="6" fillId="0" borderId="0" xfId="35" applyNumberFormat="1" applyFont="1"/>
    <xf numFmtId="9" fontId="71" fillId="18" borderId="0" xfId="1" applyNumberFormat="1"/>
    <xf numFmtId="175" fontId="6" fillId="0" borderId="3" xfId="35" applyNumberFormat="1" applyFont="1" applyBorder="1"/>
    <xf numFmtId="0" fontId="6" fillId="0" borderId="32" xfId="29" applyBorder="1"/>
    <xf numFmtId="175" fontId="6" fillId="0" borderId="6" xfId="29" applyNumberFormat="1" applyBorder="1"/>
    <xf numFmtId="175" fontId="6" fillId="0" borderId="5" xfId="35" applyNumberFormat="1" applyFont="1" applyBorder="1"/>
    <xf numFmtId="175" fontId="71" fillId="18" borderId="0" xfId="1" applyNumberFormat="1"/>
    <xf numFmtId="175" fontId="71" fillId="18" borderId="3" xfId="1" applyNumberFormat="1" applyBorder="1"/>
    <xf numFmtId="2" fontId="71" fillId="18" borderId="0" xfId="1" applyNumberFormat="1" applyAlignment="1">
      <alignment horizontal="center"/>
    </xf>
    <xf numFmtId="0" fontId="19" fillId="26" borderId="0" xfId="29" applyFont="1" applyFill="1"/>
    <xf numFmtId="0" fontId="19" fillId="26" borderId="0" xfId="29" applyFont="1" applyFill="1" applyBorder="1" applyAlignment="1" applyProtection="1">
      <alignment horizontal="center"/>
      <protection locked="0"/>
    </xf>
    <xf numFmtId="0" fontId="6" fillId="26" borderId="0" xfId="29" applyFill="1"/>
    <xf numFmtId="4" fontId="76" fillId="26" borderId="0" xfId="13" applyFill="1">
      <alignment horizontal="center"/>
    </xf>
    <xf numFmtId="0" fontId="16" fillId="26" borderId="0" xfId="29" applyFont="1" applyFill="1" applyBorder="1" applyAlignment="1">
      <alignment horizontal="center" wrapText="1"/>
    </xf>
    <xf numFmtId="0" fontId="71" fillId="26" borderId="0" xfId="1" applyFill="1" applyBorder="1" applyAlignment="1">
      <alignment horizontal="center" wrapText="1"/>
    </xf>
    <xf numFmtId="0" fontId="16" fillId="26" borderId="4" xfId="29" applyFont="1" applyFill="1" applyBorder="1" applyAlignment="1">
      <alignment horizontal="center" wrapText="1"/>
    </xf>
    <xf numFmtId="2" fontId="23" fillId="26" borderId="3" xfId="29" applyNumberFormat="1" applyFont="1" applyFill="1" applyBorder="1" applyAlignment="1">
      <alignment horizontal="center"/>
    </xf>
    <xf numFmtId="0" fontId="101" fillId="26" borderId="0" xfId="29" applyFont="1" applyFill="1" applyAlignment="1">
      <alignment horizontal="center"/>
    </xf>
    <xf numFmtId="2" fontId="6" fillId="26" borderId="0" xfId="36" applyNumberFormat="1" applyFont="1" applyFill="1" applyAlignment="1">
      <alignment horizontal="right"/>
    </xf>
    <xf numFmtId="2" fontId="71" fillId="26" borderId="0" xfId="1" applyNumberFormat="1" applyFill="1" applyAlignment="1">
      <alignment horizontal="right"/>
    </xf>
    <xf numFmtId="186" fontId="71" fillId="26" borderId="0" xfId="1" applyNumberFormat="1" applyFill="1" applyAlignment="1">
      <alignment horizontal="right"/>
    </xf>
    <xf numFmtId="171" fontId="6" fillId="26" borderId="0" xfId="36" applyNumberFormat="1" applyFont="1" applyFill="1" applyAlignment="1">
      <alignment horizontal="right"/>
    </xf>
    <xf numFmtId="2" fontId="6" fillId="26" borderId="0" xfId="29" applyNumberFormat="1" applyFill="1"/>
    <xf numFmtId="3" fontId="6" fillId="26" borderId="0" xfId="29" applyNumberFormat="1" applyFont="1" applyFill="1" applyAlignment="1">
      <alignment horizontal="right"/>
    </xf>
    <xf numFmtId="191" fontId="6" fillId="26" borderId="0" xfId="29" applyNumberFormat="1" applyFont="1" applyFill="1" applyAlignment="1">
      <alignment horizontal="right"/>
    </xf>
    <xf numFmtId="0" fontId="18" fillId="26" borderId="0" xfId="29" applyFont="1" applyFill="1" applyAlignment="1">
      <alignment horizontal="left"/>
    </xf>
    <xf numFmtId="0" fontId="18" fillId="26" borderId="4" xfId="29" applyFont="1" applyFill="1" applyBorder="1" applyAlignment="1">
      <alignment horizontal="center" vertical="center" wrapText="1"/>
    </xf>
    <xf numFmtId="2" fontId="6" fillId="26" borderId="3" xfId="29" applyNumberFormat="1" applyFont="1" applyFill="1" applyBorder="1" applyAlignment="1">
      <alignment horizontal="center"/>
    </xf>
    <xf numFmtId="175" fontId="6" fillId="26" borderId="0" xfId="36" applyNumberFormat="1" applyFont="1" applyFill="1" applyAlignment="1">
      <alignment horizontal="right"/>
    </xf>
    <xf numFmtId="1" fontId="6" fillId="26" borderId="0" xfId="36" applyNumberFormat="1" applyFont="1" applyFill="1" applyAlignment="1">
      <alignment horizontal="right"/>
    </xf>
    <xf numFmtId="171" fontId="71" fillId="26" borderId="0" xfId="1" applyNumberFormat="1" applyFill="1" applyAlignment="1">
      <alignment horizontal="right"/>
    </xf>
    <xf numFmtId="0" fontId="88" fillId="46" borderId="0" xfId="72" applyNumberFormat="1" applyAlignment="1">
      <alignment horizontal="center"/>
    </xf>
    <xf numFmtId="0" fontId="91" fillId="0" borderId="16" xfId="0" applyFont="1" applyBorder="1" applyAlignment="1">
      <alignment horizontal="center"/>
    </xf>
    <xf numFmtId="10" fontId="8" fillId="0" borderId="0" xfId="30" applyNumberFormat="1" applyFont="1"/>
    <xf numFmtId="0" fontId="91" fillId="0" borderId="16" xfId="0" applyNumberFormat="1" applyFont="1" applyBorder="1" applyAlignment="1"/>
    <xf numFmtId="176" fontId="6" fillId="39" borderId="0" xfId="36" applyNumberFormat="1" applyFont="1" applyFill="1" applyAlignment="1">
      <alignment horizontal="right"/>
    </xf>
    <xf numFmtId="9" fontId="71" fillId="18" borderId="0" xfId="35" applyFont="1" applyFill="1" applyAlignment="1">
      <alignment horizontal="right"/>
    </xf>
    <xf numFmtId="0" fontId="0" fillId="54" borderId="0" xfId="0" applyNumberFormat="1" applyFill="1"/>
    <xf numFmtId="2" fontId="0" fillId="54" borderId="0" xfId="0" applyNumberFormat="1" applyFill="1"/>
    <xf numFmtId="0" fontId="0" fillId="55" borderId="0" xfId="0" applyNumberFormat="1" applyFill="1"/>
    <xf numFmtId="2" fontId="0" fillId="55" borderId="0" xfId="0" applyNumberFormat="1" applyFill="1"/>
    <xf numFmtId="170" fontId="71" fillId="18" borderId="0" xfId="1" applyNumberFormat="1" applyBorder="1" applyAlignment="1">
      <alignment horizontal="center"/>
    </xf>
    <xf numFmtId="15" fontId="0" fillId="0" borderId="0" xfId="0" applyNumberFormat="1"/>
    <xf numFmtId="172" fontId="71" fillId="18" borderId="0" xfId="1" applyNumberFormat="1"/>
    <xf numFmtId="0" fontId="17" fillId="0" borderId="0" xfId="29" applyFont="1" applyFill="1" applyAlignment="1">
      <alignment horizontal="center"/>
    </xf>
    <xf numFmtId="17" fontId="0" fillId="0" borderId="0" xfId="0" applyNumberFormat="1"/>
    <xf numFmtId="0" fontId="6" fillId="56" borderId="0" xfId="44" applyFont="1" applyFill="1" applyBorder="1" applyAlignment="1" applyProtection="1">
      <alignment vertical="top" wrapText="1"/>
      <protection locked="0"/>
    </xf>
    <xf numFmtId="0" fontId="6" fillId="56" borderId="0" xfId="44" applyFill="1" applyAlignment="1" applyProtection="1">
      <alignment vertical="top" wrapText="1"/>
      <protection locked="0"/>
    </xf>
    <xf numFmtId="0" fontId="6" fillId="0" borderId="0" xfId="44"/>
    <xf numFmtId="0" fontId="6" fillId="0" borderId="0" xfId="44" applyFont="1" applyFill="1" applyAlignment="1" applyProtection="1">
      <alignment vertical="top" wrapText="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71" fillId="18" borderId="0" xfId="1" applyBorder="1" applyAlignment="1" applyProtection="1">
      <alignment horizontal="right" vertical="top" wrapText="1" readingOrder="1"/>
      <protection locked="0"/>
    </xf>
    <xf numFmtId="175" fontId="71" fillId="18" borderId="0" xfId="1" applyNumberFormat="1" applyBorder="1" applyAlignment="1" applyProtection="1">
      <alignment horizontal="right" vertical="top" wrapText="1" readingOrder="1"/>
      <protection locked="0"/>
    </xf>
    <xf numFmtId="0" fontId="159" fillId="0" borderId="0" xfId="44" applyFont="1" applyFill="1" applyBorder="1" applyAlignment="1" applyProtection="1">
      <alignment horizontal="right" vertical="top" readingOrder="1"/>
      <protection locked="0"/>
    </xf>
    <xf numFmtId="0" fontId="86" fillId="21" borderId="40" xfId="78" applyAlignment="1" applyProtection="1">
      <alignment vertical="top" wrapText="1"/>
      <protection locked="0"/>
    </xf>
    <xf numFmtId="0" fontId="6" fillId="0" borderId="0" xfId="44" applyAlignment="1">
      <alignment wrapText="1"/>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14" fontId="8" fillId="0" borderId="0" xfId="44" applyNumberFormat="1" applyFont="1" applyFill="1" applyBorder="1" applyAlignment="1" applyProtection="1">
      <alignment horizontal="right" vertical="top" wrapText="1" readingOrder="1"/>
      <protection locked="0"/>
    </xf>
    <xf numFmtId="0" fontId="6" fillId="0" borderId="0" xfId="44" applyFont="1" applyBorder="1"/>
    <xf numFmtId="2" fontId="8" fillId="0" borderId="0" xfId="44" applyNumberFormat="1" applyFont="1" applyFill="1" applyBorder="1" applyAlignment="1" applyProtection="1">
      <alignment horizontal="right" vertical="top" wrapText="1" readingOrder="1"/>
      <protection locked="0"/>
    </xf>
    <xf numFmtId="2" fontId="71" fillId="18" borderId="0" xfId="1" applyNumberFormat="1" applyBorder="1" applyAlignment="1" applyProtection="1">
      <alignment horizontal="right" vertical="top" wrapText="1" readingOrder="1"/>
      <protection locked="0"/>
    </xf>
    <xf numFmtId="2" fontId="6" fillId="56" borderId="0" xfId="44" applyNumberFormat="1" applyFill="1" applyAlignment="1" applyProtection="1">
      <alignment vertical="top" wrapText="1"/>
      <protection locked="0"/>
    </xf>
    <xf numFmtId="176" fontId="6" fillId="0" borderId="0" xfId="44" applyNumberFormat="1"/>
    <xf numFmtId="0" fontId="8" fillId="56" borderId="0" xfId="44" applyFont="1" applyFill="1" applyBorder="1" applyAlignment="1" applyProtection="1">
      <alignment horizontal="center" vertical="top" wrapText="1" readingOrder="1"/>
      <protection locked="0"/>
    </xf>
    <xf numFmtId="0" fontId="8" fillId="56" borderId="0" xfId="44" applyFont="1" applyFill="1" applyBorder="1" applyAlignment="1" applyProtection="1">
      <alignment horizontal="right" vertical="top" wrapText="1" readingOrder="1"/>
      <protection locked="0"/>
    </xf>
    <xf numFmtId="14" fontId="8" fillId="56" borderId="0" xfId="44" applyNumberFormat="1" applyFont="1" applyFill="1" applyBorder="1" applyAlignment="1" applyProtection="1">
      <alignment horizontal="right" vertical="top" wrapText="1" readingOrder="1"/>
      <protection locked="0"/>
    </xf>
    <xf numFmtId="2" fontId="88" fillId="46" borderId="0" xfId="72" applyNumberFormat="1" applyBorder="1" applyAlignment="1" applyProtection="1">
      <alignment horizontal="right" vertical="top" wrapText="1" readingOrder="1"/>
      <protection locked="0"/>
    </xf>
    <xf numFmtId="2" fontId="8" fillId="56" borderId="0" xfId="44" applyNumberFormat="1" applyFont="1" applyFill="1" applyBorder="1" applyAlignment="1" applyProtection="1">
      <alignment horizontal="right" vertical="top" wrapText="1" readingOrder="1"/>
      <protection locked="0"/>
    </xf>
    <xf numFmtId="176" fontId="71" fillId="43" borderId="0" xfId="46" applyNumberFormat="1"/>
    <xf numFmtId="0" fontId="71" fillId="43" borderId="0" xfId="46" applyNumberFormat="1"/>
    <xf numFmtId="0" fontId="6" fillId="56" borderId="0" xfId="44" applyFont="1" applyFill="1" applyBorder="1" applyAlignment="1" applyProtection="1">
      <alignment vertical="top" wrapText="1" readingOrder="1"/>
      <protection locked="0"/>
    </xf>
    <xf numFmtId="2" fontId="73" fillId="19" borderId="40" xfId="3" applyNumberFormat="1" applyAlignment="1" applyProtection="1">
      <alignment horizontal="right" vertical="top" wrapText="1" readingOrder="1"/>
      <protection locked="0"/>
    </xf>
    <xf numFmtId="0" fontId="180" fillId="0" borderId="0" xfId="0" applyFont="1"/>
    <xf numFmtId="0" fontId="6" fillId="0" borderId="0" xfId="29" applyFill="1" applyAlignment="1">
      <alignment wrapText="1"/>
    </xf>
    <xf numFmtId="0" fontId="16" fillId="0" borderId="4" xfId="29" applyFont="1" applyFill="1" applyBorder="1" applyAlignment="1">
      <alignment horizontal="center" vertical="center" wrapText="1"/>
    </xf>
    <xf numFmtId="2" fontId="71" fillId="43" borderId="0" xfId="46" applyNumberFormat="1" applyAlignment="1">
      <alignment horizontal="right"/>
    </xf>
    <xf numFmtId="171" fontId="71" fillId="43" borderId="6" xfId="46" applyNumberFormat="1" applyBorder="1"/>
    <xf numFmtId="16" fontId="0" fillId="0" borderId="0" xfId="0" applyNumberFormat="1"/>
    <xf numFmtId="1" fontId="71" fillId="43" borderId="0" xfId="46" applyNumberFormat="1" applyBorder="1"/>
    <xf numFmtId="0" fontId="16" fillId="0" borderId="0" xfId="29" applyFont="1" applyFill="1" applyBorder="1" applyAlignment="1">
      <alignment horizontal="center" wrapText="1"/>
    </xf>
    <xf numFmtId="9" fontId="6" fillId="0" borderId="0" xfId="35" applyFont="1"/>
    <xf numFmtId="9" fontId="6" fillId="0" borderId="0" xfId="35" applyFont="1" applyAlignment="1">
      <alignment horizontal="right"/>
    </xf>
    <xf numFmtId="171" fontId="6" fillId="0" borderId="0" xfId="29" applyNumberFormat="1"/>
    <xf numFmtId="175" fontId="6" fillId="0" borderId="0" xfId="29" applyNumberFormat="1"/>
    <xf numFmtId="0" fontId="91" fillId="0" borderId="0" xfId="0" applyFont="1" applyAlignment="1">
      <alignment horizontal="center" vertical="center"/>
    </xf>
    <xf numFmtId="0" fontId="91" fillId="0" borderId="0" xfId="0" applyFont="1" applyAlignment="1">
      <alignment horizontal="left" vertical="center"/>
    </xf>
    <xf numFmtId="0" fontId="0" fillId="0" borderId="0" xfId="0" applyAlignment="1">
      <alignment horizontal="right" vertical="center"/>
    </xf>
    <xf numFmtId="0" fontId="91" fillId="0" borderId="0" xfId="0" applyFont="1" applyAlignment="1">
      <alignment horizontal="right" vertical="center"/>
    </xf>
    <xf numFmtId="175" fontId="16" fillId="0" borderId="0" xfId="35" applyNumberFormat="1" applyFont="1" applyFill="1" applyBorder="1" applyAlignment="1">
      <alignment horizontal="center" wrapText="1"/>
    </xf>
    <xf numFmtId="202" fontId="7" fillId="0" borderId="0" xfId="95" applyFont="1"/>
    <xf numFmtId="9" fontId="8" fillId="0" borderId="0" xfId="29" applyNumberFormat="1" applyFont="1" applyFill="1"/>
    <xf numFmtId="0" fontId="8" fillId="0" borderId="0" xfId="95" applyNumberFormat="1" applyFont="1"/>
    <xf numFmtId="0" fontId="7" fillId="0" borderId="0" xfId="95" applyNumberFormat="1" applyFont="1"/>
    <xf numFmtId="0" fontId="7" fillId="0" borderId="0" xfId="95" applyNumberFormat="1" applyFont="1" applyAlignment="1">
      <alignment horizontal="center" wrapText="1"/>
    </xf>
    <xf numFmtId="0" fontId="102" fillId="0" borderId="0" xfId="95" applyNumberFormat="1" applyFont="1" applyFill="1"/>
    <xf numFmtId="0" fontId="102" fillId="0" borderId="0" xfId="95" applyNumberFormat="1" applyFont="1" applyFill="1" applyAlignment="1">
      <alignment horizontal="center" wrapText="1"/>
    </xf>
    <xf numFmtId="0" fontId="103" fillId="0" borderId="0" xfId="29" applyNumberFormat="1" applyFont="1" applyFill="1"/>
    <xf numFmtId="9" fontId="102" fillId="0" borderId="0" xfId="95" applyNumberFormat="1" applyFont="1" applyFill="1"/>
    <xf numFmtId="9" fontId="86" fillId="21" borderId="40" xfId="70" applyNumberFormat="1" applyAlignment="1">
      <alignment horizontal="center"/>
    </xf>
    <xf numFmtId="9" fontId="103" fillId="0" borderId="0" xfId="29" applyNumberFormat="1" applyFont="1" applyFill="1"/>
    <xf numFmtId="0" fontId="0" fillId="0" borderId="2" xfId="0" applyNumberFormat="1" applyBorder="1"/>
    <xf numFmtId="0" fontId="0" fillId="0" borderId="69" xfId="0" applyNumberFormat="1" applyBorder="1"/>
    <xf numFmtId="171" fontId="0" fillId="0" borderId="69" xfId="0" applyNumberFormat="1" applyBorder="1"/>
    <xf numFmtId="0" fontId="6" fillId="28" borderId="0" xfId="29" applyFill="1" applyAlignment="1">
      <alignment horizontal="center"/>
    </xf>
    <xf numFmtId="0" fontId="89" fillId="19" borderId="44" xfId="34"/>
    <xf numFmtId="186" fontId="92" fillId="0" borderId="0" xfId="0" applyNumberFormat="1" applyFont="1"/>
    <xf numFmtId="0" fontId="92" fillId="0" borderId="0" xfId="0" applyFont="1" applyAlignment="1">
      <alignment horizontal="right"/>
    </xf>
    <xf numFmtId="0" fontId="16" fillId="0" borderId="36" xfId="29" applyFont="1" applyFill="1" applyBorder="1" applyAlignment="1">
      <alignment horizontal="center"/>
    </xf>
    <xf numFmtId="49" fontId="6" fillId="0" borderId="61" xfId="29" applyNumberFormat="1" applyFill="1" applyBorder="1" applyAlignment="1">
      <alignment horizontal="center" vertical="center" wrapText="1"/>
    </xf>
    <xf numFmtId="0" fontId="16" fillId="0" borderId="39" xfId="29" applyFont="1" applyFill="1" applyBorder="1" applyAlignment="1">
      <alignment horizontal="center"/>
    </xf>
    <xf numFmtId="0" fontId="16" fillId="0" borderId="19" xfId="29" applyFont="1" applyFill="1" applyBorder="1" applyAlignment="1">
      <alignment horizontal="center" vertical="center"/>
    </xf>
    <xf numFmtId="0" fontId="16" fillId="41" borderId="0" xfId="29" applyFont="1" applyFill="1" applyBorder="1" applyAlignment="1">
      <alignment horizontal="center"/>
    </xf>
    <xf numFmtId="203" fontId="0" fillId="0" borderId="0" xfId="0" applyNumberFormat="1"/>
    <xf numFmtId="0" fontId="95" fillId="0" borderId="6" xfId="0" applyFont="1" applyBorder="1"/>
    <xf numFmtId="0" fontId="163" fillId="0" borderId="10" xfId="0" applyFont="1" applyBorder="1"/>
    <xf numFmtId="0" fontId="0" fillId="26" borderId="70" xfId="0" applyFill="1" applyBorder="1"/>
    <xf numFmtId="0" fontId="0" fillId="26" borderId="72" xfId="0" applyFill="1" applyBorder="1"/>
    <xf numFmtId="9" fontId="111" fillId="0" borderId="0" xfId="35" applyFont="1" applyAlignment="1">
      <alignment horizontal="center"/>
    </xf>
    <xf numFmtId="2" fontId="182" fillId="0" borderId="0" xfId="36" applyNumberFormat="1" applyFont="1" applyFill="1" applyAlignment="1">
      <alignment horizontal="right"/>
    </xf>
    <xf numFmtId="1" fontId="182" fillId="0" borderId="0" xfId="36" applyNumberFormat="1" applyFont="1" applyFill="1" applyAlignment="1">
      <alignment horizontal="right"/>
    </xf>
    <xf numFmtId="0" fontId="183" fillId="0" borderId="0" xfId="29" applyFont="1"/>
    <xf numFmtId="190" fontId="8" fillId="0" borderId="0" xfId="29" applyNumberFormat="1" applyFont="1"/>
    <xf numFmtId="190" fontId="8" fillId="0" borderId="0" xfId="107" applyNumberFormat="1" applyFont="1" applyFill="1" applyBorder="1" applyAlignment="1">
      <alignment horizontal="center" vertical="top" wrapText="1"/>
    </xf>
    <xf numFmtId="0" fontId="0" fillId="26" borderId="0" xfId="0" applyFill="1"/>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190" fontId="186" fillId="0" borderId="0" xfId="107" applyNumberFormat="1" applyFont="1" applyFill="1" applyBorder="1" applyAlignment="1">
      <alignment horizontal="left" vertical="top" wrapText="1"/>
    </xf>
    <xf numFmtId="2" fontId="145" fillId="0" borderId="0" xfId="0" applyNumberFormat="1" applyFont="1"/>
    <xf numFmtId="0" fontId="71" fillId="18" borderId="0" xfId="1" applyNumberFormat="1" applyBorder="1" applyAlignment="1">
      <alignment horizontal="center"/>
    </xf>
    <xf numFmtId="2" fontId="6" fillId="36" borderId="36" xfId="29" applyNumberFormat="1" applyFill="1" applyBorder="1"/>
    <xf numFmtId="0" fontId="86" fillId="0" borderId="40" xfId="26" applyFill="1"/>
    <xf numFmtId="1" fontId="6" fillId="0" borderId="0" xfId="29" applyNumberFormat="1"/>
    <xf numFmtId="171" fontId="91" fillId="0" borderId="26" xfId="0" applyNumberFormat="1" applyFont="1" applyBorder="1"/>
    <xf numFmtId="0" fontId="137" fillId="0" borderId="0" xfId="29" applyFont="1"/>
    <xf numFmtId="0" fontId="0" fillId="0" borderId="0" xfId="0"/>
    <xf numFmtId="2" fontId="0" fillId="0" borderId="0" xfId="0" applyNumberFormat="1"/>
    <xf numFmtId="0" fontId="91" fillId="0" borderId="0" xfId="0" applyFont="1"/>
    <xf numFmtId="0" fontId="0" fillId="0" borderId="0" xfId="0" applyFill="1"/>
    <xf numFmtId="1" fontId="0" fillId="0" borderId="0" xfId="0" applyNumberFormat="1"/>
    <xf numFmtId="176" fontId="0" fillId="0" borderId="0" xfId="0" applyNumberFormat="1"/>
    <xf numFmtId="9" fontId="0" fillId="0" borderId="0" xfId="0" applyNumberFormat="1"/>
    <xf numFmtId="2" fontId="0" fillId="0" borderId="0" xfId="0" applyNumberFormat="1" applyFill="1"/>
    <xf numFmtId="0" fontId="91" fillId="0" borderId="0" xfId="0" applyFont="1" applyFill="1"/>
    <xf numFmtId="176" fontId="91" fillId="0" borderId="0" xfId="0" applyNumberFormat="1" applyFont="1" applyFill="1"/>
    <xf numFmtId="186" fontId="0" fillId="0" borderId="0" xfId="0" applyNumberFormat="1" applyFill="1"/>
    <xf numFmtId="1" fontId="0" fillId="0" borderId="0" xfId="0" applyNumberFormat="1" applyFill="1"/>
    <xf numFmtId="176" fontId="0" fillId="0" borderId="0" xfId="0" applyNumberFormat="1" applyFont="1" applyFill="1"/>
    <xf numFmtId="0" fontId="0" fillId="0" borderId="0" xfId="0"/>
    <xf numFmtId="0" fontId="91" fillId="0" borderId="0" xfId="0" applyFont="1"/>
    <xf numFmtId="0" fontId="0" fillId="0" borderId="0" xfId="0" applyFont="1"/>
    <xf numFmtId="2" fontId="0" fillId="0" borderId="0" xfId="0" applyNumberFormat="1" applyFont="1"/>
    <xf numFmtId="190" fontId="0" fillId="0" borderId="0" xfId="0" applyNumberFormat="1"/>
    <xf numFmtId="0" fontId="108" fillId="0" borderId="40" xfId="26" applyFont="1" applyFill="1"/>
    <xf numFmtId="0" fontId="6" fillId="32" borderId="0" xfId="30" applyFill="1"/>
    <xf numFmtId="0" fontId="10" fillId="32" borderId="0" xfId="30" applyFont="1" applyFill="1"/>
    <xf numFmtId="0" fontId="8" fillId="32" borderId="0" xfId="30" applyFont="1" applyFill="1" applyAlignment="1">
      <alignment wrapText="1"/>
    </xf>
    <xf numFmtId="2" fontId="12" fillId="32" borderId="0" xfId="30" applyNumberFormat="1" applyFont="1" applyFill="1" applyAlignment="1">
      <alignment horizontal="left"/>
    </xf>
    <xf numFmtId="2" fontId="13" fillId="32" borderId="0" xfId="30" applyNumberFormat="1" applyFont="1" applyFill="1" applyAlignment="1">
      <alignment horizontal="left"/>
    </xf>
    <xf numFmtId="2" fontId="14" fillId="32" borderId="0" xfId="30" applyNumberFormat="1" applyFont="1" applyFill="1" applyAlignment="1">
      <alignment horizontal="left"/>
    </xf>
    <xf numFmtId="2" fontId="15" fillId="32" borderId="0" xfId="30" applyNumberFormat="1" applyFont="1" applyFill="1" applyAlignment="1">
      <alignment horizontal="left"/>
    </xf>
    <xf numFmtId="172" fontId="14" fillId="32" borderId="0" xfId="30" applyNumberFormat="1" applyFont="1" applyFill="1" applyAlignment="1">
      <alignment horizontal="left"/>
    </xf>
    <xf numFmtId="172" fontId="10" fillId="32" borderId="0" xfId="30" applyNumberFormat="1" applyFont="1" applyFill="1"/>
    <xf numFmtId="172" fontId="15" fillId="32" borderId="0" xfId="30" applyNumberFormat="1" applyFont="1" applyFill="1" applyAlignment="1">
      <alignment horizontal="left"/>
    </xf>
    <xf numFmtId="0" fontId="6" fillId="32" borderId="0" xfId="29" applyFont="1" applyFill="1" applyAlignment="1">
      <alignment horizontal="center"/>
    </xf>
    <xf numFmtId="172" fontId="52" fillId="32" borderId="0" xfId="30" applyNumberFormat="1" applyFont="1" applyFill="1" applyAlignment="1">
      <alignment horizontal="left"/>
    </xf>
    <xf numFmtId="172" fontId="6" fillId="32" borderId="0" xfId="30" applyNumberFormat="1" applyFill="1"/>
    <xf numFmtId="172" fontId="71" fillId="32" borderId="0" xfId="1" applyNumberFormat="1" applyFill="1"/>
    <xf numFmtId="172" fontId="13" fillId="32" borderId="0" xfId="30" applyNumberFormat="1" applyFont="1" applyFill="1"/>
    <xf numFmtId="172" fontId="16" fillId="32" borderId="0" xfId="30" applyNumberFormat="1" applyFont="1" applyFill="1"/>
    <xf numFmtId="172" fontId="10" fillId="32" borderId="0" xfId="30" applyNumberFormat="1" applyFont="1" applyFill="1" applyAlignment="1">
      <alignment horizontal="right"/>
    </xf>
    <xf numFmtId="171" fontId="71" fillId="18" borderId="0" xfId="1" applyNumberFormat="1" applyBorder="1"/>
    <xf numFmtId="3" fontId="188" fillId="0" borderId="0" xfId="119" applyNumberFormat="1" applyFont="1" applyAlignment="1">
      <alignment horizontal="right"/>
    </xf>
    <xf numFmtId="0" fontId="0" fillId="41" borderId="16" xfId="0" applyFill="1" applyBorder="1"/>
    <xf numFmtId="3" fontId="26" fillId="0" borderId="0" xfId="0" applyNumberFormat="1" applyFont="1" applyAlignment="1">
      <alignment horizontal="right"/>
    </xf>
    <xf numFmtId="0" fontId="0" fillId="0" borderId="0" xfId="0" applyFill="1" applyBorder="1" applyAlignment="1">
      <alignment horizontal="right"/>
    </xf>
    <xf numFmtId="3" fontId="188" fillId="0" borderId="0" xfId="0" applyNumberFormat="1" applyFont="1" applyAlignment="1">
      <alignment horizontal="right"/>
    </xf>
    <xf numFmtId="3" fontId="71" fillId="18" borderId="0" xfId="1" applyNumberFormat="1" applyAlignment="1">
      <alignment horizontal="right"/>
    </xf>
    <xf numFmtId="186" fontId="6" fillId="0" borderId="0" xfId="36" applyNumberFormat="1" applyFont="1" applyFill="1" applyAlignment="1">
      <alignment horizontal="right"/>
    </xf>
    <xf numFmtId="3" fontId="26" fillId="12" borderId="0" xfId="29" applyNumberFormat="1" applyFont="1" applyFill="1" applyAlignment="1">
      <alignment horizontal="right"/>
    </xf>
    <xf numFmtId="2" fontId="0" fillId="0" borderId="17" xfId="0" applyNumberFormat="1" applyBorder="1"/>
    <xf numFmtId="4" fontId="86" fillId="0" borderId="65" xfId="26" applyNumberFormat="1" applyFill="1" applyBorder="1"/>
    <xf numFmtId="0" fontId="91" fillId="0" borderId="0" xfId="0" applyFont="1" applyAlignment="1">
      <alignment horizontal="center"/>
    </xf>
    <xf numFmtId="9" fontId="0" fillId="0" borderId="0" xfId="35" applyFont="1" applyAlignment="1">
      <alignment horizontal="center"/>
    </xf>
    <xf numFmtId="182" fontId="0" fillId="0" borderId="0" xfId="4" applyNumberFormat="1" applyFont="1" applyAlignment="1">
      <alignment horizontal="center"/>
    </xf>
    <xf numFmtId="9" fontId="38" fillId="12" borderId="0" xfId="35" applyFont="1" applyFill="1" applyBorder="1"/>
    <xf numFmtId="2" fontId="0" fillId="0" borderId="0" xfId="0" applyNumberFormat="1" applyFill="1" applyAlignment="1">
      <alignment horizontal="center"/>
    </xf>
    <xf numFmtId="2" fontId="0" fillId="28" borderId="0" xfId="0" applyNumberFormat="1" applyFill="1" applyAlignment="1">
      <alignment horizontal="center"/>
    </xf>
    <xf numFmtId="0" fontId="0" fillId="28" borderId="0" xfId="0" applyFill="1" applyAlignment="1">
      <alignment horizontal="center"/>
    </xf>
    <xf numFmtId="0" fontId="0" fillId="67" borderId="16" xfId="0" applyFill="1" applyBorder="1" applyAlignment="1">
      <alignment horizontal="center"/>
    </xf>
    <xf numFmtId="1" fontId="0" fillId="28" borderId="0" xfId="0" applyNumberFormat="1" applyFill="1" applyAlignment="1">
      <alignment horizontal="center"/>
    </xf>
    <xf numFmtId="0" fontId="27" fillId="0" borderId="0" xfId="24" applyFill="1" applyAlignment="1" applyProtection="1"/>
    <xf numFmtId="0" fontId="17" fillId="39" borderId="0" xfId="29" applyFont="1" applyFill="1" applyAlignment="1">
      <alignment horizontal="center"/>
    </xf>
    <xf numFmtId="0" fontId="19" fillId="39" borderId="0" xfId="29" applyFont="1" applyFill="1" applyBorder="1" applyAlignment="1" applyProtection="1">
      <alignment horizontal="center"/>
      <protection locked="0"/>
    </xf>
    <xf numFmtId="0" fontId="19" fillId="39" borderId="0" xfId="29" applyFont="1" applyFill="1" applyAlignment="1">
      <alignment horizontal="center"/>
    </xf>
    <xf numFmtId="4" fontId="76" fillId="39" borderId="0" xfId="13" applyFill="1">
      <alignment horizontal="center"/>
    </xf>
    <xf numFmtId="2" fontId="19" fillId="39" borderId="2" xfId="29" applyNumberFormat="1" applyFont="1" applyFill="1" applyBorder="1" applyAlignment="1">
      <alignment horizontal="center"/>
    </xf>
    <xf numFmtId="2" fontId="19" fillId="39" borderId="0" xfId="29" applyNumberFormat="1" applyFont="1" applyFill="1" applyBorder="1" applyAlignment="1">
      <alignment horizontal="center"/>
    </xf>
    <xf numFmtId="2" fontId="20" fillId="39" borderId="0" xfId="29" applyNumberFormat="1" applyFont="1" applyFill="1" applyBorder="1" applyAlignment="1">
      <alignment horizontal="center"/>
    </xf>
    <xf numFmtId="2" fontId="21" fillId="39" borderId="0" xfId="29" applyNumberFormat="1" applyFont="1" applyFill="1" applyAlignment="1">
      <alignment horizontal="center"/>
    </xf>
    <xf numFmtId="0" fontId="18" fillId="39" borderId="0" xfId="29" applyFont="1" applyFill="1" applyAlignment="1">
      <alignment horizontal="left"/>
    </xf>
    <xf numFmtId="0" fontId="19" fillId="39" borderId="0" xfId="29" applyFont="1" applyFill="1"/>
    <xf numFmtId="0" fontId="16" fillId="39" borderId="2" xfId="29" applyFont="1" applyFill="1" applyBorder="1" applyAlignment="1">
      <alignment horizontal="center" wrapText="1"/>
    </xf>
    <xf numFmtId="0" fontId="18" fillId="39" borderId="4" xfId="29" applyFont="1" applyFill="1" applyBorder="1" applyAlignment="1">
      <alignment horizontal="center" vertical="center" wrapText="1"/>
    </xf>
    <xf numFmtId="2" fontId="19" fillId="39" borderId="3" xfId="29" applyNumberFormat="1" applyFont="1" applyFill="1" applyBorder="1" applyAlignment="1">
      <alignment horizontal="center"/>
    </xf>
    <xf numFmtId="2" fontId="6" fillId="39" borderId="0" xfId="36" applyNumberFormat="1" applyFont="1" applyFill="1" applyAlignment="1">
      <alignment horizontal="right"/>
    </xf>
    <xf numFmtId="175" fontId="6" fillId="39" borderId="0" xfId="36" applyNumberFormat="1" applyFont="1" applyFill="1" applyAlignment="1">
      <alignment horizontal="right"/>
    </xf>
    <xf numFmtId="2" fontId="6" fillId="39" borderId="0" xfId="29" applyNumberFormat="1" applyFill="1"/>
    <xf numFmtId="0" fontId="0" fillId="0" borderId="0" xfId="0" applyAlignment="1">
      <alignment horizontal="left" vertical="center" wrapText="1"/>
    </xf>
    <xf numFmtId="193" fontId="0" fillId="0" borderId="0" xfId="0" applyNumberFormat="1" applyAlignment="1">
      <alignment horizontal="left"/>
    </xf>
    <xf numFmtId="171" fontId="95" fillId="22" borderId="0" xfId="35" applyNumberFormat="1" applyFont="1" applyFill="1"/>
    <xf numFmtId="217" fontId="71" fillId="18" borderId="0" xfId="1" applyNumberFormat="1"/>
    <xf numFmtId="0" fontId="0" fillId="0" borderId="0" xfId="0" applyAlignment="1">
      <alignment horizontal="left" vertical="top"/>
    </xf>
    <xf numFmtId="0" fontId="7" fillId="0" borderId="0" xfId="32" applyFont="1" applyAlignment="1">
      <alignment vertical="top" wrapText="1"/>
    </xf>
    <xf numFmtId="3" fontId="91" fillId="41" borderId="0" xfId="0" applyNumberFormat="1" applyFont="1" applyFill="1"/>
    <xf numFmtId="9" fontId="91" fillId="0" borderId="0" xfId="35" applyFont="1"/>
    <xf numFmtId="0" fontId="135" fillId="0" borderId="0" xfId="325" applyFont="1"/>
    <xf numFmtId="0" fontId="70" fillId="0" borderId="0" xfId="325"/>
    <xf numFmtId="0" fontId="70" fillId="40" borderId="0" xfId="325" applyFill="1"/>
    <xf numFmtId="0" fontId="91" fillId="0" borderId="0" xfId="325" applyFont="1"/>
    <xf numFmtId="0" fontId="91" fillId="68" borderId="17" xfId="325" applyFont="1" applyFill="1" applyBorder="1"/>
    <xf numFmtId="0" fontId="91" fillId="68" borderId="0" xfId="325" applyFont="1" applyFill="1"/>
    <xf numFmtId="0" fontId="91" fillId="68" borderId="18" xfId="325" applyFont="1" applyFill="1" applyBorder="1"/>
    <xf numFmtId="0" fontId="91" fillId="40" borderId="0" xfId="325" applyFont="1" applyFill="1"/>
    <xf numFmtId="0" fontId="70" fillId="68" borderId="18" xfId="325" applyFill="1" applyBorder="1"/>
    <xf numFmtId="0" fontId="70" fillId="68" borderId="17" xfId="325" applyFill="1" applyBorder="1"/>
    <xf numFmtId="0" fontId="70" fillId="68" borderId="0" xfId="325" applyFill="1"/>
    <xf numFmtId="194" fontId="70" fillId="68" borderId="18" xfId="407" applyNumberFormat="1" applyFont="1" applyFill="1" applyBorder="1"/>
    <xf numFmtId="194" fontId="70" fillId="0" borderId="0" xfId="407" applyNumberFormat="1" applyFont="1"/>
    <xf numFmtId="194" fontId="70" fillId="40" borderId="0" xfId="407" applyNumberFormat="1" applyFont="1" applyFill="1"/>
    <xf numFmtId="171" fontId="70" fillId="68" borderId="17" xfId="325" applyNumberFormat="1" applyFill="1" applyBorder="1"/>
    <xf numFmtId="171" fontId="70" fillId="68" borderId="0" xfId="325" applyNumberFormat="1" applyFill="1"/>
    <xf numFmtId="0" fontId="91" fillId="0" borderId="95" xfId="325" applyFont="1" applyBorder="1"/>
    <xf numFmtId="171" fontId="91" fillId="68" borderId="96" xfId="325" applyNumberFormat="1" applyFont="1" applyFill="1" applyBorder="1"/>
    <xf numFmtId="0" fontId="91" fillId="68" borderId="95" xfId="325" applyFont="1" applyFill="1" applyBorder="1"/>
    <xf numFmtId="194" fontId="91" fillId="68" borderId="97" xfId="407" applyNumberFormat="1" applyFont="1" applyFill="1" applyBorder="1"/>
    <xf numFmtId="194" fontId="91" fillId="0" borderId="95" xfId="407" applyNumberFormat="1" applyFont="1" applyBorder="1"/>
    <xf numFmtId="194" fontId="91" fillId="40" borderId="95" xfId="407" applyNumberFormat="1" applyFont="1" applyFill="1" applyBorder="1"/>
    <xf numFmtId="171" fontId="70" fillId="68" borderId="18" xfId="407" applyNumberFormat="1" applyFont="1" applyFill="1" applyBorder="1"/>
    <xf numFmtId="171" fontId="70" fillId="0" borderId="0" xfId="407" applyNumberFormat="1" applyFont="1"/>
    <xf numFmtId="171" fontId="70" fillId="40" borderId="0" xfId="407" applyNumberFormat="1" applyFont="1" applyFill="1"/>
    <xf numFmtId="0" fontId="91" fillId="68" borderId="98" xfId="325" applyFont="1" applyFill="1" applyBorder="1"/>
    <xf numFmtId="0" fontId="91" fillId="68" borderId="99" xfId="325" applyFont="1" applyFill="1" applyBorder="1"/>
    <xf numFmtId="194" fontId="91" fillId="68" borderId="99" xfId="407" applyNumberFormat="1" applyFont="1" applyFill="1" applyBorder="1"/>
    <xf numFmtId="194" fontId="91" fillId="68" borderId="100" xfId="407" applyNumberFormat="1" applyFont="1" applyFill="1" applyBorder="1"/>
    <xf numFmtId="194" fontId="70" fillId="0" borderId="0" xfId="325" applyNumberFormat="1"/>
    <xf numFmtId="0" fontId="123" fillId="0" borderId="0" xfId="325" applyFont="1"/>
    <xf numFmtId="171" fontId="91" fillId="0" borderId="0" xfId="325" applyNumberFormat="1" applyFont="1"/>
    <xf numFmtId="171" fontId="91" fillId="0" borderId="0" xfId="407" applyNumberFormat="1" applyFont="1" applyFill="1"/>
    <xf numFmtId="171" fontId="91" fillId="0" borderId="0" xfId="407" applyNumberFormat="1" applyFont="1"/>
    <xf numFmtId="171" fontId="91" fillId="40" borderId="0" xfId="407" applyNumberFormat="1" applyFont="1" applyFill="1"/>
    <xf numFmtId="0" fontId="70" fillId="0" borderId="0" xfId="325" applyAlignment="1">
      <alignment horizontal="left" indent="1"/>
    </xf>
    <xf numFmtId="171" fontId="70" fillId="0" borderId="0" xfId="325" applyNumberFormat="1"/>
    <xf numFmtId="171" fontId="70" fillId="40" borderId="0" xfId="325" applyNumberFormat="1" applyFill="1"/>
    <xf numFmtId="171" fontId="70" fillId="0" borderId="0" xfId="407" applyNumberFormat="1" applyFont="1" applyFill="1"/>
    <xf numFmtId="171" fontId="91" fillId="40" borderId="0" xfId="325" applyNumberFormat="1" applyFont="1" applyFill="1"/>
    <xf numFmtId="165" fontId="70" fillId="0" borderId="0" xfId="325" applyNumberFormat="1"/>
    <xf numFmtId="0" fontId="70" fillId="69" borderId="0" xfId="325" applyFill="1"/>
    <xf numFmtId="0" fontId="114" fillId="69" borderId="0" xfId="325" applyFont="1" applyFill="1"/>
    <xf numFmtId="0" fontId="91" fillId="69" borderId="0" xfId="325" applyFont="1" applyFill="1" applyAlignment="1">
      <alignment horizontal="center"/>
    </xf>
    <xf numFmtId="0" fontId="91" fillId="0" borderId="0" xfId="325" applyFont="1" applyAlignment="1">
      <alignment horizontal="left" indent="1"/>
    </xf>
    <xf numFmtId="171" fontId="91" fillId="70" borderId="0" xfId="325" applyNumberFormat="1" applyFont="1" applyFill="1"/>
    <xf numFmtId="9" fontId="91" fillId="70" borderId="0" xfId="418" applyFont="1" applyFill="1"/>
    <xf numFmtId="9" fontId="91" fillId="0" borderId="0" xfId="418" applyFont="1"/>
    <xf numFmtId="9" fontId="91" fillId="0" borderId="0" xfId="418" applyFont="1" applyFill="1"/>
    <xf numFmtId="9" fontId="70" fillId="70" borderId="0" xfId="418" applyFont="1" applyFill="1"/>
    <xf numFmtId="9" fontId="70" fillId="0" borderId="0" xfId="418" applyFont="1"/>
    <xf numFmtId="9" fontId="70" fillId="0" borderId="0" xfId="418" applyFont="1" applyFill="1"/>
    <xf numFmtId="9" fontId="70" fillId="0" borderId="0" xfId="203" applyFont="1"/>
    <xf numFmtId="171" fontId="70" fillId="67" borderId="0" xfId="325" applyNumberFormat="1" applyFill="1"/>
    <xf numFmtId="181" fontId="158" fillId="71" borderId="101" xfId="469" applyNumberFormat="1" applyFont="1" applyFill="1" applyBorder="1" applyAlignment="1">
      <alignment vertical="center" wrapText="1"/>
    </xf>
    <xf numFmtId="194" fontId="70" fillId="71" borderId="101" xfId="469" applyNumberFormat="1" applyFont="1" applyFill="1" applyBorder="1" applyAlignment="1">
      <alignment wrapText="1"/>
    </xf>
    <xf numFmtId="218" fontId="70" fillId="71" borderId="101" xfId="469" applyNumberFormat="1" applyFont="1" applyFill="1" applyBorder="1" applyAlignment="1">
      <alignment wrapText="1"/>
    </xf>
    <xf numFmtId="0" fontId="185" fillId="0" borderId="0" xfId="200" applyAlignment="1">
      <alignment horizontal="left"/>
    </xf>
    <xf numFmtId="10" fontId="108" fillId="26" borderId="0" xfId="35" applyNumberFormat="1" applyFont="1" applyFill="1"/>
    <xf numFmtId="1" fontId="86" fillId="21" borderId="40" xfId="26" applyNumberFormat="1"/>
    <xf numFmtId="0" fontId="208" fillId="0" borderId="0" xfId="200" applyFont="1" applyAlignment="1">
      <alignment horizontal="left" vertical="top"/>
    </xf>
    <xf numFmtId="0" fontId="185" fillId="0" borderId="0" xfId="200" applyAlignment="1">
      <alignment horizontal="left" vertical="top"/>
    </xf>
    <xf numFmtId="3" fontId="0" fillId="26" borderId="0" xfId="0" applyNumberFormat="1" applyFill="1"/>
    <xf numFmtId="4" fontId="0" fillId="0" borderId="0" xfId="0" applyNumberFormat="1"/>
    <xf numFmtId="0" fontId="185" fillId="0" borderId="0" xfId="515" applyAlignment="1">
      <alignment horizontal="left" vertical="top"/>
    </xf>
    <xf numFmtId="1" fontId="212" fillId="73" borderId="102" xfId="515" applyNumberFormat="1" applyFont="1" applyFill="1" applyBorder="1" applyAlignment="1">
      <alignment horizontal="left" vertical="center" indent="2" shrinkToFit="1"/>
    </xf>
    <xf numFmtId="1" fontId="205" fillId="0" borderId="102" xfId="515" applyNumberFormat="1" applyFont="1" applyBorder="1" applyAlignment="1">
      <alignment horizontal="left" vertical="center" indent="2" shrinkToFit="1"/>
    </xf>
    <xf numFmtId="1" fontId="205" fillId="0" borderId="102" xfId="515" applyNumberFormat="1" applyFont="1" applyBorder="1" applyAlignment="1">
      <alignment horizontal="right" vertical="center" indent="1" shrinkToFit="1"/>
    </xf>
    <xf numFmtId="1" fontId="205" fillId="0" borderId="103" xfId="515" applyNumberFormat="1" applyFont="1" applyBorder="1" applyAlignment="1">
      <alignment horizontal="right" vertical="center" shrinkToFit="1"/>
    </xf>
    <xf numFmtId="0" fontId="185" fillId="0" borderId="104" xfId="515" applyBorder="1" applyAlignment="1">
      <alignment horizontal="left" vertical="top" wrapText="1" indent="1"/>
    </xf>
    <xf numFmtId="0" fontId="185" fillId="0" borderId="105" xfId="515" applyBorder="1" applyAlignment="1">
      <alignment horizontal="left" wrapText="1"/>
    </xf>
    <xf numFmtId="0" fontId="185" fillId="72" borderId="105" xfId="515" applyFill="1" applyBorder="1" applyAlignment="1">
      <alignment horizontal="left" wrapText="1"/>
    </xf>
    <xf numFmtId="0" fontId="185" fillId="0" borderId="106" xfId="515" applyBorder="1" applyAlignment="1">
      <alignment horizontal="left" wrapText="1"/>
    </xf>
    <xf numFmtId="1" fontId="205" fillId="0" borderId="0" xfId="515" applyNumberFormat="1" applyFont="1" applyAlignment="1">
      <alignment horizontal="right" vertical="top" shrinkToFit="1"/>
    </xf>
    <xf numFmtId="0" fontId="7" fillId="72" borderId="0" xfId="515" applyFont="1" applyFill="1" applyAlignment="1">
      <alignment horizontal="right" vertical="top" wrapText="1"/>
    </xf>
    <xf numFmtId="0" fontId="7" fillId="0" borderId="0" xfId="515" applyFont="1" applyAlignment="1">
      <alignment horizontal="right" vertical="top" wrapText="1" indent="1"/>
    </xf>
    <xf numFmtId="0" fontId="7" fillId="0" borderId="108" xfId="515" applyFont="1" applyBorder="1" applyAlignment="1">
      <alignment horizontal="right" vertical="top" wrapText="1"/>
    </xf>
    <xf numFmtId="0" fontId="185" fillId="0" borderId="0" xfId="515" applyAlignment="1">
      <alignment horizontal="left" wrapText="1"/>
    </xf>
    <xf numFmtId="1" fontId="205" fillId="72" borderId="0" xfId="515" applyNumberFormat="1" applyFont="1" applyFill="1" applyAlignment="1">
      <alignment horizontal="right" vertical="top" shrinkToFit="1"/>
    </xf>
    <xf numFmtId="1" fontId="205" fillId="0" borderId="0" xfId="515" applyNumberFormat="1" applyFont="1" applyAlignment="1">
      <alignment horizontal="right" vertical="top" indent="1" shrinkToFit="1"/>
    </xf>
    <xf numFmtId="1" fontId="205" fillId="0" borderId="108" xfId="515" applyNumberFormat="1" applyFont="1" applyBorder="1" applyAlignment="1">
      <alignment horizontal="right" vertical="top" shrinkToFit="1"/>
    </xf>
    <xf numFmtId="1" fontId="205" fillId="72" borderId="110" xfId="515" applyNumberFormat="1" applyFont="1" applyFill="1" applyBorder="1" applyAlignment="1">
      <alignment horizontal="right" vertical="top" shrinkToFit="1"/>
    </xf>
    <xf numFmtId="1" fontId="205" fillId="0" borderId="110" xfId="515" applyNumberFormat="1" applyFont="1" applyBorder="1" applyAlignment="1">
      <alignment horizontal="right" vertical="top" indent="1" shrinkToFit="1"/>
    </xf>
    <xf numFmtId="1" fontId="205" fillId="0" borderId="111" xfId="515" applyNumberFormat="1" applyFont="1" applyBorder="1" applyAlignment="1">
      <alignment horizontal="right" vertical="top" shrinkToFit="1"/>
    </xf>
    <xf numFmtId="0" fontId="7" fillId="0" borderId="0" xfId="515" applyFont="1" applyAlignment="1">
      <alignment vertical="top" wrapText="1"/>
    </xf>
    <xf numFmtId="1" fontId="205" fillId="0" borderId="113" xfId="515" applyNumberFormat="1" applyFont="1" applyBorder="1" applyAlignment="1">
      <alignment horizontal="right" vertical="top" shrinkToFit="1"/>
    </xf>
    <xf numFmtId="0" fontId="185" fillId="72" borderId="113" xfId="515" applyFill="1" applyBorder="1" applyAlignment="1">
      <alignment horizontal="left" wrapText="1"/>
    </xf>
    <xf numFmtId="0" fontId="185" fillId="0" borderId="113" xfId="515" applyBorder="1" applyAlignment="1">
      <alignment horizontal="left" wrapText="1"/>
    </xf>
    <xf numFmtId="0" fontId="185" fillId="0" borderId="114" xfId="515" applyBorder="1" applyAlignment="1">
      <alignment horizontal="left" wrapText="1"/>
    </xf>
    <xf numFmtId="0" fontId="185" fillId="0" borderId="115" xfId="515" applyBorder="1" applyAlignment="1">
      <alignment horizontal="left" wrapText="1"/>
    </xf>
    <xf numFmtId="0" fontId="7" fillId="0" borderId="109" xfId="515" applyFont="1" applyBorder="1" applyAlignment="1">
      <alignment horizontal="center" vertical="top" wrapText="1"/>
    </xf>
    <xf numFmtId="0" fontId="185" fillId="0" borderId="109" xfId="515" applyBorder="1" applyAlignment="1">
      <alignment horizontal="left" wrapText="1"/>
    </xf>
    <xf numFmtId="0" fontId="205" fillId="72" borderId="0" xfId="515" applyFont="1" applyFill="1" applyAlignment="1">
      <alignment horizontal="right" vertical="top" wrapText="1"/>
    </xf>
    <xf numFmtId="0" fontId="7" fillId="0" borderId="0" xfId="515" applyFont="1" applyAlignment="1">
      <alignment horizontal="left" vertical="top" wrapText="1" indent="1"/>
    </xf>
    <xf numFmtId="0" fontId="7" fillId="72" borderId="110" xfId="515" applyFont="1" applyFill="1" applyBorder="1" applyAlignment="1">
      <alignment horizontal="right" vertical="top" wrapText="1"/>
    </xf>
    <xf numFmtId="0" fontId="7" fillId="0" borderId="110" xfId="515" applyFont="1" applyBorder="1" applyAlignment="1">
      <alignment horizontal="right" vertical="top" wrapText="1" indent="1"/>
    </xf>
    <xf numFmtId="0" fontId="7" fillId="0" borderId="111" xfId="515" applyFont="1" applyBorder="1" applyAlignment="1">
      <alignment horizontal="right" vertical="top" wrapText="1"/>
    </xf>
    <xf numFmtId="0" fontId="185" fillId="0" borderId="112" xfId="515" applyBorder="1" applyAlignment="1">
      <alignment horizontal="left" wrapText="1"/>
    </xf>
    <xf numFmtId="1" fontId="212" fillId="73" borderId="102" xfId="515" applyNumberFormat="1" applyFont="1" applyFill="1" applyBorder="1" applyAlignment="1">
      <alignment horizontal="right" shrinkToFit="1"/>
    </xf>
    <xf numFmtId="1" fontId="205" fillId="0" borderId="102" xfId="515" applyNumberFormat="1" applyFont="1" applyBorder="1" applyAlignment="1">
      <alignment horizontal="right" indent="1" shrinkToFit="1"/>
    </xf>
    <xf numFmtId="1" fontId="205" fillId="0" borderId="103" xfId="515" applyNumberFormat="1" applyFont="1" applyBorder="1" applyAlignment="1">
      <alignment horizontal="right" shrinkToFit="1"/>
    </xf>
    <xf numFmtId="0" fontId="7" fillId="0" borderId="104" xfId="515" applyFont="1" applyBorder="1" applyAlignment="1">
      <alignment horizontal="center" vertical="top" wrapText="1"/>
    </xf>
    <xf numFmtId="0" fontId="7" fillId="72" borderId="105" xfId="515" applyFont="1" applyFill="1" applyBorder="1" applyAlignment="1">
      <alignment horizontal="right" vertical="top" wrapText="1"/>
    </xf>
    <xf numFmtId="0" fontId="7" fillId="0" borderId="105" xfId="515" applyFont="1" applyBorder="1" applyAlignment="1">
      <alignment horizontal="right" vertical="top" wrapText="1" indent="1"/>
    </xf>
    <xf numFmtId="0" fontId="7" fillId="0" borderId="106" xfId="515" applyFont="1" applyBorder="1" applyAlignment="1">
      <alignment horizontal="righ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185" fillId="0" borderId="112" xfId="515" applyBorder="1" applyAlignment="1">
      <alignment horizontal="left" vertical="center" wrapText="1"/>
    </xf>
    <xf numFmtId="176" fontId="8" fillId="0" borderId="0" xfId="29" applyNumberFormat="1" applyFont="1"/>
    <xf numFmtId="0" fontId="0" fillId="0" borderId="0" xfId="0" applyAlignment="1">
      <alignment horizontal="left" vertical="center" wrapText="1"/>
    </xf>
    <xf numFmtId="0" fontId="0" fillId="74" borderId="16" xfId="0" applyNumberFormat="1" applyFill="1" applyBorder="1"/>
    <xf numFmtId="0" fontId="0" fillId="0" borderId="16" xfId="0" applyNumberFormat="1" applyFill="1" applyBorder="1"/>
    <xf numFmtId="175" fontId="91" fillId="0" borderId="16" xfId="35" applyNumberFormat="1" applyFont="1" applyFill="1" applyBorder="1"/>
    <xf numFmtId="175" fontId="91" fillId="0" borderId="16" xfId="35" applyNumberFormat="1" applyFont="1" applyBorder="1"/>
    <xf numFmtId="188" fontId="0" fillId="0" borderId="0" xfId="35" applyNumberFormat="1" applyFont="1"/>
    <xf numFmtId="180" fontId="218" fillId="0" borderId="0" xfId="0" applyNumberFormat="1" applyFont="1"/>
    <xf numFmtId="3" fontId="218" fillId="0" borderId="0" xfId="0" applyNumberFormat="1" applyFont="1"/>
    <xf numFmtId="2" fontId="218" fillId="0" borderId="0" xfId="0" applyNumberFormat="1" applyFont="1"/>
    <xf numFmtId="180" fontId="124" fillId="0" borderId="0" xfId="0" applyNumberFormat="1" applyFont="1"/>
    <xf numFmtId="2" fontId="0" fillId="0" borderId="0" xfId="35" applyNumberFormat="1" applyFont="1"/>
    <xf numFmtId="180" fontId="0" fillId="0" borderId="0" xfId="0" applyNumberFormat="1" applyAlignment="1">
      <alignment horizontal="right"/>
    </xf>
    <xf numFmtId="1" fontId="0" fillId="0" borderId="0" xfId="0" applyNumberFormat="1" applyAlignment="1">
      <alignment horizontal="left" vertical="top"/>
    </xf>
    <xf numFmtId="2" fontId="86" fillId="26" borderId="40" xfId="26" applyNumberFormat="1" applyFill="1"/>
    <xf numFmtId="4" fontId="0" fillId="74" borderId="16" xfId="0" applyNumberFormat="1" applyFill="1" applyBorder="1"/>
    <xf numFmtId="3" fontId="92" fillId="21" borderId="40" xfId="26" applyNumberFormat="1" applyFont="1"/>
    <xf numFmtId="2" fontId="0" fillId="26" borderId="0" xfId="0" applyNumberFormat="1" applyFill="1"/>
    <xf numFmtId="2" fontId="0" fillId="26" borderId="16" xfId="0" applyNumberFormat="1" applyFill="1" applyBorder="1"/>
    <xf numFmtId="9" fontId="185" fillId="0" borderId="0" xfId="35" applyFont="1" applyAlignment="1">
      <alignment horizontal="left" vertical="top"/>
    </xf>
    <xf numFmtId="0" fontId="185" fillId="41" borderId="16" xfId="200" applyFill="1" applyBorder="1" applyAlignment="1">
      <alignment horizontal="left" vertical="top"/>
    </xf>
    <xf numFmtId="9" fontId="185" fillId="41" borderId="16" xfId="200" applyNumberFormat="1" applyFill="1" applyBorder="1" applyAlignment="1">
      <alignment horizontal="left" vertical="top"/>
    </xf>
    <xf numFmtId="0" fontId="91" fillId="26" borderId="0" xfId="0" applyFont="1" applyFill="1"/>
    <xf numFmtId="171" fontId="91" fillId="26" borderId="0" xfId="0" applyNumberFormat="1" applyFont="1" applyFill="1"/>
    <xf numFmtId="0" fontId="0" fillId="26" borderId="0" xfId="0" applyNumberFormat="1" applyFill="1"/>
    <xf numFmtId="0" fontId="91" fillId="26" borderId="0" xfId="0" applyNumberFormat="1" applyFont="1" applyFill="1"/>
    <xf numFmtId="169" fontId="70" fillId="26" borderId="0" xfId="4" applyNumberFormat="1" applyFont="1" applyFill="1"/>
    <xf numFmtId="169" fontId="0" fillId="26" borderId="0" xfId="0" applyNumberFormat="1" applyFill="1"/>
    <xf numFmtId="10" fontId="91" fillId="26" borderId="0" xfId="35" applyNumberFormat="1" applyFont="1" applyFill="1"/>
    <xf numFmtId="188" fontId="91" fillId="26" borderId="0" xfId="35" applyNumberFormat="1" applyFont="1" applyFill="1"/>
    <xf numFmtId="4" fontId="86" fillId="21" borderId="116" xfId="26" applyNumberFormat="1" applyBorder="1"/>
    <xf numFmtId="0" fontId="0" fillId="41" borderId="16" xfId="0" applyNumberFormat="1" applyFont="1" applyFill="1" applyBorder="1"/>
    <xf numFmtId="170" fontId="86" fillId="0" borderId="64" xfId="26" applyNumberFormat="1" applyFill="1" applyBorder="1"/>
    <xf numFmtId="187" fontId="0" fillId="0" borderId="0" xfId="0" applyNumberFormat="1"/>
    <xf numFmtId="0" fontId="221" fillId="0" borderId="0" xfId="0" applyFont="1"/>
    <xf numFmtId="1" fontId="91" fillId="0" borderId="0" xfId="0" applyNumberFormat="1" applyFont="1"/>
    <xf numFmtId="3" fontId="91" fillId="0" borderId="0" xfId="0" applyNumberFormat="1" applyFont="1"/>
    <xf numFmtId="180" fontId="0" fillId="75" borderId="16" xfId="0" applyNumberFormat="1" applyFill="1" applyBorder="1"/>
    <xf numFmtId="0" fontId="0" fillId="75" borderId="16" xfId="0" applyNumberFormat="1" applyFill="1" applyBorder="1"/>
    <xf numFmtId="0" fontId="0" fillId="75" borderId="16" xfId="0" applyNumberFormat="1" applyFill="1" applyBorder="1" applyAlignment="1">
      <alignment horizontal="right"/>
    </xf>
    <xf numFmtId="2" fontId="0" fillId="75" borderId="16" xfId="0" applyNumberFormat="1" applyFill="1" applyBorder="1"/>
    <xf numFmtId="180" fontId="0" fillId="0" borderId="0" xfId="0" applyNumberFormat="1" applyAlignment="1">
      <alignment horizontal="right" indent="1"/>
    </xf>
    <xf numFmtId="3" fontId="207" fillId="0" borderId="0" xfId="0" applyNumberFormat="1" applyFont="1"/>
    <xf numFmtId="9" fontId="0" fillId="0" borderId="0" xfId="35" applyNumberFormat="1" applyFont="1"/>
    <xf numFmtId="191" fontId="207" fillId="0" borderId="0" xfId="0" applyNumberFormat="1" applyFont="1"/>
    <xf numFmtId="0" fontId="111" fillId="0" borderId="0" xfId="30" applyNumberFormat="1" applyFont="1" applyFill="1"/>
    <xf numFmtId="0" fontId="0" fillId="76" borderId="0" xfId="0" applyFill="1"/>
    <xf numFmtId="0" fontId="0" fillId="77" borderId="0" xfId="0" applyFill="1"/>
    <xf numFmtId="169" fontId="0" fillId="0" borderId="0" xfId="4" applyNumberFormat="1" applyFont="1"/>
    <xf numFmtId="219" fontId="0" fillId="0" borderId="0" xfId="0" applyNumberFormat="1"/>
    <xf numFmtId="3" fontId="111" fillId="0" borderId="0" xfId="29" applyNumberFormat="1" applyFont="1" applyFill="1" applyAlignment="1">
      <alignment horizontal="center"/>
    </xf>
    <xf numFmtId="9" fontId="92" fillId="20" borderId="40" xfId="14" applyNumberFormat="1" applyFont="1" applyBorder="1"/>
    <xf numFmtId="9" fontId="6" fillId="12" borderId="0" xfId="35" applyFont="1" applyFill="1" applyBorder="1" applyAlignment="1"/>
    <xf numFmtId="0" fontId="6" fillId="12" borderId="0" xfId="29" applyFont="1" applyFill="1" applyBorder="1" applyAlignment="1">
      <alignment horizontal="left"/>
    </xf>
    <xf numFmtId="0" fontId="6" fillId="12" borderId="0" xfId="29" applyFont="1" applyFill="1" applyBorder="1" applyAlignment="1">
      <alignment horizontal="right"/>
    </xf>
    <xf numFmtId="2" fontId="0" fillId="40" borderId="0" xfId="0" applyNumberFormat="1" applyFill="1"/>
    <xf numFmtId="186" fontId="38" fillId="12" borderId="0" xfId="29" applyNumberFormat="1" applyFont="1" applyFill="1" applyBorder="1"/>
    <xf numFmtId="186" fontId="0" fillId="40" borderId="0" xfId="0" applyNumberFormat="1" applyFill="1"/>
    <xf numFmtId="0" fontId="6" fillId="26" borderId="0" xfId="29" applyFont="1" applyFill="1" applyBorder="1"/>
    <xf numFmtId="0" fontId="38" fillId="26" borderId="0" xfId="29" applyFont="1" applyFill="1" applyBorder="1"/>
    <xf numFmtId="3" fontId="6" fillId="26" borderId="0" xfId="29" applyNumberFormat="1" applyFont="1" applyFill="1" applyBorder="1"/>
    <xf numFmtId="3" fontId="16" fillId="26" borderId="0" xfId="29" applyNumberFormat="1" applyFont="1" applyFill="1" applyBorder="1"/>
    <xf numFmtId="3" fontId="38" fillId="26" borderId="0" xfId="29" applyNumberFormat="1" applyFont="1" applyFill="1" applyBorder="1"/>
    <xf numFmtId="0" fontId="8" fillId="39" borderId="0" xfId="30" applyNumberFormat="1" applyFont="1" applyFill="1"/>
    <xf numFmtId="172" fontId="222" fillId="32" borderId="0" xfId="30" applyNumberFormat="1" applyFont="1" applyFill="1"/>
    <xf numFmtId="0" fontId="141" fillId="41" borderId="0" xfId="29" applyFont="1" applyFill="1" applyBorder="1" applyAlignment="1">
      <alignment horizontal="center"/>
    </xf>
    <xf numFmtId="0" fontId="111" fillId="0" borderId="0" xfId="29" applyFont="1" applyFill="1" applyAlignment="1">
      <alignment horizontal="center"/>
    </xf>
    <xf numFmtId="2" fontId="71" fillId="43" borderId="0" xfId="46" applyNumberFormat="1"/>
    <xf numFmtId="0" fontId="0" fillId="0" borderId="0" xfId="0" applyAlignment="1">
      <alignment horizontal="left" vertical="center" wrapText="1"/>
    </xf>
    <xf numFmtId="0" fontId="223" fillId="0" borderId="0" xfId="0" applyFont="1"/>
    <xf numFmtId="0" fontId="63" fillId="78" borderId="117" xfId="0" applyFont="1" applyFill="1" applyBorder="1" applyAlignment="1">
      <alignment vertical="top" wrapText="1"/>
    </xf>
    <xf numFmtId="0" fontId="226" fillId="79" borderId="118" xfId="0" applyFont="1" applyFill="1" applyBorder="1" applyAlignment="1">
      <alignment vertical="top" wrapText="1"/>
    </xf>
    <xf numFmtId="0" fontId="226" fillId="79" borderId="118" xfId="0" applyFont="1" applyFill="1" applyBorder="1" applyAlignment="1">
      <alignment horizontal="center" vertical="top" wrapText="1"/>
    </xf>
    <xf numFmtId="0" fontId="226" fillId="0" borderId="0" xfId="0" applyFont="1" applyAlignment="1">
      <alignment vertical="top" wrapText="1"/>
    </xf>
    <xf numFmtId="3" fontId="228" fillId="0" borderId="0" xfId="0" applyNumberFormat="1" applyFont="1" applyAlignment="1">
      <alignment horizontal="center" vertical="top" shrinkToFit="1"/>
    </xf>
    <xf numFmtId="3" fontId="228" fillId="0" borderId="0" xfId="0" applyNumberFormat="1" applyFont="1" applyAlignment="1">
      <alignment vertical="top" shrinkToFit="1"/>
    </xf>
    <xf numFmtId="0" fontId="226" fillId="34" borderId="0" xfId="0" applyFont="1" applyFill="1" applyAlignment="1">
      <alignment vertical="top" wrapText="1"/>
    </xf>
    <xf numFmtId="0" fontId="226" fillId="79" borderId="0" xfId="0" applyFont="1" applyFill="1" applyAlignment="1">
      <alignment vertical="top" wrapText="1"/>
    </xf>
    <xf numFmtId="1" fontId="228" fillId="79" borderId="0" xfId="0" applyNumberFormat="1" applyFont="1" applyFill="1" applyAlignment="1">
      <alignment horizontal="center" vertical="top" shrinkToFit="1"/>
    </xf>
    <xf numFmtId="1" fontId="228" fillId="79" borderId="0" xfId="0" applyNumberFormat="1" applyFont="1" applyFill="1" applyAlignment="1">
      <alignment vertical="top" shrinkToFit="1"/>
    </xf>
    <xf numFmtId="1" fontId="228" fillId="0" borderId="0" xfId="0" applyNumberFormat="1" applyFont="1" applyAlignment="1">
      <alignment horizontal="center" vertical="top" shrinkToFit="1"/>
    </xf>
    <xf numFmtId="1" fontId="228" fillId="0" borderId="0" xfId="0" applyNumberFormat="1" applyFont="1" applyAlignment="1">
      <alignment vertical="top" shrinkToFit="1"/>
    </xf>
    <xf numFmtId="0" fontId="226" fillId="79" borderId="0" xfId="0" applyFont="1" applyFill="1" applyAlignment="1">
      <alignment horizontal="center" vertical="top" wrapText="1"/>
    </xf>
    <xf numFmtId="0" fontId="226" fillId="0" borderId="0" xfId="0" applyFont="1" applyAlignment="1">
      <alignment horizontal="center" vertical="top" wrapText="1"/>
    </xf>
    <xf numFmtId="0" fontId="145" fillId="0" borderId="0" xfId="0" applyFont="1" applyAlignment="1">
      <alignment horizontal="center" vertical="top" wrapText="1"/>
    </xf>
    <xf numFmtId="0" fontId="145" fillId="0" borderId="0" xfId="0" applyFont="1" applyAlignment="1">
      <alignment vertical="top" wrapText="1"/>
    </xf>
    <xf numFmtId="0" fontId="226" fillId="79" borderId="119" xfId="0" applyFont="1" applyFill="1" applyBorder="1" applyAlignment="1">
      <alignment vertical="top" wrapText="1"/>
    </xf>
    <xf numFmtId="9" fontId="228" fillId="79" borderId="119" xfId="0" applyNumberFormat="1" applyFont="1" applyFill="1" applyBorder="1" applyAlignment="1">
      <alignment horizontal="center" vertical="top" shrinkToFit="1"/>
    </xf>
    <xf numFmtId="9" fontId="228" fillId="79" borderId="119" xfId="0" applyNumberFormat="1" applyFont="1" applyFill="1" applyBorder="1" applyAlignment="1">
      <alignment vertical="top" shrinkToFit="1"/>
    </xf>
    <xf numFmtId="0" fontId="0" fillId="26" borderId="0" xfId="0" applyFill="1" applyAlignment="1">
      <alignment horizontal="center"/>
    </xf>
    <xf numFmtId="1" fontId="0" fillId="26" borderId="0" xfId="0" applyNumberFormat="1" applyFill="1" applyAlignment="1">
      <alignment horizontal="center"/>
    </xf>
    <xf numFmtId="174" fontId="101" fillId="0" borderId="0" xfId="29" applyNumberFormat="1" applyFont="1" applyFill="1" applyBorder="1" applyAlignment="1" applyProtection="1">
      <alignment horizontal="left"/>
      <protection locked="0"/>
    </xf>
    <xf numFmtId="0" fontId="107" fillId="33" borderId="0" xfId="0" applyFont="1" applyFill="1"/>
    <xf numFmtId="180" fontId="8" fillId="33" borderId="0" xfId="30" applyNumberFormat="1" applyFont="1" applyFill="1"/>
    <xf numFmtId="0" fontId="107" fillId="26" borderId="0" xfId="0" applyFont="1" applyFill="1"/>
    <xf numFmtId="11" fontId="0" fillId="0" borderId="0" xfId="0" applyNumberFormat="1"/>
    <xf numFmtId="2" fontId="0" fillId="70" borderId="0" xfId="0" applyNumberFormat="1" applyFill="1" applyAlignment="1">
      <alignment horizontal="center"/>
    </xf>
    <xf numFmtId="1" fontId="0" fillId="70" borderId="0" xfId="0" applyNumberFormat="1" applyFill="1" applyAlignment="1">
      <alignment horizontal="center"/>
    </xf>
    <xf numFmtId="0" fontId="0" fillId="70" borderId="0" xfId="0" applyFill="1" applyAlignment="1">
      <alignment horizontal="center"/>
    </xf>
    <xf numFmtId="0" fontId="0" fillId="70" borderId="2" xfId="0" applyFill="1" applyBorder="1"/>
    <xf numFmtId="0" fontId="0" fillId="0" borderId="0" xfId="0" applyFont="1" applyFill="1"/>
    <xf numFmtId="17" fontId="0" fillId="67" borderId="16" xfId="0" applyNumberFormat="1" applyFill="1" applyBorder="1" applyAlignment="1">
      <alignment horizontal="left"/>
    </xf>
    <xf numFmtId="186" fontId="0" fillId="67" borderId="16" xfId="0" applyNumberFormat="1" applyFill="1" applyBorder="1" applyAlignment="1">
      <alignment horizontal="center"/>
    </xf>
    <xf numFmtId="169" fontId="0" fillId="67" borderId="16" xfId="4" applyNumberFormat="1" applyFont="1" applyFill="1" applyBorder="1" applyAlignment="1">
      <alignment horizontal="center"/>
    </xf>
    <xf numFmtId="185" fontId="0" fillId="0" borderId="0" xfId="0" applyNumberFormat="1"/>
    <xf numFmtId="0" fontId="8" fillId="26" borderId="0" xfId="30" applyNumberFormat="1" applyFont="1" applyFill="1"/>
    <xf numFmtId="43" fontId="0" fillId="0" borderId="0" xfId="0" applyNumberFormat="1"/>
    <xf numFmtId="0" fontId="0" fillId="68" borderId="71" xfId="0" applyFill="1" applyBorder="1"/>
    <xf numFmtId="0" fontId="0" fillId="68" borderId="0" xfId="0" applyFill="1"/>
    <xf numFmtId="0" fontId="0" fillId="68" borderId="2" xfId="0" applyFill="1" applyBorder="1"/>
    <xf numFmtId="0" fontId="0" fillId="75" borderId="0" xfId="0" applyFill="1"/>
    <xf numFmtId="182" fontId="0" fillId="0" borderId="0" xfId="0" applyNumberFormat="1"/>
    <xf numFmtId="185" fontId="0" fillId="0" borderId="2" xfId="0" applyNumberFormat="1" applyBorder="1"/>
    <xf numFmtId="2" fontId="70" fillId="0" borderId="0" xfId="35" applyNumberFormat="1" applyFont="1" applyFill="1" applyBorder="1"/>
    <xf numFmtId="9" fontId="70" fillId="0" borderId="0" xfId="35" applyFont="1" applyFill="1" applyBorder="1"/>
    <xf numFmtId="17" fontId="0" fillId="0" borderId="0" xfId="0" applyNumberFormat="1" applyAlignment="1">
      <alignment horizontal="left"/>
    </xf>
    <xf numFmtId="186" fontId="0" fillId="0" borderId="0" xfId="0" applyNumberFormat="1" applyAlignment="1">
      <alignment horizontal="center"/>
    </xf>
    <xf numFmtId="175" fontId="0" fillId="33" borderId="0" xfId="0" applyNumberFormat="1" applyFill="1"/>
    <xf numFmtId="0" fontId="0" fillId="26" borderId="2" xfId="0" applyFill="1" applyBorder="1"/>
    <xf numFmtId="0" fontId="0" fillId="80" borderId="16" xfId="0" applyFill="1" applyBorder="1" applyAlignment="1">
      <alignment horizontal="left" vertical="top" wrapText="1"/>
    </xf>
    <xf numFmtId="0" fontId="0" fillId="80" borderId="16" xfId="0" applyFill="1" applyBorder="1" applyAlignment="1">
      <alignment horizontal="center" vertical="top" wrapText="1"/>
    </xf>
    <xf numFmtId="0" fontId="230" fillId="34" borderId="16" xfId="0" applyFont="1" applyFill="1" applyBorder="1" applyAlignment="1">
      <alignment horizontal="center" vertical="top" wrapText="1"/>
    </xf>
    <xf numFmtId="0" fontId="185" fillId="0" borderId="0" xfId="518" applyAlignment="1">
      <alignment horizontal="left" vertical="top"/>
    </xf>
    <xf numFmtId="190" fontId="231" fillId="34" borderId="16" xfId="0" applyNumberFormat="1" applyFont="1" applyFill="1" applyBorder="1" applyAlignment="1">
      <alignment horizontal="center" vertical="top" wrapText="1"/>
    </xf>
    <xf numFmtId="189" fontId="231" fillId="80" borderId="16" xfId="0" applyNumberFormat="1" applyFont="1" applyFill="1" applyBorder="1" applyAlignment="1">
      <alignment horizontal="center" vertical="top" wrapText="1"/>
    </xf>
    <xf numFmtId="192" fontId="231" fillId="34" borderId="16" xfId="0" applyNumberFormat="1" applyFont="1" applyFill="1" applyBorder="1" applyAlignment="1">
      <alignment horizontal="center" vertical="top" wrapText="1"/>
    </xf>
    <xf numFmtId="192" fontId="231" fillId="80" borderId="16" xfId="0" applyNumberFormat="1" applyFont="1" applyFill="1" applyBorder="1" applyAlignment="1">
      <alignment horizontal="center" vertical="top" wrapText="1"/>
    </xf>
    <xf numFmtId="0" fontId="230" fillId="80" borderId="16" xfId="0" applyFont="1" applyFill="1" applyBorder="1" applyAlignment="1">
      <alignment horizontal="left" vertical="top" wrapText="1"/>
    </xf>
    <xf numFmtId="220" fontId="231" fillId="80" borderId="16" xfId="0" applyNumberFormat="1" applyFont="1" applyFill="1" applyBorder="1" applyAlignment="1">
      <alignment horizontal="center" vertical="top" wrapText="1"/>
    </xf>
    <xf numFmtId="0" fontId="120" fillId="0" borderId="0" xfId="0" applyFont="1"/>
    <xf numFmtId="0" fontId="229" fillId="0" borderId="0" xfId="0" applyFont="1" applyFill="1"/>
    <xf numFmtId="182" fontId="0" fillId="0" borderId="0" xfId="0" applyNumberFormat="1" applyFill="1"/>
    <xf numFmtId="9" fontId="0" fillId="33" borderId="0" xfId="0" applyNumberFormat="1" applyFill="1"/>
    <xf numFmtId="0" fontId="223" fillId="81" borderId="0" xfId="0" applyFont="1" applyFill="1"/>
    <xf numFmtId="175" fontId="0" fillId="39" borderId="0" xfId="0" applyNumberFormat="1" applyFill="1"/>
    <xf numFmtId="0" fontId="0" fillId="41" borderId="16" xfId="0" applyFill="1" applyBorder="1" applyAlignment="1">
      <alignment horizontal="center"/>
    </xf>
    <xf numFmtId="176" fontId="232" fillId="0" borderId="16" xfId="0" applyNumberFormat="1" applyFont="1" applyFill="1" applyBorder="1" applyAlignment="1">
      <alignment horizontal="center"/>
    </xf>
    <xf numFmtId="11" fontId="0" fillId="0" borderId="0" xfId="0" applyNumberFormat="1" applyAlignment="1">
      <alignment horizontal="center"/>
    </xf>
    <xf numFmtId="0" fontId="158" fillId="41" borderId="16" xfId="0" applyFont="1" applyFill="1" applyBorder="1" applyAlignment="1">
      <alignment horizontal="center"/>
    </xf>
    <xf numFmtId="0" fontId="232" fillId="81" borderId="16" xfId="0" applyFont="1" applyFill="1" applyBorder="1" applyAlignment="1">
      <alignment horizontal="center"/>
    </xf>
    <xf numFmtId="0" fontId="8" fillId="0" borderId="0" xfId="44" applyFont="1"/>
    <xf numFmtId="0" fontId="0" fillId="39" borderId="0" xfId="0" applyFill="1" applyAlignment="1">
      <alignment horizontal="center"/>
    </xf>
    <xf numFmtId="0" fontId="0" fillId="39" borderId="16" xfId="0" applyFill="1" applyBorder="1" applyAlignment="1">
      <alignment horizontal="center"/>
    </xf>
    <xf numFmtId="168" fontId="0" fillId="0" borderId="16" xfId="4" applyFont="1" applyFill="1" applyBorder="1"/>
    <xf numFmtId="0" fontId="0" fillId="39" borderId="6" xfId="0" applyFill="1" applyBorder="1"/>
    <xf numFmtId="0" fontId="0" fillId="39" borderId="12" xfId="0" applyFill="1" applyBorder="1"/>
    <xf numFmtId="186" fontId="0" fillId="67" borderId="0" xfId="0" applyNumberFormat="1" applyFill="1" applyAlignment="1">
      <alignment horizontal="center"/>
    </xf>
    <xf numFmtId="0" fontId="0" fillId="39" borderId="33" xfId="0" applyFill="1" applyBorder="1"/>
    <xf numFmtId="0" fontId="0" fillId="39" borderId="69" xfId="0" applyFill="1" applyBorder="1"/>
    <xf numFmtId="0" fontId="0" fillId="39" borderId="35" xfId="0" applyFill="1" applyBorder="1"/>
    <xf numFmtId="169" fontId="0" fillId="39" borderId="0" xfId="4" applyNumberFormat="1" applyFont="1" applyFill="1" applyBorder="1"/>
    <xf numFmtId="169" fontId="0" fillId="39" borderId="10" xfId="4" applyNumberFormat="1" applyFont="1" applyFill="1" applyBorder="1"/>
    <xf numFmtId="169" fontId="0" fillId="39" borderId="2" xfId="4" applyNumberFormat="1" applyFont="1" applyFill="1" applyBorder="1"/>
    <xf numFmtId="169" fontId="0" fillId="39" borderId="13" xfId="4" applyNumberFormat="1" applyFont="1" applyFill="1" applyBorder="1"/>
    <xf numFmtId="43" fontId="0" fillId="0" borderId="0" xfId="0" applyNumberFormat="1" applyAlignment="1">
      <alignment horizontal="left"/>
    </xf>
    <xf numFmtId="0" fontId="0" fillId="26" borderId="33" xfId="0" applyFill="1" applyBorder="1"/>
    <xf numFmtId="169" fontId="0" fillId="26" borderId="69" xfId="0" applyNumberFormat="1" applyFill="1" applyBorder="1"/>
    <xf numFmtId="169" fontId="0" fillId="26" borderId="35" xfId="0" applyNumberFormat="1" applyFill="1" applyBorder="1"/>
    <xf numFmtId="43" fontId="0" fillId="26" borderId="69" xfId="0" applyNumberFormat="1" applyFill="1" applyBorder="1"/>
    <xf numFmtId="182" fontId="0" fillId="0" borderId="0" xfId="477" applyNumberFormat="1" applyFont="1" applyFill="1"/>
    <xf numFmtId="0" fontId="0" fillId="39" borderId="0" xfId="0" applyFill="1" applyAlignment="1">
      <alignment horizontal="left"/>
    </xf>
    <xf numFmtId="0" fontId="0" fillId="81" borderId="2" xfId="0" applyFill="1" applyBorder="1"/>
    <xf numFmtId="0" fontId="0" fillId="81" borderId="33" xfId="0" applyFill="1" applyBorder="1"/>
    <xf numFmtId="0" fontId="0" fillId="81" borderId="69" xfId="0" applyFill="1" applyBorder="1"/>
    <xf numFmtId="0" fontId="0" fillId="81" borderId="35" xfId="0" applyFill="1" applyBorder="1"/>
    <xf numFmtId="0" fontId="0" fillId="81" borderId="6" xfId="0" applyFill="1" applyBorder="1"/>
    <xf numFmtId="0" fontId="0" fillId="81" borderId="0" xfId="0" applyFill="1" applyBorder="1"/>
    <xf numFmtId="0" fontId="0" fillId="81" borderId="10" xfId="0" applyFill="1" applyBorder="1"/>
    <xf numFmtId="0" fontId="91" fillId="81" borderId="0" xfId="0" applyFont="1" applyFill="1" applyBorder="1"/>
    <xf numFmtId="0" fontId="91" fillId="81" borderId="10" xfId="0" applyFont="1" applyFill="1" applyBorder="1"/>
    <xf numFmtId="1" fontId="0" fillId="81" borderId="0" xfId="0" applyNumberFormat="1" applyFill="1" applyBorder="1"/>
    <xf numFmtId="0" fontId="0" fillId="81" borderId="12" xfId="0" applyFill="1" applyBorder="1"/>
    <xf numFmtId="0" fontId="0" fillId="81" borderId="13" xfId="0" applyFill="1" applyBorder="1"/>
    <xf numFmtId="182" fontId="232" fillId="0" borderId="0" xfId="0" applyNumberFormat="1" applyFont="1" applyFill="1"/>
    <xf numFmtId="0" fontId="233" fillId="0" borderId="0" xfId="30" applyNumberFormat="1" applyFont="1" applyFill="1"/>
    <xf numFmtId="0" fontId="234" fillId="12" borderId="0" xfId="29" applyFont="1" applyFill="1" applyBorder="1" applyAlignment="1"/>
    <xf numFmtId="3" fontId="234" fillId="12" borderId="0" xfId="29" applyNumberFormat="1" applyFont="1" applyFill="1" applyBorder="1" applyAlignment="1"/>
    <xf numFmtId="3" fontId="234" fillId="12" borderId="0" xfId="29" applyNumberFormat="1" applyFont="1" applyFill="1" applyBorder="1"/>
    <xf numFmtId="0" fontId="234" fillId="12" borderId="0" xfId="29" applyFont="1" applyFill="1" applyBorder="1"/>
    <xf numFmtId="0" fontId="235" fillId="12" borderId="0" xfId="29" applyFont="1" applyFill="1" applyBorder="1" applyAlignment="1"/>
    <xf numFmtId="3" fontId="235" fillId="12" borderId="0" xfId="29" applyNumberFormat="1" applyFont="1" applyFill="1" applyBorder="1" applyAlignment="1"/>
    <xf numFmtId="3" fontId="235" fillId="12" borderId="0" xfId="29" applyNumberFormat="1" applyFont="1" applyFill="1" applyBorder="1"/>
    <xf numFmtId="0" fontId="235" fillId="12" borderId="0" xfId="29" applyFont="1" applyFill="1" applyBorder="1"/>
    <xf numFmtId="3" fontId="8" fillId="12" borderId="0" xfId="29" applyNumberFormat="1" applyFont="1" applyFill="1" applyBorder="1" applyAlignment="1"/>
    <xf numFmtId="3" fontId="7" fillId="12" borderId="0" xfId="29" applyNumberFormat="1" applyFont="1" applyFill="1" applyBorder="1" applyAlignment="1"/>
    <xf numFmtId="0" fontId="8" fillId="12" borderId="0" xfId="29" applyFont="1" applyFill="1" applyBorder="1" applyAlignment="1"/>
    <xf numFmtId="171" fontId="8" fillId="0" borderId="0" xfId="29" applyNumberFormat="1" applyFont="1"/>
    <xf numFmtId="187" fontId="6" fillId="0" borderId="0" xfId="29" applyNumberFormat="1" applyFont="1" applyFill="1" applyAlignment="1">
      <alignment horizontal="right"/>
    </xf>
    <xf numFmtId="0" fontId="25" fillId="82" borderId="7" xfId="110" applyFont="1" applyFill="1" applyBorder="1" applyAlignment="1">
      <alignment horizontal="center" vertical="center" wrapText="1"/>
    </xf>
    <xf numFmtId="0" fontId="71" fillId="18" borderId="7" xfId="1" applyBorder="1" applyAlignment="1">
      <alignment horizontal="center" vertical="center" wrapText="1"/>
    </xf>
    <xf numFmtId="0" fontId="70" fillId="0" borderId="0" xfId="193"/>
    <xf numFmtId="4" fontId="26" fillId="0" borderId="7" xfId="110" applyNumberFormat="1" applyFont="1" applyBorder="1" applyAlignment="1">
      <alignment horizontal="right" vertical="center" wrapText="1"/>
    </xf>
    <xf numFmtId="4" fontId="71" fillId="18" borderId="7" xfId="1" applyNumberFormat="1" applyBorder="1" applyAlignment="1">
      <alignment horizontal="right" vertical="center" wrapText="1"/>
    </xf>
    <xf numFmtId="4" fontId="26" fillId="0" borderId="0" xfId="44" applyNumberFormat="1" applyFont="1" applyAlignment="1">
      <alignment horizontal="left" vertical="center"/>
    </xf>
    <xf numFmtId="4" fontId="71" fillId="18" borderId="0" xfId="1" applyNumberFormat="1" applyAlignment="1">
      <alignment horizontal="left" vertical="center"/>
    </xf>
    <xf numFmtId="186" fontId="6" fillId="0" borderId="0" xfId="44" applyNumberFormat="1"/>
    <xf numFmtId="4" fontId="26" fillId="33" borderId="69" xfId="44" applyNumberFormat="1" applyFont="1" applyFill="1" applyBorder="1" applyAlignment="1">
      <alignment horizontal="left" vertical="center"/>
    </xf>
    <xf numFmtId="4" fontId="26" fillId="33" borderId="35" xfId="44" applyNumberFormat="1" applyFont="1" applyFill="1" applyBorder="1" applyAlignment="1">
      <alignment horizontal="left" vertical="center"/>
    </xf>
    <xf numFmtId="4" fontId="71" fillId="18" borderId="35" xfId="1" applyNumberFormat="1" applyBorder="1" applyAlignment="1">
      <alignment horizontal="left" vertical="center"/>
    </xf>
    <xf numFmtId="0" fontId="101" fillId="0" borderId="0" xfId="29" applyFont="1" applyFill="1" applyBorder="1" applyAlignment="1"/>
    <xf numFmtId="0" fontId="6" fillId="0" borderId="0" xfId="29" applyNumberFormat="1" applyFont="1" applyFill="1" applyBorder="1" applyAlignment="1"/>
    <xf numFmtId="0" fontId="6" fillId="0" borderId="0" xfId="36" applyNumberFormat="1" applyFont="1" applyFill="1" applyBorder="1" applyAlignment="1"/>
    <xf numFmtId="0" fontId="92" fillId="0" borderId="0" xfId="0" applyFont="1" applyAlignment="1">
      <alignment horizontal="left" vertical="top"/>
    </xf>
    <xf numFmtId="189" fontId="127" fillId="83" borderId="16" xfId="0" applyNumberFormat="1" applyFont="1" applyFill="1" applyBorder="1" applyAlignment="1">
      <alignment horizontal="center" vertical="top" wrapText="1"/>
    </xf>
    <xf numFmtId="221" fontId="92" fillId="83" borderId="0" xfId="4" applyNumberFormat="1" applyFont="1" applyFill="1" applyBorder="1" applyAlignment="1">
      <alignment horizontal="left" vertical="top"/>
    </xf>
    <xf numFmtId="43" fontId="0" fillId="0" borderId="0" xfId="0" applyNumberFormat="1" applyFill="1" applyBorder="1" applyAlignment="1">
      <alignment horizontal="left" vertical="top"/>
    </xf>
    <xf numFmtId="0" fontId="236" fillId="0" borderId="0" xfId="29" applyFont="1"/>
    <xf numFmtId="0" fontId="103" fillId="0" borderId="0" xfId="29" applyFont="1"/>
    <xf numFmtId="0" fontId="111" fillId="0" borderId="0" xfId="29" applyFont="1" applyFill="1"/>
    <xf numFmtId="176" fontId="92" fillId="0" borderId="0" xfId="0" applyNumberFormat="1" applyFont="1"/>
    <xf numFmtId="9" fontId="92" fillId="0" borderId="0" xfId="0" applyNumberFormat="1" applyFont="1"/>
    <xf numFmtId="171" fontId="182" fillId="0" borderId="0" xfId="36" applyNumberFormat="1" applyFont="1" applyFill="1" applyAlignment="1">
      <alignment horizontal="right"/>
    </xf>
    <xf numFmtId="2" fontId="0" fillId="26" borderId="0" xfId="0" applyNumberFormat="1" applyFill="1" applyAlignment="1">
      <alignment horizontal="center"/>
    </xf>
    <xf numFmtId="1" fontId="0" fillId="0" borderId="0" xfId="0" applyNumberFormat="1" applyFill="1" applyAlignment="1">
      <alignment horizontal="center"/>
    </xf>
    <xf numFmtId="0" fontId="0" fillId="0" borderId="33" xfId="0" applyBorder="1" applyAlignment="1">
      <alignment horizontal="center"/>
    </xf>
    <xf numFmtId="0" fontId="0" fillId="0" borderId="35" xfId="0" applyBorder="1" applyAlignment="1">
      <alignment horizontal="center"/>
    </xf>
    <xf numFmtId="0" fontId="0" fillId="0" borderId="2" xfId="0" applyBorder="1" applyAlignment="1">
      <alignment horizontal="center"/>
    </xf>
    <xf numFmtId="0" fontId="107" fillId="0" borderId="81" xfId="0" applyFont="1" applyBorder="1" applyAlignment="1">
      <alignment horizontal="center" vertical="center" wrapText="1"/>
    </xf>
    <xf numFmtId="0" fontId="107" fillId="0" borderId="83"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84" xfId="0" applyFont="1" applyBorder="1" applyAlignment="1">
      <alignment horizontal="center" vertical="center" wrapText="1"/>
    </xf>
    <xf numFmtId="0" fontId="161" fillId="0" borderId="83" xfId="0" applyFont="1" applyBorder="1" applyAlignment="1">
      <alignment horizontal="center" vertical="center" wrapText="1"/>
    </xf>
    <xf numFmtId="0" fontId="0" fillId="0" borderId="73" xfId="0" applyFill="1" applyBorder="1" applyAlignment="1">
      <alignment horizontal="center" wrapText="1"/>
    </xf>
    <xf numFmtId="0" fontId="0" fillId="0" borderId="74" xfId="0" applyFill="1" applyBorder="1" applyAlignment="1">
      <alignment horizontal="center" wrapText="1"/>
    </xf>
    <xf numFmtId="0" fontId="0" fillId="0" borderId="75" xfId="0" applyFill="1" applyBorder="1" applyAlignment="1">
      <alignment horizontal="center" wrapText="1"/>
    </xf>
    <xf numFmtId="0" fontId="0" fillId="0" borderId="37" xfId="0" applyBorder="1" applyAlignment="1">
      <alignment horizontal="center" wrapText="1"/>
    </xf>
    <xf numFmtId="0" fontId="0" fillId="0" borderId="38" xfId="0" applyBorder="1" applyAlignment="1">
      <alignment horizontal="center" wrapText="1"/>
    </xf>
    <xf numFmtId="0" fontId="0" fillId="0" borderId="39" xfId="0" applyBorder="1" applyAlignment="1">
      <alignment horizontal="center" wrapText="1"/>
    </xf>
    <xf numFmtId="0" fontId="0" fillId="0" borderId="73" xfId="0" applyBorder="1" applyAlignment="1">
      <alignment horizontal="center" vertical="center" wrapText="1"/>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91" fillId="0" borderId="8" xfId="0" applyFont="1" applyBorder="1" applyAlignment="1">
      <alignment horizontal="left" wrapText="1"/>
    </xf>
    <xf numFmtId="0" fontId="91" fillId="0" borderId="11" xfId="0" applyFont="1" applyBorder="1" applyAlignment="1">
      <alignment horizontal="left" wrapText="1"/>
    </xf>
    <xf numFmtId="0" fontId="91" fillId="0" borderId="8" xfId="0" applyFont="1" applyBorder="1" applyAlignment="1">
      <alignment horizontal="left"/>
    </xf>
    <xf numFmtId="0" fontId="91" fillId="0" borderId="11" xfId="0" applyFont="1" applyBorder="1" applyAlignment="1">
      <alignment horizontal="left"/>
    </xf>
    <xf numFmtId="0" fontId="91" fillId="47" borderId="70" xfId="0" applyFont="1" applyFill="1" applyBorder="1" applyAlignment="1">
      <alignment horizontal="center" wrapText="1"/>
    </xf>
    <xf numFmtId="0" fontId="91" fillId="47" borderId="71" xfId="0" applyFont="1" applyFill="1" applyBorder="1" applyAlignment="1">
      <alignment horizontal="center" wrapText="1"/>
    </xf>
    <xf numFmtId="0" fontId="91" fillId="47" borderId="72" xfId="0" applyFont="1" applyFill="1" applyBorder="1" applyAlignment="1">
      <alignment horizontal="center" wrapText="1"/>
    </xf>
    <xf numFmtId="0" fontId="91" fillId="47" borderId="12" xfId="0" applyFont="1" applyFill="1" applyBorder="1" applyAlignment="1">
      <alignment horizontal="center" wrapText="1"/>
    </xf>
    <xf numFmtId="0" fontId="91" fillId="47" borderId="2" xfId="0" applyFont="1" applyFill="1" applyBorder="1" applyAlignment="1">
      <alignment horizontal="center" wrapText="1"/>
    </xf>
    <xf numFmtId="0" fontId="0" fillId="48" borderId="8" xfId="0" applyFill="1" applyBorder="1" applyAlignment="1">
      <alignment horizontal="center" wrapText="1"/>
    </xf>
    <xf numFmtId="0" fontId="0" fillId="48" borderId="11" xfId="0" applyFill="1" applyBorder="1" applyAlignment="1">
      <alignment horizontal="center" wrapText="1"/>
    </xf>
    <xf numFmtId="0" fontId="0" fillId="0" borderId="16" xfId="0"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xf>
    <xf numFmtId="0" fontId="159" fillId="13" borderId="0" xfId="0" applyFont="1" applyFill="1" applyBorder="1" applyAlignment="1">
      <alignment horizontal="center" vertical="top" wrapText="1"/>
    </xf>
    <xf numFmtId="0" fontId="159" fillId="49" borderId="0" xfId="0" applyFont="1" applyFill="1" applyBorder="1" applyAlignment="1">
      <alignment horizontal="center" vertical="top" wrapText="1"/>
    </xf>
    <xf numFmtId="0" fontId="108" fillId="0" borderId="16" xfId="0" applyFont="1" applyBorder="1" applyAlignment="1">
      <alignment horizontal="center"/>
    </xf>
    <xf numFmtId="0" fontId="0" fillId="0" borderId="16" xfId="0" applyBorder="1" applyAlignment="1">
      <alignment horizontal="center" vertical="center" wrapText="1"/>
    </xf>
    <xf numFmtId="2" fontId="0" fillId="0" borderId="8" xfId="0" applyNumberFormat="1" applyBorder="1" applyAlignment="1">
      <alignment horizontal="center" vertical="center" wrapText="1"/>
    </xf>
    <xf numFmtId="2" fontId="0" fillId="0" borderId="11" xfId="0" applyNumberFormat="1" applyBorder="1" applyAlignment="1">
      <alignment horizontal="center" vertical="center" wrapText="1"/>
    </xf>
    <xf numFmtId="0" fontId="17" fillId="0" borderId="0" xfId="29" applyFont="1" applyFill="1" applyAlignment="1">
      <alignment horizontal="center"/>
    </xf>
    <xf numFmtId="0" fontId="16" fillId="0" borderId="0" xfId="29" applyFont="1" applyFill="1" applyBorder="1" applyAlignment="1">
      <alignment horizontal="center" wrapText="1"/>
    </xf>
    <xf numFmtId="0" fontId="16" fillId="0" borderId="6" xfId="29" applyFont="1" applyFill="1" applyBorder="1" applyAlignment="1">
      <alignment horizontal="center" wrapText="1"/>
    </xf>
    <xf numFmtId="0" fontId="91" fillId="0" borderId="0" xfId="0" applyFont="1" applyAlignment="1">
      <alignment horizontal="center"/>
    </xf>
    <xf numFmtId="0" fontId="6" fillId="12" borderId="0" xfId="29" applyFont="1" applyFill="1" applyBorder="1" applyAlignment="1">
      <alignment horizontal="center" vertical="center" wrapText="1"/>
    </xf>
    <xf numFmtId="0" fontId="6" fillId="12" borderId="2" xfId="29" applyFont="1" applyFill="1" applyBorder="1" applyAlignment="1">
      <alignment horizontal="center" vertical="center" wrapText="1"/>
    </xf>
    <xf numFmtId="0" fontId="16" fillId="12" borderId="0" xfId="29" applyFont="1" applyFill="1" applyBorder="1" applyAlignment="1">
      <alignment horizontal="center" wrapText="1"/>
    </xf>
    <xf numFmtId="0" fontId="16" fillId="12" borderId="2" xfId="29" applyFont="1" applyFill="1" applyBorder="1" applyAlignment="1">
      <alignment horizontal="center" wrapText="1"/>
    </xf>
    <xf numFmtId="0" fontId="6" fillId="12" borderId="0" xfId="29" applyFont="1" applyFill="1" applyBorder="1" applyAlignment="1">
      <alignment horizontal="center" wrapText="1"/>
    </xf>
    <xf numFmtId="0" fontId="6" fillId="12" borderId="2" xfId="29" applyFont="1" applyFill="1" applyBorder="1" applyAlignment="1">
      <alignment horizontal="center" wrapText="1"/>
    </xf>
    <xf numFmtId="0" fontId="6" fillId="13" borderId="14" xfId="29" applyFont="1" applyFill="1" applyBorder="1" applyAlignment="1">
      <alignment horizontal="center"/>
    </xf>
    <xf numFmtId="0" fontId="6" fillId="13" borderId="4" xfId="29" applyFont="1" applyFill="1" applyBorder="1" applyAlignment="1">
      <alignment horizontal="center"/>
    </xf>
    <xf numFmtId="3" fontId="6" fillId="13" borderId="14" xfId="29" applyNumberFormat="1" applyFont="1" applyFill="1" applyBorder="1" applyAlignment="1">
      <alignment horizontal="center"/>
    </xf>
    <xf numFmtId="3" fontId="6" fillId="13" borderId="4" xfId="29" applyNumberFormat="1" applyFont="1" applyFill="1" applyBorder="1" applyAlignment="1">
      <alignment horizontal="center"/>
    </xf>
    <xf numFmtId="0" fontId="6" fillId="0" borderId="15" xfId="29" applyBorder="1" applyAlignment="1">
      <alignment horizontal="center"/>
    </xf>
    <xf numFmtId="0" fontId="16" fillId="12" borderId="0" xfId="29" applyFont="1" applyFill="1" applyBorder="1" applyAlignment="1">
      <alignment horizontal="left" wrapText="1"/>
    </xf>
    <xf numFmtId="0" fontId="16" fillId="12" borderId="10" xfId="29" applyFont="1" applyFill="1" applyBorder="1" applyAlignment="1">
      <alignment horizontal="left" wrapText="1"/>
    </xf>
    <xf numFmtId="0" fontId="16" fillId="12" borderId="2" xfId="29" applyFont="1" applyFill="1" applyBorder="1" applyAlignment="1">
      <alignment horizontal="left" wrapText="1"/>
    </xf>
    <xf numFmtId="0" fontId="16" fillId="12" borderId="13" xfId="29" applyFont="1" applyFill="1" applyBorder="1" applyAlignment="1">
      <alignment horizontal="left" wrapText="1"/>
    </xf>
    <xf numFmtId="0" fontId="16" fillId="12" borderId="12" xfId="29" applyFont="1" applyFill="1" applyBorder="1" applyAlignment="1">
      <alignment horizontal="left"/>
    </xf>
    <xf numFmtId="0" fontId="16" fillId="12" borderId="2" xfId="29" applyFont="1" applyFill="1" applyBorder="1" applyAlignment="1">
      <alignment horizontal="left"/>
    </xf>
    <xf numFmtId="0" fontId="16" fillId="12" borderId="12" xfId="29" applyFont="1" applyFill="1" applyBorder="1" applyAlignment="1">
      <alignment horizontal="center"/>
    </xf>
    <xf numFmtId="0" fontId="16" fillId="12" borderId="13" xfId="29" applyFont="1" applyFill="1" applyBorder="1" applyAlignment="1">
      <alignment horizontal="center"/>
    </xf>
    <xf numFmtId="3" fontId="6" fillId="17" borderId="14" xfId="29" applyNumberFormat="1" applyFont="1" applyFill="1" applyBorder="1" applyAlignment="1">
      <alignment horizontal="center"/>
    </xf>
    <xf numFmtId="3" fontId="6" fillId="17" borderId="4" xfId="29" applyNumberFormat="1" applyFont="1" applyFill="1" applyBorder="1" applyAlignment="1">
      <alignment horizontal="center"/>
    </xf>
    <xf numFmtId="0" fontId="6" fillId="0" borderId="4" xfId="29" applyBorder="1" applyAlignment="1">
      <alignment horizontal="center"/>
    </xf>
    <xf numFmtId="0" fontId="6" fillId="17" borderId="14" xfId="29" applyFont="1" applyFill="1" applyBorder="1" applyAlignment="1">
      <alignment horizontal="center"/>
    </xf>
    <xf numFmtId="0" fontId="6" fillId="17" borderId="4" xfId="29" applyFont="1" applyFill="1" applyBorder="1" applyAlignment="1">
      <alignment horizontal="center"/>
    </xf>
    <xf numFmtId="0" fontId="6" fillId="12" borderId="4" xfId="29" applyFont="1" applyFill="1" applyBorder="1" applyAlignment="1">
      <alignment horizontal="center" wrapText="1"/>
    </xf>
    <xf numFmtId="0" fontId="6" fillId="12" borderId="14" xfId="29" applyFont="1" applyFill="1" applyBorder="1" applyAlignment="1">
      <alignment horizontal="center" wrapText="1"/>
    </xf>
    <xf numFmtId="0" fontId="6" fillId="12" borderId="12" xfId="29" applyFont="1" applyFill="1" applyBorder="1" applyAlignment="1">
      <alignment horizontal="center" wrapText="1"/>
    </xf>
    <xf numFmtId="0" fontId="6" fillId="0" borderId="14" xfId="29" applyFill="1" applyBorder="1" applyAlignment="1">
      <alignment horizontal="center" wrapText="1"/>
    </xf>
    <xf numFmtId="0" fontId="6" fillId="0" borderId="4" xfId="29" applyFont="1" applyBorder="1" applyAlignment="1">
      <alignment wrapText="1"/>
    </xf>
    <xf numFmtId="181" fontId="70" fillId="0" borderId="14" xfId="9" applyNumberFormat="1" applyFont="1" applyFill="1" applyBorder="1" applyAlignment="1">
      <alignment horizontal="center" wrapText="1"/>
    </xf>
    <xf numFmtId="181" fontId="70" fillId="0" borderId="4" xfId="9" applyNumberFormat="1" applyFont="1" applyFill="1" applyBorder="1" applyAlignment="1">
      <alignment horizontal="center" wrapText="1"/>
    </xf>
    <xf numFmtId="0" fontId="32" fillId="0" borderId="14" xfId="29" applyFont="1" applyFill="1" applyBorder="1" applyAlignment="1">
      <alignment horizontal="center" wrapText="1"/>
    </xf>
    <xf numFmtId="0" fontId="32" fillId="0" borderId="15" xfId="29" applyFont="1" applyBorder="1" applyAlignment="1">
      <alignment wrapText="1"/>
    </xf>
    <xf numFmtId="181" fontId="32" fillId="0" borderId="14" xfId="9" applyNumberFormat="1" applyFont="1" applyFill="1" applyBorder="1" applyAlignment="1">
      <alignment horizontal="center" wrapText="1"/>
    </xf>
    <xf numFmtId="181" fontId="32" fillId="0" borderId="15" xfId="9" applyNumberFormat="1" applyFont="1" applyFill="1" applyBorder="1" applyAlignment="1">
      <alignment horizontal="center" wrapText="1"/>
    </xf>
    <xf numFmtId="0" fontId="32" fillId="0" borderId="14" xfId="29" applyFont="1" applyBorder="1" applyAlignment="1">
      <alignment horizontal="center" wrapText="1"/>
    </xf>
    <xf numFmtId="0" fontId="32" fillId="0" borderId="15" xfId="29" applyFont="1" applyBorder="1" applyAlignment="1">
      <alignment horizontal="center" wrapText="1"/>
    </xf>
    <xf numFmtId="0" fontId="34" fillId="0" borderId="14" xfId="29" applyFont="1" applyFill="1" applyBorder="1" applyAlignment="1">
      <alignment horizontal="center" wrapText="1"/>
    </xf>
    <xf numFmtId="0" fontId="34" fillId="0" borderId="15" xfId="29" applyFont="1" applyBorder="1" applyAlignment="1">
      <alignment wrapText="1"/>
    </xf>
    <xf numFmtId="181" fontId="34" fillId="0" borderId="14" xfId="9" applyNumberFormat="1" applyFont="1" applyFill="1" applyBorder="1" applyAlignment="1">
      <alignment horizontal="center" wrapText="1"/>
    </xf>
    <xf numFmtId="181" fontId="34" fillId="0" borderId="15" xfId="9" applyNumberFormat="1" applyFont="1" applyFill="1" applyBorder="1" applyAlignment="1">
      <alignment horizontal="center" wrapText="1"/>
    </xf>
    <xf numFmtId="0" fontId="34" fillId="0" borderId="14" xfId="29" applyFont="1" applyBorder="1" applyAlignment="1">
      <alignment horizontal="center" wrapText="1"/>
    </xf>
    <xf numFmtId="0" fontId="34" fillId="0" borderId="15" xfId="29" applyFont="1" applyBorder="1" applyAlignment="1">
      <alignment horizontal="center" wrapText="1"/>
    </xf>
    <xf numFmtId="0" fontId="91" fillId="0" borderId="29" xfId="325" applyFont="1" applyBorder="1" applyAlignment="1">
      <alignment horizontal="center"/>
    </xf>
    <xf numFmtId="0" fontId="70" fillId="0" borderId="30" xfId="325" applyBorder="1" applyAlignment="1">
      <alignment horizontal="center"/>
    </xf>
    <xf numFmtId="0" fontId="70" fillId="0" borderId="31" xfId="325" applyBorder="1" applyAlignment="1">
      <alignment horizontal="center"/>
    </xf>
    <xf numFmtId="0" fontId="135" fillId="0" borderId="0" xfId="325" applyFont="1" applyAlignment="1">
      <alignment horizontal="center"/>
    </xf>
    <xf numFmtId="0" fontId="70" fillId="0" borderId="0" xfId="325"/>
    <xf numFmtId="0" fontId="7" fillId="0" borderId="0" xfId="515" applyFont="1" applyAlignment="1">
      <alignment horizontal="left" vertical="top" wrapText="1" indent="1"/>
    </xf>
    <xf numFmtId="0" fontId="7" fillId="0" borderId="110" xfId="515" applyFont="1" applyBorder="1" applyAlignment="1">
      <alignment horizontal="left" vertical="top" wrapText="1" indent="1"/>
    </xf>
    <xf numFmtId="0" fontId="219" fillId="0" borderId="0" xfId="515" applyFont="1" applyAlignment="1">
      <alignment horizontal="left" vertical="top" wrapText="1"/>
    </xf>
    <xf numFmtId="0" fontId="185" fillId="0" borderId="0" xfId="515" applyAlignment="1">
      <alignment horizontal="left" vertical="top" wrapText="1"/>
    </xf>
    <xf numFmtId="0" fontId="7" fillId="0" borderId="102" xfId="515" applyFont="1" applyBorder="1" applyAlignment="1">
      <alignment horizontal="right" wrapText="1"/>
    </xf>
    <xf numFmtId="0" fontId="185" fillId="0" borderId="105" xfId="515" applyBorder="1" applyAlignment="1">
      <alignment horizontal="left" vertical="top" wrapText="1"/>
    </xf>
    <xf numFmtId="0" fontId="185" fillId="0" borderId="0" xfId="515" applyAlignment="1">
      <alignment horizontal="left" vertical="top" wrapText="1" indent="45"/>
    </xf>
    <xf numFmtId="0" fontId="209" fillId="0" borderId="0" xfId="515" applyFont="1" applyAlignment="1">
      <alignment horizontal="left" vertical="top" wrapText="1"/>
    </xf>
    <xf numFmtId="0" fontId="7" fillId="0" borderId="102" xfId="515" applyFont="1" applyBorder="1" applyAlignment="1">
      <alignment horizontal="right" vertical="center" wrapText="1"/>
    </xf>
    <xf numFmtId="0" fontId="7" fillId="0" borderId="105" xfId="515" applyFont="1" applyBorder="1" applyAlignment="1">
      <alignment horizontal="left" vertical="top" wrapText="1"/>
    </xf>
    <xf numFmtId="0" fontId="7" fillId="0" borderId="107" xfId="515" applyFont="1" applyBorder="1" applyAlignment="1">
      <alignment horizontal="left" vertical="top" wrapText="1"/>
    </xf>
    <xf numFmtId="0" fontId="7" fillId="0" borderId="109" xfId="515" applyFont="1" applyBorder="1" applyAlignment="1">
      <alignment horizontal="left" vertical="top" wrapText="1"/>
    </xf>
    <xf numFmtId="0" fontId="7" fillId="0" borderId="112" xfId="515" applyFont="1" applyBorder="1" applyAlignment="1">
      <alignment horizontal="left" vertical="top" wrapText="1"/>
    </xf>
    <xf numFmtId="0" fontId="7" fillId="0" borderId="0" xfId="515" applyFont="1" applyAlignment="1">
      <alignment horizontal="left" vertical="top" wrapText="1"/>
    </xf>
    <xf numFmtId="0" fontId="7" fillId="0" borderId="113" xfId="515" applyFont="1" applyBorder="1" applyAlignment="1">
      <alignment horizontal="left" vertical="top" wrapText="1"/>
    </xf>
    <xf numFmtId="0" fontId="0" fillId="34" borderId="33" xfId="0" applyFill="1" applyBorder="1" applyAlignment="1">
      <alignment horizontal="center" vertical="top" wrapText="1"/>
    </xf>
    <xf numFmtId="0" fontId="0" fillId="34" borderId="34" xfId="0" applyFill="1" applyBorder="1" applyAlignment="1">
      <alignment horizontal="center" vertical="top" wrapText="1"/>
    </xf>
    <xf numFmtId="0" fontId="0" fillId="34" borderId="35" xfId="0" applyFill="1" applyBorder="1" applyAlignment="1">
      <alignment horizontal="center" vertical="top" wrapText="1"/>
    </xf>
    <xf numFmtId="0" fontId="0" fillId="0" borderId="0" xfId="0" applyFill="1" applyAlignment="1">
      <alignment horizontal="left" vertical="center" wrapText="1"/>
    </xf>
    <xf numFmtId="0" fontId="133" fillId="0" borderId="16" xfId="0" applyFont="1" applyFill="1" applyBorder="1" applyAlignment="1">
      <alignment horizontal="center" vertical="top"/>
    </xf>
    <xf numFmtId="0" fontId="132" fillId="0" borderId="16" xfId="0" applyFont="1" applyFill="1" applyBorder="1" applyAlignment="1">
      <alignment horizontal="center" vertical="top"/>
    </xf>
    <xf numFmtId="0" fontId="127" fillId="34" borderId="16" xfId="0" applyFont="1" applyFill="1" applyBorder="1" applyAlignment="1">
      <alignment horizontal="left" vertical="top" wrapText="1"/>
    </xf>
    <xf numFmtId="0" fontId="91" fillId="0" borderId="16" xfId="0" applyFont="1" applyBorder="1" applyAlignment="1">
      <alignment horizontal="center"/>
    </xf>
    <xf numFmtId="0" fontId="133" fillId="0" borderId="16" xfId="0" applyFont="1" applyFill="1" applyBorder="1" applyAlignment="1">
      <alignment horizontal="left" vertical="top"/>
    </xf>
    <xf numFmtId="0" fontId="133" fillId="0" borderId="16" xfId="0" applyFont="1" applyFill="1" applyBorder="1" applyAlignment="1">
      <alignment horizontal="center" vertical="top" wrapText="1"/>
    </xf>
    <xf numFmtId="0" fontId="0" fillId="0" borderId="0" xfId="0" applyAlignment="1">
      <alignment horizontal="left" vertical="center" wrapText="1"/>
    </xf>
    <xf numFmtId="0" fontId="133" fillId="0" borderId="33" xfId="0" applyFont="1" applyFill="1" applyBorder="1" applyAlignment="1">
      <alignment horizontal="center" vertical="top"/>
    </xf>
    <xf numFmtId="0" fontId="133" fillId="0" borderId="34" xfId="0" applyFont="1" applyFill="1" applyBorder="1" applyAlignment="1">
      <alignment horizontal="center" vertical="top"/>
    </xf>
    <xf numFmtId="0" fontId="133" fillId="0" borderId="35" xfId="0" applyFont="1" applyFill="1" applyBorder="1" applyAlignment="1">
      <alignment horizontal="center" vertical="top"/>
    </xf>
    <xf numFmtId="0" fontId="133" fillId="0" borderId="16" xfId="0" applyFont="1" applyFill="1" applyBorder="1" applyAlignment="1">
      <alignment horizontal="left" vertical="top" wrapText="1"/>
    </xf>
    <xf numFmtId="0" fontId="91" fillId="0" borderId="16" xfId="0" applyFont="1" applyFill="1" applyBorder="1" applyAlignment="1">
      <alignment horizontal="center" wrapText="1"/>
    </xf>
    <xf numFmtId="0" fontId="0" fillId="0" borderId="16" xfId="0" applyBorder="1" applyAlignment="1">
      <alignment horizontal="center" vertical="center"/>
    </xf>
    <xf numFmtId="0" fontId="91" fillId="0" borderId="33" xfId="0" applyFont="1" applyFill="1" applyBorder="1" applyAlignment="1">
      <alignment horizontal="center" vertical="top"/>
    </xf>
    <xf numFmtId="0" fontId="91" fillId="0" borderId="34" xfId="0" applyFont="1" applyFill="1" applyBorder="1" applyAlignment="1">
      <alignment horizontal="center" vertical="top"/>
    </xf>
    <xf numFmtId="0" fontId="91" fillId="0" borderId="35" xfId="0" applyFont="1" applyFill="1" applyBorder="1" applyAlignment="1">
      <alignment horizontal="center" vertical="top"/>
    </xf>
    <xf numFmtId="0" fontId="133" fillId="0" borderId="8" xfId="0" applyFont="1" applyFill="1" applyBorder="1" applyAlignment="1">
      <alignment horizontal="left" vertical="top"/>
    </xf>
    <xf numFmtId="0" fontId="133" fillId="0" borderId="11" xfId="0" applyFont="1" applyFill="1" applyBorder="1" applyAlignment="1">
      <alignment horizontal="left" vertical="top"/>
    </xf>
    <xf numFmtId="0" fontId="133" fillId="0" borderId="8" xfId="0" applyFont="1" applyFill="1" applyBorder="1" applyAlignment="1">
      <alignment horizontal="center" vertical="top" wrapText="1"/>
    </xf>
    <xf numFmtId="0" fontId="133" fillId="0" borderId="11" xfId="0" applyFont="1" applyFill="1" applyBorder="1" applyAlignment="1">
      <alignment horizontal="center" vertical="top" wrapText="1"/>
    </xf>
    <xf numFmtId="0" fontId="0" fillId="0" borderId="16" xfId="0" applyFill="1" applyBorder="1" applyAlignment="1">
      <alignment horizontal="left" vertical="top" wrapText="1"/>
    </xf>
    <xf numFmtId="0" fontId="91" fillId="0" borderId="0" xfId="0" applyFont="1" applyBorder="1" applyAlignment="1">
      <alignment horizontal="center" vertical="center"/>
    </xf>
    <xf numFmtId="0" fontId="16" fillId="0" borderId="0" xfId="44" applyFont="1" applyFill="1" applyAlignment="1" applyProtection="1">
      <alignment vertical="top" wrapText="1" readingOrder="1"/>
      <protection locked="0"/>
    </xf>
    <xf numFmtId="0" fontId="6" fillId="0" borderId="0" xfId="44" applyFont="1" applyFill="1" applyAlignment="1" applyProtection="1">
      <alignment vertical="top" wrapText="1"/>
      <protection locked="0"/>
    </xf>
    <xf numFmtId="0" fontId="159" fillId="0" borderId="0" xfId="44" applyFont="1" applyFill="1" applyAlignment="1" applyProtection="1">
      <alignment vertical="top" wrapText="1" readingOrder="1"/>
      <protection locked="0"/>
    </xf>
    <xf numFmtId="0" fontId="159" fillId="0" borderId="0" xfId="44" applyFont="1" applyFill="1" applyBorder="1" applyAlignment="1" applyProtection="1">
      <alignment horizontal="center" vertical="top" wrapText="1" readingOrder="1"/>
      <protection locked="0"/>
    </xf>
    <xf numFmtId="0" fontId="6" fillId="0" borderId="0" xfId="44" applyFont="1" applyFill="1" applyBorder="1" applyAlignment="1" applyProtection="1">
      <alignment vertical="top" wrapText="1"/>
      <protection locked="0"/>
    </xf>
    <xf numFmtId="0" fontId="159" fillId="0" borderId="0" xfId="44" applyFont="1" applyFill="1" applyBorder="1" applyAlignment="1" applyProtection="1">
      <alignment horizontal="right" vertical="top" wrapText="1" readingOrder="1"/>
      <protection locked="0"/>
    </xf>
    <xf numFmtId="0" fontId="8" fillId="0" borderId="0" xfId="44" applyFont="1" applyFill="1" applyBorder="1" applyAlignment="1" applyProtection="1">
      <alignment horizontal="center" vertical="top" wrapText="1" readingOrder="1"/>
      <protection locked="0"/>
    </xf>
    <xf numFmtId="0" fontId="8" fillId="0" borderId="0" xfId="44" applyFont="1" applyFill="1" applyBorder="1" applyAlignment="1" applyProtection="1">
      <alignment horizontal="right" vertical="top" wrapText="1" readingOrder="1"/>
      <protection locked="0"/>
    </xf>
    <xf numFmtId="0" fontId="0" fillId="0" borderId="61" xfId="0" applyBorder="1" applyAlignment="1">
      <alignment horizontal="center"/>
    </xf>
    <xf numFmtId="0" fontId="0" fillId="0" borderId="62" xfId="0" applyBorder="1" applyAlignment="1">
      <alignment horizontal="center"/>
    </xf>
    <xf numFmtId="0" fontId="0" fillId="0" borderId="91" xfId="0" applyBorder="1" applyAlignment="1">
      <alignment horizontal="center"/>
    </xf>
  </cellXfs>
  <cellStyles count="519">
    <cellStyle name="20% - Accent2 2" xfId="188" xr:uid="{00000000-0005-0000-0000-000000000000}"/>
    <cellStyle name="20% - Accent2 3" xfId="324" xr:uid="{00000000-0005-0000-0000-000001000000}"/>
    <cellStyle name="20% - Accent2 4" xfId="173" xr:uid="{00000000-0005-0000-0000-000002000000}"/>
    <cellStyle name="5x indented GHG Textfiels" xfId="208" xr:uid="{00000000-0005-0000-0000-000003000000}"/>
    <cellStyle name="Accent2" xfId="76" builtinId="33"/>
    <cellStyle name="Accent4" xfId="77" builtinId="41"/>
    <cellStyle name="Advanced user input" xfId="79" xr:uid="{00000000-0005-0000-0000-000006000000}"/>
    <cellStyle name="AggblueCels_1x" xfId="209" xr:uid="{00000000-0005-0000-0000-000007000000}"/>
    <cellStyle name="Bad" xfId="1" builtinId="27"/>
    <cellStyle name="Bad 2" xfId="46" xr:uid="{00000000-0005-0000-0000-000009000000}"/>
    <cellStyle name="Bad 3" xfId="181" xr:uid="{00000000-0005-0000-0000-00000A000000}"/>
    <cellStyle name="Bad 4" xfId="295" xr:uid="{00000000-0005-0000-0000-00000B000000}"/>
    <cellStyle name="Bad 5" xfId="423" xr:uid="{00000000-0005-0000-0000-00000C000000}"/>
    <cellStyle name="Bad 6" xfId="142" xr:uid="{00000000-0005-0000-0000-00000D000000}"/>
    <cellStyle name="Basic User Data Input" xfId="80" xr:uid="{00000000-0005-0000-0000-00000E000000}"/>
    <cellStyle name="Basic User Selection" xfId="81" xr:uid="{00000000-0005-0000-0000-00000F000000}"/>
    <cellStyle name="Bold GHG Numbers (0.00)" xfId="210" xr:uid="{00000000-0005-0000-0000-000010000000}"/>
    <cellStyle name="Bold GHG Numbers (0.00) 2" xfId="468" xr:uid="{00000000-0005-0000-0000-000011000000}"/>
    <cellStyle name="Calc" xfId="2" xr:uid="{00000000-0005-0000-0000-000012000000}"/>
    <cellStyle name="Calc 2" xfId="146" xr:uid="{00000000-0005-0000-0000-000013000000}"/>
    <cellStyle name="Calculation" xfId="3" builtinId="22"/>
    <cellStyle name="Calculation 2" xfId="47" xr:uid="{00000000-0005-0000-0000-000015000000}"/>
    <cellStyle name="Calculation 3" xfId="313" xr:uid="{00000000-0005-0000-0000-000016000000}"/>
    <cellStyle name="Calculation 4" xfId="159" xr:uid="{00000000-0005-0000-0000-000017000000}"/>
    <cellStyle name="Comma" xfId="4" xr:uid="{00000000-0005-0000-0000-000018000000}"/>
    <cellStyle name="Comma  - Style1" xfId="48" xr:uid="{00000000-0005-0000-0000-000019000000}"/>
    <cellStyle name="Comma  - Style2" xfId="49" xr:uid="{00000000-0005-0000-0000-00001A000000}"/>
    <cellStyle name="Comma  - Style3" xfId="50" xr:uid="{00000000-0005-0000-0000-00001B000000}"/>
    <cellStyle name="Comma  - Style4" xfId="51" xr:uid="{00000000-0005-0000-0000-00001C000000}"/>
    <cellStyle name="Comma  - Style5" xfId="52" xr:uid="{00000000-0005-0000-0000-00001D000000}"/>
    <cellStyle name="Comma  - Style6" xfId="53" xr:uid="{00000000-0005-0000-0000-00001E000000}"/>
    <cellStyle name="Comma  - Style7" xfId="54" xr:uid="{00000000-0005-0000-0000-00001F000000}"/>
    <cellStyle name="Comma  - Style8" xfId="55" xr:uid="{00000000-0005-0000-0000-000020000000}"/>
    <cellStyle name="Comma 10" xfId="356" xr:uid="{00000000-0005-0000-0000-000021000000}"/>
    <cellStyle name="Comma 10 2" xfId="487" xr:uid="{CA563D39-4D4E-45AF-B692-1A5AD387D273}"/>
    <cellStyle name="Comma 11" xfId="358" xr:uid="{00000000-0005-0000-0000-000022000000}"/>
    <cellStyle name="Comma 11 2" xfId="488" xr:uid="{AB0760CD-6F9B-4474-92B2-BE3D635941A2}"/>
    <cellStyle name="Comma 12" xfId="360" xr:uid="{00000000-0005-0000-0000-000023000000}"/>
    <cellStyle name="Comma 12 2" xfId="489" xr:uid="{AC7E709B-4F03-40C4-81E1-D91E72E3A1DD}"/>
    <cellStyle name="Comma 13" xfId="362" xr:uid="{00000000-0005-0000-0000-000024000000}"/>
    <cellStyle name="Comma 13 2" xfId="490" xr:uid="{978182AD-68D6-4C68-939B-B9691FB4A87C}"/>
    <cellStyle name="Comma 14" xfId="364" xr:uid="{00000000-0005-0000-0000-000025000000}"/>
    <cellStyle name="Comma 14 2" xfId="491" xr:uid="{D4EECAAD-1FEC-4F9F-B00A-8BC44A371902}"/>
    <cellStyle name="Comma 15" xfId="366" xr:uid="{00000000-0005-0000-0000-000026000000}"/>
    <cellStyle name="Comma 15 2" xfId="492" xr:uid="{4C8A110C-EE36-4F9D-8A9C-A20802EF0CD6}"/>
    <cellStyle name="Comma 16" xfId="368" xr:uid="{00000000-0005-0000-0000-000027000000}"/>
    <cellStyle name="Comma 16 2" xfId="493" xr:uid="{E5EBF6AD-98AA-4D4C-8467-D507FD2483E5}"/>
    <cellStyle name="Comma 17" xfId="370" xr:uid="{00000000-0005-0000-0000-000028000000}"/>
    <cellStyle name="Comma 17 2" xfId="494" xr:uid="{B4866611-0432-45ED-A92F-0303B980DE50}"/>
    <cellStyle name="Comma 18" xfId="372" xr:uid="{00000000-0005-0000-0000-000029000000}"/>
    <cellStyle name="Comma 18 2" xfId="495" xr:uid="{5AD8F4AF-FD9F-4059-A5CF-91FF54576AEE}"/>
    <cellStyle name="Comma 19" xfId="374" xr:uid="{00000000-0005-0000-0000-00002A000000}"/>
    <cellStyle name="Comma 19 2" xfId="496" xr:uid="{169D5CFF-42F2-441B-B93F-2594F426D446}"/>
    <cellStyle name="Comma 2" xfId="5" xr:uid="{00000000-0005-0000-0000-00002B000000}"/>
    <cellStyle name="Comma 2 2" xfId="6" xr:uid="{00000000-0005-0000-0000-00002C000000}"/>
    <cellStyle name="Comma 2 2 2" xfId="115" xr:uid="{00000000-0005-0000-0000-00002D000000}"/>
    <cellStyle name="Comma 2 2 2 2" xfId="212" xr:uid="{00000000-0005-0000-0000-00002E000000}"/>
    <cellStyle name="Comma 2 2 2 2 2" xfId="481" xr:uid="{81AAE568-BBB6-45C4-90BD-537AEBFC7034}"/>
    <cellStyle name="Comma 2 2 3" xfId="302" xr:uid="{00000000-0005-0000-0000-00002F000000}"/>
    <cellStyle name="Comma 2 2 4" xfId="140" xr:uid="{00000000-0005-0000-0000-000030000000}"/>
    <cellStyle name="Comma 2 2 5" xfId="471" xr:uid="{E5ED3C13-9827-4936-BBB7-CCF61EA38660}"/>
    <cellStyle name="Comma 2 3" xfId="82" xr:uid="{00000000-0005-0000-0000-000031000000}"/>
    <cellStyle name="Comma 2 3 2" xfId="213" xr:uid="{00000000-0005-0000-0000-000032000000}"/>
    <cellStyle name="Comma 2 3 2 2" xfId="482" xr:uid="{142AA1F2-4BA2-4EB3-B21A-77F519CA643E}"/>
    <cellStyle name="Comma 2 3 3" xfId="477" xr:uid="{9840C7A0-32E3-4FEA-B8EC-977985B7A536}"/>
    <cellStyle name="Comma 2 4" xfId="111" xr:uid="{00000000-0005-0000-0000-000033000000}"/>
    <cellStyle name="Comma 2 4 2" xfId="339" xr:uid="{00000000-0005-0000-0000-000034000000}"/>
    <cellStyle name="Comma 2 4 3" xfId="214" xr:uid="{00000000-0005-0000-0000-000035000000}"/>
    <cellStyle name="Comma 2 5" xfId="211" xr:uid="{00000000-0005-0000-0000-000036000000}"/>
    <cellStyle name="Comma 2 5 2" xfId="480" xr:uid="{D94028BF-66BA-47AB-B76A-8FEB842BF5A9}"/>
    <cellStyle name="Comma 2 6" xfId="407" xr:uid="{00000000-0005-0000-0000-000037000000}"/>
    <cellStyle name="Comma 2 7" xfId="430" xr:uid="{00000000-0005-0000-0000-000038000000}"/>
    <cellStyle name="Comma 2 8" xfId="136" xr:uid="{00000000-0005-0000-0000-000039000000}"/>
    <cellStyle name="Comma 2 9" xfId="121" xr:uid="{00000000-0005-0000-0000-00003A000000}"/>
    <cellStyle name="Comma 20" xfId="376" xr:uid="{00000000-0005-0000-0000-00003B000000}"/>
    <cellStyle name="Comma 20 2" xfId="497" xr:uid="{6D5F080A-8081-4BB7-83B0-38AF4B731E0A}"/>
    <cellStyle name="Comma 21" xfId="377" xr:uid="{00000000-0005-0000-0000-00003C000000}"/>
    <cellStyle name="Comma 21 2" xfId="498" xr:uid="{B8CA2C09-3775-4181-B2AC-461511AF5006}"/>
    <cellStyle name="Comma 22" xfId="380" xr:uid="{00000000-0005-0000-0000-00003D000000}"/>
    <cellStyle name="Comma 22 2" xfId="499" xr:uid="{2F12410C-3A68-4F6E-980D-05F46BD8EDA8}"/>
    <cellStyle name="Comma 23" xfId="383" xr:uid="{00000000-0005-0000-0000-00003E000000}"/>
    <cellStyle name="Comma 23 2" xfId="500" xr:uid="{13E8175D-03F4-4F0D-A977-C5A5D0B2EE31}"/>
    <cellStyle name="Comma 24" xfId="385" xr:uid="{00000000-0005-0000-0000-00003F000000}"/>
    <cellStyle name="Comma 24 2" xfId="501" xr:uid="{D4FE05F9-69AA-42C2-9D5E-92BBC7D7A9BB}"/>
    <cellStyle name="Comma 25" xfId="387" xr:uid="{00000000-0005-0000-0000-000040000000}"/>
    <cellStyle name="Comma 25 2" xfId="502" xr:uid="{ABC5F5D0-F9BF-4F34-B299-FC36B265FEB6}"/>
    <cellStyle name="Comma 26" xfId="389" xr:uid="{00000000-0005-0000-0000-000041000000}"/>
    <cellStyle name="Comma 26 2" xfId="503" xr:uid="{9EB68B00-BE87-4769-BC0A-604207F4ED02}"/>
    <cellStyle name="Comma 27" xfId="391" xr:uid="{00000000-0005-0000-0000-000042000000}"/>
    <cellStyle name="Comma 27 2" xfId="504" xr:uid="{676EC42A-660A-4E91-8F49-28235C1DD653}"/>
    <cellStyle name="Comma 28" xfId="393" xr:uid="{00000000-0005-0000-0000-000043000000}"/>
    <cellStyle name="Comma 28 2" xfId="505" xr:uid="{CB2BC0E0-2D93-47C4-8678-4B937B3D8FC3}"/>
    <cellStyle name="Comma 29" xfId="395" xr:uid="{00000000-0005-0000-0000-000044000000}"/>
    <cellStyle name="Comma 29 2" xfId="506" xr:uid="{9AC8D854-F50A-40D7-8DE2-746E31BA2401}"/>
    <cellStyle name="Comma 3" xfId="7" xr:uid="{00000000-0005-0000-0000-000045000000}"/>
    <cellStyle name="Comma 3 2" xfId="8" xr:uid="{00000000-0005-0000-0000-000046000000}"/>
    <cellStyle name="Comma 3 2 2" xfId="96" xr:uid="{00000000-0005-0000-0000-000047000000}"/>
    <cellStyle name="Comma 3 2 2 2" xfId="118" xr:uid="{00000000-0005-0000-0000-000048000000}"/>
    <cellStyle name="Comma 3 2 3" xfId="168" xr:uid="{00000000-0005-0000-0000-000049000000}"/>
    <cellStyle name="Comma 3 2 4" xfId="473" xr:uid="{98574A4C-D39C-4823-88AF-34705AE6F53A}"/>
    <cellStyle name="Comma 3 3" xfId="97" xr:uid="{00000000-0005-0000-0000-00004A000000}"/>
    <cellStyle name="Comma 3 3 2" xfId="116" xr:uid="{00000000-0005-0000-0000-00004B000000}"/>
    <cellStyle name="Comma 3 3 3" xfId="277" xr:uid="{00000000-0005-0000-0000-00004C000000}"/>
    <cellStyle name="Comma 3 3 3 2" xfId="483" xr:uid="{3BAA6BF1-6B87-4F84-B480-6D2A798EEA3A}"/>
    <cellStyle name="Comma 3 4" xfId="299" xr:uid="{00000000-0005-0000-0000-00004D000000}"/>
    <cellStyle name="Comma 3 5" xfId="411" xr:uid="{00000000-0005-0000-0000-00004E000000}"/>
    <cellStyle name="Comma 3 6" xfId="431" xr:uid="{00000000-0005-0000-0000-00004F000000}"/>
    <cellStyle name="Comma 3 7" xfId="124" xr:uid="{00000000-0005-0000-0000-000050000000}"/>
    <cellStyle name="Comma 3 8" xfId="472" xr:uid="{8B275AE0-EAB4-4EC4-B7D6-9AEB0C05C2F3}"/>
    <cellStyle name="Comma 30" xfId="397" xr:uid="{00000000-0005-0000-0000-000051000000}"/>
    <cellStyle name="Comma 30 2" xfId="507" xr:uid="{F664E3B6-D47B-4BE3-80E4-9FC686D4E8A0}"/>
    <cellStyle name="Comma 31" xfId="399" xr:uid="{00000000-0005-0000-0000-000052000000}"/>
    <cellStyle name="Comma 31 2" xfId="508" xr:uid="{2936BCD2-F518-4D67-BCBE-F705A55ACA0E}"/>
    <cellStyle name="Comma 32" xfId="401" xr:uid="{00000000-0005-0000-0000-000053000000}"/>
    <cellStyle name="Comma 32 2" xfId="509" xr:uid="{D28F122B-89F7-4576-89C0-9E4CE0CF2B99}"/>
    <cellStyle name="Comma 33" xfId="403" xr:uid="{00000000-0005-0000-0000-000054000000}"/>
    <cellStyle name="Comma 33 2" xfId="510" xr:uid="{4AC38531-DA55-4C3A-A564-1F273183D6B2}"/>
    <cellStyle name="Comma 34" xfId="404" xr:uid="{00000000-0005-0000-0000-000055000000}"/>
    <cellStyle name="Comma 34 2" xfId="511" xr:uid="{23A2FA7B-DC55-4FEA-91DE-5B25071321C5}"/>
    <cellStyle name="Comma 35" xfId="415" xr:uid="{00000000-0005-0000-0000-000056000000}"/>
    <cellStyle name="Comma 36" xfId="425" xr:uid="{00000000-0005-0000-0000-000057000000}"/>
    <cellStyle name="Comma 37" xfId="433" xr:uid="{00000000-0005-0000-0000-000058000000}"/>
    <cellStyle name="Comma 38" xfId="429" xr:uid="{00000000-0005-0000-0000-000059000000}"/>
    <cellStyle name="Comma 39" xfId="435" xr:uid="{00000000-0005-0000-0000-00005A000000}"/>
    <cellStyle name="Comma 4" xfId="9" xr:uid="{00000000-0005-0000-0000-00005B000000}"/>
    <cellStyle name="Comma 4 2" xfId="413" xr:uid="{00000000-0005-0000-0000-00005C000000}"/>
    <cellStyle name="Comma 4 3" xfId="144" xr:uid="{00000000-0005-0000-0000-00005D000000}"/>
    <cellStyle name="Comma 4 3 2" xfId="479" xr:uid="{89BED4D8-4EB3-4B54-9090-63FCFB8409DE}"/>
    <cellStyle name="Comma 4 4" xfId="125" xr:uid="{00000000-0005-0000-0000-00005E000000}"/>
    <cellStyle name="Comma 4 5" xfId="474" xr:uid="{769C55CE-62C1-48EC-AE12-6014BF8D59CA}"/>
    <cellStyle name="Comma 40" xfId="432" xr:uid="{00000000-0005-0000-0000-00005F000000}"/>
    <cellStyle name="Comma 41" xfId="439" xr:uid="{00000000-0005-0000-0000-000060000000}"/>
    <cellStyle name="Comma 42" xfId="441" xr:uid="{00000000-0005-0000-0000-000061000000}"/>
    <cellStyle name="Comma 43" xfId="443" xr:uid="{00000000-0005-0000-0000-000062000000}"/>
    <cellStyle name="Comma 44" xfId="445" xr:uid="{00000000-0005-0000-0000-000063000000}"/>
    <cellStyle name="Comma 45" xfId="447" xr:uid="{00000000-0005-0000-0000-000064000000}"/>
    <cellStyle name="Comma 46" xfId="449" xr:uid="{00000000-0005-0000-0000-000065000000}"/>
    <cellStyle name="Comma 47" xfId="451" xr:uid="{00000000-0005-0000-0000-000066000000}"/>
    <cellStyle name="Comma 48" xfId="453" xr:uid="{00000000-0005-0000-0000-000067000000}"/>
    <cellStyle name="Comma 49" xfId="455" xr:uid="{00000000-0005-0000-0000-000068000000}"/>
    <cellStyle name="Comma 5" xfId="45" xr:uid="{00000000-0005-0000-0000-000069000000}"/>
    <cellStyle name="Comma 5 2" xfId="117" xr:uid="{00000000-0005-0000-0000-00006A000000}"/>
    <cellStyle name="Comma 5 2 2" xfId="417" xr:uid="{00000000-0005-0000-0000-00006B000000}"/>
    <cellStyle name="Comma 5 3" xfId="434" xr:uid="{00000000-0005-0000-0000-00006C000000}"/>
    <cellStyle name="Comma 5 4" xfId="176" xr:uid="{00000000-0005-0000-0000-00006D000000}"/>
    <cellStyle name="Comma 5 5" xfId="129" xr:uid="{00000000-0005-0000-0000-00006E000000}"/>
    <cellStyle name="Comma 50" xfId="457" xr:uid="{00000000-0005-0000-0000-00006F000000}"/>
    <cellStyle name="Comma 51" xfId="459" xr:uid="{00000000-0005-0000-0000-000070000000}"/>
    <cellStyle name="Comma 52" xfId="461" xr:uid="{00000000-0005-0000-0000-000071000000}"/>
    <cellStyle name="Comma 53" xfId="135" xr:uid="{00000000-0005-0000-0000-000072000000}"/>
    <cellStyle name="Comma 54" xfId="152" xr:uid="{00000000-0005-0000-0000-000073000000}"/>
    <cellStyle name="Comma 55" xfId="466" xr:uid="{00000000-0005-0000-0000-000074000000}"/>
    <cellStyle name="Comma 56" xfId="127" xr:uid="{00000000-0005-0000-0000-000075000000}"/>
    <cellStyle name="Comma 57" xfId="470" xr:uid="{8C1EEEF2-74DD-4465-991A-7CF2778DDECA}"/>
    <cellStyle name="Comma 58" xfId="475" xr:uid="{2557C24E-24A0-45E9-9117-6ECB8F4732AA}"/>
    <cellStyle name="Comma 59" xfId="514" xr:uid="{3219BBA0-99EE-4C4E-AB28-9070BD3A8800}"/>
    <cellStyle name="Comma 6" xfId="113" xr:uid="{00000000-0005-0000-0000-000076000000}"/>
    <cellStyle name="Comma 6 2" xfId="420" xr:uid="{00000000-0005-0000-0000-000077000000}"/>
    <cellStyle name="Comma 6 3" xfId="436" xr:uid="{00000000-0005-0000-0000-000078000000}"/>
    <cellStyle name="Comma 6 4" xfId="296" xr:uid="{00000000-0005-0000-0000-000079000000}"/>
    <cellStyle name="Comma 6 5" xfId="132" xr:uid="{00000000-0005-0000-0000-00007A000000}"/>
    <cellStyle name="Comma 60" xfId="513" xr:uid="{D245A99C-8365-413C-8939-66C9EE396CDD}"/>
    <cellStyle name="Comma 61" xfId="512" xr:uid="{7AD9B848-0C0C-4666-8B2E-4D35995455DF}"/>
    <cellStyle name="Comma 62" xfId="516" xr:uid="{058BFAED-065D-4BF1-BBAF-C2827CA4DC32}"/>
    <cellStyle name="Comma 7" xfId="114" xr:uid="{00000000-0005-0000-0000-00007B000000}"/>
    <cellStyle name="Comma 7 2" xfId="421" xr:uid="{00000000-0005-0000-0000-00007C000000}"/>
    <cellStyle name="Comma 7 3" xfId="437" xr:uid="{00000000-0005-0000-0000-00007D000000}"/>
    <cellStyle name="Comma 7 4" xfId="305" xr:uid="{00000000-0005-0000-0000-00007E000000}"/>
    <cellStyle name="Comma 7 4 2" xfId="484" xr:uid="{73B46F14-A38F-498E-9B59-5F130D234945}"/>
    <cellStyle name="Comma 7 5" xfId="133" xr:uid="{00000000-0005-0000-0000-00007F000000}"/>
    <cellStyle name="Comma 8" xfId="352" xr:uid="{00000000-0005-0000-0000-000080000000}"/>
    <cellStyle name="Comma 8 2" xfId="485" xr:uid="{D6B3E5B0-7144-4018-AFB6-FAE630BE7B3F}"/>
    <cellStyle name="Comma 9" xfId="354" xr:uid="{00000000-0005-0000-0000-000081000000}"/>
    <cellStyle name="Comma 9 2" xfId="486" xr:uid="{F798B9CF-F767-4207-9F79-330B7AA5DB3E}"/>
    <cellStyle name="Comma0" xfId="56" xr:uid="{00000000-0005-0000-0000-000082000000}"/>
    <cellStyle name="Cover" xfId="215" xr:uid="{00000000-0005-0000-0000-000083000000}"/>
    <cellStyle name="Curr ($1,234.00) L Black" xfId="106" xr:uid="{00000000-0005-0000-0000-000084000000}"/>
    <cellStyle name="Curr (1,234.00) L Black" xfId="105" xr:uid="{00000000-0005-0000-0000-000085000000}"/>
    <cellStyle name="Currency 2" xfId="98" xr:uid="{00000000-0005-0000-0000-000086000000}"/>
    <cellStyle name="Currency 2 2" xfId="378" xr:uid="{00000000-0005-0000-0000-000087000000}"/>
    <cellStyle name="Currency0" xfId="57" xr:uid="{00000000-0005-0000-0000-000088000000}"/>
    <cellStyle name="Date" xfId="58" xr:uid="{00000000-0005-0000-0000-000089000000}"/>
    <cellStyle name="Dezimal [0]_Tfz-Anzahl" xfId="216" xr:uid="{00000000-0005-0000-0000-00008A000000}"/>
    <cellStyle name="Dezimal_Tfz-Anzahl" xfId="217" xr:uid="{00000000-0005-0000-0000-00008B000000}"/>
    <cellStyle name="Euro" xfId="218" xr:uid="{00000000-0005-0000-0000-00008C000000}"/>
    <cellStyle name="Excel Built-in Normal" xfId="10" xr:uid="{00000000-0005-0000-0000-00008D000000}"/>
    <cellStyle name="Excel Built-in Normal 2" xfId="11" xr:uid="{00000000-0005-0000-0000-00008E000000}"/>
    <cellStyle name="Excel Built-in Normal 2 2" xfId="148" xr:uid="{00000000-0005-0000-0000-00008F000000}"/>
    <cellStyle name="Excel Built-in Normal 3" xfId="147" xr:uid="{00000000-0005-0000-0000-000090000000}"/>
    <cellStyle name="Excel_BuiltIn_Comma" xfId="12" xr:uid="{00000000-0005-0000-0000-000091000000}"/>
    <cellStyle name="External" xfId="13" xr:uid="{00000000-0005-0000-0000-000092000000}"/>
    <cellStyle name="External 2" xfId="143" xr:uid="{00000000-0005-0000-0000-000093000000}"/>
    <cellStyle name="F2" xfId="59" xr:uid="{00000000-0005-0000-0000-000094000000}"/>
    <cellStyle name="F3" xfId="60" xr:uid="{00000000-0005-0000-0000-000095000000}"/>
    <cellStyle name="F4" xfId="61" xr:uid="{00000000-0005-0000-0000-000096000000}"/>
    <cellStyle name="F5" xfId="62" xr:uid="{00000000-0005-0000-0000-000097000000}"/>
    <cellStyle name="F6" xfId="63" xr:uid="{00000000-0005-0000-0000-000098000000}"/>
    <cellStyle name="F7" xfId="64" xr:uid="{00000000-0005-0000-0000-000099000000}"/>
    <cellStyle name="F8" xfId="65" xr:uid="{00000000-0005-0000-0000-00009A000000}"/>
    <cellStyle name="Fixed" xfId="66" xr:uid="{00000000-0005-0000-0000-00009B000000}"/>
    <cellStyle name="Good" xfId="14" builtinId="26"/>
    <cellStyle name="Good 2" xfId="67" xr:uid="{00000000-0005-0000-0000-00009D000000}"/>
    <cellStyle name="Header1" xfId="68" xr:uid="{00000000-0005-0000-0000-00009E000000}"/>
    <cellStyle name="Header1 2" xfId="177" xr:uid="{00000000-0005-0000-0000-00009F000000}"/>
    <cellStyle name="Header2" xfId="69" xr:uid="{00000000-0005-0000-0000-0000A0000000}"/>
    <cellStyle name="Header2 2" xfId="178" xr:uid="{00000000-0005-0000-0000-0000A1000000}"/>
    <cellStyle name="Header2 3" xfId="465" xr:uid="{00000000-0005-0000-0000-0000A2000000}"/>
    <cellStyle name="Heading" xfId="15" xr:uid="{00000000-0005-0000-0000-0000A3000000}"/>
    <cellStyle name="Heading 1" xfId="16" builtinId="16"/>
    <cellStyle name="Heading 1 2" xfId="17" xr:uid="{00000000-0005-0000-0000-0000A5000000}"/>
    <cellStyle name="Heading 1 2 2" xfId="83" xr:uid="{00000000-0005-0000-0000-0000A6000000}"/>
    <cellStyle name="Heading 1 2 3" xfId="169" xr:uid="{00000000-0005-0000-0000-0000A7000000}"/>
    <cellStyle name="Heading 1 3" xfId="183" xr:uid="{00000000-0005-0000-0000-0000A8000000}"/>
    <cellStyle name="Heading 1 4" xfId="316" xr:uid="{00000000-0005-0000-0000-0000A9000000}"/>
    <cellStyle name="Heading 1 5" xfId="162" xr:uid="{00000000-0005-0000-0000-0000AA000000}"/>
    <cellStyle name="Heading 2" xfId="18" builtinId="17"/>
    <cellStyle name="Heading 2 2" xfId="19" xr:uid="{00000000-0005-0000-0000-0000AC000000}"/>
    <cellStyle name="Heading 2 2 2" xfId="84" xr:uid="{00000000-0005-0000-0000-0000AD000000}"/>
    <cellStyle name="Heading 2 2 3" xfId="170" xr:uid="{00000000-0005-0000-0000-0000AE000000}"/>
    <cellStyle name="Heading 2 3" xfId="184" xr:uid="{00000000-0005-0000-0000-0000AF000000}"/>
    <cellStyle name="Heading 2 4" xfId="317" xr:uid="{00000000-0005-0000-0000-0000B0000000}"/>
    <cellStyle name="Heading 2 5" xfId="163" xr:uid="{00000000-0005-0000-0000-0000B1000000}"/>
    <cellStyle name="Heading 3" xfId="20" builtinId="18"/>
    <cellStyle name="Heading 3 2" xfId="99" xr:uid="{00000000-0005-0000-0000-0000B3000000}"/>
    <cellStyle name="Heading 3 2 2" xfId="185" xr:uid="{00000000-0005-0000-0000-0000B4000000}"/>
    <cellStyle name="Heading 3 3" xfId="318" xr:uid="{00000000-0005-0000-0000-0000B5000000}"/>
    <cellStyle name="Heading 3 4" xfId="164" xr:uid="{00000000-0005-0000-0000-0000B6000000}"/>
    <cellStyle name="Heading 4" xfId="21" builtinId="19"/>
    <cellStyle name="Heading 4 2" xfId="22" xr:uid="{00000000-0005-0000-0000-0000B8000000}"/>
    <cellStyle name="Heading 4 2 2" xfId="85" xr:uid="{00000000-0005-0000-0000-0000B9000000}"/>
    <cellStyle name="Heading 4 2 3" xfId="171" xr:uid="{00000000-0005-0000-0000-0000BA000000}"/>
    <cellStyle name="Heading 5" xfId="219" xr:uid="{00000000-0005-0000-0000-0000BB000000}"/>
    <cellStyle name="Heading 6" xfId="303" xr:uid="{00000000-0005-0000-0000-0000BC000000}"/>
    <cellStyle name="Heading 7" xfId="149" xr:uid="{00000000-0005-0000-0000-0000BD000000}"/>
    <cellStyle name="Heading1" xfId="23" xr:uid="{00000000-0005-0000-0000-0000BE000000}"/>
    <cellStyle name="Heading1 2" xfId="150" xr:uid="{00000000-0005-0000-0000-0000BF000000}"/>
    <cellStyle name="Hyperlink" xfId="24" builtinId="8"/>
    <cellStyle name="Hyperlink 2" xfId="25" xr:uid="{00000000-0005-0000-0000-0000C1000000}"/>
    <cellStyle name="Hyperlink 2 2" xfId="207" xr:uid="{00000000-0005-0000-0000-0000C2000000}"/>
    <cellStyle name="Hyperlink 2 3" xfId="308" xr:uid="{00000000-0005-0000-0000-0000C3000000}"/>
    <cellStyle name="Hyperlink 2 4" xfId="154" xr:uid="{00000000-0005-0000-0000-0000C4000000}"/>
    <cellStyle name="Hyperlink 3" xfId="42" xr:uid="{00000000-0005-0000-0000-0000C5000000}"/>
    <cellStyle name="Hyperlink 3 2" xfId="220" xr:uid="{00000000-0005-0000-0000-0000C6000000}"/>
    <cellStyle name="Hyperlink 4" xfId="221" xr:uid="{00000000-0005-0000-0000-0000C7000000}"/>
    <cellStyle name="Hyperlink 5" xfId="289" xr:uid="{00000000-0005-0000-0000-0000C8000000}"/>
    <cellStyle name="Hyperlink 6" xfId="321" xr:uid="{00000000-0005-0000-0000-0000C9000000}"/>
    <cellStyle name="Hyperlink 7" xfId="419" xr:uid="{00000000-0005-0000-0000-0000CA000000}"/>
    <cellStyle name="Hyperlink 8" xfId="167" xr:uid="{00000000-0005-0000-0000-0000CB000000}"/>
    <cellStyle name="Input" xfId="26" builtinId="20"/>
    <cellStyle name="Input 2" xfId="70" xr:uid="{00000000-0005-0000-0000-0000CD000000}"/>
    <cellStyle name="Input 2 2" xfId="160" xr:uid="{00000000-0005-0000-0000-0000CE000000}"/>
    <cellStyle name="Input 3" xfId="78" xr:uid="{00000000-0005-0000-0000-0000CF000000}"/>
    <cellStyle name="Input 3 2" xfId="186" xr:uid="{00000000-0005-0000-0000-0000D0000000}"/>
    <cellStyle name="Input 4" xfId="320" xr:uid="{00000000-0005-0000-0000-0000D1000000}"/>
    <cellStyle name="Input 5" xfId="166" xr:uid="{00000000-0005-0000-0000-0000D2000000}"/>
    <cellStyle name="InputCells12_BBorder_CRFReport-template" xfId="222" xr:uid="{00000000-0005-0000-0000-0000D3000000}"/>
    <cellStyle name="Intermediate/scenario user input" xfId="86" xr:uid="{00000000-0005-0000-0000-0000D4000000}"/>
    <cellStyle name="L_Green" xfId="71" xr:uid="{00000000-0005-0000-0000-0000D5000000}"/>
    <cellStyle name="Linked" xfId="27" xr:uid="{00000000-0005-0000-0000-0000D6000000}"/>
    <cellStyle name="Linked 2" xfId="145" xr:uid="{00000000-0005-0000-0000-0000D7000000}"/>
    <cellStyle name="Menu" xfId="223" xr:uid="{00000000-0005-0000-0000-0000D8000000}"/>
    <cellStyle name="Milliers [0]_03tabmat" xfId="224" xr:uid="{00000000-0005-0000-0000-0000D9000000}"/>
    <cellStyle name="Milliers_03tabmat" xfId="225" xr:uid="{00000000-0005-0000-0000-0000DA000000}"/>
    <cellStyle name="Monétaire [0]_03tabmat" xfId="226" xr:uid="{00000000-0005-0000-0000-0000DB000000}"/>
    <cellStyle name="Monétaire_03tabmat" xfId="227" xr:uid="{00000000-0005-0000-0000-0000DC000000}"/>
    <cellStyle name="Neutral" xfId="28" builtinId="28"/>
    <cellStyle name="Neutral 2" xfId="72" xr:uid="{00000000-0005-0000-0000-0000DE000000}"/>
    <cellStyle name="Neutral 3" xfId="180" xr:uid="{00000000-0005-0000-0000-0000DF000000}"/>
    <cellStyle name="Neutral 4" xfId="297" xr:uid="{00000000-0005-0000-0000-0000E0000000}"/>
    <cellStyle name="Neutral 5" xfId="141" xr:uid="{00000000-0005-0000-0000-0000E1000000}"/>
    <cellStyle name="Neutral 6" xfId="476" xr:uid="{B34DFC47-EB91-4590-A4C2-68C1B3B00CAA}"/>
    <cellStyle name="Normal" xfId="0" builtinId="0"/>
    <cellStyle name="Normal - Style1" xfId="73" xr:uid="{00000000-0005-0000-0000-0000E3000000}"/>
    <cellStyle name="Normal 10" xfId="190" xr:uid="{00000000-0005-0000-0000-0000E4000000}"/>
    <cellStyle name="Normal 10 2" xfId="290" xr:uid="{00000000-0005-0000-0000-0000E5000000}"/>
    <cellStyle name="Normal 100" xfId="205" xr:uid="{00000000-0005-0000-0000-0000E6000000}"/>
    <cellStyle name="Normal 101" xfId="454" xr:uid="{00000000-0005-0000-0000-0000E7000000}"/>
    <cellStyle name="Normal 102" xfId="456" xr:uid="{00000000-0005-0000-0000-0000E8000000}"/>
    <cellStyle name="Normal 103" xfId="458" xr:uid="{00000000-0005-0000-0000-0000E9000000}"/>
    <cellStyle name="Normal 104" xfId="460" xr:uid="{00000000-0005-0000-0000-0000EA000000}"/>
    <cellStyle name="Normal 105" xfId="462" xr:uid="{00000000-0005-0000-0000-0000EB000000}"/>
    <cellStyle name="Normal 106" xfId="463" xr:uid="{00000000-0005-0000-0000-0000EC000000}"/>
    <cellStyle name="Normal 107" xfId="464" xr:uid="{00000000-0005-0000-0000-0000ED000000}"/>
    <cellStyle name="Normal 108" xfId="134" xr:uid="{00000000-0005-0000-0000-0000EE000000}"/>
    <cellStyle name="Normal 109" xfId="153" xr:uid="{00000000-0005-0000-0000-0000EF000000}"/>
    <cellStyle name="Normal 11" xfId="191" xr:uid="{00000000-0005-0000-0000-0000F0000000}"/>
    <cellStyle name="Normal 11 2" xfId="229" xr:uid="{00000000-0005-0000-0000-0000F1000000}"/>
    <cellStyle name="Normal 11 3" xfId="228" xr:uid="{00000000-0005-0000-0000-0000F2000000}"/>
    <cellStyle name="Normal 11 4" xfId="331" xr:uid="{00000000-0005-0000-0000-0000F3000000}"/>
    <cellStyle name="Normal 110" xfId="467" xr:uid="{00000000-0005-0000-0000-0000F4000000}"/>
    <cellStyle name="Normal 111" xfId="119" xr:uid="{00000000-0005-0000-0000-0000F5000000}"/>
    <cellStyle name="Normal 111 2" xfId="478" xr:uid="{BB163EC1-34D3-4B36-8491-F16BCBB6C16C}"/>
    <cellStyle name="Normal 12" xfId="192" xr:uid="{00000000-0005-0000-0000-0000F6000000}"/>
    <cellStyle name="Normal 12 2" xfId="230" xr:uid="{00000000-0005-0000-0000-0000F7000000}"/>
    <cellStyle name="Normal 12 3" xfId="332" xr:uid="{00000000-0005-0000-0000-0000F8000000}"/>
    <cellStyle name="Normal 12 9" xfId="87" xr:uid="{00000000-0005-0000-0000-0000F9000000}"/>
    <cellStyle name="Normal 12 9 5" xfId="100" xr:uid="{00000000-0005-0000-0000-0000FA000000}"/>
    <cellStyle name="Normal 13" xfId="193" xr:uid="{00000000-0005-0000-0000-0000FB000000}"/>
    <cellStyle name="Normal 13 2" xfId="204" xr:uid="{00000000-0005-0000-0000-0000FC000000}"/>
    <cellStyle name="Normal 13 3" xfId="333" xr:uid="{00000000-0005-0000-0000-0000FD000000}"/>
    <cellStyle name="Normal 13 8" xfId="123" xr:uid="{00000000-0005-0000-0000-0000FE000000}"/>
    <cellStyle name="Normal 13 8 2" xfId="409" xr:uid="{00000000-0005-0000-0000-0000FF000000}"/>
    <cellStyle name="Normal 14" xfId="194" xr:uid="{00000000-0005-0000-0000-000000010000}"/>
    <cellStyle name="Normal 15" xfId="195" xr:uid="{00000000-0005-0000-0000-000001010000}"/>
    <cellStyle name="Normal 16" xfId="196" xr:uid="{00000000-0005-0000-0000-000002010000}"/>
    <cellStyle name="Normal 16 6" xfId="101" xr:uid="{00000000-0005-0000-0000-000003010000}"/>
    <cellStyle name="Normal 17" xfId="197" xr:uid="{00000000-0005-0000-0000-000004010000}"/>
    <cellStyle name="Normal 18" xfId="198" xr:uid="{00000000-0005-0000-0000-000005010000}"/>
    <cellStyle name="Normal 19" xfId="199" xr:uid="{00000000-0005-0000-0000-000006010000}"/>
    <cellStyle name="Normal 2" xfId="29" xr:uid="{00000000-0005-0000-0000-000007010000}"/>
    <cellStyle name="Normal 2 2" xfId="30" xr:uid="{00000000-0005-0000-0000-000008010000}"/>
    <cellStyle name="Normal 2 2 2" xfId="44" xr:uid="{00000000-0005-0000-0000-000009010000}"/>
    <cellStyle name="Normal 2 2 3" xfId="95" xr:uid="{00000000-0005-0000-0000-00000A010000}"/>
    <cellStyle name="Normal 2 2 3 2" xfId="319" xr:uid="{00000000-0005-0000-0000-00000B010000}"/>
    <cellStyle name="Normal 2 2 4" xfId="165" xr:uid="{00000000-0005-0000-0000-00000C010000}"/>
    <cellStyle name="Normal 2 2 5" xfId="469" xr:uid="{B14CE97B-720D-46BA-AB45-D4459148790C}"/>
    <cellStyle name="Normal 2 3" xfId="88" xr:uid="{00000000-0005-0000-0000-00000D010000}"/>
    <cellStyle name="Normal 2 3 2" xfId="110" xr:uid="{00000000-0005-0000-0000-00000E010000}"/>
    <cellStyle name="Normal 2 4" xfId="406" xr:uid="{00000000-0005-0000-0000-00000F010000}"/>
    <cellStyle name="Normal 2 5" xfId="120" xr:uid="{00000000-0005-0000-0000-000010010000}"/>
    <cellStyle name="Normal 20" xfId="200" xr:uid="{00000000-0005-0000-0000-000011010000}"/>
    <cellStyle name="Normal 21" xfId="201" xr:uid="{00000000-0005-0000-0000-000012010000}"/>
    <cellStyle name="Normal 22" xfId="202" xr:uid="{00000000-0005-0000-0000-000013010000}"/>
    <cellStyle name="Normal 23" xfId="342" xr:uid="{00000000-0005-0000-0000-000014010000}"/>
    <cellStyle name="Normal 24" xfId="348" xr:uid="{00000000-0005-0000-0000-000015010000}"/>
    <cellStyle name="Normal 25" xfId="344" xr:uid="{00000000-0005-0000-0000-000016010000}"/>
    <cellStyle name="Normal 26" xfId="349" xr:uid="{00000000-0005-0000-0000-000017010000}"/>
    <cellStyle name="Normal 27" xfId="345" xr:uid="{00000000-0005-0000-0000-000018010000}"/>
    <cellStyle name="Normal 28" xfId="350" xr:uid="{00000000-0005-0000-0000-000019010000}"/>
    <cellStyle name="Normal 29" xfId="343" xr:uid="{00000000-0005-0000-0000-00001A010000}"/>
    <cellStyle name="Normal 3" xfId="31" xr:uid="{00000000-0005-0000-0000-00001B010000}"/>
    <cellStyle name="Normal 3 2" xfId="32" xr:uid="{00000000-0005-0000-0000-00001C010000}"/>
    <cellStyle name="Normal 3 2 2" xfId="232" xr:uid="{00000000-0005-0000-0000-00001D010000}"/>
    <cellStyle name="Normal 3 2 3" xfId="309" xr:uid="{00000000-0005-0000-0000-00001E010000}"/>
    <cellStyle name="Normal 3 2 4" xfId="155" xr:uid="{00000000-0005-0000-0000-00001F010000}"/>
    <cellStyle name="Normal 3 2 5" xfId="515" xr:uid="{34F8B4F3-490A-42D0-A0F6-C239D0D3B544}"/>
    <cellStyle name="Normal 3 3" xfId="107" xr:uid="{00000000-0005-0000-0000-000020010000}"/>
    <cellStyle name="Normal 3 3 2" xfId="233" xr:uid="{00000000-0005-0000-0000-000021010000}"/>
    <cellStyle name="Normal 3 3 3" xfId="327" xr:uid="{00000000-0005-0000-0000-000022010000}"/>
    <cellStyle name="Normal 3 3 4" xfId="179" xr:uid="{00000000-0005-0000-0000-000023010000}"/>
    <cellStyle name="Normal 3 4" xfId="231" xr:uid="{00000000-0005-0000-0000-000024010000}"/>
    <cellStyle name="Normal 3 5" xfId="301" xr:uid="{00000000-0005-0000-0000-000025010000}"/>
    <cellStyle name="Normal 3 6" xfId="410" xr:uid="{00000000-0005-0000-0000-000026010000}"/>
    <cellStyle name="Normal 3 7" xfId="139" xr:uid="{00000000-0005-0000-0000-000027010000}"/>
    <cellStyle name="Normal 30" xfId="347" xr:uid="{00000000-0005-0000-0000-000028010000}"/>
    <cellStyle name="Normal 31" xfId="346" xr:uid="{00000000-0005-0000-0000-000029010000}"/>
    <cellStyle name="Normal 32" xfId="300" xr:uid="{00000000-0005-0000-0000-00002A010000}"/>
    <cellStyle name="Normal 33" xfId="307" xr:uid="{00000000-0005-0000-0000-00002B010000}"/>
    <cellStyle name="Normal 34" xfId="306" xr:uid="{00000000-0005-0000-0000-00002C010000}"/>
    <cellStyle name="Normal 35" xfId="351" xr:uid="{00000000-0005-0000-0000-00002D010000}"/>
    <cellStyle name="Normal 36" xfId="353" xr:uid="{00000000-0005-0000-0000-00002E010000}"/>
    <cellStyle name="Normal 37" xfId="355" xr:uid="{00000000-0005-0000-0000-00002F010000}"/>
    <cellStyle name="Normal 38" xfId="357" xr:uid="{00000000-0005-0000-0000-000030010000}"/>
    <cellStyle name="Normal 39" xfId="359" xr:uid="{00000000-0005-0000-0000-000031010000}"/>
    <cellStyle name="Normal 4" xfId="33" xr:uid="{00000000-0005-0000-0000-000032010000}"/>
    <cellStyle name="Normal 4 2" xfId="89" xr:uid="{00000000-0005-0000-0000-000033010000}"/>
    <cellStyle name="Normal 4 2 2" xfId="234" xr:uid="{00000000-0005-0000-0000-000034010000}"/>
    <cellStyle name="Normal 4 3" xfId="90" xr:uid="{00000000-0005-0000-0000-000035010000}"/>
    <cellStyle name="Normal 4 3 2" xfId="310" xr:uid="{00000000-0005-0000-0000-000036010000}"/>
    <cellStyle name="Normal 4 4" xfId="109" xr:uid="{00000000-0005-0000-0000-000037010000}"/>
    <cellStyle name="Normal 4 4 2" xfId="412" xr:uid="{00000000-0005-0000-0000-000038010000}"/>
    <cellStyle name="Normal 4 5" xfId="156" xr:uid="{00000000-0005-0000-0000-000039010000}"/>
    <cellStyle name="Normal 40" xfId="361" xr:uid="{00000000-0005-0000-0000-00003A010000}"/>
    <cellStyle name="Normal 41" xfId="363" xr:uid="{00000000-0005-0000-0000-00003B010000}"/>
    <cellStyle name="Normal 42" xfId="365" xr:uid="{00000000-0005-0000-0000-00003C010000}"/>
    <cellStyle name="Normal 43" xfId="367" xr:uid="{00000000-0005-0000-0000-00003D010000}"/>
    <cellStyle name="Normal 44" xfId="369" xr:uid="{00000000-0005-0000-0000-00003E010000}"/>
    <cellStyle name="Normal 45" xfId="371" xr:uid="{00000000-0005-0000-0000-00003F010000}"/>
    <cellStyle name="Normal 46" xfId="373" xr:uid="{00000000-0005-0000-0000-000040010000}"/>
    <cellStyle name="Normal 47" xfId="375" xr:uid="{00000000-0005-0000-0000-000041010000}"/>
    <cellStyle name="Normal 48" xfId="279" xr:uid="{00000000-0005-0000-0000-000042010000}"/>
    <cellStyle name="Normal 49" xfId="379" xr:uid="{00000000-0005-0000-0000-000043010000}"/>
    <cellStyle name="Normal 5" xfId="74" xr:uid="{00000000-0005-0000-0000-000044010000}"/>
    <cellStyle name="Normal 5 2" xfId="235" xr:uid="{00000000-0005-0000-0000-000045010000}"/>
    <cellStyle name="Normal 5 3" xfId="326" xr:uid="{00000000-0005-0000-0000-000046010000}"/>
    <cellStyle name="Normal 5 4" xfId="416" xr:uid="{00000000-0005-0000-0000-000047010000}"/>
    <cellStyle name="Normal 5 5" xfId="175" xr:uid="{00000000-0005-0000-0000-000048010000}"/>
    <cellStyle name="Normal 5 6" xfId="128" xr:uid="{00000000-0005-0000-0000-000049010000}"/>
    <cellStyle name="Normal 50" xfId="284" xr:uid="{00000000-0005-0000-0000-00004A010000}"/>
    <cellStyle name="Normal 51" xfId="381" xr:uid="{00000000-0005-0000-0000-00004B010000}"/>
    <cellStyle name="Normal 52" xfId="291" xr:uid="{00000000-0005-0000-0000-00004C010000}"/>
    <cellStyle name="Normal 53" xfId="283" xr:uid="{00000000-0005-0000-0000-00004D010000}"/>
    <cellStyle name="Normal 54" xfId="282" xr:uid="{00000000-0005-0000-0000-00004E010000}"/>
    <cellStyle name="Normal 55" xfId="292" xr:uid="{00000000-0005-0000-0000-00004F010000}"/>
    <cellStyle name="Normal 56" xfId="382" xr:uid="{00000000-0005-0000-0000-000050010000}"/>
    <cellStyle name="Normal 57" xfId="337" xr:uid="{00000000-0005-0000-0000-000051010000}"/>
    <cellStyle name="Normal 58" xfId="278" xr:uid="{00000000-0005-0000-0000-000052010000}"/>
    <cellStyle name="Normal 59" xfId="281" xr:uid="{00000000-0005-0000-0000-000053010000}"/>
    <cellStyle name="Normal 6" xfId="91" xr:uid="{00000000-0005-0000-0000-000054010000}"/>
    <cellStyle name="Normal 6 2" xfId="236" xr:uid="{00000000-0005-0000-0000-000055010000}"/>
    <cellStyle name="Normal 6 3" xfId="325" xr:uid="{00000000-0005-0000-0000-000056010000}"/>
    <cellStyle name="Normal 6 4" xfId="174" xr:uid="{00000000-0005-0000-0000-000057010000}"/>
    <cellStyle name="Normal 6 5" xfId="131" xr:uid="{00000000-0005-0000-0000-000058010000}"/>
    <cellStyle name="Normal 60" xfId="384" xr:uid="{00000000-0005-0000-0000-000059010000}"/>
    <cellStyle name="Normal 61" xfId="285" xr:uid="{00000000-0005-0000-0000-00005A010000}"/>
    <cellStyle name="Normal 62" xfId="280" xr:uid="{00000000-0005-0000-0000-00005B010000}"/>
    <cellStyle name="Normal 63" xfId="293" xr:uid="{00000000-0005-0000-0000-00005C010000}"/>
    <cellStyle name="Normal 64" xfId="386" xr:uid="{00000000-0005-0000-0000-00005D010000}"/>
    <cellStyle name="Normal 65" xfId="322" xr:uid="{00000000-0005-0000-0000-00005E010000}"/>
    <cellStyle name="Normal 66" xfId="286" xr:uid="{00000000-0005-0000-0000-00005F010000}"/>
    <cellStyle name="Normal 67" xfId="388" xr:uid="{00000000-0005-0000-0000-000060010000}"/>
    <cellStyle name="Normal 68" xfId="341" xr:uid="{00000000-0005-0000-0000-000061010000}"/>
    <cellStyle name="Normal 69" xfId="287" xr:uid="{00000000-0005-0000-0000-000062010000}"/>
    <cellStyle name="Normal 7" xfId="92" xr:uid="{00000000-0005-0000-0000-000063010000}"/>
    <cellStyle name="Normal 7 2" xfId="112" xr:uid="{00000000-0005-0000-0000-000064010000}"/>
    <cellStyle name="Normal 7 2 2" xfId="237" xr:uid="{00000000-0005-0000-0000-000065010000}"/>
    <cellStyle name="Normal 7 3" xfId="328" xr:uid="{00000000-0005-0000-0000-000066010000}"/>
    <cellStyle name="Normal 7 4" xfId="189" xr:uid="{00000000-0005-0000-0000-000067010000}"/>
    <cellStyle name="Normal 7 4 2" xfId="518" xr:uid="{8E3BD46F-3019-41CB-87D7-E0202141897F}"/>
    <cellStyle name="Normal 7 5" xfId="517" xr:uid="{E81BABF0-9909-4D65-BFB7-F571CDB75841}"/>
    <cellStyle name="Normal 70" xfId="340" xr:uid="{00000000-0005-0000-0000-000068010000}"/>
    <cellStyle name="Normal 71" xfId="338" xr:uid="{00000000-0005-0000-0000-000069010000}"/>
    <cellStyle name="Normal 72" xfId="314" xr:uid="{00000000-0005-0000-0000-00006A010000}"/>
    <cellStyle name="Normal 73" xfId="334" xr:uid="{00000000-0005-0000-0000-00006B010000}"/>
    <cellStyle name="Normal 74" xfId="304" xr:uid="{00000000-0005-0000-0000-00006C010000}"/>
    <cellStyle name="Normal 75" xfId="335" xr:uid="{00000000-0005-0000-0000-00006D010000}"/>
    <cellStyle name="Normal 76" xfId="294" xr:uid="{00000000-0005-0000-0000-00006E010000}"/>
    <cellStyle name="Normal 77" xfId="336" xr:uid="{00000000-0005-0000-0000-00006F010000}"/>
    <cellStyle name="Normal 78" xfId="288" xr:uid="{00000000-0005-0000-0000-000070010000}"/>
    <cellStyle name="Normal 79" xfId="390" xr:uid="{00000000-0005-0000-0000-000071010000}"/>
    <cellStyle name="Normal 8" xfId="102" xr:uid="{00000000-0005-0000-0000-000072010000}"/>
    <cellStyle name="Normal 8 2" xfId="238" xr:uid="{00000000-0005-0000-0000-000073010000}"/>
    <cellStyle name="Normal 8 3" xfId="329" xr:uid="{00000000-0005-0000-0000-000074010000}"/>
    <cellStyle name="Normal 80" xfId="392" xr:uid="{00000000-0005-0000-0000-000075010000}"/>
    <cellStyle name="Normal 81" xfId="394" xr:uid="{00000000-0005-0000-0000-000076010000}"/>
    <cellStyle name="Normal 82" xfId="396" xr:uid="{00000000-0005-0000-0000-000077010000}"/>
    <cellStyle name="Normal 83" xfId="398" xr:uid="{00000000-0005-0000-0000-000078010000}"/>
    <cellStyle name="Normal 84" xfId="400" xr:uid="{00000000-0005-0000-0000-000079010000}"/>
    <cellStyle name="Normal 85" xfId="402" xr:uid="{00000000-0005-0000-0000-00007A010000}"/>
    <cellStyle name="Normal 86" xfId="405" xr:uid="{00000000-0005-0000-0000-00007B010000}"/>
    <cellStyle name="Normal 87" xfId="414" xr:uid="{00000000-0005-0000-0000-00007C010000}"/>
    <cellStyle name="Normal 88" xfId="424" xr:uid="{00000000-0005-0000-0000-00007D010000}"/>
    <cellStyle name="Normal 89" xfId="426" xr:uid="{00000000-0005-0000-0000-00007E010000}"/>
    <cellStyle name="Normal 9" xfId="103" xr:uid="{00000000-0005-0000-0000-00007F010000}"/>
    <cellStyle name="Normal 9 2" xfId="239" xr:uid="{00000000-0005-0000-0000-000080010000}"/>
    <cellStyle name="Normal 9 3" xfId="330" xr:uid="{00000000-0005-0000-0000-000081010000}"/>
    <cellStyle name="Normal 90" xfId="427" xr:uid="{00000000-0005-0000-0000-000082010000}"/>
    <cellStyle name="Normal 91" xfId="428" xr:uid="{00000000-0005-0000-0000-000083010000}"/>
    <cellStyle name="Normal 92" xfId="438" xr:uid="{00000000-0005-0000-0000-000084010000}"/>
    <cellStyle name="Normal 93" xfId="440" xr:uid="{00000000-0005-0000-0000-000085010000}"/>
    <cellStyle name="Normal 94" xfId="442" xr:uid="{00000000-0005-0000-0000-000086010000}"/>
    <cellStyle name="Normal 95" xfId="444" xr:uid="{00000000-0005-0000-0000-000087010000}"/>
    <cellStyle name="Normal 96" xfId="446" xr:uid="{00000000-0005-0000-0000-000088010000}"/>
    <cellStyle name="Normal 97" xfId="448" xr:uid="{00000000-0005-0000-0000-000089010000}"/>
    <cellStyle name="Normal 98" xfId="450" xr:uid="{00000000-0005-0000-0000-00008A010000}"/>
    <cellStyle name="Normal 99" xfId="452" xr:uid="{00000000-0005-0000-0000-00008B010000}"/>
    <cellStyle name="Normal GHG-Shade" xfId="240" xr:uid="{00000000-0005-0000-0000-00008C010000}"/>
    <cellStyle name="Note" xfId="43" builtinId="10"/>
    <cellStyle name="Note 2" xfId="182" xr:uid="{00000000-0005-0000-0000-00008E010000}"/>
    <cellStyle name="Note 3" xfId="315" xr:uid="{00000000-0005-0000-0000-00008F010000}"/>
    <cellStyle name="Note 4" xfId="161" xr:uid="{00000000-0005-0000-0000-000090010000}"/>
    <cellStyle name="Output" xfId="34" builtinId="21"/>
    <cellStyle name="Output 2" xfId="187" xr:uid="{00000000-0005-0000-0000-000092010000}"/>
    <cellStyle name="Output 3" xfId="323" xr:uid="{00000000-0005-0000-0000-000093010000}"/>
    <cellStyle name="Output 4" xfId="172" xr:uid="{00000000-0005-0000-0000-000094010000}"/>
    <cellStyle name="Percent" xfId="35" builtinId="5"/>
    <cellStyle name="Percent 10" xfId="206" xr:uid="{00000000-0005-0000-0000-000096010000}"/>
    <cellStyle name="Percent 11" xfId="203" xr:uid="{00000000-0005-0000-0000-000097010000}"/>
    <cellStyle name="Percent 12" xfId="298" xr:uid="{00000000-0005-0000-0000-000098010000}"/>
    <cellStyle name="Percent 13" xfId="408" xr:uid="{00000000-0005-0000-0000-000099010000}"/>
    <cellStyle name="Percent 14" xfId="138" xr:uid="{00000000-0005-0000-0000-00009A010000}"/>
    <cellStyle name="Percent 15" xfId="122" xr:uid="{00000000-0005-0000-0000-00009B010000}"/>
    <cellStyle name="Percent 2" xfId="36" xr:uid="{00000000-0005-0000-0000-00009C010000}"/>
    <cellStyle name="Percent 2 2" xfId="37" xr:uid="{00000000-0005-0000-0000-00009D010000}"/>
    <cellStyle name="Percent 2 2 2" xfId="241" xr:uid="{00000000-0005-0000-0000-00009E010000}"/>
    <cellStyle name="Percent 2 2 3" xfId="311" xr:uid="{00000000-0005-0000-0000-00009F010000}"/>
    <cellStyle name="Percent 2 2 4" xfId="157" xr:uid="{00000000-0005-0000-0000-0000A0010000}"/>
    <cellStyle name="Percent 2 3" xfId="242" xr:uid="{00000000-0005-0000-0000-0000A1010000}"/>
    <cellStyle name="Percent 2 4" xfId="137" xr:uid="{00000000-0005-0000-0000-0000A2010000}"/>
    <cellStyle name="Percent 2 5" xfId="126" xr:uid="{00000000-0005-0000-0000-0000A3010000}"/>
    <cellStyle name="Percent 3" xfId="38" xr:uid="{00000000-0005-0000-0000-0000A4010000}"/>
    <cellStyle name="Percent 3 2" xfId="39" xr:uid="{00000000-0005-0000-0000-0000A5010000}"/>
    <cellStyle name="Percent 3 3" xfId="108" xr:uid="{00000000-0005-0000-0000-0000A6010000}"/>
    <cellStyle name="Percent 3 3 2" xfId="243" xr:uid="{00000000-0005-0000-0000-0000A7010000}"/>
    <cellStyle name="Percent 3 4" xfId="312" xr:uid="{00000000-0005-0000-0000-0000A8010000}"/>
    <cellStyle name="Percent 3 5" xfId="418" xr:uid="{00000000-0005-0000-0000-0000A9010000}"/>
    <cellStyle name="Percent 3 6" xfId="158" xr:uid="{00000000-0005-0000-0000-0000AA010000}"/>
    <cellStyle name="Percent 3 7" xfId="130" xr:uid="{00000000-0005-0000-0000-0000AB010000}"/>
    <cellStyle name="Percent 4" xfId="93" xr:uid="{00000000-0005-0000-0000-0000AC010000}"/>
    <cellStyle name="Percent 4 2" xfId="422" xr:uid="{00000000-0005-0000-0000-0000AD010000}"/>
    <cellStyle name="Percent 4 3" xfId="244" xr:uid="{00000000-0005-0000-0000-0000AE010000}"/>
    <cellStyle name="Percent 5" xfId="94" xr:uid="{00000000-0005-0000-0000-0000AF010000}"/>
    <cellStyle name="Percent 5 2" xfId="245" xr:uid="{00000000-0005-0000-0000-0000B0010000}"/>
    <cellStyle name="Percent 6" xfId="104" xr:uid="{00000000-0005-0000-0000-0000B1010000}"/>
    <cellStyle name="Percent 6 2" xfId="246" xr:uid="{00000000-0005-0000-0000-0000B2010000}"/>
    <cellStyle name="Percent 7" xfId="247" xr:uid="{00000000-0005-0000-0000-0000B3010000}"/>
    <cellStyle name="Percent 8" xfId="248" xr:uid="{00000000-0005-0000-0000-0000B4010000}"/>
    <cellStyle name="Percent 9" xfId="249" xr:uid="{00000000-0005-0000-0000-0000B5010000}"/>
    <cellStyle name="Publication_style" xfId="250" xr:uid="{00000000-0005-0000-0000-0000B6010000}"/>
    <cellStyle name="Refdb standard" xfId="251" xr:uid="{00000000-0005-0000-0000-0000B7010000}"/>
    <cellStyle name="Result" xfId="40" xr:uid="{00000000-0005-0000-0000-0000B8010000}"/>
    <cellStyle name="Result 2" xfId="151" xr:uid="{00000000-0005-0000-0000-0000B9010000}"/>
    <cellStyle name="Result2" xfId="41" xr:uid="{00000000-0005-0000-0000-0000BA010000}"/>
    <cellStyle name="Shade" xfId="252" xr:uid="{00000000-0005-0000-0000-0000BB010000}"/>
    <cellStyle name="Source" xfId="253" xr:uid="{00000000-0005-0000-0000-0000BC010000}"/>
    <cellStyle name="Source Hed" xfId="254" xr:uid="{00000000-0005-0000-0000-0000BD010000}"/>
    <cellStyle name="Source Text" xfId="255" xr:uid="{00000000-0005-0000-0000-0000BE010000}"/>
    <cellStyle name="Standard_E00seit45" xfId="256" xr:uid="{00000000-0005-0000-0000-0000BF010000}"/>
    <cellStyle name="Style 21" xfId="257" xr:uid="{00000000-0005-0000-0000-0000C0010000}"/>
    <cellStyle name="Style 22" xfId="258" xr:uid="{00000000-0005-0000-0000-0000C1010000}"/>
    <cellStyle name="Style 23" xfId="259" xr:uid="{00000000-0005-0000-0000-0000C2010000}"/>
    <cellStyle name="Style 24" xfId="260" xr:uid="{00000000-0005-0000-0000-0000C3010000}"/>
    <cellStyle name="Style 29" xfId="261" xr:uid="{00000000-0005-0000-0000-0000C4010000}"/>
    <cellStyle name="Style 30" xfId="262" xr:uid="{00000000-0005-0000-0000-0000C5010000}"/>
    <cellStyle name="Style 31" xfId="263" xr:uid="{00000000-0005-0000-0000-0000C6010000}"/>
    <cellStyle name="Style 32" xfId="264" xr:uid="{00000000-0005-0000-0000-0000C7010000}"/>
    <cellStyle name="Title-1" xfId="265" xr:uid="{00000000-0005-0000-0000-0000C8010000}"/>
    <cellStyle name="Title-2" xfId="266" xr:uid="{00000000-0005-0000-0000-0000C9010000}"/>
    <cellStyle name="Titre ligne" xfId="267" xr:uid="{00000000-0005-0000-0000-0000CA010000}"/>
    <cellStyle name="Total intermediaire" xfId="268" xr:uid="{00000000-0005-0000-0000-0000CB010000}"/>
    <cellStyle name="Tusenskille [0]_rob4-mon.xls Diagram 1" xfId="269" xr:uid="{00000000-0005-0000-0000-0000CC010000}"/>
    <cellStyle name="Tusenskille_rob4-mon.xls Diagram 1" xfId="270" xr:uid="{00000000-0005-0000-0000-0000CD010000}"/>
    <cellStyle name="Update" xfId="75" xr:uid="{00000000-0005-0000-0000-0000CE010000}"/>
    <cellStyle name="Valuta [0]_rob4-mon.xls Diagram 1" xfId="271" xr:uid="{00000000-0005-0000-0000-0000CF010000}"/>
    <cellStyle name="Valuta_rob4-mon.xls Diagram 1" xfId="272" xr:uid="{00000000-0005-0000-0000-0000D0010000}"/>
    <cellStyle name="Währung [0]_Excel2" xfId="273" xr:uid="{00000000-0005-0000-0000-0000D1010000}"/>
    <cellStyle name="Währung_Excel2" xfId="274" xr:uid="{00000000-0005-0000-0000-0000D2010000}"/>
    <cellStyle name="Year" xfId="275" xr:uid="{00000000-0005-0000-0000-0000D3010000}"/>
    <cellStyle name="Обычный_2++_CRFReport-template" xfId="276" xr:uid="{00000000-0005-0000-0000-0000D401000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79998168889431442"/>
        </patternFill>
      </fill>
    </dxf>
    <dxf>
      <fill>
        <patternFill>
          <bgColor theme="0" tint="-0.14996795556505021"/>
        </patternFill>
      </fill>
    </dxf>
    <dxf>
      <font>
        <b/>
        <i val="0"/>
        <color theme="0"/>
      </font>
      <fill>
        <patternFill>
          <bgColor rgb="FF008000"/>
        </patternFill>
      </fill>
    </dxf>
  </dxfs>
  <tableStyles count="2" defaultTableStyle="TableStyleMedium9" defaultPivotStyle="PivotStyleLight16">
    <tableStyle name="AEA_Report_1" pivot="0" count="3" xr9:uid="{00000000-0011-0000-FFFF-FFFF00000000}">
      <tableStyleElement type="headerRow" dxfId="7"/>
      <tableStyleElement type="firstColumn" dxfId="6"/>
      <tableStyleElement type="firstRowStripe" dxfId="5"/>
    </tableStyle>
    <tableStyle name="NoFormating" pivot="0" count="0" xr9:uid="{00000000-0011-0000-FFFF-FFFF01000000}"/>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2.xml"/><Relationship Id="rId89"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2.xml"/><Relationship Id="rId79" Type="http://schemas.openxmlformats.org/officeDocument/2006/relationships/externalLink" Target="externalLinks/externalLink7.xml"/><Relationship Id="rId5" Type="http://schemas.openxmlformats.org/officeDocument/2006/relationships/worksheet" Target="worksheets/sheet5.xml"/><Relationship Id="rId90" Type="http://schemas.openxmlformats.org/officeDocument/2006/relationships/calcChain" Target="calcChain.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8.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3.xml"/><Relationship Id="rId83" Type="http://schemas.openxmlformats.org/officeDocument/2006/relationships/externalLink" Target="externalLinks/externalLink11.xml"/><Relationship Id="rId88"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1.xml"/><Relationship Id="rId78" Type="http://schemas.openxmlformats.org/officeDocument/2006/relationships/externalLink" Target="externalLinks/externalLink6.xml"/><Relationship Id="rId81" Type="http://schemas.openxmlformats.org/officeDocument/2006/relationships/externalLink" Target="externalLinks/externalLink9.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externalLink" Target="externalLinks/externalLink10.xml"/><Relationship Id="rId19" Type="http://schemas.openxmlformats.org/officeDocument/2006/relationships/worksheet" Target="worksheets/sheet1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B514-4165-B8F6-BB1B9778EC34}"/>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B514-4165-B8F6-BB1B9778EC34}"/>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B514-4165-B8F6-BB1B9778EC34}"/>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B514-4165-B8F6-BB1B9778EC34}"/>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B514-4165-B8F6-BB1B9778EC34}"/>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B514-4165-B8F6-BB1B9778EC34}"/>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B447-4D16-8F68-4E68D208904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B447-4D16-8F68-4E68D208904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B447-4D16-8F68-4E68D208904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B447-4D16-8F68-4E68D208904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B447-4D16-8F68-4E68D208904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B447-4D16-8F68-4E68D208904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B447-4D16-8F68-4E68D208904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B447-4D16-8F68-4E68D208904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B447-4D16-8F68-4E68D208904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356D-40A8-AB89-6BD6305619EE}"/>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356D-40A8-AB89-6BD6305619EE}"/>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DB5B-41DA-88AA-F2842BC37A5F}"/>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DB5B-41DA-88AA-F2842BC37A5F}"/>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scatterChart>
        <c:scatterStyle val="smoothMarker"/>
        <c:varyColors val="0"/>
        <c:ser>
          <c:idx val="0"/>
          <c:order val="0"/>
          <c:tx>
            <c:strRef>
              <c:f>'Gas Price'!$Q$51</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Price'!$R$51:$S$51</c:f>
              <c:numCache>
                <c:formatCode>#,##0.00</c:formatCode>
                <c:ptCount val="2"/>
                <c:pt idx="0" formatCode="&quot;R&quot;#,##0_);[Red]\(&quot;R&quot;#,##0\)">
                  <c:v>134.52091469194315</c:v>
                </c:pt>
                <c:pt idx="1">
                  <c:v>109.67446919431281</c:v>
                </c:pt>
              </c:numCache>
            </c:numRef>
          </c:yVal>
          <c:smooth val="1"/>
          <c:extLst>
            <c:ext xmlns:c16="http://schemas.microsoft.com/office/drawing/2014/chart" uri="{C3380CC4-5D6E-409C-BE32-E72D297353CC}">
              <c16:uniqueId val="{00000000-D444-480F-A667-87DB7036149E}"/>
            </c:ext>
          </c:extLst>
        </c:ser>
        <c:ser>
          <c:idx val="1"/>
          <c:order val="1"/>
          <c:tx>
            <c:strRef>
              <c:f>'Gas Price'!$Q$52</c:f>
              <c:strCache>
                <c:ptCount val="1"/>
                <c:pt idx="0">
                  <c:v> </c:v>
                </c:pt>
              </c:strCache>
            </c:strRef>
          </c:tx>
          <c:spPr>
            <a:ln w="38100">
              <a:solidFill>
                <a:srgbClr val="993366"/>
              </a:solidFill>
              <a:prstDash val="solid"/>
            </a:ln>
          </c:spPr>
          <c:marker>
            <c:symbol val="none"/>
          </c:marker>
          <c:xVal>
            <c:numRef>
              <c:f>'Gas Price'!$R$50:$S$50</c:f>
              <c:numCache>
                <c:formatCode>General</c:formatCode>
                <c:ptCount val="2"/>
                <c:pt idx="0">
                  <c:v>50</c:v>
                </c:pt>
                <c:pt idx="1">
                  <c:v>90</c:v>
                </c:pt>
              </c:numCache>
            </c:numRef>
          </c:xVal>
          <c:yVal>
            <c:numRef>
              <c:f>'Gas Price'!$R$52:$S$52</c:f>
              <c:numCache>
                <c:formatCode>#,##0.00</c:formatCode>
                <c:ptCount val="2"/>
                <c:pt idx="0" formatCode="&quot;R&quot;#,##0_);[Red]\(&quot;R&quot;#,##0\)">
                  <c:v>133.45477630331754</c:v>
                </c:pt>
                <c:pt idx="1">
                  <c:v>93.022833175355444</c:v>
                </c:pt>
              </c:numCache>
            </c:numRef>
          </c:yVal>
          <c:smooth val="1"/>
          <c:extLst>
            <c:ext xmlns:c16="http://schemas.microsoft.com/office/drawing/2014/chart" uri="{C3380CC4-5D6E-409C-BE32-E72D297353CC}">
              <c16:uniqueId val="{00000001-D444-480F-A667-87DB7036149E}"/>
            </c:ext>
          </c:extLst>
        </c:ser>
        <c:ser>
          <c:idx val="2"/>
          <c:order val="2"/>
          <c:tx>
            <c:strRef>
              <c:f>'Gas Price'!$Q$53</c:f>
              <c:strCache>
                <c:ptCount val="1"/>
                <c:pt idx="0">
                  <c:v> </c:v>
                </c:pt>
              </c:strCache>
            </c:strRef>
          </c:tx>
          <c:spPr>
            <a:ln w="38100">
              <a:solidFill>
                <a:srgbClr val="90713A"/>
              </a:solidFill>
              <a:prstDash val="solid"/>
            </a:ln>
          </c:spPr>
          <c:marker>
            <c:symbol val="none"/>
          </c:marker>
          <c:xVal>
            <c:numRef>
              <c:f>'Gas Price'!$R$50:$S$50</c:f>
              <c:numCache>
                <c:formatCode>General</c:formatCode>
                <c:ptCount val="2"/>
                <c:pt idx="0">
                  <c:v>50</c:v>
                </c:pt>
                <c:pt idx="1">
                  <c:v>90</c:v>
                </c:pt>
              </c:numCache>
            </c:numRef>
          </c:xVal>
          <c:yVal>
            <c:numRef>
              <c:f>'Gas Price'!$R$53:$S$53</c:f>
              <c:numCache>
                <c:formatCode>#,##0.00</c:formatCode>
                <c:ptCount val="2"/>
                <c:pt idx="0" formatCode="&quot;R&quot;#,##0_);[Red]\(&quot;R&quot;#,##0\)">
                  <c:v>116.53886445497631</c:v>
                </c:pt>
                <c:pt idx="1">
                  <c:v>91.692418957345978</c:v>
                </c:pt>
              </c:numCache>
            </c:numRef>
          </c:yVal>
          <c:smooth val="1"/>
          <c:extLst>
            <c:ext xmlns:c16="http://schemas.microsoft.com/office/drawing/2014/chart" uri="{C3380CC4-5D6E-409C-BE32-E72D297353CC}">
              <c16:uniqueId val="{00000002-D444-480F-A667-87DB7036149E}"/>
            </c:ext>
          </c:extLst>
        </c:ser>
        <c:ser>
          <c:idx val="3"/>
          <c:order val="3"/>
          <c:tx>
            <c:strRef>
              <c:f>'Gas Price'!$Q$54</c:f>
              <c:strCache>
                <c:ptCount val="1"/>
                <c:pt idx="0">
                  <c:v> </c:v>
                </c:pt>
              </c:strCache>
            </c:strRef>
          </c:tx>
          <c:spPr>
            <a:ln w="38100">
              <a:solidFill>
                <a:srgbClr val="666699"/>
              </a:solidFill>
              <a:prstDash val="solid"/>
            </a:ln>
          </c:spPr>
          <c:marker>
            <c:symbol val="none"/>
          </c:marker>
          <c:xVal>
            <c:numRef>
              <c:f>'Gas Price'!$R$50:$S$50</c:f>
              <c:numCache>
                <c:formatCode>General</c:formatCode>
                <c:ptCount val="2"/>
                <c:pt idx="0">
                  <c:v>50</c:v>
                </c:pt>
                <c:pt idx="1">
                  <c:v>90</c:v>
                </c:pt>
              </c:numCache>
            </c:numRef>
          </c:xVal>
          <c:yVal>
            <c:numRef>
              <c:f>'Gas Price'!$R$54:$S$54</c:f>
              <c:numCache>
                <c:formatCode>#,##0.00</c:formatCode>
                <c:ptCount val="2"/>
                <c:pt idx="0" formatCode="&quot;R&quot;#,##0_);[Red]\(&quot;R&quot;#,##0\)">
                  <c:v>177.7863690521327</c:v>
                </c:pt>
                <c:pt idx="1">
                  <c:v>160.50679559241706</c:v>
                </c:pt>
              </c:numCache>
            </c:numRef>
          </c:yVal>
          <c:smooth val="1"/>
          <c:extLst>
            <c:ext xmlns:c16="http://schemas.microsoft.com/office/drawing/2014/chart" uri="{C3380CC4-5D6E-409C-BE32-E72D297353CC}">
              <c16:uniqueId val="{00000003-D444-480F-A667-87DB7036149E}"/>
            </c:ext>
          </c:extLst>
        </c:ser>
        <c:ser>
          <c:idx val="4"/>
          <c:order val="4"/>
          <c:tx>
            <c:strRef>
              <c:f>'Gas Price'!$Q$55</c:f>
              <c:strCache>
                <c:ptCount val="1"/>
                <c:pt idx="0">
                  <c:v>GRL</c:v>
                </c:pt>
              </c:strCache>
            </c:strRef>
          </c:tx>
          <c:spPr>
            <a:ln w="38100">
              <a:solidFill>
                <a:srgbClr val="33CCCC"/>
              </a:solidFill>
              <a:prstDash val="solid"/>
            </a:ln>
          </c:spPr>
          <c:marker>
            <c:symbol val="none"/>
          </c:marker>
          <c:xVal>
            <c:numRef>
              <c:f>'Gas Price'!$R$50:$S$50</c:f>
              <c:numCache>
                <c:formatCode>General</c:formatCode>
                <c:ptCount val="2"/>
                <c:pt idx="0">
                  <c:v>50</c:v>
                </c:pt>
                <c:pt idx="1">
                  <c:v>90</c:v>
                </c:pt>
              </c:numCache>
            </c:numRef>
          </c:xVal>
          <c:yVal>
            <c:numRef>
              <c:f>'Gas Price'!$R$55:$S$55</c:f>
              <c:numCache>
                <c:formatCode>#,##0.00</c:formatCode>
                <c:ptCount val="2"/>
                <c:pt idx="1">
                  <c:v>174.84997094786729</c:v>
                </c:pt>
              </c:numCache>
            </c:numRef>
          </c:yVal>
          <c:smooth val="1"/>
          <c:extLst>
            <c:ext xmlns:c16="http://schemas.microsoft.com/office/drawing/2014/chart" uri="{C3380CC4-5D6E-409C-BE32-E72D297353CC}">
              <c16:uniqueId val="{00000004-D444-480F-A667-87DB7036149E}"/>
            </c:ext>
          </c:extLst>
        </c:ser>
        <c:ser>
          <c:idx val="5"/>
          <c:order val="5"/>
          <c:tx>
            <c:strRef>
              <c:f>'Gas Price'!$Q$56</c:f>
              <c:strCache>
                <c:ptCount val="1"/>
                <c:pt idx="0">
                  <c:v> </c:v>
                </c:pt>
              </c:strCache>
            </c:strRef>
          </c:tx>
          <c:spPr>
            <a:ln w="38100">
              <a:solidFill>
                <a:srgbClr val="FF9900"/>
              </a:solidFill>
              <a:prstDash val="solid"/>
            </a:ln>
          </c:spPr>
          <c:marker>
            <c:symbol val="none"/>
          </c:marker>
          <c:xVal>
            <c:numRef>
              <c:f>'Gas Price'!$R$50:$S$50</c:f>
              <c:numCache>
                <c:formatCode>General</c:formatCode>
                <c:ptCount val="2"/>
                <c:pt idx="0">
                  <c:v>50</c:v>
                </c:pt>
                <c:pt idx="1">
                  <c:v>90</c:v>
                </c:pt>
              </c:numCache>
            </c:numRef>
          </c:xVal>
          <c:yVal>
            <c:numRef>
              <c:f>'Gas Price'!$R$56:$S$56</c:f>
              <c:numCache>
                <c:formatCode>#,##0.00</c:formatCode>
                <c:ptCount val="2"/>
                <c:pt idx="0" formatCode="&quot;R&quot;#,##0_);[Red]\(&quot;R&quot;#,##0\)">
                  <c:v>182.30390459715639</c:v>
                </c:pt>
                <c:pt idx="1">
                  <c:v>165.02433113744075</c:v>
                </c:pt>
              </c:numCache>
            </c:numRef>
          </c:yVal>
          <c:smooth val="1"/>
          <c:extLst>
            <c:ext xmlns:c16="http://schemas.microsoft.com/office/drawing/2014/chart" uri="{C3380CC4-5D6E-409C-BE32-E72D297353CC}">
              <c16:uniqueId val="{00000005-D444-480F-A667-87DB7036149E}"/>
            </c:ext>
          </c:extLst>
        </c:ser>
        <c:ser>
          <c:idx val="6"/>
          <c:order val="6"/>
          <c:tx>
            <c:strRef>
              <c:f>'Gas Price'!$Q$57</c:f>
              <c:strCache>
                <c:ptCount val="1"/>
                <c:pt idx="0">
                  <c:v> </c:v>
                </c:pt>
              </c:strCache>
            </c:strRef>
          </c:tx>
          <c:spPr>
            <a:ln w="38100">
              <a:solidFill>
                <a:srgbClr val="9999FF"/>
              </a:solidFill>
              <a:prstDash val="solid"/>
            </a:ln>
          </c:spPr>
          <c:marker>
            <c:symbol val="none"/>
          </c:marker>
          <c:xVal>
            <c:numRef>
              <c:f>'Gas Price'!$R$50:$S$50</c:f>
              <c:numCache>
                <c:formatCode>General</c:formatCode>
                <c:ptCount val="2"/>
                <c:pt idx="0">
                  <c:v>50</c:v>
                </c:pt>
                <c:pt idx="1">
                  <c:v>90</c:v>
                </c:pt>
              </c:numCache>
            </c:numRef>
          </c:xVal>
          <c:yVal>
            <c:numRef>
              <c:f>'Gas Price'!$R$57:$S$57</c:f>
              <c:numCache>
                <c:formatCode>#,##0.00</c:formatCode>
                <c:ptCount val="2"/>
                <c:pt idx="1">
                  <c:v>179.36750649289101</c:v>
                </c:pt>
              </c:numCache>
            </c:numRef>
          </c:yVal>
          <c:smooth val="1"/>
          <c:extLst>
            <c:ext xmlns:c16="http://schemas.microsoft.com/office/drawing/2014/chart" uri="{C3380CC4-5D6E-409C-BE32-E72D297353CC}">
              <c16:uniqueId val="{00000006-D444-480F-A667-87DB7036149E}"/>
            </c:ext>
          </c:extLst>
        </c:ser>
        <c:dLbls>
          <c:showLegendKey val="0"/>
          <c:showVal val="0"/>
          <c:showCatName val="0"/>
          <c:showSerName val="0"/>
          <c:showPercent val="0"/>
          <c:showBubbleSize val="0"/>
        </c:dLbls>
        <c:axId val="618494776"/>
        <c:axId val="618495168"/>
      </c:scatterChart>
      <c:valAx>
        <c:axId val="61849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168"/>
        <c:crosses val="autoZero"/>
        <c:crossBetween val="midCat"/>
      </c:valAx>
      <c:valAx>
        <c:axId val="618495168"/>
        <c:scaling>
          <c:orientation val="minMax"/>
        </c:scaling>
        <c:delete val="0"/>
        <c:axPos val="l"/>
        <c:majorGridlines>
          <c:spPr>
            <a:ln w="3175">
              <a:solidFill>
                <a:srgbClr val="808080"/>
              </a:solidFill>
              <a:prstDash val="solid"/>
            </a:ln>
          </c:spPr>
        </c:majorGridlines>
        <c:numFmt formatCode="&quot;R&quot;#,##0_);[Red]\(&quot;R&quot;#,##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4776"/>
        <c:crosses val="autoZero"/>
        <c:crossBetween val="midCat"/>
      </c:valAx>
      <c:spPr>
        <a:solidFill>
          <a:srgbClr val="FFFFFF"/>
        </a:solidFill>
        <a:ln w="25400">
          <a:noFill/>
        </a:ln>
      </c:spPr>
    </c:plotArea>
    <c:legend>
      <c:legendPos val="r"/>
      <c:layout>
        <c:manualLayout>
          <c:xMode val="edge"/>
          <c:yMode val="edge"/>
          <c:x val="0.82745825602968459"/>
          <c:y val="0.17277492432117542"/>
          <c:w val="0.14471243042671617"/>
          <c:h val="0.60994783889142234"/>
        </c:manualLayout>
      </c:layout>
      <c:overlay val="0"/>
      <c:spPr>
        <a:noFill/>
        <a:ln w="25400">
          <a:noFill/>
        </a:ln>
      </c:spPr>
      <c:txPr>
        <a:bodyPr/>
        <a:lstStyle/>
        <a:p>
          <a:pPr>
            <a:defRPr sz="50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'Oil price'!$C$68</c:f>
              <c:strCache>
                <c:ptCount val="1"/>
                <c:pt idx="0">
                  <c:v>  Moderate Low Sulfur Light (dollars per barrel)</c:v>
                </c:pt>
              </c:strCache>
            </c:strRef>
          </c:tx>
          <c:spPr>
            <a:ln w="38100">
              <a:solidFill>
                <a:srgbClr val="993366"/>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price'!$D$68:$BB$68</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A8C9-4261-97CB-265B28E66EF7}"/>
            </c:ext>
          </c:extLst>
        </c:ser>
        <c:ser>
          <c:idx val="2"/>
          <c:order val="1"/>
          <c:tx>
            <c:strRef>
              <c:f>'Oil price'!$C$69</c:f>
              <c:strCache>
                <c:ptCount val="1"/>
                <c:pt idx="0">
                  <c:v>high</c:v>
                </c:pt>
              </c:strCache>
            </c:strRef>
          </c:tx>
          <c:spPr>
            <a:ln w="38100">
              <a:solidFill>
                <a:srgbClr val="90713A"/>
              </a:solidFill>
              <a:prstDash val="solid"/>
            </a:ln>
          </c:spPr>
          <c:marker>
            <c:symbol val="none"/>
          </c:marker>
          <c:cat>
            <c:numRef>
              <c:f>'Oil price'!$D$67:$BB$67</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'Oil price'!$D$69:$BB$69</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A8C9-4261-97CB-265B28E66EF7}"/>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'Oil price'!$BI$10</c:f>
              <c:strCache>
                <c:ptCount val="1"/>
                <c:pt idx="0">
                  <c:v>Coal</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price'!$BJ$10:$BP$10</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5675-482C-83B4-3802C6548543}"/>
            </c:ext>
          </c:extLst>
        </c:ser>
        <c:ser>
          <c:idx val="1"/>
          <c:order val="1"/>
          <c:tx>
            <c:strRef>
              <c:f>'Oil price'!$BI$11</c:f>
              <c:strCache>
                <c:ptCount val="1"/>
                <c:pt idx="0">
                  <c:v>Coal Discard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price'!$BJ$11:$BP$11</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5675-482C-83B4-3802C6548543}"/>
            </c:ext>
          </c:extLst>
        </c:ser>
        <c:ser>
          <c:idx val="3"/>
          <c:order val="2"/>
          <c:tx>
            <c:strRef>
              <c:f>'Oil price'!$BI$13</c:f>
              <c:strCache>
                <c:ptCount val="1"/>
                <c:pt idx="0">
                  <c:v>Nuclear</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price'!$BJ$13:$BP$13</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5675-482C-83B4-3802C6548543}"/>
            </c:ext>
          </c:extLst>
        </c:ser>
        <c:ser>
          <c:idx val="5"/>
          <c:order val="3"/>
          <c:tx>
            <c:strRef>
              <c:f>'Oil price'!$BI$15</c:f>
              <c:strCache>
                <c:ptCount val="1"/>
                <c:pt idx="0">
                  <c:v>Gas Indigenous Ibhubezi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price'!$BJ$15:$BP$15</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5675-482C-83B4-3802C6548543}"/>
            </c:ext>
          </c:extLst>
        </c:ser>
        <c:ser>
          <c:idx val="6"/>
          <c:order val="4"/>
          <c:tx>
            <c:strRef>
              <c:f>'Oil price'!$BI$16</c:f>
              <c:strCache>
                <c:ptCount val="1"/>
                <c:pt idx="0">
                  <c:v>Gas Indigenous Piped Shale</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price'!$BJ$16:$BP$16</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5675-482C-83B4-3802C6548543}"/>
            </c:ext>
          </c:extLst>
        </c:ser>
        <c:ser>
          <c:idx val="7"/>
          <c:order val="5"/>
          <c:tx>
            <c:strRef>
              <c:f>'Oil price'!$BI$17</c:f>
              <c:strCache>
                <c:ptCount val="1"/>
                <c:pt idx="0">
                  <c:v>Gas Northern Mozambique Piped</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price'!$BJ$17:$BP$17</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5675-482C-83B4-3802C6548543}"/>
            </c:ext>
          </c:extLst>
        </c:ser>
        <c:ser>
          <c:idx val="8"/>
          <c:order val="6"/>
          <c:tx>
            <c:strRef>
              <c:f>'Oil price'!$BI$18</c:f>
              <c:strCache>
                <c:ptCount val="1"/>
                <c:pt idx="0">
                  <c:v>Gas Regasified LNG</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price'!$BJ$18:$BP$18</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5675-482C-83B4-3802C6548543}"/>
            </c:ext>
          </c:extLst>
        </c:ser>
        <c:ser>
          <c:idx val="9"/>
          <c:order val="7"/>
          <c:tx>
            <c:strRef>
              <c:f>'Oil price'!$BI$19</c:f>
              <c:strCache>
                <c:ptCount val="1"/>
                <c:pt idx="0">
                  <c:v>FSRU</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price'!$BJ$19:$BP$19</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5675-482C-83B4-3802C6548543}"/>
            </c:ext>
          </c:extLst>
        </c:ser>
        <c:ser>
          <c:idx val="2"/>
          <c:order val="8"/>
          <c:tx>
            <c:strRef>
              <c:f>'Oil price'!$BI$20</c:f>
              <c:strCache>
                <c:ptCount val="1"/>
                <c:pt idx="0">
                  <c:v>IRP21010 Gas</c:v>
                </c:pt>
              </c:strCache>
            </c:strRef>
          </c:tx>
          <c:marker>
            <c:symbol val="none"/>
          </c:marker>
          <c:cat>
            <c:numRef>
              <c:f>'Oil price'!$BJ$9:$BP$9</c:f>
              <c:numCache>
                <c:formatCode>General</c:formatCode>
                <c:ptCount val="7"/>
                <c:pt idx="0">
                  <c:v>2010</c:v>
                </c:pt>
                <c:pt idx="1">
                  <c:v>2015</c:v>
                </c:pt>
                <c:pt idx="2">
                  <c:v>2020</c:v>
                </c:pt>
                <c:pt idx="3">
                  <c:v>2025</c:v>
                </c:pt>
                <c:pt idx="4">
                  <c:v>2030</c:v>
                </c:pt>
                <c:pt idx="5">
                  <c:v>2035</c:v>
                </c:pt>
                <c:pt idx="6">
                  <c:v>2040</c:v>
                </c:pt>
              </c:numCache>
            </c:numRef>
          </c:cat>
          <c:val>
            <c:numRef>
              <c:f>'Oil price'!$BJ$20:$BP$20</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5675-482C-83B4-3802C6548543}"/>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price'!$BY$86</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'Oil price'!$BZ$85:$CC$85</c:f>
              <c:numCache>
                <c:formatCode>General</c:formatCode>
                <c:ptCount val="4"/>
                <c:pt idx="0">
                  <c:v>2020</c:v>
                </c:pt>
                <c:pt idx="1">
                  <c:v>2030</c:v>
                </c:pt>
                <c:pt idx="2">
                  <c:v>2040</c:v>
                </c:pt>
                <c:pt idx="3">
                  <c:v>2050</c:v>
                </c:pt>
              </c:numCache>
            </c:numRef>
          </c:xVal>
          <c:yVal>
            <c:numRef>
              <c:f>'Oil price'!$BZ$86:$CC$86</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F1E7-49BA-9F4D-E9AB5177BB86}"/>
            </c:ext>
          </c:extLst>
        </c:ser>
        <c:ser>
          <c:idx val="1"/>
          <c:order val="1"/>
          <c:tx>
            <c:strRef>
              <c:f>'Oil price'!$BY$87</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'Oil price'!$BZ$85:$CC$85</c:f>
              <c:numCache>
                <c:formatCode>General</c:formatCode>
                <c:ptCount val="4"/>
                <c:pt idx="0">
                  <c:v>2020</c:v>
                </c:pt>
                <c:pt idx="1">
                  <c:v>2030</c:v>
                </c:pt>
                <c:pt idx="2">
                  <c:v>2040</c:v>
                </c:pt>
                <c:pt idx="3">
                  <c:v>2050</c:v>
                </c:pt>
              </c:numCache>
            </c:numRef>
          </c:xVal>
          <c:yVal>
            <c:numRef>
              <c:f>'Oil price'!$BZ$87:$CC$87</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F1E7-49BA-9F4D-E9AB5177BB86}"/>
            </c:ext>
          </c:extLst>
        </c:ser>
        <c:ser>
          <c:idx val="2"/>
          <c:order val="2"/>
          <c:tx>
            <c:strRef>
              <c:f>'Oil price'!$BY$88</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'Oil price'!$BZ$85:$CC$85</c:f>
              <c:numCache>
                <c:formatCode>General</c:formatCode>
                <c:ptCount val="4"/>
                <c:pt idx="0">
                  <c:v>2020</c:v>
                </c:pt>
                <c:pt idx="1">
                  <c:v>2030</c:v>
                </c:pt>
                <c:pt idx="2">
                  <c:v>2040</c:v>
                </c:pt>
                <c:pt idx="3">
                  <c:v>2050</c:v>
                </c:pt>
              </c:numCache>
            </c:numRef>
          </c:xVal>
          <c:yVal>
            <c:numRef>
              <c:f>'Oil price'!$BZ$88:$CC$88</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F1E7-49BA-9F4D-E9AB5177BB86}"/>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'Oil price'!$CJ$86</c:f>
              <c:strCache>
                <c:ptCount val="1"/>
                <c:pt idx="0">
                  <c:v>Stated Policies</c:v>
                </c:pt>
              </c:strCache>
            </c:strRef>
          </c:tx>
          <c:spPr>
            <a:ln w="19050" cap="rnd">
              <a:solidFill>
                <a:schemeClr val="accent1"/>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price'!$CK$86:$CR$86</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7C7C-47FA-8355-3A2D818D34A8}"/>
            </c:ext>
          </c:extLst>
        </c:ser>
        <c:ser>
          <c:idx val="1"/>
          <c:order val="1"/>
          <c:tx>
            <c:strRef>
              <c:f>'Oil price'!$CJ$87</c:f>
              <c:strCache>
                <c:ptCount val="1"/>
                <c:pt idx="0">
                  <c:v>Sustainable Development</c:v>
                </c:pt>
              </c:strCache>
            </c:strRef>
          </c:tx>
          <c:spPr>
            <a:ln w="19050" cap="rnd">
              <a:solidFill>
                <a:schemeClr val="accent2"/>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price'!$CK$87:$CR$87</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7C7C-47FA-8355-3A2D818D34A8}"/>
            </c:ext>
          </c:extLst>
        </c:ser>
        <c:ser>
          <c:idx val="2"/>
          <c:order val="2"/>
          <c:tx>
            <c:strRef>
              <c:f>'Oil price'!$CJ$88</c:f>
              <c:strCache>
                <c:ptCount val="1"/>
                <c:pt idx="0">
                  <c:v>Delayed Recovery</c:v>
                </c:pt>
              </c:strCache>
            </c:strRef>
          </c:tx>
          <c:spPr>
            <a:ln w="19050" cap="rnd">
              <a:solidFill>
                <a:schemeClr val="accent3"/>
              </a:solidFill>
              <a:round/>
            </a:ln>
            <a:effectLst/>
          </c:spPr>
          <c:marker>
            <c:symbol val="none"/>
          </c:marker>
          <c:xVal>
            <c:numRef>
              <c:f>'Oil price'!$CK$85:$CR$85</c:f>
              <c:numCache>
                <c:formatCode>General</c:formatCode>
                <c:ptCount val="8"/>
                <c:pt idx="0">
                  <c:v>2019</c:v>
                </c:pt>
                <c:pt idx="1">
                  <c:v>2020</c:v>
                </c:pt>
                <c:pt idx="2">
                  <c:v>2021</c:v>
                </c:pt>
                <c:pt idx="3">
                  <c:v>2025</c:v>
                </c:pt>
                <c:pt idx="4">
                  <c:v>2030</c:v>
                </c:pt>
                <c:pt idx="5">
                  <c:v>2035</c:v>
                </c:pt>
                <c:pt idx="6">
                  <c:v>2040</c:v>
                </c:pt>
                <c:pt idx="7">
                  <c:v>2050</c:v>
                </c:pt>
              </c:numCache>
            </c:numRef>
          </c:xVal>
          <c:yVal>
            <c:numRef>
              <c:f>'Oil price'!$CK$88:$CR$88</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7C7C-47FA-8355-3A2D818D34A8}"/>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 emissions'!$L$31:$M$43</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 emissions'!$Q$31:$Q$43</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3FBE-411A-99F9-F582F307F3D4}"/>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Assumed Refinery Retirement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'Crude refineries'!$D$51</c:f>
              <c:strCache>
                <c:ptCount val="1"/>
                <c:pt idx="0">
                  <c:v>CHEVREF</c:v>
                </c:pt>
              </c:strCache>
            </c:strRef>
          </c:tx>
          <c:spPr>
            <a:solidFill>
              <a:schemeClr val="accent1"/>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refineries'!$E$51:$L$51</c:f>
              <c:numCache>
                <c:formatCode>#,##0</c:formatCode>
                <c:ptCount val="8"/>
                <c:pt idx="0">
                  <c:v>100000</c:v>
                </c:pt>
                <c:pt idx="1">
                  <c:v>0</c:v>
                </c:pt>
                <c:pt idx="2">
                  <c:v>0</c:v>
                </c:pt>
                <c:pt idx="3">
                  <c:v>100000</c:v>
                </c:pt>
                <c:pt idx="4">
                  <c:v>100000</c:v>
                </c:pt>
                <c:pt idx="5">
                  <c:v>100000</c:v>
                </c:pt>
                <c:pt idx="6">
                  <c:v>100000</c:v>
                </c:pt>
                <c:pt idx="7">
                  <c:v>100000</c:v>
                </c:pt>
              </c:numCache>
            </c:numRef>
          </c:val>
          <c:extLst>
            <c:ext xmlns:c16="http://schemas.microsoft.com/office/drawing/2014/chart" uri="{C3380CC4-5D6E-409C-BE32-E72D297353CC}">
              <c16:uniqueId val="{00000000-DF99-4361-848E-09C2FAD3873A}"/>
            </c:ext>
          </c:extLst>
        </c:ser>
        <c:ser>
          <c:idx val="1"/>
          <c:order val="1"/>
          <c:tx>
            <c:strRef>
              <c:f>'Crude refineries'!$D$52</c:f>
              <c:strCache>
                <c:ptCount val="1"/>
                <c:pt idx="0">
                  <c:v>SAPREF</c:v>
                </c:pt>
              </c:strCache>
            </c:strRef>
          </c:tx>
          <c:spPr>
            <a:solidFill>
              <a:schemeClr val="accent2"/>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refineries'!$E$52:$L$52</c:f>
              <c:numCache>
                <c:formatCode>#,##0</c:formatCode>
                <c:ptCount val="8"/>
                <c:pt idx="0">
                  <c:v>180000</c:v>
                </c:pt>
                <c:pt idx="1">
                  <c:v>180000</c:v>
                </c:pt>
                <c:pt idx="2">
                  <c:v>180000</c:v>
                </c:pt>
                <c:pt idx="3">
                  <c:v>180000</c:v>
                </c:pt>
                <c:pt idx="4">
                  <c:v>180000</c:v>
                </c:pt>
                <c:pt idx="5">
                  <c:v>180000</c:v>
                </c:pt>
                <c:pt idx="6">
                  <c:v>180000</c:v>
                </c:pt>
                <c:pt idx="7">
                  <c:v>180000</c:v>
                </c:pt>
              </c:numCache>
            </c:numRef>
          </c:val>
          <c:extLst>
            <c:ext xmlns:c16="http://schemas.microsoft.com/office/drawing/2014/chart" uri="{C3380CC4-5D6E-409C-BE32-E72D297353CC}">
              <c16:uniqueId val="{00000001-DF99-4361-848E-09C2FAD3873A}"/>
            </c:ext>
          </c:extLst>
        </c:ser>
        <c:ser>
          <c:idx val="2"/>
          <c:order val="2"/>
          <c:tx>
            <c:strRef>
              <c:f>'Crude refineries'!$D$53</c:f>
              <c:strCache>
                <c:ptCount val="1"/>
                <c:pt idx="0">
                  <c:v>ENREF</c:v>
                </c:pt>
              </c:strCache>
            </c:strRef>
          </c:tx>
          <c:spPr>
            <a:solidFill>
              <a:schemeClr val="accent3"/>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refineries'!$E$53:$L$53</c:f>
              <c:numCache>
                <c:formatCode>#,##0</c:formatCode>
                <c:ptCount val="8"/>
                <c:pt idx="0">
                  <c:v>135000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DF99-4361-848E-09C2FAD3873A}"/>
            </c:ext>
          </c:extLst>
        </c:ser>
        <c:ser>
          <c:idx val="3"/>
          <c:order val="3"/>
          <c:tx>
            <c:strRef>
              <c:f>'Crude refineries'!$D$54</c:f>
              <c:strCache>
                <c:ptCount val="1"/>
                <c:pt idx="0">
                  <c:v>NATREF</c:v>
                </c:pt>
              </c:strCache>
            </c:strRef>
          </c:tx>
          <c:spPr>
            <a:solidFill>
              <a:schemeClr val="accent4"/>
            </a:solidFill>
            <a:ln>
              <a:noFill/>
            </a:ln>
            <a:effectLst/>
          </c:spPr>
          <c:invertIfNegative val="0"/>
          <c:cat>
            <c:numRef>
              <c:f>'Crude refineries'!$E$50:$L$50</c:f>
              <c:numCache>
                <c:formatCode>General</c:formatCode>
                <c:ptCount val="8"/>
                <c:pt idx="0">
                  <c:v>2019</c:v>
                </c:pt>
                <c:pt idx="1">
                  <c:v>2020</c:v>
                </c:pt>
                <c:pt idx="2">
                  <c:v>2021</c:v>
                </c:pt>
                <c:pt idx="3">
                  <c:v>2022</c:v>
                </c:pt>
                <c:pt idx="4" formatCode="#,##0">
                  <c:v>2025</c:v>
                </c:pt>
                <c:pt idx="5" formatCode="#,##0">
                  <c:v>2030</c:v>
                </c:pt>
                <c:pt idx="6">
                  <c:v>2035</c:v>
                </c:pt>
                <c:pt idx="7" formatCode="#,##0">
                  <c:v>2040</c:v>
                </c:pt>
              </c:numCache>
            </c:numRef>
          </c:cat>
          <c:val>
            <c:numRef>
              <c:f>'Crude refineries'!$E$54:$L$54</c:f>
              <c:numCache>
                <c:formatCode>#,##0</c:formatCode>
                <c:ptCount val="8"/>
                <c:pt idx="0">
                  <c:v>108000</c:v>
                </c:pt>
                <c:pt idx="1">
                  <c:v>0</c:v>
                </c:pt>
                <c:pt idx="2">
                  <c:v>108000</c:v>
                </c:pt>
                <c:pt idx="3">
                  <c:v>108000</c:v>
                </c:pt>
                <c:pt idx="4">
                  <c:v>108000</c:v>
                </c:pt>
                <c:pt idx="5">
                  <c:v>108000</c:v>
                </c:pt>
                <c:pt idx="6">
                  <c:v>108000</c:v>
                </c:pt>
                <c:pt idx="7">
                  <c:v>108000</c:v>
                </c:pt>
              </c:numCache>
            </c:numRef>
          </c:val>
          <c:extLst>
            <c:ext xmlns:c16="http://schemas.microsoft.com/office/drawing/2014/chart" uri="{C3380CC4-5D6E-409C-BE32-E72D297353CC}">
              <c16:uniqueId val="{00000003-DF99-4361-848E-09C2FAD3873A}"/>
            </c:ext>
          </c:extLst>
        </c:ser>
        <c:dLbls>
          <c:showLegendKey val="0"/>
          <c:showVal val="0"/>
          <c:showCatName val="0"/>
          <c:showSerName val="0"/>
          <c:showPercent val="0"/>
          <c:showBubbleSize val="0"/>
        </c:dLbls>
        <c:gapWidth val="150"/>
        <c:overlap val="100"/>
        <c:axId val="622198064"/>
        <c:axId val="622198456"/>
      </c:barChart>
      <c:catAx>
        <c:axId val="6221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456"/>
        <c:crosses val="autoZero"/>
        <c:auto val="1"/>
        <c:lblAlgn val="ctr"/>
        <c:lblOffset val="100"/>
        <c:noMultiLvlLbl val="0"/>
      </c:catAx>
      <c:valAx>
        <c:axId val="622198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bb/day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5588-4EFA-9BBB-B6AD71F049CF}"/>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88F2-4BE6-95E6-7EFD4650714A}"/>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D89B-4EFE-BADB-05A3236D1C1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A605-45E0-9425-E8BDE6F44384}"/>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c:formatCode>
                <c:ptCount val="5"/>
                <c:pt idx="0">
                  <c:v>19642.016806722688</c:v>
                </c:pt>
                <c:pt idx="1">
                  <c:v>13546.218487394957</c:v>
                </c:pt>
                <c:pt idx="2">
                  <c:v>7450.4201680672268</c:v>
                </c:pt>
                <c:pt idx="3">
                  <c:v>6271.0466004583659</c:v>
                </c:pt>
                <c:pt idx="4">
                  <c:v>5091.6730328495041</c:v>
                </c:pt>
              </c:numCache>
            </c:numRef>
          </c:yVal>
          <c:smooth val="0"/>
          <c:extLst>
            <c:ext xmlns:c16="http://schemas.microsoft.com/office/drawing/2014/chart" uri="{C3380CC4-5D6E-409C-BE32-E72D297353CC}">
              <c16:uniqueId val="{00000000-B606-4323-998D-3F87EA336698}"/>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c:formatCode>
                <c:ptCount val="5"/>
                <c:pt idx="0">
                  <c:v>12868.90756302521</c:v>
                </c:pt>
                <c:pt idx="1">
                  <c:v>9482.3529411764703</c:v>
                </c:pt>
                <c:pt idx="2">
                  <c:v>6095.7983193277314</c:v>
                </c:pt>
                <c:pt idx="3">
                  <c:v>4856.9561157796461</c:v>
                </c:pt>
                <c:pt idx="4">
                  <c:v>3618.1139122315594</c:v>
                </c:pt>
              </c:numCache>
            </c:numRef>
          </c:yVal>
          <c:smooth val="0"/>
          <c:extLst>
            <c:ext xmlns:c16="http://schemas.microsoft.com/office/drawing/2014/chart" uri="{C3380CC4-5D6E-409C-BE32-E72D297353CC}">
              <c16:uniqueId val="{00000001-B606-4323-998D-3F87EA336698}"/>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1-7D9B-43FB-9726-B204DC60CD2D}"/>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60E8-4D50-ADEF-8E7F3CF6BD8F}"/>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Daily Nominal Exchange Rate</a:t>
            </a:r>
          </a:p>
        </c:rich>
      </c:tx>
      <c:overlay val="1"/>
    </c:title>
    <c:autoTitleDeleted val="0"/>
    <c:plotArea>
      <c:layout/>
      <c:scatterChart>
        <c:scatterStyle val="lineMarker"/>
        <c:varyColors val="0"/>
        <c:ser>
          <c:idx val="0"/>
          <c:order val="0"/>
          <c:tx>
            <c:strRef>
              <c:f>ExchangeRateDetail!$E$8</c:f>
              <c:strCache>
                <c:ptCount val="1"/>
                <c:pt idx="0">
                  <c:v>Actual Daily</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ExchangeRateDetail!$E$9:$E$6181</c:f>
              <c:numCache>
                <c:formatCode>General</c:formatCode>
                <c:ptCount val="6173"/>
                <c:pt idx="0">
                  <c:v>10.6038</c:v>
                </c:pt>
                <c:pt idx="1">
                  <c:v>10.6435</c:v>
                </c:pt>
                <c:pt idx="2">
                  <c:v>10.6418</c:v>
                </c:pt>
                <c:pt idx="3">
                  <c:v>10.687900000000001</c:v>
                </c:pt>
                <c:pt idx="4">
                  <c:v>10.692</c:v>
                </c:pt>
                <c:pt idx="5">
                  <c:v>10.6905</c:v>
                </c:pt>
                <c:pt idx="6">
                  <c:v>10.7064</c:v>
                </c:pt>
                <c:pt idx="7">
                  <c:v>10.6652</c:v>
                </c:pt>
                <c:pt idx="8">
                  <c:v>10.632</c:v>
                </c:pt>
                <c:pt idx="9">
                  <c:v>10.5909</c:v>
                </c:pt>
                <c:pt idx="10">
                  <c:v>10.546900000000001</c:v>
                </c:pt>
                <c:pt idx="11">
                  <c:v>10.587300000000001</c:v>
                </c:pt>
                <c:pt idx="12">
                  <c:v>10.626799999999999</c:v>
                </c:pt>
                <c:pt idx="13">
                  <c:v>10.6609</c:v>
                </c:pt>
                <c:pt idx="14">
                  <c:v>10.6983</c:v>
                </c:pt>
                <c:pt idx="15">
                  <c:v>10.7889</c:v>
                </c:pt>
                <c:pt idx="16">
                  <c:v>10.731199999999999</c:v>
                </c:pt>
                <c:pt idx="17">
                  <c:v>10.771599999999999</c:v>
                </c:pt>
                <c:pt idx="18">
                  <c:v>10.6295</c:v>
                </c:pt>
                <c:pt idx="19">
                  <c:v>10.665900000000001</c:v>
                </c:pt>
                <c:pt idx="20">
                  <c:v>10.729699999999999</c:v>
                </c:pt>
                <c:pt idx="21">
                  <c:v>10.7058</c:v>
                </c:pt>
                <c:pt idx="22">
                  <c:v>10.600099999999999</c:v>
                </c:pt>
                <c:pt idx="23">
                  <c:v>10.614000000000001</c:v>
                </c:pt>
                <c:pt idx="24">
                  <c:v>10.531700000000001</c:v>
                </c:pt>
                <c:pt idx="25">
                  <c:v>10.5406</c:v>
                </c:pt>
                <c:pt idx="26">
                  <c:v>10.520200000000001</c:v>
                </c:pt>
                <c:pt idx="27">
                  <c:v>10.5214</c:v>
                </c:pt>
                <c:pt idx="28">
                  <c:v>10.625400000000001</c:v>
                </c:pt>
                <c:pt idx="29">
                  <c:v>10.6326</c:v>
                </c:pt>
                <c:pt idx="30">
                  <c:v>10.6972</c:v>
                </c:pt>
                <c:pt idx="31">
                  <c:v>10.6684</c:v>
                </c:pt>
                <c:pt idx="32">
                  <c:v>10.694000000000001</c:v>
                </c:pt>
                <c:pt idx="33">
                  <c:v>10.7074</c:v>
                </c:pt>
                <c:pt idx="34">
                  <c:v>10.726800000000001</c:v>
                </c:pt>
                <c:pt idx="35">
                  <c:v>10.7156</c:v>
                </c:pt>
                <c:pt idx="36">
                  <c:v>10.7058</c:v>
                </c:pt>
                <c:pt idx="37">
                  <c:v>10.6729</c:v>
                </c:pt>
                <c:pt idx="38">
                  <c:v>10.7043</c:v>
                </c:pt>
                <c:pt idx="39">
                  <c:v>10.8215</c:v>
                </c:pt>
                <c:pt idx="40">
                  <c:v>10.7516</c:v>
                </c:pt>
                <c:pt idx="41">
                  <c:v>10.778700000000001</c:v>
                </c:pt>
                <c:pt idx="42">
                  <c:v>10.7059</c:v>
                </c:pt>
                <c:pt idx="43">
                  <c:v>10.6172</c:v>
                </c:pt>
                <c:pt idx="44">
                  <c:v>10.6135</c:v>
                </c:pt>
                <c:pt idx="45">
                  <c:v>10.617699999999999</c:v>
                </c:pt>
                <c:pt idx="46">
                  <c:v>10.6113</c:v>
                </c:pt>
                <c:pt idx="47">
                  <c:v>10.6137</c:v>
                </c:pt>
                <c:pt idx="48">
                  <c:v>10.5625</c:v>
                </c:pt>
                <c:pt idx="49">
                  <c:v>10.653700000000001</c:v>
                </c:pt>
                <c:pt idx="50">
                  <c:v>10.711499999999999</c:v>
                </c:pt>
                <c:pt idx="51">
                  <c:v>10.6188</c:v>
                </c:pt>
                <c:pt idx="52">
                  <c:v>10.7996</c:v>
                </c:pt>
                <c:pt idx="53">
                  <c:v>10.7422</c:v>
                </c:pt>
                <c:pt idx="54">
                  <c:v>10.7379</c:v>
                </c:pt>
                <c:pt idx="55">
                  <c:v>10.742900000000001</c:v>
                </c:pt>
                <c:pt idx="56">
                  <c:v>10.787599999999999</c:v>
                </c:pt>
                <c:pt idx="57">
                  <c:v>10.7058</c:v>
                </c:pt>
                <c:pt idx="58">
                  <c:v>10.569800000000001</c:v>
                </c:pt>
                <c:pt idx="59">
                  <c:v>10.650600000000001</c:v>
                </c:pt>
                <c:pt idx="60">
                  <c:v>10.743</c:v>
                </c:pt>
                <c:pt idx="61">
                  <c:v>10.7979</c:v>
                </c:pt>
                <c:pt idx="62">
                  <c:v>10.6638</c:v>
                </c:pt>
                <c:pt idx="63">
                  <c:v>10.5829</c:v>
                </c:pt>
                <c:pt idx="64">
                  <c:v>10.4422</c:v>
                </c:pt>
                <c:pt idx="65">
                  <c:v>10.4201</c:v>
                </c:pt>
                <c:pt idx="66">
                  <c:v>10.490600000000001</c:v>
                </c:pt>
                <c:pt idx="67">
                  <c:v>10.402200000000001</c:v>
                </c:pt>
                <c:pt idx="68">
                  <c:v>10.336399999999999</c:v>
                </c:pt>
                <c:pt idx="69">
                  <c:v>10.3489</c:v>
                </c:pt>
                <c:pt idx="70">
                  <c:v>10.380800000000001</c:v>
                </c:pt>
                <c:pt idx="71">
                  <c:v>10.4435</c:v>
                </c:pt>
                <c:pt idx="72">
                  <c:v>10.4459</c:v>
                </c:pt>
                <c:pt idx="73">
                  <c:v>10.3439</c:v>
                </c:pt>
                <c:pt idx="74">
                  <c:v>10.3988</c:v>
                </c:pt>
                <c:pt idx="75">
                  <c:v>10.3248</c:v>
                </c:pt>
                <c:pt idx="76">
                  <c:v>10.281499999999999</c:v>
                </c:pt>
                <c:pt idx="77">
                  <c:v>10.333399999999999</c:v>
                </c:pt>
                <c:pt idx="78">
                  <c:v>10.3528</c:v>
                </c:pt>
                <c:pt idx="79">
                  <c:v>10.336600000000001</c:v>
                </c:pt>
                <c:pt idx="80">
                  <c:v>10.372999999999999</c:v>
                </c:pt>
                <c:pt idx="81">
                  <c:v>10.5228</c:v>
                </c:pt>
                <c:pt idx="82">
                  <c:v>10.477600000000001</c:v>
                </c:pt>
                <c:pt idx="83">
                  <c:v>10.5145</c:v>
                </c:pt>
                <c:pt idx="84">
                  <c:v>10.5525</c:v>
                </c:pt>
                <c:pt idx="85">
                  <c:v>10.5793</c:v>
                </c:pt>
                <c:pt idx="86">
                  <c:v>10.6279</c:v>
                </c:pt>
                <c:pt idx="87">
                  <c:v>10.593299999999999</c:v>
                </c:pt>
                <c:pt idx="88">
                  <c:v>10.5916</c:v>
                </c:pt>
                <c:pt idx="89">
                  <c:v>10.539400000000001</c:v>
                </c:pt>
                <c:pt idx="90">
                  <c:v>10.525700000000001</c:v>
                </c:pt>
                <c:pt idx="91">
                  <c:v>10.5459</c:v>
                </c:pt>
                <c:pt idx="92">
                  <c:v>10.5219</c:v>
                </c:pt>
                <c:pt idx="93">
                  <c:v>10.562200000000001</c:v>
                </c:pt>
                <c:pt idx="94">
                  <c:v>10.4505</c:v>
                </c:pt>
                <c:pt idx="95">
                  <c:v>10.3964</c:v>
                </c:pt>
                <c:pt idx="96">
                  <c:v>10.4359</c:v>
                </c:pt>
                <c:pt idx="97">
                  <c:v>10.4282</c:v>
                </c:pt>
                <c:pt idx="98">
                  <c:v>10.562200000000001</c:v>
                </c:pt>
                <c:pt idx="99">
                  <c:v>10.6495</c:v>
                </c:pt>
                <c:pt idx="100">
                  <c:v>10.6541</c:v>
                </c:pt>
                <c:pt idx="101">
                  <c:v>10.5997</c:v>
                </c:pt>
                <c:pt idx="102">
                  <c:v>10.5794</c:v>
                </c:pt>
                <c:pt idx="103">
                  <c:v>10.5953</c:v>
                </c:pt>
                <c:pt idx="104">
                  <c:v>10.613899999999999</c:v>
                </c:pt>
                <c:pt idx="105">
                  <c:v>10.7219</c:v>
                </c:pt>
                <c:pt idx="106">
                  <c:v>10.741300000000001</c:v>
                </c:pt>
                <c:pt idx="107">
                  <c:v>10.820499999999999</c:v>
                </c:pt>
                <c:pt idx="108">
                  <c:v>10.851599999999999</c:v>
                </c:pt>
                <c:pt idx="109">
                  <c:v>10.8729</c:v>
                </c:pt>
                <c:pt idx="110">
                  <c:v>10.6952</c:v>
                </c:pt>
                <c:pt idx="111">
                  <c:v>10.7722</c:v>
                </c:pt>
                <c:pt idx="112">
                  <c:v>10.694900000000001</c:v>
                </c:pt>
                <c:pt idx="113">
                  <c:v>10.7768</c:v>
                </c:pt>
                <c:pt idx="114">
                  <c:v>10.777100000000001</c:v>
                </c:pt>
                <c:pt idx="115">
                  <c:v>10.9062</c:v>
                </c:pt>
                <c:pt idx="116">
                  <c:v>10.7272</c:v>
                </c:pt>
                <c:pt idx="117">
                  <c:v>10.7354</c:v>
                </c:pt>
                <c:pt idx="118">
                  <c:v>10.6126</c:v>
                </c:pt>
                <c:pt idx="119">
                  <c:v>10.667999999999999</c:v>
                </c:pt>
                <c:pt idx="120">
                  <c:v>10.7554</c:v>
                </c:pt>
                <c:pt idx="121">
                  <c:v>10.8299</c:v>
                </c:pt>
                <c:pt idx="122">
                  <c:v>10.7799</c:v>
                </c:pt>
                <c:pt idx="123">
                  <c:v>10.717499999999999</c:v>
                </c:pt>
                <c:pt idx="124">
                  <c:v>10.8085</c:v>
                </c:pt>
                <c:pt idx="125">
                  <c:v>10.7483</c:v>
                </c:pt>
                <c:pt idx="126">
                  <c:v>10.8308</c:v>
                </c:pt>
                <c:pt idx="127">
                  <c:v>10.9475</c:v>
                </c:pt>
                <c:pt idx="128">
                  <c:v>11.027200000000001</c:v>
                </c:pt>
                <c:pt idx="129">
                  <c:v>11.0848</c:v>
                </c:pt>
                <c:pt idx="130">
                  <c:v>10.9376</c:v>
                </c:pt>
                <c:pt idx="131">
                  <c:v>10.876099999999999</c:v>
                </c:pt>
                <c:pt idx="132">
                  <c:v>10.852399999999999</c:v>
                </c:pt>
                <c:pt idx="133">
                  <c:v>10.9946</c:v>
                </c:pt>
                <c:pt idx="134">
                  <c:v>11.0495</c:v>
                </c:pt>
                <c:pt idx="135">
                  <c:v>10.949199999999999</c:v>
                </c:pt>
                <c:pt idx="136">
                  <c:v>11.125299999999999</c:v>
                </c:pt>
                <c:pt idx="137">
                  <c:v>11.1395</c:v>
                </c:pt>
                <c:pt idx="138">
                  <c:v>11.041</c:v>
                </c:pt>
                <c:pt idx="139">
                  <c:v>11.142799999999999</c:v>
                </c:pt>
                <c:pt idx="140">
                  <c:v>11.123799999999999</c:v>
                </c:pt>
                <c:pt idx="141">
                  <c:v>11.180400000000001</c:v>
                </c:pt>
                <c:pt idx="142">
                  <c:v>11.155799999999999</c:v>
                </c:pt>
                <c:pt idx="143">
                  <c:v>11.1715</c:v>
                </c:pt>
                <c:pt idx="144">
                  <c:v>11.3573</c:v>
                </c:pt>
                <c:pt idx="145">
                  <c:v>10.9749</c:v>
                </c:pt>
                <c:pt idx="146">
                  <c:v>11.0593</c:v>
                </c:pt>
                <c:pt idx="147">
                  <c:v>11.193899999999999</c:v>
                </c:pt>
                <c:pt idx="148">
                  <c:v>11.011799999999999</c:v>
                </c:pt>
                <c:pt idx="149">
                  <c:v>10.9175</c:v>
                </c:pt>
                <c:pt idx="150">
                  <c:v>10.8085</c:v>
                </c:pt>
                <c:pt idx="151">
                  <c:v>10.842499999999999</c:v>
                </c:pt>
                <c:pt idx="152">
                  <c:v>10.8811</c:v>
                </c:pt>
                <c:pt idx="153">
                  <c:v>10.866199999999999</c:v>
                </c:pt>
                <c:pt idx="154">
                  <c:v>10.9422</c:v>
                </c:pt>
                <c:pt idx="155">
                  <c:v>10.864800000000001</c:v>
                </c:pt>
                <c:pt idx="156">
                  <c:v>10.8629</c:v>
                </c:pt>
                <c:pt idx="157">
                  <c:v>10.708399999999999</c:v>
                </c:pt>
                <c:pt idx="158">
                  <c:v>10.764699999999999</c:v>
                </c:pt>
                <c:pt idx="159">
                  <c:v>10.8024</c:v>
                </c:pt>
                <c:pt idx="160">
                  <c:v>10.6668</c:v>
                </c:pt>
                <c:pt idx="161">
                  <c:v>10.665900000000001</c:v>
                </c:pt>
                <c:pt idx="162">
                  <c:v>10.692500000000001</c:v>
                </c:pt>
                <c:pt idx="163">
                  <c:v>10.614800000000001</c:v>
                </c:pt>
                <c:pt idx="164">
                  <c:v>10.5916</c:v>
                </c:pt>
                <c:pt idx="165">
                  <c:v>10.467499999999999</c:v>
                </c:pt>
                <c:pt idx="166">
                  <c:v>10.462300000000001</c:v>
                </c:pt>
                <c:pt idx="167">
                  <c:v>10.3505</c:v>
                </c:pt>
                <c:pt idx="168">
                  <c:v>10.3439</c:v>
                </c:pt>
                <c:pt idx="169">
                  <c:v>10.344200000000001</c:v>
                </c:pt>
                <c:pt idx="170">
                  <c:v>10.4429</c:v>
                </c:pt>
                <c:pt idx="171">
                  <c:v>10.331300000000001</c:v>
                </c:pt>
                <c:pt idx="172">
                  <c:v>10.3329</c:v>
                </c:pt>
                <c:pt idx="173">
                  <c:v>10.2982</c:v>
                </c:pt>
                <c:pt idx="174">
                  <c:v>10.403600000000001</c:v>
                </c:pt>
                <c:pt idx="175">
                  <c:v>10.388500000000001</c:v>
                </c:pt>
                <c:pt idx="176">
                  <c:v>10.351599999999999</c:v>
                </c:pt>
                <c:pt idx="177">
                  <c:v>10.3528</c:v>
                </c:pt>
                <c:pt idx="178">
                  <c:v>10.331099999999999</c:v>
                </c:pt>
                <c:pt idx="179">
                  <c:v>10.473000000000001</c:v>
                </c:pt>
                <c:pt idx="180">
                  <c:v>10.4849</c:v>
                </c:pt>
                <c:pt idx="181">
                  <c:v>10.376099999999999</c:v>
                </c:pt>
                <c:pt idx="182">
                  <c:v>10.2942</c:v>
                </c:pt>
                <c:pt idx="183">
                  <c:v>10.162699999999999</c:v>
                </c:pt>
                <c:pt idx="184">
                  <c:v>10.1911</c:v>
                </c:pt>
                <c:pt idx="185">
                  <c:v>10.226699999999999</c:v>
                </c:pt>
                <c:pt idx="186">
                  <c:v>10.1488</c:v>
                </c:pt>
                <c:pt idx="187">
                  <c:v>10.0959</c:v>
                </c:pt>
                <c:pt idx="188">
                  <c:v>10.0708</c:v>
                </c:pt>
                <c:pt idx="189">
                  <c:v>10.121700000000001</c:v>
                </c:pt>
                <c:pt idx="190">
                  <c:v>10.165800000000001</c:v>
                </c:pt>
                <c:pt idx="191">
                  <c:v>10.168900000000001</c:v>
                </c:pt>
                <c:pt idx="192">
                  <c:v>10.1004</c:v>
                </c:pt>
                <c:pt idx="193">
                  <c:v>10.1485</c:v>
                </c:pt>
                <c:pt idx="194">
                  <c:v>10.2163</c:v>
                </c:pt>
                <c:pt idx="195">
                  <c:v>10.295999999999999</c:v>
                </c:pt>
                <c:pt idx="196">
                  <c:v>10.3584</c:v>
                </c:pt>
                <c:pt idx="197">
                  <c:v>10.4147</c:v>
                </c:pt>
                <c:pt idx="198">
                  <c:v>10.328799999999999</c:v>
                </c:pt>
                <c:pt idx="199">
                  <c:v>10.2768</c:v>
                </c:pt>
                <c:pt idx="200">
                  <c:v>10.2698</c:v>
                </c:pt>
                <c:pt idx="201">
                  <c:v>10.226100000000001</c:v>
                </c:pt>
                <c:pt idx="202">
                  <c:v>10.165800000000001</c:v>
                </c:pt>
                <c:pt idx="203">
                  <c:v>10.1638</c:v>
                </c:pt>
                <c:pt idx="204">
                  <c:v>10.0631</c:v>
                </c:pt>
                <c:pt idx="205">
                  <c:v>9.9559999999999995</c:v>
                </c:pt>
                <c:pt idx="206">
                  <c:v>9.8816000000000006</c:v>
                </c:pt>
                <c:pt idx="207">
                  <c:v>9.8552999999999997</c:v>
                </c:pt>
                <c:pt idx="208">
                  <c:v>9.7929999999999993</c:v>
                </c:pt>
                <c:pt idx="209">
                  <c:v>9.8168000000000006</c:v>
                </c:pt>
                <c:pt idx="210">
                  <c:v>9.7743000000000002</c:v>
                </c:pt>
                <c:pt idx="211">
                  <c:v>9.8018000000000001</c:v>
                </c:pt>
                <c:pt idx="212">
                  <c:v>9.85</c:v>
                </c:pt>
                <c:pt idx="213">
                  <c:v>9.8315000000000001</c:v>
                </c:pt>
                <c:pt idx="214">
                  <c:v>9.8423999999999996</c:v>
                </c:pt>
                <c:pt idx="215">
                  <c:v>9.8591999999999995</c:v>
                </c:pt>
                <c:pt idx="216">
                  <c:v>9.9662000000000006</c:v>
                </c:pt>
                <c:pt idx="217">
                  <c:v>9.8960000000000008</c:v>
                </c:pt>
                <c:pt idx="218">
                  <c:v>9.9189000000000007</c:v>
                </c:pt>
                <c:pt idx="219">
                  <c:v>9.8931000000000004</c:v>
                </c:pt>
                <c:pt idx="220">
                  <c:v>9.9720999999999993</c:v>
                </c:pt>
                <c:pt idx="221">
                  <c:v>10.0001</c:v>
                </c:pt>
                <c:pt idx="222">
                  <c:v>9.9886999999999997</c:v>
                </c:pt>
                <c:pt idx="223">
                  <c:v>10.038399999999999</c:v>
                </c:pt>
                <c:pt idx="224">
                  <c:v>10.0136</c:v>
                </c:pt>
                <c:pt idx="225">
                  <c:v>10.0572</c:v>
                </c:pt>
                <c:pt idx="226">
                  <c:v>10.1287</c:v>
                </c:pt>
                <c:pt idx="227">
                  <c:v>9.9807000000000006</c:v>
                </c:pt>
                <c:pt idx="228">
                  <c:v>10.1012</c:v>
                </c:pt>
                <c:pt idx="229">
                  <c:v>10.1036</c:v>
                </c:pt>
                <c:pt idx="230">
                  <c:v>9.9777000000000005</c:v>
                </c:pt>
                <c:pt idx="231">
                  <c:v>9.8539999999999992</c:v>
                </c:pt>
                <c:pt idx="232">
                  <c:v>9.8666999999999998</c:v>
                </c:pt>
                <c:pt idx="233">
                  <c:v>9.7323000000000004</c:v>
                </c:pt>
                <c:pt idx="234">
                  <c:v>9.6221999999999994</c:v>
                </c:pt>
                <c:pt idx="235">
                  <c:v>9.8340999999999994</c:v>
                </c:pt>
                <c:pt idx="236">
                  <c:v>9.8282000000000007</c:v>
                </c:pt>
                <c:pt idx="237">
                  <c:v>9.7614000000000001</c:v>
                </c:pt>
                <c:pt idx="238">
                  <c:v>9.9674999999999994</c:v>
                </c:pt>
                <c:pt idx="239">
                  <c:v>9.9332999999999991</c:v>
                </c:pt>
                <c:pt idx="240">
                  <c:v>9.9367000000000001</c:v>
                </c:pt>
                <c:pt idx="241">
                  <c:v>10.014900000000001</c:v>
                </c:pt>
                <c:pt idx="242">
                  <c:v>9.9773999999999994</c:v>
                </c:pt>
                <c:pt idx="243">
                  <c:v>10.1845</c:v>
                </c:pt>
                <c:pt idx="244">
                  <c:v>10.297700000000001</c:v>
                </c:pt>
                <c:pt idx="245">
                  <c:v>10.255699999999999</c:v>
                </c:pt>
                <c:pt idx="246">
                  <c:v>10.2758</c:v>
                </c:pt>
                <c:pt idx="247">
                  <c:v>10.2059</c:v>
                </c:pt>
                <c:pt idx="248">
                  <c:v>10.3348</c:v>
                </c:pt>
                <c:pt idx="249">
                  <c:v>10.320399999999999</c:v>
                </c:pt>
                <c:pt idx="250">
                  <c:v>10.3969</c:v>
                </c:pt>
                <c:pt idx="251">
                  <c:v>10.436299999999999</c:v>
                </c:pt>
                <c:pt idx="252">
                  <c:v>10.2417</c:v>
                </c:pt>
                <c:pt idx="253">
                  <c:v>10.1922</c:v>
                </c:pt>
                <c:pt idx="254">
                  <c:v>10.3141</c:v>
                </c:pt>
                <c:pt idx="255">
                  <c:v>10.2277</c:v>
                </c:pt>
                <c:pt idx="256">
                  <c:v>10.182499999999999</c:v>
                </c:pt>
                <c:pt idx="257">
                  <c:v>10.1187</c:v>
                </c:pt>
                <c:pt idx="258">
                  <c:v>9.984</c:v>
                </c:pt>
                <c:pt idx="259">
                  <c:v>9.9162999999999997</c:v>
                </c:pt>
                <c:pt idx="260">
                  <c:v>9.9920000000000009</c:v>
                </c:pt>
                <c:pt idx="261">
                  <c:v>9.9172999999999991</c:v>
                </c:pt>
                <c:pt idx="262">
                  <c:v>9.8574999999999999</c:v>
                </c:pt>
                <c:pt idx="263">
                  <c:v>9.8878000000000004</c:v>
                </c:pt>
                <c:pt idx="264">
                  <c:v>9.9346999999999994</c:v>
                </c:pt>
                <c:pt idx="265">
                  <c:v>9.8392999999999997</c:v>
                </c:pt>
                <c:pt idx="266">
                  <c:v>9.8097999999999992</c:v>
                </c:pt>
                <c:pt idx="267">
                  <c:v>10.020300000000001</c:v>
                </c:pt>
                <c:pt idx="268">
                  <c:v>9.8915000000000006</c:v>
                </c:pt>
                <c:pt idx="269">
                  <c:v>9.8551000000000002</c:v>
                </c:pt>
                <c:pt idx="270">
                  <c:v>9.8168000000000006</c:v>
                </c:pt>
                <c:pt idx="271">
                  <c:v>9.8185000000000002</c:v>
                </c:pt>
                <c:pt idx="272">
                  <c:v>9.6992999999999991</c:v>
                </c:pt>
                <c:pt idx="273">
                  <c:v>9.7847000000000008</c:v>
                </c:pt>
                <c:pt idx="274">
                  <c:v>9.6933000000000007</c:v>
                </c:pt>
                <c:pt idx="275">
                  <c:v>9.8170000000000002</c:v>
                </c:pt>
                <c:pt idx="276">
                  <c:v>9.8125999999999998</c:v>
                </c:pt>
                <c:pt idx="277">
                  <c:v>9.9103999999999992</c:v>
                </c:pt>
                <c:pt idx="278">
                  <c:v>9.8414999999999999</c:v>
                </c:pt>
                <c:pt idx="279">
                  <c:v>9.8604000000000003</c:v>
                </c:pt>
                <c:pt idx="280">
                  <c:v>9.9080999999999992</c:v>
                </c:pt>
                <c:pt idx="281">
                  <c:v>9.9116</c:v>
                </c:pt>
                <c:pt idx="282">
                  <c:v>10.034000000000001</c:v>
                </c:pt>
                <c:pt idx="283">
                  <c:v>9.9380000000000006</c:v>
                </c:pt>
                <c:pt idx="284">
                  <c:v>10.002800000000001</c:v>
                </c:pt>
                <c:pt idx="285">
                  <c:v>10.061999999999999</c:v>
                </c:pt>
                <c:pt idx="286">
                  <c:v>10.2698</c:v>
                </c:pt>
                <c:pt idx="287">
                  <c:v>10.0284</c:v>
                </c:pt>
                <c:pt idx="288">
                  <c:v>10.0562</c:v>
                </c:pt>
                <c:pt idx="289">
                  <c:v>10.0616</c:v>
                </c:pt>
                <c:pt idx="290">
                  <c:v>9.8979999999999997</c:v>
                </c:pt>
                <c:pt idx="291">
                  <c:v>9.8917999999999999</c:v>
                </c:pt>
                <c:pt idx="292">
                  <c:v>9.9655000000000005</c:v>
                </c:pt>
                <c:pt idx="293">
                  <c:v>10.044499999999999</c:v>
                </c:pt>
                <c:pt idx="294">
                  <c:v>10.0604</c:v>
                </c:pt>
                <c:pt idx="295">
                  <c:v>9.9695999999999998</c:v>
                </c:pt>
                <c:pt idx="296">
                  <c:v>10.2195</c:v>
                </c:pt>
                <c:pt idx="297">
                  <c:v>10.2354</c:v>
                </c:pt>
                <c:pt idx="298">
                  <c:v>10.283200000000001</c:v>
                </c:pt>
                <c:pt idx="299">
                  <c:v>9.9222999999999999</c:v>
                </c:pt>
                <c:pt idx="300">
                  <c:v>10.0265</c:v>
                </c:pt>
                <c:pt idx="301">
                  <c:v>9.8734999999999999</c:v>
                </c:pt>
                <c:pt idx="302">
                  <c:v>10.0322</c:v>
                </c:pt>
                <c:pt idx="303">
                  <c:v>9.9853000000000005</c:v>
                </c:pt>
                <c:pt idx="304">
                  <c:v>10.251099999999999</c:v>
                </c:pt>
                <c:pt idx="305">
                  <c:v>10.1561</c:v>
                </c:pt>
                <c:pt idx="306">
                  <c:v>9.9307999999999996</c:v>
                </c:pt>
                <c:pt idx="307">
                  <c:v>9.9986999999999995</c:v>
                </c:pt>
                <c:pt idx="308">
                  <c:v>9.8587000000000007</c:v>
                </c:pt>
                <c:pt idx="309">
                  <c:v>9.766</c:v>
                </c:pt>
                <c:pt idx="310">
                  <c:v>10.0406</c:v>
                </c:pt>
                <c:pt idx="311">
                  <c:v>10.198499999999999</c:v>
                </c:pt>
                <c:pt idx="312">
                  <c:v>9.7868999999999993</c:v>
                </c:pt>
                <c:pt idx="313">
                  <c:v>9.8324999999999996</c:v>
                </c:pt>
                <c:pt idx="314">
                  <c:v>9.6862999999999992</c:v>
                </c:pt>
                <c:pt idx="315">
                  <c:v>9.6031999999999993</c:v>
                </c:pt>
                <c:pt idx="316">
                  <c:v>9.5356000000000005</c:v>
                </c:pt>
                <c:pt idx="317">
                  <c:v>9.6623000000000001</c:v>
                </c:pt>
                <c:pt idx="318">
                  <c:v>9.5214999999999996</c:v>
                </c:pt>
                <c:pt idx="319">
                  <c:v>9.4978999999999996</c:v>
                </c:pt>
                <c:pt idx="320">
                  <c:v>9.3931000000000004</c:v>
                </c:pt>
                <c:pt idx="321">
                  <c:v>9.4113000000000007</c:v>
                </c:pt>
                <c:pt idx="322">
                  <c:v>9.3094000000000001</c:v>
                </c:pt>
                <c:pt idx="323">
                  <c:v>9.2575000000000003</c:v>
                </c:pt>
                <c:pt idx="324">
                  <c:v>9.1961999999999993</c:v>
                </c:pt>
                <c:pt idx="325">
                  <c:v>9.0973000000000006</c:v>
                </c:pt>
                <c:pt idx="326">
                  <c:v>9.0547000000000004</c:v>
                </c:pt>
                <c:pt idx="327">
                  <c:v>8.9974000000000007</c:v>
                </c:pt>
                <c:pt idx="328">
                  <c:v>9.0482999999999993</c:v>
                </c:pt>
                <c:pt idx="329">
                  <c:v>9.0356000000000005</c:v>
                </c:pt>
                <c:pt idx="330">
                  <c:v>8.9623000000000008</c:v>
                </c:pt>
                <c:pt idx="331">
                  <c:v>8.9527000000000001</c:v>
                </c:pt>
                <c:pt idx="332">
                  <c:v>9.0441000000000003</c:v>
                </c:pt>
                <c:pt idx="333">
                  <c:v>8.9686000000000003</c:v>
                </c:pt>
                <c:pt idx="334">
                  <c:v>9.0640999999999998</c:v>
                </c:pt>
                <c:pt idx="335">
                  <c:v>9.1508000000000003</c:v>
                </c:pt>
                <c:pt idx="336">
                  <c:v>9.0875000000000004</c:v>
                </c:pt>
                <c:pt idx="337">
                  <c:v>9.2177000000000007</c:v>
                </c:pt>
                <c:pt idx="338">
                  <c:v>9.3003999999999998</c:v>
                </c:pt>
                <c:pt idx="339">
                  <c:v>9.2977000000000007</c:v>
                </c:pt>
                <c:pt idx="340">
                  <c:v>9.1532999999999998</c:v>
                </c:pt>
                <c:pt idx="341">
                  <c:v>9.1754999999999995</c:v>
                </c:pt>
                <c:pt idx="342">
                  <c:v>9.1410999999999998</c:v>
                </c:pt>
                <c:pt idx="343">
                  <c:v>9.2136999999999993</c:v>
                </c:pt>
                <c:pt idx="344">
                  <c:v>9.0169999999999995</c:v>
                </c:pt>
                <c:pt idx="345">
                  <c:v>8.9338999999999995</c:v>
                </c:pt>
                <c:pt idx="346">
                  <c:v>8.8762000000000008</c:v>
                </c:pt>
                <c:pt idx="347">
                  <c:v>8.9074000000000009</c:v>
                </c:pt>
                <c:pt idx="348">
                  <c:v>8.9786000000000001</c:v>
                </c:pt>
                <c:pt idx="349">
                  <c:v>9.0625</c:v>
                </c:pt>
                <c:pt idx="350">
                  <c:v>9.1574000000000009</c:v>
                </c:pt>
                <c:pt idx="351">
                  <c:v>9.2698999999999998</c:v>
                </c:pt>
                <c:pt idx="352">
                  <c:v>9.2332000000000001</c:v>
                </c:pt>
                <c:pt idx="353">
                  <c:v>9.1912000000000003</c:v>
                </c:pt>
                <c:pt idx="354">
                  <c:v>9.2521000000000004</c:v>
                </c:pt>
                <c:pt idx="355">
                  <c:v>9.2860999999999994</c:v>
                </c:pt>
                <c:pt idx="356">
                  <c:v>9.2576000000000001</c:v>
                </c:pt>
                <c:pt idx="357">
                  <c:v>9.2371999999999996</c:v>
                </c:pt>
                <c:pt idx="358">
                  <c:v>9.3247</c:v>
                </c:pt>
                <c:pt idx="359">
                  <c:v>9.2178000000000004</c:v>
                </c:pt>
                <c:pt idx="360">
                  <c:v>9.2022999999999993</c:v>
                </c:pt>
                <c:pt idx="361">
                  <c:v>9.2195999999999998</c:v>
                </c:pt>
                <c:pt idx="362">
                  <c:v>9.1910000000000007</c:v>
                </c:pt>
                <c:pt idx="363">
                  <c:v>9.2441999999999993</c:v>
                </c:pt>
                <c:pt idx="364">
                  <c:v>9.1463999999999999</c:v>
                </c:pt>
                <c:pt idx="365">
                  <c:v>9.2004999999999999</c:v>
                </c:pt>
                <c:pt idx="366">
                  <c:v>9.1115999999999993</c:v>
                </c:pt>
                <c:pt idx="367">
                  <c:v>9.1335999999999995</c:v>
                </c:pt>
                <c:pt idx="368">
                  <c:v>9.1013999999999999</c:v>
                </c:pt>
                <c:pt idx="369">
                  <c:v>9.0333000000000006</c:v>
                </c:pt>
                <c:pt idx="370">
                  <c:v>9.0591000000000008</c:v>
                </c:pt>
                <c:pt idx="371">
                  <c:v>9.0863999999999994</c:v>
                </c:pt>
                <c:pt idx="372">
                  <c:v>9.0296000000000003</c:v>
                </c:pt>
                <c:pt idx="373">
                  <c:v>8.8409999999999993</c:v>
                </c:pt>
                <c:pt idx="374">
                  <c:v>8.8386999999999993</c:v>
                </c:pt>
                <c:pt idx="375">
                  <c:v>8.8343000000000007</c:v>
                </c:pt>
                <c:pt idx="376">
                  <c:v>8.8673000000000002</c:v>
                </c:pt>
                <c:pt idx="377">
                  <c:v>8.8681000000000001</c:v>
                </c:pt>
                <c:pt idx="378">
                  <c:v>8.9016000000000002</c:v>
                </c:pt>
                <c:pt idx="379">
                  <c:v>8.8460999999999999</c:v>
                </c:pt>
                <c:pt idx="380">
                  <c:v>8.9228000000000005</c:v>
                </c:pt>
                <c:pt idx="381">
                  <c:v>8.8401999999999994</c:v>
                </c:pt>
                <c:pt idx="382">
                  <c:v>8.8109000000000002</c:v>
                </c:pt>
                <c:pt idx="383">
                  <c:v>8.8742000000000001</c:v>
                </c:pt>
                <c:pt idx="384">
                  <c:v>8.907</c:v>
                </c:pt>
                <c:pt idx="385">
                  <c:v>8.9689999999999994</c:v>
                </c:pt>
                <c:pt idx="386">
                  <c:v>8.8811</c:v>
                </c:pt>
                <c:pt idx="387">
                  <c:v>8.9400999999999993</c:v>
                </c:pt>
                <c:pt idx="388">
                  <c:v>8.8887999999999998</c:v>
                </c:pt>
                <c:pt idx="389">
                  <c:v>8.8542000000000005</c:v>
                </c:pt>
                <c:pt idx="390">
                  <c:v>8.9181000000000008</c:v>
                </c:pt>
                <c:pt idx="391">
                  <c:v>8.8862000000000005</c:v>
                </c:pt>
                <c:pt idx="392">
                  <c:v>8.9681999999999995</c:v>
                </c:pt>
                <c:pt idx="393">
                  <c:v>9.0581999999999994</c:v>
                </c:pt>
                <c:pt idx="394">
                  <c:v>9.0366</c:v>
                </c:pt>
                <c:pt idx="395">
                  <c:v>9.0907999999999998</c:v>
                </c:pt>
                <c:pt idx="396">
                  <c:v>8.9655000000000005</c:v>
                </c:pt>
                <c:pt idx="397">
                  <c:v>8.9901999999999997</c:v>
                </c:pt>
                <c:pt idx="398">
                  <c:v>9.0413999999999994</c:v>
                </c:pt>
                <c:pt idx="399">
                  <c:v>8.8940999999999999</c:v>
                </c:pt>
                <c:pt idx="400">
                  <c:v>8.8375000000000004</c:v>
                </c:pt>
                <c:pt idx="401">
                  <c:v>8.8749000000000002</c:v>
                </c:pt>
                <c:pt idx="402">
                  <c:v>8.8528000000000002</c:v>
                </c:pt>
                <c:pt idx="403">
                  <c:v>8.7783999999999995</c:v>
                </c:pt>
                <c:pt idx="404">
                  <c:v>8.8642000000000003</c:v>
                </c:pt>
                <c:pt idx="405">
                  <c:v>8.7310999999999996</c:v>
                </c:pt>
                <c:pt idx="406">
                  <c:v>8.7209000000000003</c:v>
                </c:pt>
                <c:pt idx="407">
                  <c:v>8.6734000000000009</c:v>
                </c:pt>
                <c:pt idx="408">
                  <c:v>8.5965000000000007</c:v>
                </c:pt>
                <c:pt idx="409">
                  <c:v>8.5716000000000001</c:v>
                </c:pt>
                <c:pt idx="410">
                  <c:v>8.5882000000000005</c:v>
                </c:pt>
                <c:pt idx="411">
                  <c:v>8.6089000000000002</c:v>
                </c:pt>
                <c:pt idx="412">
                  <c:v>8.6295000000000002</c:v>
                </c:pt>
                <c:pt idx="413">
                  <c:v>8.5223999999999993</c:v>
                </c:pt>
                <c:pt idx="414">
                  <c:v>8.4478000000000009</c:v>
                </c:pt>
                <c:pt idx="415">
                  <c:v>8.4838000000000005</c:v>
                </c:pt>
                <c:pt idx="416">
                  <c:v>8.5030999999999999</c:v>
                </c:pt>
                <c:pt idx="417">
                  <c:v>8.5694999999999997</c:v>
                </c:pt>
                <c:pt idx="418">
                  <c:v>8.5660000000000007</c:v>
                </c:pt>
                <c:pt idx="419">
                  <c:v>8.5460999999999991</c:v>
                </c:pt>
                <c:pt idx="420">
                  <c:v>8.5083000000000002</c:v>
                </c:pt>
                <c:pt idx="421">
                  <c:v>8.4822000000000006</c:v>
                </c:pt>
                <c:pt idx="422">
                  <c:v>8.5607000000000006</c:v>
                </c:pt>
                <c:pt idx="423">
                  <c:v>8.6507000000000005</c:v>
                </c:pt>
                <c:pt idx="424">
                  <c:v>8.6417999999999999</c:v>
                </c:pt>
                <c:pt idx="425">
                  <c:v>8.6762999999999995</c:v>
                </c:pt>
                <c:pt idx="426">
                  <c:v>8.6635000000000009</c:v>
                </c:pt>
                <c:pt idx="427">
                  <c:v>8.6755999999999993</c:v>
                </c:pt>
                <c:pt idx="428">
                  <c:v>8.7030999999999992</c:v>
                </c:pt>
                <c:pt idx="429">
                  <c:v>8.7550000000000008</c:v>
                </c:pt>
                <c:pt idx="430">
                  <c:v>8.7957000000000001</c:v>
                </c:pt>
                <c:pt idx="431">
                  <c:v>8.8522999999999996</c:v>
                </c:pt>
                <c:pt idx="432">
                  <c:v>8.8895</c:v>
                </c:pt>
                <c:pt idx="433">
                  <c:v>8.7731999999999992</c:v>
                </c:pt>
                <c:pt idx="434">
                  <c:v>8.7818000000000005</c:v>
                </c:pt>
                <c:pt idx="435">
                  <c:v>8.8407</c:v>
                </c:pt>
                <c:pt idx="436">
                  <c:v>8.8384</c:v>
                </c:pt>
                <c:pt idx="437">
                  <c:v>8.8582000000000001</c:v>
                </c:pt>
                <c:pt idx="438">
                  <c:v>8.9431999999999992</c:v>
                </c:pt>
                <c:pt idx="439">
                  <c:v>8.9418000000000006</c:v>
                </c:pt>
                <c:pt idx="440">
                  <c:v>8.9105000000000008</c:v>
                </c:pt>
                <c:pt idx="441">
                  <c:v>8.8607999999999993</c:v>
                </c:pt>
                <c:pt idx="442">
                  <c:v>8.8478999999999992</c:v>
                </c:pt>
                <c:pt idx="443">
                  <c:v>8.8887</c:v>
                </c:pt>
                <c:pt idx="444">
                  <c:v>8.9171999999999993</c:v>
                </c:pt>
                <c:pt idx="445">
                  <c:v>8.8008000000000006</c:v>
                </c:pt>
                <c:pt idx="446">
                  <c:v>8.8000000000000007</c:v>
                </c:pt>
                <c:pt idx="447">
                  <c:v>8.7014999999999993</c:v>
                </c:pt>
                <c:pt idx="448">
                  <c:v>8.6960999999999995</c:v>
                </c:pt>
                <c:pt idx="449">
                  <c:v>8.6526999999999994</c:v>
                </c:pt>
                <c:pt idx="450">
                  <c:v>8.6028000000000002</c:v>
                </c:pt>
                <c:pt idx="451">
                  <c:v>8.7370999999999999</c:v>
                </c:pt>
                <c:pt idx="452">
                  <c:v>8.7925000000000004</c:v>
                </c:pt>
                <c:pt idx="453">
                  <c:v>8.6582000000000008</c:v>
                </c:pt>
                <c:pt idx="454">
                  <c:v>8.6578999999999997</c:v>
                </c:pt>
                <c:pt idx="455">
                  <c:v>8.6234999999999999</c:v>
                </c:pt>
                <c:pt idx="456">
                  <c:v>8.6631999999999998</c:v>
                </c:pt>
                <c:pt idx="457">
                  <c:v>8.6788000000000007</c:v>
                </c:pt>
                <c:pt idx="458">
                  <c:v>8.7507999999999999</c:v>
                </c:pt>
                <c:pt idx="459">
                  <c:v>8.7025000000000006</c:v>
                </c:pt>
                <c:pt idx="460">
                  <c:v>8.7888999999999999</c:v>
                </c:pt>
                <c:pt idx="461">
                  <c:v>8.7068999999999992</c:v>
                </c:pt>
                <c:pt idx="462">
                  <c:v>8.6278000000000006</c:v>
                </c:pt>
                <c:pt idx="463">
                  <c:v>8.6530000000000005</c:v>
                </c:pt>
                <c:pt idx="464">
                  <c:v>8.6213999999999995</c:v>
                </c:pt>
                <c:pt idx="465">
                  <c:v>8.7111999999999998</c:v>
                </c:pt>
                <c:pt idx="466">
                  <c:v>8.7675999999999998</c:v>
                </c:pt>
                <c:pt idx="467">
                  <c:v>8.7425999999999995</c:v>
                </c:pt>
                <c:pt idx="468">
                  <c:v>8.6288</c:v>
                </c:pt>
                <c:pt idx="469">
                  <c:v>8.6658000000000008</c:v>
                </c:pt>
                <c:pt idx="470">
                  <c:v>8.67</c:v>
                </c:pt>
                <c:pt idx="471">
                  <c:v>8.8389000000000006</c:v>
                </c:pt>
                <c:pt idx="472">
                  <c:v>8.8590999999999998</c:v>
                </c:pt>
                <c:pt idx="473">
                  <c:v>8.6496999999999993</c:v>
                </c:pt>
                <c:pt idx="474">
                  <c:v>8.4760000000000009</c:v>
                </c:pt>
                <c:pt idx="475">
                  <c:v>8.4275000000000002</c:v>
                </c:pt>
                <c:pt idx="476">
                  <c:v>8.3413000000000004</c:v>
                </c:pt>
                <c:pt idx="477">
                  <c:v>8.2804000000000002</c:v>
                </c:pt>
                <c:pt idx="478">
                  <c:v>8.2222000000000008</c:v>
                </c:pt>
                <c:pt idx="479">
                  <c:v>8.2042000000000002</c:v>
                </c:pt>
                <c:pt idx="480">
                  <c:v>8.2196999999999996</c:v>
                </c:pt>
                <c:pt idx="481">
                  <c:v>8.1989999999999998</c:v>
                </c:pt>
                <c:pt idx="482">
                  <c:v>8.2786000000000008</c:v>
                </c:pt>
                <c:pt idx="483">
                  <c:v>8.3399000000000001</c:v>
                </c:pt>
                <c:pt idx="484">
                  <c:v>8.1969999999999992</c:v>
                </c:pt>
                <c:pt idx="485">
                  <c:v>8.2666000000000004</c:v>
                </c:pt>
                <c:pt idx="486">
                  <c:v>8.2728000000000002</c:v>
                </c:pt>
                <c:pt idx="487">
                  <c:v>8.2598000000000003</c:v>
                </c:pt>
                <c:pt idx="488">
                  <c:v>8.3826000000000001</c:v>
                </c:pt>
                <c:pt idx="489">
                  <c:v>8.1890000000000001</c:v>
                </c:pt>
                <c:pt idx="490">
                  <c:v>8.2213999999999992</c:v>
                </c:pt>
                <c:pt idx="491">
                  <c:v>8.2093000000000007</c:v>
                </c:pt>
                <c:pt idx="492">
                  <c:v>8.2401</c:v>
                </c:pt>
                <c:pt idx="493">
                  <c:v>8.3689999999999998</c:v>
                </c:pt>
                <c:pt idx="494">
                  <c:v>8.4597999999999995</c:v>
                </c:pt>
                <c:pt idx="495">
                  <c:v>8.3611000000000004</c:v>
                </c:pt>
                <c:pt idx="496">
                  <c:v>8.4118999999999993</c:v>
                </c:pt>
                <c:pt idx="497">
                  <c:v>8.4314</c:v>
                </c:pt>
                <c:pt idx="498">
                  <c:v>8.4360999999999997</c:v>
                </c:pt>
                <c:pt idx="499">
                  <c:v>8.4197000000000006</c:v>
                </c:pt>
                <c:pt idx="500">
                  <c:v>8.4111999999999991</c:v>
                </c:pt>
                <c:pt idx="501">
                  <c:v>8.3999000000000006</c:v>
                </c:pt>
                <c:pt idx="502">
                  <c:v>8.3736999999999995</c:v>
                </c:pt>
                <c:pt idx="503">
                  <c:v>8.2622999999999998</c:v>
                </c:pt>
                <c:pt idx="504">
                  <c:v>8.2914999999999992</c:v>
                </c:pt>
                <c:pt idx="505">
                  <c:v>8.2629999999999999</c:v>
                </c:pt>
                <c:pt idx="506">
                  <c:v>8.3086000000000002</c:v>
                </c:pt>
                <c:pt idx="507">
                  <c:v>8.2673000000000005</c:v>
                </c:pt>
                <c:pt idx="508">
                  <c:v>8.2555999999999994</c:v>
                </c:pt>
                <c:pt idx="509">
                  <c:v>8.1999999999999993</c:v>
                </c:pt>
                <c:pt idx="510">
                  <c:v>8.11</c:v>
                </c:pt>
                <c:pt idx="511">
                  <c:v>8.1323000000000008</c:v>
                </c:pt>
                <c:pt idx="512">
                  <c:v>8.1377000000000006</c:v>
                </c:pt>
                <c:pt idx="513">
                  <c:v>8.1853999999999996</c:v>
                </c:pt>
                <c:pt idx="514">
                  <c:v>8.1675000000000004</c:v>
                </c:pt>
                <c:pt idx="515">
                  <c:v>8.1675000000000004</c:v>
                </c:pt>
                <c:pt idx="516">
                  <c:v>8.3026</c:v>
                </c:pt>
                <c:pt idx="517">
                  <c:v>8.3259000000000007</c:v>
                </c:pt>
                <c:pt idx="518">
                  <c:v>8.2324000000000002</c:v>
                </c:pt>
                <c:pt idx="519">
                  <c:v>8.2073999999999998</c:v>
                </c:pt>
                <c:pt idx="520">
                  <c:v>8.2104999999999997</c:v>
                </c:pt>
                <c:pt idx="521">
                  <c:v>8.2424999999999997</c:v>
                </c:pt>
                <c:pt idx="522">
                  <c:v>8.4238</c:v>
                </c:pt>
                <c:pt idx="523">
                  <c:v>8.4835999999999991</c:v>
                </c:pt>
                <c:pt idx="524">
                  <c:v>8.4519000000000002</c:v>
                </c:pt>
                <c:pt idx="525">
                  <c:v>8.4059000000000008</c:v>
                </c:pt>
                <c:pt idx="526">
                  <c:v>8.1902000000000008</c:v>
                </c:pt>
                <c:pt idx="527">
                  <c:v>8.1372</c:v>
                </c:pt>
                <c:pt idx="528">
                  <c:v>8.1907999999999994</c:v>
                </c:pt>
                <c:pt idx="529">
                  <c:v>8.1829000000000001</c:v>
                </c:pt>
                <c:pt idx="530">
                  <c:v>8.2584</c:v>
                </c:pt>
                <c:pt idx="531">
                  <c:v>8.3332999999999995</c:v>
                </c:pt>
                <c:pt idx="532">
                  <c:v>8.3112999999999992</c:v>
                </c:pt>
                <c:pt idx="533">
                  <c:v>8.1897000000000002</c:v>
                </c:pt>
                <c:pt idx="534">
                  <c:v>8.2276000000000007</c:v>
                </c:pt>
                <c:pt idx="535">
                  <c:v>8.2748000000000008</c:v>
                </c:pt>
                <c:pt idx="536">
                  <c:v>8.1595999999999993</c:v>
                </c:pt>
                <c:pt idx="537">
                  <c:v>8.1574000000000009</c:v>
                </c:pt>
                <c:pt idx="538">
                  <c:v>8.1115999999999993</c:v>
                </c:pt>
                <c:pt idx="539">
                  <c:v>8.1297999999999995</c:v>
                </c:pt>
                <c:pt idx="540">
                  <c:v>8.1737000000000002</c:v>
                </c:pt>
                <c:pt idx="541">
                  <c:v>8.3074999999999992</c:v>
                </c:pt>
                <c:pt idx="542">
                  <c:v>8.4405000000000001</c:v>
                </c:pt>
                <c:pt idx="543">
                  <c:v>8.4261999999999997</c:v>
                </c:pt>
                <c:pt idx="544">
                  <c:v>8.4573999999999998</c:v>
                </c:pt>
                <c:pt idx="545">
                  <c:v>8.4484999999999992</c:v>
                </c:pt>
                <c:pt idx="546">
                  <c:v>8.3833000000000002</c:v>
                </c:pt>
                <c:pt idx="547">
                  <c:v>8.2615999999999996</c:v>
                </c:pt>
                <c:pt idx="548">
                  <c:v>8.2201000000000004</c:v>
                </c:pt>
                <c:pt idx="549">
                  <c:v>8.3133999999999997</c:v>
                </c:pt>
                <c:pt idx="550">
                  <c:v>8.3218999999999994</c:v>
                </c:pt>
                <c:pt idx="551">
                  <c:v>8.3724000000000007</c:v>
                </c:pt>
                <c:pt idx="552">
                  <c:v>8.4151000000000007</c:v>
                </c:pt>
                <c:pt idx="553">
                  <c:v>8.3787000000000003</c:v>
                </c:pt>
                <c:pt idx="554">
                  <c:v>8.4367999999999999</c:v>
                </c:pt>
                <c:pt idx="555">
                  <c:v>8.2912999999999997</c:v>
                </c:pt>
                <c:pt idx="556">
                  <c:v>8.4913000000000007</c:v>
                </c:pt>
                <c:pt idx="557">
                  <c:v>8.3191000000000006</c:v>
                </c:pt>
                <c:pt idx="558">
                  <c:v>8.3968000000000007</c:v>
                </c:pt>
                <c:pt idx="559">
                  <c:v>8.5024999999999995</c:v>
                </c:pt>
                <c:pt idx="560">
                  <c:v>8.5908999999999995</c:v>
                </c:pt>
                <c:pt idx="561">
                  <c:v>8.5670999999999999</c:v>
                </c:pt>
                <c:pt idx="562">
                  <c:v>8.5206</c:v>
                </c:pt>
                <c:pt idx="563">
                  <c:v>8.4055</c:v>
                </c:pt>
                <c:pt idx="564">
                  <c:v>8.3155999999999999</c:v>
                </c:pt>
                <c:pt idx="565">
                  <c:v>8.3209999999999997</c:v>
                </c:pt>
                <c:pt idx="566">
                  <c:v>8.3224999999999998</c:v>
                </c:pt>
                <c:pt idx="567">
                  <c:v>8.4100999999999999</c:v>
                </c:pt>
                <c:pt idx="568">
                  <c:v>8.4099000000000004</c:v>
                </c:pt>
                <c:pt idx="569">
                  <c:v>8.2393000000000001</c:v>
                </c:pt>
                <c:pt idx="570">
                  <c:v>8.2707999999999995</c:v>
                </c:pt>
                <c:pt idx="571">
                  <c:v>8.3523999999999994</c:v>
                </c:pt>
                <c:pt idx="572">
                  <c:v>8.2855000000000008</c:v>
                </c:pt>
                <c:pt idx="573">
                  <c:v>8.3335000000000008</c:v>
                </c:pt>
                <c:pt idx="574">
                  <c:v>8.1687999999999992</c:v>
                </c:pt>
                <c:pt idx="575">
                  <c:v>8.1913999999999998</c:v>
                </c:pt>
                <c:pt idx="576">
                  <c:v>8.0866000000000007</c:v>
                </c:pt>
                <c:pt idx="577">
                  <c:v>8.0286000000000008</c:v>
                </c:pt>
                <c:pt idx="578">
                  <c:v>7.9423000000000004</c:v>
                </c:pt>
                <c:pt idx="579">
                  <c:v>7.8505000000000003</c:v>
                </c:pt>
                <c:pt idx="580">
                  <c:v>7.8375000000000004</c:v>
                </c:pt>
                <c:pt idx="581">
                  <c:v>7.7470999999999997</c:v>
                </c:pt>
                <c:pt idx="582">
                  <c:v>7.7313999999999998</c:v>
                </c:pt>
                <c:pt idx="583">
                  <c:v>7.7423000000000002</c:v>
                </c:pt>
                <c:pt idx="584">
                  <c:v>7.7422000000000004</c:v>
                </c:pt>
                <c:pt idx="585">
                  <c:v>7.7412999999999998</c:v>
                </c:pt>
                <c:pt idx="586">
                  <c:v>7.7624000000000004</c:v>
                </c:pt>
                <c:pt idx="587">
                  <c:v>7.8224999999999998</c:v>
                </c:pt>
                <c:pt idx="588">
                  <c:v>7.8398000000000003</c:v>
                </c:pt>
                <c:pt idx="589">
                  <c:v>7.8072999999999997</c:v>
                </c:pt>
                <c:pt idx="590">
                  <c:v>7.8108000000000004</c:v>
                </c:pt>
                <c:pt idx="591">
                  <c:v>7.8002000000000002</c:v>
                </c:pt>
                <c:pt idx="592">
                  <c:v>7.9101999999999997</c:v>
                </c:pt>
                <c:pt idx="593">
                  <c:v>8.0039999999999996</c:v>
                </c:pt>
                <c:pt idx="594">
                  <c:v>7.9269999999999996</c:v>
                </c:pt>
                <c:pt idx="595">
                  <c:v>7.9424000000000001</c:v>
                </c:pt>
                <c:pt idx="596">
                  <c:v>8.0295000000000005</c:v>
                </c:pt>
                <c:pt idx="597">
                  <c:v>7.9108999999999998</c:v>
                </c:pt>
                <c:pt idx="598">
                  <c:v>7.8232999999999997</c:v>
                </c:pt>
                <c:pt idx="599">
                  <c:v>7.7705000000000002</c:v>
                </c:pt>
                <c:pt idx="600">
                  <c:v>7.649</c:v>
                </c:pt>
                <c:pt idx="601">
                  <c:v>7.6268000000000002</c:v>
                </c:pt>
                <c:pt idx="602">
                  <c:v>7.6820000000000004</c:v>
                </c:pt>
                <c:pt idx="603">
                  <c:v>7.6616999999999997</c:v>
                </c:pt>
                <c:pt idx="604">
                  <c:v>7.6070000000000002</c:v>
                </c:pt>
                <c:pt idx="605">
                  <c:v>7.5789</c:v>
                </c:pt>
                <c:pt idx="606">
                  <c:v>7.6898</c:v>
                </c:pt>
                <c:pt idx="607">
                  <c:v>7.6825999999999999</c:v>
                </c:pt>
                <c:pt idx="608">
                  <c:v>7.6862000000000004</c:v>
                </c:pt>
                <c:pt idx="609">
                  <c:v>7.5898000000000003</c:v>
                </c:pt>
                <c:pt idx="610">
                  <c:v>7.5822000000000003</c:v>
                </c:pt>
                <c:pt idx="611">
                  <c:v>7.6368999999999998</c:v>
                </c:pt>
                <c:pt idx="612">
                  <c:v>7.6718000000000002</c:v>
                </c:pt>
                <c:pt idx="613">
                  <c:v>7.5579999999999998</c:v>
                </c:pt>
                <c:pt idx="614">
                  <c:v>7.5444000000000004</c:v>
                </c:pt>
                <c:pt idx="615">
                  <c:v>7.5884999999999998</c:v>
                </c:pt>
                <c:pt idx="616">
                  <c:v>7.5076999999999998</c:v>
                </c:pt>
                <c:pt idx="617">
                  <c:v>7.5621999999999998</c:v>
                </c:pt>
                <c:pt idx="618">
                  <c:v>7.6380999999999997</c:v>
                </c:pt>
                <c:pt idx="619">
                  <c:v>7.6069000000000004</c:v>
                </c:pt>
                <c:pt idx="620">
                  <c:v>7.5536000000000003</c:v>
                </c:pt>
                <c:pt idx="621">
                  <c:v>7.4877000000000002</c:v>
                </c:pt>
                <c:pt idx="622">
                  <c:v>7.4913999999999996</c:v>
                </c:pt>
                <c:pt idx="623">
                  <c:v>7.4776999999999996</c:v>
                </c:pt>
                <c:pt idx="624">
                  <c:v>7.5171999999999999</c:v>
                </c:pt>
                <c:pt idx="625">
                  <c:v>7.6376999999999997</c:v>
                </c:pt>
                <c:pt idx="626">
                  <c:v>7.6304999999999996</c:v>
                </c:pt>
                <c:pt idx="627">
                  <c:v>7.6858000000000004</c:v>
                </c:pt>
                <c:pt idx="628">
                  <c:v>7.7313000000000001</c:v>
                </c:pt>
                <c:pt idx="629">
                  <c:v>7.6940999999999997</c:v>
                </c:pt>
                <c:pt idx="630">
                  <c:v>7.6904000000000003</c:v>
                </c:pt>
                <c:pt idx="631">
                  <c:v>7.7709000000000001</c:v>
                </c:pt>
                <c:pt idx="632">
                  <c:v>7.8105000000000002</c:v>
                </c:pt>
                <c:pt idx="633">
                  <c:v>7.6928999999999998</c:v>
                </c:pt>
                <c:pt idx="634">
                  <c:v>7.7270000000000003</c:v>
                </c:pt>
                <c:pt idx="635">
                  <c:v>7.6489000000000003</c:v>
                </c:pt>
                <c:pt idx="636">
                  <c:v>7.6641000000000004</c:v>
                </c:pt>
                <c:pt idx="637">
                  <c:v>7.5777999999999999</c:v>
                </c:pt>
                <c:pt idx="638">
                  <c:v>7.53</c:v>
                </c:pt>
                <c:pt idx="639">
                  <c:v>7.5480999999999998</c:v>
                </c:pt>
                <c:pt idx="640">
                  <c:v>7.5876999999999999</c:v>
                </c:pt>
                <c:pt idx="641">
                  <c:v>7.6605999999999996</c:v>
                </c:pt>
                <c:pt idx="642">
                  <c:v>7.6942000000000004</c:v>
                </c:pt>
                <c:pt idx="643">
                  <c:v>7.8029999999999999</c:v>
                </c:pt>
                <c:pt idx="644">
                  <c:v>7.8033999999999999</c:v>
                </c:pt>
                <c:pt idx="645">
                  <c:v>7.8251999999999997</c:v>
                </c:pt>
                <c:pt idx="646">
                  <c:v>7.8113000000000001</c:v>
                </c:pt>
                <c:pt idx="647">
                  <c:v>7.8639000000000001</c:v>
                </c:pt>
                <c:pt idx="648">
                  <c:v>7.9382999999999999</c:v>
                </c:pt>
                <c:pt idx="649">
                  <c:v>7.9825999999999997</c:v>
                </c:pt>
                <c:pt idx="650">
                  <c:v>7.9409000000000001</c:v>
                </c:pt>
                <c:pt idx="651">
                  <c:v>7.9553000000000003</c:v>
                </c:pt>
                <c:pt idx="652">
                  <c:v>7.9819000000000004</c:v>
                </c:pt>
                <c:pt idx="653">
                  <c:v>8.0267999999999997</c:v>
                </c:pt>
                <c:pt idx="654">
                  <c:v>8.0193999999999992</c:v>
                </c:pt>
                <c:pt idx="655">
                  <c:v>8.1425999999999998</c:v>
                </c:pt>
                <c:pt idx="656">
                  <c:v>8.0373000000000001</c:v>
                </c:pt>
                <c:pt idx="657">
                  <c:v>8.0869</c:v>
                </c:pt>
                <c:pt idx="658">
                  <c:v>8.0978999999999992</c:v>
                </c:pt>
                <c:pt idx="659">
                  <c:v>8.1295999999999999</c:v>
                </c:pt>
                <c:pt idx="660">
                  <c:v>8.1593999999999998</c:v>
                </c:pt>
                <c:pt idx="661">
                  <c:v>8.1569000000000003</c:v>
                </c:pt>
                <c:pt idx="662">
                  <c:v>8.18</c:v>
                </c:pt>
                <c:pt idx="663">
                  <c:v>8.0612999999999992</c:v>
                </c:pt>
                <c:pt idx="664">
                  <c:v>8.0562000000000005</c:v>
                </c:pt>
                <c:pt idx="665">
                  <c:v>8.1318999999999999</c:v>
                </c:pt>
                <c:pt idx="666">
                  <c:v>8.1577999999999999</c:v>
                </c:pt>
                <c:pt idx="667">
                  <c:v>8.1478000000000002</c:v>
                </c:pt>
                <c:pt idx="668">
                  <c:v>8.173</c:v>
                </c:pt>
                <c:pt idx="669">
                  <c:v>8.1875999999999998</c:v>
                </c:pt>
                <c:pt idx="670">
                  <c:v>8.1128</c:v>
                </c:pt>
                <c:pt idx="671">
                  <c:v>8.3381000000000007</c:v>
                </c:pt>
                <c:pt idx="672">
                  <c:v>8.3672000000000004</c:v>
                </c:pt>
                <c:pt idx="673">
                  <c:v>8.3658999999999999</c:v>
                </c:pt>
                <c:pt idx="674">
                  <c:v>8.3293999999999997</c:v>
                </c:pt>
                <c:pt idx="675">
                  <c:v>8.2528000000000006</c:v>
                </c:pt>
                <c:pt idx="676">
                  <c:v>8.1606000000000005</c:v>
                </c:pt>
                <c:pt idx="677">
                  <c:v>8.2529000000000003</c:v>
                </c:pt>
                <c:pt idx="678">
                  <c:v>8.0632999999999999</c:v>
                </c:pt>
                <c:pt idx="679">
                  <c:v>7.9702000000000002</c:v>
                </c:pt>
                <c:pt idx="680">
                  <c:v>8.0702999999999996</c:v>
                </c:pt>
                <c:pt idx="681">
                  <c:v>8.0065000000000008</c:v>
                </c:pt>
                <c:pt idx="682">
                  <c:v>8.0871999999999993</c:v>
                </c:pt>
                <c:pt idx="683">
                  <c:v>8.1707999999999998</c:v>
                </c:pt>
                <c:pt idx="684">
                  <c:v>8.4277999999999995</c:v>
                </c:pt>
                <c:pt idx="685">
                  <c:v>8.3477999999999994</c:v>
                </c:pt>
                <c:pt idx="686">
                  <c:v>8.3998000000000008</c:v>
                </c:pt>
                <c:pt idx="687">
                  <c:v>8.5187000000000008</c:v>
                </c:pt>
                <c:pt idx="688">
                  <c:v>8.5422999999999991</c:v>
                </c:pt>
                <c:pt idx="689">
                  <c:v>8.4388000000000005</c:v>
                </c:pt>
                <c:pt idx="690">
                  <c:v>8.2782999999999998</c:v>
                </c:pt>
                <c:pt idx="691">
                  <c:v>8.2593999999999994</c:v>
                </c:pt>
                <c:pt idx="692">
                  <c:v>8.2204999999999995</c:v>
                </c:pt>
                <c:pt idx="693">
                  <c:v>8.1491000000000007</c:v>
                </c:pt>
                <c:pt idx="694">
                  <c:v>8.1689000000000007</c:v>
                </c:pt>
                <c:pt idx="695">
                  <c:v>8.0467999999999993</c:v>
                </c:pt>
                <c:pt idx="696">
                  <c:v>7.91</c:v>
                </c:pt>
                <c:pt idx="697">
                  <c:v>7.9640000000000004</c:v>
                </c:pt>
                <c:pt idx="698">
                  <c:v>8.0327000000000002</c:v>
                </c:pt>
                <c:pt idx="699">
                  <c:v>7.9062000000000001</c:v>
                </c:pt>
                <c:pt idx="700">
                  <c:v>7.9401000000000002</c:v>
                </c:pt>
                <c:pt idx="701">
                  <c:v>7.9827000000000004</c:v>
                </c:pt>
                <c:pt idx="702">
                  <c:v>7.8701999999999996</c:v>
                </c:pt>
                <c:pt idx="703">
                  <c:v>8.0475999999999992</c:v>
                </c:pt>
                <c:pt idx="704">
                  <c:v>8.0053000000000001</c:v>
                </c:pt>
                <c:pt idx="705">
                  <c:v>8.0746000000000002</c:v>
                </c:pt>
                <c:pt idx="706">
                  <c:v>7.8179999999999996</c:v>
                </c:pt>
                <c:pt idx="707">
                  <c:v>7.6993</c:v>
                </c:pt>
                <c:pt idx="708">
                  <c:v>7.8407999999999998</c:v>
                </c:pt>
                <c:pt idx="709">
                  <c:v>7.97</c:v>
                </c:pt>
                <c:pt idx="710">
                  <c:v>7.9142999999999999</c:v>
                </c:pt>
                <c:pt idx="711">
                  <c:v>8.0185999999999993</c:v>
                </c:pt>
                <c:pt idx="712">
                  <c:v>8.1913</c:v>
                </c:pt>
                <c:pt idx="713">
                  <c:v>8.0721000000000007</c:v>
                </c:pt>
                <c:pt idx="714">
                  <c:v>7.9980000000000002</c:v>
                </c:pt>
                <c:pt idx="715">
                  <c:v>8.0359999999999996</c:v>
                </c:pt>
                <c:pt idx="716">
                  <c:v>7.8026</c:v>
                </c:pt>
                <c:pt idx="717">
                  <c:v>7.8464999999999998</c:v>
                </c:pt>
                <c:pt idx="718">
                  <c:v>7.8589000000000002</c:v>
                </c:pt>
                <c:pt idx="719">
                  <c:v>7.8063000000000002</c:v>
                </c:pt>
                <c:pt idx="720">
                  <c:v>7.9217000000000004</c:v>
                </c:pt>
                <c:pt idx="721">
                  <c:v>7.8571999999999997</c:v>
                </c:pt>
                <c:pt idx="722">
                  <c:v>7.9463999999999997</c:v>
                </c:pt>
                <c:pt idx="723">
                  <c:v>7.9269999999999996</c:v>
                </c:pt>
                <c:pt idx="724">
                  <c:v>8.1358999999999995</c:v>
                </c:pt>
                <c:pt idx="725">
                  <c:v>8.2608999999999995</c:v>
                </c:pt>
                <c:pt idx="726">
                  <c:v>8.0783000000000005</c:v>
                </c:pt>
                <c:pt idx="727">
                  <c:v>8.0267999999999997</c:v>
                </c:pt>
                <c:pt idx="728">
                  <c:v>7.8727999999999998</c:v>
                </c:pt>
                <c:pt idx="729">
                  <c:v>7.8612000000000002</c:v>
                </c:pt>
                <c:pt idx="730">
                  <c:v>7.9481000000000002</c:v>
                </c:pt>
                <c:pt idx="731">
                  <c:v>8.1599000000000004</c:v>
                </c:pt>
                <c:pt idx="732">
                  <c:v>8.2825000000000006</c:v>
                </c:pt>
                <c:pt idx="733">
                  <c:v>8.1411999999999995</c:v>
                </c:pt>
                <c:pt idx="734">
                  <c:v>7.7976999999999999</c:v>
                </c:pt>
                <c:pt idx="735">
                  <c:v>7.6658999999999997</c:v>
                </c:pt>
                <c:pt idx="736">
                  <c:v>7.5486000000000004</c:v>
                </c:pt>
                <c:pt idx="737">
                  <c:v>7.4260999999999999</c:v>
                </c:pt>
                <c:pt idx="738">
                  <c:v>7.4081000000000001</c:v>
                </c:pt>
                <c:pt idx="739">
                  <c:v>7.3989000000000003</c:v>
                </c:pt>
                <c:pt idx="740">
                  <c:v>7.4272</c:v>
                </c:pt>
                <c:pt idx="741">
                  <c:v>7.3320999999999996</c:v>
                </c:pt>
                <c:pt idx="742">
                  <c:v>7.2443999999999997</c:v>
                </c:pt>
                <c:pt idx="743">
                  <c:v>7.1315</c:v>
                </c:pt>
                <c:pt idx="744">
                  <c:v>7.093</c:v>
                </c:pt>
                <c:pt idx="745">
                  <c:v>7.0810000000000004</c:v>
                </c:pt>
                <c:pt idx="746">
                  <c:v>7.0804999999999998</c:v>
                </c:pt>
                <c:pt idx="747">
                  <c:v>7.0015999999999998</c:v>
                </c:pt>
                <c:pt idx="748">
                  <c:v>7.0067000000000004</c:v>
                </c:pt>
                <c:pt idx="749">
                  <c:v>7.0220000000000002</c:v>
                </c:pt>
                <c:pt idx="750">
                  <c:v>7.0575000000000001</c:v>
                </c:pt>
                <c:pt idx="751">
                  <c:v>7.0911999999999997</c:v>
                </c:pt>
                <c:pt idx="752">
                  <c:v>7.2104999999999997</c:v>
                </c:pt>
                <c:pt idx="753">
                  <c:v>7.2464000000000004</c:v>
                </c:pt>
                <c:pt idx="754">
                  <c:v>7.2108999999999996</c:v>
                </c:pt>
                <c:pt idx="755">
                  <c:v>7.1684999999999999</c:v>
                </c:pt>
                <c:pt idx="756">
                  <c:v>7.1970999999999998</c:v>
                </c:pt>
                <c:pt idx="757">
                  <c:v>7.2206999999999999</c:v>
                </c:pt>
                <c:pt idx="758">
                  <c:v>7.1260000000000003</c:v>
                </c:pt>
                <c:pt idx="759">
                  <c:v>7.1295000000000002</c:v>
                </c:pt>
                <c:pt idx="760">
                  <c:v>7.1646000000000001</c:v>
                </c:pt>
                <c:pt idx="761">
                  <c:v>7.1369999999999996</c:v>
                </c:pt>
                <c:pt idx="762">
                  <c:v>7.2317999999999998</c:v>
                </c:pt>
                <c:pt idx="763">
                  <c:v>7.1814999999999998</c:v>
                </c:pt>
                <c:pt idx="764">
                  <c:v>7.1558000000000002</c:v>
                </c:pt>
                <c:pt idx="765">
                  <c:v>6.9306999999999999</c:v>
                </c:pt>
                <c:pt idx="766">
                  <c:v>6.9480000000000004</c:v>
                </c:pt>
                <c:pt idx="767">
                  <c:v>6.7998000000000003</c:v>
                </c:pt>
                <c:pt idx="768">
                  <c:v>6.7808000000000002</c:v>
                </c:pt>
                <c:pt idx="769">
                  <c:v>6.7228000000000003</c:v>
                </c:pt>
                <c:pt idx="770">
                  <c:v>6.6771000000000003</c:v>
                </c:pt>
                <c:pt idx="771">
                  <c:v>6.7708000000000004</c:v>
                </c:pt>
                <c:pt idx="772">
                  <c:v>6.6425000000000001</c:v>
                </c:pt>
                <c:pt idx="773">
                  <c:v>6.6466000000000003</c:v>
                </c:pt>
                <c:pt idx="774">
                  <c:v>6.7080000000000002</c:v>
                </c:pt>
                <c:pt idx="775">
                  <c:v>6.8129</c:v>
                </c:pt>
                <c:pt idx="776">
                  <c:v>6.7558999999999996</c:v>
                </c:pt>
                <c:pt idx="777">
                  <c:v>6.8728999999999996</c:v>
                </c:pt>
                <c:pt idx="778">
                  <c:v>6.9114000000000004</c:v>
                </c:pt>
                <c:pt idx="779">
                  <c:v>6.9606000000000003</c:v>
                </c:pt>
                <c:pt idx="780">
                  <c:v>6.9459999999999997</c:v>
                </c:pt>
                <c:pt idx="781">
                  <c:v>6.9019000000000004</c:v>
                </c:pt>
                <c:pt idx="782">
                  <c:v>6.8604000000000003</c:v>
                </c:pt>
                <c:pt idx="783">
                  <c:v>6.8422999999999998</c:v>
                </c:pt>
                <c:pt idx="784">
                  <c:v>6.8990999999999998</c:v>
                </c:pt>
                <c:pt idx="785">
                  <c:v>6.7487000000000004</c:v>
                </c:pt>
                <c:pt idx="786">
                  <c:v>6.6917</c:v>
                </c:pt>
                <c:pt idx="787">
                  <c:v>6.7237</c:v>
                </c:pt>
                <c:pt idx="788">
                  <c:v>6.7537000000000003</c:v>
                </c:pt>
                <c:pt idx="789">
                  <c:v>6.7527999999999997</c:v>
                </c:pt>
                <c:pt idx="790">
                  <c:v>6.7173999999999996</c:v>
                </c:pt>
                <c:pt idx="791">
                  <c:v>6.7630999999999997</c:v>
                </c:pt>
                <c:pt idx="792">
                  <c:v>6.7790999999999997</c:v>
                </c:pt>
                <c:pt idx="793">
                  <c:v>6.827</c:v>
                </c:pt>
                <c:pt idx="794">
                  <c:v>6.8596000000000004</c:v>
                </c:pt>
                <c:pt idx="795">
                  <c:v>6.9267000000000003</c:v>
                </c:pt>
                <c:pt idx="796">
                  <c:v>6.8913000000000002</c:v>
                </c:pt>
                <c:pt idx="797">
                  <c:v>6.8066000000000004</c:v>
                </c:pt>
                <c:pt idx="798">
                  <c:v>6.7286999999999999</c:v>
                </c:pt>
                <c:pt idx="799">
                  <c:v>6.7590000000000003</c:v>
                </c:pt>
                <c:pt idx="800">
                  <c:v>6.8219000000000003</c:v>
                </c:pt>
                <c:pt idx="801">
                  <c:v>6.8672000000000004</c:v>
                </c:pt>
                <c:pt idx="802">
                  <c:v>6.7877999999999998</c:v>
                </c:pt>
                <c:pt idx="803">
                  <c:v>6.7523999999999997</c:v>
                </c:pt>
                <c:pt idx="804">
                  <c:v>6.7759</c:v>
                </c:pt>
                <c:pt idx="805">
                  <c:v>6.7625000000000002</c:v>
                </c:pt>
                <c:pt idx="806">
                  <c:v>6.7112999999999996</c:v>
                </c:pt>
                <c:pt idx="807">
                  <c:v>6.7485999999999997</c:v>
                </c:pt>
                <c:pt idx="808">
                  <c:v>6.7434000000000003</c:v>
                </c:pt>
                <c:pt idx="809">
                  <c:v>6.7019000000000002</c:v>
                </c:pt>
                <c:pt idx="810">
                  <c:v>6.7183000000000002</c:v>
                </c:pt>
                <c:pt idx="811">
                  <c:v>6.7965</c:v>
                </c:pt>
                <c:pt idx="812">
                  <c:v>6.7820999999999998</c:v>
                </c:pt>
                <c:pt idx="813">
                  <c:v>6.8906999999999998</c:v>
                </c:pt>
                <c:pt idx="814">
                  <c:v>6.9016000000000002</c:v>
                </c:pt>
                <c:pt idx="815">
                  <c:v>6.9311999999999996</c:v>
                </c:pt>
                <c:pt idx="816">
                  <c:v>6.9718999999999998</c:v>
                </c:pt>
                <c:pt idx="817">
                  <c:v>7.0404</c:v>
                </c:pt>
                <c:pt idx="818">
                  <c:v>7.0007999999999999</c:v>
                </c:pt>
                <c:pt idx="819">
                  <c:v>7.0015999999999998</c:v>
                </c:pt>
                <c:pt idx="820">
                  <c:v>6.8817000000000004</c:v>
                </c:pt>
                <c:pt idx="821">
                  <c:v>6.9279999999999999</c:v>
                </c:pt>
                <c:pt idx="822">
                  <c:v>6.9962999999999997</c:v>
                </c:pt>
                <c:pt idx="823">
                  <c:v>7.0256999999999996</c:v>
                </c:pt>
                <c:pt idx="824">
                  <c:v>6.8971</c:v>
                </c:pt>
                <c:pt idx="825">
                  <c:v>6.9396000000000004</c:v>
                </c:pt>
                <c:pt idx="826">
                  <c:v>6.7679999999999998</c:v>
                </c:pt>
                <c:pt idx="827">
                  <c:v>6.7388000000000003</c:v>
                </c:pt>
                <c:pt idx="828">
                  <c:v>6.6627999999999998</c:v>
                </c:pt>
                <c:pt idx="829">
                  <c:v>6.7568000000000001</c:v>
                </c:pt>
                <c:pt idx="830">
                  <c:v>6.6576000000000004</c:v>
                </c:pt>
                <c:pt idx="831">
                  <c:v>6.6288</c:v>
                </c:pt>
                <c:pt idx="832">
                  <c:v>6.6532</c:v>
                </c:pt>
                <c:pt idx="833">
                  <c:v>6.6227</c:v>
                </c:pt>
                <c:pt idx="834">
                  <c:v>6.5961999999999996</c:v>
                </c:pt>
                <c:pt idx="835">
                  <c:v>6.7385000000000002</c:v>
                </c:pt>
                <c:pt idx="836">
                  <c:v>6.7663000000000002</c:v>
                </c:pt>
                <c:pt idx="837">
                  <c:v>6.7923999999999998</c:v>
                </c:pt>
                <c:pt idx="838">
                  <c:v>6.8464</c:v>
                </c:pt>
                <c:pt idx="839">
                  <c:v>6.8555999999999999</c:v>
                </c:pt>
                <c:pt idx="840">
                  <c:v>6.8468</c:v>
                </c:pt>
                <c:pt idx="841">
                  <c:v>6.7903000000000002</c:v>
                </c:pt>
                <c:pt idx="842">
                  <c:v>6.7404000000000002</c:v>
                </c:pt>
                <c:pt idx="843">
                  <c:v>6.6978</c:v>
                </c:pt>
                <c:pt idx="844">
                  <c:v>6.6516999999999999</c:v>
                </c:pt>
                <c:pt idx="845">
                  <c:v>6.6478999999999999</c:v>
                </c:pt>
                <c:pt idx="846">
                  <c:v>6.6871999999999998</c:v>
                </c:pt>
                <c:pt idx="847">
                  <c:v>6.6924999999999999</c:v>
                </c:pt>
                <c:pt idx="848">
                  <c:v>6.7378</c:v>
                </c:pt>
                <c:pt idx="849">
                  <c:v>6.7202999999999999</c:v>
                </c:pt>
                <c:pt idx="850">
                  <c:v>6.7664999999999997</c:v>
                </c:pt>
                <c:pt idx="851">
                  <c:v>6.782</c:v>
                </c:pt>
                <c:pt idx="852">
                  <c:v>6.8346999999999998</c:v>
                </c:pt>
                <c:pt idx="853">
                  <c:v>6.8628999999999998</c:v>
                </c:pt>
                <c:pt idx="854">
                  <c:v>6.8772000000000002</c:v>
                </c:pt>
                <c:pt idx="855">
                  <c:v>6.8768000000000002</c:v>
                </c:pt>
                <c:pt idx="856">
                  <c:v>6.9302000000000001</c:v>
                </c:pt>
                <c:pt idx="857">
                  <c:v>6.9080000000000004</c:v>
                </c:pt>
                <c:pt idx="858">
                  <c:v>6.9031000000000002</c:v>
                </c:pt>
                <c:pt idx="859">
                  <c:v>7.0469999999999997</c:v>
                </c:pt>
                <c:pt idx="860">
                  <c:v>7.0777000000000001</c:v>
                </c:pt>
                <c:pt idx="861">
                  <c:v>6.9850000000000003</c:v>
                </c:pt>
                <c:pt idx="862">
                  <c:v>6.8756000000000004</c:v>
                </c:pt>
                <c:pt idx="863">
                  <c:v>6.8925999999999998</c:v>
                </c:pt>
                <c:pt idx="864">
                  <c:v>6.9124999999999996</c:v>
                </c:pt>
                <c:pt idx="865">
                  <c:v>6.8982000000000001</c:v>
                </c:pt>
                <c:pt idx="866">
                  <c:v>6.9114000000000004</c:v>
                </c:pt>
                <c:pt idx="867">
                  <c:v>6.8684000000000003</c:v>
                </c:pt>
                <c:pt idx="868">
                  <c:v>6.8834</c:v>
                </c:pt>
                <c:pt idx="869">
                  <c:v>6.8891999999999998</c:v>
                </c:pt>
                <c:pt idx="870">
                  <c:v>6.8673999999999999</c:v>
                </c:pt>
                <c:pt idx="871">
                  <c:v>6.9789000000000003</c:v>
                </c:pt>
                <c:pt idx="872">
                  <c:v>6.9409000000000001</c:v>
                </c:pt>
                <c:pt idx="873">
                  <c:v>6.9880000000000004</c:v>
                </c:pt>
                <c:pt idx="874">
                  <c:v>7.0259999999999998</c:v>
                </c:pt>
                <c:pt idx="875">
                  <c:v>7.1220999999999997</c:v>
                </c:pt>
                <c:pt idx="876">
                  <c:v>7.1257000000000001</c:v>
                </c:pt>
                <c:pt idx="877">
                  <c:v>7.2104999999999997</c:v>
                </c:pt>
                <c:pt idx="878">
                  <c:v>7.1349</c:v>
                </c:pt>
                <c:pt idx="879">
                  <c:v>7.1981999999999999</c:v>
                </c:pt>
                <c:pt idx="880">
                  <c:v>7.2195</c:v>
                </c:pt>
                <c:pt idx="881">
                  <c:v>7.3116000000000003</c:v>
                </c:pt>
                <c:pt idx="882">
                  <c:v>7.2952000000000004</c:v>
                </c:pt>
                <c:pt idx="883">
                  <c:v>7.2713000000000001</c:v>
                </c:pt>
                <c:pt idx="884">
                  <c:v>7.2853000000000003</c:v>
                </c:pt>
                <c:pt idx="885">
                  <c:v>7.2747999999999999</c:v>
                </c:pt>
                <c:pt idx="886">
                  <c:v>7.2164000000000001</c:v>
                </c:pt>
                <c:pt idx="887">
                  <c:v>7.2228000000000003</c:v>
                </c:pt>
                <c:pt idx="888">
                  <c:v>7.2497999999999996</c:v>
                </c:pt>
                <c:pt idx="889">
                  <c:v>7.27</c:v>
                </c:pt>
                <c:pt idx="890">
                  <c:v>7.1704999999999997</c:v>
                </c:pt>
                <c:pt idx="891">
                  <c:v>7.1021000000000001</c:v>
                </c:pt>
                <c:pt idx="892">
                  <c:v>7.1477000000000004</c:v>
                </c:pt>
                <c:pt idx="893">
                  <c:v>7.1817000000000002</c:v>
                </c:pt>
                <c:pt idx="894">
                  <c:v>7.1002000000000001</c:v>
                </c:pt>
                <c:pt idx="895">
                  <c:v>7.0918999999999999</c:v>
                </c:pt>
                <c:pt idx="896">
                  <c:v>7.0862999999999996</c:v>
                </c:pt>
                <c:pt idx="897">
                  <c:v>7.0197000000000003</c:v>
                </c:pt>
                <c:pt idx="898">
                  <c:v>7.0743</c:v>
                </c:pt>
                <c:pt idx="899">
                  <c:v>7.0621</c:v>
                </c:pt>
                <c:pt idx="900">
                  <c:v>7.0159000000000002</c:v>
                </c:pt>
                <c:pt idx="901">
                  <c:v>6.8784999999999998</c:v>
                </c:pt>
                <c:pt idx="902">
                  <c:v>6.8518999999999997</c:v>
                </c:pt>
                <c:pt idx="903">
                  <c:v>6.9481999999999999</c:v>
                </c:pt>
                <c:pt idx="904">
                  <c:v>6.8268000000000004</c:v>
                </c:pt>
                <c:pt idx="905">
                  <c:v>6.8331</c:v>
                </c:pt>
                <c:pt idx="906">
                  <c:v>6.8330000000000002</c:v>
                </c:pt>
                <c:pt idx="907">
                  <c:v>6.8331999999999997</c:v>
                </c:pt>
                <c:pt idx="908">
                  <c:v>6.8380000000000001</c:v>
                </c:pt>
                <c:pt idx="909">
                  <c:v>6.8109999999999999</c:v>
                </c:pt>
                <c:pt idx="910">
                  <c:v>6.7305000000000001</c:v>
                </c:pt>
                <c:pt idx="911">
                  <c:v>6.7222</c:v>
                </c:pt>
                <c:pt idx="912">
                  <c:v>6.6558000000000002</c:v>
                </c:pt>
                <c:pt idx="913">
                  <c:v>6.6238000000000001</c:v>
                </c:pt>
                <c:pt idx="914">
                  <c:v>6.6223999999999998</c:v>
                </c:pt>
                <c:pt idx="915">
                  <c:v>6.6223999999999998</c:v>
                </c:pt>
                <c:pt idx="916">
                  <c:v>6.6908000000000003</c:v>
                </c:pt>
                <c:pt idx="917">
                  <c:v>6.7007000000000003</c:v>
                </c:pt>
                <c:pt idx="918">
                  <c:v>6.7407000000000004</c:v>
                </c:pt>
                <c:pt idx="919">
                  <c:v>6.7679999999999998</c:v>
                </c:pt>
                <c:pt idx="920">
                  <c:v>6.8015999999999996</c:v>
                </c:pt>
                <c:pt idx="921">
                  <c:v>6.8167</c:v>
                </c:pt>
                <c:pt idx="922">
                  <c:v>6.8613999999999997</c:v>
                </c:pt>
                <c:pt idx="923">
                  <c:v>6.8211000000000004</c:v>
                </c:pt>
                <c:pt idx="924">
                  <c:v>6.8423999999999996</c:v>
                </c:pt>
                <c:pt idx="925">
                  <c:v>6.8174999999999999</c:v>
                </c:pt>
                <c:pt idx="926">
                  <c:v>6.8520000000000003</c:v>
                </c:pt>
                <c:pt idx="927">
                  <c:v>6.8981000000000003</c:v>
                </c:pt>
                <c:pt idx="928">
                  <c:v>6.9025999999999996</c:v>
                </c:pt>
                <c:pt idx="929">
                  <c:v>6.9619999999999997</c:v>
                </c:pt>
                <c:pt idx="930">
                  <c:v>6.8864999999999998</c:v>
                </c:pt>
                <c:pt idx="931">
                  <c:v>6.8875000000000002</c:v>
                </c:pt>
                <c:pt idx="932">
                  <c:v>6.9292999999999996</c:v>
                </c:pt>
                <c:pt idx="933">
                  <c:v>6.9787999999999997</c:v>
                </c:pt>
                <c:pt idx="934">
                  <c:v>7.0517000000000003</c:v>
                </c:pt>
                <c:pt idx="935">
                  <c:v>7.1266999999999996</c:v>
                </c:pt>
                <c:pt idx="936">
                  <c:v>7.1185</c:v>
                </c:pt>
                <c:pt idx="937">
                  <c:v>7.0917000000000003</c:v>
                </c:pt>
                <c:pt idx="938">
                  <c:v>7.056</c:v>
                </c:pt>
                <c:pt idx="939">
                  <c:v>7.0972999999999997</c:v>
                </c:pt>
                <c:pt idx="940">
                  <c:v>7.0563000000000002</c:v>
                </c:pt>
                <c:pt idx="941">
                  <c:v>6.976</c:v>
                </c:pt>
                <c:pt idx="942">
                  <c:v>6.9527000000000001</c:v>
                </c:pt>
                <c:pt idx="943">
                  <c:v>6.9977999999999998</c:v>
                </c:pt>
                <c:pt idx="944">
                  <c:v>7.0677000000000003</c:v>
                </c:pt>
                <c:pt idx="945">
                  <c:v>6.9821999999999997</c:v>
                </c:pt>
                <c:pt idx="946">
                  <c:v>7.0061999999999998</c:v>
                </c:pt>
                <c:pt idx="947">
                  <c:v>7.0106999999999999</c:v>
                </c:pt>
                <c:pt idx="948">
                  <c:v>6.8708999999999998</c:v>
                </c:pt>
                <c:pt idx="949">
                  <c:v>6.8635000000000002</c:v>
                </c:pt>
                <c:pt idx="950">
                  <c:v>6.8711000000000002</c:v>
                </c:pt>
                <c:pt idx="951">
                  <c:v>6.8285</c:v>
                </c:pt>
                <c:pt idx="952">
                  <c:v>6.8028000000000004</c:v>
                </c:pt>
                <c:pt idx="953">
                  <c:v>6.8324999999999996</c:v>
                </c:pt>
                <c:pt idx="954">
                  <c:v>6.8808999999999996</c:v>
                </c:pt>
                <c:pt idx="955">
                  <c:v>6.9576000000000002</c:v>
                </c:pt>
                <c:pt idx="956">
                  <c:v>6.9661</c:v>
                </c:pt>
                <c:pt idx="957">
                  <c:v>7.0269000000000004</c:v>
                </c:pt>
                <c:pt idx="958">
                  <c:v>7.0575000000000001</c:v>
                </c:pt>
                <c:pt idx="959">
                  <c:v>7.0088999999999997</c:v>
                </c:pt>
                <c:pt idx="960">
                  <c:v>6.9036999999999997</c:v>
                </c:pt>
                <c:pt idx="961">
                  <c:v>6.8876999999999997</c:v>
                </c:pt>
                <c:pt idx="962">
                  <c:v>6.9614000000000003</c:v>
                </c:pt>
                <c:pt idx="963">
                  <c:v>6.9225000000000003</c:v>
                </c:pt>
                <c:pt idx="964">
                  <c:v>6.9508000000000001</c:v>
                </c:pt>
                <c:pt idx="965">
                  <c:v>6.9085999999999999</c:v>
                </c:pt>
                <c:pt idx="966">
                  <c:v>6.8918999999999997</c:v>
                </c:pt>
                <c:pt idx="967">
                  <c:v>6.8075999999999999</c:v>
                </c:pt>
                <c:pt idx="968">
                  <c:v>6.7779999999999996</c:v>
                </c:pt>
                <c:pt idx="969">
                  <c:v>6.8356000000000003</c:v>
                </c:pt>
                <c:pt idx="970">
                  <c:v>6.9039000000000001</c:v>
                </c:pt>
                <c:pt idx="971">
                  <c:v>6.8718000000000004</c:v>
                </c:pt>
                <c:pt idx="972">
                  <c:v>6.9307999999999996</c:v>
                </c:pt>
                <c:pt idx="973">
                  <c:v>6.8497000000000003</c:v>
                </c:pt>
                <c:pt idx="974">
                  <c:v>6.8853</c:v>
                </c:pt>
                <c:pt idx="975">
                  <c:v>6.9930000000000003</c:v>
                </c:pt>
                <c:pt idx="976">
                  <c:v>6.9581</c:v>
                </c:pt>
                <c:pt idx="977">
                  <c:v>6.9528999999999996</c:v>
                </c:pt>
                <c:pt idx="978">
                  <c:v>6.9621000000000004</c:v>
                </c:pt>
                <c:pt idx="979">
                  <c:v>6.9705000000000004</c:v>
                </c:pt>
                <c:pt idx="980">
                  <c:v>7.0275999999999996</c:v>
                </c:pt>
                <c:pt idx="981">
                  <c:v>7.0101000000000004</c:v>
                </c:pt>
                <c:pt idx="982">
                  <c:v>7.0583999999999998</c:v>
                </c:pt>
                <c:pt idx="983">
                  <c:v>7.0368000000000004</c:v>
                </c:pt>
                <c:pt idx="984">
                  <c:v>7.1075999999999997</c:v>
                </c:pt>
                <c:pt idx="985">
                  <c:v>7.1178999999999997</c:v>
                </c:pt>
                <c:pt idx="986">
                  <c:v>7.1276000000000002</c:v>
                </c:pt>
                <c:pt idx="987">
                  <c:v>7.1010999999999997</c:v>
                </c:pt>
                <c:pt idx="988">
                  <c:v>7.0994000000000002</c:v>
                </c:pt>
                <c:pt idx="989">
                  <c:v>7.1474000000000002</c:v>
                </c:pt>
                <c:pt idx="990">
                  <c:v>7.1448</c:v>
                </c:pt>
                <c:pt idx="991">
                  <c:v>7.1912000000000003</c:v>
                </c:pt>
                <c:pt idx="992">
                  <c:v>7.2305999999999999</c:v>
                </c:pt>
                <c:pt idx="993">
                  <c:v>7.2819000000000003</c:v>
                </c:pt>
                <c:pt idx="994">
                  <c:v>7.2662000000000004</c:v>
                </c:pt>
                <c:pt idx="995">
                  <c:v>7.1908000000000003</c:v>
                </c:pt>
                <c:pt idx="996">
                  <c:v>7.2191000000000001</c:v>
                </c:pt>
                <c:pt idx="997">
                  <c:v>7.2784000000000004</c:v>
                </c:pt>
                <c:pt idx="998">
                  <c:v>7.3826000000000001</c:v>
                </c:pt>
                <c:pt idx="999">
                  <c:v>7.3762999999999996</c:v>
                </c:pt>
                <c:pt idx="1000">
                  <c:v>7.3064999999999998</c:v>
                </c:pt>
                <c:pt idx="1001">
                  <c:v>7.3228</c:v>
                </c:pt>
                <c:pt idx="1002">
                  <c:v>7.3212999999999999</c:v>
                </c:pt>
                <c:pt idx="1003">
                  <c:v>7.3495999999999997</c:v>
                </c:pt>
                <c:pt idx="1004">
                  <c:v>7.4004000000000003</c:v>
                </c:pt>
                <c:pt idx="1005">
                  <c:v>7.2830000000000004</c:v>
                </c:pt>
                <c:pt idx="1006">
                  <c:v>7.3023999999999996</c:v>
                </c:pt>
                <c:pt idx="1007">
                  <c:v>7.2826000000000004</c:v>
                </c:pt>
                <c:pt idx="1008">
                  <c:v>7.2817999999999996</c:v>
                </c:pt>
                <c:pt idx="1009">
                  <c:v>7.2390999999999996</c:v>
                </c:pt>
                <c:pt idx="1010">
                  <c:v>7.3163999999999998</c:v>
                </c:pt>
                <c:pt idx="1011">
                  <c:v>7.2572999999999999</c:v>
                </c:pt>
                <c:pt idx="1012">
                  <c:v>7.3082000000000003</c:v>
                </c:pt>
                <c:pt idx="1013">
                  <c:v>7.2590000000000003</c:v>
                </c:pt>
                <c:pt idx="1014">
                  <c:v>7.2278000000000002</c:v>
                </c:pt>
                <c:pt idx="1015">
                  <c:v>7.2461000000000002</c:v>
                </c:pt>
                <c:pt idx="1016">
                  <c:v>7.2815000000000003</c:v>
                </c:pt>
                <c:pt idx="1017">
                  <c:v>7.3117999999999999</c:v>
                </c:pt>
                <c:pt idx="1018">
                  <c:v>7.3182999999999998</c:v>
                </c:pt>
                <c:pt idx="1019">
                  <c:v>7.2564000000000002</c:v>
                </c:pt>
                <c:pt idx="1020">
                  <c:v>7.3476999999999997</c:v>
                </c:pt>
                <c:pt idx="1021">
                  <c:v>7.2965</c:v>
                </c:pt>
                <c:pt idx="1022">
                  <c:v>7.3566000000000003</c:v>
                </c:pt>
                <c:pt idx="1023">
                  <c:v>7.3483000000000001</c:v>
                </c:pt>
                <c:pt idx="1024">
                  <c:v>7.3997999999999999</c:v>
                </c:pt>
                <c:pt idx="1025">
                  <c:v>7.4386000000000001</c:v>
                </c:pt>
                <c:pt idx="1026">
                  <c:v>7.5622999999999996</c:v>
                </c:pt>
                <c:pt idx="1027">
                  <c:v>7.5606</c:v>
                </c:pt>
                <c:pt idx="1028">
                  <c:v>7.6013999999999999</c:v>
                </c:pt>
                <c:pt idx="1029">
                  <c:v>7.6197999999999997</c:v>
                </c:pt>
                <c:pt idx="1030">
                  <c:v>7.5620000000000003</c:v>
                </c:pt>
                <c:pt idx="1031">
                  <c:v>7.5406000000000004</c:v>
                </c:pt>
                <c:pt idx="1032">
                  <c:v>7.5297000000000001</c:v>
                </c:pt>
                <c:pt idx="1033">
                  <c:v>7.6113999999999997</c:v>
                </c:pt>
                <c:pt idx="1034">
                  <c:v>7.6119000000000003</c:v>
                </c:pt>
                <c:pt idx="1035">
                  <c:v>7.5659000000000001</c:v>
                </c:pt>
                <c:pt idx="1036">
                  <c:v>7.5979999999999999</c:v>
                </c:pt>
                <c:pt idx="1037">
                  <c:v>7.6772</c:v>
                </c:pt>
                <c:pt idx="1038">
                  <c:v>7.7110000000000003</c:v>
                </c:pt>
                <c:pt idx="1039">
                  <c:v>7.7378</c:v>
                </c:pt>
                <c:pt idx="1040">
                  <c:v>7.7008000000000001</c:v>
                </c:pt>
                <c:pt idx="1041">
                  <c:v>7.6997999999999998</c:v>
                </c:pt>
                <c:pt idx="1042">
                  <c:v>7.6492000000000004</c:v>
                </c:pt>
                <c:pt idx="1043">
                  <c:v>7.6490999999999998</c:v>
                </c:pt>
                <c:pt idx="1044">
                  <c:v>7.54</c:v>
                </c:pt>
                <c:pt idx="1045">
                  <c:v>7.6365999999999996</c:v>
                </c:pt>
                <c:pt idx="1046">
                  <c:v>7.5697999999999999</c:v>
                </c:pt>
                <c:pt idx="1047">
                  <c:v>7.5757000000000003</c:v>
                </c:pt>
                <c:pt idx="1048">
                  <c:v>7.5228000000000002</c:v>
                </c:pt>
                <c:pt idx="1049">
                  <c:v>7.4324000000000003</c:v>
                </c:pt>
                <c:pt idx="1050">
                  <c:v>7.5465</c:v>
                </c:pt>
                <c:pt idx="1051">
                  <c:v>7.6215000000000002</c:v>
                </c:pt>
                <c:pt idx="1052">
                  <c:v>7.6887999999999996</c:v>
                </c:pt>
                <c:pt idx="1053">
                  <c:v>7.6513999999999998</c:v>
                </c:pt>
                <c:pt idx="1054">
                  <c:v>7.7091000000000003</c:v>
                </c:pt>
                <c:pt idx="1055">
                  <c:v>7.7824</c:v>
                </c:pt>
                <c:pt idx="1056">
                  <c:v>7.7211999999999996</c:v>
                </c:pt>
                <c:pt idx="1057">
                  <c:v>7.7888999999999999</c:v>
                </c:pt>
                <c:pt idx="1058">
                  <c:v>7.8197000000000001</c:v>
                </c:pt>
                <c:pt idx="1059">
                  <c:v>7.6440000000000001</c:v>
                </c:pt>
                <c:pt idx="1060">
                  <c:v>7.6071999999999997</c:v>
                </c:pt>
                <c:pt idx="1061">
                  <c:v>7.7119999999999997</c:v>
                </c:pt>
                <c:pt idx="1062">
                  <c:v>7.7503000000000002</c:v>
                </c:pt>
                <c:pt idx="1063">
                  <c:v>7.6361999999999997</c:v>
                </c:pt>
                <c:pt idx="1064">
                  <c:v>7.5425000000000004</c:v>
                </c:pt>
                <c:pt idx="1065">
                  <c:v>7.6981999999999999</c:v>
                </c:pt>
                <c:pt idx="1066">
                  <c:v>7.8314000000000004</c:v>
                </c:pt>
                <c:pt idx="1067">
                  <c:v>7.9703999999999997</c:v>
                </c:pt>
                <c:pt idx="1068">
                  <c:v>7.8522999999999996</c:v>
                </c:pt>
                <c:pt idx="1069">
                  <c:v>7.9489999999999998</c:v>
                </c:pt>
                <c:pt idx="1070">
                  <c:v>7.8224999999999998</c:v>
                </c:pt>
                <c:pt idx="1071">
                  <c:v>7.6867999999999999</c:v>
                </c:pt>
                <c:pt idx="1072">
                  <c:v>7.5170000000000003</c:v>
                </c:pt>
                <c:pt idx="1073">
                  <c:v>7.5777000000000001</c:v>
                </c:pt>
                <c:pt idx="1074">
                  <c:v>7.5243000000000002</c:v>
                </c:pt>
                <c:pt idx="1075">
                  <c:v>7.4741999999999997</c:v>
                </c:pt>
                <c:pt idx="1076">
                  <c:v>7.5076000000000001</c:v>
                </c:pt>
                <c:pt idx="1077">
                  <c:v>7.5305999999999997</c:v>
                </c:pt>
                <c:pt idx="1078">
                  <c:v>7.4455</c:v>
                </c:pt>
                <c:pt idx="1079">
                  <c:v>7.7343999999999999</c:v>
                </c:pt>
                <c:pt idx="1080">
                  <c:v>7.6436000000000002</c:v>
                </c:pt>
                <c:pt idx="1081">
                  <c:v>7.5952999999999999</c:v>
                </c:pt>
                <c:pt idx="1082">
                  <c:v>7.4435000000000002</c:v>
                </c:pt>
                <c:pt idx="1083">
                  <c:v>7.3893000000000004</c:v>
                </c:pt>
                <c:pt idx="1084">
                  <c:v>7.3262999999999998</c:v>
                </c:pt>
                <c:pt idx="1085">
                  <c:v>7.3859000000000004</c:v>
                </c:pt>
                <c:pt idx="1086">
                  <c:v>7.4875999999999996</c:v>
                </c:pt>
                <c:pt idx="1087">
                  <c:v>7.3772000000000002</c:v>
                </c:pt>
                <c:pt idx="1088">
                  <c:v>7.4733000000000001</c:v>
                </c:pt>
                <c:pt idx="1089">
                  <c:v>7.423</c:v>
                </c:pt>
                <c:pt idx="1090">
                  <c:v>7.3773</c:v>
                </c:pt>
                <c:pt idx="1091">
                  <c:v>7.4221000000000004</c:v>
                </c:pt>
                <c:pt idx="1092">
                  <c:v>7.4363999999999999</c:v>
                </c:pt>
                <c:pt idx="1093">
                  <c:v>7.3566000000000003</c:v>
                </c:pt>
                <c:pt idx="1094">
                  <c:v>7.3413000000000004</c:v>
                </c:pt>
                <c:pt idx="1095">
                  <c:v>7.2676999999999996</c:v>
                </c:pt>
                <c:pt idx="1096">
                  <c:v>7.2885999999999997</c:v>
                </c:pt>
                <c:pt idx="1097">
                  <c:v>7.2553000000000001</c:v>
                </c:pt>
                <c:pt idx="1098">
                  <c:v>7.2375999999999996</c:v>
                </c:pt>
                <c:pt idx="1099">
                  <c:v>7.3577000000000004</c:v>
                </c:pt>
                <c:pt idx="1100">
                  <c:v>7.2287999999999997</c:v>
                </c:pt>
                <c:pt idx="1101">
                  <c:v>7.2601000000000004</c:v>
                </c:pt>
                <c:pt idx="1102">
                  <c:v>7.2380000000000004</c:v>
                </c:pt>
                <c:pt idx="1103">
                  <c:v>7.3273000000000001</c:v>
                </c:pt>
                <c:pt idx="1104">
                  <c:v>7.3996000000000004</c:v>
                </c:pt>
                <c:pt idx="1105">
                  <c:v>7.3912000000000004</c:v>
                </c:pt>
                <c:pt idx="1106">
                  <c:v>7.4420999999999999</c:v>
                </c:pt>
                <c:pt idx="1107">
                  <c:v>7.3785999999999996</c:v>
                </c:pt>
                <c:pt idx="1108">
                  <c:v>7.3491</c:v>
                </c:pt>
                <c:pt idx="1109">
                  <c:v>7.3585000000000003</c:v>
                </c:pt>
                <c:pt idx="1110">
                  <c:v>7.3075999999999999</c:v>
                </c:pt>
                <c:pt idx="1111">
                  <c:v>7.3030999999999997</c:v>
                </c:pt>
                <c:pt idx="1112">
                  <c:v>7.3373999999999997</c:v>
                </c:pt>
                <c:pt idx="1113">
                  <c:v>7.4066000000000001</c:v>
                </c:pt>
                <c:pt idx="1114">
                  <c:v>7.4221000000000004</c:v>
                </c:pt>
                <c:pt idx="1115">
                  <c:v>7.4006999999999996</c:v>
                </c:pt>
                <c:pt idx="1116">
                  <c:v>7.4617000000000004</c:v>
                </c:pt>
                <c:pt idx="1117">
                  <c:v>7.4154999999999998</c:v>
                </c:pt>
                <c:pt idx="1118">
                  <c:v>7.4073000000000002</c:v>
                </c:pt>
                <c:pt idx="1119">
                  <c:v>7.3977000000000004</c:v>
                </c:pt>
                <c:pt idx="1120">
                  <c:v>7.4637000000000002</c:v>
                </c:pt>
                <c:pt idx="1121">
                  <c:v>7.5141999999999998</c:v>
                </c:pt>
                <c:pt idx="1122">
                  <c:v>7.5816999999999997</c:v>
                </c:pt>
                <c:pt idx="1123">
                  <c:v>7.6528</c:v>
                </c:pt>
                <c:pt idx="1124">
                  <c:v>7.6776</c:v>
                </c:pt>
                <c:pt idx="1125">
                  <c:v>7.7858999999999998</c:v>
                </c:pt>
                <c:pt idx="1126">
                  <c:v>7.7973999999999997</c:v>
                </c:pt>
                <c:pt idx="1127">
                  <c:v>7.7698</c:v>
                </c:pt>
                <c:pt idx="1128">
                  <c:v>7.6757</c:v>
                </c:pt>
                <c:pt idx="1129">
                  <c:v>7.6497000000000002</c:v>
                </c:pt>
                <c:pt idx="1130">
                  <c:v>7.6890999999999998</c:v>
                </c:pt>
                <c:pt idx="1131">
                  <c:v>7.6460999999999997</c:v>
                </c:pt>
                <c:pt idx="1132">
                  <c:v>7.6618000000000004</c:v>
                </c:pt>
                <c:pt idx="1133">
                  <c:v>7.6882000000000001</c:v>
                </c:pt>
                <c:pt idx="1134">
                  <c:v>7.7191000000000001</c:v>
                </c:pt>
                <c:pt idx="1135">
                  <c:v>7.6487999999999996</c:v>
                </c:pt>
                <c:pt idx="1136">
                  <c:v>7.6779999999999999</c:v>
                </c:pt>
                <c:pt idx="1137">
                  <c:v>7.6974999999999998</c:v>
                </c:pt>
                <c:pt idx="1138">
                  <c:v>7.6878000000000002</c:v>
                </c:pt>
                <c:pt idx="1139">
                  <c:v>7.7172000000000001</c:v>
                </c:pt>
                <c:pt idx="1140">
                  <c:v>7.7088999999999999</c:v>
                </c:pt>
                <c:pt idx="1141">
                  <c:v>7.5289000000000001</c:v>
                </c:pt>
                <c:pt idx="1142">
                  <c:v>7.4302999999999999</c:v>
                </c:pt>
                <c:pt idx="1143">
                  <c:v>7.49</c:v>
                </c:pt>
                <c:pt idx="1144">
                  <c:v>7.5765000000000002</c:v>
                </c:pt>
                <c:pt idx="1145">
                  <c:v>7.5879000000000003</c:v>
                </c:pt>
                <c:pt idx="1146">
                  <c:v>7.5568</c:v>
                </c:pt>
                <c:pt idx="1147">
                  <c:v>7.6283000000000003</c:v>
                </c:pt>
                <c:pt idx="1148">
                  <c:v>7.6326999999999998</c:v>
                </c:pt>
                <c:pt idx="1149">
                  <c:v>7.6039000000000003</c:v>
                </c:pt>
                <c:pt idx="1150">
                  <c:v>7.5480999999999998</c:v>
                </c:pt>
                <c:pt idx="1151">
                  <c:v>7.5278999999999998</c:v>
                </c:pt>
                <c:pt idx="1152">
                  <c:v>7.4835000000000003</c:v>
                </c:pt>
                <c:pt idx="1153">
                  <c:v>7.3979999999999997</c:v>
                </c:pt>
                <c:pt idx="1154">
                  <c:v>7.3913000000000002</c:v>
                </c:pt>
                <c:pt idx="1155">
                  <c:v>7.4196</c:v>
                </c:pt>
                <c:pt idx="1156">
                  <c:v>7.3997000000000002</c:v>
                </c:pt>
                <c:pt idx="1157">
                  <c:v>7.4362000000000004</c:v>
                </c:pt>
                <c:pt idx="1158">
                  <c:v>7.3906999999999998</c:v>
                </c:pt>
                <c:pt idx="1159">
                  <c:v>7.3308</c:v>
                </c:pt>
                <c:pt idx="1160">
                  <c:v>7.4206000000000003</c:v>
                </c:pt>
                <c:pt idx="1161">
                  <c:v>7.3536999999999999</c:v>
                </c:pt>
                <c:pt idx="1162">
                  <c:v>7.3414000000000001</c:v>
                </c:pt>
                <c:pt idx="1163">
                  <c:v>7.2923999999999998</c:v>
                </c:pt>
                <c:pt idx="1164">
                  <c:v>7.3396999999999997</c:v>
                </c:pt>
                <c:pt idx="1165">
                  <c:v>7.3720999999999997</c:v>
                </c:pt>
                <c:pt idx="1166">
                  <c:v>7.3888999999999996</c:v>
                </c:pt>
                <c:pt idx="1167">
                  <c:v>7.4629000000000003</c:v>
                </c:pt>
                <c:pt idx="1168">
                  <c:v>7.5522999999999998</c:v>
                </c:pt>
                <c:pt idx="1169">
                  <c:v>7.5819000000000001</c:v>
                </c:pt>
                <c:pt idx="1170">
                  <c:v>7.7209000000000003</c:v>
                </c:pt>
                <c:pt idx="1171">
                  <c:v>7.7271999999999998</c:v>
                </c:pt>
                <c:pt idx="1172">
                  <c:v>7.6260000000000003</c:v>
                </c:pt>
                <c:pt idx="1173">
                  <c:v>7.5190000000000001</c:v>
                </c:pt>
                <c:pt idx="1174">
                  <c:v>7.4714999999999998</c:v>
                </c:pt>
                <c:pt idx="1175">
                  <c:v>7.4591000000000003</c:v>
                </c:pt>
                <c:pt idx="1176">
                  <c:v>7.4909999999999997</c:v>
                </c:pt>
                <c:pt idx="1177">
                  <c:v>7.5354000000000001</c:v>
                </c:pt>
                <c:pt idx="1178">
                  <c:v>7.58</c:v>
                </c:pt>
                <c:pt idx="1179">
                  <c:v>7.5656999999999996</c:v>
                </c:pt>
                <c:pt idx="1180">
                  <c:v>7.4823000000000004</c:v>
                </c:pt>
                <c:pt idx="1181">
                  <c:v>7.4776999999999996</c:v>
                </c:pt>
                <c:pt idx="1182">
                  <c:v>7.3686999999999996</c:v>
                </c:pt>
                <c:pt idx="1183">
                  <c:v>7.2823000000000002</c:v>
                </c:pt>
                <c:pt idx="1184">
                  <c:v>7.2868000000000004</c:v>
                </c:pt>
                <c:pt idx="1185">
                  <c:v>7.3661000000000003</c:v>
                </c:pt>
                <c:pt idx="1186">
                  <c:v>7.4002999999999997</c:v>
                </c:pt>
                <c:pt idx="1187">
                  <c:v>7.5877999999999997</c:v>
                </c:pt>
                <c:pt idx="1188">
                  <c:v>7.3879999999999999</c:v>
                </c:pt>
                <c:pt idx="1189">
                  <c:v>7.3975</c:v>
                </c:pt>
                <c:pt idx="1190">
                  <c:v>7.5216000000000003</c:v>
                </c:pt>
                <c:pt idx="1191">
                  <c:v>7.5015000000000001</c:v>
                </c:pt>
                <c:pt idx="1192">
                  <c:v>7.5239000000000003</c:v>
                </c:pt>
                <c:pt idx="1193">
                  <c:v>7.5228999999999999</c:v>
                </c:pt>
                <c:pt idx="1194">
                  <c:v>7.4390999999999998</c:v>
                </c:pt>
                <c:pt idx="1195">
                  <c:v>7.4135</c:v>
                </c:pt>
                <c:pt idx="1196">
                  <c:v>7.3771000000000004</c:v>
                </c:pt>
                <c:pt idx="1197">
                  <c:v>7.4550999999999998</c:v>
                </c:pt>
                <c:pt idx="1198">
                  <c:v>7.3948</c:v>
                </c:pt>
                <c:pt idx="1199">
                  <c:v>7.3465999999999996</c:v>
                </c:pt>
                <c:pt idx="1200">
                  <c:v>7.4405000000000001</c:v>
                </c:pt>
                <c:pt idx="1201">
                  <c:v>7.4528999999999996</c:v>
                </c:pt>
                <c:pt idx="1202">
                  <c:v>7.57</c:v>
                </c:pt>
                <c:pt idx="1203">
                  <c:v>7.6708999999999996</c:v>
                </c:pt>
                <c:pt idx="1204">
                  <c:v>7.7481</c:v>
                </c:pt>
                <c:pt idx="1205">
                  <c:v>7.9173999999999998</c:v>
                </c:pt>
                <c:pt idx="1206">
                  <c:v>7.8796999999999997</c:v>
                </c:pt>
                <c:pt idx="1207">
                  <c:v>7.7702999999999998</c:v>
                </c:pt>
                <c:pt idx="1208">
                  <c:v>7.8319999999999999</c:v>
                </c:pt>
                <c:pt idx="1209">
                  <c:v>7.7221000000000002</c:v>
                </c:pt>
                <c:pt idx="1210">
                  <c:v>7.5862999999999996</c:v>
                </c:pt>
                <c:pt idx="1211">
                  <c:v>7.4916</c:v>
                </c:pt>
                <c:pt idx="1212">
                  <c:v>7.4492000000000003</c:v>
                </c:pt>
                <c:pt idx="1213">
                  <c:v>7.5079000000000002</c:v>
                </c:pt>
                <c:pt idx="1214">
                  <c:v>7.3827999999999996</c:v>
                </c:pt>
                <c:pt idx="1215">
                  <c:v>7.3285999999999998</c:v>
                </c:pt>
                <c:pt idx="1216">
                  <c:v>7.3357999999999999</c:v>
                </c:pt>
                <c:pt idx="1217">
                  <c:v>7.3479999999999999</c:v>
                </c:pt>
                <c:pt idx="1218">
                  <c:v>7.2439</c:v>
                </c:pt>
                <c:pt idx="1219">
                  <c:v>7.2888999999999999</c:v>
                </c:pt>
                <c:pt idx="1220">
                  <c:v>7.3597000000000001</c:v>
                </c:pt>
                <c:pt idx="1221">
                  <c:v>7.4420999999999999</c:v>
                </c:pt>
                <c:pt idx="1222">
                  <c:v>7.407</c:v>
                </c:pt>
                <c:pt idx="1223">
                  <c:v>7.3319999999999999</c:v>
                </c:pt>
                <c:pt idx="1224">
                  <c:v>7.4381000000000004</c:v>
                </c:pt>
                <c:pt idx="1225">
                  <c:v>7.4458000000000002</c:v>
                </c:pt>
                <c:pt idx="1226">
                  <c:v>7.6386000000000003</c:v>
                </c:pt>
                <c:pt idx="1227">
                  <c:v>7.7587000000000002</c:v>
                </c:pt>
                <c:pt idx="1228">
                  <c:v>7.6021000000000001</c:v>
                </c:pt>
                <c:pt idx="1229">
                  <c:v>7.4082999999999997</c:v>
                </c:pt>
                <c:pt idx="1230">
                  <c:v>7.3986000000000001</c:v>
                </c:pt>
                <c:pt idx="1231">
                  <c:v>7.4291999999999998</c:v>
                </c:pt>
                <c:pt idx="1232">
                  <c:v>7.4920999999999998</c:v>
                </c:pt>
                <c:pt idx="1233">
                  <c:v>7.3788</c:v>
                </c:pt>
                <c:pt idx="1234">
                  <c:v>7.4188999999999998</c:v>
                </c:pt>
                <c:pt idx="1235">
                  <c:v>7.5115999999999996</c:v>
                </c:pt>
                <c:pt idx="1236">
                  <c:v>7.4622999999999999</c:v>
                </c:pt>
                <c:pt idx="1237">
                  <c:v>7.3411</c:v>
                </c:pt>
                <c:pt idx="1238">
                  <c:v>7.3682999999999996</c:v>
                </c:pt>
                <c:pt idx="1239">
                  <c:v>7.3906999999999998</c:v>
                </c:pt>
                <c:pt idx="1240">
                  <c:v>7.5072999999999999</c:v>
                </c:pt>
                <c:pt idx="1241">
                  <c:v>7.6115000000000004</c:v>
                </c:pt>
                <c:pt idx="1242">
                  <c:v>7.5606</c:v>
                </c:pt>
                <c:pt idx="1243">
                  <c:v>7.5509000000000004</c:v>
                </c:pt>
                <c:pt idx="1244">
                  <c:v>7.5364000000000004</c:v>
                </c:pt>
                <c:pt idx="1245">
                  <c:v>7.5839999999999996</c:v>
                </c:pt>
                <c:pt idx="1246">
                  <c:v>7.6711999999999998</c:v>
                </c:pt>
                <c:pt idx="1247">
                  <c:v>7.7615999999999996</c:v>
                </c:pt>
                <c:pt idx="1248">
                  <c:v>7.8764000000000003</c:v>
                </c:pt>
                <c:pt idx="1249">
                  <c:v>7.7910000000000004</c:v>
                </c:pt>
                <c:pt idx="1250">
                  <c:v>7.7819000000000003</c:v>
                </c:pt>
                <c:pt idx="1251">
                  <c:v>7.782</c:v>
                </c:pt>
                <c:pt idx="1252">
                  <c:v>7.8747999999999996</c:v>
                </c:pt>
                <c:pt idx="1253">
                  <c:v>7.7858999999999998</c:v>
                </c:pt>
                <c:pt idx="1254">
                  <c:v>7.8178999999999998</c:v>
                </c:pt>
                <c:pt idx="1255">
                  <c:v>7.7904999999999998</c:v>
                </c:pt>
                <c:pt idx="1256">
                  <c:v>7.8864000000000001</c:v>
                </c:pt>
                <c:pt idx="1257">
                  <c:v>7.9504999999999999</c:v>
                </c:pt>
                <c:pt idx="1258">
                  <c:v>8.0820000000000007</c:v>
                </c:pt>
                <c:pt idx="1259">
                  <c:v>8.0565999999999995</c:v>
                </c:pt>
                <c:pt idx="1260">
                  <c:v>8.1859000000000002</c:v>
                </c:pt>
                <c:pt idx="1261">
                  <c:v>8.0274000000000001</c:v>
                </c:pt>
                <c:pt idx="1262">
                  <c:v>8.0066000000000006</c:v>
                </c:pt>
                <c:pt idx="1263">
                  <c:v>8.1758000000000006</c:v>
                </c:pt>
                <c:pt idx="1264">
                  <c:v>8.0596999999999994</c:v>
                </c:pt>
                <c:pt idx="1265">
                  <c:v>8.1415000000000006</c:v>
                </c:pt>
                <c:pt idx="1266">
                  <c:v>7.9965999999999999</c:v>
                </c:pt>
                <c:pt idx="1267">
                  <c:v>7.9012000000000002</c:v>
                </c:pt>
                <c:pt idx="1268">
                  <c:v>7.8179999999999996</c:v>
                </c:pt>
                <c:pt idx="1269">
                  <c:v>7.7572000000000001</c:v>
                </c:pt>
                <c:pt idx="1270">
                  <c:v>7.8074000000000003</c:v>
                </c:pt>
                <c:pt idx="1271">
                  <c:v>7.8512000000000004</c:v>
                </c:pt>
                <c:pt idx="1272">
                  <c:v>7.9080000000000004</c:v>
                </c:pt>
                <c:pt idx="1273">
                  <c:v>7.7172000000000001</c:v>
                </c:pt>
                <c:pt idx="1274">
                  <c:v>7.7733999999999996</c:v>
                </c:pt>
                <c:pt idx="1275">
                  <c:v>7.7042999999999999</c:v>
                </c:pt>
                <c:pt idx="1276">
                  <c:v>7.6847000000000003</c:v>
                </c:pt>
                <c:pt idx="1277">
                  <c:v>7.8291000000000004</c:v>
                </c:pt>
                <c:pt idx="1278">
                  <c:v>7.8869999999999996</c:v>
                </c:pt>
                <c:pt idx="1279">
                  <c:v>7.9825999999999997</c:v>
                </c:pt>
                <c:pt idx="1280">
                  <c:v>8.0980000000000008</c:v>
                </c:pt>
                <c:pt idx="1281">
                  <c:v>8.1519999999999992</c:v>
                </c:pt>
                <c:pt idx="1282">
                  <c:v>8.2161000000000008</c:v>
                </c:pt>
                <c:pt idx="1283">
                  <c:v>8.1722999999999999</c:v>
                </c:pt>
                <c:pt idx="1284">
                  <c:v>8.3167000000000009</c:v>
                </c:pt>
                <c:pt idx="1285">
                  <c:v>8.1640999999999995</c:v>
                </c:pt>
                <c:pt idx="1286">
                  <c:v>8.1219999999999999</c:v>
                </c:pt>
                <c:pt idx="1287">
                  <c:v>8.1296999999999997</c:v>
                </c:pt>
                <c:pt idx="1288">
                  <c:v>8.0068999999999999</c:v>
                </c:pt>
                <c:pt idx="1289">
                  <c:v>8.0109999999999992</c:v>
                </c:pt>
                <c:pt idx="1290">
                  <c:v>7.9260000000000002</c:v>
                </c:pt>
                <c:pt idx="1291">
                  <c:v>7.8116000000000003</c:v>
                </c:pt>
                <c:pt idx="1292">
                  <c:v>7.7069000000000001</c:v>
                </c:pt>
                <c:pt idx="1293">
                  <c:v>7.7755999999999998</c:v>
                </c:pt>
                <c:pt idx="1294">
                  <c:v>7.9096000000000002</c:v>
                </c:pt>
                <c:pt idx="1295">
                  <c:v>7.9981</c:v>
                </c:pt>
                <c:pt idx="1296">
                  <c:v>8.0716000000000001</c:v>
                </c:pt>
                <c:pt idx="1297">
                  <c:v>8.1379000000000001</c:v>
                </c:pt>
                <c:pt idx="1298">
                  <c:v>8.2683999999999997</c:v>
                </c:pt>
                <c:pt idx="1299">
                  <c:v>8.0898000000000003</c:v>
                </c:pt>
                <c:pt idx="1300">
                  <c:v>8.1336999999999993</c:v>
                </c:pt>
                <c:pt idx="1301">
                  <c:v>8.0673999999999992</c:v>
                </c:pt>
                <c:pt idx="1302">
                  <c:v>8.0424000000000007</c:v>
                </c:pt>
                <c:pt idx="1303">
                  <c:v>8.0867000000000004</c:v>
                </c:pt>
                <c:pt idx="1304">
                  <c:v>7.9928999999999997</c:v>
                </c:pt>
                <c:pt idx="1305">
                  <c:v>8.0632999999999999</c:v>
                </c:pt>
                <c:pt idx="1306">
                  <c:v>8.0365000000000002</c:v>
                </c:pt>
                <c:pt idx="1307">
                  <c:v>8.1470000000000002</c:v>
                </c:pt>
                <c:pt idx="1308">
                  <c:v>8.1379000000000001</c:v>
                </c:pt>
                <c:pt idx="1309">
                  <c:v>8.0411999999999999</c:v>
                </c:pt>
                <c:pt idx="1310">
                  <c:v>8.0303000000000004</c:v>
                </c:pt>
                <c:pt idx="1311">
                  <c:v>8.0181000000000004</c:v>
                </c:pt>
                <c:pt idx="1312">
                  <c:v>8.0914000000000001</c:v>
                </c:pt>
                <c:pt idx="1313">
                  <c:v>7.9721000000000002</c:v>
                </c:pt>
                <c:pt idx="1314">
                  <c:v>7.9794999999999998</c:v>
                </c:pt>
                <c:pt idx="1315">
                  <c:v>8.1463000000000001</c:v>
                </c:pt>
                <c:pt idx="1316">
                  <c:v>8.2698999999999998</c:v>
                </c:pt>
                <c:pt idx="1317">
                  <c:v>8.3318999999999992</c:v>
                </c:pt>
                <c:pt idx="1318">
                  <c:v>8.3233999999999995</c:v>
                </c:pt>
                <c:pt idx="1319">
                  <c:v>8.3172999999999995</c:v>
                </c:pt>
                <c:pt idx="1320">
                  <c:v>8.3498000000000001</c:v>
                </c:pt>
                <c:pt idx="1321">
                  <c:v>8.4105000000000008</c:v>
                </c:pt>
                <c:pt idx="1322">
                  <c:v>8.4675999999999991</c:v>
                </c:pt>
                <c:pt idx="1323">
                  <c:v>8.6960999999999995</c:v>
                </c:pt>
                <c:pt idx="1324">
                  <c:v>8.5493000000000006</c:v>
                </c:pt>
                <c:pt idx="1325">
                  <c:v>8.5442999999999998</c:v>
                </c:pt>
                <c:pt idx="1326">
                  <c:v>8.3711000000000002</c:v>
                </c:pt>
                <c:pt idx="1327">
                  <c:v>8.4590999999999994</c:v>
                </c:pt>
                <c:pt idx="1328">
                  <c:v>8.2949000000000002</c:v>
                </c:pt>
                <c:pt idx="1329">
                  <c:v>8.4474</c:v>
                </c:pt>
                <c:pt idx="1330">
                  <c:v>8.3475999999999999</c:v>
                </c:pt>
                <c:pt idx="1331">
                  <c:v>8.4970999999999997</c:v>
                </c:pt>
                <c:pt idx="1332">
                  <c:v>8.3034999999999997</c:v>
                </c:pt>
                <c:pt idx="1333">
                  <c:v>8.3928999999999991</c:v>
                </c:pt>
                <c:pt idx="1334">
                  <c:v>8.4291</c:v>
                </c:pt>
                <c:pt idx="1335">
                  <c:v>8.6304999999999996</c:v>
                </c:pt>
                <c:pt idx="1336">
                  <c:v>8.8489000000000004</c:v>
                </c:pt>
                <c:pt idx="1337">
                  <c:v>8.8233999999999995</c:v>
                </c:pt>
                <c:pt idx="1338">
                  <c:v>8.9091000000000005</c:v>
                </c:pt>
                <c:pt idx="1339">
                  <c:v>9.0896000000000008</c:v>
                </c:pt>
                <c:pt idx="1340">
                  <c:v>9.0417000000000005</c:v>
                </c:pt>
                <c:pt idx="1341">
                  <c:v>8.9201999999999995</c:v>
                </c:pt>
                <c:pt idx="1342">
                  <c:v>9.0585000000000004</c:v>
                </c:pt>
                <c:pt idx="1343">
                  <c:v>9.1615000000000002</c:v>
                </c:pt>
                <c:pt idx="1344">
                  <c:v>9.0005000000000006</c:v>
                </c:pt>
                <c:pt idx="1345">
                  <c:v>9.1395</c:v>
                </c:pt>
                <c:pt idx="1346">
                  <c:v>9.2523</c:v>
                </c:pt>
                <c:pt idx="1347">
                  <c:v>9.1434999999999995</c:v>
                </c:pt>
                <c:pt idx="1348">
                  <c:v>9.016</c:v>
                </c:pt>
                <c:pt idx="1349">
                  <c:v>9.0943000000000005</c:v>
                </c:pt>
                <c:pt idx="1350">
                  <c:v>9.3611000000000004</c:v>
                </c:pt>
                <c:pt idx="1351">
                  <c:v>9.5259999999999998</c:v>
                </c:pt>
                <c:pt idx="1352">
                  <c:v>9.6265999999999998</c:v>
                </c:pt>
                <c:pt idx="1353">
                  <c:v>9.7111000000000001</c:v>
                </c:pt>
                <c:pt idx="1354">
                  <c:v>9.4816000000000003</c:v>
                </c:pt>
                <c:pt idx="1355">
                  <c:v>9.5484000000000009</c:v>
                </c:pt>
                <c:pt idx="1356">
                  <c:v>9.85</c:v>
                </c:pt>
                <c:pt idx="1357">
                  <c:v>9.5435999999999996</c:v>
                </c:pt>
                <c:pt idx="1358">
                  <c:v>9.5634999999999994</c:v>
                </c:pt>
                <c:pt idx="1359">
                  <c:v>9.7387999999999995</c:v>
                </c:pt>
                <c:pt idx="1360">
                  <c:v>9.7630999999999997</c:v>
                </c:pt>
                <c:pt idx="1361">
                  <c:v>9.9162999999999997</c:v>
                </c:pt>
                <c:pt idx="1362">
                  <c:v>9.9628999999999994</c:v>
                </c:pt>
                <c:pt idx="1363">
                  <c:v>9.9154999999999998</c:v>
                </c:pt>
                <c:pt idx="1364">
                  <c:v>9.9108999999999998</c:v>
                </c:pt>
                <c:pt idx="1365">
                  <c:v>10.186299999999999</c:v>
                </c:pt>
                <c:pt idx="1366">
                  <c:v>10.3161</c:v>
                </c:pt>
                <c:pt idx="1367">
                  <c:v>10.476699999999999</c:v>
                </c:pt>
                <c:pt idx="1368">
                  <c:v>10.4947</c:v>
                </c:pt>
                <c:pt idx="1369">
                  <c:v>10.594799999999999</c:v>
                </c:pt>
                <c:pt idx="1370">
                  <c:v>10.331099999999999</c:v>
                </c:pt>
                <c:pt idx="1371">
                  <c:v>10.468500000000001</c:v>
                </c:pt>
                <c:pt idx="1372">
                  <c:v>10.367599999999999</c:v>
                </c:pt>
                <c:pt idx="1373">
                  <c:v>10.3636</c:v>
                </c:pt>
                <c:pt idx="1374">
                  <c:v>9.9497999999999998</c:v>
                </c:pt>
                <c:pt idx="1375">
                  <c:v>9.9558</c:v>
                </c:pt>
                <c:pt idx="1376">
                  <c:v>9.9459</c:v>
                </c:pt>
                <c:pt idx="1377">
                  <c:v>10.0718</c:v>
                </c:pt>
                <c:pt idx="1378">
                  <c:v>9.9854000000000003</c:v>
                </c:pt>
                <c:pt idx="1379">
                  <c:v>10.2224</c:v>
                </c:pt>
                <c:pt idx="1380">
                  <c:v>10.0709</c:v>
                </c:pt>
                <c:pt idx="1381">
                  <c:v>10.1746</c:v>
                </c:pt>
                <c:pt idx="1382">
                  <c:v>10.229799999999999</c:v>
                </c:pt>
                <c:pt idx="1383">
                  <c:v>10.0648</c:v>
                </c:pt>
                <c:pt idx="1384">
                  <c:v>9.9352</c:v>
                </c:pt>
                <c:pt idx="1385">
                  <c:v>9.9357000000000006</c:v>
                </c:pt>
                <c:pt idx="1386">
                  <c:v>9.8709000000000007</c:v>
                </c:pt>
                <c:pt idx="1387">
                  <c:v>9.6721000000000004</c:v>
                </c:pt>
                <c:pt idx="1388">
                  <c:v>9.73</c:v>
                </c:pt>
                <c:pt idx="1389">
                  <c:v>9.8821999999999992</c:v>
                </c:pt>
                <c:pt idx="1390">
                  <c:v>10.0405</c:v>
                </c:pt>
                <c:pt idx="1391">
                  <c:v>10.1008</c:v>
                </c:pt>
                <c:pt idx="1392">
                  <c:v>10.1417</c:v>
                </c:pt>
                <c:pt idx="1393">
                  <c:v>10.188000000000001</c:v>
                </c:pt>
                <c:pt idx="1394">
                  <c:v>10.1333</c:v>
                </c:pt>
                <c:pt idx="1395">
                  <c:v>9.9684000000000008</c:v>
                </c:pt>
                <c:pt idx="1396">
                  <c:v>9.9484999999999992</c:v>
                </c:pt>
                <c:pt idx="1397">
                  <c:v>9.9905000000000008</c:v>
                </c:pt>
                <c:pt idx="1398">
                  <c:v>10.228400000000001</c:v>
                </c:pt>
                <c:pt idx="1399">
                  <c:v>10.254899999999999</c:v>
                </c:pt>
                <c:pt idx="1400">
                  <c:v>10.0266</c:v>
                </c:pt>
                <c:pt idx="1401">
                  <c:v>10.2088</c:v>
                </c:pt>
                <c:pt idx="1402">
                  <c:v>10.2219</c:v>
                </c:pt>
                <c:pt idx="1403">
                  <c:v>9.9753000000000007</c:v>
                </c:pt>
                <c:pt idx="1404">
                  <c:v>9.9291</c:v>
                </c:pt>
                <c:pt idx="1405">
                  <c:v>10.1813</c:v>
                </c:pt>
                <c:pt idx="1406">
                  <c:v>9.8712999999999997</c:v>
                </c:pt>
                <c:pt idx="1407">
                  <c:v>10.141400000000001</c:v>
                </c:pt>
                <c:pt idx="1408">
                  <c:v>9.9077000000000002</c:v>
                </c:pt>
                <c:pt idx="1409">
                  <c:v>9.6866000000000003</c:v>
                </c:pt>
                <c:pt idx="1410">
                  <c:v>9.7231000000000005</c:v>
                </c:pt>
                <c:pt idx="1411">
                  <c:v>9.3163</c:v>
                </c:pt>
                <c:pt idx="1412">
                  <c:v>9.3825000000000003</c:v>
                </c:pt>
                <c:pt idx="1413">
                  <c:v>9.4616000000000007</c:v>
                </c:pt>
                <c:pt idx="1414">
                  <c:v>9.4580000000000002</c:v>
                </c:pt>
                <c:pt idx="1415">
                  <c:v>9.3034999999999997</c:v>
                </c:pt>
                <c:pt idx="1416">
                  <c:v>9.4434000000000005</c:v>
                </c:pt>
                <c:pt idx="1417">
                  <c:v>9.5969999999999995</c:v>
                </c:pt>
                <c:pt idx="1418">
                  <c:v>9.6584000000000003</c:v>
                </c:pt>
                <c:pt idx="1419">
                  <c:v>9.6890999999999998</c:v>
                </c:pt>
                <c:pt idx="1420">
                  <c:v>9.6457999999999995</c:v>
                </c:pt>
                <c:pt idx="1421">
                  <c:v>9.6664999999999992</c:v>
                </c:pt>
                <c:pt idx="1422">
                  <c:v>9.8015000000000008</c:v>
                </c:pt>
                <c:pt idx="1423">
                  <c:v>9.9756</c:v>
                </c:pt>
                <c:pt idx="1424">
                  <c:v>10.1511</c:v>
                </c:pt>
                <c:pt idx="1425">
                  <c:v>10.173</c:v>
                </c:pt>
                <c:pt idx="1426">
                  <c:v>10.143000000000001</c:v>
                </c:pt>
                <c:pt idx="1427">
                  <c:v>10.134600000000001</c:v>
                </c:pt>
                <c:pt idx="1428">
                  <c:v>10.2067</c:v>
                </c:pt>
                <c:pt idx="1429">
                  <c:v>10.188499999999999</c:v>
                </c:pt>
                <c:pt idx="1430">
                  <c:v>10.244899999999999</c:v>
                </c:pt>
                <c:pt idx="1431">
                  <c:v>10.2098</c:v>
                </c:pt>
                <c:pt idx="1432">
                  <c:v>10.322900000000001</c:v>
                </c:pt>
                <c:pt idx="1433">
                  <c:v>10.4178</c:v>
                </c:pt>
                <c:pt idx="1434">
                  <c:v>10.1416</c:v>
                </c:pt>
                <c:pt idx="1435">
                  <c:v>9.9079999999999995</c:v>
                </c:pt>
                <c:pt idx="1436">
                  <c:v>9.9009</c:v>
                </c:pt>
                <c:pt idx="1437">
                  <c:v>9.9200999999999997</c:v>
                </c:pt>
                <c:pt idx="1438">
                  <c:v>10.049099999999999</c:v>
                </c:pt>
                <c:pt idx="1439">
                  <c:v>10.4903</c:v>
                </c:pt>
                <c:pt idx="1440">
                  <c:v>10.5924</c:v>
                </c:pt>
                <c:pt idx="1441">
                  <c:v>10.5991</c:v>
                </c:pt>
                <c:pt idx="1442">
                  <c:v>10.2498</c:v>
                </c:pt>
                <c:pt idx="1443">
                  <c:v>10.186199999999999</c:v>
                </c:pt>
                <c:pt idx="1444">
                  <c:v>10.132199999999999</c:v>
                </c:pt>
                <c:pt idx="1445">
                  <c:v>10.2818</c:v>
                </c:pt>
                <c:pt idx="1446">
                  <c:v>10.4116</c:v>
                </c:pt>
                <c:pt idx="1447">
                  <c:v>10.2797</c:v>
                </c:pt>
                <c:pt idx="1448">
                  <c:v>10.1693</c:v>
                </c:pt>
                <c:pt idx="1449">
                  <c:v>9.9890000000000008</c:v>
                </c:pt>
                <c:pt idx="1450">
                  <c:v>10.0284</c:v>
                </c:pt>
                <c:pt idx="1451">
                  <c:v>9.7537000000000003</c:v>
                </c:pt>
                <c:pt idx="1452">
                  <c:v>9.7715999999999994</c:v>
                </c:pt>
                <c:pt idx="1453">
                  <c:v>10.0154</c:v>
                </c:pt>
                <c:pt idx="1454">
                  <c:v>9.7533999999999992</c:v>
                </c:pt>
                <c:pt idx="1455">
                  <c:v>10.1919</c:v>
                </c:pt>
                <c:pt idx="1456">
                  <c:v>9.5777999999999999</c:v>
                </c:pt>
                <c:pt idx="1457">
                  <c:v>10.313700000000001</c:v>
                </c:pt>
                <c:pt idx="1458">
                  <c:v>10.714</c:v>
                </c:pt>
                <c:pt idx="1459">
                  <c:v>11.3088</c:v>
                </c:pt>
                <c:pt idx="1460">
                  <c:v>11.474</c:v>
                </c:pt>
                <c:pt idx="1461">
                  <c:v>11.432399999999999</c:v>
                </c:pt>
                <c:pt idx="1462">
                  <c:v>10.9255</c:v>
                </c:pt>
                <c:pt idx="1463">
                  <c:v>10.2727</c:v>
                </c:pt>
                <c:pt idx="1464">
                  <c:v>10.012700000000001</c:v>
                </c:pt>
                <c:pt idx="1465">
                  <c:v>10.1609</c:v>
                </c:pt>
                <c:pt idx="1466">
                  <c:v>10.2475</c:v>
                </c:pt>
                <c:pt idx="1467">
                  <c:v>9.2212999999999994</c:v>
                </c:pt>
                <c:pt idx="1468">
                  <c:v>9.0639000000000003</c:v>
                </c:pt>
                <c:pt idx="1469">
                  <c:v>9.1667000000000005</c:v>
                </c:pt>
                <c:pt idx="1470">
                  <c:v>9.3626000000000005</c:v>
                </c:pt>
                <c:pt idx="1471">
                  <c:v>9.0357000000000003</c:v>
                </c:pt>
                <c:pt idx="1472">
                  <c:v>9.3658000000000001</c:v>
                </c:pt>
                <c:pt idx="1473">
                  <c:v>8.9282000000000004</c:v>
                </c:pt>
                <c:pt idx="1474">
                  <c:v>8.6692</c:v>
                </c:pt>
                <c:pt idx="1475">
                  <c:v>8.5187000000000008</c:v>
                </c:pt>
                <c:pt idx="1476">
                  <c:v>8.3749000000000002</c:v>
                </c:pt>
                <c:pt idx="1477">
                  <c:v>8.2484999999999999</c:v>
                </c:pt>
                <c:pt idx="1478">
                  <c:v>8.3145000000000007</c:v>
                </c:pt>
                <c:pt idx="1479">
                  <c:v>8.2609999999999992</c:v>
                </c:pt>
                <c:pt idx="1480">
                  <c:v>8.1603999999999992</c:v>
                </c:pt>
                <c:pt idx="1481">
                  <c:v>8.1766000000000005</c:v>
                </c:pt>
                <c:pt idx="1482">
                  <c:v>7.9832999999999998</c:v>
                </c:pt>
                <c:pt idx="1483">
                  <c:v>8.0291999999999994</c:v>
                </c:pt>
                <c:pt idx="1484">
                  <c:v>8.0774000000000008</c:v>
                </c:pt>
                <c:pt idx="1485">
                  <c:v>8.1858000000000004</c:v>
                </c:pt>
                <c:pt idx="1486">
                  <c:v>8.1137999999999995</c:v>
                </c:pt>
                <c:pt idx="1487">
                  <c:v>8.2026000000000003</c:v>
                </c:pt>
                <c:pt idx="1488">
                  <c:v>8.1167999999999996</c:v>
                </c:pt>
                <c:pt idx="1489">
                  <c:v>8.0794999999999995</c:v>
                </c:pt>
                <c:pt idx="1490">
                  <c:v>8.2613000000000003</c:v>
                </c:pt>
                <c:pt idx="1491">
                  <c:v>8.0317000000000007</c:v>
                </c:pt>
                <c:pt idx="1492">
                  <c:v>7.9297000000000004</c:v>
                </c:pt>
                <c:pt idx="1493">
                  <c:v>7.8338000000000001</c:v>
                </c:pt>
                <c:pt idx="1494">
                  <c:v>8.0548999999999999</c:v>
                </c:pt>
                <c:pt idx="1495">
                  <c:v>7.8563999999999998</c:v>
                </c:pt>
                <c:pt idx="1496">
                  <c:v>7.8602999999999996</c:v>
                </c:pt>
                <c:pt idx="1497">
                  <c:v>7.8021000000000003</c:v>
                </c:pt>
                <c:pt idx="1498">
                  <c:v>7.7271999999999998</c:v>
                </c:pt>
                <c:pt idx="1499">
                  <c:v>7.6696</c:v>
                </c:pt>
                <c:pt idx="1500">
                  <c:v>7.72</c:v>
                </c:pt>
                <c:pt idx="1501">
                  <c:v>7.7798999999999996</c:v>
                </c:pt>
                <c:pt idx="1502">
                  <c:v>7.7929000000000004</c:v>
                </c:pt>
                <c:pt idx="1503">
                  <c:v>7.7331000000000003</c:v>
                </c:pt>
                <c:pt idx="1504">
                  <c:v>7.6566000000000001</c:v>
                </c:pt>
                <c:pt idx="1505">
                  <c:v>7.7145999999999999</c:v>
                </c:pt>
                <c:pt idx="1506">
                  <c:v>7.7464000000000004</c:v>
                </c:pt>
                <c:pt idx="1507">
                  <c:v>7.7793000000000001</c:v>
                </c:pt>
                <c:pt idx="1508">
                  <c:v>7.8860000000000001</c:v>
                </c:pt>
                <c:pt idx="1509">
                  <c:v>7.9593999999999996</c:v>
                </c:pt>
                <c:pt idx="1510">
                  <c:v>7.8441999999999998</c:v>
                </c:pt>
                <c:pt idx="1511">
                  <c:v>7.8079000000000001</c:v>
                </c:pt>
                <c:pt idx="1512">
                  <c:v>7.8010999999999999</c:v>
                </c:pt>
                <c:pt idx="1513">
                  <c:v>7.6749999999999998</c:v>
                </c:pt>
                <c:pt idx="1514">
                  <c:v>7.5951000000000004</c:v>
                </c:pt>
                <c:pt idx="1515">
                  <c:v>7.4337999999999997</c:v>
                </c:pt>
                <c:pt idx="1516">
                  <c:v>7.4272</c:v>
                </c:pt>
                <c:pt idx="1517">
                  <c:v>7.3292999999999999</c:v>
                </c:pt>
                <c:pt idx="1518">
                  <c:v>7.2210000000000001</c:v>
                </c:pt>
                <c:pt idx="1519">
                  <c:v>7.3464</c:v>
                </c:pt>
                <c:pt idx="1520">
                  <c:v>7.3898999999999999</c:v>
                </c:pt>
                <c:pt idx="1521">
                  <c:v>7.3861999999999997</c:v>
                </c:pt>
                <c:pt idx="1522">
                  <c:v>7.5092999999999996</c:v>
                </c:pt>
                <c:pt idx="1523">
                  <c:v>7.5457000000000001</c:v>
                </c:pt>
                <c:pt idx="1524">
                  <c:v>7.6159999999999997</c:v>
                </c:pt>
                <c:pt idx="1525">
                  <c:v>7.5574000000000003</c:v>
                </c:pt>
                <c:pt idx="1526">
                  <c:v>7.4965999999999999</c:v>
                </c:pt>
                <c:pt idx="1527">
                  <c:v>7.5763999999999996</c:v>
                </c:pt>
                <c:pt idx="1528">
                  <c:v>7.5895000000000001</c:v>
                </c:pt>
                <c:pt idx="1529">
                  <c:v>7.5766</c:v>
                </c:pt>
                <c:pt idx="1530">
                  <c:v>7.5884999999999998</c:v>
                </c:pt>
                <c:pt idx="1531">
                  <c:v>7.6736000000000004</c:v>
                </c:pt>
                <c:pt idx="1532">
                  <c:v>7.6199000000000003</c:v>
                </c:pt>
                <c:pt idx="1533">
                  <c:v>7.6351000000000004</c:v>
                </c:pt>
                <c:pt idx="1534">
                  <c:v>7.7262000000000004</c:v>
                </c:pt>
                <c:pt idx="1535">
                  <c:v>7.6803999999999997</c:v>
                </c:pt>
                <c:pt idx="1536">
                  <c:v>7.6893000000000002</c:v>
                </c:pt>
                <c:pt idx="1537">
                  <c:v>7.8158000000000003</c:v>
                </c:pt>
                <c:pt idx="1538">
                  <c:v>7.7443999999999997</c:v>
                </c:pt>
                <c:pt idx="1539">
                  <c:v>7.7443999999999997</c:v>
                </c:pt>
                <c:pt idx="1540">
                  <c:v>7.8667999999999996</c:v>
                </c:pt>
                <c:pt idx="1541">
                  <c:v>7.8659999999999997</c:v>
                </c:pt>
                <c:pt idx="1542">
                  <c:v>7.8636999999999997</c:v>
                </c:pt>
                <c:pt idx="1543">
                  <c:v>7.8791000000000002</c:v>
                </c:pt>
                <c:pt idx="1544">
                  <c:v>7.9417</c:v>
                </c:pt>
                <c:pt idx="1545">
                  <c:v>7.8948999999999998</c:v>
                </c:pt>
                <c:pt idx="1546">
                  <c:v>7.9793000000000003</c:v>
                </c:pt>
                <c:pt idx="1547">
                  <c:v>8.0510999999999999</c:v>
                </c:pt>
                <c:pt idx="1548">
                  <c:v>8.0237999999999996</c:v>
                </c:pt>
                <c:pt idx="1549">
                  <c:v>7.9503000000000004</c:v>
                </c:pt>
                <c:pt idx="1550">
                  <c:v>8.0402000000000005</c:v>
                </c:pt>
                <c:pt idx="1551">
                  <c:v>8.0058000000000007</c:v>
                </c:pt>
                <c:pt idx="1552">
                  <c:v>8.0200999999999993</c:v>
                </c:pt>
                <c:pt idx="1553">
                  <c:v>8.0963999999999992</c:v>
                </c:pt>
                <c:pt idx="1554">
                  <c:v>7.9890999999999996</c:v>
                </c:pt>
                <c:pt idx="1555">
                  <c:v>7.9383999999999997</c:v>
                </c:pt>
                <c:pt idx="1556">
                  <c:v>7.9234</c:v>
                </c:pt>
                <c:pt idx="1557">
                  <c:v>7.8712</c:v>
                </c:pt>
                <c:pt idx="1558">
                  <c:v>7.8437000000000001</c:v>
                </c:pt>
                <c:pt idx="1559">
                  <c:v>7.7584</c:v>
                </c:pt>
                <c:pt idx="1560">
                  <c:v>7.7698999999999998</c:v>
                </c:pt>
                <c:pt idx="1561">
                  <c:v>7.7521000000000004</c:v>
                </c:pt>
                <c:pt idx="1562">
                  <c:v>7.6791</c:v>
                </c:pt>
                <c:pt idx="1563">
                  <c:v>7.5873999999999997</c:v>
                </c:pt>
                <c:pt idx="1564">
                  <c:v>7.6353999999999997</c:v>
                </c:pt>
                <c:pt idx="1565">
                  <c:v>7.7458</c:v>
                </c:pt>
                <c:pt idx="1566">
                  <c:v>7.6974</c:v>
                </c:pt>
                <c:pt idx="1567">
                  <c:v>7.6999000000000004</c:v>
                </c:pt>
                <c:pt idx="1568">
                  <c:v>7.6772999999999998</c:v>
                </c:pt>
                <c:pt idx="1569">
                  <c:v>7.72</c:v>
                </c:pt>
                <c:pt idx="1570">
                  <c:v>7.6501000000000001</c:v>
                </c:pt>
                <c:pt idx="1571">
                  <c:v>7.5914000000000001</c:v>
                </c:pt>
                <c:pt idx="1572">
                  <c:v>7.4882999999999997</c:v>
                </c:pt>
                <c:pt idx="1573">
                  <c:v>7.5454999999999997</c:v>
                </c:pt>
                <c:pt idx="1574">
                  <c:v>7.6185999999999998</c:v>
                </c:pt>
                <c:pt idx="1575">
                  <c:v>7.6252000000000004</c:v>
                </c:pt>
                <c:pt idx="1576">
                  <c:v>7.5928000000000004</c:v>
                </c:pt>
                <c:pt idx="1577">
                  <c:v>7.6566000000000001</c:v>
                </c:pt>
                <c:pt idx="1578">
                  <c:v>7.6814999999999998</c:v>
                </c:pt>
                <c:pt idx="1579">
                  <c:v>7.6173000000000002</c:v>
                </c:pt>
                <c:pt idx="1580">
                  <c:v>7.5301</c:v>
                </c:pt>
                <c:pt idx="1581">
                  <c:v>7.5237999999999996</c:v>
                </c:pt>
                <c:pt idx="1582">
                  <c:v>7.6029999999999998</c:v>
                </c:pt>
                <c:pt idx="1583">
                  <c:v>7.5940000000000003</c:v>
                </c:pt>
                <c:pt idx="1584">
                  <c:v>7.5627000000000004</c:v>
                </c:pt>
                <c:pt idx="1585">
                  <c:v>7.6744000000000003</c:v>
                </c:pt>
                <c:pt idx="1586">
                  <c:v>7.7237999999999998</c:v>
                </c:pt>
                <c:pt idx="1587">
                  <c:v>7.6177000000000001</c:v>
                </c:pt>
                <c:pt idx="1588">
                  <c:v>7.7182000000000004</c:v>
                </c:pt>
                <c:pt idx="1589">
                  <c:v>7.7908999999999997</c:v>
                </c:pt>
                <c:pt idx="1590">
                  <c:v>7.8155000000000001</c:v>
                </c:pt>
                <c:pt idx="1591">
                  <c:v>7.9204999999999997</c:v>
                </c:pt>
                <c:pt idx="1592">
                  <c:v>7.9686000000000003</c:v>
                </c:pt>
                <c:pt idx="1593">
                  <c:v>7.8773999999999997</c:v>
                </c:pt>
                <c:pt idx="1594">
                  <c:v>7.8581000000000003</c:v>
                </c:pt>
                <c:pt idx="1595">
                  <c:v>7.7740999999999998</c:v>
                </c:pt>
                <c:pt idx="1596">
                  <c:v>7.9032</c:v>
                </c:pt>
                <c:pt idx="1597">
                  <c:v>7.7784000000000004</c:v>
                </c:pt>
                <c:pt idx="1598">
                  <c:v>7.8034999999999997</c:v>
                </c:pt>
                <c:pt idx="1599">
                  <c:v>7.7596999999999996</c:v>
                </c:pt>
                <c:pt idx="1600">
                  <c:v>7.7891000000000004</c:v>
                </c:pt>
                <c:pt idx="1601">
                  <c:v>7.7465999999999999</c:v>
                </c:pt>
                <c:pt idx="1602">
                  <c:v>7.9067999999999996</c:v>
                </c:pt>
                <c:pt idx="1603">
                  <c:v>8.1206999999999994</c:v>
                </c:pt>
                <c:pt idx="1604">
                  <c:v>8.1216000000000008</c:v>
                </c:pt>
                <c:pt idx="1605">
                  <c:v>8.0206999999999997</c:v>
                </c:pt>
                <c:pt idx="1606">
                  <c:v>8.0333000000000006</c:v>
                </c:pt>
                <c:pt idx="1607">
                  <c:v>8.1036000000000001</c:v>
                </c:pt>
                <c:pt idx="1608">
                  <c:v>8.0543999999999993</c:v>
                </c:pt>
                <c:pt idx="1609">
                  <c:v>8.1160999999999994</c:v>
                </c:pt>
                <c:pt idx="1610">
                  <c:v>8.0322999999999993</c:v>
                </c:pt>
                <c:pt idx="1611">
                  <c:v>8.0748999999999995</c:v>
                </c:pt>
                <c:pt idx="1612">
                  <c:v>8.0976999999999997</c:v>
                </c:pt>
                <c:pt idx="1613">
                  <c:v>7.9364999999999997</c:v>
                </c:pt>
                <c:pt idx="1614">
                  <c:v>7.9326999999999996</c:v>
                </c:pt>
                <c:pt idx="1615">
                  <c:v>7.8036000000000003</c:v>
                </c:pt>
                <c:pt idx="1616">
                  <c:v>7.9878</c:v>
                </c:pt>
                <c:pt idx="1617">
                  <c:v>8.0243000000000002</c:v>
                </c:pt>
                <c:pt idx="1618">
                  <c:v>7.9943</c:v>
                </c:pt>
                <c:pt idx="1619">
                  <c:v>7.7352999999999996</c:v>
                </c:pt>
                <c:pt idx="1620">
                  <c:v>7.8345000000000002</c:v>
                </c:pt>
                <c:pt idx="1621">
                  <c:v>7.7975000000000003</c:v>
                </c:pt>
                <c:pt idx="1622">
                  <c:v>7.9485999999999999</c:v>
                </c:pt>
                <c:pt idx="1623">
                  <c:v>7.6341999999999999</c:v>
                </c:pt>
                <c:pt idx="1624">
                  <c:v>7.4794999999999998</c:v>
                </c:pt>
                <c:pt idx="1625">
                  <c:v>7.4732000000000003</c:v>
                </c:pt>
                <c:pt idx="1626">
                  <c:v>7.6916000000000002</c:v>
                </c:pt>
                <c:pt idx="1627">
                  <c:v>7.7004000000000001</c:v>
                </c:pt>
                <c:pt idx="1628">
                  <c:v>7.7976000000000001</c:v>
                </c:pt>
                <c:pt idx="1629">
                  <c:v>7.8506999999999998</c:v>
                </c:pt>
                <c:pt idx="1630">
                  <c:v>7.8074000000000003</c:v>
                </c:pt>
                <c:pt idx="1631">
                  <c:v>7.59</c:v>
                </c:pt>
                <c:pt idx="1632">
                  <c:v>7.6336000000000004</c:v>
                </c:pt>
                <c:pt idx="1633">
                  <c:v>7.5956000000000001</c:v>
                </c:pt>
                <c:pt idx="1634">
                  <c:v>7.6326999999999998</c:v>
                </c:pt>
                <c:pt idx="1635">
                  <c:v>7.7381000000000002</c:v>
                </c:pt>
                <c:pt idx="1636">
                  <c:v>7.7317999999999998</c:v>
                </c:pt>
                <c:pt idx="1637">
                  <c:v>7.8407999999999998</c:v>
                </c:pt>
                <c:pt idx="1638">
                  <c:v>7.6478000000000002</c:v>
                </c:pt>
                <c:pt idx="1639">
                  <c:v>7.6604000000000001</c:v>
                </c:pt>
                <c:pt idx="1640">
                  <c:v>7.6783999999999999</c:v>
                </c:pt>
                <c:pt idx="1641">
                  <c:v>7.4633000000000003</c:v>
                </c:pt>
                <c:pt idx="1642">
                  <c:v>7.3571999999999997</c:v>
                </c:pt>
                <c:pt idx="1643">
                  <c:v>7.4546999999999999</c:v>
                </c:pt>
                <c:pt idx="1644">
                  <c:v>7.3571999999999997</c:v>
                </c:pt>
                <c:pt idx="1645">
                  <c:v>7.2150999999999996</c:v>
                </c:pt>
                <c:pt idx="1646">
                  <c:v>7.1691000000000003</c:v>
                </c:pt>
                <c:pt idx="1647">
                  <c:v>7.1920999999999999</c:v>
                </c:pt>
                <c:pt idx="1648">
                  <c:v>7.0339</c:v>
                </c:pt>
                <c:pt idx="1649">
                  <c:v>7.0758000000000001</c:v>
                </c:pt>
                <c:pt idx="1650">
                  <c:v>7.1132</c:v>
                </c:pt>
                <c:pt idx="1651">
                  <c:v>7.3040000000000003</c:v>
                </c:pt>
                <c:pt idx="1652">
                  <c:v>7.1698000000000004</c:v>
                </c:pt>
                <c:pt idx="1653">
                  <c:v>7.0479000000000003</c:v>
                </c:pt>
                <c:pt idx="1654">
                  <c:v>6.9447999999999999</c:v>
                </c:pt>
                <c:pt idx="1655">
                  <c:v>6.8623000000000003</c:v>
                </c:pt>
                <c:pt idx="1656">
                  <c:v>6.7244000000000002</c:v>
                </c:pt>
                <c:pt idx="1657">
                  <c:v>6.7210999999999999</c:v>
                </c:pt>
                <c:pt idx="1658">
                  <c:v>6.827</c:v>
                </c:pt>
                <c:pt idx="1659">
                  <c:v>6.8559000000000001</c:v>
                </c:pt>
                <c:pt idx="1660">
                  <c:v>6.8554000000000004</c:v>
                </c:pt>
                <c:pt idx="1661">
                  <c:v>6.8880999999999997</c:v>
                </c:pt>
                <c:pt idx="1662">
                  <c:v>6.9097999999999997</c:v>
                </c:pt>
                <c:pt idx="1663">
                  <c:v>6.8452000000000002</c:v>
                </c:pt>
                <c:pt idx="1664">
                  <c:v>6.8418999999999999</c:v>
                </c:pt>
                <c:pt idx="1665">
                  <c:v>6.8627000000000002</c:v>
                </c:pt>
                <c:pt idx="1666">
                  <c:v>6.7862</c:v>
                </c:pt>
                <c:pt idx="1667">
                  <c:v>6.8429000000000002</c:v>
                </c:pt>
                <c:pt idx="1668">
                  <c:v>6.9264999999999999</c:v>
                </c:pt>
                <c:pt idx="1669">
                  <c:v>6.9985999999999997</c:v>
                </c:pt>
                <c:pt idx="1670">
                  <c:v>7.0220000000000002</c:v>
                </c:pt>
                <c:pt idx="1671">
                  <c:v>6.9695</c:v>
                </c:pt>
                <c:pt idx="1672">
                  <c:v>6.9005000000000001</c:v>
                </c:pt>
                <c:pt idx="1673">
                  <c:v>6.9025999999999996</c:v>
                </c:pt>
                <c:pt idx="1674">
                  <c:v>6.7725</c:v>
                </c:pt>
                <c:pt idx="1675">
                  <c:v>6.7477999999999998</c:v>
                </c:pt>
                <c:pt idx="1676">
                  <c:v>6.7556000000000003</c:v>
                </c:pt>
                <c:pt idx="1677">
                  <c:v>6.6638999999999999</c:v>
                </c:pt>
                <c:pt idx="1678">
                  <c:v>6.7103999999999999</c:v>
                </c:pt>
                <c:pt idx="1679">
                  <c:v>6.7252999999999998</c:v>
                </c:pt>
                <c:pt idx="1680">
                  <c:v>6.7914000000000003</c:v>
                </c:pt>
                <c:pt idx="1681">
                  <c:v>6.8049999999999997</c:v>
                </c:pt>
                <c:pt idx="1682">
                  <c:v>6.7888999999999999</c:v>
                </c:pt>
                <c:pt idx="1683">
                  <c:v>6.8041999999999998</c:v>
                </c:pt>
                <c:pt idx="1684">
                  <c:v>6.8118999999999996</c:v>
                </c:pt>
                <c:pt idx="1685">
                  <c:v>6.9153000000000002</c:v>
                </c:pt>
                <c:pt idx="1686">
                  <c:v>7.0221</c:v>
                </c:pt>
                <c:pt idx="1687">
                  <c:v>7.0126999999999997</c:v>
                </c:pt>
                <c:pt idx="1688">
                  <c:v>6.7983000000000002</c:v>
                </c:pt>
                <c:pt idx="1689">
                  <c:v>6.8167999999999997</c:v>
                </c:pt>
                <c:pt idx="1690">
                  <c:v>6.7763</c:v>
                </c:pt>
                <c:pt idx="1691">
                  <c:v>6.7531999999999996</c:v>
                </c:pt>
                <c:pt idx="1692">
                  <c:v>6.7088999999999999</c:v>
                </c:pt>
                <c:pt idx="1693">
                  <c:v>6.7024999999999997</c:v>
                </c:pt>
                <c:pt idx="1694">
                  <c:v>6.7297000000000002</c:v>
                </c:pt>
                <c:pt idx="1695">
                  <c:v>6.6135999999999999</c:v>
                </c:pt>
                <c:pt idx="1696">
                  <c:v>6.6627000000000001</c:v>
                </c:pt>
                <c:pt idx="1697">
                  <c:v>6.7827999999999999</c:v>
                </c:pt>
                <c:pt idx="1698">
                  <c:v>6.6787000000000001</c:v>
                </c:pt>
                <c:pt idx="1699">
                  <c:v>6.4638999999999998</c:v>
                </c:pt>
                <c:pt idx="1700">
                  <c:v>6.5265000000000004</c:v>
                </c:pt>
                <c:pt idx="1701">
                  <c:v>6.4739000000000004</c:v>
                </c:pt>
                <c:pt idx="1702">
                  <c:v>6.5252999999999997</c:v>
                </c:pt>
                <c:pt idx="1703">
                  <c:v>6.5941000000000001</c:v>
                </c:pt>
                <c:pt idx="1704">
                  <c:v>6.6032000000000002</c:v>
                </c:pt>
                <c:pt idx="1705">
                  <c:v>6.5278</c:v>
                </c:pt>
                <c:pt idx="1706">
                  <c:v>6.5353000000000003</c:v>
                </c:pt>
                <c:pt idx="1707">
                  <c:v>6.5728</c:v>
                </c:pt>
                <c:pt idx="1708">
                  <c:v>6.4691000000000001</c:v>
                </c:pt>
                <c:pt idx="1709">
                  <c:v>6.5373999999999999</c:v>
                </c:pt>
                <c:pt idx="1710">
                  <c:v>6.6200999999999999</c:v>
                </c:pt>
                <c:pt idx="1711">
                  <c:v>6.6965000000000003</c:v>
                </c:pt>
                <c:pt idx="1712">
                  <c:v>6.8174999999999999</c:v>
                </c:pt>
                <c:pt idx="1713">
                  <c:v>6.8590999999999998</c:v>
                </c:pt>
                <c:pt idx="1714">
                  <c:v>6.8068999999999997</c:v>
                </c:pt>
                <c:pt idx="1715">
                  <c:v>6.8059000000000003</c:v>
                </c:pt>
                <c:pt idx="1716">
                  <c:v>6.8235000000000001</c:v>
                </c:pt>
                <c:pt idx="1717">
                  <c:v>6.8819999999999997</c:v>
                </c:pt>
                <c:pt idx="1718">
                  <c:v>6.7248999999999999</c:v>
                </c:pt>
                <c:pt idx="1719">
                  <c:v>6.7535999999999996</c:v>
                </c:pt>
                <c:pt idx="1720">
                  <c:v>6.8681000000000001</c:v>
                </c:pt>
                <c:pt idx="1721">
                  <c:v>6.8327999999999998</c:v>
                </c:pt>
                <c:pt idx="1722">
                  <c:v>6.8678999999999997</c:v>
                </c:pt>
                <c:pt idx="1723">
                  <c:v>6.8319999999999999</c:v>
                </c:pt>
                <c:pt idx="1724">
                  <c:v>6.8994</c:v>
                </c:pt>
                <c:pt idx="1725">
                  <c:v>6.9401999999999999</c:v>
                </c:pt>
                <c:pt idx="1726">
                  <c:v>6.9066000000000001</c:v>
                </c:pt>
                <c:pt idx="1727">
                  <c:v>6.8978999999999999</c:v>
                </c:pt>
                <c:pt idx="1728">
                  <c:v>6.8903999999999996</c:v>
                </c:pt>
                <c:pt idx="1729">
                  <c:v>6.8838999999999997</c:v>
                </c:pt>
                <c:pt idx="1730">
                  <c:v>6.9112</c:v>
                </c:pt>
                <c:pt idx="1731">
                  <c:v>6.9711999999999996</c:v>
                </c:pt>
                <c:pt idx="1732">
                  <c:v>7.0156999999999998</c:v>
                </c:pt>
                <c:pt idx="1733">
                  <c:v>7.0495999999999999</c:v>
                </c:pt>
                <c:pt idx="1734">
                  <c:v>7.0730000000000004</c:v>
                </c:pt>
                <c:pt idx="1735">
                  <c:v>7.09</c:v>
                </c:pt>
                <c:pt idx="1736">
                  <c:v>7.1913999999999998</c:v>
                </c:pt>
                <c:pt idx="1737">
                  <c:v>7.1954000000000002</c:v>
                </c:pt>
                <c:pt idx="1738">
                  <c:v>7.1928000000000001</c:v>
                </c:pt>
                <c:pt idx="1739">
                  <c:v>7.1424000000000003</c:v>
                </c:pt>
                <c:pt idx="1740">
                  <c:v>7.1741000000000001</c:v>
                </c:pt>
                <c:pt idx="1741">
                  <c:v>7.2282999999999999</c:v>
                </c:pt>
                <c:pt idx="1742">
                  <c:v>7.2491000000000003</c:v>
                </c:pt>
                <c:pt idx="1743">
                  <c:v>7.1898</c:v>
                </c:pt>
                <c:pt idx="1744">
                  <c:v>7.2319000000000004</c:v>
                </c:pt>
                <c:pt idx="1745">
                  <c:v>7.2453000000000003</c:v>
                </c:pt>
                <c:pt idx="1746">
                  <c:v>7.2558999999999996</c:v>
                </c:pt>
                <c:pt idx="1747">
                  <c:v>7.1783000000000001</c:v>
                </c:pt>
                <c:pt idx="1748">
                  <c:v>7.1093999999999999</c:v>
                </c:pt>
                <c:pt idx="1749">
                  <c:v>7.1810999999999998</c:v>
                </c:pt>
                <c:pt idx="1750">
                  <c:v>7.2838000000000003</c:v>
                </c:pt>
                <c:pt idx="1751">
                  <c:v>7.2473000000000001</c:v>
                </c:pt>
                <c:pt idx="1752">
                  <c:v>7.1828000000000003</c:v>
                </c:pt>
                <c:pt idx="1753">
                  <c:v>7.2869000000000002</c:v>
                </c:pt>
                <c:pt idx="1754">
                  <c:v>7.2370000000000001</c:v>
                </c:pt>
                <c:pt idx="1755">
                  <c:v>7.3376000000000001</c:v>
                </c:pt>
                <c:pt idx="1756">
                  <c:v>7.4603000000000002</c:v>
                </c:pt>
                <c:pt idx="1757">
                  <c:v>7.3411999999999997</c:v>
                </c:pt>
                <c:pt idx="1758">
                  <c:v>7.484</c:v>
                </c:pt>
                <c:pt idx="1759">
                  <c:v>7.4774000000000003</c:v>
                </c:pt>
                <c:pt idx="1760">
                  <c:v>7.3914</c:v>
                </c:pt>
                <c:pt idx="1761">
                  <c:v>7.2451999999999996</c:v>
                </c:pt>
                <c:pt idx="1762">
                  <c:v>7.1788999999999996</c:v>
                </c:pt>
                <c:pt idx="1763">
                  <c:v>7.1707000000000001</c:v>
                </c:pt>
                <c:pt idx="1764">
                  <c:v>7.0392000000000001</c:v>
                </c:pt>
                <c:pt idx="1765">
                  <c:v>7.0494000000000003</c:v>
                </c:pt>
                <c:pt idx="1766">
                  <c:v>7.1121999999999996</c:v>
                </c:pt>
                <c:pt idx="1767">
                  <c:v>7.0590000000000002</c:v>
                </c:pt>
                <c:pt idx="1768">
                  <c:v>7.1177000000000001</c:v>
                </c:pt>
                <c:pt idx="1769">
                  <c:v>7.1948999999999996</c:v>
                </c:pt>
                <c:pt idx="1770">
                  <c:v>7.1093999999999999</c:v>
                </c:pt>
                <c:pt idx="1771">
                  <c:v>7.1021999999999998</c:v>
                </c:pt>
                <c:pt idx="1772">
                  <c:v>7.1051000000000002</c:v>
                </c:pt>
                <c:pt idx="1773">
                  <c:v>6.9249000000000001</c:v>
                </c:pt>
                <c:pt idx="1774">
                  <c:v>6.8505000000000003</c:v>
                </c:pt>
                <c:pt idx="1775">
                  <c:v>6.8232999999999997</c:v>
                </c:pt>
                <c:pt idx="1776">
                  <c:v>6.8327999999999998</c:v>
                </c:pt>
                <c:pt idx="1777">
                  <c:v>6.8838999999999997</c:v>
                </c:pt>
                <c:pt idx="1778">
                  <c:v>6.9172000000000002</c:v>
                </c:pt>
                <c:pt idx="1779">
                  <c:v>6.9814999999999996</c:v>
                </c:pt>
                <c:pt idx="1780">
                  <c:v>6.9774000000000003</c:v>
                </c:pt>
                <c:pt idx="1781">
                  <c:v>6.9672000000000001</c:v>
                </c:pt>
                <c:pt idx="1782">
                  <c:v>6.9611000000000001</c:v>
                </c:pt>
                <c:pt idx="1783">
                  <c:v>7.0274999999999999</c:v>
                </c:pt>
                <c:pt idx="1784">
                  <c:v>7.0236999999999998</c:v>
                </c:pt>
                <c:pt idx="1785">
                  <c:v>6.9705000000000004</c:v>
                </c:pt>
                <c:pt idx="1786">
                  <c:v>6.9832999999999998</c:v>
                </c:pt>
                <c:pt idx="1787">
                  <c:v>7.0355999999999996</c:v>
                </c:pt>
                <c:pt idx="1788">
                  <c:v>6.9828999999999999</c:v>
                </c:pt>
                <c:pt idx="1789">
                  <c:v>6.9852999999999996</c:v>
                </c:pt>
                <c:pt idx="1790">
                  <c:v>6.9634999999999998</c:v>
                </c:pt>
                <c:pt idx="1791">
                  <c:v>7.0175000000000001</c:v>
                </c:pt>
                <c:pt idx="1792">
                  <c:v>7.0964</c:v>
                </c:pt>
                <c:pt idx="1793">
                  <c:v>7.1112000000000002</c:v>
                </c:pt>
                <c:pt idx="1794">
                  <c:v>7.2279</c:v>
                </c:pt>
                <c:pt idx="1795">
                  <c:v>7.1821000000000002</c:v>
                </c:pt>
                <c:pt idx="1796">
                  <c:v>7.1641000000000004</c:v>
                </c:pt>
                <c:pt idx="1797">
                  <c:v>7.1374000000000004</c:v>
                </c:pt>
                <c:pt idx="1798">
                  <c:v>7.1571999999999996</c:v>
                </c:pt>
                <c:pt idx="1799">
                  <c:v>7.0845000000000002</c:v>
                </c:pt>
                <c:pt idx="1800">
                  <c:v>7.0965999999999996</c:v>
                </c:pt>
                <c:pt idx="1801">
                  <c:v>7.1032999999999999</c:v>
                </c:pt>
                <c:pt idx="1802">
                  <c:v>7.1920000000000002</c:v>
                </c:pt>
                <c:pt idx="1803">
                  <c:v>7.2321</c:v>
                </c:pt>
                <c:pt idx="1804">
                  <c:v>7.3097000000000003</c:v>
                </c:pt>
                <c:pt idx="1805">
                  <c:v>7.2286999999999999</c:v>
                </c:pt>
                <c:pt idx="1806">
                  <c:v>7.2483000000000004</c:v>
                </c:pt>
                <c:pt idx="1807">
                  <c:v>7.282</c:v>
                </c:pt>
                <c:pt idx="1808">
                  <c:v>7.1890000000000001</c:v>
                </c:pt>
                <c:pt idx="1809">
                  <c:v>7.1837999999999997</c:v>
                </c:pt>
                <c:pt idx="1810">
                  <c:v>7.1304999999999996</c:v>
                </c:pt>
                <c:pt idx="1811">
                  <c:v>7.1402000000000001</c:v>
                </c:pt>
                <c:pt idx="1812">
                  <c:v>7.1215999999999999</c:v>
                </c:pt>
                <c:pt idx="1813">
                  <c:v>7.1649000000000003</c:v>
                </c:pt>
                <c:pt idx="1814">
                  <c:v>7.1657000000000002</c:v>
                </c:pt>
                <c:pt idx="1815">
                  <c:v>7.1215999999999999</c:v>
                </c:pt>
                <c:pt idx="1816">
                  <c:v>7.0952999999999999</c:v>
                </c:pt>
                <c:pt idx="1817">
                  <c:v>7.1261000000000001</c:v>
                </c:pt>
                <c:pt idx="1818">
                  <c:v>7.0892999999999997</c:v>
                </c:pt>
                <c:pt idx="1819">
                  <c:v>7.0761000000000003</c:v>
                </c:pt>
                <c:pt idx="1820">
                  <c:v>7.0025000000000004</c:v>
                </c:pt>
                <c:pt idx="1821">
                  <c:v>6.9955999999999996</c:v>
                </c:pt>
                <c:pt idx="1822">
                  <c:v>7.0471000000000004</c:v>
                </c:pt>
                <c:pt idx="1823">
                  <c:v>6.9645999999999999</c:v>
                </c:pt>
                <c:pt idx="1824">
                  <c:v>6.9301000000000004</c:v>
                </c:pt>
                <c:pt idx="1825">
                  <c:v>6.9795999999999996</c:v>
                </c:pt>
                <c:pt idx="1826">
                  <c:v>6.9360999999999997</c:v>
                </c:pt>
                <c:pt idx="1827">
                  <c:v>7.0153999999999996</c:v>
                </c:pt>
                <c:pt idx="1828">
                  <c:v>6.9053000000000004</c:v>
                </c:pt>
                <c:pt idx="1829">
                  <c:v>6.9263000000000003</c:v>
                </c:pt>
                <c:pt idx="1830">
                  <c:v>6.9127999999999998</c:v>
                </c:pt>
                <c:pt idx="1831">
                  <c:v>6.9385000000000003</c:v>
                </c:pt>
                <c:pt idx="1832">
                  <c:v>7.0137</c:v>
                </c:pt>
                <c:pt idx="1833">
                  <c:v>6.9859999999999998</c:v>
                </c:pt>
                <c:pt idx="1834">
                  <c:v>7.0388000000000002</c:v>
                </c:pt>
                <c:pt idx="1835">
                  <c:v>7.1241000000000003</c:v>
                </c:pt>
                <c:pt idx="1836">
                  <c:v>7.0823999999999998</c:v>
                </c:pt>
                <c:pt idx="1837">
                  <c:v>6.9721000000000002</c:v>
                </c:pt>
                <c:pt idx="1838">
                  <c:v>7.0285000000000002</c:v>
                </c:pt>
                <c:pt idx="1839">
                  <c:v>7.1052999999999997</c:v>
                </c:pt>
                <c:pt idx="1840">
                  <c:v>7.0437000000000003</c:v>
                </c:pt>
                <c:pt idx="1841">
                  <c:v>7.0377999999999998</c:v>
                </c:pt>
                <c:pt idx="1842">
                  <c:v>7.1313000000000004</c:v>
                </c:pt>
                <c:pt idx="1843">
                  <c:v>7.0583</c:v>
                </c:pt>
                <c:pt idx="1844">
                  <c:v>7.1173000000000002</c:v>
                </c:pt>
                <c:pt idx="1845">
                  <c:v>7.1329000000000002</c:v>
                </c:pt>
                <c:pt idx="1846">
                  <c:v>7.1711999999999998</c:v>
                </c:pt>
                <c:pt idx="1847">
                  <c:v>7.1810999999999998</c:v>
                </c:pt>
                <c:pt idx="1848">
                  <c:v>7.1561000000000003</c:v>
                </c:pt>
                <c:pt idx="1849">
                  <c:v>7.165</c:v>
                </c:pt>
                <c:pt idx="1850">
                  <c:v>7.1357999999999997</c:v>
                </c:pt>
                <c:pt idx="1851">
                  <c:v>7.1619999999999999</c:v>
                </c:pt>
                <c:pt idx="1852">
                  <c:v>7.2253999999999996</c:v>
                </c:pt>
                <c:pt idx="1853">
                  <c:v>7.2523999999999997</c:v>
                </c:pt>
                <c:pt idx="1854">
                  <c:v>7.2648999999999999</c:v>
                </c:pt>
                <c:pt idx="1855">
                  <c:v>7.3152999999999997</c:v>
                </c:pt>
                <c:pt idx="1856">
                  <c:v>7.2926000000000002</c:v>
                </c:pt>
                <c:pt idx="1857">
                  <c:v>7.2474999999999996</c:v>
                </c:pt>
                <c:pt idx="1858">
                  <c:v>7.2232000000000003</c:v>
                </c:pt>
                <c:pt idx="1859">
                  <c:v>7.1920999999999999</c:v>
                </c:pt>
                <c:pt idx="1860">
                  <c:v>7.2967000000000004</c:v>
                </c:pt>
                <c:pt idx="1861">
                  <c:v>7.4059999999999997</c:v>
                </c:pt>
                <c:pt idx="1862">
                  <c:v>7.4429999999999996</c:v>
                </c:pt>
                <c:pt idx="1863">
                  <c:v>7.4406999999999996</c:v>
                </c:pt>
                <c:pt idx="1864">
                  <c:v>7.4314999999999998</c:v>
                </c:pt>
                <c:pt idx="1865">
                  <c:v>7.4931000000000001</c:v>
                </c:pt>
                <c:pt idx="1866">
                  <c:v>7.3869999999999996</c:v>
                </c:pt>
                <c:pt idx="1867">
                  <c:v>7.306</c:v>
                </c:pt>
                <c:pt idx="1868">
                  <c:v>7.3879999999999999</c:v>
                </c:pt>
                <c:pt idx="1869">
                  <c:v>7.4042000000000003</c:v>
                </c:pt>
                <c:pt idx="1870">
                  <c:v>7.4066999999999998</c:v>
                </c:pt>
                <c:pt idx="1871">
                  <c:v>7.4122000000000003</c:v>
                </c:pt>
                <c:pt idx="1872">
                  <c:v>7.5232999999999999</c:v>
                </c:pt>
                <c:pt idx="1873">
                  <c:v>7.2770000000000001</c:v>
                </c:pt>
                <c:pt idx="1874">
                  <c:v>7.2510000000000003</c:v>
                </c:pt>
                <c:pt idx="1875">
                  <c:v>7.2541000000000002</c:v>
                </c:pt>
                <c:pt idx="1876">
                  <c:v>7.1361999999999997</c:v>
                </c:pt>
                <c:pt idx="1877">
                  <c:v>7.0805999999999996</c:v>
                </c:pt>
                <c:pt idx="1878">
                  <c:v>7.0724</c:v>
                </c:pt>
                <c:pt idx="1879">
                  <c:v>7.1155999999999997</c:v>
                </c:pt>
                <c:pt idx="1880">
                  <c:v>7.1238999999999999</c:v>
                </c:pt>
                <c:pt idx="1881">
                  <c:v>7.0964</c:v>
                </c:pt>
                <c:pt idx="1882">
                  <c:v>7.1177000000000001</c:v>
                </c:pt>
                <c:pt idx="1883">
                  <c:v>7.1863999999999999</c:v>
                </c:pt>
                <c:pt idx="1884">
                  <c:v>7.1760999999999999</c:v>
                </c:pt>
                <c:pt idx="1885">
                  <c:v>7.2263999999999999</c:v>
                </c:pt>
                <c:pt idx="1886">
                  <c:v>7.2645999999999997</c:v>
                </c:pt>
                <c:pt idx="1887">
                  <c:v>7.2441000000000004</c:v>
                </c:pt>
                <c:pt idx="1888">
                  <c:v>7.1414999999999997</c:v>
                </c:pt>
                <c:pt idx="1889">
                  <c:v>7.1666999999999996</c:v>
                </c:pt>
                <c:pt idx="1890">
                  <c:v>7.1863000000000001</c:v>
                </c:pt>
                <c:pt idx="1891">
                  <c:v>7.2004999999999999</c:v>
                </c:pt>
                <c:pt idx="1892">
                  <c:v>7.2282999999999999</c:v>
                </c:pt>
                <c:pt idx="1893">
                  <c:v>7.1878000000000002</c:v>
                </c:pt>
                <c:pt idx="1894">
                  <c:v>7.1982999999999997</c:v>
                </c:pt>
                <c:pt idx="1895">
                  <c:v>7.2957000000000001</c:v>
                </c:pt>
                <c:pt idx="1896">
                  <c:v>7.3140999999999998</c:v>
                </c:pt>
                <c:pt idx="1897">
                  <c:v>7.2803000000000004</c:v>
                </c:pt>
                <c:pt idx="1898">
                  <c:v>7.2843</c:v>
                </c:pt>
                <c:pt idx="1899">
                  <c:v>7.1261000000000001</c:v>
                </c:pt>
                <c:pt idx="1900">
                  <c:v>7.1557000000000004</c:v>
                </c:pt>
                <c:pt idx="1901">
                  <c:v>7.1281999999999996</c:v>
                </c:pt>
                <c:pt idx="1902">
                  <c:v>7.1341000000000001</c:v>
                </c:pt>
                <c:pt idx="1903">
                  <c:v>7.1470000000000002</c:v>
                </c:pt>
                <c:pt idx="1904">
                  <c:v>7.1440999999999999</c:v>
                </c:pt>
                <c:pt idx="1905">
                  <c:v>7.2701000000000002</c:v>
                </c:pt>
                <c:pt idx="1906">
                  <c:v>7.2224000000000004</c:v>
                </c:pt>
                <c:pt idx="1907">
                  <c:v>7.2083000000000004</c:v>
                </c:pt>
                <c:pt idx="1908">
                  <c:v>7.2610999999999999</c:v>
                </c:pt>
                <c:pt idx="1909">
                  <c:v>7.3000999999999996</c:v>
                </c:pt>
                <c:pt idx="1910">
                  <c:v>7.3497000000000003</c:v>
                </c:pt>
                <c:pt idx="1911">
                  <c:v>7.1905999999999999</c:v>
                </c:pt>
                <c:pt idx="1912">
                  <c:v>7.2770000000000001</c:v>
                </c:pt>
                <c:pt idx="1913">
                  <c:v>7.1279000000000003</c:v>
                </c:pt>
                <c:pt idx="1914">
                  <c:v>7.0401999999999996</c:v>
                </c:pt>
                <c:pt idx="1915">
                  <c:v>6.8875000000000002</c:v>
                </c:pt>
                <c:pt idx="1916">
                  <c:v>6.9417999999999997</c:v>
                </c:pt>
                <c:pt idx="1917">
                  <c:v>6.9737</c:v>
                </c:pt>
                <c:pt idx="1918">
                  <c:v>7.0357000000000003</c:v>
                </c:pt>
                <c:pt idx="1919">
                  <c:v>7.0332999999999997</c:v>
                </c:pt>
                <c:pt idx="1920">
                  <c:v>7.0061999999999998</c:v>
                </c:pt>
                <c:pt idx="1921">
                  <c:v>6.9339000000000004</c:v>
                </c:pt>
                <c:pt idx="1922">
                  <c:v>6.9992999999999999</c:v>
                </c:pt>
                <c:pt idx="1923">
                  <c:v>7.0368000000000004</c:v>
                </c:pt>
                <c:pt idx="1924">
                  <c:v>6.9917999999999996</c:v>
                </c:pt>
                <c:pt idx="1925">
                  <c:v>6.9969999999999999</c:v>
                </c:pt>
                <c:pt idx="1926">
                  <c:v>7.0072000000000001</c:v>
                </c:pt>
                <c:pt idx="1927">
                  <c:v>6.9968000000000004</c:v>
                </c:pt>
                <c:pt idx="1928">
                  <c:v>7.0357000000000003</c:v>
                </c:pt>
                <c:pt idx="1929">
                  <c:v>7.0926999999999998</c:v>
                </c:pt>
                <c:pt idx="1930">
                  <c:v>7.0721999999999996</c:v>
                </c:pt>
                <c:pt idx="1931">
                  <c:v>7.0457999999999998</c:v>
                </c:pt>
                <c:pt idx="1932">
                  <c:v>7.1199000000000003</c:v>
                </c:pt>
                <c:pt idx="1933">
                  <c:v>7.1252000000000004</c:v>
                </c:pt>
                <c:pt idx="1934">
                  <c:v>7.1498999999999997</c:v>
                </c:pt>
                <c:pt idx="1935">
                  <c:v>7.1273</c:v>
                </c:pt>
                <c:pt idx="1936">
                  <c:v>7.1313000000000004</c:v>
                </c:pt>
                <c:pt idx="1937">
                  <c:v>7.1113</c:v>
                </c:pt>
                <c:pt idx="1938">
                  <c:v>7.1757999999999997</c:v>
                </c:pt>
                <c:pt idx="1939">
                  <c:v>7.1066000000000003</c:v>
                </c:pt>
                <c:pt idx="1940">
                  <c:v>7.2575000000000003</c:v>
                </c:pt>
                <c:pt idx="1941">
                  <c:v>7.1620999999999997</c:v>
                </c:pt>
                <c:pt idx="1942">
                  <c:v>7.1746999999999996</c:v>
                </c:pt>
                <c:pt idx="1943">
                  <c:v>7.2145999999999999</c:v>
                </c:pt>
                <c:pt idx="1944">
                  <c:v>7.2843</c:v>
                </c:pt>
                <c:pt idx="1945">
                  <c:v>7.2731000000000003</c:v>
                </c:pt>
                <c:pt idx="1946">
                  <c:v>7.1954000000000002</c:v>
                </c:pt>
                <c:pt idx="1947">
                  <c:v>7.2752999999999997</c:v>
                </c:pt>
                <c:pt idx="1948">
                  <c:v>7.2508999999999997</c:v>
                </c:pt>
                <c:pt idx="1949">
                  <c:v>7.2645</c:v>
                </c:pt>
                <c:pt idx="1950">
                  <c:v>7.2332999999999998</c:v>
                </c:pt>
                <c:pt idx="1951">
                  <c:v>7.3502999999999998</c:v>
                </c:pt>
                <c:pt idx="1952">
                  <c:v>7.3705999999999996</c:v>
                </c:pt>
                <c:pt idx="1953">
                  <c:v>7.3144999999999998</c:v>
                </c:pt>
                <c:pt idx="1954">
                  <c:v>7.3742000000000001</c:v>
                </c:pt>
                <c:pt idx="1955">
                  <c:v>7.4611999999999998</c:v>
                </c:pt>
                <c:pt idx="1956">
                  <c:v>7.3661000000000003</c:v>
                </c:pt>
                <c:pt idx="1957">
                  <c:v>7.3693</c:v>
                </c:pt>
                <c:pt idx="1958">
                  <c:v>7.5842000000000001</c:v>
                </c:pt>
                <c:pt idx="1959">
                  <c:v>7.4320000000000004</c:v>
                </c:pt>
                <c:pt idx="1960">
                  <c:v>7.5213000000000001</c:v>
                </c:pt>
                <c:pt idx="1961">
                  <c:v>7.5308999999999999</c:v>
                </c:pt>
                <c:pt idx="1962">
                  <c:v>7.7190000000000003</c:v>
                </c:pt>
                <c:pt idx="1963">
                  <c:v>7.7785000000000002</c:v>
                </c:pt>
                <c:pt idx="1964">
                  <c:v>7.5834999999999999</c:v>
                </c:pt>
                <c:pt idx="1965">
                  <c:v>7.5060000000000002</c:v>
                </c:pt>
                <c:pt idx="1966">
                  <c:v>7.5758000000000001</c:v>
                </c:pt>
                <c:pt idx="1967">
                  <c:v>7.6142000000000003</c:v>
                </c:pt>
                <c:pt idx="1968">
                  <c:v>7.5098000000000003</c:v>
                </c:pt>
                <c:pt idx="1969">
                  <c:v>7.4923000000000002</c:v>
                </c:pt>
                <c:pt idx="1970">
                  <c:v>7.5529000000000002</c:v>
                </c:pt>
                <c:pt idx="1971">
                  <c:v>7.6321000000000003</c:v>
                </c:pt>
                <c:pt idx="1972">
                  <c:v>7.7542999999999997</c:v>
                </c:pt>
                <c:pt idx="1973">
                  <c:v>7.8075000000000001</c:v>
                </c:pt>
                <c:pt idx="1974">
                  <c:v>7.7842000000000002</c:v>
                </c:pt>
                <c:pt idx="1975">
                  <c:v>7.7675000000000001</c:v>
                </c:pt>
                <c:pt idx="1976">
                  <c:v>7.8193999999999999</c:v>
                </c:pt>
                <c:pt idx="1977">
                  <c:v>7.9530000000000003</c:v>
                </c:pt>
                <c:pt idx="1978">
                  <c:v>7.6798999999999999</c:v>
                </c:pt>
                <c:pt idx="1979">
                  <c:v>7.7347999999999999</c:v>
                </c:pt>
                <c:pt idx="1980">
                  <c:v>7.7042999999999999</c:v>
                </c:pt>
                <c:pt idx="1981">
                  <c:v>7.5740999999999996</c:v>
                </c:pt>
                <c:pt idx="1982">
                  <c:v>7.6060999999999996</c:v>
                </c:pt>
                <c:pt idx="1983">
                  <c:v>7.6574999999999998</c:v>
                </c:pt>
                <c:pt idx="1984">
                  <c:v>7.6589999999999998</c:v>
                </c:pt>
                <c:pt idx="1985">
                  <c:v>7.4317000000000002</c:v>
                </c:pt>
                <c:pt idx="1986">
                  <c:v>7.3662000000000001</c:v>
                </c:pt>
                <c:pt idx="1987">
                  <c:v>7.3644999999999996</c:v>
                </c:pt>
                <c:pt idx="1988">
                  <c:v>7.3228999999999997</c:v>
                </c:pt>
                <c:pt idx="1989">
                  <c:v>7.4283000000000001</c:v>
                </c:pt>
                <c:pt idx="1990">
                  <c:v>7.4371</c:v>
                </c:pt>
                <c:pt idx="1991">
                  <c:v>7.3384999999999998</c:v>
                </c:pt>
                <c:pt idx="1992">
                  <c:v>7.3659999999999997</c:v>
                </c:pt>
                <c:pt idx="1993">
                  <c:v>7.4497</c:v>
                </c:pt>
                <c:pt idx="1994">
                  <c:v>7.3800999999999997</c:v>
                </c:pt>
                <c:pt idx="1995">
                  <c:v>7.3864000000000001</c:v>
                </c:pt>
                <c:pt idx="1996">
                  <c:v>7.2107999999999999</c:v>
                </c:pt>
                <c:pt idx="1997">
                  <c:v>7.1856999999999998</c:v>
                </c:pt>
                <c:pt idx="1998">
                  <c:v>7.1961000000000004</c:v>
                </c:pt>
                <c:pt idx="1999">
                  <c:v>7.1965000000000003</c:v>
                </c:pt>
                <c:pt idx="2000">
                  <c:v>7.0735999999999999</c:v>
                </c:pt>
                <c:pt idx="2001">
                  <c:v>7.0784000000000002</c:v>
                </c:pt>
                <c:pt idx="2002">
                  <c:v>7.1364999999999998</c:v>
                </c:pt>
                <c:pt idx="2003">
                  <c:v>7.1683000000000003</c:v>
                </c:pt>
                <c:pt idx="2004">
                  <c:v>7.1348000000000003</c:v>
                </c:pt>
                <c:pt idx="2005">
                  <c:v>7.1383999999999999</c:v>
                </c:pt>
                <c:pt idx="2006">
                  <c:v>7.0979000000000001</c:v>
                </c:pt>
                <c:pt idx="2007">
                  <c:v>7.1254999999999997</c:v>
                </c:pt>
                <c:pt idx="2008">
                  <c:v>7.0606</c:v>
                </c:pt>
                <c:pt idx="2009">
                  <c:v>6.8505000000000003</c:v>
                </c:pt>
                <c:pt idx="2010">
                  <c:v>6.7849000000000004</c:v>
                </c:pt>
                <c:pt idx="2011">
                  <c:v>6.8743999999999996</c:v>
                </c:pt>
                <c:pt idx="2012">
                  <c:v>6.8917000000000002</c:v>
                </c:pt>
                <c:pt idx="2013">
                  <c:v>6.8026</c:v>
                </c:pt>
                <c:pt idx="2014">
                  <c:v>6.7861000000000002</c:v>
                </c:pt>
                <c:pt idx="2015">
                  <c:v>6.7628000000000004</c:v>
                </c:pt>
                <c:pt idx="2016">
                  <c:v>6.7984</c:v>
                </c:pt>
                <c:pt idx="2017">
                  <c:v>6.8183999999999996</c:v>
                </c:pt>
                <c:pt idx="2018">
                  <c:v>6.8700999999999999</c:v>
                </c:pt>
                <c:pt idx="2019">
                  <c:v>6.9016000000000002</c:v>
                </c:pt>
                <c:pt idx="2020">
                  <c:v>6.9457000000000004</c:v>
                </c:pt>
                <c:pt idx="2021">
                  <c:v>6.9762000000000004</c:v>
                </c:pt>
                <c:pt idx="2022">
                  <c:v>6.8555000000000001</c:v>
                </c:pt>
                <c:pt idx="2023">
                  <c:v>6.9150999999999998</c:v>
                </c:pt>
                <c:pt idx="2024">
                  <c:v>6.8882000000000003</c:v>
                </c:pt>
                <c:pt idx="2025">
                  <c:v>7.0286999999999997</c:v>
                </c:pt>
                <c:pt idx="2026">
                  <c:v>7.0075000000000003</c:v>
                </c:pt>
                <c:pt idx="2027">
                  <c:v>7.0804</c:v>
                </c:pt>
                <c:pt idx="2028">
                  <c:v>6.9808000000000003</c:v>
                </c:pt>
                <c:pt idx="2029">
                  <c:v>7.0571999999999999</c:v>
                </c:pt>
                <c:pt idx="2030">
                  <c:v>7.1863000000000001</c:v>
                </c:pt>
                <c:pt idx="2031">
                  <c:v>7.2100999999999997</c:v>
                </c:pt>
                <c:pt idx="2032">
                  <c:v>7.2427999999999999</c:v>
                </c:pt>
                <c:pt idx="2033">
                  <c:v>7.2012</c:v>
                </c:pt>
                <c:pt idx="2034">
                  <c:v>7.2240000000000002</c:v>
                </c:pt>
                <c:pt idx="2035">
                  <c:v>7.0909000000000004</c:v>
                </c:pt>
                <c:pt idx="2036">
                  <c:v>7.1064999999999996</c:v>
                </c:pt>
                <c:pt idx="2037">
                  <c:v>7.0667</c:v>
                </c:pt>
                <c:pt idx="2038">
                  <c:v>7.1539000000000001</c:v>
                </c:pt>
                <c:pt idx="2039">
                  <c:v>7.2580999999999998</c:v>
                </c:pt>
                <c:pt idx="2040">
                  <c:v>7.1383999999999999</c:v>
                </c:pt>
                <c:pt idx="2041">
                  <c:v>7.0217999999999998</c:v>
                </c:pt>
                <c:pt idx="2042">
                  <c:v>7.0945</c:v>
                </c:pt>
                <c:pt idx="2043">
                  <c:v>7.1388999999999996</c:v>
                </c:pt>
                <c:pt idx="2044">
                  <c:v>7.2633999999999999</c:v>
                </c:pt>
                <c:pt idx="2045">
                  <c:v>7.3106</c:v>
                </c:pt>
                <c:pt idx="2046">
                  <c:v>7.2701000000000002</c:v>
                </c:pt>
                <c:pt idx="2047">
                  <c:v>7.4322999999999997</c:v>
                </c:pt>
                <c:pt idx="2048">
                  <c:v>7.4324000000000003</c:v>
                </c:pt>
                <c:pt idx="2049">
                  <c:v>7.1161000000000003</c:v>
                </c:pt>
                <c:pt idx="2050">
                  <c:v>7.1260000000000003</c:v>
                </c:pt>
                <c:pt idx="2051">
                  <c:v>7.0179</c:v>
                </c:pt>
                <c:pt idx="2052">
                  <c:v>6.8818999999999999</c:v>
                </c:pt>
                <c:pt idx="2053">
                  <c:v>6.8133999999999997</c:v>
                </c:pt>
                <c:pt idx="2054">
                  <c:v>6.8273999999999999</c:v>
                </c:pt>
                <c:pt idx="2055">
                  <c:v>6.8380000000000001</c:v>
                </c:pt>
                <c:pt idx="2056">
                  <c:v>6.7168999999999999</c:v>
                </c:pt>
                <c:pt idx="2057">
                  <c:v>6.7432999999999996</c:v>
                </c:pt>
                <c:pt idx="2058">
                  <c:v>6.8170000000000002</c:v>
                </c:pt>
                <c:pt idx="2059">
                  <c:v>6.7664999999999997</c:v>
                </c:pt>
                <c:pt idx="2060">
                  <c:v>6.7355999999999998</c:v>
                </c:pt>
                <c:pt idx="2061">
                  <c:v>6.6303999999999998</c:v>
                </c:pt>
                <c:pt idx="2062">
                  <c:v>6.6448999999999998</c:v>
                </c:pt>
                <c:pt idx="2063">
                  <c:v>6.7256999999999998</c:v>
                </c:pt>
                <c:pt idx="2064">
                  <c:v>6.6692</c:v>
                </c:pt>
                <c:pt idx="2065">
                  <c:v>6.5140000000000002</c:v>
                </c:pt>
                <c:pt idx="2066">
                  <c:v>6.4893999999999998</c:v>
                </c:pt>
                <c:pt idx="2067">
                  <c:v>6.5377999999999998</c:v>
                </c:pt>
                <c:pt idx="2068">
                  <c:v>6.5978000000000003</c:v>
                </c:pt>
                <c:pt idx="2069">
                  <c:v>6.6346999999999996</c:v>
                </c:pt>
                <c:pt idx="2070">
                  <c:v>6.5252999999999997</c:v>
                </c:pt>
                <c:pt idx="2071">
                  <c:v>6.6342999999999996</c:v>
                </c:pt>
                <c:pt idx="2072">
                  <c:v>6.4135</c:v>
                </c:pt>
                <c:pt idx="2073">
                  <c:v>6.4360999999999997</c:v>
                </c:pt>
                <c:pt idx="2074">
                  <c:v>6.2263999999999999</c:v>
                </c:pt>
                <c:pt idx="2075">
                  <c:v>6.4168000000000003</c:v>
                </c:pt>
                <c:pt idx="2076">
                  <c:v>6.4248000000000003</c:v>
                </c:pt>
                <c:pt idx="2077">
                  <c:v>6.1166</c:v>
                </c:pt>
                <c:pt idx="2078">
                  <c:v>6.1197999999999997</c:v>
                </c:pt>
                <c:pt idx="2079">
                  <c:v>6.0579000000000001</c:v>
                </c:pt>
                <c:pt idx="2080">
                  <c:v>6.1045999999999996</c:v>
                </c:pt>
                <c:pt idx="2081">
                  <c:v>6.0347999999999997</c:v>
                </c:pt>
                <c:pt idx="2082">
                  <c:v>6.0578000000000003</c:v>
                </c:pt>
                <c:pt idx="2083">
                  <c:v>6.1228999999999996</c:v>
                </c:pt>
                <c:pt idx="2084">
                  <c:v>6.0465</c:v>
                </c:pt>
                <c:pt idx="2085">
                  <c:v>6.0381</c:v>
                </c:pt>
                <c:pt idx="2086">
                  <c:v>6.1459999999999999</c:v>
                </c:pt>
                <c:pt idx="2087">
                  <c:v>6.1679000000000004</c:v>
                </c:pt>
                <c:pt idx="2088">
                  <c:v>6.0385</c:v>
                </c:pt>
                <c:pt idx="2089">
                  <c:v>5.9782000000000002</c:v>
                </c:pt>
                <c:pt idx="2090">
                  <c:v>6.0392000000000001</c:v>
                </c:pt>
                <c:pt idx="2091">
                  <c:v>5.9698000000000002</c:v>
                </c:pt>
                <c:pt idx="2092">
                  <c:v>5.968</c:v>
                </c:pt>
                <c:pt idx="2093">
                  <c:v>6.0708000000000002</c:v>
                </c:pt>
                <c:pt idx="2094">
                  <c:v>6.1215999999999999</c:v>
                </c:pt>
                <c:pt idx="2095">
                  <c:v>6.1142000000000003</c:v>
                </c:pt>
                <c:pt idx="2096">
                  <c:v>6.1226000000000003</c:v>
                </c:pt>
                <c:pt idx="2097">
                  <c:v>6.1071</c:v>
                </c:pt>
                <c:pt idx="2098">
                  <c:v>6.0537000000000001</c:v>
                </c:pt>
                <c:pt idx="2099">
                  <c:v>6.0308000000000002</c:v>
                </c:pt>
                <c:pt idx="2100">
                  <c:v>6.0542999999999996</c:v>
                </c:pt>
                <c:pt idx="2101">
                  <c:v>6.0979999999999999</c:v>
                </c:pt>
                <c:pt idx="2102">
                  <c:v>6.1546000000000003</c:v>
                </c:pt>
                <c:pt idx="2103">
                  <c:v>6.1942000000000004</c:v>
                </c:pt>
                <c:pt idx="2104">
                  <c:v>6.2709000000000001</c:v>
                </c:pt>
                <c:pt idx="2105">
                  <c:v>6.3097000000000003</c:v>
                </c:pt>
                <c:pt idx="2106">
                  <c:v>6.2736999999999998</c:v>
                </c:pt>
                <c:pt idx="2107">
                  <c:v>6.2744999999999997</c:v>
                </c:pt>
                <c:pt idx="2108">
                  <c:v>6.3353999999999999</c:v>
                </c:pt>
                <c:pt idx="2109">
                  <c:v>6.3132999999999999</c:v>
                </c:pt>
                <c:pt idx="2110">
                  <c:v>6.3752000000000004</c:v>
                </c:pt>
                <c:pt idx="2111">
                  <c:v>6.2553999999999998</c:v>
                </c:pt>
                <c:pt idx="2112">
                  <c:v>6.1909000000000001</c:v>
                </c:pt>
                <c:pt idx="2113">
                  <c:v>6.2141000000000002</c:v>
                </c:pt>
                <c:pt idx="2114">
                  <c:v>6.2278000000000002</c:v>
                </c:pt>
                <c:pt idx="2115">
                  <c:v>6.2747000000000002</c:v>
                </c:pt>
                <c:pt idx="2116">
                  <c:v>6.2073</c:v>
                </c:pt>
                <c:pt idx="2117">
                  <c:v>6.2766000000000002</c:v>
                </c:pt>
                <c:pt idx="2118">
                  <c:v>6.2736999999999998</c:v>
                </c:pt>
                <c:pt idx="2119">
                  <c:v>6.2735000000000003</c:v>
                </c:pt>
                <c:pt idx="2120">
                  <c:v>6.2998000000000003</c:v>
                </c:pt>
                <c:pt idx="2121">
                  <c:v>6.2378999999999998</c:v>
                </c:pt>
                <c:pt idx="2122">
                  <c:v>6.1184000000000003</c:v>
                </c:pt>
                <c:pt idx="2123">
                  <c:v>6.1562999999999999</c:v>
                </c:pt>
                <c:pt idx="2124">
                  <c:v>6.1729000000000003</c:v>
                </c:pt>
                <c:pt idx="2125">
                  <c:v>6.1382000000000003</c:v>
                </c:pt>
                <c:pt idx="2126">
                  <c:v>6.1256000000000004</c:v>
                </c:pt>
                <c:pt idx="2127">
                  <c:v>6.0926</c:v>
                </c:pt>
                <c:pt idx="2128">
                  <c:v>6.0949999999999998</c:v>
                </c:pt>
                <c:pt idx="2129">
                  <c:v>6.0548000000000002</c:v>
                </c:pt>
                <c:pt idx="2130">
                  <c:v>6.0384000000000002</c:v>
                </c:pt>
                <c:pt idx="2131">
                  <c:v>6.0505000000000004</c:v>
                </c:pt>
                <c:pt idx="2132">
                  <c:v>6.0997000000000003</c:v>
                </c:pt>
                <c:pt idx="2133">
                  <c:v>6.1269</c:v>
                </c:pt>
                <c:pt idx="2134">
                  <c:v>6.1676000000000002</c:v>
                </c:pt>
                <c:pt idx="2135">
                  <c:v>6.1730999999999998</c:v>
                </c:pt>
                <c:pt idx="2136">
                  <c:v>6.1132</c:v>
                </c:pt>
                <c:pt idx="2137">
                  <c:v>6.1687000000000003</c:v>
                </c:pt>
                <c:pt idx="2138">
                  <c:v>6.2290999999999999</c:v>
                </c:pt>
                <c:pt idx="2139">
                  <c:v>6.1250999999999998</c:v>
                </c:pt>
                <c:pt idx="2140">
                  <c:v>6.0951000000000004</c:v>
                </c:pt>
                <c:pt idx="2141">
                  <c:v>6.0857000000000001</c:v>
                </c:pt>
                <c:pt idx="2142">
                  <c:v>6.1303999999999998</c:v>
                </c:pt>
                <c:pt idx="2143">
                  <c:v>6.0777999999999999</c:v>
                </c:pt>
                <c:pt idx="2144">
                  <c:v>6.1125999999999996</c:v>
                </c:pt>
                <c:pt idx="2145">
                  <c:v>6.1748000000000003</c:v>
                </c:pt>
                <c:pt idx="2146">
                  <c:v>6.1071999999999997</c:v>
                </c:pt>
                <c:pt idx="2147">
                  <c:v>6.0758999999999999</c:v>
                </c:pt>
                <c:pt idx="2148">
                  <c:v>6.0378999999999996</c:v>
                </c:pt>
                <c:pt idx="2149">
                  <c:v>6.0152000000000001</c:v>
                </c:pt>
                <c:pt idx="2150">
                  <c:v>5.9776999999999996</c:v>
                </c:pt>
                <c:pt idx="2151">
                  <c:v>5.9928999999999997</c:v>
                </c:pt>
                <c:pt idx="2152">
                  <c:v>6.0587</c:v>
                </c:pt>
                <c:pt idx="2153">
                  <c:v>6.0709999999999997</c:v>
                </c:pt>
                <c:pt idx="2154">
                  <c:v>5.9985999999999997</c:v>
                </c:pt>
                <c:pt idx="2155">
                  <c:v>5.9951999999999996</c:v>
                </c:pt>
                <c:pt idx="2156">
                  <c:v>6.0960000000000001</c:v>
                </c:pt>
                <c:pt idx="2157">
                  <c:v>6.0388999999999999</c:v>
                </c:pt>
                <c:pt idx="2158">
                  <c:v>6.1398000000000001</c:v>
                </c:pt>
                <c:pt idx="2159">
                  <c:v>6.0770999999999997</c:v>
                </c:pt>
                <c:pt idx="2160">
                  <c:v>6.1092000000000004</c:v>
                </c:pt>
                <c:pt idx="2161">
                  <c:v>6.1508000000000003</c:v>
                </c:pt>
                <c:pt idx="2162">
                  <c:v>6.1969000000000003</c:v>
                </c:pt>
                <c:pt idx="2163">
                  <c:v>6.1702000000000004</c:v>
                </c:pt>
                <c:pt idx="2164">
                  <c:v>6.2961</c:v>
                </c:pt>
                <c:pt idx="2165">
                  <c:v>6.3205</c:v>
                </c:pt>
                <c:pt idx="2166">
                  <c:v>6.3354999999999997</c:v>
                </c:pt>
                <c:pt idx="2167">
                  <c:v>6.3348000000000004</c:v>
                </c:pt>
                <c:pt idx="2168">
                  <c:v>6.3704999999999998</c:v>
                </c:pt>
                <c:pt idx="2169">
                  <c:v>6.3754999999999997</c:v>
                </c:pt>
                <c:pt idx="2170">
                  <c:v>6.3875000000000002</c:v>
                </c:pt>
                <c:pt idx="2171">
                  <c:v>6.3832000000000004</c:v>
                </c:pt>
                <c:pt idx="2172">
                  <c:v>6.3644999999999996</c:v>
                </c:pt>
                <c:pt idx="2173">
                  <c:v>6.3874000000000004</c:v>
                </c:pt>
                <c:pt idx="2174">
                  <c:v>6.3567999999999998</c:v>
                </c:pt>
                <c:pt idx="2175">
                  <c:v>6.2629000000000001</c:v>
                </c:pt>
                <c:pt idx="2176">
                  <c:v>6.3449</c:v>
                </c:pt>
                <c:pt idx="2177">
                  <c:v>6.3627000000000002</c:v>
                </c:pt>
                <c:pt idx="2178">
                  <c:v>6.3630000000000004</c:v>
                </c:pt>
                <c:pt idx="2179">
                  <c:v>6.3207000000000004</c:v>
                </c:pt>
                <c:pt idx="2180">
                  <c:v>6.3079000000000001</c:v>
                </c:pt>
                <c:pt idx="2181">
                  <c:v>6.3216999999999999</c:v>
                </c:pt>
                <c:pt idx="2182">
                  <c:v>6.3905000000000003</c:v>
                </c:pt>
                <c:pt idx="2183">
                  <c:v>6.4283999999999999</c:v>
                </c:pt>
                <c:pt idx="2184">
                  <c:v>6.4691999999999998</c:v>
                </c:pt>
                <c:pt idx="2185">
                  <c:v>6.4752999999999998</c:v>
                </c:pt>
                <c:pt idx="2186">
                  <c:v>6.4836999999999998</c:v>
                </c:pt>
                <c:pt idx="2187">
                  <c:v>6.5340999999999996</c:v>
                </c:pt>
                <c:pt idx="2188">
                  <c:v>6.5256999999999996</c:v>
                </c:pt>
                <c:pt idx="2189">
                  <c:v>6.5175000000000001</c:v>
                </c:pt>
                <c:pt idx="2190">
                  <c:v>6.5869</c:v>
                </c:pt>
                <c:pt idx="2191">
                  <c:v>6.6196000000000002</c:v>
                </c:pt>
                <c:pt idx="2192">
                  <c:v>6.6582999999999997</c:v>
                </c:pt>
                <c:pt idx="2193">
                  <c:v>6.7141000000000002</c:v>
                </c:pt>
                <c:pt idx="2194">
                  <c:v>6.7374999999999998</c:v>
                </c:pt>
                <c:pt idx="2195">
                  <c:v>6.76</c:v>
                </c:pt>
                <c:pt idx="2196">
                  <c:v>6.7732999999999999</c:v>
                </c:pt>
                <c:pt idx="2197">
                  <c:v>6.718</c:v>
                </c:pt>
                <c:pt idx="2198">
                  <c:v>6.7668999999999997</c:v>
                </c:pt>
                <c:pt idx="2199">
                  <c:v>6.7560000000000002</c:v>
                </c:pt>
                <c:pt idx="2200">
                  <c:v>6.7161</c:v>
                </c:pt>
                <c:pt idx="2201">
                  <c:v>6.7674000000000003</c:v>
                </c:pt>
                <c:pt idx="2202">
                  <c:v>6.7066999999999997</c:v>
                </c:pt>
                <c:pt idx="2203">
                  <c:v>6.6485000000000003</c:v>
                </c:pt>
                <c:pt idx="2204">
                  <c:v>6.6333000000000002</c:v>
                </c:pt>
                <c:pt idx="2205">
                  <c:v>6.6547999999999998</c:v>
                </c:pt>
                <c:pt idx="2206">
                  <c:v>6.7190000000000003</c:v>
                </c:pt>
                <c:pt idx="2207">
                  <c:v>6.7121000000000004</c:v>
                </c:pt>
                <c:pt idx="2208">
                  <c:v>6.6936</c:v>
                </c:pt>
                <c:pt idx="2209">
                  <c:v>6.7041000000000004</c:v>
                </c:pt>
                <c:pt idx="2210">
                  <c:v>6.6234999999999999</c:v>
                </c:pt>
                <c:pt idx="2211">
                  <c:v>6.6391999999999998</c:v>
                </c:pt>
                <c:pt idx="2212">
                  <c:v>6.6323999999999996</c:v>
                </c:pt>
                <c:pt idx="2213">
                  <c:v>6.5865999999999998</c:v>
                </c:pt>
                <c:pt idx="2214">
                  <c:v>6.5762</c:v>
                </c:pt>
                <c:pt idx="2215">
                  <c:v>6.6219000000000001</c:v>
                </c:pt>
                <c:pt idx="2216">
                  <c:v>6.5704000000000002</c:v>
                </c:pt>
                <c:pt idx="2217">
                  <c:v>6.4993999999999996</c:v>
                </c:pt>
                <c:pt idx="2218">
                  <c:v>6.5915999999999997</c:v>
                </c:pt>
                <c:pt idx="2219">
                  <c:v>6.6397000000000004</c:v>
                </c:pt>
                <c:pt idx="2220">
                  <c:v>6.5625</c:v>
                </c:pt>
                <c:pt idx="2221">
                  <c:v>6.5255999999999998</c:v>
                </c:pt>
                <c:pt idx="2222">
                  <c:v>6.5350000000000001</c:v>
                </c:pt>
                <c:pt idx="2223">
                  <c:v>6.5475000000000003</c:v>
                </c:pt>
                <c:pt idx="2224">
                  <c:v>6.5612000000000004</c:v>
                </c:pt>
                <c:pt idx="2225">
                  <c:v>6.4555999999999996</c:v>
                </c:pt>
                <c:pt idx="2226">
                  <c:v>6.4421999999999997</c:v>
                </c:pt>
                <c:pt idx="2227">
                  <c:v>6.4093</c:v>
                </c:pt>
                <c:pt idx="2228">
                  <c:v>6.3692000000000002</c:v>
                </c:pt>
                <c:pt idx="2229">
                  <c:v>6.3869999999999996</c:v>
                </c:pt>
                <c:pt idx="2230">
                  <c:v>6.4523999999999999</c:v>
                </c:pt>
                <c:pt idx="2231">
                  <c:v>6.3796999999999997</c:v>
                </c:pt>
                <c:pt idx="2232">
                  <c:v>6.3933</c:v>
                </c:pt>
                <c:pt idx="2233">
                  <c:v>6.3552</c:v>
                </c:pt>
                <c:pt idx="2234">
                  <c:v>6.3478000000000003</c:v>
                </c:pt>
                <c:pt idx="2235">
                  <c:v>6.3735999999999997</c:v>
                </c:pt>
                <c:pt idx="2236">
                  <c:v>6.4050000000000002</c:v>
                </c:pt>
                <c:pt idx="2237">
                  <c:v>6.4539</c:v>
                </c:pt>
                <c:pt idx="2238">
                  <c:v>6.3642000000000003</c:v>
                </c:pt>
                <c:pt idx="2239">
                  <c:v>6.3937999999999997</c:v>
                </c:pt>
                <c:pt idx="2240">
                  <c:v>6.3589000000000002</c:v>
                </c:pt>
                <c:pt idx="2241">
                  <c:v>6.3750999999999998</c:v>
                </c:pt>
                <c:pt idx="2242">
                  <c:v>6.3711000000000002</c:v>
                </c:pt>
                <c:pt idx="2243">
                  <c:v>6.3159999999999998</c:v>
                </c:pt>
                <c:pt idx="2244">
                  <c:v>6.3258000000000001</c:v>
                </c:pt>
                <c:pt idx="2245">
                  <c:v>6.2976999999999999</c:v>
                </c:pt>
                <c:pt idx="2246">
                  <c:v>6.2811000000000003</c:v>
                </c:pt>
                <c:pt idx="2247">
                  <c:v>6.2347000000000001</c:v>
                </c:pt>
                <c:pt idx="2248">
                  <c:v>6.2647000000000004</c:v>
                </c:pt>
                <c:pt idx="2249">
                  <c:v>6.3810000000000002</c:v>
                </c:pt>
                <c:pt idx="2250">
                  <c:v>6.5033000000000003</c:v>
                </c:pt>
                <c:pt idx="2251">
                  <c:v>6.4808000000000003</c:v>
                </c:pt>
                <c:pt idx="2252">
                  <c:v>6.4355000000000002</c:v>
                </c:pt>
                <c:pt idx="2253">
                  <c:v>6.4561999999999999</c:v>
                </c:pt>
                <c:pt idx="2254">
                  <c:v>6.4565000000000001</c:v>
                </c:pt>
                <c:pt idx="2255">
                  <c:v>6.4958999999999998</c:v>
                </c:pt>
                <c:pt idx="2256">
                  <c:v>6.4882999999999997</c:v>
                </c:pt>
                <c:pt idx="2257">
                  <c:v>6.5225999999999997</c:v>
                </c:pt>
                <c:pt idx="2258">
                  <c:v>6.548</c:v>
                </c:pt>
                <c:pt idx="2259">
                  <c:v>6.4973000000000001</c:v>
                </c:pt>
                <c:pt idx="2260">
                  <c:v>6.4630000000000001</c:v>
                </c:pt>
                <c:pt idx="2261">
                  <c:v>6.4401000000000002</c:v>
                </c:pt>
                <c:pt idx="2262">
                  <c:v>6.4303999999999997</c:v>
                </c:pt>
                <c:pt idx="2263">
                  <c:v>6.3437999999999999</c:v>
                </c:pt>
                <c:pt idx="2264">
                  <c:v>6.3753000000000002</c:v>
                </c:pt>
                <c:pt idx="2265">
                  <c:v>6.3983999999999996</c:v>
                </c:pt>
                <c:pt idx="2266">
                  <c:v>6.4747000000000003</c:v>
                </c:pt>
                <c:pt idx="2267">
                  <c:v>6.4405000000000001</c:v>
                </c:pt>
                <c:pt idx="2268">
                  <c:v>6.4405000000000001</c:v>
                </c:pt>
                <c:pt idx="2269">
                  <c:v>6.5044000000000004</c:v>
                </c:pt>
                <c:pt idx="2270">
                  <c:v>6.4943</c:v>
                </c:pt>
                <c:pt idx="2271">
                  <c:v>6.5490000000000004</c:v>
                </c:pt>
                <c:pt idx="2272">
                  <c:v>6.6329000000000002</c:v>
                </c:pt>
                <c:pt idx="2273">
                  <c:v>6.6429</c:v>
                </c:pt>
                <c:pt idx="2274">
                  <c:v>6.6906999999999996</c:v>
                </c:pt>
                <c:pt idx="2275">
                  <c:v>6.6801000000000004</c:v>
                </c:pt>
                <c:pt idx="2276">
                  <c:v>6.6768999999999998</c:v>
                </c:pt>
                <c:pt idx="2277">
                  <c:v>6.5769000000000002</c:v>
                </c:pt>
                <c:pt idx="2278">
                  <c:v>6.5857999999999999</c:v>
                </c:pt>
                <c:pt idx="2279">
                  <c:v>6.6619000000000002</c:v>
                </c:pt>
                <c:pt idx="2280">
                  <c:v>6.7118000000000002</c:v>
                </c:pt>
                <c:pt idx="2281">
                  <c:v>6.6407999999999996</c:v>
                </c:pt>
                <c:pt idx="2282">
                  <c:v>6.5952000000000002</c:v>
                </c:pt>
                <c:pt idx="2283">
                  <c:v>6.6647999999999996</c:v>
                </c:pt>
                <c:pt idx="2284">
                  <c:v>6.5370999999999997</c:v>
                </c:pt>
                <c:pt idx="2285">
                  <c:v>6.6563999999999997</c:v>
                </c:pt>
                <c:pt idx="2286">
                  <c:v>6.8383000000000003</c:v>
                </c:pt>
                <c:pt idx="2287">
                  <c:v>6.9185999999999996</c:v>
                </c:pt>
                <c:pt idx="2288">
                  <c:v>6.8558000000000003</c:v>
                </c:pt>
                <c:pt idx="2289">
                  <c:v>6.8140999999999998</c:v>
                </c:pt>
                <c:pt idx="2290">
                  <c:v>6.8686999999999996</c:v>
                </c:pt>
                <c:pt idx="2291">
                  <c:v>6.8509000000000002</c:v>
                </c:pt>
                <c:pt idx="2292">
                  <c:v>6.7081</c:v>
                </c:pt>
                <c:pt idx="2293">
                  <c:v>6.6727999999999996</c:v>
                </c:pt>
                <c:pt idx="2294">
                  <c:v>6.7541000000000002</c:v>
                </c:pt>
                <c:pt idx="2295">
                  <c:v>6.6391999999999998</c:v>
                </c:pt>
                <c:pt idx="2296">
                  <c:v>6.6643999999999997</c:v>
                </c:pt>
                <c:pt idx="2297">
                  <c:v>6.7629000000000001</c:v>
                </c:pt>
                <c:pt idx="2298">
                  <c:v>6.7641</c:v>
                </c:pt>
                <c:pt idx="2299">
                  <c:v>6.7037000000000004</c:v>
                </c:pt>
                <c:pt idx="2300">
                  <c:v>6.7939999999999996</c:v>
                </c:pt>
                <c:pt idx="2301">
                  <c:v>6.6622000000000003</c:v>
                </c:pt>
                <c:pt idx="2302">
                  <c:v>6.6936999999999998</c:v>
                </c:pt>
                <c:pt idx="2303">
                  <c:v>6.8680000000000003</c:v>
                </c:pt>
                <c:pt idx="2304">
                  <c:v>6.8532999999999999</c:v>
                </c:pt>
                <c:pt idx="2305">
                  <c:v>6.7832999999999997</c:v>
                </c:pt>
                <c:pt idx="2306">
                  <c:v>6.7248999999999999</c:v>
                </c:pt>
                <c:pt idx="2307">
                  <c:v>6.8239999999999998</c:v>
                </c:pt>
                <c:pt idx="2308">
                  <c:v>6.6664000000000003</c:v>
                </c:pt>
                <c:pt idx="2309">
                  <c:v>6.6862000000000004</c:v>
                </c:pt>
                <c:pt idx="2310">
                  <c:v>6.7695999999999996</c:v>
                </c:pt>
                <c:pt idx="2311">
                  <c:v>6.8048999999999999</c:v>
                </c:pt>
                <c:pt idx="2312">
                  <c:v>6.8606999999999996</c:v>
                </c:pt>
                <c:pt idx="2313">
                  <c:v>6.8118999999999996</c:v>
                </c:pt>
                <c:pt idx="2314">
                  <c:v>6.7072000000000003</c:v>
                </c:pt>
                <c:pt idx="2315">
                  <c:v>6.6306000000000003</c:v>
                </c:pt>
                <c:pt idx="2316">
                  <c:v>6.6355000000000004</c:v>
                </c:pt>
                <c:pt idx="2317">
                  <c:v>6.5237999999999996</c:v>
                </c:pt>
                <c:pt idx="2318">
                  <c:v>6.5574000000000003</c:v>
                </c:pt>
                <c:pt idx="2319">
                  <c:v>6.5046999999999997</c:v>
                </c:pt>
                <c:pt idx="2320">
                  <c:v>6.5571999999999999</c:v>
                </c:pt>
                <c:pt idx="2321">
                  <c:v>6.3789999999999996</c:v>
                </c:pt>
                <c:pt idx="2322">
                  <c:v>6.3749000000000002</c:v>
                </c:pt>
                <c:pt idx="2323">
                  <c:v>6.4398</c:v>
                </c:pt>
                <c:pt idx="2324">
                  <c:v>6.4165999999999999</c:v>
                </c:pt>
                <c:pt idx="2325">
                  <c:v>6.3376000000000001</c:v>
                </c:pt>
                <c:pt idx="2326">
                  <c:v>6.3059000000000003</c:v>
                </c:pt>
                <c:pt idx="2327">
                  <c:v>6.23</c:v>
                </c:pt>
                <c:pt idx="2328">
                  <c:v>6.1737000000000002</c:v>
                </c:pt>
                <c:pt idx="2329">
                  <c:v>6.1856999999999998</c:v>
                </c:pt>
                <c:pt idx="2330">
                  <c:v>6.0655000000000001</c:v>
                </c:pt>
                <c:pt idx="2331">
                  <c:v>5.9656000000000002</c:v>
                </c:pt>
                <c:pt idx="2332">
                  <c:v>5.9519000000000002</c:v>
                </c:pt>
                <c:pt idx="2333">
                  <c:v>6.0568999999999997</c:v>
                </c:pt>
                <c:pt idx="2334">
                  <c:v>6.1246</c:v>
                </c:pt>
                <c:pt idx="2335">
                  <c:v>6.0772000000000004</c:v>
                </c:pt>
                <c:pt idx="2336">
                  <c:v>6.0831</c:v>
                </c:pt>
                <c:pt idx="2337">
                  <c:v>6.0877999999999997</c:v>
                </c:pt>
                <c:pt idx="2338">
                  <c:v>6.0442</c:v>
                </c:pt>
                <c:pt idx="2339">
                  <c:v>6.0678000000000001</c:v>
                </c:pt>
                <c:pt idx="2340">
                  <c:v>6.1002999999999998</c:v>
                </c:pt>
                <c:pt idx="2341">
                  <c:v>6.1721000000000004</c:v>
                </c:pt>
                <c:pt idx="2342">
                  <c:v>6.2354000000000003</c:v>
                </c:pt>
                <c:pt idx="2343">
                  <c:v>6.2614000000000001</c:v>
                </c:pt>
                <c:pt idx="2344">
                  <c:v>6.31</c:v>
                </c:pt>
                <c:pt idx="2345">
                  <c:v>6.1577000000000002</c:v>
                </c:pt>
                <c:pt idx="2346">
                  <c:v>6.1227999999999998</c:v>
                </c:pt>
                <c:pt idx="2347">
                  <c:v>6.1475999999999997</c:v>
                </c:pt>
                <c:pt idx="2348">
                  <c:v>6.1052999999999997</c:v>
                </c:pt>
                <c:pt idx="2349">
                  <c:v>6.1858000000000004</c:v>
                </c:pt>
                <c:pt idx="2350">
                  <c:v>6.1050000000000004</c:v>
                </c:pt>
                <c:pt idx="2351">
                  <c:v>6.1017000000000001</c:v>
                </c:pt>
                <c:pt idx="2352">
                  <c:v>6.2693000000000003</c:v>
                </c:pt>
                <c:pt idx="2353">
                  <c:v>6.2015000000000002</c:v>
                </c:pt>
                <c:pt idx="2354">
                  <c:v>6.2233999999999998</c:v>
                </c:pt>
                <c:pt idx="2355">
                  <c:v>6.2404000000000002</c:v>
                </c:pt>
                <c:pt idx="2356">
                  <c:v>6.2910000000000004</c:v>
                </c:pt>
                <c:pt idx="2357">
                  <c:v>6.3613</c:v>
                </c:pt>
                <c:pt idx="2358">
                  <c:v>6.1839000000000004</c:v>
                </c:pt>
                <c:pt idx="2359">
                  <c:v>6.2252000000000001</c:v>
                </c:pt>
                <c:pt idx="2360">
                  <c:v>6.0961999999999996</c:v>
                </c:pt>
                <c:pt idx="2361">
                  <c:v>6.08</c:v>
                </c:pt>
                <c:pt idx="2362">
                  <c:v>6.0929000000000002</c:v>
                </c:pt>
                <c:pt idx="2363">
                  <c:v>6.0956999999999999</c:v>
                </c:pt>
                <c:pt idx="2364">
                  <c:v>6.0400999999999998</c:v>
                </c:pt>
                <c:pt idx="2365">
                  <c:v>5.8666</c:v>
                </c:pt>
                <c:pt idx="2366">
                  <c:v>5.8501000000000003</c:v>
                </c:pt>
                <c:pt idx="2367">
                  <c:v>5.7789000000000001</c:v>
                </c:pt>
                <c:pt idx="2368">
                  <c:v>5.7576999999999998</c:v>
                </c:pt>
                <c:pt idx="2369">
                  <c:v>5.8536999999999999</c:v>
                </c:pt>
                <c:pt idx="2370">
                  <c:v>5.8753000000000002</c:v>
                </c:pt>
                <c:pt idx="2371">
                  <c:v>5.9756999999999998</c:v>
                </c:pt>
                <c:pt idx="2372">
                  <c:v>5.9278000000000004</c:v>
                </c:pt>
                <c:pt idx="2373">
                  <c:v>5.8726000000000003</c:v>
                </c:pt>
                <c:pt idx="2374">
                  <c:v>5.8421000000000003</c:v>
                </c:pt>
                <c:pt idx="2375">
                  <c:v>5.7870999999999997</c:v>
                </c:pt>
                <c:pt idx="2376">
                  <c:v>5.8506999999999998</c:v>
                </c:pt>
                <c:pt idx="2377">
                  <c:v>5.8429000000000002</c:v>
                </c:pt>
                <c:pt idx="2378">
                  <c:v>5.8160999999999996</c:v>
                </c:pt>
                <c:pt idx="2379">
                  <c:v>5.8573000000000004</c:v>
                </c:pt>
                <c:pt idx="2380">
                  <c:v>5.9385000000000003</c:v>
                </c:pt>
                <c:pt idx="2381">
                  <c:v>5.9554</c:v>
                </c:pt>
                <c:pt idx="2382">
                  <c:v>5.9748999999999999</c:v>
                </c:pt>
                <c:pt idx="2383">
                  <c:v>5.9896000000000003</c:v>
                </c:pt>
                <c:pt idx="2384">
                  <c:v>6.0446</c:v>
                </c:pt>
                <c:pt idx="2385">
                  <c:v>6.0621999999999998</c:v>
                </c:pt>
                <c:pt idx="2386">
                  <c:v>6.1355000000000004</c:v>
                </c:pt>
                <c:pt idx="2387">
                  <c:v>6.2302</c:v>
                </c:pt>
                <c:pt idx="2388">
                  <c:v>6.2518000000000002</c:v>
                </c:pt>
                <c:pt idx="2389">
                  <c:v>6.2392000000000003</c:v>
                </c:pt>
                <c:pt idx="2390">
                  <c:v>6.1852</c:v>
                </c:pt>
                <c:pt idx="2391">
                  <c:v>6.1612999999999998</c:v>
                </c:pt>
                <c:pt idx="2392">
                  <c:v>6.0274000000000001</c:v>
                </c:pt>
                <c:pt idx="2393">
                  <c:v>6.0152000000000001</c:v>
                </c:pt>
                <c:pt idx="2394">
                  <c:v>6.0244999999999997</c:v>
                </c:pt>
                <c:pt idx="2395">
                  <c:v>5.9829999999999997</c:v>
                </c:pt>
                <c:pt idx="2396">
                  <c:v>5.9374000000000002</c:v>
                </c:pt>
                <c:pt idx="2397">
                  <c:v>5.9051999999999998</c:v>
                </c:pt>
                <c:pt idx="2398">
                  <c:v>5.9724000000000004</c:v>
                </c:pt>
                <c:pt idx="2399">
                  <c:v>5.9553000000000003</c:v>
                </c:pt>
                <c:pt idx="2400">
                  <c:v>5.9603000000000002</c:v>
                </c:pt>
                <c:pt idx="2401">
                  <c:v>6.0651999999999999</c:v>
                </c:pt>
                <c:pt idx="2402">
                  <c:v>6.0669000000000004</c:v>
                </c:pt>
                <c:pt idx="2403">
                  <c:v>6.0453000000000001</c:v>
                </c:pt>
                <c:pt idx="2404">
                  <c:v>6.1031000000000004</c:v>
                </c:pt>
                <c:pt idx="2405">
                  <c:v>6.0648999999999997</c:v>
                </c:pt>
                <c:pt idx="2406">
                  <c:v>6.0876999999999999</c:v>
                </c:pt>
                <c:pt idx="2407">
                  <c:v>5.9928999999999997</c:v>
                </c:pt>
                <c:pt idx="2408">
                  <c:v>6.0186999999999999</c:v>
                </c:pt>
                <c:pt idx="2409">
                  <c:v>5.9585999999999997</c:v>
                </c:pt>
                <c:pt idx="2410">
                  <c:v>6.0518000000000001</c:v>
                </c:pt>
                <c:pt idx="2411">
                  <c:v>6.0795000000000003</c:v>
                </c:pt>
                <c:pt idx="2412">
                  <c:v>6.0006000000000004</c:v>
                </c:pt>
                <c:pt idx="2413">
                  <c:v>5.8459000000000003</c:v>
                </c:pt>
                <c:pt idx="2414">
                  <c:v>5.6736000000000004</c:v>
                </c:pt>
                <c:pt idx="2415">
                  <c:v>5.6497000000000002</c:v>
                </c:pt>
                <c:pt idx="2416">
                  <c:v>5.6356000000000002</c:v>
                </c:pt>
                <c:pt idx="2417">
                  <c:v>5.6902999999999997</c:v>
                </c:pt>
                <c:pt idx="2418">
                  <c:v>5.6147999999999998</c:v>
                </c:pt>
                <c:pt idx="2419">
                  <c:v>5.6332000000000004</c:v>
                </c:pt>
                <c:pt idx="2420">
                  <c:v>5.6486999999999998</c:v>
                </c:pt>
                <c:pt idx="2421">
                  <c:v>5.6418999999999997</c:v>
                </c:pt>
                <c:pt idx="2422">
                  <c:v>5.6634000000000002</c:v>
                </c:pt>
                <c:pt idx="2423">
                  <c:v>5.7043999999999997</c:v>
                </c:pt>
                <c:pt idx="2424">
                  <c:v>5.7514000000000003</c:v>
                </c:pt>
                <c:pt idx="2425">
                  <c:v>5.7680999999999996</c:v>
                </c:pt>
                <c:pt idx="2426">
                  <c:v>5.7317999999999998</c:v>
                </c:pt>
                <c:pt idx="2427">
                  <c:v>5.6986999999999997</c:v>
                </c:pt>
                <c:pt idx="2428">
                  <c:v>5.7858999999999998</c:v>
                </c:pt>
                <c:pt idx="2429">
                  <c:v>5.8841999999999999</c:v>
                </c:pt>
                <c:pt idx="2430">
                  <c:v>5.8535000000000004</c:v>
                </c:pt>
                <c:pt idx="2431">
                  <c:v>5.8593000000000002</c:v>
                </c:pt>
                <c:pt idx="2432">
                  <c:v>5.7262000000000004</c:v>
                </c:pt>
                <c:pt idx="2433">
                  <c:v>5.7344999999999997</c:v>
                </c:pt>
                <c:pt idx="2434">
                  <c:v>5.8388</c:v>
                </c:pt>
                <c:pt idx="2435">
                  <c:v>5.7427000000000001</c:v>
                </c:pt>
                <c:pt idx="2436">
                  <c:v>5.7934999999999999</c:v>
                </c:pt>
                <c:pt idx="2437">
                  <c:v>5.7945000000000002</c:v>
                </c:pt>
                <c:pt idx="2438">
                  <c:v>5.8493000000000004</c:v>
                </c:pt>
                <c:pt idx="2439">
                  <c:v>5.8851000000000004</c:v>
                </c:pt>
                <c:pt idx="2440">
                  <c:v>5.9086999999999996</c:v>
                </c:pt>
                <c:pt idx="2441">
                  <c:v>5.9579000000000004</c:v>
                </c:pt>
                <c:pt idx="2442">
                  <c:v>6.0228999999999999</c:v>
                </c:pt>
                <c:pt idx="2443">
                  <c:v>6.0377000000000001</c:v>
                </c:pt>
                <c:pt idx="2444">
                  <c:v>6.0202999999999998</c:v>
                </c:pt>
                <c:pt idx="2445">
                  <c:v>5.96</c:v>
                </c:pt>
                <c:pt idx="2446">
                  <c:v>6.0231000000000003</c:v>
                </c:pt>
                <c:pt idx="2447">
                  <c:v>6.0849000000000002</c:v>
                </c:pt>
                <c:pt idx="2448">
                  <c:v>6.0698999999999996</c:v>
                </c:pt>
                <c:pt idx="2449">
                  <c:v>6.1877000000000004</c:v>
                </c:pt>
                <c:pt idx="2450">
                  <c:v>6.1993999999999998</c:v>
                </c:pt>
                <c:pt idx="2451">
                  <c:v>6.2237999999999998</c:v>
                </c:pt>
                <c:pt idx="2452">
                  <c:v>6.2209000000000003</c:v>
                </c:pt>
                <c:pt idx="2453">
                  <c:v>6.1395</c:v>
                </c:pt>
                <c:pt idx="2454">
                  <c:v>6.1490999999999998</c:v>
                </c:pt>
                <c:pt idx="2455">
                  <c:v>6.1029</c:v>
                </c:pt>
                <c:pt idx="2456">
                  <c:v>6.1528999999999998</c:v>
                </c:pt>
                <c:pt idx="2457">
                  <c:v>6.1638000000000002</c:v>
                </c:pt>
                <c:pt idx="2458">
                  <c:v>6.1272000000000002</c:v>
                </c:pt>
                <c:pt idx="2459">
                  <c:v>6.0865</c:v>
                </c:pt>
                <c:pt idx="2460">
                  <c:v>6.1601999999999997</c:v>
                </c:pt>
                <c:pt idx="2461">
                  <c:v>6.2361000000000004</c:v>
                </c:pt>
                <c:pt idx="2462">
                  <c:v>6.2069000000000001</c:v>
                </c:pt>
                <c:pt idx="2463">
                  <c:v>6.1204000000000001</c:v>
                </c:pt>
                <c:pt idx="2464">
                  <c:v>6.1894</c:v>
                </c:pt>
                <c:pt idx="2465">
                  <c:v>6.2977999999999996</c:v>
                </c:pt>
                <c:pt idx="2466">
                  <c:v>6.2746000000000004</c:v>
                </c:pt>
                <c:pt idx="2467">
                  <c:v>6.3724999999999996</c:v>
                </c:pt>
                <c:pt idx="2468">
                  <c:v>6.4138000000000002</c:v>
                </c:pt>
                <c:pt idx="2469">
                  <c:v>6.4917999999999996</c:v>
                </c:pt>
                <c:pt idx="2470">
                  <c:v>6.5749000000000004</c:v>
                </c:pt>
                <c:pt idx="2471">
                  <c:v>6.5640000000000001</c:v>
                </c:pt>
                <c:pt idx="2472">
                  <c:v>6.5377999999999998</c:v>
                </c:pt>
                <c:pt idx="2473">
                  <c:v>6.5564</c:v>
                </c:pt>
                <c:pt idx="2474">
                  <c:v>6.5925000000000002</c:v>
                </c:pt>
                <c:pt idx="2475">
                  <c:v>6.5850999999999997</c:v>
                </c:pt>
                <c:pt idx="2476">
                  <c:v>6.524</c:v>
                </c:pt>
                <c:pt idx="2477">
                  <c:v>6.5148999999999999</c:v>
                </c:pt>
                <c:pt idx="2478">
                  <c:v>6.4748000000000001</c:v>
                </c:pt>
                <c:pt idx="2479">
                  <c:v>6.4569999999999999</c:v>
                </c:pt>
                <c:pt idx="2480">
                  <c:v>6.4398999999999997</c:v>
                </c:pt>
                <c:pt idx="2481">
                  <c:v>6.4458000000000002</c:v>
                </c:pt>
                <c:pt idx="2482">
                  <c:v>6.4119999999999999</c:v>
                </c:pt>
                <c:pt idx="2483">
                  <c:v>6.4245000000000001</c:v>
                </c:pt>
                <c:pt idx="2484">
                  <c:v>6.4789000000000003</c:v>
                </c:pt>
                <c:pt idx="2485">
                  <c:v>6.4580000000000002</c:v>
                </c:pt>
                <c:pt idx="2486">
                  <c:v>6.4748999999999999</c:v>
                </c:pt>
                <c:pt idx="2487">
                  <c:v>6.54</c:v>
                </c:pt>
                <c:pt idx="2488">
                  <c:v>6.5594999999999999</c:v>
                </c:pt>
                <c:pt idx="2489">
                  <c:v>6.5529999999999999</c:v>
                </c:pt>
                <c:pt idx="2490">
                  <c:v>6.5349000000000004</c:v>
                </c:pt>
                <c:pt idx="2491">
                  <c:v>6.5220000000000002</c:v>
                </c:pt>
                <c:pt idx="2492">
                  <c:v>6.5755999999999997</c:v>
                </c:pt>
                <c:pt idx="2493">
                  <c:v>6.6768999999999998</c:v>
                </c:pt>
                <c:pt idx="2494">
                  <c:v>6.6318000000000001</c:v>
                </c:pt>
                <c:pt idx="2495">
                  <c:v>6.6451000000000002</c:v>
                </c:pt>
                <c:pt idx="2496">
                  <c:v>6.6318000000000001</c:v>
                </c:pt>
                <c:pt idx="2497">
                  <c:v>6.6388999999999996</c:v>
                </c:pt>
                <c:pt idx="2498">
                  <c:v>6.5876999999999999</c:v>
                </c:pt>
                <c:pt idx="2499">
                  <c:v>6.6223999999999998</c:v>
                </c:pt>
                <c:pt idx="2500">
                  <c:v>6.6528999999999998</c:v>
                </c:pt>
                <c:pt idx="2501">
                  <c:v>6.7008999999999999</c:v>
                </c:pt>
                <c:pt idx="2502">
                  <c:v>6.6948999999999996</c:v>
                </c:pt>
                <c:pt idx="2503">
                  <c:v>6.6429</c:v>
                </c:pt>
                <c:pt idx="2504">
                  <c:v>6.6729000000000003</c:v>
                </c:pt>
                <c:pt idx="2505">
                  <c:v>6.7119999999999997</c:v>
                </c:pt>
                <c:pt idx="2506">
                  <c:v>6.7107999999999999</c:v>
                </c:pt>
                <c:pt idx="2507">
                  <c:v>6.6437999999999997</c:v>
                </c:pt>
                <c:pt idx="2508">
                  <c:v>6.5659000000000001</c:v>
                </c:pt>
                <c:pt idx="2509">
                  <c:v>6.49</c:v>
                </c:pt>
                <c:pt idx="2510">
                  <c:v>6.5133000000000001</c:v>
                </c:pt>
                <c:pt idx="2511">
                  <c:v>6.57</c:v>
                </c:pt>
                <c:pt idx="2512">
                  <c:v>6.5050999999999997</c:v>
                </c:pt>
                <c:pt idx="2513">
                  <c:v>6.52</c:v>
                </c:pt>
                <c:pt idx="2514">
                  <c:v>6.1914999999999996</c:v>
                </c:pt>
                <c:pt idx="2515">
                  <c:v>6.2077999999999998</c:v>
                </c:pt>
                <c:pt idx="2516">
                  <c:v>6.1069000000000004</c:v>
                </c:pt>
                <c:pt idx="2517">
                  <c:v>6.2563000000000004</c:v>
                </c:pt>
                <c:pt idx="2518">
                  <c:v>6.2324999999999999</c:v>
                </c:pt>
                <c:pt idx="2519">
                  <c:v>6.2591000000000001</c:v>
                </c:pt>
                <c:pt idx="2520">
                  <c:v>6.3269000000000002</c:v>
                </c:pt>
                <c:pt idx="2521">
                  <c:v>6.2171000000000003</c:v>
                </c:pt>
                <c:pt idx="2522">
                  <c:v>6.2394999999999996</c:v>
                </c:pt>
                <c:pt idx="2523">
                  <c:v>6.2512999999999996</c:v>
                </c:pt>
                <c:pt idx="2524">
                  <c:v>6.3148999999999997</c:v>
                </c:pt>
                <c:pt idx="2525">
                  <c:v>6.258</c:v>
                </c:pt>
                <c:pt idx="2526">
                  <c:v>6.1649000000000003</c:v>
                </c:pt>
                <c:pt idx="2527">
                  <c:v>6.1718000000000002</c:v>
                </c:pt>
                <c:pt idx="2528">
                  <c:v>6.0770999999999997</c:v>
                </c:pt>
                <c:pt idx="2529">
                  <c:v>5.9720000000000004</c:v>
                </c:pt>
                <c:pt idx="2530">
                  <c:v>5.9359999999999999</c:v>
                </c:pt>
                <c:pt idx="2531">
                  <c:v>5.9439000000000002</c:v>
                </c:pt>
                <c:pt idx="2532">
                  <c:v>6.0814000000000004</c:v>
                </c:pt>
                <c:pt idx="2533">
                  <c:v>6.1073000000000004</c:v>
                </c:pt>
                <c:pt idx="2534">
                  <c:v>6.1048999999999998</c:v>
                </c:pt>
                <c:pt idx="2535">
                  <c:v>6.0644</c:v>
                </c:pt>
                <c:pt idx="2536">
                  <c:v>6.0498000000000003</c:v>
                </c:pt>
                <c:pt idx="2537">
                  <c:v>6.0797999999999996</c:v>
                </c:pt>
                <c:pt idx="2538">
                  <c:v>6.0829000000000004</c:v>
                </c:pt>
                <c:pt idx="2539">
                  <c:v>6.2141999999999999</c:v>
                </c:pt>
                <c:pt idx="2540">
                  <c:v>6.1943000000000001</c:v>
                </c:pt>
                <c:pt idx="2541">
                  <c:v>6.1616</c:v>
                </c:pt>
                <c:pt idx="2542">
                  <c:v>6.2049000000000003</c:v>
                </c:pt>
                <c:pt idx="2543">
                  <c:v>6.1925999999999997</c:v>
                </c:pt>
                <c:pt idx="2544">
                  <c:v>6.2709000000000001</c:v>
                </c:pt>
                <c:pt idx="2545">
                  <c:v>6.2298</c:v>
                </c:pt>
                <c:pt idx="2546">
                  <c:v>6.3117999999999999</c:v>
                </c:pt>
                <c:pt idx="2547">
                  <c:v>6.3277999999999999</c:v>
                </c:pt>
                <c:pt idx="2548">
                  <c:v>6.3068999999999997</c:v>
                </c:pt>
                <c:pt idx="2549">
                  <c:v>6.29</c:v>
                </c:pt>
                <c:pt idx="2550">
                  <c:v>6.3089000000000004</c:v>
                </c:pt>
                <c:pt idx="2551">
                  <c:v>6.3853999999999997</c:v>
                </c:pt>
                <c:pt idx="2552">
                  <c:v>6.5011000000000001</c:v>
                </c:pt>
                <c:pt idx="2553">
                  <c:v>6.4702999999999999</c:v>
                </c:pt>
                <c:pt idx="2554">
                  <c:v>6.6159999999999997</c:v>
                </c:pt>
                <c:pt idx="2555">
                  <c:v>6.5716999999999999</c:v>
                </c:pt>
                <c:pt idx="2556">
                  <c:v>6.5439999999999996</c:v>
                </c:pt>
                <c:pt idx="2557">
                  <c:v>6.6822999999999997</c:v>
                </c:pt>
                <c:pt idx="2558">
                  <c:v>6.6219999999999999</c:v>
                </c:pt>
                <c:pt idx="2559">
                  <c:v>6.4629000000000003</c:v>
                </c:pt>
                <c:pt idx="2560">
                  <c:v>6.4569000000000001</c:v>
                </c:pt>
                <c:pt idx="2561">
                  <c:v>6.4619999999999997</c:v>
                </c:pt>
                <c:pt idx="2562">
                  <c:v>6.4928999999999997</c:v>
                </c:pt>
                <c:pt idx="2563">
                  <c:v>6.4009</c:v>
                </c:pt>
                <c:pt idx="2564">
                  <c:v>6.4737999999999998</c:v>
                </c:pt>
                <c:pt idx="2565">
                  <c:v>6.5109000000000004</c:v>
                </c:pt>
                <c:pt idx="2566">
                  <c:v>6.5178000000000003</c:v>
                </c:pt>
                <c:pt idx="2567">
                  <c:v>6.5724</c:v>
                </c:pt>
                <c:pt idx="2568">
                  <c:v>6.5894000000000004</c:v>
                </c:pt>
                <c:pt idx="2569">
                  <c:v>6.6548999999999996</c:v>
                </c:pt>
                <c:pt idx="2570">
                  <c:v>6.7477999999999998</c:v>
                </c:pt>
                <c:pt idx="2571">
                  <c:v>6.7549000000000001</c:v>
                </c:pt>
                <c:pt idx="2572">
                  <c:v>6.7625000000000002</c:v>
                </c:pt>
                <c:pt idx="2573">
                  <c:v>6.73</c:v>
                </c:pt>
                <c:pt idx="2574">
                  <c:v>6.7938000000000001</c:v>
                </c:pt>
                <c:pt idx="2575">
                  <c:v>6.7213000000000003</c:v>
                </c:pt>
                <c:pt idx="2576">
                  <c:v>6.9279999999999999</c:v>
                </c:pt>
                <c:pt idx="2577">
                  <c:v>6.9413</c:v>
                </c:pt>
                <c:pt idx="2578">
                  <c:v>6.8377999999999997</c:v>
                </c:pt>
                <c:pt idx="2579">
                  <c:v>6.9302999999999999</c:v>
                </c:pt>
                <c:pt idx="2580">
                  <c:v>7.0876000000000001</c:v>
                </c:pt>
                <c:pt idx="2581">
                  <c:v>6.8922999999999996</c:v>
                </c:pt>
                <c:pt idx="2582">
                  <c:v>6.8</c:v>
                </c:pt>
                <c:pt idx="2583">
                  <c:v>6.86</c:v>
                </c:pt>
                <c:pt idx="2584">
                  <c:v>6.9664999999999999</c:v>
                </c:pt>
                <c:pt idx="2585">
                  <c:v>6.8949999999999996</c:v>
                </c:pt>
                <c:pt idx="2586">
                  <c:v>6.8520000000000003</c:v>
                </c:pt>
                <c:pt idx="2587">
                  <c:v>6.9664000000000001</c:v>
                </c:pt>
                <c:pt idx="2588">
                  <c:v>6.7121000000000004</c:v>
                </c:pt>
                <c:pt idx="2589">
                  <c:v>6.69</c:v>
                </c:pt>
                <c:pt idx="2590">
                  <c:v>6.7751000000000001</c:v>
                </c:pt>
                <c:pt idx="2591">
                  <c:v>6.8459000000000003</c:v>
                </c:pt>
                <c:pt idx="2592">
                  <c:v>6.6448999999999998</c:v>
                </c:pt>
                <c:pt idx="2593">
                  <c:v>6.5168999999999997</c:v>
                </c:pt>
                <c:pt idx="2594">
                  <c:v>6.44</c:v>
                </c:pt>
                <c:pt idx="2595">
                  <c:v>6.4630999999999998</c:v>
                </c:pt>
                <c:pt idx="2596">
                  <c:v>6.5780000000000003</c:v>
                </c:pt>
                <c:pt idx="2597">
                  <c:v>6.3811</c:v>
                </c:pt>
                <c:pt idx="2598">
                  <c:v>6.3170999999999999</c:v>
                </c:pt>
                <c:pt idx="2599">
                  <c:v>6.3357999999999999</c:v>
                </c:pt>
                <c:pt idx="2600">
                  <c:v>6.4592000000000001</c:v>
                </c:pt>
                <c:pt idx="2601">
                  <c:v>6.43</c:v>
                </c:pt>
                <c:pt idx="2602">
                  <c:v>6.3548999999999998</c:v>
                </c:pt>
                <c:pt idx="2603">
                  <c:v>6.3135000000000003</c:v>
                </c:pt>
                <c:pt idx="2604">
                  <c:v>6.3352000000000004</c:v>
                </c:pt>
                <c:pt idx="2605">
                  <c:v>6.3400999999999996</c:v>
                </c:pt>
                <c:pt idx="2606">
                  <c:v>6.5106000000000002</c:v>
                </c:pt>
                <c:pt idx="2607">
                  <c:v>6.6106999999999996</c:v>
                </c:pt>
                <c:pt idx="2608">
                  <c:v>6.6078000000000001</c:v>
                </c:pt>
                <c:pt idx="2609">
                  <c:v>6.5457999999999998</c:v>
                </c:pt>
                <c:pt idx="2610">
                  <c:v>6.5294999999999996</c:v>
                </c:pt>
                <c:pt idx="2611">
                  <c:v>6.6497000000000002</c:v>
                </c:pt>
                <c:pt idx="2612">
                  <c:v>6.6826999999999996</c:v>
                </c:pt>
                <c:pt idx="2613">
                  <c:v>6.7346000000000004</c:v>
                </c:pt>
                <c:pt idx="2614">
                  <c:v>6.6772999999999998</c:v>
                </c:pt>
                <c:pt idx="2615">
                  <c:v>6.7428999999999997</c:v>
                </c:pt>
                <c:pt idx="2616">
                  <c:v>6.6750999999999996</c:v>
                </c:pt>
                <c:pt idx="2617">
                  <c:v>6.7149000000000001</c:v>
                </c:pt>
                <c:pt idx="2618">
                  <c:v>6.6269</c:v>
                </c:pt>
                <c:pt idx="2619">
                  <c:v>6.5537999999999998</c:v>
                </c:pt>
                <c:pt idx="2620">
                  <c:v>6.6375999999999999</c:v>
                </c:pt>
                <c:pt idx="2621">
                  <c:v>6.8460000000000001</c:v>
                </c:pt>
                <c:pt idx="2622">
                  <c:v>6.7857000000000003</c:v>
                </c:pt>
                <c:pt idx="2623">
                  <c:v>6.9101999999999997</c:v>
                </c:pt>
                <c:pt idx="2624">
                  <c:v>6.6494</c:v>
                </c:pt>
                <c:pt idx="2625">
                  <c:v>6.6158999999999999</c:v>
                </c:pt>
                <c:pt idx="2626">
                  <c:v>6.6418999999999997</c:v>
                </c:pt>
                <c:pt idx="2627">
                  <c:v>6.6319999999999997</c:v>
                </c:pt>
                <c:pt idx="2628">
                  <c:v>6.5670999999999999</c:v>
                </c:pt>
                <c:pt idx="2629">
                  <c:v>6.6879</c:v>
                </c:pt>
                <c:pt idx="2630">
                  <c:v>6.7576000000000001</c:v>
                </c:pt>
                <c:pt idx="2631">
                  <c:v>6.6726000000000001</c:v>
                </c:pt>
                <c:pt idx="2632">
                  <c:v>6.6672000000000002</c:v>
                </c:pt>
                <c:pt idx="2633">
                  <c:v>6.5602999999999998</c:v>
                </c:pt>
                <c:pt idx="2634">
                  <c:v>6.66</c:v>
                </c:pt>
                <c:pt idx="2635">
                  <c:v>6.6093999999999999</c:v>
                </c:pt>
                <c:pt idx="2636">
                  <c:v>6.6180000000000003</c:v>
                </c:pt>
                <c:pt idx="2637">
                  <c:v>6.7640000000000002</c:v>
                </c:pt>
                <c:pt idx="2638">
                  <c:v>6.9084000000000003</c:v>
                </c:pt>
                <c:pt idx="2639">
                  <c:v>6.9229000000000003</c:v>
                </c:pt>
                <c:pt idx="2640">
                  <c:v>6.9862000000000002</c:v>
                </c:pt>
                <c:pt idx="2641">
                  <c:v>7.0289000000000001</c:v>
                </c:pt>
                <c:pt idx="2642">
                  <c:v>6.8548999999999998</c:v>
                </c:pt>
                <c:pt idx="2643">
                  <c:v>6.9309000000000003</c:v>
                </c:pt>
                <c:pt idx="2644">
                  <c:v>6.9154999999999998</c:v>
                </c:pt>
                <c:pt idx="2645">
                  <c:v>7.0598000000000001</c:v>
                </c:pt>
                <c:pt idx="2646">
                  <c:v>7.1125999999999996</c:v>
                </c:pt>
                <c:pt idx="2647">
                  <c:v>7.0380000000000003</c:v>
                </c:pt>
                <c:pt idx="2648">
                  <c:v>7.0646000000000004</c:v>
                </c:pt>
                <c:pt idx="2649">
                  <c:v>7.1688000000000001</c:v>
                </c:pt>
                <c:pt idx="2650">
                  <c:v>7.2611999999999997</c:v>
                </c:pt>
                <c:pt idx="2651">
                  <c:v>7.1463999999999999</c:v>
                </c:pt>
                <c:pt idx="2652">
                  <c:v>7.1600999999999999</c:v>
                </c:pt>
                <c:pt idx="2653">
                  <c:v>7.0707000000000004</c:v>
                </c:pt>
                <c:pt idx="2654">
                  <c:v>7.29</c:v>
                </c:pt>
                <c:pt idx="2655">
                  <c:v>7.1790000000000003</c:v>
                </c:pt>
                <c:pt idx="2656">
                  <c:v>7.5197000000000003</c:v>
                </c:pt>
                <c:pt idx="2657">
                  <c:v>7.1778000000000004</c:v>
                </c:pt>
                <c:pt idx="2658">
                  <c:v>6.9374000000000002</c:v>
                </c:pt>
                <c:pt idx="2659">
                  <c:v>6.8570000000000002</c:v>
                </c:pt>
                <c:pt idx="2660">
                  <c:v>6.6111000000000004</c:v>
                </c:pt>
                <c:pt idx="2661">
                  <c:v>6.5922999999999998</c:v>
                </c:pt>
                <c:pt idx="2662">
                  <c:v>6.5586000000000002</c:v>
                </c:pt>
                <c:pt idx="2663">
                  <c:v>6.5109000000000004</c:v>
                </c:pt>
                <c:pt idx="2664">
                  <c:v>6.2827000000000002</c:v>
                </c:pt>
                <c:pt idx="2665">
                  <c:v>6.4316000000000004</c:v>
                </c:pt>
                <c:pt idx="2666">
                  <c:v>6.6356999999999999</c:v>
                </c:pt>
                <c:pt idx="2667">
                  <c:v>6.6558000000000002</c:v>
                </c:pt>
                <c:pt idx="2668">
                  <c:v>6.7039999999999997</c:v>
                </c:pt>
                <c:pt idx="2669">
                  <c:v>6.7473999999999998</c:v>
                </c:pt>
                <c:pt idx="2670">
                  <c:v>6.9009</c:v>
                </c:pt>
                <c:pt idx="2671">
                  <c:v>6.9207999999999998</c:v>
                </c:pt>
                <c:pt idx="2672">
                  <c:v>6.9362000000000004</c:v>
                </c:pt>
                <c:pt idx="2673">
                  <c:v>6.6414999999999997</c:v>
                </c:pt>
                <c:pt idx="2674">
                  <c:v>6.5355999999999996</c:v>
                </c:pt>
                <c:pt idx="2675">
                  <c:v>6.3864000000000001</c:v>
                </c:pt>
                <c:pt idx="2676">
                  <c:v>6.3968999999999996</c:v>
                </c:pt>
                <c:pt idx="2677">
                  <c:v>6.3989000000000003</c:v>
                </c:pt>
                <c:pt idx="2678">
                  <c:v>6.4352999999999998</c:v>
                </c:pt>
                <c:pt idx="2679">
                  <c:v>6.4358000000000004</c:v>
                </c:pt>
                <c:pt idx="2680">
                  <c:v>6.4139999999999997</c:v>
                </c:pt>
                <c:pt idx="2681">
                  <c:v>6.2786999999999997</c:v>
                </c:pt>
                <c:pt idx="2682">
                  <c:v>6.3154000000000003</c:v>
                </c:pt>
                <c:pt idx="2683">
                  <c:v>6.2576999999999998</c:v>
                </c:pt>
                <c:pt idx="2684">
                  <c:v>6.3287000000000004</c:v>
                </c:pt>
                <c:pt idx="2685">
                  <c:v>6.3719999999999999</c:v>
                </c:pt>
                <c:pt idx="2686">
                  <c:v>6.3932000000000002</c:v>
                </c:pt>
                <c:pt idx="2687">
                  <c:v>6.4048999999999996</c:v>
                </c:pt>
                <c:pt idx="2688">
                  <c:v>6.4078999999999997</c:v>
                </c:pt>
                <c:pt idx="2689">
                  <c:v>6.4828999999999999</c:v>
                </c:pt>
                <c:pt idx="2690">
                  <c:v>6.5818000000000003</c:v>
                </c:pt>
                <c:pt idx="2691">
                  <c:v>6.5258000000000003</c:v>
                </c:pt>
                <c:pt idx="2692">
                  <c:v>6.5488999999999997</c:v>
                </c:pt>
                <c:pt idx="2693">
                  <c:v>6.5930999999999997</c:v>
                </c:pt>
                <c:pt idx="2694">
                  <c:v>6.57</c:v>
                </c:pt>
                <c:pt idx="2695">
                  <c:v>6.7317999999999998</c:v>
                </c:pt>
                <c:pt idx="2696">
                  <c:v>6.7340999999999998</c:v>
                </c:pt>
                <c:pt idx="2697">
                  <c:v>6.7370999999999999</c:v>
                </c:pt>
                <c:pt idx="2698">
                  <c:v>6.8727999999999998</c:v>
                </c:pt>
                <c:pt idx="2699">
                  <c:v>6.91</c:v>
                </c:pt>
                <c:pt idx="2700">
                  <c:v>6.9649000000000001</c:v>
                </c:pt>
                <c:pt idx="2701">
                  <c:v>6.9541000000000004</c:v>
                </c:pt>
                <c:pt idx="2702">
                  <c:v>7.0191999999999997</c:v>
                </c:pt>
                <c:pt idx="2703">
                  <c:v>6.9379</c:v>
                </c:pt>
                <c:pt idx="2704">
                  <c:v>6.8948999999999998</c:v>
                </c:pt>
                <c:pt idx="2705">
                  <c:v>6.9188999999999998</c:v>
                </c:pt>
                <c:pt idx="2706">
                  <c:v>6.9009</c:v>
                </c:pt>
                <c:pt idx="2707">
                  <c:v>6.9194000000000004</c:v>
                </c:pt>
                <c:pt idx="2708">
                  <c:v>6.9013</c:v>
                </c:pt>
                <c:pt idx="2709">
                  <c:v>6.9589999999999996</c:v>
                </c:pt>
                <c:pt idx="2710">
                  <c:v>6.9240000000000004</c:v>
                </c:pt>
                <c:pt idx="2711">
                  <c:v>6.9225000000000003</c:v>
                </c:pt>
                <c:pt idx="2712">
                  <c:v>6.9686000000000003</c:v>
                </c:pt>
                <c:pt idx="2713">
                  <c:v>6.9880000000000004</c:v>
                </c:pt>
                <c:pt idx="2714">
                  <c:v>7.1429999999999998</c:v>
                </c:pt>
                <c:pt idx="2715">
                  <c:v>7.1543000000000001</c:v>
                </c:pt>
                <c:pt idx="2716">
                  <c:v>7.1958000000000002</c:v>
                </c:pt>
                <c:pt idx="2717">
                  <c:v>7.0533999999999999</c:v>
                </c:pt>
                <c:pt idx="2718">
                  <c:v>6.9980000000000002</c:v>
                </c:pt>
                <c:pt idx="2719">
                  <c:v>6.9618000000000002</c:v>
                </c:pt>
                <c:pt idx="2720">
                  <c:v>7.0362</c:v>
                </c:pt>
                <c:pt idx="2721">
                  <c:v>6.9848999999999997</c:v>
                </c:pt>
                <c:pt idx="2722">
                  <c:v>6.9058000000000002</c:v>
                </c:pt>
                <c:pt idx="2723">
                  <c:v>6.8559999999999999</c:v>
                </c:pt>
                <c:pt idx="2724">
                  <c:v>6.8648999999999996</c:v>
                </c:pt>
                <c:pt idx="2725">
                  <c:v>6.8128000000000002</c:v>
                </c:pt>
                <c:pt idx="2726">
                  <c:v>6.9427000000000003</c:v>
                </c:pt>
                <c:pt idx="2727">
                  <c:v>6.8589000000000002</c:v>
                </c:pt>
                <c:pt idx="2728">
                  <c:v>6.8940000000000001</c:v>
                </c:pt>
                <c:pt idx="2729">
                  <c:v>6.9489000000000001</c:v>
                </c:pt>
                <c:pt idx="2730">
                  <c:v>7.0048000000000004</c:v>
                </c:pt>
                <c:pt idx="2731">
                  <c:v>7.1665000000000001</c:v>
                </c:pt>
                <c:pt idx="2732">
                  <c:v>7.1216999999999997</c:v>
                </c:pt>
                <c:pt idx="2733">
                  <c:v>7.1106999999999996</c:v>
                </c:pt>
                <c:pt idx="2734">
                  <c:v>7.1942000000000004</c:v>
                </c:pt>
                <c:pt idx="2735">
                  <c:v>7.2786</c:v>
                </c:pt>
                <c:pt idx="2736">
                  <c:v>7.3571</c:v>
                </c:pt>
                <c:pt idx="2737">
                  <c:v>7.4131</c:v>
                </c:pt>
                <c:pt idx="2738">
                  <c:v>7.4809000000000001</c:v>
                </c:pt>
                <c:pt idx="2739">
                  <c:v>7.4431000000000003</c:v>
                </c:pt>
                <c:pt idx="2740">
                  <c:v>7.3587999999999996</c:v>
                </c:pt>
                <c:pt idx="2741">
                  <c:v>7.3948999999999998</c:v>
                </c:pt>
                <c:pt idx="2742">
                  <c:v>7.3960999999999997</c:v>
                </c:pt>
                <c:pt idx="2743">
                  <c:v>7.4878</c:v>
                </c:pt>
                <c:pt idx="2744">
                  <c:v>7.5498000000000003</c:v>
                </c:pt>
                <c:pt idx="2745">
                  <c:v>7.5091000000000001</c:v>
                </c:pt>
                <c:pt idx="2746">
                  <c:v>7.3563000000000001</c:v>
                </c:pt>
                <c:pt idx="2747">
                  <c:v>7.2469000000000001</c:v>
                </c:pt>
                <c:pt idx="2748">
                  <c:v>7.3040000000000003</c:v>
                </c:pt>
                <c:pt idx="2749">
                  <c:v>7.3677999999999999</c:v>
                </c:pt>
                <c:pt idx="2750">
                  <c:v>7.3311000000000002</c:v>
                </c:pt>
                <c:pt idx="2751">
                  <c:v>7.3388</c:v>
                </c:pt>
                <c:pt idx="2752">
                  <c:v>7.3569000000000004</c:v>
                </c:pt>
                <c:pt idx="2753">
                  <c:v>7.3727</c:v>
                </c:pt>
                <c:pt idx="2754">
                  <c:v>7.4885000000000002</c:v>
                </c:pt>
                <c:pt idx="2755">
                  <c:v>7.4640000000000004</c:v>
                </c:pt>
                <c:pt idx="2756">
                  <c:v>7.5008999999999997</c:v>
                </c:pt>
                <c:pt idx="2757">
                  <c:v>7.4187000000000003</c:v>
                </c:pt>
                <c:pt idx="2758">
                  <c:v>7.3728999999999996</c:v>
                </c:pt>
                <c:pt idx="2759">
                  <c:v>7.3140000000000001</c:v>
                </c:pt>
                <c:pt idx="2760">
                  <c:v>7.2899000000000003</c:v>
                </c:pt>
                <c:pt idx="2761">
                  <c:v>7.3547000000000002</c:v>
                </c:pt>
                <c:pt idx="2762">
                  <c:v>7.3868999999999998</c:v>
                </c:pt>
                <c:pt idx="2763">
                  <c:v>7.4219999999999997</c:v>
                </c:pt>
                <c:pt idx="2764">
                  <c:v>7.3701999999999996</c:v>
                </c:pt>
                <c:pt idx="2765">
                  <c:v>7.4028999999999998</c:v>
                </c:pt>
                <c:pt idx="2766">
                  <c:v>7.2611999999999997</c:v>
                </c:pt>
                <c:pt idx="2767">
                  <c:v>7.3605</c:v>
                </c:pt>
                <c:pt idx="2768">
                  <c:v>7.3638000000000003</c:v>
                </c:pt>
                <c:pt idx="2769">
                  <c:v>7.4790999999999999</c:v>
                </c:pt>
                <c:pt idx="2770">
                  <c:v>7.4991000000000003</c:v>
                </c:pt>
                <c:pt idx="2771">
                  <c:v>7.4314999999999998</c:v>
                </c:pt>
                <c:pt idx="2772">
                  <c:v>7.4668999999999999</c:v>
                </c:pt>
                <c:pt idx="2773">
                  <c:v>7.4138000000000002</c:v>
                </c:pt>
                <c:pt idx="2774">
                  <c:v>7.2519</c:v>
                </c:pt>
                <c:pt idx="2775">
                  <c:v>7.3749000000000002</c:v>
                </c:pt>
                <c:pt idx="2776">
                  <c:v>7.5457999999999998</c:v>
                </c:pt>
                <c:pt idx="2777">
                  <c:v>7.4847000000000001</c:v>
                </c:pt>
                <c:pt idx="2778">
                  <c:v>7.5919999999999996</c:v>
                </c:pt>
                <c:pt idx="2779">
                  <c:v>7.5652999999999997</c:v>
                </c:pt>
                <c:pt idx="2780">
                  <c:v>7.6349</c:v>
                </c:pt>
                <c:pt idx="2781">
                  <c:v>7.7058</c:v>
                </c:pt>
                <c:pt idx="2782">
                  <c:v>7.7119999999999997</c:v>
                </c:pt>
                <c:pt idx="2783">
                  <c:v>7.7907000000000002</c:v>
                </c:pt>
                <c:pt idx="2784">
                  <c:v>7.6897000000000002</c:v>
                </c:pt>
                <c:pt idx="2785">
                  <c:v>7.5749000000000004</c:v>
                </c:pt>
                <c:pt idx="2786">
                  <c:v>7.6199000000000003</c:v>
                </c:pt>
                <c:pt idx="2787">
                  <c:v>7.5936000000000003</c:v>
                </c:pt>
                <c:pt idx="2788">
                  <c:v>7.6788999999999996</c:v>
                </c:pt>
                <c:pt idx="2789">
                  <c:v>7.5853999999999999</c:v>
                </c:pt>
                <c:pt idx="2790">
                  <c:v>7.5058999999999996</c:v>
                </c:pt>
                <c:pt idx="2791">
                  <c:v>7.5217999999999998</c:v>
                </c:pt>
                <c:pt idx="2792">
                  <c:v>7.484</c:v>
                </c:pt>
                <c:pt idx="2793">
                  <c:v>7.4378000000000002</c:v>
                </c:pt>
                <c:pt idx="2794">
                  <c:v>7.4229000000000003</c:v>
                </c:pt>
                <c:pt idx="2795">
                  <c:v>7.3868999999999998</c:v>
                </c:pt>
                <c:pt idx="2796">
                  <c:v>7.4469000000000003</c:v>
                </c:pt>
                <c:pt idx="2797">
                  <c:v>7.7290000000000001</c:v>
                </c:pt>
                <c:pt idx="2798">
                  <c:v>7.7758000000000003</c:v>
                </c:pt>
                <c:pt idx="2799">
                  <c:v>7.9668999999999999</c:v>
                </c:pt>
                <c:pt idx="2800">
                  <c:v>7.9208999999999996</c:v>
                </c:pt>
                <c:pt idx="2801">
                  <c:v>7.9518000000000004</c:v>
                </c:pt>
                <c:pt idx="2802">
                  <c:v>7.9949000000000003</c:v>
                </c:pt>
                <c:pt idx="2803">
                  <c:v>7.8819999999999997</c:v>
                </c:pt>
                <c:pt idx="2804">
                  <c:v>7.8238000000000003</c:v>
                </c:pt>
                <c:pt idx="2805">
                  <c:v>7.8190999999999997</c:v>
                </c:pt>
                <c:pt idx="2806">
                  <c:v>7.952</c:v>
                </c:pt>
                <c:pt idx="2807">
                  <c:v>7.9271000000000003</c:v>
                </c:pt>
                <c:pt idx="2808">
                  <c:v>8.0065000000000008</c:v>
                </c:pt>
                <c:pt idx="2809">
                  <c:v>8.0680999999999994</c:v>
                </c:pt>
                <c:pt idx="2810">
                  <c:v>7.9794999999999998</c:v>
                </c:pt>
                <c:pt idx="2811">
                  <c:v>8.2314000000000007</c:v>
                </c:pt>
                <c:pt idx="2812">
                  <c:v>8.0719999999999992</c:v>
                </c:pt>
                <c:pt idx="2813">
                  <c:v>8.0678000000000001</c:v>
                </c:pt>
                <c:pt idx="2814">
                  <c:v>8.1598000000000006</c:v>
                </c:pt>
                <c:pt idx="2815">
                  <c:v>8.0748999999999995</c:v>
                </c:pt>
                <c:pt idx="2816">
                  <c:v>8.2489000000000008</c:v>
                </c:pt>
                <c:pt idx="2817">
                  <c:v>8.202</c:v>
                </c:pt>
                <c:pt idx="2818">
                  <c:v>7.9592000000000001</c:v>
                </c:pt>
                <c:pt idx="2819">
                  <c:v>7.9013</c:v>
                </c:pt>
                <c:pt idx="2820">
                  <c:v>7.8316999999999997</c:v>
                </c:pt>
                <c:pt idx="2821">
                  <c:v>7.8856999999999999</c:v>
                </c:pt>
                <c:pt idx="2822">
                  <c:v>7.7805999999999997</c:v>
                </c:pt>
                <c:pt idx="2823">
                  <c:v>7.8021000000000003</c:v>
                </c:pt>
                <c:pt idx="2824">
                  <c:v>7.7199</c:v>
                </c:pt>
                <c:pt idx="2825">
                  <c:v>7.9267000000000003</c:v>
                </c:pt>
                <c:pt idx="2826">
                  <c:v>7.6858000000000004</c:v>
                </c:pt>
                <c:pt idx="2827">
                  <c:v>7.4549000000000003</c:v>
                </c:pt>
                <c:pt idx="2828">
                  <c:v>7.3612000000000002</c:v>
                </c:pt>
                <c:pt idx="2829">
                  <c:v>7.2302999999999997</c:v>
                </c:pt>
                <c:pt idx="2830">
                  <c:v>7.2396000000000003</c:v>
                </c:pt>
                <c:pt idx="2831">
                  <c:v>7.34</c:v>
                </c:pt>
                <c:pt idx="2832">
                  <c:v>7.3749000000000002</c:v>
                </c:pt>
                <c:pt idx="2833">
                  <c:v>7.3273000000000001</c:v>
                </c:pt>
                <c:pt idx="2834">
                  <c:v>7.4829999999999997</c:v>
                </c:pt>
                <c:pt idx="2835">
                  <c:v>7.4016000000000002</c:v>
                </c:pt>
                <c:pt idx="2836">
                  <c:v>7.1327999999999996</c:v>
                </c:pt>
                <c:pt idx="2837">
                  <c:v>7.2560000000000002</c:v>
                </c:pt>
                <c:pt idx="2838">
                  <c:v>7.3122999999999996</c:v>
                </c:pt>
                <c:pt idx="2839">
                  <c:v>7.3929</c:v>
                </c:pt>
                <c:pt idx="2840">
                  <c:v>7.5888999999999998</c:v>
                </c:pt>
                <c:pt idx="2841">
                  <c:v>7.6197999999999997</c:v>
                </c:pt>
                <c:pt idx="2842">
                  <c:v>7.6228999999999996</c:v>
                </c:pt>
                <c:pt idx="2843">
                  <c:v>7.6768999999999998</c:v>
                </c:pt>
                <c:pt idx="2844">
                  <c:v>7.8334000000000001</c:v>
                </c:pt>
                <c:pt idx="2845">
                  <c:v>7.8948</c:v>
                </c:pt>
                <c:pt idx="2846">
                  <c:v>7.7709000000000001</c:v>
                </c:pt>
                <c:pt idx="2847">
                  <c:v>7.8018999999999998</c:v>
                </c:pt>
                <c:pt idx="2848">
                  <c:v>8.0149000000000008</c:v>
                </c:pt>
                <c:pt idx="2849">
                  <c:v>8.0061</c:v>
                </c:pt>
                <c:pt idx="2850">
                  <c:v>8.0578000000000003</c:v>
                </c:pt>
                <c:pt idx="2851">
                  <c:v>7.8979999999999997</c:v>
                </c:pt>
                <c:pt idx="2852">
                  <c:v>7.9371999999999998</c:v>
                </c:pt>
                <c:pt idx="2853">
                  <c:v>7.9189999999999996</c:v>
                </c:pt>
                <c:pt idx="2854">
                  <c:v>7.8731</c:v>
                </c:pt>
                <c:pt idx="2855">
                  <c:v>7.952</c:v>
                </c:pt>
                <c:pt idx="2856">
                  <c:v>7.9858000000000002</c:v>
                </c:pt>
                <c:pt idx="2857">
                  <c:v>7.9341999999999997</c:v>
                </c:pt>
                <c:pt idx="2858">
                  <c:v>8.0481999999999996</c:v>
                </c:pt>
                <c:pt idx="2859">
                  <c:v>8.0375999999999994</c:v>
                </c:pt>
                <c:pt idx="2860">
                  <c:v>8.1789000000000005</c:v>
                </c:pt>
                <c:pt idx="2861">
                  <c:v>8.1757000000000009</c:v>
                </c:pt>
                <c:pt idx="2862">
                  <c:v>8.1768000000000001</c:v>
                </c:pt>
                <c:pt idx="2863">
                  <c:v>8.1981000000000002</c:v>
                </c:pt>
                <c:pt idx="2864">
                  <c:v>8.1137999999999995</c:v>
                </c:pt>
                <c:pt idx="2865">
                  <c:v>8.1672999999999991</c:v>
                </c:pt>
                <c:pt idx="2866">
                  <c:v>8.0688999999999993</c:v>
                </c:pt>
                <c:pt idx="2867">
                  <c:v>7.9889999999999999</c:v>
                </c:pt>
                <c:pt idx="2868">
                  <c:v>7.9128999999999996</c:v>
                </c:pt>
                <c:pt idx="2869">
                  <c:v>7.9390000000000001</c:v>
                </c:pt>
                <c:pt idx="2870">
                  <c:v>8.0047999999999995</c:v>
                </c:pt>
                <c:pt idx="2871">
                  <c:v>8.0228999999999999</c:v>
                </c:pt>
                <c:pt idx="2872">
                  <c:v>7.9290000000000003</c:v>
                </c:pt>
                <c:pt idx="2873">
                  <c:v>7.9579000000000004</c:v>
                </c:pt>
                <c:pt idx="2874">
                  <c:v>8.1077999999999992</c:v>
                </c:pt>
                <c:pt idx="2875">
                  <c:v>7.9908999999999999</c:v>
                </c:pt>
                <c:pt idx="2876">
                  <c:v>8.1151</c:v>
                </c:pt>
                <c:pt idx="2877">
                  <c:v>8.1019000000000005</c:v>
                </c:pt>
                <c:pt idx="2878">
                  <c:v>8.1059999999999999</c:v>
                </c:pt>
                <c:pt idx="2879">
                  <c:v>8.0810999999999993</c:v>
                </c:pt>
                <c:pt idx="2880">
                  <c:v>8.0960000000000001</c:v>
                </c:pt>
                <c:pt idx="2881">
                  <c:v>8.2248000000000001</c:v>
                </c:pt>
                <c:pt idx="2882">
                  <c:v>8.3943999999999992</c:v>
                </c:pt>
                <c:pt idx="2883">
                  <c:v>8.3879999999999999</c:v>
                </c:pt>
                <c:pt idx="2884">
                  <c:v>8.4008000000000003</c:v>
                </c:pt>
                <c:pt idx="2885">
                  <c:v>8.3088999999999995</c:v>
                </c:pt>
                <c:pt idx="2886">
                  <c:v>8.3690999999999995</c:v>
                </c:pt>
                <c:pt idx="2887">
                  <c:v>8.4036000000000008</c:v>
                </c:pt>
                <c:pt idx="2888">
                  <c:v>8.5619999999999994</c:v>
                </c:pt>
                <c:pt idx="2889">
                  <c:v>8.3946000000000005</c:v>
                </c:pt>
                <c:pt idx="2890">
                  <c:v>8.4347999999999992</c:v>
                </c:pt>
                <c:pt idx="2891">
                  <c:v>8.4337</c:v>
                </c:pt>
                <c:pt idx="2892">
                  <c:v>8.3057999999999996</c:v>
                </c:pt>
                <c:pt idx="2893">
                  <c:v>8.4819999999999993</c:v>
                </c:pt>
                <c:pt idx="2894">
                  <c:v>8.5348000000000006</c:v>
                </c:pt>
                <c:pt idx="2895">
                  <c:v>8.5779999999999994</c:v>
                </c:pt>
                <c:pt idx="2896">
                  <c:v>8.5825999999999993</c:v>
                </c:pt>
                <c:pt idx="2897">
                  <c:v>8.7459000000000007</c:v>
                </c:pt>
                <c:pt idx="2898">
                  <c:v>8.7309000000000001</c:v>
                </c:pt>
                <c:pt idx="2899">
                  <c:v>8.7294999999999998</c:v>
                </c:pt>
                <c:pt idx="2900">
                  <c:v>8.7436000000000007</c:v>
                </c:pt>
                <c:pt idx="2901">
                  <c:v>8.9077000000000002</c:v>
                </c:pt>
                <c:pt idx="2902">
                  <c:v>9.0397999999999996</c:v>
                </c:pt>
                <c:pt idx="2903">
                  <c:v>8.9149999999999991</c:v>
                </c:pt>
                <c:pt idx="2904">
                  <c:v>8.8481000000000005</c:v>
                </c:pt>
                <c:pt idx="2905">
                  <c:v>8.8370999999999995</c:v>
                </c:pt>
                <c:pt idx="2906">
                  <c:v>8.8087</c:v>
                </c:pt>
                <c:pt idx="2907">
                  <c:v>8.8611000000000004</c:v>
                </c:pt>
                <c:pt idx="2908">
                  <c:v>8.6234000000000002</c:v>
                </c:pt>
                <c:pt idx="2909">
                  <c:v>8.5471000000000004</c:v>
                </c:pt>
                <c:pt idx="2910">
                  <c:v>8.5129000000000001</c:v>
                </c:pt>
                <c:pt idx="2911">
                  <c:v>8.5177999999999994</c:v>
                </c:pt>
                <c:pt idx="2912">
                  <c:v>8.6510999999999996</c:v>
                </c:pt>
                <c:pt idx="2913">
                  <c:v>8.5218000000000007</c:v>
                </c:pt>
                <c:pt idx="2914">
                  <c:v>8.3749000000000002</c:v>
                </c:pt>
                <c:pt idx="2915">
                  <c:v>8.4217999999999993</c:v>
                </c:pt>
                <c:pt idx="2916">
                  <c:v>8.5711999999999993</c:v>
                </c:pt>
                <c:pt idx="2917">
                  <c:v>8.6579999999999995</c:v>
                </c:pt>
                <c:pt idx="2918">
                  <c:v>8.7384000000000004</c:v>
                </c:pt>
                <c:pt idx="2919">
                  <c:v>8.7933000000000003</c:v>
                </c:pt>
                <c:pt idx="2920">
                  <c:v>8.7668999999999997</c:v>
                </c:pt>
                <c:pt idx="2921">
                  <c:v>8.8899000000000008</c:v>
                </c:pt>
                <c:pt idx="2922">
                  <c:v>9.0785</c:v>
                </c:pt>
                <c:pt idx="2923">
                  <c:v>8.8488000000000007</c:v>
                </c:pt>
                <c:pt idx="2924">
                  <c:v>9.0995000000000008</c:v>
                </c:pt>
                <c:pt idx="2925">
                  <c:v>8.7178000000000004</c:v>
                </c:pt>
                <c:pt idx="2926">
                  <c:v>8.7739999999999991</c:v>
                </c:pt>
                <c:pt idx="2927">
                  <c:v>8.8937000000000008</c:v>
                </c:pt>
                <c:pt idx="2928">
                  <c:v>8.9372000000000007</c:v>
                </c:pt>
                <c:pt idx="2929">
                  <c:v>8.9962</c:v>
                </c:pt>
                <c:pt idx="2930">
                  <c:v>9.1960999999999995</c:v>
                </c:pt>
                <c:pt idx="2931">
                  <c:v>9.1513000000000009</c:v>
                </c:pt>
                <c:pt idx="2932">
                  <c:v>9.1180000000000003</c:v>
                </c:pt>
                <c:pt idx="2933">
                  <c:v>9.2309999999999999</c:v>
                </c:pt>
                <c:pt idx="2934">
                  <c:v>9.2001000000000008</c:v>
                </c:pt>
                <c:pt idx="2935">
                  <c:v>9.2202000000000002</c:v>
                </c:pt>
                <c:pt idx="2936">
                  <c:v>9.2716999999999992</c:v>
                </c:pt>
                <c:pt idx="2937">
                  <c:v>9.2036999999999995</c:v>
                </c:pt>
                <c:pt idx="2938">
                  <c:v>9.1942000000000004</c:v>
                </c:pt>
                <c:pt idx="2939">
                  <c:v>9.2193000000000005</c:v>
                </c:pt>
                <c:pt idx="2940">
                  <c:v>9.4954000000000001</c:v>
                </c:pt>
                <c:pt idx="2941">
                  <c:v>9.5588999999999995</c:v>
                </c:pt>
                <c:pt idx="2942">
                  <c:v>9.6766000000000005</c:v>
                </c:pt>
                <c:pt idx="2943">
                  <c:v>9.6560000000000006</c:v>
                </c:pt>
                <c:pt idx="2944">
                  <c:v>9.6157000000000004</c:v>
                </c:pt>
                <c:pt idx="2945">
                  <c:v>9.5916999999999994</c:v>
                </c:pt>
                <c:pt idx="2946">
                  <c:v>9.6807999999999996</c:v>
                </c:pt>
                <c:pt idx="2947">
                  <c:v>9.8109000000000002</c:v>
                </c:pt>
                <c:pt idx="2948">
                  <c:v>9.7878000000000007</c:v>
                </c:pt>
                <c:pt idx="2949">
                  <c:v>9.91</c:v>
                </c:pt>
                <c:pt idx="2950">
                  <c:v>9.8278999999999996</c:v>
                </c:pt>
                <c:pt idx="2951">
                  <c:v>9.74</c:v>
                </c:pt>
                <c:pt idx="2952">
                  <c:v>9.8188999999999993</c:v>
                </c:pt>
                <c:pt idx="2953">
                  <c:v>9.9662000000000006</c:v>
                </c:pt>
                <c:pt idx="2954">
                  <c:v>9.8755000000000006</c:v>
                </c:pt>
                <c:pt idx="2955">
                  <c:v>9.9248999999999992</c:v>
                </c:pt>
                <c:pt idx="2956">
                  <c:v>9.9787999999999997</c:v>
                </c:pt>
                <c:pt idx="2957">
                  <c:v>10.0619</c:v>
                </c:pt>
                <c:pt idx="2958">
                  <c:v>10.146800000000001</c:v>
                </c:pt>
                <c:pt idx="2959">
                  <c:v>10.0604</c:v>
                </c:pt>
                <c:pt idx="2960">
                  <c:v>10.1189</c:v>
                </c:pt>
                <c:pt idx="2961">
                  <c:v>10.1257</c:v>
                </c:pt>
                <c:pt idx="2962">
                  <c:v>10.1662</c:v>
                </c:pt>
                <c:pt idx="2963">
                  <c:v>10.206899999999999</c:v>
                </c:pt>
                <c:pt idx="2964">
                  <c:v>10.222</c:v>
                </c:pt>
                <c:pt idx="2965">
                  <c:v>10.3523</c:v>
                </c:pt>
                <c:pt idx="2966">
                  <c:v>10.355</c:v>
                </c:pt>
                <c:pt idx="2967">
                  <c:v>10.364800000000001</c:v>
                </c:pt>
                <c:pt idx="2968">
                  <c:v>10.430999999999999</c:v>
                </c:pt>
                <c:pt idx="2969">
                  <c:v>10.4686</c:v>
                </c:pt>
                <c:pt idx="2970">
                  <c:v>10.4231</c:v>
                </c:pt>
                <c:pt idx="2971">
                  <c:v>10.4307</c:v>
                </c:pt>
                <c:pt idx="2972">
                  <c:v>10.47</c:v>
                </c:pt>
                <c:pt idx="2973">
                  <c:v>10.5061</c:v>
                </c:pt>
                <c:pt idx="2974">
                  <c:v>10.516400000000001</c:v>
                </c:pt>
                <c:pt idx="2975">
                  <c:v>10.4359</c:v>
                </c:pt>
                <c:pt idx="2976">
                  <c:v>10.3758</c:v>
                </c:pt>
                <c:pt idx="2977">
                  <c:v>10.4338</c:v>
                </c:pt>
                <c:pt idx="2978">
                  <c:v>10.3857</c:v>
                </c:pt>
                <c:pt idx="2979">
                  <c:v>10.537100000000001</c:v>
                </c:pt>
                <c:pt idx="2980">
                  <c:v>10.5687</c:v>
                </c:pt>
                <c:pt idx="2981">
                  <c:v>10.562200000000001</c:v>
                </c:pt>
                <c:pt idx="2982">
                  <c:v>10.588900000000001</c:v>
                </c:pt>
                <c:pt idx="2983">
                  <c:v>10.711</c:v>
                </c:pt>
                <c:pt idx="2984">
                  <c:v>10.6075</c:v>
                </c:pt>
                <c:pt idx="2985">
                  <c:v>10.5771</c:v>
                </c:pt>
                <c:pt idx="2986">
                  <c:v>10.5504</c:v>
                </c:pt>
                <c:pt idx="2987">
                  <c:v>10.5367</c:v>
                </c:pt>
                <c:pt idx="2988">
                  <c:v>10.697100000000001</c:v>
                </c:pt>
                <c:pt idx="2989">
                  <c:v>10.6271</c:v>
                </c:pt>
                <c:pt idx="2990">
                  <c:v>10.5017</c:v>
                </c:pt>
                <c:pt idx="2991">
                  <c:v>10.6219</c:v>
                </c:pt>
                <c:pt idx="2992">
                  <c:v>10.597099999999999</c:v>
                </c:pt>
                <c:pt idx="2993">
                  <c:v>10.5047</c:v>
                </c:pt>
                <c:pt idx="2994">
                  <c:v>10.5151</c:v>
                </c:pt>
                <c:pt idx="2995">
                  <c:v>10.5488</c:v>
                </c:pt>
                <c:pt idx="2996">
                  <c:v>10.6938</c:v>
                </c:pt>
                <c:pt idx="2997">
                  <c:v>10.839600000000001</c:v>
                </c:pt>
                <c:pt idx="2998">
                  <c:v>10.6608</c:v>
                </c:pt>
                <c:pt idx="2999">
                  <c:v>10.589</c:v>
                </c:pt>
                <c:pt idx="3000">
                  <c:v>10.629899999999999</c:v>
                </c:pt>
                <c:pt idx="3001">
                  <c:v>10.6249</c:v>
                </c:pt>
                <c:pt idx="3002">
                  <c:v>10.494899999999999</c:v>
                </c:pt>
                <c:pt idx="3003">
                  <c:v>10.749599999999999</c:v>
                </c:pt>
                <c:pt idx="3004">
                  <c:v>10.821199999999999</c:v>
                </c:pt>
                <c:pt idx="3005">
                  <c:v>10.861499999999999</c:v>
                </c:pt>
                <c:pt idx="3006">
                  <c:v>10.9038</c:v>
                </c:pt>
                <c:pt idx="3007">
                  <c:v>10.905099999999999</c:v>
                </c:pt>
                <c:pt idx="3008">
                  <c:v>10.628</c:v>
                </c:pt>
                <c:pt idx="3009">
                  <c:v>10.6249</c:v>
                </c:pt>
                <c:pt idx="3010">
                  <c:v>10.645899999999999</c:v>
                </c:pt>
                <c:pt idx="3011">
                  <c:v>10.5695</c:v>
                </c:pt>
                <c:pt idx="3012">
                  <c:v>10.5609</c:v>
                </c:pt>
                <c:pt idx="3013">
                  <c:v>10.536</c:v>
                </c:pt>
                <c:pt idx="3014">
                  <c:v>10.4377</c:v>
                </c:pt>
                <c:pt idx="3015">
                  <c:v>10.407</c:v>
                </c:pt>
                <c:pt idx="3016">
                  <c:v>10.5686</c:v>
                </c:pt>
                <c:pt idx="3017">
                  <c:v>10.700100000000001</c:v>
                </c:pt>
                <c:pt idx="3018">
                  <c:v>10.331</c:v>
                </c:pt>
                <c:pt idx="3019">
                  <c:v>10.198</c:v>
                </c:pt>
                <c:pt idx="3020">
                  <c:v>10.253</c:v>
                </c:pt>
                <c:pt idx="3021">
                  <c:v>10.158899999999999</c:v>
                </c:pt>
                <c:pt idx="3022">
                  <c:v>10.170500000000001</c:v>
                </c:pt>
                <c:pt idx="3023">
                  <c:v>10.206</c:v>
                </c:pt>
                <c:pt idx="3024">
                  <c:v>10.155900000000001</c:v>
                </c:pt>
                <c:pt idx="3025">
                  <c:v>10.245799999999999</c:v>
                </c:pt>
                <c:pt idx="3026">
                  <c:v>10.1791</c:v>
                </c:pt>
                <c:pt idx="3027">
                  <c:v>10.081</c:v>
                </c:pt>
                <c:pt idx="3028">
                  <c:v>9.9791000000000007</c:v>
                </c:pt>
                <c:pt idx="3029">
                  <c:v>9.9731000000000005</c:v>
                </c:pt>
                <c:pt idx="3030">
                  <c:v>10.117100000000001</c:v>
                </c:pt>
                <c:pt idx="3031">
                  <c:v>10.126899999999999</c:v>
                </c:pt>
                <c:pt idx="3032">
                  <c:v>10.0749</c:v>
                </c:pt>
                <c:pt idx="3033">
                  <c:v>10.044700000000001</c:v>
                </c:pt>
                <c:pt idx="3034">
                  <c:v>10.0814</c:v>
                </c:pt>
                <c:pt idx="3035">
                  <c:v>10.0062</c:v>
                </c:pt>
                <c:pt idx="3036">
                  <c:v>9.9702000000000002</c:v>
                </c:pt>
                <c:pt idx="3037">
                  <c:v>10.0748</c:v>
                </c:pt>
                <c:pt idx="3038">
                  <c:v>10.0862</c:v>
                </c:pt>
                <c:pt idx="3039">
                  <c:v>10.1943</c:v>
                </c:pt>
                <c:pt idx="3040">
                  <c:v>10.208399999999999</c:v>
                </c:pt>
                <c:pt idx="3041">
                  <c:v>10.1419</c:v>
                </c:pt>
                <c:pt idx="3042">
                  <c:v>10.096</c:v>
                </c:pt>
                <c:pt idx="3043">
                  <c:v>10.257899999999999</c:v>
                </c:pt>
                <c:pt idx="3044">
                  <c:v>10.3749</c:v>
                </c:pt>
                <c:pt idx="3045">
                  <c:v>10.343</c:v>
                </c:pt>
                <c:pt idx="3046">
                  <c:v>10.3475</c:v>
                </c:pt>
                <c:pt idx="3047">
                  <c:v>10.332800000000001</c:v>
                </c:pt>
                <c:pt idx="3048">
                  <c:v>10.356299999999999</c:v>
                </c:pt>
                <c:pt idx="3049">
                  <c:v>10.477</c:v>
                </c:pt>
                <c:pt idx="3050">
                  <c:v>10.2059</c:v>
                </c:pt>
                <c:pt idx="3051">
                  <c:v>10.225</c:v>
                </c:pt>
                <c:pt idx="3052">
                  <c:v>10.5479</c:v>
                </c:pt>
                <c:pt idx="3053">
                  <c:v>10.353899999999999</c:v>
                </c:pt>
                <c:pt idx="3054">
                  <c:v>10.1991</c:v>
                </c:pt>
                <c:pt idx="3055">
                  <c:v>10.0289</c:v>
                </c:pt>
                <c:pt idx="3056">
                  <c:v>10.011900000000001</c:v>
                </c:pt>
                <c:pt idx="3057">
                  <c:v>9.9922000000000004</c:v>
                </c:pt>
                <c:pt idx="3058">
                  <c:v>9.8086000000000002</c:v>
                </c:pt>
                <c:pt idx="3059">
                  <c:v>9.8529</c:v>
                </c:pt>
                <c:pt idx="3060">
                  <c:v>9.7571999999999992</c:v>
                </c:pt>
                <c:pt idx="3061">
                  <c:v>9.7408000000000001</c:v>
                </c:pt>
                <c:pt idx="3062">
                  <c:v>9.8101000000000003</c:v>
                </c:pt>
                <c:pt idx="3063">
                  <c:v>9.7367000000000008</c:v>
                </c:pt>
                <c:pt idx="3064">
                  <c:v>9.7690000000000001</c:v>
                </c:pt>
                <c:pt idx="3065">
                  <c:v>9.9268999999999998</c:v>
                </c:pt>
                <c:pt idx="3066">
                  <c:v>9.9160000000000004</c:v>
                </c:pt>
                <c:pt idx="3067">
                  <c:v>10.004799999999999</c:v>
                </c:pt>
                <c:pt idx="3068">
                  <c:v>10.1219</c:v>
                </c:pt>
                <c:pt idx="3069">
                  <c:v>10.124000000000001</c:v>
                </c:pt>
                <c:pt idx="3070">
                  <c:v>10.1121</c:v>
                </c:pt>
                <c:pt idx="3071">
                  <c:v>10.0501</c:v>
                </c:pt>
                <c:pt idx="3072">
                  <c:v>10.0359</c:v>
                </c:pt>
                <c:pt idx="3073">
                  <c:v>10.091100000000001</c:v>
                </c:pt>
                <c:pt idx="3074">
                  <c:v>10.172499999999999</c:v>
                </c:pt>
                <c:pt idx="3075">
                  <c:v>10.2919</c:v>
                </c:pt>
                <c:pt idx="3076">
                  <c:v>10.153</c:v>
                </c:pt>
                <c:pt idx="3077">
                  <c:v>10.184100000000001</c:v>
                </c:pt>
                <c:pt idx="3078">
                  <c:v>10.3063</c:v>
                </c:pt>
                <c:pt idx="3079">
                  <c:v>10.368</c:v>
                </c:pt>
                <c:pt idx="3080">
                  <c:v>10.1282</c:v>
                </c:pt>
                <c:pt idx="3081">
                  <c:v>10.436999999999999</c:v>
                </c:pt>
                <c:pt idx="3082">
                  <c:v>10.3749</c:v>
                </c:pt>
                <c:pt idx="3083">
                  <c:v>10.491099999999999</c:v>
                </c:pt>
                <c:pt idx="3084">
                  <c:v>10.539</c:v>
                </c:pt>
                <c:pt idx="3085">
                  <c:v>10.634399999999999</c:v>
                </c:pt>
                <c:pt idx="3086">
                  <c:v>10.6189</c:v>
                </c:pt>
                <c:pt idx="3087">
                  <c:v>10.8872</c:v>
                </c:pt>
                <c:pt idx="3088">
                  <c:v>10.8948</c:v>
                </c:pt>
                <c:pt idx="3089">
                  <c:v>10.962899999999999</c:v>
                </c:pt>
                <c:pt idx="3090">
                  <c:v>10.942299999999999</c:v>
                </c:pt>
                <c:pt idx="3091">
                  <c:v>11.091100000000001</c:v>
                </c:pt>
                <c:pt idx="3092">
                  <c:v>11.110799999999999</c:v>
                </c:pt>
                <c:pt idx="3093">
                  <c:v>11.115</c:v>
                </c:pt>
                <c:pt idx="3094">
                  <c:v>11.222899999999999</c:v>
                </c:pt>
                <c:pt idx="3095">
                  <c:v>11.1838</c:v>
                </c:pt>
                <c:pt idx="3096">
                  <c:v>11.188800000000001</c:v>
                </c:pt>
                <c:pt idx="3097">
                  <c:v>11.2171</c:v>
                </c:pt>
                <c:pt idx="3098">
                  <c:v>11.2371</c:v>
                </c:pt>
                <c:pt idx="3099">
                  <c:v>11.2211</c:v>
                </c:pt>
                <c:pt idx="3100">
                  <c:v>11.185</c:v>
                </c:pt>
                <c:pt idx="3101">
                  <c:v>11.1129</c:v>
                </c:pt>
                <c:pt idx="3102">
                  <c:v>11.2491</c:v>
                </c:pt>
                <c:pt idx="3103">
                  <c:v>11.1494</c:v>
                </c:pt>
                <c:pt idx="3104">
                  <c:v>11.2294</c:v>
                </c:pt>
                <c:pt idx="3105">
                  <c:v>11.284800000000001</c:v>
                </c:pt>
                <c:pt idx="3106">
                  <c:v>11.4038</c:v>
                </c:pt>
                <c:pt idx="3107">
                  <c:v>11.4788</c:v>
                </c:pt>
                <c:pt idx="3108">
                  <c:v>11.575699999999999</c:v>
                </c:pt>
                <c:pt idx="3109">
                  <c:v>11.5611</c:v>
                </c:pt>
                <c:pt idx="3110">
                  <c:v>11.548500000000001</c:v>
                </c:pt>
                <c:pt idx="3111">
                  <c:v>11.503</c:v>
                </c:pt>
                <c:pt idx="3112">
                  <c:v>11.7789</c:v>
                </c:pt>
                <c:pt idx="3113">
                  <c:v>11.922800000000001</c:v>
                </c:pt>
                <c:pt idx="3114">
                  <c:v>11.676</c:v>
                </c:pt>
                <c:pt idx="3115">
                  <c:v>11.671200000000001</c:v>
                </c:pt>
                <c:pt idx="3116">
                  <c:v>11.6808</c:v>
                </c:pt>
                <c:pt idx="3117">
                  <c:v>11.542199999999999</c:v>
                </c:pt>
                <c:pt idx="3118">
                  <c:v>11.472</c:v>
                </c:pt>
                <c:pt idx="3119">
                  <c:v>11.9116</c:v>
                </c:pt>
                <c:pt idx="3120">
                  <c:v>11.094900000000001</c:v>
                </c:pt>
                <c:pt idx="3121">
                  <c:v>11.0175</c:v>
                </c:pt>
                <c:pt idx="3122">
                  <c:v>10.9779</c:v>
                </c:pt>
                <c:pt idx="3123">
                  <c:v>11.3055</c:v>
                </c:pt>
                <c:pt idx="3124">
                  <c:v>11.3713</c:v>
                </c:pt>
                <c:pt idx="3125">
                  <c:v>11.4521</c:v>
                </c:pt>
                <c:pt idx="3126">
                  <c:v>11.408099999999999</c:v>
                </c:pt>
                <c:pt idx="3127">
                  <c:v>11.433</c:v>
                </c:pt>
                <c:pt idx="3128">
                  <c:v>11.3818</c:v>
                </c:pt>
                <c:pt idx="3129">
                  <c:v>11.4686</c:v>
                </c:pt>
                <c:pt idx="3130">
                  <c:v>11.4259</c:v>
                </c:pt>
                <c:pt idx="3131">
                  <c:v>11.4884</c:v>
                </c:pt>
                <c:pt idx="3132">
                  <c:v>11.532999999999999</c:v>
                </c:pt>
                <c:pt idx="3133">
                  <c:v>11.3619</c:v>
                </c:pt>
                <c:pt idx="3134">
                  <c:v>11.5061</c:v>
                </c:pt>
                <c:pt idx="3135">
                  <c:v>11.486000000000001</c:v>
                </c:pt>
                <c:pt idx="3136">
                  <c:v>11.4848</c:v>
                </c:pt>
                <c:pt idx="3137">
                  <c:v>11.582000000000001</c:v>
                </c:pt>
                <c:pt idx="3138">
                  <c:v>11.5175</c:v>
                </c:pt>
                <c:pt idx="3139">
                  <c:v>11.430999999999999</c:v>
                </c:pt>
                <c:pt idx="3140">
                  <c:v>11.562099999999999</c:v>
                </c:pt>
                <c:pt idx="3141">
                  <c:v>11.469799999999999</c:v>
                </c:pt>
                <c:pt idx="3142">
                  <c:v>11.6145</c:v>
                </c:pt>
                <c:pt idx="3143">
                  <c:v>11.6104</c:v>
                </c:pt>
                <c:pt idx="3144">
                  <c:v>11.476800000000001</c:v>
                </c:pt>
                <c:pt idx="3145">
                  <c:v>11.449199999999999</c:v>
                </c:pt>
                <c:pt idx="3146">
                  <c:v>11.4649</c:v>
                </c:pt>
                <c:pt idx="3147">
                  <c:v>11.5192</c:v>
                </c:pt>
                <c:pt idx="3148">
                  <c:v>11.4778</c:v>
                </c:pt>
                <c:pt idx="3149">
                  <c:v>11.167199999999999</c:v>
                </c:pt>
                <c:pt idx="3150">
                  <c:v>11.290800000000001</c:v>
                </c:pt>
                <c:pt idx="3151">
                  <c:v>11.642799999999999</c:v>
                </c:pt>
                <c:pt idx="3152">
                  <c:v>11.441800000000001</c:v>
                </c:pt>
                <c:pt idx="3153">
                  <c:v>11.5091</c:v>
                </c:pt>
                <c:pt idx="3154">
                  <c:v>11.3728</c:v>
                </c:pt>
                <c:pt idx="3155">
                  <c:v>11.6159</c:v>
                </c:pt>
                <c:pt idx="3156">
                  <c:v>11.7997</c:v>
                </c:pt>
                <c:pt idx="3157">
                  <c:v>11.4771</c:v>
                </c:pt>
                <c:pt idx="3158">
                  <c:v>11.447800000000001</c:v>
                </c:pt>
                <c:pt idx="3159">
                  <c:v>11.5946</c:v>
                </c:pt>
                <c:pt idx="3160">
                  <c:v>11.398899999999999</c:v>
                </c:pt>
                <c:pt idx="3161">
                  <c:v>11.423999999999999</c:v>
                </c:pt>
                <c:pt idx="3162">
                  <c:v>11.611800000000001</c:v>
                </c:pt>
                <c:pt idx="3163">
                  <c:v>11.9336</c:v>
                </c:pt>
                <c:pt idx="3164">
                  <c:v>12.0381</c:v>
                </c:pt>
                <c:pt idx="3165">
                  <c:v>12.5359</c:v>
                </c:pt>
                <c:pt idx="3166">
                  <c:v>12.3546</c:v>
                </c:pt>
                <c:pt idx="3167">
                  <c:v>12.0862</c:v>
                </c:pt>
                <c:pt idx="3168">
                  <c:v>11.931800000000001</c:v>
                </c:pt>
                <c:pt idx="3169">
                  <c:v>12.1119</c:v>
                </c:pt>
                <c:pt idx="3170">
                  <c:v>12.201599999999999</c:v>
                </c:pt>
                <c:pt idx="3171">
                  <c:v>12.7765</c:v>
                </c:pt>
                <c:pt idx="3172">
                  <c:v>13.002800000000001</c:v>
                </c:pt>
                <c:pt idx="3173">
                  <c:v>12.502800000000001</c:v>
                </c:pt>
                <c:pt idx="3174">
                  <c:v>12.231199999999999</c:v>
                </c:pt>
                <c:pt idx="3175">
                  <c:v>11.7933</c:v>
                </c:pt>
                <c:pt idx="3176">
                  <c:v>11.2889</c:v>
                </c:pt>
                <c:pt idx="3177">
                  <c:v>11.139099999999999</c:v>
                </c:pt>
                <c:pt idx="3178">
                  <c:v>11.076599999999999</c:v>
                </c:pt>
                <c:pt idx="3179">
                  <c:v>11.168699999999999</c:v>
                </c:pt>
                <c:pt idx="3180">
                  <c:v>10.9404</c:v>
                </c:pt>
                <c:pt idx="3181">
                  <c:v>11.1393</c:v>
                </c:pt>
                <c:pt idx="3182">
                  <c:v>10.7219</c:v>
                </c:pt>
                <c:pt idx="3183">
                  <c:v>10.366899999999999</c:v>
                </c:pt>
                <c:pt idx="3184">
                  <c:v>10.306100000000001</c:v>
                </c:pt>
                <c:pt idx="3185">
                  <c:v>10.3492</c:v>
                </c:pt>
                <c:pt idx="3186">
                  <c:v>9.8088999999999995</c:v>
                </c:pt>
                <c:pt idx="3187">
                  <c:v>9.9209999999999994</c:v>
                </c:pt>
                <c:pt idx="3188">
                  <c:v>9.8725000000000005</c:v>
                </c:pt>
                <c:pt idx="3189">
                  <c:v>9.9305000000000003</c:v>
                </c:pt>
                <c:pt idx="3190">
                  <c:v>9.9740000000000002</c:v>
                </c:pt>
                <c:pt idx="3191">
                  <c:v>9.9672999999999998</c:v>
                </c:pt>
                <c:pt idx="3192">
                  <c:v>9.7921999999999993</c:v>
                </c:pt>
                <c:pt idx="3193">
                  <c:v>9.7463999999999995</c:v>
                </c:pt>
                <c:pt idx="3194">
                  <c:v>9.6150000000000002</c:v>
                </c:pt>
                <c:pt idx="3195">
                  <c:v>9.4939</c:v>
                </c:pt>
                <c:pt idx="3196">
                  <c:v>9.6458999999999993</c:v>
                </c:pt>
                <c:pt idx="3197">
                  <c:v>9.7013999999999996</c:v>
                </c:pt>
                <c:pt idx="3198">
                  <c:v>9.6946999999999992</c:v>
                </c:pt>
                <c:pt idx="3199">
                  <c:v>9.6677999999999997</c:v>
                </c:pt>
                <c:pt idx="3200">
                  <c:v>9.6259999999999994</c:v>
                </c:pt>
                <c:pt idx="3201">
                  <c:v>9.5327000000000002</c:v>
                </c:pt>
                <c:pt idx="3202">
                  <c:v>9.4757999999999996</c:v>
                </c:pt>
                <c:pt idx="3203">
                  <c:v>9.4657</c:v>
                </c:pt>
                <c:pt idx="3204">
                  <c:v>9.64</c:v>
                </c:pt>
                <c:pt idx="3205">
                  <c:v>9.5503</c:v>
                </c:pt>
                <c:pt idx="3206">
                  <c:v>9.4293999999999993</c:v>
                </c:pt>
                <c:pt idx="3207">
                  <c:v>9.4379000000000008</c:v>
                </c:pt>
                <c:pt idx="3208">
                  <c:v>9.3734000000000002</c:v>
                </c:pt>
                <c:pt idx="3209">
                  <c:v>9.3183000000000007</c:v>
                </c:pt>
                <c:pt idx="3210">
                  <c:v>9.3789999999999996</c:v>
                </c:pt>
                <c:pt idx="3211">
                  <c:v>9.4583999999999993</c:v>
                </c:pt>
                <c:pt idx="3212">
                  <c:v>9.4060000000000006</c:v>
                </c:pt>
                <c:pt idx="3213">
                  <c:v>9.5572999999999997</c:v>
                </c:pt>
                <c:pt idx="3214">
                  <c:v>9.2886000000000006</c:v>
                </c:pt>
                <c:pt idx="3215">
                  <c:v>9.1890999999999998</c:v>
                </c:pt>
                <c:pt idx="3216">
                  <c:v>9.2586999999999993</c:v>
                </c:pt>
                <c:pt idx="3217">
                  <c:v>9.2622999999999998</c:v>
                </c:pt>
                <c:pt idx="3218">
                  <c:v>9.0632000000000001</c:v>
                </c:pt>
                <c:pt idx="3219">
                  <c:v>9.0124999999999993</c:v>
                </c:pt>
                <c:pt idx="3220">
                  <c:v>9.15</c:v>
                </c:pt>
                <c:pt idx="3221">
                  <c:v>9.1775000000000002</c:v>
                </c:pt>
                <c:pt idx="3222">
                  <c:v>9.3024000000000004</c:v>
                </c:pt>
                <c:pt idx="3223">
                  <c:v>9.2910000000000004</c:v>
                </c:pt>
                <c:pt idx="3224">
                  <c:v>9.3394999999999992</c:v>
                </c:pt>
                <c:pt idx="3225">
                  <c:v>9.2593999999999994</c:v>
                </c:pt>
                <c:pt idx="3226">
                  <c:v>9.2838999999999992</c:v>
                </c:pt>
                <c:pt idx="3227">
                  <c:v>9.2454999999999998</c:v>
                </c:pt>
                <c:pt idx="3228">
                  <c:v>9.1228999999999996</c:v>
                </c:pt>
                <c:pt idx="3229">
                  <c:v>9.0395000000000003</c:v>
                </c:pt>
                <c:pt idx="3230">
                  <c:v>8.9425000000000008</c:v>
                </c:pt>
                <c:pt idx="3231">
                  <c:v>8.9749999999999996</c:v>
                </c:pt>
                <c:pt idx="3232">
                  <c:v>8.8107000000000006</c:v>
                </c:pt>
                <c:pt idx="3233">
                  <c:v>8.7528000000000006</c:v>
                </c:pt>
                <c:pt idx="3234">
                  <c:v>8.7309999999999999</c:v>
                </c:pt>
                <c:pt idx="3235">
                  <c:v>8.6549999999999994</c:v>
                </c:pt>
                <c:pt idx="3236">
                  <c:v>8.6517999999999997</c:v>
                </c:pt>
                <c:pt idx="3237">
                  <c:v>8.6593999999999998</c:v>
                </c:pt>
                <c:pt idx="3238">
                  <c:v>8.6102000000000007</c:v>
                </c:pt>
                <c:pt idx="3239">
                  <c:v>8.6220999999999997</c:v>
                </c:pt>
                <c:pt idx="3240">
                  <c:v>8.6323000000000008</c:v>
                </c:pt>
                <c:pt idx="3241">
                  <c:v>8.5797000000000008</c:v>
                </c:pt>
                <c:pt idx="3242">
                  <c:v>8.5396999999999998</c:v>
                </c:pt>
                <c:pt idx="3243">
                  <c:v>8.4709000000000003</c:v>
                </c:pt>
                <c:pt idx="3244">
                  <c:v>8.4655000000000005</c:v>
                </c:pt>
                <c:pt idx="3245">
                  <c:v>8.4745000000000008</c:v>
                </c:pt>
                <c:pt idx="3246">
                  <c:v>8.4822000000000006</c:v>
                </c:pt>
                <c:pt idx="3247">
                  <c:v>8.4712999999999994</c:v>
                </c:pt>
                <c:pt idx="3248">
                  <c:v>8.4410000000000007</c:v>
                </c:pt>
                <c:pt idx="3249">
                  <c:v>8.3963000000000001</c:v>
                </c:pt>
                <c:pt idx="3250">
                  <c:v>8.3562999999999992</c:v>
                </c:pt>
                <c:pt idx="3251">
                  <c:v>8.3569999999999993</c:v>
                </c:pt>
                <c:pt idx="3252">
                  <c:v>8.4129000000000005</c:v>
                </c:pt>
                <c:pt idx="3253">
                  <c:v>8.3724000000000007</c:v>
                </c:pt>
                <c:pt idx="3254">
                  <c:v>8.3574000000000002</c:v>
                </c:pt>
                <c:pt idx="3255">
                  <c:v>8.3907000000000007</c:v>
                </c:pt>
                <c:pt idx="3256">
                  <c:v>8.3790999999999993</c:v>
                </c:pt>
                <c:pt idx="3257">
                  <c:v>8.2921999999999993</c:v>
                </c:pt>
                <c:pt idx="3258">
                  <c:v>8.3108000000000004</c:v>
                </c:pt>
                <c:pt idx="3259">
                  <c:v>8.2583000000000002</c:v>
                </c:pt>
                <c:pt idx="3260">
                  <c:v>8.2291000000000007</c:v>
                </c:pt>
                <c:pt idx="3261">
                  <c:v>8.2645</c:v>
                </c:pt>
                <c:pt idx="3262">
                  <c:v>8.2767999999999997</c:v>
                </c:pt>
                <c:pt idx="3263">
                  <c:v>8.2444000000000006</c:v>
                </c:pt>
                <c:pt idx="3264">
                  <c:v>8.2515000000000001</c:v>
                </c:pt>
                <c:pt idx="3265">
                  <c:v>8.3042999999999996</c:v>
                </c:pt>
                <c:pt idx="3266">
                  <c:v>8.3215000000000003</c:v>
                </c:pt>
                <c:pt idx="3267">
                  <c:v>8.2668999999999997</c:v>
                </c:pt>
                <c:pt idx="3268">
                  <c:v>8.2420000000000009</c:v>
                </c:pt>
                <c:pt idx="3269">
                  <c:v>8.2202999999999999</c:v>
                </c:pt>
                <c:pt idx="3270">
                  <c:v>8.2634000000000007</c:v>
                </c:pt>
                <c:pt idx="3271">
                  <c:v>8.26</c:v>
                </c:pt>
                <c:pt idx="3272">
                  <c:v>8.2139000000000006</c:v>
                </c:pt>
                <c:pt idx="3273">
                  <c:v>8.1813000000000002</c:v>
                </c:pt>
                <c:pt idx="3274">
                  <c:v>8.1959999999999997</c:v>
                </c:pt>
                <c:pt idx="3275">
                  <c:v>8.2186000000000003</c:v>
                </c:pt>
                <c:pt idx="3276">
                  <c:v>8.1953999999999994</c:v>
                </c:pt>
                <c:pt idx="3277">
                  <c:v>8.2165999999999997</c:v>
                </c:pt>
                <c:pt idx="3278">
                  <c:v>8.2573000000000008</c:v>
                </c:pt>
                <c:pt idx="3279">
                  <c:v>8.2477999999999998</c:v>
                </c:pt>
                <c:pt idx="3280">
                  <c:v>8.2165999999999997</c:v>
                </c:pt>
                <c:pt idx="3281">
                  <c:v>8.2522000000000002</c:v>
                </c:pt>
                <c:pt idx="3282">
                  <c:v>8.2505000000000006</c:v>
                </c:pt>
                <c:pt idx="3283">
                  <c:v>8.2371999999999996</c:v>
                </c:pt>
                <c:pt idx="3284">
                  <c:v>8.2362000000000002</c:v>
                </c:pt>
                <c:pt idx="3285">
                  <c:v>8.2908000000000008</c:v>
                </c:pt>
                <c:pt idx="3286">
                  <c:v>8.1976999999999993</c:v>
                </c:pt>
                <c:pt idx="3287">
                  <c:v>8.2402999999999995</c:v>
                </c:pt>
                <c:pt idx="3288">
                  <c:v>8.1862999999999992</c:v>
                </c:pt>
                <c:pt idx="3289">
                  <c:v>8.1237999999999992</c:v>
                </c:pt>
                <c:pt idx="3290">
                  <c:v>8.0515000000000008</c:v>
                </c:pt>
                <c:pt idx="3291">
                  <c:v>8.0140999999999991</c:v>
                </c:pt>
                <c:pt idx="3292">
                  <c:v>8.0518999999999998</c:v>
                </c:pt>
                <c:pt idx="3293">
                  <c:v>8.0670999999999999</c:v>
                </c:pt>
                <c:pt idx="3294">
                  <c:v>8.0427999999999997</c:v>
                </c:pt>
                <c:pt idx="3295">
                  <c:v>8.0128000000000004</c:v>
                </c:pt>
                <c:pt idx="3296">
                  <c:v>8.0157000000000007</c:v>
                </c:pt>
                <c:pt idx="3297">
                  <c:v>8.0320999999999998</c:v>
                </c:pt>
                <c:pt idx="3298">
                  <c:v>8.0703999999999994</c:v>
                </c:pt>
                <c:pt idx="3299">
                  <c:v>8.0801999999999996</c:v>
                </c:pt>
                <c:pt idx="3300">
                  <c:v>8.0886999999999993</c:v>
                </c:pt>
                <c:pt idx="3301">
                  <c:v>8.0459999999999994</c:v>
                </c:pt>
                <c:pt idx="3302">
                  <c:v>8.0175999999999998</c:v>
                </c:pt>
                <c:pt idx="3303">
                  <c:v>8.0359999999999996</c:v>
                </c:pt>
                <c:pt idx="3304">
                  <c:v>8.0782000000000007</c:v>
                </c:pt>
                <c:pt idx="3305">
                  <c:v>8.1004000000000005</c:v>
                </c:pt>
                <c:pt idx="3306">
                  <c:v>8.1004000000000005</c:v>
                </c:pt>
                <c:pt idx="3307">
                  <c:v>8.0693999999999999</c:v>
                </c:pt>
                <c:pt idx="3308">
                  <c:v>8.0844000000000005</c:v>
                </c:pt>
                <c:pt idx="3309">
                  <c:v>8.1288</c:v>
                </c:pt>
                <c:pt idx="3310">
                  <c:v>8.0191999999999997</c:v>
                </c:pt>
                <c:pt idx="3311">
                  <c:v>8.0860000000000003</c:v>
                </c:pt>
                <c:pt idx="3312">
                  <c:v>7.9859</c:v>
                </c:pt>
                <c:pt idx="3313">
                  <c:v>7.9970999999999997</c:v>
                </c:pt>
                <c:pt idx="3314">
                  <c:v>8.0137999999999998</c:v>
                </c:pt>
                <c:pt idx="3315">
                  <c:v>7.9528999999999996</c:v>
                </c:pt>
                <c:pt idx="3316">
                  <c:v>7.923</c:v>
                </c:pt>
                <c:pt idx="3317">
                  <c:v>7.8926999999999996</c:v>
                </c:pt>
                <c:pt idx="3318">
                  <c:v>7.9367999999999999</c:v>
                </c:pt>
                <c:pt idx="3319">
                  <c:v>7.9550999999999998</c:v>
                </c:pt>
                <c:pt idx="3320">
                  <c:v>7.8944999999999999</c:v>
                </c:pt>
                <c:pt idx="3321">
                  <c:v>7.907</c:v>
                </c:pt>
                <c:pt idx="3322">
                  <c:v>7.8920000000000003</c:v>
                </c:pt>
                <c:pt idx="3323">
                  <c:v>7.9664999999999999</c:v>
                </c:pt>
                <c:pt idx="3324">
                  <c:v>7.9968000000000004</c:v>
                </c:pt>
                <c:pt idx="3325">
                  <c:v>7.9869000000000003</c:v>
                </c:pt>
                <c:pt idx="3326">
                  <c:v>7.9970999999999997</c:v>
                </c:pt>
                <c:pt idx="3327">
                  <c:v>7.9888000000000003</c:v>
                </c:pt>
                <c:pt idx="3328">
                  <c:v>7.9295999999999998</c:v>
                </c:pt>
                <c:pt idx="3329">
                  <c:v>7.9359000000000002</c:v>
                </c:pt>
                <c:pt idx="3330">
                  <c:v>7.9585999999999997</c:v>
                </c:pt>
                <c:pt idx="3331">
                  <c:v>8.0079999999999991</c:v>
                </c:pt>
                <c:pt idx="3332">
                  <c:v>8.0144000000000002</c:v>
                </c:pt>
                <c:pt idx="3333">
                  <c:v>8.0765999999999991</c:v>
                </c:pt>
                <c:pt idx="3334">
                  <c:v>8.0420999999999996</c:v>
                </c:pt>
                <c:pt idx="3335">
                  <c:v>8.0130999999999997</c:v>
                </c:pt>
                <c:pt idx="3336">
                  <c:v>7.9847000000000001</c:v>
                </c:pt>
                <c:pt idx="3337">
                  <c:v>8.1096000000000004</c:v>
                </c:pt>
                <c:pt idx="3338">
                  <c:v>8.0892999999999997</c:v>
                </c:pt>
                <c:pt idx="3339">
                  <c:v>8.1506000000000007</c:v>
                </c:pt>
                <c:pt idx="3340">
                  <c:v>8.1773000000000007</c:v>
                </c:pt>
                <c:pt idx="3341">
                  <c:v>8.1189</c:v>
                </c:pt>
                <c:pt idx="3342">
                  <c:v>8.1460000000000008</c:v>
                </c:pt>
                <c:pt idx="3343">
                  <c:v>8.1096000000000004</c:v>
                </c:pt>
                <c:pt idx="3344">
                  <c:v>8.0873000000000008</c:v>
                </c:pt>
                <c:pt idx="3345">
                  <c:v>8.0015999999999998</c:v>
                </c:pt>
                <c:pt idx="3346">
                  <c:v>8.0454000000000008</c:v>
                </c:pt>
                <c:pt idx="3347">
                  <c:v>8.0618999999999996</c:v>
                </c:pt>
                <c:pt idx="3348">
                  <c:v>8.0382999999999996</c:v>
                </c:pt>
                <c:pt idx="3349">
                  <c:v>8.1069999999999993</c:v>
                </c:pt>
                <c:pt idx="3350">
                  <c:v>8.0189000000000004</c:v>
                </c:pt>
                <c:pt idx="3351">
                  <c:v>8.0730000000000004</c:v>
                </c:pt>
                <c:pt idx="3352">
                  <c:v>8.1023999999999994</c:v>
                </c:pt>
                <c:pt idx="3353">
                  <c:v>8.048</c:v>
                </c:pt>
                <c:pt idx="3354">
                  <c:v>8.0183</c:v>
                </c:pt>
                <c:pt idx="3355">
                  <c:v>8.0225000000000009</c:v>
                </c:pt>
                <c:pt idx="3356">
                  <c:v>8.016</c:v>
                </c:pt>
                <c:pt idx="3357">
                  <c:v>7.9459999999999997</c:v>
                </c:pt>
                <c:pt idx="3358">
                  <c:v>7.9488000000000003</c:v>
                </c:pt>
                <c:pt idx="3359">
                  <c:v>7.9779999999999998</c:v>
                </c:pt>
                <c:pt idx="3360">
                  <c:v>8.0641999999999996</c:v>
                </c:pt>
                <c:pt idx="3361">
                  <c:v>7.9836999999999998</c:v>
                </c:pt>
                <c:pt idx="3362">
                  <c:v>7.9729000000000001</c:v>
                </c:pt>
                <c:pt idx="3363">
                  <c:v>7.8696999999999999</c:v>
                </c:pt>
                <c:pt idx="3364">
                  <c:v>7.8802000000000003</c:v>
                </c:pt>
                <c:pt idx="3365">
                  <c:v>7.8502000000000001</c:v>
                </c:pt>
                <c:pt idx="3366">
                  <c:v>7.8216999999999999</c:v>
                </c:pt>
                <c:pt idx="3367">
                  <c:v>7.7667000000000002</c:v>
                </c:pt>
                <c:pt idx="3368">
                  <c:v>7.6928999999999998</c:v>
                </c:pt>
                <c:pt idx="3369">
                  <c:v>7.9169999999999998</c:v>
                </c:pt>
                <c:pt idx="3370">
                  <c:v>7.8758999999999997</c:v>
                </c:pt>
                <c:pt idx="3371">
                  <c:v>7.7847999999999997</c:v>
                </c:pt>
                <c:pt idx="3372">
                  <c:v>7.7411000000000003</c:v>
                </c:pt>
                <c:pt idx="3373">
                  <c:v>7.7408000000000001</c:v>
                </c:pt>
                <c:pt idx="3374">
                  <c:v>7.6910999999999996</c:v>
                </c:pt>
                <c:pt idx="3375">
                  <c:v>7.6863999999999999</c:v>
                </c:pt>
                <c:pt idx="3376">
                  <c:v>7.7220000000000004</c:v>
                </c:pt>
                <c:pt idx="3377">
                  <c:v>7.8238000000000003</c:v>
                </c:pt>
                <c:pt idx="3378">
                  <c:v>7.8011999999999997</c:v>
                </c:pt>
                <c:pt idx="3379">
                  <c:v>7.8131000000000004</c:v>
                </c:pt>
                <c:pt idx="3380">
                  <c:v>7.7751000000000001</c:v>
                </c:pt>
                <c:pt idx="3381">
                  <c:v>7.7690999999999999</c:v>
                </c:pt>
                <c:pt idx="3382">
                  <c:v>7.7648999999999999</c:v>
                </c:pt>
                <c:pt idx="3383">
                  <c:v>7.8784000000000001</c:v>
                </c:pt>
                <c:pt idx="3384">
                  <c:v>7.8802000000000003</c:v>
                </c:pt>
                <c:pt idx="3385">
                  <c:v>7.9375</c:v>
                </c:pt>
                <c:pt idx="3386">
                  <c:v>7.8428000000000004</c:v>
                </c:pt>
                <c:pt idx="3387">
                  <c:v>7.8541999999999996</c:v>
                </c:pt>
                <c:pt idx="3388">
                  <c:v>8.0029000000000003</c:v>
                </c:pt>
                <c:pt idx="3389">
                  <c:v>7.9607999999999999</c:v>
                </c:pt>
                <c:pt idx="3390">
                  <c:v>7.7618999999999998</c:v>
                </c:pt>
                <c:pt idx="3391">
                  <c:v>7.7751000000000001</c:v>
                </c:pt>
                <c:pt idx="3392">
                  <c:v>7.7732999999999999</c:v>
                </c:pt>
                <c:pt idx="3393">
                  <c:v>7.7393000000000001</c:v>
                </c:pt>
                <c:pt idx="3394">
                  <c:v>7.7539999999999996</c:v>
                </c:pt>
                <c:pt idx="3395">
                  <c:v>7.7915000000000001</c:v>
                </c:pt>
                <c:pt idx="3396">
                  <c:v>7.8975999999999997</c:v>
                </c:pt>
                <c:pt idx="3397">
                  <c:v>7.8686999999999996</c:v>
                </c:pt>
                <c:pt idx="3398">
                  <c:v>7.8815</c:v>
                </c:pt>
                <c:pt idx="3399">
                  <c:v>7.8926999999999996</c:v>
                </c:pt>
                <c:pt idx="3400">
                  <c:v>7.8498999999999999</c:v>
                </c:pt>
                <c:pt idx="3401">
                  <c:v>7.8555000000000001</c:v>
                </c:pt>
                <c:pt idx="3402">
                  <c:v>7.9157999999999999</c:v>
                </c:pt>
                <c:pt idx="3403">
                  <c:v>7.9138999999999999</c:v>
                </c:pt>
                <c:pt idx="3404">
                  <c:v>7.8867000000000003</c:v>
                </c:pt>
                <c:pt idx="3405">
                  <c:v>7.7878999999999996</c:v>
                </c:pt>
                <c:pt idx="3406">
                  <c:v>7.8560999999999996</c:v>
                </c:pt>
                <c:pt idx="3407">
                  <c:v>7.8724999999999996</c:v>
                </c:pt>
                <c:pt idx="3408">
                  <c:v>7.8601000000000001</c:v>
                </c:pt>
                <c:pt idx="3409">
                  <c:v>7.9150999999999998</c:v>
                </c:pt>
                <c:pt idx="3410">
                  <c:v>7.7309999999999999</c:v>
                </c:pt>
                <c:pt idx="3411">
                  <c:v>7.6109</c:v>
                </c:pt>
                <c:pt idx="3412">
                  <c:v>7.5434999999999999</c:v>
                </c:pt>
                <c:pt idx="3413">
                  <c:v>7.4821999999999997</c:v>
                </c:pt>
                <c:pt idx="3414">
                  <c:v>7.5354999999999999</c:v>
                </c:pt>
                <c:pt idx="3415">
                  <c:v>7.5148000000000001</c:v>
                </c:pt>
                <c:pt idx="3416">
                  <c:v>7.5709</c:v>
                </c:pt>
                <c:pt idx="3417">
                  <c:v>7.5682999999999998</c:v>
                </c:pt>
                <c:pt idx="3418">
                  <c:v>7.5792000000000002</c:v>
                </c:pt>
                <c:pt idx="3419">
                  <c:v>7.5335000000000001</c:v>
                </c:pt>
                <c:pt idx="3420">
                  <c:v>7.6079999999999997</c:v>
                </c:pt>
                <c:pt idx="3421">
                  <c:v>7.6257000000000001</c:v>
                </c:pt>
                <c:pt idx="3422">
                  <c:v>7.6938000000000004</c:v>
                </c:pt>
                <c:pt idx="3423">
                  <c:v>7.6843000000000004</c:v>
                </c:pt>
                <c:pt idx="3424">
                  <c:v>7.6397000000000004</c:v>
                </c:pt>
                <c:pt idx="3425">
                  <c:v>7.6978999999999997</c:v>
                </c:pt>
                <c:pt idx="3426">
                  <c:v>7.7122000000000002</c:v>
                </c:pt>
                <c:pt idx="3427">
                  <c:v>7.7458999999999998</c:v>
                </c:pt>
                <c:pt idx="3428">
                  <c:v>7.6843000000000004</c:v>
                </c:pt>
                <c:pt idx="3429">
                  <c:v>7.6637000000000004</c:v>
                </c:pt>
                <c:pt idx="3430">
                  <c:v>7.5979000000000001</c:v>
                </c:pt>
                <c:pt idx="3431">
                  <c:v>7.5586000000000002</c:v>
                </c:pt>
                <c:pt idx="3432">
                  <c:v>7.6140999999999996</c:v>
                </c:pt>
                <c:pt idx="3433">
                  <c:v>7.6315</c:v>
                </c:pt>
                <c:pt idx="3434">
                  <c:v>7.6737000000000002</c:v>
                </c:pt>
                <c:pt idx="3435">
                  <c:v>7.7369000000000003</c:v>
                </c:pt>
                <c:pt idx="3436">
                  <c:v>7.7945000000000002</c:v>
                </c:pt>
                <c:pt idx="3437">
                  <c:v>7.7413999999999996</c:v>
                </c:pt>
                <c:pt idx="3438">
                  <c:v>7.7664</c:v>
                </c:pt>
                <c:pt idx="3439">
                  <c:v>7.8452999999999999</c:v>
                </c:pt>
                <c:pt idx="3440">
                  <c:v>7.7567000000000004</c:v>
                </c:pt>
                <c:pt idx="3441">
                  <c:v>7.8116000000000003</c:v>
                </c:pt>
                <c:pt idx="3442">
                  <c:v>7.7450000000000001</c:v>
                </c:pt>
                <c:pt idx="3443">
                  <c:v>7.7408000000000001</c:v>
                </c:pt>
                <c:pt idx="3444">
                  <c:v>7.6239999999999997</c:v>
                </c:pt>
                <c:pt idx="3445">
                  <c:v>7.6825999999999999</c:v>
                </c:pt>
                <c:pt idx="3446">
                  <c:v>7.6414999999999997</c:v>
                </c:pt>
                <c:pt idx="3447">
                  <c:v>7.6262999999999996</c:v>
                </c:pt>
                <c:pt idx="3448">
                  <c:v>7.6345000000000001</c:v>
                </c:pt>
                <c:pt idx="3449">
                  <c:v>7.6718999999999999</c:v>
                </c:pt>
                <c:pt idx="3450">
                  <c:v>7.7591999999999999</c:v>
                </c:pt>
                <c:pt idx="3451">
                  <c:v>7.6478999999999999</c:v>
                </c:pt>
                <c:pt idx="3452">
                  <c:v>7.5511999999999997</c:v>
                </c:pt>
                <c:pt idx="3453">
                  <c:v>7.5185000000000004</c:v>
                </c:pt>
                <c:pt idx="3454">
                  <c:v>7.5289999999999999</c:v>
                </c:pt>
                <c:pt idx="3455">
                  <c:v>7.5046999999999997</c:v>
                </c:pt>
                <c:pt idx="3456">
                  <c:v>7.5153999999999996</c:v>
                </c:pt>
                <c:pt idx="3457">
                  <c:v>7.5609000000000002</c:v>
                </c:pt>
                <c:pt idx="3458">
                  <c:v>7.6285999999999996</c:v>
                </c:pt>
                <c:pt idx="3459">
                  <c:v>7.6348000000000003</c:v>
                </c:pt>
                <c:pt idx="3460">
                  <c:v>7.6955999999999998</c:v>
                </c:pt>
                <c:pt idx="3461">
                  <c:v>7.6563999999999997</c:v>
                </c:pt>
                <c:pt idx="3462">
                  <c:v>7.5674000000000001</c:v>
                </c:pt>
                <c:pt idx="3463">
                  <c:v>7.6031000000000004</c:v>
                </c:pt>
                <c:pt idx="3464">
                  <c:v>7.6239999999999997</c:v>
                </c:pt>
                <c:pt idx="3465">
                  <c:v>7.6684000000000001</c:v>
                </c:pt>
                <c:pt idx="3466">
                  <c:v>7.5640000000000001</c:v>
                </c:pt>
                <c:pt idx="3467">
                  <c:v>7.5838000000000001</c:v>
                </c:pt>
                <c:pt idx="3468">
                  <c:v>7.4737999999999998</c:v>
                </c:pt>
                <c:pt idx="3469">
                  <c:v>7.5190999999999999</c:v>
                </c:pt>
                <c:pt idx="3470">
                  <c:v>7.4272</c:v>
                </c:pt>
                <c:pt idx="3471">
                  <c:v>7.3445999999999998</c:v>
                </c:pt>
                <c:pt idx="3472">
                  <c:v>7.35</c:v>
                </c:pt>
                <c:pt idx="3473">
                  <c:v>7.3243999999999998</c:v>
                </c:pt>
                <c:pt idx="3474">
                  <c:v>7.2729999999999997</c:v>
                </c:pt>
                <c:pt idx="3475">
                  <c:v>7.22</c:v>
                </c:pt>
                <c:pt idx="3476">
                  <c:v>7.2220000000000004</c:v>
                </c:pt>
                <c:pt idx="3477">
                  <c:v>7.2278000000000002</c:v>
                </c:pt>
                <c:pt idx="3478">
                  <c:v>7.1950000000000003</c:v>
                </c:pt>
                <c:pt idx="3479">
                  <c:v>7.2771999999999997</c:v>
                </c:pt>
                <c:pt idx="3480">
                  <c:v>7.2423999999999999</c:v>
                </c:pt>
                <c:pt idx="3481">
                  <c:v>7.1847000000000003</c:v>
                </c:pt>
                <c:pt idx="3482">
                  <c:v>7.2272999999999996</c:v>
                </c:pt>
                <c:pt idx="3483">
                  <c:v>7.3239000000000001</c:v>
                </c:pt>
                <c:pt idx="3484">
                  <c:v>7.3273000000000001</c:v>
                </c:pt>
                <c:pt idx="3485">
                  <c:v>7.2869999999999999</c:v>
                </c:pt>
                <c:pt idx="3486">
                  <c:v>7.2973999999999997</c:v>
                </c:pt>
                <c:pt idx="3487">
                  <c:v>7.2301000000000002</c:v>
                </c:pt>
                <c:pt idx="3488">
                  <c:v>7.1379999999999999</c:v>
                </c:pt>
                <c:pt idx="3489">
                  <c:v>7.1528</c:v>
                </c:pt>
                <c:pt idx="3490">
                  <c:v>7.1125999999999996</c:v>
                </c:pt>
                <c:pt idx="3491">
                  <c:v>7.1416000000000004</c:v>
                </c:pt>
                <c:pt idx="3492">
                  <c:v>7.1104000000000003</c:v>
                </c:pt>
                <c:pt idx="3493">
                  <c:v>7.0879000000000003</c:v>
                </c:pt>
                <c:pt idx="3494">
                  <c:v>7.1280999999999999</c:v>
                </c:pt>
                <c:pt idx="3495">
                  <c:v>7.0621</c:v>
                </c:pt>
                <c:pt idx="3496">
                  <c:v>6.9820000000000002</c:v>
                </c:pt>
                <c:pt idx="3497">
                  <c:v>6.9512</c:v>
                </c:pt>
                <c:pt idx="3498">
                  <c:v>6.9978999999999996</c:v>
                </c:pt>
                <c:pt idx="3499">
                  <c:v>6.9599000000000002</c:v>
                </c:pt>
                <c:pt idx="3500">
                  <c:v>6.9752000000000001</c:v>
                </c:pt>
                <c:pt idx="3501">
                  <c:v>6.9339000000000004</c:v>
                </c:pt>
                <c:pt idx="3502">
                  <c:v>6.9273999999999996</c:v>
                </c:pt>
                <c:pt idx="3503">
                  <c:v>6.9355000000000002</c:v>
                </c:pt>
                <c:pt idx="3504">
                  <c:v>6.9539</c:v>
                </c:pt>
                <c:pt idx="3505">
                  <c:v>6.9915000000000003</c:v>
                </c:pt>
                <c:pt idx="3506">
                  <c:v>6.9682000000000004</c:v>
                </c:pt>
                <c:pt idx="3507">
                  <c:v>6.9375</c:v>
                </c:pt>
                <c:pt idx="3508">
                  <c:v>6.8986999999999998</c:v>
                </c:pt>
                <c:pt idx="3509">
                  <c:v>6.9306999999999999</c:v>
                </c:pt>
                <c:pt idx="3510">
                  <c:v>6.9408000000000003</c:v>
                </c:pt>
                <c:pt idx="3511">
                  <c:v>6.9073000000000002</c:v>
                </c:pt>
                <c:pt idx="3512">
                  <c:v>6.8916000000000004</c:v>
                </c:pt>
                <c:pt idx="3513">
                  <c:v>6.9321999999999999</c:v>
                </c:pt>
                <c:pt idx="3514">
                  <c:v>6.9749999999999996</c:v>
                </c:pt>
                <c:pt idx="3515">
                  <c:v>6.9752000000000001</c:v>
                </c:pt>
                <c:pt idx="3516">
                  <c:v>6.9527000000000001</c:v>
                </c:pt>
                <c:pt idx="3517">
                  <c:v>6.9985999999999997</c:v>
                </c:pt>
                <c:pt idx="3518">
                  <c:v>6.9903000000000004</c:v>
                </c:pt>
                <c:pt idx="3519">
                  <c:v>7.0045000000000002</c:v>
                </c:pt>
                <c:pt idx="3520">
                  <c:v>6.9535999999999998</c:v>
                </c:pt>
                <c:pt idx="3521">
                  <c:v>6.9560000000000004</c:v>
                </c:pt>
                <c:pt idx="3522">
                  <c:v>6.9408000000000003</c:v>
                </c:pt>
                <c:pt idx="3523">
                  <c:v>6.9442000000000004</c:v>
                </c:pt>
                <c:pt idx="3524">
                  <c:v>6.9618000000000002</c:v>
                </c:pt>
                <c:pt idx="3525">
                  <c:v>6.9443999999999999</c:v>
                </c:pt>
                <c:pt idx="3526">
                  <c:v>6.8986999999999998</c:v>
                </c:pt>
                <c:pt idx="3527">
                  <c:v>6.9001000000000001</c:v>
                </c:pt>
                <c:pt idx="3528">
                  <c:v>6.9829999999999997</c:v>
                </c:pt>
                <c:pt idx="3529">
                  <c:v>6.9728000000000003</c:v>
                </c:pt>
                <c:pt idx="3530">
                  <c:v>6.9005999999999998</c:v>
                </c:pt>
                <c:pt idx="3531">
                  <c:v>6.8788</c:v>
                </c:pt>
                <c:pt idx="3532">
                  <c:v>6.8369</c:v>
                </c:pt>
                <c:pt idx="3533">
                  <c:v>6.8456000000000001</c:v>
                </c:pt>
                <c:pt idx="3534">
                  <c:v>6.8049999999999997</c:v>
                </c:pt>
                <c:pt idx="3535">
                  <c:v>6.8094000000000001</c:v>
                </c:pt>
                <c:pt idx="3536">
                  <c:v>6.8472</c:v>
                </c:pt>
                <c:pt idx="3537">
                  <c:v>6.8418000000000001</c:v>
                </c:pt>
                <c:pt idx="3538">
                  <c:v>6.79</c:v>
                </c:pt>
                <c:pt idx="3539">
                  <c:v>6.7530999999999999</c:v>
                </c:pt>
                <c:pt idx="3540">
                  <c:v>6.8097000000000003</c:v>
                </c:pt>
                <c:pt idx="3541">
                  <c:v>6.7937000000000003</c:v>
                </c:pt>
                <c:pt idx="3542">
                  <c:v>6.8234000000000004</c:v>
                </c:pt>
                <c:pt idx="3543">
                  <c:v>6.8108000000000004</c:v>
                </c:pt>
                <c:pt idx="3544">
                  <c:v>6.7957999999999998</c:v>
                </c:pt>
                <c:pt idx="3545">
                  <c:v>6.8406000000000002</c:v>
                </c:pt>
                <c:pt idx="3546">
                  <c:v>6.8691000000000004</c:v>
                </c:pt>
                <c:pt idx="3547">
                  <c:v>6.9287999999999998</c:v>
                </c:pt>
                <c:pt idx="3548">
                  <c:v>6.9436999999999998</c:v>
                </c:pt>
                <c:pt idx="3549">
                  <c:v>6.9054000000000002</c:v>
                </c:pt>
                <c:pt idx="3550">
                  <c:v>6.8887</c:v>
                </c:pt>
                <c:pt idx="3551">
                  <c:v>6.8807</c:v>
                </c:pt>
                <c:pt idx="3552">
                  <c:v>6.9413</c:v>
                </c:pt>
                <c:pt idx="3553">
                  <c:v>6.9694000000000003</c:v>
                </c:pt>
                <c:pt idx="3554">
                  <c:v>7.0347999999999997</c:v>
                </c:pt>
                <c:pt idx="3555">
                  <c:v>7.0445000000000002</c:v>
                </c:pt>
                <c:pt idx="3556">
                  <c:v>7.0589000000000004</c:v>
                </c:pt>
                <c:pt idx="3557">
                  <c:v>7.0084</c:v>
                </c:pt>
                <c:pt idx="3558">
                  <c:v>6.9667000000000003</c:v>
                </c:pt>
                <c:pt idx="3559">
                  <c:v>6.9203999999999999</c:v>
                </c:pt>
                <c:pt idx="3560">
                  <c:v>6.9324000000000003</c:v>
                </c:pt>
                <c:pt idx="3561">
                  <c:v>6.9423000000000004</c:v>
                </c:pt>
                <c:pt idx="3562">
                  <c:v>6.9854000000000003</c:v>
                </c:pt>
                <c:pt idx="3563">
                  <c:v>6.9848999999999997</c:v>
                </c:pt>
                <c:pt idx="3564">
                  <c:v>7.0750999999999999</c:v>
                </c:pt>
                <c:pt idx="3565">
                  <c:v>7.1063000000000001</c:v>
                </c:pt>
                <c:pt idx="3566">
                  <c:v>7.1273</c:v>
                </c:pt>
                <c:pt idx="3567">
                  <c:v>7.1523000000000003</c:v>
                </c:pt>
                <c:pt idx="3568">
                  <c:v>7.0937000000000001</c:v>
                </c:pt>
                <c:pt idx="3569">
                  <c:v>7.0636000000000001</c:v>
                </c:pt>
                <c:pt idx="3570">
                  <c:v>7.1029999999999998</c:v>
                </c:pt>
                <c:pt idx="3571">
                  <c:v>7.1759000000000004</c:v>
                </c:pt>
                <c:pt idx="3572">
                  <c:v>7.1656000000000004</c:v>
                </c:pt>
                <c:pt idx="3573">
                  <c:v>7.0770999999999997</c:v>
                </c:pt>
                <c:pt idx="3574">
                  <c:v>7.0377999999999998</c:v>
                </c:pt>
                <c:pt idx="3575">
                  <c:v>6.9962</c:v>
                </c:pt>
                <c:pt idx="3576">
                  <c:v>7.0167999999999999</c:v>
                </c:pt>
                <c:pt idx="3577">
                  <c:v>6.9668999999999999</c:v>
                </c:pt>
                <c:pt idx="3578">
                  <c:v>7.0476999999999999</c:v>
                </c:pt>
                <c:pt idx="3579">
                  <c:v>6.9859</c:v>
                </c:pt>
                <c:pt idx="3580">
                  <c:v>6.9364999999999997</c:v>
                </c:pt>
                <c:pt idx="3581">
                  <c:v>7.0004</c:v>
                </c:pt>
                <c:pt idx="3582">
                  <c:v>6.8415999999999997</c:v>
                </c:pt>
                <c:pt idx="3583">
                  <c:v>6.7892999999999999</c:v>
                </c:pt>
                <c:pt idx="3584">
                  <c:v>6.7462999999999997</c:v>
                </c:pt>
                <c:pt idx="3585">
                  <c:v>6.8231000000000002</c:v>
                </c:pt>
                <c:pt idx="3586">
                  <c:v>6.7248999999999999</c:v>
                </c:pt>
                <c:pt idx="3587">
                  <c:v>6.7375999999999996</c:v>
                </c:pt>
                <c:pt idx="3588">
                  <c:v>6.6394000000000002</c:v>
                </c:pt>
                <c:pt idx="3589">
                  <c:v>6.6139999999999999</c:v>
                </c:pt>
                <c:pt idx="3590">
                  <c:v>6.6044</c:v>
                </c:pt>
                <c:pt idx="3591">
                  <c:v>6.6288999999999998</c:v>
                </c:pt>
                <c:pt idx="3592">
                  <c:v>6.5529000000000002</c:v>
                </c:pt>
                <c:pt idx="3593">
                  <c:v>6.5922000000000001</c:v>
                </c:pt>
                <c:pt idx="3594">
                  <c:v>6.5658000000000003</c:v>
                </c:pt>
                <c:pt idx="3595">
                  <c:v>6.5895999999999999</c:v>
                </c:pt>
                <c:pt idx="3596">
                  <c:v>6.5393999999999997</c:v>
                </c:pt>
                <c:pt idx="3597">
                  <c:v>6.5743999999999998</c:v>
                </c:pt>
                <c:pt idx="3598">
                  <c:v>6.5883000000000003</c:v>
                </c:pt>
                <c:pt idx="3599">
                  <c:v>6.5514000000000001</c:v>
                </c:pt>
                <c:pt idx="3600">
                  <c:v>6.5553999999999997</c:v>
                </c:pt>
                <c:pt idx="3601">
                  <c:v>6.5377000000000001</c:v>
                </c:pt>
                <c:pt idx="3602">
                  <c:v>6.5857000000000001</c:v>
                </c:pt>
                <c:pt idx="3603">
                  <c:v>6.5297999999999998</c:v>
                </c:pt>
                <c:pt idx="3604">
                  <c:v>6.5106000000000002</c:v>
                </c:pt>
                <c:pt idx="3605">
                  <c:v>6.4817</c:v>
                </c:pt>
                <c:pt idx="3606">
                  <c:v>6.4687000000000001</c:v>
                </c:pt>
                <c:pt idx="3607">
                  <c:v>6.4819000000000004</c:v>
                </c:pt>
                <c:pt idx="3608">
                  <c:v>6.4599000000000002</c:v>
                </c:pt>
                <c:pt idx="3609">
                  <c:v>6.4885000000000002</c:v>
                </c:pt>
                <c:pt idx="3610">
                  <c:v>6.4917999999999996</c:v>
                </c:pt>
                <c:pt idx="3611">
                  <c:v>6.4386999999999999</c:v>
                </c:pt>
                <c:pt idx="3612">
                  <c:v>6.4657999999999998</c:v>
                </c:pt>
                <c:pt idx="3613">
                  <c:v>6.4615999999999998</c:v>
                </c:pt>
                <c:pt idx="3614">
                  <c:v>6.4264999999999999</c:v>
                </c:pt>
                <c:pt idx="3615">
                  <c:v>6.3929999999999998</c:v>
                </c:pt>
                <c:pt idx="3616">
                  <c:v>6.3932000000000002</c:v>
                </c:pt>
                <c:pt idx="3617">
                  <c:v>6.4619999999999997</c:v>
                </c:pt>
                <c:pt idx="3618">
                  <c:v>6.4989999999999997</c:v>
                </c:pt>
                <c:pt idx="3619">
                  <c:v>6.5152999999999999</c:v>
                </c:pt>
                <c:pt idx="3620">
                  <c:v>6.4619999999999997</c:v>
                </c:pt>
                <c:pt idx="3621">
                  <c:v>6.4267000000000003</c:v>
                </c:pt>
                <c:pt idx="3622">
                  <c:v>6.3453999999999997</c:v>
                </c:pt>
                <c:pt idx="3623">
                  <c:v>6.3365</c:v>
                </c:pt>
                <c:pt idx="3624">
                  <c:v>6.3643999999999998</c:v>
                </c:pt>
                <c:pt idx="3625">
                  <c:v>6.3224999999999998</c:v>
                </c:pt>
                <c:pt idx="3626">
                  <c:v>6.3341000000000003</c:v>
                </c:pt>
                <c:pt idx="3627">
                  <c:v>6.3292999999999999</c:v>
                </c:pt>
                <c:pt idx="3628">
                  <c:v>6.3117000000000001</c:v>
                </c:pt>
                <c:pt idx="3629">
                  <c:v>6.2895000000000003</c:v>
                </c:pt>
                <c:pt idx="3630">
                  <c:v>6.3320999999999996</c:v>
                </c:pt>
                <c:pt idx="3631">
                  <c:v>6.3224999999999998</c:v>
                </c:pt>
                <c:pt idx="3632">
                  <c:v>6.3556999999999997</c:v>
                </c:pt>
                <c:pt idx="3633">
                  <c:v>6.3615000000000004</c:v>
                </c:pt>
                <c:pt idx="3634">
                  <c:v>6.3643999999999998</c:v>
                </c:pt>
                <c:pt idx="3635">
                  <c:v>6.3406000000000002</c:v>
                </c:pt>
                <c:pt idx="3636">
                  <c:v>6.3269000000000002</c:v>
                </c:pt>
                <c:pt idx="3637">
                  <c:v>6.3631000000000002</c:v>
                </c:pt>
                <c:pt idx="3638">
                  <c:v>6.2755000000000001</c:v>
                </c:pt>
                <c:pt idx="3639">
                  <c:v>6.3224999999999998</c:v>
                </c:pt>
                <c:pt idx="3640">
                  <c:v>6.2445000000000004</c:v>
                </c:pt>
                <c:pt idx="3641">
                  <c:v>6.2305000000000001</c:v>
                </c:pt>
                <c:pt idx="3642">
                  <c:v>6.2667999999999999</c:v>
                </c:pt>
                <c:pt idx="3643">
                  <c:v>6.2717999999999998</c:v>
                </c:pt>
                <c:pt idx="3644">
                  <c:v>6.3026</c:v>
                </c:pt>
                <c:pt idx="3645">
                  <c:v>6.3148999999999997</c:v>
                </c:pt>
                <c:pt idx="3646">
                  <c:v>6.2550999999999997</c:v>
                </c:pt>
                <c:pt idx="3647">
                  <c:v>6.1637000000000004</c:v>
                </c:pt>
                <c:pt idx="3648">
                  <c:v>6.1490999999999998</c:v>
                </c:pt>
                <c:pt idx="3649">
                  <c:v>6.1603000000000003</c:v>
                </c:pt>
                <c:pt idx="3650">
                  <c:v>6.1501000000000001</c:v>
                </c:pt>
                <c:pt idx="3651">
                  <c:v>6.1025999999999998</c:v>
                </c:pt>
                <c:pt idx="3652">
                  <c:v>6.1130000000000004</c:v>
                </c:pt>
                <c:pt idx="3653">
                  <c:v>6.1009000000000002</c:v>
                </c:pt>
                <c:pt idx="3654">
                  <c:v>6.0807000000000002</c:v>
                </c:pt>
                <c:pt idx="3655">
                  <c:v>6.0743999999999998</c:v>
                </c:pt>
                <c:pt idx="3656">
                  <c:v>6.0705</c:v>
                </c:pt>
                <c:pt idx="3657">
                  <c:v>6.0636999999999999</c:v>
                </c:pt>
                <c:pt idx="3658">
                  <c:v>6.0976999999999997</c:v>
                </c:pt>
                <c:pt idx="3659">
                  <c:v>6.0883000000000003</c:v>
                </c:pt>
                <c:pt idx="3660">
                  <c:v>6.0593000000000004</c:v>
                </c:pt>
                <c:pt idx="3661">
                  <c:v>6.0671999999999997</c:v>
                </c:pt>
                <c:pt idx="3662">
                  <c:v>6.0824999999999996</c:v>
                </c:pt>
                <c:pt idx="3663">
                  <c:v>6.0880999999999998</c:v>
                </c:pt>
                <c:pt idx="3664">
                  <c:v>6.1188000000000002</c:v>
                </c:pt>
                <c:pt idx="3665">
                  <c:v>6.1547999999999998</c:v>
                </c:pt>
                <c:pt idx="3666">
                  <c:v>6.1527000000000003</c:v>
                </c:pt>
                <c:pt idx="3667">
                  <c:v>6.1483999999999996</c:v>
                </c:pt>
                <c:pt idx="3668">
                  <c:v>6.1516000000000002</c:v>
                </c:pt>
                <c:pt idx="3669">
                  <c:v>6.1463000000000001</c:v>
                </c:pt>
                <c:pt idx="3670">
                  <c:v>6.141</c:v>
                </c:pt>
                <c:pt idx="3671">
                  <c:v>6.1355000000000004</c:v>
                </c:pt>
                <c:pt idx="3672">
                  <c:v>6.1352000000000002</c:v>
                </c:pt>
                <c:pt idx="3673">
                  <c:v>6.1448</c:v>
                </c:pt>
                <c:pt idx="3674">
                  <c:v>6.1319999999999997</c:v>
                </c:pt>
                <c:pt idx="3675">
                  <c:v>6.125</c:v>
                </c:pt>
                <c:pt idx="3676">
                  <c:v>6.1193999999999997</c:v>
                </c:pt>
                <c:pt idx="3677">
                  <c:v>6.1456999999999997</c:v>
                </c:pt>
                <c:pt idx="3678">
                  <c:v>6.1508000000000003</c:v>
                </c:pt>
                <c:pt idx="3679">
                  <c:v>6.1550000000000002</c:v>
                </c:pt>
                <c:pt idx="3680">
                  <c:v>6.1489000000000003</c:v>
                </c:pt>
                <c:pt idx="3681">
                  <c:v>6.1550000000000002</c:v>
                </c:pt>
                <c:pt idx="3682">
                  <c:v>6.1661999999999999</c:v>
                </c:pt>
                <c:pt idx="3683">
                  <c:v>6.1482000000000001</c:v>
                </c:pt>
                <c:pt idx="3684">
                  <c:v>6.1647999999999996</c:v>
                </c:pt>
                <c:pt idx="3685">
                  <c:v>6.1848999999999998</c:v>
                </c:pt>
                <c:pt idx="3686">
                  <c:v>6.1422999999999996</c:v>
                </c:pt>
                <c:pt idx="3687">
                  <c:v>6.1276000000000002</c:v>
                </c:pt>
                <c:pt idx="3688">
                  <c:v>6.1340000000000003</c:v>
                </c:pt>
                <c:pt idx="3689">
                  <c:v>6.1321000000000003</c:v>
                </c:pt>
                <c:pt idx="3690">
                  <c:v>6.1356999999999999</c:v>
                </c:pt>
                <c:pt idx="3691">
                  <c:v>6.1416000000000004</c:v>
                </c:pt>
                <c:pt idx="3692">
                  <c:v>6.1489000000000003</c:v>
                </c:pt>
                <c:pt idx="3693">
                  <c:v>6.1441999999999997</c:v>
                </c:pt>
                <c:pt idx="3694">
                  <c:v>6.1470000000000002</c:v>
                </c:pt>
                <c:pt idx="3695">
                  <c:v>6.1467999999999998</c:v>
                </c:pt>
                <c:pt idx="3696">
                  <c:v>6.1227999999999998</c:v>
                </c:pt>
                <c:pt idx="3697">
                  <c:v>6.1345999999999998</c:v>
                </c:pt>
                <c:pt idx="3698">
                  <c:v>6.1349999999999998</c:v>
                </c:pt>
                <c:pt idx="3699">
                  <c:v>6.1218000000000004</c:v>
                </c:pt>
                <c:pt idx="3700">
                  <c:v>6.1086999999999998</c:v>
                </c:pt>
                <c:pt idx="3701">
                  <c:v>6.1181000000000001</c:v>
                </c:pt>
                <c:pt idx="3702">
                  <c:v>6.1143000000000001</c:v>
                </c:pt>
                <c:pt idx="3703">
                  <c:v>6.1311999999999998</c:v>
                </c:pt>
                <c:pt idx="3704">
                  <c:v>6.1557000000000004</c:v>
                </c:pt>
                <c:pt idx="3705">
                  <c:v>6.1475</c:v>
                </c:pt>
                <c:pt idx="3706">
                  <c:v>6.1482000000000001</c:v>
                </c:pt>
                <c:pt idx="3707">
                  <c:v>6.1425000000000001</c:v>
                </c:pt>
                <c:pt idx="3708">
                  <c:v>6.1349999999999998</c:v>
                </c:pt>
                <c:pt idx="3709">
                  <c:v>6.1632999999999996</c:v>
                </c:pt>
                <c:pt idx="3710">
                  <c:v>6.1444000000000001</c:v>
                </c:pt>
                <c:pt idx="3711">
                  <c:v>6.1367000000000003</c:v>
                </c:pt>
                <c:pt idx="3712">
                  <c:v>6.1349999999999998</c:v>
                </c:pt>
                <c:pt idx="3713">
                  <c:v>6.1237000000000004</c:v>
                </c:pt>
                <c:pt idx="3714">
                  <c:v>6.1275000000000004</c:v>
                </c:pt>
                <c:pt idx="3715">
                  <c:v>6.1406000000000001</c:v>
                </c:pt>
                <c:pt idx="3716">
                  <c:v>6.1557000000000004</c:v>
                </c:pt>
                <c:pt idx="3717">
                  <c:v>6.1292999999999997</c:v>
                </c:pt>
                <c:pt idx="3718">
                  <c:v>6.1105999999999998</c:v>
                </c:pt>
                <c:pt idx="3719">
                  <c:v>6.0716000000000001</c:v>
                </c:pt>
                <c:pt idx="3720">
                  <c:v>6.0772000000000004</c:v>
                </c:pt>
                <c:pt idx="3721">
                  <c:v>6.0551000000000004</c:v>
                </c:pt>
                <c:pt idx="3722">
                  <c:v>6.0533000000000001</c:v>
                </c:pt>
                <c:pt idx="3723">
                  <c:v>6.0624000000000002</c:v>
                </c:pt>
                <c:pt idx="3724">
                  <c:v>5.9934000000000003</c:v>
                </c:pt>
                <c:pt idx="3725">
                  <c:v>5.9897999999999998</c:v>
                </c:pt>
                <c:pt idx="3726">
                  <c:v>6.0077999999999996</c:v>
                </c:pt>
                <c:pt idx="3727">
                  <c:v>6.0042</c:v>
                </c:pt>
                <c:pt idx="3728">
                  <c:v>6.0223000000000004</c:v>
                </c:pt>
                <c:pt idx="3729">
                  <c:v>5.9790999999999999</c:v>
                </c:pt>
                <c:pt idx="3730">
                  <c:v>6.0060000000000002</c:v>
                </c:pt>
                <c:pt idx="3731">
                  <c:v>6.0042</c:v>
                </c:pt>
                <c:pt idx="3732">
                  <c:v>6.0660999999999996</c:v>
                </c:pt>
                <c:pt idx="3733">
                  <c:v>6.0587999999999997</c:v>
                </c:pt>
                <c:pt idx="3734">
                  <c:v>6.0888</c:v>
                </c:pt>
                <c:pt idx="3735">
                  <c:v>6.0895999999999999</c:v>
                </c:pt>
                <c:pt idx="3736">
                  <c:v>6.1173000000000002</c:v>
                </c:pt>
                <c:pt idx="3737">
                  <c:v>6.1363000000000003</c:v>
                </c:pt>
                <c:pt idx="3738">
                  <c:v>6.0945999999999998</c:v>
                </c:pt>
                <c:pt idx="3739">
                  <c:v>6.0736999999999997</c:v>
                </c:pt>
                <c:pt idx="3740">
                  <c:v>6.0579999999999998</c:v>
                </c:pt>
                <c:pt idx="3741">
                  <c:v>6.0814000000000004</c:v>
                </c:pt>
                <c:pt idx="3742">
                  <c:v>6.0861999999999998</c:v>
                </c:pt>
                <c:pt idx="3743">
                  <c:v>6.0622999999999996</c:v>
                </c:pt>
                <c:pt idx="3744">
                  <c:v>6.0335000000000001</c:v>
                </c:pt>
                <c:pt idx="3745">
                  <c:v>6.0292000000000003</c:v>
                </c:pt>
                <c:pt idx="3746">
                  <c:v>6.0350000000000001</c:v>
                </c:pt>
                <c:pt idx="3747">
                  <c:v>6.0430000000000001</c:v>
                </c:pt>
                <c:pt idx="3748">
                  <c:v>6.0850999999999997</c:v>
                </c:pt>
                <c:pt idx="3749">
                  <c:v>6.0850999999999997</c:v>
                </c:pt>
                <c:pt idx="3750">
                  <c:v>6.0922000000000001</c:v>
                </c:pt>
                <c:pt idx="3751">
                  <c:v>6.0951000000000004</c:v>
                </c:pt>
                <c:pt idx="3752">
                  <c:v>6.0922000000000001</c:v>
                </c:pt>
                <c:pt idx="3753">
                  <c:v>6.0965999999999996</c:v>
                </c:pt>
                <c:pt idx="3754">
                  <c:v>6.1010999999999997</c:v>
                </c:pt>
                <c:pt idx="3755">
                  <c:v>6.0888</c:v>
                </c:pt>
                <c:pt idx="3756">
                  <c:v>6.1219999999999999</c:v>
                </c:pt>
                <c:pt idx="3757">
                  <c:v>6.1292999999999997</c:v>
                </c:pt>
                <c:pt idx="3758">
                  <c:v>6.1108000000000002</c:v>
                </c:pt>
                <c:pt idx="3759">
                  <c:v>6.0994000000000002</c:v>
                </c:pt>
                <c:pt idx="3760">
                  <c:v>6.1113</c:v>
                </c:pt>
                <c:pt idx="3761">
                  <c:v>6.1105999999999998</c:v>
                </c:pt>
                <c:pt idx="3762">
                  <c:v>6.1406000000000001</c:v>
                </c:pt>
                <c:pt idx="3763">
                  <c:v>6.1595000000000004</c:v>
                </c:pt>
                <c:pt idx="3764">
                  <c:v>6.1805000000000003</c:v>
                </c:pt>
                <c:pt idx="3765">
                  <c:v>6.1689999999999996</c:v>
                </c:pt>
                <c:pt idx="3766">
                  <c:v>6.1632999999999996</c:v>
                </c:pt>
                <c:pt idx="3767">
                  <c:v>6.1786000000000003</c:v>
                </c:pt>
                <c:pt idx="3768">
                  <c:v>6.2092999999999998</c:v>
                </c:pt>
                <c:pt idx="3769">
                  <c:v>6.1881000000000004</c:v>
                </c:pt>
                <c:pt idx="3770">
                  <c:v>6.1538000000000004</c:v>
                </c:pt>
                <c:pt idx="3771">
                  <c:v>6.1689999999999996</c:v>
                </c:pt>
                <c:pt idx="3772">
                  <c:v>6.1330999999999998</c:v>
                </c:pt>
                <c:pt idx="3773">
                  <c:v>6.1463000000000001</c:v>
                </c:pt>
                <c:pt idx="3774">
                  <c:v>6.1311999999999998</c:v>
                </c:pt>
                <c:pt idx="3775">
                  <c:v>6.1143000000000001</c:v>
                </c:pt>
                <c:pt idx="3776">
                  <c:v>6.0956999999999999</c:v>
                </c:pt>
                <c:pt idx="3777">
                  <c:v>6.1387</c:v>
                </c:pt>
                <c:pt idx="3778">
                  <c:v>6.1576000000000004</c:v>
                </c:pt>
                <c:pt idx="3779">
                  <c:v>6.1614000000000004</c:v>
                </c:pt>
                <c:pt idx="3780">
                  <c:v>6.1463000000000001</c:v>
                </c:pt>
                <c:pt idx="3781">
                  <c:v>6.1463000000000001</c:v>
                </c:pt>
                <c:pt idx="3782">
                  <c:v>6.1444000000000001</c:v>
                </c:pt>
                <c:pt idx="3783">
                  <c:v>6.1595000000000004</c:v>
                </c:pt>
                <c:pt idx="3784">
                  <c:v>6.0937999999999999</c:v>
                </c:pt>
                <c:pt idx="3785">
                  <c:v>6.0900999999999996</c:v>
                </c:pt>
                <c:pt idx="3786">
                  <c:v>6.0495999999999999</c:v>
                </c:pt>
                <c:pt idx="3787">
                  <c:v>6.0551000000000004</c:v>
                </c:pt>
                <c:pt idx="3788">
                  <c:v>5.9916</c:v>
                </c:pt>
                <c:pt idx="3789">
                  <c:v>6.0240999999999998</c:v>
                </c:pt>
                <c:pt idx="3790">
                  <c:v>6.0350000000000001</c:v>
                </c:pt>
                <c:pt idx="3791">
                  <c:v>6.0060000000000002</c:v>
                </c:pt>
                <c:pt idx="3792">
                  <c:v>6.0331999999999999</c:v>
                </c:pt>
                <c:pt idx="3793">
                  <c:v>6.0587999999999997</c:v>
                </c:pt>
                <c:pt idx="3794">
                  <c:v>6.0624000000000002</c:v>
                </c:pt>
                <c:pt idx="3795">
                  <c:v>6.0551000000000004</c:v>
                </c:pt>
                <c:pt idx="3796">
                  <c:v>6.0331999999999999</c:v>
                </c:pt>
                <c:pt idx="3797">
                  <c:v>5.9988000000000001</c:v>
                </c:pt>
                <c:pt idx="3798">
                  <c:v>6.0060000000000002</c:v>
                </c:pt>
                <c:pt idx="3799">
                  <c:v>5.9880000000000004</c:v>
                </c:pt>
                <c:pt idx="3800">
                  <c:v>6.0385999999999997</c:v>
                </c:pt>
                <c:pt idx="3801">
                  <c:v>6.0827</c:v>
                </c:pt>
                <c:pt idx="3802">
                  <c:v>6.0919999999999996</c:v>
                </c:pt>
                <c:pt idx="3803">
                  <c:v>6.0864000000000003</c:v>
                </c:pt>
                <c:pt idx="3804">
                  <c:v>6.12</c:v>
                </c:pt>
                <c:pt idx="3805">
                  <c:v>6.1368999999999998</c:v>
                </c:pt>
                <c:pt idx="3806">
                  <c:v>6.12</c:v>
                </c:pt>
                <c:pt idx="3807">
                  <c:v>6.1013000000000002</c:v>
                </c:pt>
                <c:pt idx="3808">
                  <c:v>6.1595000000000004</c:v>
                </c:pt>
                <c:pt idx="3809">
                  <c:v>6.1746999999999996</c:v>
                </c:pt>
                <c:pt idx="3810">
                  <c:v>6.2130999999999998</c:v>
                </c:pt>
                <c:pt idx="3811">
                  <c:v>6.2188999999999997</c:v>
                </c:pt>
                <c:pt idx="3812">
                  <c:v>6.2169999999999996</c:v>
                </c:pt>
                <c:pt idx="3813">
                  <c:v>6.2735000000000003</c:v>
                </c:pt>
                <c:pt idx="3814">
                  <c:v>6.2401999999999997</c:v>
                </c:pt>
                <c:pt idx="3815">
                  <c:v>6.2598000000000003</c:v>
                </c:pt>
                <c:pt idx="3816">
                  <c:v>6.2343999999999999</c:v>
                </c:pt>
                <c:pt idx="3817">
                  <c:v>6.2247000000000003</c:v>
                </c:pt>
                <c:pt idx="3818">
                  <c:v>6.2092999999999998</c:v>
                </c:pt>
                <c:pt idx="3819">
                  <c:v>6.2149999999999999</c:v>
                </c:pt>
                <c:pt idx="3820">
                  <c:v>6.1746999999999996</c:v>
                </c:pt>
                <c:pt idx="3821">
                  <c:v>6.1786000000000003</c:v>
                </c:pt>
                <c:pt idx="3822">
                  <c:v>6.2324999999999999</c:v>
                </c:pt>
                <c:pt idx="3823">
                  <c:v>6.1939000000000002</c:v>
                </c:pt>
                <c:pt idx="3824">
                  <c:v>6.2247000000000003</c:v>
                </c:pt>
                <c:pt idx="3825">
                  <c:v>6.1939000000000002</c:v>
                </c:pt>
                <c:pt idx="3826">
                  <c:v>6.1727999999999996</c:v>
                </c:pt>
                <c:pt idx="3827">
                  <c:v>6.1406000000000001</c:v>
                </c:pt>
                <c:pt idx="3828">
                  <c:v>6.1124999999999998</c:v>
                </c:pt>
                <c:pt idx="3829">
                  <c:v>6.0994000000000002</c:v>
                </c:pt>
                <c:pt idx="3830">
                  <c:v>6.0789999999999997</c:v>
                </c:pt>
                <c:pt idx="3831">
                  <c:v>6.0660999999999996</c:v>
                </c:pt>
                <c:pt idx="3832">
                  <c:v>6.0808999999999997</c:v>
                </c:pt>
                <c:pt idx="3833">
                  <c:v>6.0660999999999996</c:v>
                </c:pt>
                <c:pt idx="3834">
                  <c:v>6.0643000000000002</c:v>
                </c:pt>
                <c:pt idx="3835">
                  <c:v>6.0697999999999999</c:v>
                </c:pt>
                <c:pt idx="3836">
                  <c:v>6.0716000000000001</c:v>
                </c:pt>
                <c:pt idx="3837">
                  <c:v>6.0900999999999996</c:v>
                </c:pt>
                <c:pt idx="3838">
                  <c:v>6.0753000000000004</c:v>
                </c:pt>
                <c:pt idx="3839">
                  <c:v>6.0753000000000004</c:v>
                </c:pt>
                <c:pt idx="3840">
                  <c:v>6.0350000000000001</c:v>
                </c:pt>
                <c:pt idx="3841">
                  <c:v>6.0846</c:v>
                </c:pt>
                <c:pt idx="3842">
                  <c:v>6.0864000000000003</c:v>
                </c:pt>
                <c:pt idx="3843">
                  <c:v>6.0789999999999997</c:v>
                </c:pt>
                <c:pt idx="3844">
                  <c:v>6.0772000000000004</c:v>
                </c:pt>
                <c:pt idx="3845">
                  <c:v>6.1595000000000004</c:v>
                </c:pt>
                <c:pt idx="3846">
                  <c:v>6.1632999999999996</c:v>
                </c:pt>
                <c:pt idx="3847">
                  <c:v>6.2054</c:v>
                </c:pt>
                <c:pt idx="3848">
                  <c:v>6.1996000000000002</c:v>
                </c:pt>
                <c:pt idx="3849">
                  <c:v>6.1824000000000003</c:v>
                </c:pt>
                <c:pt idx="3850">
                  <c:v>6.1996000000000002</c:v>
                </c:pt>
                <c:pt idx="3851">
                  <c:v>6.1767000000000003</c:v>
                </c:pt>
                <c:pt idx="3852">
                  <c:v>6.1977000000000002</c:v>
                </c:pt>
                <c:pt idx="3853">
                  <c:v>6.2286000000000001</c:v>
                </c:pt>
                <c:pt idx="3854">
                  <c:v>6.2324999999999999</c:v>
                </c:pt>
                <c:pt idx="3855">
                  <c:v>6.2054</c:v>
                </c:pt>
                <c:pt idx="3856">
                  <c:v>6.2247000000000003</c:v>
                </c:pt>
                <c:pt idx="3857">
                  <c:v>6.2343999999999999</c:v>
                </c:pt>
                <c:pt idx="3858">
                  <c:v>6.2016</c:v>
                </c:pt>
                <c:pt idx="3859">
                  <c:v>6.2286000000000001</c:v>
                </c:pt>
                <c:pt idx="3860">
                  <c:v>6.2441000000000004</c:v>
                </c:pt>
                <c:pt idx="3861">
                  <c:v>6.2637</c:v>
                </c:pt>
                <c:pt idx="3862">
                  <c:v>6.2207999999999997</c:v>
                </c:pt>
                <c:pt idx="3863">
                  <c:v>6.2169999999999996</c:v>
                </c:pt>
                <c:pt idx="3864">
                  <c:v>6.1557000000000004</c:v>
                </c:pt>
                <c:pt idx="3865">
                  <c:v>6.1463000000000001</c:v>
                </c:pt>
                <c:pt idx="3866">
                  <c:v>6.1632999999999996</c:v>
                </c:pt>
                <c:pt idx="3867">
                  <c:v>6.1632999999999996</c:v>
                </c:pt>
                <c:pt idx="3868">
                  <c:v>6.1939000000000002</c:v>
                </c:pt>
                <c:pt idx="3869">
                  <c:v>6.1977000000000002</c:v>
                </c:pt>
                <c:pt idx="3870">
                  <c:v>6.2401999999999997</c:v>
                </c:pt>
                <c:pt idx="3871">
                  <c:v>6.2441000000000004</c:v>
                </c:pt>
                <c:pt idx="3872">
                  <c:v>6.2382999999999997</c:v>
                </c:pt>
                <c:pt idx="3873">
                  <c:v>6.1595000000000004</c:v>
                </c:pt>
                <c:pt idx="3874">
                  <c:v>6.1805000000000003</c:v>
                </c:pt>
                <c:pt idx="3875">
                  <c:v>6.1996000000000002</c:v>
                </c:pt>
                <c:pt idx="3876">
                  <c:v>6.2324999999999999</c:v>
                </c:pt>
                <c:pt idx="3877">
                  <c:v>6.2130999999999998</c:v>
                </c:pt>
                <c:pt idx="3878">
                  <c:v>6.2577999999999996</c:v>
                </c:pt>
                <c:pt idx="3879">
                  <c:v>6.1939000000000002</c:v>
                </c:pt>
                <c:pt idx="3880">
                  <c:v>6.1595000000000004</c:v>
                </c:pt>
                <c:pt idx="3881">
                  <c:v>6.1237000000000004</c:v>
                </c:pt>
                <c:pt idx="3882">
                  <c:v>6.1557000000000004</c:v>
                </c:pt>
                <c:pt idx="3883">
                  <c:v>6.0846</c:v>
                </c:pt>
                <c:pt idx="3884">
                  <c:v>6.0864000000000003</c:v>
                </c:pt>
                <c:pt idx="3885">
                  <c:v>6.0808999999999997</c:v>
                </c:pt>
                <c:pt idx="3886">
                  <c:v>6.1330999999999998</c:v>
                </c:pt>
                <c:pt idx="3887">
                  <c:v>6.0095999999999998</c:v>
                </c:pt>
                <c:pt idx="3888">
                  <c:v>5.9683999999999999</c:v>
                </c:pt>
                <c:pt idx="3889">
                  <c:v>6.0458999999999996</c:v>
                </c:pt>
                <c:pt idx="3890">
                  <c:v>6.0167999999999999</c:v>
                </c:pt>
                <c:pt idx="3891">
                  <c:v>6.0223000000000004</c:v>
                </c:pt>
                <c:pt idx="3892">
                  <c:v>6.0259</c:v>
                </c:pt>
                <c:pt idx="3893">
                  <c:v>6.0458999999999996</c:v>
                </c:pt>
                <c:pt idx="3894">
                  <c:v>6.0331999999999999</c:v>
                </c:pt>
                <c:pt idx="3895">
                  <c:v>6.0643000000000002</c:v>
                </c:pt>
                <c:pt idx="3896">
                  <c:v>5.9862000000000002</c:v>
                </c:pt>
                <c:pt idx="3897">
                  <c:v>6.0186999999999999</c:v>
                </c:pt>
                <c:pt idx="3898">
                  <c:v>6.0900999999999996</c:v>
                </c:pt>
                <c:pt idx="3899">
                  <c:v>6.1143000000000001</c:v>
                </c:pt>
                <c:pt idx="3900">
                  <c:v>6.0259</c:v>
                </c:pt>
                <c:pt idx="3901">
                  <c:v>6.0167999999999999</c:v>
                </c:pt>
                <c:pt idx="3902">
                  <c:v>6.0313999999999997</c:v>
                </c:pt>
                <c:pt idx="3903">
                  <c:v>5.9988000000000001</c:v>
                </c:pt>
                <c:pt idx="3904">
                  <c:v>6.2793999999999999</c:v>
                </c:pt>
                <c:pt idx="3905">
                  <c:v>6.1256000000000004</c:v>
                </c:pt>
                <c:pt idx="3906">
                  <c:v>6.1425000000000001</c:v>
                </c:pt>
                <c:pt idx="3907">
                  <c:v>5.9630000000000001</c:v>
                </c:pt>
                <c:pt idx="3908">
                  <c:v>5.8719999999999999</c:v>
                </c:pt>
                <c:pt idx="3909">
                  <c:v>5.8005000000000004</c:v>
                </c:pt>
                <c:pt idx="3910">
                  <c:v>5.7339000000000002</c:v>
                </c:pt>
                <c:pt idx="3911">
                  <c:v>5.7077999999999998</c:v>
                </c:pt>
                <c:pt idx="3912">
                  <c:v>5.8445</c:v>
                </c:pt>
                <c:pt idx="3913">
                  <c:v>5.8857999999999997</c:v>
                </c:pt>
                <c:pt idx="3914">
                  <c:v>5.8616999999999999</c:v>
                </c:pt>
                <c:pt idx="3915">
                  <c:v>5.8857999999999997</c:v>
                </c:pt>
                <c:pt idx="3916">
                  <c:v>5.8823999999999996</c:v>
                </c:pt>
                <c:pt idx="3917">
                  <c:v>5.8962000000000003</c:v>
                </c:pt>
                <c:pt idx="3918">
                  <c:v>5.9207000000000001</c:v>
                </c:pt>
                <c:pt idx="3919">
                  <c:v>5.8928000000000003</c:v>
                </c:pt>
                <c:pt idx="3920">
                  <c:v>5.9172000000000002</c:v>
                </c:pt>
                <c:pt idx="3921">
                  <c:v>5.9048999999999996</c:v>
                </c:pt>
                <c:pt idx="3922">
                  <c:v>5.8893000000000004</c:v>
                </c:pt>
                <c:pt idx="3923">
                  <c:v>5.9772999999999996</c:v>
                </c:pt>
                <c:pt idx="3924">
                  <c:v>6.0458999999999996</c:v>
                </c:pt>
                <c:pt idx="3925">
                  <c:v>5.9809000000000001</c:v>
                </c:pt>
                <c:pt idx="3926">
                  <c:v>5.9417999999999997</c:v>
                </c:pt>
                <c:pt idx="3927">
                  <c:v>5.9665999999999997</c:v>
                </c:pt>
                <c:pt idx="3928">
                  <c:v>6.0186999999999999</c:v>
                </c:pt>
                <c:pt idx="3929">
                  <c:v>5.9683999999999999</c:v>
                </c:pt>
                <c:pt idx="3930">
                  <c:v>5.9137000000000004</c:v>
                </c:pt>
                <c:pt idx="3931">
                  <c:v>5.7571000000000003</c:v>
                </c:pt>
                <c:pt idx="3932">
                  <c:v>5.6721000000000004</c:v>
                </c:pt>
                <c:pt idx="3933">
                  <c:v>5.6593</c:v>
                </c:pt>
                <c:pt idx="3934">
                  <c:v>5.6882999999999999</c:v>
                </c:pt>
                <c:pt idx="3935">
                  <c:v>5.7191999999999998</c:v>
                </c:pt>
                <c:pt idx="3936">
                  <c:v>5.7306999999999997</c:v>
                </c:pt>
                <c:pt idx="3937">
                  <c:v>5.6849999999999996</c:v>
                </c:pt>
                <c:pt idx="3938">
                  <c:v>5.6947999999999999</c:v>
                </c:pt>
                <c:pt idx="3939">
                  <c:v>5.7012999999999998</c:v>
                </c:pt>
                <c:pt idx="3940">
                  <c:v>5.6306000000000003</c:v>
                </c:pt>
                <c:pt idx="3941">
                  <c:v>5.6433</c:v>
                </c:pt>
                <c:pt idx="3942">
                  <c:v>5.6947999999999999</c:v>
                </c:pt>
                <c:pt idx="3943">
                  <c:v>5.6786000000000003</c:v>
                </c:pt>
                <c:pt idx="3944">
                  <c:v>5.6528999999999998</c:v>
                </c:pt>
                <c:pt idx="3945">
                  <c:v>5.7225000000000001</c:v>
                </c:pt>
                <c:pt idx="3946">
                  <c:v>5.7207999999999997</c:v>
                </c:pt>
                <c:pt idx="3947">
                  <c:v>5.7504</c:v>
                </c:pt>
                <c:pt idx="3948">
                  <c:v>5.6608999999999998</c:v>
                </c:pt>
                <c:pt idx="3949">
                  <c:v>5.6211000000000002</c:v>
                </c:pt>
                <c:pt idx="3950">
                  <c:v>5.5324999999999998</c:v>
                </c:pt>
                <c:pt idx="3951">
                  <c:v>5.5571000000000002</c:v>
                </c:pt>
                <c:pt idx="3952">
                  <c:v>5.6132</c:v>
                </c:pt>
                <c:pt idx="3953">
                  <c:v>5.6116999999999999</c:v>
                </c:pt>
                <c:pt idx="3954">
                  <c:v>5.6464999999999996</c:v>
                </c:pt>
                <c:pt idx="3955">
                  <c:v>5.5944000000000003</c:v>
                </c:pt>
                <c:pt idx="3956">
                  <c:v>5.7012999999999998</c:v>
                </c:pt>
                <c:pt idx="3957">
                  <c:v>5.7045000000000003</c:v>
                </c:pt>
                <c:pt idx="3958">
                  <c:v>5.7702999999999998</c:v>
                </c:pt>
                <c:pt idx="3959">
                  <c:v>5.7571000000000003</c:v>
                </c:pt>
                <c:pt idx="3960">
                  <c:v>5.7803000000000004</c:v>
                </c:pt>
                <c:pt idx="3961">
                  <c:v>5.7470999999999997</c:v>
                </c:pt>
                <c:pt idx="3962">
                  <c:v>5.7207999999999997</c:v>
                </c:pt>
                <c:pt idx="3963">
                  <c:v>5.7637</c:v>
                </c:pt>
                <c:pt idx="3964">
                  <c:v>5.6898999999999997</c:v>
                </c:pt>
                <c:pt idx="3965">
                  <c:v>5.6818</c:v>
                </c:pt>
                <c:pt idx="3966">
                  <c:v>5.6021999999999998</c:v>
                </c:pt>
                <c:pt idx="3967">
                  <c:v>5.6528999999999998</c:v>
                </c:pt>
                <c:pt idx="3968">
                  <c:v>5.8207000000000004</c:v>
                </c:pt>
                <c:pt idx="3969">
                  <c:v>5.7971000000000004</c:v>
                </c:pt>
                <c:pt idx="3970">
                  <c:v>5.7537000000000003</c:v>
                </c:pt>
                <c:pt idx="3971">
                  <c:v>5.8479999999999999</c:v>
                </c:pt>
                <c:pt idx="3972">
                  <c:v>5.7803000000000004</c:v>
                </c:pt>
                <c:pt idx="3973">
                  <c:v>5.9790999999999999</c:v>
                </c:pt>
                <c:pt idx="3974">
                  <c:v>6.0385999999999997</c:v>
                </c:pt>
                <c:pt idx="3975">
                  <c:v>6.0772000000000004</c:v>
                </c:pt>
                <c:pt idx="3976">
                  <c:v>6.1444000000000001</c:v>
                </c:pt>
                <c:pt idx="3977">
                  <c:v>6.0223000000000004</c:v>
                </c:pt>
                <c:pt idx="3978">
                  <c:v>5.8893000000000004</c:v>
                </c:pt>
                <c:pt idx="3979">
                  <c:v>5.8207000000000004</c:v>
                </c:pt>
                <c:pt idx="3980">
                  <c:v>5.8326000000000002</c:v>
                </c:pt>
                <c:pt idx="3981">
                  <c:v>5.8207000000000004</c:v>
                </c:pt>
                <c:pt idx="3982">
                  <c:v>5.9577</c:v>
                </c:pt>
                <c:pt idx="3983">
                  <c:v>6.1218000000000004</c:v>
                </c:pt>
                <c:pt idx="3984">
                  <c:v>6.1368999999999998</c:v>
                </c:pt>
                <c:pt idx="3985">
                  <c:v>6.1482000000000001</c:v>
                </c:pt>
                <c:pt idx="3986">
                  <c:v>6.1031000000000004</c:v>
                </c:pt>
                <c:pt idx="3987">
                  <c:v>6.0956999999999999</c:v>
                </c:pt>
                <c:pt idx="3988">
                  <c:v>6.2324999999999999</c:v>
                </c:pt>
                <c:pt idx="3989">
                  <c:v>6.2637</c:v>
                </c:pt>
                <c:pt idx="3990">
                  <c:v>6.2991999999999999</c:v>
                </c:pt>
                <c:pt idx="3991">
                  <c:v>6.2324999999999999</c:v>
                </c:pt>
                <c:pt idx="3992">
                  <c:v>6.2716000000000003</c:v>
                </c:pt>
                <c:pt idx="3993">
                  <c:v>6.2207999999999997</c:v>
                </c:pt>
                <c:pt idx="3994">
                  <c:v>6.1651999999999996</c:v>
                </c:pt>
                <c:pt idx="3995">
                  <c:v>6.2813999999999997</c:v>
                </c:pt>
                <c:pt idx="3996">
                  <c:v>6.1996000000000002</c:v>
                </c:pt>
                <c:pt idx="3997">
                  <c:v>6.2169999999999996</c:v>
                </c:pt>
                <c:pt idx="3998">
                  <c:v>6.3311000000000002</c:v>
                </c:pt>
                <c:pt idx="3999">
                  <c:v>6.4641000000000002</c:v>
                </c:pt>
                <c:pt idx="4000">
                  <c:v>6.6666999999999996</c:v>
                </c:pt>
                <c:pt idx="4001">
                  <c:v>6.4725000000000001</c:v>
                </c:pt>
                <c:pt idx="4002">
                  <c:v>6.3032000000000004</c:v>
                </c:pt>
                <c:pt idx="4003">
                  <c:v>6.3170999999999999</c:v>
                </c:pt>
                <c:pt idx="4004">
                  <c:v>6.3979999999999997</c:v>
                </c:pt>
                <c:pt idx="4005">
                  <c:v>6.3693999999999997</c:v>
                </c:pt>
                <c:pt idx="4006">
                  <c:v>6.3693999999999997</c:v>
                </c:pt>
                <c:pt idx="4007">
                  <c:v>6.2577999999999996</c:v>
                </c:pt>
                <c:pt idx="4008">
                  <c:v>6.2637</c:v>
                </c:pt>
                <c:pt idx="4009">
                  <c:v>6.3291000000000004</c:v>
                </c:pt>
                <c:pt idx="4010">
                  <c:v>6.2656999999999998</c:v>
                </c:pt>
                <c:pt idx="4011">
                  <c:v>6.4103000000000003</c:v>
                </c:pt>
                <c:pt idx="4012">
                  <c:v>6.3090999999999999</c:v>
                </c:pt>
                <c:pt idx="4013">
                  <c:v>6.3654000000000002</c:v>
                </c:pt>
                <c:pt idx="4014">
                  <c:v>6.2286000000000001</c:v>
                </c:pt>
                <c:pt idx="4015">
                  <c:v>6.1387</c:v>
                </c:pt>
                <c:pt idx="4016">
                  <c:v>6.1746999999999996</c:v>
                </c:pt>
                <c:pt idx="4017">
                  <c:v>6.2228000000000003</c:v>
                </c:pt>
                <c:pt idx="4018">
                  <c:v>6.1708999999999996</c:v>
                </c:pt>
                <c:pt idx="4019">
                  <c:v>6.1031000000000004</c:v>
                </c:pt>
                <c:pt idx="4020">
                  <c:v>6.1444000000000001</c:v>
                </c:pt>
                <c:pt idx="4021">
                  <c:v>6.1996000000000002</c:v>
                </c:pt>
                <c:pt idx="4022">
                  <c:v>6.2952000000000004</c:v>
                </c:pt>
                <c:pt idx="4023">
                  <c:v>6.2675999999999998</c:v>
                </c:pt>
                <c:pt idx="4024">
                  <c:v>6.2305000000000001</c:v>
                </c:pt>
                <c:pt idx="4025">
                  <c:v>6.2054</c:v>
                </c:pt>
                <c:pt idx="4026">
                  <c:v>6.3452000000000002</c:v>
                </c:pt>
                <c:pt idx="4027">
                  <c:v>6.2441000000000004</c:v>
                </c:pt>
                <c:pt idx="4028">
                  <c:v>6.4040999999999997</c:v>
                </c:pt>
                <c:pt idx="4029">
                  <c:v>6.2834000000000003</c:v>
                </c:pt>
                <c:pt idx="4030">
                  <c:v>6.2016</c:v>
                </c:pt>
                <c:pt idx="4031">
                  <c:v>6.0385999999999997</c:v>
                </c:pt>
                <c:pt idx="4032">
                  <c:v>6.1069000000000004</c:v>
                </c:pt>
                <c:pt idx="4033">
                  <c:v>6.2854000000000001</c:v>
                </c:pt>
                <c:pt idx="4034">
                  <c:v>6.2972000000000001</c:v>
                </c:pt>
                <c:pt idx="4035">
                  <c:v>6.1920000000000002</c:v>
                </c:pt>
                <c:pt idx="4036">
                  <c:v>6.1881000000000004</c:v>
                </c:pt>
                <c:pt idx="4037">
                  <c:v>6.3250999999999999</c:v>
                </c:pt>
                <c:pt idx="4038">
                  <c:v>6.6246999999999998</c:v>
                </c:pt>
                <c:pt idx="4039">
                  <c:v>6.3491999999999997</c:v>
                </c:pt>
                <c:pt idx="4040">
                  <c:v>6.12</c:v>
                </c:pt>
                <c:pt idx="4041">
                  <c:v>6.0919999999999996</c:v>
                </c:pt>
                <c:pt idx="4042">
                  <c:v>5.8944999999999999</c:v>
                </c:pt>
                <c:pt idx="4043">
                  <c:v>6.0994000000000002</c:v>
                </c:pt>
                <c:pt idx="4044">
                  <c:v>5.6721000000000004</c:v>
                </c:pt>
                <c:pt idx="4045">
                  <c:v>5.4645000000000001</c:v>
                </c:pt>
                <c:pt idx="4046">
                  <c:v>5.5021000000000004</c:v>
                </c:pt>
                <c:pt idx="4047">
                  <c:v>5.4569999999999999</c:v>
                </c:pt>
                <c:pt idx="4048">
                  <c:v>5.5263999999999998</c:v>
                </c:pt>
                <c:pt idx="4049">
                  <c:v>5.4989999999999997</c:v>
                </c:pt>
                <c:pt idx="4050">
                  <c:v>5.2756999999999996</c:v>
                </c:pt>
                <c:pt idx="4051">
                  <c:v>5.3518999999999997</c:v>
                </c:pt>
                <c:pt idx="4052">
                  <c:v>5.3952</c:v>
                </c:pt>
                <c:pt idx="4053">
                  <c:v>5.2424999999999997</c:v>
                </c:pt>
                <c:pt idx="4054">
                  <c:v>5.2123999999999997</c:v>
                </c:pt>
                <c:pt idx="4055">
                  <c:v>5.1853999999999996</c:v>
                </c:pt>
                <c:pt idx="4056">
                  <c:v>5.1665999999999999</c:v>
                </c:pt>
                <c:pt idx="4057">
                  <c:v>5.1532999999999998</c:v>
                </c:pt>
                <c:pt idx="4058">
                  <c:v>5.1242999999999999</c:v>
                </c:pt>
                <c:pt idx="4059">
                  <c:v>5.1151</c:v>
                </c:pt>
                <c:pt idx="4060">
                  <c:v>5.1112000000000002</c:v>
                </c:pt>
                <c:pt idx="4061">
                  <c:v>5.2028999999999996</c:v>
                </c:pt>
                <c:pt idx="4062">
                  <c:v>5.1745999999999999</c:v>
                </c:pt>
                <c:pt idx="4063">
                  <c:v>5.1559999999999997</c:v>
                </c:pt>
                <c:pt idx="4064">
                  <c:v>5.1454000000000004</c:v>
                </c:pt>
                <c:pt idx="4065">
                  <c:v>5.1215999999999999</c:v>
                </c:pt>
                <c:pt idx="4066">
                  <c:v>5.1269</c:v>
                </c:pt>
                <c:pt idx="4067">
                  <c:v>5.1479999999999997</c:v>
                </c:pt>
                <c:pt idx="4068">
                  <c:v>5.0852000000000004</c:v>
                </c:pt>
                <c:pt idx="4069">
                  <c:v>5.0980999999999996</c:v>
                </c:pt>
                <c:pt idx="4070">
                  <c:v>5.1006999999999998</c:v>
                </c:pt>
                <c:pt idx="4071">
                  <c:v>5.0929000000000002</c:v>
                </c:pt>
                <c:pt idx="4072">
                  <c:v>5.0955000000000004</c:v>
                </c:pt>
                <c:pt idx="4073">
                  <c:v>5.0838999999999999</c:v>
                </c:pt>
                <c:pt idx="4074">
                  <c:v>5.08</c:v>
                </c:pt>
                <c:pt idx="4075">
                  <c:v>5.0773999999999999</c:v>
                </c:pt>
                <c:pt idx="4076">
                  <c:v>5.0670999999999999</c:v>
                </c:pt>
                <c:pt idx="4077">
                  <c:v>5.0620000000000003</c:v>
                </c:pt>
                <c:pt idx="4078">
                  <c:v>5.0620000000000003</c:v>
                </c:pt>
                <c:pt idx="4079">
                  <c:v>5.0670999999999999</c:v>
                </c:pt>
                <c:pt idx="4080">
                  <c:v>5.0582000000000003</c:v>
                </c:pt>
                <c:pt idx="4081">
                  <c:v>5.0568999999999997</c:v>
                </c:pt>
                <c:pt idx="4082">
                  <c:v>5.0542999999999996</c:v>
                </c:pt>
                <c:pt idx="4083">
                  <c:v>5.0518000000000001</c:v>
                </c:pt>
                <c:pt idx="4084">
                  <c:v>5.0530999999999997</c:v>
                </c:pt>
                <c:pt idx="4085">
                  <c:v>5.0518000000000001</c:v>
                </c:pt>
                <c:pt idx="4086">
                  <c:v>5.0568999999999997</c:v>
                </c:pt>
                <c:pt idx="4087">
                  <c:v>5.0542999999999996</c:v>
                </c:pt>
                <c:pt idx="4088">
                  <c:v>5.048</c:v>
                </c:pt>
                <c:pt idx="4089">
                  <c:v>5.0467000000000004</c:v>
                </c:pt>
                <c:pt idx="4090">
                  <c:v>5.0518000000000001</c:v>
                </c:pt>
                <c:pt idx="4091">
                  <c:v>5.0403000000000002</c:v>
                </c:pt>
                <c:pt idx="4092">
                  <c:v>5.0491999999999999</c:v>
                </c:pt>
                <c:pt idx="4093">
                  <c:v>5.0339999999999998</c:v>
                </c:pt>
                <c:pt idx="4094">
                  <c:v>5.0391000000000004</c:v>
                </c:pt>
                <c:pt idx="4095">
                  <c:v>5.0441000000000003</c:v>
                </c:pt>
                <c:pt idx="4096">
                  <c:v>5.048</c:v>
                </c:pt>
                <c:pt idx="4097">
                  <c:v>5.0505000000000004</c:v>
                </c:pt>
                <c:pt idx="4098">
                  <c:v>5.0339999999999998</c:v>
                </c:pt>
                <c:pt idx="4099">
                  <c:v>5.0365000000000002</c:v>
                </c:pt>
                <c:pt idx="4100">
                  <c:v>5.0415999999999999</c:v>
                </c:pt>
                <c:pt idx="4101">
                  <c:v>5.0441000000000003</c:v>
                </c:pt>
                <c:pt idx="4102">
                  <c:v>5.0365000000000002</c:v>
                </c:pt>
                <c:pt idx="4103">
                  <c:v>4.9813000000000001</c:v>
                </c:pt>
                <c:pt idx="4104">
                  <c:v>4.9739000000000004</c:v>
                </c:pt>
                <c:pt idx="4105">
                  <c:v>4.9739000000000004</c:v>
                </c:pt>
                <c:pt idx="4106">
                  <c:v>4.9751000000000003</c:v>
                </c:pt>
                <c:pt idx="4107">
                  <c:v>4.9763999999999999</c:v>
                </c:pt>
                <c:pt idx="4108">
                  <c:v>4.9813000000000001</c:v>
                </c:pt>
                <c:pt idx="4109">
                  <c:v>4.9825999999999997</c:v>
                </c:pt>
                <c:pt idx="4110">
                  <c:v>4.9775999999999998</c:v>
                </c:pt>
                <c:pt idx="4111">
                  <c:v>4.9739000000000004</c:v>
                </c:pt>
                <c:pt idx="4112">
                  <c:v>4.9676999999999998</c:v>
                </c:pt>
                <c:pt idx="4113">
                  <c:v>4.9688999999999997</c:v>
                </c:pt>
                <c:pt idx="4114">
                  <c:v>4.9763999999999999</c:v>
                </c:pt>
                <c:pt idx="4115">
                  <c:v>4.9850000000000003</c:v>
                </c:pt>
                <c:pt idx="4116">
                  <c:v>4.9763999999999999</c:v>
                </c:pt>
                <c:pt idx="4117">
                  <c:v>4.9787999999999997</c:v>
                </c:pt>
                <c:pt idx="4118">
                  <c:v>4.9837999999999996</c:v>
                </c:pt>
                <c:pt idx="4119">
                  <c:v>4.9627999999999997</c:v>
                </c:pt>
                <c:pt idx="4120">
                  <c:v>4.9345999999999997</c:v>
                </c:pt>
                <c:pt idx="4121">
                  <c:v>4.9321999999999999</c:v>
                </c:pt>
                <c:pt idx="4122">
                  <c:v>4.9345999999999997</c:v>
                </c:pt>
                <c:pt idx="4123">
                  <c:v>4.9321999999999999</c:v>
                </c:pt>
                <c:pt idx="4124">
                  <c:v>4.9443999999999999</c:v>
                </c:pt>
                <c:pt idx="4125">
                  <c:v>4.9542000000000002</c:v>
                </c:pt>
                <c:pt idx="4126">
                  <c:v>4.9382999999999999</c:v>
                </c:pt>
                <c:pt idx="4127">
                  <c:v>4.9394999999999998</c:v>
                </c:pt>
                <c:pt idx="4128">
                  <c:v>4.9565999999999999</c:v>
                </c:pt>
                <c:pt idx="4129">
                  <c:v>4.9419000000000004</c:v>
                </c:pt>
                <c:pt idx="4130">
                  <c:v>4.9467999999999996</c:v>
                </c:pt>
                <c:pt idx="4131">
                  <c:v>4.9455999999999998</c:v>
                </c:pt>
                <c:pt idx="4132">
                  <c:v>4.9358000000000004</c:v>
                </c:pt>
                <c:pt idx="4133">
                  <c:v>4.9394999999999998</c:v>
                </c:pt>
                <c:pt idx="4134">
                  <c:v>4.9394999999999998</c:v>
                </c:pt>
                <c:pt idx="4135">
                  <c:v>4.9333999999999998</c:v>
                </c:pt>
                <c:pt idx="4136">
                  <c:v>4.9249000000000001</c:v>
                </c:pt>
                <c:pt idx="4137">
                  <c:v>4.9272999999999998</c:v>
                </c:pt>
                <c:pt idx="4138">
                  <c:v>4.9116</c:v>
                </c:pt>
                <c:pt idx="4139">
                  <c:v>4.9127999999999998</c:v>
                </c:pt>
                <c:pt idx="4140">
                  <c:v>4.9188000000000001</c:v>
                </c:pt>
                <c:pt idx="4141">
                  <c:v>4.9394999999999998</c:v>
                </c:pt>
                <c:pt idx="4142">
                  <c:v>4.9260999999999999</c:v>
                </c:pt>
                <c:pt idx="4143">
                  <c:v>4.9371</c:v>
                </c:pt>
                <c:pt idx="4144">
                  <c:v>4.9371</c:v>
                </c:pt>
                <c:pt idx="4145">
                  <c:v>4.92</c:v>
                </c:pt>
                <c:pt idx="4146">
                  <c:v>4.9176000000000002</c:v>
                </c:pt>
                <c:pt idx="4147">
                  <c:v>4.9055999999999997</c:v>
                </c:pt>
                <c:pt idx="4148">
                  <c:v>4.8959999999999999</c:v>
                </c:pt>
                <c:pt idx="4149">
                  <c:v>4.9272999999999998</c:v>
                </c:pt>
                <c:pt idx="4150">
                  <c:v>4.9542000000000002</c:v>
                </c:pt>
                <c:pt idx="4151">
                  <c:v>4.9664999999999999</c:v>
                </c:pt>
                <c:pt idx="4152">
                  <c:v>4.9863</c:v>
                </c:pt>
                <c:pt idx="4153">
                  <c:v>4.9739000000000004</c:v>
                </c:pt>
                <c:pt idx="4154">
                  <c:v>4.9813000000000001</c:v>
                </c:pt>
                <c:pt idx="4155">
                  <c:v>4.9591000000000003</c:v>
                </c:pt>
                <c:pt idx="4156">
                  <c:v>4.9443999999999999</c:v>
                </c:pt>
                <c:pt idx="4157">
                  <c:v>4.9688999999999997</c:v>
                </c:pt>
                <c:pt idx="4158">
                  <c:v>4.9751000000000003</c:v>
                </c:pt>
                <c:pt idx="4159">
                  <c:v>4.9272999999999998</c:v>
                </c:pt>
                <c:pt idx="4160">
                  <c:v>4.9419000000000004</c:v>
                </c:pt>
                <c:pt idx="4161">
                  <c:v>4.9467999999999996</c:v>
                </c:pt>
                <c:pt idx="4162">
                  <c:v>4.9394999999999998</c:v>
                </c:pt>
                <c:pt idx="4163">
                  <c:v>4.8840000000000003</c:v>
                </c:pt>
                <c:pt idx="4164">
                  <c:v>4.8720999999999997</c:v>
                </c:pt>
                <c:pt idx="4165">
                  <c:v>4.8662000000000001</c:v>
                </c:pt>
                <c:pt idx="4166">
                  <c:v>4.8625999999999996</c:v>
                </c:pt>
                <c:pt idx="4167">
                  <c:v>4.8625999999999996</c:v>
                </c:pt>
                <c:pt idx="4168">
                  <c:v>4.8602999999999996</c:v>
                </c:pt>
                <c:pt idx="4169">
                  <c:v>4.8650000000000002</c:v>
                </c:pt>
                <c:pt idx="4170">
                  <c:v>4.8625999999999996</c:v>
                </c:pt>
                <c:pt idx="4171">
                  <c:v>4.8662000000000001</c:v>
                </c:pt>
                <c:pt idx="4172">
                  <c:v>4.8555000000000001</c:v>
                </c:pt>
                <c:pt idx="4173">
                  <c:v>4.8757000000000001</c:v>
                </c:pt>
                <c:pt idx="4174">
                  <c:v>4.8912000000000004</c:v>
                </c:pt>
                <c:pt idx="4175">
                  <c:v>4.8936000000000002</c:v>
                </c:pt>
                <c:pt idx="4176">
                  <c:v>4.8887999999999998</c:v>
                </c:pt>
                <c:pt idx="4177">
                  <c:v>4.8875999999999999</c:v>
                </c:pt>
                <c:pt idx="4178">
                  <c:v>4.8696999999999999</c:v>
                </c:pt>
                <c:pt idx="4179">
                  <c:v>4.8733000000000004</c:v>
                </c:pt>
                <c:pt idx="4180">
                  <c:v>4.8745000000000003</c:v>
                </c:pt>
                <c:pt idx="4181">
                  <c:v>4.8673999999999999</c:v>
                </c:pt>
                <c:pt idx="4182">
                  <c:v>4.8696999999999999</c:v>
                </c:pt>
                <c:pt idx="4183">
                  <c:v>4.8650000000000002</c:v>
                </c:pt>
                <c:pt idx="4184">
                  <c:v>4.8578999999999999</c:v>
                </c:pt>
                <c:pt idx="4185">
                  <c:v>4.8544</c:v>
                </c:pt>
                <c:pt idx="4186">
                  <c:v>4.8590999999999998</c:v>
                </c:pt>
                <c:pt idx="4187">
                  <c:v>4.8602999999999996</c:v>
                </c:pt>
                <c:pt idx="4188">
                  <c:v>4.8507999999999996</c:v>
                </c:pt>
                <c:pt idx="4189">
                  <c:v>4.8368000000000002</c:v>
                </c:pt>
                <c:pt idx="4190">
                  <c:v>4.8460999999999999</c:v>
                </c:pt>
                <c:pt idx="4191">
                  <c:v>4.8625999999999996</c:v>
                </c:pt>
                <c:pt idx="4192">
                  <c:v>4.8590999999999998</c:v>
                </c:pt>
                <c:pt idx="4193">
                  <c:v>4.8484999999999996</c:v>
                </c:pt>
                <c:pt idx="4194">
                  <c:v>4.8567</c:v>
                </c:pt>
                <c:pt idx="4195">
                  <c:v>4.8320999999999996</c:v>
                </c:pt>
                <c:pt idx="4196">
                  <c:v>4.8250999999999999</c:v>
                </c:pt>
                <c:pt idx="4197">
                  <c:v>4.8239000000000001</c:v>
                </c:pt>
                <c:pt idx="4198">
                  <c:v>4.8146000000000004</c:v>
                </c:pt>
                <c:pt idx="4199">
                  <c:v>4.8273999999999999</c:v>
                </c:pt>
                <c:pt idx="4200">
                  <c:v>4.8285999999999998</c:v>
                </c:pt>
                <c:pt idx="4201">
                  <c:v>4.8170000000000002</c:v>
                </c:pt>
                <c:pt idx="4202">
                  <c:v>4.8228</c:v>
                </c:pt>
                <c:pt idx="4203">
                  <c:v>4.7972999999999999</c:v>
                </c:pt>
                <c:pt idx="4204">
                  <c:v>4.7995999999999999</c:v>
                </c:pt>
                <c:pt idx="4205">
                  <c:v>4.8135000000000003</c:v>
                </c:pt>
                <c:pt idx="4206">
                  <c:v>4.8308999999999997</c:v>
                </c:pt>
                <c:pt idx="4207">
                  <c:v>4.8018999999999998</c:v>
                </c:pt>
                <c:pt idx="4208">
                  <c:v>4.8520000000000003</c:v>
                </c:pt>
                <c:pt idx="4209">
                  <c:v>4.7472000000000003</c:v>
                </c:pt>
                <c:pt idx="4210">
                  <c:v>4.7237</c:v>
                </c:pt>
                <c:pt idx="4211">
                  <c:v>4.7281000000000004</c:v>
                </c:pt>
                <c:pt idx="4212">
                  <c:v>4.7159000000000004</c:v>
                </c:pt>
                <c:pt idx="4213">
                  <c:v>4.6959</c:v>
                </c:pt>
                <c:pt idx="4214">
                  <c:v>4.7047999999999996</c:v>
                </c:pt>
                <c:pt idx="4215">
                  <c:v>4.6947999999999999</c:v>
                </c:pt>
                <c:pt idx="4216">
                  <c:v>4.6826999999999996</c:v>
                </c:pt>
                <c:pt idx="4217">
                  <c:v>4.6707000000000001</c:v>
                </c:pt>
                <c:pt idx="4218">
                  <c:v>4.6673999999999998</c:v>
                </c:pt>
                <c:pt idx="4219">
                  <c:v>4.6664000000000003</c:v>
                </c:pt>
                <c:pt idx="4220">
                  <c:v>4.6696</c:v>
                </c:pt>
                <c:pt idx="4221">
                  <c:v>4.6696</c:v>
                </c:pt>
                <c:pt idx="4222">
                  <c:v>4.6696</c:v>
                </c:pt>
                <c:pt idx="4223">
                  <c:v>4.6673999999999998</c:v>
                </c:pt>
                <c:pt idx="4224">
                  <c:v>4.6631</c:v>
                </c:pt>
                <c:pt idx="4225">
                  <c:v>4.6631</c:v>
                </c:pt>
                <c:pt idx="4226">
                  <c:v>4.6707000000000001</c:v>
                </c:pt>
                <c:pt idx="4227">
                  <c:v>4.6543999999999999</c:v>
                </c:pt>
                <c:pt idx="4228">
                  <c:v>4.6664000000000003</c:v>
                </c:pt>
                <c:pt idx="4229">
                  <c:v>4.6696</c:v>
                </c:pt>
                <c:pt idx="4230">
                  <c:v>4.6740000000000004</c:v>
                </c:pt>
                <c:pt idx="4231">
                  <c:v>4.6893000000000002</c:v>
                </c:pt>
                <c:pt idx="4232">
                  <c:v>4.7004000000000001</c:v>
                </c:pt>
                <c:pt idx="4233">
                  <c:v>4.7058999999999997</c:v>
                </c:pt>
                <c:pt idx="4234">
                  <c:v>4.6772999999999998</c:v>
                </c:pt>
                <c:pt idx="4235">
                  <c:v>4.6806000000000001</c:v>
                </c:pt>
                <c:pt idx="4236">
                  <c:v>4.6806000000000001</c:v>
                </c:pt>
                <c:pt idx="4237">
                  <c:v>4.6772999999999998</c:v>
                </c:pt>
                <c:pt idx="4238">
                  <c:v>4.6826999999999996</c:v>
                </c:pt>
                <c:pt idx="4239">
                  <c:v>4.6904000000000003</c:v>
                </c:pt>
                <c:pt idx="4240">
                  <c:v>4.7004000000000001</c:v>
                </c:pt>
                <c:pt idx="4241">
                  <c:v>4.7047999999999996</c:v>
                </c:pt>
                <c:pt idx="4242">
                  <c:v>4.7015000000000002</c:v>
                </c:pt>
                <c:pt idx="4243">
                  <c:v>4.6795</c:v>
                </c:pt>
                <c:pt idx="4244">
                  <c:v>4.6914999999999996</c:v>
                </c:pt>
                <c:pt idx="4245">
                  <c:v>4.7069999999999999</c:v>
                </c:pt>
                <c:pt idx="4246">
                  <c:v>4.7047999999999996</c:v>
                </c:pt>
                <c:pt idx="4247">
                  <c:v>4.7037000000000004</c:v>
                </c:pt>
                <c:pt idx="4248">
                  <c:v>4.7058999999999997</c:v>
                </c:pt>
                <c:pt idx="4249">
                  <c:v>4.6848999999999998</c:v>
                </c:pt>
                <c:pt idx="4250">
                  <c:v>4.7125000000000004</c:v>
                </c:pt>
                <c:pt idx="4251">
                  <c:v>4.6871</c:v>
                </c:pt>
                <c:pt idx="4252">
                  <c:v>4.6871</c:v>
                </c:pt>
                <c:pt idx="4253">
                  <c:v>4.6772999999999998</c:v>
                </c:pt>
                <c:pt idx="4254">
                  <c:v>4.6981000000000002</c:v>
                </c:pt>
                <c:pt idx="4255">
                  <c:v>4.7789999999999999</c:v>
                </c:pt>
                <c:pt idx="4256">
                  <c:v>4.7180999999999997</c:v>
                </c:pt>
                <c:pt idx="4257">
                  <c:v>4.7004000000000001</c:v>
                </c:pt>
                <c:pt idx="4258">
                  <c:v>4.6806000000000001</c:v>
                </c:pt>
                <c:pt idx="4259">
                  <c:v>4.6947999999999999</c:v>
                </c:pt>
                <c:pt idx="4260">
                  <c:v>4.6414</c:v>
                </c:pt>
                <c:pt idx="4261">
                  <c:v>4.6653000000000002</c:v>
                </c:pt>
                <c:pt idx="4262">
                  <c:v>4.6740000000000004</c:v>
                </c:pt>
                <c:pt idx="4263">
                  <c:v>4.6729000000000003</c:v>
                </c:pt>
                <c:pt idx="4264">
                  <c:v>4.6959</c:v>
                </c:pt>
                <c:pt idx="4265">
                  <c:v>4.7015000000000002</c:v>
                </c:pt>
                <c:pt idx="4266">
                  <c:v>4.6718000000000002</c:v>
                </c:pt>
                <c:pt idx="4267">
                  <c:v>4.6521999999999997</c:v>
                </c:pt>
                <c:pt idx="4268">
                  <c:v>4.6631</c:v>
                </c:pt>
                <c:pt idx="4269">
                  <c:v>4.6124999999999998</c:v>
                </c:pt>
                <c:pt idx="4270">
                  <c:v>4.6135999999999999</c:v>
                </c:pt>
                <c:pt idx="4271">
                  <c:v>4.5892999999999997</c:v>
                </c:pt>
                <c:pt idx="4272">
                  <c:v>4.5819000000000001</c:v>
                </c:pt>
                <c:pt idx="4273">
                  <c:v>4.5704000000000002</c:v>
                </c:pt>
                <c:pt idx="4274">
                  <c:v>4.5434000000000001</c:v>
                </c:pt>
                <c:pt idx="4275">
                  <c:v>4.5579000000000001</c:v>
                </c:pt>
                <c:pt idx="4276">
                  <c:v>4.5662000000000003</c:v>
                </c:pt>
                <c:pt idx="4277">
                  <c:v>4.5735000000000001</c:v>
                </c:pt>
                <c:pt idx="4278">
                  <c:v>4.5735000000000001</c:v>
                </c:pt>
                <c:pt idx="4279">
                  <c:v>4.5609999999999999</c:v>
                </c:pt>
                <c:pt idx="4280">
                  <c:v>4.5557999999999996</c:v>
                </c:pt>
                <c:pt idx="4281">
                  <c:v>4.5557999999999996</c:v>
                </c:pt>
                <c:pt idx="4282">
                  <c:v>4.5548000000000002</c:v>
                </c:pt>
                <c:pt idx="4283">
                  <c:v>4.5517000000000003</c:v>
                </c:pt>
                <c:pt idx="4284">
                  <c:v>4.5548000000000002</c:v>
                </c:pt>
                <c:pt idx="4285">
                  <c:v>4.5517000000000003</c:v>
                </c:pt>
                <c:pt idx="4286">
                  <c:v>4.5579000000000001</c:v>
                </c:pt>
                <c:pt idx="4287">
                  <c:v>4.5465</c:v>
                </c:pt>
                <c:pt idx="4288">
                  <c:v>4.5372000000000003</c:v>
                </c:pt>
                <c:pt idx="4289">
                  <c:v>4.5279999999999996</c:v>
                </c:pt>
                <c:pt idx="4290">
                  <c:v>4.5279999999999996</c:v>
                </c:pt>
                <c:pt idx="4291">
                  <c:v>4.5340999999999996</c:v>
                </c:pt>
                <c:pt idx="4292">
                  <c:v>4.5362</c:v>
                </c:pt>
                <c:pt idx="4293">
                  <c:v>4.5248999999999997</c:v>
                </c:pt>
                <c:pt idx="4294">
                  <c:v>4.5115999999999996</c:v>
                </c:pt>
                <c:pt idx="4295">
                  <c:v>4.5106000000000002</c:v>
                </c:pt>
                <c:pt idx="4296">
                  <c:v>4.5045000000000002</c:v>
                </c:pt>
                <c:pt idx="4297">
                  <c:v>4.4993999999999996</c:v>
                </c:pt>
                <c:pt idx="4298">
                  <c:v>4.5015000000000001</c:v>
                </c:pt>
                <c:pt idx="4299">
                  <c:v>4.5086000000000004</c:v>
                </c:pt>
                <c:pt idx="4300">
                  <c:v>4.5156999999999998</c:v>
                </c:pt>
                <c:pt idx="4301">
                  <c:v>4.5156999999999998</c:v>
                </c:pt>
                <c:pt idx="4302">
                  <c:v>4.5065</c:v>
                </c:pt>
                <c:pt idx="4303">
                  <c:v>4.4973999999999998</c:v>
                </c:pt>
                <c:pt idx="4304">
                  <c:v>4.5015000000000001</c:v>
                </c:pt>
                <c:pt idx="4305">
                  <c:v>4.4993999999999996</c:v>
                </c:pt>
                <c:pt idx="4306">
                  <c:v>4.5045000000000002</c:v>
                </c:pt>
                <c:pt idx="4307">
                  <c:v>4.4893000000000001</c:v>
                </c:pt>
                <c:pt idx="4308">
                  <c:v>4.4823000000000004</c:v>
                </c:pt>
                <c:pt idx="4309">
                  <c:v>4.4793000000000003</c:v>
                </c:pt>
                <c:pt idx="4310">
                  <c:v>4.4713000000000003</c:v>
                </c:pt>
                <c:pt idx="4311">
                  <c:v>4.4672999999999998</c:v>
                </c:pt>
                <c:pt idx="4312">
                  <c:v>4.4722999999999997</c:v>
                </c:pt>
                <c:pt idx="4313">
                  <c:v>4.4672999999999998</c:v>
                </c:pt>
                <c:pt idx="4314">
                  <c:v>4.4722999999999997</c:v>
                </c:pt>
                <c:pt idx="4315">
                  <c:v>4.4772999999999996</c:v>
                </c:pt>
                <c:pt idx="4316">
                  <c:v>4.4752999999999998</c:v>
                </c:pt>
                <c:pt idx="4317">
                  <c:v>4.4772999999999996</c:v>
                </c:pt>
                <c:pt idx="4318">
                  <c:v>4.4713000000000003</c:v>
                </c:pt>
                <c:pt idx="4319">
                  <c:v>4.4683000000000002</c:v>
                </c:pt>
                <c:pt idx="4320">
                  <c:v>4.4622999999999999</c:v>
                </c:pt>
                <c:pt idx="4321">
                  <c:v>4.4642999999999997</c:v>
                </c:pt>
                <c:pt idx="4322">
                  <c:v>4.4702999999999999</c:v>
                </c:pt>
                <c:pt idx="4323">
                  <c:v>4.4782999999999999</c:v>
                </c:pt>
                <c:pt idx="4324">
                  <c:v>4.4782999999999999</c:v>
                </c:pt>
                <c:pt idx="4325">
                  <c:v>4.4823000000000004</c:v>
                </c:pt>
                <c:pt idx="4326">
                  <c:v>4.4663000000000004</c:v>
                </c:pt>
                <c:pt idx="4327">
                  <c:v>4.4622999999999999</c:v>
                </c:pt>
                <c:pt idx="4328">
                  <c:v>4.4642999999999997</c:v>
                </c:pt>
                <c:pt idx="4329">
                  <c:v>4.4763000000000002</c:v>
                </c:pt>
                <c:pt idx="4330">
                  <c:v>4.4542999999999999</c:v>
                </c:pt>
                <c:pt idx="4331">
                  <c:v>4.4573</c:v>
                </c:pt>
                <c:pt idx="4332">
                  <c:v>4.4562999999999997</c:v>
                </c:pt>
                <c:pt idx="4333">
                  <c:v>4.4523999999999999</c:v>
                </c:pt>
                <c:pt idx="4334">
                  <c:v>4.4463999999999997</c:v>
                </c:pt>
                <c:pt idx="4335">
                  <c:v>4.4443999999999999</c:v>
                </c:pt>
                <c:pt idx="4336">
                  <c:v>4.4463999999999997</c:v>
                </c:pt>
                <c:pt idx="4337">
                  <c:v>4.4504000000000001</c:v>
                </c:pt>
                <c:pt idx="4338">
                  <c:v>4.4424999999999999</c:v>
                </c:pt>
                <c:pt idx="4339">
                  <c:v>4.4454000000000002</c:v>
                </c:pt>
                <c:pt idx="4340">
                  <c:v>4.4463999999999997</c:v>
                </c:pt>
                <c:pt idx="4341">
                  <c:v>4.4542999999999999</c:v>
                </c:pt>
                <c:pt idx="4342">
                  <c:v>4.4642999999999997</c:v>
                </c:pt>
                <c:pt idx="4343">
                  <c:v>4.4542999999999999</c:v>
                </c:pt>
                <c:pt idx="4344">
                  <c:v>4.4622999999999999</c:v>
                </c:pt>
                <c:pt idx="4345">
                  <c:v>4.4562999999999997</c:v>
                </c:pt>
                <c:pt idx="4346">
                  <c:v>4.4562999999999997</c:v>
                </c:pt>
                <c:pt idx="4347">
                  <c:v>4.4484000000000004</c:v>
                </c:pt>
                <c:pt idx="4348">
                  <c:v>4.4336000000000002</c:v>
                </c:pt>
                <c:pt idx="4349">
                  <c:v>4.4325999999999999</c:v>
                </c:pt>
                <c:pt idx="4350">
                  <c:v>4.4169999999999998</c:v>
                </c:pt>
                <c:pt idx="4351">
                  <c:v>4.4120999999999997</c:v>
                </c:pt>
                <c:pt idx="4352">
                  <c:v>4.4199000000000002</c:v>
                </c:pt>
                <c:pt idx="4353">
                  <c:v>4.4179000000000004</c:v>
                </c:pt>
                <c:pt idx="4354">
                  <c:v>4.415</c:v>
                </c:pt>
                <c:pt idx="4355">
                  <c:v>4.4199000000000002</c:v>
                </c:pt>
                <c:pt idx="4356">
                  <c:v>4.415</c:v>
                </c:pt>
                <c:pt idx="4357">
                  <c:v>4.4227999999999996</c:v>
                </c:pt>
                <c:pt idx="4358">
                  <c:v>4.4366000000000003</c:v>
                </c:pt>
                <c:pt idx="4359">
                  <c:v>4.4385000000000003</c:v>
                </c:pt>
                <c:pt idx="4360">
                  <c:v>4.4238</c:v>
                </c:pt>
                <c:pt idx="4361">
                  <c:v>4.415</c:v>
                </c:pt>
                <c:pt idx="4362">
                  <c:v>4.4366000000000003</c:v>
                </c:pt>
                <c:pt idx="4363">
                  <c:v>4.4160000000000004</c:v>
                </c:pt>
                <c:pt idx="4364">
                  <c:v>4.3994999999999997</c:v>
                </c:pt>
                <c:pt idx="4365">
                  <c:v>4.4454000000000002</c:v>
                </c:pt>
                <c:pt idx="4366">
                  <c:v>4.4169999999999998</c:v>
                </c:pt>
                <c:pt idx="4367">
                  <c:v>4.4542999999999999</c:v>
                </c:pt>
                <c:pt idx="4368">
                  <c:v>4.4592999999999998</c:v>
                </c:pt>
                <c:pt idx="4369">
                  <c:v>4.4534000000000002</c:v>
                </c:pt>
                <c:pt idx="4370">
                  <c:v>4.4573</c:v>
                </c:pt>
                <c:pt idx="4371">
                  <c:v>4.4722999999999997</c:v>
                </c:pt>
                <c:pt idx="4372">
                  <c:v>4.4692999999999996</c:v>
                </c:pt>
                <c:pt idx="4373">
                  <c:v>4.4722999999999997</c:v>
                </c:pt>
                <c:pt idx="4374">
                  <c:v>4.4562999999999997</c:v>
                </c:pt>
                <c:pt idx="4375">
                  <c:v>4.4287000000000001</c:v>
                </c:pt>
                <c:pt idx="4376">
                  <c:v>4.4188999999999998</c:v>
                </c:pt>
                <c:pt idx="4377">
                  <c:v>4.4663000000000004</c:v>
                </c:pt>
                <c:pt idx="4378">
                  <c:v>4.4823000000000004</c:v>
                </c:pt>
                <c:pt idx="4379">
                  <c:v>4.4663000000000004</c:v>
                </c:pt>
                <c:pt idx="4380">
                  <c:v>4.4964000000000004</c:v>
                </c:pt>
                <c:pt idx="4381">
                  <c:v>4.4111000000000002</c:v>
                </c:pt>
                <c:pt idx="4382">
                  <c:v>4.4208999999999996</c:v>
                </c:pt>
                <c:pt idx="4383">
                  <c:v>4.4248000000000003</c:v>
                </c:pt>
                <c:pt idx="4384">
                  <c:v>4.3907999999999996</c:v>
                </c:pt>
                <c:pt idx="4385">
                  <c:v>4.415</c:v>
                </c:pt>
                <c:pt idx="4386">
                  <c:v>4.3860000000000001</c:v>
                </c:pt>
                <c:pt idx="4387">
                  <c:v>4.4267000000000003</c:v>
                </c:pt>
                <c:pt idx="4388">
                  <c:v>4.4622999999999999</c:v>
                </c:pt>
                <c:pt idx="4389">
                  <c:v>4.4622999999999999</c:v>
                </c:pt>
                <c:pt idx="4390">
                  <c:v>4.5125999999999999</c:v>
                </c:pt>
                <c:pt idx="4391">
                  <c:v>4.5248999999999997</c:v>
                </c:pt>
                <c:pt idx="4392">
                  <c:v>4.5362</c:v>
                </c:pt>
                <c:pt idx="4393">
                  <c:v>4.5631000000000004</c:v>
                </c:pt>
                <c:pt idx="4394">
                  <c:v>4.5620000000000003</c:v>
                </c:pt>
                <c:pt idx="4395">
                  <c:v>4.5673000000000004</c:v>
                </c:pt>
                <c:pt idx="4396">
                  <c:v>4.5673000000000004</c:v>
                </c:pt>
                <c:pt idx="4397">
                  <c:v>4.6040999999999999</c:v>
                </c:pt>
                <c:pt idx="4398">
                  <c:v>4.6124999999999998</c:v>
                </c:pt>
                <c:pt idx="4399">
                  <c:v>4.6211000000000002</c:v>
                </c:pt>
                <c:pt idx="4400">
                  <c:v>4.6338999999999997</c:v>
                </c:pt>
                <c:pt idx="4401">
                  <c:v>4.6458000000000004</c:v>
                </c:pt>
                <c:pt idx="4402">
                  <c:v>4.6512000000000002</c:v>
                </c:pt>
                <c:pt idx="4403">
                  <c:v>4.6684999999999999</c:v>
                </c:pt>
                <c:pt idx="4404">
                  <c:v>4.6555</c:v>
                </c:pt>
                <c:pt idx="4405">
                  <c:v>4.6653000000000002</c:v>
                </c:pt>
                <c:pt idx="4406">
                  <c:v>4.6750999999999996</c:v>
                </c:pt>
                <c:pt idx="4407">
                  <c:v>4.6806000000000001</c:v>
                </c:pt>
                <c:pt idx="4408">
                  <c:v>4.6664000000000003</c:v>
                </c:pt>
                <c:pt idx="4409">
                  <c:v>4.6848999999999998</c:v>
                </c:pt>
                <c:pt idx="4410">
                  <c:v>4.6750999999999996</c:v>
                </c:pt>
                <c:pt idx="4411">
                  <c:v>4.6761999999999997</c:v>
                </c:pt>
                <c:pt idx="4412">
                  <c:v>4.7159000000000004</c:v>
                </c:pt>
                <c:pt idx="4413">
                  <c:v>4.7037000000000004</c:v>
                </c:pt>
                <c:pt idx="4414">
                  <c:v>4.6882000000000001</c:v>
                </c:pt>
                <c:pt idx="4415">
                  <c:v>4.6837999999999997</c:v>
                </c:pt>
                <c:pt idx="4416">
                  <c:v>4.6772999999999998</c:v>
                </c:pt>
                <c:pt idx="4417">
                  <c:v>4.6837999999999997</c:v>
                </c:pt>
                <c:pt idx="4418">
                  <c:v>4.6893000000000002</c:v>
                </c:pt>
                <c:pt idx="4419">
                  <c:v>4.6859999999999999</c:v>
                </c:pt>
                <c:pt idx="4420">
                  <c:v>4.6795</c:v>
                </c:pt>
                <c:pt idx="4421">
                  <c:v>4.6904000000000003</c:v>
                </c:pt>
                <c:pt idx="4422">
                  <c:v>4.7259000000000002</c:v>
                </c:pt>
                <c:pt idx="4423">
                  <c:v>4.7259000000000002</c:v>
                </c:pt>
                <c:pt idx="4424">
                  <c:v>4.7370999999999999</c:v>
                </c:pt>
                <c:pt idx="4425">
                  <c:v>4.6859999999999999</c:v>
                </c:pt>
                <c:pt idx="4426">
                  <c:v>4.6772999999999998</c:v>
                </c:pt>
                <c:pt idx="4427">
                  <c:v>4.6893000000000002</c:v>
                </c:pt>
                <c:pt idx="4428">
                  <c:v>4.6740000000000004</c:v>
                </c:pt>
                <c:pt idx="4429">
                  <c:v>4.6673999999999998</c:v>
                </c:pt>
                <c:pt idx="4430">
                  <c:v>4.6684999999999999</c:v>
                </c:pt>
                <c:pt idx="4431">
                  <c:v>4.6512000000000002</c:v>
                </c:pt>
                <c:pt idx="4432">
                  <c:v>4.6425000000000001</c:v>
                </c:pt>
                <c:pt idx="4433">
                  <c:v>4.6189</c:v>
                </c:pt>
                <c:pt idx="4434">
                  <c:v>4.5934999999999997</c:v>
                </c:pt>
                <c:pt idx="4435">
                  <c:v>4.5631000000000004</c:v>
                </c:pt>
                <c:pt idx="4436">
                  <c:v>4.5682999999999998</c:v>
                </c:pt>
                <c:pt idx="4437">
                  <c:v>4.5976999999999997</c:v>
                </c:pt>
                <c:pt idx="4438">
                  <c:v>4.6104000000000003</c:v>
                </c:pt>
                <c:pt idx="4439">
                  <c:v>4.6135999999999999</c:v>
                </c:pt>
                <c:pt idx="4440">
                  <c:v>4.6425000000000001</c:v>
                </c:pt>
                <c:pt idx="4441">
                  <c:v>4.6566000000000001</c:v>
                </c:pt>
                <c:pt idx="4442">
                  <c:v>4.6467999999999998</c:v>
                </c:pt>
                <c:pt idx="4443">
                  <c:v>4.6707000000000001</c:v>
                </c:pt>
                <c:pt idx="4444">
                  <c:v>4.6750999999999996</c:v>
                </c:pt>
                <c:pt idx="4445">
                  <c:v>4.6859999999999999</c:v>
                </c:pt>
                <c:pt idx="4446">
                  <c:v>4.6555</c:v>
                </c:pt>
                <c:pt idx="4447">
                  <c:v>4.7015000000000002</c:v>
                </c:pt>
                <c:pt idx="4448">
                  <c:v>4.7148000000000003</c:v>
                </c:pt>
                <c:pt idx="4449">
                  <c:v>4.6904000000000003</c:v>
                </c:pt>
                <c:pt idx="4450">
                  <c:v>4.7058999999999997</c:v>
                </c:pt>
                <c:pt idx="4451">
                  <c:v>4.7047999999999996</c:v>
                </c:pt>
                <c:pt idx="4452">
                  <c:v>4.7047999999999996</c:v>
                </c:pt>
                <c:pt idx="4453">
                  <c:v>4.6970000000000001</c:v>
                </c:pt>
                <c:pt idx="4454">
                  <c:v>4.6795</c:v>
                </c:pt>
                <c:pt idx="4455">
                  <c:v>4.7393000000000001</c:v>
                </c:pt>
                <c:pt idx="4456">
                  <c:v>4.7058999999999997</c:v>
                </c:pt>
                <c:pt idx="4457">
                  <c:v>4.6882000000000001</c:v>
                </c:pt>
                <c:pt idx="4458">
                  <c:v>4.6403999999999996</c:v>
                </c:pt>
                <c:pt idx="4459">
                  <c:v>4.5839999999999996</c:v>
                </c:pt>
                <c:pt idx="4460">
                  <c:v>4.5830000000000002</c:v>
                </c:pt>
                <c:pt idx="4461">
                  <c:v>4.5704000000000002</c:v>
                </c:pt>
                <c:pt idx="4462">
                  <c:v>4.5766999999999998</c:v>
                </c:pt>
                <c:pt idx="4463">
                  <c:v>4.5620000000000003</c:v>
                </c:pt>
                <c:pt idx="4464">
                  <c:v>4.5506000000000002</c:v>
                </c:pt>
                <c:pt idx="4465">
                  <c:v>4.5631000000000004</c:v>
                </c:pt>
                <c:pt idx="4466">
                  <c:v>4.5495999999999999</c:v>
                </c:pt>
                <c:pt idx="4467">
                  <c:v>4.5362</c:v>
                </c:pt>
                <c:pt idx="4468">
                  <c:v>4.5412999999999997</c:v>
                </c:pt>
                <c:pt idx="4469">
                  <c:v>4.5506000000000002</c:v>
                </c:pt>
                <c:pt idx="4470">
                  <c:v>4.5589000000000004</c:v>
                </c:pt>
                <c:pt idx="4471">
                  <c:v>4.5372000000000003</c:v>
                </c:pt>
                <c:pt idx="4472">
                  <c:v>4.5331000000000001</c:v>
                </c:pt>
                <c:pt idx="4473">
                  <c:v>4.5331000000000001</c:v>
                </c:pt>
                <c:pt idx="4474">
                  <c:v>4.5217999999999998</c:v>
                </c:pt>
                <c:pt idx="4475">
                  <c:v>4.5086000000000004</c:v>
                </c:pt>
                <c:pt idx="4476">
                  <c:v>4.5115999999999996</c:v>
                </c:pt>
                <c:pt idx="4477">
                  <c:v>4.5412999999999997</c:v>
                </c:pt>
                <c:pt idx="4478">
                  <c:v>4.5198</c:v>
                </c:pt>
                <c:pt idx="4479">
                  <c:v>4.5350999999999999</c:v>
                </c:pt>
                <c:pt idx="4480">
                  <c:v>4.5167000000000002</c:v>
                </c:pt>
                <c:pt idx="4481">
                  <c:v>4.5137</c:v>
                </c:pt>
                <c:pt idx="4482">
                  <c:v>4.5125999999999999</c:v>
                </c:pt>
                <c:pt idx="4483">
                  <c:v>4.4934000000000003</c:v>
                </c:pt>
                <c:pt idx="4484">
                  <c:v>4.4852999999999996</c:v>
                </c:pt>
                <c:pt idx="4485">
                  <c:v>4.4863</c:v>
                </c:pt>
                <c:pt idx="4486">
                  <c:v>4.4852999999999996</c:v>
                </c:pt>
                <c:pt idx="4487">
                  <c:v>4.4863</c:v>
                </c:pt>
                <c:pt idx="4488">
                  <c:v>4.5015000000000001</c:v>
                </c:pt>
                <c:pt idx="4489">
                  <c:v>4.4852999999999996</c:v>
                </c:pt>
                <c:pt idx="4490">
                  <c:v>4.4863</c:v>
                </c:pt>
                <c:pt idx="4491">
                  <c:v>4.4913999999999996</c:v>
                </c:pt>
                <c:pt idx="4492">
                  <c:v>4.4993999999999996</c:v>
                </c:pt>
                <c:pt idx="4493">
                  <c:v>4.5065</c:v>
                </c:pt>
                <c:pt idx="4494">
                  <c:v>4.4964000000000004</c:v>
                </c:pt>
                <c:pt idx="4495">
                  <c:v>4.4843000000000002</c:v>
                </c:pt>
                <c:pt idx="4496">
                  <c:v>4.4763000000000002</c:v>
                </c:pt>
                <c:pt idx="4497">
                  <c:v>4.4752999999999998</c:v>
                </c:pt>
                <c:pt idx="4498">
                  <c:v>4.4993999999999996</c:v>
                </c:pt>
                <c:pt idx="4499">
                  <c:v>4.5065</c:v>
                </c:pt>
                <c:pt idx="4500">
                  <c:v>4.5115999999999996</c:v>
                </c:pt>
                <c:pt idx="4501">
                  <c:v>4.5259</c:v>
                </c:pt>
                <c:pt idx="4502">
                  <c:v>4.5381999999999998</c:v>
                </c:pt>
                <c:pt idx="4503">
                  <c:v>4.5309999999999997</c:v>
                </c:pt>
                <c:pt idx="4504">
                  <c:v>4.5631000000000004</c:v>
                </c:pt>
                <c:pt idx="4505">
                  <c:v>4.5557999999999996</c:v>
                </c:pt>
                <c:pt idx="4506">
                  <c:v>4.5662000000000003</c:v>
                </c:pt>
                <c:pt idx="4507">
                  <c:v>4.5434000000000001</c:v>
                </c:pt>
                <c:pt idx="4508">
                  <c:v>4.5526999999999997</c:v>
                </c:pt>
                <c:pt idx="4509">
                  <c:v>4.5423999999999998</c:v>
                </c:pt>
                <c:pt idx="4510">
                  <c:v>4.5475000000000003</c:v>
                </c:pt>
                <c:pt idx="4511">
                  <c:v>4.5350999999999999</c:v>
                </c:pt>
                <c:pt idx="4512">
                  <c:v>4.5198</c:v>
                </c:pt>
                <c:pt idx="4513">
                  <c:v>4.5147000000000004</c:v>
                </c:pt>
                <c:pt idx="4514">
                  <c:v>4.5015000000000001</c:v>
                </c:pt>
                <c:pt idx="4515">
                  <c:v>4.4683000000000002</c:v>
                </c:pt>
                <c:pt idx="4516">
                  <c:v>4.4642999999999997</c:v>
                </c:pt>
                <c:pt idx="4517">
                  <c:v>4.4943999999999997</c:v>
                </c:pt>
                <c:pt idx="4518">
                  <c:v>4.5248999999999997</c:v>
                </c:pt>
                <c:pt idx="4519">
                  <c:v>4.4663000000000004</c:v>
                </c:pt>
                <c:pt idx="4520">
                  <c:v>4.4622999999999999</c:v>
                </c:pt>
                <c:pt idx="4521">
                  <c:v>4.4573</c:v>
                </c:pt>
                <c:pt idx="4522">
                  <c:v>4.4553000000000003</c:v>
                </c:pt>
                <c:pt idx="4523">
                  <c:v>4.4297000000000004</c:v>
                </c:pt>
                <c:pt idx="4524">
                  <c:v>4.4160000000000004</c:v>
                </c:pt>
                <c:pt idx="4525">
                  <c:v>4.4188999999999998</c:v>
                </c:pt>
                <c:pt idx="4526">
                  <c:v>4.3926999999999996</c:v>
                </c:pt>
                <c:pt idx="4527">
                  <c:v>4.3868999999999998</c:v>
                </c:pt>
                <c:pt idx="4528">
                  <c:v>4.3860000000000001</c:v>
                </c:pt>
                <c:pt idx="4529">
                  <c:v>4.4024000000000001</c:v>
                </c:pt>
                <c:pt idx="4530">
                  <c:v>4.4405000000000001</c:v>
                </c:pt>
                <c:pt idx="4531">
                  <c:v>4.4366000000000003</c:v>
                </c:pt>
                <c:pt idx="4532">
                  <c:v>4.3715999999999999</c:v>
                </c:pt>
                <c:pt idx="4533">
                  <c:v>4.3411999999999997</c:v>
                </c:pt>
                <c:pt idx="4534">
                  <c:v>4.3299000000000003</c:v>
                </c:pt>
                <c:pt idx="4535">
                  <c:v>4.3375000000000004</c:v>
                </c:pt>
                <c:pt idx="4536">
                  <c:v>4.3430999999999997</c:v>
                </c:pt>
                <c:pt idx="4537">
                  <c:v>4.3430999999999997</c:v>
                </c:pt>
                <c:pt idx="4538">
                  <c:v>4.3327999999999998</c:v>
                </c:pt>
                <c:pt idx="4539">
                  <c:v>4.3337000000000003</c:v>
                </c:pt>
                <c:pt idx="4540">
                  <c:v>4.3337000000000003</c:v>
                </c:pt>
                <c:pt idx="4541">
                  <c:v>4.3365</c:v>
                </c:pt>
                <c:pt idx="4542">
                  <c:v>4.3337000000000003</c:v>
                </c:pt>
                <c:pt idx="4543">
                  <c:v>4.3299000000000003</c:v>
                </c:pt>
                <c:pt idx="4544">
                  <c:v>4.3497000000000003</c:v>
                </c:pt>
                <c:pt idx="4545">
                  <c:v>4.3525999999999998</c:v>
                </c:pt>
                <c:pt idx="4546">
                  <c:v>4.3658999999999999</c:v>
                </c:pt>
                <c:pt idx="4547">
                  <c:v>4.3620999999999999</c:v>
                </c:pt>
                <c:pt idx="4548">
                  <c:v>4.3582000000000001</c:v>
                </c:pt>
                <c:pt idx="4549">
                  <c:v>4.3468999999999998</c:v>
                </c:pt>
                <c:pt idx="4550">
                  <c:v>4.3375000000000004</c:v>
                </c:pt>
                <c:pt idx="4551">
                  <c:v>4.3270999999999997</c:v>
                </c:pt>
                <c:pt idx="4552">
                  <c:v>4.3113000000000001</c:v>
                </c:pt>
                <c:pt idx="4553">
                  <c:v>4.3497000000000003</c:v>
                </c:pt>
                <c:pt idx="4554">
                  <c:v>4.3459000000000003</c:v>
                </c:pt>
                <c:pt idx="4555">
                  <c:v>4.3724999999999996</c:v>
                </c:pt>
                <c:pt idx="4556">
                  <c:v>4.3478000000000003</c:v>
                </c:pt>
                <c:pt idx="4557">
                  <c:v>4.3715999999999999</c:v>
                </c:pt>
                <c:pt idx="4558">
                  <c:v>4.3811999999999998</c:v>
                </c:pt>
                <c:pt idx="4559">
                  <c:v>4.3620999999999999</c:v>
                </c:pt>
                <c:pt idx="4560">
                  <c:v>4.3497000000000003</c:v>
                </c:pt>
                <c:pt idx="4561">
                  <c:v>4.3648999999999996</c:v>
                </c:pt>
                <c:pt idx="4562">
                  <c:v>4.3658999999999999</c:v>
                </c:pt>
                <c:pt idx="4563">
                  <c:v>4.3945999999999996</c:v>
                </c:pt>
                <c:pt idx="4564">
                  <c:v>4.3945999999999996</c:v>
                </c:pt>
                <c:pt idx="4565">
                  <c:v>4.3648999999999996</c:v>
                </c:pt>
                <c:pt idx="4566">
                  <c:v>4.3563000000000001</c:v>
                </c:pt>
                <c:pt idx="4567">
                  <c:v>4.3715999999999999</c:v>
                </c:pt>
                <c:pt idx="4568">
                  <c:v>4.3403</c:v>
                </c:pt>
                <c:pt idx="4569">
                  <c:v>4.3253000000000004</c:v>
                </c:pt>
                <c:pt idx="4570">
                  <c:v>4.3299000000000003</c:v>
                </c:pt>
                <c:pt idx="4571">
                  <c:v>4.3392999999999997</c:v>
                </c:pt>
                <c:pt idx="4572">
                  <c:v>4.3365</c:v>
                </c:pt>
                <c:pt idx="4573">
                  <c:v>4.3186999999999998</c:v>
                </c:pt>
                <c:pt idx="4574">
                  <c:v>4.3563000000000001</c:v>
                </c:pt>
                <c:pt idx="4575">
                  <c:v>4.3696999999999999</c:v>
                </c:pt>
                <c:pt idx="4576">
                  <c:v>4.4336000000000002</c:v>
                </c:pt>
                <c:pt idx="4577">
                  <c:v>4.5381999999999998</c:v>
                </c:pt>
                <c:pt idx="4578">
                  <c:v>4.3898000000000001</c:v>
                </c:pt>
                <c:pt idx="4579">
                  <c:v>4.3966000000000003</c:v>
                </c:pt>
                <c:pt idx="4580">
                  <c:v>4.3907999999999996</c:v>
                </c:pt>
                <c:pt idx="4581">
                  <c:v>4.3792</c:v>
                </c:pt>
                <c:pt idx="4582">
                  <c:v>4.3525999999999998</c:v>
                </c:pt>
                <c:pt idx="4583">
                  <c:v>4.3868999999999998</c:v>
                </c:pt>
                <c:pt idx="4584">
                  <c:v>4.3411999999999997</c:v>
                </c:pt>
                <c:pt idx="4585">
                  <c:v>4.4553000000000003</c:v>
                </c:pt>
                <c:pt idx="4586">
                  <c:v>4.3234000000000004</c:v>
                </c:pt>
                <c:pt idx="4587">
                  <c:v>4.2373000000000003</c:v>
                </c:pt>
                <c:pt idx="4588">
                  <c:v>4.2408999999999999</c:v>
                </c:pt>
                <c:pt idx="4589">
                  <c:v>4.2599</c:v>
                </c:pt>
                <c:pt idx="4590">
                  <c:v>4.2625999999999999</c:v>
                </c:pt>
                <c:pt idx="4591">
                  <c:v>4.2408999999999999</c:v>
                </c:pt>
                <c:pt idx="4592">
                  <c:v>4.2309999999999999</c:v>
                </c:pt>
                <c:pt idx="4593">
                  <c:v>4.2417999999999996</c:v>
                </c:pt>
                <c:pt idx="4594">
                  <c:v>4.1973000000000003</c:v>
                </c:pt>
                <c:pt idx="4595">
                  <c:v>4.1544999999999996</c:v>
                </c:pt>
                <c:pt idx="4596">
                  <c:v>4.1425000000000001</c:v>
                </c:pt>
                <c:pt idx="4597">
                  <c:v>4.1631999999999998</c:v>
                </c:pt>
                <c:pt idx="4598">
                  <c:v>4.1322000000000001</c:v>
                </c:pt>
                <c:pt idx="4599">
                  <c:v>4.0865999999999998</c:v>
                </c:pt>
                <c:pt idx="4600">
                  <c:v>4.0891000000000002</c:v>
                </c:pt>
                <c:pt idx="4601">
                  <c:v>4.0185000000000004</c:v>
                </c:pt>
                <c:pt idx="4602">
                  <c:v>3.9738000000000002</c:v>
                </c:pt>
                <c:pt idx="4603">
                  <c:v>4.0048000000000004</c:v>
                </c:pt>
                <c:pt idx="4604">
                  <c:v>4.0007999999999999</c:v>
                </c:pt>
                <c:pt idx="4605">
                  <c:v>3.9611999999999998</c:v>
                </c:pt>
                <c:pt idx="4606">
                  <c:v>3.9361999999999999</c:v>
                </c:pt>
                <c:pt idx="4607">
                  <c:v>3.9262000000000001</c:v>
                </c:pt>
                <c:pt idx="4608">
                  <c:v>3.9216000000000002</c:v>
                </c:pt>
                <c:pt idx="4609">
                  <c:v>3.9293</c:v>
                </c:pt>
                <c:pt idx="4610">
                  <c:v>3.9339</c:v>
                </c:pt>
                <c:pt idx="4611">
                  <c:v>3.927</c:v>
                </c:pt>
                <c:pt idx="4612">
                  <c:v>3.9424000000000001</c:v>
                </c:pt>
                <c:pt idx="4613">
                  <c:v>3.9146999999999998</c:v>
                </c:pt>
                <c:pt idx="4614">
                  <c:v>3.9361999999999999</c:v>
                </c:pt>
                <c:pt idx="4615">
                  <c:v>3.9207999999999998</c:v>
                </c:pt>
                <c:pt idx="4616">
                  <c:v>3.9456000000000002</c:v>
                </c:pt>
                <c:pt idx="4617">
                  <c:v>3.9378000000000002</c:v>
                </c:pt>
                <c:pt idx="4618">
                  <c:v>3.8826999999999998</c:v>
                </c:pt>
                <c:pt idx="4619">
                  <c:v>3.8759999999999999</c:v>
                </c:pt>
                <c:pt idx="4620">
                  <c:v>3.8736999999999999</c:v>
                </c:pt>
                <c:pt idx="4621">
                  <c:v>3.9032</c:v>
                </c:pt>
                <c:pt idx="4622">
                  <c:v>3.8956</c:v>
                </c:pt>
                <c:pt idx="4623">
                  <c:v>3.8469000000000002</c:v>
                </c:pt>
                <c:pt idx="4624">
                  <c:v>3.8123999999999998</c:v>
                </c:pt>
                <c:pt idx="4625">
                  <c:v>3.8248000000000002</c:v>
                </c:pt>
                <c:pt idx="4626">
                  <c:v>3.8624999999999998</c:v>
                </c:pt>
                <c:pt idx="4627">
                  <c:v>3.8588</c:v>
                </c:pt>
                <c:pt idx="4628">
                  <c:v>3.9285000000000001</c:v>
                </c:pt>
                <c:pt idx="4629">
                  <c:v>3.9746000000000001</c:v>
                </c:pt>
                <c:pt idx="4630">
                  <c:v>3.8685</c:v>
                </c:pt>
                <c:pt idx="4631">
                  <c:v>3.8146</c:v>
                </c:pt>
                <c:pt idx="4632">
                  <c:v>3.6974999999999998</c:v>
                </c:pt>
                <c:pt idx="4633">
                  <c:v>3.649</c:v>
                </c:pt>
                <c:pt idx="4634">
                  <c:v>3.645</c:v>
                </c:pt>
                <c:pt idx="4635">
                  <c:v>3.6476000000000002</c:v>
                </c:pt>
                <c:pt idx="4636">
                  <c:v>3.649</c:v>
                </c:pt>
                <c:pt idx="4637">
                  <c:v>3.6463000000000001</c:v>
                </c:pt>
                <c:pt idx="4638">
                  <c:v>3.6463000000000001</c:v>
                </c:pt>
                <c:pt idx="4639">
                  <c:v>3.6456</c:v>
                </c:pt>
                <c:pt idx="4640">
                  <c:v>3.6423000000000001</c:v>
                </c:pt>
                <c:pt idx="4641">
                  <c:v>3.6463000000000001</c:v>
                </c:pt>
                <c:pt idx="4642">
                  <c:v>3.6516000000000002</c:v>
                </c:pt>
                <c:pt idx="4643">
                  <c:v>3.6516000000000002</c:v>
                </c:pt>
                <c:pt idx="4644">
                  <c:v>3.6522999999999999</c:v>
                </c:pt>
                <c:pt idx="4645">
                  <c:v>3.653</c:v>
                </c:pt>
                <c:pt idx="4646">
                  <c:v>3.6543000000000001</c:v>
                </c:pt>
                <c:pt idx="4647">
                  <c:v>3.653</c:v>
                </c:pt>
                <c:pt idx="4648">
                  <c:v>3.649</c:v>
                </c:pt>
                <c:pt idx="4649">
                  <c:v>3.6503000000000001</c:v>
                </c:pt>
                <c:pt idx="4650">
                  <c:v>3.645</c:v>
                </c:pt>
                <c:pt idx="4651">
                  <c:v>3.6503000000000001</c:v>
                </c:pt>
                <c:pt idx="4652">
                  <c:v>3.6476000000000002</c:v>
                </c:pt>
                <c:pt idx="4653">
                  <c:v>3.645</c:v>
                </c:pt>
                <c:pt idx="4654">
                  <c:v>3.6463000000000001</c:v>
                </c:pt>
                <c:pt idx="4655">
                  <c:v>3.6396999999999999</c:v>
                </c:pt>
                <c:pt idx="4656">
                  <c:v>3.6343999999999999</c:v>
                </c:pt>
                <c:pt idx="4657">
                  <c:v>3.6303999999999998</c:v>
                </c:pt>
                <c:pt idx="4658">
                  <c:v>3.6252</c:v>
                </c:pt>
                <c:pt idx="4659">
                  <c:v>3.6265000000000001</c:v>
                </c:pt>
                <c:pt idx="4660">
                  <c:v>3.6349999999999998</c:v>
                </c:pt>
                <c:pt idx="4661">
                  <c:v>3.6303999999999998</c:v>
                </c:pt>
                <c:pt idx="4662">
                  <c:v>3.6278000000000001</c:v>
                </c:pt>
                <c:pt idx="4663">
                  <c:v>3.6291000000000002</c:v>
                </c:pt>
                <c:pt idx="4664">
                  <c:v>3.6356999999999999</c:v>
                </c:pt>
                <c:pt idx="4665">
                  <c:v>3.6423000000000001</c:v>
                </c:pt>
                <c:pt idx="4666">
                  <c:v>3.649</c:v>
                </c:pt>
                <c:pt idx="4667">
                  <c:v>3.6516000000000002</c:v>
                </c:pt>
                <c:pt idx="4668">
                  <c:v>3.6583000000000001</c:v>
                </c:pt>
                <c:pt idx="4669">
                  <c:v>3.6642999999999999</c:v>
                </c:pt>
                <c:pt idx="4670">
                  <c:v>3.665</c:v>
                </c:pt>
                <c:pt idx="4671">
                  <c:v>3.6690999999999998</c:v>
                </c:pt>
                <c:pt idx="4672">
                  <c:v>3.6663999999999999</c:v>
                </c:pt>
                <c:pt idx="4673">
                  <c:v>3.6677</c:v>
                </c:pt>
                <c:pt idx="4674">
                  <c:v>3.6663999999999999</c:v>
                </c:pt>
                <c:pt idx="4675">
                  <c:v>3.6697000000000002</c:v>
                </c:pt>
                <c:pt idx="4676">
                  <c:v>3.6703999999999999</c:v>
                </c:pt>
                <c:pt idx="4677">
                  <c:v>3.6677</c:v>
                </c:pt>
                <c:pt idx="4678">
                  <c:v>3.6677</c:v>
                </c:pt>
                <c:pt idx="4679">
                  <c:v>3.6690999999999998</c:v>
                </c:pt>
                <c:pt idx="4680">
                  <c:v>3.6690999999999998</c:v>
                </c:pt>
                <c:pt idx="4681">
                  <c:v>3.6677</c:v>
                </c:pt>
                <c:pt idx="4682">
                  <c:v>3.6657000000000002</c:v>
                </c:pt>
                <c:pt idx="4683">
                  <c:v>3.661</c:v>
                </c:pt>
                <c:pt idx="4684">
                  <c:v>3.6697000000000002</c:v>
                </c:pt>
                <c:pt idx="4685">
                  <c:v>3.6637</c:v>
                </c:pt>
                <c:pt idx="4686">
                  <c:v>3.661</c:v>
                </c:pt>
                <c:pt idx="4687">
                  <c:v>3.661</c:v>
                </c:pt>
                <c:pt idx="4688">
                  <c:v>3.6597</c:v>
                </c:pt>
                <c:pt idx="4689">
                  <c:v>3.6516000000000002</c:v>
                </c:pt>
                <c:pt idx="4690">
                  <c:v>3.6503000000000001</c:v>
                </c:pt>
                <c:pt idx="4691">
                  <c:v>3.6476000000000002</c:v>
                </c:pt>
                <c:pt idx="4692">
                  <c:v>3.645</c:v>
                </c:pt>
                <c:pt idx="4693">
                  <c:v>3.653</c:v>
                </c:pt>
                <c:pt idx="4694">
                  <c:v>3.6476000000000002</c:v>
                </c:pt>
                <c:pt idx="4695">
                  <c:v>3.6436999999999999</c:v>
                </c:pt>
                <c:pt idx="4696">
                  <c:v>3.6383000000000001</c:v>
                </c:pt>
                <c:pt idx="4697">
                  <c:v>3.641</c:v>
                </c:pt>
                <c:pt idx="4698">
                  <c:v>3.6356999999999999</c:v>
                </c:pt>
                <c:pt idx="4699">
                  <c:v>3.6343999999999999</c:v>
                </c:pt>
                <c:pt idx="4700">
                  <c:v>3.6417000000000002</c:v>
                </c:pt>
                <c:pt idx="4701">
                  <c:v>3.6402999999999999</c:v>
                </c:pt>
                <c:pt idx="4702">
                  <c:v>3.6396999999999999</c:v>
                </c:pt>
                <c:pt idx="4703">
                  <c:v>3.6482999999999999</c:v>
                </c:pt>
                <c:pt idx="4704">
                  <c:v>3.6476000000000002</c:v>
                </c:pt>
                <c:pt idx="4705">
                  <c:v>3.6463000000000001</c:v>
                </c:pt>
                <c:pt idx="4706">
                  <c:v>3.6476000000000002</c:v>
                </c:pt>
                <c:pt idx="4707">
                  <c:v>3.6482999999999999</c:v>
                </c:pt>
                <c:pt idx="4708">
                  <c:v>3.6349999999999998</c:v>
                </c:pt>
                <c:pt idx="4709">
                  <c:v>3.6356999999999999</c:v>
                </c:pt>
                <c:pt idx="4710">
                  <c:v>3.637</c:v>
                </c:pt>
                <c:pt idx="4711">
                  <c:v>3.6356999999999999</c:v>
                </c:pt>
                <c:pt idx="4712">
                  <c:v>3.6396999999999999</c:v>
                </c:pt>
                <c:pt idx="4713">
                  <c:v>3.6476000000000002</c:v>
                </c:pt>
                <c:pt idx="4714">
                  <c:v>3.653</c:v>
                </c:pt>
                <c:pt idx="4715">
                  <c:v>3.6503000000000001</c:v>
                </c:pt>
                <c:pt idx="4716">
                  <c:v>3.6556000000000002</c:v>
                </c:pt>
                <c:pt idx="4717">
                  <c:v>3.6543000000000001</c:v>
                </c:pt>
                <c:pt idx="4718">
                  <c:v>3.6543000000000001</c:v>
                </c:pt>
                <c:pt idx="4719">
                  <c:v>3.657</c:v>
                </c:pt>
                <c:pt idx="4720">
                  <c:v>3.6503000000000001</c:v>
                </c:pt>
                <c:pt idx="4721">
                  <c:v>3.653</c:v>
                </c:pt>
                <c:pt idx="4722">
                  <c:v>3.6543000000000001</c:v>
                </c:pt>
                <c:pt idx="4723">
                  <c:v>3.665</c:v>
                </c:pt>
                <c:pt idx="4724">
                  <c:v>3.6637</c:v>
                </c:pt>
                <c:pt idx="4725">
                  <c:v>3.6623000000000001</c:v>
                </c:pt>
                <c:pt idx="4726">
                  <c:v>3.665</c:v>
                </c:pt>
                <c:pt idx="4727">
                  <c:v>3.6556000000000002</c:v>
                </c:pt>
                <c:pt idx="4728">
                  <c:v>3.6469999999999998</c:v>
                </c:pt>
                <c:pt idx="4729">
                  <c:v>3.6463000000000001</c:v>
                </c:pt>
                <c:pt idx="4730">
                  <c:v>3.6482999999999999</c:v>
                </c:pt>
                <c:pt idx="4731">
                  <c:v>3.6583000000000001</c:v>
                </c:pt>
                <c:pt idx="4732">
                  <c:v>3.6463000000000001</c:v>
                </c:pt>
                <c:pt idx="4733">
                  <c:v>3.6637</c:v>
                </c:pt>
                <c:pt idx="4734">
                  <c:v>3.6743999999999999</c:v>
                </c:pt>
                <c:pt idx="4735">
                  <c:v>3.6743999999999999</c:v>
                </c:pt>
                <c:pt idx="4736">
                  <c:v>3.6758000000000002</c:v>
                </c:pt>
                <c:pt idx="4737">
                  <c:v>3.6717</c:v>
                </c:pt>
                <c:pt idx="4738">
                  <c:v>3.6738</c:v>
                </c:pt>
                <c:pt idx="4739">
                  <c:v>3.6637</c:v>
                </c:pt>
                <c:pt idx="4740">
                  <c:v>3.6637</c:v>
                </c:pt>
                <c:pt idx="4741">
                  <c:v>3.6637</c:v>
                </c:pt>
                <c:pt idx="4742">
                  <c:v>3.6663999999999999</c:v>
                </c:pt>
                <c:pt idx="4743">
                  <c:v>3.6637</c:v>
                </c:pt>
                <c:pt idx="4744">
                  <c:v>3.6637</c:v>
                </c:pt>
                <c:pt idx="4745">
                  <c:v>3.661</c:v>
                </c:pt>
                <c:pt idx="4746">
                  <c:v>3.6583000000000001</c:v>
                </c:pt>
                <c:pt idx="4747">
                  <c:v>3.6556000000000002</c:v>
                </c:pt>
                <c:pt idx="4748">
                  <c:v>3.6576</c:v>
                </c:pt>
                <c:pt idx="4749">
                  <c:v>3.6623000000000001</c:v>
                </c:pt>
                <c:pt idx="4750">
                  <c:v>3.661</c:v>
                </c:pt>
                <c:pt idx="4751">
                  <c:v>3.6583000000000001</c:v>
                </c:pt>
                <c:pt idx="4752">
                  <c:v>3.6597</c:v>
                </c:pt>
                <c:pt idx="4753">
                  <c:v>3.6583000000000001</c:v>
                </c:pt>
                <c:pt idx="4754">
                  <c:v>3.6556000000000002</c:v>
                </c:pt>
                <c:pt idx="4755">
                  <c:v>3.6597</c:v>
                </c:pt>
                <c:pt idx="4756">
                  <c:v>3.657</c:v>
                </c:pt>
                <c:pt idx="4757">
                  <c:v>3.6583000000000001</c:v>
                </c:pt>
                <c:pt idx="4758">
                  <c:v>3.6536</c:v>
                </c:pt>
                <c:pt idx="4759">
                  <c:v>3.6623000000000001</c:v>
                </c:pt>
                <c:pt idx="4760">
                  <c:v>3.6423000000000001</c:v>
                </c:pt>
                <c:pt idx="4761">
                  <c:v>3.6337000000000002</c:v>
                </c:pt>
                <c:pt idx="4762">
                  <c:v>3.6291000000000002</c:v>
                </c:pt>
                <c:pt idx="4763">
                  <c:v>3.6095000000000002</c:v>
                </c:pt>
                <c:pt idx="4764">
                  <c:v>3.6107999999999998</c:v>
                </c:pt>
                <c:pt idx="4765">
                  <c:v>3.6133999999999999</c:v>
                </c:pt>
                <c:pt idx="4766">
                  <c:v>3.6173000000000002</c:v>
                </c:pt>
                <c:pt idx="4767">
                  <c:v>3.6173000000000002</c:v>
                </c:pt>
                <c:pt idx="4768">
                  <c:v>3.6055999999999999</c:v>
                </c:pt>
                <c:pt idx="4769">
                  <c:v>3.6166</c:v>
                </c:pt>
                <c:pt idx="4770">
                  <c:v>3.6225000000000001</c:v>
                </c:pt>
                <c:pt idx="4771">
                  <c:v>3.6278000000000001</c:v>
                </c:pt>
                <c:pt idx="4772">
                  <c:v>3.6356999999999999</c:v>
                </c:pt>
                <c:pt idx="4773">
                  <c:v>3.6349999999999998</c:v>
                </c:pt>
                <c:pt idx="4774">
                  <c:v>3.6349999999999998</c:v>
                </c:pt>
                <c:pt idx="4775">
                  <c:v>3.6423000000000001</c:v>
                </c:pt>
                <c:pt idx="4776">
                  <c:v>3.6436999999999999</c:v>
                </c:pt>
                <c:pt idx="4777">
                  <c:v>3.637</c:v>
                </c:pt>
                <c:pt idx="4778">
                  <c:v>3.645</c:v>
                </c:pt>
                <c:pt idx="4779">
                  <c:v>3.649</c:v>
                </c:pt>
                <c:pt idx="4780">
                  <c:v>3.649</c:v>
                </c:pt>
                <c:pt idx="4781">
                  <c:v>3.6476000000000002</c:v>
                </c:pt>
                <c:pt idx="4782">
                  <c:v>3.653</c:v>
                </c:pt>
                <c:pt idx="4783">
                  <c:v>3.6556000000000002</c:v>
                </c:pt>
                <c:pt idx="4784">
                  <c:v>3.649</c:v>
                </c:pt>
                <c:pt idx="4785">
                  <c:v>3.649</c:v>
                </c:pt>
                <c:pt idx="4786">
                  <c:v>3.6364000000000001</c:v>
                </c:pt>
                <c:pt idx="4787">
                  <c:v>3.6356999999999999</c:v>
                </c:pt>
                <c:pt idx="4788">
                  <c:v>3.6396999999999999</c:v>
                </c:pt>
                <c:pt idx="4789">
                  <c:v>3.6316999999999999</c:v>
                </c:pt>
                <c:pt idx="4790">
                  <c:v>3.6343999999999999</c:v>
                </c:pt>
                <c:pt idx="4791">
                  <c:v>3.6383000000000001</c:v>
                </c:pt>
                <c:pt idx="4792">
                  <c:v>3.6543000000000001</c:v>
                </c:pt>
                <c:pt idx="4793">
                  <c:v>3.6356999999999999</c:v>
                </c:pt>
                <c:pt idx="4794">
                  <c:v>3.6331000000000002</c:v>
                </c:pt>
                <c:pt idx="4795">
                  <c:v>3.6303999999999998</c:v>
                </c:pt>
                <c:pt idx="4796">
                  <c:v>3.6442999999999999</c:v>
                </c:pt>
                <c:pt idx="4797">
                  <c:v>3.6436999999999999</c:v>
                </c:pt>
                <c:pt idx="4798">
                  <c:v>3.653</c:v>
                </c:pt>
                <c:pt idx="4799">
                  <c:v>3.6623000000000001</c:v>
                </c:pt>
                <c:pt idx="4800">
                  <c:v>3.6677</c:v>
                </c:pt>
                <c:pt idx="4801">
                  <c:v>3.6623000000000001</c:v>
                </c:pt>
                <c:pt idx="4802">
                  <c:v>3.6663999999999999</c:v>
                </c:pt>
                <c:pt idx="4803">
                  <c:v>3.6703999999999999</c:v>
                </c:pt>
                <c:pt idx="4804">
                  <c:v>3.6758000000000002</c:v>
                </c:pt>
                <c:pt idx="4805">
                  <c:v>3.6798999999999999</c:v>
                </c:pt>
                <c:pt idx="4806">
                  <c:v>3.6798999999999999</c:v>
                </c:pt>
                <c:pt idx="4807">
                  <c:v>3.6758000000000002</c:v>
                </c:pt>
                <c:pt idx="4808">
                  <c:v>3.6770999999999998</c:v>
                </c:pt>
                <c:pt idx="4809">
                  <c:v>3.6778</c:v>
                </c:pt>
                <c:pt idx="4810">
                  <c:v>3.6831999999999998</c:v>
                </c:pt>
                <c:pt idx="4811">
                  <c:v>3.6894</c:v>
                </c:pt>
                <c:pt idx="4812">
                  <c:v>3.6663999999999999</c:v>
                </c:pt>
                <c:pt idx="4813">
                  <c:v>3.6583000000000001</c:v>
                </c:pt>
                <c:pt idx="4814">
                  <c:v>3.6717</c:v>
                </c:pt>
                <c:pt idx="4815">
                  <c:v>3.6758000000000002</c:v>
                </c:pt>
                <c:pt idx="4816">
                  <c:v>3.6974999999999998</c:v>
                </c:pt>
                <c:pt idx="4817">
                  <c:v>3.6989000000000001</c:v>
                </c:pt>
                <c:pt idx="4818">
                  <c:v>3.6880000000000002</c:v>
                </c:pt>
                <c:pt idx="4819">
                  <c:v>3.6947999999999999</c:v>
                </c:pt>
                <c:pt idx="4820">
                  <c:v>3.6852999999999998</c:v>
                </c:pt>
                <c:pt idx="4821">
                  <c:v>3.6785000000000001</c:v>
                </c:pt>
                <c:pt idx="4822">
                  <c:v>3.6556000000000002</c:v>
                </c:pt>
                <c:pt idx="4823">
                  <c:v>3.6496</c:v>
                </c:pt>
                <c:pt idx="4824">
                  <c:v>3.6543000000000001</c:v>
                </c:pt>
                <c:pt idx="4825">
                  <c:v>3.6556000000000002</c:v>
                </c:pt>
                <c:pt idx="4826">
                  <c:v>3.6396999999999999</c:v>
                </c:pt>
                <c:pt idx="4827">
                  <c:v>3.6343999999999999</c:v>
                </c:pt>
                <c:pt idx="4828">
                  <c:v>3.6303999999999998</c:v>
                </c:pt>
                <c:pt idx="4829">
                  <c:v>3.6265000000000001</c:v>
                </c:pt>
                <c:pt idx="4830">
                  <c:v>3.6278000000000001</c:v>
                </c:pt>
                <c:pt idx="4831">
                  <c:v>3.637</c:v>
                </c:pt>
                <c:pt idx="4832">
                  <c:v>3.6265000000000001</c:v>
                </c:pt>
                <c:pt idx="4833">
                  <c:v>3.6265000000000001</c:v>
                </c:pt>
                <c:pt idx="4834">
                  <c:v>3.6193</c:v>
                </c:pt>
                <c:pt idx="4835">
                  <c:v>3.6219000000000001</c:v>
                </c:pt>
                <c:pt idx="4836">
                  <c:v>3.6139999999999999</c:v>
                </c:pt>
                <c:pt idx="4837">
                  <c:v>3.6042999999999998</c:v>
                </c:pt>
                <c:pt idx="4838">
                  <c:v>3.6160000000000001</c:v>
                </c:pt>
                <c:pt idx="4839">
                  <c:v>3.6023000000000001</c:v>
                </c:pt>
                <c:pt idx="4840">
                  <c:v>3.5823</c:v>
                </c:pt>
                <c:pt idx="4841">
                  <c:v>3.5931999999999999</c:v>
                </c:pt>
                <c:pt idx="4842">
                  <c:v>3.6133999999999999</c:v>
                </c:pt>
                <c:pt idx="4843">
                  <c:v>3.6042999999999998</c:v>
                </c:pt>
                <c:pt idx="4844">
                  <c:v>3.6004</c:v>
                </c:pt>
                <c:pt idx="4845">
                  <c:v>3.5964999999999998</c:v>
                </c:pt>
                <c:pt idx="4846">
                  <c:v>3.5939000000000001</c:v>
                </c:pt>
                <c:pt idx="4847">
                  <c:v>3.5886999999999998</c:v>
                </c:pt>
                <c:pt idx="4848">
                  <c:v>3.5886999999999998</c:v>
                </c:pt>
                <c:pt idx="4849">
                  <c:v>3.5874000000000001</c:v>
                </c:pt>
                <c:pt idx="4850">
                  <c:v>3.5849000000000002</c:v>
                </c:pt>
                <c:pt idx="4851">
                  <c:v>3.5939000000000001</c:v>
                </c:pt>
                <c:pt idx="4852">
                  <c:v>3.5886999999999998</c:v>
                </c:pt>
                <c:pt idx="4853">
                  <c:v>3.5893999999999999</c:v>
                </c:pt>
                <c:pt idx="4854">
                  <c:v>3.6004</c:v>
                </c:pt>
                <c:pt idx="4855">
                  <c:v>3.6030000000000002</c:v>
                </c:pt>
                <c:pt idx="4856">
                  <c:v>3.6120999999999999</c:v>
                </c:pt>
                <c:pt idx="4857">
                  <c:v>3.5991</c:v>
                </c:pt>
                <c:pt idx="4858">
                  <c:v>3.6252</c:v>
                </c:pt>
                <c:pt idx="4859">
                  <c:v>3.6225000000000001</c:v>
                </c:pt>
                <c:pt idx="4860">
                  <c:v>3.5829</c:v>
                </c:pt>
                <c:pt idx="4861">
                  <c:v>3.5720999999999998</c:v>
                </c:pt>
                <c:pt idx="4862">
                  <c:v>3.6291000000000002</c:v>
                </c:pt>
                <c:pt idx="4863">
                  <c:v>3.6252</c:v>
                </c:pt>
                <c:pt idx="4864">
                  <c:v>3.6311</c:v>
                </c:pt>
                <c:pt idx="4865">
                  <c:v>3.6303999999999998</c:v>
                </c:pt>
                <c:pt idx="4866">
                  <c:v>3.6173000000000002</c:v>
                </c:pt>
                <c:pt idx="4867">
                  <c:v>3.5708000000000002</c:v>
                </c:pt>
                <c:pt idx="4868">
                  <c:v>3.5644</c:v>
                </c:pt>
                <c:pt idx="4869">
                  <c:v>3.5379</c:v>
                </c:pt>
                <c:pt idx="4870">
                  <c:v>3.59</c:v>
                </c:pt>
                <c:pt idx="4871">
                  <c:v>3.6030000000000002</c:v>
                </c:pt>
                <c:pt idx="4872">
                  <c:v>3.5964999999999998</c:v>
                </c:pt>
                <c:pt idx="4873">
                  <c:v>3.6055999999999999</c:v>
                </c:pt>
                <c:pt idx="4874">
                  <c:v>3.6088</c:v>
                </c:pt>
                <c:pt idx="4875">
                  <c:v>3.6160000000000001</c:v>
                </c:pt>
                <c:pt idx="4876">
                  <c:v>3.6107999999999998</c:v>
                </c:pt>
                <c:pt idx="4877">
                  <c:v>3.5771999999999999</c:v>
                </c:pt>
                <c:pt idx="4878">
                  <c:v>3.5455000000000001</c:v>
                </c:pt>
                <c:pt idx="4879">
                  <c:v>3.5354000000000001</c:v>
                </c:pt>
                <c:pt idx="4880">
                  <c:v>3.5354000000000001</c:v>
                </c:pt>
                <c:pt idx="4881">
                  <c:v>3.5467</c:v>
                </c:pt>
                <c:pt idx="4882">
                  <c:v>3.5417000000000001</c:v>
                </c:pt>
                <c:pt idx="4883">
                  <c:v>3.5442</c:v>
                </c:pt>
                <c:pt idx="4884">
                  <c:v>3.5442</c:v>
                </c:pt>
                <c:pt idx="4885">
                  <c:v>3.5491999999999999</c:v>
                </c:pt>
                <c:pt idx="4886">
                  <c:v>3.5518000000000001</c:v>
                </c:pt>
                <c:pt idx="4887">
                  <c:v>3.5491999999999999</c:v>
                </c:pt>
                <c:pt idx="4888">
                  <c:v>3.5474000000000001</c:v>
                </c:pt>
                <c:pt idx="4889">
                  <c:v>3.5499000000000001</c:v>
                </c:pt>
                <c:pt idx="4890">
                  <c:v>3.5474000000000001</c:v>
                </c:pt>
                <c:pt idx="4891">
                  <c:v>3.5430000000000001</c:v>
                </c:pt>
                <c:pt idx="4892">
                  <c:v>3.5404</c:v>
                </c:pt>
                <c:pt idx="4893">
                  <c:v>3.5255000000000001</c:v>
                </c:pt>
                <c:pt idx="4894">
                  <c:v>3.5354000000000001</c:v>
                </c:pt>
                <c:pt idx="4895">
                  <c:v>3.5354000000000001</c:v>
                </c:pt>
                <c:pt idx="4896">
                  <c:v>3.5367000000000002</c:v>
                </c:pt>
                <c:pt idx="4897">
                  <c:v>3.5323000000000002</c:v>
                </c:pt>
                <c:pt idx="4898">
                  <c:v>3.5354000000000001</c:v>
                </c:pt>
                <c:pt idx="4899">
                  <c:v>3.5367000000000002</c:v>
                </c:pt>
                <c:pt idx="4900">
                  <c:v>3.528</c:v>
                </c:pt>
                <c:pt idx="4901">
                  <c:v>3.5379</c:v>
                </c:pt>
                <c:pt idx="4902">
                  <c:v>3.5379</c:v>
                </c:pt>
                <c:pt idx="4903">
                  <c:v>3.5367000000000002</c:v>
                </c:pt>
                <c:pt idx="4904">
                  <c:v>3.5354000000000001</c:v>
                </c:pt>
                <c:pt idx="4905">
                  <c:v>3.5236000000000001</c:v>
                </c:pt>
                <c:pt idx="4906">
                  <c:v>3.5255000000000001</c:v>
                </c:pt>
                <c:pt idx="4907">
                  <c:v>3.5272999999999999</c:v>
                </c:pt>
                <c:pt idx="4908">
                  <c:v>3.5367000000000002</c:v>
                </c:pt>
                <c:pt idx="4909">
                  <c:v>3.5632000000000001</c:v>
                </c:pt>
                <c:pt idx="4910">
                  <c:v>3.5543</c:v>
                </c:pt>
                <c:pt idx="4911">
                  <c:v>3.5537000000000001</c:v>
                </c:pt>
                <c:pt idx="4912">
                  <c:v>3.5529999999999999</c:v>
                </c:pt>
                <c:pt idx="4913">
                  <c:v>3.5486</c:v>
                </c:pt>
                <c:pt idx="4914">
                  <c:v>3.5442</c:v>
                </c:pt>
                <c:pt idx="4915">
                  <c:v>3.5505</c:v>
                </c:pt>
                <c:pt idx="4916">
                  <c:v>3.5613000000000001</c:v>
                </c:pt>
                <c:pt idx="4917">
                  <c:v>3.5670000000000002</c:v>
                </c:pt>
                <c:pt idx="4918">
                  <c:v>3.5644</c:v>
                </c:pt>
                <c:pt idx="4919">
                  <c:v>3.5594000000000001</c:v>
                </c:pt>
                <c:pt idx="4920">
                  <c:v>3.5524</c:v>
                </c:pt>
                <c:pt idx="4921">
                  <c:v>3.5543</c:v>
                </c:pt>
                <c:pt idx="4922">
                  <c:v>3.5657000000000001</c:v>
                </c:pt>
                <c:pt idx="4923">
                  <c:v>3.5670000000000002</c:v>
                </c:pt>
                <c:pt idx="4924">
                  <c:v>3.5657000000000001</c:v>
                </c:pt>
                <c:pt idx="4925">
                  <c:v>3.5632000000000001</c:v>
                </c:pt>
                <c:pt idx="4926">
                  <c:v>3.5638000000000001</c:v>
                </c:pt>
                <c:pt idx="4927">
                  <c:v>3.5644</c:v>
                </c:pt>
                <c:pt idx="4928">
                  <c:v>3.5556000000000001</c:v>
                </c:pt>
                <c:pt idx="4929">
                  <c:v>3.5543</c:v>
                </c:pt>
                <c:pt idx="4930">
                  <c:v>3.5644</c:v>
                </c:pt>
                <c:pt idx="4931">
                  <c:v>3.5670000000000002</c:v>
                </c:pt>
                <c:pt idx="4932">
                  <c:v>3.5657000000000001</c:v>
                </c:pt>
                <c:pt idx="4933">
                  <c:v>3.5518000000000001</c:v>
                </c:pt>
                <c:pt idx="4934">
                  <c:v>3.5543</c:v>
                </c:pt>
                <c:pt idx="4935">
                  <c:v>3.5430000000000001</c:v>
                </c:pt>
                <c:pt idx="4936">
                  <c:v>3.5455000000000001</c:v>
                </c:pt>
                <c:pt idx="4937">
                  <c:v>3.5367000000000002</c:v>
                </c:pt>
                <c:pt idx="4938">
                  <c:v>3.5367000000000002</c:v>
                </c:pt>
                <c:pt idx="4939">
                  <c:v>3.5392000000000001</c:v>
                </c:pt>
                <c:pt idx="4940">
                  <c:v>3.5354000000000001</c:v>
                </c:pt>
                <c:pt idx="4941">
                  <c:v>3.5430000000000001</c:v>
                </c:pt>
                <c:pt idx="4942">
                  <c:v>3.5367000000000002</c:v>
                </c:pt>
                <c:pt idx="4943">
                  <c:v>3.5255000000000001</c:v>
                </c:pt>
                <c:pt idx="4944">
                  <c:v>3.5272999999999999</c:v>
                </c:pt>
                <c:pt idx="4945">
                  <c:v>3.5192999999999999</c:v>
                </c:pt>
                <c:pt idx="4946">
                  <c:v>3.5316999999999998</c:v>
                </c:pt>
                <c:pt idx="4947">
                  <c:v>3.5192999999999999</c:v>
                </c:pt>
                <c:pt idx="4948">
                  <c:v>3.5186000000000002</c:v>
                </c:pt>
                <c:pt idx="4949">
                  <c:v>3.5007999999999999</c:v>
                </c:pt>
                <c:pt idx="4950">
                  <c:v>3.5019999999999998</c:v>
                </c:pt>
                <c:pt idx="4951">
                  <c:v>3.5106000000000002</c:v>
                </c:pt>
                <c:pt idx="4952">
                  <c:v>3.5125000000000002</c:v>
                </c:pt>
                <c:pt idx="4953">
                  <c:v>3.5057</c:v>
                </c:pt>
                <c:pt idx="4954">
                  <c:v>3.4941</c:v>
                </c:pt>
                <c:pt idx="4955">
                  <c:v>3.4952999999999999</c:v>
                </c:pt>
                <c:pt idx="4956">
                  <c:v>3.5051000000000001</c:v>
                </c:pt>
                <c:pt idx="4957">
                  <c:v>3.5019999999999998</c:v>
                </c:pt>
                <c:pt idx="4958">
                  <c:v>3.4983</c:v>
                </c:pt>
                <c:pt idx="4959">
                  <c:v>3.4977</c:v>
                </c:pt>
                <c:pt idx="4960">
                  <c:v>3.4946999999999999</c:v>
                </c:pt>
                <c:pt idx="4961">
                  <c:v>3.5063</c:v>
                </c:pt>
                <c:pt idx="4962">
                  <c:v>3.5179999999999998</c:v>
                </c:pt>
                <c:pt idx="4963">
                  <c:v>3.5217000000000001</c:v>
                </c:pt>
                <c:pt idx="4964">
                  <c:v>3.5131000000000001</c:v>
                </c:pt>
                <c:pt idx="4965">
                  <c:v>3.528</c:v>
                </c:pt>
                <c:pt idx="4966">
                  <c:v>3.5543</c:v>
                </c:pt>
                <c:pt idx="4967">
                  <c:v>3.5708000000000002</c:v>
                </c:pt>
                <c:pt idx="4968">
                  <c:v>3.5746000000000002</c:v>
                </c:pt>
                <c:pt idx="4969">
                  <c:v>3.5714000000000001</c:v>
                </c:pt>
                <c:pt idx="4970">
                  <c:v>3.5676000000000001</c:v>
                </c:pt>
                <c:pt idx="4971">
                  <c:v>3.5720999999999998</c:v>
                </c:pt>
                <c:pt idx="4972">
                  <c:v>3.5644</c:v>
                </c:pt>
                <c:pt idx="4973">
                  <c:v>3.5720999999999998</c:v>
                </c:pt>
                <c:pt idx="4974">
                  <c:v>3.5682</c:v>
                </c:pt>
                <c:pt idx="4975">
                  <c:v>3.5785</c:v>
                </c:pt>
                <c:pt idx="4976">
                  <c:v>3.5733000000000001</c:v>
                </c:pt>
                <c:pt idx="4977">
                  <c:v>3.5644</c:v>
                </c:pt>
                <c:pt idx="4978">
                  <c:v>3.5518000000000001</c:v>
                </c:pt>
                <c:pt idx="4979">
                  <c:v>3.5491999999999999</c:v>
                </c:pt>
                <c:pt idx="4980">
                  <c:v>3.5392000000000001</c:v>
                </c:pt>
                <c:pt idx="4981">
                  <c:v>3.5341999999999998</c:v>
                </c:pt>
                <c:pt idx="4982">
                  <c:v>3.5430000000000001</c:v>
                </c:pt>
                <c:pt idx="4983">
                  <c:v>3.5430000000000001</c:v>
                </c:pt>
                <c:pt idx="4984">
                  <c:v>3.5442</c:v>
                </c:pt>
                <c:pt idx="4985">
                  <c:v>3.5491999999999999</c:v>
                </c:pt>
                <c:pt idx="4986">
                  <c:v>3.5568</c:v>
                </c:pt>
                <c:pt idx="4987">
                  <c:v>3.5537000000000001</c:v>
                </c:pt>
                <c:pt idx="4988">
                  <c:v>3.5491999999999999</c:v>
                </c:pt>
                <c:pt idx="4989">
                  <c:v>3.5518000000000001</c:v>
                </c:pt>
                <c:pt idx="4990">
                  <c:v>3.5467</c:v>
                </c:pt>
                <c:pt idx="4991">
                  <c:v>3.5581</c:v>
                </c:pt>
                <c:pt idx="4992">
                  <c:v>3.5632000000000001</c:v>
                </c:pt>
                <c:pt idx="4993">
                  <c:v>3.5657000000000001</c:v>
                </c:pt>
                <c:pt idx="4994">
                  <c:v>3.5638000000000001</c:v>
                </c:pt>
                <c:pt idx="4995">
                  <c:v>3.5714000000000001</c:v>
                </c:pt>
                <c:pt idx="4996">
                  <c:v>3.5836000000000001</c:v>
                </c:pt>
                <c:pt idx="4997">
                  <c:v>3.5874000000000001</c:v>
                </c:pt>
                <c:pt idx="4998">
                  <c:v>3.5861999999999998</c:v>
                </c:pt>
                <c:pt idx="4999">
                  <c:v>3.5836000000000001</c:v>
                </c:pt>
                <c:pt idx="5000">
                  <c:v>3.5886999999999998</c:v>
                </c:pt>
                <c:pt idx="5001">
                  <c:v>3.5785</c:v>
                </c:pt>
                <c:pt idx="5002">
                  <c:v>3.5796999999999999</c:v>
                </c:pt>
                <c:pt idx="5003">
                  <c:v>3.5796999999999999</c:v>
                </c:pt>
                <c:pt idx="5004">
                  <c:v>3.5771999999999999</c:v>
                </c:pt>
                <c:pt idx="5005">
                  <c:v>3.5746000000000002</c:v>
                </c:pt>
                <c:pt idx="5006">
                  <c:v>3.5720999999999998</c:v>
                </c:pt>
                <c:pt idx="5007">
                  <c:v>3.5771999999999999</c:v>
                </c:pt>
                <c:pt idx="5008">
                  <c:v>3.5849000000000002</c:v>
                </c:pt>
                <c:pt idx="5009">
                  <c:v>3.5823</c:v>
                </c:pt>
                <c:pt idx="5010">
                  <c:v>3.5855000000000001</c:v>
                </c:pt>
                <c:pt idx="5011">
                  <c:v>3.5874000000000001</c:v>
                </c:pt>
                <c:pt idx="5012">
                  <c:v>3.6160000000000001</c:v>
                </c:pt>
                <c:pt idx="5013">
                  <c:v>3.6095000000000002</c:v>
                </c:pt>
                <c:pt idx="5014">
                  <c:v>3.6095000000000002</c:v>
                </c:pt>
                <c:pt idx="5015">
                  <c:v>3.6120999999999999</c:v>
                </c:pt>
                <c:pt idx="5016">
                  <c:v>3.6284000000000001</c:v>
                </c:pt>
                <c:pt idx="5017">
                  <c:v>3.6153</c:v>
                </c:pt>
                <c:pt idx="5018">
                  <c:v>3.6503000000000001</c:v>
                </c:pt>
                <c:pt idx="5019">
                  <c:v>3.6556000000000002</c:v>
                </c:pt>
                <c:pt idx="5020">
                  <c:v>3.6556000000000002</c:v>
                </c:pt>
                <c:pt idx="5021">
                  <c:v>3.6703999999999999</c:v>
                </c:pt>
                <c:pt idx="5022">
                  <c:v>3.6669999999999998</c:v>
                </c:pt>
                <c:pt idx="5023">
                  <c:v>3.6758000000000002</c:v>
                </c:pt>
                <c:pt idx="5024">
                  <c:v>3.6974999999999998</c:v>
                </c:pt>
                <c:pt idx="5025">
                  <c:v>3.6928000000000001</c:v>
                </c:pt>
                <c:pt idx="5026">
                  <c:v>3.6907000000000001</c:v>
                </c:pt>
                <c:pt idx="5027">
                  <c:v>3.6743999999999999</c:v>
                </c:pt>
                <c:pt idx="5028">
                  <c:v>3.6785000000000001</c:v>
                </c:pt>
                <c:pt idx="5029">
                  <c:v>3.665</c:v>
                </c:pt>
                <c:pt idx="5030">
                  <c:v>3.6556000000000002</c:v>
                </c:pt>
                <c:pt idx="5031">
                  <c:v>3.6637</c:v>
                </c:pt>
                <c:pt idx="5032">
                  <c:v>3.6576</c:v>
                </c:pt>
                <c:pt idx="5033">
                  <c:v>3.6543000000000001</c:v>
                </c:pt>
                <c:pt idx="5034">
                  <c:v>3.649</c:v>
                </c:pt>
                <c:pt idx="5035">
                  <c:v>3.6663999999999999</c:v>
                </c:pt>
                <c:pt idx="5036">
                  <c:v>3.6770999999999998</c:v>
                </c:pt>
                <c:pt idx="5037">
                  <c:v>3.6663999999999999</c:v>
                </c:pt>
                <c:pt idx="5038">
                  <c:v>3.6684000000000001</c:v>
                </c:pt>
                <c:pt idx="5039">
                  <c:v>3.6516000000000002</c:v>
                </c:pt>
                <c:pt idx="5040">
                  <c:v>3.6556000000000002</c:v>
                </c:pt>
                <c:pt idx="5041">
                  <c:v>3.6556000000000002</c:v>
                </c:pt>
                <c:pt idx="5042">
                  <c:v>3.6516000000000002</c:v>
                </c:pt>
                <c:pt idx="5043">
                  <c:v>3.6343999999999999</c:v>
                </c:pt>
                <c:pt idx="5044">
                  <c:v>3.6271</c:v>
                </c:pt>
                <c:pt idx="5045">
                  <c:v>3.6133999999999999</c:v>
                </c:pt>
                <c:pt idx="5046">
                  <c:v>3.5977999999999999</c:v>
                </c:pt>
                <c:pt idx="5047">
                  <c:v>3.6147</c:v>
                </c:pt>
                <c:pt idx="5048">
                  <c:v>3.641</c:v>
                </c:pt>
                <c:pt idx="5049">
                  <c:v>3.6556000000000002</c:v>
                </c:pt>
                <c:pt idx="5050">
                  <c:v>3.641</c:v>
                </c:pt>
                <c:pt idx="5051">
                  <c:v>3.6509999999999998</c:v>
                </c:pt>
                <c:pt idx="5052">
                  <c:v>3.6173000000000002</c:v>
                </c:pt>
                <c:pt idx="5053">
                  <c:v>3.6198999999999999</c:v>
                </c:pt>
                <c:pt idx="5054">
                  <c:v>3.6095000000000002</c:v>
                </c:pt>
                <c:pt idx="5055">
                  <c:v>3.6198999999999999</c:v>
                </c:pt>
                <c:pt idx="5056">
                  <c:v>3.6160000000000001</c:v>
                </c:pt>
                <c:pt idx="5057">
                  <c:v>3.6185999999999998</c:v>
                </c:pt>
                <c:pt idx="5058">
                  <c:v>3.6147</c:v>
                </c:pt>
                <c:pt idx="5059">
                  <c:v>3.6147</c:v>
                </c:pt>
                <c:pt idx="5060">
                  <c:v>3.6185999999999998</c:v>
                </c:pt>
                <c:pt idx="5061">
                  <c:v>3.6225000000000001</c:v>
                </c:pt>
                <c:pt idx="5062">
                  <c:v>3.6303999999999998</c:v>
                </c:pt>
                <c:pt idx="5063">
                  <c:v>3.6278000000000001</c:v>
                </c:pt>
                <c:pt idx="5064">
                  <c:v>3.6173000000000002</c:v>
                </c:pt>
                <c:pt idx="5065">
                  <c:v>3.6583000000000001</c:v>
                </c:pt>
                <c:pt idx="5066">
                  <c:v>3.6503000000000001</c:v>
                </c:pt>
                <c:pt idx="5067">
                  <c:v>3.6703999999999999</c:v>
                </c:pt>
                <c:pt idx="5068">
                  <c:v>3.6583000000000001</c:v>
                </c:pt>
                <c:pt idx="5069">
                  <c:v>3.6730999999999998</c:v>
                </c:pt>
                <c:pt idx="5070">
                  <c:v>3.6730999999999998</c:v>
                </c:pt>
                <c:pt idx="5071">
                  <c:v>3.6684000000000001</c:v>
                </c:pt>
                <c:pt idx="5072">
                  <c:v>3.6597</c:v>
                </c:pt>
                <c:pt idx="5073">
                  <c:v>3.6543000000000001</c:v>
                </c:pt>
                <c:pt idx="5074">
                  <c:v>3.661</c:v>
                </c:pt>
                <c:pt idx="5075">
                  <c:v>3.6456</c:v>
                </c:pt>
                <c:pt idx="5076">
                  <c:v>3.641</c:v>
                </c:pt>
                <c:pt idx="5077">
                  <c:v>3.5796999999999999</c:v>
                </c:pt>
                <c:pt idx="5078">
                  <c:v>3.5746000000000002</c:v>
                </c:pt>
                <c:pt idx="5079">
                  <c:v>3.6133999999999999</c:v>
                </c:pt>
                <c:pt idx="5080">
                  <c:v>3.5581</c:v>
                </c:pt>
                <c:pt idx="5081">
                  <c:v>3.528</c:v>
                </c:pt>
                <c:pt idx="5082">
                  <c:v>3.5106000000000002</c:v>
                </c:pt>
                <c:pt idx="5083">
                  <c:v>3.5297999999999998</c:v>
                </c:pt>
                <c:pt idx="5084">
                  <c:v>3.5886999999999998</c:v>
                </c:pt>
                <c:pt idx="5085">
                  <c:v>3.6095000000000002</c:v>
                </c:pt>
                <c:pt idx="5086">
                  <c:v>3.6030000000000002</c:v>
                </c:pt>
                <c:pt idx="5087">
                  <c:v>3.5939000000000001</c:v>
                </c:pt>
                <c:pt idx="5088">
                  <c:v>3.5411000000000001</c:v>
                </c:pt>
                <c:pt idx="5089">
                  <c:v>3.6291000000000002</c:v>
                </c:pt>
                <c:pt idx="5090">
                  <c:v>3.6423000000000001</c:v>
                </c:pt>
                <c:pt idx="5091">
                  <c:v>3.6198999999999999</c:v>
                </c:pt>
                <c:pt idx="5092">
                  <c:v>3.6198999999999999</c:v>
                </c:pt>
                <c:pt idx="5093">
                  <c:v>3.5964999999999998</c:v>
                </c:pt>
                <c:pt idx="5094">
                  <c:v>3.6004</c:v>
                </c:pt>
                <c:pt idx="5095">
                  <c:v>3.5886999999999998</c:v>
                </c:pt>
                <c:pt idx="5096">
                  <c:v>3.5461</c:v>
                </c:pt>
                <c:pt idx="5097">
                  <c:v>3.5467</c:v>
                </c:pt>
                <c:pt idx="5098">
                  <c:v>3.5131000000000001</c:v>
                </c:pt>
                <c:pt idx="5099">
                  <c:v>3.4716</c:v>
                </c:pt>
                <c:pt idx="5100">
                  <c:v>3.4590000000000001</c:v>
                </c:pt>
                <c:pt idx="5101">
                  <c:v>3.4483000000000001</c:v>
                </c:pt>
                <c:pt idx="5102">
                  <c:v>3.4358</c:v>
                </c:pt>
                <c:pt idx="5103">
                  <c:v>3.4323000000000001</c:v>
                </c:pt>
                <c:pt idx="5104">
                  <c:v>3.4411999999999998</c:v>
                </c:pt>
                <c:pt idx="5105">
                  <c:v>3.4464999999999999</c:v>
                </c:pt>
                <c:pt idx="5106">
                  <c:v>3.4417</c:v>
                </c:pt>
                <c:pt idx="5107">
                  <c:v>3.4512999999999998</c:v>
                </c:pt>
                <c:pt idx="5108">
                  <c:v>3.4417</c:v>
                </c:pt>
                <c:pt idx="5109">
                  <c:v>3.4411999999999998</c:v>
                </c:pt>
                <c:pt idx="5110">
                  <c:v>3.4523999999999999</c:v>
                </c:pt>
                <c:pt idx="5111">
                  <c:v>3.4489000000000001</c:v>
                </c:pt>
                <c:pt idx="5112">
                  <c:v>3.4434999999999998</c:v>
                </c:pt>
                <c:pt idx="5113">
                  <c:v>3.4211</c:v>
                </c:pt>
                <c:pt idx="5114">
                  <c:v>3.4447000000000001</c:v>
                </c:pt>
                <c:pt idx="5115">
                  <c:v>3.4752000000000001</c:v>
                </c:pt>
                <c:pt idx="5116">
                  <c:v>3.4885999999999999</c:v>
                </c:pt>
                <c:pt idx="5117">
                  <c:v>3.4874000000000001</c:v>
                </c:pt>
                <c:pt idx="5118">
                  <c:v>3.4704000000000002</c:v>
                </c:pt>
                <c:pt idx="5119">
                  <c:v>3.4649999999999999</c:v>
                </c:pt>
                <c:pt idx="5120">
                  <c:v>3.4655999999999998</c:v>
                </c:pt>
                <c:pt idx="5121">
                  <c:v>3.4584000000000001</c:v>
                </c:pt>
                <c:pt idx="5122">
                  <c:v>3.4716</c:v>
                </c:pt>
                <c:pt idx="5123">
                  <c:v>3.4782999999999999</c:v>
                </c:pt>
                <c:pt idx="5124">
                  <c:v>3.5529999999999999</c:v>
                </c:pt>
                <c:pt idx="5125">
                  <c:v>3.4861</c:v>
                </c:pt>
                <c:pt idx="5126">
                  <c:v>3.4685999999999999</c:v>
                </c:pt>
                <c:pt idx="5127">
                  <c:v>3.4584000000000001</c:v>
                </c:pt>
                <c:pt idx="5128">
                  <c:v>3.4518</c:v>
                </c:pt>
                <c:pt idx="5129">
                  <c:v>3.4500999999999999</c:v>
                </c:pt>
                <c:pt idx="5130">
                  <c:v>3.4477000000000002</c:v>
                </c:pt>
                <c:pt idx="5131">
                  <c:v>3.4340999999999999</c:v>
                </c:pt>
                <c:pt idx="5132">
                  <c:v>3.4464999999999999</c:v>
                </c:pt>
                <c:pt idx="5133">
                  <c:v>3.4489000000000001</c:v>
                </c:pt>
                <c:pt idx="5134">
                  <c:v>3.4453</c:v>
                </c:pt>
                <c:pt idx="5135">
                  <c:v>3.4369999999999998</c:v>
                </c:pt>
                <c:pt idx="5136">
                  <c:v>3.4323000000000001</c:v>
                </c:pt>
                <c:pt idx="5137">
                  <c:v>3.4358</c:v>
                </c:pt>
                <c:pt idx="5138">
                  <c:v>3.4222999999999999</c:v>
                </c:pt>
                <c:pt idx="5139">
                  <c:v>3.4159000000000002</c:v>
                </c:pt>
                <c:pt idx="5140">
                  <c:v>3.4123999999999999</c:v>
                </c:pt>
                <c:pt idx="5141">
                  <c:v>3.4159000000000002</c:v>
                </c:pt>
                <c:pt idx="5142">
                  <c:v>3.4228999999999998</c:v>
                </c:pt>
                <c:pt idx="5143">
                  <c:v>3.4152999999999998</c:v>
                </c:pt>
                <c:pt idx="5144">
                  <c:v>3.42</c:v>
                </c:pt>
                <c:pt idx="5145">
                  <c:v>3.4188000000000001</c:v>
                </c:pt>
                <c:pt idx="5146">
                  <c:v>3.4222999999999999</c:v>
                </c:pt>
                <c:pt idx="5147">
                  <c:v>3.4205999999999999</c:v>
                </c:pt>
                <c:pt idx="5148">
                  <c:v>3.4089</c:v>
                </c:pt>
                <c:pt idx="5149">
                  <c:v>3.4140999999999999</c:v>
                </c:pt>
                <c:pt idx="5150">
                  <c:v>3.4100999999999999</c:v>
                </c:pt>
                <c:pt idx="5151">
                  <c:v>3.4146999999999998</c:v>
                </c:pt>
                <c:pt idx="5152">
                  <c:v>3.4136000000000002</c:v>
                </c:pt>
                <c:pt idx="5153">
                  <c:v>3.4089</c:v>
                </c:pt>
                <c:pt idx="5154">
                  <c:v>3.3984999999999999</c:v>
                </c:pt>
                <c:pt idx="5155">
                  <c:v>3.4014000000000002</c:v>
                </c:pt>
                <c:pt idx="5156">
                  <c:v>3.4007999999999998</c:v>
                </c:pt>
                <c:pt idx="5157">
                  <c:v>3.3967000000000001</c:v>
                </c:pt>
                <c:pt idx="5158">
                  <c:v>3.4014000000000002</c:v>
                </c:pt>
                <c:pt idx="5159">
                  <c:v>3.4014000000000002</c:v>
                </c:pt>
                <c:pt idx="5160">
                  <c:v>3.4030999999999998</c:v>
                </c:pt>
                <c:pt idx="5161">
                  <c:v>3.4043000000000001</c:v>
                </c:pt>
                <c:pt idx="5162">
                  <c:v>3.3984999999999999</c:v>
                </c:pt>
                <c:pt idx="5163">
                  <c:v>3.3984999999999999</c:v>
                </c:pt>
                <c:pt idx="5164">
                  <c:v>3.3996</c:v>
                </c:pt>
                <c:pt idx="5165">
                  <c:v>3.3772000000000002</c:v>
                </c:pt>
                <c:pt idx="5166">
                  <c:v>3.3755000000000002</c:v>
                </c:pt>
                <c:pt idx="5167">
                  <c:v>3.3733</c:v>
                </c:pt>
                <c:pt idx="5168">
                  <c:v>3.3767</c:v>
                </c:pt>
                <c:pt idx="5169">
                  <c:v>3.3788999999999998</c:v>
                </c:pt>
                <c:pt idx="5170">
                  <c:v>3.3835000000000002</c:v>
                </c:pt>
                <c:pt idx="5171">
                  <c:v>3.3852000000000002</c:v>
                </c:pt>
                <c:pt idx="5172">
                  <c:v>3.3852000000000002</c:v>
                </c:pt>
                <c:pt idx="5173">
                  <c:v>3.3824000000000001</c:v>
                </c:pt>
                <c:pt idx="5174">
                  <c:v>3.3778000000000001</c:v>
                </c:pt>
                <c:pt idx="5175">
                  <c:v>3.3687</c:v>
                </c:pt>
                <c:pt idx="5176">
                  <c:v>3.3580000000000001</c:v>
                </c:pt>
                <c:pt idx="5177">
                  <c:v>3.363</c:v>
                </c:pt>
                <c:pt idx="5178">
                  <c:v>3.3664000000000001</c:v>
                </c:pt>
                <c:pt idx="5179">
                  <c:v>3.3658999999999999</c:v>
                </c:pt>
                <c:pt idx="5180">
                  <c:v>3.3574000000000002</c:v>
                </c:pt>
                <c:pt idx="5181">
                  <c:v>3.3653</c:v>
                </c:pt>
                <c:pt idx="5182">
                  <c:v>3.371</c:v>
                </c:pt>
                <c:pt idx="5183">
                  <c:v>3.371</c:v>
                </c:pt>
                <c:pt idx="5184">
                  <c:v>3.3698000000000001</c:v>
                </c:pt>
                <c:pt idx="5185">
                  <c:v>3.363</c:v>
                </c:pt>
                <c:pt idx="5186">
                  <c:v>3.371</c:v>
                </c:pt>
                <c:pt idx="5187">
                  <c:v>3.371</c:v>
                </c:pt>
                <c:pt idx="5188">
                  <c:v>3.363</c:v>
                </c:pt>
                <c:pt idx="5189">
                  <c:v>3.3563000000000001</c:v>
                </c:pt>
                <c:pt idx="5190">
                  <c:v>3.3574000000000002</c:v>
                </c:pt>
                <c:pt idx="5191">
                  <c:v>3.3675999999999999</c:v>
                </c:pt>
                <c:pt idx="5192">
                  <c:v>3.3693</c:v>
                </c:pt>
                <c:pt idx="5193">
                  <c:v>3.3675999999999999</c:v>
                </c:pt>
                <c:pt idx="5194">
                  <c:v>3.3664000000000001</c:v>
                </c:pt>
                <c:pt idx="5195">
                  <c:v>3.3584999999999998</c:v>
                </c:pt>
                <c:pt idx="5196">
                  <c:v>3.3574000000000002</c:v>
                </c:pt>
                <c:pt idx="5197">
                  <c:v>3.3635999999999999</c:v>
                </c:pt>
                <c:pt idx="5198">
                  <c:v>3.3580000000000001</c:v>
                </c:pt>
                <c:pt idx="5199">
                  <c:v>3.363</c:v>
                </c:pt>
                <c:pt idx="5200">
                  <c:v>3.3574000000000002</c:v>
                </c:pt>
                <c:pt idx="5201">
                  <c:v>3.363</c:v>
                </c:pt>
                <c:pt idx="5202">
                  <c:v>3.3653</c:v>
                </c:pt>
                <c:pt idx="5203">
                  <c:v>3.3567999999999998</c:v>
                </c:pt>
                <c:pt idx="5204">
                  <c:v>3.3778000000000001</c:v>
                </c:pt>
                <c:pt idx="5205">
                  <c:v>3.3727</c:v>
                </c:pt>
                <c:pt idx="5206">
                  <c:v>3.3675999999999999</c:v>
                </c:pt>
                <c:pt idx="5207">
                  <c:v>3.3591000000000002</c:v>
                </c:pt>
                <c:pt idx="5208">
                  <c:v>3.3698000000000001</c:v>
                </c:pt>
                <c:pt idx="5209">
                  <c:v>3.3698000000000001</c:v>
                </c:pt>
                <c:pt idx="5210">
                  <c:v>3.3698000000000001</c:v>
                </c:pt>
                <c:pt idx="5211">
                  <c:v>3.3635999999999999</c:v>
                </c:pt>
                <c:pt idx="5212">
                  <c:v>3.363</c:v>
                </c:pt>
                <c:pt idx="5213">
                  <c:v>3.3490000000000002</c:v>
                </c:pt>
                <c:pt idx="5214">
                  <c:v>3.3477999999999999</c:v>
                </c:pt>
                <c:pt idx="5215">
                  <c:v>3.3477999999999999</c:v>
                </c:pt>
                <c:pt idx="5216">
                  <c:v>3.3355999999999999</c:v>
                </c:pt>
                <c:pt idx="5217">
                  <c:v>3.3462000000000001</c:v>
                </c:pt>
                <c:pt idx="5218">
                  <c:v>3.3761000000000001</c:v>
                </c:pt>
                <c:pt idx="5219">
                  <c:v>3.4095</c:v>
                </c:pt>
                <c:pt idx="5220">
                  <c:v>3.4477000000000002</c:v>
                </c:pt>
                <c:pt idx="5221">
                  <c:v>3.44</c:v>
                </c:pt>
                <c:pt idx="5222">
                  <c:v>3.4571999999999998</c:v>
                </c:pt>
                <c:pt idx="5223">
                  <c:v>3.4523999999999999</c:v>
                </c:pt>
                <c:pt idx="5224">
                  <c:v>3.4584000000000001</c:v>
                </c:pt>
                <c:pt idx="5225">
                  <c:v>3.4369999999999998</c:v>
                </c:pt>
                <c:pt idx="5226">
                  <c:v>3.4535999999999998</c:v>
                </c:pt>
                <c:pt idx="5227">
                  <c:v>3.456</c:v>
                </c:pt>
                <c:pt idx="5228">
                  <c:v>3.4323000000000001</c:v>
                </c:pt>
                <c:pt idx="5229">
                  <c:v>3.42</c:v>
                </c:pt>
                <c:pt idx="5230">
                  <c:v>3.4194</c:v>
                </c:pt>
                <c:pt idx="5231">
                  <c:v>3.4287999999999998</c:v>
                </c:pt>
                <c:pt idx="5232">
                  <c:v>3.4358</c:v>
                </c:pt>
                <c:pt idx="5233">
                  <c:v>3.4217</c:v>
                </c:pt>
                <c:pt idx="5234">
                  <c:v>3.4293999999999998</c:v>
                </c:pt>
                <c:pt idx="5235">
                  <c:v>3.4043000000000001</c:v>
                </c:pt>
                <c:pt idx="5236">
                  <c:v>3.4217</c:v>
                </c:pt>
                <c:pt idx="5237">
                  <c:v>3.4140999999999999</c:v>
                </c:pt>
                <c:pt idx="5238">
                  <c:v>3.3996</c:v>
                </c:pt>
                <c:pt idx="5239">
                  <c:v>3.4077000000000002</c:v>
                </c:pt>
                <c:pt idx="5240">
                  <c:v>3.4182000000000001</c:v>
                </c:pt>
                <c:pt idx="5241">
                  <c:v>3.4043000000000001</c:v>
                </c:pt>
                <c:pt idx="5242">
                  <c:v>3.4007999999999998</c:v>
                </c:pt>
                <c:pt idx="5243">
                  <c:v>3.4106000000000001</c:v>
                </c:pt>
                <c:pt idx="5244">
                  <c:v>3.4043000000000001</c:v>
                </c:pt>
                <c:pt idx="5245">
                  <c:v>3.387</c:v>
                </c:pt>
                <c:pt idx="5246">
                  <c:v>3.3721000000000001</c:v>
                </c:pt>
                <c:pt idx="5247">
                  <c:v>3.3801000000000001</c:v>
                </c:pt>
                <c:pt idx="5248">
                  <c:v>3.3687</c:v>
                </c:pt>
                <c:pt idx="5249">
                  <c:v>3.3795000000000002</c:v>
                </c:pt>
                <c:pt idx="5250">
                  <c:v>3.375</c:v>
                </c:pt>
                <c:pt idx="5251">
                  <c:v>3.367</c:v>
                </c:pt>
                <c:pt idx="5252">
                  <c:v>3.3607999999999998</c:v>
                </c:pt>
                <c:pt idx="5253">
                  <c:v>3.3687</c:v>
                </c:pt>
                <c:pt idx="5254">
                  <c:v>3.363</c:v>
                </c:pt>
                <c:pt idx="5255">
                  <c:v>3.3715000000000002</c:v>
                </c:pt>
                <c:pt idx="5256">
                  <c:v>3.3641999999999999</c:v>
                </c:pt>
                <c:pt idx="5257">
                  <c:v>3.3721000000000001</c:v>
                </c:pt>
                <c:pt idx="5258">
                  <c:v>3.3483999999999998</c:v>
                </c:pt>
                <c:pt idx="5259">
                  <c:v>3.3462000000000001</c:v>
                </c:pt>
                <c:pt idx="5260">
                  <c:v>3.3473000000000002</c:v>
                </c:pt>
                <c:pt idx="5261">
                  <c:v>3.3698000000000001</c:v>
                </c:pt>
                <c:pt idx="5262">
                  <c:v>3.3744000000000001</c:v>
                </c:pt>
                <c:pt idx="5263">
                  <c:v>3.3795000000000002</c:v>
                </c:pt>
                <c:pt idx="5264">
                  <c:v>3.3744000000000001</c:v>
                </c:pt>
                <c:pt idx="5265">
                  <c:v>3.3664000000000001</c:v>
                </c:pt>
                <c:pt idx="5266">
                  <c:v>3.3574000000000002</c:v>
                </c:pt>
                <c:pt idx="5267">
                  <c:v>3.3687</c:v>
                </c:pt>
                <c:pt idx="5268">
                  <c:v>3.363</c:v>
                </c:pt>
                <c:pt idx="5269">
                  <c:v>3.3591000000000002</c:v>
                </c:pt>
                <c:pt idx="5270">
                  <c:v>3.3439000000000001</c:v>
                </c:pt>
                <c:pt idx="5271">
                  <c:v>3.3801000000000001</c:v>
                </c:pt>
                <c:pt idx="5272">
                  <c:v>3.3835000000000002</c:v>
                </c:pt>
                <c:pt idx="5273">
                  <c:v>3.3567999999999998</c:v>
                </c:pt>
                <c:pt idx="5274">
                  <c:v>3.3567999999999998</c:v>
                </c:pt>
                <c:pt idx="5275">
                  <c:v>3.3546</c:v>
                </c:pt>
                <c:pt idx="5276">
                  <c:v>3.3567999999999998</c:v>
                </c:pt>
                <c:pt idx="5277">
                  <c:v>3.3473000000000002</c:v>
                </c:pt>
                <c:pt idx="5278">
                  <c:v>3.3473000000000002</c:v>
                </c:pt>
                <c:pt idx="5279">
                  <c:v>3.3328000000000002</c:v>
                </c:pt>
                <c:pt idx="5280">
                  <c:v>3.3462000000000001</c:v>
                </c:pt>
                <c:pt idx="5281">
                  <c:v>3.3416999999999999</c:v>
                </c:pt>
                <c:pt idx="5282">
                  <c:v>3.3597000000000001</c:v>
                </c:pt>
                <c:pt idx="5283">
                  <c:v>3.3500999999999999</c:v>
                </c:pt>
                <c:pt idx="5284">
                  <c:v>3.3613</c:v>
                </c:pt>
                <c:pt idx="5285">
                  <c:v>3.3512</c:v>
                </c:pt>
                <c:pt idx="5286">
                  <c:v>3.3653</c:v>
                </c:pt>
                <c:pt idx="5287">
                  <c:v>3.3389000000000002</c:v>
                </c:pt>
                <c:pt idx="5288">
                  <c:v>3.3361000000000001</c:v>
                </c:pt>
                <c:pt idx="5289">
                  <c:v>3.3317000000000001</c:v>
                </c:pt>
                <c:pt idx="5290">
                  <c:v>3.3641999999999999</c:v>
                </c:pt>
                <c:pt idx="5291">
                  <c:v>3.3395000000000001</c:v>
                </c:pt>
                <c:pt idx="5292">
                  <c:v>3.3306</c:v>
                </c:pt>
                <c:pt idx="5293">
                  <c:v>3.3512</c:v>
                </c:pt>
                <c:pt idx="5294">
                  <c:v>3.3250000000000002</c:v>
                </c:pt>
                <c:pt idx="5295">
                  <c:v>3.3267000000000002</c:v>
                </c:pt>
                <c:pt idx="5296">
                  <c:v>3.33</c:v>
                </c:pt>
                <c:pt idx="5297">
                  <c:v>3.3025000000000002</c:v>
                </c:pt>
                <c:pt idx="5298">
                  <c:v>3.3031000000000001</c:v>
                </c:pt>
                <c:pt idx="5299">
                  <c:v>3.3014000000000001</c:v>
                </c:pt>
                <c:pt idx="5300">
                  <c:v>3.2867999999999999</c:v>
                </c:pt>
                <c:pt idx="5301">
                  <c:v>3.2690000000000001</c:v>
                </c:pt>
                <c:pt idx="5302">
                  <c:v>3.2372999999999998</c:v>
                </c:pt>
                <c:pt idx="5303">
                  <c:v>3.2231999999999998</c:v>
                </c:pt>
                <c:pt idx="5304">
                  <c:v>3.2050999999999998</c:v>
                </c:pt>
                <c:pt idx="5305">
                  <c:v>3.1907999999999999</c:v>
                </c:pt>
                <c:pt idx="5306">
                  <c:v>3.1873</c:v>
                </c:pt>
                <c:pt idx="5307">
                  <c:v>3.1878000000000002</c:v>
                </c:pt>
                <c:pt idx="5308">
                  <c:v>3.1943999999999999</c:v>
                </c:pt>
                <c:pt idx="5309">
                  <c:v>3.1907999999999999</c:v>
                </c:pt>
                <c:pt idx="5310">
                  <c:v>3.1861999999999999</c:v>
                </c:pt>
                <c:pt idx="5311">
                  <c:v>3.1922999999999999</c:v>
                </c:pt>
                <c:pt idx="5312">
                  <c:v>3.1857000000000002</c:v>
                </c:pt>
                <c:pt idx="5313">
                  <c:v>3.1873</c:v>
                </c:pt>
                <c:pt idx="5314">
                  <c:v>3.1726000000000001</c:v>
                </c:pt>
                <c:pt idx="5315">
                  <c:v>3.1791</c:v>
                </c:pt>
                <c:pt idx="5316">
                  <c:v>3.1751</c:v>
                </c:pt>
                <c:pt idx="5317">
                  <c:v>3.1857000000000002</c:v>
                </c:pt>
                <c:pt idx="5318">
                  <c:v>3.1861999999999999</c:v>
                </c:pt>
                <c:pt idx="5319">
                  <c:v>3.1913</c:v>
                </c:pt>
                <c:pt idx="5320">
                  <c:v>3.198</c:v>
                </c:pt>
                <c:pt idx="5321">
                  <c:v>3.1802000000000001</c:v>
                </c:pt>
                <c:pt idx="5322">
                  <c:v>3.1821999999999999</c:v>
                </c:pt>
                <c:pt idx="5323">
                  <c:v>3.1892999999999998</c:v>
                </c:pt>
                <c:pt idx="5324">
                  <c:v>3.1730999999999998</c:v>
                </c:pt>
                <c:pt idx="5325">
                  <c:v>3.1751</c:v>
                </c:pt>
                <c:pt idx="5326">
                  <c:v>3.1785999999999999</c:v>
                </c:pt>
                <c:pt idx="5327">
                  <c:v>3.1831999999999998</c:v>
                </c:pt>
                <c:pt idx="5328">
                  <c:v>3.1817000000000002</c:v>
                </c:pt>
                <c:pt idx="5329">
                  <c:v>3.1650999999999998</c:v>
                </c:pt>
                <c:pt idx="5330">
                  <c:v>3.1545999999999998</c:v>
                </c:pt>
                <c:pt idx="5331">
                  <c:v>3.1606000000000001</c:v>
                </c:pt>
                <c:pt idx="5332">
                  <c:v>3.1541000000000001</c:v>
                </c:pt>
                <c:pt idx="5333">
                  <c:v>3.1576</c:v>
                </c:pt>
                <c:pt idx="5334">
                  <c:v>3.1650999999999998</c:v>
                </c:pt>
                <c:pt idx="5335">
                  <c:v>3.1556000000000002</c:v>
                </c:pt>
                <c:pt idx="5336">
                  <c:v>3.1520999999999999</c:v>
                </c:pt>
                <c:pt idx="5337">
                  <c:v>3.1690999999999998</c:v>
                </c:pt>
                <c:pt idx="5338">
                  <c:v>3.1436999999999999</c:v>
                </c:pt>
                <c:pt idx="5339">
                  <c:v>3.1421999999999999</c:v>
                </c:pt>
                <c:pt idx="5340">
                  <c:v>3.1530999999999998</c:v>
                </c:pt>
                <c:pt idx="5341">
                  <c:v>3.1640999999999999</c:v>
                </c:pt>
                <c:pt idx="5342">
                  <c:v>3.1671</c:v>
                </c:pt>
                <c:pt idx="5343">
                  <c:v>3.1631</c:v>
                </c:pt>
                <c:pt idx="5344">
                  <c:v>3.1898</c:v>
                </c:pt>
                <c:pt idx="5345">
                  <c:v>3.1861999999999999</c:v>
                </c:pt>
                <c:pt idx="5346">
                  <c:v>3.1776</c:v>
                </c:pt>
                <c:pt idx="5347">
                  <c:v>3.1570999999999998</c:v>
                </c:pt>
                <c:pt idx="5348">
                  <c:v>3.1701000000000001</c:v>
                </c:pt>
                <c:pt idx="5349">
                  <c:v>3.1831999999999998</c:v>
                </c:pt>
                <c:pt idx="5350">
                  <c:v>3.1898</c:v>
                </c:pt>
                <c:pt idx="5351">
                  <c:v>3.1785999999999999</c:v>
                </c:pt>
                <c:pt idx="5352">
                  <c:v>3.1676000000000002</c:v>
                </c:pt>
                <c:pt idx="5353">
                  <c:v>3.1760999999999999</c:v>
                </c:pt>
                <c:pt idx="5354">
                  <c:v>3.1751</c:v>
                </c:pt>
                <c:pt idx="5355">
                  <c:v>3.1785999999999999</c:v>
                </c:pt>
                <c:pt idx="5356">
                  <c:v>3.1802000000000001</c:v>
                </c:pt>
                <c:pt idx="5357">
                  <c:v>3.1898</c:v>
                </c:pt>
                <c:pt idx="5358">
                  <c:v>3.1776</c:v>
                </c:pt>
                <c:pt idx="5359">
                  <c:v>3.1711</c:v>
                </c:pt>
                <c:pt idx="5360">
                  <c:v>3.1791</c:v>
                </c:pt>
                <c:pt idx="5361">
                  <c:v>3.1756000000000002</c:v>
                </c:pt>
                <c:pt idx="5362">
                  <c:v>3.1812</c:v>
                </c:pt>
                <c:pt idx="5363">
                  <c:v>3.1959</c:v>
                </c:pt>
                <c:pt idx="5364">
                  <c:v>3.1943999999999999</c:v>
                </c:pt>
                <c:pt idx="5365">
                  <c:v>3.1943999999999999</c:v>
                </c:pt>
                <c:pt idx="5366">
                  <c:v>3.2</c:v>
                </c:pt>
                <c:pt idx="5367">
                  <c:v>3.1903000000000001</c:v>
                </c:pt>
                <c:pt idx="5368">
                  <c:v>3.1873</c:v>
                </c:pt>
                <c:pt idx="5369">
                  <c:v>3.1842000000000001</c:v>
                </c:pt>
                <c:pt idx="5370">
                  <c:v>3.1846999999999999</c:v>
                </c:pt>
                <c:pt idx="5371">
                  <c:v>3.1878000000000002</c:v>
                </c:pt>
                <c:pt idx="5372">
                  <c:v>3.1631</c:v>
                </c:pt>
                <c:pt idx="5373">
                  <c:v>3.1656</c:v>
                </c:pt>
                <c:pt idx="5374">
                  <c:v>3.1490999999999998</c:v>
                </c:pt>
                <c:pt idx="5375">
                  <c:v>3.1526000000000001</c:v>
                </c:pt>
                <c:pt idx="5376">
                  <c:v>3.1516000000000002</c:v>
                </c:pt>
                <c:pt idx="5377">
                  <c:v>3.1412</c:v>
                </c:pt>
                <c:pt idx="5378">
                  <c:v>3.1303999999999998</c:v>
                </c:pt>
                <c:pt idx="5379">
                  <c:v>3.1230000000000002</c:v>
                </c:pt>
                <c:pt idx="5380">
                  <c:v>3.1221000000000001</c:v>
                </c:pt>
                <c:pt idx="5381">
                  <c:v>3.1221000000000001</c:v>
                </c:pt>
                <c:pt idx="5382">
                  <c:v>3.1196000000000002</c:v>
                </c:pt>
                <c:pt idx="5383">
                  <c:v>3.1265000000000001</c:v>
                </c:pt>
                <c:pt idx="5384">
                  <c:v>3.1147999999999998</c:v>
                </c:pt>
                <c:pt idx="5385">
                  <c:v>3.1347999999999998</c:v>
                </c:pt>
                <c:pt idx="5386">
                  <c:v>3.1377000000000002</c:v>
                </c:pt>
                <c:pt idx="5387">
                  <c:v>3.1255000000000002</c:v>
                </c:pt>
                <c:pt idx="5388">
                  <c:v>3.1278999999999999</c:v>
                </c:pt>
                <c:pt idx="5389">
                  <c:v>3.1153</c:v>
                </c:pt>
                <c:pt idx="5390">
                  <c:v>3.1288999999999998</c:v>
                </c:pt>
                <c:pt idx="5391">
                  <c:v>3.1187</c:v>
                </c:pt>
                <c:pt idx="5392">
                  <c:v>3.1196000000000002</c:v>
                </c:pt>
                <c:pt idx="5393">
                  <c:v>3.1099000000000001</c:v>
                </c:pt>
                <c:pt idx="5394">
                  <c:v>3.0979000000000001</c:v>
                </c:pt>
                <c:pt idx="5395">
                  <c:v>3.0926</c:v>
                </c:pt>
                <c:pt idx="5396">
                  <c:v>3.0893000000000002</c:v>
                </c:pt>
                <c:pt idx="5397">
                  <c:v>3.0661</c:v>
                </c:pt>
                <c:pt idx="5398">
                  <c:v>3.0562</c:v>
                </c:pt>
                <c:pt idx="5399">
                  <c:v>3.0632999999999999</c:v>
                </c:pt>
                <c:pt idx="5400">
                  <c:v>3.0575999999999999</c:v>
                </c:pt>
                <c:pt idx="5401">
                  <c:v>3.0571999999999999</c:v>
                </c:pt>
                <c:pt idx="5402">
                  <c:v>3.0754999999999999</c:v>
                </c:pt>
                <c:pt idx="5403">
                  <c:v>3.0703</c:v>
                </c:pt>
                <c:pt idx="5404">
                  <c:v>3.0703</c:v>
                </c:pt>
                <c:pt idx="5405">
                  <c:v>3.0655999999999999</c:v>
                </c:pt>
                <c:pt idx="5406">
                  <c:v>3.0893000000000002</c:v>
                </c:pt>
                <c:pt idx="5407">
                  <c:v>3.0731000000000002</c:v>
                </c:pt>
                <c:pt idx="5408">
                  <c:v>3.0651000000000002</c:v>
                </c:pt>
                <c:pt idx="5409">
                  <c:v>3.0760000000000001</c:v>
                </c:pt>
                <c:pt idx="5410">
                  <c:v>3.0571999999999999</c:v>
                </c:pt>
                <c:pt idx="5411">
                  <c:v>3.0825999999999998</c:v>
                </c:pt>
                <c:pt idx="5412">
                  <c:v>3.0844999999999998</c:v>
                </c:pt>
                <c:pt idx="5413">
                  <c:v>3.0647000000000002</c:v>
                </c:pt>
                <c:pt idx="5414">
                  <c:v>3.0543999999999998</c:v>
                </c:pt>
                <c:pt idx="5415">
                  <c:v>3.0722</c:v>
                </c:pt>
                <c:pt idx="5416">
                  <c:v>3.0722</c:v>
                </c:pt>
                <c:pt idx="5417">
                  <c:v>3.0543999999999998</c:v>
                </c:pt>
                <c:pt idx="5418">
                  <c:v>3.0548000000000002</c:v>
                </c:pt>
                <c:pt idx="5419">
                  <c:v>3.0506000000000002</c:v>
                </c:pt>
                <c:pt idx="5420">
                  <c:v>3.0331000000000001</c:v>
                </c:pt>
                <c:pt idx="5421">
                  <c:v>3.0184000000000002</c:v>
                </c:pt>
                <c:pt idx="5422">
                  <c:v>3.0238999999999998</c:v>
                </c:pt>
                <c:pt idx="5423">
                  <c:v>3.0148000000000001</c:v>
                </c:pt>
                <c:pt idx="5424">
                  <c:v>3.0047999999999999</c:v>
                </c:pt>
                <c:pt idx="5425">
                  <c:v>3.0062000000000002</c:v>
                </c:pt>
                <c:pt idx="5426">
                  <c:v>2.9885999999999999</c:v>
                </c:pt>
                <c:pt idx="5427">
                  <c:v>3.0110999999999999</c:v>
                </c:pt>
                <c:pt idx="5428">
                  <c:v>3.0084</c:v>
                </c:pt>
                <c:pt idx="5429">
                  <c:v>3.0143</c:v>
                </c:pt>
                <c:pt idx="5430">
                  <c:v>3.0038999999999998</c:v>
                </c:pt>
                <c:pt idx="5431">
                  <c:v>2.9912999999999998</c:v>
                </c:pt>
                <c:pt idx="5432">
                  <c:v>2.9832999999999998</c:v>
                </c:pt>
                <c:pt idx="5433">
                  <c:v>3.0179999999999998</c:v>
                </c:pt>
                <c:pt idx="5434">
                  <c:v>2.9967000000000001</c:v>
                </c:pt>
                <c:pt idx="5435">
                  <c:v>3.0003000000000002</c:v>
                </c:pt>
                <c:pt idx="5436">
                  <c:v>2.9971999999999999</c:v>
                </c:pt>
                <c:pt idx="5437">
                  <c:v>3.0110999999999999</c:v>
                </c:pt>
                <c:pt idx="5438">
                  <c:v>3.0285000000000002</c:v>
                </c:pt>
                <c:pt idx="5439">
                  <c:v>3.0207000000000002</c:v>
                </c:pt>
                <c:pt idx="5440">
                  <c:v>3.0026000000000002</c:v>
                </c:pt>
                <c:pt idx="5441">
                  <c:v>3.0093000000000001</c:v>
                </c:pt>
                <c:pt idx="5442">
                  <c:v>3.0093000000000001</c:v>
                </c:pt>
                <c:pt idx="5443">
                  <c:v>3.0165999999999999</c:v>
                </c:pt>
                <c:pt idx="5444">
                  <c:v>2.9805999999999999</c:v>
                </c:pt>
                <c:pt idx="5445">
                  <c:v>2.9912999999999998</c:v>
                </c:pt>
                <c:pt idx="5446">
                  <c:v>2.9984999999999999</c:v>
                </c:pt>
                <c:pt idx="5447">
                  <c:v>3.0129999999999999</c:v>
                </c:pt>
                <c:pt idx="5448">
                  <c:v>2.9931000000000001</c:v>
                </c:pt>
                <c:pt idx="5449">
                  <c:v>2.9842</c:v>
                </c:pt>
                <c:pt idx="5450">
                  <c:v>2.9878</c:v>
                </c:pt>
                <c:pt idx="5451">
                  <c:v>2.9922</c:v>
                </c:pt>
                <c:pt idx="5452">
                  <c:v>3.0066000000000002</c:v>
                </c:pt>
                <c:pt idx="5453">
                  <c:v>2.9954000000000001</c:v>
                </c:pt>
                <c:pt idx="5454">
                  <c:v>2.9824000000000002</c:v>
                </c:pt>
                <c:pt idx="5455">
                  <c:v>2.9752999999999998</c:v>
                </c:pt>
                <c:pt idx="5456">
                  <c:v>2.9748999999999999</c:v>
                </c:pt>
                <c:pt idx="5457">
                  <c:v>2.9868999999999999</c:v>
                </c:pt>
                <c:pt idx="5458">
                  <c:v>2.9607999999999999</c:v>
                </c:pt>
                <c:pt idx="5459">
                  <c:v>2.9573</c:v>
                </c:pt>
                <c:pt idx="5460">
                  <c:v>2.9542000000000002</c:v>
                </c:pt>
                <c:pt idx="5461">
                  <c:v>2.9481000000000002</c:v>
                </c:pt>
                <c:pt idx="5462">
                  <c:v>2.9516</c:v>
                </c:pt>
                <c:pt idx="5463">
                  <c:v>2.9350999999999998</c:v>
                </c:pt>
                <c:pt idx="5464">
                  <c:v>2.9138000000000002</c:v>
                </c:pt>
                <c:pt idx="5465">
                  <c:v>2.9274</c:v>
                </c:pt>
                <c:pt idx="5466">
                  <c:v>2.9205999999999999</c:v>
                </c:pt>
                <c:pt idx="5467">
                  <c:v>2.9060999999999999</c:v>
                </c:pt>
                <c:pt idx="5468">
                  <c:v>2.8969</c:v>
                </c:pt>
                <c:pt idx="5469">
                  <c:v>2.8637000000000001</c:v>
                </c:pt>
                <c:pt idx="5470">
                  <c:v>2.8481999999999998</c:v>
                </c:pt>
                <c:pt idx="5471">
                  <c:v>2.8546999999999998</c:v>
                </c:pt>
                <c:pt idx="5472">
                  <c:v>2.8736000000000002</c:v>
                </c:pt>
                <c:pt idx="5473">
                  <c:v>2.8580000000000001</c:v>
                </c:pt>
                <c:pt idx="5474">
                  <c:v>2.8685999999999998</c:v>
                </c:pt>
                <c:pt idx="5475">
                  <c:v>2.8555000000000001</c:v>
                </c:pt>
                <c:pt idx="5476">
                  <c:v>2.8344999999999998</c:v>
                </c:pt>
                <c:pt idx="5477">
                  <c:v>2.8233000000000001</c:v>
                </c:pt>
                <c:pt idx="5478">
                  <c:v>2.8153000000000001</c:v>
                </c:pt>
                <c:pt idx="5479">
                  <c:v>2.8289</c:v>
                </c:pt>
                <c:pt idx="5480">
                  <c:v>2.8201000000000001</c:v>
                </c:pt>
                <c:pt idx="5481">
                  <c:v>2.8106</c:v>
                </c:pt>
                <c:pt idx="5482">
                  <c:v>2.8304999999999998</c:v>
                </c:pt>
                <c:pt idx="5483">
                  <c:v>2.8401000000000001</c:v>
                </c:pt>
                <c:pt idx="5484">
                  <c:v>2.8466</c:v>
                </c:pt>
                <c:pt idx="5485">
                  <c:v>2.8531</c:v>
                </c:pt>
                <c:pt idx="5486">
                  <c:v>2.86</c:v>
                </c:pt>
                <c:pt idx="5487">
                  <c:v>2.8441000000000001</c:v>
                </c:pt>
                <c:pt idx="5488">
                  <c:v>2.8473999999999999</c:v>
                </c:pt>
                <c:pt idx="5489">
                  <c:v>2.8458000000000001</c:v>
                </c:pt>
                <c:pt idx="5490">
                  <c:v>2.8416999999999999</c:v>
                </c:pt>
                <c:pt idx="5491">
                  <c:v>2.8090000000000002</c:v>
                </c:pt>
                <c:pt idx="5492">
                  <c:v>2.7925</c:v>
                </c:pt>
                <c:pt idx="5493">
                  <c:v>2.8109999999999999</c:v>
                </c:pt>
                <c:pt idx="5494">
                  <c:v>2.7732000000000001</c:v>
                </c:pt>
                <c:pt idx="5495">
                  <c:v>2.7692999999999999</c:v>
                </c:pt>
                <c:pt idx="5496">
                  <c:v>2.7503000000000002</c:v>
                </c:pt>
                <c:pt idx="5497">
                  <c:v>2.7366999999999999</c:v>
                </c:pt>
                <c:pt idx="5498">
                  <c:v>2.7503000000000002</c:v>
                </c:pt>
                <c:pt idx="5499">
                  <c:v>2.7646999999999999</c:v>
                </c:pt>
                <c:pt idx="5500">
                  <c:v>2.742</c:v>
                </c:pt>
                <c:pt idx="5501">
                  <c:v>2.7233000000000001</c:v>
                </c:pt>
                <c:pt idx="5502">
                  <c:v>2.7248000000000001</c:v>
                </c:pt>
                <c:pt idx="5503">
                  <c:v>2.7382</c:v>
                </c:pt>
                <c:pt idx="5504">
                  <c:v>2.7427000000000001</c:v>
                </c:pt>
                <c:pt idx="5505">
                  <c:v>2.7532999999999999</c:v>
                </c:pt>
                <c:pt idx="5506">
                  <c:v>2.7494999999999998</c:v>
                </c:pt>
                <c:pt idx="5507">
                  <c:v>2.7593999999999999</c:v>
                </c:pt>
                <c:pt idx="5508">
                  <c:v>2.7608999999999999</c:v>
                </c:pt>
                <c:pt idx="5509">
                  <c:v>2.7732000000000001</c:v>
                </c:pt>
                <c:pt idx="5510">
                  <c:v>2.7677999999999998</c:v>
                </c:pt>
                <c:pt idx="5511">
                  <c:v>2.7663000000000002</c:v>
                </c:pt>
                <c:pt idx="5512">
                  <c:v>2.7685</c:v>
                </c:pt>
                <c:pt idx="5513">
                  <c:v>2.7785000000000002</c:v>
                </c:pt>
                <c:pt idx="5514">
                  <c:v>2.7654999999999998</c:v>
                </c:pt>
                <c:pt idx="5515">
                  <c:v>2.7700999999999998</c:v>
                </c:pt>
                <c:pt idx="5516">
                  <c:v>2.7715999999999998</c:v>
                </c:pt>
                <c:pt idx="5517">
                  <c:v>2.7608999999999999</c:v>
                </c:pt>
                <c:pt idx="5518">
                  <c:v>2.7639999999999998</c:v>
                </c:pt>
                <c:pt idx="5519">
                  <c:v>2.7700999999999998</c:v>
                </c:pt>
                <c:pt idx="5520">
                  <c:v>2.7738999999999998</c:v>
                </c:pt>
                <c:pt idx="5521">
                  <c:v>2.7639999999999998</c:v>
                </c:pt>
                <c:pt idx="5522">
                  <c:v>2.7700999999999998</c:v>
                </c:pt>
                <c:pt idx="5523">
                  <c:v>2.7608999999999999</c:v>
                </c:pt>
                <c:pt idx="5524">
                  <c:v>2.7627999999999999</c:v>
                </c:pt>
                <c:pt idx="5525">
                  <c:v>2.7715999999999998</c:v>
                </c:pt>
                <c:pt idx="5526">
                  <c:v>2.7541000000000002</c:v>
                </c:pt>
                <c:pt idx="5527">
                  <c:v>2.7547999999999999</c:v>
                </c:pt>
                <c:pt idx="5528">
                  <c:v>2.7631999999999999</c:v>
                </c:pt>
                <c:pt idx="5529">
                  <c:v>2.7608999999999999</c:v>
                </c:pt>
                <c:pt idx="5530">
                  <c:v>2.7646999999999999</c:v>
                </c:pt>
                <c:pt idx="5531">
                  <c:v>2.7555999999999998</c:v>
                </c:pt>
                <c:pt idx="5532">
                  <c:v>2.7608999999999999</c:v>
                </c:pt>
                <c:pt idx="5533">
                  <c:v>2.7210999999999999</c:v>
                </c:pt>
                <c:pt idx="5534">
                  <c:v>2.7412000000000001</c:v>
                </c:pt>
                <c:pt idx="5535">
                  <c:v>2.7503000000000002</c:v>
                </c:pt>
                <c:pt idx="5536">
                  <c:v>2.7494999999999998</c:v>
                </c:pt>
                <c:pt idx="5537">
                  <c:v>2.7473000000000001</c:v>
                </c:pt>
                <c:pt idx="5538">
                  <c:v>2.7366999999999999</c:v>
                </c:pt>
                <c:pt idx="5539">
                  <c:v>2.7663000000000002</c:v>
                </c:pt>
                <c:pt idx="5540">
                  <c:v>2.7442000000000002</c:v>
                </c:pt>
                <c:pt idx="5541">
                  <c:v>2.7336999999999998</c:v>
                </c:pt>
                <c:pt idx="5542">
                  <c:v>2.7503000000000002</c:v>
                </c:pt>
                <c:pt idx="5543">
                  <c:v>2.7692999999999999</c:v>
                </c:pt>
                <c:pt idx="5544">
                  <c:v>2.7509999999999999</c:v>
                </c:pt>
                <c:pt idx="5545">
                  <c:v>2.7631999999999999</c:v>
                </c:pt>
                <c:pt idx="5546">
                  <c:v>2.7593999999999999</c:v>
                </c:pt>
                <c:pt idx="5547">
                  <c:v>2.7724000000000002</c:v>
                </c:pt>
                <c:pt idx="5548">
                  <c:v>2.7732000000000001</c:v>
                </c:pt>
                <c:pt idx="5549">
                  <c:v>2.7863000000000002</c:v>
                </c:pt>
                <c:pt idx="5550">
                  <c:v>2.7940999999999998</c:v>
                </c:pt>
                <c:pt idx="5551">
                  <c:v>2.7995999999999999</c:v>
                </c:pt>
                <c:pt idx="5552">
                  <c:v>2.8010999999999999</c:v>
                </c:pt>
                <c:pt idx="5553">
                  <c:v>2.8081999999999998</c:v>
                </c:pt>
                <c:pt idx="5554">
                  <c:v>2.8043</c:v>
                </c:pt>
                <c:pt idx="5555">
                  <c:v>2.8144999999999998</c:v>
                </c:pt>
                <c:pt idx="5556">
                  <c:v>2.7988</c:v>
                </c:pt>
                <c:pt idx="5557">
                  <c:v>2.8035000000000001</c:v>
                </c:pt>
                <c:pt idx="5558">
                  <c:v>2.8035000000000001</c:v>
                </c:pt>
                <c:pt idx="5559">
                  <c:v>2.8081999999999998</c:v>
                </c:pt>
                <c:pt idx="5560">
                  <c:v>2.8205</c:v>
                </c:pt>
                <c:pt idx="5561">
                  <c:v>2.8273000000000001</c:v>
                </c:pt>
                <c:pt idx="5562">
                  <c:v>2.8136999999999999</c:v>
                </c:pt>
                <c:pt idx="5563">
                  <c:v>2.8249</c:v>
                </c:pt>
                <c:pt idx="5564">
                  <c:v>2.8289</c:v>
                </c:pt>
                <c:pt idx="5565">
                  <c:v>2.8372999999999999</c:v>
                </c:pt>
                <c:pt idx="5566">
                  <c:v>2.8401000000000001</c:v>
                </c:pt>
                <c:pt idx="5567">
                  <c:v>2.8405</c:v>
                </c:pt>
                <c:pt idx="5568">
                  <c:v>2.8249</c:v>
                </c:pt>
                <c:pt idx="5569">
                  <c:v>2.8353000000000002</c:v>
                </c:pt>
                <c:pt idx="5570">
                  <c:v>2.8498000000000001</c:v>
                </c:pt>
                <c:pt idx="5571">
                  <c:v>2.8296999999999999</c:v>
                </c:pt>
                <c:pt idx="5572">
                  <c:v>2.8336999999999999</c:v>
                </c:pt>
                <c:pt idx="5573">
                  <c:v>2.8353000000000002</c:v>
                </c:pt>
                <c:pt idx="5574">
                  <c:v>2.8321000000000001</c:v>
                </c:pt>
                <c:pt idx="5575">
                  <c:v>2.8264999999999998</c:v>
                </c:pt>
                <c:pt idx="5576">
                  <c:v>2.8281000000000001</c:v>
                </c:pt>
                <c:pt idx="5577">
                  <c:v>2.8397000000000001</c:v>
                </c:pt>
                <c:pt idx="5578">
                  <c:v>2.8490000000000002</c:v>
                </c:pt>
                <c:pt idx="5579">
                  <c:v>2.8424999999999998</c:v>
                </c:pt>
                <c:pt idx="5580">
                  <c:v>2.8437000000000001</c:v>
                </c:pt>
                <c:pt idx="5581">
                  <c:v>2.8612000000000002</c:v>
                </c:pt>
                <c:pt idx="5582">
                  <c:v>2.8736000000000002</c:v>
                </c:pt>
                <c:pt idx="5583">
                  <c:v>2.8620000000000001</c:v>
                </c:pt>
                <c:pt idx="5584">
                  <c:v>2.8595999999999999</c:v>
                </c:pt>
                <c:pt idx="5585">
                  <c:v>2.8662000000000001</c:v>
                </c:pt>
                <c:pt idx="5586">
                  <c:v>2.8662000000000001</c:v>
                </c:pt>
                <c:pt idx="5587">
                  <c:v>2.8685999999999998</c:v>
                </c:pt>
                <c:pt idx="5588">
                  <c:v>2.8769</c:v>
                </c:pt>
                <c:pt idx="5589">
                  <c:v>2.8752</c:v>
                </c:pt>
                <c:pt idx="5590">
                  <c:v>2.8784999999999998</c:v>
                </c:pt>
                <c:pt idx="5591">
                  <c:v>2.8822999999999999</c:v>
                </c:pt>
                <c:pt idx="5592">
                  <c:v>2.8801999999999999</c:v>
                </c:pt>
                <c:pt idx="5593">
                  <c:v>2.8818000000000001</c:v>
                </c:pt>
                <c:pt idx="5594">
                  <c:v>2.8873000000000002</c:v>
                </c:pt>
                <c:pt idx="5595">
                  <c:v>2.8873000000000002</c:v>
                </c:pt>
                <c:pt idx="5596">
                  <c:v>2.8843000000000001</c:v>
                </c:pt>
                <c:pt idx="5597">
                  <c:v>2.8776999999999999</c:v>
                </c:pt>
                <c:pt idx="5598">
                  <c:v>2.8752</c:v>
                </c:pt>
                <c:pt idx="5599">
                  <c:v>2.8784999999999998</c:v>
                </c:pt>
                <c:pt idx="5600">
                  <c:v>2.8645</c:v>
                </c:pt>
                <c:pt idx="5601">
                  <c:v>2.8776999999999999</c:v>
                </c:pt>
                <c:pt idx="5602">
                  <c:v>2.8702999999999999</c:v>
                </c:pt>
                <c:pt idx="5603">
                  <c:v>2.8677999999999999</c:v>
                </c:pt>
                <c:pt idx="5604">
                  <c:v>2.8769</c:v>
                </c:pt>
                <c:pt idx="5605">
                  <c:v>2.8852000000000002</c:v>
                </c:pt>
                <c:pt idx="5606">
                  <c:v>2.8794</c:v>
                </c:pt>
                <c:pt idx="5607">
                  <c:v>2.8794</c:v>
                </c:pt>
                <c:pt idx="5608">
                  <c:v>2.8752</c:v>
                </c:pt>
                <c:pt idx="5609">
                  <c:v>2.8935</c:v>
                </c:pt>
                <c:pt idx="5610">
                  <c:v>2.8818000000000001</c:v>
                </c:pt>
                <c:pt idx="5611">
                  <c:v>2.8860000000000001</c:v>
                </c:pt>
                <c:pt idx="5612">
                  <c:v>2.8914</c:v>
                </c:pt>
                <c:pt idx="5613">
                  <c:v>2.8944000000000001</c:v>
                </c:pt>
                <c:pt idx="5614">
                  <c:v>2.8959999999999999</c:v>
                </c:pt>
                <c:pt idx="5615">
                  <c:v>2.8794</c:v>
                </c:pt>
                <c:pt idx="5616">
                  <c:v>2.8809999999999998</c:v>
                </c:pt>
                <c:pt idx="5617">
                  <c:v>2.8809999999999998</c:v>
                </c:pt>
                <c:pt idx="5618">
                  <c:v>2.8906000000000001</c:v>
                </c:pt>
                <c:pt idx="5619">
                  <c:v>2.8935</c:v>
                </c:pt>
                <c:pt idx="5620">
                  <c:v>2.8893</c:v>
                </c:pt>
                <c:pt idx="5621">
                  <c:v>2.8868</c:v>
                </c:pt>
                <c:pt idx="5622">
                  <c:v>2.8752</c:v>
                </c:pt>
                <c:pt idx="5623">
                  <c:v>2.8769</c:v>
                </c:pt>
                <c:pt idx="5624">
                  <c:v>2.8794</c:v>
                </c:pt>
                <c:pt idx="5625">
                  <c:v>2.8776999999999999</c:v>
                </c:pt>
                <c:pt idx="5626">
                  <c:v>2.8645</c:v>
                </c:pt>
                <c:pt idx="5627">
                  <c:v>2.8592</c:v>
                </c:pt>
                <c:pt idx="5628">
                  <c:v>2.8531</c:v>
                </c:pt>
                <c:pt idx="5629">
                  <c:v>2.8513999999999999</c:v>
                </c:pt>
                <c:pt idx="5630">
                  <c:v>2.8656999999999999</c:v>
                </c:pt>
                <c:pt idx="5631">
                  <c:v>2.8759999999999999</c:v>
                </c:pt>
                <c:pt idx="5632">
                  <c:v>2.8567</c:v>
                </c:pt>
                <c:pt idx="5633">
                  <c:v>2.8685999999999998</c:v>
                </c:pt>
                <c:pt idx="5634">
                  <c:v>2.8401000000000001</c:v>
                </c:pt>
                <c:pt idx="5635">
                  <c:v>2.8450000000000002</c:v>
                </c:pt>
                <c:pt idx="5636">
                  <c:v>2.8289</c:v>
                </c:pt>
                <c:pt idx="5637">
                  <c:v>2.8256999999999999</c:v>
                </c:pt>
                <c:pt idx="5638">
                  <c:v>2.8003</c:v>
                </c:pt>
                <c:pt idx="5639">
                  <c:v>2.8153000000000001</c:v>
                </c:pt>
                <c:pt idx="5640">
                  <c:v>2.8035000000000001</c:v>
                </c:pt>
                <c:pt idx="5641">
                  <c:v>2.7877999999999998</c:v>
                </c:pt>
                <c:pt idx="5642">
                  <c:v>2.7778</c:v>
                </c:pt>
                <c:pt idx="5643">
                  <c:v>2.7646999999999999</c:v>
                </c:pt>
                <c:pt idx="5644">
                  <c:v>2.7778</c:v>
                </c:pt>
                <c:pt idx="5645">
                  <c:v>2.7715999999999998</c:v>
                </c:pt>
                <c:pt idx="5646">
                  <c:v>2.7793000000000001</c:v>
                </c:pt>
                <c:pt idx="5647">
                  <c:v>2.7877999999999998</c:v>
                </c:pt>
                <c:pt idx="5648">
                  <c:v>2.7951999999999999</c:v>
                </c:pt>
                <c:pt idx="5649">
                  <c:v>2.8106</c:v>
                </c:pt>
                <c:pt idx="5650">
                  <c:v>2.8018999999999998</c:v>
                </c:pt>
                <c:pt idx="5651">
                  <c:v>2.7824</c:v>
                </c:pt>
                <c:pt idx="5652">
                  <c:v>2.8003</c:v>
                </c:pt>
                <c:pt idx="5653">
                  <c:v>2.8062</c:v>
                </c:pt>
                <c:pt idx="5654">
                  <c:v>2.8098000000000001</c:v>
                </c:pt>
                <c:pt idx="5655">
                  <c:v>2.7839999999999998</c:v>
                </c:pt>
                <c:pt idx="5656">
                  <c:v>2.7785000000000002</c:v>
                </c:pt>
                <c:pt idx="5657">
                  <c:v>2.7755000000000001</c:v>
                </c:pt>
                <c:pt idx="5658">
                  <c:v>2.7700999999999998</c:v>
                </c:pt>
                <c:pt idx="5659">
                  <c:v>2.8176999999999999</c:v>
                </c:pt>
                <c:pt idx="5660">
                  <c:v>2.8121</c:v>
                </c:pt>
                <c:pt idx="5661">
                  <c:v>2.8058000000000001</c:v>
                </c:pt>
                <c:pt idx="5662">
                  <c:v>2.7816000000000001</c:v>
                </c:pt>
                <c:pt idx="5663">
                  <c:v>2.7854999999999999</c:v>
                </c:pt>
                <c:pt idx="5664">
                  <c:v>2.7778</c:v>
                </c:pt>
                <c:pt idx="5665">
                  <c:v>2.7397</c:v>
                </c:pt>
                <c:pt idx="5666">
                  <c:v>2.7322000000000002</c:v>
                </c:pt>
                <c:pt idx="5667">
                  <c:v>2.7330000000000001</c:v>
                </c:pt>
                <c:pt idx="5668">
                  <c:v>2.7494999999999998</c:v>
                </c:pt>
                <c:pt idx="5669">
                  <c:v>2.7547999999999999</c:v>
                </c:pt>
                <c:pt idx="5670">
                  <c:v>2.7456999999999998</c:v>
                </c:pt>
                <c:pt idx="5671">
                  <c:v>2.7435</c:v>
                </c:pt>
                <c:pt idx="5672">
                  <c:v>2.7465000000000002</c:v>
                </c:pt>
                <c:pt idx="5673">
                  <c:v>2.7374999999999998</c:v>
                </c:pt>
                <c:pt idx="5674">
                  <c:v>2.7442000000000002</c:v>
                </c:pt>
                <c:pt idx="5675">
                  <c:v>2.7517999999999998</c:v>
                </c:pt>
                <c:pt idx="5676">
                  <c:v>2.7692999999999999</c:v>
                </c:pt>
                <c:pt idx="5677">
                  <c:v>2.7709000000000001</c:v>
                </c:pt>
                <c:pt idx="5678">
                  <c:v>2.7654999999999998</c:v>
                </c:pt>
                <c:pt idx="5679">
                  <c:v>2.7692999999999999</c:v>
                </c:pt>
                <c:pt idx="5680">
                  <c:v>2.7700999999999998</c:v>
                </c:pt>
                <c:pt idx="5681">
                  <c:v>2.7654999999999998</c:v>
                </c:pt>
                <c:pt idx="5682">
                  <c:v>2.7793000000000001</c:v>
                </c:pt>
                <c:pt idx="5683">
                  <c:v>2.7631999999999999</c:v>
                </c:pt>
                <c:pt idx="5684">
                  <c:v>2.7761999999999998</c:v>
                </c:pt>
                <c:pt idx="5685">
                  <c:v>2.7808999999999999</c:v>
                </c:pt>
                <c:pt idx="5686">
                  <c:v>2.7816000000000001</c:v>
                </c:pt>
                <c:pt idx="5687">
                  <c:v>2.7863000000000002</c:v>
                </c:pt>
                <c:pt idx="5688">
                  <c:v>2.7925</c:v>
                </c:pt>
                <c:pt idx="5689">
                  <c:v>2.7886000000000002</c:v>
                </c:pt>
                <c:pt idx="5690">
                  <c:v>2.7988</c:v>
                </c:pt>
                <c:pt idx="5691">
                  <c:v>2.7972000000000001</c:v>
                </c:pt>
                <c:pt idx="5692">
                  <c:v>2.7902</c:v>
                </c:pt>
                <c:pt idx="5693">
                  <c:v>2.7692999999999999</c:v>
                </c:pt>
                <c:pt idx="5694">
                  <c:v>2.7747000000000002</c:v>
                </c:pt>
                <c:pt idx="5695">
                  <c:v>2.7793000000000001</c:v>
                </c:pt>
                <c:pt idx="5696">
                  <c:v>2.7847</c:v>
                </c:pt>
                <c:pt idx="5697">
                  <c:v>2.7801</c:v>
                </c:pt>
                <c:pt idx="5698">
                  <c:v>2.7871000000000001</c:v>
                </c:pt>
                <c:pt idx="5699">
                  <c:v>2.7785000000000002</c:v>
                </c:pt>
                <c:pt idx="5700">
                  <c:v>2.7940999999999998</c:v>
                </c:pt>
                <c:pt idx="5701">
                  <c:v>2.7955999999999999</c:v>
                </c:pt>
                <c:pt idx="5702">
                  <c:v>2.8003</c:v>
                </c:pt>
                <c:pt idx="5703">
                  <c:v>2.798</c:v>
                </c:pt>
                <c:pt idx="5704">
                  <c:v>2.8069999999999999</c:v>
                </c:pt>
                <c:pt idx="5705">
                  <c:v>2.8027000000000002</c:v>
                </c:pt>
                <c:pt idx="5706">
                  <c:v>2.8058000000000001</c:v>
                </c:pt>
                <c:pt idx="5707">
                  <c:v>2.8073999999999999</c:v>
                </c:pt>
                <c:pt idx="5708">
                  <c:v>2.8043</c:v>
                </c:pt>
                <c:pt idx="5709">
                  <c:v>2.8121</c:v>
                </c:pt>
                <c:pt idx="5710">
                  <c:v>2.8313000000000001</c:v>
                </c:pt>
                <c:pt idx="5711">
                  <c:v>2.8317000000000001</c:v>
                </c:pt>
                <c:pt idx="5712">
                  <c:v>2.8401000000000001</c:v>
                </c:pt>
                <c:pt idx="5713">
                  <c:v>2.8592</c:v>
                </c:pt>
                <c:pt idx="5714">
                  <c:v>2.8531</c:v>
                </c:pt>
                <c:pt idx="5715">
                  <c:v>2.8498000000000001</c:v>
                </c:pt>
                <c:pt idx="5716">
                  <c:v>2.8466</c:v>
                </c:pt>
                <c:pt idx="5717">
                  <c:v>2.8433000000000002</c:v>
                </c:pt>
                <c:pt idx="5718">
                  <c:v>2.8353000000000002</c:v>
                </c:pt>
                <c:pt idx="5719">
                  <c:v>2.8321000000000001</c:v>
                </c:pt>
                <c:pt idx="5720">
                  <c:v>2.8321000000000001</c:v>
                </c:pt>
                <c:pt idx="5721">
                  <c:v>2.8353000000000002</c:v>
                </c:pt>
                <c:pt idx="5722">
                  <c:v>2.8369</c:v>
                </c:pt>
                <c:pt idx="5723">
                  <c:v>2.8336999999999999</c:v>
                </c:pt>
                <c:pt idx="5724">
                  <c:v>2.8224999999999998</c:v>
                </c:pt>
                <c:pt idx="5725">
                  <c:v>2.8264999999999998</c:v>
                </c:pt>
                <c:pt idx="5726">
                  <c:v>2.8344999999999998</c:v>
                </c:pt>
                <c:pt idx="5727">
                  <c:v>2.8169</c:v>
                </c:pt>
                <c:pt idx="5728">
                  <c:v>2.8144999999999998</c:v>
                </c:pt>
                <c:pt idx="5729">
                  <c:v>2.8043</c:v>
                </c:pt>
                <c:pt idx="5730">
                  <c:v>2.8066</c:v>
                </c:pt>
                <c:pt idx="5731">
                  <c:v>2.8069999999999999</c:v>
                </c:pt>
                <c:pt idx="5732">
                  <c:v>2.8058000000000001</c:v>
                </c:pt>
                <c:pt idx="5733">
                  <c:v>2.8066</c:v>
                </c:pt>
                <c:pt idx="5734">
                  <c:v>2.8241000000000001</c:v>
                </c:pt>
                <c:pt idx="5735">
                  <c:v>2.8233000000000001</c:v>
                </c:pt>
                <c:pt idx="5736">
                  <c:v>2.8201000000000001</c:v>
                </c:pt>
                <c:pt idx="5737">
                  <c:v>2.8184999999999998</c:v>
                </c:pt>
                <c:pt idx="5738">
                  <c:v>2.8205</c:v>
                </c:pt>
                <c:pt idx="5739">
                  <c:v>2.8329</c:v>
                </c:pt>
                <c:pt idx="5740">
                  <c:v>2.8264999999999998</c:v>
                </c:pt>
                <c:pt idx="5741">
                  <c:v>2.8209</c:v>
                </c:pt>
                <c:pt idx="5742">
                  <c:v>2.8144999999999998</c:v>
                </c:pt>
                <c:pt idx="5743">
                  <c:v>2.8289</c:v>
                </c:pt>
                <c:pt idx="5744">
                  <c:v>2.8336999999999999</c:v>
                </c:pt>
                <c:pt idx="5745">
                  <c:v>2.8321000000000001</c:v>
                </c:pt>
                <c:pt idx="5746">
                  <c:v>2.8376999999999999</c:v>
                </c:pt>
                <c:pt idx="5747">
                  <c:v>2.8409</c:v>
                </c:pt>
                <c:pt idx="5748">
                  <c:v>2.8420999999999998</c:v>
                </c:pt>
                <c:pt idx="5749">
                  <c:v>2.8628999999999998</c:v>
                </c:pt>
                <c:pt idx="5750">
                  <c:v>2.8649</c:v>
                </c:pt>
                <c:pt idx="5751">
                  <c:v>2.867</c:v>
                </c:pt>
                <c:pt idx="5752">
                  <c:v>2.8715000000000002</c:v>
                </c:pt>
                <c:pt idx="5753">
                  <c:v>2.8776999999999999</c:v>
                </c:pt>
                <c:pt idx="5754">
                  <c:v>2.8719000000000001</c:v>
                </c:pt>
                <c:pt idx="5755">
                  <c:v>2.8563000000000001</c:v>
                </c:pt>
                <c:pt idx="5756">
                  <c:v>2.8776999999999999</c:v>
                </c:pt>
                <c:pt idx="5757">
                  <c:v>2.8769</c:v>
                </c:pt>
                <c:pt idx="5758">
                  <c:v>2.8809999999999998</c:v>
                </c:pt>
                <c:pt idx="5759">
                  <c:v>2.8755999999999999</c:v>
                </c:pt>
                <c:pt idx="5760">
                  <c:v>2.8685999999999998</c:v>
                </c:pt>
                <c:pt idx="5761">
                  <c:v>2.9011</c:v>
                </c:pt>
                <c:pt idx="5762">
                  <c:v>2.9129</c:v>
                </c:pt>
                <c:pt idx="5763">
                  <c:v>2.9043999999999999</c:v>
                </c:pt>
                <c:pt idx="5764">
                  <c:v>2.8877000000000002</c:v>
                </c:pt>
                <c:pt idx="5765">
                  <c:v>2.8773</c:v>
                </c:pt>
                <c:pt idx="5766">
                  <c:v>2.867</c:v>
                </c:pt>
                <c:pt idx="5767">
                  <c:v>2.8563000000000001</c:v>
                </c:pt>
                <c:pt idx="5768">
                  <c:v>2.8555000000000001</c:v>
                </c:pt>
                <c:pt idx="5769">
                  <c:v>2.8534999999999999</c:v>
                </c:pt>
                <c:pt idx="5770">
                  <c:v>2.8424999999999998</c:v>
                </c:pt>
                <c:pt idx="5771">
                  <c:v>2.8506</c:v>
                </c:pt>
                <c:pt idx="5772">
                  <c:v>2.8466</c:v>
                </c:pt>
                <c:pt idx="5773">
                  <c:v>2.8620000000000001</c:v>
                </c:pt>
                <c:pt idx="5774">
                  <c:v>2.8826999999999998</c:v>
                </c:pt>
                <c:pt idx="5775">
                  <c:v>2.8662000000000001</c:v>
                </c:pt>
                <c:pt idx="5776">
                  <c:v>2.8645</c:v>
                </c:pt>
                <c:pt idx="5777">
                  <c:v>2.8702999999999999</c:v>
                </c:pt>
                <c:pt idx="5778">
                  <c:v>2.8732000000000002</c:v>
                </c:pt>
                <c:pt idx="5779">
                  <c:v>2.867</c:v>
                </c:pt>
                <c:pt idx="5780">
                  <c:v>2.8645</c:v>
                </c:pt>
                <c:pt idx="5781">
                  <c:v>2.8555000000000001</c:v>
                </c:pt>
                <c:pt idx="5782">
                  <c:v>2.8755999999999999</c:v>
                </c:pt>
                <c:pt idx="5783">
                  <c:v>2.8620000000000001</c:v>
                </c:pt>
                <c:pt idx="5784">
                  <c:v>2.8559000000000001</c:v>
                </c:pt>
                <c:pt idx="5785">
                  <c:v>2.8685999999999998</c:v>
                </c:pt>
                <c:pt idx="5786">
                  <c:v>2.8748</c:v>
                </c:pt>
                <c:pt idx="5787">
                  <c:v>2.8769</c:v>
                </c:pt>
                <c:pt idx="5788">
                  <c:v>2.8727</c:v>
                </c:pt>
                <c:pt idx="5789">
                  <c:v>2.8976999999999999</c:v>
                </c:pt>
                <c:pt idx="5790">
                  <c:v>2.8885000000000001</c:v>
                </c:pt>
                <c:pt idx="5791">
                  <c:v>2.8976999999999999</c:v>
                </c:pt>
                <c:pt idx="5792">
                  <c:v>2.891</c:v>
                </c:pt>
                <c:pt idx="5793">
                  <c:v>2.8935</c:v>
                </c:pt>
                <c:pt idx="5794">
                  <c:v>2.9098999999999999</c:v>
                </c:pt>
                <c:pt idx="5795">
                  <c:v>2.9098999999999999</c:v>
                </c:pt>
                <c:pt idx="5796">
                  <c:v>2.9087000000000001</c:v>
                </c:pt>
                <c:pt idx="5797">
                  <c:v>2.9001999999999999</c:v>
                </c:pt>
                <c:pt idx="5798">
                  <c:v>2.8917999999999999</c:v>
                </c:pt>
                <c:pt idx="5799">
                  <c:v>2.8868</c:v>
                </c:pt>
                <c:pt idx="5800">
                  <c:v>2.8769</c:v>
                </c:pt>
                <c:pt idx="5801">
                  <c:v>2.8794</c:v>
                </c:pt>
                <c:pt idx="5802">
                  <c:v>2.8776999999999999</c:v>
                </c:pt>
                <c:pt idx="5803">
                  <c:v>2.8902000000000001</c:v>
                </c:pt>
                <c:pt idx="5804">
                  <c:v>2.8784999999999998</c:v>
                </c:pt>
                <c:pt idx="5805">
                  <c:v>2.867</c:v>
                </c:pt>
                <c:pt idx="5806">
                  <c:v>2.8893</c:v>
                </c:pt>
                <c:pt idx="5807">
                  <c:v>2.8927</c:v>
                </c:pt>
                <c:pt idx="5808">
                  <c:v>2.8809999999999998</c:v>
                </c:pt>
                <c:pt idx="5809">
                  <c:v>2.8852000000000002</c:v>
                </c:pt>
                <c:pt idx="5810">
                  <c:v>2.8769</c:v>
                </c:pt>
                <c:pt idx="5811">
                  <c:v>2.8531</c:v>
                </c:pt>
                <c:pt idx="5812">
                  <c:v>2.8466</c:v>
                </c:pt>
                <c:pt idx="5813">
                  <c:v>2.8531</c:v>
                </c:pt>
                <c:pt idx="5814">
                  <c:v>2.8353000000000002</c:v>
                </c:pt>
                <c:pt idx="5815">
                  <c:v>2.8296999999999999</c:v>
                </c:pt>
                <c:pt idx="5816">
                  <c:v>2.8321000000000001</c:v>
                </c:pt>
                <c:pt idx="5817">
                  <c:v>2.8313000000000001</c:v>
                </c:pt>
                <c:pt idx="5818">
                  <c:v>2.8289</c:v>
                </c:pt>
                <c:pt idx="5819">
                  <c:v>2.8129</c:v>
                </c:pt>
                <c:pt idx="5820">
                  <c:v>2.7902</c:v>
                </c:pt>
                <c:pt idx="5821">
                  <c:v>2.8035000000000001</c:v>
                </c:pt>
                <c:pt idx="5822">
                  <c:v>2.7917000000000001</c:v>
                </c:pt>
                <c:pt idx="5823">
                  <c:v>2.7988</c:v>
                </c:pt>
                <c:pt idx="5824">
                  <c:v>2.8081999999999998</c:v>
                </c:pt>
                <c:pt idx="5825">
                  <c:v>2.8047</c:v>
                </c:pt>
                <c:pt idx="5826">
                  <c:v>2.8129</c:v>
                </c:pt>
                <c:pt idx="5827">
                  <c:v>2.8113999999999999</c:v>
                </c:pt>
                <c:pt idx="5828">
                  <c:v>2.7902</c:v>
                </c:pt>
                <c:pt idx="5829">
                  <c:v>2.7816000000000001</c:v>
                </c:pt>
                <c:pt idx="5830">
                  <c:v>2.7793000000000001</c:v>
                </c:pt>
                <c:pt idx="5831">
                  <c:v>2.8043</c:v>
                </c:pt>
                <c:pt idx="5832">
                  <c:v>2.798</c:v>
                </c:pt>
                <c:pt idx="5833">
                  <c:v>2.7917000000000001</c:v>
                </c:pt>
                <c:pt idx="5834">
                  <c:v>2.7839999999999998</c:v>
                </c:pt>
                <c:pt idx="5835">
                  <c:v>2.7847</c:v>
                </c:pt>
                <c:pt idx="5836">
                  <c:v>2.7995999999999999</c:v>
                </c:pt>
                <c:pt idx="5837">
                  <c:v>2.7824</c:v>
                </c:pt>
                <c:pt idx="5838">
                  <c:v>2.7719999999999998</c:v>
                </c:pt>
                <c:pt idx="5839">
                  <c:v>2.7909999999999999</c:v>
                </c:pt>
                <c:pt idx="5840">
                  <c:v>2.8121</c:v>
                </c:pt>
                <c:pt idx="5841">
                  <c:v>2.7871000000000001</c:v>
                </c:pt>
                <c:pt idx="5842">
                  <c:v>2.7886000000000002</c:v>
                </c:pt>
                <c:pt idx="5843">
                  <c:v>2.7839999999999998</c:v>
                </c:pt>
                <c:pt idx="5844">
                  <c:v>2.7988</c:v>
                </c:pt>
                <c:pt idx="5845">
                  <c:v>2.7886000000000002</c:v>
                </c:pt>
                <c:pt idx="5846">
                  <c:v>2.7669999999999999</c:v>
                </c:pt>
                <c:pt idx="5847">
                  <c:v>2.7277999999999998</c:v>
                </c:pt>
                <c:pt idx="5848">
                  <c:v>2.7107999999999999</c:v>
                </c:pt>
                <c:pt idx="5849">
                  <c:v>2.7107999999999999</c:v>
                </c:pt>
                <c:pt idx="5850">
                  <c:v>2.7189000000000001</c:v>
                </c:pt>
                <c:pt idx="5851">
                  <c:v>2.7136999999999998</c:v>
                </c:pt>
                <c:pt idx="5852">
                  <c:v>2.7248000000000001</c:v>
                </c:pt>
                <c:pt idx="5853">
                  <c:v>2.7056</c:v>
                </c:pt>
                <c:pt idx="5854">
                  <c:v>2.7189000000000001</c:v>
                </c:pt>
                <c:pt idx="5855">
                  <c:v>2.7189000000000001</c:v>
                </c:pt>
                <c:pt idx="5856">
                  <c:v>2.6976</c:v>
                </c:pt>
                <c:pt idx="5857">
                  <c:v>2.7122000000000002</c:v>
                </c:pt>
                <c:pt idx="5858">
                  <c:v>2.6913999999999998</c:v>
                </c:pt>
                <c:pt idx="5859">
                  <c:v>2.7004999999999999</c:v>
                </c:pt>
                <c:pt idx="5860">
                  <c:v>2.7336999999999998</c:v>
                </c:pt>
                <c:pt idx="5861">
                  <c:v>2.7159</c:v>
                </c:pt>
                <c:pt idx="5862">
                  <c:v>2.7336999999999998</c:v>
                </c:pt>
                <c:pt idx="5863">
                  <c:v>2.7086000000000001</c:v>
                </c:pt>
                <c:pt idx="5864">
                  <c:v>2.6842000000000001</c:v>
                </c:pt>
                <c:pt idx="5865">
                  <c:v>2.6964999999999999</c:v>
                </c:pt>
                <c:pt idx="5866">
                  <c:v>2.6882000000000001</c:v>
                </c:pt>
                <c:pt idx="5867">
                  <c:v>2.6882000000000001</c:v>
                </c:pt>
                <c:pt idx="5868">
                  <c:v>2.6713</c:v>
                </c:pt>
                <c:pt idx="5869">
                  <c:v>2.6364000000000001</c:v>
                </c:pt>
                <c:pt idx="5870">
                  <c:v>2.6192000000000002</c:v>
                </c:pt>
                <c:pt idx="5871">
                  <c:v>2.6156999999999999</c:v>
                </c:pt>
                <c:pt idx="5872">
                  <c:v>2.6082000000000001</c:v>
                </c:pt>
                <c:pt idx="5873">
                  <c:v>2.6280999999999999</c:v>
                </c:pt>
                <c:pt idx="5874">
                  <c:v>2.6027999999999998</c:v>
                </c:pt>
                <c:pt idx="5875">
                  <c:v>2.5880000000000001</c:v>
                </c:pt>
                <c:pt idx="5876">
                  <c:v>2.5988000000000002</c:v>
                </c:pt>
                <c:pt idx="5877">
                  <c:v>2.5880000000000001</c:v>
                </c:pt>
                <c:pt idx="5878">
                  <c:v>2.5954000000000002</c:v>
                </c:pt>
                <c:pt idx="5879">
                  <c:v>2.5792999999999999</c:v>
                </c:pt>
                <c:pt idx="5880">
                  <c:v>2.5628000000000002</c:v>
                </c:pt>
                <c:pt idx="5881">
                  <c:v>2.569</c:v>
                </c:pt>
                <c:pt idx="5882">
                  <c:v>2.5663999999999998</c:v>
                </c:pt>
                <c:pt idx="5883">
                  <c:v>2.5602</c:v>
                </c:pt>
                <c:pt idx="5884">
                  <c:v>2.5377000000000001</c:v>
                </c:pt>
                <c:pt idx="5885">
                  <c:v>2.5468000000000002</c:v>
                </c:pt>
                <c:pt idx="5886">
                  <c:v>2.5451999999999999</c:v>
                </c:pt>
                <c:pt idx="5887">
                  <c:v>2.5381</c:v>
                </c:pt>
                <c:pt idx="5888">
                  <c:v>2.5329000000000002</c:v>
                </c:pt>
                <c:pt idx="5889">
                  <c:v>2.5354999999999999</c:v>
                </c:pt>
                <c:pt idx="5890">
                  <c:v>2.5354999999999999</c:v>
                </c:pt>
                <c:pt idx="5891">
                  <c:v>2.5284</c:v>
                </c:pt>
                <c:pt idx="5892">
                  <c:v>2.5213999999999999</c:v>
                </c:pt>
                <c:pt idx="5893">
                  <c:v>2.5268000000000002</c:v>
                </c:pt>
                <c:pt idx="5894">
                  <c:v>2.5265</c:v>
                </c:pt>
                <c:pt idx="5895">
                  <c:v>2.5226999999999999</c:v>
                </c:pt>
                <c:pt idx="5896">
                  <c:v>2.5221</c:v>
                </c:pt>
                <c:pt idx="5897">
                  <c:v>2.5326</c:v>
                </c:pt>
                <c:pt idx="5898">
                  <c:v>2.5329000000000002</c:v>
                </c:pt>
                <c:pt idx="5899">
                  <c:v>2.5377000000000001</c:v>
                </c:pt>
                <c:pt idx="5900">
                  <c:v>2.5457999999999998</c:v>
                </c:pt>
                <c:pt idx="5901">
                  <c:v>2.5497000000000001</c:v>
                </c:pt>
                <c:pt idx="5902">
                  <c:v>2.5419</c:v>
                </c:pt>
                <c:pt idx="5903">
                  <c:v>2.5484</c:v>
                </c:pt>
                <c:pt idx="5904">
                  <c:v>2.5493999999999999</c:v>
                </c:pt>
                <c:pt idx="5905">
                  <c:v>2.5396999999999998</c:v>
                </c:pt>
                <c:pt idx="5906">
                  <c:v>2.5548999999999999</c:v>
                </c:pt>
                <c:pt idx="5907">
                  <c:v>2.54</c:v>
                </c:pt>
                <c:pt idx="5908">
                  <c:v>2.5556000000000001</c:v>
                </c:pt>
                <c:pt idx="5909">
                  <c:v>2.5617999999999999</c:v>
                </c:pt>
                <c:pt idx="5910">
                  <c:v>2.5653999999999999</c:v>
                </c:pt>
                <c:pt idx="5911">
                  <c:v>2.5926999999999998</c:v>
                </c:pt>
                <c:pt idx="5912">
                  <c:v>2.5939999999999999</c:v>
                </c:pt>
                <c:pt idx="5913">
                  <c:v>2.6069</c:v>
                </c:pt>
                <c:pt idx="5914">
                  <c:v>2.5815999999999999</c:v>
                </c:pt>
                <c:pt idx="5915">
                  <c:v>2.5773000000000001</c:v>
                </c:pt>
                <c:pt idx="5916">
                  <c:v>2.5893000000000002</c:v>
                </c:pt>
                <c:pt idx="5917">
                  <c:v>2.5880000000000001</c:v>
                </c:pt>
                <c:pt idx="5918">
                  <c:v>2.5727000000000002</c:v>
                </c:pt>
                <c:pt idx="5919">
                  <c:v>2.5457999999999998</c:v>
                </c:pt>
                <c:pt idx="5920">
                  <c:v>2.5387</c:v>
                </c:pt>
                <c:pt idx="5921">
                  <c:v>2.5526</c:v>
                </c:pt>
                <c:pt idx="5922">
                  <c:v>2.5634000000000001</c:v>
                </c:pt>
                <c:pt idx="5923">
                  <c:v>2.5687000000000002</c:v>
                </c:pt>
                <c:pt idx="5924">
                  <c:v>2.5815999999999999</c:v>
                </c:pt>
                <c:pt idx="5925">
                  <c:v>2.5792999999999999</c:v>
                </c:pt>
                <c:pt idx="5926">
                  <c:v>2.5552999999999999</c:v>
                </c:pt>
                <c:pt idx="5927">
                  <c:v>2.5291000000000001</c:v>
                </c:pt>
                <c:pt idx="5928">
                  <c:v>2.5188999999999999</c:v>
                </c:pt>
                <c:pt idx="5929">
                  <c:v>2.5253000000000001</c:v>
                </c:pt>
                <c:pt idx="5930">
                  <c:v>2.5217999999999998</c:v>
                </c:pt>
                <c:pt idx="5931">
                  <c:v>2.5183</c:v>
                </c:pt>
                <c:pt idx="5932">
                  <c:v>2.5141</c:v>
                </c:pt>
                <c:pt idx="5933">
                  <c:v>2.5116000000000001</c:v>
                </c:pt>
                <c:pt idx="5934">
                  <c:v>2.5082</c:v>
                </c:pt>
                <c:pt idx="5935">
                  <c:v>2.5019</c:v>
                </c:pt>
                <c:pt idx="5936">
                  <c:v>2.5125999999999999</c:v>
                </c:pt>
                <c:pt idx="5937">
                  <c:v>2.5253000000000001</c:v>
                </c:pt>
                <c:pt idx="5938">
                  <c:v>2.5253000000000001</c:v>
                </c:pt>
                <c:pt idx="5939">
                  <c:v>2.5396999999999998</c:v>
                </c:pt>
                <c:pt idx="5940">
                  <c:v>2.5131999999999999</c:v>
                </c:pt>
                <c:pt idx="5941">
                  <c:v>2.5183</c:v>
                </c:pt>
                <c:pt idx="5942">
                  <c:v>2.5053000000000001</c:v>
                </c:pt>
                <c:pt idx="5943">
                  <c:v>2.5106999999999999</c:v>
                </c:pt>
                <c:pt idx="5944">
                  <c:v>2.5194999999999999</c:v>
                </c:pt>
                <c:pt idx="5945">
                  <c:v>2.5156999999999998</c:v>
                </c:pt>
                <c:pt idx="5946">
                  <c:v>2.5122</c:v>
                </c:pt>
                <c:pt idx="5947">
                  <c:v>2.5173000000000001</c:v>
                </c:pt>
                <c:pt idx="5948">
                  <c:v>2.5188999999999999</c:v>
                </c:pt>
                <c:pt idx="5949">
                  <c:v>2.5265</c:v>
                </c:pt>
                <c:pt idx="5950">
                  <c:v>2.5232999999999999</c:v>
                </c:pt>
                <c:pt idx="5951">
                  <c:v>2.5304000000000002</c:v>
                </c:pt>
                <c:pt idx="5952">
                  <c:v>2.5291000000000001</c:v>
                </c:pt>
                <c:pt idx="5953">
                  <c:v>2.5265</c:v>
                </c:pt>
                <c:pt idx="5954">
                  <c:v>2.5232999999999999</c:v>
                </c:pt>
                <c:pt idx="5955">
                  <c:v>2.5236999999999998</c:v>
                </c:pt>
                <c:pt idx="5956">
                  <c:v>2.5352000000000001</c:v>
                </c:pt>
                <c:pt idx="5957">
                  <c:v>2.5280999999999998</c:v>
                </c:pt>
                <c:pt idx="5958">
                  <c:v>2.5253000000000001</c:v>
                </c:pt>
                <c:pt idx="5959">
                  <c:v>2.5265</c:v>
                </c:pt>
                <c:pt idx="5960">
                  <c:v>2.5304000000000002</c:v>
                </c:pt>
                <c:pt idx="5961">
                  <c:v>2.5396999999999998</c:v>
                </c:pt>
                <c:pt idx="5962">
                  <c:v>2.5484</c:v>
                </c:pt>
                <c:pt idx="5963">
                  <c:v>2.5407000000000002</c:v>
                </c:pt>
                <c:pt idx="5964">
                  <c:v>2.5484</c:v>
                </c:pt>
                <c:pt idx="5965">
                  <c:v>2.5352000000000001</c:v>
                </c:pt>
                <c:pt idx="5966">
                  <c:v>2.5438999999999998</c:v>
                </c:pt>
                <c:pt idx="5967">
                  <c:v>2.5316000000000001</c:v>
                </c:pt>
                <c:pt idx="5968">
                  <c:v>2.5360999999999998</c:v>
                </c:pt>
                <c:pt idx="5969">
                  <c:v>2.5451999999999999</c:v>
                </c:pt>
                <c:pt idx="5970">
                  <c:v>2.5396999999999998</c:v>
                </c:pt>
                <c:pt idx="5971">
                  <c:v>2.5358000000000001</c:v>
                </c:pt>
                <c:pt idx="5972">
                  <c:v>2.5312999999999999</c:v>
                </c:pt>
                <c:pt idx="5973">
                  <c:v>2.5316000000000001</c:v>
                </c:pt>
                <c:pt idx="5974">
                  <c:v>2.5426000000000002</c:v>
                </c:pt>
                <c:pt idx="5975">
                  <c:v>2.5352000000000001</c:v>
                </c:pt>
                <c:pt idx="5976">
                  <c:v>2.5278</c:v>
                </c:pt>
                <c:pt idx="5977">
                  <c:v>2.5413000000000001</c:v>
                </c:pt>
                <c:pt idx="5978">
                  <c:v>2.5367999999999999</c:v>
                </c:pt>
                <c:pt idx="5979">
                  <c:v>2.5484</c:v>
                </c:pt>
                <c:pt idx="5980">
                  <c:v>2.5592000000000001</c:v>
                </c:pt>
                <c:pt idx="5981">
                  <c:v>2.5617999999999999</c:v>
                </c:pt>
                <c:pt idx="5982">
                  <c:v>2.5697000000000001</c:v>
                </c:pt>
                <c:pt idx="5983">
                  <c:v>2.5756999999999999</c:v>
                </c:pt>
                <c:pt idx="5984">
                  <c:v>2.5628000000000002</c:v>
                </c:pt>
                <c:pt idx="5985">
                  <c:v>2.5653999999999999</c:v>
                </c:pt>
                <c:pt idx="5986">
                  <c:v>2.5653999999999999</c:v>
                </c:pt>
                <c:pt idx="5987">
                  <c:v>2.5680999999999998</c:v>
                </c:pt>
                <c:pt idx="5988">
                  <c:v>2.5552999999999999</c:v>
                </c:pt>
                <c:pt idx="5989">
                  <c:v>2.5752999999999999</c:v>
                </c:pt>
                <c:pt idx="5990">
                  <c:v>2.5767000000000002</c:v>
                </c:pt>
                <c:pt idx="5991">
                  <c:v>2.5752999999999999</c:v>
                </c:pt>
                <c:pt idx="5992">
                  <c:v>2.5634000000000001</c:v>
                </c:pt>
                <c:pt idx="5993">
                  <c:v>2.5628000000000002</c:v>
                </c:pt>
                <c:pt idx="5994">
                  <c:v>2.5638000000000001</c:v>
                </c:pt>
                <c:pt idx="5995">
                  <c:v>2.5727000000000002</c:v>
                </c:pt>
                <c:pt idx="5996">
                  <c:v>2.5867</c:v>
                </c:pt>
                <c:pt idx="5997">
                  <c:v>2.5815999999999999</c:v>
                </c:pt>
                <c:pt idx="5998">
                  <c:v>2.581</c:v>
                </c:pt>
                <c:pt idx="5999">
                  <c:v>2.5739999999999998</c:v>
                </c:pt>
                <c:pt idx="6000">
                  <c:v>2.5638000000000001</c:v>
                </c:pt>
                <c:pt idx="6001">
                  <c:v>2.5571999999999999</c:v>
                </c:pt>
                <c:pt idx="6002">
                  <c:v>2.5657000000000001</c:v>
                </c:pt>
                <c:pt idx="6003">
                  <c:v>2.5716999999999999</c:v>
                </c:pt>
                <c:pt idx="6004">
                  <c:v>2.5792999999999999</c:v>
                </c:pt>
                <c:pt idx="6005">
                  <c:v>2.5608</c:v>
                </c:pt>
                <c:pt idx="6006">
                  <c:v>2.5592000000000001</c:v>
                </c:pt>
                <c:pt idx="6007">
                  <c:v>2.5533000000000001</c:v>
                </c:pt>
                <c:pt idx="6008">
                  <c:v>2.5535999999999999</c:v>
                </c:pt>
                <c:pt idx="6009">
                  <c:v>2.5451999999999999</c:v>
                </c:pt>
                <c:pt idx="6010">
                  <c:v>2.5510000000000002</c:v>
                </c:pt>
                <c:pt idx="6011">
                  <c:v>2.5571999999999999</c:v>
                </c:pt>
                <c:pt idx="6012">
                  <c:v>2.5617999999999999</c:v>
                </c:pt>
                <c:pt idx="6013">
                  <c:v>2.5676999999999999</c:v>
                </c:pt>
                <c:pt idx="6014">
                  <c:v>2.5739999999999998</c:v>
                </c:pt>
                <c:pt idx="6015">
                  <c:v>2.5657000000000001</c:v>
                </c:pt>
                <c:pt idx="6016">
                  <c:v>2.5747</c:v>
                </c:pt>
                <c:pt idx="6017">
                  <c:v>2.5737000000000001</c:v>
                </c:pt>
                <c:pt idx="6018">
                  <c:v>2.5819999999999999</c:v>
                </c:pt>
                <c:pt idx="6019">
                  <c:v>2.5836000000000001</c:v>
                </c:pt>
                <c:pt idx="6020">
                  <c:v>2.5973999999999999</c:v>
                </c:pt>
                <c:pt idx="6021">
                  <c:v>2.5916999999999999</c:v>
                </c:pt>
                <c:pt idx="6022">
                  <c:v>2.5832999999999999</c:v>
                </c:pt>
                <c:pt idx="6023">
                  <c:v>2.5872999999999999</c:v>
                </c:pt>
                <c:pt idx="6024">
                  <c:v>2.5815999999999999</c:v>
                </c:pt>
                <c:pt idx="6025">
                  <c:v>2.5988000000000002</c:v>
                </c:pt>
                <c:pt idx="6026">
                  <c:v>2.6017999999999999</c:v>
                </c:pt>
                <c:pt idx="6027">
                  <c:v>2.5832999999999999</c:v>
                </c:pt>
                <c:pt idx="6028">
                  <c:v>2.5994000000000002</c:v>
                </c:pt>
                <c:pt idx="6029">
                  <c:v>2.6072000000000002</c:v>
                </c:pt>
                <c:pt idx="6030">
                  <c:v>2.6164000000000001</c:v>
                </c:pt>
                <c:pt idx="6031">
                  <c:v>2.6151</c:v>
                </c:pt>
                <c:pt idx="6032">
                  <c:v>2.6069</c:v>
                </c:pt>
                <c:pt idx="6033">
                  <c:v>2.6089000000000002</c:v>
                </c:pt>
                <c:pt idx="6034">
                  <c:v>2.6185</c:v>
                </c:pt>
                <c:pt idx="6035">
                  <c:v>2.6223000000000001</c:v>
                </c:pt>
                <c:pt idx="6036">
                  <c:v>2.6280999999999999</c:v>
                </c:pt>
                <c:pt idx="6037">
                  <c:v>2.6257000000000001</c:v>
                </c:pt>
                <c:pt idx="6038">
                  <c:v>2.6392000000000002</c:v>
                </c:pt>
                <c:pt idx="6039">
                  <c:v>2.6381999999999999</c:v>
                </c:pt>
                <c:pt idx="6040">
                  <c:v>2.6349999999999998</c:v>
                </c:pt>
                <c:pt idx="6041">
                  <c:v>2.6473</c:v>
                </c:pt>
                <c:pt idx="6042">
                  <c:v>2.6356999999999999</c:v>
                </c:pt>
                <c:pt idx="6043">
                  <c:v>2.6347</c:v>
                </c:pt>
                <c:pt idx="6044">
                  <c:v>2.6406000000000001</c:v>
                </c:pt>
                <c:pt idx="6045">
                  <c:v>2.6455000000000002</c:v>
                </c:pt>
                <c:pt idx="6046">
                  <c:v>2.6427</c:v>
                </c:pt>
                <c:pt idx="6047">
                  <c:v>2.6434000000000002</c:v>
                </c:pt>
                <c:pt idx="6048">
                  <c:v>2.649</c:v>
                </c:pt>
                <c:pt idx="6049">
                  <c:v>2.6497000000000002</c:v>
                </c:pt>
                <c:pt idx="6050">
                  <c:v>2.6589</c:v>
                </c:pt>
                <c:pt idx="6051">
                  <c:v>2.6560000000000001</c:v>
                </c:pt>
                <c:pt idx="6052">
                  <c:v>2.6553</c:v>
                </c:pt>
                <c:pt idx="6053">
                  <c:v>2.6652</c:v>
                </c:pt>
                <c:pt idx="6054">
                  <c:v>2.6642000000000001</c:v>
                </c:pt>
                <c:pt idx="6055">
                  <c:v>2.6652</c:v>
                </c:pt>
                <c:pt idx="6056">
                  <c:v>2.6652</c:v>
                </c:pt>
                <c:pt idx="6057">
                  <c:v>2.6667000000000001</c:v>
                </c:pt>
                <c:pt idx="6058">
                  <c:v>2.6638000000000002</c:v>
                </c:pt>
                <c:pt idx="6059">
                  <c:v>2.6652</c:v>
                </c:pt>
                <c:pt idx="6060">
                  <c:v>2.6674000000000002</c:v>
                </c:pt>
                <c:pt idx="6061">
                  <c:v>2.6617000000000002</c:v>
                </c:pt>
                <c:pt idx="6062">
                  <c:v>2.6677</c:v>
                </c:pt>
                <c:pt idx="6063">
                  <c:v>2.6638000000000002</c:v>
                </c:pt>
                <c:pt idx="6064">
                  <c:v>2.6701999999999999</c:v>
                </c:pt>
                <c:pt idx="6065">
                  <c:v>2.6674000000000002</c:v>
                </c:pt>
                <c:pt idx="6066">
                  <c:v>2.6709000000000001</c:v>
                </c:pt>
                <c:pt idx="6067">
                  <c:v>2.6652</c:v>
                </c:pt>
                <c:pt idx="6068">
                  <c:v>2.6642000000000001</c:v>
                </c:pt>
                <c:pt idx="6069">
                  <c:v>2.6717</c:v>
                </c:pt>
                <c:pt idx="6070">
                  <c:v>2.6631</c:v>
                </c:pt>
                <c:pt idx="6071">
                  <c:v>2.6539000000000001</c:v>
                </c:pt>
                <c:pt idx="6072">
                  <c:v>2.6522000000000001</c:v>
                </c:pt>
                <c:pt idx="6073">
                  <c:v>2.6522000000000001</c:v>
                </c:pt>
                <c:pt idx="6074">
                  <c:v>2.6503999999999999</c:v>
                </c:pt>
                <c:pt idx="6075">
                  <c:v>2.6349999999999998</c:v>
                </c:pt>
                <c:pt idx="6076">
                  <c:v>2.6427</c:v>
                </c:pt>
                <c:pt idx="6077">
                  <c:v>2.6413000000000002</c:v>
                </c:pt>
                <c:pt idx="6078">
                  <c:v>2.6402999999999999</c:v>
                </c:pt>
                <c:pt idx="6079">
                  <c:v>2.633</c:v>
                </c:pt>
                <c:pt idx="6080">
                  <c:v>2.6461999999999999</c:v>
                </c:pt>
                <c:pt idx="6081">
                  <c:v>2.633</c:v>
                </c:pt>
                <c:pt idx="6082">
                  <c:v>2.6406000000000001</c:v>
                </c:pt>
                <c:pt idx="6083">
                  <c:v>2.6337000000000002</c:v>
                </c:pt>
                <c:pt idx="6084">
                  <c:v>2.6349999999999998</c:v>
                </c:pt>
                <c:pt idx="6085">
                  <c:v>2.6377999999999999</c:v>
                </c:pt>
                <c:pt idx="6086">
                  <c:v>2.6461999999999999</c:v>
                </c:pt>
                <c:pt idx="6087">
                  <c:v>2.6476000000000002</c:v>
                </c:pt>
                <c:pt idx="6088">
                  <c:v>2.6581999999999999</c:v>
                </c:pt>
                <c:pt idx="6089">
                  <c:v>2.661</c:v>
                </c:pt>
                <c:pt idx="6090">
                  <c:v>2.6623999999999999</c:v>
                </c:pt>
                <c:pt idx="6091">
                  <c:v>2.6575000000000002</c:v>
                </c:pt>
                <c:pt idx="6092">
                  <c:v>2.6596000000000002</c:v>
                </c:pt>
                <c:pt idx="6093">
                  <c:v>2.6545999999999998</c:v>
                </c:pt>
                <c:pt idx="6094">
                  <c:v>2.6589</c:v>
                </c:pt>
                <c:pt idx="6095">
                  <c:v>2.6553</c:v>
                </c:pt>
                <c:pt idx="6096">
                  <c:v>2.6575000000000002</c:v>
                </c:pt>
                <c:pt idx="6097">
                  <c:v>2.6522000000000001</c:v>
                </c:pt>
                <c:pt idx="6098">
                  <c:v>2.6482999999999999</c:v>
                </c:pt>
                <c:pt idx="6099">
                  <c:v>2.6560000000000001</c:v>
                </c:pt>
                <c:pt idx="6100">
                  <c:v>2.6575000000000002</c:v>
                </c:pt>
                <c:pt idx="6101">
                  <c:v>2.6469</c:v>
                </c:pt>
                <c:pt idx="6102">
                  <c:v>2.6461999999999999</c:v>
                </c:pt>
                <c:pt idx="6103">
                  <c:v>2.6566999999999998</c:v>
                </c:pt>
                <c:pt idx="6104">
                  <c:v>2.6482999999999999</c:v>
                </c:pt>
                <c:pt idx="6105">
                  <c:v>2.6581999999999999</c:v>
                </c:pt>
                <c:pt idx="6106">
                  <c:v>2.6539000000000001</c:v>
                </c:pt>
                <c:pt idx="6107">
                  <c:v>2.6591999999999998</c:v>
                </c:pt>
                <c:pt idx="6108">
                  <c:v>2.6695000000000002</c:v>
                </c:pt>
                <c:pt idx="6109">
                  <c:v>2.6473</c:v>
                </c:pt>
                <c:pt idx="6110">
                  <c:v>2.6532</c:v>
                </c:pt>
                <c:pt idx="6111">
                  <c:v>2.6575000000000002</c:v>
                </c:pt>
                <c:pt idx="6112">
                  <c:v>2.6602999999999999</c:v>
                </c:pt>
                <c:pt idx="6113">
                  <c:v>2.6469</c:v>
                </c:pt>
                <c:pt idx="6114">
                  <c:v>2.6292</c:v>
                </c:pt>
                <c:pt idx="6115">
                  <c:v>2.6337000000000002</c:v>
                </c:pt>
                <c:pt idx="6116">
                  <c:v>2.6301999999999999</c:v>
                </c:pt>
                <c:pt idx="6117">
                  <c:v>2.6076000000000001</c:v>
                </c:pt>
                <c:pt idx="6118">
                  <c:v>2.5998000000000001</c:v>
                </c:pt>
                <c:pt idx="6119">
                  <c:v>2.6034999999999999</c:v>
                </c:pt>
                <c:pt idx="6120">
                  <c:v>2.6223000000000001</c:v>
                </c:pt>
                <c:pt idx="6121">
                  <c:v>2.6171000000000002</c:v>
                </c:pt>
                <c:pt idx="6122">
                  <c:v>2.6185</c:v>
                </c:pt>
                <c:pt idx="6123">
                  <c:v>2.5947</c:v>
                </c:pt>
                <c:pt idx="6124">
                  <c:v>2.5872999999999999</c:v>
                </c:pt>
                <c:pt idx="6125">
                  <c:v>2.5846</c:v>
                </c:pt>
                <c:pt idx="6126">
                  <c:v>2.5859999999999999</c:v>
                </c:pt>
                <c:pt idx="6127">
                  <c:v>2.5714000000000001</c:v>
                </c:pt>
                <c:pt idx="6128">
                  <c:v>2.58</c:v>
                </c:pt>
                <c:pt idx="6129">
                  <c:v>2.5853000000000002</c:v>
                </c:pt>
                <c:pt idx="6130">
                  <c:v>2.5739999999999998</c:v>
                </c:pt>
                <c:pt idx="6131">
                  <c:v>2.5571999999999999</c:v>
                </c:pt>
                <c:pt idx="6132">
                  <c:v>2.5556000000000001</c:v>
                </c:pt>
                <c:pt idx="6133">
                  <c:v>2.5507</c:v>
                </c:pt>
                <c:pt idx="6134">
                  <c:v>2.5455000000000001</c:v>
                </c:pt>
                <c:pt idx="6135">
                  <c:v>2.5377000000000001</c:v>
                </c:pt>
                <c:pt idx="6136">
                  <c:v>2.5335999999999999</c:v>
                </c:pt>
                <c:pt idx="6137">
                  <c:v>2.5367999999999999</c:v>
                </c:pt>
                <c:pt idx="6138">
                  <c:v>2.5426000000000002</c:v>
                </c:pt>
                <c:pt idx="6139">
                  <c:v>2.5569000000000002</c:v>
                </c:pt>
                <c:pt idx="6140">
                  <c:v>2.5503999999999998</c:v>
                </c:pt>
                <c:pt idx="6141">
                  <c:v>2.5478000000000001</c:v>
                </c:pt>
                <c:pt idx="6142">
                  <c:v>2.5497000000000001</c:v>
                </c:pt>
                <c:pt idx="6143">
                  <c:v>2.5387</c:v>
                </c:pt>
                <c:pt idx="6144">
                  <c:v>2.5381</c:v>
                </c:pt>
                <c:pt idx="6145">
                  <c:v>2.5360999999999998</c:v>
                </c:pt>
                <c:pt idx="6146">
                  <c:v>2.5304000000000002</c:v>
                </c:pt>
                <c:pt idx="6147">
                  <c:v>2.5341999999999998</c:v>
                </c:pt>
                <c:pt idx="6148">
                  <c:v>2.5474000000000001</c:v>
                </c:pt>
                <c:pt idx="6149">
                  <c:v>2.5516999999999999</c:v>
                </c:pt>
                <c:pt idx="6150">
                  <c:v>2.5589</c:v>
                </c:pt>
                <c:pt idx="6151">
                  <c:v>2.5581999999999998</c:v>
                </c:pt>
                <c:pt idx="6152">
                  <c:v>2.5470999999999999</c:v>
                </c:pt>
                <c:pt idx="6153">
                  <c:v>2.5461</c:v>
                </c:pt>
                <c:pt idx="6154">
                  <c:v>2.5638000000000001</c:v>
                </c:pt>
                <c:pt idx="6155">
                  <c:v>2.5562</c:v>
                </c:pt>
                <c:pt idx="6156">
                  <c:v>2.5503999999999998</c:v>
                </c:pt>
                <c:pt idx="6157">
                  <c:v>2.5628000000000002</c:v>
                </c:pt>
                <c:pt idx="6158">
                  <c:v>2.5687000000000002</c:v>
                </c:pt>
                <c:pt idx="6159">
                  <c:v>2.5680999999999998</c:v>
                </c:pt>
                <c:pt idx="6160">
                  <c:v>2.5707</c:v>
                </c:pt>
                <c:pt idx="6161">
                  <c:v>2.5571999999999999</c:v>
                </c:pt>
                <c:pt idx="6162">
                  <c:v>2.5674000000000001</c:v>
                </c:pt>
                <c:pt idx="6163">
                  <c:v>2.5522999999999998</c:v>
                </c:pt>
                <c:pt idx="6164">
                  <c:v>2.5445000000000002</c:v>
                </c:pt>
                <c:pt idx="6165">
                  <c:v>2.5589</c:v>
                </c:pt>
                <c:pt idx="6166">
                  <c:v>2.5419</c:v>
                </c:pt>
                <c:pt idx="6167">
                  <c:v>2.5394000000000001</c:v>
                </c:pt>
                <c:pt idx="6168">
                  <c:v>2.5474000000000001</c:v>
                </c:pt>
                <c:pt idx="6169">
                  <c:v>2.5367999999999999</c:v>
                </c:pt>
                <c:pt idx="6170">
                  <c:v>2.5853000000000002</c:v>
                </c:pt>
                <c:pt idx="6171">
                  <c:v>2.5813000000000001</c:v>
                </c:pt>
                <c:pt idx="6172">
                  <c:v>3</c:v>
                </c:pt>
              </c:numCache>
            </c:numRef>
          </c:yVal>
          <c:smooth val="0"/>
          <c:extLst>
            <c:ext xmlns:c16="http://schemas.microsoft.com/office/drawing/2014/chart" uri="{C3380CC4-5D6E-409C-BE32-E72D297353CC}">
              <c16:uniqueId val="{00000000-53A8-4BFB-9A07-876483973D3F}"/>
            </c:ext>
          </c:extLst>
        </c:ser>
        <c:ser>
          <c:idx val="1"/>
          <c:order val="1"/>
          <c:tx>
            <c:strRef>
              <c:f>ExchangeRateDetail!$F$8</c:f>
              <c:strCache>
                <c:ptCount val="1"/>
                <c:pt idx="0">
                  <c:v>model1 (simple exp.func.)</c:v>
                </c:pt>
              </c:strCache>
            </c:strRef>
          </c:tx>
          <c:marker>
            <c:symbol val="none"/>
          </c:marker>
          <c:xVal>
            <c:numRef>
              <c:f>ExchangeRateDetail!$D$9:$D$6181</c:f>
              <c:numCache>
                <c:formatCode>m/d/yyyy</c:formatCode>
                <c:ptCount val="6173"/>
                <c:pt idx="0">
                  <c:v>41880</c:v>
                </c:pt>
                <c:pt idx="1">
                  <c:v>41879</c:v>
                </c:pt>
                <c:pt idx="2">
                  <c:v>41878</c:v>
                </c:pt>
                <c:pt idx="3">
                  <c:v>41877</c:v>
                </c:pt>
                <c:pt idx="4">
                  <c:v>41876</c:v>
                </c:pt>
                <c:pt idx="5">
                  <c:v>41873</c:v>
                </c:pt>
                <c:pt idx="6">
                  <c:v>41872</c:v>
                </c:pt>
                <c:pt idx="7">
                  <c:v>41871</c:v>
                </c:pt>
                <c:pt idx="8">
                  <c:v>41870</c:v>
                </c:pt>
                <c:pt idx="9">
                  <c:v>41869</c:v>
                </c:pt>
                <c:pt idx="10">
                  <c:v>41866</c:v>
                </c:pt>
                <c:pt idx="11">
                  <c:v>41865</c:v>
                </c:pt>
                <c:pt idx="12">
                  <c:v>41864</c:v>
                </c:pt>
                <c:pt idx="13">
                  <c:v>41863</c:v>
                </c:pt>
                <c:pt idx="14">
                  <c:v>41862</c:v>
                </c:pt>
                <c:pt idx="15">
                  <c:v>41859</c:v>
                </c:pt>
                <c:pt idx="16">
                  <c:v>41858</c:v>
                </c:pt>
                <c:pt idx="17">
                  <c:v>41857</c:v>
                </c:pt>
                <c:pt idx="18">
                  <c:v>41856</c:v>
                </c:pt>
                <c:pt idx="19">
                  <c:v>41855</c:v>
                </c:pt>
                <c:pt idx="20">
                  <c:v>41852</c:v>
                </c:pt>
                <c:pt idx="21">
                  <c:v>41851</c:v>
                </c:pt>
                <c:pt idx="22">
                  <c:v>41850</c:v>
                </c:pt>
                <c:pt idx="23">
                  <c:v>41849</c:v>
                </c:pt>
                <c:pt idx="24">
                  <c:v>41848</c:v>
                </c:pt>
                <c:pt idx="25">
                  <c:v>41845</c:v>
                </c:pt>
                <c:pt idx="26">
                  <c:v>41844</c:v>
                </c:pt>
                <c:pt idx="27">
                  <c:v>41843</c:v>
                </c:pt>
                <c:pt idx="28">
                  <c:v>41842</c:v>
                </c:pt>
                <c:pt idx="29">
                  <c:v>41841</c:v>
                </c:pt>
                <c:pt idx="30">
                  <c:v>41838</c:v>
                </c:pt>
                <c:pt idx="31">
                  <c:v>41837</c:v>
                </c:pt>
                <c:pt idx="32">
                  <c:v>41836</c:v>
                </c:pt>
                <c:pt idx="33">
                  <c:v>41835</c:v>
                </c:pt>
                <c:pt idx="34">
                  <c:v>41834</c:v>
                </c:pt>
                <c:pt idx="35">
                  <c:v>41831</c:v>
                </c:pt>
                <c:pt idx="36">
                  <c:v>41830</c:v>
                </c:pt>
                <c:pt idx="37">
                  <c:v>41829</c:v>
                </c:pt>
                <c:pt idx="38">
                  <c:v>41828</c:v>
                </c:pt>
                <c:pt idx="39">
                  <c:v>41827</c:v>
                </c:pt>
                <c:pt idx="40">
                  <c:v>41824</c:v>
                </c:pt>
                <c:pt idx="41">
                  <c:v>41823</c:v>
                </c:pt>
                <c:pt idx="42">
                  <c:v>41822</c:v>
                </c:pt>
                <c:pt idx="43">
                  <c:v>41821</c:v>
                </c:pt>
                <c:pt idx="44">
                  <c:v>41820</c:v>
                </c:pt>
                <c:pt idx="45">
                  <c:v>41817</c:v>
                </c:pt>
                <c:pt idx="46">
                  <c:v>41816</c:v>
                </c:pt>
                <c:pt idx="47">
                  <c:v>41815</c:v>
                </c:pt>
                <c:pt idx="48">
                  <c:v>41814</c:v>
                </c:pt>
                <c:pt idx="49">
                  <c:v>41813</c:v>
                </c:pt>
                <c:pt idx="50">
                  <c:v>41810</c:v>
                </c:pt>
                <c:pt idx="51">
                  <c:v>41809</c:v>
                </c:pt>
                <c:pt idx="52">
                  <c:v>41808</c:v>
                </c:pt>
                <c:pt idx="53">
                  <c:v>41807</c:v>
                </c:pt>
                <c:pt idx="54">
                  <c:v>41803</c:v>
                </c:pt>
                <c:pt idx="55">
                  <c:v>41802</c:v>
                </c:pt>
                <c:pt idx="56">
                  <c:v>41801</c:v>
                </c:pt>
                <c:pt idx="57">
                  <c:v>41800</c:v>
                </c:pt>
                <c:pt idx="58">
                  <c:v>41799</c:v>
                </c:pt>
                <c:pt idx="59">
                  <c:v>41796</c:v>
                </c:pt>
                <c:pt idx="60">
                  <c:v>41795</c:v>
                </c:pt>
                <c:pt idx="61">
                  <c:v>41794</c:v>
                </c:pt>
                <c:pt idx="62">
                  <c:v>41793</c:v>
                </c:pt>
                <c:pt idx="63">
                  <c:v>41792</c:v>
                </c:pt>
                <c:pt idx="64">
                  <c:v>41789</c:v>
                </c:pt>
                <c:pt idx="65">
                  <c:v>41788</c:v>
                </c:pt>
                <c:pt idx="66">
                  <c:v>41787</c:v>
                </c:pt>
                <c:pt idx="67">
                  <c:v>41786</c:v>
                </c:pt>
                <c:pt idx="68">
                  <c:v>41785</c:v>
                </c:pt>
                <c:pt idx="69">
                  <c:v>41782</c:v>
                </c:pt>
                <c:pt idx="70">
                  <c:v>41781</c:v>
                </c:pt>
                <c:pt idx="71">
                  <c:v>41780</c:v>
                </c:pt>
                <c:pt idx="72">
                  <c:v>41779</c:v>
                </c:pt>
                <c:pt idx="73">
                  <c:v>41778</c:v>
                </c:pt>
                <c:pt idx="74">
                  <c:v>41775</c:v>
                </c:pt>
                <c:pt idx="75">
                  <c:v>41774</c:v>
                </c:pt>
                <c:pt idx="76">
                  <c:v>41773</c:v>
                </c:pt>
                <c:pt idx="77">
                  <c:v>41772</c:v>
                </c:pt>
                <c:pt idx="78">
                  <c:v>41771</c:v>
                </c:pt>
                <c:pt idx="79">
                  <c:v>41768</c:v>
                </c:pt>
                <c:pt idx="80">
                  <c:v>41767</c:v>
                </c:pt>
                <c:pt idx="81">
                  <c:v>41765</c:v>
                </c:pt>
                <c:pt idx="82">
                  <c:v>41764</c:v>
                </c:pt>
                <c:pt idx="83">
                  <c:v>41761</c:v>
                </c:pt>
                <c:pt idx="84">
                  <c:v>41759</c:v>
                </c:pt>
                <c:pt idx="85">
                  <c:v>41758</c:v>
                </c:pt>
                <c:pt idx="86">
                  <c:v>41754</c:v>
                </c:pt>
                <c:pt idx="87">
                  <c:v>41753</c:v>
                </c:pt>
                <c:pt idx="88">
                  <c:v>41752</c:v>
                </c:pt>
                <c:pt idx="89">
                  <c:v>41751</c:v>
                </c:pt>
                <c:pt idx="90">
                  <c:v>41746</c:v>
                </c:pt>
                <c:pt idx="91">
                  <c:v>41745</c:v>
                </c:pt>
                <c:pt idx="92">
                  <c:v>41744</c:v>
                </c:pt>
                <c:pt idx="93">
                  <c:v>41743</c:v>
                </c:pt>
                <c:pt idx="94">
                  <c:v>41740</c:v>
                </c:pt>
                <c:pt idx="95">
                  <c:v>41739</c:v>
                </c:pt>
                <c:pt idx="96">
                  <c:v>41738</c:v>
                </c:pt>
                <c:pt idx="97">
                  <c:v>41737</c:v>
                </c:pt>
                <c:pt idx="98">
                  <c:v>41736</c:v>
                </c:pt>
                <c:pt idx="99">
                  <c:v>41733</c:v>
                </c:pt>
                <c:pt idx="100">
                  <c:v>41732</c:v>
                </c:pt>
                <c:pt idx="101">
                  <c:v>41731</c:v>
                </c:pt>
                <c:pt idx="102">
                  <c:v>41730</c:v>
                </c:pt>
                <c:pt idx="103">
                  <c:v>41729</c:v>
                </c:pt>
                <c:pt idx="104">
                  <c:v>41726</c:v>
                </c:pt>
                <c:pt idx="105">
                  <c:v>41725</c:v>
                </c:pt>
                <c:pt idx="106">
                  <c:v>41724</c:v>
                </c:pt>
                <c:pt idx="107">
                  <c:v>41723</c:v>
                </c:pt>
                <c:pt idx="108">
                  <c:v>41722</c:v>
                </c:pt>
                <c:pt idx="109">
                  <c:v>41718</c:v>
                </c:pt>
                <c:pt idx="110">
                  <c:v>41717</c:v>
                </c:pt>
                <c:pt idx="111">
                  <c:v>41716</c:v>
                </c:pt>
                <c:pt idx="112">
                  <c:v>41715</c:v>
                </c:pt>
                <c:pt idx="113">
                  <c:v>41712</c:v>
                </c:pt>
                <c:pt idx="114">
                  <c:v>41711</c:v>
                </c:pt>
                <c:pt idx="115">
                  <c:v>41710</c:v>
                </c:pt>
                <c:pt idx="116">
                  <c:v>41709</c:v>
                </c:pt>
                <c:pt idx="117">
                  <c:v>41708</c:v>
                </c:pt>
                <c:pt idx="118">
                  <c:v>41705</c:v>
                </c:pt>
                <c:pt idx="119">
                  <c:v>41704</c:v>
                </c:pt>
                <c:pt idx="120">
                  <c:v>41703</c:v>
                </c:pt>
                <c:pt idx="121">
                  <c:v>41702</c:v>
                </c:pt>
                <c:pt idx="122">
                  <c:v>41701</c:v>
                </c:pt>
                <c:pt idx="123">
                  <c:v>41698</c:v>
                </c:pt>
                <c:pt idx="124">
                  <c:v>41697</c:v>
                </c:pt>
                <c:pt idx="125">
                  <c:v>41696</c:v>
                </c:pt>
                <c:pt idx="126">
                  <c:v>41695</c:v>
                </c:pt>
                <c:pt idx="127">
                  <c:v>41694</c:v>
                </c:pt>
                <c:pt idx="128">
                  <c:v>41691</c:v>
                </c:pt>
                <c:pt idx="129">
                  <c:v>41690</c:v>
                </c:pt>
                <c:pt idx="130">
                  <c:v>41689</c:v>
                </c:pt>
                <c:pt idx="131">
                  <c:v>41688</c:v>
                </c:pt>
                <c:pt idx="132">
                  <c:v>41687</c:v>
                </c:pt>
                <c:pt idx="133">
                  <c:v>41684</c:v>
                </c:pt>
                <c:pt idx="134">
                  <c:v>41683</c:v>
                </c:pt>
                <c:pt idx="135">
                  <c:v>41682</c:v>
                </c:pt>
                <c:pt idx="136">
                  <c:v>41681</c:v>
                </c:pt>
                <c:pt idx="137">
                  <c:v>41680</c:v>
                </c:pt>
                <c:pt idx="138">
                  <c:v>41677</c:v>
                </c:pt>
                <c:pt idx="139">
                  <c:v>41676</c:v>
                </c:pt>
                <c:pt idx="140">
                  <c:v>41675</c:v>
                </c:pt>
                <c:pt idx="141">
                  <c:v>41674</c:v>
                </c:pt>
                <c:pt idx="142">
                  <c:v>41673</c:v>
                </c:pt>
                <c:pt idx="143">
                  <c:v>41670</c:v>
                </c:pt>
                <c:pt idx="144">
                  <c:v>41669</c:v>
                </c:pt>
                <c:pt idx="145">
                  <c:v>41668</c:v>
                </c:pt>
                <c:pt idx="146">
                  <c:v>41667</c:v>
                </c:pt>
                <c:pt idx="147">
                  <c:v>41666</c:v>
                </c:pt>
                <c:pt idx="148">
                  <c:v>41663</c:v>
                </c:pt>
                <c:pt idx="149">
                  <c:v>41662</c:v>
                </c:pt>
                <c:pt idx="150">
                  <c:v>41661</c:v>
                </c:pt>
                <c:pt idx="151">
                  <c:v>41660</c:v>
                </c:pt>
                <c:pt idx="152">
                  <c:v>41659</c:v>
                </c:pt>
                <c:pt idx="153">
                  <c:v>41656</c:v>
                </c:pt>
                <c:pt idx="154">
                  <c:v>41655</c:v>
                </c:pt>
                <c:pt idx="155">
                  <c:v>41654</c:v>
                </c:pt>
                <c:pt idx="156">
                  <c:v>41653</c:v>
                </c:pt>
                <c:pt idx="157">
                  <c:v>41652</c:v>
                </c:pt>
                <c:pt idx="158">
                  <c:v>41649</c:v>
                </c:pt>
                <c:pt idx="159">
                  <c:v>41648</c:v>
                </c:pt>
                <c:pt idx="160">
                  <c:v>41647</c:v>
                </c:pt>
                <c:pt idx="161">
                  <c:v>41646</c:v>
                </c:pt>
                <c:pt idx="162">
                  <c:v>41645</c:v>
                </c:pt>
                <c:pt idx="163">
                  <c:v>41642</c:v>
                </c:pt>
                <c:pt idx="164">
                  <c:v>41641</c:v>
                </c:pt>
                <c:pt idx="165">
                  <c:v>41639</c:v>
                </c:pt>
                <c:pt idx="166">
                  <c:v>41638</c:v>
                </c:pt>
                <c:pt idx="167">
                  <c:v>41635</c:v>
                </c:pt>
                <c:pt idx="168">
                  <c:v>41632</c:v>
                </c:pt>
                <c:pt idx="169">
                  <c:v>41631</c:v>
                </c:pt>
                <c:pt idx="170">
                  <c:v>41628</c:v>
                </c:pt>
                <c:pt idx="171">
                  <c:v>41627</c:v>
                </c:pt>
                <c:pt idx="172">
                  <c:v>41626</c:v>
                </c:pt>
                <c:pt idx="173">
                  <c:v>41625</c:v>
                </c:pt>
                <c:pt idx="174">
                  <c:v>41621</c:v>
                </c:pt>
                <c:pt idx="175">
                  <c:v>41620</c:v>
                </c:pt>
                <c:pt idx="176">
                  <c:v>41619</c:v>
                </c:pt>
                <c:pt idx="177">
                  <c:v>41618</c:v>
                </c:pt>
                <c:pt idx="178">
                  <c:v>41617</c:v>
                </c:pt>
                <c:pt idx="179">
                  <c:v>41614</c:v>
                </c:pt>
                <c:pt idx="180">
                  <c:v>41613</c:v>
                </c:pt>
                <c:pt idx="181">
                  <c:v>41612</c:v>
                </c:pt>
                <c:pt idx="182">
                  <c:v>41611</c:v>
                </c:pt>
                <c:pt idx="183">
                  <c:v>41610</c:v>
                </c:pt>
                <c:pt idx="184">
                  <c:v>41607</c:v>
                </c:pt>
                <c:pt idx="185">
                  <c:v>41606</c:v>
                </c:pt>
                <c:pt idx="186">
                  <c:v>41605</c:v>
                </c:pt>
                <c:pt idx="187">
                  <c:v>41604</c:v>
                </c:pt>
                <c:pt idx="188">
                  <c:v>41603</c:v>
                </c:pt>
                <c:pt idx="189">
                  <c:v>41600</c:v>
                </c:pt>
                <c:pt idx="190">
                  <c:v>41599</c:v>
                </c:pt>
                <c:pt idx="191">
                  <c:v>41598</c:v>
                </c:pt>
                <c:pt idx="192">
                  <c:v>41597</c:v>
                </c:pt>
                <c:pt idx="193">
                  <c:v>41596</c:v>
                </c:pt>
                <c:pt idx="194">
                  <c:v>41593</c:v>
                </c:pt>
                <c:pt idx="195">
                  <c:v>41592</c:v>
                </c:pt>
                <c:pt idx="196">
                  <c:v>41591</c:v>
                </c:pt>
                <c:pt idx="197">
                  <c:v>41590</c:v>
                </c:pt>
                <c:pt idx="198">
                  <c:v>41589</c:v>
                </c:pt>
                <c:pt idx="199">
                  <c:v>41586</c:v>
                </c:pt>
                <c:pt idx="200">
                  <c:v>41585</c:v>
                </c:pt>
                <c:pt idx="201">
                  <c:v>41584</c:v>
                </c:pt>
                <c:pt idx="202">
                  <c:v>41583</c:v>
                </c:pt>
                <c:pt idx="203">
                  <c:v>41582</c:v>
                </c:pt>
                <c:pt idx="204">
                  <c:v>41579</c:v>
                </c:pt>
                <c:pt idx="205">
                  <c:v>41578</c:v>
                </c:pt>
                <c:pt idx="206">
                  <c:v>41577</c:v>
                </c:pt>
                <c:pt idx="207">
                  <c:v>41576</c:v>
                </c:pt>
                <c:pt idx="208">
                  <c:v>41575</c:v>
                </c:pt>
                <c:pt idx="209">
                  <c:v>41572</c:v>
                </c:pt>
                <c:pt idx="210">
                  <c:v>41571</c:v>
                </c:pt>
                <c:pt idx="211">
                  <c:v>41570</c:v>
                </c:pt>
                <c:pt idx="212">
                  <c:v>41569</c:v>
                </c:pt>
                <c:pt idx="213">
                  <c:v>41568</c:v>
                </c:pt>
                <c:pt idx="214">
                  <c:v>41565</c:v>
                </c:pt>
                <c:pt idx="215">
                  <c:v>41564</c:v>
                </c:pt>
                <c:pt idx="216">
                  <c:v>41563</c:v>
                </c:pt>
                <c:pt idx="217">
                  <c:v>41562</c:v>
                </c:pt>
                <c:pt idx="218">
                  <c:v>41561</c:v>
                </c:pt>
                <c:pt idx="219">
                  <c:v>41558</c:v>
                </c:pt>
                <c:pt idx="220">
                  <c:v>41557</c:v>
                </c:pt>
                <c:pt idx="221">
                  <c:v>41556</c:v>
                </c:pt>
                <c:pt idx="222">
                  <c:v>41555</c:v>
                </c:pt>
                <c:pt idx="223">
                  <c:v>41554</c:v>
                </c:pt>
                <c:pt idx="224">
                  <c:v>41551</c:v>
                </c:pt>
                <c:pt idx="225">
                  <c:v>41550</c:v>
                </c:pt>
                <c:pt idx="226">
                  <c:v>41549</c:v>
                </c:pt>
                <c:pt idx="227">
                  <c:v>41548</c:v>
                </c:pt>
                <c:pt idx="228">
                  <c:v>41547</c:v>
                </c:pt>
                <c:pt idx="229">
                  <c:v>41544</c:v>
                </c:pt>
                <c:pt idx="230">
                  <c:v>41543</c:v>
                </c:pt>
                <c:pt idx="231">
                  <c:v>41542</c:v>
                </c:pt>
                <c:pt idx="232">
                  <c:v>41540</c:v>
                </c:pt>
                <c:pt idx="233">
                  <c:v>41537</c:v>
                </c:pt>
                <c:pt idx="234">
                  <c:v>41536</c:v>
                </c:pt>
                <c:pt idx="235">
                  <c:v>41535</c:v>
                </c:pt>
                <c:pt idx="236">
                  <c:v>41534</c:v>
                </c:pt>
                <c:pt idx="237">
                  <c:v>41533</c:v>
                </c:pt>
                <c:pt idx="238">
                  <c:v>41530</c:v>
                </c:pt>
                <c:pt idx="239">
                  <c:v>41529</c:v>
                </c:pt>
                <c:pt idx="240">
                  <c:v>41528</c:v>
                </c:pt>
                <c:pt idx="241">
                  <c:v>41527</c:v>
                </c:pt>
                <c:pt idx="242">
                  <c:v>41526</c:v>
                </c:pt>
                <c:pt idx="243">
                  <c:v>41523</c:v>
                </c:pt>
                <c:pt idx="244">
                  <c:v>41522</c:v>
                </c:pt>
                <c:pt idx="245">
                  <c:v>41521</c:v>
                </c:pt>
                <c:pt idx="246">
                  <c:v>41520</c:v>
                </c:pt>
                <c:pt idx="247">
                  <c:v>41519</c:v>
                </c:pt>
                <c:pt idx="248">
                  <c:v>41516</c:v>
                </c:pt>
                <c:pt idx="249">
                  <c:v>41515</c:v>
                </c:pt>
                <c:pt idx="250">
                  <c:v>41514</c:v>
                </c:pt>
                <c:pt idx="251">
                  <c:v>41513</c:v>
                </c:pt>
                <c:pt idx="252">
                  <c:v>41512</c:v>
                </c:pt>
                <c:pt idx="253">
                  <c:v>41509</c:v>
                </c:pt>
                <c:pt idx="254">
                  <c:v>41508</c:v>
                </c:pt>
                <c:pt idx="255">
                  <c:v>41507</c:v>
                </c:pt>
                <c:pt idx="256">
                  <c:v>41506</c:v>
                </c:pt>
                <c:pt idx="257">
                  <c:v>41505</c:v>
                </c:pt>
                <c:pt idx="258">
                  <c:v>41502</c:v>
                </c:pt>
                <c:pt idx="259">
                  <c:v>41501</c:v>
                </c:pt>
                <c:pt idx="260">
                  <c:v>41500</c:v>
                </c:pt>
                <c:pt idx="261">
                  <c:v>41499</c:v>
                </c:pt>
                <c:pt idx="262">
                  <c:v>41498</c:v>
                </c:pt>
                <c:pt idx="263">
                  <c:v>41494</c:v>
                </c:pt>
                <c:pt idx="264">
                  <c:v>41493</c:v>
                </c:pt>
                <c:pt idx="265">
                  <c:v>41492</c:v>
                </c:pt>
                <c:pt idx="266">
                  <c:v>41491</c:v>
                </c:pt>
                <c:pt idx="267">
                  <c:v>41488</c:v>
                </c:pt>
                <c:pt idx="268">
                  <c:v>41487</c:v>
                </c:pt>
                <c:pt idx="269">
                  <c:v>41486</c:v>
                </c:pt>
                <c:pt idx="270">
                  <c:v>41485</c:v>
                </c:pt>
                <c:pt idx="271">
                  <c:v>41484</c:v>
                </c:pt>
                <c:pt idx="272">
                  <c:v>41481</c:v>
                </c:pt>
                <c:pt idx="273">
                  <c:v>41480</c:v>
                </c:pt>
                <c:pt idx="274">
                  <c:v>41479</c:v>
                </c:pt>
                <c:pt idx="275">
                  <c:v>41478</c:v>
                </c:pt>
                <c:pt idx="276">
                  <c:v>41477</c:v>
                </c:pt>
                <c:pt idx="277">
                  <c:v>41474</c:v>
                </c:pt>
                <c:pt idx="278">
                  <c:v>41473</c:v>
                </c:pt>
                <c:pt idx="279">
                  <c:v>41472</c:v>
                </c:pt>
                <c:pt idx="280">
                  <c:v>41471</c:v>
                </c:pt>
                <c:pt idx="281">
                  <c:v>41470</c:v>
                </c:pt>
                <c:pt idx="282">
                  <c:v>41467</c:v>
                </c:pt>
                <c:pt idx="283">
                  <c:v>41466</c:v>
                </c:pt>
                <c:pt idx="284">
                  <c:v>41465</c:v>
                </c:pt>
                <c:pt idx="285">
                  <c:v>41464</c:v>
                </c:pt>
                <c:pt idx="286">
                  <c:v>41463</c:v>
                </c:pt>
                <c:pt idx="287">
                  <c:v>41460</c:v>
                </c:pt>
                <c:pt idx="288">
                  <c:v>41459</c:v>
                </c:pt>
                <c:pt idx="289">
                  <c:v>41458</c:v>
                </c:pt>
                <c:pt idx="290">
                  <c:v>41457</c:v>
                </c:pt>
                <c:pt idx="291">
                  <c:v>41456</c:v>
                </c:pt>
                <c:pt idx="292">
                  <c:v>41453</c:v>
                </c:pt>
                <c:pt idx="293">
                  <c:v>41452</c:v>
                </c:pt>
                <c:pt idx="294">
                  <c:v>41451</c:v>
                </c:pt>
                <c:pt idx="295">
                  <c:v>41450</c:v>
                </c:pt>
                <c:pt idx="296">
                  <c:v>41449</c:v>
                </c:pt>
                <c:pt idx="297">
                  <c:v>41446</c:v>
                </c:pt>
                <c:pt idx="298">
                  <c:v>41445</c:v>
                </c:pt>
                <c:pt idx="299">
                  <c:v>41444</c:v>
                </c:pt>
                <c:pt idx="300">
                  <c:v>41443</c:v>
                </c:pt>
                <c:pt idx="301">
                  <c:v>41439</c:v>
                </c:pt>
                <c:pt idx="302">
                  <c:v>41438</c:v>
                </c:pt>
                <c:pt idx="303">
                  <c:v>41437</c:v>
                </c:pt>
                <c:pt idx="304">
                  <c:v>41436</c:v>
                </c:pt>
                <c:pt idx="305">
                  <c:v>41435</c:v>
                </c:pt>
                <c:pt idx="306">
                  <c:v>41432</c:v>
                </c:pt>
                <c:pt idx="307">
                  <c:v>41431</c:v>
                </c:pt>
                <c:pt idx="308">
                  <c:v>41430</c:v>
                </c:pt>
                <c:pt idx="309">
                  <c:v>41429</c:v>
                </c:pt>
                <c:pt idx="310">
                  <c:v>41428</c:v>
                </c:pt>
                <c:pt idx="311">
                  <c:v>41425</c:v>
                </c:pt>
                <c:pt idx="312">
                  <c:v>41424</c:v>
                </c:pt>
                <c:pt idx="313">
                  <c:v>41423</c:v>
                </c:pt>
                <c:pt idx="314">
                  <c:v>41422</c:v>
                </c:pt>
                <c:pt idx="315">
                  <c:v>41421</c:v>
                </c:pt>
                <c:pt idx="316">
                  <c:v>41418</c:v>
                </c:pt>
                <c:pt idx="317">
                  <c:v>41417</c:v>
                </c:pt>
                <c:pt idx="318">
                  <c:v>41416</c:v>
                </c:pt>
                <c:pt idx="319">
                  <c:v>41415</c:v>
                </c:pt>
                <c:pt idx="320">
                  <c:v>41414</c:v>
                </c:pt>
                <c:pt idx="321">
                  <c:v>41411</c:v>
                </c:pt>
                <c:pt idx="322">
                  <c:v>41410</c:v>
                </c:pt>
                <c:pt idx="323">
                  <c:v>41409</c:v>
                </c:pt>
                <c:pt idx="324">
                  <c:v>41408</c:v>
                </c:pt>
                <c:pt idx="325">
                  <c:v>41407</c:v>
                </c:pt>
                <c:pt idx="326">
                  <c:v>41404</c:v>
                </c:pt>
                <c:pt idx="327">
                  <c:v>41403</c:v>
                </c:pt>
                <c:pt idx="328">
                  <c:v>41402</c:v>
                </c:pt>
                <c:pt idx="329">
                  <c:v>41401</c:v>
                </c:pt>
                <c:pt idx="330">
                  <c:v>41400</c:v>
                </c:pt>
                <c:pt idx="331">
                  <c:v>41397</c:v>
                </c:pt>
                <c:pt idx="332">
                  <c:v>41396</c:v>
                </c:pt>
                <c:pt idx="333">
                  <c:v>41394</c:v>
                </c:pt>
                <c:pt idx="334">
                  <c:v>41393</c:v>
                </c:pt>
                <c:pt idx="335">
                  <c:v>41390</c:v>
                </c:pt>
                <c:pt idx="336">
                  <c:v>41389</c:v>
                </c:pt>
                <c:pt idx="337">
                  <c:v>41388</c:v>
                </c:pt>
                <c:pt idx="338">
                  <c:v>41387</c:v>
                </c:pt>
                <c:pt idx="339">
                  <c:v>41386</c:v>
                </c:pt>
                <c:pt idx="340">
                  <c:v>41383</c:v>
                </c:pt>
                <c:pt idx="341">
                  <c:v>41382</c:v>
                </c:pt>
                <c:pt idx="342">
                  <c:v>41381</c:v>
                </c:pt>
                <c:pt idx="343">
                  <c:v>41380</c:v>
                </c:pt>
                <c:pt idx="344">
                  <c:v>41379</c:v>
                </c:pt>
                <c:pt idx="345">
                  <c:v>41376</c:v>
                </c:pt>
                <c:pt idx="346">
                  <c:v>41375</c:v>
                </c:pt>
                <c:pt idx="347">
                  <c:v>41374</c:v>
                </c:pt>
                <c:pt idx="348">
                  <c:v>41373</c:v>
                </c:pt>
                <c:pt idx="349">
                  <c:v>41372</c:v>
                </c:pt>
                <c:pt idx="350">
                  <c:v>41369</c:v>
                </c:pt>
                <c:pt idx="351">
                  <c:v>41368</c:v>
                </c:pt>
                <c:pt idx="352">
                  <c:v>41367</c:v>
                </c:pt>
                <c:pt idx="353">
                  <c:v>41366</c:v>
                </c:pt>
                <c:pt idx="354">
                  <c:v>41361</c:v>
                </c:pt>
                <c:pt idx="355">
                  <c:v>41360</c:v>
                </c:pt>
                <c:pt idx="356">
                  <c:v>41359</c:v>
                </c:pt>
                <c:pt idx="357">
                  <c:v>41358</c:v>
                </c:pt>
                <c:pt idx="358">
                  <c:v>41355</c:v>
                </c:pt>
                <c:pt idx="359">
                  <c:v>41353</c:v>
                </c:pt>
                <c:pt idx="360">
                  <c:v>41352</c:v>
                </c:pt>
                <c:pt idx="361">
                  <c:v>41351</c:v>
                </c:pt>
                <c:pt idx="362">
                  <c:v>41348</c:v>
                </c:pt>
                <c:pt idx="363">
                  <c:v>41347</c:v>
                </c:pt>
                <c:pt idx="364">
                  <c:v>41346</c:v>
                </c:pt>
                <c:pt idx="365">
                  <c:v>41345</c:v>
                </c:pt>
                <c:pt idx="366">
                  <c:v>41344</c:v>
                </c:pt>
                <c:pt idx="367">
                  <c:v>41341</c:v>
                </c:pt>
                <c:pt idx="368">
                  <c:v>41340</c:v>
                </c:pt>
                <c:pt idx="369">
                  <c:v>41339</c:v>
                </c:pt>
                <c:pt idx="370">
                  <c:v>41338</c:v>
                </c:pt>
                <c:pt idx="371">
                  <c:v>41337</c:v>
                </c:pt>
                <c:pt idx="372">
                  <c:v>41334</c:v>
                </c:pt>
                <c:pt idx="373">
                  <c:v>41333</c:v>
                </c:pt>
                <c:pt idx="374">
                  <c:v>41332</c:v>
                </c:pt>
                <c:pt idx="375">
                  <c:v>41331</c:v>
                </c:pt>
                <c:pt idx="376">
                  <c:v>41330</c:v>
                </c:pt>
                <c:pt idx="377">
                  <c:v>41327</c:v>
                </c:pt>
                <c:pt idx="378">
                  <c:v>41326</c:v>
                </c:pt>
                <c:pt idx="379">
                  <c:v>41325</c:v>
                </c:pt>
                <c:pt idx="380">
                  <c:v>41324</c:v>
                </c:pt>
                <c:pt idx="381">
                  <c:v>41323</c:v>
                </c:pt>
                <c:pt idx="382">
                  <c:v>41320</c:v>
                </c:pt>
                <c:pt idx="383">
                  <c:v>41319</c:v>
                </c:pt>
                <c:pt idx="384">
                  <c:v>41318</c:v>
                </c:pt>
                <c:pt idx="385">
                  <c:v>41317</c:v>
                </c:pt>
                <c:pt idx="386">
                  <c:v>41316</c:v>
                </c:pt>
                <c:pt idx="387">
                  <c:v>41313</c:v>
                </c:pt>
                <c:pt idx="388">
                  <c:v>41312</c:v>
                </c:pt>
                <c:pt idx="389">
                  <c:v>41311</c:v>
                </c:pt>
                <c:pt idx="390">
                  <c:v>41310</c:v>
                </c:pt>
                <c:pt idx="391">
                  <c:v>41309</c:v>
                </c:pt>
                <c:pt idx="392">
                  <c:v>41306</c:v>
                </c:pt>
                <c:pt idx="393">
                  <c:v>41305</c:v>
                </c:pt>
                <c:pt idx="394">
                  <c:v>41304</c:v>
                </c:pt>
                <c:pt idx="395">
                  <c:v>41303</c:v>
                </c:pt>
                <c:pt idx="396">
                  <c:v>41302</c:v>
                </c:pt>
                <c:pt idx="397">
                  <c:v>41299</c:v>
                </c:pt>
                <c:pt idx="398">
                  <c:v>41298</c:v>
                </c:pt>
                <c:pt idx="399">
                  <c:v>41297</c:v>
                </c:pt>
                <c:pt idx="400">
                  <c:v>41296</c:v>
                </c:pt>
                <c:pt idx="401">
                  <c:v>41295</c:v>
                </c:pt>
                <c:pt idx="402">
                  <c:v>41292</c:v>
                </c:pt>
                <c:pt idx="403">
                  <c:v>41291</c:v>
                </c:pt>
                <c:pt idx="404">
                  <c:v>41290</c:v>
                </c:pt>
                <c:pt idx="405">
                  <c:v>41289</c:v>
                </c:pt>
                <c:pt idx="406">
                  <c:v>41288</c:v>
                </c:pt>
                <c:pt idx="407">
                  <c:v>41285</c:v>
                </c:pt>
                <c:pt idx="408">
                  <c:v>41284</c:v>
                </c:pt>
                <c:pt idx="409">
                  <c:v>41283</c:v>
                </c:pt>
                <c:pt idx="410">
                  <c:v>41282</c:v>
                </c:pt>
                <c:pt idx="411">
                  <c:v>41281</c:v>
                </c:pt>
                <c:pt idx="412">
                  <c:v>41278</c:v>
                </c:pt>
                <c:pt idx="413">
                  <c:v>41277</c:v>
                </c:pt>
                <c:pt idx="414">
                  <c:v>41276</c:v>
                </c:pt>
                <c:pt idx="415">
                  <c:v>41274</c:v>
                </c:pt>
                <c:pt idx="416">
                  <c:v>41271</c:v>
                </c:pt>
                <c:pt idx="417">
                  <c:v>41270</c:v>
                </c:pt>
                <c:pt idx="418">
                  <c:v>41267</c:v>
                </c:pt>
                <c:pt idx="419">
                  <c:v>41264</c:v>
                </c:pt>
                <c:pt idx="420">
                  <c:v>41263</c:v>
                </c:pt>
                <c:pt idx="421">
                  <c:v>41262</c:v>
                </c:pt>
                <c:pt idx="422">
                  <c:v>41261</c:v>
                </c:pt>
                <c:pt idx="423">
                  <c:v>41257</c:v>
                </c:pt>
                <c:pt idx="424">
                  <c:v>41256</c:v>
                </c:pt>
                <c:pt idx="425">
                  <c:v>41255</c:v>
                </c:pt>
                <c:pt idx="426">
                  <c:v>41254</c:v>
                </c:pt>
                <c:pt idx="427">
                  <c:v>41253</c:v>
                </c:pt>
                <c:pt idx="428">
                  <c:v>41250</c:v>
                </c:pt>
                <c:pt idx="429">
                  <c:v>41249</c:v>
                </c:pt>
                <c:pt idx="430">
                  <c:v>41248</c:v>
                </c:pt>
                <c:pt idx="431">
                  <c:v>41247</c:v>
                </c:pt>
                <c:pt idx="432">
                  <c:v>41246</c:v>
                </c:pt>
                <c:pt idx="433">
                  <c:v>41243</c:v>
                </c:pt>
                <c:pt idx="434">
                  <c:v>41242</c:v>
                </c:pt>
                <c:pt idx="435">
                  <c:v>41241</c:v>
                </c:pt>
                <c:pt idx="436">
                  <c:v>41240</c:v>
                </c:pt>
                <c:pt idx="437">
                  <c:v>41239</c:v>
                </c:pt>
                <c:pt idx="438">
                  <c:v>41236</c:v>
                </c:pt>
                <c:pt idx="439">
                  <c:v>41235</c:v>
                </c:pt>
                <c:pt idx="440">
                  <c:v>41234</c:v>
                </c:pt>
                <c:pt idx="441">
                  <c:v>41233</c:v>
                </c:pt>
                <c:pt idx="442">
                  <c:v>41232</c:v>
                </c:pt>
                <c:pt idx="443">
                  <c:v>41229</c:v>
                </c:pt>
                <c:pt idx="444">
                  <c:v>41228</c:v>
                </c:pt>
                <c:pt idx="445">
                  <c:v>41227</c:v>
                </c:pt>
                <c:pt idx="446">
                  <c:v>41226</c:v>
                </c:pt>
                <c:pt idx="447">
                  <c:v>41225</c:v>
                </c:pt>
                <c:pt idx="448">
                  <c:v>41222</c:v>
                </c:pt>
                <c:pt idx="449">
                  <c:v>41221</c:v>
                </c:pt>
                <c:pt idx="450">
                  <c:v>41220</c:v>
                </c:pt>
                <c:pt idx="451">
                  <c:v>41219</c:v>
                </c:pt>
                <c:pt idx="452">
                  <c:v>41218</c:v>
                </c:pt>
                <c:pt idx="453">
                  <c:v>41215</c:v>
                </c:pt>
                <c:pt idx="454">
                  <c:v>41214</c:v>
                </c:pt>
                <c:pt idx="455">
                  <c:v>41213</c:v>
                </c:pt>
                <c:pt idx="456">
                  <c:v>41212</c:v>
                </c:pt>
                <c:pt idx="457">
                  <c:v>41211</c:v>
                </c:pt>
                <c:pt idx="458">
                  <c:v>41208</c:v>
                </c:pt>
                <c:pt idx="459">
                  <c:v>41207</c:v>
                </c:pt>
                <c:pt idx="460">
                  <c:v>41206</c:v>
                </c:pt>
                <c:pt idx="461">
                  <c:v>41205</c:v>
                </c:pt>
                <c:pt idx="462">
                  <c:v>41204</c:v>
                </c:pt>
                <c:pt idx="463">
                  <c:v>41201</c:v>
                </c:pt>
                <c:pt idx="464">
                  <c:v>41200</c:v>
                </c:pt>
                <c:pt idx="465">
                  <c:v>41199</c:v>
                </c:pt>
                <c:pt idx="466">
                  <c:v>41198</c:v>
                </c:pt>
                <c:pt idx="467">
                  <c:v>41197</c:v>
                </c:pt>
                <c:pt idx="468">
                  <c:v>41194</c:v>
                </c:pt>
                <c:pt idx="469">
                  <c:v>41193</c:v>
                </c:pt>
                <c:pt idx="470">
                  <c:v>41192</c:v>
                </c:pt>
                <c:pt idx="471">
                  <c:v>41191</c:v>
                </c:pt>
                <c:pt idx="472">
                  <c:v>41190</c:v>
                </c:pt>
                <c:pt idx="473">
                  <c:v>41187</c:v>
                </c:pt>
                <c:pt idx="474">
                  <c:v>41186</c:v>
                </c:pt>
                <c:pt idx="475">
                  <c:v>41185</c:v>
                </c:pt>
                <c:pt idx="476">
                  <c:v>41184</c:v>
                </c:pt>
                <c:pt idx="477">
                  <c:v>41183</c:v>
                </c:pt>
                <c:pt idx="478">
                  <c:v>41180</c:v>
                </c:pt>
                <c:pt idx="479">
                  <c:v>41179</c:v>
                </c:pt>
                <c:pt idx="480">
                  <c:v>41178</c:v>
                </c:pt>
                <c:pt idx="481">
                  <c:v>41177</c:v>
                </c:pt>
                <c:pt idx="482">
                  <c:v>41173</c:v>
                </c:pt>
                <c:pt idx="483">
                  <c:v>41172</c:v>
                </c:pt>
                <c:pt idx="484">
                  <c:v>41171</c:v>
                </c:pt>
                <c:pt idx="485">
                  <c:v>41170</c:v>
                </c:pt>
                <c:pt idx="486">
                  <c:v>41169</c:v>
                </c:pt>
                <c:pt idx="487">
                  <c:v>41166</c:v>
                </c:pt>
                <c:pt idx="488">
                  <c:v>41165</c:v>
                </c:pt>
                <c:pt idx="489">
                  <c:v>41164</c:v>
                </c:pt>
                <c:pt idx="490">
                  <c:v>41163</c:v>
                </c:pt>
                <c:pt idx="491">
                  <c:v>41162</c:v>
                </c:pt>
                <c:pt idx="492">
                  <c:v>41159</c:v>
                </c:pt>
                <c:pt idx="493">
                  <c:v>41158</c:v>
                </c:pt>
                <c:pt idx="494">
                  <c:v>41157</c:v>
                </c:pt>
                <c:pt idx="495">
                  <c:v>41156</c:v>
                </c:pt>
                <c:pt idx="496">
                  <c:v>41155</c:v>
                </c:pt>
                <c:pt idx="497">
                  <c:v>41152</c:v>
                </c:pt>
                <c:pt idx="498">
                  <c:v>41151</c:v>
                </c:pt>
                <c:pt idx="499">
                  <c:v>41150</c:v>
                </c:pt>
                <c:pt idx="500">
                  <c:v>41149</c:v>
                </c:pt>
                <c:pt idx="501">
                  <c:v>41148</c:v>
                </c:pt>
                <c:pt idx="502">
                  <c:v>41145</c:v>
                </c:pt>
                <c:pt idx="503">
                  <c:v>41144</c:v>
                </c:pt>
                <c:pt idx="504">
                  <c:v>41143</c:v>
                </c:pt>
                <c:pt idx="505">
                  <c:v>41142</c:v>
                </c:pt>
                <c:pt idx="506">
                  <c:v>41141</c:v>
                </c:pt>
                <c:pt idx="507">
                  <c:v>41138</c:v>
                </c:pt>
                <c:pt idx="508">
                  <c:v>41137</c:v>
                </c:pt>
                <c:pt idx="509">
                  <c:v>41136</c:v>
                </c:pt>
                <c:pt idx="510">
                  <c:v>41135</c:v>
                </c:pt>
                <c:pt idx="511">
                  <c:v>41134</c:v>
                </c:pt>
                <c:pt idx="512">
                  <c:v>41131</c:v>
                </c:pt>
                <c:pt idx="513">
                  <c:v>41129</c:v>
                </c:pt>
                <c:pt idx="514">
                  <c:v>41128</c:v>
                </c:pt>
                <c:pt idx="515">
                  <c:v>41127</c:v>
                </c:pt>
                <c:pt idx="516">
                  <c:v>41124</c:v>
                </c:pt>
                <c:pt idx="517">
                  <c:v>41123</c:v>
                </c:pt>
                <c:pt idx="518">
                  <c:v>41122</c:v>
                </c:pt>
                <c:pt idx="519">
                  <c:v>41121</c:v>
                </c:pt>
                <c:pt idx="520">
                  <c:v>41120</c:v>
                </c:pt>
                <c:pt idx="521">
                  <c:v>41117</c:v>
                </c:pt>
                <c:pt idx="522">
                  <c:v>41116</c:v>
                </c:pt>
                <c:pt idx="523">
                  <c:v>41115</c:v>
                </c:pt>
                <c:pt idx="524">
                  <c:v>41114</c:v>
                </c:pt>
                <c:pt idx="525">
                  <c:v>41113</c:v>
                </c:pt>
                <c:pt idx="526">
                  <c:v>41110</c:v>
                </c:pt>
                <c:pt idx="527">
                  <c:v>41109</c:v>
                </c:pt>
                <c:pt idx="528">
                  <c:v>41108</c:v>
                </c:pt>
                <c:pt idx="529">
                  <c:v>41107</c:v>
                </c:pt>
                <c:pt idx="530">
                  <c:v>41106</c:v>
                </c:pt>
                <c:pt idx="531">
                  <c:v>41103</c:v>
                </c:pt>
                <c:pt idx="532">
                  <c:v>41102</c:v>
                </c:pt>
                <c:pt idx="533">
                  <c:v>41101</c:v>
                </c:pt>
                <c:pt idx="534">
                  <c:v>41100</c:v>
                </c:pt>
                <c:pt idx="535">
                  <c:v>41099</c:v>
                </c:pt>
                <c:pt idx="536">
                  <c:v>41096</c:v>
                </c:pt>
                <c:pt idx="537">
                  <c:v>41095</c:v>
                </c:pt>
                <c:pt idx="538">
                  <c:v>41094</c:v>
                </c:pt>
                <c:pt idx="539">
                  <c:v>41093</c:v>
                </c:pt>
                <c:pt idx="540">
                  <c:v>41092</c:v>
                </c:pt>
                <c:pt idx="541">
                  <c:v>41089</c:v>
                </c:pt>
                <c:pt idx="542">
                  <c:v>41088</c:v>
                </c:pt>
                <c:pt idx="543">
                  <c:v>41087</c:v>
                </c:pt>
                <c:pt idx="544">
                  <c:v>41086</c:v>
                </c:pt>
                <c:pt idx="545">
                  <c:v>41085</c:v>
                </c:pt>
                <c:pt idx="546">
                  <c:v>41082</c:v>
                </c:pt>
                <c:pt idx="547">
                  <c:v>41081</c:v>
                </c:pt>
                <c:pt idx="548">
                  <c:v>41080</c:v>
                </c:pt>
                <c:pt idx="549">
                  <c:v>41079</c:v>
                </c:pt>
                <c:pt idx="550">
                  <c:v>41078</c:v>
                </c:pt>
                <c:pt idx="551">
                  <c:v>41075</c:v>
                </c:pt>
                <c:pt idx="552">
                  <c:v>41074</c:v>
                </c:pt>
                <c:pt idx="553">
                  <c:v>41073</c:v>
                </c:pt>
                <c:pt idx="554">
                  <c:v>41072</c:v>
                </c:pt>
                <c:pt idx="555">
                  <c:v>41071</c:v>
                </c:pt>
                <c:pt idx="556">
                  <c:v>41068</c:v>
                </c:pt>
                <c:pt idx="557">
                  <c:v>41067</c:v>
                </c:pt>
                <c:pt idx="558">
                  <c:v>41066</c:v>
                </c:pt>
                <c:pt idx="559">
                  <c:v>41065</c:v>
                </c:pt>
                <c:pt idx="560">
                  <c:v>41064</c:v>
                </c:pt>
                <c:pt idx="561">
                  <c:v>41061</c:v>
                </c:pt>
                <c:pt idx="562">
                  <c:v>41060</c:v>
                </c:pt>
                <c:pt idx="563">
                  <c:v>41059</c:v>
                </c:pt>
                <c:pt idx="564">
                  <c:v>41058</c:v>
                </c:pt>
                <c:pt idx="565">
                  <c:v>41057</c:v>
                </c:pt>
                <c:pt idx="566">
                  <c:v>41054</c:v>
                </c:pt>
                <c:pt idx="567">
                  <c:v>41053</c:v>
                </c:pt>
                <c:pt idx="568">
                  <c:v>41052</c:v>
                </c:pt>
                <c:pt idx="569">
                  <c:v>41051</c:v>
                </c:pt>
                <c:pt idx="570">
                  <c:v>41050</c:v>
                </c:pt>
                <c:pt idx="571">
                  <c:v>41047</c:v>
                </c:pt>
                <c:pt idx="572">
                  <c:v>41046</c:v>
                </c:pt>
                <c:pt idx="573">
                  <c:v>41045</c:v>
                </c:pt>
                <c:pt idx="574">
                  <c:v>41044</c:v>
                </c:pt>
                <c:pt idx="575">
                  <c:v>41043</c:v>
                </c:pt>
                <c:pt idx="576">
                  <c:v>41040</c:v>
                </c:pt>
                <c:pt idx="577">
                  <c:v>41039</c:v>
                </c:pt>
                <c:pt idx="578">
                  <c:v>41038</c:v>
                </c:pt>
                <c:pt idx="579">
                  <c:v>41037</c:v>
                </c:pt>
                <c:pt idx="580">
                  <c:v>41036</c:v>
                </c:pt>
                <c:pt idx="581">
                  <c:v>41033</c:v>
                </c:pt>
                <c:pt idx="582">
                  <c:v>41032</c:v>
                </c:pt>
                <c:pt idx="583">
                  <c:v>41031</c:v>
                </c:pt>
                <c:pt idx="584">
                  <c:v>41029</c:v>
                </c:pt>
                <c:pt idx="585">
                  <c:v>41025</c:v>
                </c:pt>
                <c:pt idx="586">
                  <c:v>41024</c:v>
                </c:pt>
                <c:pt idx="587">
                  <c:v>41023</c:v>
                </c:pt>
                <c:pt idx="588">
                  <c:v>41022</c:v>
                </c:pt>
                <c:pt idx="589">
                  <c:v>41019</c:v>
                </c:pt>
                <c:pt idx="590">
                  <c:v>41018</c:v>
                </c:pt>
                <c:pt idx="591">
                  <c:v>41017</c:v>
                </c:pt>
                <c:pt idx="592">
                  <c:v>41016</c:v>
                </c:pt>
                <c:pt idx="593">
                  <c:v>41015</c:v>
                </c:pt>
                <c:pt idx="594">
                  <c:v>41012</c:v>
                </c:pt>
                <c:pt idx="595">
                  <c:v>41011</c:v>
                </c:pt>
                <c:pt idx="596">
                  <c:v>41010</c:v>
                </c:pt>
                <c:pt idx="597">
                  <c:v>41009</c:v>
                </c:pt>
                <c:pt idx="598">
                  <c:v>41004</c:v>
                </c:pt>
                <c:pt idx="599">
                  <c:v>41003</c:v>
                </c:pt>
                <c:pt idx="600">
                  <c:v>41002</c:v>
                </c:pt>
                <c:pt idx="601">
                  <c:v>41001</c:v>
                </c:pt>
                <c:pt idx="602">
                  <c:v>40998</c:v>
                </c:pt>
                <c:pt idx="603">
                  <c:v>40997</c:v>
                </c:pt>
                <c:pt idx="604">
                  <c:v>40996</c:v>
                </c:pt>
                <c:pt idx="605">
                  <c:v>40995</c:v>
                </c:pt>
                <c:pt idx="606">
                  <c:v>40994</c:v>
                </c:pt>
                <c:pt idx="607">
                  <c:v>40991</c:v>
                </c:pt>
                <c:pt idx="608">
                  <c:v>40990</c:v>
                </c:pt>
                <c:pt idx="609">
                  <c:v>40988</c:v>
                </c:pt>
                <c:pt idx="610">
                  <c:v>40987</c:v>
                </c:pt>
                <c:pt idx="611">
                  <c:v>40984</c:v>
                </c:pt>
                <c:pt idx="612">
                  <c:v>40983</c:v>
                </c:pt>
                <c:pt idx="613">
                  <c:v>40982</c:v>
                </c:pt>
                <c:pt idx="614">
                  <c:v>40981</c:v>
                </c:pt>
                <c:pt idx="615">
                  <c:v>40980</c:v>
                </c:pt>
                <c:pt idx="616">
                  <c:v>40977</c:v>
                </c:pt>
                <c:pt idx="617">
                  <c:v>40976</c:v>
                </c:pt>
                <c:pt idx="618">
                  <c:v>40975</c:v>
                </c:pt>
                <c:pt idx="619">
                  <c:v>40974</c:v>
                </c:pt>
                <c:pt idx="620">
                  <c:v>40973</c:v>
                </c:pt>
                <c:pt idx="621">
                  <c:v>40970</c:v>
                </c:pt>
                <c:pt idx="622">
                  <c:v>40969</c:v>
                </c:pt>
                <c:pt idx="623">
                  <c:v>40968</c:v>
                </c:pt>
                <c:pt idx="624">
                  <c:v>40967</c:v>
                </c:pt>
                <c:pt idx="625">
                  <c:v>40966</c:v>
                </c:pt>
                <c:pt idx="626">
                  <c:v>40963</c:v>
                </c:pt>
                <c:pt idx="627">
                  <c:v>40962</c:v>
                </c:pt>
                <c:pt idx="628">
                  <c:v>40961</c:v>
                </c:pt>
                <c:pt idx="629">
                  <c:v>40960</c:v>
                </c:pt>
                <c:pt idx="630">
                  <c:v>40959</c:v>
                </c:pt>
                <c:pt idx="631">
                  <c:v>40956</c:v>
                </c:pt>
                <c:pt idx="632">
                  <c:v>40955</c:v>
                </c:pt>
                <c:pt idx="633">
                  <c:v>40954</c:v>
                </c:pt>
                <c:pt idx="634">
                  <c:v>40953</c:v>
                </c:pt>
                <c:pt idx="635">
                  <c:v>40952</c:v>
                </c:pt>
                <c:pt idx="636">
                  <c:v>40949</c:v>
                </c:pt>
                <c:pt idx="637">
                  <c:v>40948</c:v>
                </c:pt>
                <c:pt idx="638">
                  <c:v>40947</c:v>
                </c:pt>
                <c:pt idx="639">
                  <c:v>40946</c:v>
                </c:pt>
                <c:pt idx="640">
                  <c:v>40945</c:v>
                </c:pt>
                <c:pt idx="641">
                  <c:v>40942</c:v>
                </c:pt>
                <c:pt idx="642">
                  <c:v>40941</c:v>
                </c:pt>
                <c:pt idx="643">
                  <c:v>40940</c:v>
                </c:pt>
                <c:pt idx="644">
                  <c:v>40939</c:v>
                </c:pt>
                <c:pt idx="645">
                  <c:v>40938</c:v>
                </c:pt>
                <c:pt idx="646">
                  <c:v>40935</c:v>
                </c:pt>
                <c:pt idx="647">
                  <c:v>40934</c:v>
                </c:pt>
                <c:pt idx="648">
                  <c:v>40933</c:v>
                </c:pt>
                <c:pt idx="649">
                  <c:v>40932</c:v>
                </c:pt>
                <c:pt idx="650">
                  <c:v>40931</c:v>
                </c:pt>
                <c:pt idx="651">
                  <c:v>40928</c:v>
                </c:pt>
                <c:pt idx="652">
                  <c:v>40927</c:v>
                </c:pt>
                <c:pt idx="653">
                  <c:v>40926</c:v>
                </c:pt>
                <c:pt idx="654">
                  <c:v>40925</c:v>
                </c:pt>
                <c:pt idx="655">
                  <c:v>40924</c:v>
                </c:pt>
                <c:pt idx="656">
                  <c:v>40921</c:v>
                </c:pt>
                <c:pt idx="657">
                  <c:v>40920</c:v>
                </c:pt>
                <c:pt idx="658">
                  <c:v>40919</c:v>
                </c:pt>
                <c:pt idx="659">
                  <c:v>40918</c:v>
                </c:pt>
                <c:pt idx="660">
                  <c:v>40917</c:v>
                </c:pt>
                <c:pt idx="661">
                  <c:v>40914</c:v>
                </c:pt>
                <c:pt idx="662">
                  <c:v>40913</c:v>
                </c:pt>
                <c:pt idx="663">
                  <c:v>40912</c:v>
                </c:pt>
                <c:pt idx="664">
                  <c:v>40911</c:v>
                </c:pt>
                <c:pt idx="665">
                  <c:v>40907</c:v>
                </c:pt>
                <c:pt idx="666">
                  <c:v>40906</c:v>
                </c:pt>
                <c:pt idx="667">
                  <c:v>40905</c:v>
                </c:pt>
                <c:pt idx="668">
                  <c:v>40900</c:v>
                </c:pt>
                <c:pt idx="669">
                  <c:v>40899</c:v>
                </c:pt>
                <c:pt idx="670">
                  <c:v>40898</c:v>
                </c:pt>
                <c:pt idx="671">
                  <c:v>40897</c:v>
                </c:pt>
                <c:pt idx="672">
                  <c:v>40896</c:v>
                </c:pt>
                <c:pt idx="673">
                  <c:v>40892</c:v>
                </c:pt>
                <c:pt idx="674">
                  <c:v>40891</c:v>
                </c:pt>
                <c:pt idx="675">
                  <c:v>40890</c:v>
                </c:pt>
                <c:pt idx="676">
                  <c:v>40889</c:v>
                </c:pt>
                <c:pt idx="677">
                  <c:v>40886</c:v>
                </c:pt>
                <c:pt idx="678">
                  <c:v>40885</c:v>
                </c:pt>
                <c:pt idx="679">
                  <c:v>40884</c:v>
                </c:pt>
                <c:pt idx="680">
                  <c:v>40883</c:v>
                </c:pt>
                <c:pt idx="681">
                  <c:v>40882</c:v>
                </c:pt>
                <c:pt idx="682">
                  <c:v>40879</c:v>
                </c:pt>
                <c:pt idx="683">
                  <c:v>40878</c:v>
                </c:pt>
                <c:pt idx="684">
                  <c:v>40877</c:v>
                </c:pt>
                <c:pt idx="685">
                  <c:v>40876</c:v>
                </c:pt>
                <c:pt idx="686">
                  <c:v>40875</c:v>
                </c:pt>
                <c:pt idx="687">
                  <c:v>40872</c:v>
                </c:pt>
                <c:pt idx="688">
                  <c:v>40871</c:v>
                </c:pt>
                <c:pt idx="689">
                  <c:v>40870</c:v>
                </c:pt>
                <c:pt idx="690">
                  <c:v>40869</c:v>
                </c:pt>
                <c:pt idx="691">
                  <c:v>40868</c:v>
                </c:pt>
                <c:pt idx="692">
                  <c:v>40865</c:v>
                </c:pt>
                <c:pt idx="693">
                  <c:v>40864</c:v>
                </c:pt>
                <c:pt idx="694">
                  <c:v>40863</c:v>
                </c:pt>
                <c:pt idx="695">
                  <c:v>40862</c:v>
                </c:pt>
                <c:pt idx="696">
                  <c:v>40861</c:v>
                </c:pt>
                <c:pt idx="697">
                  <c:v>40858</c:v>
                </c:pt>
                <c:pt idx="698">
                  <c:v>40857</c:v>
                </c:pt>
                <c:pt idx="699">
                  <c:v>40856</c:v>
                </c:pt>
                <c:pt idx="700">
                  <c:v>40855</c:v>
                </c:pt>
                <c:pt idx="701">
                  <c:v>40854</c:v>
                </c:pt>
                <c:pt idx="702">
                  <c:v>40851</c:v>
                </c:pt>
                <c:pt idx="703">
                  <c:v>40850</c:v>
                </c:pt>
                <c:pt idx="704">
                  <c:v>40849</c:v>
                </c:pt>
                <c:pt idx="705">
                  <c:v>40848</c:v>
                </c:pt>
                <c:pt idx="706">
                  <c:v>40847</c:v>
                </c:pt>
                <c:pt idx="707">
                  <c:v>40844</c:v>
                </c:pt>
                <c:pt idx="708">
                  <c:v>40843</c:v>
                </c:pt>
                <c:pt idx="709">
                  <c:v>40842</c:v>
                </c:pt>
                <c:pt idx="710">
                  <c:v>40841</c:v>
                </c:pt>
                <c:pt idx="711">
                  <c:v>40840</c:v>
                </c:pt>
                <c:pt idx="712">
                  <c:v>40837</c:v>
                </c:pt>
                <c:pt idx="713">
                  <c:v>40836</c:v>
                </c:pt>
                <c:pt idx="714">
                  <c:v>40835</c:v>
                </c:pt>
                <c:pt idx="715">
                  <c:v>40834</c:v>
                </c:pt>
                <c:pt idx="716">
                  <c:v>40833</c:v>
                </c:pt>
                <c:pt idx="717">
                  <c:v>40830</c:v>
                </c:pt>
                <c:pt idx="718">
                  <c:v>40829</c:v>
                </c:pt>
                <c:pt idx="719">
                  <c:v>40828</c:v>
                </c:pt>
                <c:pt idx="720">
                  <c:v>40827</c:v>
                </c:pt>
                <c:pt idx="721">
                  <c:v>40826</c:v>
                </c:pt>
                <c:pt idx="722">
                  <c:v>40823</c:v>
                </c:pt>
                <c:pt idx="723">
                  <c:v>40822</c:v>
                </c:pt>
                <c:pt idx="724">
                  <c:v>40821</c:v>
                </c:pt>
                <c:pt idx="725">
                  <c:v>40820</c:v>
                </c:pt>
                <c:pt idx="726">
                  <c:v>40819</c:v>
                </c:pt>
                <c:pt idx="727">
                  <c:v>40816</c:v>
                </c:pt>
                <c:pt idx="728">
                  <c:v>40815</c:v>
                </c:pt>
                <c:pt idx="729">
                  <c:v>40814</c:v>
                </c:pt>
                <c:pt idx="730">
                  <c:v>40813</c:v>
                </c:pt>
                <c:pt idx="731">
                  <c:v>40812</c:v>
                </c:pt>
                <c:pt idx="732">
                  <c:v>40809</c:v>
                </c:pt>
                <c:pt idx="733">
                  <c:v>40808</c:v>
                </c:pt>
                <c:pt idx="734">
                  <c:v>40807</c:v>
                </c:pt>
                <c:pt idx="735">
                  <c:v>40806</c:v>
                </c:pt>
                <c:pt idx="736">
                  <c:v>40805</c:v>
                </c:pt>
                <c:pt idx="737">
                  <c:v>40802</c:v>
                </c:pt>
                <c:pt idx="738">
                  <c:v>40801</c:v>
                </c:pt>
                <c:pt idx="739">
                  <c:v>40800</c:v>
                </c:pt>
                <c:pt idx="740">
                  <c:v>40799</c:v>
                </c:pt>
                <c:pt idx="741">
                  <c:v>40798</c:v>
                </c:pt>
                <c:pt idx="742">
                  <c:v>40795</c:v>
                </c:pt>
                <c:pt idx="743">
                  <c:v>40794</c:v>
                </c:pt>
                <c:pt idx="744">
                  <c:v>40793</c:v>
                </c:pt>
                <c:pt idx="745">
                  <c:v>40792</c:v>
                </c:pt>
                <c:pt idx="746">
                  <c:v>40791</c:v>
                </c:pt>
                <c:pt idx="747">
                  <c:v>40788</c:v>
                </c:pt>
                <c:pt idx="748">
                  <c:v>40787</c:v>
                </c:pt>
                <c:pt idx="749">
                  <c:v>40786</c:v>
                </c:pt>
                <c:pt idx="750">
                  <c:v>40785</c:v>
                </c:pt>
                <c:pt idx="751">
                  <c:v>40784</c:v>
                </c:pt>
                <c:pt idx="752">
                  <c:v>40781</c:v>
                </c:pt>
                <c:pt idx="753">
                  <c:v>40780</c:v>
                </c:pt>
                <c:pt idx="754">
                  <c:v>40779</c:v>
                </c:pt>
                <c:pt idx="755">
                  <c:v>40778</c:v>
                </c:pt>
                <c:pt idx="756">
                  <c:v>40777</c:v>
                </c:pt>
                <c:pt idx="757">
                  <c:v>40774</c:v>
                </c:pt>
                <c:pt idx="758">
                  <c:v>40773</c:v>
                </c:pt>
                <c:pt idx="759">
                  <c:v>40772</c:v>
                </c:pt>
                <c:pt idx="760">
                  <c:v>40771</c:v>
                </c:pt>
                <c:pt idx="761">
                  <c:v>40770</c:v>
                </c:pt>
                <c:pt idx="762">
                  <c:v>40767</c:v>
                </c:pt>
                <c:pt idx="763">
                  <c:v>40766</c:v>
                </c:pt>
                <c:pt idx="764">
                  <c:v>40765</c:v>
                </c:pt>
                <c:pt idx="765">
                  <c:v>40763</c:v>
                </c:pt>
                <c:pt idx="766">
                  <c:v>40760</c:v>
                </c:pt>
                <c:pt idx="767">
                  <c:v>40759</c:v>
                </c:pt>
                <c:pt idx="768">
                  <c:v>40758</c:v>
                </c:pt>
                <c:pt idx="769">
                  <c:v>40757</c:v>
                </c:pt>
                <c:pt idx="770">
                  <c:v>40756</c:v>
                </c:pt>
                <c:pt idx="771">
                  <c:v>40753</c:v>
                </c:pt>
                <c:pt idx="772">
                  <c:v>40752</c:v>
                </c:pt>
                <c:pt idx="773">
                  <c:v>40751</c:v>
                </c:pt>
                <c:pt idx="774">
                  <c:v>40750</c:v>
                </c:pt>
                <c:pt idx="775">
                  <c:v>40749</c:v>
                </c:pt>
                <c:pt idx="776">
                  <c:v>40746</c:v>
                </c:pt>
                <c:pt idx="777">
                  <c:v>40745</c:v>
                </c:pt>
                <c:pt idx="778">
                  <c:v>40744</c:v>
                </c:pt>
                <c:pt idx="779">
                  <c:v>40743</c:v>
                </c:pt>
                <c:pt idx="780">
                  <c:v>40742</c:v>
                </c:pt>
                <c:pt idx="781">
                  <c:v>40739</c:v>
                </c:pt>
                <c:pt idx="782">
                  <c:v>40738</c:v>
                </c:pt>
                <c:pt idx="783">
                  <c:v>40737</c:v>
                </c:pt>
                <c:pt idx="784">
                  <c:v>40736</c:v>
                </c:pt>
                <c:pt idx="785">
                  <c:v>40735</c:v>
                </c:pt>
                <c:pt idx="786">
                  <c:v>40732</c:v>
                </c:pt>
                <c:pt idx="787">
                  <c:v>40731</c:v>
                </c:pt>
                <c:pt idx="788">
                  <c:v>40730</c:v>
                </c:pt>
                <c:pt idx="789">
                  <c:v>40729</c:v>
                </c:pt>
                <c:pt idx="790">
                  <c:v>40728</c:v>
                </c:pt>
                <c:pt idx="791">
                  <c:v>40725</c:v>
                </c:pt>
                <c:pt idx="792">
                  <c:v>40724</c:v>
                </c:pt>
                <c:pt idx="793">
                  <c:v>40723</c:v>
                </c:pt>
                <c:pt idx="794">
                  <c:v>40722</c:v>
                </c:pt>
                <c:pt idx="795">
                  <c:v>40721</c:v>
                </c:pt>
                <c:pt idx="796">
                  <c:v>40718</c:v>
                </c:pt>
                <c:pt idx="797">
                  <c:v>40717</c:v>
                </c:pt>
                <c:pt idx="798">
                  <c:v>40716</c:v>
                </c:pt>
                <c:pt idx="799">
                  <c:v>40715</c:v>
                </c:pt>
                <c:pt idx="800">
                  <c:v>40714</c:v>
                </c:pt>
                <c:pt idx="801">
                  <c:v>40711</c:v>
                </c:pt>
                <c:pt idx="802">
                  <c:v>40709</c:v>
                </c:pt>
                <c:pt idx="803">
                  <c:v>40708</c:v>
                </c:pt>
                <c:pt idx="804">
                  <c:v>40707</c:v>
                </c:pt>
                <c:pt idx="805">
                  <c:v>40704</c:v>
                </c:pt>
                <c:pt idx="806">
                  <c:v>40703</c:v>
                </c:pt>
                <c:pt idx="807">
                  <c:v>40702</c:v>
                </c:pt>
                <c:pt idx="808">
                  <c:v>40701</c:v>
                </c:pt>
                <c:pt idx="809">
                  <c:v>40700</c:v>
                </c:pt>
                <c:pt idx="810">
                  <c:v>40697</c:v>
                </c:pt>
                <c:pt idx="811">
                  <c:v>40696</c:v>
                </c:pt>
                <c:pt idx="812">
                  <c:v>40695</c:v>
                </c:pt>
                <c:pt idx="813">
                  <c:v>40694</c:v>
                </c:pt>
                <c:pt idx="814">
                  <c:v>40693</c:v>
                </c:pt>
                <c:pt idx="815">
                  <c:v>40690</c:v>
                </c:pt>
                <c:pt idx="816">
                  <c:v>40689</c:v>
                </c:pt>
                <c:pt idx="817">
                  <c:v>40688</c:v>
                </c:pt>
                <c:pt idx="818">
                  <c:v>40687</c:v>
                </c:pt>
                <c:pt idx="819">
                  <c:v>40686</c:v>
                </c:pt>
                <c:pt idx="820">
                  <c:v>40683</c:v>
                </c:pt>
                <c:pt idx="821">
                  <c:v>40682</c:v>
                </c:pt>
                <c:pt idx="822">
                  <c:v>40680</c:v>
                </c:pt>
                <c:pt idx="823">
                  <c:v>40679</c:v>
                </c:pt>
                <c:pt idx="824">
                  <c:v>40676</c:v>
                </c:pt>
                <c:pt idx="825">
                  <c:v>40675</c:v>
                </c:pt>
                <c:pt idx="826">
                  <c:v>40674</c:v>
                </c:pt>
                <c:pt idx="827">
                  <c:v>40673</c:v>
                </c:pt>
                <c:pt idx="828">
                  <c:v>40672</c:v>
                </c:pt>
                <c:pt idx="829">
                  <c:v>40669</c:v>
                </c:pt>
                <c:pt idx="830">
                  <c:v>40668</c:v>
                </c:pt>
                <c:pt idx="831">
                  <c:v>40667</c:v>
                </c:pt>
                <c:pt idx="832">
                  <c:v>40666</c:v>
                </c:pt>
                <c:pt idx="833">
                  <c:v>40662</c:v>
                </c:pt>
                <c:pt idx="834">
                  <c:v>40661</c:v>
                </c:pt>
                <c:pt idx="835">
                  <c:v>40659</c:v>
                </c:pt>
                <c:pt idx="836">
                  <c:v>40654</c:v>
                </c:pt>
                <c:pt idx="837">
                  <c:v>40653</c:v>
                </c:pt>
                <c:pt idx="838">
                  <c:v>40652</c:v>
                </c:pt>
                <c:pt idx="839">
                  <c:v>40651</c:v>
                </c:pt>
                <c:pt idx="840">
                  <c:v>40648</c:v>
                </c:pt>
                <c:pt idx="841">
                  <c:v>40647</c:v>
                </c:pt>
                <c:pt idx="842">
                  <c:v>40646</c:v>
                </c:pt>
                <c:pt idx="843">
                  <c:v>40645</c:v>
                </c:pt>
                <c:pt idx="844">
                  <c:v>40644</c:v>
                </c:pt>
                <c:pt idx="845">
                  <c:v>40641</c:v>
                </c:pt>
                <c:pt idx="846">
                  <c:v>40640</c:v>
                </c:pt>
                <c:pt idx="847">
                  <c:v>40639</c:v>
                </c:pt>
                <c:pt idx="848">
                  <c:v>40638</c:v>
                </c:pt>
                <c:pt idx="849">
                  <c:v>40637</c:v>
                </c:pt>
                <c:pt idx="850">
                  <c:v>40634</c:v>
                </c:pt>
                <c:pt idx="851">
                  <c:v>40633</c:v>
                </c:pt>
                <c:pt idx="852">
                  <c:v>40632</c:v>
                </c:pt>
                <c:pt idx="853">
                  <c:v>40631</c:v>
                </c:pt>
                <c:pt idx="854">
                  <c:v>40630</c:v>
                </c:pt>
                <c:pt idx="855">
                  <c:v>40627</c:v>
                </c:pt>
                <c:pt idx="856">
                  <c:v>40626</c:v>
                </c:pt>
                <c:pt idx="857">
                  <c:v>40625</c:v>
                </c:pt>
                <c:pt idx="858">
                  <c:v>40624</c:v>
                </c:pt>
                <c:pt idx="859">
                  <c:v>40620</c:v>
                </c:pt>
                <c:pt idx="860">
                  <c:v>40619</c:v>
                </c:pt>
                <c:pt idx="861">
                  <c:v>40618</c:v>
                </c:pt>
                <c:pt idx="862">
                  <c:v>40617</c:v>
                </c:pt>
                <c:pt idx="863">
                  <c:v>40616</c:v>
                </c:pt>
                <c:pt idx="864">
                  <c:v>40613</c:v>
                </c:pt>
                <c:pt idx="865">
                  <c:v>40612</c:v>
                </c:pt>
                <c:pt idx="866">
                  <c:v>40611</c:v>
                </c:pt>
                <c:pt idx="867">
                  <c:v>40610</c:v>
                </c:pt>
                <c:pt idx="868">
                  <c:v>40609</c:v>
                </c:pt>
                <c:pt idx="869">
                  <c:v>40606</c:v>
                </c:pt>
                <c:pt idx="870">
                  <c:v>40605</c:v>
                </c:pt>
                <c:pt idx="871">
                  <c:v>40604</c:v>
                </c:pt>
                <c:pt idx="872">
                  <c:v>40603</c:v>
                </c:pt>
                <c:pt idx="873">
                  <c:v>40602</c:v>
                </c:pt>
                <c:pt idx="874">
                  <c:v>40599</c:v>
                </c:pt>
                <c:pt idx="875">
                  <c:v>40598</c:v>
                </c:pt>
                <c:pt idx="876">
                  <c:v>40597</c:v>
                </c:pt>
                <c:pt idx="877">
                  <c:v>40596</c:v>
                </c:pt>
                <c:pt idx="878">
                  <c:v>40595</c:v>
                </c:pt>
                <c:pt idx="879">
                  <c:v>40592</c:v>
                </c:pt>
                <c:pt idx="880">
                  <c:v>40591</c:v>
                </c:pt>
                <c:pt idx="881">
                  <c:v>40590</c:v>
                </c:pt>
                <c:pt idx="882">
                  <c:v>40589</c:v>
                </c:pt>
                <c:pt idx="883">
                  <c:v>40588</c:v>
                </c:pt>
                <c:pt idx="884">
                  <c:v>40585</c:v>
                </c:pt>
                <c:pt idx="885">
                  <c:v>40584</c:v>
                </c:pt>
                <c:pt idx="886">
                  <c:v>40583</c:v>
                </c:pt>
                <c:pt idx="887">
                  <c:v>40582</c:v>
                </c:pt>
                <c:pt idx="888">
                  <c:v>40581</c:v>
                </c:pt>
                <c:pt idx="889">
                  <c:v>40578</c:v>
                </c:pt>
                <c:pt idx="890">
                  <c:v>40577</c:v>
                </c:pt>
                <c:pt idx="891">
                  <c:v>40576</c:v>
                </c:pt>
                <c:pt idx="892">
                  <c:v>40575</c:v>
                </c:pt>
                <c:pt idx="893">
                  <c:v>40574</c:v>
                </c:pt>
                <c:pt idx="894">
                  <c:v>40571</c:v>
                </c:pt>
                <c:pt idx="895">
                  <c:v>40570</c:v>
                </c:pt>
                <c:pt idx="896">
                  <c:v>40569</c:v>
                </c:pt>
                <c:pt idx="897">
                  <c:v>40568</c:v>
                </c:pt>
                <c:pt idx="898">
                  <c:v>40567</c:v>
                </c:pt>
                <c:pt idx="899">
                  <c:v>40564</c:v>
                </c:pt>
                <c:pt idx="900">
                  <c:v>40563</c:v>
                </c:pt>
                <c:pt idx="901">
                  <c:v>40562</c:v>
                </c:pt>
                <c:pt idx="902">
                  <c:v>40561</c:v>
                </c:pt>
                <c:pt idx="903">
                  <c:v>40560</c:v>
                </c:pt>
                <c:pt idx="904">
                  <c:v>40557</c:v>
                </c:pt>
                <c:pt idx="905">
                  <c:v>40556</c:v>
                </c:pt>
                <c:pt idx="906">
                  <c:v>40555</c:v>
                </c:pt>
                <c:pt idx="907">
                  <c:v>40554</c:v>
                </c:pt>
                <c:pt idx="908">
                  <c:v>40553</c:v>
                </c:pt>
                <c:pt idx="909">
                  <c:v>40550</c:v>
                </c:pt>
                <c:pt idx="910">
                  <c:v>40549</c:v>
                </c:pt>
                <c:pt idx="911">
                  <c:v>40548</c:v>
                </c:pt>
                <c:pt idx="912">
                  <c:v>40547</c:v>
                </c:pt>
                <c:pt idx="913">
                  <c:v>40546</c:v>
                </c:pt>
                <c:pt idx="914">
                  <c:v>40543</c:v>
                </c:pt>
                <c:pt idx="915">
                  <c:v>40542</c:v>
                </c:pt>
                <c:pt idx="916">
                  <c:v>40541</c:v>
                </c:pt>
                <c:pt idx="917">
                  <c:v>40540</c:v>
                </c:pt>
                <c:pt idx="918">
                  <c:v>40536</c:v>
                </c:pt>
                <c:pt idx="919">
                  <c:v>40535</c:v>
                </c:pt>
                <c:pt idx="920">
                  <c:v>40534</c:v>
                </c:pt>
                <c:pt idx="921">
                  <c:v>40533</c:v>
                </c:pt>
                <c:pt idx="922">
                  <c:v>40532</c:v>
                </c:pt>
                <c:pt idx="923">
                  <c:v>40529</c:v>
                </c:pt>
                <c:pt idx="924">
                  <c:v>40527</c:v>
                </c:pt>
                <c:pt idx="925">
                  <c:v>40526</c:v>
                </c:pt>
                <c:pt idx="926">
                  <c:v>40525</c:v>
                </c:pt>
                <c:pt idx="927">
                  <c:v>40522</c:v>
                </c:pt>
                <c:pt idx="928">
                  <c:v>40521</c:v>
                </c:pt>
                <c:pt idx="929">
                  <c:v>40520</c:v>
                </c:pt>
                <c:pt idx="930">
                  <c:v>40519</c:v>
                </c:pt>
                <c:pt idx="931">
                  <c:v>40518</c:v>
                </c:pt>
                <c:pt idx="932">
                  <c:v>40515</c:v>
                </c:pt>
                <c:pt idx="933">
                  <c:v>40514</c:v>
                </c:pt>
                <c:pt idx="934">
                  <c:v>40513</c:v>
                </c:pt>
                <c:pt idx="935">
                  <c:v>40512</c:v>
                </c:pt>
                <c:pt idx="936">
                  <c:v>40511</c:v>
                </c:pt>
                <c:pt idx="937">
                  <c:v>40508</c:v>
                </c:pt>
                <c:pt idx="938">
                  <c:v>40507</c:v>
                </c:pt>
                <c:pt idx="939">
                  <c:v>40506</c:v>
                </c:pt>
                <c:pt idx="940">
                  <c:v>40505</c:v>
                </c:pt>
                <c:pt idx="941">
                  <c:v>40504</c:v>
                </c:pt>
                <c:pt idx="942">
                  <c:v>40501</c:v>
                </c:pt>
                <c:pt idx="943">
                  <c:v>40500</c:v>
                </c:pt>
                <c:pt idx="944">
                  <c:v>40499</c:v>
                </c:pt>
                <c:pt idx="945">
                  <c:v>40498</c:v>
                </c:pt>
                <c:pt idx="946">
                  <c:v>40497</c:v>
                </c:pt>
                <c:pt idx="947">
                  <c:v>40494</c:v>
                </c:pt>
                <c:pt idx="948">
                  <c:v>40493</c:v>
                </c:pt>
                <c:pt idx="949">
                  <c:v>40492</c:v>
                </c:pt>
                <c:pt idx="950">
                  <c:v>40491</c:v>
                </c:pt>
                <c:pt idx="951">
                  <c:v>40490</c:v>
                </c:pt>
                <c:pt idx="952">
                  <c:v>40487</c:v>
                </c:pt>
                <c:pt idx="953">
                  <c:v>40486</c:v>
                </c:pt>
                <c:pt idx="954">
                  <c:v>40485</c:v>
                </c:pt>
                <c:pt idx="955">
                  <c:v>40484</c:v>
                </c:pt>
                <c:pt idx="956">
                  <c:v>40483</c:v>
                </c:pt>
                <c:pt idx="957">
                  <c:v>40480</c:v>
                </c:pt>
                <c:pt idx="958">
                  <c:v>40479</c:v>
                </c:pt>
                <c:pt idx="959">
                  <c:v>40478</c:v>
                </c:pt>
                <c:pt idx="960">
                  <c:v>40477</c:v>
                </c:pt>
                <c:pt idx="961">
                  <c:v>40476</c:v>
                </c:pt>
                <c:pt idx="962">
                  <c:v>40473</c:v>
                </c:pt>
                <c:pt idx="963">
                  <c:v>40472</c:v>
                </c:pt>
                <c:pt idx="964">
                  <c:v>40471</c:v>
                </c:pt>
                <c:pt idx="965">
                  <c:v>40470</c:v>
                </c:pt>
                <c:pt idx="966">
                  <c:v>40469</c:v>
                </c:pt>
                <c:pt idx="967">
                  <c:v>40466</c:v>
                </c:pt>
                <c:pt idx="968">
                  <c:v>40465</c:v>
                </c:pt>
                <c:pt idx="969">
                  <c:v>40464</c:v>
                </c:pt>
                <c:pt idx="970">
                  <c:v>40463</c:v>
                </c:pt>
                <c:pt idx="971">
                  <c:v>40462</c:v>
                </c:pt>
                <c:pt idx="972">
                  <c:v>40459</c:v>
                </c:pt>
                <c:pt idx="973">
                  <c:v>40458</c:v>
                </c:pt>
                <c:pt idx="974">
                  <c:v>40457</c:v>
                </c:pt>
                <c:pt idx="975">
                  <c:v>40456</c:v>
                </c:pt>
                <c:pt idx="976">
                  <c:v>40455</c:v>
                </c:pt>
                <c:pt idx="977">
                  <c:v>40452</c:v>
                </c:pt>
                <c:pt idx="978">
                  <c:v>40451</c:v>
                </c:pt>
                <c:pt idx="979">
                  <c:v>40450</c:v>
                </c:pt>
                <c:pt idx="980">
                  <c:v>40449</c:v>
                </c:pt>
                <c:pt idx="981">
                  <c:v>40448</c:v>
                </c:pt>
                <c:pt idx="982">
                  <c:v>40444</c:v>
                </c:pt>
                <c:pt idx="983">
                  <c:v>40443</c:v>
                </c:pt>
                <c:pt idx="984">
                  <c:v>40442</c:v>
                </c:pt>
                <c:pt idx="985">
                  <c:v>40441</c:v>
                </c:pt>
                <c:pt idx="986">
                  <c:v>40438</c:v>
                </c:pt>
                <c:pt idx="987">
                  <c:v>40437</c:v>
                </c:pt>
                <c:pt idx="988">
                  <c:v>40436</c:v>
                </c:pt>
                <c:pt idx="989">
                  <c:v>40435</c:v>
                </c:pt>
                <c:pt idx="990">
                  <c:v>40434</c:v>
                </c:pt>
                <c:pt idx="991">
                  <c:v>40431</c:v>
                </c:pt>
                <c:pt idx="992">
                  <c:v>40430</c:v>
                </c:pt>
                <c:pt idx="993">
                  <c:v>40429</c:v>
                </c:pt>
                <c:pt idx="994">
                  <c:v>40428</c:v>
                </c:pt>
                <c:pt idx="995">
                  <c:v>40427</c:v>
                </c:pt>
                <c:pt idx="996">
                  <c:v>40424</c:v>
                </c:pt>
                <c:pt idx="997">
                  <c:v>40423</c:v>
                </c:pt>
                <c:pt idx="998">
                  <c:v>40422</c:v>
                </c:pt>
                <c:pt idx="999">
                  <c:v>40421</c:v>
                </c:pt>
                <c:pt idx="1000">
                  <c:v>40420</c:v>
                </c:pt>
                <c:pt idx="1001">
                  <c:v>40417</c:v>
                </c:pt>
                <c:pt idx="1002">
                  <c:v>40416</c:v>
                </c:pt>
                <c:pt idx="1003">
                  <c:v>40415</c:v>
                </c:pt>
                <c:pt idx="1004">
                  <c:v>40414</c:v>
                </c:pt>
                <c:pt idx="1005">
                  <c:v>40413</c:v>
                </c:pt>
                <c:pt idx="1006">
                  <c:v>40410</c:v>
                </c:pt>
                <c:pt idx="1007">
                  <c:v>40409</c:v>
                </c:pt>
                <c:pt idx="1008">
                  <c:v>40408</c:v>
                </c:pt>
                <c:pt idx="1009">
                  <c:v>40407</c:v>
                </c:pt>
                <c:pt idx="1010">
                  <c:v>40406</c:v>
                </c:pt>
                <c:pt idx="1011">
                  <c:v>40403</c:v>
                </c:pt>
                <c:pt idx="1012">
                  <c:v>40402</c:v>
                </c:pt>
                <c:pt idx="1013">
                  <c:v>40401</c:v>
                </c:pt>
                <c:pt idx="1014">
                  <c:v>40400</c:v>
                </c:pt>
                <c:pt idx="1015">
                  <c:v>40396</c:v>
                </c:pt>
                <c:pt idx="1016">
                  <c:v>40395</c:v>
                </c:pt>
                <c:pt idx="1017">
                  <c:v>40394</c:v>
                </c:pt>
                <c:pt idx="1018">
                  <c:v>40393</c:v>
                </c:pt>
                <c:pt idx="1019">
                  <c:v>40392</c:v>
                </c:pt>
                <c:pt idx="1020">
                  <c:v>40389</c:v>
                </c:pt>
                <c:pt idx="1021">
                  <c:v>40388</c:v>
                </c:pt>
                <c:pt idx="1022">
                  <c:v>40387</c:v>
                </c:pt>
                <c:pt idx="1023">
                  <c:v>40386</c:v>
                </c:pt>
                <c:pt idx="1024">
                  <c:v>40385</c:v>
                </c:pt>
                <c:pt idx="1025">
                  <c:v>40382</c:v>
                </c:pt>
                <c:pt idx="1026">
                  <c:v>40381</c:v>
                </c:pt>
                <c:pt idx="1027">
                  <c:v>40380</c:v>
                </c:pt>
                <c:pt idx="1028">
                  <c:v>40379</c:v>
                </c:pt>
                <c:pt idx="1029">
                  <c:v>40378</c:v>
                </c:pt>
                <c:pt idx="1030">
                  <c:v>40375</c:v>
                </c:pt>
                <c:pt idx="1031">
                  <c:v>40374</c:v>
                </c:pt>
                <c:pt idx="1032">
                  <c:v>40373</c:v>
                </c:pt>
                <c:pt idx="1033">
                  <c:v>40372</c:v>
                </c:pt>
                <c:pt idx="1034">
                  <c:v>40371</c:v>
                </c:pt>
                <c:pt idx="1035">
                  <c:v>40368</c:v>
                </c:pt>
                <c:pt idx="1036">
                  <c:v>40367</c:v>
                </c:pt>
                <c:pt idx="1037">
                  <c:v>40366</c:v>
                </c:pt>
                <c:pt idx="1038">
                  <c:v>40365</c:v>
                </c:pt>
                <c:pt idx="1039">
                  <c:v>40364</c:v>
                </c:pt>
                <c:pt idx="1040">
                  <c:v>40361</c:v>
                </c:pt>
                <c:pt idx="1041">
                  <c:v>40360</c:v>
                </c:pt>
                <c:pt idx="1042">
                  <c:v>40359</c:v>
                </c:pt>
                <c:pt idx="1043">
                  <c:v>40358</c:v>
                </c:pt>
                <c:pt idx="1044">
                  <c:v>40357</c:v>
                </c:pt>
                <c:pt idx="1045">
                  <c:v>40354</c:v>
                </c:pt>
                <c:pt idx="1046">
                  <c:v>40353</c:v>
                </c:pt>
                <c:pt idx="1047">
                  <c:v>40352</c:v>
                </c:pt>
                <c:pt idx="1048">
                  <c:v>40351</c:v>
                </c:pt>
                <c:pt idx="1049">
                  <c:v>40350</c:v>
                </c:pt>
                <c:pt idx="1050">
                  <c:v>40347</c:v>
                </c:pt>
                <c:pt idx="1051">
                  <c:v>40346</c:v>
                </c:pt>
                <c:pt idx="1052">
                  <c:v>40344</c:v>
                </c:pt>
                <c:pt idx="1053">
                  <c:v>40343</c:v>
                </c:pt>
                <c:pt idx="1054">
                  <c:v>40340</c:v>
                </c:pt>
                <c:pt idx="1055">
                  <c:v>40339</c:v>
                </c:pt>
                <c:pt idx="1056">
                  <c:v>40338</c:v>
                </c:pt>
                <c:pt idx="1057">
                  <c:v>40337</c:v>
                </c:pt>
                <c:pt idx="1058">
                  <c:v>40336</c:v>
                </c:pt>
                <c:pt idx="1059">
                  <c:v>40333</c:v>
                </c:pt>
                <c:pt idx="1060">
                  <c:v>40332</c:v>
                </c:pt>
                <c:pt idx="1061">
                  <c:v>40331</c:v>
                </c:pt>
                <c:pt idx="1062">
                  <c:v>40330</c:v>
                </c:pt>
                <c:pt idx="1063">
                  <c:v>40329</c:v>
                </c:pt>
                <c:pt idx="1064">
                  <c:v>40326</c:v>
                </c:pt>
                <c:pt idx="1065">
                  <c:v>40325</c:v>
                </c:pt>
                <c:pt idx="1066">
                  <c:v>40324</c:v>
                </c:pt>
                <c:pt idx="1067">
                  <c:v>40323</c:v>
                </c:pt>
                <c:pt idx="1068">
                  <c:v>40322</c:v>
                </c:pt>
                <c:pt idx="1069">
                  <c:v>40319</c:v>
                </c:pt>
                <c:pt idx="1070">
                  <c:v>40318</c:v>
                </c:pt>
                <c:pt idx="1071">
                  <c:v>40317</c:v>
                </c:pt>
                <c:pt idx="1072">
                  <c:v>40316</c:v>
                </c:pt>
                <c:pt idx="1073">
                  <c:v>40315</c:v>
                </c:pt>
                <c:pt idx="1074">
                  <c:v>40312</c:v>
                </c:pt>
                <c:pt idx="1075">
                  <c:v>40311</c:v>
                </c:pt>
                <c:pt idx="1076">
                  <c:v>40310</c:v>
                </c:pt>
                <c:pt idx="1077">
                  <c:v>40309</c:v>
                </c:pt>
                <c:pt idx="1078">
                  <c:v>40308</c:v>
                </c:pt>
                <c:pt idx="1079">
                  <c:v>40305</c:v>
                </c:pt>
                <c:pt idx="1080">
                  <c:v>40304</c:v>
                </c:pt>
                <c:pt idx="1081">
                  <c:v>40303</c:v>
                </c:pt>
                <c:pt idx="1082">
                  <c:v>40302</c:v>
                </c:pt>
                <c:pt idx="1083">
                  <c:v>40301</c:v>
                </c:pt>
                <c:pt idx="1084">
                  <c:v>40298</c:v>
                </c:pt>
                <c:pt idx="1085">
                  <c:v>40297</c:v>
                </c:pt>
                <c:pt idx="1086">
                  <c:v>40296</c:v>
                </c:pt>
                <c:pt idx="1087">
                  <c:v>40294</c:v>
                </c:pt>
                <c:pt idx="1088">
                  <c:v>40291</c:v>
                </c:pt>
                <c:pt idx="1089">
                  <c:v>40290</c:v>
                </c:pt>
                <c:pt idx="1090">
                  <c:v>40289</c:v>
                </c:pt>
                <c:pt idx="1091">
                  <c:v>40288</c:v>
                </c:pt>
                <c:pt idx="1092">
                  <c:v>40287</c:v>
                </c:pt>
                <c:pt idx="1093">
                  <c:v>40284</c:v>
                </c:pt>
                <c:pt idx="1094">
                  <c:v>40283</c:v>
                </c:pt>
                <c:pt idx="1095">
                  <c:v>40282</c:v>
                </c:pt>
                <c:pt idx="1096">
                  <c:v>40281</c:v>
                </c:pt>
                <c:pt idx="1097">
                  <c:v>40280</c:v>
                </c:pt>
                <c:pt idx="1098">
                  <c:v>40277</c:v>
                </c:pt>
                <c:pt idx="1099">
                  <c:v>40276</c:v>
                </c:pt>
                <c:pt idx="1100">
                  <c:v>40275</c:v>
                </c:pt>
                <c:pt idx="1101">
                  <c:v>40274</c:v>
                </c:pt>
                <c:pt idx="1102">
                  <c:v>40269</c:v>
                </c:pt>
                <c:pt idx="1103">
                  <c:v>40268</c:v>
                </c:pt>
                <c:pt idx="1104">
                  <c:v>40267</c:v>
                </c:pt>
                <c:pt idx="1105">
                  <c:v>40266</c:v>
                </c:pt>
                <c:pt idx="1106">
                  <c:v>40263</c:v>
                </c:pt>
                <c:pt idx="1107">
                  <c:v>40262</c:v>
                </c:pt>
                <c:pt idx="1108">
                  <c:v>40261</c:v>
                </c:pt>
                <c:pt idx="1109">
                  <c:v>40260</c:v>
                </c:pt>
                <c:pt idx="1110">
                  <c:v>40256</c:v>
                </c:pt>
                <c:pt idx="1111">
                  <c:v>40255</c:v>
                </c:pt>
                <c:pt idx="1112">
                  <c:v>40254</c:v>
                </c:pt>
                <c:pt idx="1113">
                  <c:v>40253</c:v>
                </c:pt>
                <c:pt idx="1114">
                  <c:v>40252</c:v>
                </c:pt>
                <c:pt idx="1115">
                  <c:v>40249</c:v>
                </c:pt>
                <c:pt idx="1116">
                  <c:v>40248</c:v>
                </c:pt>
                <c:pt idx="1117">
                  <c:v>40247</c:v>
                </c:pt>
                <c:pt idx="1118">
                  <c:v>40246</c:v>
                </c:pt>
                <c:pt idx="1119">
                  <c:v>40245</c:v>
                </c:pt>
                <c:pt idx="1120">
                  <c:v>40242</c:v>
                </c:pt>
                <c:pt idx="1121">
                  <c:v>40241</c:v>
                </c:pt>
                <c:pt idx="1122">
                  <c:v>40240</c:v>
                </c:pt>
                <c:pt idx="1123">
                  <c:v>40239</c:v>
                </c:pt>
                <c:pt idx="1124">
                  <c:v>40238</c:v>
                </c:pt>
                <c:pt idx="1125">
                  <c:v>40235</c:v>
                </c:pt>
                <c:pt idx="1126">
                  <c:v>40234</c:v>
                </c:pt>
                <c:pt idx="1127">
                  <c:v>40233</c:v>
                </c:pt>
                <c:pt idx="1128">
                  <c:v>40232</c:v>
                </c:pt>
                <c:pt idx="1129">
                  <c:v>40231</c:v>
                </c:pt>
                <c:pt idx="1130">
                  <c:v>40228</c:v>
                </c:pt>
                <c:pt idx="1131">
                  <c:v>40227</c:v>
                </c:pt>
                <c:pt idx="1132">
                  <c:v>40226</c:v>
                </c:pt>
                <c:pt idx="1133">
                  <c:v>40225</c:v>
                </c:pt>
                <c:pt idx="1134">
                  <c:v>40224</c:v>
                </c:pt>
                <c:pt idx="1135">
                  <c:v>40221</c:v>
                </c:pt>
                <c:pt idx="1136">
                  <c:v>40220</c:v>
                </c:pt>
                <c:pt idx="1137">
                  <c:v>40219</c:v>
                </c:pt>
                <c:pt idx="1138">
                  <c:v>40218</c:v>
                </c:pt>
                <c:pt idx="1139">
                  <c:v>40217</c:v>
                </c:pt>
                <c:pt idx="1140">
                  <c:v>40214</c:v>
                </c:pt>
                <c:pt idx="1141">
                  <c:v>40213</c:v>
                </c:pt>
                <c:pt idx="1142">
                  <c:v>40212</c:v>
                </c:pt>
                <c:pt idx="1143">
                  <c:v>40211</c:v>
                </c:pt>
                <c:pt idx="1144">
                  <c:v>40210</c:v>
                </c:pt>
                <c:pt idx="1145">
                  <c:v>40207</c:v>
                </c:pt>
                <c:pt idx="1146">
                  <c:v>40206</c:v>
                </c:pt>
                <c:pt idx="1147">
                  <c:v>40205</c:v>
                </c:pt>
                <c:pt idx="1148">
                  <c:v>40204</c:v>
                </c:pt>
                <c:pt idx="1149">
                  <c:v>40203</c:v>
                </c:pt>
                <c:pt idx="1150">
                  <c:v>40200</c:v>
                </c:pt>
                <c:pt idx="1151">
                  <c:v>40199</c:v>
                </c:pt>
                <c:pt idx="1152">
                  <c:v>40198</c:v>
                </c:pt>
                <c:pt idx="1153">
                  <c:v>40197</c:v>
                </c:pt>
                <c:pt idx="1154">
                  <c:v>40196</c:v>
                </c:pt>
                <c:pt idx="1155">
                  <c:v>40193</c:v>
                </c:pt>
                <c:pt idx="1156">
                  <c:v>40192</c:v>
                </c:pt>
                <c:pt idx="1157">
                  <c:v>40191</c:v>
                </c:pt>
                <c:pt idx="1158">
                  <c:v>40190</c:v>
                </c:pt>
                <c:pt idx="1159">
                  <c:v>40189</c:v>
                </c:pt>
                <c:pt idx="1160">
                  <c:v>40186</c:v>
                </c:pt>
                <c:pt idx="1161">
                  <c:v>40185</c:v>
                </c:pt>
                <c:pt idx="1162">
                  <c:v>40184</c:v>
                </c:pt>
                <c:pt idx="1163">
                  <c:v>40183</c:v>
                </c:pt>
                <c:pt idx="1164">
                  <c:v>40182</c:v>
                </c:pt>
                <c:pt idx="1165">
                  <c:v>40178</c:v>
                </c:pt>
                <c:pt idx="1166">
                  <c:v>40177</c:v>
                </c:pt>
                <c:pt idx="1167">
                  <c:v>40176</c:v>
                </c:pt>
                <c:pt idx="1168">
                  <c:v>40175</c:v>
                </c:pt>
                <c:pt idx="1169">
                  <c:v>40171</c:v>
                </c:pt>
                <c:pt idx="1170">
                  <c:v>40170</c:v>
                </c:pt>
                <c:pt idx="1171">
                  <c:v>40169</c:v>
                </c:pt>
                <c:pt idx="1172">
                  <c:v>40168</c:v>
                </c:pt>
                <c:pt idx="1173">
                  <c:v>40165</c:v>
                </c:pt>
                <c:pt idx="1174">
                  <c:v>40164</c:v>
                </c:pt>
                <c:pt idx="1175">
                  <c:v>40162</c:v>
                </c:pt>
                <c:pt idx="1176">
                  <c:v>40161</c:v>
                </c:pt>
                <c:pt idx="1177">
                  <c:v>40158</c:v>
                </c:pt>
                <c:pt idx="1178">
                  <c:v>40157</c:v>
                </c:pt>
                <c:pt idx="1179">
                  <c:v>40156</c:v>
                </c:pt>
                <c:pt idx="1180">
                  <c:v>40155</c:v>
                </c:pt>
                <c:pt idx="1181">
                  <c:v>40154</c:v>
                </c:pt>
                <c:pt idx="1182">
                  <c:v>40151</c:v>
                </c:pt>
                <c:pt idx="1183">
                  <c:v>40150</c:v>
                </c:pt>
                <c:pt idx="1184">
                  <c:v>40149</c:v>
                </c:pt>
                <c:pt idx="1185">
                  <c:v>40148</c:v>
                </c:pt>
                <c:pt idx="1186">
                  <c:v>40147</c:v>
                </c:pt>
                <c:pt idx="1187">
                  <c:v>40144</c:v>
                </c:pt>
                <c:pt idx="1188">
                  <c:v>40143</c:v>
                </c:pt>
                <c:pt idx="1189">
                  <c:v>40142</c:v>
                </c:pt>
                <c:pt idx="1190">
                  <c:v>40141</c:v>
                </c:pt>
                <c:pt idx="1191">
                  <c:v>40140</c:v>
                </c:pt>
                <c:pt idx="1192">
                  <c:v>40137</c:v>
                </c:pt>
                <c:pt idx="1193">
                  <c:v>40136</c:v>
                </c:pt>
                <c:pt idx="1194">
                  <c:v>40135</c:v>
                </c:pt>
                <c:pt idx="1195">
                  <c:v>40134</c:v>
                </c:pt>
                <c:pt idx="1196">
                  <c:v>40133</c:v>
                </c:pt>
                <c:pt idx="1197">
                  <c:v>40130</c:v>
                </c:pt>
                <c:pt idx="1198">
                  <c:v>40129</c:v>
                </c:pt>
                <c:pt idx="1199">
                  <c:v>40128</c:v>
                </c:pt>
                <c:pt idx="1200">
                  <c:v>40127</c:v>
                </c:pt>
                <c:pt idx="1201">
                  <c:v>40126</c:v>
                </c:pt>
                <c:pt idx="1202">
                  <c:v>40123</c:v>
                </c:pt>
                <c:pt idx="1203">
                  <c:v>40122</c:v>
                </c:pt>
                <c:pt idx="1204">
                  <c:v>40121</c:v>
                </c:pt>
                <c:pt idx="1205">
                  <c:v>40120</c:v>
                </c:pt>
                <c:pt idx="1206">
                  <c:v>40119</c:v>
                </c:pt>
                <c:pt idx="1207">
                  <c:v>40116</c:v>
                </c:pt>
                <c:pt idx="1208">
                  <c:v>40115</c:v>
                </c:pt>
                <c:pt idx="1209">
                  <c:v>40114</c:v>
                </c:pt>
                <c:pt idx="1210">
                  <c:v>40113</c:v>
                </c:pt>
                <c:pt idx="1211">
                  <c:v>40112</c:v>
                </c:pt>
                <c:pt idx="1212">
                  <c:v>40109</c:v>
                </c:pt>
                <c:pt idx="1213">
                  <c:v>40108</c:v>
                </c:pt>
                <c:pt idx="1214">
                  <c:v>40107</c:v>
                </c:pt>
                <c:pt idx="1215">
                  <c:v>40106</c:v>
                </c:pt>
                <c:pt idx="1216">
                  <c:v>40105</c:v>
                </c:pt>
                <c:pt idx="1217">
                  <c:v>40102</c:v>
                </c:pt>
                <c:pt idx="1218">
                  <c:v>40101</c:v>
                </c:pt>
                <c:pt idx="1219">
                  <c:v>40100</c:v>
                </c:pt>
                <c:pt idx="1220">
                  <c:v>40099</c:v>
                </c:pt>
                <c:pt idx="1221">
                  <c:v>40098</c:v>
                </c:pt>
                <c:pt idx="1222">
                  <c:v>40095</c:v>
                </c:pt>
                <c:pt idx="1223">
                  <c:v>40094</c:v>
                </c:pt>
                <c:pt idx="1224">
                  <c:v>40093</c:v>
                </c:pt>
                <c:pt idx="1225">
                  <c:v>40092</c:v>
                </c:pt>
                <c:pt idx="1226">
                  <c:v>40091</c:v>
                </c:pt>
                <c:pt idx="1227">
                  <c:v>40088</c:v>
                </c:pt>
                <c:pt idx="1228">
                  <c:v>40087</c:v>
                </c:pt>
                <c:pt idx="1229">
                  <c:v>40086</c:v>
                </c:pt>
                <c:pt idx="1230">
                  <c:v>40085</c:v>
                </c:pt>
                <c:pt idx="1231">
                  <c:v>40084</c:v>
                </c:pt>
                <c:pt idx="1232">
                  <c:v>40081</c:v>
                </c:pt>
                <c:pt idx="1233">
                  <c:v>40079</c:v>
                </c:pt>
                <c:pt idx="1234">
                  <c:v>40078</c:v>
                </c:pt>
                <c:pt idx="1235">
                  <c:v>40077</c:v>
                </c:pt>
                <c:pt idx="1236">
                  <c:v>40074</c:v>
                </c:pt>
                <c:pt idx="1237">
                  <c:v>40073</c:v>
                </c:pt>
                <c:pt idx="1238">
                  <c:v>40072</c:v>
                </c:pt>
                <c:pt idx="1239">
                  <c:v>40071</c:v>
                </c:pt>
                <c:pt idx="1240">
                  <c:v>40070</c:v>
                </c:pt>
                <c:pt idx="1241">
                  <c:v>40067</c:v>
                </c:pt>
                <c:pt idx="1242">
                  <c:v>40066</c:v>
                </c:pt>
                <c:pt idx="1243">
                  <c:v>40065</c:v>
                </c:pt>
                <c:pt idx="1244">
                  <c:v>40064</c:v>
                </c:pt>
                <c:pt idx="1245">
                  <c:v>40063</c:v>
                </c:pt>
                <c:pt idx="1246">
                  <c:v>40060</c:v>
                </c:pt>
                <c:pt idx="1247">
                  <c:v>40059</c:v>
                </c:pt>
                <c:pt idx="1248">
                  <c:v>40058</c:v>
                </c:pt>
                <c:pt idx="1249">
                  <c:v>40057</c:v>
                </c:pt>
                <c:pt idx="1250">
                  <c:v>40056</c:v>
                </c:pt>
                <c:pt idx="1251">
                  <c:v>40053</c:v>
                </c:pt>
                <c:pt idx="1252">
                  <c:v>40052</c:v>
                </c:pt>
                <c:pt idx="1253">
                  <c:v>40051</c:v>
                </c:pt>
                <c:pt idx="1254">
                  <c:v>40050</c:v>
                </c:pt>
                <c:pt idx="1255">
                  <c:v>40049</c:v>
                </c:pt>
                <c:pt idx="1256">
                  <c:v>40046</c:v>
                </c:pt>
                <c:pt idx="1257">
                  <c:v>40045</c:v>
                </c:pt>
                <c:pt idx="1258">
                  <c:v>40044</c:v>
                </c:pt>
                <c:pt idx="1259">
                  <c:v>40043</c:v>
                </c:pt>
                <c:pt idx="1260">
                  <c:v>40042</c:v>
                </c:pt>
                <c:pt idx="1261">
                  <c:v>40039</c:v>
                </c:pt>
                <c:pt idx="1262">
                  <c:v>40038</c:v>
                </c:pt>
                <c:pt idx="1263">
                  <c:v>40037</c:v>
                </c:pt>
                <c:pt idx="1264">
                  <c:v>40036</c:v>
                </c:pt>
                <c:pt idx="1265">
                  <c:v>40032</c:v>
                </c:pt>
                <c:pt idx="1266">
                  <c:v>40031</c:v>
                </c:pt>
                <c:pt idx="1267">
                  <c:v>40030</c:v>
                </c:pt>
                <c:pt idx="1268">
                  <c:v>40029</c:v>
                </c:pt>
                <c:pt idx="1269">
                  <c:v>40028</c:v>
                </c:pt>
                <c:pt idx="1270">
                  <c:v>40025</c:v>
                </c:pt>
                <c:pt idx="1271">
                  <c:v>40024</c:v>
                </c:pt>
                <c:pt idx="1272">
                  <c:v>40023</c:v>
                </c:pt>
                <c:pt idx="1273">
                  <c:v>40022</c:v>
                </c:pt>
                <c:pt idx="1274">
                  <c:v>40021</c:v>
                </c:pt>
                <c:pt idx="1275">
                  <c:v>40018</c:v>
                </c:pt>
                <c:pt idx="1276">
                  <c:v>40017</c:v>
                </c:pt>
                <c:pt idx="1277">
                  <c:v>40016</c:v>
                </c:pt>
                <c:pt idx="1278">
                  <c:v>40015</c:v>
                </c:pt>
                <c:pt idx="1279">
                  <c:v>40014</c:v>
                </c:pt>
                <c:pt idx="1280">
                  <c:v>40011</c:v>
                </c:pt>
                <c:pt idx="1281">
                  <c:v>40010</c:v>
                </c:pt>
                <c:pt idx="1282">
                  <c:v>40009</c:v>
                </c:pt>
                <c:pt idx="1283">
                  <c:v>40008</c:v>
                </c:pt>
                <c:pt idx="1284">
                  <c:v>40007</c:v>
                </c:pt>
                <c:pt idx="1285">
                  <c:v>40004</c:v>
                </c:pt>
                <c:pt idx="1286">
                  <c:v>40003</c:v>
                </c:pt>
                <c:pt idx="1287">
                  <c:v>40002</c:v>
                </c:pt>
                <c:pt idx="1288">
                  <c:v>40001</c:v>
                </c:pt>
                <c:pt idx="1289">
                  <c:v>40000</c:v>
                </c:pt>
                <c:pt idx="1290">
                  <c:v>39997</c:v>
                </c:pt>
                <c:pt idx="1291">
                  <c:v>39996</c:v>
                </c:pt>
                <c:pt idx="1292">
                  <c:v>39995</c:v>
                </c:pt>
                <c:pt idx="1293">
                  <c:v>39994</c:v>
                </c:pt>
                <c:pt idx="1294">
                  <c:v>39993</c:v>
                </c:pt>
                <c:pt idx="1295">
                  <c:v>39990</c:v>
                </c:pt>
                <c:pt idx="1296">
                  <c:v>39989</c:v>
                </c:pt>
                <c:pt idx="1297">
                  <c:v>39988</c:v>
                </c:pt>
                <c:pt idx="1298">
                  <c:v>39987</c:v>
                </c:pt>
                <c:pt idx="1299">
                  <c:v>39986</c:v>
                </c:pt>
                <c:pt idx="1300">
                  <c:v>39983</c:v>
                </c:pt>
                <c:pt idx="1301">
                  <c:v>39982</c:v>
                </c:pt>
                <c:pt idx="1302">
                  <c:v>39981</c:v>
                </c:pt>
                <c:pt idx="1303">
                  <c:v>39979</c:v>
                </c:pt>
                <c:pt idx="1304">
                  <c:v>39976</c:v>
                </c:pt>
                <c:pt idx="1305">
                  <c:v>39975</c:v>
                </c:pt>
                <c:pt idx="1306">
                  <c:v>39974</c:v>
                </c:pt>
                <c:pt idx="1307">
                  <c:v>39973</c:v>
                </c:pt>
                <c:pt idx="1308">
                  <c:v>39972</c:v>
                </c:pt>
                <c:pt idx="1309">
                  <c:v>39969</c:v>
                </c:pt>
                <c:pt idx="1310">
                  <c:v>39968</c:v>
                </c:pt>
                <c:pt idx="1311">
                  <c:v>39967</c:v>
                </c:pt>
                <c:pt idx="1312">
                  <c:v>39966</c:v>
                </c:pt>
                <c:pt idx="1313">
                  <c:v>39965</c:v>
                </c:pt>
                <c:pt idx="1314">
                  <c:v>39962</c:v>
                </c:pt>
                <c:pt idx="1315">
                  <c:v>39961</c:v>
                </c:pt>
                <c:pt idx="1316">
                  <c:v>39960</c:v>
                </c:pt>
                <c:pt idx="1317">
                  <c:v>39959</c:v>
                </c:pt>
                <c:pt idx="1318">
                  <c:v>39958</c:v>
                </c:pt>
                <c:pt idx="1319">
                  <c:v>39955</c:v>
                </c:pt>
                <c:pt idx="1320">
                  <c:v>39954</c:v>
                </c:pt>
                <c:pt idx="1321">
                  <c:v>39953</c:v>
                </c:pt>
                <c:pt idx="1322">
                  <c:v>39952</c:v>
                </c:pt>
                <c:pt idx="1323">
                  <c:v>39951</c:v>
                </c:pt>
                <c:pt idx="1324">
                  <c:v>39948</c:v>
                </c:pt>
                <c:pt idx="1325">
                  <c:v>39947</c:v>
                </c:pt>
                <c:pt idx="1326">
                  <c:v>39946</c:v>
                </c:pt>
                <c:pt idx="1327">
                  <c:v>39945</c:v>
                </c:pt>
                <c:pt idx="1328">
                  <c:v>39944</c:v>
                </c:pt>
                <c:pt idx="1329">
                  <c:v>39941</c:v>
                </c:pt>
                <c:pt idx="1330">
                  <c:v>39940</c:v>
                </c:pt>
                <c:pt idx="1331">
                  <c:v>39939</c:v>
                </c:pt>
                <c:pt idx="1332">
                  <c:v>39938</c:v>
                </c:pt>
                <c:pt idx="1333">
                  <c:v>39937</c:v>
                </c:pt>
                <c:pt idx="1334">
                  <c:v>39933</c:v>
                </c:pt>
                <c:pt idx="1335">
                  <c:v>39932</c:v>
                </c:pt>
                <c:pt idx="1336">
                  <c:v>39931</c:v>
                </c:pt>
                <c:pt idx="1337">
                  <c:v>39927</c:v>
                </c:pt>
                <c:pt idx="1338">
                  <c:v>39926</c:v>
                </c:pt>
                <c:pt idx="1339">
                  <c:v>39924</c:v>
                </c:pt>
                <c:pt idx="1340">
                  <c:v>39923</c:v>
                </c:pt>
                <c:pt idx="1341">
                  <c:v>39920</c:v>
                </c:pt>
                <c:pt idx="1342">
                  <c:v>39919</c:v>
                </c:pt>
                <c:pt idx="1343">
                  <c:v>39918</c:v>
                </c:pt>
                <c:pt idx="1344">
                  <c:v>39917</c:v>
                </c:pt>
                <c:pt idx="1345">
                  <c:v>39912</c:v>
                </c:pt>
                <c:pt idx="1346">
                  <c:v>39911</c:v>
                </c:pt>
                <c:pt idx="1347">
                  <c:v>39910</c:v>
                </c:pt>
                <c:pt idx="1348">
                  <c:v>39909</c:v>
                </c:pt>
                <c:pt idx="1349">
                  <c:v>39906</c:v>
                </c:pt>
                <c:pt idx="1350">
                  <c:v>39905</c:v>
                </c:pt>
                <c:pt idx="1351">
                  <c:v>39904</c:v>
                </c:pt>
                <c:pt idx="1352">
                  <c:v>39903</c:v>
                </c:pt>
                <c:pt idx="1353">
                  <c:v>39902</c:v>
                </c:pt>
                <c:pt idx="1354">
                  <c:v>39899</c:v>
                </c:pt>
                <c:pt idx="1355">
                  <c:v>39898</c:v>
                </c:pt>
                <c:pt idx="1356">
                  <c:v>39897</c:v>
                </c:pt>
                <c:pt idx="1357">
                  <c:v>39896</c:v>
                </c:pt>
                <c:pt idx="1358">
                  <c:v>39895</c:v>
                </c:pt>
                <c:pt idx="1359">
                  <c:v>39892</c:v>
                </c:pt>
                <c:pt idx="1360">
                  <c:v>39891</c:v>
                </c:pt>
                <c:pt idx="1361">
                  <c:v>39890</c:v>
                </c:pt>
                <c:pt idx="1362">
                  <c:v>39889</c:v>
                </c:pt>
                <c:pt idx="1363">
                  <c:v>39888</c:v>
                </c:pt>
                <c:pt idx="1364">
                  <c:v>39885</c:v>
                </c:pt>
                <c:pt idx="1365">
                  <c:v>39884</c:v>
                </c:pt>
                <c:pt idx="1366">
                  <c:v>39883</c:v>
                </c:pt>
                <c:pt idx="1367">
                  <c:v>39882</c:v>
                </c:pt>
                <c:pt idx="1368">
                  <c:v>39881</c:v>
                </c:pt>
                <c:pt idx="1369">
                  <c:v>39878</c:v>
                </c:pt>
                <c:pt idx="1370">
                  <c:v>39877</c:v>
                </c:pt>
                <c:pt idx="1371">
                  <c:v>39876</c:v>
                </c:pt>
                <c:pt idx="1372">
                  <c:v>39875</c:v>
                </c:pt>
                <c:pt idx="1373">
                  <c:v>39874</c:v>
                </c:pt>
                <c:pt idx="1374">
                  <c:v>39871</c:v>
                </c:pt>
                <c:pt idx="1375">
                  <c:v>39870</c:v>
                </c:pt>
                <c:pt idx="1376">
                  <c:v>39869</c:v>
                </c:pt>
                <c:pt idx="1377">
                  <c:v>39868</c:v>
                </c:pt>
                <c:pt idx="1378">
                  <c:v>39867</c:v>
                </c:pt>
                <c:pt idx="1379">
                  <c:v>39864</c:v>
                </c:pt>
                <c:pt idx="1380">
                  <c:v>39863</c:v>
                </c:pt>
                <c:pt idx="1381">
                  <c:v>39862</c:v>
                </c:pt>
                <c:pt idx="1382">
                  <c:v>39861</c:v>
                </c:pt>
                <c:pt idx="1383">
                  <c:v>39860</c:v>
                </c:pt>
                <c:pt idx="1384">
                  <c:v>39857</c:v>
                </c:pt>
                <c:pt idx="1385">
                  <c:v>39856</c:v>
                </c:pt>
                <c:pt idx="1386">
                  <c:v>39855</c:v>
                </c:pt>
                <c:pt idx="1387">
                  <c:v>39854</c:v>
                </c:pt>
                <c:pt idx="1388">
                  <c:v>39853</c:v>
                </c:pt>
                <c:pt idx="1389">
                  <c:v>39850</c:v>
                </c:pt>
                <c:pt idx="1390">
                  <c:v>39849</c:v>
                </c:pt>
                <c:pt idx="1391">
                  <c:v>39848</c:v>
                </c:pt>
                <c:pt idx="1392">
                  <c:v>39847</c:v>
                </c:pt>
                <c:pt idx="1393">
                  <c:v>39846</c:v>
                </c:pt>
                <c:pt idx="1394">
                  <c:v>39843</c:v>
                </c:pt>
                <c:pt idx="1395">
                  <c:v>39842</c:v>
                </c:pt>
                <c:pt idx="1396">
                  <c:v>39841</c:v>
                </c:pt>
                <c:pt idx="1397">
                  <c:v>39840</c:v>
                </c:pt>
                <c:pt idx="1398">
                  <c:v>39839</c:v>
                </c:pt>
                <c:pt idx="1399">
                  <c:v>39836</c:v>
                </c:pt>
                <c:pt idx="1400">
                  <c:v>39835</c:v>
                </c:pt>
                <c:pt idx="1401">
                  <c:v>39834</c:v>
                </c:pt>
                <c:pt idx="1402">
                  <c:v>39833</c:v>
                </c:pt>
                <c:pt idx="1403">
                  <c:v>39832</c:v>
                </c:pt>
                <c:pt idx="1404">
                  <c:v>39829</c:v>
                </c:pt>
                <c:pt idx="1405">
                  <c:v>39828</c:v>
                </c:pt>
                <c:pt idx="1406">
                  <c:v>39827</c:v>
                </c:pt>
                <c:pt idx="1407">
                  <c:v>39826</c:v>
                </c:pt>
                <c:pt idx="1408">
                  <c:v>39825</c:v>
                </c:pt>
                <c:pt idx="1409">
                  <c:v>39822</c:v>
                </c:pt>
                <c:pt idx="1410">
                  <c:v>39821</c:v>
                </c:pt>
                <c:pt idx="1411">
                  <c:v>39820</c:v>
                </c:pt>
                <c:pt idx="1412">
                  <c:v>39819</c:v>
                </c:pt>
                <c:pt idx="1413">
                  <c:v>39818</c:v>
                </c:pt>
                <c:pt idx="1414">
                  <c:v>39815</c:v>
                </c:pt>
                <c:pt idx="1415">
                  <c:v>39813</c:v>
                </c:pt>
                <c:pt idx="1416">
                  <c:v>39812</c:v>
                </c:pt>
                <c:pt idx="1417">
                  <c:v>39811</c:v>
                </c:pt>
                <c:pt idx="1418">
                  <c:v>39806</c:v>
                </c:pt>
                <c:pt idx="1419">
                  <c:v>39805</c:v>
                </c:pt>
                <c:pt idx="1420">
                  <c:v>39804</c:v>
                </c:pt>
                <c:pt idx="1421">
                  <c:v>39801</c:v>
                </c:pt>
                <c:pt idx="1422">
                  <c:v>39800</c:v>
                </c:pt>
                <c:pt idx="1423">
                  <c:v>39799</c:v>
                </c:pt>
                <c:pt idx="1424">
                  <c:v>39797</c:v>
                </c:pt>
                <c:pt idx="1425">
                  <c:v>39794</c:v>
                </c:pt>
                <c:pt idx="1426">
                  <c:v>39793</c:v>
                </c:pt>
                <c:pt idx="1427">
                  <c:v>39792</c:v>
                </c:pt>
                <c:pt idx="1428">
                  <c:v>39791</c:v>
                </c:pt>
                <c:pt idx="1429">
                  <c:v>39790</c:v>
                </c:pt>
                <c:pt idx="1430">
                  <c:v>39787</c:v>
                </c:pt>
                <c:pt idx="1431">
                  <c:v>39786</c:v>
                </c:pt>
                <c:pt idx="1432">
                  <c:v>39785</c:v>
                </c:pt>
                <c:pt idx="1433">
                  <c:v>39784</c:v>
                </c:pt>
                <c:pt idx="1434">
                  <c:v>39783</c:v>
                </c:pt>
                <c:pt idx="1435">
                  <c:v>39780</c:v>
                </c:pt>
                <c:pt idx="1436">
                  <c:v>39779</c:v>
                </c:pt>
                <c:pt idx="1437">
                  <c:v>39778</c:v>
                </c:pt>
                <c:pt idx="1438">
                  <c:v>39777</c:v>
                </c:pt>
                <c:pt idx="1439">
                  <c:v>39776</c:v>
                </c:pt>
                <c:pt idx="1440">
                  <c:v>39773</c:v>
                </c:pt>
                <c:pt idx="1441">
                  <c:v>39772</c:v>
                </c:pt>
                <c:pt idx="1442">
                  <c:v>39771</c:v>
                </c:pt>
                <c:pt idx="1443">
                  <c:v>39770</c:v>
                </c:pt>
                <c:pt idx="1444">
                  <c:v>39769</c:v>
                </c:pt>
                <c:pt idx="1445">
                  <c:v>39766</c:v>
                </c:pt>
                <c:pt idx="1446">
                  <c:v>39765</c:v>
                </c:pt>
                <c:pt idx="1447">
                  <c:v>39764</c:v>
                </c:pt>
                <c:pt idx="1448">
                  <c:v>39763</c:v>
                </c:pt>
                <c:pt idx="1449">
                  <c:v>39762</c:v>
                </c:pt>
                <c:pt idx="1450">
                  <c:v>39759</c:v>
                </c:pt>
                <c:pt idx="1451">
                  <c:v>39758</c:v>
                </c:pt>
                <c:pt idx="1452">
                  <c:v>39757</c:v>
                </c:pt>
                <c:pt idx="1453">
                  <c:v>39756</c:v>
                </c:pt>
                <c:pt idx="1454">
                  <c:v>39755</c:v>
                </c:pt>
                <c:pt idx="1455">
                  <c:v>39752</c:v>
                </c:pt>
                <c:pt idx="1456">
                  <c:v>39751</c:v>
                </c:pt>
                <c:pt idx="1457">
                  <c:v>39750</c:v>
                </c:pt>
                <c:pt idx="1458">
                  <c:v>39749</c:v>
                </c:pt>
                <c:pt idx="1459">
                  <c:v>39748</c:v>
                </c:pt>
                <c:pt idx="1460">
                  <c:v>39745</c:v>
                </c:pt>
                <c:pt idx="1461">
                  <c:v>39744</c:v>
                </c:pt>
                <c:pt idx="1462">
                  <c:v>39743</c:v>
                </c:pt>
                <c:pt idx="1463">
                  <c:v>39742</c:v>
                </c:pt>
                <c:pt idx="1464">
                  <c:v>39741</c:v>
                </c:pt>
                <c:pt idx="1465">
                  <c:v>39738</c:v>
                </c:pt>
                <c:pt idx="1466">
                  <c:v>39737</c:v>
                </c:pt>
                <c:pt idx="1467">
                  <c:v>39736</c:v>
                </c:pt>
                <c:pt idx="1468">
                  <c:v>39735</c:v>
                </c:pt>
                <c:pt idx="1469">
                  <c:v>39734</c:v>
                </c:pt>
                <c:pt idx="1470">
                  <c:v>39731</c:v>
                </c:pt>
                <c:pt idx="1471">
                  <c:v>39730</c:v>
                </c:pt>
                <c:pt idx="1472">
                  <c:v>39729</c:v>
                </c:pt>
                <c:pt idx="1473">
                  <c:v>39728</c:v>
                </c:pt>
                <c:pt idx="1474">
                  <c:v>39727</c:v>
                </c:pt>
                <c:pt idx="1475">
                  <c:v>39724</c:v>
                </c:pt>
                <c:pt idx="1476">
                  <c:v>39723</c:v>
                </c:pt>
                <c:pt idx="1477">
                  <c:v>39722</c:v>
                </c:pt>
                <c:pt idx="1478">
                  <c:v>39721</c:v>
                </c:pt>
                <c:pt idx="1479">
                  <c:v>39720</c:v>
                </c:pt>
                <c:pt idx="1480">
                  <c:v>39717</c:v>
                </c:pt>
                <c:pt idx="1481">
                  <c:v>39716</c:v>
                </c:pt>
                <c:pt idx="1482">
                  <c:v>39714</c:v>
                </c:pt>
                <c:pt idx="1483">
                  <c:v>39713</c:v>
                </c:pt>
                <c:pt idx="1484">
                  <c:v>39710</c:v>
                </c:pt>
                <c:pt idx="1485">
                  <c:v>39709</c:v>
                </c:pt>
                <c:pt idx="1486">
                  <c:v>39708</c:v>
                </c:pt>
                <c:pt idx="1487">
                  <c:v>39707</c:v>
                </c:pt>
                <c:pt idx="1488">
                  <c:v>39706</c:v>
                </c:pt>
                <c:pt idx="1489">
                  <c:v>39703</c:v>
                </c:pt>
                <c:pt idx="1490">
                  <c:v>39702</c:v>
                </c:pt>
                <c:pt idx="1491">
                  <c:v>39701</c:v>
                </c:pt>
                <c:pt idx="1492">
                  <c:v>39700</c:v>
                </c:pt>
                <c:pt idx="1493">
                  <c:v>39699</c:v>
                </c:pt>
                <c:pt idx="1494">
                  <c:v>39696</c:v>
                </c:pt>
                <c:pt idx="1495">
                  <c:v>39695</c:v>
                </c:pt>
                <c:pt idx="1496">
                  <c:v>39694</c:v>
                </c:pt>
                <c:pt idx="1497">
                  <c:v>39693</c:v>
                </c:pt>
                <c:pt idx="1498">
                  <c:v>39692</c:v>
                </c:pt>
                <c:pt idx="1499">
                  <c:v>39689</c:v>
                </c:pt>
                <c:pt idx="1500">
                  <c:v>39688</c:v>
                </c:pt>
                <c:pt idx="1501">
                  <c:v>39687</c:v>
                </c:pt>
                <c:pt idx="1502">
                  <c:v>39686</c:v>
                </c:pt>
                <c:pt idx="1503">
                  <c:v>39685</c:v>
                </c:pt>
                <c:pt idx="1504">
                  <c:v>39682</c:v>
                </c:pt>
                <c:pt idx="1505">
                  <c:v>39681</c:v>
                </c:pt>
                <c:pt idx="1506">
                  <c:v>39680</c:v>
                </c:pt>
                <c:pt idx="1507">
                  <c:v>39679</c:v>
                </c:pt>
                <c:pt idx="1508">
                  <c:v>39678</c:v>
                </c:pt>
                <c:pt idx="1509">
                  <c:v>39675</c:v>
                </c:pt>
                <c:pt idx="1510">
                  <c:v>39674</c:v>
                </c:pt>
                <c:pt idx="1511">
                  <c:v>39673</c:v>
                </c:pt>
                <c:pt idx="1512">
                  <c:v>39672</c:v>
                </c:pt>
                <c:pt idx="1513">
                  <c:v>39671</c:v>
                </c:pt>
                <c:pt idx="1514">
                  <c:v>39668</c:v>
                </c:pt>
                <c:pt idx="1515">
                  <c:v>39667</c:v>
                </c:pt>
                <c:pt idx="1516">
                  <c:v>39666</c:v>
                </c:pt>
                <c:pt idx="1517">
                  <c:v>39665</c:v>
                </c:pt>
                <c:pt idx="1518">
                  <c:v>39664</c:v>
                </c:pt>
                <c:pt idx="1519">
                  <c:v>39661</c:v>
                </c:pt>
                <c:pt idx="1520">
                  <c:v>39660</c:v>
                </c:pt>
                <c:pt idx="1521">
                  <c:v>39659</c:v>
                </c:pt>
                <c:pt idx="1522">
                  <c:v>39658</c:v>
                </c:pt>
                <c:pt idx="1523">
                  <c:v>39657</c:v>
                </c:pt>
                <c:pt idx="1524">
                  <c:v>39654</c:v>
                </c:pt>
                <c:pt idx="1525">
                  <c:v>39653</c:v>
                </c:pt>
                <c:pt idx="1526">
                  <c:v>39652</c:v>
                </c:pt>
                <c:pt idx="1527">
                  <c:v>39651</c:v>
                </c:pt>
                <c:pt idx="1528">
                  <c:v>39650</c:v>
                </c:pt>
                <c:pt idx="1529">
                  <c:v>39647</c:v>
                </c:pt>
                <c:pt idx="1530">
                  <c:v>39646</c:v>
                </c:pt>
                <c:pt idx="1531">
                  <c:v>39645</c:v>
                </c:pt>
                <c:pt idx="1532">
                  <c:v>39644</c:v>
                </c:pt>
                <c:pt idx="1533">
                  <c:v>39643</c:v>
                </c:pt>
                <c:pt idx="1534">
                  <c:v>39640</c:v>
                </c:pt>
                <c:pt idx="1535">
                  <c:v>39639</c:v>
                </c:pt>
                <c:pt idx="1536">
                  <c:v>39638</c:v>
                </c:pt>
                <c:pt idx="1537">
                  <c:v>39637</c:v>
                </c:pt>
                <c:pt idx="1538">
                  <c:v>39636</c:v>
                </c:pt>
                <c:pt idx="1539">
                  <c:v>39633</c:v>
                </c:pt>
                <c:pt idx="1540">
                  <c:v>39632</c:v>
                </c:pt>
                <c:pt idx="1541">
                  <c:v>39631</c:v>
                </c:pt>
                <c:pt idx="1542">
                  <c:v>39630</c:v>
                </c:pt>
                <c:pt idx="1543">
                  <c:v>39629</c:v>
                </c:pt>
                <c:pt idx="1544">
                  <c:v>39626</c:v>
                </c:pt>
                <c:pt idx="1545">
                  <c:v>39625</c:v>
                </c:pt>
                <c:pt idx="1546">
                  <c:v>39624</c:v>
                </c:pt>
                <c:pt idx="1547">
                  <c:v>39623</c:v>
                </c:pt>
                <c:pt idx="1548">
                  <c:v>39622</c:v>
                </c:pt>
                <c:pt idx="1549">
                  <c:v>39619</c:v>
                </c:pt>
                <c:pt idx="1550">
                  <c:v>39618</c:v>
                </c:pt>
                <c:pt idx="1551">
                  <c:v>39617</c:v>
                </c:pt>
                <c:pt idx="1552">
                  <c:v>39616</c:v>
                </c:pt>
                <c:pt idx="1553">
                  <c:v>39612</c:v>
                </c:pt>
                <c:pt idx="1554">
                  <c:v>39611</c:v>
                </c:pt>
                <c:pt idx="1555">
                  <c:v>39610</c:v>
                </c:pt>
                <c:pt idx="1556">
                  <c:v>39609</c:v>
                </c:pt>
                <c:pt idx="1557">
                  <c:v>39608</c:v>
                </c:pt>
                <c:pt idx="1558">
                  <c:v>39605</c:v>
                </c:pt>
                <c:pt idx="1559">
                  <c:v>39604</c:v>
                </c:pt>
                <c:pt idx="1560">
                  <c:v>39603</c:v>
                </c:pt>
                <c:pt idx="1561">
                  <c:v>39602</c:v>
                </c:pt>
                <c:pt idx="1562">
                  <c:v>39601</c:v>
                </c:pt>
                <c:pt idx="1563">
                  <c:v>39598</c:v>
                </c:pt>
                <c:pt idx="1564">
                  <c:v>39597</c:v>
                </c:pt>
                <c:pt idx="1565">
                  <c:v>39596</c:v>
                </c:pt>
                <c:pt idx="1566">
                  <c:v>39595</c:v>
                </c:pt>
                <c:pt idx="1567">
                  <c:v>39594</c:v>
                </c:pt>
                <c:pt idx="1568">
                  <c:v>39591</c:v>
                </c:pt>
                <c:pt idx="1569">
                  <c:v>39590</c:v>
                </c:pt>
                <c:pt idx="1570">
                  <c:v>39589</c:v>
                </c:pt>
                <c:pt idx="1571">
                  <c:v>39588</c:v>
                </c:pt>
                <c:pt idx="1572">
                  <c:v>39587</c:v>
                </c:pt>
                <c:pt idx="1573">
                  <c:v>39584</c:v>
                </c:pt>
                <c:pt idx="1574">
                  <c:v>39583</c:v>
                </c:pt>
                <c:pt idx="1575">
                  <c:v>39582</c:v>
                </c:pt>
                <c:pt idx="1576">
                  <c:v>39581</c:v>
                </c:pt>
                <c:pt idx="1577">
                  <c:v>39580</c:v>
                </c:pt>
                <c:pt idx="1578">
                  <c:v>39577</c:v>
                </c:pt>
                <c:pt idx="1579">
                  <c:v>39576</c:v>
                </c:pt>
                <c:pt idx="1580">
                  <c:v>39575</c:v>
                </c:pt>
                <c:pt idx="1581">
                  <c:v>39574</c:v>
                </c:pt>
                <c:pt idx="1582">
                  <c:v>39573</c:v>
                </c:pt>
                <c:pt idx="1583">
                  <c:v>39568</c:v>
                </c:pt>
                <c:pt idx="1584">
                  <c:v>39567</c:v>
                </c:pt>
                <c:pt idx="1585">
                  <c:v>39563</c:v>
                </c:pt>
                <c:pt idx="1586">
                  <c:v>39562</c:v>
                </c:pt>
                <c:pt idx="1587">
                  <c:v>39561</c:v>
                </c:pt>
                <c:pt idx="1588">
                  <c:v>39560</c:v>
                </c:pt>
                <c:pt idx="1589">
                  <c:v>39559</c:v>
                </c:pt>
                <c:pt idx="1590">
                  <c:v>39556</c:v>
                </c:pt>
                <c:pt idx="1591">
                  <c:v>39555</c:v>
                </c:pt>
                <c:pt idx="1592">
                  <c:v>39554</c:v>
                </c:pt>
                <c:pt idx="1593">
                  <c:v>39553</c:v>
                </c:pt>
                <c:pt idx="1594">
                  <c:v>39552</c:v>
                </c:pt>
                <c:pt idx="1595">
                  <c:v>39549</c:v>
                </c:pt>
                <c:pt idx="1596">
                  <c:v>39548</c:v>
                </c:pt>
                <c:pt idx="1597">
                  <c:v>39547</c:v>
                </c:pt>
                <c:pt idx="1598">
                  <c:v>39546</c:v>
                </c:pt>
                <c:pt idx="1599">
                  <c:v>39545</c:v>
                </c:pt>
                <c:pt idx="1600">
                  <c:v>39542</c:v>
                </c:pt>
                <c:pt idx="1601">
                  <c:v>39541</c:v>
                </c:pt>
                <c:pt idx="1602">
                  <c:v>39540</c:v>
                </c:pt>
                <c:pt idx="1603">
                  <c:v>39539</c:v>
                </c:pt>
                <c:pt idx="1604">
                  <c:v>39538</c:v>
                </c:pt>
                <c:pt idx="1605">
                  <c:v>39535</c:v>
                </c:pt>
                <c:pt idx="1606">
                  <c:v>39534</c:v>
                </c:pt>
                <c:pt idx="1607">
                  <c:v>39533</c:v>
                </c:pt>
                <c:pt idx="1608">
                  <c:v>39532</c:v>
                </c:pt>
                <c:pt idx="1609">
                  <c:v>39527</c:v>
                </c:pt>
                <c:pt idx="1610">
                  <c:v>39526</c:v>
                </c:pt>
                <c:pt idx="1611">
                  <c:v>39525</c:v>
                </c:pt>
                <c:pt idx="1612">
                  <c:v>39524</c:v>
                </c:pt>
                <c:pt idx="1613">
                  <c:v>39521</c:v>
                </c:pt>
                <c:pt idx="1614">
                  <c:v>39520</c:v>
                </c:pt>
                <c:pt idx="1615">
                  <c:v>39519</c:v>
                </c:pt>
                <c:pt idx="1616">
                  <c:v>39518</c:v>
                </c:pt>
                <c:pt idx="1617">
                  <c:v>39517</c:v>
                </c:pt>
                <c:pt idx="1618">
                  <c:v>39514</c:v>
                </c:pt>
                <c:pt idx="1619">
                  <c:v>39513</c:v>
                </c:pt>
                <c:pt idx="1620">
                  <c:v>39512</c:v>
                </c:pt>
                <c:pt idx="1621">
                  <c:v>39511</c:v>
                </c:pt>
                <c:pt idx="1622">
                  <c:v>39510</c:v>
                </c:pt>
                <c:pt idx="1623">
                  <c:v>39507</c:v>
                </c:pt>
                <c:pt idx="1624">
                  <c:v>39506</c:v>
                </c:pt>
                <c:pt idx="1625">
                  <c:v>39505</c:v>
                </c:pt>
                <c:pt idx="1626">
                  <c:v>39504</c:v>
                </c:pt>
                <c:pt idx="1627">
                  <c:v>39503</c:v>
                </c:pt>
                <c:pt idx="1628">
                  <c:v>39500</c:v>
                </c:pt>
                <c:pt idx="1629">
                  <c:v>39499</c:v>
                </c:pt>
                <c:pt idx="1630">
                  <c:v>39498</c:v>
                </c:pt>
                <c:pt idx="1631">
                  <c:v>39497</c:v>
                </c:pt>
                <c:pt idx="1632">
                  <c:v>39496</c:v>
                </c:pt>
                <c:pt idx="1633">
                  <c:v>39493</c:v>
                </c:pt>
                <c:pt idx="1634">
                  <c:v>39492</c:v>
                </c:pt>
                <c:pt idx="1635">
                  <c:v>39491</c:v>
                </c:pt>
                <c:pt idx="1636">
                  <c:v>39490</c:v>
                </c:pt>
                <c:pt idx="1637">
                  <c:v>39489</c:v>
                </c:pt>
                <c:pt idx="1638">
                  <c:v>39486</c:v>
                </c:pt>
                <c:pt idx="1639">
                  <c:v>39485</c:v>
                </c:pt>
                <c:pt idx="1640">
                  <c:v>39484</c:v>
                </c:pt>
                <c:pt idx="1641">
                  <c:v>39483</c:v>
                </c:pt>
                <c:pt idx="1642">
                  <c:v>39482</c:v>
                </c:pt>
                <c:pt idx="1643">
                  <c:v>39479</c:v>
                </c:pt>
                <c:pt idx="1644">
                  <c:v>39478</c:v>
                </c:pt>
                <c:pt idx="1645">
                  <c:v>39477</c:v>
                </c:pt>
                <c:pt idx="1646">
                  <c:v>39476</c:v>
                </c:pt>
                <c:pt idx="1647">
                  <c:v>39475</c:v>
                </c:pt>
                <c:pt idx="1648">
                  <c:v>39472</c:v>
                </c:pt>
                <c:pt idx="1649">
                  <c:v>39471</c:v>
                </c:pt>
                <c:pt idx="1650">
                  <c:v>39470</c:v>
                </c:pt>
                <c:pt idx="1651">
                  <c:v>39469</c:v>
                </c:pt>
                <c:pt idx="1652">
                  <c:v>39468</c:v>
                </c:pt>
                <c:pt idx="1653">
                  <c:v>39465</c:v>
                </c:pt>
                <c:pt idx="1654">
                  <c:v>39464</c:v>
                </c:pt>
                <c:pt idx="1655">
                  <c:v>39463</c:v>
                </c:pt>
                <c:pt idx="1656">
                  <c:v>39462</c:v>
                </c:pt>
                <c:pt idx="1657">
                  <c:v>39461</c:v>
                </c:pt>
                <c:pt idx="1658">
                  <c:v>39458</c:v>
                </c:pt>
                <c:pt idx="1659">
                  <c:v>39457</c:v>
                </c:pt>
                <c:pt idx="1660">
                  <c:v>39456</c:v>
                </c:pt>
                <c:pt idx="1661">
                  <c:v>39455</c:v>
                </c:pt>
                <c:pt idx="1662">
                  <c:v>39454</c:v>
                </c:pt>
                <c:pt idx="1663">
                  <c:v>39451</c:v>
                </c:pt>
                <c:pt idx="1664">
                  <c:v>39450</c:v>
                </c:pt>
                <c:pt idx="1665">
                  <c:v>39449</c:v>
                </c:pt>
                <c:pt idx="1666">
                  <c:v>39447</c:v>
                </c:pt>
                <c:pt idx="1667">
                  <c:v>39444</c:v>
                </c:pt>
                <c:pt idx="1668">
                  <c:v>39443</c:v>
                </c:pt>
                <c:pt idx="1669">
                  <c:v>39440</c:v>
                </c:pt>
                <c:pt idx="1670">
                  <c:v>39437</c:v>
                </c:pt>
                <c:pt idx="1671">
                  <c:v>39436</c:v>
                </c:pt>
                <c:pt idx="1672">
                  <c:v>39435</c:v>
                </c:pt>
                <c:pt idx="1673">
                  <c:v>39434</c:v>
                </c:pt>
                <c:pt idx="1674">
                  <c:v>39430</c:v>
                </c:pt>
                <c:pt idx="1675">
                  <c:v>39429</c:v>
                </c:pt>
                <c:pt idx="1676">
                  <c:v>39428</c:v>
                </c:pt>
                <c:pt idx="1677">
                  <c:v>39427</c:v>
                </c:pt>
                <c:pt idx="1678">
                  <c:v>39426</c:v>
                </c:pt>
                <c:pt idx="1679">
                  <c:v>39423</c:v>
                </c:pt>
                <c:pt idx="1680">
                  <c:v>39422</c:v>
                </c:pt>
                <c:pt idx="1681">
                  <c:v>39421</c:v>
                </c:pt>
                <c:pt idx="1682">
                  <c:v>39420</c:v>
                </c:pt>
                <c:pt idx="1683">
                  <c:v>39419</c:v>
                </c:pt>
                <c:pt idx="1684">
                  <c:v>39416</c:v>
                </c:pt>
                <c:pt idx="1685">
                  <c:v>39415</c:v>
                </c:pt>
                <c:pt idx="1686">
                  <c:v>39414</c:v>
                </c:pt>
                <c:pt idx="1687">
                  <c:v>39413</c:v>
                </c:pt>
                <c:pt idx="1688">
                  <c:v>39412</c:v>
                </c:pt>
                <c:pt idx="1689">
                  <c:v>39409</c:v>
                </c:pt>
                <c:pt idx="1690">
                  <c:v>39408</c:v>
                </c:pt>
                <c:pt idx="1691">
                  <c:v>39407</c:v>
                </c:pt>
                <c:pt idx="1692">
                  <c:v>39406</c:v>
                </c:pt>
                <c:pt idx="1693">
                  <c:v>39405</c:v>
                </c:pt>
                <c:pt idx="1694">
                  <c:v>39402</c:v>
                </c:pt>
                <c:pt idx="1695">
                  <c:v>39401</c:v>
                </c:pt>
                <c:pt idx="1696">
                  <c:v>39400</c:v>
                </c:pt>
                <c:pt idx="1697">
                  <c:v>39399</c:v>
                </c:pt>
                <c:pt idx="1698">
                  <c:v>39398</c:v>
                </c:pt>
                <c:pt idx="1699">
                  <c:v>39395</c:v>
                </c:pt>
                <c:pt idx="1700">
                  <c:v>39394</c:v>
                </c:pt>
                <c:pt idx="1701">
                  <c:v>39393</c:v>
                </c:pt>
                <c:pt idx="1702">
                  <c:v>39392</c:v>
                </c:pt>
                <c:pt idx="1703">
                  <c:v>39391</c:v>
                </c:pt>
                <c:pt idx="1704">
                  <c:v>39388</c:v>
                </c:pt>
                <c:pt idx="1705">
                  <c:v>39387</c:v>
                </c:pt>
                <c:pt idx="1706">
                  <c:v>39386</c:v>
                </c:pt>
                <c:pt idx="1707">
                  <c:v>39385</c:v>
                </c:pt>
                <c:pt idx="1708">
                  <c:v>39384</c:v>
                </c:pt>
                <c:pt idx="1709">
                  <c:v>39381</c:v>
                </c:pt>
                <c:pt idx="1710">
                  <c:v>39380</c:v>
                </c:pt>
                <c:pt idx="1711">
                  <c:v>39379</c:v>
                </c:pt>
                <c:pt idx="1712">
                  <c:v>39378</c:v>
                </c:pt>
                <c:pt idx="1713">
                  <c:v>39377</c:v>
                </c:pt>
                <c:pt idx="1714">
                  <c:v>39374</c:v>
                </c:pt>
                <c:pt idx="1715">
                  <c:v>39373</c:v>
                </c:pt>
                <c:pt idx="1716">
                  <c:v>39372</c:v>
                </c:pt>
                <c:pt idx="1717">
                  <c:v>39371</c:v>
                </c:pt>
                <c:pt idx="1718">
                  <c:v>39370</c:v>
                </c:pt>
                <c:pt idx="1719">
                  <c:v>39367</c:v>
                </c:pt>
                <c:pt idx="1720">
                  <c:v>39366</c:v>
                </c:pt>
                <c:pt idx="1721">
                  <c:v>39365</c:v>
                </c:pt>
                <c:pt idx="1722">
                  <c:v>39364</c:v>
                </c:pt>
                <c:pt idx="1723">
                  <c:v>39363</c:v>
                </c:pt>
                <c:pt idx="1724">
                  <c:v>39360</c:v>
                </c:pt>
                <c:pt idx="1725">
                  <c:v>39359</c:v>
                </c:pt>
                <c:pt idx="1726">
                  <c:v>39358</c:v>
                </c:pt>
                <c:pt idx="1727">
                  <c:v>39357</c:v>
                </c:pt>
                <c:pt idx="1728">
                  <c:v>39356</c:v>
                </c:pt>
                <c:pt idx="1729">
                  <c:v>39353</c:v>
                </c:pt>
                <c:pt idx="1730">
                  <c:v>39352</c:v>
                </c:pt>
                <c:pt idx="1731">
                  <c:v>39351</c:v>
                </c:pt>
                <c:pt idx="1732">
                  <c:v>39350</c:v>
                </c:pt>
                <c:pt idx="1733">
                  <c:v>39346</c:v>
                </c:pt>
                <c:pt idx="1734">
                  <c:v>39345</c:v>
                </c:pt>
                <c:pt idx="1735">
                  <c:v>39344</c:v>
                </c:pt>
                <c:pt idx="1736">
                  <c:v>39343</c:v>
                </c:pt>
                <c:pt idx="1737">
                  <c:v>39342</c:v>
                </c:pt>
                <c:pt idx="1738">
                  <c:v>39339</c:v>
                </c:pt>
                <c:pt idx="1739">
                  <c:v>39338</c:v>
                </c:pt>
                <c:pt idx="1740">
                  <c:v>39337</c:v>
                </c:pt>
                <c:pt idx="1741">
                  <c:v>39336</c:v>
                </c:pt>
                <c:pt idx="1742">
                  <c:v>39335</c:v>
                </c:pt>
                <c:pt idx="1743">
                  <c:v>39332</c:v>
                </c:pt>
                <c:pt idx="1744">
                  <c:v>39331</c:v>
                </c:pt>
                <c:pt idx="1745">
                  <c:v>39330</c:v>
                </c:pt>
                <c:pt idx="1746">
                  <c:v>39329</c:v>
                </c:pt>
                <c:pt idx="1747">
                  <c:v>39328</c:v>
                </c:pt>
                <c:pt idx="1748">
                  <c:v>39325</c:v>
                </c:pt>
                <c:pt idx="1749">
                  <c:v>39324</c:v>
                </c:pt>
                <c:pt idx="1750">
                  <c:v>39323</c:v>
                </c:pt>
                <c:pt idx="1751">
                  <c:v>39322</c:v>
                </c:pt>
                <c:pt idx="1752">
                  <c:v>39321</c:v>
                </c:pt>
                <c:pt idx="1753">
                  <c:v>39318</c:v>
                </c:pt>
                <c:pt idx="1754">
                  <c:v>39317</c:v>
                </c:pt>
                <c:pt idx="1755">
                  <c:v>39316</c:v>
                </c:pt>
                <c:pt idx="1756">
                  <c:v>39315</c:v>
                </c:pt>
                <c:pt idx="1757">
                  <c:v>39314</c:v>
                </c:pt>
                <c:pt idx="1758">
                  <c:v>39311</c:v>
                </c:pt>
                <c:pt idx="1759">
                  <c:v>39310</c:v>
                </c:pt>
                <c:pt idx="1760">
                  <c:v>39309</c:v>
                </c:pt>
                <c:pt idx="1761">
                  <c:v>39308</c:v>
                </c:pt>
                <c:pt idx="1762">
                  <c:v>39307</c:v>
                </c:pt>
                <c:pt idx="1763">
                  <c:v>39304</c:v>
                </c:pt>
                <c:pt idx="1764">
                  <c:v>39302</c:v>
                </c:pt>
                <c:pt idx="1765">
                  <c:v>39301</c:v>
                </c:pt>
                <c:pt idx="1766">
                  <c:v>39300</c:v>
                </c:pt>
                <c:pt idx="1767">
                  <c:v>39297</c:v>
                </c:pt>
                <c:pt idx="1768">
                  <c:v>39296</c:v>
                </c:pt>
                <c:pt idx="1769">
                  <c:v>39295</c:v>
                </c:pt>
                <c:pt idx="1770">
                  <c:v>39294</c:v>
                </c:pt>
                <c:pt idx="1771">
                  <c:v>39293</c:v>
                </c:pt>
                <c:pt idx="1772">
                  <c:v>39290</c:v>
                </c:pt>
                <c:pt idx="1773">
                  <c:v>39289</c:v>
                </c:pt>
                <c:pt idx="1774">
                  <c:v>39288</c:v>
                </c:pt>
                <c:pt idx="1775">
                  <c:v>39287</c:v>
                </c:pt>
                <c:pt idx="1776">
                  <c:v>39286</c:v>
                </c:pt>
                <c:pt idx="1777">
                  <c:v>39283</c:v>
                </c:pt>
                <c:pt idx="1778">
                  <c:v>39282</c:v>
                </c:pt>
                <c:pt idx="1779">
                  <c:v>39281</c:v>
                </c:pt>
                <c:pt idx="1780">
                  <c:v>39280</c:v>
                </c:pt>
                <c:pt idx="1781">
                  <c:v>39279</c:v>
                </c:pt>
                <c:pt idx="1782">
                  <c:v>39276</c:v>
                </c:pt>
                <c:pt idx="1783">
                  <c:v>39275</c:v>
                </c:pt>
                <c:pt idx="1784">
                  <c:v>39274</c:v>
                </c:pt>
                <c:pt idx="1785">
                  <c:v>39273</c:v>
                </c:pt>
                <c:pt idx="1786">
                  <c:v>39272</c:v>
                </c:pt>
                <c:pt idx="1787">
                  <c:v>39269</c:v>
                </c:pt>
                <c:pt idx="1788">
                  <c:v>39268</c:v>
                </c:pt>
                <c:pt idx="1789">
                  <c:v>39267</c:v>
                </c:pt>
                <c:pt idx="1790">
                  <c:v>39266</c:v>
                </c:pt>
                <c:pt idx="1791">
                  <c:v>39265</c:v>
                </c:pt>
                <c:pt idx="1792">
                  <c:v>39262</c:v>
                </c:pt>
                <c:pt idx="1793">
                  <c:v>39261</c:v>
                </c:pt>
                <c:pt idx="1794">
                  <c:v>39260</c:v>
                </c:pt>
                <c:pt idx="1795">
                  <c:v>39259</c:v>
                </c:pt>
                <c:pt idx="1796">
                  <c:v>39258</c:v>
                </c:pt>
                <c:pt idx="1797">
                  <c:v>39255</c:v>
                </c:pt>
                <c:pt idx="1798">
                  <c:v>39254</c:v>
                </c:pt>
                <c:pt idx="1799">
                  <c:v>39253</c:v>
                </c:pt>
                <c:pt idx="1800">
                  <c:v>39252</c:v>
                </c:pt>
                <c:pt idx="1801">
                  <c:v>39251</c:v>
                </c:pt>
                <c:pt idx="1802">
                  <c:v>39248</c:v>
                </c:pt>
                <c:pt idx="1803">
                  <c:v>39247</c:v>
                </c:pt>
                <c:pt idx="1804">
                  <c:v>39246</c:v>
                </c:pt>
                <c:pt idx="1805">
                  <c:v>39245</c:v>
                </c:pt>
                <c:pt idx="1806">
                  <c:v>39244</c:v>
                </c:pt>
                <c:pt idx="1807">
                  <c:v>39241</c:v>
                </c:pt>
                <c:pt idx="1808">
                  <c:v>39240</c:v>
                </c:pt>
                <c:pt idx="1809">
                  <c:v>39239</c:v>
                </c:pt>
                <c:pt idx="1810">
                  <c:v>39238</c:v>
                </c:pt>
                <c:pt idx="1811">
                  <c:v>39237</c:v>
                </c:pt>
                <c:pt idx="1812">
                  <c:v>39234</c:v>
                </c:pt>
                <c:pt idx="1813">
                  <c:v>39233</c:v>
                </c:pt>
                <c:pt idx="1814">
                  <c:v>39232</c:v>
                </c:pt>
                <c:pt idx="1815">
                  <c:v>39231</c:v>
                </c:pt>
                <c:pt idx="1816">
                  <c:v>39230</c:v>
                </c:pt>
                <c:pt idx="1817">
                  <c:v>39227</c:v>
                </c:pt>
                <c:pt idx="1818">
                  <c:v>39226</c:v>
                </c:pt>
                <c:pt idx="1819">
                  <c:v>39225</c:v>
                </c:pt>
                <c:pt idx="1820">
                  <c:v>39224</c:v>
                </c:pt>
                <c:pt idx="1821">
                  <c:v>39223</c:v>
                </c:pt>
                <c:pt idx="1822">
                  <c:v>39220</c:v>
                </c:pt>
                <c:pt idx="1823">
                  <c:v>39219</c:v>
                </c:pt>
                <c:pt idx="1824">
                  <c:v>39218</c:v>
                </c:pt>
                <c:pt idx="1825">
                  <c:v>39217</c:v>
                </c:pt>
                <c:pt idx="1826">
                  <c:v>39216</c:v>
                </c:pt>
                <c:pt idx="1827">
                  <c:v>39213</c:v>
                </c:pt>
                <c:pt idx="1828">
                  <c:v>39212</c:v>
                </c:pt>
                <c:pt idx="1829">
                  <c:v>39211</c:v>
                </c:pt>
                <c:pt idx="1830">
                  <c:v>39210</c:v>
                </c:pt>
                <c:pt idx="1831">
                  <c:v>39209</c:v>
                </c:pt>
                <c:pt idx="1832">
                  <c:v>39206</c:v>
                </c:pt>
                <c:pt idx="1833">
                  <c:v>39205</c:v>
                </c:pt>
                <c:pt idx="1834">
                  <c:v>39204</c:v>
                </c:pt>
                <c:pt idx="1835">
                  <c:v>39202</c:v>
                </c:pt>
                <c:pt idx="1836">
                  <c:v>39199</c:v>
                </c:pt>
                <c:pt idx="1837">
                  <c:v>39198</c:v>
                </c:pt>
                <c:pt idx="1838">
                  <c:v>39197</c:v>
                </c:pt>
                <c:pt idx="1839">
                  <c:v>39196</c:v>
                </c:pt>
                <c:pt idx="1840">
                  <c:v>39195</c:v>
                </c:pt>
                <c:pt idx="1841">
                  <c:v>39192</c:v>
                </c:pt>
                <c:pt idx="1842">
                  <c:v>39191</c:v>
                </c:pt>
                <c:pt idx="1843">
                  <c:v>39190</c:v>
                </c:pt>
                <c:pt idx="1844">
                  <c:v>39189</c:v>
                </c:pt>
                <c:pt idx="1845">
                  <c:v>39188</c:v>
                </c:pt>
                <c:pt idx="1846">
                  <c:v>39185</c:v>
                </c:pt>
                <c:pt idx="1847">
                  <c:v>39184</c:v>
                </c:pt>
                <c:pt idx="1848">
                  <c:v>39183</c:v>
                </c:pt>
                <c:pt idx="1849">
                  <c:v>39182</c:v>
                </c:pt>
                <c:pt idx="1850">
                  <c:v>39177</c:v>
                </c:pt>
                <c:pt idx="1851">
                  <c:v>39176</c:v>
                </c:pt>
                <c:pt idx="1852">
                  <c:v>39175</c:v>
                </c:pt>
                <c:pt idx="1853">
                  <c:v>39174</c:v>
                </c:pt>
                <c:pt idx="1854">
                  <c:v>39171</c:v>
                </c:pt>
                <c:pt idx="1855">
                  <c:v>39170</c:v>
                </c:pt>
                <c:pt idx="1856">
                  <c:v>39169</c:v>
                </c:pt>
                <c:pt idx="1857">
                  <c:v>39168</c:v>
                </c:pt>
                <c:pt idx="1858">
                  <c:v>39167</c:v>
                </c:pt>
                <c:pt idx="1859">
                  <c:v>39164</c:v>
                </c:pt>
                <c:pt idx="1860">
                  <c:v>39163</c:v>
                </c:pt>
                <c:pt idx="1861">
                  <c:v>39161</c:v>
                </c:pt>
                <c:pt idx="1862">
                  <c:v>39160</c:v>
                </c:pt>
                <c:pt idx="1863">
                  <c:v>39157</c:v>
                </c:pt>
                <c:pt idx="1864">
                  <c:v>39156</c:v>
                </c:pt>
                <c:pt idx="1865">
                  <c:v>39155</c:v>
                </c:pt>
                <c:pt idx="1866">
                  <c:v>39154</c:v>
                </c:pt>
                <c:pt idx="1867">
                  <c:v>39153</c:v>
                </c:pt>
                <c:pt idx="1868">
                  <c:v>39150</c:v>
                </c:pt>
                <c:pt idx="1869">
                  <c:v>39149</c:v>
                </c:pt>
                <c:pt idx="1870">
                  <c:v>39148</c:v>
                </c:pt>
                <c:pt idx="1871">
                  <c:v>39147</c:v>
                </c:pt>
                <c:pt idx="1872">
                  <c:v>39146</c:v>
                </c:pt>
                <c:pt idx="1873">
                  <c:v>39143</c:v>
                </c:pt>
                <c:pt idx="1874">
                  <c:v>39142</c:v>
                </c:pt>
                <c:pt idx="1875">
                  <c:v>39141</c:v>
                </c:pt>
                <c:pt idx="1876">
                  <c:v>39140</c:v>
                </c:pt>
                <c:pt idx="1877">
                  <c:v>39139</c:v>
                </c:pt>
                <c:pt idx="1878">
                  <c:v>39136</c:v>
                </c:pt>
                <c:pt idx="1879">
                  <c:v>39135</c:v>
                </c:pt>
                <c:pt idx="1880">
                  <c:v>39134</c:v>
                </c:pt>
                <c:pt idx="1881">
                  <c:v>39133</c:v>
                </c:pt>
                <c:pt idx="1882">
                  <c:v>39132</c:v>
                </c:pt>
                <c:pt idx="1883">
                  <c:v>39129</c:v>
                </c:pt>
                <c:pt idx="1884">
                  <c:v>39128</c:v>
                </c:pt>
                <c:pt idx="1885">
                  <c:v>39127</c:v>
                </c:pt>
                <c:pt idx="1886">
                  <c:v>39126</c:v>
                </c:pt>
                <c:pt idx="1887">
                  <c:v>39125</c:v>
                </c:pt>
                <c:pt idx="1888">
                  <c:v>39122</c:v>
                </c:pt>
                <c:pt idx="1889">
                  <c:v>39121</c:v>
                </c:pt>
                <c:pt idx="1890">
                  <c:v>39120</c:v>
                </c:pt>
                <c:pt idx="1891">
                  <c:v>39119</c:v>
                </c:pt>
                <c:pt idx="1892">
                  <c:v>39118</c:v>
                </c:pt>
                <c:pt idx="1893">
                  <c:v>39115</c:v>
                </c:pt>
                <c:pt idx="1894">
                  <c:v>39114</c:v>
                </c:pt>
                <c:pt idx="1895">
                  <c:v>39113</c:v>
                </c:pt>
                <c:pt idx="1896">
                  <c:v>39112</c:v>
                </c:pt>
                <c:pt idx="1897">
                  <c:v>39111</c:v>
                </c:pt>
                <c:pt idx="1898">
                  <c:v>39108</c:v>
                </c:pt>
                <c:pt idx="1899">
                  <c:v>39107</c:v>
                </c:pt>
                <c:pt idx="1900">
                  <c:v>39106</c:v>
                </c:pt>
                <c:pt idx="1901">
                  <c:v>39105</c:v>
                </c:pt>
                <c:pt idx="1902">
                  <c:v>39104</c:v>
                </c:pt>
                <c:pt idx="1903">
                  <c:v>39101</c:v>
                </c:pt>
                <c:pt idx="1904">
                  <c:v>39100</c:v>
                </c:pt>
                <c:pt idx="1905">
                  <c:v>39099</c:v>
                </c:pt>
                <c:pt idx="1906">
                  <c:v>39098</c:v>
                </c:pt>
                <c:pt idx="1907">
                  <c:v>39097</c:v>
                </c:pt>
                <c:pt idx="1908">
                  <c:v>39094</c:v>
                </c:pt>
                <c:pt idx="1909">
                  <c:v>39093</c:v>
                </c:pt>
                <c:pt idx="1910">
                  <c:v>39092</c:v>
                </c:pt>
                <c:pt idx="1911">
                  <c:v>39091</c:v>
                </c:pt>
                <c:pt idx="1912">
                  <c:v>39090</c:v>
                </c:pt>
                <c:pt idx="1913">
                  <c:v>39087</c:v>
                </c:pt>
                <c:pt idx="1914">
                  <c:v>39086</c:v>
                </c:pt>
                <c:pt idx="1915">
                  <c:v>39085</c:v>
                </c:pt>
                <c:pt idx="1916">
                  <c:v>39084</c:v>
                </c:pt>
                <c:pt idx="1917">
                  <c:v>39080</c:v>
                </c:pt>
                <c:pt idx="1918">
                  <c:v>39079</c:v>
                </c:pt>
                <c:pt idx="1919">
                  <c:v>39078</c:v>
                </c:pt>
                <c:pt idx="1920">
                  <c:v>39073</c:v>
                </c:pt>
                <c:pt idx="1921">
                  <c:v>39072</c:v>
                </c:pt>
                <c:pt idx="1922">
                  <c:v>39071</c:v>
                </c:pt>
                <c:pt idx="1923">
                  <c:v>39070</c:v>
                </c:pt>
                <c:pt idx="1924">
                  <c:v>39069</c:v>
                </c:pt>
                <c:pt idx="1925">
                  <c:v>39066</c:v>
                </c:pt>
                <c:pt idx="1926">
                  <c:v>39065</c:v>
                </c:pt>
                <c:pt idx="1927">
                  <c:v>39064</c:v>
                </c:pt>
                <c:pt idx="1928">
                  <c:v>39063</c:v>
                </c:pt>
                <c:pt idx="1929">
                  <c:v>39062</c:v>
                </c:pt>
                <c:pt idx="1930">
                  <c:v>39059</c:v>
                </c:pt>
                <c:pt idx="1931">
                  <c:v>39058</c:v>
                </c:pt>
                <c:pt idx="1932">
                  <c:v>39057</c:v>
                </c:pt>
                <c:pt idx="1933">
                  <c:v>39056</c:v>
                </c:pt>
                <c:pt idx="1934">
                  <c:v>39055</c:v>
                </c:pt>
                <c:pt idx="1935">
                  <c:v>39052</c:v>
                </c:pt>
                <c:pt idx="1936">
                  <c:v>39051</c:v>
                </c:pt>
                <c:pt idx="1937">
                  <c:v>39050</c:v>
                </c:pt>
                <c:pt idx="1938">
                  <c:v>39049</c:v>
                </c:pt>
                <c:pt idx="1939">
                  <c:v>39048</c:v>
                </c:pt>
                <c:pt idx="1940">
                  <c:v>39045</c:v>
                </c:pt>
                <c:pt idx="1941">
                  <c:v>39044</c:v>
                </c:pt>
                <c:pt idx="1942">
                  <c:v>39043</c:v>
                </c:pt>
                <c:pt idx="1943">
                  <c:v>39042</c:v>
                </c:pt>
                <c:pt idx="1944">
                  <c:v>39041</c:v>
                </c:pt>
                <c:pt idx="1945">
                  <c:v>39038</c:v>
                </c:pt>
                <c:pt idx="1946">
                  <c:v>39037</c:v>
                </c:pt>
                <c:pt idx="1947">
                  <c:v>39036</c:v>
                </c:pt>
                <c:pt idx="1948">
                  <c:v>39035</c:v>
                </c:pt>
                <c:pt idx="1949">
                  <c:v>39034</c:v>
                </c:pt>
                <c:pt idx="1950">
                  <c:v>39031</c:v>
                </c:pt>
                <c:pt idx="1951">
                  <c:v>39030</c:v>
                </c:pt>
                <c:pt idx="1952">
                  <c:v>39029</c:v>
                </c:pt>
                <c:pt idx="1953">
                  <c:v>39028</c:v>
                </c:pt>
                <c:pt idx="1954">
                  <c:v>39027</c:v>
                </c:pt>
                <c:pt idx="1955">
                  <c:v>39024</c:v>
                </c:pt>
                <c:pt idx="1956">
                  <c:v>39023</c:v>
                </c:pt>
                <c:pt idx="1957">
                  <c:v>39022</c:v>
                </c:pt>
                <c:pt idx="1958">
                  <c:v>39021</c:v>
                </c:pt>
                <c:pt idx="1959">
                  <c:v>39020</c:v>
                </c:pt>
                <c:pt idx="1960">
                  <c:v>39017</c:v>
                </c:pt>
                <c:pt idx="1961">
                  <c:v>39016</c:v>
                </c:pt>
                <c:pt idx="1962">
                  <c:v>39015</c:v>
                </c:pt>
                <c:pt idx="1963">
                  <c:v>39014</c:v>
                </c:pt>
                <c:pt idx="1964">
                  <c:v>39013</c:v>
                </c:pt>
                <c:pt idx="1965">
                  <c:v>39010</c:v>
                </c:pt>
                <c:pt idx="1966">
                  <c:v>39009</c:v>
                </c:pt>
                <c:pt idx="1967">
                  <c:v>39008</c:v>
                </c:pt>
                <c:pt idx="1968">
                  <c:v>39007</c:v>
                </c:pt>
                <c:pt idx="1969">
                  <c:v>39006</c:v>
                </c:pt>
                <c:pt idx="1970">
                  <c:v>39003</c:v>
                </c:pt>
                <c:pt idx="1971">
                  <c:v>39002</c:v>
                </c:pt>
                <c:pt idx="1972">
                  <c:v>39001</c:v>
                </c:pt>
                <c:pt idx="1973">
                  <c:v>39000</c:v>
                </c:pt>
                <c:pt idx="1974">
                  <c:v>38999</c:v>
                </c:pt>
                <c:pt idx="1975">
                  <c:v>38996</c:v>
                </c:pt>
                <c:pt idx="1976">
                  <c:v>38995</c:v>
                </c:pt>
                <c:pt idx="1977">
                  <c:v>38994</c:v>
                </c:pt>
                <c:pt idx="1978">
                  <c:v>38993</c:v>
                </c:pt>
                <c:pt idx="1979">
                  <c:v>38992</c:v>
                </c:pt>
                <c:pt idx="1980">
                  <c:v>38989</c:v>
                </c:pt>
                <c:pt idx="1981">
                  <c:v>38988</c:v>
                </c:pt>
                <c:pt idx="1982">
                  <c:v>38987</c:v>
                </c:pt>
                <c:pt idx="1983">
                  <c:v>38986</c:v>
                </c:pt>
                <c:pt idx="1984">
                  <c:v>38982</c:v>
                </c:pt>
                <c:pt idx="1985">
                  <c:v>38981</c:v>
                </c:pt>
                <c:pt idx="1986">
                  <c:v>38980</c:v>
                </c:pt>
                <c:pt idx="1987">
                  <c:v>38979</c:v>
                </c:pt>
                <c:pt idx="1988">
                  <c:v>38978</c:v>
                </c:pt>
                <c:pt idx="1989">
                  <c:v>38975</c:v>
                </c:pt>
                <c:pt idx="1990">
                  <c:v>38974</c:v>
                </c:pt>
                <c:pt idx="1991">
                  <c:v>38973</c:v>
                </c:pt>
                <c:pt idx="1992">
                  <c:v>38972</c:v>
                </c:pt>
                <c:pt idx="1993">
                  <c:v>38971</c:v>
                </c:pt>
                <c:pt idx="1994">
                  <c:v>38968</c:v>
                </c:pt>
                <c:pt idx="1995">
                  <c:v>38967</c:v>
                </c:pt>
                <c:pt idx="1996">
                  <c:v>38966</c:v>
                </c:pt>
                <c:pt idx="1997">
                  <c:v>38965</c:v>
                </c:pt>
                <c:pt idx="1998">
                  <c:v>38964</c:v>
                </c:pt>
                <c:pt idx="1999">
                  <c:v>38961</c:v>
                </c:pt>
                <c:pt idx="2000">
                  <c:v>38960</c:v>
                </c:pt>
                <c:pt idx="2001">
                  <c:v>38959</c:v>
                </c:pt>
                <c:pt idx="2002">
                  <c:v>38958</c:v>
                </c:pt>
                <c:pt idx="2003">
                  <c:v>38957</c:v>
                </c:pt>
                <c:pt idx="2004">
                  <c:v>38954</c:v>
                </c:pt>
                <c:pt idx="2005">
                  <c:v>38953</c:v>
                </c:pt>
                <c:pt idx="2006">
                  <c:v>38952</c:v>
                </c:pt>
                <c:pt idx="2007">
                  <c:v>38951</c:v>
                </c:pt>
                <c:pt idx="2008">
                  <c:v>38950</c:v>
                </c:pt>
                <c:pt idx="2009">
                  <c:v>38947</c:v>
                </c:pt>
                <c:pt idx="2010">
                  <c:v>38946</c:v>
                </c:pt>
                <c:pt idx="2011">
                  <c:v>38945</c:v>
                </c:pt>
                <c:pt idx="2012">
                  <c:v>38944</c:v>
                </c:pt>
                <c:pt idx="2013">
                  <c:v>38943</c:v>
                </c:pt>
                <c:pt idx="2014">
                  <c:v>38940</c:v>
                </c:pt>
                <c:pt idx="2015">
                  <c:v>38939</c:v>
                </c:pt>
                <c:pt idx="2016">
                  <c:v>38937</c:v>
                </c:pt>
                <c:pt idx="2017">
                  <c:v>38936</c:v>
                </c:pt>
                <c:pt idx="2018">
                  <c:v>38933</c:v>
                </c:pt>
                <c:pt idx="2019">
                  <c:v>38932</c:v>
                </c:pt>
                <c:pt idx="2020">
                  <c:v>38931</c:v>
                </c:pt>
                <c:pt idx="2021">
                  <c:v>38930</c:v>
                </c:pt>
                <c:pt idx="2022">
                  <c:v>38929</c:v>
                </c:pt>
                <c:pt idx="2023">
                  <c:v>38926</c:v>
                </c:pt>
                <c:pt idx="2024">
                  <c:v>38925</c:v>
                </c:pt>
                <c:pt idx="2025">
                  <c:v>38924</c:v>
                </c:pt>
                <c:pt idx="2026">
                  <c:v>38923</c:v>
                </c:pt>
                <c:pt idx="2027">
                  <c:v>38922</c:v>
                </c:pt>
                <c:pt idx="2028">
                  <c:v>38919</c:v>
                </c:pt>
                <c:pt idx="2029">
                  <c:v>38918</c:v>
                </c:pt>
                <c:pt idx="2030">
                  <c:v>38917</c:v>
                </c:pt>
                <c:pt idx="2031">
                  <c:v>38916</c:v>
                </c:pt>
                <c:pt idx="2032">
                  <c:v>38915</c:v>
                </c:pt>
                <c:pt idx="2033">
                  <c:v>38912</c:v>
                </c:pt>
                <c:pt idx="2034">
                  <c:v>38911</c:v>
                </c:pt>
                <c:pt idx="2035">
                  <c:v>38910</c:v>
                </c:pt>
                <c:pt idx="2036">
                  <c:v>38909</c:v>
                </c:pt>
                <c:pt idx="2037">
                  <c:v>38908</c:v>
                </c:pt>
                <c:pt idx="2038">
                  <c:v>38905</c:v>
                </c:pt>
                <c:pt idx="2039">
                  <c:v>38904</c:v>
                </c:pt>
                <c:pt idx="2040">
                  <c:v>38903</c:v>
                </c:pt>
                <c:pt idx="2041">
                  <c:v>38902</c:v>
                </c:pt>
                <c:pt idx="2042">
                  <c:v>38901</c:v>
                </c:pt>
                <c:pt idx="2043">
                  <c:v>38898</c:v>
                </c:pt>
                <c:pt idx="2044">
                  <c:v>38897</c:v>
                </c:pt>
                <c:pt idx="2045">
                  <c:v>38896</c:v>
                </c:pt>
                <c:pt idx="2046">
                  <c:v>38895</c:v>
                </c:pt>
                <c:pt idx="2047">
                  <c:v>38894</c:v>
                </c:pt>
                <c:pt idx="2048">
                  <c:v>38891</c:v>
                </c:pt>
                <c:pt idx="2049">
                  <c:v>38890</c:v>
                </c:pt>
                <c:pt idx="2050">
                  <c:v>38889</c:v>
                </c:pt>
                <c:pt idx="2051">
                  <c:v>38888</c:v>
                </c:pt>
                <c:pt idx="2052">
                  <c:v>38887</c:v>
                </c:pt>
                <c:pt idx="2053">
                  <c:v>38883</c:v>
                </c:pt>
                <c:pt idx="2054">
                  <c:v>38882</c:v>
                </c:pt>
                <c:pt idx="2055">
                  <c:v>38881</c:v>
                </c:pt>
                <c:pt idx="2056">
                  <c:v>38880</c:v>
                </c:pt>
                <c:pt idx="2057">
                  <c:v>38877</c:v>
                </c:pt>
                <c:pt idx="2058">
                  <c:v>38876</c:v>
                </c:pt>
                <c:pt idx="2059">
                  <c:v>38875</c:v>
                </c:pt>
                <c:pt idx="2060">
                  <c:v>38874</c:v>
                </c:pt>
                <c:pt idx="2061">
                  <c:v>38873</c:v>
                </c:pt>
                <c:pt idx="2062">
                  <c:v>38870</c:v>
                </c:pt>
                <c:pt idx="2063">
                  <c:v>38869</c:v>
                </c:pt>
                <c:pt idx="2064">
                  <c:v>38868</c:v>
                </c:pt>
                <c:pt idx="2065">
                  <c:v>38867</c:v>
                </c:pt>
                <c:pt idx="2066">
                  <c:v>38866</c:v>
                </c:pt>
                <c:pt idx="2067">
                  <c:v>38863</c:v>
                </c:pt>
                <c:pt idx="2068">
                  <c:v>38862</c:v>
                </c:pt>
                <c:pt idx="2069">
                  <c:v>38861</c:v>
                </c:pt>
                <c:pt idx="2070">
                  <c:v>38860</c:v>
                </c:pt>
                <c:pt idx="2071">
                  <c:v>38859</c:v>
                </c:pt>
                <c:pt idx="2072">
                  <c:v>38856</c:v>
                </c:pt>
                <c:pt idx="2073">
                  <c:v>38855</c:v>
                </c:pt>
                <c:pt idx="2074">
                  <c:v>38854</c:v>
                </c:pt>
                <c:pt idx="2075">
                  <c:v>38853</c:v>
                </c:pt>
                <c:pt idx="2076">
                  <c:v>38852</c:v>
                </c:pt>
                <c:pt idx="2077">
                  <c:v>38849</c:v>
                </c:pt>
                <c:pt idx="2078">
                  <c:v>38848</c:v>
                </c:pt>
                <c:pt idx="2079">
                  <c:v>38847</c:v>
                </c:pt>
                <c:pt idx="2080">
                  <c:v>38846</c:v>
                </c:pt>
                <c:pt idx="2081">
                  <c:v>38845</c:v>
                </c:pt>
                <c:pt idx="2082">
                  <c:v>38842</c:v>
                </c:pt>
                <c:pt idx="2083">
                  <c:v>38841</c:v>
                </c:pt>
                <c:pt idx="2084">
                  <c:v>38840</c:v>
                </c:pt>
                <c:pt idx="2085">
                  <c:v>38839</c:v>
                </c:pt>
                <c:pt idx="2086">
                  <c:v>38835</c:v>
                </c:pt>
                <c:pt idx="2087">
                  <c:v>38833</c:v>
                </c:pt>
                <c:pt idx="2088">
                  <c:v>38832</c:v>
                </c:pt>
                <c:pt idx="2089">
                  <c:v>38831</c:v>
                </c:pt>
                <c:pt idx="2090">
                  <c:v>38828</c:v>
                </c:pt>
                <c:pt idx="2091">
                  <c:v>38827</c:v>
                </c:pt>
                <c:pt idx="2092">
                  <c:v>38826</c:v>
                </c:pt>
                <c:pt idx="2093">
                  <c:v>38825</c:v>
                </c:pt>
                <c:pt idx="2094">
                  <c:v>38820</c:v>
                </c:pt>
                <c:pt idx="2095">
                  <c:v>38819</c:v>
                </c:pt>
                <c:pt idx="2096">
                  <c:v>38818</c:v>
                </c:pt>
                <c:pt idx="2097">
                  <c:v>38817</c:v>
                </c:pt>
                <c:pt idx="2098">
                  <c:v>38814</c:v>
                </c:pt>
                <c:pt idx="2099">
                  <c:v>38813</c:v>
                </c:pt>
                <c:pt idx="2100">
                  <c:v>38812</c:v>
                </c:pt>
                <c:pt idx="2101">
                  <c:v>38811</c:v>
                </c:pt>
                <c:pt idx="2102">
                  <c:v>38810</c:v>
                </c:pt>
                <c:pt idx="2103">
                  <c:v>38807</c:v>
                </c:pt>
                <c:pt idx="2104">
                  <c:v>38806</c:v>
                </c:pt>
                <c:pt idx="2105">
                  <c:v>38805</c:v>
                </c:pt>
                <c:pt idx="2106">
                  <c:v>38804</c:v>
                </c:pt>
                <c:pt idx="2107">
                  <c:v>38803</c:v>
                </c:pt>
                <c:pt idx="2108">
                  <c:v>38800</c:v>
                </c:pt>
                <c:pt idx="2109">
                  <c:v>38799</c:v>
                </c:pt>
                <c:pt idx="2110">
                  <c:v>38798</c:v>
                </c:pt>
                <c:pt idx="2111">
                  <c:v>38796</c:v>
                </c:pt>
                <c:pt idx="2112">
                  <c:v>38793</c:v>
                </c:pt>
                <c:pt idx="2113">
                  <c:v>38792</c:v>
                </c:pt>
                <c:pt idx="2114">
                  <c:v>38791</c:v>
                </c:pt>
                <c:pt idx="2115">
                  <c:v>38790</c:v>
                </c:pt>
                <c:pt idx="2116">
                  <c:v>38789</c:v>
                </c:pt>
                <c:pt idx="2117">
                  <c:v>38786</c:v>
                </c:pt>
                <c:pt idx="2118">
                  <c:v>38785</c:v>
                </c:pt>
                <c:pt idx="2119">
                  <c:v>38784</c:v>
                </c:pt>
                <c:pt idx="2120">
                  <c:v>38783</c:v>
                </c:pt>
                <c:pt idx="2121">
                  <c:v>38782</c:v>
                </c:pt>
                <c:pt idx="2122">
                  <c:v>38779</c:v>
                </c:pt>
                <c:pt idx="2123">
                  <c:v>38778</c:v>
                </c:pt>
                <c:pt idx="2124">
                  <c:v>38776</c:v>
                </c:pt>
                <c:pt idx="2125">
                  <c:v>38775</c:v>
                </c:pt>
                <c:pt idx="2126">
                  <c:v>38772</c:v>
                </c:pt>
                <c:pt idx="2127">
                  <c:v>38771</c:v>
                </c:pt>
                <c:pt idx="2128">
                  <c:v>38770</c:v>
                </c:pt>
                <c:pt idx="2129">
                  <c:v>38769</c:v>
                </c:pt>
                <c:pt idx="2130">
                  <c:v>38768</c:v>
                </c:pt>
                <c:pt idx="2131">
                  <c:v>38765</c:v>
                </c:pt>
                <c:pt idx="2132">
                  <c:v>38764</c:v>
                </c:pt>
                <c:pt idx="2133">
                  <c:v>38763</c:v>
                </c:pt>
                <c:pt idx="2134">
                  <c:v>38762</c:v>
                </c:pt>
                <c:pt idx="2135">
                  <c:v>38761</c:v>
                </c:pt>
                <c:pt idx="2136">
                  <c:v>38758</c:v>
                </c:pt>
                <c:pt idx="2137">
                  <c:v>38757</c:v>
                </c:pt>
                <c:pt idx="2138">
                  <c:v>38756</c:v>
                </c:pt>
                <c:pt idx="2139">
                  <c:v>38755</c:v>
                </c:pt>
                <c:pt idx="2140">
                  <c:v>38754</c:v>
                </c:pt>
                <c:pt idx="2141">
                  <c:v>38751</c:v>
                </c:pt>
                <c:pt idx="2142">
                  <c:v>38750</c:v>
                </c:pt>
                <c:pt idx="2143">
                  <c:v>38749</c:v>
                </c:pt>
                <c:pt idx="2144">
                  <c:v>38748</c:v>
                </c:pt>
                <c:pt idx="2145">
                  <c:v>38747</c:v>
                </c:pt>
                <c:pt idx="2146">
                  <c:v>38744</c:v>
                </c:pt>
                <c:pt idx="2147">
                  <c:v>38743</c:v>
                </c:pt>
                <c:pt idx="2148">
                  <c:v>38742</c:v>
                </c:pt>
                <c:pt idx="2149">
                  <c:v>38741</c:v>
                </c:pt>
                <c:pt idx="2150">
                  <c:v>38740</c:v>
                </c:pt>
                <c:pt idx="2151">
                  <c:v>38737</c:v>
                </c:pt>
                <c:pt idx="2152">
                  <c:v>38736</c:v>
                </c:pt>
                <c:pt idx="2153">
                  <c:v>38735</c:v>
                </c:pt>
                <c:pt idx="2154">
                  <c:v>38734</c:v>
                </c:pt>
                <c:pt idx="2155">
                  <c:v>38733</c:v>
                </c:pt>
                <c:pt idx="2156">
                  <c:v>38730</c:v>
                </c:pt>
                <c:pt idx="2157">
                  <c:v>38729</c:v>
                </c:pt>
                <c:pt idx="2158">
                  <c:v>38728</c:v>
                </c:pt>
                <c:pt idx="2159">
                  <c:v>38727</c:v>
                </c:pt>
                <c:pt idx="2160">
                  <c:v>38726</c:v>
                </c:pt>
                <c:pt idx="2161">
                  <c:v>38723</c:v>
                </c:pt>
                <c:pt idx="2162">
                  <c:v>38722</c:v>
                </c:pt>
                <c:pt idx="2163">
                  <c:v>38721</c:v>
                </c:pt>
                <c:pt idx="2164">
                  <c:v>38720</c:v>
                </c:pt>
                <c:pt idx="2165">
                  <c:v>38716</c:v>
                </c:pt>
                <c:pt idx="2166">
                  <c:v>38715</c:v>
                </c:pt>
                <c:pt idx="2167">
                  <c:v>38714</c:v>
                </c:pt>
                <c:pt idx="2168">
                  <c:v>38713</c:v>
                </c:pt>
                <c:pt idx="2169">
                  <c:v>38709</c:v>
                </c:pt>
                <c:pt idx="2170">
                  <c:v>38708</c:v>
                </c:pt>
                <c:pt idx="2171">
                  <c:v>38707</c:v>
                </c:pt>
                <c:pt idx="2172">
                  <c:v>38706</c:v>
                </c:pt>
                <c:pt idx="2173">
                  <c:v>38705</c:v>
                </c:pt>
                <c:pt idx="2174">
                  <c:v>38701</c:v>
                </c:pt>
                <c:pt idx="2175">
                  <c:v>38700</c:v>
                </c:pt>
                <c:pt idx="2176">
                  <c:v>38699</c:v>
                </c:pt>
                <c:pt idx="2177">
                  <c:v>38698</c:v>
                </c:pt>
                <c:pt idx="2178">
                  <c:v>38695</c:v>
                </c:pt>
                <c:pt idx="2179">
                  <c:v>38694</c:v>
                </c:pt>
                <c:pt idx="2180">
                  <c:v>38693</c:v>
                </c:pt>
                <c:pt idx="2181">
                  <c:v>38692</c:v>
                </c:pt>
                <c:pt idx="2182">
                  <c:v>38691</c:v>
                </c:pt>
                <c:pt idx="2183">
                  <c:v>38688</c:v>
                </c:pt>
                <c:pt idx="2184">
                  <c:v>38687</c:v>
                </c:pt>
                <c:pt idx="2185">
                  <c:v>38686</c:v>
                </c:pt>
                <c:pt idx="2186">
                  <c:v>38685</c:v>
                </c:pt>
                <c:pt idx="2187">
                  <c:v>38684</c:v>
                </c:pt>
                <c:pt idx="2188">
                  <c:v>38681</c:v>
                </c:pt>
                <c:pt idx="2189">
                  <c:v>38680</c:v>
                </c:pt>
                <c:pt idx="2190">
                  <c:v>38679</c:v>
                </c:pt>
                <c:pt idx="2191">
                  <c:v>38678</c:v>
                </c:pt>
                <c:pt idx="2192">
                  <c:v>38677</c:v>
                </c:pt>
                <c:pt idx="2193">
                  <c:v>38674</c:v>
                </c:pt>
                <c:pt idx="2194">
                  <c:v>38673</c:v>
                </c:pt>
                <c:pt idx="2195">
                  <c:v>38672</c:v>
                </c:pt>
                <c:pt idx="2196">
                  <c:v>38671</c:v>
                </c:pt>
                <c:pt idx="2197">
                  <c:v>38670</c:v>
                </c:pt>
                <c:pt idx="2198">
                  <c:v>38667</c:v>
                </c:pt>
                <c:pt idx="2199">
                  <c:v>38666</c:v>
                </c:pt>
                <c:pt idx="2200">
                  <c:v>38665</c:v>
                </c:pt>
                <c:pt idx="2201">
                  <c:v>38664</c:v>
                </c:pt>
                <c:pt idx="2202">
                  <c:v>38663</c:v>
                </c:pt>
                <c:pt idx="2203">
                  <c:v>38660</c:v>
                </c:pt>
                <c:pt idx="2204">
                  <c:v>38659</c:v>
                </c:pt>
                <c:pt idx="2205">
                  <c:v>38658</c:v>
                </c:pt>
                <c:pt idx="2206">
                  <c:v>38657</c:v>
                </c:pt>
                <c:pt idx="2207">
                  <c:v>38656</c:v>
                </c:pt>
                <c:pt idx="2208">
                  <c:v>38653</c:v>
                </c:pt>
                <c:pt idx="2209">
                  <c:v>38652</c:v>
                </c:pt>
                <c:pt idx="2210">
                  <c:v>38651</c:v>
                </c:pt>
                <c:pt idx="2211">
                  <c:v>38650</c:v>
                </c:pt>
                <c:pt idx="2212">
                  <c:v>38649</c:v>
                </c:pt>
                <c:pt idx="2213">
                  <c:v>38646</c:v>
                </c:pt>
                <c:pt idx="2214">
                  <c:v>38645</c:v>
                </c:pt>
                <c:pt idx="2215">
                  <c:v>38644</c:v>
                </c:pt>
                <c:pt idx="2216">
                  <c:v>38643</c:v>
                </c:pt>
                <c:pt idx="2217">
                  <c:v>38642</c:v>
                </c:pt>
                <c:pt idx="2218">
                  <c:v>38639</c:v>
                </c:pt>
                <c:pt idx="2219">
                  <c:v>38638</c:v>
                </c:pt>
                <c:pt idx="2220">
                  <c:v>38637</c:v>
                </c:pt>
                <c:pt idx="2221">
                  <c:v>38636</c:v>
                </c:pt>
                <c:pt idx="2222">
                  <c:v>38635</c:v>
                </c:pt>
                <c:pt idx="2223">
                  <c:v>38632</c:v>
                </c:pt>
                <c:pt idx="2224">
                  <c:v>38631</c:v>
                </c:pt>
                <c:pt idx="2225">
                  <c:v>38630</c:v>
                </c:pt>
                <c:pt idx="2226">
                  <c:v>38629</c:v>
                </c:pt>
                <c:pt idx="2227">
                  <c:v>38628</c:v>
                </c:pt>
                <c:pt idx="2228">
                  <c:v>38625</c:v>
                </c:pt>
                <c:pt idx="2229">
                  <c:v>38624</c:v>
                </c:pt>
                <c:pt idx="2230">
                  <c:v>38623</c:v>
                </c:pt>
                <c:pt idx="2231">
                  <c:v>38622</c:v>
                </c:pt>
                <c:pt idx="2232">
                  <c:v>38621</c:v>
                </c:pt>
                <c:pt idx="2233">
                  <c:v>38618</c:v>
                </c:pt>
                <c:pt idx="2234">
                  <c:v>38617</c:v>
                </c:pt>
                <c:pt idx="2235">
                  <c:v>38616</c:v>
                </c:pt>
                <c:pt idx="2236">
                  <c:v>38615</c:v>
                </c:pt>
                <c:pt idx="2237">
                  <c:v>38614</c:v>
                </c:pt>
                <c:pt idx="2238">
                  <c:v>38611</c:v>
                </c:pt>
                <c:pt idx="2239">
                  <c:v>38610</c:v>
                </c:pt>
                <c:pt idx="2240">
                  <c:v>38609</c:v>
                </c:pt>
                <c:pt idx="2241">
                  <c:v>38608</c:v>
                </c:pt>
                <c:pt idx="2242">
                  <c:v>38607</c:v>
                </c:pt>
                <c:pt idx="2243">
                  <c:v>38604</c:v>
                </c:pt>
                <c:pt idx="2244">
                  <c:v>38603</c:v>
                </c:pt>
                <c:pt idx="2245">
                  <c:v>38602</c:v>
                </c:pt>
                <c:pt idx="2246">
                  <c:v>38601</c:v>
                </c:pt>
                <c:pt idx="2247">
                  <c:v>38600</c:v>
                </c:pt>
                <c:pt idx="2248">
                  <c:v>38597</c:v>
                </c:pt>
                <c:pt idx="2249">
                  <c:v>38596</c:v>
                </c:pt>
                <c:pt idx="2250">
                  <c:v>38595</c:v>
                </c:pt>
                <c:pt idx="2251">
                  <c:v>38594</c:v>
                </c:pt>
                <c:pt idx="2252">
                  <c:v>38593</c:v>
                </c:pt>
                <c:pt idx="2253">
                  <c:v>38590</c:v>
                </c:pt>
                <c:pt idx="2254">
                  <c:v>38589</c:v>
                </c:pt>
                <c:pt idx="2255">
                  <c:v>38588</c:v>
                </c:pt>
                <c:pt idx="2256">
                  <c:v>38587</c:v>
                </c:pt>
                <c:pt idx="2257">
                  <c:v>38586</c:v>
                </c:pt>
                <c:pt idx="2258">
                  <c:v>38583</c:v>
                </c:pt>
                <c:pt idx="2259">
                  <c:v>38582</c:v>
                </c:pt>
                <c:pt idx="2260">
                  <c:v>38581</c:v>
                </c:pt>
                <c:pt idx="2261">
                  <c:v>38580</c:v>
                </c:pt>
                <c:pt idx="2262">
                  <c:v>38579</c:v>
                </c:pt>
                <c:pt idx="2263">
                  <c:v>38576</c:v>
                </c:pt>
                <c:pt idx="2264">
                  <c:v>38575</c:v>
                </c:pt>
                <c:pt idx="2265">
                  <c:v>38574</c:v>
                </c:pt>
                <c:pt idx="2266">
                  <c:v>38572</c:v>
                </c:pt>
                <c:pt idx="2267">
                  <c:v>38569</c:v>
                </c:pt>
                <c:pt idx="2268">
                  <c:v>38568</c:v>
                </c:pt>
                <c:pt idx="2269">
                  <c:v>38567</c:v>
                </c:pt>
                <c:pt idx="2270">
                  <c:v>38566</c:v>
                </c:pt>
                <c:pt idx="2271">
                  <c:v>38565</c:v>
                </c:pt>
                <c:pt idx="2272">
                  <c:v>38562</c:v>
                </c:pt>
                <c:pt idx="2273">
                  <c:v>38561</c:v>
                </c:pt>
                <c:pt idx="2274">
                  <c:v>38560</c:v>
                </c:pt>
                <c:pt idx="2275">
                  <c:v>38559</c:v>
                </c:pt>
                <c:pt idx="2276">
                  <c:v>38558</c:v>
                </c:pt>
                <c:pt idx="2277">
                  <c:v>38555</c:v>
                </c:pt>
                <c:pt idx="2278">
                  <c:v>38554</c:v>
                </c:pt>
                <c:pt idx="2279">
                  <c:v>38553</c:v>
                </c:pt>
                <c:pt idx="2280">
                  <c:v>38552</c:v>
                </c:pt>
                <c:pt idx="2281">
                  <c:v>38551</c:v>
                </c:pt>
                <c:pt idx="2282">
                  <c:v>38548</c:v>
                </c:pt>
                <c:pt idx="2283">
                  <c:v>38547</c:v>
                </c:pt>
                <c:pt idx="2284">
                  <c:v>38546</c:v>
                </c:pt>
                <c:pt idx="2285">
                  <c:v>38545</c:v>
                </c:pt>
                <c:pt idx="2286">
                  <c:v>38544</c:v>
                </c:pt>
                <c:pt idx="2287">
                  <c:v>38541</c:v>
                </c:pt>
                <c:pt idx="2288">
                  <c:v>38540</c:v>
                </c:pt>
                <c:pt idx="2289">
                  <c:v>38539</c:v>
                </c:pt>
                <c:pt idx="2290">
                  <c:v>38538</c:v>
                </c:pt>
                <c:pt idx="2291">
                  <c:v>38537</c:v>
                </c:pt>
                <c:pt idx="2292">
                  <c:v>38534</c:v>
                </c:pt>
                <c:pt idx="2293">
                  <c:v>38533</c:v>
                </c:pt>
                <c:pt idx="2294">
                  <c:v>38532</c:v>
                </c:pt>
                <c:pt idx="2295">
                  <c:v>38531</c:v>
                </c:pt>
                <c:pt idx="2296">
                  <c:v>38530</c:v>
                </c:pt>
                <c:pt idx="2297">
                  <c:v>38527</c:v>
                </c:pt>
                <c:pt idx="2298">
                  <c:v>38526</c:v>
                </c:pt>
                <c:pt idx="2299">
                  <c:v>38525</c:v>
                </c:pt>
                <c:pt idx="2300">
                  <c:v>38524</c:v>
                </c:pt>
                <c:pt idx="2301">
                  <c:v>38523</c:v>
                </c:pt>
                <c:pt idx="2302">
                  <c:v>38520</c:v>
                </c:pt>
                <c:pt idx="2303">
                  <c:v>38518</c:v>
                </c:pt>
                <c:pt idx="2304">
                  <c:v>38517</c:v>
                </c:pt>
                <c:pt idx="2305">
                  <c:v>38516</c:v>
                </c:pt>
                <c:pt idx="2306">
                  <c:v>38513</c:v>
                </c:pt>
                <c:pt idx="2307">
                  <c:v>38512</c:v>
                </c:pt>
                <c:pt idx="2308">
                  <c:v>38511</c:v>
                </c:pt>
                <c:pt idx="2309">
                  <c:v>38510</c:v>
                </c:pt>
                <c:pt idx="2310">
                  <c:v>38509</c:v>
                </c:pt>
                <c:pt idx="2311">
                  <c:v>38506</c:v>
                </c:pt>
                <c:pt idx="2312">
                  <c:v>38505</c:v>
                </c:pt>
                <c:pt idx="2313">
                  <c:v>38504</c:v>
                </c:pt>
                <c:pt idx="2314">
                  <c:v>38503</c:v>
                </c:pt>
                <c:pt idx="2315">
                  <c:v>38502</c:v>
                </c:pt>
                <c:pt idx="2316">
                  <c:v>38499</c:v>
                </c:pt>
                <c:pt idx="2317">
                  <c:v>38498</c:v>
                </c:pt>
                <c:pt idx="2318">
                  <c:v>38497</c:v>
                </c:pt>
                <c:pt idx="2319">
                  <c:v>38496</c:v>
                </c:pt>
                <c:pt idx="2320">
                  <c:v>38495</c:v>
                </c:pt>
                <c:pt idx="2321">
                  <c:v>38492</c:v>
                </c:pt>
                <c:pt idx="2322">
                  <c:v>38491</c:v>
                </c:pt>
                <c:pt idx="2323">
                  <c:v>38490</c:v>
                </c:pt>
                <c:pt idx="2324">
                  <c:v>38489</c:v>
                </c:pt>
                <c:pt idx="2325">
                  <c:v>38488</c:v>
                </c:pt>
                <c:pt idx="2326">
                  <c:v>38485</c:v>
                </c:pt>
                <c:pt idx="2327">
                  <c:v>38484</c:v>
                </c:pt>
                <c:pt idx="2328">
                  <c:v>38483</c:v>
                </c:pt>
                <c:pt idx="2329">
                  <c:v>38482</c:v>
                </c:pt>
                <c:pt idx="2330">
                  <c:v>38481</c:v>
                </c:pt>
                <c:pt idx="2331">
                  <c:v>38478</c:v>
                </c:pt>
                <c:pt idx="2332">
                  <c:v>38477</c:v>
                </c:pt>
                <c:pt idx="2333">
                  <c:v>38476</c:v>
                </c:pt>
                <c:pt idx="2334">
                  <c:v>38475</c:v>
                </c:pt>
                <c:pt idx="2335">
                  <c:v>38471</c:v>
                </c:pt>
                <c:pt idx="2336">
                  <c:v>38470</c:v>
                </c:pt>
                <c:pt idx="2337">
                  <c:v>38468</c:v>
                </c:pt>
                <c:pt idx="2338">
                  <c:v>38467</c:v>
                </c:pt>
                <c:pt idx="2339">
                  <c:v>38464</c:v>
                </c:pt>
                <c:pt idx="2340">
                  <c:v>38463</c:v>
                </c:pt>
                <c:pt idx="2341">
                  <c:v>38462</c:v>
                </c:pt>
                <c:pt idx="2342">
                  <c:v>38461</c:v>
                </c:pt>
                <c:pt idx="2343">
                  <c:v>38460</c:v>
                </c:pt>
                <c:pt idx="2344">
                  <c:v>38457</c:v>
                </c:pt>
                <c:pt idx="2345">
                  <c:v>38456</c:v>
                </c:pt>
                <c:pt idx="2346">
                  <c:v>38455</c:v>
                </c:pt>
                <c:pt idx="2347">
                  <c:v>38454</c:v>
                </c:pt>
                <c:pt idx="2348">
                  <c:v>38453</c:v>
                </c:pt>
                <c:pt idx="2349">
                  <c:v>38450</c:v>
                </c:pt>
                <c:pt idx="2350">
                  <c:v>38449</c:v>
                </c:pt>
                <c:pt idx="2351">
                  <c:v>38448</c:v>
                </c:pt>
                <c:pt idx="2352">
                  <c:v>38447</c:v>
                </c:pt>
                <c:pt idx="2353">
                  <c:v>38446</c:v>
                </c:pt>
                <c:pt idx="2354">
                  <c:v>38443</c:v>
                </c:pt>
                <c:pt idx="2355">
                  <c:v>38442</c:v>
                </c:pt>
                <c:pt idx="2356">
                  <c:v>38441</c:v>
                </c:pt>
                <c:pt idx="2357">
                  <c:v>38440</c:v>
                </c:pt>
                <c:pt idx="2358">
                  <c:v>38435</c:v>
                </c:pt>
                <c:pt idx="2359">
                  <c:v>38434</c:v>
                </c:pt>
                <c:pt idx="2360">
                  <c:v>38433</c:v>
                </c:pt>
                <c:pt idx="2361">
                  <c:v>38429</c:v>
                </c:pt>
                <c:pt idx="2362">
                  <c:v>38428</c:v>
                </c:pt>
                <c:pt idx="2363">
                  <c:v>38427</c:v>
                </c:pt>
                <c:pt idx="2364">
                  <c:v>38426</c:v>
                </c:pt>
                <c:pt idx="2365">
                  <c:v>38425</c:v>
                </c:pt>
                <c:pt idx="2366">
                  <c:v>38422</c:v>
                </c:pt>
                <c:pt idx="2367">
                  <c:v>38421</c:v>
                </c:pt>
                <c:pt idx="2368">
                  <c:v>38420</c:v>
                </c:pt>
                <c:pt idx="2369">
                  <c:v>38419</c:v>
                </c:pt>
                <c:pt idx="2370">
                  <c:v>38418</c:v>
                </c:pt>
                <c:pt idx="2371">
                  <c:v>38415</c:v>
                </c:pt>
                <c:pt idx="2372">
                  <c:v>38414</c:v>
                </c:pt>
                <c:pt idx="2373">
                  <c:v>38413</c:v>
                </c:pt>
                <c:pt idx="2374">
                  <c:v>38412</c:v>
                </c:pt>
                <c:pt idx="2375">
                  <c:v>38411</c:v>
                </c:pt>
                <c:pt idx="2376">
                  <c:v>38408</c:v>
                </c:pt>
                <c:pt idx="2377">
                  <c:v>38407</c:v>
                </c:pt>
                <c:pt idx="2378">
                  <c:v>38406</c:v>
                </c:pt>
                <c:pt idx="2379">
                  <c:v>38405</c:v>
                </c:pt>
                <c:pt idx="2380">
                  <c:v>38404</c:v>
                </c:pt>
                <c:pt idx="2381">
                  <c:v>38401</c:v>
                </c:pt>
                <c:pt idx="2382">
                  <c:v>38400</c:v>
                </c:pt>
                <c:pt idx="2383">
                  <c:v>38399</c:v>
                </c:pt>
                <c:pt idx="2384">
                  <c:v>38398</c:v>
                </c:pt>
                <c:pt idx="2385">
                  <c:v>38397</c:v>
                </c:pt>
                <c:pt idx="2386">
                  <c:v>38394</c:v>
                </c:pt>
                <c:pt idx="2387">
                  <c:v>38393</c:v>
                </c:pt>
                <c:pt idx="2388">
                  <c:v>38392</c:v>
                </c:pt>
                <c:pt idx="2389">
                  <c:v>38391</c:v>
                </c:pt>
                <c:pt idx="2390">
                  <c:v>38390</c:v>
                </c:pt>
                <c:pt idx="2391">
                  <c:v>38387</c:v>
                </c:pt>
                <c:pt idx="2392">
                  <c:v>38386</c:v>
                </c:pt>
                <c:pt idx="2393">
                  <c:v>38385</c:v>
                </c:pt>
                <c:pt idx="2394">
                  <c:v>38384</c:v>
                </c:pt>
                <c:pt idx="2395">
                  <c:v>38383</c:v>
                </c:pt>
                <c:pt idx="2396">
                  <c:v>38380</c:v>
                </c:pt>
                <c:pt idx="2397">
                  <c:v>38379</c:v>
                </c:pt>
                <c:pt idx="2398">
                  <c:v>38378</c:v>
                </c:pt>
                <c:pt idx="2399">
                  <c:v>38377</c:v>
                </c:pt>
                <c:pt idx="2400">
                  <c:v>38376</c:v>
                </c:pt>
                <c:pt idx="2401">
                  <c:v>38373</c:v>
                </c:pt>
                <c:pt idx="2402">
                  <c:v>38372</c:v>
                </c:pt>
                <c:pt idx="2403">
                  <c:v>38371</c:v>
                </c:pt>
                <c:pt idx="2404">
                  <c:v>38370</c:v>
                </c:pt>
                <c:pt idx="2405">
                  <c:v>38369</c:v>
                </c:pt>
                <c:pt idx="2406">
                  <c:v>38366</c:v>
                </c:pt>
                <c:pt idx="2407">
                  <c:v>38365</c:v>
                </c:pt>
                <c:pt idx="2408">
                  <c:v>38364</c:v>
                </c:pt>
                <c:pt idx="2409">
                  <c:v>38363</c:v>
                </c:pt>
                <c:pt idx="2410">
                  <c:v>38362</c:v>
                </c:pt>
                <c:pt idx="2411">
                  <c:v>38359</c:v>
                </c:pt>
                <c:pt idx="2412">
                  <c:v>38358</c:v>
                </c:pt>
                <c:pt idx="2413">
                  <c:v>38357</c:v>
                </c:pt>
                <c:pt idx="2414">
                  <c:v>38356</c:v>
                </c:pt>
                <c:pt idx="2415">
                  <c:v>38355</c:v>
                </c:pt>
                <c:pt idx="2416">
                  <c:v>38352</c:v>
                </c:pt>
                <c:pt idx="2417">
                  <c:v>38351</c:v>
                </c:pt>
                <c:pt idx="2418">
                  <c:v>38350</c:v>
                </c:pt>
                <c:pt idx="2419">
                  <c:v>38349</c:v>
                </c:pt>
                <c:pt idx="2420">
                  <c:v>38345</c:v>
                </c:pt>
                <c:pt idx="2421">
                  <c:v>38344</c:v>
                </c:pt>
                <c:pt idx="2422">
                  <c:v>38343</c:v>
                </c:pt>
                <c:pt idx="2423">
                  <c:v>38342</c:v>
                </c:pt>
                <c:pt idx="2424">
                  <c:v>38341</c:v>
                </c:pt>
                <c:pt idx="2425">
                  <c:v>38338</c:v>
                </c:pt>
                <c:pt idx="2426">
                  <c:v>38336</c:v>
                </c:pt>
                <c:pt idx="2427">
                  <c:v>38335</c:v>
                </c:pt>
                <c:pt idx="2428">
                  <c:v>38334</c:v>
                </c:pt>
                <c:pt idx="2429">
                  <c:v>38331</c:v>
                </c:pt>
                <c:pt idx="2430">
                  <c:v>38330</c:v>
                </c:pt>
                <c:pt idx="2431">
                  <c:v>38329</c:v>
                </c:pt>
                <c:pt idx="2432">
                  <c:v>38328</c:v>
                </c:pt>
                <c:pt idx="2433">
                  <c:v>38327</c:v>
                </c:pt>
                <c:pt idx="2434">
                  <c:v>38324</c:v>
                </c:pt>
                <c:pt idx="2435">
                  <c:v>38323</c:v>
                </c:pt>
                <c:pt idx="2436">
                  <c:v>38322</c:v>
                </c:pt>
                <c:pt idx="2437">
                  <c:v>38321</c:v>
                </c:pt>
                <c:pt idx="2438">
                  <c:v>38320</c:v>
                </c:pt>
                <c:pt idx="2439">
                  <c:v>38317</c:v>
                </c:pt>
                <c:pt idx="2440">
                  <c:v>38316</c:v>
                </c:pt>
                <c:pt idx="2441">
                  <c:v>38315</c:v>
                </c:pt>
                <c:pt idx="2442">
                  <c:v>38314</c:v>
                </c:pt>
                <c:pt idx="2443">
                  <c:v>38313</c:v>
                </c:pt>
                <c:pt idx="2444">
                  <c:v>38310</c:v>
                </c:pt>
                <c:pt idx="2445">
                  <c:v>38309</c:v>
                </c:pt>
                <c:pt idx="2446">
                  <c:v>38308</c:v>
                </c:pt>
                <c:pt idx="2447">
                  <c:v>38307</c:v>
                </c:pt>
                <c:pt idx="2448">
                  <c:v>38306</c:v>
                </c:pt>
                <c:pt idx="2449">
                  <c:v>38303</c:v>
                </c:pt>
                <c:pt idx="2450">
                  <c:v>38302</c:v>
                </c:pt>
                <c:pt idx="2451">
                  <c:v>38301</c:v>
                </c:pt>
                <c:pt idx="2452">
                  <c:v>38300</c:v>
                </c:pt>
                <c:pt idx="2453">
                  <c:v>38299</c:v>
                </c:pt>
                <c:pt idx="2454">
                  <c:v>38296</c:v>
                </c:pt>
                <c:pt idx="2455">
                  <c:v>38295</c:v>
                </c:pt>
                <c:pt idx="2456">
                  <c:v>38294</c:v>
                </c:pt>
                <c:pt idx="2457">
                  <c:v>38293</c:v>
                </c:pt>
                <c:pt idx="2458">
                  <c:v>38292</c:v>
                </c:pt>
                <c:pt idx="2459">
                  <c:v>38289</c:v>
                </c:pt>
                <c:pt idx="2460">
                  <c:v>38288</c:v>
                </c:pt>
                <c:pt idx="2461">
                  <c:v>38287</c:v>
                </c:pt>
                <c:pt idx="2462">
                  <c:v>38286</c:v>
                </c:pt>
                <c:pt idx="2463">
                  <c:v>38285</c:v>
                </c:pt>
                <c:pt idx="2464">
                  <c:v>38282</c:v>
                </c:pt>
                <c:pt idx="2465">
                  <c:v>38281</c:v>
                </c:pt>
                <c:pt idx="2466">
                  <c:v>38280</c:v>
                </c:pt>
                <c:pt idx="2467">
                  <c:v>38279</c:v>
                </c:pt>
                <c:pt idx="2468">
                  <c:v>38278</c:v>
                </c:pt>
                <c:pt idx="2469">
                  <c:v>38275</c:v>
                </c:pt>
                <c:pt idx="2470">
                  <c:v>38274</c:v>
                </c:pt>
                <c:pt idx="2471">
                  <c:v>38273</c:v>
                </c:pt>
                <c:pt idx="2472">
                  <c:v>38272</c:v>
                </c:pt>
                <c:pt idx="2473">
                  <c:v>38271</c:v>
                </c:pt>
                <c:pt idx="2474">
                  <c:v>38268</c:v>
                </c:pt>
                <c:pt idx="2475">
                  <c:v>38267</c:v>
                </c:pt>
                <c:pt idx="2476">
                  <c:v>38266</c:v>
                </c:pt>
                <c:pt idx="2477">
                  <c:v>38265</c:v>
                </c:pt>
                <c:pt idx="2478">
                  <c:v>38264</c:v>
                </c:pt>
                <c:pt idx="2479">
                  <c:v>38261</c:v>
                </c:pt>
                <c:pt idx="2480">
                  <c:v>38260</c:v>
                </c:pt>
                <c:pt idx="2481">
                  <c:v>38259</c:v>
                </c:pt>
                <c:pt idx="2482">
                  <c:v>38258</c:v>
                </c:pt>
                <c:pt idx="2483">
                  <c:v>38257</c:v>
                </c:pt>
                <c:pt idx="2484">
                  <c:v>38253</c:v>
                </c:pt>
                <c:pt idx="2485">
                  <c:v>38252</c:v>
                </c:pt>
                <c:pt idx="2486">
                  <c:v>38251</c:v>
                </c:pt>
                <c:pt idx="2487">
                  <c:v>38250</c:v>
                </c:pt>
                <c:pt idx="2488">
                  <c:v>38247</c:v>
                </c:pt>
                <c:pt idx="2489">
                  <c:v>38246</c:v>
                </c:pt>
                <c:pt idx="2490">
                  <c:v>38245</c:v>
                </c:pt>
                <c:pt idx="2491">
                  <c:v>38244</c:v>
                </c:pt>
                <c:pt idx="2492">
                  <c:v>38243</c:v>
                </c:pt>
                <c:pt idx="2493">
                  <c:v>38240</c:v>
                </c:pt>
                <c:pt idx="2494">
                  <c:v>38239</c:v>
                </c:pt>
                <c:pt idx="2495">
                  <c:v>38238</c:v>
                </c:pt>
                <c:pt idx="2496">
                  <c:v>38237</c:v>
                </c:pt>
                <c:pt idx="2497">
                  <c:v>38236</c:v>
                </c:pt>
                <c:pt idx="2498">
                  <c:v>38233</c:v>
                </c:pt>
                <c:pt idx="2499">
                  <c:v>38232</c:v>
                </c:pt>
                <c:pt idx="2500">
                  <c:v>38231</c:v>
                </c:pt>
                <c:pt idx="2501">
                  <c:v>38230</c:v>
                </c:pt>
                <c:pt idx="2502">
                  <c:v>38229</c:v>
                </c:pt>
                <c:pt idx="2503">
                  <c:v>38226</c:v>
                </c:pt>
                <c:pt idx="2504">
                  <c:v>38225</c:v>
                </c:pt>
                <c:pt idx="2505">
                  <c:v>38224</c:v>
                </c:pt>
                <c:pt idx="2506">
                  <c:v>38223</c:v>
                </c:pt>
                <c:pt idx="2507">
                  <c:v>38222</c:v>
                </c:pt>
                <c:pt idx="2508">
                  <c:v>38219</c:v>
                </c:pt>
                <c:pt idx="2509">
                  <c:v>38218</c:v>
                </c:pt>
                <c:pt idx="2510">
                  <c:v>38217</c:v>
                </c:pt>
                <c:pt idx="2511">
                  <c:v>38216</c:v>
                </c:pt>
                <c:pt idx="2512">
                  <c:v>38215</c:v>
                </c:pt>
                <c:pt idx="2513">
                  <c:v>38212</c:v>
                </c:pt>
                <c:pt idx="2514">
                  <c:v>38211</c:v>
                </c:pt>
                <c:pt idx="2515">
                  <c:v>38210</c:v>
                </c:pt>
                <c:pt idx="2516">
                  <c:v>38209</c:v>
                </c:pt>
                <c:pt idx="2517">
                  <c:v>38205</c:v>
                </c:pt>
                <c:pt idx="2518">
                  <c:v>38204</c:v>
                </c:pt>
                <c:pt idx="2519">
                  <c:v>38203</c:v>
                </c:pt>
                <c:pt idx="2520">
                  <c:v>38202</c:v>
                </c:pt>
                <c:pt idx="2521">
                  <c:v>38201</c:v>
                </c:pt>
                <c:pt idx="2522">
                  <c:v>38198</c:v>
                </c:pt>
                <c:pt idx="2523">
                  <c:v>38197</c:v>
                </c:pt>
                <c:pt idx="2524">
                  <c:v>38196</c:v>
                </c:pt>
                <c:pt idx="2525">
                  <c:v>38195</c:v>
                </c:pt>
                <c:pt idx="2526">
                  <c:v>38194</c:v>
                </c:pt>
                <c:pt idx="2527">
                  <c:v>38191</c:v>
                </c:pt>
                <c:pt idx="2528">
                  <c:v>38190</c:v>
                </c:pt>
                <c:pt idx="2529">
                  <c:v>38189</c:v>
                </c:pt>
                <c:pt idx="2530">
                  <c:v>38188</c:v>
                </c:pt>
                <c:pt idx="2531">
                  <c:v>38187</c:v>
                </c:pt>
                <c:pt idx="2532">
                  <c:v>38184</c:v>
                </c:pt>
                <c:pt idx="2533">
                  <c:v>38183</c:v>
                </c:pt>
                <c:pt idx="2534">
                  <c:v>38182</c:v>
                </c:pt>
                <c:pt idx="2535">
                  <c:v>38181</c:v>
                </c:pt>
                <c:pt idx="2536">
                  <c:v>38180</c:v>
                </c:pt>
                <c:pt idx="2537">
                  <c:v>38177</c:v>
                </c:pt>
                <c:pt idx="2538">
                  <c:v>38176</c:v>
                </c:pt>
                <c:pt idx="2539">
                  <c:v>38175</c:v>
                </c:pt>
                <c:pt idx="2540">
                  <c:v>38174</c:v>
                </c:pt>
                <c:pt idx="2541">
                  <c:v>38173</c:v>
                </c:pt>
                <c:pt idx="2542">
                  <c:v>38170</c:v>
                </c:pt>
                <c:pt idx="2543">
                  <c:v>38169</c:v>
                </c:pt>
                <c:pt idx="2544">
                  <c:v>38168</c:v>
                </c:pt>
                <c:pt idx="2545">
                  <c:v>38167</c:v>
                </c:pt>
                <c:pt idx="2546">
                  <c:v>38166</c:v>
                </c:pt>
                <c:pt idx="2547">
                  <c:v>38163</c:v>
                </c:pt>
                <c:pt idx="2548">
                  <c:v>38162</c:v>
                </c:pt>
                <c:pt idx="2549">
                  <c:v>38161</c:v>
                </c:pt>
                <c:pt idx="2550">
                  <c:v>38160</c:v>
                </c:pt>
                <c:pt idx="2551">
                  <c:v>38159</c:v>
                </c:pt>
                <c:pt idx="2552">
                  <c:v>38156</c:v>
                </c:pt>
                <c:pt idx="2553">
                  <c:v>38155</c:v>
                </c:pt>
                <c:pt idx="2554">
                  <c:v>38153</c:v>
                </c:pt>
                <c:pt idx="2555">
                  <c:v>38152</c:v>
                </c:pt>
                <c:pt idx="2556">
                  <c:v>38149</c:v>
                </c:pt>
                <c:pt idx="2557">
                  <c:v>38148</c:v>
                </c:pt>
                <c:pt idx="2558">
                  <c:v>38147</c:v>
                </c:pt>
                <c:pt idx="2559">
                  <c:v>38146</c:v>
                </c:pt>
                <c:pt idx="2560">
                  <c:v>38145</c:v>
                </c:pt>
                <c:pt idx="2561">
                  <c:v>38142</c:v>
                </c:pt>
                <c:pt idx="2562">
                  <c:v>38141</c:v>
                </c:pt>
                <c:pt idx="2563">
                  <c:v>38140</c:v>
                </c:pt>
                <c:pt idx="2564">
                  <c:v>38139</c:v>
                </c:pt>
                <c:pt idx="2565">
                  <c:v>38138</c:v>
                </c:pt>
                <c:pt idx="2566">
                  <c:v>38135</c:v>
                </c:pt>
                <c:pt idx="2567">
                  <c:v>38134</c:v>
                </c:pt>
                <c:pt idx="2568">
                  <c:v>38133</c:v>
                </c:pt>
                <c:pt idx="2569">
                  <c:v>38132</c:v>
                </c:pt>
                <c:pt idx="2570">
                  <c:v>38131</c:v>
                </c:pt>
                <c:pt idx="2571">
                  <c:v>38128</c:v>
                </c:pt>
                <c:pt idx="2572">
                  <c:v>38127</c:v>
                </c:pt>
                <c:pt idx="2573">
                  <c:v>38126</c:v>
                </c:pt>
                <c:pt idx="2574">
                  <c:v>38125</c:v>
                </c:pt>
                <c:pt idx="2575">
                  <c:v>38124</c:v>
                </c:pt>
                <c:pt idx="2576">
                  <c:v>38121</c:v>
                </c:pt>
                <c:pt idx="2577">
                  <c:v>38120</c:v>
                </c:pt>
                <c:pt idx="2578">
                  <c:v>38119</c:v>
                </c:pt>
                <c:pt idx="2579">
                  <c:v>38118</c:v>
                </c:pt>
                <c:pt idx="2580">
                  <c:v>38117</c:v>
                </c:pt>
                <c:pt idx="2581">
                  <c:v>38114</c:v>
                </c:pt>
                <c:pt idx="2582">
                  <c:v>38113</c:v>
                </c:pt>
                <c:pt idx="2583">
                  <c:v>38112</c:v>
                </c:pt>
                <c:pt idx="2584">
                  <c:v>38111</c:v>
                </c:pt>
                <c:pt idx="2585">
                  <c:v>38110</c:v>
                </c:pt>
                <c:pt idx="2586">
                  <c:v>38107</c:v>
                </c:pt>
                <c:pt idx="2587">
                  <c:v>38106</c:v>
                </c:pt>
                <c:pt idx="2588">
                  <c:v>38105</c:v>
                </c:pt>
                <c:pt idx="2589">
                  <c:v>38103</c:v>
                </c:pt>
                <c:pt idx="2590">
                  <c:v>38100</c:v>
                </c:pt>
                <c:pt idx="2591">
                  <c:v>38099</c:v>
                </c:pt>
                <c:pt idx="2592">
                  <c:v>38098</c:v>
                </c:pt>
                <c:pt idx="2593">
                  <c:v>38097</c:v>
                </c:pt>
                <c:pt idx="2594">
                  <c:v>38096</c:v>
                </c:pt>
                <c:pt idx="2595">
                  <c:v>38093</c:v>
                </c:pt>
                <c:pt idx="2596">
                  <c:v>38092</c:v>
                </c:pt>
                <c:pt idx="2597">
                  <c:v>38090</c:v>
                </c:pt>
                <c:pt idx="2598">
                  <c:v>38085</c:v>
                </c:pt>
                <c:pt idx="2599">
                  <c:v>38084</c:v>
                </c:pt>
                <c:pt idx="2600">
                  <c:v>38083</c:v>
                </c:pt>
                <c:pt idx="2601">
                  <c:v>38082</c:v>
                </c:pt>
                <c:pt idx="2602">
                  <c:v>38079</c:v>
                </c:pt>
                <c:pt idx="2603">
                  <c:v>38078</c:v>
                </c:pt>
                <c:pt idx="2604">
                  <c:v>38077</c:v>
                </c:pt>
                <c:pt idx="2605">
                  <c:v>38076</c:v>
                </c:pt>
                <c:pt idx="2606">
                  <c:v>38075</c:v>
                </c:pt>
                <c:pt idx="2607">
                  <c:v>38072</c:v>
                </c:pt>
                <c:pt idx="2608">
                  <c:v>38071</c:v>
                </c:pt>
                <c:pt idx="2609">
                  <c:v>38070</c:v>
                </c:pt>
                <c:pt idx="2610">
                  <c:v>38069</c:v>
                </c:pt>
                <c:pt idx="2611">
                  <c:v>38065</c:v>
                </c:pt>
                <c:pt idx="2612">
                  <c:v>38064</c:v>
                </c:pt>
                <c:pt idx="2613">
                  <c:v>38063</c:v>
                </c:pt>
                <c:pt idx="2614">
                  <c:v>38062</c:v>
                </c:pt>
                <c:pt idx="2615">
                  <c:v>38061</c:v>
                </c:pt>
                <c:pt idx="2616">
                  <c:v>38058</c:v>
                </c:pt>
                <c:pt idx="2617">
                  <c:v>38057</c:v>
                </c:pt>
                <c:pt idx="2618">
                  <c:v>38056</c:v>
                </c:pt>
                <c:pt idx="2619">
                  <c:v>38055</c:v>
                </c:pt>
                <c:pt idx="2620">
                  <c:v>38054</c:v>
                </c:pt>
                <c:pt idx="2621">
                  <c:v>38051</c:v>
                </c:pt>
                <c:pt idx="2622">
                  <c:v>38050</c:v>
                </c:pt>
                <c:pt idx="2623">
                  <c:v>38049</c:v>
                </c:pt>
                <c:pt idx="2624">
                  <c:v>38048</c:v>
                </c:pt>
                <c:pt idx="2625">
                  <c:v>38047</c:v>
                </c:pt>
                <c:pt idx="2626">
                  <c:v>38044</c:v>
                </c:pt>
                <c:pt idx="2627">
                  <c:v>38043</c:v>
                </c:pt>
                <c:pt idx="2628">
                  <c:v>38042</c:v>
                </c:pt>
                <c:pt idx="2629">
                  <c:v>38041</c:v>
                </c:pt>
                <c:pt idx="2630">
                  <c:v>38040</c:v>
                </c:pt>
                <c:pt idx="2631">
                  <c:v>38037</c:v>
                </c:pt>
                <c:pt idx="2632">
                  <c:v>38036</c:v>
                </c:pt>
                <c:pt idx="2633">
                  <c:v>38035</c:v>
                </c:pt>
                <c:pt idx="2634">
                  <c:v>38034</c:v>
                </c:pt>
                <c:pt idx="2635">
                  <c:v>38033</c:v>
                </c:pt>
                <c:pt idx="2636">
                  <c:v>38030</c:v>
                </c:pt>
                <c:pt idx="2637">
                  <c:v>38029</c:v>
                </c:pt>
                <c:pt idx="2638">
                  <c:v>38028</c:v>
                </c:pt>
                <c:pt idx="2639">
                  <c:v>38027</c:v>
                </c:pt>
                <c:pt idx="2640">
                  <c:v>38026</c:v>
                </c:pt>
                <c:pt idx="2641">
                  <c:v>38023</c:v>
                </c:pt>
                <c:pt idx="2642">
                  <c:v>38022</c:v>
                </c:pt>
                <c:pt idx="2643">
                  <c:v>38021</c:v>
                </c:pt>
                <c:pt idx="2644">
                  <c:v>38020</c:v>
                </c:pt>
                <c:pt idx="2645">
                  <c:v>38019</c:v>
                </c:pt>
                <c:pt idx="2646">
                  <c:v>38016</c:v>
                </c:pt>
                <c:pt idx="2647">
                  <c:v>38015</c:v>
                </c:pt>
                <c:pt idx="2648">
                  <c:v>38014</c:v>
                </c:pt>
                <c:pt idx="2649">
                  <c:v>38013</c:v>
                </c:pt>
                <c:pt idx="2650">
                  <c:v>38012</c:v>
                </c:pt>
                <c:pt idx="2651">
                  <c:v>38009</c:v>
                </c:pt>
                <c:pt idx="2652">
                  <c:v>38008</c:v>
                </c:pt>
                <c:pt idx="2653">
                  <c:v>38007</c:v>
                </c:pt>
                <c:pt idx="2654">
                  <c:v>38006</c:v>
                </c:pt>
                <c:pt idx="2655">
                  <c:v>38005</c:v>
                </c:pt>
                <c:pt idx="2656">
                  <c:v>38002</c:v>
                </c:pt>
                <c:pt idx="2657">
                  <c:v>38001</c:v>
                </c:pt>
                <c:pt idx="2658">
                  <c:v>38000</c:v>
                </c:pt>
                <c:pt idx="2659">
                  <c:v>37999</c:v>
                </c:pt>
                <c:pt idx="2660">
                  <c:v>37998</c:v>
                </c:pt>
                <c:pt idx="2661">
                  <c:v>37995</c:v>
                </c:pt>
                <c:pt idx="2662">
                  <c:v>37994</c:v>
                </c:pt>
                <c:pt idx="2663">
                  <c:v>37993</c:v>
                </c:pt>
                <c:pt idx="2664">
                  <c:v>37992</c:v>
                </c:pt>
                <c:pt idx="2665">
                  <c:v>37991</c:v>
                </c:pt>
                <c:pt idx="2666">
                  <c:v>37988</c:v>
                </c:pt>
                <c:pt idx="2667">
                  <c:v>37986</c:v>
                </c:pt>
                <c:pt idx="2668">
                  <c:v>37985</c:v>
                </c:pt>
                <c:pt idx="2669">
                  <c:v>37984</c:v>
                </c:pt>
                <c:pt idx="2670">
                  <c:v>37979</c:v>
                </c:pt>
                <c:pt idx="2671">
                  <c:v>37978</c:v>
                </c:pt>
                <c:pt idx="2672">
                  <c:v>37977</c:v>
                </c:pt>
                <c:pt idx="2673">
                  <c:v>37974</c:v>
                </c:pt>
                <c:pt idx="2674">
                  <c:v>37973</c:v>
                </c:pt>
                <c:pt idx="2675">
                  <c:v>37972</c:v>
                </c:pt>
                <c:pt idx="2676">
                  <c:v>37970</c:v>
                </c:pt>
                <c:pt idx="2677">
                  <c:v>37967</c:v>
                </c:pt>
                <c:pt idx="2678">
                  <c:v>37966</c:v>
                </c:pt>
                <c:pt idx="2679">
                  <c:v>37965</c:v>
                </c:pt>
                <c:pt idx="2680">
                  <c:v>37964</c:v>
                </c:pt>
                <c:pt idx="2681">
                  <c:v>37963</c:v>
                </c:pt>
                <c:pt idx="2682">
                  <c:v>37960</c:v>
                </c:pt>
                <c:pt idx="2683">
                  <c:v>37959</c:v>
                </c:pt>
                <c:pt idx="2684">
                  <c:v>37958</c:v>
                </c:pt>
                <c:pt idx="2685">
                  <c:v>37957</c:v>
                </c:pt>
                <c:pt idx="2686">
                  <c:v>37956</c:v>
                </c:pt>
                <c:pt idx="2687">
                  <c:v>37953</c:v>
                </c:pt>
                <c:pt idx="2688">
                  <c:v>37952</c:v>
                </c:pt>
                <c:pt idx="2689">
                  <c:v>37951</c:v>
                </c:pt>
                <c:pt idx="2690">
                  <c:v>37950</c:v>
                </c:pt>
                <c:pt idx="2691">
                  <c:v>37949</c:v>
                </c:pt>
                <c:pt idx="2692">
                  <c:v>37946</c:v>
                </c:pt>
                <c:pt idx="2693">
                  <c:v>37945</c:v>
                </c:pt>
                <c:pt idx="2694">
                  <c:v>37944</c:v>
                </c:pt>
                <c:pt idx="2695">
                  <c:v>37943</c:v>
                </c:pt>
                <c:pt idx="2696">
                  <c:v>37942</c:v>
                </c:pt>
                <c:pt idx="2697">
                  <c:v>37939</c:v>
                </c:pt>
                <c:pt idx="2698">
                  <c:v>37938</c:v>
                </c:pt>
                <c:pt idx="2699">
                  <c:v>37937</c:v>
                </c:pt>
                <c:pt idx="2700">
                  <c:v>37936</c:v>
                </c:pt>
                <c:pt idx="2701">
                  <c:v>37935</c:v>
                </c:pt>
                <c:pt idx="2702">
                  <c:v>37932</c:v>
                </c:pt>
                <c:pt idx="2703">
                  <c:v>37931</c:v>
                </c:pt>
                <c:pt idx="2704">
                  <c:v>37930</c:v>
                </c:pt>
                <c:pt idx="2705">
                  <c:v>37929</c:v>
                </c:pt>
                <c:pt idx="2706">
                  <c:v>37928</c:v>
                </c:pt>
                <c:pt idx="2707">
                  <c:v>37925</c:v>
                </c:pt>
                <c:pt idx="2708">
                  <c:v>37924</c:v>
                </c:pt>
                <c:pt idx="2709">
                  <c:v>37923</c:v>
                </c:pt>
                <c:pt idx="2710">
                  <c:v>37922</c:v>
                </c:pt>
                <c:pt idx="2711">
                  <c:v>37921</c:v>
                </c:pt>
                <c:pt idx="2712">
                  <c:v>37918</c:v>
                </c:pt>
                <c:pt idx="2713">
                  <c:v>37917</c:v>
                </c:pt>
                <c:pt idx="2714">
                  <c:v>37916</c:v>
                </c:pt>
                <c:pt idx="2715">
                  <c:v>37915</c:v>
                </c:pt>
                <c:pt idx="2716">
                  <c:v>37914</c:v>
                </c:pt>
                <c:pt idx="2717">
                  <c:v>37911</c:v>
                </c:pt>
                <c:pt idx="2718">
                  <c:v>37910</c:v>
                </c:pt>
                <c:pt idx="2719">
                  <c:v>37909</c:v>
                </c:pt>
                <c:pt idx="2720">
                  <c:v>37908</c:v>
                </c:pt>
                <c:pt idx="2721">
                  <c:v>37907</c:v>
                </c:pt>
                <c:pt idx="2722">
                  <c:v>37904</c:v>
                </c:pt>
                <c:pt idx="2723">
                  <c:v>37903</c:v>
                </c:pt>
                <c:pt idx="2724">
                  <c:v>37902</c:v>
                </c:pt>
                <c:pt idx="2725">
                  <c:v>37901</c:v>
                </c:pt>
                <c:pt idx="2726">
                  <c:v>37900</c:v>
                </c:pt>
                <c:pt idx="2727">
                  <c:v>37897</c:v>
                </c:pt>
                <c:pt idx="2728">
                  <c:v>37896</c:v>
                </c:pt>
                <c:pt idx="2729">
                  <c:v>37895</c:v>
                </c:pt>
                <c:pt idx="2730">
                  <c:v>37894</c:v>
                </c:pt>
                <c:pt idx="2731">
                  <c:v>37893</c:v>
                </c:pt>
                <c:pt idx="2732">
                  <c:v>37890</c:v>
                </c:pt>
                <c:pt idx="2733">
                  <c:v>37889</c:v>
                </c:pt>
                <c:pt idx="2734">
                  <c:v>37887</c:v>
                </c:pt>
                <c:pt idx="2735">
                  <c:v>37886</c:v>
                </c:pt>
                <c:pt idx="2736">
                  <c:v>37883</c:v>
                </c:pt>
                <c:pt idx="2737">
                  <c:v>37882</c:v>
                </c:pt>
                <c:pt idx="2738">
                  <c:v>37881</c:v>
                </c:pt>
                <c:pt idx="2739">
                  <c:v>37880</c:v>
                </c:pt>
                <c:pt idx="2740">
                  <c:v>37879</c:v>
                </c:pt>
                <c:pt idx="2741">
                  <c:v>37876</c:v>
                </c:pt>
                <c:pt idx="2742">
                  <c:v>37875</c:v>
                </c:pt>
                <c:pt idx="2743">
                  <c:v>37874</c:v>
                </c:pt>
                <c:pt idx="2744">
                  <c:v>37873</c:v>
                </c:pt>
                <c:pt idx="2745">
                  <c:v>37872</c:v>
                </c:pt>
                <c:pt idx="2746">
                  <c:v>37869</c:v>
                </c:pt>
                <c:pt idx="2747">
                  <c:v>37868</c:v>
                </c:pt>
                <c:pt idx="2748">
                  <c:v>37867</c:v>
                </c:pt>
                <c:pt idx="2749">
                  <c:v>37866</c:v>
                </c:pt>
                <c:pt idx="2750">
                  <c:v>37865</c:v>
                </c:pt>
                <c:pt idx="2751">
                  <c:v>37862</c:v>
                </c:pt>
                <c:pt idx="2752">
                  <c:v>37861</c:v>
                </c:pt>
                <c:pt idx="2753">
                  <c:v>37860</c:v>
                </c:pt>
                <c:pt idx="2754">
                  <c:v>37859</c:v>
                </c:pt>
                <c:pt idx="2755">
                  <c:v>37858</c:v>
                </c:pt>
                <c:pt idx="2756">
                  <c:v>37855</c:v>
                </c:pt>
                <c:pt idx="2757">
                  <c:v>37854</c:v>
                </c:pt>
                <c:pt idx="2758">
                  <c:v>37853</c:v>
                </c:pt>
                <c:pt idx="2759">
                  <c:v>37852</c:v>
                </c:pt>
                <c:pt idx="2760">
                  <c:v>37851</c:v>
                </c:pt>
                <c:pt idx="2761">
                  <c:v>37848</c:v>
                </c:pt>
                <c:pt idx="2762">
                  <c:v>37847</c:v>
                </c:pt>
                <c:pt idx="2763">
                  <c:v>37846</c:v>
                </c:pt>
                <c:pt idx="2764">
                  <c:v>37845</c:v>
                </c:pt>
                <c:pt idx="2765">
                  <c:v>37844</c:v>
                </c:pt>
                <c:pt idx="2766">
                  <c:v>37841</c:v>
                </c:pt>
                <c:pt idx="2767">
                  <c:v>37840</c:v>
                </c:pt>
                <c:pt idx="2768">
                  <c:v>37839</c:v>
                </c:pt>
                <c:pt idx="2769">
                  <c:v>37838</c:v>
                </c:pt>
                <c:pt idx="2770">
                  <c:v>37837</c:v>
                </c:pt>
                <c:pt idx="2771">
                  <c:v>37834</c:v>
                </c:pt>
                <c:pt idx="2772">
                  <c:v>37833</c:v>
                </c:pt>
                <c:pt idx="2773">
                  <c:v>37832</c:v>
                </c:pt>
                <c:pt idx="2774">
                  <c:v>37831</c:v>
                </c:pt>
                <c:pt idx="2775">
                  <c:v>37830</c:v>
                </c:pt>
                <c:pt idx="2776">
                  <c:v>37827</c:v>
                </c:pt>
                <c:pt idx="2777">
                  <c:v>37826</c:v>
                </c:pt>
                <c:pt idx="2778">
                  <c:v>37825</c:v>
                </c:pt>
                <c:pt idx="2779">
                  <c:v>37824</c:v>
                </c:pt>
                <c:pt idx="2780">
                  <c:v>37823</c:v>
                </c:pt>
                <c:pt idx="2781">
                  <c:v>37820</c:v>
                </c:pt>
                <c:pt idx="2782">
                  <c:v>37819</c:v>
                </c:pt>
                <c:pt idx="2783">
                  <c:v>37818</c:v>
                </c:pt>
                <c:pt idx="2784">
                  <c:v>37817</c:v>
                </c:pt>
                <c:pt idx="2785">
                  <c:v>37816</c:v>
                </c:pt>
                <c:pt idx="2786">
                  <c:v>37813</c:v>
                </c:pt>
                <c:pt idx="2787">
                  <c:v>37812</c:v>
                </c:pt>
                <c:pt idx="2788">
                  <c:v>37811</c:v>
                </c:pt>
                <c:pt idx="2789">
                  <c:v>37810</c:v>
                </c:pt>
                <c:pt idx="2790">
                  <c:v>37809</c:v>
                </c:pt>
                <c:pt idx="2791">
                  <c:v>37806</c:v>
                </c:pt>
                <c:pt idx="2792">
                  <c:v>37805</c:v>
                </c:pt>
                <c:pt idx="2793">
                  <c:v>37804</c:v>
                </c:pt>
                <c:pt idx="2794">
                  <c:v>37803</c:v>
                </c:pt>
                <c:pt idx="2795">
                  <c:v>37802</c:v>
                </c:pt>
                <c:pt idx="2796">
                  <c:v>37799</c:v>
                </c:pt>
                <c:pt idx="2797">
                  <c:v>37798</c:v>
                </c:pt>
                <c:pt idx="2798">
                  <c:v>37797</c:v>
                </c:pt>
                <c:pt idx="2799">
                  <c:v>37796</c:v>
                </c:pt>
                <c:pt idx="2800">
                  <c:v>37795</c:v>
                </c:pt>
                <c:pt idx="2801">
                  <c:v>37792</c:v>
                </c:pt>
                <c:pt idx="2802">
                  <c:v>37791</c:v>
                </c:pt>
                <c:pt idx="2803">
                  <c:v>37790</c:v>
                </c:pt>
                <c:pt idx="2804">
                  <c:v>37789</c:v>
                </c:pt>
                <c:pt idx="2805">
                  <c:v>37785</c:v>
                </c:pt>
                <c:pt idx="2806">
                  <c:v>37784</c:v>
                </c:pt>
                <c:pt idx="2807">
                  <c:v>37783</c:v>
                </c:pt>
                <c:pt idx="2808">
                  <c:v>37782</c:v>
                </c:pt>
                <c:pt idx="2809">
                  <c:v>37781</c:v>
                </c:pt>
                <c:pt idx="2810">
                  <c:v>37778</c:v>
                </c:pt>
                <c:pt idx="2811">
                  <c:v>37777</c:v>
                </c:pt>
                <c:pt idx="2812">
                  <c:v>37776</c:v>
                </c:pt>
                <c:pt idx="2813">
                  <c:v>37775</c:v>
                </c:pt>
                <c:pt idx="2814">
                  <c:v>37774</c:v>
                </c:pt>
                <c:pt idx="2815">
                  <c:v>37771</c:v>
                </c:pt>
                <c:pt idx="2816">
                  <c:v>37770</c:v>
                </c:pt>
                <c:pt idx="2817">
                  <c:v>37769</c:v>
                </c:pt>
                <c:pt idx="2818">
                  <c:v>37768</c:v>
                </c:pt>
                <c:pt idx="2819">
                  <c:v>37767</c:v>
                </c:pt>
                <c:pt idx="2820">
                  <c:v>37764</c:v>
                </c:pt>
                <c:pt idx="2821">
                  <c:v>37763</c:v>
                </c:pt>
                <c:pt idx="2822">
                  <c:v>37762</c:v>
                </c:pt>
                <c:pt idx="2823">
                  <c:v>37761</c:v>
                </c:pt>
                <c:pt idx="2824">
                  <c:v>37760</c:v>
                </c:pt>
                <c:pt idx="2825">
                  <c:v>37757</c:v>
                </c:pt>
                <c:pt idx="2826">
                  <c:v>37756</c:v>
                </c:pt>
                <c:pt idx="2827">
                  <c:v>37755</c:v>
                </c:pt>
                <c:pt idx="2828">
                  <c:v>37754</c:v>
                </c:pt>
                <c:pt idx="2829">
                  <c:v>37753</c:v>
                </c:pt>
                <c:pt idx="2830">
                  <c:v>37750</c:v>
                </c:pt>
                <c:pt idx="2831">
                  <c:v>37749</c:v>
                </c:pt>
                <c:pt idx="2832">
                  <c:v>37748</c:v>
                </c:pt>
                <c:pt idx="2833">
                  <c:v>37747</c:v>
                </c:pt>
                <c:pt idx="2834">
                  <c:v>37746</c:v>
                </c:pt>
                <c:pt idx="2835">
                  <c:v>37743</c:v>
                </c:pt>
                <c:pt idx="2836">
                  <c:v>37741</c:v>
                </c:pt>
                <c:pt idx="2837">
                  <c:v>37740</c:v>
                </c:pt>
                <c:pt idx="2838">
                  <c:v>37736</c:v>
                </c:pt>
                <c:pt idx="2839">
                  <c:v>37735</c:v>
                </c:pt>
                <c:pt idx="2840">
                  <c:v>37734</c:v>
                </c:pt>
                <c:pt idx="2841">
                  <c:v>37733</c:v>
                </c:pt>
                <c:pt idx="2842">
                  <c:v>37728</c:v>
                </c:pt>
                <c:pt idx="2843">
                  <c:v>37727</c:v>
                </c:pt>
                <c:pt idx="2844">
                  <c:v>37726</c:v>
                </c:pt>
                <c:pt idx="2845">
                  <c:v>37725</c:v>
                </c:pt>
                <c:pt idx="2846">
                  <c:v>37722</c:v>
                </c:pt>
                <c:pt idx="2847">
                  <c:v>37721</c:v>
                </c:pt>
                <c:pt idx="2848">
                  <c:v>37720</c:v>
                </c:pt>
                <c:pt idx="2849">
                  <c:v>37719</c:v>
                </c:pt>
                <c:pt idx="2850">
                  <c:v>37718</c:v>
                </c:pt>
                <c:pt idx="2851">
                  <c:v>37715</c:v>
                </c:pt>
                <c:pt idx="2852">
                  <c:v>37714</c:v>
                </c:pt>
                <c:pt idx="2853">
                  <c:v>37713</c:v>
                </c:pt>
                <c:pt idx="2854">
                  <c:v>37712</c:v>
                </c:pt>
                <c:pt idx="2855">
                  <c:v>37711</c:v>
                </c:pt>
                <c:pt idx="2856">
                  <c:v>37708</c:v>
                </c:pt>
                <c:pt idx="2857">
                  <c:v>37707</c:v>
                </c:pt>
                <c:pt idx="2858">
                  <c:v>37706</c:v>
                </c:pt>
                <c:pt idx="2859">
                  <c:v>37705</c:v>
                </c:pt>
                <c:pt idx="2860">
                  <c:v>37704</c:v>
                </c:pt>
                <c:pt idx="2861">
                  <c:v>37700</c:v>
                </c:pt>
                <c:pt idx="2862">
                  <c:v>37699</c:v>
                </c:pt>
                <c:pt idx="2863">
                  <c:v>37698</c:v>
                </c:pt>
                <c:pt idx="2864">
                  <c:v>37697</c:v>
                </c:pt>
                <c:pt idx="2865">
                  <c:v>37694</c:v>
                </c:pt>
                <c:pt idx="2866">
                  <c:v>37693</c:v>
                </c:pt>
                <c:pt idx="2867">
                  <c:v>37692</c:v>
                </c:pt>
                <c:pt idx="2868">
                  <c:v>37691</c:v>
                </c:pt>
                <c:pt idx="2869">
                  <c:v>37690</c:v>
                </c:pt>
                <c:pt idx="2870">
                  <c:v>37687</c:v>
                </c:pt>
                <c:pt idx="2871">
                  <c:v>37686</c:v>
                </c:pt>
                <c:pt idx="2872">
                  <c:v>37685</c:v>
                </c:pt>
                <c:pt idx="2873">
                  <c:v>37684</c:v>
                </c:pt>
                <c:pt idx="2874">
                  <c:v>37683</c:v>
                </c:pt>
                <c:pt idx="2875">
                  <c:v>37680</c:v>
                </c:pt>
                <c:pt idx="2876">
                  <c:v>37679</c:v>
                </c:pt>
                <c:pt idx="2877">
                  <c:v>37678</c:v>
                </c:pt>
                <c:pt idx="2878">
                  <c:v>37677</c:v>
                </c:pt>
                <c:pt idx="2879">
                  <c:v>37676</c:v>
                </c:pt>
                <c:pt idx="2880">
                  <c:v>37673</c:v>
                </c:pt>
                <c:pt idx="2881">
                  <c:v>37672</c:v>
                </c:pt>
                <c:pt idx="2882">
                  <c:v>37671</c:v>
                </c:pt>
                <c:pt idx="2883">
                  <c:v>37670</c:v>
                </c:pt>
                <c:pt idx="2884">
                  <c:v>37669</c:v>
                </c:pt>
                <c:pt idx="2885">
                  <c:v>37666</c:v>
                </c:pt>
                <c:pt idx="2886">
                  <c:v>37665</c:v>
                </c:pt>
                <c:pt idx="2887">
                  <c:v>37664</c:v>
                </c:pt>
                <c:pt idx="2888">
                  <c:v>37663</c:v>
                </c:pt>
                <c:pt idx="2889">
                  <c:v>37662</c:v>
                </c:pt>
                <c:pt idx="2890">
                  <c:v>37659</c:v>
                </c:pt>
                <c:pt idx="2891">
                  <c:v>37658</c:v>
                </c:pt>
                <c:pt idx="2892">
                  <c:v>37657</c:v>
                </c:pt>
                <c:pt idx="2893">
                  <c:v>37656</c:v>
                </c:pt>
                <c:pt idx="2894">
                  <c:v>37655</c:v>
                </c:pt>
                <c:pt idx="2895">
                  <c:v>37652</c:v>
                </c:pt>
                <c:pt idx="2896">
                  <c:v>37651</c:v>
                </c:pt>
                <c:pt idx="2897">
                  <c:v>37650</c:v>
                </c:pt>
                <c:pt idx="2898">
                  <c:v>37649</c:v>
                </c:pt>
                <c:pt idx="2899">
                  <c:v>37648</c:v>
                </c:pt>
                <c:pt idx="2900">
                  <c:v>37645</c:v>
                </c:pt>
                <c:pt idx="2901">
                  <c:v>37644</c:v>
                </c:pt>
                <c:pt idx="2902">
                  <c:v>37643</c:v>
                </c:pt>
                <c:pt idx="2903">
                  <c:v>37642</c:v>
                </c:pt>
                <c:pt idx="2904">
                  <c:v>37641</c:v>
                </c:pt>
                <c:pt idx="2905">
                  <c:v>37638</c:v>
                </c:pt>
                <c:pt idx="2906">
                  <c:v>37637</c:v>
                </c:pt>
                <c:pt idx="2907">
                  <c:v>37636</c:v>
                </c:pt>
                <c:pt idx="2908">
                  <c:v>37635</c:v>
                </c:pt>
                <c:pt idx="2909">
                  <c:v>37634</c:v>
                </c:pt>
                <c:pt idx="2910">
                  <c:v>37631</c:v>
                </c:pt>
                <c:pt idx="2911">
                  <c:v>37630</c:v>
                </c:pt>
                <c:pt idx="2912">
                  <c:v>37629</c:v>
                </c:pt>
                <c:pt idx="2913">
                  <c:v>37628</c:v>
                </c:pt>
                <c:pt idx="2914">
                  <c:v>37627</c:v>
                </c:pt>
                <c:pt idx="2915">
                  <c:v>37624</c:v>
                </c:pt>
                <c:pt idx="2916">
                  <c:v>37623</c:v>
                </c:pt>
                <c:pt idx="2917">
                  <c:v>37621</c:v>
                </c:pt>
                <c:pt idx="2918">
                  <c:v>37620</c:v>
                </c:pt>
                <c:pt idx="2919">
                  <c:v>37617</c:v>
                </c:pt>
                <c:pt idx="2920">
                  <c:v>37614</c:v>
                </c:pt>
                <c:pt idx="2921">
                  <c:v>37613</c:v>
                </c:pt>
                <c:pt idx="2922">
                  <c:v>37610</c:v>
                </c:pt>
                <c:pt idx="2923">
                  <c:v>37609</c:v>
                </c:pt>
                <c:pt idx="2924">
                  <c:v>37608</c:v>
                </c:pt>
                <c:pt idx="2925">
                  <c:v>37607</c:v>
                </c:pt>
                <c:pt idx="2926">
                  <c:v>37603</c:v>
                </c:pt>
                <c:pt idx="2927">
                  <c:v>37602</c:v>
                </c:pt>
                <c:pt idx="2928">
                  <c:v>37601</c:v>
                </c:pt>
                <c:pt idx="2929">
                  <c:v>37600</c:v>
                </c:pt>
                <c:pt idx="2930">
                  <c:v>37599</c:v>
                </c:pt>
                <c:pt idx="2931">
                  <c:v>37596</c:v>
                </c:pt>
                <c:pt idx="2932">
                  <c:v>37595</c:v>
                </c:pt>
                <c:pt idx="2933">
                  <c:v>37594</c:v>
                </c:pt>
                <c:pt idx="2934">
                  <c:v>37593</c:v>
                </c:pt>
                <c:pt idx="2935">
                  <c:v>37592</c:v>
                </c:pt>
                <c:pt idx="2936">
                  <c:v>37589</c:v>
                </c:pt>
                <c:pt idx="2937">
                  <c:v>37588</c:v>
                </c:pt>
                <c:pt idx="2938">
                  <c:v>37587</c:v>
                </c:pt>
                <c:pt idx="2939">
                  <c:v>37586</c:v>
                </c:pt>
                <c:pt idx="2940">
                  <c:v>37585</c:v>
                </c:pt>
                <c:pt idx="2941">
                  <c:v>37582</c:v>
                </c:pt>
                <c:pt idx="2942">
                  <c:v>37581</c:v>
                </c:pt>
                <c:pt idx="2943">
                  <c:v>37580</c:v>
                </c:pt>
                <c:pt idx="2944">
                  <c:v>37579</c:v>
                </c:pt>
                <c:pt idx="2945">
                  <c:v>37578</c:v>
                </c:pt>
                <c:pt idx="2946">
                  <c:v>37575</c:v>
                </c:pt>
                <c:pt idx="2947">
                  <c:v>37574</c:v>
                </c:pt>
                <c:pt idx="2948">
                  <c:v>37573</c:v>
                </c:pt>
                <c:pt idx="2949">
                  <c:v>37572</c:v>
                </c:pt>
                <c:pt idx="2950">
                  <c:v>37571</c:v>
                </c:pt>
                <c:pt idx="2951">
                  <c:v>37568</c:v>
                </c:pt>
                <c:pt idx="2952">
                  <c:v>37567</c:v>
                </c:pt>
                <c:pt idx="2953">
                  <c:v>37566</c:v>
                </c:pt>
                <c:pt idx="2954">
                  <c:v>37565</c:v>
                </c:pt>
                <c:pt idx="2955">
                  <c:v>37564</c:v>
                </c:pt>
                <c:pt idx="2956">
                  <c:v>37561</c:v>
                </c:pt>
                <c:pt idx="2957">
                  <c:v>37560</c:v>
                </c:pt>
                <c:pt idx="2958">
                  <c:v>37559</c:v>
                </c:pt>
                <c:pt idx="2959">
                  <c:v>37558</c:v>
                </c:pt>
                <c:pt idx="2960">
                  <c:v>37557</c:v>
                </c:pt>
                <c:pt idx="2961">
                  <c:v>37554</c:v>
                </c:pt>
                <c:pt idx="2962">
                  <c:v>37553</c:v>
                </c:pt>
                <c:pt idx="2963">
                  <c:v>37552</c:v>
                </c:pt>
                <c:pt idx="2964">
                  <c:v>37551</c:v>
                </c:pt>
                <c:pt idx="2965">
                  <c:v>37550</c:v>
                </c:pt>
                <c:pt idx="2966">
                  <c:v>37547</c:v>
                </c:pt>
                <c:pt idx="2967">
                  <c:v>37546</c:v>
                </c:pt>
                <c:pt idx="2968">
                  <c:v>37545</c:v>
                </c:pt>
                <c:pt idx="2969">
                  <c:v>37544</c:v>
                </c:pt>
                <c:pt idx="2970">
                  <c:v>37543</c:v>
                </c:pt>
                <c:pt idx="2971">
                  <c:v>37540</c:v>
                </c:pt>
                <c:pt idx="2972">
                  <c:v>37539</c:v>
                </c:pt>
                <c:pt idx="2973">
                  <c:v>37538</c:v>
                </c:pt>
                <c:pt idx="2974">
                  <c:v>37537</c:v>
                </c:pt>
                <c:pt idx="2975">
                  <c:v>37536</c:v>
                </c:pt>
                <c:pt idx="2976">
                  <c:v>37533</c:v>
                </c:pt>
                <c:pt idx="2977">
                  <c:v>37532</c:v>
                </c:pt>
                <c:pt idx="2978">
                  <c:v>37531</c:v>
                </c:pt>
                <c:pt idx="2979">
                  <c:v>37530</c:v>
                </c:pt>
                <c:pt idx="2980">
                  <c:v>37529</c:v>
                </c:pt>
                <c:pt idx="2981">
                  <c:v>37526</c:v>
                </c:pt>
                <c:pt idx="2982">
                  <c:v>37525</c:v>
                </c:pt>
                <c:pt idx="2983">
                  <c:v>37524</c:v>
                </c:pt>
                <c:pt idx="2984">
                  <c:v>37522</c:v>
                </c:pt>
                <c:pt idx="2985">
                  <c:v>37519</c:v>
                </c:pt>
                <c:pt idx="2986">
                  <c:v>37518</c:v>
                </c:pt>
                <c:pt idx="2987">
                  <c:v>37517</c:v>
                </c:pt>
                <c:pt idx="2988">
                  <c:v>37516</c:v>
                </c:pt>
                <c:pt idx="2989">
                  <c:v>37515</c:v>
                </c:pt>
                <c:pt idx="2990">
                  <c:v>37512</c:v>
                </c:pt>
                <c:pt idx="2991">
                  <c:v>37511</c:v>
                </c:pt>
                <c:pt idx="2992">
                  <c:v>37510</c:v>
                </c:pt>
                <c:pt idx="2993">
                  <c:v>37509</c:v>
                </c:pt>
                <c:pt idx="2994">
                  <c:v>37508</c:v>
                </c:pt>
                <c:pt idx="2995">
                  <c:v>37505</c:v>
                </c:pt>
                <c:pt idx="2996">
                  <c:v>37504</c:v>
                </c:pt>
                <c:pt idx="2997">
                  <c:v>37503</c:v>
                </c:pt>
                <c:pt idx="2998">
                  <c:v>37502</c:v>
                </c:pt>
                <c:pt idx="2999">
                  <c:v>37501</c:v>
                </c:pt>
                <c:pt idx="3000">
                  <c:v>37498</c:v>
                </c:pt>
                <c:pt idx="3001">
                  <c:v>37497</c:v>
                </c:pt>
                <c:pt idx="3002">
                  <c:v>37496</c:v>
                </c:pt>
                <c:pt idx="3003">
                  <c:v>37495</c:v>
                </c:pt>
                <c:pt idx="3004">
                  <c:v>37494</c:v>
                </c:pt>
                <c:pt idx="3005">
                  <c:v>37491</c:v>
                </c:pt>
                <c:pt idx="3006">
                  <c:v>37490</c:v>
                </c:pt>
                <c:pt idx="3007">
                  <c:v>37489</c:v>
                </c:pt>
                <c:pt idx="3008">
                  <c:v>37488</c:v>
                </c:pt>
                <c:pt idx="3009">
                  <c:v>37487</c:v>
                </c:pt>
                <c:pt idx="3010">
                  <c:v>37484</c:v>
                </c:pt>
                <c:pt idx="3011">
                  <c:v>37483</c:v>
                </c:pt>
                <c:pt idx="3012">
                  <c:v>37482</c:v>
                </c:pt>
                <c:pt idx="3013">
                  <c:v>37481</c:v>
                </c:pt>
                <c:pt idx="3014">
                  <c:v>37480</c:v>
                </c:pt>
                <c:pt idx="3015">
                  <c:v>37476</c:v>
                </c:pt>
                <c:pt idx="3016">
                  <c:v>37475</c:v>
                </c:pt>
                <c:pt idx="3017">
                  <c:v>37474</c:v>
                </c:pt>
                <c:pt idx="3018">
                  <c:v>37473</c:v>
                </c:pt>
                <c:pt idx="3019">
                  <c:v>37470</c:v>
                </c:pt>
                <c:pt idx="3020">
                  <c:v>37469</c:v>
                </c:pt>
                <c:pt idx="3021">
                  <c:v>37468</c:v>
                </c:pt>
                <c:pt idx="3022">
                  <c:v>37467</c:v>
                </c:pt>
                <c:pt idx="3023">
                  <c:v>37466</c:v>
                </c:pt>
                <c:pt idx="3024">
                  <c:v>37463</c:v>
                </c:pt>
                <c:pt idx="3025">
                  <c:v>37462</c:v>
                </c:pt>
                <c:pt idx="3026">
                  <c:v>37461</c:v>
                </c:pt>
                <c:pt idx="3027">
                  <c:v>37460</c:v>
                </c:pt>
                <c:pt idx="3028">
                  <c:v>37459</c:v>
                </c:pt>
                <c:pt idx="3029">
                  <c:v>37456</c:v>
                </c:pt>
                <c:pt idx="3030">
                  <c:v>37455</c:v>
                </c:pt>
                <c:pt idx="3031">
                  <c:v>37454</c:v>
                </c:pt>
                <c:pt idx="3032">
                  <c:v>37453</c:v>
                </c:pt>
                <c:pt idx="3033">
                  <c:v>37452</c:v>
                </c:pt>
                <c:pt idx="3034">
                  <c:v>37449</c:v>
                </c:pt>
                <c:pt idx="3035">
                  <c:v>37448</c:v>
                </c:pt>
                <c:pt idx="3036">
                  <c:v>37447</c:v>
                </c:pt>
                <c:pt idx="3037">
                  <c:v>37446</c:v>
                </c:pt>
                <c:pt idx="3038">
                  <c:v>37445</c:v>
                </c:pt>
                <c:pt idx="3039">
                  <c:v>37442</c:v>
                </c:pt>
                <c:pt idx="3040">
                  <c:v>37441</c:v>
                </c:pt>
                <c:pt idx="3041">
                  <c:v>37440</c:v>
                </c:pt>
                <c:pt idx="3042">
                  <c:v>37439</c:v>
                </c:pt>
                <c:pt idx="3043">
                  <c:v>37438</c:v>
                </c:pt>
                <c:pt idx="3044">
                  <c:v>37435</c:v>
                </c:pt>
                <c:pt idx="3045">
                  <c:v>37434</c:v>
                </c:pt>
                <c:pt idx="3046">
                  <c:v>37433</c:v>
                </c:pt>
                <c:pt idx="3047">
                  <c:v>37432</c:v>
                </c:pt>
                <c:pt idx="3048">
                  <c:v>37431</c:v>
                </c:pt>
                <c:pt idx="3049">
                  <c:v>37428</c:v>
                </c:pt>
                <c:pt idx="3050">
                  <c:v>37427</c:v>
                </c:pt>
                <c:pt idx="3051">
                  <c:v>37426</c:v>
                </c:pt>
                <c:pt idx="3052">
                  <c:v>37425</c:v>
                </c:pt>
                <c:pt idx="3053">
                  <c:v>37421</c:v>
                </c:pt>
                <c:pt idx="3054">
                  <c:v>37420</c:v>
                </c:pt>
                <c:pt idx="3055">
                  <c:v>37419</c:v>
                </c:pt>
                <c:pt idx="3056">
                  <c:v>37418</c:v>
                </c:pt>
                <c:pt idx="3057">
                  <c:v>37417</c:v>
                </c:pt>
                <c:pt idx="3058">
                  <c:v>37414</c:v>
                </c:pt>
                <c:pt idx="3059">
                  <c:v>37413</c:v>
                </c:pt>
                <c:pt idx="3060">
                  <c:v>37412</c:v>
                </c:pt>
                <c:pt idx="3061">
                  <c:v>37411</c:v>
                </c:pt>
                <c:pt idx="3062">
                  <c:v>37410</c:v>
                </c:pt>
                <c:pt idx="3063">
                  <c:v>37407</c:v>
                </c:pt>
                <c:pt idx="3064">
                  <c:v>37406</c:v>
                </c:pt>
                <c:pt idx="3065">
                  <c:v>37405</c:v>
                </c:pt>
                <c:pt idx="3066">
                  <c:v>37404</c:v>
                </c:pt>
                <c:pt idx="3067">
                  <c:v>37403</c:v>
                </c:pt>
                <c:pt idx="3068">
                  <c:v>37400</c:v>
                </c:pt>
                <c:pt idx="3069">
                  <c:v>37399</c:v>
                </c:pt>
                <c:pt idx="3070">
                  <c:v>37398</c:v>
                </c:pt>
                <c:pt idx="3071">
                  <c:v>37397</c:v>
                </c:pt>
                <c:pt idx="3072">
                  <c:v>37396</c:v>
                </c:pt>
                <c:pt idx="3073">
                  <c:v>37393</c:v>
                </c:pt>
                <c:pt idx="3074">
                  <c:v>37392</c:v>
                </c:pt>
                <c:pt idx="3075">
                  <c:v>37391</c:v>
                </c:pt>
                <c:pt idx="3076">
                  <c:v>37390</c:v>
                </c:pt>
                <c:pt idx="3077">
                  <c:v>37389</c:v>
                </c:pt>
                <c:pt idx="3078">
                  <c:v>37386</c:v>
                </c:pt>
                <c:pt idx="3079">
                  <c:v>37385</c:v>
                </c:pt>
                <c:pt idx="3080">
                  <c:v>37384</c:v>
                </c:pt>
                <c:pt idx="3081">
                  <c:v>37383</c:v>
                </c:pt>
                <c:pt idx="3082">
                  <c:v>37382</c:v>
                </c:pt>
                <c:pt idx="3083">
                  <c:v>37379</c:v>
                </c:pt>
                <c:pt idx="3084">
                  <c:v>37378</c:v>
                </c:pt>
                <c:pt idx="3085">
                  <c:v>37376</c:v>
                </c:pt>
                <c:pt idx="3086">
                  <c:v>37375</c:v>
                </c:pt>
                <c:pt idx="3087">
                  <c:v>37372</c:v>
                </c:pt>
                <c:pt idx="3088">
                  <c:v>37371</c:v>
                </c:pt>
                <c:pt idx="3089">
                  <c:v>37370</c:v>
                </c:pt>
                <c:pt idx="3090">
                  <c:v>37369</c:v>
                </c:pt>
                <c:pt idx="3091">
                  <c:v>37368</c:v>
                </c:pt>
                <c:pt idx="3092">
                  <c:v>37365</c:v>
                </c:pt>
                <c:pt idx="3093">
                  <c:v>37364</c:v>
                </c:pt>
                <c:pt idx="3094">
                  <c:v>37363</c:v>
                </c:pt>
                <c:pt idx="3095">
                  <c:v>37362</c:v>
                </c:pt>
                <c:pt idx="3096">
                  <c:v>37361</c:v>
                </c:pt>
                <c:pt idx="3097">
                  <c:v>37358</c:v>
                </c:pt>
                <c:pt idx="3098">
                  <c:v>37357</c:v>
                </c:pt>
                <c:pt idx="3099">
                  <c:v>37356</c:v>
                </c:pt>
                <c:pt idx="3100">
                  <c:v>37355</c:v>
                </c:pt>
                <c:pt idx="3101">
                  <c:v>37354</c:v>
                </c:pt>
                <c:pt idx="3102">
                  <c:v>37351</c:v>
                </c:pt>
                <c:pt idx="3103">
                  <c:v>37350</c:v>
                </c:pt>
                <c:pt idx="3104">
                  <c:v>37349</c:v>
                </c:pt>
                <c:pt idx="3105">
                  <c:v>37348</c:v>
                </c:pt>
                <c:pt idx="3106">
                  <c:v>37343</c:v>
                </c:pt>
                <c:pt idx="3107">
                  <c:v>37342</c:v>
                </c:pt>
                <c:pt idx="3108">
                  <c:v>37341</c:v>
                </c:pt>
                <c:pt idx="3109">
                  <c:v>37340</c:v>
                </c:pt>
                <c:pt idx="3110">
                  <c:v>37337</c:v>
                </c:pt>
                <c:pt idx="3111">
                  <c:v>37335</c:v>
                </c:pt>
                <c:pt idx="3112">
                  <c:v>37334</c:v>
                </c:pt>
                <c:pt idx="3113">
                  <c:v>37333</c:v>
                </c:pt>
                <c:pt idx="3114">
                  <c:v>37330</c:v>
                </c:pt>
                <c:pt idx="3115">
                  <c:v>37329</c:v>
                </c:pt>
                <c:pt idx="3116">
                  <c:v>37328</c:v>
                </c:pt>
                <c:pt idx="3117">
                  <c:v>37327</c:v>
                </c:pt>
                <c:pt idx="3118">
                  <c:v>37326</c:v>
                </c:pt>
                <c:pt idx="3119">
                  <c:v>37323</c:v>
                </c:pt>
                <c:pt idx="3120">
                  <c:v>37322</c:v>
                </c:pt>
                <c:pt idx="3121">
                  <c:v>37321</c:v>
                </c:pt>
                <c:pt idx="3122">
                  <c:v>37320</c:v>
                </c:pt>
                <c:pt idx="3123">
                  <c:v>37319</c:v>
                </c:pt>
                <c:pt idx="3124">
                  <c:v>37316</c:v>
                </c:pt>
                <c:pt idx="3125">
                  <c:v>37315</c:v>
                </c:pt>
                <c:pt idx="3126">
                  <c:v>37314</c:v>
                </c:pt>
                <c:pt idx="3127">
                  <c:v>37313</c:v>
                </c:pt>
                <c:pt idx="3128">
                  <c:v>37312</c:v>
                </c:pt>
                <c:pt idx="3129">
                  <c:v>37309</c:v>
                </c:pt>
                <c:pt idx="3130">
                  <c:v>37308</c:v>
                </c:pt>
                <c:pt idx="3131">
                  <c:v>37307</c:v>
                </c:pt>
                <c:pt idx="3132">
                  <c:v>37306</c:v>
                </c:pt>
                <c:pt idx="3133">
                  <c:v>37305</c:v>
                </c:pt>
                <c:pt idx="3134">
                  <c:v>37302</c:v>
                </c:pt>
                <c:pt idx="3135">
                  <c:v>37301</c:v>
                </c:pt>
                <c:pt idx="3136">
                  <c:v>37300</c:v>
                </c:pt>
                <c:pt idx="3137">
                  <c:v>37299</c:v>
                </c:pt>
                <c:pt idx="3138">
                  <c:v>37298</c:v>
                </c:pt>
                <c:pt idx="3139">
                  <c:v>37295</c:v>
                </c:pt>
                <c:pt idx="3140">
                  <c:v>37294</c:v>
                </c:pt>
                <c:pt idx="3141">
                  <c:v>37293</c:v>
                </c:pt>
                <c:pt idx="3142">
                  <c:v>37292</c:v>
                </c:pt>
                <c:pt idx="3143">
                  <c:v>37291</c:v>
                </c:pt>
                <c:pt idx="3144">
                  <c:v>37288</c:v>
                </c:pt>
                <c:pt idx="3145">
                  <c:v>37287</c:v>
                </c:pt>
                <c:pt idx="3146">
                  <c:v>37286</c:v>
                </c:pt>
                <c:pt idx="3147">
                  <c:v>37285</c:v>
                </c:pt>
                <c:pt idx="3148">
                  <c:v>37284</c:v>
                </c:pt>
                <c:pt idx="3149">
                  <c:v>37281</c:v>
                </c:pt>
                <c:pt idx="3150">
                  <c:v>37280</c:v>
                </c:pt>
                <c:pt idx="3151">
                  <c:v>37279</c:v>
                </c:pt>
                <c:pt idx="3152">
                  <c:v>37278</c:v>
                </c:pt>
                <c:pt idx="3153">
                  <c:v>37277</c:v>
                </c:pt>
                <c:pt idx="3154">
                  <c:v>37274</c:v>
                </c:pt>
                <c:pt idx="3155">
                  <c:v>37273</c:v>
                </c:pt>
                <c:pt idx="3156">
                  <c:v>37272</c:v>
                </c:pt>
                <c:pt idx="3157">
                  <c:v>37271</c:v>
                </c:pt>
                <c:pt idx="3158">
                  <c:v>37270</c:v>
                </c:pt>
                <c:pt idx="3159">
                  <c:v>37267</c:v>
                </c:pt>
                <c:pt idx="3160">
                  <c:v>37266</c:v>
                </c:pt>
                <c:pt idx="3161">
                  <c:v>37265</c:v>
                </c:pt>
                <c:pt idx="3162">
                  <c:v>37264</c:v>
                </c:pt>
                <c:pt idx="3163">
                  <c:v>37263</c:v>
                </c:pt>
                <c:pt idx="3164">
                  <c:v>37260</c:v>
                </c:pt>
                <c:pt idx="3165">
                  <c:v>37259</c:v>
                </c:pt>
                <c:pt idx="3166">
                  <c:v>37258</c:v>
                </c:pt>
                <c:pt idx="3167">
                  <c:v>37256</c:v>
                </c:pt>
                <c:pt idx="3168">
                  <c:v>37253</c:v>
                </c:pt>
                <c:pt idx="3169">
                  <c:v>37252</c:v>
                </c:pt>
                <c:pt idx="3170">
                  <c:v>37249</c:v>
                </c:pt>
                <c:pt idx="3171">
                  <c:v>37246</c:v>
                </c:pt>
                <c:pt idx="3172">
                  <c:v>37245</c:v>
                </c:pt>
                <c:pt idx="3173">
                  <c:v>37244</c:v>
                </c:pt>
                <c:pt idx="3174">
                  <c:v>37243</c:v>
                </c:pt>
                <c:pt idx="3175">
                  <c:v>37239</c:v>
                </c:pt>
                <c:pt idx="3176">
                  <c:v>37238</c:v>
                </c:pt>
                <c:pt idx="3177">
                  <c:v>37237</c:v>
                </c:pt>
                <c:pt idx="3178">
                  <c:v>37236</c:v>
                </c:pt>
                <c:pt idx="3179">
                  <c:v>37235</c:v>
                </c:pt>
                <c:pt idx="3180">
                  <c:v>37232</c:v>
                </c:pt>
                <c:pt idx="3181">
                  <c:v>37231</c:v>
                </c:pt>
                <c:pt idx="3182">
                  <c:v>37230</c:v>
                </c:pt>
                <c:pt idx="3183">
                  <c:v>37229</c:v>
                </c:pt>
                <c:pt idx="3184">
                  <c:v>37228</c:v>
                </c:pt>
                <c:pt idx="3185">
                  <c:v>37225</c:v>
                </c:pt>
                <c:pt idx="3186">
                  <c:v>37224</c:v>
                </c:pt>
                <c:pt idx="3187">
                  <c:v>37223</c:v>
                </c:pt>
                <c:pt idx="3188">
                  <c:v>37222</c:v>
                </c:pt>
                <c:pt idx="3189">
                  <c:v>37221</c:v>
                </c:pt>
                <c:pt idx="3190">
                  <c:v>37218</c:v>
                </c:pt>
                <c:pt idx="3191">
                  <c:v>37217</c:v>
                </c:pt>
                <c:pt idx="3192">
                  <c:v>37216</c:v>
                </c:pt>
                <c:pt idx="3193">
                  <c:v>37215</c:v>
                </c:pt>
                <c:pt idx="3194">
                  <c:v>37214</c:v>
                </c:pt>
                <c:pt idx="3195">
                  <c:v>37211</c:v>
                </c:pt>
                <c:pt idx="3196">
                  <c:v>37210</c:v>
                </c:pt>
                <c:pt idx="3197">
                  <c:v>37209</c:v>
                </c:pt>
                <c:pt idx="3198">
                  <c:v>37208</c:v>
                </c:pt>
                <c:pt idx="3199">
                  <c:v>37207</c:v>
                </c:pt>
                <c:pt idx="3200">
                  <c:v>37204</c:v>
                </c:pt>
                <c:pt idx="3201">
                  <c:v>37203</c:v>
                </c:pt>
                <c:pt idx="3202">
                  <c:v>37202</c:v>
                </c:pt>
                <c:pt idx="3203">
                  <c:v>37201</c:v>
                </c:pt>
                <c:pt idx="3204">
                  <c:v>37200</c:v>
                </c:pt>
                <c:pt idx="3205">
                  <c:v>37197</c:v>
                </c:pt>
                <c:pt idx="3206">
                  <c:v>37196</c:v>
                </c:pt>
                <c:pt idx="3207">
                  <c:v>37195</c:v>
                </c:pt>
                <c:pt idx="3208">
                  <c:v>37194</c:v>
                </c:pt>
                <c:pt idx="3209">
                  <c:v>37193</c:v>
                </c:pt>
                <c:pt idx="3210">
                  <c:v>37190</c:v>
                </c:pt>
                <c:pt idx="3211">
                  <c:v>37189</c:v>
                </c:pt>
                <c:pt idx="3212">
                  <c:v>37188</c:v>
                </c:pt>
                <c:pt idx="3213">
                  <c:v>37187</c:v>
                </c:pt>
                <c:pt idx="3214">
                  <c:v>37186</c:v>
                </c:pt>
                <c:pt idx="3215">
                  <c:v>37183</c:v>
                </c:pt>
                <c:pt idx="3216">
                  <c:v>37182</c:v>
                </c:pt>
                <c:pt idx="3217">
                  <c:v>37181</c:v>
                </c:pt>
                <c:pt idx="3218">
                  <c:v>37180</c:v>
                </c:pt>
                <c:pt idx="3219">
                  <c:v>37179</c:v>
                </c:pt>
                <c:pt idx="3220">
                  <c:v>37176</c:v>
                </c:pt>
                <c:pt idx="3221">
                  <c:v>37175</c:v>
                </c:pt>
                <c:pt idx="3222">
                  <c:v>37174</c:v>
                </c:pt>
                <c:pt idx="3223">
                  <c:v>37173</c:v>
                </c:pt>
                <c:pt idx="3224">
                  <c:v>37172</c:v>
                </c:pt>
                <c:pt idx="3225">
                  <c:v>37169</c:v>
                </c:pt>
                <c:pt idx="3226">
                  <c:v>37168</c:v>
                </c:pt>
                <c:pt idx="3227">
                  <c:v>37167</c:v>
                </c:pt>
                <c:pt idx="3228">
                  <c:v>37166</c:v>
                </c:pt>
                <c:pt idx="3229">
                  <c:v>37165</c:v>
                </c:pt>
                <c:pt idx="3230">
                  <c:v>37162</c:v>
                </c:pt>
                <c:pt idx="3231">
                  <c:v>37161</c:v>
                </c:pt>
                <c:pt idx="3232">
                  <c:v>37160</c:v>
                </c:pt>
                <c:pt idx="3233">
                  <c:v>37159</c:v>
                </c:pt>
                <c:pt idx="3234">
                  <c:v>37155</c:v>
                </c:pt>
                <c:pt idx="3235">
                  <c:v>37154</c:v>
                </c:pt>
                <c:pt idx="3236">
                  <c:v>37153</c:v>
                </c:pt>
                <c:pt idx="3237">
                  <c:v>37152</c:v>
                </c:pt>
                <c:pt idx="3238">
                  <c:v>37151</c:v>
                </c:pt>
                <c:pt idx="3239">
                  <c:v>37148</c:v>
                </c:pt>
                <c:pt idx="3240">
                  <c:v>37147</c:v>
                </c:pt>
                <c:pt idx="3241">
                  <c:v>37146</c:v>
                </c:pt>
                <c:pt idx="3242">
                  <c:v>37145</c:v>
                </c:pt>
                <c:pt idx="3243">
                  <c:v>37144</c:v>
                </c:pt>
                <c:pt idx="3244">
                  <c:v>37141</c:v>
                </c:pt>
                <c:pt idx="3245">
                  <c:v>37140</c:v>
                </c:pt>
                <c:pt idx="3246">
                  <c:v>37139</c:v>
                </c:pt>
                <c:pt idx="3247">
                  <c:v>37138</c:v>
                </c:pt>
                <c:pt idx="3248">
                  <c:v>37137</c:v>
                </c:pt>
                <c:pt idx="3249">
                  <c:v>37134</c:v>
                </c:pt>
                <c:pt idx="3250">
                  <c:v>37133</c:v>
                </c:pt>
                <c:pt idx="3251">
                  <c:v>37132</c:v>
                </c:pt>
                <c:pt idx="3252">
                  <c:v>37131</c:v>
                </c:pt>
                <c:pt idx="3253">
                  <c:v>37130</c:v>
                </c:pt>
                <c:pt idx="3254">
                  <c:v>37127</c:v>
                </c:pt>
                <c:pt idx="3255">
                  <c:v>37126</c:v>
                </c:pt>
                <c:pt idx="3256">
                  <c:v>37125</c:v>
                </c:pt>
                <c:pt idx="3257">
                  <c:v>37124</c:v>
                </c:pt>
                <c:pt idx="3258">
                  <c:v>37123</c:v>
                </c:pt>
                <c:pt idx="3259">
                  <c:v>37120</c:v>
                </c:pt>
                <c:pt idx="3260">
                  <c:v>37119</c:v>
                </c:pt>
                <c:pt idx="3261">
                  <c:v>37118</c:v>
                </c:pt>
                <c:pt idx="3262">
                  <c:v>37117</c:v>
                </c:pt>
                <c:pt idx="3263">
                  <c:v>37116</c:v>
                </c:pt>
                <c:pt idx="3264">
                  <c:v>37113</c:v>
                </c:pt>
                <c:pt idx="3265">
                  <c:v>37111</c:v>
                </c:pt>
                <c:pt idx="3266">
                  <c:v>37110</c:v>
                </c:pt>
                <c:pt idx="3267">
                  <c:v>37109</c:v>
                </c:pt>
                <c:pt idx="3268">
                  <c:v>37106</c:v>
                </c:pt>
                <c:pt idx="3269">
                  <c:v>37105</c:v>
                </c:pt>
                <c:pt idx="3270">
                  <c:v>37104</c:v>
                </c:pt>
                <c:pt idx="3271">
                  <c:v>37103</c:v>
                </c:pt>
                <c:pt idx="3272">
                  <c:v>37102</c:v>
                </c:pt>
                <c:pt idx="3273">
                  <c:v>37099</c:v>
                </c:pt>
                <c:pt idx="3274">
                  <c:v>37098</c:v>
                </c:pt>
                <c:pt idx="3275">
                  <c:v>37097</c:v>
                </c:pt>
                <c:pt idx="3276">
                  <c:v>37096</c:v>
                </c:pt>
                <c:pt idx="3277">
                  <c:v>37095</c:v>
                </c:pt>
                <c:pt idx="3278">
                  <c:v>37092</c:v>
                </c:pt>
                <c:pt idx="3279">
                  <c:v>37091</c:v>
                </c:pt>
                <c:pt idx="3280">
                  <c:v>37090</c:v>
                </c:pt>
                <c:pt idx="3281">
                  <c:v>37089</c:v>
                </c:pt>
                <c:pt idx="3282">
                  <c:v>37088</c:v>
                </c:pt>
                <c:pt idx="3283">
                  <c:v>37085</c:v>
                </c:pt>
                <c:pt idx="3284">
                  <c:v>37084</c:v>
                </c:pt>
                <c:pt idx="3285">
                  <c:v>37083</c:v>
                </c:pt>
                <c:pt idx="3286">
                  <c:v>37082</c:v>
                </c:pt>
                <c:pt idx="3287">
                  <c:v>37081</c:v>
                </c:pt>
                <c:pt idx="3288">
                  <c:v>37078</c:v>
                </c:pt>
                <c:pt idx="3289">
                  <c:v>37077</c:v>
                </c:pt>
                <c:pt idx="3290">
                  <c:v>37076</c:v>
                </c:pt>
                <c:pt idx="3291">
                  <c:v>37075</c:v>
                </c:pt>
                <c:pt idx="3292">
                  <c:v>37074</c:v>
                </c:pt>
                <c:pt idx="3293">
                  <c:v>37071</c:v>
                </c:pt>
                <c:pt idx="3294">
                  <c:v>37070</c:v>
                </c:pt>
                <c:pt idx="3295">
                  <c:v>37069</c:v>
                </c:pt>
                <c:pt idx="3296">
                  <c:v>37068</c:v>
                </c:pt>
                <c:pt idx="3297">
                  <c:v>37067</c:v>
                </c:pt>
                <c:pt idx="3298">
                  <c:v>37064</c:v>
                </c:pt>
                <c:pt idx="3299">
                  <c:v>37063</c:v>
                </c:pt>
                <c:pt idx="3300">
                  <c:v>37062</c:v>
                </c:pt>
                <c:pt idx="3301">
                  <c:v>37061</c:v>
                </c:pt>
                <c:pt idx="3302">
                  <c:v>37060</c:v>
                </c:pt>
                <c:pt idx="3303">
                  <c:v>37057</c:v>
                </c:pt>
                <c:pt idx="3304">
                  <c:v>37056</c:v>
                </c:pt>
                <c:pt idx="3305">
                  <c:v>37055</c:v>
                </c:pt>
                <c:pt idx="3306">
                  <c:v>37054</c:v>
                </c:pt>
                <c:pt idx="3307">
                  <c:v>37053</c:v>
                </c:pt>
                <c:pt idx="3308">
                  <c:v>37050</c:v>
                </c:pt>
                <c:pt idx="3309">
                  <c:v>37049</c:v>
                </c:pt>
                <c:pt idx="3310">
                  <c:v>37048</c:v>
                </c:pt>
                <c:pt idx="3311">
                  <c:v>37047</c:v>
                </c:pt>
                <c:pt idx="3312">
                  <c:v>37046</c:v>
                </c:pt>
                <c:pt idx="3313">
                  <c:v>37043</c:v>
                </c:pt>
                <c:pt idx="3314">
                  <c:v>37042</c:v>
                </c:pt>
                <c:pt idx="3315">
                  <c:v>37041</c:v>
                </c:pt>
                <c:pt idx="3316">
                  <c:v>37040</c:v>
                </c:pt>
                <c:pt idx="3317">
                  <c:v>37039</c:v>
                </c:pt>
                <c:pt idx="3318">
                  <c:v>37036</c:v>
                </c:pt>
                <c:pt idx="3319">
                  <c:v>37035</c:v>
                </c:pt>
                <c:pt idx="3320">
                  <c:v>37034</c:v>
                </c:pt>
                <c:pt idx="3321">
                  <c:v>37033</c:v>
                </c:pt>
                <c:pt idx="3322">
                  <c:v>37032</c:v>
                </c:pt>
                <c:pt idx="3323">
                  <c:v>37029</c:v>
                </c:pt>
                <c:pt idx="3324">
                  <c:v>37028</c:v>
                </c:pt>
                <c:pt idx="3325">
                  <c:v>37027</c:v>
                </c:pt>
                <c:pt idx="3326">
                  <c:v>37026</c:v>
                </c:pt>
                <c:pt idx="3327">
                  <c:v>37025</c:v>
                </c:pt>
                <c:pt idx="3328">
                  <c:v>37022</c:v>
                </c:pt>
                <c:pt idx="3329">
                  <c:v>37021</c:v>
                </c:pt>
                <c:pt idx="3330">
                  <c:v>37020</c:v>
                </c:pt>
                <c:pt idx="3331">
                  <c:v>37019</c:v>
                </c:pt>
                <c:pt idx="3332">
                  <c:v>37018</c:v>
                </c:pt>
                <c:pt idx="3333">
                  <c:v>37015</c:v>
                </c:pt>
                <c:pt idx="3334">
                  <c:v>37014</c:v>
                </c:pt>
                <c:pt idx="3335">
                  <c:v>37013</c:v>
                </c:pt>
                <c:pt idx="3336">
                  <c:v>37011</c:v>
                </c:pt>
                <c:pt idx="3337">
                  <c:v>37007</c:v>
                </c:pt>
                <c:pt idx="3338">
                  <c:v>37006</c:v>
                </c:pt>
                <c:pt idx="3339">
                  <c:v>37005</c:v>
                </c:pt>
                <c:pt idx="3340">
                  <c:v>37004</c:v>
                </c:pt>
                <c:pt idx="3341">
                  <c:v>37001</c:v>
                </c:pt>
                <c:pt idx="3342">
                  <c:v>37000</c:v>
                </c:pt>
                <c:pt idx="3343">
                  <c:v>36999</c:v>
                </c:pt>
                <c:pt idx="3344">
                  <c:v>36998</c:v>
                </c:pt>
                <c:pt idx="3345">
                  <c:v>36993</c:v>
                </c:pt>
                <c:pt idx="3346">
                  <c:v>36992</c:v>
                </c:pt>
                <c:pt idx="3347">
                  <c:v>36991</c:v>
                </c:pt>
                <c:pt idx="3348">
                  <c:v>36990</c:v>
                </c:pt>
                <c:pt idx="3349">
                  <c:v>36987</c:v>
                </c:pt>
                <c:pt idx="3350">
                  <c:v>36986</c:v>
                </c:pt>
                <c:pt idx="3351">
                  <c:v>36985</c:v>
                </c:pt>
                <c:pt idx="3352">
                  <c:v>36984</c:v>
                </c:pt>
                <c:pt idx="3353">
                  <c:v>36983</c:v>
                </c:pt>
                <c:pt idx="3354">
                  <c:v>36980</c:v>
                </c:pt>
                <c:pt idx="3355">
                  <c:v>36979</c:v>
                </c:pt>
                <c:pt idx="3356">
                  <c:v>36978</c:v>
                </c:pt>
                <c:pt idx="3357">
                  <c:v>36977</c:v>
                </c:pt>
                <c:pt idx="3358">
                  <c:v>36976</c:v>
                </c:pt>
                <c:pt idx="3359">
                  <c:v>36973</c:v>
                </c:pt>
                <c:pt idx="3360">
                  <c:v>36972</c:v>
                </c:pt>
                <c:pt idx="3361">
                  <c:v>36970</c:v>
                </c:pt>
                <c:pt idx="3362">
                  <c:v>36969</c:v>
                </c:pt>
                <c:pt idx="3363">
                  <c:v>36966</c:v>
                </c:pt>
                <c:pt idx="3364">
                  <c:v>36965</c:v>
                </c:pt>
                <c:pt idx="3365">
                  <c:v>36964</c:v>
                </c:pt>
                <c:pt idx="3366">
                  <c:v>36963</c:v>
                </c:pt>
                <c:pt idx="3367">
                  <c:v>36962</c:v>
                </c:pt>
                <c:pt idx="3368">
                  <c:v>36959</c:v>
                </c:pt>
                <c:pt idx="3369">
                  <c:v>36958</c:v>
                </c:pt>
                <c:pt idx="3370">
                  <c:v>36957</c:v>
                </c:pt>
                <c:pt idx="3371">
                  <c:v>36956</c:v>
                </c:pt>
                <c:pt idx="3372">
                  <c:v>36955</c:v>
                </c:pt>
                <c:pt idx="3373">
                  <c:v>36952</c:v>
                </c:pt>
                <c:pt idx="3374">
                  <c:v>36951</c:v>
                </c:pt>
                <c:pt idx="3375">
                  <c:v>36950</c:v>
                </c:pt>
                <c:pt idx="3376">
                  <c:v>36949</c:v>
                </c:pt>
                <c:pt idx="3377">
                  <c:v>36948</c:v>
                </c:pt>
                <c:pt idx="3378">
                  <c:v>36945</c:v>
                </c:pt>
                <c:pt idx="3379">
                  <c:v>36944</c:v>
                </c:pt>
                <c:pt idx="3380">
                  <c:v>36943</c:v>
                </c:pt>
                <c:pt idx="3381">
                  <c:v>36942</c:v>
                </c:pt>
                <c:pt idx="3382">
                  <c:v>36941</c:v>
                </c:pt>
                <c:pt idx="3383">
                  <c:v>36938</c:v>
                </c:pt>
                <c:pt idx="3384">
                  <c:v>36937</c:v>
                </c:pt>
                <c:pt idx="3385">
                  <c:v>36936</c:v>
                </c:pt>
                <c:pt idx="3386">
                  <c:v>36935</c:v>
                </c:pt>
                <c:pt idx="3387">
                  <c:v>36934</c:v>
                </c:pt>
                <c:pt idx="3388">
                  <c:v>36931</c:v>
                </c:pt>
                <c:pt idx="3389">
                  <c:v>36930</c:v>
                </c:pt>
                <c:pt idx="3390">
                  <c:v>36929</c:v>
                </c:pt>
                <c:pt idx="3391">
                  <c:v>36928</c:v>
                </c:pt>
                <c:pt idx="3392">
                  <c:v>36927</c:v>
                </c:pt>
                <c:pt idx="3393">
                  <c:v>36924</c:v>
                </c:pt>
                <c:pt idx="3394">
                  <c:v>36923</c:v>
                </c:pt>
                <c:pt idx="3395">
                  <c:v>36922</c:v>
                </c:pt>
                <c:pt idx="3396">
                  <c:v>36921</c:v>
                </c:pt>
                <c:pt idx="3397">
                  <c:v>36920</c:v>
                </c:pt>
                <c:pt idx="3398">
                  <c:v>36917</c:v>
                </c:pt>
                <c:pt idx="3399">
                  <c:v>36916</c:v>
                </c:pt>
                <c:pt idx="3400">
                  <c:v>36915</c:v>
                </c:pt>
                <c:pt idx="3401">
                  <c:v>36914</c:v>
                </c:pt>
                <c:pt idx="3402">
                  <c:v>36913</c:v>
                </c:pt>
                <c:pt idx="3403">
                  <c:v>36910</c:v>
                </c:pt>
                <c:pt idx="3404">
                  <c:v>36909</c:v>
                </c:pt>
                <c:pt idx="3405">
                  <c:v>36908</c:v>
                </c:pt>
                <c:pt idx="3406">
                  <c:v>36907</c:v>
                </c:pt>
                <c:pt idx="3407">
                  <c:v>36906</c:v>
                </c:pt>
                <c:pt idx="3408">
                  <c:v>36903</c:v>
                </c:pt>
                <c:pt idx="3409">
                  <c:v>36902</c:v>
                </c:pt>
                <c:pt idx="3410">
                  <c:v>36901</c:v>
                </c:pt>
                <c:pt idx="3411">
                  <c:v>36900</c:v>
                </c:pt>
                <c:pt idx="3412">
                  <c:v>36899</c:v>
                </c:pt>
                <c:pt idx="3413">
                  <c:v>36896</c:v>
                </c:pt>
                <c:pt idx="3414">
                  <c:v>36895</c:v>
                </c:pt>
                <c:pt idx="3415">
                  <c:v>36894</c:v>
                </c:pt>
                <c:pt idx="3416">
                  <c:v>36893</c:v>
                </c:pt>
                <c:pt idx="3417">
                  <c:v>36889</c:v>
                </c:pt>
                <c:pt idx="3418">
                  <c:v>36888</c:v>
                </c:pt>
                <c:pt idx="3419">
                  <c:v>36887</c:v>
                </c:pt>
                <c:pt idx="3420">
                  <c:v>36882</c:v>
                </c:pt>
                <c:pt idx="3421">
                  <c:v>36881</c:v>
                </c:pt>
                <c:pt idx="3422">
                  <c:v>36880</c:v>
                </c:pt>
                <c:pt idx="3423">
                  <c:v>36879</c:v>
                </c:pt>
                <c:pt idx="3424">
                  <c:v>36878</c:v>
                </c:pt>
                <c:pt idx="3425">
                  <c:v>36875</c:v>
                </c:pt>
                <c:pt idx="3426">
                  <c:v>36874</c:v>
                </c:pt>
                <c:pt idx="3427">
                  <c:v>36873</c:v>
                </c:pt>
                <c:pt idx="3428">
                  <c:v>36872</c:v>
                </c:pt>
                <c:pt idx="3429">
                  <c:v>36871</c:v>
                </c:pt>
                <c:pt idx="3430">
                  <c:v>36868</c:v>
                </c:pt>
                <c:pt idx="3431">
                  <c:v>36867</c:v>
                </c:pt>
                <c:pt idx="3432">
                  <c:v>36866</c:v>
                </c:pt>
                <c:pt idx="3433">
                  <c:v>36864</c:v>
                </c:pt>
                <c:pt idx="3434">
                  <c:v>36861</c:v>
                </c:pt>
                <c:pt idx="3435">
                  <c:v>36860</c:v>
                </c:pt>
                <c:pt idx="3436">
                  <c:v>36859</c:v>
                </c:pt>
                <c:pt idx="3437">
                  <c:v>36858</c:v>
                </c:pt>
                <c:pt idx="3438">
                  <c:v>36857</c:v>
                </c:pt>
                <c:pt idx="3439">
                  <c:v>36854</c:v>
                </c:pt>
                <c:pt idx="3440">
                  <c:v>36853</c:v>
                </c:pt>
                <c:pt idx="3441">
                  <c:v>36852</c:v>
                </c:pt>
                <c:pt idx="3442">
                  <c:v>36851</c:v>
                </c:pt>
                <c:pt idx="3443">
                  <c:v>36850</c:v>
                </c:pt>
                <c:pt idx="3444">
                  <c:v>36847</c:v>
                </c:pt>
                <c:pt idx="3445">
                  <c:v>36846</c:v>
                </c:pt>
                <c:pt idx="3446">
                  <c:v>36845</c:v>
                </c:pt>
                <c:pt idx="3447">
                  <c:v>36844</c:v>
                </c:pt>
                <c:pt idx="3448">
                  <c:v>36843</c:v>
                </c:pt>
                <c:pt idx="3449">
                  <c:v>36840</c:v>
                </c:pt>
                <c:pt idx="3450">
                  <c:v>36839</c:v>
                </c:pt>
                <c:pt idx="3451">
                  <c:v>36838</c:v>
                </c:pt>
                <c:pt idx="3452">
                  <c:v>36837</c:v>
                </c:pt>
                <c:pt idx="3453">
                  <c:v>36836</c:v>
                </c:pt>
                <c:pt idx="3454">
                  <c:v>36833</c:v>
                </c:pt>
                <c:pt idx="3455">
                  <c:v>36832</c:v>
                </c:pt>
                <c:pt idx="3456">
                  <c:v>36831</c:v>
                </c:pt>
                <c:pt idx="3457">
                  <c:v>36830</c:v>
                </c:pt>
                <c:pt idx="3458">
                  <c:v>36829</c:v>
                </c:pt>
                <c:pt idx="3459">
                  <c:v>36826</c:v>
                </c:pt>
                <c:pt idx="3460">
                  <c:v>36825</c:v>
                </c:pt>
                <c:pt idx="3461">
                  <c:v>36824</c:v>
                </c:pt>
                <c:pt idx="3462">
                  <c:v>36823</c:v>
                </c:pt>
                <c:pt idx="3463">
                  <c:v>36822</c:v>
                </c:pt>
                <c:pt idx="3464">
                  <c:v>36819</c:v>
                </c:pt>
                <c:pt idx="3465">
                  <c:v>36818</c:v>
                </c:pt>
                <c:pt idx="3466">
                  <c:v>36817</c:v>
                </c:pt>
                <c:pt idx="3467">
                  <c:v>36816</c:v>
                </c:pt>
                <c:pt idx="3468">
                  <c:v>36815</c:v>
                </c:pt>
                <c:pt idx="3469">
                  <c:v>36812</c:v>
                </c:pt>
                <c:pt idx="3470">
                  <c:v>36811</c:v>
                </c:pt>
                <c:pt idx="3471">
                  <c:v>36810</c:v>
                </c:pt>
                <c:pt idx="3472">
                  <c:v>36809</c:v>
                </c:pt>
                <c:pt idx="3473">
                  <c:v>36808</c:v>
                </c:pt>
                <c:pt idx="3474">
                  <c:v>36805</c:v>
                </c:pt>
                <c:pt idx="3475">
                  <c:v>36804</c:v>
                </c:pt>
                <c:pt idx="3476">
                  <c:v>36803</c:v>
                </c:pt>
                <c:pt idx="3477">
                  <c:v>36802</c:v>
                </c:pt>
                <c:pt idx="3478">
                  <c:v>36801</c:v>
                </c:pt>
                <c:pt idx="3479">
                  <c:v>36798</c:v>
                </c:pt>
                <c:pt idx="3480">
                  <c:v>36797</c:v>
                </c:pt>
                <c:pt idx="3481">
                  <c:v>36796</c:v>
                </c:pt>
                <c:pt idx="3482">
                  <c:v>36795</c:v>
                </c:pt>
                <c:pt idx="3483">
                  <c:v>36791</c:v>
                </c:pt>
                <c:pt idx="3484">
                  <c:v>36790</c:v>
                </c:pt>
                <c:pt idx="3485">
                  <c:v>36789</c:v>
                </c:pt>
                <c:pt idx="3486">
                  <c:v>36788</c:v>
                </c:pt>
                <c:pt idx="3487">
                  <c:v>36787</c:v>
                </c:pt>
                <c:pt idx="3488">
                  <c:v>36784</c:v>
                </c:pt>
                <c:pt idx="3489">
                  <c:v>36783</c:v>
                </c:pt>
                <c:pt idx="3490">
                  <c:v>36782</c:v>
                </c:pt>
                <c:pt idx="3491">
                  <c:v>36781</c:v>
                </c:pt>
                <c:pt idx="3492">
                  <c:v>36780</c:v>
                </c:pt>
                <c:pt idx="3493">
                  <c:v>36777</c:v>
                </c:pt>
                <c:pt idx="3494">
                  <c:v>36776</c:v>
                </c:pt>
                <c:pt idx="3495">
                  <c:v>36775</c:v>
                </c:pt>
                <c:pt idx="3496">
                  <c:v>36774</c:v>
                </c:pt>
                <c:pt idx="3497">
                  <c:v>36773</c:v>
                </c:pt>
                <c:pt idx="3498">
                  <c:v>36770</c:v>
                </c:pt>
                <c:pt idx="3499">
                  <c:v>36769</c:v>
                </c:pt>
                <c:pt idx="3500">
                  <c:v>36768</c:v>
                </c:pt>
                <c:pt idx="3501">
                  <c:v>36767</c:v>
                </c:pt>
                <c:pt idx="3502">
                  <c:v>36766</c:v>
                </c:pt>
                <c:pt idx="3503">
                  <c:v>36763</c:v>
                </c:pt>
                <c:pt idx="3504">
                  <c:v>36762</c:v>
                </c:pt>
                <c:pt idx="3505">
                  <c:v>36761</c:v>
                </c:pt>
                <c:pt idx="3506">
                  <c:v>36760</c:v>
                </c:pt>
                <c:pt idx="3507">
                  <c:v>36759</c:v>
                </c:pt>
                <c:pt idx="3508">
                  <c:v>36756</c:v>
                </c:pt>
                <c:pt idx="3509">
                  <c:v>36755</c:v>
                </c:pt>
                <c:pt idx="3510">
                  <c:v>36754</c:v>
                </c:pt>
                <c:pt idx="3511">
                  <c:v>36753</c:v>
                </c:pt>
                <c:pt idx="3512">
                  <c:v>36752</c:v>
                </c:pt>
                <c:pt idx="3513">
                  <c:v>36749</c:v>
                </c:pt>
                <c:pt idx="3514">
                  <c:v>36748</c:v>
                </c:pt>
                <c:pt idx="3515">
                  <c:v>36746</c:v>
                </c:pt>
                <c:pt idx="3516">
                  <c:v>36745</c:v>
                </c:pt>
                <c:pt idx="3517">
                  <c:v>36742</c:v>
                </c:pt>
                <c:pt idx="3518">
                  <c:v>36741</c:v>
                </c:pt>
                <c:pt idx="3519">
                  <c:v>36740</c:v>
                </c:pt>
                <c:pt idx="3520">
                  <c:v>36739</c:v>
                </c:pt>
                <c:pt idx="3521">
                  <c:v>36738</c:v>
                </c:pt>
                <c:pt idx="3522">
                  <c:v>36735</c:v>
                </c:pt>
                <c:pt idx="3523">
                  <c:v>36734</c:v>
                </c:pt>
                <c:pt idx="3524">
                  <c:v>36733</c:v>
                </c:pt>
                <c:pt idx="3525">
                  <c:v>36732</c:v>
                </c:pt>
                <c:pt idx="3526">
                  <c:v>36731</c:v>
                </c:pt>
                <c:pt idx="3527">
                  <c:v>36728</c:v>
                </c:pt>
                <c:pt idx="3528">
                  <c:v>36727</c:v>
                </c:pt>
                <c:pt idx="3529">
                  <c:v>36726</c:v>
                </c:pt>
                <c:pt idx="3530">
                  <c:v>36725</c:v>
                </c:pt>
                <c:pt idx="3531">
                  <c:v>36724</c:v>
                </c:pt>
                <c:pt idx="3532">
                  <c:v>36721</c:v>
                </c:pt>
                <c:pt idx="3533">
                  <c:v>36720</c:v>
                </c:pt>
                <c:pt idx="3534">
                  <c:v>36719</c:v>
                </c:pt>
                <c:pt idx="3535">
                  <c:v>36718</c:v>
                </c:pt>
                <c:pt idx="3536">
                  <c:v>36717</c:v>
                </c:pt>
                <c:pt idx="3537">
                  <c:v>36714</c:v>
                </c:pt>
                <c:pt idx="3538">
                  <c:v>36713</c:v>
                </c:pt>
                <c:pt idx="3539">
                  <c:v>36712</c:v>
                </c:pt>
                <c:pt idx="3540">
                  <c:v>36711</c:v>
                </c:pt>
                <c:pt idx="3541">
                  <c:v>36710</c:v>
                </c:pt>
                <c:pt idx="3542">
                  <c:v>36707</c:v>
                </c:pt>
                <c:pt idx="3543">
                  <c:v>36706</c:v>
                </c:pt>
                <c:pt idx="3544">
                  <c:v>36705</c:v>
                </c:pt>
                <c:pt idx="3545">
                  <c:v>36704</c:v>
                </c:pt>
                <c:pt idx="3546">
                  <c:v>36703</c:v>
                </c:pt>
                <c:pt idx="3547">
                  <c:v>36700</c:v>
                </c:pt>
                <c:pt idx="3548">
                  <c:v>36699</c:v>
                </c:pt>
                <c:pt idx="3549">
                  <c:v>36698</c:v>
                </c:pt>
                <c:pt idx="3550">
                  <c:v>36697</c:v>
                </c:pt>
                <c:pt idx="3551">
                  <c:v>36696</c:v>
                </c:pt>
                <c:pt idx="3552">
                  <c:v>36692</c:v>
                </c:pt>
                <c:pt idx="3553">
                  <c:v>36691</c:v>
                </c:pt>
                <c:pt idx="3554">
                  <c:v>36690</c:v>
                </c:pt>
                <c:pt idx="3555">
                  <c:v>36689</c:v>
                </c:pt>
                <c:pt idx="3556">
                  <c:v>36686</c:v>
                </c:pt>
                <c:pt idx="3557">
                  <c:v>36685</c:v>
                </c:pt>
                <c:pt idx="3558">
                  <c:v>36684</c:v>
                </c:pt>
                <c:pt idx="3559">
                  <c:v>36683</c:v>
                </c:pt>
                <c:pt idx="3560">
                  <c:v>36682</c:v>
                </c:pt>
                <c:pt idx="3561">
                  <c:v>36679</c:v>
                </c:pt>
                <c:pt idx="3562">
                  <c:v>36678</c:v>
                </c:pt>
                <c:pt idx="3563">
                  <c:v>36677</c:v>
                </c:pt>
                <c:pt idx="3564">
                  <c:v>36676</c:v>
                </c:pt>
                <c:pt idx="3565">
                  <c:v>36675</c:v>
                </c:pt>
                <c:pt idx="3566">
                  <c:v>36672</c:v>
                </c:pt>
                <c:pt idx="3567">
                  <c:v>36671</c:v>
                </c:pt>
                <c:pt idx="3568">
                  <c:v>36670</c:v>
                </c:pt>
                <c:pt idx="3569">
                  <c:v>36669</c:v>
                </c:pt>
                <c:pt idx="3570">
                  <c:v>36668</c:v>
                </c:pt>
                <c:pt idx="3571">
                  <c:v>36665</c:v>
                </c:pt>
                <c:pt idx="3572">
                  <c:v>36664</c:v>
                </c:pt>
                <c:pt idx="3573">
                  <c:v>36663</c:v>
                </c:pt>
                <c:pt idx="3574">
                  <c:v>36662</c:v>
                </c:pt>
                <c:pt idx="3575">
                  <c:v>36661</c:v>
                </c:pt>
                <c:pt idx="3576">
                  <c:v>36658</c:v>
                </c:pt>
                <c:pt idx="3577">
                  <c:v>36657</c:v>
                </c:pt>
                <c:pt idx="3578">
                  <c:v>36656</c:v>
                </c:pt>
                <c:pt idx="3579">
                  <c:v>36655</c:v>
                </c:pt>
                <c:pt idx="3580">
                  <c:v>36654</c:v>
                </c:pt>
                <c:pt idx="3581">
                  <c:v>36651</c:v>
                </c:pt>
                <c:pt idx="3582">
                  <c:v>36650</c:v>
                </c:pt>
                <c:pt idx="3583">
                  <c:v>36649</c:v>
                </c:pt>
                <c:pt idx="3584">
                  <c:v>36648</c:v>
                </c:pt>
                <c:pt idx="3585">
                  <c:v>36644</c:v>
                </c:pt>
                <c:pt idx="3586">
                  <c:v>36642</c:v>
                </c:pt>
                <c:pt idx="3587">
                  <c:v>36641</c:v>
                </c:pt>
                <c:pt idx="3588">
                  <c:v>36636</c:v>
                </c:pt>
                <c:pt idx="3589">
                  <c:v>36635</c:v>
                </c:pt>
                <c:pt idx="3590">
                  <c:v>36634</c:v>
                </c:pt>
                <c:pt idx="3591">
                  <c:v>36633</c:v>
                </c:pt>
                <c:pt idx="3592">
                  <c:v>36630</c:v>
                </c:pt>
                <c:pt idx="3593">
                  <c:v>36629</c:v>
                </c:pt>
                <c:pt idx="3594">
                  <c:v>36628</c:v>
                </c:pt>
                <c:pt idx="3595">
                  <c:v>36627</c:v>
                </c:pt>
                <c:pt idx="3596">
                  <c:v>36626</c:v>
                </c:pt>
                <c:pt idx="3597">
                  <c:v>36623</c:v>
                </c:pt>
                <c:pt idx="3598">
                  <c:v>36622</c:v>
                </c:pt>
                <c:pt idx="3599">
                  <c:v>36621</c:v>
                </c:pt>
                <c:pt idx="3600">
                  <c:v>36620</c:v>
                </c:pt>
                <c:pt idx="3601">
                  <c:v>36619</c:v>
                </c:pt>
                <c:pt idx="3602">
                  <c:v>36616</c:v>
                </c:pt>
                <c:pt idx="3603">
                  <c:v>36615</c:v>
                </c:pt>
                <c:pt idx="3604">
                  <c:v>36614</c:v>
                </c:pt>
                <c:pt idx="3605">
                  <c:v>36613</c:v>
                </c:pt>
                <c:pt idx="3606">
                  <c:v>36612</c:v>
                </c:pt>
                <c:pt idx="3607">
                  <c:v>36609</c:v>
                </c:pt>
                <c:pt idx="3608">
                  <c:v>36608</c:v>
                </c:pt>
                <c:pt idx="3609">
                  <c:v>36607</c:v>
                </c:pt>
                <c:pt idx="3610">
                  <c:v>36605</c:v>
                </c:pt>
                <c:pt idx="3611">
                  <c:v>36602</c:v>
                </c:pt>
                <c:pt idx="3612">
                  <c:v>36601</c:v>
                </c:pt>
                <c:pt idx="3613">
                  <c:v>36600</c:v>
                </c:pt>
                <c:pt idx="3614">
                  <c:v>36599</c:v>
                </c:pt>
                <c:pt idx="3615">
                  <c:v>36598</c:v>
                </c:pt>
                <c:pt idx="3616">
                  <c:v>36595</c:v>
                </c:pt>
                <c:pt idx="3617">
                  <c:v>36594</c:v>
                </c:pt>
                <c:pt idx="3618">
                  <c:v>36593</c:v>
                </c:pt>
                <c:pt idx="3619">
                  <c:v>36592</c:v>
                </c:pt>
                <c:pt idx="3620">
                  <c:v>36591</c:v>
                </c:pt>
                <c:pt idx="3621">
                  <c:v>36588</c:v>
                </c:pt>
                <c:pt idx="3622">
                  <c:v>36587</c:v>
                </c:pt>
                <c:pt idx="3623">
                  <c:v>36586</c:v>
                </c:pt>
                <c:pt idx="3624">
                  <c:v>36585</c:v>
                </c:pt>
                <c:pt idx="3625">
                  <c:v>36584</c:v>
                </c:pt>
                <c:pt idx="3626">
                  <c:v>36581</c:v>
                </c:pt>
                <c:pt idx="3627">
                  <c:v>36580</c:v>
                </c:pt>
                <c:pt idx="3628">
                  <c:v>36579</c:v>
                </c:pt>
                <c:pt idx="3629">
                  <c:v>36578</c:v>
                </c:pt>
                <c:pt idx="3630">
                  <c:v>36577</c:v>
                </c:pt>
                <c:pt idx="3631">
                  <c:v>36574</c:v>
                </c:pt>
                <c:pt idx="3632">
                  <c:v>36573</c:v>
                </c:pt>
                <c:pt idx="3633">
                  <c:v>36572</c:v>
                </c:pt>
                <c:pt idx="3634">
                  <c:v>36571</c:v>
                </c:pt>
                <c:pt idx="3635">
                  <c:v>36570</c:v>
                </c:pt>
                <c:pt idx="3636">
                  <c:v>36567</c:v>
                </c:pt>
                <c:pt idx="3637">
                  <c:v>36566</c:v>
                </c:pt>
                <c:pt idx="3638">
                  <c:v>36565</c:v>
                </c:pt>
                <c:pt idx="3639">
                  <c:v>36564</c:v>
                </c:pt>
                <c:pt idx="3640">
                  <c:v>36563</c:v>
                </c:pt>
                <c:pt idx="3641">
                  <c:v>36560</c:v>
                </c:pt>
                <c:pt idx="3642">
                  <c:v>36559</c:v>
                </c:pt>
                <c:pt idx="3643">
                  <c:v>36558</c:v>
                </c:pt>
                <c:pt idx="3644">
                  <c:v>36557</c:v>
                </c:pt>
                <c:pt idx="3645">
                  <c:v>36556</c:v>
                </c:pt>
                <c:pt idx="3646">
                  <c:v>36553</c:v>
                </c:pt>
                <c:pt idx="3647">
                  <c:v>36552</c:v>
                </c:pt>
                <c:pt idx="3648">
                  <c:v>36551</c:v>
                </c:pt>
                <c:pt idx="3649">
                  <c:v>36550</c:v>
                </c:pt>
                <c:pt idx="3650">
                  <c:v>36549</c:v>
                </c:pt>
                <c:pt idx="3651">
                  <c:v>36546</c:v>
                </c:pt>
                <c:pt idx="3652">
                  <c:v>36545</c:v>
                </c:pt>
                <c:pt idx="3653">
                  <c:v>36544</c:v>
                </c:pt>
                <c:pt idx="3654">
                  <c:v>36543</c:v>
                </c:pt>
                <c:pt idx="3655">
                  <c:v>36542</c:v>
                </c:pt>
                <c:pt idx="3656">
                  <c:v>36539</c:v>
                </c:pt>
                <c:pt idx="3657">
                  <c:v>36538</c:v>
                </c:pt>
                <c:pt idx="3658">
                  <c:v>36537</c:v>
                </c:pt>
                <c:pt idx="3659">
                  <c:v>36536</c:v>
                </c:pt>
                <c:pt idx="3660">
                  <c:v>36535</c:v>
                </c:pt>
                <c:pt idx="3661">
                  <c:v>36532</c:v>
                </c:pt>
                <c:pt idx="3662">
                  <c:v>36531</c:v>
                </c:pt>
                <c:pt idx="3663">
                  <c:v>36530</c:v>
                </c:pt>
                <c:pt idx="3664">
                  <c:v>36529</c:v>
                </c:pt>
                <c:pt idx="3665">
                  <c:v>36524</c:v>
                </c:pt>
                <c:pt idx="3666">
                  <c:v>36523</c:v>
                </c:pt>
                <c:pt idx="3667">
                  <c:v>36522</c:v>
                </c:pt>
                <c:pt idx="3668">
                  <c:v>36518</c:v>
                </c:pt>
                <c:pt idx="3669">
                  <c:v>36517</c:v>
                </c:pt>
                <c:pt idx="3670">
                  <c:v>36516</c:v>
                </c:pt>
                <c:pt idx="3671">
                  <c:v>36515</c:v>
                </c:pt>
                <c:pt idx="3672">
                  <c:v>36514</c:v>
                </c:pt>
                <c:pt idx="3673">
                  <c:v>36511</c:v>
                </c:pt>
                <c:pt idx="3674">
                  <c:v>36509</c:v>
                </c:pt>
                <c:pt idx="3675">
                  <c:v>36508</c:v>
                </c:pt>
                <c:pt idx="3676">
                  <c:v>36507</c:v>
                </c:pt>
                <c:pt idx="3677">
                  <c:v>36504</c:v>
                </c:pt>
                <c:pt idx="3678">
                  <c:v>36503</c:v>
                </c:pt>
                <c:pt idx="3679">
                  <c:v>36502</c:v>
                </c:pt>
                <c:pt idx="3680">
                  <c:v>36501</c:v>
                </c:pt>
                <c:pt idx="3681">
                  <c:v>36500</c:v>
                </c:pt>
                <c:pt idx="3682">
                  <c:v>36497</c:v>
                </c:pt>
                <c:pt idx="3683">
                  <c:v>36496</c:v>
                </c:pt>
                <c:pt idx="3684">
                  <c:v>36495</c:v>
                </c:pt>
                <c:pt idx="3685">
                  <c:v>36494</c:v>
                </c:pt>
                <c:pt idx="3686">
                  <c:v>36493</c:v>
                </c:pt>
                <c:pt idx="3687">
                  <c:v>36490</c:v>
                </c:pt>
                <c:pt idx="3688">
                  <c:v>36489</c:v>
                </c:pt>
                <c:pt idx="3689">
                  <c:v>36488</c:v>
                </c:pt>
                <c:pt idx="3690">
                  <c:v>36487</c:v>
                </c:pt>
                <c:pt idx="3691">
                  <c:v>36486</c:v>
                </c:pt>
                <c:pt idx="3692">
                  <c:v>36483</c:v>
                </c:pt>
                <c:pt idx="3693">
                  <c:v>36482</c:v>
                </c:pt>
                <c:pt idx="3694">
                  <c:v>36481</c:v>
                </c:pt>
                <c:pt idx="3695">
                  <c:v>36480</c:v>
                </c:pt>
                <c:pt idx="3696">
                  <c:v>36479</c:v>
                </c:pt>
                <c:pt idx="3697">
                  <c:v>36476</c:v>
                </c:pt>
                <c:pt idx="3698">
                  <c:v>36475</c:v>
                </c:pt>
                <c:pt idx="3699">
                  <c:v>36474</c:v>
                </c:pt>
                <c:pt idx="3700">
                  <c:v>36473</c:v>
                </c:pt>
                <c:pt idx="3701">
                  <c:v>36472</c:v>
                </c:pt>
                <c:pt idx="3702">
                  <c:v>36469</c:v>
                </c:pt>
                <c:pt idx="3703">
                  <c:v>36468</c:v>
                </c:pt>
                <c:pt idx="3704">
                  <c:v>36467</c:v>
                </c:pt>
                <c:pt idx="3705">
                  <c:v>36466</c:v>
                </c:pt>
                <c:pt idx="3706">
                  <c:v>36465</c:v>
                </c:pt>
                <c:pt idx="3707">
                  <c:v>36462</c:v>
                </c:pt>
                <c:pt idx="3708">
                  <c:v>36461</c:v>
                </c:pt>
                <c:pt idx="3709">
                  <c:v>36460</c:v>
                </c:pt>
                <c:pt idx="3710">
                  <c:v>36459</c:v>
                </c:pt>
                <c:pt idx="3711">
                  <c:v>36458</c:v>
                </c:pt>
                <c:pt idx="3712">
                  <c:v>36455</c:v>
                </c:pt>
                <c:pt idx="3713">
                  <c:v>36454</c:v>
                </c:pt>
                <c:pt idx="3714">
                  <c:v>36453</c:v>
                </c:pt>
                <c:pt idx="3715">
                  <c:v>36452</c:v>
                </c:pt>
                <c:pt idx="3716">
                  <c:v>36451</c:v>
                </c:pt>
                <c:pt idx="3717">
                  <c:v>36448</c:v>
                </c:pt>
                <c:pt idx="3718">
                  <c:v>36447</c:v>
                </c:pt>
                <c:pt idx="3719">
                  <c:v>36446</c:v>
                </c:pt>
                <c:pt idx="3720">
                  <c:v>36445</c:v>
                </c:pt>
                <c:pt idx="3721">
                  <c:v>36444</c:v>
                </c:pt>
                <c:pt idx="3722">
                  <c:v>36441</c:v>
                </c:pt>
                <c:pt idx="3723">
                  <c:v>36440</c:v>
                </c:pt>
                <c:pt idx="3724">
                  <c:v>36439</c:v>
                </c:pt>
                <c:pt idx="3725">
                  <c:v>36438</c:v>
                </c:pt>
                <c:pt idx="3726">
                  <c:v>36437</c:v>
                </c:pt>
                <c:pt idx="3727">
                  <c:v>36434</c:v>
                </c:pt>
                <c:pt idx="3728">
                  <c:v>36433</c:v>
                </c:pt>
                <c:pt idx="3729">
                  <c:v>36432</c:v>
                </c:pt>
                <c:pt idx="3730">
                  <c:v>36431</c:v>
                </c:pt>
                <c:pt idx="3731">
                  <c:v>36430</c:v>
                </c:pt>
                <c:pt idx="3732">
                  <c:v>36426</c:v>
                </c:pt>
                <c:pt idx="3733">
                  <c:v>36425</c:v>
                </c:pt>
                <c:pt idx="3734">
                  <c:v>36424</c:v>
                </c:pt>
                <c:pt idx="3735">
                  <c:v>36423</c:v>
                </c:pt>
                <c:pt idx="3736">
                  <c:v>36420</c:v>
                </c:pt>
                <c:pt idx="3737">
                  <c:v>36419</c:v>
                </c:pt>
                <c:pt idx="3738">
                  <c:v>36418</c:v>
                </c:pt>
                <c:pt idx="3739">
                  <c:v>36417</c:v>
                </c:pt>
                <c:pt idx="3740">
                  <c:v>36416</c:v>
                </c:pt>
                <c:pt idx="3741">
                  <c:v>36413</c:v>
                </c:pt>
                <c:pt idx="3742">
                  <c:v>36412</c:v>
                </c:pt>
                <c:pt idx="3743">
                  <c:v>36411</c:v>
                </c:pt>
                <c:pt idx="3744">
                  <c:v>36410</c:v>
                </c:pt>
                <c:pt idx="3745">
                  <c:v>36409</c:v>
                </c:pt>
                <c:pt idx="3746">
                  <c:v>36406</c:v>
                </c:pt>
                <c:pt idx="3747">
                  <c:v>36405</c:v>
                </c:pt>
                <c:pt idx="3748">
                  <c:v>36404</c:v>
                </c:pt>
                <c:pt idx="3749">
                  <c:v>36403</c:v>
                </c:pt>
                <c:pt idx="3750">
                  <c:v>36402</c:v>
                </c:pt>
                <c:pt idx="3751">
                  <c:v>36399</c:v>
                </c:pt>
                <c:pt idx="3752">
                  <c:v>36398</c:v>
                </c:pt>
                <c:pt idx="3753">
                  <c:v>36397</c:v>
                </c:pt>
                <c:pt idx="3754">
                  <c:v>36396</c:v>
                </c:pt>
                <c:pt idx="3755">
                  <c:v>36395</c:v>
                </c:pt>
                <c:pt idx="3756">
                  <c:v>36392</c:v>
                </c:pt>
                <c:pt idx="3757">
                  <c:v>36391</c:v>
                </c:pt>
                <c:pt idx="3758">
                  <c:v>36390</c:v>
                </c:pt>
                <c:pt idx="3759">
                  <c:v>36389</c:v>
                </c:pt>
                <c:pt idx="3760">
                  <c:v>36388</c:v>
                </c:pt>
                <c:pt idx="3761">
                  <c:v>36385</c:v>
                </c:pt>
                <c:pt idx="3762">
                  <c:v>36384</c:v>
                </c:pt>
                <c:pt idx="3763">
                  <c:v>36383</c:v>
                </c:pt>
                <c:pt idx="3764">
                  <c:v>36382</c:v>
                </c:pt>
                <c:pt idx="3765">
                  <c:v>36378</c:v>
                </c:pt>
                <c:pt idx="3766">
                  <c:v>36377</c:v>
                </c:pt>
                <c:pt idx="3767">
                  <c:v>36376</c:v>
                </c:pt>
                <c:pt idx="3768">
                  <c:v>36375</c:v>
                </c:pt>
                <c:pt idx="3769">
                  <c:v>36374</c:v>
                </c:pt>
                <c:pt idx="3770">
                  <c:v>36371</c:v>
                </c:pt>
                <c:pt idx="3771">
                  <c:v>36370</c:v>
                </c:pt>
                <c:pt idx="3772">
                  <c:v>36369</c:v>
                </c:pt>
                <c:pt idx="3773">
                  <c:v>36368</c:v>
                </c:pt>
                <c:pt idx="3774">
                  <c:v>36367</c:v>
                </c:pt>
                <c:pt idx="3775">
                  <c:v>36364</c:v>
                </c:pt>
                <c:pt idx="3776">
                  <c:v>36363</c:v>
                </c:pt>
                <c:pt idx="3777">
                  <c:v>36362</c:v>
                </c:pt>
                <c:pt idx="3778">
                  <c:v>36361</c:v>
                </c:pt>
                <c:pt idx="3779">
                  <c:v>36360</c:v>
                </c:pt>
                <c:pt idx="3780">
                  <c:v>36357</c:v>
                </c:pt>
                <c:pt idx="3781">
                  <c:v>36356</c:v>
                </c:pt>
                <c:pt idx="3782">
                  <c:v>36355</c:v>
                </c:pt>
                <c:pt idx="3783">
                  <c:v>36354</c:v>
                </c:pt>
                <c:pt idx="3784">
                  <c:v>36353</c:v>
                </c:pt>
                <c:pt idx="3785">
                  <c:v>36350</c:v>
                </c:pt>
                <c:pt idx="3786">
                  <c:v>36349</c:v>
                </c:pt>
                <c:pt idx="3787">
                  <c:v>36348</c:v>
                </c:pt>
                <c:pt idx="3788">
                  <c:v>36347</c:v>
                </c:pt>
                <c:pt idx="3789">
                  <c:v>36346</c:v>
                </c:pt>
                <c:pt idx="3790">
                  <c:v>36343</c:v>
                </c:pt>
                <c:pt idx="3791">
                  <c:v>36342</c:v>
                </c:pt>
                <c:pt idx="3792">
                  <c:v>36341</c:v>
                </c:pt>
                <c:pt idx="3793">
                  <c:v>36340</c:v>
                </c:pt>
                <c:pt idx="3794">
                  <c:v>36339</c:v>
                </c:pt>
                <c:pt idx="3795">
                  <c:v>36336</c:v>
                </c:pt>
                <c:pt idx="3796">
                  <c:v>36335</c:v>
                </c:pt>
                <c:pt idx="3797">
                  <c:v>36334</c:v>
                </c:pt>
                <c:pt idx="3798">
                  <c:v>36333</c:v>
                </c:pt>
                <c:pt idx="3799">
                  <c:v>36332</c:v>
                </c:pt>
                <c:pt idx="3800">
                  <c:v>36329</c:v>
                </c:pt>
                <c:pt idx="3801">
                  <c:v>36328</c:v>
                </c:pt>
                <c:pt idx="3802">
                  <c:v>36326</c:v>
                </c:pt>
                <c:pt idx="3803">
                  <c:v>36325</c:v>
                </c:pt>
                <c:pt idx="3804">
                  <c:v>36322</c:v>
                </c:pt>
                <c:pt idx="3805">
                  <c:v>36321</c:v>
                </c:pt>
                <c:pt idx="3806">
                  <c:v>36320</c:v>
                </c:pt>
                <c:pt idx="3807">
                  <c:v>36319</c:v>
                </c:pt>
                <c:pt idx="3808">
                  <c:v>36318</c:v>
                </c:pt>
                <c:pt idx="3809">
                  <c:v>36315</c:v>
                </c:pt>
                <c:pt idx="3810">
                  <c:v>36314</c:v>
                </c:pt>
                <c:pt idx="3811">
                  <c:v>36312</c:v>
                </c:pt>
                <c:pt idx="3812">
                  <c:v>36311</c:v>
                </c:pt>
                <c:pt idx="3813">
                  <c:v>36308</c:v>
                </c:pt>
                <c:pt idx="3814">
                  <c:v>36307</c:v>
                </c:pt>
                <c:pt idx="3815">
                  <c:v>36306</c:v>
                </c:pt>
                <c:pt idx="3816">
                  <c:v>36305</c:v>
                </c:pt>
                <c:pt idx="3817">
                  <c:v>36304</c:v>
                </c:pt>
                <c:pt idx="3818">
                  <c:v>36301</c:v>
                </c:pt>
                <c:pt idx="3819">
                  <c:v>36300</c:v>
                </c:pt>
                <c:pt idx="3820">
                  <c:v>36299</c:v>
                </c:pt>
                <c:pt idx="3821">
                  <c:v>36298</c:v>
                </c:pt>
                <c:pt idx="3822">
                  <c:v>36297</c:v>
                </c:pt>
                <c:pt idx="3823">
                  <c:v>36294</c:v>
                </c:pt>
                <c:pt idx="3824">
                  <c:v>36293</c:v>
                </c:pt>
                <c:pt idx="3825">
                  <c:v>36292</c:v>
                </c:pt>
                <c:pt idx="3826">
                  <c:v>36291</c:v>
                </c:pt>
                <c:pt idx="3827">
                  <c:v>36290</c:v>
                </c:pt>
                <c:pt idx="3828">
                  <c:v>36287</c:v>
                </c:pt>
                <c:pt idx="3829">
                  <c:v>36286</c:v>
                </c:pt>
                <c:pt idx="3830">
                  <c:v>36285</c:v>
                </c:pt>
                <c:pt idx="3831">
                  <c:v>36284</c:v>
                </c:pt>
                <c:pt idx="3832">
                  <c:v>36283</c:v>
                </c:pt>
                <c:pt idx="3833">
                  <c:v>36280</c:v>
                </c:pt>
                <c:pt idx="3834">
                  <c:v>36279</c:v>
                </c:pt>
                <c:pt idx="3835">
                  <c:v>36278</c:v>
                </c:pt>
                <c:pt idx="3836">
                  <c:v>36276</c:v>
                </c:pt>
                <c:pt idx="3837">
                  <c:v>36273</c:v>
                </c:pt>
                <c:pt idx="3838">
                  <c:v>36272</c:v>
                </c:pt>
                <c:pt idx="3839">
                  <c:v>36271</c:v>
                </c:pt>
                <c:pt idx="3840">
                  <c:v>36270</c:v>
                </c:pt>
                <c:pt idx="3841">
                  <c:v>36269</c:v>
                </c:pt>
                <c:pt idx="3842">
                  <c:v>36266</c:v>
                </c:pt>
                <c:pt idx="3843">
                  <c:v>36265</c:v>
                </c:pt>
                <c:pt idx="3844">
                  <c:v>36264</c:v>
                </c:pt>
                <c:pt idx="3845">
                  <c:v>36263</c:v>
                </c:pt>
                <c:pt idx="3846">
                  <c:v>36262</c:v>
                </c:pt>
                <c:pt idx="3847">
                  <c:v>36259</c:v>
                </c:pt>
                <c:pt idx="3848">
                  <c:v>36258</c:v>
                </c:pt>
                <c:pt idx="3849">
                  <c:v>36257</c:v>
                </c:pt>
                <c:pt idx="3850">
                  <c:v>36256</c:v>
                </c:pt>
                <c:pt idx="3851">
                  <c:v>36251</c:v>
                </c:pt>
                <c:pt idx="3852">
                  <c:v>36250</c:v>
                </c:pt>
                <c:pt idx="3853">
                  <c:v>36249</c:v>
                </c:pt>
                <c:pt idx="3854">
                  <c:v>36248</c:v>
                </c:pt>
                <c:pt idx="3855">
                  <c:v>36245</c:v>
                </c:pt>
                <c:pt idx="3856">
                  <c:v>36244</c:v>
                </c:pt>
                <c:pt idx="3857">
                  <c:v>36243</c:v>
                </c:pt>
                <c:pt idx="3858">
                  <c:v>36242</c:v>
                </c:pt>
                <c:pt idx="3859">
                  <c:v>36238</c:v>
                </c:pt>
                <c:pt idx="3860">
                  <c:v>36237</c:v>
                </c:pt>
                <c:pt idx="3861">
                  <c:v>36236</c:v>
                </c:pt>
                <c:pt idx="3862">
                  <c:v>36235</c:v>
                </c:pt>
                <c:pt idx="3863">
                  <c:v>36234</c:v>
                </c:pt>
                <c:pt idx="3864">
                  <c:v>36231</c:v>
                </c:pt>
                <c:pt idx="3865">
                  <c:v>36230</c:v>
                </c:pt>
                <c:pt idx="3866">
                  <c:v>36229</c:v>
                </c:pt>
                <c:pt idx="3867">
                  <c:v>36228</c:v>
                </c:pt>
                <c:pt idx="3868">
                  <c:v>36227</c:v>
                </c:pt>
                <c:pt idx="3869">
                  <c:v>36224</c:v>
                </c:pt>
                <c:pt idx="3870">
                  <c:v>36223</c:v>
                </c:pt>
                <c:pt idx="3871">
                  <c:v>36222</c:v>
                </c:pt>
                <c:pt idx="3872">
                  <c:v>36221</c:v>
                </c:pt>
                <c:pt idx="3873">
                  <c:v>36220</c:v>
                </c:pt>
                <c:pt idx="3874">
                  <c:v>36217</c:v>
                </c:pt>
                <c:pt idx="3875">
                  <c:v>36216</c:v>
                </c:pt>
                <c:pt idx="3876">
                  <c:v>36215</c:v>
                </c:pt>
                <c:pt idx="3877">
                  <c:v>36214</c:v>
                </c:pt>
                <c:pt idx="3878">
                  <c:v>36213</c:v>
                </c:pt>
                <c:pt idx="3879">
                  <c:v>36210</c:v>
                </c:pt>
                <c:pt idx="3880">
                  <c:v>36209</c:v>
                </c:pt>
                <c:pt idx="3881">
                  <c:v>36208</c:v>
                </c:pt>
                <c:pt idx="3882">
                  <c:v>36207</c:v>
                </c:pt>
                <c:pt idx="3883">
                  <c:v>36206</c:v>
                </c:pt>
                <c:pt idx="3884">
                  <c:v>36203</c:v>
                </c:pt>
                <c:pt idx="3885">
                  <c:v>36202</c:v>
                </c:pt>
                <c:pt idx="3886">
                  <c:v>36201</c:v>
                </c:pt>
                <c:pt idx="3887">
                  <c:v>36200</c:v>
                </c:pt>
                <c:pt idx="3888">
                  <c:v>36199</c:v>
                </c:pt>
                <c:pt idx="3889">
                  <c:v>36196</c:v>
                </c:pt>
                <c:pt idx="3890">
                  <c:v>36195</c:v>
                </c:pt>
                <c:pt idx="3891">
                  <c:v>36194</c:v>
                </c:pt>
                <c:pt idx="3892">
                  <c:v>36193</c:v>
                </c:pt>
                <c:pt idx="3893">
                  <c:v>36192</c:v>
                </c:pt>
                <c:pt idx="3894">
                  <c:v>36189</c:v>
                </c:pt>
                <c:pt idx="3895">
                  <c:v>36188</c:v>
                </c:pt>
                <c:pt idx="3896">
                  <c:v>36187</c:v>
                </c:pt>
                <c:pt idx="3897">
                  <c:v>36186</c:v>
                </c:pt>
                <c:pt idx="3898">
                  <c:v>36185</c:v>
                </c:pt>
                <c:pt idx="3899">
                  <c:v>36182</c:v>
                </c:pt>
                <c:pt idx="3900">
                  <c:v>36181</c:v>
                </c:pt>
                <c:pt idx="3901">
                  <c:v>36180</c:v>
                </c:pt>
                <c:pt idx="3902">
                  <c:v>36179</c:v>
                </c:pt>
                <c:pt idx="3903">
                  <c:v>36178</c:v>
                </c:pt>
                <c:pt idx="3904">
                  <c:v>36175</c:v>
                </c:pt>
                <c:pt idx="3905">
                  <c:v>36174</c:v>
                </c:pt>
                <c:pt idx="3906">
                  <c:v>36173</c:v>
                </c:pt>
                <c:pt idx="3907">
                  <c:v>36172</c:v>
                </c:pt>
                <c:pt idx="3908">
                  <c:v>36171</c:v>
                </c:pt>
                <c:pt idx="3909">
                  <c:v>36168</c:v>
                </c:pt>
                <c:pt idx="3910">
                  <c:v>36167</c:v>
                </c:pt>
                <c:pt idx="3911">
                  <c:v>36166</c:v>
                </c:pt>
                <c:pt idx="3912">
                  <c:v>36165</c:v>
                </c:pt>
                <c:pt idx="3913">
                  <c:v>36164</c:v>
                </c:pt>
                <c:pt idx="3914">
                  <c:v>36160</c:v>
                </c:pt>
                <c:pt idx="3915">
                  <c:v>36159</c:v>
                </c:pt>
                <c:pt idx="3916">
                  <c:v>36158</c:v>
                </c:pt>
                <c:pt idx="3917">
                  <c:v>36157</c:v>
                </c:pt>
                <c:pt idx="3918">
                  <c:v>36153</c:v>
                </c:pt>
                <c:pt idx="3919">
                  <c:v>36152</c:v>
                </c:pt>
                <c:pt idx="3920">
                  <c:v>36151</c:v>
                </c:pt>
                <c:pt idx="3921">
                  <c:v>36150</c:v>
                </c:pt>
                <c:pt idx="3922">
                  <c:v>36147</c:v>
                </c:pt>
                <c:pt idx="3923">
                  <c:v>36146</c:v>
                </c:pt>
                <c:pt idx="3924">
                  <c:v>36144</c:v>
                </c:pt>
                <c:pt idx="3925">
                  <c:v>36143</c:v>
                </c:pt>
                <c:pt idx="3926">
                  <c:v>36140</c:v>
                </c:pt>
                <c:pt idx="3927">
                  <c:v>36139</c:v>
                </c:pt>
                <c:pt idx="3928">
                  <c:v>36138</c:v>
                </c:pt>
                <c:pt idx="3929">
                  <c:v>36137</c:v>
                </c:pt>
                <c:pt idx="3930">
                  <c:v>36136</c:v>
                </c:pt>
                <c:pt idx="3931">
                  <c:v>36133</c:v>
                </c:pt>
                <c:pt idx="3932">
                  <c:v>36132</c:v>
                </c:pt>
                <c:pt idx="3933">
                  <c:v>36131</c:v>
                </c:pt>
                <c:pt idx="3934">
                  <c:v>36130</c:v>
                </c:pt>
                <c:pt idx="3935">
                  <c:v>36129</c:v>
                </c:pt>
                <c:pt idx="3936">
                  <c:v>36126</c:v>
                </c:pt>
                <c:pt idx="3937">
                  <c:v>36125</c:v>
                </c:pt>
                <c:pt idx="3938">
                  <c:v>36124</c:v>
                </c:pt>
                <c:pt idx="3939">
                  <c:v>36123</c:v>
                </c:pt>
                <c:pt idx="3940">
                  <c:v>36122</c:v>
                </c:pt>
                <c:pt idx="3941">
                  <c:v>36119</c:v>
                </c:pt>
                <c:pt idx="3942">
                  <c:v>36118</c:v>
                </c:pt>
                <c:pt idx="3943">
                  <c:v>36117</c:v>
                </c:pt>
                <c:pt idx="3944">
                  <c:v>36116</c:v>
                </c:pt>
                <c:pt idx="3945">
                  <c:v>36115</c:v>
                </c:pt>
                <c:pt idx="3946">
                  <c:v>36112</c:v>
                </c:pt>
                <c:pt idx="3947">
                  <c:v>36111</c:v>
                </c:pt>
                <c:pt idx="3948">
                  <c:v>36110</c:v>
                </c:pt>
                <c:pt idx="3949">
                  <c:v>36109</c:v>
                </c:pt>
                <c:pt idx="3950">
                  <c:v>36108</c:v>
                </c:pt>
                <c:pt idx="3951">
                  <c:v>36105</c:v>
                </c:pt>
                <c:pt idx="3952">
                  <c:v>36104</c:v>
                </c:pt>
                <c:pt idx="3953">
                  <c:v>36103</c:v>
                </c:pt>
                <c:pt idx="3954">
                  <c:v>36102</c:v>
                </c:pt>
                <c:pt idx="3955">
                  <c:v>36101</c:v>
                </c:pt>
                <c:pt idx="3956">
                  <c:v>36098</c:v>
                </c:pt>
                <c:pt idx="3957">
                  <c:v>36097</c:v>
                </c:pt>
                <c:pt idx="3958">
                  <c:v>36096</c:v>
                </c:pt>
                <c:pt idx="3959">
                  <c:v>36095</c:v>
                </c:pt>
                <c:pt idx="3960">
                  <c:v>36094</c:v>
                </c:pt>
                <c:pt idx="3961">
                  <c:v>36091</c:v>
                </c:pt>
                <c:pt idx="3962">
                  <c:v>36090</c:v>
                </c:pt>
                <c:pt idx="3963">
                  <c:v>36089</c:v>
                </c:pt>
                <c:pt idx="3964">
                  <c:v>36088</c:v>
                </c:pt>
                <c:pt idx="3965">
                  <c:v>36087</c:v>
                </c:pt>
                <c:pt idx="3966">
                  <c:v>36084</c:v>
                </c:pt>
                <c:pt idx="3967">
                  <c:v>36083</c:v>
                </c:pt>
                <c:pt idx="3968">
                  <c:v>36082</c:v>
                </c:pt>
                <c:pt idx="3969">
                  <c:v>36081</c:v>
                </c:pt>
                <c:pt idx="3970">
                  <c:v>36080</c:v>
                </c:pt>
                <c:pt idx="3971">
                  <c:v>36077</c:v>
                </c:pt>
                <c:pt idx="3972">
                  <c:v>36076</c:v>
                </c:pt>
                <c:pt idx="3973">
                  <c:v>36075</c:v>
                </c:pt>
                <c:pt idx="3974">
                  <c:v>36074</c:v>
                </c:pt>
                <c:pt idx="3975">
                  <c:v>36073</c:v>
                </c:pt>
                <c:pt idx="3976">
                  <c:v>36070</c:v>
                </c:pt>
                <c:pt idx="3977">
                  <c:v>36069</c:v>
                </c:pt>
                <c:pt idx="3978">
                  <c:v>36068</c:v>
                </c:pt>
                <c:pt idx="3979">
                  <c:v>36067</c:v>
                </c:pt>
                <c:pt idx="3980">
                  <c:v>36066</c:v>
                </c:pt>
                <c:pt idx="3981">
                  <c:v>36063</c:v>
                </c:pt>
                <c:pt idx="3982">
                  <c:v>36061</c:v>
                </c:pt>
                <c:pt idx="3983">
                  <c:v>36060</c:v>
                </c:pt>
                <c:pt idx="3984">
                  <c:v>36059</c:v>
                </c:pt>
                <c:pt idx="3985">
                  <c:v>36056</c:v>
                </c:pt>
                <c:pt idx="3986">
                  <c:v>36055</c:v>
                </c:pt>
                <c:pt idx="3987">
                  <c:v>36054</c:v>
                </c:pt>
                <c:pt idx="3988">
                  <c:v>36053</c:v>
                </c:pt>
                <c:pt idx="3989">
                  <c:v>36052</c:v>
                </c:pt>
                <c:pt idx="3990">
                  <c:v>36049</c:v>
                </c:pt>
                <c:pt idx="3991">
                  <c:v>36048</c:v>
                </c:pt>
                <c:pt idx="3992">
                  <c:v>36047</c:v>
                </c:pt>
                <c:pt idx="3993">
                  <c:v>36046</c:v>
                </c:pt>
                <c:pt idx="3994">
                  <c:v>36045</c:v>
                </c:pt>
                <c:pt idx="3995">
                  <c:v>36042</c:v>
                </c:pt>
                <c:pt idx="3996">
                  <c:v>36041</c:v>
                </c:pt>
                <c:pt idx="3997">
                  <c:v>36040</c:v>
                </c:pt>
                <c:pt idx="3998">
                  <c:v>36039</c:v>
                </c:pt>
                <c:pt idx="3999">
                  <c:v>36038</c:v>
                </c:pt>
                <c:pt idx="4000">
                  <c:v>36035</c:v>
                </c:pt>
                <c:pt idx="4001">
                  <c:v>36034</c:v>
                </c:pt>
                <c:pt idx="4002">
                  <c:v>36033</c:v>
                </c:pt>
                <c:pt idx="4003">
                  <c:v>36032</c:v>
                </c:pt>
                <c:pt idx="4004">
                  <c:v>36031</c:v>
                </c:pt>
                <c:pt idx="4005">
                  <c:v>36028</c:v>
                </c:pt>
                <c:pt idx="4006">
                  <c:v>36027</c:v>
                </c:pt>
                <c:pt idx="4007">
                  <c:v>36026</c:v>
                </c:pt>
                <c:pt idx="4008">
                  <c:v>36025</c:v>
                </c:pt>
                <c:pt idx="4009">
                  <c:v>36024</c:v>
                </c:pt>
                <c:pt idx="4010">
                  <c:v>36021</c:v>
                </c:pt>
                <c:pt idx="4011">
                  <c:v>36020</c:v>
                </c:pt>
                <c:pt idx="4012">
                  <c:v>36019</c:v>
                </c:pt>
                <c:pt idx="4013">
                  <c:v>36018</c:v>
                </c:pt>
                <c:pt idx="4014">
                  <c:v>36014</c:v>
                </c:pt>
                <c:pt idx="4015">
                  <c:v>36013</c:v>
                </c:pt>
                <c:pt idx="4016">
                  <c:v>36012</c:v>
                </c:pt>
                <c:pt idx="4017">
                  <c:v>36011</c:v>
                </c:pt>
                <c:pt idx="4018">
                  <c:v>36010</c:v>
                </c:pt>
                <c:pt idx="4019">
                  <c:v>36007</c:v>
                </c:pt>
                <c:pt idx="4020">
                  <c:v>36006</c:v>
                </c:pt>
                <c:pt idx="4021">
                  <c:v>36005</c:v>
                </c:pt>
                <c:pt idx="4022">
                  <c:v>36004</c:v>
                </c:pt>
                <c:pt idx="4023">
                  <c:v>36003</c:v>
                </c:pt>
                <c:pt idx="4024">
                  <c:v>36000</c:v>
                </c:pt>
                <c:pt idx="4025">
                  <c:v>35999</c:v>
                </c:pt>
                <c:pt idx="4026">
                  <c:v>35998</c:v>
                </c:pt>
                <c:pt idx="4027">
                  <c:v>35997</c:v>
                </c:pt>
                <c:pt idx="4028">
                  <c:v>35996</c:v>
                </c:pt>
                <c:pt idx="4029">
                  <c:v>35993</c:v>
                </c:pt>
                <c:pt idx="4030">
                  <c:v>35992</c:v>
                </c:pt>
                <c:pt idx="4031">
                  <c:v>35991</c:v>
                </c:pt>
                <c:pt idx="4032">
                  <c:v>35990</c:v>
                </c:pt>
                <c:pt idx="4033">
                  <c:v>35989</c:v>
                </c:pt>
                <c:pt idx="4034">
                  <c:v>35986</c:v>
                </c:pt>
                <c:pt idx="4035">
                  <c:v>35985</c:v>
                </c:pt>
                <c:pt idx="4036">
                  <c:v>35984</c:v>
                </c:pt>
                <c:pt idx="4037">
                  <c:v>35983</c:v>
                </c:pt>
                <c:pt idx="4038">
                  <c:v>35982</c:v>
                </c:pt>
                <c:pt idx="4039">
                  <c:v>35979</c:v>
                </c:pt>
                <c:pt idx="4040">
                  <c:v>35978</c:v>
                </c:pt>
                <c:pt idx="4041">
                  <c:v>35977</c:v>
                </c:pt>
                <c:pt idx="4042">
                  <c:v>35976</c:v>
                </c:pt>
                <c:pt idx="4043">
                  <c:v>35975</c:v>
                </c:pt>
                <c:pt idx="4044">
                  <c:v>35972</c:v>
                </c:pt>
                <c:pt idx="4045">
                  <c:v>35971</c:v>
                </c:pt>
                <c:pt idx="4046">
                  <c:v>35970</c:v>
                </c:pt>
                <c:pt idx="4047">
                  <c:v>35969</c:v>
                </c:pt>
                <c:pt idx="4048">
                  <c:v>35968</c:v>
                </c:pt>
                <c:pt idx="4049">
                  <c:v>35965</c:v>
                </c:pt>
                <c:pt idx="4050">
                  <c:v>35964</c:v>
                </c:pt>
                <c:pt idx="4051">
                  <c:v>35963</c:v>
                </c:pt>
                <c:pt idx="4052">
                  <c:v>35961</c:v>
                </c:pt>
                <c:pt idx="4053">
                  <c:v>35958</c:v>
                </c:pt>
                <c:pt idx="4054">
                  <c:v>35957</c:v>
                </c:pt>
                <c:pt idx="4055">
                  <c:v>35956</c:v>
                </c:pt>
                <c:pt idx="4056">
                  <c:v>35955</c:v>
                </c:pt>
                <c:pt idx="4057">
                  <c:v>35954</c:v>
                </c:pt>
                <c:pt idx="4058">
                  <c:v>35951</c:v>
                </c:pt>
                <c:pt idx="4059">
                  <c:v>35950</c:v>
                </c:pt>
                <c:pt idx="4060">
                  <c:v>35949</c:v>
                </c:pt>
                <c:pt idx="4061">
                  <c:v>35948</c:v>
                </c:pt>
                <c:pt idx="4062">
                  <c:v>35947</c:v>
                </c:pt>
                <c:pt idx="4063">
                  <c:v>35944</c:v>
                </c:pt>
                <c:pt idx="4064">
                  <c:v>35943</c:v>
                </c:pt>
                <c:pt idx="4065">
                  <c:v>35942</c:v>
                </c:pt>
                <c:pt idx="4066">
                  <c:v>35941</c:v>
                </c:pt>
                <c:pt idx="4067">
                  <c:v>35940</c:v>
                </c:pt>
                <c:pt idx="4068">
                  <c:v>35937</c:v>
                </c:pt>
                <c:pt idx="4069">
                  <c:v>35936</c:v>
                </c:pt>
                <c:pt idx="4070">
                  <c:v>35935</c:v>
                </c:pt>
                <c:pt idx="4071">
                  <c:v>35934</c:v>
                </c:pt>
                <c:pt idx="4072">
                  <c:v>35933</c:v>
                </c:pt>
                <c:pt idx="4073">
                  <c:v>35930</c:v>
                </c:pt>
                <c:pt idx="4074">
                  <c:v>35929</c:v>
                </c:pt>
                <c:pt idx="4075">
                  <c:v>35928</c:v>
                </c:pt>
                <c:pt idx="4076">
                  <c:v>35927</c:v>
                </c:pt>
                <c:pt idx="4077">
                  <c:v>35926</c:v>
                </c:pt>
                <c:pt idx="4078">
                  <c:v>35923</c:v>
                </c:pt>
                <c:pt idx="4079">
                  <c:v>35922</c:v>
                </c:pt>
                <c:pt idx="4080">
                  <c:v>35921</c:v>
                </c:pt>
                <c:pt idx="4081">
                  <c:v>35920</c:v>
                </c:pt>
                <c:pt idx="4082">
                  <c:v>35919</c:v>
                </c:pt>
                <c:pt idx="4083">
                  <c:v>35915</c:v>
                </c:pt>
                <c:pt idx="4084">
                  <c:v>35914</c:v>
                </c:pt>
                <c:pt idx="4085">
                  <c:v>35913</c:v>
                </c:pt>
                <c:pt idx="4086">
                  <c:v>35909</c:v>
                </c:pt>
                <c:pt idx="4087">
                  <c:v>35908</c:v>
                </c:pt>
                <c:pt idx="4088">
                  <c:v>35907</c:v>
                </c:pt>
                <c:pt idx="4089">
                  <c:v>35906</c:v>
                </c:pt>
                <c:pt idx="4090">
                  <c:v>35905</c:v>
                </c:pt>
                <c:pt idx="4091">
                  <c:v>35902</c:v>
                </c:pt>
                <c:pt idx="4092">
                  <c:v>35901</c:v>
                </c:pt>
                <c:pt idx="4093">
                  <c:v>35900</c:v>
                </c:pt>
                <c:pt idx="4094">
                  <c:v>35899</c:v>
                </c:pt>
                <c:pt idx="4095">
                  <c:v>35894</c:v>
                </c:pt>
                <c:pt idx="4096">
                  <c:v>35893</c:v>
                </c:pt>
                <c:pt idx="4097">
                  <c:v>35892</c:v>
                </c:pt>
                <c:pt idx="4098">
                  <c:v>35891</c:v>
                </c:pt>
                <c:pt idx="4099">
                  <c:v>35888</c:v>
                </c:pt>
                <c:pt idx="4100">
                  <c:v>35887</c:v>
                </c:pt>
                <c:pt idx="4101">
                  <c:v>35886</c:v>
                </c:pt>
                <c:pt idx="4102">
                  <c:v>35885</c:v>
                </c:pt>
                <c:pt idx="4103">
                  <c:v>35884</c:v>
                </c:pt>
                <c:pt idx="4104">
                  <c:v>35881</c:v>
                </c:pt>
                <c:pt idx="4105">
                  <c:v>35880</c:v>
                </c:pt>
                <c:pt idx="4106">
                  <c:v>35879</c:v>
                </c:pt>
                <c:pt idx="4107">
                  <c:v>35878</c:v>
                </c:pt>
                <c:pt idx="4108">
                  <c:v>35877</c:v>
                </c:pt>
                <c:pt idx="4109">
                  <c:v>35874</c:v>
                </c:pt>
                <c:pt idx="4110">
                  <c:v>35873</c:v>
                </c:pt>
                <c:pt idx="4111">
                  <c:v>35872</c:v>
                </c:pt>
                <c:pt idx="4112">
                  <c:v>35871</c:v>
                </c:pt>
                <c:pt idx="4113">
                  <c:v>35870</c:v>
                </c:pt>
                <c:pt idx="4114">
                  <c:v>35867</c:v>
                </c:pt>
                <c:pt idx="4115">
                  <c:v>35866</c:v>
                </c:pt>
                <c:pt idx="4116">
                  <c:v>35865</c:v>
                </c:pt>
                <c:pt idx="4117">
                  <c:v>35864</c:v>
                </c:pt>
                <c:pt idx="4118">
                  <c:v>35863</c:v>
                </c:pt>
                <c:pt idx="4119">
                  <c:v>35860</c:v>
                </c:pt>
                <c:pt idx="4120">
                  <c:v>35859</c:v>
                </c:pt>
                <c:pt idx="4121">
                  <c:v>35858</c:v>
                </c:pt>
                <c:pt idx="4122">
                  <c:v>35857</c:v>
                </c:pt>
                <c:pt idx="4123">
                  <c:v>35856</c:v>
                </c:pt>
                <c:pt idx="4124">
                  <c:v>35853</c:v>
                </c:pt>
                <c:pt idx="4125">
                  <c:v>35852</c:v>
                </c:pt>
                <c:pt idx="4126">
                  <c:v>35851</c:v>
                </c:pt>
                <c:pt idx="4127">
                  <c:v>35850</c:v>
                </c:pt>
                <c:pt idx="4128">
                  <c:v>35849</c:v>
                </c:pt>
                <c:pt idx="4129">
                  <c:v>35846</c:v>
                </c:pt>
                <c:pt idx="4130">
                  <c:v>35845</c:v>
                </c:pt>
                <c:pt idx="4131">
                  <c:v>35844</c:v>
                </c:pt>
                <c:pt idx="4132">
                  <c:v>35843</c:v>
                </c:pt>
                <c:pt idx="4133">
                  <c:v>35842</c:v>
                </c:pt>
                <c:pt idx="4134">
                  <c:v>35839</c:v>
                </c:pt>
                <c:pt idx="4135">
                  <c:v>35838</c:v>
                </c:pt>
                <c:pt idx="4136">
                  <c:v>35837</c:v>
                </c:pt>
                <c:pt idx="4137">
                  <c:v>35836</c:v>
                </c:pt>
                <c:pt idx="4138">
                  <c:v>35835</c:v>
                </c:pt>
                <c:pt idx="4139">
                  <c:v>35832</c:v>
                </c:pt>
                <c:pt idx="4140">
                  <c:v>35831</c:v>
                </c:pt>
                <c:pt idx="4141">
                  <c:v>35830</c:v>
                </c:pt>
                <c:pt idx="4142">
                  <c:v>35829</c:v>
                </c:pt>
                <c:pt idx="4143">
                  <c:v>35828</c:v>
                </c:pt>
                <c:pt idx="4144">
                  <c:v>35825</c:v>
                </c:pt>
                <c:pt idx="4145">
                  <c:v>35824</c:v>
                </c:pt>
                <c:pt idx="4146">
                  <c:v>35823</c:v>
                </c:pt>
                <c:pt idx="4147">
                  <c:v>35822</c:v>
                </c:pt>
                <c:pt idx="4148">
                  <c:v>35821</c:v>
                </c:pt>
                <c:pt idx="4149">
                  <c:v>35818</c:v>
                </c:pt>
                <c:pt idx="4150">
                  <c:v>35817</c:v>
                </c:pt>
                <c:pt idx="4151">
                  <c:v>35816</c:v>
                </c:pt>
                <c:pt idx="4152">
                  <c:v>35815</c:v>
                </c:pt>
                <c:pt idx="4153">
                  <c:v>35814</c:v>
                </c:pt>
                <c:pt idx="4154">
                  <c:v>35811</c:v>
                </c:pt>
                <c:pt idx="4155">
                  <c:v>35810</c:v>
                </c:pt>
                <c:pt idx="4156">
                  <c:v>35809</c:v>
                </c:pt>
                <c:pt idx="4157">
                  <c:v>35808</c:v>
                </c:pt>
                <c:pt idx="4158">
                  <c:v>35807</c:v>
                </c:pt>
                <c:pt idx="4159">
                  <c:v>35804</c:v>
                </c:pt>
                <c:pt idx="4160">
                  <c:v>35803</c:v>
                </c:pt>
                <c:pt idx="4161">
                  <c:v>35802</c:v>
                </c:pt>
                <c:pt idx="4162">
                  <c:v>35801</c:v>
                </c:pt>
                <c:pt idx="4163">
                  <c:v>35800</c:v>
                </c:pt>
                <c:pt idx="4164">
                  <c:v>35797</c:v>
                </c:pt>
                <c:pt idx="4165">
                  <c:v>35795</c:v>
                </c:pt>
                <c:pt idx="4166">
                  <c:v>35794</c:v>
                </c:pt>
                <c:pt idx="4167">
                  <c:v>35793</c:v>
                </c:pt>
                <c:pt idx="4168">
                  <c:v>35788</c:v>
                </c:pt>
                <c:pt idx="4169">
                  <c:v>35787</c:v>
                </c:pt>
                <c:pt idx="4170">
                  <c:v>35786</c:v>
                </c:pt>
                <c:pt idx="4171">
                  <c:v>35783</c:v>
                </c:pt>
                <c:pt idx="4172">
                  <c:v>35782</c:v>
                </c:pt>
                <c:pt idx="4173">
                  <c:v>35781</c:v>
                </c:pt>
                <c:pt idx="4174">
                  <c:v>35779</c:v>
                </c:pt>
                <c:pt idx="4175">
                  <c:v>35776</c:v>
                </c:pt>
                <c:pt idx="4176">
                  <c:v>35775</c:v>
                </c:pt>
                <c:pt idx="4177">
                  <c:v>35774</c:v>
                </c:pt>
                <c:pt idx="4178">
                  <c:v>35773</c:v>
                </c:pt>
                <c:pt idx="4179">
                  <c:v>35772</c:v>
                </c:pt>
                <c:pt idx="4180">
                  <c:v>35769</c:v>
                </c:pt>
                <c:pt idx="4181">
                  <c:v>35768</c:v>
                </c:pt>
                <c:pt idx="4182">
                  <c:v>35767</c:v>
                </c:pt>
                <c:pt idx="4183">
                  <c:v>35766</c:v>
                </c:pt>
                <c:pt idx="4184">
                  <c:v>35765</c:v>
                </c:pt>
                <c:pt idx="4185">
                  <c:v>35762</c:v>
                </c:pt>
                <c:pt idx="4186">
                  <c:v>35761</c:v>
                </c:pt>
                <c:pt idx="4187">
                  <c:v>35760</c:v>
                </c:pt>
                <c:pt idx="4188">
                  <c:v>35759</c:v>
                </c:pt>
                <c:pt idx="4189">
                  <c:v>35758</c:v>
                </c:pt>
                <c:pt idx="4190">
                  <c:v>35755</c:v>
                </c:pt>
                <c:pt idx="4191">
                  <c:v>35754</c:v>
                </c:pt>
                <c:pt idx="4192">
                  <c:v>35753</c:v>
                </c:pt>
                <c:pt idx="4193">
                  <c:v>35752</c:v>
                </c:pt>
                <c:pt idx="4194">
                  <c:v>35751</c:v>
                </c:pt>
                <c:pt idx="4195">
                  <c:v>35748</c:v>
                </c:pt>
                <c:pt idx="4196">
                  <c:v>35747</c:v>
                </c:pt>
                <c:pt idx="4197">
                  <c:v>35746</c:v>
                </c:pt>
                <c:pt idx="4198">
                  <c:v>35745</c:v>
                </c:pt>
                <c:pt idx="4199">
                  <c:v>35744</c:v>
                </c:pt>
                <c:pt idx="4200">
                  <c:v>35741</c:v>
                </c:pt>
                <c:pt idx="4201">
                  <c:v>35740</c:v>
                </c:pt>
                <c:pt idx="4202">
                  <c:v>35739</c:v>
                </c:pt>
                <c:pt idx="4203">
                  <c:v>35738</c:v>
                </c:pt>
                <c:pt idx="4204">
                  <c:v>35737</c:v>
                </c:pt>
                <c:pt idx="4205">
                  <c:v>35734</c:v>
                </c:pt>
                <c:pt idx="4206">
                  <c:v>35733</c:v>
                </c:pt>
                <c:pt idx="4207">
                  <c:v>35732</c:v>
                </c:pt>
                <c:pt idx="4208">
                  <c:v>35731</c:v>
                </c:pt>
                <c:pt idx="4209">
                  <c:v>35730</c:v>
                </c:pt>
                <c:pt idx="4210">
                  <c:v>35727</c:v>
                </c:pt>
                <c:pt idx="4211">
                  <c:v>35726</c:v>
                </c:pt>
                <c:pt idx="4212">
                  <c:v>35725</c:v>
                </c:pt>
                <c:pt idx="4213">
                  <c:v>35724</c:v>
                </c:pt>
                <c:pt idx="4214">
                  <c:v>35723</c:v>
                </c:pt>
                <c:pt idx="4215">
                  <c:v>35720</c:v>
                </c:pt>
                <c:pt idx="4216">
                  <c:v>35719</c:v>
                </c:pt>
                <c:pt idx="4217">
                  <c:v>35718</c:v>
                </c:pt>
                <c:pt idx="4218">
                  <c:v>35717</c:v>
                </c:pt>
                <c:pt idx="4219">
                  <c:v>35716</c:v>
                </c:pt>
                <c:pt idx="4220">
                  <c:v>35713</c:v>
                </c:pt>
                <c:pt idx="4221">
                  <c:v>35712</c:v>
                </c:pt>
                <c:pt idx="4222">
                  <c:v>35711</c:v>
                </c:pt>
                <c:pt idx="4223">
                  <c:v>35710</c:v>
                </c:pt>
                <c:pt idx="4224">
                  <c:v>35709</c:v>
                </c:pt>
                <c:pt idx="4225">
                  <c:v>35706</c:v>
                </c:pt>
                <c:pt idx="4226">
                  <c:v>35705</c:v>
                </c:pt>
                <c:pt idx="4227">
                  <c:v>35704</c:v>
                </c:pt>
                <c:pt idx="4228">
                  <c:v>35703</c:v>
                </c:pt>
                <c:pt idx="4229">
                  <c:v>35702</c:v>
                </c:pt>
                <c:pt idx="4230">
                  <c:v>35699</c:v>
                </c:pt>
                <c:pt idx="4231">
                  <c:v>35698</c:v>
                </c:pt>
                <c:pt idx="4232">
                  <c:v>35696</c:v>
                </c:pt>
                <c:pt idx="4233">
                  <c:v>35695</c:v>
                </c:pt>
                <c:pt idx="4234">
                  <c:v>35692</c:v>
                </c:pt>
                <c:pt idx="4235">
                  <c:v>35691</c:v>
                </c:pt>
                <c:pt idx="4236">
                  <c:v>35690</c:v>
                </c:pt>
                <c:pt idx="4237">
                  <c:v>35689</c:v>
                </c:pt>
                <c:pt idx="4238">
                  <c:v>35688</c:v>
                </c:pt>
                <c:pt idx="4239">
                  <c:v>35685</c:v>
                </c:pt>
                <c:pt idx="4240">
                  <c:v>35684</c:v>
                </c:pt>
                <c:pt idx="4241">
                  <c:v>35683</c:v>
                </c:pt>
                <c:pt idx="4242">
                  <c:v>35682</c:v>
                </c:pt>
                <c:pt idx="4243">
                  <c:v>35681</c:v>
                </c:pt>
                <c:pt idx="4244">
                  <c:v>35678</c:v>
                </c:pt>
                <c:pt idx="4245">
                  <c:v>35677</c:v>
                </c:pt>
                <c:pt idx="4246">
                  <c:v>35676</c:v>
                </c:pt>
                <c:pt idx="4247">
                  <c:v>35675</c:v>
                </c:pt>
                <c:pt idx="4248">
                  <c:v>35674</c:v>
                </c:pt>
                <c:pt idx="4249">
                  <c:v>35671</c:v>
                </c:pt>
                <c:pt idx="4250">
                  <c:v>35670</c:v>
                </c:pt>
                <c:pt idx="4251">
                  <c:v>35669</c:v>
                </c:pt>
                <c:pt idx="4252">
                  <c:v>35668</c:v>
                </c:pt>
                <c:pt idx="4253">
                  <c:v>35667</c:v>
                </c:pt>
                <c:pt idx="4254">
                  <c:v>35664</c:v>
                </c:pt>
                <c:pt idx="4255">
                  <c:v>35663</c:v>
                </c:pt>
                <c:pt idx="4256">
                  <c:v>35662</c:v>
                </c:pt>
                <c:pt idx="4257">
                  <c:v>35661</c:v>
                </c:pt>
                <c:pt idx="4258">
                  <c:v>35660</c:v>
                </c:pt>
                <c:pt idx="4259">
                  <c:v>35657</c:v>
                </c:pt>
                <c:pt idx="4260">
                  <c:v>35656</c:v>
                </c:pt>
                <c:pt idx="4261">
                  <c:v>35655</c:v>
                </c:pt>
                <c:pt idx="4262">
                  <c:v>35654</c:v>
                </c:pt>
                <c:pt idx="4263">
                  <c:v>35653</c:v>
                </c:pt>
                <c:pt idx="4264">
                  <c:v>35650</c:v>
                </c:pt>
                <c:pt idx="4265">
                  <c:v>35649</c:v>
                </c:pt>
                <c:pt idx="4266">
                  <c:v>35648</c:v>
                </c:pt>
                <c:pt idx="4267">
                  <c:v>35647</c:v>
                </c:pt>
                <c:pt idx="4268">
                  <c:v>35646</c:v>
                </c:pt>
                <c:pt idx="4269">
                  <c:v>35643</c:v>
                </c:pt>
                <c:pt idx="4270">
                  <c:v>35642</c:v>
                </c:pt>
                <c:pt idx="4271">
                  <c:v>35641</c:v>
                </c:pt>
                <c:pt idx="4272">
                  <c:v>35640</c:v>
                </c:pt>
                <c:pt idx="4273">
                  <c:v>35639</c:v>
                </c:pt>
                <c:pt idx="4274">
                  <c:v>35636</c:v>
                </c:pt>
                <c:pt idx="4275">
                  <c:v>35635</c:v>
                </c:pt>
                <c:pt idx="4276">
                  <c:v>35634</c:v>
                </c:pt>
                <c:pt idx="4277">
                  <c:v>35633</c:v>
                </c:pt>
                <c:pt idx="4278">
                  <c:v>35632</c:v>
                </c:pt>
                <c:pt idx="4279">
                  <c:v>35629</c:v>
                </c:pt>
                <c:pt idx="4280">
                  <c:v>35628</c:v>
                </c:pt>
                <c:pt idx="4281">
                  <c:v>35627</c:v>
                </c:pt>
                <c:pt idx="4282">
                  <c:v>35626</c:v>
                </c:pt>
                <c:pt idx="4283">
                  <c:v>35625</c:v>
                </c:pt>
                <c:pt idx="4284">
                  <c:v>35622</c:v>
                </c:pt>
                <c:pt idx="4285">
                  <c:v>35621</c:v>
                </c:pt>
                <c:pt idx="4286">
                  <c:v>35620</c:v>
                </c:pt>
                <c:pt idx="4287">
                  <c:v>35619</c:v>
                </c:pt>
                <c:pt idx="4288">
                  <c:v>35618</c:v>
                </c:pt>
                <c:pt idx="4289">
                  <c:v>35615</c:v>
                </c:pt>
                <c:pt idx="4290">
                  <c:v>35614</c:v>
                </c:pt>
                <c:pt idx="4291">
                  <c:v>35613</c:v>
                </c:pt>
                <c:pt idx="4292">
                  <c:v>35612</c:v>
                </c:pt>
                <c:pt idx="4293">
                  <c:v>35611</c:v>
                </c:pt>
                <c:pt idx="4294">
                  <c:v>35608</c:v>
                </c:pt>
                <c:pt idx="4295">
                  <c:v>35607</c:v>
                </c:pt>
                <c:pt idx="4296">
                  <c:v>35606</c:v>
                </c:pt>
                <c:pt idx="4297">
                  <c:v>35605</c:v>
                </c:pt>
                <c:pt idx="4298">
                  <c:v>35604</c:v>
                </c:pt>
                <c:pt idx="4299">
                  <c:v>35601</c:v>
                </c:pt>
                <c:pt idx="4300">
                  <c:v>35600</c:v>
                </c:pt>
                <c:pt idx="4301">
                  <c:v>35599</c:v>
                </c:pt>
                <c:pt idx="4302">
                  <c:v>35598</c:v>
                </c:pt>
                <c:pt idx="4303">
                  <c:v>35594</c:v>
                </c:pt>
                <c:pt idx="4304">
                  <c:v>35593</c:v>
                </c:pt>
                <c:pt idx="4305">
                  <c:v>35592</c:v>
                </c:pt>
                <c:pt idx="4306">
                  <c:v>35591</c:v>
                </c:pt>
                <c:pt idx="4307">
                  <c:v>35590</c:v>
                </c:pt>
                <c:pt idx="4308">
                  <c:v>35587</c:v>
                </c:pt>
                <c:pt idx="4309">
                  <c:v>35586</c:v>
                </c:pt>
                <c:pt idx="4310">
                  <c:v>35585</c:v>
                </c:pt>
                <c:pt idx="4311">
                  <c:v>35584</c:v>
                </c:pt>
                <c:pt idx="4312">
                  <c:v>35583</c:v>
                </c:pt>
                <c:pt idx="4313">
                  <c:v>35580</c:v>
                </c:pt>
                <c:pt idx="4314">
                  <c:v>35579</c:v>
                </c:pt>
                <c:pt idx="4315">
                  <c:v>35578</c:v>
                </c:pt>
                <c:pt idx="4316">
                  <c:v>35577</c:v>
                </c:pt>
                <c:pt idx="4317">
                  <c:v>35576</c:v>
                </c:pt>
                <c:pt idx="4318">
                  <c:v>35573</c:v>
                </c:pt>
                <c:pt idx="4319">
                  <c:v>35572</c:v>
                </c:pt>
                <c:pt idx="4320">
                  <c:v>35571</c:v>
                </c:pt>
                <c:pt idx="4321">
                  <c:v>35570</c:v>
                </c:pt>
                <c:pt idx="4322">
                  <c:v>35569</c:v>
                </c:pt>
                <c:pt idx="4323">
                  <c:v>35566</c:v>
                </c:pt>
                <c:pt idx="4324">
                  <c:v>35565</c:v>
                </c:pt>
                <c:pt idx="4325">
                  <c:v>35564</c:v>
                </c:pt>
                <c:pt idx="4326">
                  <c:v>35563</c:v>
                </c:pt>
                <c:pt idx="4327">
                  <c:v>35562</c:v>
                </c:pt>
                <c:pt idx="4328">
                  <c:v>35559</c:v>
                </c:pt>
                <c:pt idx="4329">
                  <c:v>35558</c:v>
                </c:pt>
                <c:pt idx="4330">
                  <c:v>35557</c:v>
                </c:pt>
                <c:pt idx="4331">
                  <c:v>35556</c:v>
                </c:pt>
                <c:pt idx="4332">
                  <c:v>35555</c:v>
                </c:pt>
                <c:pt idx="4333">
                  <c:v>35552</c:v>
                </c:pt>
                <c:pt idx="4334">
                  <c:v>35550</c:v>
                </c:pt>
                <c:pt idx="4335">
                  <c:v>35549</c:v>
                </c:pt>
                <c:pt idx="4336">
                  <c:v>35545</c:v>
                </c:pt>
                <c:pt idx="4337">
                  <c:v>35544</c:v>
                </c:pt>
                <c:pt idx="4338">
                  <c:v>35543</c:v>
                </c:pt>
                <c:pt idx="4339">
                  <c:v>35542</c:v>
                </c:pt>
                <c:pt idx="4340">
                  <c:v>35541</c:v>
                </c:pt>
                <c:pt idx="4341">
                  <c:v>35538</c:v>
                </c:pt>
                <c:pt idx="4342">
                  <c:v>35537</c:v>
                </c:pt>
                <c:pt idx="4343">
                  <c:v>35536</c:v>
                </c:pt>
                <c:pt idx="4344">
                  <c:v>35535</c:v>
                </c:pt>
                <c:pt idx="4345">
                  <c:v>35534</c:v>
                </c:pt>
                <c:pt idx="4346">
                  <c:v>35531</c:v>
                </c:pt>
                <c:pt idx="4347">
                  <c:v>35530</c:v>
                </c:pt>
                <c:pt idx="4348">
                  <c:v>35529</c:v>
                </c:pt>
                <c:pt idx="4349">
                  <c:v>35528</c:v>
                </c:pt>
                <c:pt idx="4350">
                  <c:v>35527</c:v>
                </c:pt>
                <c:pt idx="4351">
                  <c:v>35524</c:v>
                </c:pt>
                <c:pt idx="4352">
                  <c:v>35523</c:v>
                </c:pt>
                <c:pt idx="4353">
                  <c:v>35522</c:v>
                </c:pt>
                <c:pt idx="4354">
                  <c:v>35521</c:v>
                </c:pt>
                <c:pt idx="4355">
                  <c:v>35516</c:v>
                </c:pt>
                <c:pt idx="4356">
                  <c:v>35515</c:v>
                </c:pt>
                <c:pt idx="4357">
                  <c:v>35514</c:v>
                </c:pt>
                <c:pt idx="4358">
                  <c:v>35513</c:v>
                </c:pt>
                <c:pt idx="4359">
                  <c:v>35509</c:v>
                </c:pt>
                <c:pt idx="4360">
                  <c:v>35508</c:v>
                </c:pt>
                <c:pt idx="4361">
                  <c:v>35507</c:v>
                </c:pt>
                <c:pt idx="4362">
                  <c:v>35506</c:v>
                </c:pt>
                <c:pt idx="4363">
                  <c:v>35503</c:v>
                </c:pt>
                <c:pt idx="4364">
                  <c:v>35502</c:v>
                </c:pt>
                <c:pt idx="4365">
                  <c:v>35501</c:v>
                </c:pt>
                <c:pt idx="4366">
                  <c:v>35500</c:v>
                </c:pt>
                <c:pt idx="4367">
                  <c:v>35499</c:v>
                </c:pt>
                <c:pt idx="4368">
                  <c:v>35496</c:v>
                </c:pt>
                <c:pt idx="4369">
                  <c:v>35495</c:v>
                </c:pt>
                <c:pt idx="4370">
                  <c:v>35494</c:v>
                </c:pt>
                <c:pt idx="4371">
                  <c:v>35493</c:v>
                </c:pt>
                <c:pt idx="4372">
                  <c:v>35492</c:v>
                </c:pt>
                <c:pt idx="4373">
                  <c:v>35489</c:v>
                </c:pt>
                <c:pt idx="4374">
                  <c:v>35488</c:v>
                </c:pt>
                <c:pt idx="4375">
                  <c:v>35487</c:v>
                </c:pt>
                <c:pt idx="4376">
                  <c:v>35486</c:v>
                </c:pt>
                <c:pt idx="4377">
                  <c:v>35485</c:v>
                </c:pt>
                <c:pt idx="4378">
                  <c:v>35482</c:v>
                </c:pt>
                <c:pt idx="4379">
                  <c:v>35481</c:v>
                </c:pt>
                <c:pt idx="4380">
                  <c:v>35480</c:v>
                </c:pt>
                <c:pt idx="4381">
                  <c:v>35479</c:v>
                </c:pt>
                <c:pt idx="4382">
                  <c:v>35478</c:v>
                </c:pt>
                <c:pt idx="4383">
                  <c:v>35475</c:v>
                </c:pt>
                <c:pt idx="4384">
                  <c:v>35474</c:v>
                </c:pt>
                <c:pt idx="4385">
                  <c:v>35473</c:v>
                </c:pt>
                <c:pt idx="4386">
                  <c:v>35472</c:v>
                </c:pt>
                <c:pt idx="4387">
                  <c:v>35471</c:v>
                </c:pt>
                <c:pt idx="4388">
                  <c:v>35468</c:v>
                </c:pt>
                <c:pt idx="4389">
                  <c:v>35467</c:v>
                </c:pt>
                <c:pt idx="4390">
                  <c:v>35466</c:v>
                </c:pt>
                <c:pt idx="4391">
                  <c:v>35465</c:v>
                </c:pt>
                <c:pt idx="4392">
                  <c:v>35464</c:v>
                </c:pt>
                <c:pt idx="4393">
                  <c:v>35461</c:v>
                </c:pt>
                <c:pt idx="4394">
                  <c:v>35460</c:v>
                </c:pt>
                <c:pt idx="4395">
                  <c:v>35459</c:v>
                </c:pt>
                <c:pt idx="4396">
                  <c:v>35458</c:v>
                </c:pt>
                <c:pt idx="4397">
                  <c:v>35457</c:v>
                </c:pt>
                <c:pt idx="4398">
                  <c:v>35454</c:v>
                </c:pt>
                <c:pt idx="4399">
                  <c:v>35453</c:v>
                </c:pt>
                <c:pt idx="4400">
                  <c:v>35452</c:v>
                </c:pt>
                <c:pt idx="4401">
                  <c:v>35451</c:v>
                </c:pt>
                <c:pt idx="4402">
                  <c:v>35450</c:v>
                </c:pt>
                <c:pt idx="4403">
                  <c:v>35447</c:v>
                </c:pt>
                <c:pt idx="4404">
                  <c:v>35446</c:v>
                </c:pt>
                <c:pt idx="4405">
                  <c:v>35445</c:v>
                </c:pt>
                <c:pt idx="4406">
                  <c:v>35444</c:v>
                </c:pt>
                <c:pt idx="4407">
                  <c:v>35443</c:v>
                </c:pt>
                <c:pt idx="4408">
                  <c:v>35440</c:v>
                </c:pt>
                <c:pt idx="4409">
                  <c:v>35439</c:v>
                </c:pt>
                <c:pt idx="4410">
                  <c:v>35438</c:v>
                </c:pt>
                <c:pt idx="4411">
                  <c:v>35437</c:v>
                </c:pt>
                <c:pt idx="4412">
                  <c:v>35436</c:v>
                </c:pt>
                <c:pt idx="4413">
                  <c:v>35433</c:v>
                </c:pt>
                <c:pt idx="4414">
                  <c:v>35432</c:v>
                </c:pt>
                <c:pt idx="4415">
                  <c:v>35430</c:v>
                </c:pt>
                <c:pt idx="4416">
                  <c:v>35429</c:v>
                </c:pt>
                <c:pt idx="4417">
                  <c:v>35426</c:v>
                </c:pt>
                <c:pt idx="4418">
                  <c:v>35423</c:v>
                </c:pt>
                <c:pt idx="4419">
                  <c:v>35422</c:v>
                </c:pt>
                <c:pt idx="4420">
                  <c:v>35419</c:v>
                </c:pt>
                <c:pt idx="4421">
                  <c:v>35418</c:v>
                </c:pt>
                <c:pt idx="4422">
                  <c:v>35417</c:v>
                </c:pt>
                <c:pt idx="4423">
                  <c:v>35416</c:v>
                </c:pt>
                <c:pt idx="4424">
                  <c:v>35412</c:v>
                </c:pt>
                <c:pt idx="4425">
                  <c:v>35411</c:v>
                </c:pt>
                <c:pt idx="4426">
                  <c:v>35410</c:v>
                </c:pt>
                <c:pt idx="4427">
                  <c:v>35409</c:v>
                </c:pt>
                <c:pt idx="4428">
                  <c:v>35408</c:v>
                </c:pt>
                <c:pt idx="4429">
                  <c:v>35405</c:v>
                </c:pt>
                <c:pt idx="4430">
                  <c:v>35404</c:v>
                </c:pt>
                <c:pt idx="4431">
                  <c:v>35403</c:v>
                </c:pt>
                <c:pt idx="4432">
                  <c:v>35402</c:v>
                </c:pt>
                <c:pt idx="4433">
                  <c:v>35401</c:v>
                </c:pt>
                <c:pt idx="4434">
                  <c:v>35398</c:v>
                </c:pt>
                <c:pt idx="4435">
                  <c:v>35397</c:v>
                </c:pt>
                <c:pt idx="4436">
                  <c:v>35396</c:v>
                </c:pt>
                <c:pt idx="4437">
                  <c:v>35395</c:v>
                </c:pt>
                <c:pt idx="4438">
                  <c:v>35394</c:v>
                </c:pt>
                <c:pt idx="4439">
                  <c:v>35391</c:v>
                </c:pt>
                <c:pt idx="4440">
                  <c:v>35390</c:v>
                </c:pt>
                <c:pt idx="4441">
                  <c:v>35389</c:v>
                </c:pt>
                <c:pt idx="4442">
                  <c:v>35388</c:v>
                </c:pt>
                <c:pt idx="4443">
                  <c:v>35387</c:v>
                </c:pt>
                <c:pt idx="4444">
                  <c:v>35384</c:v>
                </c:pt>
                <c:pt idx="4445">
                  <c:v>35383</c:v>
                </c:pt>
                <c:pt idx="4446">
                  <c:v>35382</c:v>
                </c:pt>
                <c:pt idx="4447">
                  <c:v>35381</c:v>
                </c:pt>
                <c:pt idx="4448">
                  <c:v>35380</c:v>
                </c:pt>
                <c:pt idx="4449">
                  <c:v>35377</c:v>
                </c:pt>
                <c:pt idx="4450">
                  <c:v>35376</c:v>
                </c:pt>
                <c:pt idx="4451">
                  <c:v>35375</c:v>
                </c:pt>
                <c:pt idx="4452">
                  <c:v>35374</c:v>
                </c:pt>
                <c:pt idx="4453">
                  <c:v>35373</c:v>
                </c:pt>
                <c:pt idx="4454">
                  <c:v>35370</c:v>
                </c:pt>
                <c:pt idx="4455">
                  <c:v>35369</c:v>
                </c:pt>
                <c:pt idx="4456">
                  <c:v>35368</c:v>
                </c:pt>
                <c:pt idx="4457">
                  <c:v>35367</c:v>
                </c:pt>
                <c:pt idx="4458">
                  <c:v>35366</c:v>
                </c:pt>
                <c:pt idx="4459">
                  <c:v>35363</c:v>
                </c:pt>
                <c:pt idx="4460">
                  <c:v>35362</c:v>
                </c:pt>
                <c:pt idx="4461">
                  <c:v>35361</c:v>
                </c:pt>
                <c:pt idx="4462">
                  <c:v>35360</c:v>
                </c:pt>
                <c:pt idx="4463">
                  <c:v>35359</c:v>
                </c:pt>
                <c:pt idx="4464">
                  <c:v>35356</c:v>
                </c:pt>
                <c:pt idx="4465">
                  <c:v>35355</c:v>
                </c:pt>
                <c:pt idx="4466">
                  <c:v>35354</c:v>
                </c:pt>
                <c:pt idx="4467">
                  <c:v>35353</c:v>
                </c:pt>
                <c:pt idx="4468">
                  <c:v>35352</c:v>
                </c:pt>
                <c:pt idx="4469">
                  <c:v>35349</c:v>
                </c:pt>
                <c:pt idx="4470">
                  <c:v>35348</c:v>
                </c:pt>
                <c:pt idx="4471">
                  <c:v>35347</c:v>
                </c:pt>
                <c:pt idx="4472">
                  <c:v>35346</c:v>
                </c:pt>
                <c:pt idx="4473">
                  <c:v>35345</c:v>
                </c:pt>
                <c:pt idx="4474">
                  <c:v>35342</c:v>
                </c:pt>
                <c:pt idx="4475">
                  <c:v>35341</c:v>
                </c:pt>
                <c:pt idx="4476">
                  <c:v>35340</c:v>
                </c:pt>
                <c:pt idx="4477">
                  <c:v>35339</c:v>
                </c:pt>
                <c:pt idx="4478">
                  <c:v>35338</c:v>
                </c:pt>
                <c:pt idx="4479">
                  <c:v>35335</c:v>
                </c:pt>
                <c:pt idx="4480">
                  <c:v>35334</c:v>
                </c:pt>
                <c:pt idx="4481">
                  <c:v>35333</c:v>
                </c:pt>
                <c:pt idx="4482">
                  <c:v>35331</c:v>
                </c:pt>
                <c:pt idx="4483">
                  <c:v>35328</c:v>
                </c:pt>
                <c:pt idx="4484">
                  <c:v>35327</c:v>
                </c:pt>
                <c:pt idx="4485">
                  <c:v>35326</c:v>
                </c:pt>
                <c:pt idx="4486">
                  <c:v>35325</c:v>
                </c:pt>
                <c:pt idx="4487">
                  <c:v>35324</c:v>
                </c:pt>
                <c:pt idx="4488">
                  <c:v>35321</c:v>
                </c:pt>
                <c:pt idx="4489">
                  <c:v>35320</c:v>
                </c:pt>
                <c:pt idx="4490">
                  <c:v>35319</c:v>
                </c:pt>
                <c:pt idx="4491">
                  <c:v>35318</c:v>
                </c:pt>
                <c:pt idx="4492">
                  <c:v>35317</c:v>
                </c:pt>
                <c:pt idx="4493">
                  <c:v>35314</c:v>
                </c:pt>
                <c:pt idx="4494">
                  <c:v>35313</c:v>
                </c:pt>
                <c:pt idx="4495">
                  <c:v>35312</c:v>
                </c:pt>
                <c:pt idx="4496">
                  <c:v>35311</c:v>
                </c:pt>
                <c:pt idx="4497">
                  <c:v>35310</c:v>
                </c:pt>
                <c:pt idx="4498">
                  <c:v>35307</c:v>
                </c:pt>
                <c:pt idx="4499">
                  <c:v>35306</c:v>
                </c:pt>
                <c:pt idx="4500">
                  <c:v>35305</c:v>
                </c:pt>
                <c:pt idx="4501">
                  <c:v>35304</c:v>
                </c:pt>
                <c:pt idx="4502">
                  <c:v>35303</c:v>
                </c:pt>
                <c:pt idx="4503">
                  <c:v>35300</c:v>
                </c:pt>
                <c:pt idx="4504">
                  <c:v>35299</c:v>
                </c:pt>
                <c:pt idx="4505">
                  <c:v>35298</c:v>
                </c:pt>
                <c:pt idx="4506">
                  <c:v>35297</c:v>
                </c:pt>
                <c:pt idx="4507">
                  <c:v>35296</c:v>
                </c:pt>
                <c:pt idx="4508">
                  <c:v>35293</c:v>
                </c:pt>
                <c:pt idx="4509">
                  <c:v>35292</c:v>
                </c:pt>
                <c:pt idx="4510">
                  <c:v>35291</c:v>
                </c:pt>
                <c:pt idx="4511">
                  <c:v>35290</c:v>
                </c:pt>
                <c:pt idx="4512">
                  <c:v>35289</c:v>
                </c:pt>
                <c:pt idx="4513">
                  <c:v>35285</c:v>
                </c:pt>
                <c:pt idx="4514">
                  <c:v>35284</c:v>
                </c:pt>
                <c:pt idx="4515">
                  <c:v>35283</c:v>
                </c:pt>
                <c:pt idx="4516">
                  <c:v>35282</c:v>
                </c:pt>
                <c:pt idx="4517">
                  <c:v>35279</c:v>
                </c:pt>
                <c:pt idx="4518">
                  <c:v>35278</c:v>
                </c:pt>
                <c:pt idx="4519">
                  <c:v>35277</c:v>
                </c:pt>
                <c:pt idx="4520">
                  <c:v>35276</c:v>
                </c:pt>
                <c:pt idx="4521">
                  <c:v>35275</c:v>
                </c:pt>
                <c:pt idx="4522">
                  <c:v>35272</c:v>
                </c:pt>
                <c:pt idx="4523">
                  <c:v>35271</c:v>
                </c:pt>
                <c:pt idx="4524">
                  <c:v>35270</c:v>
                </c:pt>
                <c:pt idx="4525">
                  <c:v>35269</c:v>
                </c:pt>
                <c:pt idx="4526">
                  <c:v>35268</c:v>
                </c:pt>
                <c:pt idx="4527">
                  <c:v>35265</c:v>
                </c:pt>
                <c:pt idx="4528">
                  <c:v>35264</c:v>
                </c:pt>
                <c:pt idx="4529">
                  <c:v>35263</c:v>
                </c:pt>
                <c:pt idx="4530">
                  <c:v>35262</c:v>
                </c:pt>
                <c:pt idx="4531">
                  <c:v>35261</c:v>
                </c:pt>
                <c:pt idx="4532">
                  <c:v>35258</c:v>
                </c:pt>
                <c:pt idx="4533">
                  <c:v>35257</c:v>
                </c:pt>
                <c:pt idx="4534">
                  <c:v>35256</c:v>
                </c:pt>
                <c:pt idx="4535">
                  <c:v>35255</c:v>
                </c:pt>
                <c:pt idx="4536">
                  <c:v>35254</c:v>
                </c:pt>
                <c:pt idx="4537">
                  <c:v>35251</c:v>
                </c:pt>
                <c:pt idx="4538">
                  <c:v>35250</c:v>
                </c:pt>
                <c:pt idx="4539">
                  <c:v>35249</c:v>
                </c:pt>
                <c:pt idx="4540">
                  <c:v>35248</c:v>
                </c:pt>
                <c:pt idx="4541">
                  <c:v>35247</c:v>
                </c:pt>
                <c:pt idx="4542">
                  <c:v>35244</c:v>
                </c:pt>
                <c:pt idx="4543">
                  <c:v>35243</c:v>
                </c:pt>
                <c:pt idx="4544">
                  <c:v>35242</c:v>
                </c:pt>
                <c:pt idx="4545">
                  <c:v>35241</c:v>
                </c:pt>
                <c:pt idx="4546">
                  <c:v>35240</c:v>
                </c:pt>
                <c:pt idx="4547">
                  <c:v>35237</c:v>
                </c:pt>
                <c:pt idx="4548">
                  <c:v>35236</c:v>
                </c:pt>
                <c:pt idx="4549">
                  <c:v>35235</c:v>
                </c:pt>
                <c:pt idx="4550">
                  <c:v>35234</c:v>
                </c:pt>
                <c:pt idx="4551">
                  <c:v>35230</c:v>
                </c:pt>
                <c:pt idx="4552">
                  <c:v>35229</c:v>
                </c:pt>
                <c:pt idx="4553">
                  <c:v>35228</c:v>
                </c:pt>
                <c:pt idx="4554">
                  <c:v>35227</c:v>
                </c:pt>
                <c:pt idx="4555">
                  <c:v>35226</c:v>
                </c:pt>
                <c:pt idx="4556">
                  <c:v>35223</c:v>
                </c:pt>
                <c:pt idx="4557">
                  <c:v>35222</c:v>
                </c:pt>
                <c:pt idx="4558">
                  <c:v>35221</c:v>
                </c:pt>
                <c:pt idx="4559">
                  <c:v>35220</c:v>
                </c:pt>
                <c:pt idx="4560">
                  <c:v>35219</c:v>
                </c:pt>
                <c:pt idx="4561">
                  <c:v>35216</c:v>
                </c:pt>
                <c:pt idx="4562">
                  <c:v>35215</c:v>
                </c:pt>
                <c:pt idx="4563">
                  <c:v>35214</c:v>
                </c:pt>
                <c:pt idx="4564">
                  <c:v>35213</c:v>
                </c:pt>
                <c:pt idx="4565">
                  <c:v>35212</c:v>
                </c:pt>
                <c:pt idx="4566">
                  <c:v>35209</c:v>
                </c:pt>
                <c:pt idx="4567">
                  <c:v>35208</c:v>
                </c:pt>
                <c:pt idx="4568">
                  <c:v>35207</c:v>
                </c:pt>
                <c:pt idx="4569">
                  <c:v>35206</c:v>
                </c:pt>
                <c:pt idx="4570">
                  <c:v>35205</c:v>
                </c:pt>
                <c:pt idx="4571">
                  <c:v>35202</c:v>
                </c:pt>
                <c:pt idx="4572">
                  <c:v>35201</c:v>
                </c:pt>
                <c:pt idx="4573">
                  <c:v>35200</c:v>
                </c:pt>
                <c:pt idx="4574">
                  <c:v>35199</c:v>
                </c:pt>
                <c:pt idx="4575">
                  <c:v>35198</c:v>
                </c:pt>
                <c:pt idx="4576">
                  <c:v>35195</c:v>
                </c:pt>
                <c:pt idx="4577">
                  <c:v>35194</c:v>
                </c:pt>
                <c:pt idx="4578">
                  <c:v>35193</c:v>
                </c:pt>
                <c:pt idx="4579">
                  <c:v>35192</c:v>
                </c:pt>
                <c:pt idx="4580">
                  <c:v>35191</c:v>
                </c:pt>
                <c:pt idx="4581">
                  <c:v>35188</c:v>
                </c:pt>
                <c:pt idx="4582">
                  <c:v>35187</c:v>
                </c:pt>
                <c:pt idx="4583">
                  <c:v>35185</c:v>
                </c:pt>
                <c:pt idx="4584">
                  <c:v>35184</c:v>
                </c:pt>
                <c:pt idx="4585">
                  <c:v>35181</c:v>
                </c:pt>
                <c:pt idx="4586">
                  <c:v>35180</c:v>
                </c:pt>
                <c:pt idx="4587">
                  <c:v>35179</c:v>
                </c:pt>
                <c:pt idx="4588">
                  <c:v>35178</c:v>
                </c:pt>
                <c:pt idx="4589">
                  <c:v>35177</c:v>
                </c:pt>
                <c:pt idx="4590">
                  <c:v>35174</c:v>
                </c:pt>
                <c:pt idx="4591">
                  <c:v>35173</c:v>
                </c:pt>
                <c:pt idx="4592">
                  <c:v>35172</c:v>
                </c:pt>
                <c:pt idx="4593">
                  <c:v>35171</c:v>
                </c:pt>
                <c:pt idx="4594">
                  <c:v>35170</c:v>
                </c:pt>
                <c:pt idx="4595">
                  <c:v>35167</c:v>
                </c:pt>
                <c:pt idx="4596">
                  <c:v>35166</c:v>
                </c:pt>
                <c:pt idx="4597">
                  <c:v>35165</c:v>
                </c:pt>
                <c:pt idx="4598">
                  <c:v>35164</c:v>
                </c:pt>
                <c:pt idx="4599">
                  <c:v>35159</c:v>
                </c:pt>
                <c:pt idx="4600">
                  <c:v>35158</c:v>
                </c:pt>
                <c:pt idx="4601">
                  <c:v>35157</c:v>
                </c:pt>
                <c:pt idx="4602">
                  <c:v>35156</c:v>
                </c:pt>
                <c:pt idx="4603">
                  <c:v>35153</c:v>
                </c:pt>
                <c:pt idx="4604">
                  <c:v>35152</c:v>
                </c:pt>
                <c:pt idx="4605">
                  <c:v>35151</c:v>
                </c:pt>
                <c:pt idx="4606">
                  <c:v>35150</c:v>
                </c:pt>
                <c:pt idx="4607">
                  <c:v>35149</c:v>
                </c:pt>
                <c:pt idx="4608">
                  <c:v>35146</c:v>
                </c:pt>
                <c:pt idx="4609">
                  <c:v>35144</c:v>
                </c:pt>
                <c:pt idx="4610">
                  <c:v>35143</c:v>
                </c:pt>
                <c:pt idx="4611">
                  <c:v>35142</c:v>
                </c:pt>
                <c:pt idx="4612">
                  <c:v>35139</c:v>
                </c:pt>
                <c:pt idx="4613">
                  <c:v>35138</c:v>
                </c:pt>
                <c:pt idx="4614">
                  <c:v>35137</c:v>
                </c:pt>
                <c:pt idx="4615">
                  <c:v>35136</c:v>
                </c:pt>
                <c:pt idx="4616">
                  <c:v>35135</c:v>
                </c:pt>
                <c:pt idx="4617">
                  <c:v>35132</c:v>
                </c:pt>
                <c:pt idx="4618">
                  <c:v>35131</c:v>
                </c:pt>
                <c:pt idx="4619">
                  <c:v>35130</c:v>
                </c:pt>
                <c:pt idx="4620">
                  <c:v>35129</c:v>
                </c:pt>
                <c:pt idx="4621">
                  <c:v>35128</c:v>
                </c:pt>
                <c:pt idx="4622">
                  <c:v>35125</c:v>
                </c:pt>
                <c:pt idx="4623">
                  <c:v>35124</c:v>
                </c:pt>
                <c:pt idx="4624">
                  <c:v>35123</c:v>
                </c:pt>
                <c:pt idx="4625">
                  <c:v>35122</c:v>
                </c:pt>
                <c:pt idx="4626">
                  <c:v>35121</c:v>
                </c:pt>
                <c:pt idx="4627">
                  <c:v>35118</c:v>
                </c:pt>
                <c:pt idx="4628">
                  <c:v>35117</c:v>
                </c:pt>
                <c:pt idx="4629">
                  <c:v>35116</c:v>
                </c:pt>
                <c:pt idx="4630">
                  <c:v>35115</c:v>
                </c:pt>
                <c:pt idx="4631">
                  <c:v>35114</c:v>
                </c:pt>
                <c:pt idx="4632">
                  <c:v>35111</c:v>
                </c:pt>
                <c:pt idx="4633">
                  <c:v>35110</c:v>
                </c:pt>
                <c:pt idx="4634">
                  <c:v>35109</c:v>
                </c:pt>
                <c:pt idx="4635">
                  <c:v>35108</c:v>
                </c:pt>
                <c:pt idx="4636">
                  <c:v>35107</c:v>
                </c:pt>
                <c:pt idx="4637">
                  <c:v>35104</c:v>
                </c:pt>
                <c:pt idx="4638">
                  <c:v>35103</c:v>
                </c:pt>
                <c:pt idx="4639">
                  <c:v>35102</c:v>
                </c:pt>
                <c:pt idx="4640">
                  <c:v>35101</c:v>
                </c:pt>
                <c:pt idx="4641">
                  <c:v>35100</c:v>
                </c:pt>
                <c:pt idx="4642">
                  <c:v>35097</c:v>
                </c:pt>
                <c:pt idx="4643">
                  <c:v>35096</c:v>
                </c:pt>
                <c:pt idx="4644">
                  <c:v>35095</c:v>
                </c:pt>
                <c:pt idx="4645">
                  <c:v>35094</c:v>
                </c:pt>
                <c:pt idx="4646">
                  <c:v>35093</c:v>
                </c:pt>
                <c:pt idx="4647">
                  <c:v>35090</c:v>
                </c:pt>
                <c:pt idx="4648">
                  <c:v>35089</c:v>
                </c:pt>
                <c:pt idx="4649">
                  <c:v>35088</c:v>
                </c:pt>
                <c:pt idx="4650">
                  <c:v>35087</c:v>
                </c:pt>
                <c:pt idx="4651">
                  <c:v>35086</c:v>
                </c:pt>
                <c:pt idx="4652">
                  <c:v>35083</c:v>
                </c:pt>
                <c:pt idx="4653">
                  <c:v>35082</c:v>
                </c:pt>
                <c:pt idx="4654">
                  <c:v>35081</c:v>
                </c:pt>
                <c:pt idx="4655">
                  <c:v>35080</c:v>
                </c:pt>
                <c:pt idx="4656">
                  <c:v>35079</c:v>
                </c:pt>
                <c:pt idx="4657">
                  <c:v>35076</c:v>
                </c:pt>
                <c:pt idx="4658">
                  <c:v>35075</c:v>
                </c:pt>
                <c:pt idx="4659">
                  <c:v>35074</c:v>
                </c:pt>
                <c:pt idx="4660">
                  <c:v>35073</c:v>
                </c:pt>
                <c:pt idx="4661">
                  <c:v>35072</c:v>
                </c:pt>
                <c:pt idx="4662">
                  <c:v>35069</c:v>
                </c:pt>
                <c:pt idx="4663">
                  <c:v>35068</c:v>
                </c:pt>
                <c:pt idx="4664">
                  <c:v>35067</c:v>
                </c:pt>
                <c:pt idx="4665">
                  <c:v>35066</c:v>
                </c:pt>
                <c:pt idx="4666">
                  <c:v>35062</c:v>
                </c:pt>
                <c:pt idx="4667">
                  <c:v>35061</c:v>
                </c:pt>
                <c:pt idx="4668">
                  <c:v>35060</c:v>
                </c:pt>
                <c:pt idx="4669">
                  <c:v>35055</c:v>
                </c:pt>
                <c:pt idx="4670">
                  <c:v>35054</c:v>
                </c:pt>
                <c:pt idx="4671">
                  <c:v>35053</c:v>
                </c:pt>
                <c:pt idx="4672">
                  <c:v>35052</c:v>
                </c:pt>
                <c:pt idx="4673">
                  <c:v>35051</c:v>
                </c:pt>
                <c:pt idx="4674">
                  <c:v>35048</c:v>
                </c:pt>
                <c:pt idx="4675">
                  <c:v>35047</c:v>
                </c:pt>
                <c:pt idx="4676">
                  <c:v>35046</c:v>
                </c:pt>
                <c:pt idx="4677">
                  <c:v>35045</c:v>
                </c:pt>
                <c:pt idx="4678">
                  <c:v>35044</c:v>
                </c:pt>
                <c:pt idx="4679">
                  <c:v>35041</c:v>
                </c:pt>
                <c:pt idx="4680">
                  <c:v>35040</c:v>
                </c:pt>
                <c:pt idx="4681">
                  <c:v>35039</c:v>
                </c:pt>
                <c:pt idx="4682">
                  <c:v>35038</c:v>
                </c:pt>
                <c:pt idx="4683">
                  <c:v>35037</c:v>
                </c:pt>
                <c:pt idx="4684">
                  <c:v>35034</c:v>
                </c:pt>
                <c:pt idx="4685">
                  <c:v>35033</c:v>
                </c:pt>
                <c:pt idx="4686">
                  <c:v>35032</c:v>
                </c:pt>
                <c:pt idx="4687">
                  <c:v>35031</c:v>
                </c:pt>
                <c:pt idx="4688">
                  <c:v>35030</c:v>
                </c:pt>
                <c:pt idx="4689">
                  <c:v>35027</c:v>
                </c:pt>
                <c:pt idx="4690">
                  <c:v>35026</c:v>
                </c:pt>
                <c:pt idx="4691">
                  <c:v>35025</c:v>
                </c:pt>
                <c:pt idx="4692">
                  <c:v>35024</c:v>
                </c:pt>
                <c:pt idx="4693">
                  <c:v>35023</c:v>
                </c:pt>
                <c:pt idx="4694">
                  <c:v>35020</c:v>
                </c:pt>
                <c:pt idx="4695">
                  <c:v>35019</c:v>
                </c:pt>
                <c:pt idx="4696">
                  <c:v>35018</c:v>
                </c:pt>
                <c:pt idx="4697">
                  <c:v>35017</c:v>
                </c:pt>
                <c:pt idx="4698">
                  <c:v>35016</c:v>
                </c:pt>
                <c:pt idx="4699">
                  <c:v>35013</c:v>
                </c:pt>
                <c:pt idx="4700">
                  <c:v>35012</c:v>
                </c:pt>
                <c:pt idx="4701">
                  <c:v>35011</c:v>
                </c:pt>
                <c:pt idx="4702">
                  <c:v>35010</c:v>
                </c:pt>
                <c:pt idx="4703">
                  <c:v>35009</c:v>
                </c:pt>
                <c:pt idx="4704">
                  <c:v>35006</c:v>
                </c:pt>
                <c:pt idx="4705">
                  <c:v>35005</c:v>
                </c:pt>
                <c:pt idx="4706">
                  <c:v>35003</c:v>
                </c:pt>
                <c:pt idx="4707">
                  <c:v>35002</c:v>
                </c:pt>
                <c:pt idx="4708">
                  <c:v>34999</c:v>
                </c:pt>
                <c:pt idx="4709">
                  <c:v>34998</c:v>
                </c:pt>
                <c:pt idx="4710">
                  <c:v>34997</c:v>
                </c:pt>
                <c:pt idx="4711">
                  <c:v>34996</c:v>
                </c:pt>
                <c:pt idx="4712">
                  <c:v>34995</c:v>
                </c:pt>
                <c:pt idx="4713">
                  <c:v>34992</c:v>
                </c:pt>
                <c:pt idx="4714">
                  <c:v>34991</c:v>
                </c:pt>
                <c:pt idx="4715">
                  <c:v>34990</c:v>
                </c:pt>
                <c:pt idx="4716">
                  <c:v>34989</c:v>
                </c:pt>
                <c:pt idx="4717">
                  <c:v>34988</c:v>
                </c:pt>
                <c:pt idx="4718">
                  <c:v>34985</c:v>
                </c:pt>
                <c:pt idx="4719">
                  <c:v>34984</c:v>
                </c:pt>
                <c:pt idx="4720">
                  <c:v>34983</c:v>
                </c:pt>
                <c:pt idx="4721">
                  <c:v>34982</c:v>
                </c:pt>
                <c:pt idx="4722">
                  <c:v>34981</c:v>
                </c:pt>
                <c:pt idx="4723">
                  <c:v>34978</c:v>
                </c:pt>
                <c:pt idx="4724">
                  <c:v>34977</c:v>
                </c:pt>
                <c:pt idx="4725">
                  <c:v>34976</c:v>
                </c:pt>
                <c:pt idx="4726">
                  <c:v>34975</c:v>
                </c:pt>
                <c:pt idx="4727">
                  <c:v>34974</c:v>
                </c:pt>
                <c:pt idx="4728">
                  <c:v>34971</c:v>
                </c:pt>
                <c:pt idx="4729">
                  <c:v>34970</c:v>
                </c:pt>
                <c:pt idx="4730">
                  <c:v>34969</c:v>
                </c:pt>
                <c:pt idx="4731">
                  <c:v>34968</c:v>
                </c:pt>
                <c:pt idx="4732">
                  <c:v>34964</c:v>
                </c:pt>
                <c:pt idx="4733">
                  <c:v>34963</c:v>
                </c:pt>
                <c:pt idx="4734">
                  <c:v>34962</c:v>
                </c:pt>
                <c:pt idx="4735">
                  <c:v>34961</c:v>
                </c:pt>
                <c:pt idx="4736">
                  <c:v>34960</c:v>
                </c:pt>
                <c:pt idx="4737">
                  <c:v>34957</c:v>
                </c:pt>
                <c:pt idx="4738">
                  <c:v>34956</c:v>
                </c:pt>
                <c:pt idx="4739">
                  <c:v>34955</c:v>
                </c:pt>
                <c:pt idx="4740">
                  <c:v>34954</c:v>
                </c:pt>
                <c:pt idx="4741">
                  <c:v>34953</c:v>
                </c:pt>
                <c:pt idx="4742">
                  <c:v>34950</c:v>
                </c:pt>
                <c:pt idx="4743">
                  <c:v>34949</c:v>
                </c:pt>
                <c:pt idx="4744">
                  <c:v>34948</c:v>
                </c:pt>
                <c:pt idx="4745">
                  <c:v>34947</c:v>
                </c:pt>
                <c:pt idx="4746">
                  <c:v>34946</c:v>
                </c:pt>
                <c:pt idx="4747">
                  <c:v>34943</c:v>
                </c:pt>
                <c:pt idx="4748">
                  <c:v>34942</c:v>
                </c:pt>
                <c:pt idx="4749">
                  <c:v>34941</c:v>
                </c:pt>
                <c:pt idx="4750">
                  <c:v>34940</c:v>
                </c:pt>
                <c:pt idx="4751">
                  <c:v>34939</c:v>
                </c:pt>
                <c:pt idx="4752">
                  <c:v>34936</c:v>
                </c:pt>
                <c:pt idx="4753">
                  <c:v>34935</c:v>
                </c:pt>
                <c:pt idx="4754">
                  <c:v>34934</c:v>
                </c:pt>
                <c:pt idx="4755">
                  <c:v>34933</c:v>
                </c:pt>
                <c:pt idx="4756">
                  <c:v>34932</c:v>
                </c:pt>
                <c:pt idx="4757">
                  <c:v>34929</c:v>
                </c:pt>
                <c:pt idx="4758">
                  <c:v>34928</c:v>
                </c:pt>
                <c:pt idx="4759">
                  <c:v>34927</c:v>
                </c:pt>
                <c:pt idx="4760">
                  <c:v>34926</c:v>
                </c:pt>
                <c:pt idx="4761">
                  <c:v>34925</c:v>
                </c:pt>
                <c:pt idx="4762">
                  <c:v>34922</c:v>
                </c:pt>
                <c:pt idx="4763">
                  <c:v>34921</c:v>
                </c:pt>
                <c:pt idx="4764">
                  <c:v>34919</c:v>
                </c:pt>
                <c:pt idx="4765">
                  <c:v>34918</c:v>
                </c:pt>
                <c:pt idx="4766">
                  <c:v>34915</c:v>
                </c:pt>
                <c:pt idx="4767">
                  <c:v>34914</c:v>
                </c:pt>
                <c:pt idx="4768">
                  <c:v>34913</c:v>
                </c:pt>
                <c:pt idx="4769">
                  <c:v>34912</c:v>
                </c:pt>
                <c:pt idx="4770">
                  <c:v>34911</c:v>
                </c:pt>
                <c:pt idx="4771">
                  <c:v>34908</c:v>
                </c:pt>
                <c:pt idx="4772">
                  <c:v>34907</c:v>
                </c:pt>
                <c:pt idx="4773">
                  <c:v>34906</c:v>
                </c:pt>
                <c:pt idx="4774">
                  <c:v>34905</c:v>
                </c:pt>
                <c:pt idx="4775">
                  <c:v>34904</c:v>
                </c:pt>
                <c:pt idx="4776">
                  <c:v>34901</c:v>
                </c:pt>
                <c:pt idx="4777">
                  <c:v>34900</c:v>
                </c:pt>
                <c:pt idx="4778">
                  <c:v>34899</c:v>
                </c:pt>
                <c:pt idx="4779">
                  <c:v>34898</c:v>
                </c:pt>
                <c:pt idx="4780">
                  <c:v>34897</c:v>
                </c:pt>
                <c:pt idx="4781">
                  <c:v>34894</c:v>
                </c:pt>
                <c:pt idx="4782">
                  <c:v>34893</c:v>
                </c:pt>
                <c:pt idx="4783">
                  <c:v>34892</c:v>
                </c:pt>
                <c:pt idx="4784">
                  <c:v>34891</c:v>
                </c:pt>
                <c:pt idx="4785">
                  <c:v>34890</c:v>
                </c:pt>
                <c:pt idx="4786">
                  <c:v>34887</c:v>
                </c:pt>
                <c:pt idx="4787">
                  <c:v>34886</c:v>
                </c:pt>
                <c:pt idx="4788">
                  <c:v>34885</c:v>
                </c:pt>
                <c:pt idx="4789">
                  <c:v>34884</c:v>
                </c:pt>
                <c:pt idx="4790">
                  <c:v>34883</c:v>
                </c:pt>
                <c:pt idx="4791">
                  <c:v>34880</c:v>
                </c:pt>
                <c:pt idx="4792">
                  <c:v>34879</c:v>
                </c:pt>
                <c:pt idx="4793">
                  <c:v>34878</c:v>
                </c:pt>
                <c:pt idx="4794">
                  <c:v>34877</c:v>
                </c:pt>
                <c:pt idx="4795">
                  <c:v>34876</c:v>
                </c:pt>
                <c:pt idx="4796">
                  <c:v>34873</c:v>
                </c:pt>
                <c:pt idx="4797">
                  <c:v>34872</c:v>
                </c:pt>
                <c:pt idx="4798">
                  <c:v>34871</c:v>
                </c:pt>
                <c:pt idx="4799">
                  <c:v>34870</c:v>
                </c:pt>
                <c:pt idx="4800">
                  <c:v>34869</c:v>
                </c:pt>
                <c:pt idx="4801">
                  <c:v>34865</c:v>
                </c:pt>
                <c:pt idx="4802">
                  <c:v>34864</c:v>
                </c:pt>
                <c:pt idx="4803">
                  <c:v>34863</c:v>
                </c:pt>
                <c:pt idx="4804">
                  <c:v>34862</c:v>
                </c:pt>
                <c:pt idx="4805">
                  <c:v>34859</c:v>
                </c:pt>
                <c:pt idx="4806">
                  <c:v>34858</c:v>
                </c:pt>
                <c:pt idx="4807">
                  <c:v>34857</c:v>
                </c:pt>
                <c:pt idx="4808">
                  <c:v>34856</c:v>
                </c:pt>
                <c:pt idx="4809">
                  <c:v>34855</c:v>
                </c:pt>
                <c:pt idx="4810">
                  <c:v>34852</c:v>
                </c:pt>
                <c:pt idx="4811">
                  <c:v>34851</c:v>
                </c:pt>
                <c:pt idx="4812">
                  <c:v>34850</c:v>
                </c:pt>
                <c:pt idx="4813">
                  <c:v>34849</c:v>
                </c:pt>
                <c:pt idx="4814">
                  <c:v>34848</c:v>
                </c:pt>
                <c:pt idx="4815">
                  <c:v>34845</c:v>
                </c:pt>
                <c:pt idx="4816">
                  <c:v>34844</c:v>
                </c:pt>
                <c:pt idx="4817">
                  <c:v>34843</c:v>
                </c:pt>
                <c:pt idx="4818">
                  <c:v>34842</c:v>
                </c:pt>
                <c:pt idx="4819">
                  <c:v>34841</c:v>
                </c:pt>
                <c:pt idx="4820">
                  <c:v>34838</c:v>
                </c:pt>
                <c:pt idx="4821">
                  <c:v>34837</c:v>
                </c:pt>
                <c:pt idx="4822">
                  <c:v>34836</c:v>
                </c:pt>
                <c:pt idx="4823">
                  <c:v>34835</c:v>
                </c:pt>
                <c:pt idx="4824">
                  <c:v>34834</c:v>
                </c:pt>
                <c:pt idx="4825">
                  <c:v>34831</c:v>
                </c:pt>
                <c:pt idx="4826">
                  <c:v>34830</c:v>
                </c:pt>
                <c:pt idx="4827">
                  <c:v>34829</c:v>
                </c:pt>
                <c:pt idx="4828">
                  <c:v>34828</c:v>
                </c:pt>
                <c:pt idx="4829">
                  <c:v>34827</c:v>
                </c:pt>
                <c:pt idx="4830">
                  <c:v>34824</c:v>
                </c:pt>
                <c:pt idx="4831">
                  <c:v>34823</c:v>
                </c:pt>
                <c:pt idx="4832">
                  <c:v>34822</c:v>
                </c:pt>
                <c:pt idx="4833">
                  <c:v>34821</c:v>
                </c:pt>
                <c:pt idx="4834">
                  <c:v>34817</c:v>
                </c:pt>
                <c:pt idx="4835">
                  <c:v>34815</c:v>
                </c:pt>
                <c:pt idx="4836">
                  <c:v>34814</c:v>
                </c:pt>
                <c:pt idx="4837">
                  <c:v>34813</c:v>
                </c:pt>
                <c:pt idx="4838">
                  <c:v>34810</c:v>
                </c:pt>
                <c:pt idx="4839">
                  <c:v>34809</c:v>
                </c:pt>
                <c:pt idx="4840">
                  <c:v>34808</c:v>
                </c:pt>
                <c:pt idx="4841">
                  <c:v>34807</c:v>
                </c:pt>
                <c:pt idx="4842">
                  <c:v>34802</c:v>
                </c:pt>
                <c:pt idx="4843">
                  <c:v>34801</c:v>
                </c:pt>
                <c:pt idx="4844">
                  <c:v>34800</c:v>
                </c:pt>
                <c:pt idx="4845">
                  <c:v>34799</c:v>
                </c:pt>
                <c:pt idx="4846">
                  <c:v>34796</c:v>
                </c:pt>
                <c:pt idx="4847">
                  <c:v>34795</c:v>
                </c:pt>
                <c:pt idx="4848">
                  <c:v>34794</c:v>
                </c:pt>
                <c:pt idx="4849">
                  <c:v>34793</c:v>
                </c:pt>
                <c:pt idx="4850">
                  <c:v>34792</c:v>
                </c:pt>
                <c:pt idx="4851">
                  <c:v>34789</c:v>
                </c:pt>
                <c:pt idx="4852">
                  <c:v>34788</c:v>
                </c:pt>
                <c:pt idx="4853">
                  <c:v>34787</c:v>
                </c:pt>
                <c:pt idx="4854">
                  <c:v>34786</c:v>
                </c:pt>
                <c:pt idx="4855">
                  <c:v>34785</c:v>
                </c:pt>
                <c:pt idx="4856">
                  <c:v>34782</c:v>
                </c:pt>
                <c:pt idx="4857">
                  <c:v>34781</c:v>
                </c:pt>
                <c:pt idx="4858">
                  <c:v>34780</c:v>
                </c:pt>
                <c:pt idx="4859">
                  <c:v>34778</c:v>
                </c:pt>
                <c:pt idx="4860">
                  <c:v>34775</c:v>
                </c:pt>
                <c:pt idx="4861">
                  <c:v>34774</c:v>
                </c:pt>
                <c:pt idx="4862">
                  <c:v>34773</c:v>
                </c:pt>
                <c:pt idx="4863">
                  <c:v>34772</c:v>
                </c:pt>
                <c:pt idx="4864">
                  <c:v>34771</c:v>
                </c:pt>
                <c:pt idx="4865">
                  <c:v>34768</c:v>
                </c:pt>
                <c:pt idx="4866">
                  <c:v>34767</c:v>
                </c:pt>
                <c:pt idx="4867">
                  <c:v>34766</c:v>
                </c:pt>
                <c:pt idx="4868">
                  <c:v>34765</c:v>
                </c:pt>
                <c:pt idx="4869">
                  <c:v>34764</c:v>
                </c:pt>
                <c:pt idx="4870">
                  <c:v>34761</c:v>
                </c:pt>
                <c:pt idx="4871">
                  <c:v>34760</c:v>
                </c:pt>
                <c:pt idx="4872">
                  <c:v>34759</c:v>
                </c:pt>
                <c:pt idx="4873">
                  <c:v>34758</c:v>
                </c:pt>
                <c:pt idx="4874">
                  <c:v>34757</c:v>
                </c:pt>
                <c:pt idx="4875">
                  <c:v>34754</c:v>
                </c:pt>
                <c:pt idx="4876">
                  <c:v>34753</c:v>
                </c:pt>
                <c:pt idx="4877">
                  <c:v>34752</c:v>
                </c:pt>
                <c:pt idx="4878">
                  <c:v>34751</c:v>
                </c:pt>
                <c:pt idx="4879">
                  <c:v>34750</c:v>
                </c:pt>
                <c:pt idx="4880">
                  <c:v>34747</c:v>
                </c:pt>
                <c:pt idx="4881">
                  <c:v>34746</c:v>
                </c:pt>
                <c:pt idx="4882">
                  <c:v>34745</c:v>
                </c:pt>
                <c:pt idx="4883">
                  <c:v>34744</c:v>
                </c:pt>
                <c:pt idx="4884">
                  <c:v>34743</c:v>
                </c:pt>
                <c:pt idx="4885">
                  <c:v>34740</c:v>
                </c:pt>
                <c:pt idx="4886">
                  <c:v>34739</c:v>
                </c:pt>
                <c:pt idx="4887">
                  <c:v>34738</c:v>
                </c:pt>
                <c:pt idx="4888">
                  <c:v>34737</c:v>
                </c:pt>
                <c:pt idx="4889">
                  <c:v>34736</c:v>
                </c:pt>
                <c:pt idx="4890">
                  <c:v>34733</c:v>
                </c:pt>
                <c:pt idx="4891">
                  <c:v>34732</c:v>
                </c:pt>
                <c:pt idx="4892">
                  <c:v>34731</c:v>
                </c:pt>
                <c:pt idx="4893">
                  <c:v>34730</c:v>
                </c:pt>
                <c:pt idx="4894">
                  <c:v>34729</c:v>
                </c:pt>
                <c:pt idx="4895">
                  <c:v>34726</c:v>
                </c:pt>
                <c:pt idx="4896">
                  <c:v>34725</c:v>
                </c:pt>
                <c:pt idx="4897">
                  <c:v>34724</c:v>
                </c:pt>
                <c:pt idx="4898">
                  <c:v>34723</c:v>
                </c:pt>
                <c:pt idx="4899">
                  <c:v>34722</c:v>
                </c:pt>
                <c:pt idx="4900">
                  <c:v>34719</c:v>
                </c:pt>
                <c:pt idx="4901">
                  <c:v>34718</c:v>
                </c:pt>
                <c:pt idx="4902">
                  <c:v>34717</c:v>
                </c:pt>
                <c:pt idx="4903">
                  <c:v>34716</c:v>
                </c:pt>
                <c:pt idx="4904">
                  <c:v>34715</c:v>
                </c:pt>
                <c:pt idx="4905">
                  <c:v>34712</c:v>
                </c:pt>
                <c:pt idx="4906">
                  <c:v>34711</c:v>
                </c:pt>
                <c:pt idx="4907">
                  <c:v>34710</c:v>
                </c:pt>
                <c:pt idx="4908">
                  <c:v>34709</c:v>
                </c:pt>
                <c:pt idx="4909">
                  <c:v>34708</c:v>
                </c:pt>
                <c:pt idx="4910">
                  <c:v>34705</c:v>
                </c:pt>
                <c:pt idx="4911">
                  <c:v>34704</c:v>
                </c:pt>
                <c:pt idx="4912">
                  <c:v>34703</c:v>
                </c:pt>
                <c:pt idx="4913">
                  <c:v>34702</c:v>
                </c:pt>
                <c:pt idx="4914">
                  <c:v>34698</c:v>
                </c:pt>
                <c:pt idx="4915">
                  <c:v>34697</c:v>
                </c:pt>
                <c:pt idx="4916">
                  <c:v>34696</c:v>
                </c:pt>
                <c:pt idx="4917">
                  <c:v>34695</c:v>
                </c:pt>
                <c:pt idx="4918">
                  <c:v>34691</c:v>
                </c:pt>
                <c:pt idx="4919">
                  <c:v>34690</c:v>
                </c:pt>
                <c:pt idx="4920">
                  <c:v>34689</c:v>
                </c:pt>
                <c:pt idx="4921">
                  <c:v>34688</c:v>
                </c:pt>
                <c:pt idx="4922">
                  <c:v>34687</c:v>
                </c:pt>
                <c:pt idx="4923">
                  <c:v>34683</c:v>
                </c:pt>
                <c:pt idx="4924">
                  <c:v>34682</c:v>
                </c:pt>
                <c:pt idx="4925">
                  <c:v>34681</c:v>
                </c:pt>
                <c:pt idx="4926">
                  <c:v>34680</c:v>
                </c:pt>
                <c:pt idx="4927">
                  <c:v>34677</c:v>
                </c:pt>
                <c:pt idx="4928">
                  <c:v>34676</c:v>
                </c:pt>
                <c:pt idx="4929">
                  <c:v>34675</c:v>
                </c:pt>
                <c:pt idx="4930">
                  <c:v>34674</c:v>
                </c:pt>
                <c:pt idx="4931">
                  <c:v>34673</c:v>
                </c:pt>
                <c:pt idx="4932">
                  <c:v>34670</c:v>
                </c:pt>
                <c:pt idx="4933">
                  <c:v>34669</c:v>
                </c:pt>
                <c:pt idx="4934">
                  <c:v>34668</c:v>
                </c:pt>
                <c:pt idx="4935">
                  <c:v>34667</c:v>
                </c:pt>
                <c:pt idx="4936">
                  <c:v>34666</c:v>
                </c:pt>
                <c:pt idx="4937">
                  <c:v>34663</c:v>
                </c:pt>
                <c:pt idx="4938">
                  <c:v>34662</c:v>
                </c:pt>
                <c:pt idx="4939">
                  <c:v>34661</c:v>
                </c:pt>
                <c:pt idx="4940">
                  <c:v>34660</c:v>
                </c:pt>
                <c:pt idx="4941">
                  <c:v>34659</c:v>
                </c:pt>
                <c:pt idx="4942">
                  <c:v>34656</c:v>
                </c:pt>
                <c:pt idx="4943">
                  <c:v>34655</c:v>
                </c:pt>
                <c:pt idx="4944">
                  <c:v>34654</c:v>
                </c:pt>
                <c:pt idx="4945">
                  <c:v>34653</c:v>
                </c:pt>
                <c:pt idx="4946">
                  <c:v>34652</c:v>
                </c:pt>
                <c:pt idx="4947">
                  <c:v>34649</c:v>
                </c:pt>
                <c:pt idx="4948">
                  <c:v>34648</c:v>
                </c:pt>
                <c:pt idx="4949">
                  <c:v>34647</c:v>
                </c:pt>
                <c:pt idx="4950">
                  <c:v>34646</c:v>
                </c:pt>
                <c:pt idx="4951">
                  <c:v>34645</c:v>
                </c:pt>
                <c:pt idx="4952">
                  <c:v>34642</c:v>
                </c:pt>
                <c:pt idx="4953">
                  <c:v>34641</c:v>
                </c:pt>
                <c:pt idx="4954">
                  <c:v>34640</c:v>
                </c:pt>
                <c:pt idx="4955">
                  <c:v>34639</c:v>
                </c:pt>
                <c:pt idx="4956">
                  <c:v>34638</c:v>
                </c:pt>
                <c:pt idx="4957">
                  <c:v>34635</c:v>
                </c:pt>
                <c:pt idx="4958">
                  <c:v>34634</c:v>
                </c:pt>
                <c:pt idx="4959">
                  <c:v>34633</c:v>
                </c:pt>
                <c:pt idx="4960">
                  <c:v>34632</c:v>
                </c:pt>
                <c:pt idx="4961">
                  <c:v>34631</c:v>
                </c:pt>
                <c:pt idx="4962">
                  <c:v>34628</c:v>
                </c:pt>
                <c:pt idx="4963">
                  <c:v>34627</c:v>
                </c:pt>
                <c:pt idx="4964">
                  <c:v>34626</c:v>
                </c:pt>
                <c:pt idx="4965">
                  <c:v>34625</c:v>
                </c:pt>
                <c:pt idx="4966">
                  <c:v>34624</c:v>
                </c:pt>
                <c:pt idx="4967">
                  <c:v>34621</c:v>
                </c:pt>
                <c:pt idx="4968">
                  <c:v>34620</c:v>
                </c:pt>
                <c:pt idx="4969">
                  <c:v>34619</c:v>
                </c:pt>
                <c:pt idx="4970">
                  <c:v>34618</c:v>
                </c:pt>
                <c:pt idx="4971">
                  <c:v>34614</c:v>
                </c:pt>
                <c:pt idx="4972">
                  <c:v>34613</c:v>
                </c:pt>
                <c:pt idx="4973">
                  <c:v>34612</c:v>
                </c:pt>
                <c:pt idx="4974">
                  <c:v>34611</c:v>
                </c:pt>
                <c:pt idx="4975">
                  <c:v>34610</c:v>
                </c:pt>
                <c:pt idx="4976">
                  <c:v>34607</c:v>
                </c:pt>
                <c:pt idx="4977">
                  <c:v>34606</c:v>
                </c:pt>
                <c:pt idx="4978">
                  <c:v>34605</c:v>
                </c:pt>
                <c:pt idx="4979">
                  <c:v>34604</c:v>
                </c:pt>
                <c:pt idx="4980">
                  <c:v>34603</c:v>
                </c:pt>
                <c:pt idx="4981">
                  <c:v>34600</c:v>
                </c:pt>
                <c:pt idx="4982">
                  <c:v>34599</c:v>
                </c:pt>
                <c:pt idx="4983">
                  <c:v>34598</c:v>
                </c:pt>
                <c:pt idx="4984">
                  <c:v>34597</c:v>
                </c:pt>
                <c:pt idx="4985">
                  <c:v>34596</c:v>
                </c:pt>
                <c:pt idx="4986">
                  <c:v>34593</c:v>
                </c:pt>
                <c:pt idx="4987">
                  <c:v>34592</c:v>
                </c:pt>
                <c:pt idx="4988">
                  <c:v>34591</c:v>
                </c:pt>
                <c:pt idx="4989">
                  <c:v>34590</c:v>
                </c:pt>
                <c:pt idx="4990">
                  <c:v>34589</c:v>
                </c:pt>
                <c:pt idx="4991">
                  <c:v>34586</c:v>
                </c:pt>
                <c:pt idx="4992">
                  <c:v>34585</c:v>
                </c:pt>
                <c:pt idx="4993">
                  <c:v>34584</c:v>
                </c:pt>
                <c:pt idx="4994">
                  <c:v>34583</c:v>
                </c:pt>
                <c:pt idx="4995">
                  <c:v>34582</c:v>
                </c:pt>
                <c:pt idx="4996">
                  <c:v>34579</c:v>
                </c:pt>
                <c:pt idx="4997">
                  <c:v>34578</c:v>
                </c:pt>
                <c:pt idx="4998">
                  <c:v>34577</c:v>
                </c:pt>
                <c:pt idx="4999">
                  <c:v>34576</c:v>
                </c:pt>
                <c:pt idx="5000">
                  <c:v>34575</c:v>
                </c:pt>
                <c:pt idx="5001">
                  <c:v>34572</c:v>
                </c:pt>
                <c:pt idx="5002">
                  <c:v>34571</c:v>
                </c:pt>
                <c:pt idx="5003">
                  <c:v>34570</c:v>
                </c:pt>
                <c:pt idx="5004">
                  <c:v>34569</c:v>
                </c:pt>
                <c:pt idx="5005">
                  <c:v>34568</c:v>
                </c:pt>
                <c:pt idx="5006">
                  <c:v>34565</c:v>
                </c:pt>
                <c:pt idx="5007">
                  <c:v>34564</c:v>
                </c:pt>
                <c:pt idx="5008">
                  <c:v>34563</c:v>
                </c:pt>
                <c:pt idx="5009">
                  <c:v>34562</c:v>
                </c:pt>
                <c:pt idx="5010">
                  <c:v>34561</c:v>
                </c:pt>
                <c:pt idx="5011">
                  <c:v>34558</c:v>
                </c:pt>
                <c:pt idx="5012">
                  <c:v>34557</c:v>
                </c:pt>
                <c:pt idx="5013">
                  <c:v>34556</c:v>
                </c:pt>
                <c:pt idx="5014">
                  <c:v>34555</c:v>
                </c:pt>
                <c:pt idx="5015">
                  <c:v>34554</c:v>
                </c:pt>
                <c:pt idx="5016">
                  <c:v>34551</c:v>
                </c:pt>
                <c:pt idx="5017">
                  <c:v>34550</c:v>
                </c:pt>
                <c:pt idx="5018">
                  <c:v>34549</c:v>
                </c:pt>
                <c:pt idx="5019">
                  <c:v>34548</c:v>
                </c:pt>
                <c:pt idx="5020">
                  <c:v>34547</c:v>
                </c:pt>
                <c:pt idx="5021">
                  <c:v>34544</c:v>
                </c:pt>
                <c:pt idx="5022">
                  <c:v>34543</c:v>
                </c:pt>
                <c:pt idx="5023">
                  <c:v>34542</c:v>
                </c:pt>
                <c:pt idx="5024">
                  <c:v>34541</c:v>
                </c:pt>
                <c:pt idx="5025">
                  <c:v>34540</c:v>
                </c:pt>
                <c:pt idx="5026">
                  <c:v>34537</c:v>
                </c:pt>
                <c:pt idx="5027">
                  <c:v>34536</c:v>
                </c:pt>
                <c:pt idx="5028">
                  <c:v>34535</c:v>
                </c:pt>
                <c:pt idx="5029">
                  <c:v>34534</c:v>
                </c:pt>
                <c:pt idx="5030">
                  <c:v>34533</c:v>
                </c:pt>
                <c:pt idx="5031">
                  <c:v>34530</c:v>
                </c:pt>
                <c:pt idx="5032">
                  <c:v>34529</c:v>
                </c:pt>
                <c:pt idx="5033">
                  <c:v>34528</c:v>
                </c:pt>
                <c:pt idx="5034">
                  <c:v>34527</c:v>
                </c:pt>
                <c:pt idx="5035">
                  <c:v>34526</c:v>
                </c:pt>
                <c:pt idx="5036">
                  <c:v>34523</c:v>
                </c:pt>
                <c:pt idx="5037">
                  <c:v>34522</c:v>
                </c:pt>
                <c:pt idx="5038">
                  <c:v>34521</c:v>
                </c:pt>
                <c:pt idx="5039">
                  <c:v>34520</c:v>
                </c:pt>
                <c:pt idx="5040">
                  <c:v>34519</c:v>
                </c:pt>
                <c:pt idx="5041">
                  <c:v>34516</c:v>
                </c:pt>
                <c:pt idx="5042">
                  <c:v>34515</c:v>
                </c:pt>
                <c:pt idx="5043">
                  <c:v>34514</c:v>
                </c:pt>
                <c:pt idx="5044">
                  <c:v>34513</c:v>
                </c:pt>
                <c:pt idx="5045">
                  <c:v>34512</c:v>
                </c:pt>
                <c:pt idx="5046">
                  <c:v>34509</c:v>
                </c:pt>
                <c:pt idx="5047">
                  <c:v>34508</c:v>
                </c:pt>
                <c:pt idx="5048">
                  <c:v>34507</c:v>
                </c:pt>
                <c:pt idx="5049">
                  <c:v>34506</c:v>
                </c:pt>
                <c:pt idx="5050">
                  <c:v>34505</c:v>
                </c:pt>
                <c:pt idx="5051">
                  <c:v>34502</c:v>
                </c:pt>
                <c:pt idx="5052">
                  <c:v>34501</c:v>
                </c:pt>
                <c:pt idx="5053">
                  <c:v>34500</c:v>
                </c:pt>
                <c:pt idx="5054">
                  <c:v>34499</c:v>
                </c:pt>
                <c:pt idx="5055">
                  <c:v>34498</c:v>
                </c:pt>
                <c:pt idx="5056">
                  <c:v>34495</c:v>
                </c:pt>
                <c:pt idx="5057">
                  <c:v>34494</c:v>
                </c:pt>
                <c:pt idx="5058">
                  <c:v>34493</c:v>
                </c:pt>
                <c:pt idx="5059">
                  <c:v>34492</c:v>
                </c:pt>
                <c:pt idx="5060">
                  <c:v>34491</c:v>
                </c:pt>
                <c:pt idx="5061">
                  <c:v>34488</c:v>
                </c:pt>
                <c:pt idx="5062">
                  <c:v>34487</c:v>
                </c:pt>
                <c:pt idx="5063">
                  <c:v>34486</c:v>
                </c:pt>
                <c:pt idx="5064">
                  <c:v>34484</c:v>
                </c:pt>
                <c:pt idx="5065">
                  <c:v>34481</c:v>
                </c:pt>
                <c:pt idx="5066">
                  <c:v>34480</c:v>
                </c:pt>
                <c:pt idx="5067">
                  <c:v>34479</c:v>
                </c:pt>
                <c:pt idx="5068">
                  <c:v>34478</c:v>
                </c:pt>
                <c:pt idx="5069">
                  <c:v>34477</c:v>
                </c:pt>
                <c:pt idx="5070">
                  <c:v>34474</c:v>
                </c:pt>
                <c:pt idx="5071">
                  <c:v>34473</c:v>
                </c:pt>
                <c:pt idx="5072">
                  <c:v>34472</c:v>
                </c:pt>
                <c:pt idx="5073">
                  <c:v>34471</c:v>
                </c:pt>
                <c:pt idx="5074">
                  <c:v>34470</c:v>
                </c:pt>
                <c:pt idx="5075">
                  <c:v>34467</c:v>
                </c:pt>
                <c:pt idx="5076">
                  <c:v>34465</c:v>
                </c:pt>
                <c:pt idx="5077">
                  <c:v>34463</c:v>
                </c:pt>
                <c:pt idx="5078">
                  <c:v>34460</c:v>
                </c:pt>
                <c:pt idx="5079">
                  <c:v>34459</c:v>
                </c:pt>
                <c:pt idx="5080">
                  <c:v>34458</c:v>
                </c:pt>
                <c:pt idx="5081">
                  <c:v>34457</c:v>
                </c:pt>
                <c:pt idx="5082">
                  <c:v>34456</c:v>
                </c:pt>
                <c:pt idx="5083">
                  <c:v>34453</c:v>
                </c:pt>
                <c:pt idx="5084">
                  <c:v>34450</c:v>
                </c:pt>
                <c:pt idx="5085">
                  <c:v>34449</c:v>
                </c:pt>
                <c:pt idx="5086">
                  <c:v>34446</c:v>
                </c:pt>
                <c:pt idx="5087">
                  <c:v>34445</c:v>
                </c:pt>
                <c:pt idx="5088">
                  <c:v>34444</c:v>
                </c:pt>
                <c:pt idx="5089">
                  <c:v>34443</c:v>
                </c:pt>
                <c:pt idx="5090">
                  <c:v>34442</c:v>
                </c:pt>
                <c:pt idx="5091">
                  <c:v>34439</c:v>
                </c:pt>
                <c:pt idx="5092">
                  <c:v>34438</c:v>
                </c:pt>
                <c:pt idx="5093">
                  <c:v>34437</c:v>
                </c:pt>
                <c:pt idx="5094">
                  <c:v>34436</c:v>
                </c:pt>
                <c:pt idx="5095">
                  <c:v>34435</c:v>
                </c:pt>
                <c:pt idx="5096">
                  <c:v>34432</c:v>
                </c:pt>
                <c:pt idx="5097">
                  <c:v>34431</c:v>
                </c:pt>
                <c:pt idx="5098">
                  <c:v>34429</c:v>
                </c:pt>
                <c:pt idx="5099">
                  <c:v>34424</c:v>
                </c:pt>
                <c:pt idx="5100">
                  <c:v>34423</c:v>
                </c:pt>
                <c:pt idx="5101">
                  <c:v>34422</c:v>
                </c:pt>
                <c:pt idx="5102">
                  <c:v>34421</c:v>
                </c:pt>
                <c:pt idx="5103">
                  <c:v>34418</c:v>
                </c:pt>
                <c:pt idx="5104">
                  <c:v>34417</c:v>
                </c:pt>
                <c:pt idx="5105">
                  <c:v>34416</c:v>
                </c:pt>
                <c:pt idx="5106">
                  <c:v>34415</c:v>
                </c:pt>
                <c:pt idx="5107">
                  <c:v>34414</c:v>
                </c:pt>
                <c:pt idx="5108">
                  <c:v>34411</c:v>
                </c:pt>
                <c:pt idx="5109">
                  <c:v>34410</c:v>
                </c:pt>
                <c:pt idx="5110">
                  <c:v>34409</c:v>
                </c:pt>
                <c:pt idx="5111">
                  <c:v>34408</c:v>
                </c:pt>
                <c:pt idx="5112">
                  <c:v>34407</c:v>
                </c:pt>
                <c:pt idx="5113">
                  <c:v>34404</c:v>
                </c:pt>
                <c:pt idx="5114">
                  <c:v>34403</c:v>
                </c:pt>
                <c:pt idx="5115">
                  <c:v>34402</c:v>
                </c:pt>
                <c:pt idx="5116">
                  <c:v>34401</c:v>
                </c:pt>
                <c:pt idx="5117">
                  <c:v>34400</c:v>
                </c:pt>
                <c:pt idx="5118">
                  <c:v>34397</c:v>
                </c:pt>
                <c:pt idx="5119">
                  <c:v>34396</c:v>
                </c:pt>
                <c:pt idx="5120">
                  <c:v>34395</c:v>
                </c:pt>
                <c:pt idx="5121">
                  <c:v>34394</c:v>
                </c:pt>
                <c:pt idx="5122">
                  <c:v>34393</c:v>
                </c:pt>
                <c:pt idx="5123">
                  <c:v>34390</c:v>
                </c:pt>
                <c:pt idx="5124">
                  <c:v>34389</c:v>
                </c:pt>
                <c:pt idx="5125">
                  <c:v>34388</c:v>
                </c:pt>
                <c:pt idx="5126">
                  <c:v>34387</c:v>
                </c:pt>
                <c:pt idx="5127">
                  <c:v>34386</c:v>
                </c:pt>
                <c:pt idx="5128">
                  <c:v>34383</c:v>
                </c:pt>
                <c:pt idx="5129">
                  <c:v>34382</c:v>
                </c:pt>
                <c:pt idx="5130">
                  <c:v>34381</c:v>
                </c:pt>
                <c:pt idx="5131">
                  <c:v>34380</c:v>
                </c:pt>
                <c:pt idx="5132">
                  <c:v>34379</c:v>
                </c:pt>
                <c:pt idx="5133">
                  <c:v>34376</c:v>
                </c:pt>
                <c:pt idx="5134">
                  <c:v>34375</c:v>
                </c:pt>
                <c:pt idx="5135">
                  <c:v>34374</c:v>
                </c:pt>
                <c:pt idx="5136">
                  <c:v>34373</c:v>
                </c:pt>
                <c:pt idx="5137">
                  <c:v>34372</c:v>
                </c:pt>
                <c:pt idx="5138">
                  <c:v>34369</c:v>
                </c:pt>
                <c:pt idx="5139">
                  <c:v>34368</c:v>
                </c:pt>
                <c:pt idx="5140">
                  <c:v>34367</c:v>
                </c:pt>
                <c:pt idx="5141">
                  <c:v>34366</c:v>
                </c:pt>
                <c:pt idx="5142">
                  <c:v>34365</c:v>
                </c:pt>
                <c:pt idx="5143">
                  <c:v>34362</c:v>
                </c:pt>
                <c:pt idx="5144">
                  <c:v>34361</c:v>
                </c:pt>
                <c:pt idx="5145">
                  <c:v>34360</c:v>
                </c:pt>
                <c:pt idx="5146">
                  <c:v>34359</c:v>
                </c:pt>
                <c:pt idx="5147">
                  <c:v>34358</c:v>
                </c:pt>
                <c:pt idx="5148">
                  <c:v>34355</c:v>
                </c:pt>
                <c:pt idx="5149">
                  <c:v>34354</c:v>
                </c:pt>
                <c:pt idx="5150">
                  <c:v>34353</c:v>
                </c:pt>
                <c:pt idx="5151">
                  <c:v>34352</c:v>
                </c:pt>
                <c:pt idx="5152">
                  <c:v>34351</c:v>
                </c:pt>
                <c:pt idx="5153">
                  <c:v>34348</c:v>
                </c:pt>
                <c:pt idx="5154">
                  <c:v>34347</c:v>
                </c:pt>
                <c:pt idx="5155">
                  <c:v>34346</c:v>
                </c:pt>
                <c:pt idx="5156">
                  <c:v>34345</c:v>
                </c:pt>
                <c:pt idx="5157">
                  <c:v>34344</c:v>
                </c:pt>
                <c:pt idx="5158">
                  <c:v>34341</c:v>
                </c:pt>
                <c:pt idx="5159">
                  <c:v>34340</c:v>
                </c:pt>
                <c:pt idx="5160">
                  <c:v>34339</c:v>
                </c:pt>
                <c:pt idx="5161">
                  <c:v>34338</c:v>
                </c:pt>
                <c:pt idx="5162">
                  <c:v>34337</c:v>
                </c:pt>
                <c:pt idx="5163">
                  <c:v>34334</c:v>
                </c:pt>
                <c:pt idx="5164">
                  <c:v>34333</c:v>
                </c:pt>
                <c:pt idx="5165">
                  <c:v>34332</c:v>
                </c:pt>
                <c:pt idx="5166">
                  <c:v>34331</c:v>
                </c:pt>
                <c:pt idx="5167">
                  <c:v>34330</c:v>
                </c:pt>
                <c:pt idx="5168">
                  <c:v>34327</c:v>
                </c:pt>
                <c:pt idx="5169">
                  <c:v>34326</c:v>
                </c:pt>
                <c:pt idx="5170">
                  <c:v>34325</c:v>
                </c:pt>
                <c:pt idx="5171">
                  <c:v>34324</c:v>
                </c:pt>
                <c:pt idx="5172">
                  <c:v>34323</c:v>
                </c:pt>
                <c:pt idx="5173">
                  <c:v>34320</c:v>
                </c:pt>
                <c:pt idx="5174">
                  <c:v>34318</c:v>
                </c:pt>
                <c:pt idx="5175">
                  <c:v>34317</c:v>
                </c:pt>
                <c:pt idx="5176">
                  <c:v>34316</c:v>
                </c:pt>
                <c:pt idx="5177">
                  <c:v>34313</c:v>
                </c:pt>
                <c:pt idx="5178">
                  <c:v>34312</c:v>
                </c:pt>
                <c:pt idx="5179">
                  <c:v>34311</c:v>
                </c:pt>
                <c:pt idx="5180">
                  <c:v>34310</c:v>
                </c:pt>
                <c:pt idx="5181">
                  <c:v>34309</c:v>
                </c:pt>
                <c:pt idx="5182">
                  <c:v>34306</c:v>
                </c:pt>
                <c:pt idx="5183">
                  <c:v>34305</c:v>
                </c:pt>
                <c:pt idx="5184">
                  <c:v>34304</c:v>
                </c:pt>
                <c:pt idx="5185">
                  <c:v>34303</c:v>
                </c:pt>
                <c:pt idx="5186">
                  <c:v>34302</c:v>
                </c:pt>
                <c:pt idx="5187">
                  <c:v>34299</c:v>
                </c:pt>
                <c:pt idx="5188">
                  <c:v>34298</c:v>
                </c:pt>
                <c:pt idx="5189">
                  <c:v>34297</c:v>
                </c:pt>
                <c:pt idx="5190">
                  <c:v>34296</c:v>
                </c:pt>
                <c:pt idx="5191">
                  <c:v>34295</c:v>
                </c:pt>
                <c:pt idx="5192">
                  <c:v>34292</c:v>
                </c:pt>
                <c:pt idx="5193">
                  <c:v>34291</c:v>
                </c:pt>
                <c:pt idx="5194">
                  <c:v>34290</c:v>
                </c:pt>
                <c:pt idx="5195">
                  <c:v>34289</c:v>
                </c:pt>
                <c:pt idx="5196">
                  <c:v>34288</c:v>
                </c:pt>
                <c:pt idx="5197">
                  <c:v>34285</c:v>
                </c:pt>
                <c:pt idx="5198">
                  <c:v>34284</c:v>
                </c:pt>
                <c:pt idx="5199">
                  <c:v>34283</c:v>
                </c:pt>
                <c:pt idx="5200">
                  <c:v>34282</c:v>
                </c:pt>
                <c:pt idx="5201">
                  <c:v>34281</c:v>
                </c:pt>
                <c:pt idx="5202">
                  <c:v>34278</c:v>
                </c:pt>
                <c:pt idx="5203">
                  <c:v>34277</c:v>
                </c:pt>
                <c:pt idx="5204">
                  <c:v>34276</c:v>
                </c:pt>
                <c:pt idx="5205">
                  <c:v>34275</c:v>
                </c:pt>
                <c:pt idx="5206">
                  <c:v>34274</c:v>
                </c:pt>
                <c:pt idx="5207">
                  <c:v>34271</c:v>
                </c:pt>
                <c:pt idx="5208">
                  <c:v>34270</c:v>
                </c:pt>
                <c:pt idx="5209">
                  <c:v>34269</c:v>
                </c:pt>
                <c:pt idx="5210">
                  <c:v>34268</c:v>
                </c:pt>
                <c:pt idx="5211">
                  <c:v>34267</c:v>
                </c:pt>
                <c:pt idx="5212">
                  <c:v>34264</c:v>
                </c:pt>
                <c:pt idx="5213">
                  <c:v>34263</c:v>
                </c:pt>
                <c:pt idx="5214">
                  <c:v>34262</c:v>
                </c:pt>
                <c:pt idx="5215">
                  <c:v>34261</c:v>
                </c:pt>
                <c:pt idx="5216">
                  <c:v>34260</c:v>
                </c:pt>
                <c:pt idx="5217">
                  <c:v>34257</c:v>
                </c:pt>
                <c:pt idx="5218">
                  <c:v>34256</c:v>
                </c:pt>
                <c:pt idx="5219">
                  <c:v>34255</c:v>
                </c:pt>
                <c:pt idx="5220">
                  <c:v>34254</c:v>
                </c:pt>
                <c:pt idx="5221">
                  <c:v>34253</c:v>
                </c:pt>
                <c:pt idx="5222">
                  <c:v>34250</c:v>
                </c:pt>
                <c:pt idx="5223">
                  <c:v>34249</c:v>
                </c:pt>
                <c:pt idx="5224">
                  <c:v>34248</c:v>
                </c:pt>
                <c:pt idx="5225">
                  <c:v>34247</c:v>
                </c:pt>
                <c:pt idx="5226">
                  <c:v>34246</c:v>
                </c:pt>
                <c:pt idx="5227">
                  <c:v>34243</c:v>
                </c:pt>
                <c:pt idx="5228">
                  <c:v>34242</c:v>
                </c:pt>
                <c:pt idx="5229">
                  <c:v>34241</c:v>
                </c:pt>
                <c:pt idx="5230">
                  <c:v>34240</c:v>
                </c:pt>
                <c:pt idx="5231">
                  <c:v>34239</c:v>
                </c:pt>
                <c:pt idx="5232">
                  <c:v>34236</c:v>
                </c:pt>
                <c:pt idx="5233">
                  <c:v>34235</c:v>
                </c:pt>
                <c:pt idx="5234">
                  <c:v>34234</c:v>
                </c:pt>
                <c:pt idx="5235">
                  <c:v>34233</c:v>
                </c:pt>
                <c:pt idx="5236">
                  <c:v>34232</c:v>
                </c:pt>
                <c:pt idx="5237">
                  <c:v>34229</c:v>
                </c:pt>
                <c:pt idx="5238">
                  <c:v>34228</c:v>
                </c:pt>
                <c:pt idx="5239">
                  <c:v>34227</c:v>
                </c:pt>
                <c:pt idx="5240">
                  <c:v>34226</c:v>
                </c:pt>
                <c:pt idx="5241">
                  <c:v>34225</c:v>
                </c:pt>
                <c:pt idx="5242">
                  <c:v>34222</c:v>
                </c:pt>
                <c:pt idx="5243">
                  <c:v>34221</c:v>
                </c:pt>
                <c:pt idx="5244">
                  <c:v>34220</c:v>
                </c:pt>
                <c:pt idx="5245">
                  <c:v>34219</c:v>
                </c:pt>
                <c:pt idx="5246">
                  <c:v>34218</c:v>
                </c:pt>
                <c:pt idx="5247">
                  <c:v>34215</c:v>
                </c:pt>
                <c:pt idx="5248">
                  <c:v>34214</c:v>
                </c:pt>
                <c:pt idx="5249">
                  <c:v>34213</c:v>
                </c:pt>
                <c:pt idx="5250">
                  <c:v>34212</c:v>
                </c:pt>
                <c:pt idx="5251">
                  <c:v>34211</c:v>
                </c:pt>
                <c:pt idx="5252">
                  <c:v>34208</c:v>
                </c:pt>
                <c:pt idx="5253">
                  <c:v>34207</c:v>
                </c:pt>
                <c:pt idx="5254">
                  <c:v>34206</c:v>
                </c:pt>
                <c:pt idx="5255">
                  <c:v>34205</c:v>
                </c:pt>
                <c:pt idx="5256">
                  <c:v>34204</c:v>
                </c:pt>
                <c:pt idx="5257">
                  <c:v>34201</c:v>
                </c:pt>
                <c:pt idx="5258">
                  <c:v>34200</c:v>
                </c:pt>
                <c:pt idx="5259">
                  <c:v>34199</c:v>
                </c:pt>
                <c:pt idx="5260">
                  <c:v>34198</c:v>
                </c:pt>
                <c:pt idx="5261">
                  <c:v>34197</c:v>
                </c:pt>
                <c:pt idx="5262">
                  <c:v>34194</c:v>
                </c:pt>
                <c:pt idx="5263">
                  <c:v>34193</c:v>
                </c:pt>
                <c:pt idx="5264">
                  <c:v>34192</c:v>
                </c:pt>
                <c:pt idx="5265">
                  <c:v>34191</c:v>
                </c:pt>
                <c:pt idx="5266">
                  <c:v>34190</c:v>
                </c:pt>
                <c:pt idx="5267">
                  <c:v>34187</c:v>
                </c:pt>
                <c:pt idx="5268">
                  <c:v>34186</c:v>
                </c:pt>
                <c:pt idx="5269">
                  <c:v>34185</c:v>
                </c:pt>
                <c:pt idx="5270">
                  <c:v>34184</c:v>
                </c:pt>
                <c:pt idx="5271">
                  <c:v>34183</c:v>
                </c:pt>
                <c:pt idx="5272">
                  <c:v>34180</c:v>
                </c:pt>
                <c:pt idx="5273">
                  <c:v>34179</c:v>
                </c:pt>
                <c:pt idx="5274">
                  <c:v>34178</c:v>
                </c:pt>
                <c:pt idx="5275">
                  <c:v>34177</c:v>
                </c:pt>
                <c:pt idx="5276">
                  <c:v>34176</c:v>
                </c:pt>
                <c:pt idx="5277">
                  <c:v>34173</c:v>
                </c:pt>
                <c:pt idx="5278">
                  <c:v>34172</c:v>
                </c:pt>
                <c:pt idx="5279">
                  <c:v>34171</c:v>
                </c:pt>
                <c:pt idx="5280">
                  <c:v>34170</c:v>
                </c:pt>
                <c:pt idx="5281">
                  <c:v>34169</c:v>
                </c:pt>
                <c:pt idx="5282">
                  <c:v>34166</c:v>
                </c:pt>
                <c:pt idx="5283">
                  <c:v>34165</c:v>
                </c:pt>
                <c:pt idx="5284">
                  <c:v>34164</c:v>
                </c:pt>
                <c:pt idx="5285">
                  <c:v>34163</c:v>
                </c:pt>
                <c:pt idx="5286">
                  <c:v>34162</c:v>
                </c:pt>
                <c:pt idx="5287">
                  <c:v>34159</c:v>
                </c:pt>
                <c:pt idx="5288">
                  <c:v>34158</c:v>
                </c:pt>
                <c:pt idx="5289">
                  <c:v>34157</c:v>
                </c:pt>
                <c:pt idx="5290">
                  <c:v>34156</c:v>
                </c:pt>
                <c:pt idx="5291">
                  <c:v>34155</c:v>
                </c:pt>
                <c:pt idx="5292">
                  <c:v>34152</c:v>
                </c:pt>
                <c:pt idx="5293">
                  <c:v>34151</c:v>
                </c:pt>
                <c:pt idx="5294">
                  <c:v>34150</c:v>
                </c:pt>
                <c:pt idx="5295">
                  <c:v>34149</c:v>
                </c:pt>
                <c:pt idx="5296">
                  <c:v>34148</c:v>
                </c:pt>
                <c:pt idx="5297">
                  <c:v>34145</c:v>
                </c:pt>
                <c:pt idx="5298">
                  <c:v>34144</c:v>
                </c:pt>
                <c:pt idx="5299">
                  <c:v>34143</c:v>
                </c:pt>
                <c:pt idx="5300">
                  <c:v>34142</c:v>
                </c:pt>
                <c:pt idx="5301">
                  <c:v>34141</c:v>
                </c:pt>
                <c:pt idx="5302">
                  <c:v>34138</c:v>
                </c:pt>
                <c:pt idx="5303">
                  <c:v>34137</c:v>
                </c:pt>
                <c:pt idx="5304">
                  <c:v>34136</c:v>
                </c:pt>
                <c:pt idx="5305">
                  <c:v>34135</c:v>
                </c:pt>
                <c:pt idx="5306">
                  <c:v>34134</c:v>
                </c:pt>
                <c:pt idx="5307">
                  <c:v>34131</c:v>
                </c:pt>
                <c:pt idx="5308">
                  <c:v>34130</c:v>
                </c:pt>
                <c:pt idx="5309">
                  <c:v>34129</c:v>
                </c:pt>
                <c:pt idx="5310">
                  <c:v>34128</c:v>
                </c:pt>
                <c:pt idx="5311">
                  <c:v>34127</c:v>
                </c:pt>
                <c:pt idx="5312">
                  <c:v>34124</c:v>
                </c:pt>
                <c:pt idx="5313">
                  <c:v>34123</c:v>
                </c:pt>
                <c:pt idx="5314">
                  <c:v>34122</c:v>
                </c:pt>
                <c:pt idx="5315">
                  <c:v>34121</c:v>
                </c:pt>
                <c:pt idx="5316">
                  <c:v>34117</c:v>
                </c:pt>
                <c:pt idx="5317">
                  <c:v>34116</c:v>
                </c:pt>
                <c:pt idx="5318">
                  <c:v>34115</c:v>
                </c:pt>
                <c:pt idx="5319">
                  <c:v>34114</c:v>
                </c:pt>
                <c:pt idx="5320">
                  <c:v>34113</c:v>
                </c:pt>
                <c:pt idx="5321">
                  <c:v>34110</c:v>
                </c:pt>
                <c:pt idx="5322">
                  <c:v>34108</c:v>
                </c:pt>
                <c:pt idx="5323">
                  <c:v>34107</c:v>
                </c:pt>
                <c:pt idx="5324">
                  <c:v>34106</c:v>
                </c:pt>
                <c:pt idx="5325">
                  <c:v>34103</c:v>
                </c:pt>
                <c:pt idx="5326">
                  <c:v>34102</c:v>
                </c:pt>
                <c:pt idx="5327">
                  <c:v>34101</c:v>
                </c:pt>
                <c:pt idx="5328">
                  <c:v>34100</c:v>
                </c:pt>
                <c:pt idx="5329">
                  <c:v>34099</c:v>
                </c:pt>
                <c:pt idx="5330">
                  <c:v>34096</c:v>
                </c:pt>
                <c:pt idx="5331">
                  <c:v>34095</c:v>
                </c:pt>
                <c:pt idx="5332">
                  <c:v>34094</c:v>
                </c:pt>
                <c:pt idx="5333">
                  <c:v>34093</c:v>
                </c:pt>
                <c:pt idx="5334">
                  <c:v>34092</c:v>
                </c:pt>
                <c:pt idx="5335">
                  <c:v>34089</c:v>
                </c:pt>
                <c:pt idx="5336">
                  <c:v>34088</c:v>
                </c:pt>
                <c:pt idx="5337">
                  <c:v>34087</c:v>
                </c:pt>
                <c:pt idx="5338">
                  <c:v>34086</c:v>
                </c:pt>
                <c:pt idx="5339">
                  <c:v>34085</c:v>
                </c:pt>
                <c:pt idx="5340">
                  <c:v>34082</c:v>
                </c:pt>
                <c:pt idx="5341">
                  <c:v>34081</c:v>
                </c:pt>
                <c:pt idx="5342">
                  <c:v>34080</c:v>
                </c:pt>
                <c:pt idx="5343">
                  <c:v>34079</c:v>
                </c:pt>
                <c:pt idx="5344">
                  <c:v>34078</c:v>
                </c:pt>
                <c:pt idx="5345">
                  <c:v>34075</c:v>
                </c:pt>
                <c:pt idx="5346">
                  <c:v>34074</c:v>
                </c:pt>
                <c:pt idx="5347">
                  <c:v>34073</c:v>
                </c:pt>
                <c:pt idx="5348">
                  <c:v>34072</c:v>
                </c:pt>
                <c:pt idx="5349">
                  <c:v>34067</c:v>
                </c:pt>
                <c:pt idx="5350">
                  <c:v>34066</c:v>
                </c:pt>
                <c:pt idx="5351">
                  <c:v>34064</c:v>
                </c:pt>
                <c:pt idx="5352">
                  <c:v>34061</c:v>
                </c:pt>
                <c:pt idx="5353">
                  <c:v>34060</c:v>
                </c:pt>
                <c:pt idx="5354">
                  <c:v>34059</c:v>
                </c:pt>
                <c:pt idx="5355">
                  <c:v>34058</c:v>
                </c:pt>
                <c:pt idx="5356">
                  <c:v>34057</c:v>
                </c:pt>
                <c:pt idx="5357">
                  <c:v>34054</c:v>
                </c:pt>
                <c:pt idx="5358">
                  <c:v>34053</c:v>
                </c:pt>
                <c:pt idx="5359">
                  <c:v>34052</c:v>
                </c:pt>
                <c:pt idx="5360">
                  <c:v>34051</c:v>
                </c:pt>
                <c:pt idx="5361">
                  <c:v>34050</c:v>
                </c:pt>
                <c:pt idx="5362">
                  <c:v>34047</c:v>
                </c:pt>
                <c:pt idx="5363">
                  <c:v>34046</c:v>
                </c:pt>
                <c:pt idx="5364">
                  <c:v>34045</c:v>
                </c:pt>
                <c:pt idx="5365">
                  <c:v>34044</c:v>
                </c:pt>
                <c:pt idx="5366">
                  <c:v>34043</c:v>
                </c:pt>
                <c:pt idx="5367">
                  <c:v>34040</c:v>
                </c:pt>
                <c:pt idx="5368">
                  <c:v>34039</c:v>
                </c:pt>
                <c:pt idx="5369">
                  <c:v>34038</c:v>
                </c:pt>
                <c:pt idx="5370">
                  <c:v>34037</c:v>
                </c:pt>
                <c:pt idx="5371">
                  <c:v>34036</c:v>
                </c:pt>
                <c:pt idx="5372">
                  <c:v>34033</c:v>
                </c:pt>
                <c:pt idx="5373">
                  <c:v>34032</c:v>
                </c:pt>
                <c:pt idx="5374">
                  <c:v>34031</c:v>
                </c:pt>
                <c:pt idx="5375">
                  <c:v>34030</c:v>
                </c:pt>
                <c:pt idx="5376">
                  <c:v>34029</c:v>
                </c:pt>
                <c:pt idx="5377">
                  <c:v>34026</c:v>
                </c:pt>
                <c:pt idx="5378">
                  <c:v>34025</c:v>
                </c:pt>
                <c:pt idx="5379">
                  <c:v>34024</c:v>
                </c:pt>
                <c:pt idx="5380">
                  <c:v>34023</c:v>
                </c:pt>
                <c:pt idx="5381">
                  <c:v>34022</c:v>
                </c:pt>
                <c:pt idx="5382">
                  <c:v>34019</c:v>
                </c:pt>
                <c:pt idx="5383">
                  <c:v>34018</c:v>
                </c:pt>
                <c:pt idx="5384">
                  <c:v>34017</c:v>
                </c:pt>
                <c:pt idx="5385">
                  <c:v>34016</c:v>
                </c:pt>
                <c:pt idx="5386">
                  <c:v>34015</c:v>
                </c:pt>
                <c:pt idx="5387">
                  <c:v>34012</c:v>
                </c:pt>
                <c:pt idx="5388">
                  <c:v>34011</c:v>
                </c:pt>
                <c:pt idx="5389">
                  <c:v>34010</c:v>
                </c:pt>
                <c:pt idx="5390">
                  <c:v>34009</c:v>
                </c:pt>
                <c:pt idx="5391">
                  <c:v>34008</c:v>
                </c:pt>
                <c:pt idx="5392">
                  <c:v>34005</c:v>
                </c:pt>
                <c:pt idx="5393">
                  <c:v>34004</c:v>
                </c:pt>
                <c:pt idx="5394">
                  <c:v>34003</c:v>
                </c:pt>
                <c:pt idx="5395">
                  <c:v>34002</c:v>
                </c:pt>
                <c:pt idx="5396">
                  <c:v>34001</c:v>
                </c:pt>
                <c:pt idx="5397">
                  <c:v>33998</c:v>
                </c:pt>
                <c:pt idx="5398">
                  <c:v>33997</c:v>
                </c:pt>
                <c:pt idx="5399">
                  <c:v>33996</c:v>
                </c:pt>
                <c:pt idx="5400">
                  <c:v>33995</c:v>
                </c:pt>
                <c:pt idx="5401">
                  <c:v>33994</c:v>
                </c:pt>
                <c:pt idx="5402">
                  <c:v>33991</c:v>
                </c:pt>
                <c:pt idx="5403">
                  <c:v>33990</c:v>
                </c:pt>
                <c:pt idx="5404">
                  <c:v>33989</c:v>
                </c:pt>
                <c:pt idx="5405">
                  <c:v>33988</c:v>
                </c:pt>
                <c:pt idx="5406">
                  <c:v>33987</c:v>
                </c:pt>
                <c:pt idx="5407">
                  <c:v>33984</c:v>
                </c:pt>
                <c:pt idx="5408">
                  <c:v>33983</c:v>
                </c:pt>
                <c:pt idx="5409">
                  <c:v>33982</c:v>
                </c:pt>
                <c:pt idx="5410">
                  <c:v>33981</c:v>
                </c:pt>
                <c:pt idx="5411">
                  <c:v>33980</c:v>
                </c:pt>
                <c:pt idx="5412">
                  <c:v>33977</c:v>
                </c:pt>
                <c:pt idx="5413">
                  <c:v>33976</c:v>
                </c:pt>
                <c:pt idx="5414">
                  <c:v>33975</c:v>
                </c:pt>
                <c:pt idx="5415">
                  <c:v>33974</c:v>
                </c:pt>
                <c:pt idx="5416">
                  <c:v>33973</c:v>
                </c:pt>
                <c:pt idx="5417">
                  <c:v>33969</c:v>
                </c:pt>
                <c:pt idx="5418">
                  <c:v>33968</c:v>
                </c:pt>
                <c:pt idx="5419">
                  <c:v>33967</c:v>
                </c:pt>
                <c:pt idx="5420">
                  <c:v>33966</c:v>
                </c:pt>
                <c:pt idx="5421">
                  <c:v>33962</c:v>
                </c:pt>
                <c:pt idx="5422">
                  <c:v>33961</c:v>
                </c:pt>
                <c:pt idx="5423">
                  <c:v>33960</c:v>
                </c:pt>
                <c:pt idx="5424">
                  <c:v>33959</c:v>
                </c:pt>
                <c:pt idx="5425">
                  <c:v>33956</c:v>
                </c:pt>
                <c:pt idx="5426">
                  <c:v>33955</c:v>
                </c:pt>
                <c:pt idx="5427">
                  <c:v>33953</c:v>
                </c:pt>
                <c:pt idx="5428">
                  <c:v>33952</c:v>
                </c:pt>
                <c:pt idx="5429">
                  <c:v>33949</c:v>
                </c:pt>
                <c:pt idx="5430">
                  <c:v>33948</c:v>
                </c:pt>
                <c:pt idx="5431">
                  <c:v>33947</c:v>
                </c:pt>
                <c:pt idx="5432">
                  <c:v>33946</c:v>
                </c:pt>
                <c:pt idx="5433">
                  <c:v>33945</c:v>
                </c:pt>
                <c:pt idx="5434">
                  <c:v>33942</c:v>
                </c:pt>
                <c:pt idx="5435">
                  <c:v>33941</c:v>
                </c:pt>
                <c:pt idx="5436">
                  <c:v>33940</c:v>
                </c:pt>
                <c:pt idx="5437">
                  <c:v>33939</c:v>
                </c:pt>
                <c:pt idx="5438">
                  <c:v>33938</c:v>
                </c:pt>
                <c:pt idx="5439">
                  <c:v>33935</c:v>
                </c:pt>
                <c:pt idx="5440">
                  <c:v>33934</c:v>
                </c:pt>
                <c:pt idx="5441">
                  <c:v>33933</c:v>
                </c:pt>
                <c:pt idx="5442">
                  <c:v>33932</c:v>
                </c:pt>
                <c:pt idx="5443">
                  <c:v>33931</c:v>
                </c:pt>
                <c:pt idx="5444">
                  <c:v>33928</c:v>
                </c:pt>
                <c:pt idx="5445">
                  <c:v>33927</c:v>
                </c:pt>
                <c:pt idx="5446">
                  <c:v>33926</c:v>
                </c:pt>
                <c:pt idx="5447">
                  <c:v>33925</c:v>
                </c:pt>
                <c:pt idx="5448">
                  <c:v>33924</c:v>
                </c:pt>
                <c:pt idx="5449">
                  <c:v>33921</c:v>
                </c:pt>
                <c:pt idx="5450">
                  <c:v>33920</c:v>
                </c:pt>
                <c:pt idx="5451">
                  <c:v>33919</c:v>
                </c:pt>
                <c:pt idx="5452">
                  <c:v>33918</c:v>
                </c:pt>
                <c:pt idx="5453">
                  <c:v>33917</c:v>
                </c:pt>
                <c:pt idx="5454">
                  <c:v>33914</c:v>
                </c:pt>
                <c:pt idx="5455">
                  <c:v>33913</c:v>
                </c:pt>
                <c:pt idx="5456">
                  <c:v>33912</c:v>
                </c:pt>
                <c:pt idx="5457">
                  <c:v>33911</c:v>
                </c:pt>
                <c:pt idx="5458">
                  <c:v>33910</c:v>
                </c:pt>
                <c:pt idx="5459">
                  <c:v>33907</c:v>
                </c:pt>
                <c:pt idx="5460">
                  <c:v>33906</c:v>
                </c:pt>
                <c:pt idx="5461">
                  <c:v>33905</c:v>
                </c:pt>
                <c:pt idx="5462">
                  <c:v>33904</c:v>
                </c:pt>
                <c:pt idx="5463">
                  <c:v>33903</c:v>
                </c:pt>
                <c:pt idx="5464">
                  <c:v>33900</c:v>
                </c:pt>
                <c:pt idx="5465">
                  <c:v>33899</c:v>
                </c:pt>
                <c:pt idx="5466">
                  <c:v>33898</c:v>
                </c:pt>
                <c:pt idx="5467">
                  <c:v>33897</c:v>
                </c:pt>
                <c:pt idx="5468">
                  <c:v>33896</c:v>
                </c:pt>
                <c:pt idx="5469">
                  <c:v>33893</c:v>
                </c:pt>
                <c:pt idx="5470">
                  <c:v>33892</c:v>
                </c:pt>
                <c:pt idx="5471">
                  <c:v>33891</c:v>
                </c:pt>
                <c:pt idx="5472">
                  <c:v>33890</c:v>
                </c:pt>
                <c:pt idx="5473">
                  <c:v>33889</c:v>
                </c:pt>
                <c:pt idx="5474">
                  <c:v>33886</c:v>
                </c:pt>
                <c:pt idx="5475">
                  <c:v>33885</c:v>
                </c:pt>
                <c:pt idx="5476">
                  <c:v>33884</c:v>
                </c:pt>
                <c:pt idx="5477">
                  <c:v>33883</c:v>
                </c:pt>
                <c:pt idx="5478">
                  <c:v>33882</c:v>
                </c:pt>
                <c:pt idx="5479">
                  <c:v>33879</c:v>
                </c:pt>
                <c:pt idx="5480">
                  <c:v>33878</c:v>
                </c:pt>
                <c:pt idx="5481">
                  <c:v>33877</c:v>
                </c:pt>
                <c:pt idx="5482">
                  <c:v>33876</c:v>
                </c:pt>
                <c:pt idx="5483">
                  <c:v>33875</c:v>
                </c:pt>
                <c:pt idx="5484">
                  <c:v>33872</c:v>
                </c:pt>
                <c:pt idx="5485">
                  <c:v>33871</c:v>
                </c:pt>
                <c:pt idx="5486">
                  <c:v>33870</c:v>
                </c:pt>
                <c:pt idx="5487">
                  <c:v>33869</c:v>
                </c:pt>
                <c:pt idx="5488">
                  <c:v>33868</c:v>
                </c:pt>
                <c:pt idx="5489">
                  <c:v>33865</c:v>
                </c:pt>
                <c:pt idx="5490">
                  <c:v>33864</c:v>
                </c:pt>
                <c:pt idx="5491">
                  <c:v>33863</c:v>
                </c:pt>
                <c:pt idx="5492">
                  <c:v>33862</c:v>
                </c:pt>
                <c:pt idx="5493">
                  <c:v>33861</c:v>
                </c:pt>
                <c:pt idx="5494">
                  <c:v>33858</c:v>
                </c:pt>
                <c:pt idx="5495">
                  <c:v>33857</c:v>
                </c:pt>
                <c:pt idx="5496">
                  <c:v>33856</c:v>
                </c:pt>
                <c:pt idx="5497">
                  <c:v>33855</c:v>
                </c:pt>
                <c:pt idx="5498">
                  <c:v>33854</c:v>
                </c:pt>
                <c:pt idx="5499">
                  <c:v>33851</c:v>
                </c:pt>
                <c:pt idx="5500">
                  <c:v>33850</c:v>
                </c:pt>
                <c:pt idx="5501">
                  <c:v>33849</c:v>
                </c:pt>
                <c:pt idx="5502">
                  <c:v>33848</c:v>
                </c:pt>
                <c:pt idx="5503">
                  <c:v>33847</c:v>
                </c:pt>
                <c:pt idx="5504">
                  <c:v>33844</c:v>
                </c:pt>
                <c:pt idx="5505">
                  <c:v>33843</c:v>
                </c:pt>
                <c:pt idx="5506">
                  <c:v>33842</c:v>
                </c:pt>
                <c:pt idx="5507">
                  <c:v>33841</c:v>
                </c:pt>
                <c:pt idx="5508">
                  <c:v>33840</c:v>
                </c:pt>
                <c:pt idx="5509">
                  <c:v>33837</c:v>
                </c:pt>
                <c:pt idx="5510">
                  <c:v>33836</c:v>
                </c:pt>
                <c:pt idx="5511">
                  <c:v>33835</c:v>
                </c:pt>
                <c:pt idx="5512">
                  <c:v>33834</c:v>
                </c:pt>
                <c:pt idx="5513">
                  <c:v>33833</c:v>
                </c:pt>
                <c:pt idx="5514">
                  <c:v>33830</c:v>
                </c:pt>
                <c:pt idx="5515">
                  <c:v>33829</c:v>
                </c:pt>
                <c:pt idx="5516">
                  <c:v>33828</c:v>
                </c:pt>
                <c:pt idx="5517">
                  <c:v>33827</c:v>
                </c:pt>
                <c:pt idx="5518">
                  <c:v>33826</c:v>
                </c:pt>
                <c:pt idx="5519">
                  <c:v>33823</c:v>
                </c:pt>
                <c:pt idx="5520">
                  <c:v>33822</c:v>
                </c:pt>
                <c:pt idx="5521">
                  <c:v>33821</c:v>
                </c:pt>
                <c:pt idx="5522">
                  <c:v>33820</c:v>
                </c:pt>
                <c:pt idx="5523">
                  <c:v>33819</c:v>
                </c:pt>
                <c:pt idx="5524">
                  <c:v>33816</c:v>
                </c:pt>
                <c:pt idx="5525">
                  <c:v>33815</c:v>
                </c:pt>
                <c:pt idx="5526">
                  <c:v>33814</c:v>
                </c:pt>
                <c:pt idx="5527">
                  <c:v>33813</c:v>
                </c:pt>
                <c:pt idx="5528">
                  <c:v>33812</c:v>
                </c:pt>
                <c:pt idx="5529">
                  <c:v>33809</c:v>
                </c:pt>
                <c:pt idx="5530">
                  <c:v>33808</c:v>
                </c:pt>
                <c:pt idx="5531">
                  <c:v>33807</c:v>
                </c:pt>
                <c:pt idx="5532">
                  <c:v>33806</c:v>
                </c:pt>
                <c:pt idx="5533">
                  <c:v>33805</c:v>
                </c:pt>
                <c:pt idx="5534">
                  <c:v>33802</c:v>
                </c:pt>
                <c:pt idx="5535">
                  <c:v>33801</c:v>
                </c:pt>
                <c:pt idx="5536">
                  <c:v>33800</c:v>
                </c:pt>
                <c:pt idx="5537">
                  <c:v>33799</c:v>
                </c:pt>
                <c:pt idx="5538">
                  <c:v>33798</c:v>
                </c:pt>
                <c:pt idx="5539">
                  <c:v>33795</c:v>
                </c:pt>
                <c:pt idx="5540">
                  <c:v>33794</c:v>
                </c:pt>
                <c:pt idx="5541">
                  <c:v>33793</c:v>
                </c:pt>
                <c:pt idx="5542">
                  <c:v>33792</c:v>
                </c:pt>
                <c:pt idx="5543">
                  <c:v>33791</c:v>
                </c:pt>
                <c:pt idx="5544">
                  <c:v>33788</c:v>
                </c:pt>
                <c:pt idx="5545">
                  <c:v>33787</c:v>
                </c:pt>
                <c:pt idx="5546">
                  <c:v>33786</c:v>
                </c:pt>
                <c:pt idx="5547">
                  <c:v>33785</c:v>
                </c:pt>
                <c:pt idx="5548">
                  <c:v>33784</c:v>
                </c:pt>
                <c:pt idx="5549">
                  <c:v>33781</c:v>
                </c:pt>
                <c:pt idx="5550">
                  <c:v>33780</c:v>
                </c:pt>
                <c:pt idx="5551">
                  <c:v>33779</c:v>
                </c:pt>
                <c:pt idx="5552">
                  <c:v>33778</c:v>
                </c:pt>
                <c:pt idx="5553">
                  <c:v>33777</c:v>
                </c:pt>
                <c:pt idx="5554">
                  <c:v>33774</c:v>
                </c:pt>
                <c:pt idx="5555">
                  <c:v>33773</c:v>
                </c:pt>
                <c:pt idx="5556">
                  <c:v>33772</c:v>
                </c:pt>
                <c:pt idx="5557">
                  <c:v>33771</c:v>
                </c:pt>
                <c:pt idx="5558">
                  <c:v>33770</c:v>
                </c:pt>
                <c:pt idx="5559">
                  <c:v>33767</c:v>
                </c:pt>
                <c:pt idx="5560">
                  <c:v>33766</c:v>
                </c:pt>
                <c:pt idx="5561">
                  <c:v>33765</c:v>
                </c:pt>
                <c:pt idx="5562">
                  <c:v>33764</c:v>
                </c:pt>
                <c:pt idx="5563">
                  <c:v>33763</c:v>
                </c:pt>
                <c:pt idx="5564">
                  <c:v>33760</c:v>
                </c:pt>
                <c:pt idx="5565">
                  <c:v>33759</c:v>
                </c:pt>
                <c:pt idx="5566">
                  <c:v>33758</c:v>
                </c:pt>
                <c:pt idx="5567">
                  <c:v>33757</c:v>
                </c:pt>
                <c:pt idx="5568">
                  <c:v>33756</c:v>
                </c:pt>
                <c:pt idx="5569">
                  <c:v>33753</c:v>
                </c:pt>
                <c:pt idx="5570">
                  <c:v>33751</c:v>
                </c:pt>
                <c:pt idx="5571">
                  <c:v>33750</c:v>
                </c:pt>
                <c:pt idx="5572">
                  <c:v>33749</c:v>
                </c:pt>
                <c:pt idx="5573">
                  <c:v>33746</c:v>
                </c:pt>
                <c:pt idx="5574">
                  <c:v>33745</c:v>
                </c:pt>
                <c:pt idx="5575">
                  <c:v>33744</c:v>
                </c:pt>
                <c:pt idx="5576">
                  <c:v>33743</c:v>
                </c:pt>
                <c:pt idx="5577">
                  <c:v>33742</c:v>
                </c:pt>
                <c:pt idx="5578">
                  <c:v>33739</c:v>
                </c:pt>
                <c:pt idx="5579">
                  <c:v>33738</c:v>
                </c:pt>
                <c:pt idx="5580">
                  <c:v>33737</c:v>
                </c:pt>
                <c:pt idx="5581">
                  <c:v>33736</c:v>
                </c:pt>
                <c:pt idx="5582">
                  <c:v>33735</c:v>
                </c:pt>
                <c:pt idx="5583">
                  <c:v>33732</c:v>
                </c:pt>
                <c:pt idx="5584">
                  <c:v>33731</c:v>
                </c:pt>
                <c:pt idx="5585">
                  <c:v>33730</c:v>
                </c:pt>
                <c:pt idx="5586">
                  <c:v>33729</c:v>
                </c:pt>
                <c:pt idx="5587">
                  <c:v>33728</c:v>
                </c:pt>
                <c:pt idx="5588">
                  <c:v>33724</c:v>
                </c:pt>
                <c:pt idx="5589">
                  <c:v>33723</c:v>
                </c:pt>
                <c:pt idx="5590">
                  <c:v>33722</c:v>
                </c:pt>
                <c:pt idx="5591">
                  <c:v>33721</c:v>
                </c:pt>
                <c:pt idx="5592">
                  <c:v>33718</c:v>
                </c:pt>
                <c:pt idx="5593">
                  <c:v>33717</c:v>
                </c:pt>
                <c:pt idx="5594">
                  <c:v>33716</c:v>
                </c:pt>
                <c:pt idx="5595">
                  <c:v>33715</c:v>
                </c:pt>
                <c:pt idx="5596">
                  <c:v>33710</c:v>
                </c:pt>
                <c:pt idx="5597">
                  <c:v>33709</c:v>
                </c:pt>
                <c:pt idx="5598">
                  <c:v>33708</c:v>
                </c:pt>
                <c:pt idx="5599">
                  <c:v>33707</c:v>
                </c:pt>
                <c:pt idx="5600">
                  <c:v>33704</c:v>
                </c:pt>
                <c:pt idx="5601">
                  <c:v>33703</c:v>
                </c:pt>
                <c:pt idx="5602">
                  <c:v>33702</c:v>
                </c:pt>
                <c:pt idx="5603">
                  <c:v>33701</c:v>
                </c:pt>
                <c:pt idx="5604">
                  <c:v>33697</c:v>
                </c:pt>
                <c:pt idx="5605">
                  <c:v>33696</c:v>
                </c:pt>
                <c:pt idx="5606">
                  <c:v>33695</c:v>
                </c:pt>
                <c:pt idx="5607">
                  <c:v>33694</c:v>
                </c:pt>
                <c:pt idx="5608">
                  <c:v>33693</c:v>
                </c:pt>
                <c:pt idx="5609">
                  <c:v>33690</c:v>
                </c:pt>
                <c:pt idx="5610">
                  <c:v>33689</c:v>
                </c:pt>
                <c:pt idx="5611">
                  <c:v>33688</c:v>
                </c:pt>
                <c:pt idx="5612">
                  <c:v>33687</c:v>
                </c:pt>
                <c:pt idx="5613">
                  <c:v>33686</c:v>
                </c:pt>
                <c:pt idx="5614">
                  <c:v>33683</c:v>
                </c:pt>
                <c:pt idx="5615">
                  <c:v>33682</c:v>
                </c:pt>
                <c:pt idx="5616">
                  <c:v>33681</c:v>
                </c:pt>
                <c:pt idx="5617">
                  <c:v>33680</c:v>
                </c:pt>
                <c:pt idx="5618">
                  <c:v>33679</c:v>
                </c:pt>
                <c:pt idx="5619">
                  <c:v>33676</c:v>
                </c:pt>
                <c:pt idx="5620">
                  <c:v>33675</c:v>
                </c:pt>
                <c:pt idx="5621">
                  <c:v>33674</c:v>
                </c:pt>
                <c:pt idx="5622">
                  <c:v>33673</c:v>
                </c:pt>
                <c:pt idx="5623">
                  <c:v>33672</c:v>
                </c:pt>
                <c:pt idx="5624">
                  <c:v>33669</c:v>
                </c:pt>
                <c:pt idx="5625">
                  <c:v>33668</c:v>
                </c:pt>
                <c:pt idx="5626">
                  <c:v>33667</c:v>
                </c:pt>
                <c:pt idx="5627">
                  <c:v>33666</c:v>
                </c:pt>
                <c:pt idx="5628">
                  <c:v>33665</c:v>
                </c:pt>
                <c:pt idx="5629">
                  <c:v>33662</c:v>
                </c:pt>
                <c:pt idx="5630">
                  <c:v>33661</c:v>
                </c:pt>
                <c:pt idx="5631">
                  <c:v>33660</c:v>
                </c:pt>
                <c:pt idx="5632">
                  <c:v>33659</c:v>
                </c:pt>
                <c:pt idx="5633">
                  <c:v>33658</c:v>
                </c:pt>
                <c:pt idx="5634">
                  <c:v>33655</c:v>
                </c:pt>
                <c:pt idx="5635">
                  <c:v>33654</c:v>
                </c:pt>
                <c:pt idx="5636">
                  <c:v>33653</c:v>
                </c:pt>
                <c:pt idx="5637">
                  <c:v>33652</c:v>
                </c:pt>
                <c:pt idx="5638">
                  <c:v>33651</c:v>
                </c:pt>
                <c:pt idx="5639">
                  <c:v>33648</c:v>
                </c:pt>
                <c:pt idx="5640">
                  <c:v>33647</c:v>
                </c:pt>
                <c:pt idx="5641">
                  <c:v>33646</c:v>
                </c:pt>
                <c:pt idx="5642">
                  <c:v>33645</c:v>
                </c:pt>
                <c:pt idx="5643">
                  <c:v>33644</c:v>
                </c:pt>
                <c:pt idx="5644">
                  <c:v>33641</c:v>
                </c:pt>
                <c:pt idx="5645">
                  <c:v>33640</c:v>
                </c:pt>
                <c:pt idx="5646">
                  <c:v>33639</c:v>
                </c:pt>
                <c:pt idx="5647">
                  <c:v>33638</c:v>
                </c:pt>
                <c:pt idx="5648">
                  <c:v>33637</c:v>
                </c:pt>
                <c:pt idx="5649">
                  <c:v>33634</c:v>
                </c:pt>
                <c:pt idx="5650">
                  <c:v>33633</c:v>
                </c:pt>
                <c:pt idx="5651">
                  <c:v>33632</c:v>
                </c:pt>
                <c:pt idx="5652">
                  <c:v>33631</c:v>
                </c:pt>
                <c:pt idx="5653">
                  <c:v>33630</c:v>
                </c:pt>
                <c:pt idx="5654">
                  <c:v>33627</c:v>
                </c:pt>
                <c:pt idx="5655">
                  <c:v>33626</c:v>
                </c:pt>
                <c:pt idx="5656">
                  <c:v>33625</c:v>
                </c:pt>
                <c:pt idx="5657">
                  <c:v>33624</c:v>
                </c:pt>
                <c:pt idx="5658">
                  <c:v>33623</c:v>
                </c:pt>
                <c:pt idx="5659">
                  <c:v>33620</c:v>
                </c:pt>
                <c:pt idx="5660">
                  <c:v>33619</c:v>
                </c:pt>
                <c:pt idx="5661">
                  <c:v>33618</c:v>
                </c:pt>
                <c:pt idx="5662">
                  <c:v>33617</c:v>
                </c:pt>
                <c:pt idx="5663">
                  <c:v>33616</c:v>
                </c:pt>
                <c:pt idx="5664">
                  <c:v>33613</c:v>
                </c:pt>
                <c:pt idx="5665">
                  <c:v>33612</c:v>
                </c:pt>
                <c:pt idx="5666">
                  <c:v>33611</c:v>
                </c:pt>
                <c:pt idx="5667">
                  <c:v>33610</c:v>
                </c:pt>
                <c:pt idx="5668">
                  <c:v>33609</c:v>
                </c:pt>
                <c:pt idx="5669">
                  <c:v>33606</c:v>
                </c:pt>
                <c:pt idx="5670">
                  <c:v>33605</c:v>
                </c:pt>
                <c:pt idx="5671">
                  <c:v>33603</c:v>
                </c:pt>
                <c:pt idx="5672">
                  <c:v>33602</c:v>
                </c:pt>
                <c:pt idx="5673">
                  <c:v>33599</c:v>
                </c:pt>
                <c:pt idx="5674">
                  <c:v>33596</c:v>
                </c:pt>
                <c:pt idx="5675">
                  <c:v>33595</c:v>
                </c:pt>
                <c:pt idx="5676">
                  <c:v>33592</c:v>
                </c:pt>
                <c:pt idx="5677">
                  <c:v>33591</c:v>
                </c:pt>
                <c:pt idx="5678">
                  <c:v>33590</c:v>
                </c:pt>
                <c:pt idx="5679">
                  <c:v>33589</c:v>
                </c:pt>
                <c:pt idx="5680">
                  <c:v>33585</c:v>
                </c:pt>
                <c:pt idx="5681">
                  <c:v>33584</c:v>
                </c:pt>
                <c:pt idx="5682">
                  <c:v>33583</c:v>
                </c:pt>
                <c:pt idx="5683">
                  <c:v>33582</c:v>
                </c:pt>
                <c:pt idx="5684">
                  <c:v>33581</c:v>
                </c:pt>
                <c:pt idx="5685">
                  <c:v>33578</c:v>
                </c:pt>
                <c:pt idx="5686">
                  <c:v>33577</c:v>
                </c:pt>
                <c:pt idx="5687">
                  <c:v>33576</c:v>
                </c:pt>
                <c:pt idx="5688">
                  <c:v>33575</c:v>
                </c:pt>
                <c:pt idx="5689">
                  <c:v>33574</c:v>
                </c:pt>
                <c:pt idx="5690">
                  <c:v>33571</c:v>
                </c:pt>
                <c:pt idx="5691">
                  <c:v>33570</c:v>
                </c:pt>
                <c:pt idx="5692">
                  <c:v>33569</c:v>
                </c:pt>
                <c:pt idx="5693">
                  <c:v>33568</c:v>
                </c:pt>
                <c:pt idx="5694">
                  <c:v>33567</c:v>
                </c:pt>
                <c:pt idx="5695">
                  <c:v>33564</c:v>
                </c:pt>
                <c:pt idx="5696">
                  <c:v>33563</c:v>
                </c:pt>
                <c:pt idx="5697">
                  <c:v>33562</c:v>
                </c:pt>
                <c:pt idx="5698">
                  <c:v>33561</c:v>
                </c:pt>
                <c:pt idx="5699">
                  <c:v>33560</c:v>
                </c:pt>
                <c:pt idx="5700">
                  <c:v>33557</c:v>
                </c:pt>
                <c:pt idx="5701">
                  <c:v>33556</c:v>
                </c:pt>
                <c:pt idx="5702">
                  <c:v>33555</c:v>
                </c:pt>
                <c:pt idx="5703">
                  <c:v>33554</c:v>
                </c:pt>
                <c:pt idx="5704">
                  <c:v>33553</c:v>
                </c:pt>
                <c:pt idx="5705">
                  <c:v>33550</c:v>
                </c:pt>
                <c:pt idx="5706">
                  <c:v>33549</c:v>
                </c:pt>
                <c:pt idx="5707">
                  <c:v>33548</c:v>
                </c:pt>
                <c:pt idx="5708">
                  <c:v>33547</c:v>
                </c:pt>
                <c:pt idx="5709">
                  <c:v>33546</c:v>
                </c:pt>
                <c:pt idx="5710">
                  <c:v>33543</c:v>
                </c:pt>
                <c:pt idx="5711">
                  <c:v>33542</c:v>
                </c:pt>
                <c:pt idx="5712">
                  <c:v>33541</c:v>
                </c:pt>
                <c:pt idx="5713">
                  <c:v>33540</c:v>
                </c:pt>
                <c:pt idx="5714">
                  <c:v>33539</c:v>
                </c:pt>
                <c:pt idx="5715">
                  <c:v>33536</c:v>
                </c:pt>
                <c:pt idx="5716">
                  <c:v>33535</c:v>
                </c:pt>
                <c:pt idx="5717">
                  <c:v>33534</c:v>
                </c:pt>
                <c:pt idx="5718">
                  <c:v>33533</c:v>
                </c:pt>
                <c:pt idx="5719">
                  <c:v>33532</c:v>
                </c:pt>
                <c:pt idx="5720">
                  <c:v>33529</c:v>
                </c:pt>
                <c:pt idx="5721">
                  <c:v>33528</c:v>
                </c:pt>
                <c:pt idx="5722">
                  <c:v>33527</c:v>
                </c:pt>
                <c:pt idx="5723">
                  <c:v>33526</c:v>
                </c:pt>
                <c:pt idx="5724">
                  <c:v>33525</c:v>
                </c:pt>
                <c:pt idx="5725">
                  <c:v>33522</c:v>
                </c:pt>
                <c:pt idx="5726">
                  <c:v>33520</c:v>
                </c:pt>
                <c:pt idx="5727">
                  <c:v>33519</c:v>
                </c:pt>
                <c:pt idx="5728">
                  <c:v>33518</c:v>
                </c:pt>
                <c:pt idx="5729">
                  <c:v>33515</c:v>
                </c:pt>
                <c:pt idx="5730">
                  <c:v>33514</c:v>
                </c:pt>
                <c:pt idx="5731">
                  <c:v>33513</c:v>
                </c:pt>
                <c:pt idx="5732">
                  <c:v>33512</c:v>
                </c:pt>
                <c:pt idx="5733">
                  <c:v>33511</c:v>
                </c:pt>
                <c:pt idx="5734">
                  <c:v>33508</c:v>
                </c:pt>
                <c:pt idx="5735">
                  <c:v>33507</c:v>
                </c:pt>
                <c:pt idx="5736">
                  <c:v>33506</c:v>
                </c:pt>
                <c:pt idx="5737">
                  <c:v>33505</c:v>
                </c:pt>
                <c:pt idx="5738">
                  <c:v>33504</c:v>
                </c:pt>
                <c:pt idx="5739">
                  <c:v>33501</c:v>
                </c:pt>
                <c:pt idx="5740">
                  <c:v>33500</c:v>
                </c:pt>
                <c:pt idx="5741">
                  <c:v>33499</c:v>
                </c:pt>
                <c:pt idx="5742">
                  <c:v>33498</c:v>
                </c:pt>
                <c:pt idx="5743">
                  <c:v>33497</c:v>
                </c:pt>
                <c:pt idx="5744">
                  <c:v>33494</c:v>
                </c:pt>
                <c:pt idx="5745">
                  <c:v>33493</c:v>
                </c:pt>
                <c:pt idx="5746">
                  <c:v>33492</c:v>
                </c:pt>
                <c:pt idx="5747">
                  <c:v>33491</c:v>
                </c:pt>
                <c:pt idx="5748">
                  <c:v>33490</c:v>
                </c:pt>
                <c:pt idx="5749">
                  <c:v>33487</c:v>
                </c:pt>
                <c:pt idx="5750">
                  <c:v>33486</c:v>
                </c:pt>
                <c:pt idx="5751">
                  <c:v>33485</c:v>
                </c:pt>
                <c:pt idx="5752">
                  <c:v>33484</c:v>
                </c:pt>
                <c:pt idx="5753">
                  <c:v>33483</c:v>
                </c:pt>
                <c:pt idx="5754">
                  <c:v>33480</c:v>
                </c:pt>
                <c:pt idx="5755">
                  <c:v>33479</c:v>
                </c:pt>
                <c:pt idx="5756">
                  <c:v>33478</c:v>
                </c:pt>
                <c:pt idx="5757">
                  <c:v>33477</c:v>
                </c:pt>
                <c:pt idx="5758">
                  <c:v>33476</c:v>
                </c:pt>
                <c:pt idx="5759">
                  <c:v>33473</c:v>
                </c:pt>
                <c:pt idx="5760">
                  <c:v>33472</c:v>
                </c:pt>
                <c:pt idx="5761">
                  <c:v>33471</c:v>
                </c:pt>
                <c:pt idx="5762">
                  <c:v>33470</c:v>
                </c:pt>
                <c:pt idx="5763">
                  <c:v>33469</c:v>
                </c:pt>
                <c:pt idx="5764">
                  <c:v>33466</c:v>
                </c:pt>
                <c:pt idx="5765">
                  <c:v>33465</c:v>
                </c:pt>
                <c:pt idx="5766">
                  <c:v>33464</c:v>
                </c:pt>
                <c:pt idx="5767">
                  <c:v>33463</c:v>
                </c:pt>
                <c:pt idx="5768">
                  <c:v>33462</c:v>
                </c:pt>
                <c:pt idx="5769">
                  <c:v>33459</c:v>
                </c:pt>
                <c:pt idx="5770">
                  <c:v>33458</c:v>
                </c:pt>
                <c:pt idx="5771">
                  <c:v>33457</c:v>
                </c:pt>
                <c:pt idx="5772">
                  <c:v>33456</c:v>
                </c:pt>
                <c:pt idx="5773">
                  <c:v>33455</c:v>
                </c:pt>
                <c:pt idx="5774">
                  <c:v>33452</c:v>
                </c:pt>
                <c:pt idx="5775">
                  <c:v>33451</c:v>
                </c:pt>
                <c:pt idx="5776">
                  <c:v>33450</c:v>
                </c:pt>
                <c:pt idx="5777">
                  <c:v>33449</c:v>
                </c:pt>
                <c:pt idx="5778">
                  <c:v>33448</c:v>
                </c:pt>
                <c:pt idx="5779">
                  <c:v>33445</c:v>
                </c:pt>
                <c:pt idx="5780">
                  <c:v>33444</c:v>
                </c:pt>
                <c:pt idx="5781">
                  <c:v>33443</c:v>
                </c:pt>
                <c:pt idx="5782">
                  <c:v>33442</c:v>
                </c:pt>
                <c:pt idx="5783">
                  <c:v>33441</c:v>
                </c:pt>
                <c:pt idx="5784">
                  <c:v>33438</c:v>
                </c:pt>
                <c:pt idx="5785">
                  <c:v>33437</c:v>
                </c:pt>
                <c:pt idx="5786">
                  <c:v>33436</c:v>
                </c:pt>
                <c:pt idx="5787">
                  <c:v>33435</c:v>
                </c:pt>
                <c:pt idx="5788">
                  <c:v>33434</c:v>
                </c:pt>
                <c:pt idx="5789">
                  <c:v>33431</c:v>
                </c:pt>
                <c:pt idx="5790">
                  <c:v>33430</c:v>
                </c:pt>
                <c:pt idx="5791">
                  <c:v>33429</c:v>
                </c:pt>
                <c:pt idx="5792">
                  <c:v>33428</c:v>
                </c:pt>
                <c:pt idx="5793">
                  <c:v>33427</c:v>
                </c:pt>
                <c:pt idx="5794">
                  <c:v>33424</c:v>
                </c:pt>
                <c:pt idx="5795">
                  <c:v>33423</c:v>
                </c:pt>
                <c:pt idx="5796">
                  <c:v>33422</c:v>
                </c:pt>
                <c:pt idx="5797">
                  <c:v>33421</c:v>
                </c:pt>
                <c:pt idx="5798">
                  <c:v>33420</c:v>
                </c:pt>
                <c:pt idx="5799">
                  <c:v>33417</c:v>
                </c:pt>
                <c:pt idx="5800">
                  <c:v>33416</c:v>
                </c:pt>
                <c:pt idx="5801">
                  <c:v>33415</c:v>
                </c:pt>
                <c:pt idx="5802">
                  <c:v>33414</c:v>
                </c:pt>
                <c:pt idx="5803">
                  <c:v>33413</c:v>
                </c:pt>
                <c:pt idx="5804">
                  <c:v>33410</c:v>
                </c:pt>
                <c:pt idx="5805">
                  <c:v>33409</c:v>
                </c:pt>
                <c:pt idx="5806">
                  <c:v>33408</c:v>
                </c:pt>
                <c:pt idx="5807">
                  <c:v>33407</c:v>
                </c:pt>
                <c:pt idx="5808">
                  <c:v>33406</c:v>
                </c:pt>
                <c:pt idx="5809">
                  <c:v>33403</c:v>
                </c:pt>
                <c:pt idx="5810">
                  <c:v>33402</c:v>
                </c:pt>
                <c:pt idx="5811">
                  <c:v>33401</c:v>
                </c:pt>
                <c:pt idx="5812">
                  <c:v>33400</c:v>
                </c:pt>
                <c:pt idx="5813">
                  <c:v>33399</c:v>
                </c:pt>
                <c:pt idx="5814">
                  <c:v>33396</c:v>
                </c:pt>
                <c:pt idx="5815">
                  <c:v>33395</c:v>
                </c:pt>
                <c:pt idx="5816">
                  <c:v>33394</c:v>
                </c:pt>
                <c:pt idx="5817">
                  <c:v>33393</c:v>
                </c:pt>
                <c:pt idx="5818">
                  <c:v>33392</c:v>
                </c:pt>
                <c:pt idx="5819">
                  <c:v>33388</c:v>
                </c:pt>
                <c:pt idx="5820">
                  <c:v>33387</c:v>
                </c:pt>
                <c:pt idx="5821">
                  <c:v>33386</c:v>
                </c:pt>
                <c:pt idx="5822">
                  <c:v>33385</c:v>
                </c:pt>
                <c:pt idx="5823">
                  <c:v>33382</c:v>
                </c:pt>
                <c:pt idx="5824">
                  <c:v>33381</c:v>
                </c:pt>
                <c:pt idx="5825">
                  <c:v>33380</c:v>
                </c:pt>
                <c:pt idx="5826">
                  <c:v>33379</c:v>
                </c:pt>
                <c:pt idx="5827">
                  <c:v>33378</c:v>
                </c:pt>
                <c:pt idx="5828">
                  <c:v>33375</c:v>
                </c:pt>
                <c:pt idx="5829">
                  <c:v>33374</c:v>
                </c:pt>
                <c:pt idx="5830">
                  <c:v>33373</c:v>
                </c:pt>
                <c:pt idx="5831">
                  <c:v>33372</c:v>
                </c:pt>
                <c:pt idx="5832">
                  <c:v>33371</c:v>
                </c:pt>
                <c:pt idx="5833">
                  <c:v>33368</c:v>
                </c:pt>
                <c:pt idx="5834">
                  <c:v>33366</c:v>
                </c:pt>
                <c:pt idx="5835">
                  <c:v>33365</c:v>
                </c:pt>
                <c:pt idx="5836">
                  <c:v>33364</c:v>
                </c:pt>
                <c:pt idx="5837">
                  <c:v>33361</c:v>
                </c:pt>
                <c:pt idx="5838">
                  <c:v>33360</c:v>
                </c:pt>
                <c:pt idx="5839">
                  <c:v>33358</c:v>
                </c:pt>
                <c:pt idx="5840">
                  <c:v>33357</c:v>
                </c:pt>
                <c:pt idx="5841">
                  <c:v>33354</c:v>
                </c:pt>
                <c:pt idx="5842">
                  <c:v>33353</c:v>
                </c:pt>
                <c:pt idx="5843">
                  <c:v>33352</c:v>
                </c:pt>
                <c:pt idx="5844">
                  <c:v>33351</c:v>
                </c:pt>
                <c:pt idx="5845">
                  <c:v>33350</c:v>
                </c:pt>
                <c:pt idx="5846">
                  <c:v>33347</c:v>
                </c:pt>
                <c:pt idx="5847">
                  <c:v>33346</c:v>
                </c:pt>
                <c:pt idx="5848">
                  <c:v>33345</c:v>
                </c:pt>
                <c:pt idx="5849">
                  <c:v>33344</c:v>
                </c:pt>
                <c:pt idx="5850">
                  <c:v>33343</c:v>
                </c:pt>
                <c:pt idx="5851">
                  <c:v>33340</c:v>
                </c:pt>
                <c:pt idx="5852">
                  <c:v>33339</c:v>
                </c:pt>
                <c:pt idx="5853">
                  <c:v>33338</c:v>
                </c:pt>
                <c:pt idx="5854">
                  <c:v>33337</c:v>
                </c:pt>
                <c:pt idx="5855">
                  <c:v>33336</c:v>
                </c:pt>
                <c:pt idx="5856">
                  <c:v>33333</c:v>
                </c:pt>
                <c:pt idx="5857">
                  <c:v>33332</c:v>
                </c:pt>
                <c:pt idx="5858">
                  <c:v>33331</c:v>
                </c:pt>
                <c:pt idx="5859">
                  <c:v>33330</c:v>
                </c:pt>
                <c:pt idx="5860">
                  <c:v>33325</c:v>
                </c:pt>
                <c:pt idx="5861">
                  <c:v>33324</c:v>
                </c:pt>
                <c:pt idx="5862">
                  <c:v>33323</c:v>
                </c:pt>
                <c:pt idx="5863">
                  <c:v>33322</c:v>
                </c:pt>
                <c:pt idx="5864">
                  <c:v>33319</c:v>
                </c:pt>
                <c:pt idx="5865">
                  <c:v>33318</c:v>
                </c:pt>
                <c:pt idx="5866">
                  <c:v>33317</c:v>
                </c:pt>
                <c:pt idx="5867">
                  <c:v>33316</c:v>
                </c:pt>
                <c:pt idx="5868">
                  <c:v>33315</c:v>
                </c:pt>
                <c:pt idx="5869">
                  <c:v>33312</c:v>
                </c:pt>
                <c:pt idx="5870">
                  <c:v>33311</c:v>
                </c:pt>
                <c:pt idx="5871">
                  <c:v>33310</c:v>
                </c:pt>
                <c:pt idx="5872">
                  <c:v>33309</c:v>
                </c:pt>
                <c:pt idx="5873">
                  <c:v>33308</c:v>
                </c:pt>
                <c:pt idx="5874">
                  <c:v>33305</c:v>
                </c:pt>
                <c:pt idx="5875">
                  <c:v>33304</c:v>
                </c:pt>
                <c:pt idx="5876">
                  <c:v>33303</c:v>
                </c:pt>
                <c:pt idx="5877">
                  <c:v>33302</c:v>
                </c:pt>
                <c:pt idx="5878">
                  <c:v>33301</c:v>
                </c:pt>
                <c:pt idx="5879">
                  <c:v>33298</c:v>
                </c:pt>
                <c:pt idx="5880">
                  <c:v>33297</c:v>
                </c:pt>
                <c:pt idx="5881">
                  <c:v>33296</c:v>
                </c:pt>
                <c:pt idx="5882">
                  <c:v>33295</c:v>
                </c:pt>
                <c:pt idx="5883">
                  <c:v>33294</c:v>
                </c:pt>
                <c:pt idx="5884">
                  <c:v>33291</c:v>
                </c:pt>
                <c:pt idx="5885">
                  <c:v>33290</c:v>
                </c:pt>
                <c:pt idx="5886">
                  <c:v>33289</c:v>
                </c:pt>
                <c:pt idx="5887">
                  <c:v>33288</c:v>
                </c:pt>
                <c:pt idx="5888">
                  <c:v>33287</c:v>
                </c:pt>
                <c:pt idx="5889">
                  <c:v>33284</c:v>
                </c:pt>
                <c:pt idx="5890">
                  <c:v>33283</c:v>
                </c:pt>
                <c:pt idx="5891">
                  <c:v>33282</c:v>
                </c:pt>
                <c:pt idx="5892">
                  <c:v>33281</c:v>
                </c:pt>
                <c:pt idx="5893">
                  <c:v>33280</c:v>
                </c:pt>
                <c:pt idx="5894">
                  <c:v>33277</c:v>
                </c:pt>
                <c:pt idx="5895">
                  <c:v>33276</c:v>
                </c:pt>
                <c:pt idx="5896">
                  <c:v>33275</c:v>
                </c:pt>
                <c:pt idx="5897">
                  <c:v>33274</c:v>
                </c:pt>
                <c:pt idx="5898">
                  <c:v>33273</c:v>
                </c:pt>
                <c:pt idx="5899">
                  <c:v>33270</c:v>
                </c:pt>
                <c:pt idx="5900">
                  <c:v>33269</c:v>
                </c:pt>
                <c:pt idx="5901">
                  <c:v>33268</c:v>
                </c:pt>
                <c:pt idx="5902">
                  <c:v>33267</c:v>
                </c:pt>
                <c:pt idx="5903">
                  <c:v>33266</c:v>
                </c:pt>
                <c:pt idx="5904">
                  <c:v>33263</c:v>
                </c:pt>
                <c:pt idx="5905">
                  <c:v>33262</c:v>
                </c:pt>
                <c:pt idx="5906">
                  <c:v>33261</c:v>
                </c:pt>
                <c:pt idx="5907">
                  <c:v>33260</c:v>
                </c:pt>
                <c:pt idx="5908">
                  <c:v>33259</c:v>
                </c:pt>
                <c:pt idx="5909">
                  <c:v>33256</c:v>
                </c:pt>
                <c:pt idx="5910">
                  <c:v>33255</c:v>
                </c:pt>
                <c:pt idx="5911">
                  <c:v>33254</c:v>
                </c:pt>
                <c:pt idx="5912">
                  <c:v>33253</c:v>
                </c:pt>
                <c:pt idx="5913">
                  <c:v>33252</c:v>
                </c:pt>
                <c:pt idx="5914">
                  <c:v>33249</c:v>
                </c:pt>
                <c:pt idx="5915">
                  <c:v>33248</c:v>
                </c:pt>
                <c:pt idx="5916">
                  <c:v>33247</c:v>
                </c:pt>
                <c:pt idx="5917">
                  <c:v>33246</c:v>
                </c:pt>
                <c:pt idx="5918">
                  <c:v>33245</c:v>
                </c:pt>
                <c:pt idx="5919">
                  <c:v>33242</c:v>
                </c:pt>
                <c:pt idx="5920">
                  <c:v>33241</c:v>
                </c:pt>
                <c:pt idx="5921">
                  <c:v>33240</c:v>
                </c:pt>
                <c:pt idx="5922">
                  <c:v>33238</c:v>
                </c:pt>
                <c:pt idx="5923">
                  <c:v>33235</c:v>
                </c:pt>
                <c:pt idx="5924">
                  <c:v>33234</c:v>
                </c:pt>
                <c:pt idx="5925">
                  <c:v>33231</c:v>
                </c:pt>
                <c:pt idx="5926">
                  <c:v>33228</c:v>
                </c:pt>
                <c:pt idx="5927">
                  <c:v>33227</c:v>
                </c:pt>
                <c:pt idx="5928">
                  <c:v>33226</c:v>
                </c:pt>
                <c:pt idx="5929">
                  <c:v>33225</c:v>
                </c:pt>
                <c:pt idx="5930">
                  <c:v>33224</c:v>
                </c:pt>
                <c:pt idx="5931">
                  <c:v>33221</c:v>
                </c:pt>
                <c:pt idx="5932">
                  <c:v>33220</c:v>
                </c:pt>
                <c:pt idx="5933">
                  <c:v>33219</c:v>
                </c:pt>
                <c:pt idx="5934">
                  <c:v>33218</c:v>
                </c:pt>
                <c:pt idx="5935">
                  <c:v>33217</c:v>
                </c:pt>
                <c:pt idx="5936">
                  <c:v>33214</c:v>
                </c:pt>
                <c:pt idx="5937">
                  <c:v>33213</c:v>
                </c:pt>
                <c:pt idx="5938">
                  <c:v>33212</c:v>
                </c:pt>
                <c:pt idx="5939">
                  <c:v>33211</c:v>
                </c:pt>
                <c:pt idx="5940">
                  <c:v>33210</c:v>
                </c:pt>
                <c:pt idx="5941">
                  <c:v>33207</c:v>
                </c:pt>
                <c:pt idx="5942">
                  <c:v>33206</c:v>
                </c:pt>
                <c:pt idx="5943">
                  <c:v>33205</c:v>
                </c:pt>
                <c:pt idx="5944">
                  <c:v>33204</c:v>
                </c:pt>
                <c:pt idx="5945">
                  <c:v>33203</c:v>
                </c:pt>
                <c:pt idx="5946">
                  <c:v>33200</c:v>
                </c:pt>
                <c:pt idx="5947">
                  <c:v>33199</c:v>
                </c:pt>
                <c:pt idx="5948">
                  <c:v>33198</c:v>
                </c:pt>
                <c:pt idx="5949">
                  <c:v>33197</c:v>
                </c:pt>
                <c:pt idx="5950">
                  <c:v>33196</c:v>
                </c:pt>
                <c:pt idx="5951">
                  <c:v>33193</c:v>
                </c:pt>
                <c:pt idx="5952">
                  <c:v>33192</c:v>
                </c:pt>
                <c:pt idx="5953">
                  <c:v>33191</c:v>
                </c:pt>
                <c:pt idx="5954">
                  <c:v>33190</c:v>
                </c:pt>
                <c:pt idx="5955">
                  <c:v>33189</c:v>
                </c:pt>
                <c:pt idx="5956">
                  <c:v>33186</c:v>
                </c:pt>
                <c:pt idx="5957">
                  <c:v>33185</c:v>
                </c:pt>
                <c:pt idx="5958">
                  <c:v>33184</c:v>
                </c:pt>
                <c:pt idx="5959">
                  <c:v>33183</c:v>
                </c:pt>
                <c:pt idx="5960">
                  <c:v>33182</c:v>
                </c:pt>
                <c:pt idx="5961">
                  <c:v>33179</c:v>
                </c:pt>
                <c:pt idx="5962">
                  <c:v>33178</c:v>
                </c:pt>
                <c:pt idx="5963">
                  <c:v>33177</c:v>
                </c:pt>
                <c:pt idx="5964">
                  <c:v>33176</c:v>
                </c:pt>
                <c:pt idx="5965">
                  <c:v>33175</c:v>
                </c:pt>
                <c:pt idx="5966">
                  <c:v>33172</c:v>
                </c:pt>
                <c:pt idx="5967">
                  <c:v>33171</c:v>
                </c:pt>
                <c:pt idx="5968">
                  <c:v>33170</c:v>
                </c:pt>
                <c:pt idx="5969">
                  <c:v>33169</c:v>
                </c:pt>
                <c:pt idx="5970">
                  <c:v>33168</c:v>
                </c:pt>
                <c:pt idx="5971">
                  <c:v>33165</c:v>
                </c:pt>
                <c:pt idx="5972">
                  <c:v>33164</c:v>
                </c:pt>
                <c:pt idx="5973">
                  <c:v>33163</c:v>
                </c:pt>
                <c:pt idx="5974">
                  <c:v>33162</c:v>
                </c:pt>
                <c:pt idx="5975">
                  <c:v>33161</c:v>
                </c:pt>
                <c:pt idx="5976">
                  <c:v>33158</c:v>
                </c:pt>
                <c:pt idx="5977">
                  <c:v>33157</c:v>
                </c:pt>
                <c:pt idx="5978">
                  <c:v>33155</c:v>
                </c:pt>
                <c:pt idx="5979">
                  <c:v>33154</c:v>
                </c:pt>
                <c:pt idx="5980">
                  <c:v>33151</c:v>
                </c:pt>
                <c:pt idx="5981">
                  <c:v>33150</c:v>
                </c:pt>
                <c:pt idx="5982">
                  <c:v>33149</c:v>
                </c:pt>
                <c:pt idx="5983">
                  <c:v>33148</c:v>
                </c:pt>
                <c:pt idx="5984">
                  <c:v>33147</c:v>
                </c:pt>
                <c:pt idx="5985">
                  <c:v>33144</c:v>
                </c:pt>
                <c:pt idx="5986">
                  <c:v>33143</c:v>
                </c:pt>
                <c:pt idx="5987">
                  <c:v>33142</c:v>
                </c:pt>
                <c:pt idx="5988">
                  <c:v>33141</c:v>
                </c:pt>
                <c:pt idx="5989">
                  <c:v>33140</c:v>
                </c:pt>
                <c:pt idx="5990">
                  <c:v>33137</c:v>
                </c:pt>
                <c:pt idx="5991">
                  <c:v>33136</c:v>
                </c:pt>
                <c:pt idx="5992">
                  <c:v>33135</c:v>
                </c:pt>
                <c:pt idx="5993">
                  <c:v>33134</c:v>
                </c:pt>
                <c:pt idx="5994">
                  <c:v>33133</c:v>
                </c:pt>
                <c:pt idx="5995">
                  <c:v>33130</c:v>
                </c:pt>
                <c:pt idx="5996">
                  <c:v>33129</c:v>
                </c:pt>
                <c:pt idx="5997">
                  <c:v>33128</c:v>
                </c:pt>
                <c:pt idx="5998">
                  <c:v>33127</c:v>
                </c:pt>
                <c:pt idx="5999">
                  <c:v>33126</c:v>
                </c:pt>
                <c:pt idx="6000">
                  <c:v>33123</c:v>
                </c:pt>
                <c:pt idx="6001">
                  <c:v>33122</c:v>
                </c:pt>
                <c:pt idx="6002">
                  <c:v>33121</c:v>
                </c:pt>
                <c:pt idx="6003">
                  <c:v>33120</c:v>
                </c:pt>
                <c:pt idx="6004">
                  <c:v>33119</c:v>
                </c:pt>
                <c:pt idx="6005">
                  <c:v>33116</c:v>
                </c:pt>
                <c:pt idx="6006">
                  <c:v>33115</c:v>
                </c:pt>
                <c:pt idx="6007">
                  <c:v>33114</c:v>
                </c:pt>
                <c:pt idx="6008">
                  <c:v>33113</c:v>
                </c:pt>
                <c:pt idx="6009">
                  <c:v>33112</c:v>
                </c:pt>
                <c:pt idx="6010">
                  <c:v>33109</c:v>
                </c:pt>
                <c:pt idx="6011">
                  <c:v>33108</c:v>
                </c:pt>
                <c:pt idx="6012">
                  <c:v>33107</c:v>
                </c:pt>
                <c:pt idx="6013">
                  <c:v>33106</c:v>
                </c:pt>
                <c:pt idx="6014">
                  <c:v>33105</c:v>
                </c:pt>
                <c:pt idx="6015">
                  <c:v>33102</c:v>
                </c:pt>
                <c:pt idx="6016">
                  <c:v>33101</c:v>
                </c:pt>
                <c:pt idx="6017">
                  <c:v>33100</c:v>
                </c:pt>
                <c:pt idx="6018">
                  <c:v>33099</c:v>
                </c:pt>
                <c:pt idx="6019">
                  <c:v>33098</c:v>
                </c:pt>
                <c:pt idx="6020">
                  <c:v>33095</c:v>
                </c:pt>
                <c:pt idx="6021">
                  <c:v>33094</c:v>
                </c:pt>
                <c:pt idx="6022">
                  <c:v>33093</c:v>
                </c:pt>
                <c:pt idx="6023">
                  <c:v>33092</c:v>
                </c:pt>
                <c:pt idx="6024">
                  <c:v>33091</c:v>
                </c:pt>
                <c:pt idx="6025">
                  <c:v>33088</c:v>
                </c:pt>
                <c:pt idx="6026">
                  <c:v>33087</c:v>
                </c:pt>
                <c:pt idx="6027">
                  <c:v>33086</c:v>
                </c:pt>
                <c:pt idx="6028">
                  <c:v>33085</c:v>
                </c:pt>
                <c:pt idx="6029">
                  <c:v>33084</c:v>
                </c:pt>
                <c:pt idx="6030">
                  <c:v>33081</c:v>
                </c:pt>
                <c:pt idx="6031">
                  <c:v>33080</c:v>
                </c:pt>
                <c:pt idx="6032">
                  <c:v>33079</c:v>
                </c:pt>
                <c:pt idx="6033">
                  <c:v>33078</c:v>
                </c:pt>
                <c:pt idx="6034">
                  <c:v>33077</c:v>
                </c:pt>
                <c:pt idx="6035">
                  <c:v>33074</c:v>
                </c:pt>
                <c:pt idx="6036">
                  <c:v>33073</c:v>
                </c:pt>
                <c:pt idx="6037">
                  <c:v>33072</c:v>
                </c:pt>
                <c:pt idx="6038">
                  <c:v>33071</c:v>
                </c:pt>
                <c:pt idx="6039">
                  <c:v>33070</c:v>
                </c:pt>
                <c:pt idx="6040">
                  <c:v>33067</c:v>
                </c:pt>
                <c:pt idx="6041">
                  <c:v>33066</c:v>
                </c:pt>
                <c:pt idx="6042">
                  <c:v>33065</c:v>
                </c:pt>
                <c:pt idx="6043">
                  <c:v>33064</c:v>
                </c:pt>
                <c:pt idx="6044">
                  <c:v>33063</c:v>
                </c:pt>
                <c:pt idx="6045">
                  <c:v>33060</c:v>
                </c:pt>
                <c:pt idx="6046">
                  <c:v>33059</c:v>
                </c:pt>
                <c:pt idx="6047">
                  <c:v>33058</c:v>
                </c:pt>
                <c:pt idx="6048">
                  <c:v>33057</c:v>
                </c:pt>
                <c:pt idx="6049">
                  <c:v>33056</c:v>
                </c:pt>
                <c:pt idx="6050">
                  <c:v>33053</c:v>
                </c:pt>
                <c:pt idx="6051">
                  <c:v>33052</c:v>
                </c:pt>
                <c:pt idx="6052">
                  <c:v>33051</c:v>
                </c:pt>
                <c:pt idx="6053">
                  <c:v>33050</c:v>
                </c:pt>
                <c:pt idx="6054">
                  <c:v>33049</c:v>
                </c:pt>
                <c:pt idx="6055">
                  <c:v>33046</c:v>
                </c:pt>
                <c:pt idx="6056">
                  <c:v>33045</c:v>
                </c:pt>
                <c:pt idx="6057">
                  <c:v>33044</c:v>
                </c:pt>
                <c:pt idx="6058">
                  <c:v>33043</c:v>
                </c:pt>
                <c:pt idx="6059">
                  <c:v>33042</c:v>
                </c:pt>
                <c:pt idx="6060">
                  <c:v>33039</c:v>
                </c:pt>
                <c:pt idx="6061">
                  <c:v>33038</c:v>
                </c:pt>
                <c:pt idx="6062">
                  <c:v>33037</c:v>
                </c:pt>
                <c:pt idx="6063">
                  <c:v>33036</c:v>
                </c:pt>
                <c:pt idx="6064">
                  <c:v>33035</c:v>
                </c:pt>
                <c:pt idx="6065">
                  <c:v>33032</c:v>
                </c:pt>
                <c:pt idx="6066">
                  <c:v>33031</c:v>
                </c:pt>
                <c:pt idx="6067">
                  <c:v>33030</c:v>
                </c:pt>
                <c:pt idx="6068">
                  <c:v>33029</c:v>
                </c:pt>
                <c:pt idx="6069">
                  <c:v>33028</c:v>
                </c:pt>
                <c:pt idx="6070">
                  <c:v>33025</c:v>
                </c:pt>
                <c:pt idx="6071">
                  <c:v>33023</c:v>
                </c:pt>
                <c:pt idx="6072">
                  <c:v>33022</c:v>
                </c:pt>
                <c:pt idx="6073">
                  <c:v>33021</c:v>
                </c:pt>
                <c:pt idx="6074">
                  <c:v>33018</c:v>
                </c:pt>
                <c:pt idx="6075">
                  <c:v>33016</c:v>
                </c:pt>
                <c:pt idx="6076">
                  <c:v>33015</c:v>
                </c:pt>
                <c:pt idx="6077">
                  <c:v>33014</c:v>
                </c:pt>
                <c:pt idx="6078">
                  <c:v>33011</c:v>
                </c:pt>
                <c:pt idx="6079">
                  <c:v>33010</c:v>
                </c:pt>
                <c:pt idx="6080">
                  <c:v>33009</c:v>
                </c:pt>
                <c:pt idx="6081">
                  <c:v>33008</c:v>
                </c:pt>
                <c:pt idx="6082">
                  <c:v>33007</c:v>
                </c:pt>
                <c:pt idx="6083">
                  <c:v>33004</c:v>
                </c:pt>
                <c:pt idx="6084">
                  <c:v>33003</c:v>
                </c:pt>
                <c:pt idx="6085">
                  <c:v>33002</c:v>
                </c:pt>
                <c:pt idx="6086">
                  <c:v>33001</c:v>
                </c:pt>
                <c:pt idx="6087">
                  <c:v>33000</c:v>
                </c:pt>
                <c:pt idx="6088">
                  <c:v>32997</c:v>
                </c:pt>
                <c:pt idx="6089">
                  <c:v>32996</c:v>
                </c:pt>
                <c:pt idx="6090">
                  <c:v>32995</c:v>
                </c:pt>
                <c:pt idx="6091">
                  <c:v>32993</c:v>
                </c:pt>
                <c:pt idx="6092">
                  <c:v>32990</c:v>
                </c:pt>
                <c:pt idx="6093">
                  <c:v>32989</c:v>
                </c:pt>
                <c:pt idx="6094">
                  <c:v>32988</c:v>
                </c:pt>
                <c:pt idx="6095">
                  <c:v>32987</c:v>
                </c:pt>
                <c:pt idx="6096">
                  <c:v>32986</c:v>
                </c:pt>
                <c:pt idx="6097">
                  <c:v>32983</c:v>
                </c:pt>
                <c:pt idx="6098">
                  <c:v>32982</c:v>
                </c:pt>
                <c:pt idx="6099">
                  <c:v>32981</c:v>
                </c:pt>
                <c:pt idx="6100">
                  <c:v>32980</c:v>
                </c:pt>
                <c:pt idx="6101">
                  <c:v>32975</c:v>
                </c:pt>
                <c:pt idx="6102">
                  <c:v>32974</c:v>
                </c:pt>
                <c:pt idx="6103">
                  <c:v>32973</c:v>
                </c:pt>
                <c:pt idx="6104">
                  <c:v>32972</c:v>
                </c:pt>
                <c:pt idx="6105">
                  <c:v>32968</c:v>
                </c:pt>
                <c:pt idx="6106">
                  <c:v>32967</c:v>
                </c:pt>
                <c:pt idx="6107">
                  <c:v>32966</c:v>
                </c:pt>
                <c:pt idx="6108">
                  <c:v>32965</c:v>
                </c:pt>
                <c:pt idx="6109">
                  <c:v>32962</c:v>
                </c:pt>
                <c:pt idx="6110">
                  <c:v>32961</c:v>
                </c:pt>
                <c:pt idx="6111">
                  <c:v>32960</c:v>
                </c:pt>
                <c:pt idx="6112">
                  <c:v>32959</c:v>
                </c:pt>
                <c:pt idx="6113">
                  <c:v>32958</c:v>
                </c:pt>
                <c:pt idx="6114">
                  <c:v>32955</c:v>
                </c:pt>
                <c:pt idx="6115">
                  <c:v>32954</c:v>
                </c:pt>
                <c:pt idx="6116">
                  <c:v>32953</c:v>
                </c:pt>
                <c:pt idx="6117">
                  <c:v>32952</c:v>
                </c:pt>
                <c:pt idx="6118">
                  <c:v>32951</c:v>
                </c:pt>
                <c:pt idx="6119">
                  <c:v>32948</c:v>
                </c:pt>
                <c:pt idx="6120">
                  <c:v>32947</c:v>
                </c:pt>
                <c:pt idx="6121">
                  <c:v>32946</c:v>
                </c:pt>
                <c:pt idx="6122">
                  <c:v>32945</c:v>
                </c:pt>
                <c:pt idx="6123">
                  <c:v>32944</c:v>
                </c:pt>
                <c:pt idx="6124">
                  <c:v>32941</c:v>
                </c:pt>
                <c:pt idx="6125">
                  <c:v>32940</c:v>
                </c:pt>
                <c:pt idx="6126">
                  <c:v>32939</c:v>
                </c:pt>
                <c:pt idx="6127">
                  <c:v>32938</c:v>
                </c:pt>
                <c:pt idx="6128">
                  <c:v>32937</c:v>
                </c:pt>
                <c:pt idx="6129">
                  <c:v>32934</c:v>
                </c:pt>
                <c:pt idx="6130">
                  <c:v>32933</c:v>
                </c:pt>
                <c:pt idx="6131">
                  <c:v>32932</c:v>
                </c:pt>
                <c:pt idx="6132">
                  <c:v>32931</c:v>
                </c:pt>
                <c:pt idx="6133">
                  <c:v>32930</c:v>
                </c:pt>
                <c:pt idx="6134">
                  <c:v>32927</c:v>
                </c:pt>
                <c:pt idx="6135">
                  <c:v>32926</c:v>
                </c:pt>
                <c:pt idx="6136">
                  <c:v>32925</c:v>
                </c:pt>
                <c:pt idx="6137">
                  <c:v>32924</c:v>
                </c:pt>
                <c:pt idx="6138">
                  <c:v>32923</c:v>
                </c:pt>
                <c:pt idx="6139">
                  <c:v>32920</c:v>
                </c:pt>
                <c:pt idx="6140">
                  <c:v>32919</c:v>
                </c:pt>
                <c:pt idx="6141">
                  <c:v>32918</c:v>
                </c:pt>
                <c:pt idx="6142">
                  <c:v>32917</c:v>
                </c:pt>
                <c:pt idx="6143">
                  <c:v>32916</c:v>
                </c:pt>
                <c:pt idx="6144">
                  <c:v>32913</c:v>
                </c:pt>
                <c:pt idx="6145">
                  <c:v>32912</c:v>
                </c:pt>
                <c:pt idx="6146">
                  <c:v>32911</c:v>
                </c:pt>
                <c:pt idx="6147">
                  <c:v>32910</c:v>
                </c:pt>
                <c:pt idx="6148">
                  <c:v>32909</c:v>
                </c:pt>
                <c:pt idx="6149">
                  <c:v>32906</c:v>
                </c:pt>
                <c:pt idx="6150">
                  <c:v>32905</c:v>
                </c:pt>
                <c:pt idx="6151">
                  <c:v>32904</c:v>
                </c:pt>
                <c:pt idx="6152">
                  <c:v>32903</c:v>
                </c:pt>
                <c:pt idx="6153">
                  <c:v>32902</c:v>
                </c:pt>
                <c:pt idx="6154">
                  <c:v>32899</c:v>
                </c:pt>
                <c:pt idx="6155">
                  <c:v>32898</c:v>
                </c:pt>
                <c:pt idx="6156">
                  <c:v>32897</c:v>
                </c:pt>
                <c:pt idx="6157">
                  <c:v>32896</c:v>
                </c:pt>
                <c:pt idx="6158">
                  <c:v>32895</c:v>
                </c:pt>
                <c:pt idx="6159">
                  <c:v>32892</c:v>
                </c:pt>
                <c:pt idx="6160">
                  <c:v>32891</c:v>
                </c:pt>
                <c:pt idx="6161">
                  <c:v>32890</c:v>
                </c:pt>
                <c:pt idx="6162">
                  <c:v>32889</c:v>
                </c:pt>
                <c:pt idx="6163">
                  <c:v>32888</c:v>
                </c:pt>
                <c:pt idx="6164">
                  <c:v>32885</c:v>
                </c:pt>
                <c:pt idx="6165">
                  <c:v>32884</c:v>
                </c:pt>
                <c:pt idx="6166">
                  <c:v>32883</c:v>
                </c:pt>
                <c:pt idx="6167">
                  <c:v>32882</c:v>
                </c:pt>
                <c:pt idx="6168">
                  <c:v>32881</c:v>
                </c:pt>
                <c:pt idx="6169">
                  <c:v>32878</c:v>
                </c:pt>
                <c:pt idx="6170">
                  <c:v>32877</c:v>
                </c:pt>
                <c:pt idx="6171">
                  <c:v>32876</c:v>
                </c:pt>
                <c:pt idx="6172">
                  <c:v>32875</c:v>
                </c:pt>
              </c:numCache>
            </c:numRef>
          </c:xVal>
          <c:yVal>
            <c:numRef>
              <c:f>ExchangeRateDetail!$F$9:$F$6181</c:f>
              <c:numCache>
                <c:formatCode>General</c:formatCode>
                <c:ptCount val="6173"/>
                <c:pt idx="0">
                  <c:v>9.7979191679833217</c:v>
                </c:pt>
                <c:pt idx="1">
                  <c:v>9.7960404752894306</c:v>
                </c:pt>
                <c:pt idx="2">
                  <c:v>9.7941621428236836</c:v>
                </c:pt>
                <c:pt idx="3">
                  <c:v>9.7922841705170089</c:v>
                </c:pt>
                <c:pt idx="4">
                  <c:v>9.790406558300349</c:v>
                </c:pt>
                <c:pt idx="5">
                  <c:v>9.7885293061046568</c:v>
                </c:pt>
                <c:pt idx="6">
                  <c:v>9.786652413860903</c:v>
                </c:pt>
                <c:pt idx="7">
                  <c:v>9.7847758815000674</c:v>
                </c:pt>
                <c:pt idx="8">
                  <c:v>9.7828997089531438</c:v>
                </c:pt>
                <c:pt idx="9">
                  <c:v>9.781023896151142</c:v>
                </c:pt>
                <c:pt idx="10">
                  <c:v>9.7791484430250826</c:v>
                </c:pt>
                <c:pt idx="11">
                  <c:v>9.7772733495059985</c:v>
                </c:pt>
                <c:pt idx="12">
                  <c:v>9.7753986155249386</c:v>
                </c:pt>
                <c:pt idx="13">
                  <c:v>9.7735242410129626</c:v>
                </c:pt>
                <c:pt idx="14">
                  <c:v>9.771650225901146</c:v>
                </c:pt>
                <c:pt idx="15">
                  <c:v>9.769776570120575</c:v>
                </c:pt>
                <c:pt idx="16">
                  <c:v>9.7679032736023501</c:v>
                </c:pt>
                <c:pt idx="17">
                  <c:v>9.7660303362775842</c:v>
                </c:pt>
                <c:pt idx="18">
                  <c:v>9.7641577580774044</c:v>
                </c:pt>
                <c:pt idx="19">
                  <c:v>9.7622855389329519</c:v>
                </c:pt>
                <c:pt idx="20">
                  <c:v>9.7604136787753788</c:v>
                </c:pt>
                <c:pt idx="21">
                  <c:v>9.7585421775358512</c:v>
                </c:pt>
                <c:pt idx="22">
                  <c:v>9.7566710351455495</c:v>
                </c:pt>
                <c:pt idx="23">
                  <c:v>9.7548002515356664</c:v>
                </c:pt>
                <c:pt idx="24">
                  <c:v>9.7529298266374074</c:v>
                </c:pt>
                <c:pt idx="25">
                  <c:v>9.7510597603819917</c:v>
                </c:pt>
                <c:pt idx="26">
                  <c:v>9.7491900527006514</c:v>
                </c:pt>
                <c:pt idx="27">
                  <c:v>9.7473207035246325</c:v>
                </c:pt>
                <c:pt idx="28">
                  <c:v>9.7454517127851936</c:v>
                </c:pt>
                <c:pt idx="29">
                  <c:v>9.7435830804136074</c:v>
                </c:pt>
                <c:pt idx="30">
                  <c:v>9.7417148063411574</c:v>
                </c:pt>
                <c:pt idx="31">
                  <c:v>9.7398468904991429</c:v>
                </c:pt>
                <c:pt idx="32">
                  <c:v>9.7379793328188757</c:v>
                </c:pt>
                <c:pt idx="33">
                  <c:v>9.7361121332316802</c:v>
                </c:pt>
                <c:pt idx="34">
                  <c:v>9.7342452916688949</c:v>
                </c:pt>
                <c:pt idx="35">
                  <c:v>9.7323788080618687</c:v>
                </c:pt>
                <c:pt idx="36">
                  <c:v>9.730512682341967</c:v>
                </c:pt>
                <c:pt idx="37">
                  <c:v>9.7286469144405672</c:v>
                </c:pt>
                <c:pt idx="38">
                  <c:v>9.7267815042890593</c:v>
                </c:pt>
                <c:pt idx="39">
                  <c:v>9.7249164518188476</c:v>
                </c:pt>
                <c:pt idx="40">
                  <c:v>9.7230517569613486</c:v>
                </c:pt>
                <c:pt idx="41">
                  <c:v>9.7211874196479915</c:v>
                </c:pt>
                <c:pt idx="42">
                  <c:v>9.7193234398102195</c:v>
                </c:pt>
                <c:pt idx="43">
                  <c:v>9.7174598173794884</c:v>
                </c:pt>
                <c:pt idx="44">
                  <c:v>9.715596552287268</c:v>
                </c:pt>
                <c:pt idx="45">
                  <c:v>9.7137336444650408</c:v>
                </c:pt>
                <c:pt idx="46">
                  <c:v>9.7118710938443034</c:v>
                </c:pt>
                <c:pt idx="47">
                  <c:v>9.7100089003565628</c:v>
                </c:pt>
                <c:pt idx="48">
                  <c:v>9.7081470639333425</c:v>
                </c:pt>
                <c:pt idx="49">
                  <c:v>9.7062855845061762</c:v>
                </c:pt>
                <c:pt idx="50">
                  <c:v>9.7044244620066138</c:v>
                </c:pt>
                <c:pt idx="51">
                  <c:v>9.7025636963662141</c:v>
                </c:pt>
                <c:pt idx="52">
                  <c:v>9.7007032875165535</c:v>
                </c:pt>
                <c:pt idx="53">
                  <c:v>9.6988432353892176</c:v>
                </c:pt>
                <c:pt idx="54">
                  <c:v>9.6969835399158093</c:v>
                </c:pt>
                <c:pt idx="55">
                  <c:v>9.6951242010279408</c:v>
                </c:pt>
                <c:pt idx="56">
                  <c:v>9.6932652186572383</c:v>
                </c:pt>
                <c:pt idx="57">
                  <c:v>9.6914065927353441</c:v>
                </c:pt>
                <c:pt idx="58">
                  <c:v>9.6895483231939092</c:v>
                </c:pt>
                <c:pt idx="59">
                  <c:v>9.6876904099646008</c:v>
                </c:pt>
                <c:pt idx="60">
                  <c:v>9.6858328529790985</c:v>
                </c:pt>
                <c:pt idx="61">
                  <c:v>9.6839756521690923</c:v>
                </c:pt>
                <c:pt idx="62">
                  <c:v>9.6821188074662903</c:v>
                </c:pt>
                <c:pt idx="63">
                  <c:v>9.6802623188024093</c:v>
                </c:pt>
                <c:pt idx="64">
                  <c:v>9.6784061861091821</c:v>
                </c:pt>
                <c:pt idx="65">
                  <c:v>9.6765504093183541</c:v>
                </c:pt>
                <c:pt idx="66">
                  <c:v>9.6746949883616811</c:v>
                </c:pt>
                <c:pt idx="67">
                  <c:v>9.672839923170935</c:v>
                </c:pt>
                <c:pt idx="68">
                  <c:v>9.6709852136779002</c:v>
                </c:pt>
                <c:pt idx="69">
                  <c:v>9.6691308598143735</c:v>
                </c:pt>
                <c:pt idx="70">
                  <c:v>9.6672768615121658</c:v>
                </c:pt>
                <c:pt idx="71">
                  <c:v>9.6654232187030988</c:v>
                </c:pt>
                <c:pt idx="72">
                  <c:v>9.6635699313190102</c:v>
                </c:pt>
                <c:pt idx="73">
                  <c:v>9.6617169992917482</c:v>
                </c:pt>
                <c:pt idx="74">
                  <c:v>9.6598644225531753</c:v>
                </c:pt>
                <c:pt idx="75">
                  <c:v>9.6580122010351683</c:v>
                </c:pt>
                <c:pt idx="76">
                  <c:v>9.6561603346696145</c:v>
                </c:pt>
                <c:pt idx="77">
                  <c:v>9.6543088233884156</c:v>
                </c:pt>
                <c:pt idx="78">
                  <c:v>9.6524576671234872</c:v>
                </c:pt>
                <c:pt idx="79">
                  <c:v>9.6506068658067576</c:v>
                </c:pt>
                <c:pt idx="80">
                  <c:v>9.6487564193701658</c:v>
                </c:pt>
                <c:pt idx="81">
                  <c:v>9.6469063277456666</c:v>
                </c:pt>
                <c:pt idx="82">
                  <c:v>9.6450565908652255</c:v>
                </c:pt>
                <c:pt idx="83">
                  <c:v>9.643207208660824</c:v>
                </c:pt>
                <c:pt idx="84">
                  <c:v>9.6413581810644544</c:v>
                </c:pt>
                <c:pt idx="85">
                  <c:v>9.639509508008123</c:v>
                </c:pt>
                <c:pt idx="86">
                  <c:v>9.6376611894238504</c:v>
                </c:pt>
                <c:pt idx="87">
                  <c:v>9.6358132252436661</c:v>
                </c:pt>
                <c:pt idx="88">
                  <c:v>9.6339656153996174</c:v>
                </c:pt>
                <c:pt idx="89">
                  <c:v>9.6321183598237603</c:v>
                </c:pt>
                <c:pt idx="90">
                  <c:v>9.630271458448167</c:v>
                </c:pt>
                <c:pt idx="91">
                  <c:v>9.6284249112049221</c:v>
                </c:pt>
                <c:pt idx="92">
                  <c:v>9.6265787180261224</c:v>
                </c:pt>
                <c:pt idx="93">
                  <c:v>9.6247328788438775</c:v>
                </c:pt>
                <c:pt idx="94">
                  <c:v>9.6228873935903128</c:v>
                </c:pt>
                <c:pt idx="95">
                  <c:v>9.6210422621975624</c:v>
                </c:pt>
                <c:pt idx="96">
                  <c:v>9.6191974845977768</c:v>
                </c:pt>
                <c:pt idx="97">
                  <c:v>9.6173530607231168</c:v>
                </c:pt>
                <c:pt idx="98">
                  <c:v>9.6155089905057594</c:v>
                </c:pt>
                <c:pt idx="99">
                  <c:v>9.613665273877892</c:v>
                </c:pt>
                <c:pt idx="100">
                  <c:v>9.6118219107717167</c:v>
                </c:pt>
                <c:pt idx="101">
                  <c:v>9.6099789011194474</c:v>
                </c:pt>
                <c:pt idx="102">
                  <c:v>9.608136244853311</c:v>
                </c:pt>
                <c:pt idx="103">
                  <c:v>9.6062939419055482</c:v>
                </c:pt>
                <c:pt idx="104">
                  <c:v>9.6044519922084124</c:v>
                </c:pt>
                <c:pt idx="105">
                  <c:v>9.6026103956941693</c:v>
                </c:pt>
                <c:pt idx="106">
                  <c:v>9.6007691522950989</c:v>
                </c:pt>
                <c:pt idx="107">
                  <c:v>9.5989282619434935</c:v>
                </c:pt>
                <c:pt idx="108">
                  <c:v>9.5970877245716579</c:v>
                </c:pt>
                <c:pt idx="109">
                  <c:v>9.5952475401119095</c:v>
                </c:pt>
                <c:pt idx="110">
                  <c:v>9.5934077084965814</c:v>
                </c:pt>
                <c:pt idx="111">
                  <c:v>9.5915682296580158</c:v>
                </c:pt>
                <c:pt idx="112">
                  <c:v>9.5897291035285708</c:v>
                </c:pt>
                <c:pt idx="113">
                  <c:v>9.5878903300406169</c:v>
                </c:pt>
                <c:pt idx="114">
                  <c:v>9.586051909126537</c:v>
                </c:pt>
                <c:pt idx="115">
                  <c:v>9.5842138407187285</c:v>
                </c:pt>
                <c:pt idx="116">
                  <c:v>9.5823761247495973</c:v>
                </c:pt>
                <c:pt idx="117">
                  <c:v>9.5805387611515673</c:v>
                </c:pt>
                <c:pt idx="118">
                  <c:v>9.578701749857073</c:v>
                </c:pt>
                <c:pt idx="119">
                  <c:v>9.5768650907985631</c:v>
                </c:pt>
                <c:pt idx="120">
                  <c:v>9.5750287839084987</c:v>
                </c:pt>
                <c:pt idx="121">
                  <c:v>9.5731928291193515</c:v>
                </c:pt>
                <c:pt idx="122">
                  <c:v>9.5713572263636095</c:v>
                </c:pt>
                <c:pt idx="123">
                  <c:v>9.5695219755737728</c:v>
                </c:pt>
                <c:pt idx="124">
                  <c:v>9.5676870766823541</c:v>
                </c:pt>
                <c:pt idx="125">
                  <c:v>9.5658525296218784</c:v>
                </c:pt>
                <c:pt idx="126">
                  <c:v>9.564018334324885</c:v>
                </c:pt>
                <c:pt idx="127">
                  <c:v>9.562184490723924</c:v>
                </c:pt>
                <c:pt idx="128">
                  <c:v>9.5603509987515611</c:v>
                </c:pt>
                <c:pt idx="129">
                  <c:v>9.5585178583403714</c:v>
                </c:pt>
                <c:pt idx="130">
                  <c:v>9.5566850694229473</c:v>
                </c:pt>
                <c:pt idx="131">
                  <c:v>9.554852631931892</c:v>
                </c:pt>
                <c:pt idx="132">
                  <c:v>9.5530205457998214</c:v>
                </c:pt>
                <c:pt idx="133">
                  <c:v>9.5511888109593635</c:v>
                </c:pt>
                <c:pt idx="134">
                  <c:v>9.5493574273431605</c:v>
                </c:pt>
                <c:pt idx="135">
                  <c:v>9.5475263948838673</c:v>
                </c:pt>
                <c:pt idx="136">
                  <c:v>9.5456957135141511</c:v>
                </c:pt>
                <c:pt idx="137">
                  <c:v>9.5438653831666933</c:v>
                </c:pt>
                <c:pt idx="138">
                  <c:v>9.5420354037741877</c:v>
                </c:pt>
                <c:pt idx="139">
                  <c:v>9.5402057752693405</c:v>
                </c:pt>
                <c:pt idx="140">
                  <c:v>9.5383764975848724</c:v>
                </c:pt>
                <c:pt idx="141">
                  <c:v>9.5365475706535143</c:v>
                </c:pt>
                <c:pt idx="142">
                  <c:v>9.5347189944080117</c:v>
                </c:pt>
                <c:pt idx="143">
                  <c:v>9.5328907687811224</c:v>
                </c:pt>
                <c:pt idx="144">
                  <c:v>9.5310628937056165</c:v>
                </c:pt>
                <c:pt idx="145">
                  <c:v>9.5292353691142786</c:v>
                </c:pt>
                <c:pt idx="146">
                  <c:v>9.5274081949399054</c:v>
                </c:pt>
                <c:pt idx="147">
                  <c:v>9.5255813711153081</c:v>
                </c:pt>
                <c:pt idx="148">
                  <c:v>9.5237548975733066</c:v>
                </c:pt>
                <c:pt idx="149">
                  <c:v>9.5219287742467387</c:v>
                </c:pt>
                <c:pt idx="150">
                  <c:v>9.5201030010684509</c:v>
                </c:pt>
                <c:pt idx="151">
                  <c:v>9.5182775779713058</c:v>
                </c:pt>
                <c:pt idx="152">
                  <c:v>9.5164525048881767</c:v>
                </c:pt>
                <c:pt idx="153">
                  <c:v>9.5146277817519493</c:v>
                </c:pt>
                <c:pt idx="154">
                  <c:v>9.5128034084955253</c:v>
                </c:pt>
                <c:pt idx="155">
                  <c:v>9.5109793850518169</c:v>
                </c:pt>
                <c:pt idx="156">
                  <c:v>9.509155711353749</c:v>
                </c:pt>
                <c:pt idx="157">
                  <c:v>9.5073323873342606</c:v>
                </c:pt>
                <c:pt idx="158">
                  <c:v>9.5055094129263011</c:v>
                </c:pt>
                <c:pt idx="159">
                  <c:v>9.5036867880628364</c:v>
                </c:pt>
                <c:pt idx="160">
                  <c:v>9.5018645126768426</c:v>
                </c:pt>
                <c:pt idx="161">
                  <c:v>9.5000425867013103</c:v>
                </c:pt>
                <c:pt idx="162">
                  <c:v>9.4982210100692424</c:v>
                </c:pt>
                <c:pt idx="163">
                  <c:v>9.4963997827136524</c:v>
                </c:pt>
                <c:pt idx="164">
                  <c:v>9.4945789045675699</c:v>
                </c:pt>
                <c:pt idx="165">
                  <c:v>9.492758375564037</c:v>
                </c:pt>
                <c:pt idx="166">
                  <c:v>9.4909381956361063</c:v>
                </c:pt>
                <c:pt idx="167">
                  <c:v>9.4891183647168447</c:v>
                </c:pt>
                <c:pt idx="168">
                  <c:v>9.4872988827393332</c:v>
                </c:pt>
                <c:pt idx="169">
                  <c:v>9.4854797496366636</c:v>
                </c:pt>
                <c:pt idx="170">
                  <c:v>9.4836609653419401</c:v>
                </c:pt>
                <c:pt idx="171">
                  <c:v>9.4818425297882811</c:v>
                </c:pt>
                <c:pt idx="172">
                  <c:v>9.4800244429088192</c:v>
                </c:pt>
                <c:pt idx="173">
                  <c:v>9.4782067046366976</c:v>
                </c:pt>
                <c:pt idx="174">
                  <c:v>9.476389314905072</c:v>
                </c:pt>
                <c:pt idx="175">
                  <c:v>9.4745722736471123</c:v>
                </c:pt>
                <c:pt idx="176">
                  <c:v>9.4727555807960009</c:v>
                </c:pt>
                <c:pt idx="177">
                  <c:v>9.4709392362849325</c:v>
                </c:pt>
                <c:pt idx="178">
                  <c:v>9.4691232400471144</c:v>
                </c:pt>
                <c:pt idx="179">
                  <c:v>9.4673075920157679</c:v>
                </c:pt>
                <c:pt idx="180">
                  <c:v>9.4654922921241269</c:v>
                </c:pt>
                <c:pt idx="181">
                  <c:v>9.4636773403054377</c:v>
                </c:pt>
                <c:pt idx="182">
                  <c:v>9.4618627364929591</c:v>
                </c:pt>
                <c:pt idx="183">
                  <c:v>9.4600484806199638</c:v>
                </c:pt>
                <c:pt idx="184">
                  <c:v>9.4582345726197357</c:v>
                </c:pt>
                <c:pt idx="185">
                  <c:v>9.4564210124255723</c:v>
                </c:pt>
                <c:pt idx="186">
                  <c:v>9.4546077999707823</c:v>
                </c:pt>
                <c:pt idx="187">
                  <c:v>9.4527949351886917</c:v>
                </c:pt>
                <c:pt idx="188">
                  <c:v>9.4509824180126341</c:v>
                </c:pt>
                <c:pt idx="189">
                  <c:v>9.4491702483759585</c:v>
                </c:pt>
                <c:pt idx="190">
                  <c:v>9.4473584262120269</c:v>
                </c:pt>
                <c:pt idx="191">
                  <c:v>9.4455469514542134</c:v>
                </c:pt>
                <c:pt idx="192">
                  <c:v>9.4437358240359046</c:v>
                </c:pt>
                <c:pt idx="193">
                  <c:v>9.4419250438905014</c:v>
                </c:pt>
                <c:pt idx="194">
                  <c:v>9.4401146109514151</c:v>
                </c:pt>
                <c:pt idx="195">
                  <c:v>9.4383045251520699</c:v>
                </c:pt>
                <c:pt idx="196">
                  <c:v>9.4364947864259054</c:v>
                </c:pt>
                <c:pt idx="197">
                  <c:v>9.4346853947063725</c:v>
                </c:pt>
                <c:pt idx="198">
                  <c:v>9.4328763499269339</c:v>
                </c:pt>
                <c:pt idx="199">
                  <c:v>9.431067652021067</c:v>
                </c:pt>
                <c:pt idx="200">
                  <c:v>9.4292593009222596</c:v>
                </c:pt>
                <c:pt idx="201">
                  <c:v>9.4274512965640138</c:v>
                </c:pt>
                <c:pt idx="202">
                  <c:v>9.4256436388798441</c:v>
                </c:pt>
                <c:pt idx="203">
                  <c:v>9.4238363278032793</c:v>
                </c:pt>
                <c:pt idx="204">
                  <c:v>9.4220293632678569</c:v>
                </c:pt>
                <c:pt idx="205">
                  <c:v>9.4202227452071323</c:v>
                </c:pt>
                <c:pt idx="206">
                  <c:v>9.4184164735546698</c:v>
                </c:pt>
                <c:pt idx="207">
                  <c:v>9.4166105482440479</c:v>
                </c:pt>
                <c:pt idx="208">
                  <c:v>9.4148049692088573</c:v>
                </c:pt>
                <c:pt idx="209">
                  <c:v>9.4129997363827016</c:v>
                </c:pt>
                <c:pt idx="210">
                  <c:v>9.4111948496991982</c:v>
                </c:pt>
                <c:pt idx="211">
                  <c:v>9.4093903090919753</c:v>
                </c:pt>
                <c:pt idx="212">
                  <c:v>9.4075861144946753</c:v>
                </c:pt>
                <c:pt idx="213">
                  <c:v>9.4057822658409513</c:v>
                </c:pt>
                <c:pt idx="214">
                  <c:v>9.4039787630644724</c:v>
                </c:pt>
                <c:pt idx="215">
                  <c:v>9.4021756060989183</c:v>
                </c:pt>
                <c:pt idx="216">
                  <c:v>9.4003727948779829</c:v>
                </c:pt>
                <c:pt idx="217">
                  <c:v>9.3985703293353708</c:v>
                </c:pt>
                <c:pt idx="218">
                  <c:v>9.3967682094047991</c:v>
                </c:pt>
                <c:pt idx="219">
                  <c:v>9.3949664350200006</c:v>
                </c:pt>
                <c:pt idx="220">
                  <c:v>9.3931650061147174</c:v>
                </c:pt>
                <c:pt idx="221">
                  <c:v>9.3913639226227072</c:v>
                </c:pt>
                <c:pt idx="222">
                  <c:v>9.3895631844777387</c:v>
                </c:pt>
                <c:pt idx="223">
                  <c:v>9.3877627916135928</c:v>
                </c:pt>
                <c:pt idx="224">
                  <c:v>9.3859627439640647</c:v>
                </c:pt>
                <c:pt idx="225">
                  <c:v>9.384163041462962</c:v>
                </c:pt>
                <c:pt idx="226">
                  <c:v>9.3823636840441047</c:v>
                </c:pt>
                <c:pt idx="227">
                  <c:v>9.3805646716413236</c:v>
                </c:pt>
                <c:pt idx="228">
                  <c:v>9.3787660041884653</c:v>
                </c:pt>
                <c:pt idx="229">
                  <c:v>9.3769676816193872</c:v>
                </c:pt>
                <c:pt idx="230">
                  <c:v>9.3751697038679609</c:v>
                </c:pt>
                <c:pt idx="231">
                  <c:v>9.3733720708680686</c:v>
                </c:pt>
                <c:pt idx="232">
                  <c:v>9.3715747825536067</c:v>
                </c:pt>
                <c:pt idx="233">
                  <c:v>9.3697778388584823</c:v>
                </c:pt>
                <c:pt idx="234">
                  <c:v>9.3679812397166184</c:v>
                </c:pt>
                <c:pt idx="235">
                  <c:v>9.366184985061949</c:v>
                </c:pt>
                <c:pt idx="236">
                  <c:v>9.36438907482842</c:v>
                </c:pt>
                <c:pt idx="237">
                  <c:v>9.3625935089499901</c:v>
                </c:pt>
                <c:pt idx="238">
                  <c:v>9.3607982873606321</c:v>
                </c:pt>
                <c:pt idx="239">
                  <c:v>9.3590034099943313</c:v>
                </c:pt>
                <c:pt idx="240">
                  <c:v>9.3572088767850854</c:v>
                </c:pt>
                <c:pt idx="241">
                  <c:v>9.3554146876669027</c:v>
                </c:pt>
                <c:pt idx="242">
                  <c:v>9.3536208425738057</c:v>
                </c:pt>
                <c:pt idx="243">
                  <c:v>9.3518273414398312</c:v>
                </c:pt>
                <c:pt idx="244">
                  <c:v>9.3500341841990249</c:v>
                </c:pt>
                <c:pt idx="245">
                  <c:v>9.3482413707854501</c:v>
                </c:pt>
                <c:pt idx="246">
                  <c:v>9.3464489011331775</c:v>
                </c:pt>
                <c:pt idx="247">
                  <c:v>9.3446567751762935</c:v>
                </c:pt>
                <c:pt idx="248">
                  <c:v>9.3428649928488969</c:v>
                </c:pt>
                <c:pt idx="249">
                  <c:v>9.3410735540850993</c:v>
                </c:pt>
                <c:pt idx="250">
                  <c:v>9.3392824588190244</c:v>
                </c:pt>
                <c:pt idx="251">
                  <c:v>9.3374917069848085</c:v>
                </c:pt>
                <c:pt idx="252">
                  <c:v>9.3357012985166001</c:v>
                </c:pt>
                <c:pt idx="253">
                  <c:v>9.3339112333485605</c:v>
                </c:pt>
                <c:pt idx="254">
                  <c:v>9.332121511414865</c:v>
                </c:pt>
                <c:pt idx="255">
                  <c:v>9.3303321326496995</c:v>
                </c:pt>
                <c:pt idx="256">
                  <c:v>9.3285430969872625</c:v>
                </c:pt>
                <c:pt idx="257">
                  <c:v>9.3267544043617683</c:v>
                </c:pt>
                <c:pt idx="258">
                  <c:v>9.3249660547074402</c:v>
                </c:pt>
                <c:pt idx="259">
                  <c:v>9.3231780479585158</c:v>
                </c:pt>
                <c:pt idx="260">
                  <c:v>9.3213903840492449</c:v>
                </c:pt>
                <c:pt idx="261">
                  <c:v>9.3196030629138917</c:v>
                </c:pt>
                <c:pt idx="262">
                  <c:v>9.3178160844867293</c:v>
                </c:pt>
                <c:pt idx="263">
                  <c:v>9.3160294487020465</c:v>
                </c:pt>
                <c:pt idx="264">
                  <c:v>9.3142431554941432</c:v>
                </c:pt>
                <c:pt idx="265">
                  <c:v>9.3124572047973331</c:v>
                </c:pt>
                <c:pt idx="266">
                  <c:v>9.3106715965459408</c:v>
                </c:pt>
                <c:pt idx="267">
                  <c:v>9.308886330674305</c:v>
                </c:pt>
                <c:pt idx="268">
                  <c:v>9.3071014071167752</c:v>
                </c:pt>
                <c:pt idx="269">
                  <c:v>9.3053168258077168</c:v>
                </c:pt>
                <c:pt idx="270">
                  <c:v>9.303532586681504</c:v>
                </c:pt>
                <c:pt idx="271">
                  <c:v>9.3017486896725252</c:v>
                </c:pt>
                <c:pt idx="272">
                  <c:v>9.2999651347151815</c:v>
                </c:pt>
                <c:pt idx="273">
                  <c:v>9.2981819217438879</c:v>
                </c:pt>
                <c:pt idx="274">
                  <c:v>9.2963990506930703</c:v>
                </c:pt>
                <c:pt idx="275">
                  <c:v>9.2946165214971668</c:v>
                </c:pt>
                <c:pt idx="276">
                  <c:v>9.2928343340906281</c:v>
                </c:pt>
                <c:pt idx="277">
                  <c:v>9.2910524884079191</c:v>
                </c:pt>
                <c:pt idx="278">
                  <c:v>9.2892709843835171</c:v>
                </c:pt>
                <c:pt idx="279">
                  <c:v>9.28748982195191</c:v>
                </c:pt>
                <c:pt idx="280">
                  <c:v>9.2857090010476</c:v>
                </c:pt>
                <c:pt idx="281">
                  <c:v>9.2839285216051</c:v>
                </c:pt>
                <c:pt idx="282">
                  <c:v>9.2821483835589369</c:v>
                </c:pt>
                <c:pt idx="283">
                  <c:v>9.2803685868436521</c:v>
                </c:pt>
                <c:pt idx="284">
                  <c:v>9.2785891313937956</c:v>
                </c:pt>
                <c:pt idx="285">
                  <c:v>9.2768100171439318</c:v>
                </c:pt>
                <c:pt idx="286">
                  <c:v>9.2750312440286375</c:v>
                </c:pt>
                <c:pt idx="287">
                  <c:v>9.2732528119825037</c:v>
                </c:pt>
                <c:pt idx="288">
                  <c:v>9.271474720940132</c:v>
                </c:pt>
                <c:pt idx="289">
                  <c:v>9.2696969708361365</c:v>
                </c:pt>
                <c:pt idx="290">
                  <c:v>9.2679195616051437</c:v>
                </c:pt>
                <c:pt idx="291">
                  <c:v>9.2661424931817926</c:v>
                </c:pt>
                <c:pt idx="292">
                  <c:v>9.2643657655007381</c:v>
                </c:pt>
                <c:pt idx="293">
                  <c:v>9.2625893784966422</c:v>
                </c:pt>
                <c:pt idx="294">
                  <c:v>9.260813332104183</c:v>
                </c:pt>
                <c:pt idx="295">
                  <c:v>9.2590376262580509</c:v>
                </c:pt>
                <c:pt idx="296">
                  <c:v>9.2572622608929471</c:v>
                </c:pt>
                <c:pt idx="297">
                  <c:v>9.2554872359435869</c:v>
                </c:pt>
                <c:pt idx="298">
                  <c:v>9.2537125513446981</c:v>
                </c:pt>
                <c:pt idx="299">
                  <c:v>9.2519382070310208</c:v>
                </c:pt>
                <c:pt idx="300">
                  <c:v>9.2501642029373059</c:v>
                </c:pt>
                <c:pt idx="301">
                  <c:v>9.2483905389983203</c:v>
                </c:pt>
                <c:pt idx="302">
                  <c:v>9.2466172151488397</c:v>
                </c:pt>
                <c:pt idx="303">
                  <c:v>9.2448442313236541</c:v>
                </c:pt>
                <c:pt idx="304">
                  <c:v>9.2430715874575657</c:v>
                </c:pt>
                <c:pt idx="305">
                  <c:v>9.2412992834853895</c:v>
                </c:pt>
                <c:pt idx="306">
                  <c:v>9.2395273193419545</c:v>
                </c:pt>
                <c:pt idx="307">
                  <c:v>9.2377556949620985</c:v>
                </c:pt>
                <c:pt idx="308">
                  <c:v>9.2359844102806736</c:v>
                </c:pt>
                <c:pt idx="309">
                  <c:v>9.2342134652325463</c:v>
                </c:pt>
                <c:pt idx="310">
                  <c:v>9.2324428597525934</c:v>
                </c:pt>
                <c:pt idx="311">
                  <c:v>9.2306725937757044</c:v>
                </c:pt>
                <c:pt idx="312">
                  <c:v>9.2289026672367811</c:v>
                </c:pt>
                <c:pt idx="313">
                  <c:v>9.2271330800707396</c:v>
                </c:pt>
                <c:pt idx="314">
                  <c:v>9.2253638322125067</c:v>
                </c:pt>
                <c:pt idx="315">
                  <c:v>9.2235949235970214</c:v>
                </c:pt>
                <c:pt idx="316">
                  <c:v>9.2218263541592371</c:v>
                </c:pt>
                <c:pt idx="317">
                  <c:v>9.2200581238341179</c:v>
                </c:pt>
                <c:pt idx="318">
                  <c:v>9.2182902325566403</c:v>
                </c:pt>
                <c:pt idx="319">
                  <c:v>9.2165226802617948</c:v>
                </c:pt>
                <c:pt idx="320">
                  <c:v>9.2147554668845846</c:v>
                </c:pt>
                <c:pt idx="321">
                  <c:v>9.2129885923600217</c:v>
                </c:pt>
                <c:pt idx="322">
                  <c:v>9.211222056623134</c:v>
                </c:pt>
                <c:pt idx="323">
                  <c:v>9.209455859608962</c:v>
                </c:pt>
                <c:pt idx="324">
                  <c:v>9.2076900012525567</c:v>
                </c:pt>
                <c:pt idx="325">
                  <c:v>9.2059244814889833</c:v>
                </c:pt>
                <c:pt idx="326">
                  <c:v>9.204159300253318</c:v>
                </c:pt>
                <c:pt idx="327">
                  <c:v>9.2023944574806507</c:v>
                </c:pt>
                <c:pt idx="328">
                  <c:v>9.2006299531060822</c:v>
                </c:pt>
                <c:pt idx="329">
                  <c:v>9.1988657870647277</c:v>
                </c:pt>
                <c:pt idx="330">
                  <c:v>9.1971019592917127</c:v>
                </c:pt>
                <c:pt idx="331">
                  <c:v>9.1953384697221772</c:v>
                </c:pt>
                <c:pt idx="332">
                  <c:v>9.1935753182912716</c:v>
                </c:pt>
                <c:pt idx="333">
                  <c:v>9.1918125049341608</c:v>
                </c:pt>
                <c:pt idx="334">
                  <c:v>9.1900500295860201</c:v>
                </c:pt>
                <c:pt idx="335">
                  <c:v>9.1882878921820392</c:v>
                </c:pt>
                <c:pt idx="336">
                  <c:v>9.1865260926574202</c:v>
                </c:pt>
                <c:pt idx="337">
                  <c:v>9.1847646309473756</c:v>
                </c:pt>
                <c:pt idx="338">
                  <c:v>9.1830035069871307</c:v>
                </c:pt>
                <c:pt idx="339">
                  <c:v>9.1812427207119249</c:v>
                </c:pt>
                <c:pt idx="340">
                  <c:v>9.17948227205701</c:v>
                </c:pt>
                <c:pt idx="341">
                  <c:v>9.1777221609576483</c:v>
                </c:pt>
                <c:pt idx="342">
                  <c:v>9.1759623873491147</c:v>
                </c:pt>
                <c:pt idx="343">
                  <c:v>9.1742029511666985</c:v>
                </c:pt>
                <c:pt idx="344">
                  <c:v>9.172443852345701</c:v>
                </c:pt>
                <c:pt idx="345">
                  <c:v>9.1706850908214328</c:v>
                </c:pt>
                <c:pt idx="346">
                  <c:v>9.1689266665292219</c:v>
                </c:pt>
                <c:pt idx="347">
                  <c:v>9.1671685794044038</c:v>
                </c:pt>
                <c:pt idx="348">
                  <c:v>9.1654108293823295</c:v>
                </c:pt>
                <c:pt idx="349">
                  <c:v>9.1636534163983629</c:v>
                </c:pt>
                <c:pt idx="350">
                  <c:v>9.1618963403878766</c:v>
                </c:pt>
                <c:pt idx="351">
                  <c:v>9.160139601286259</c:v>
                </c:pt>
                <c:pt idx="352">
                  <c:v>9.1583831990289113</c:v>
                </c:pt>
                <c:pt idx="353">
                  <c:v>9.1566271335512432</c:v>
                </c:pt>
                <c:pt idx="354">
                  <c:v>9.1548714047886808</c:v>
                </c:pt>
                <c:pt idx="355">
                  <c:v>9.1531160126766604</c:v>
                </c:pt>
                <c:pt idx="356">
                  <c:v>9.1513609571506311</c:v>
                </c:pt>
                <c:pt idx="357">
                  <c:v>9.1496062381460543</c:v>
                </c:pt>
                <c:pt idx="358">
                  <c:v>9.1478518555984056</c:v>
                </c:pt>
                <c:pt idx="359">
                  <c:v>9.1460978094431695</c:v>
                </c:pt>
                <c:pt idx="360">
                  <c:v>9.1443440996158465</c:v>
                </c:pt>
                <c:pt idx="361">
                  <c:v>9.1425907260519459</c:v>
                </c:pt>
                <c:pt idx="362">
                  <c:v>9.1408376886869913</c:v>
                </c:pt>
                <c:pt idx="363">
                  <c:v>9.1390849874565205</c:v>
                </c:pt>
                <c:pt idx="364">
                  <c:v>9.1373326222960802</c:v>
                </c:pt>
                <c:pt idx="365">
                  <c:v>9.1355805931412313</c:v>
                </c:pt>
                <c:pt idx="366">
                  <c:v>9.133828899927547</c:v>
                </c:pt>
                <c:pt idx="367">
                  <c:v>9.1320775425906113</c:v>
                </c:pt>
                <c:pt idx="368">
                  <c:v>9.1303265210660225</c:v>
                </c:pt>
                <c:pt idx="369">
                  <c:v>9.1285758352893911</c:v>
                </c:pt>
                <c:pt idx="370">
                  <c:v>9.1268254851963402</c:v>
                </c:pt>
                <c:pt idx="371">
                  <c:v>9.1250754707225035</c:v>
                </c:pt>
                <c:pt idx="372">
                  <c:v>9.1233257918035271</c:v>
                </c:pt>
                <c:pt idx="373">
                  <c:v>9.1215764483750714</c:v>
                </c:pt>
                <c:pt idx="374">
                  <c:v>9.1198274403728075</c:v>
                </c:pt>
                <c:pt idx="375">
                  <c:v>9.1180787677324204</c:v>
                </c:pt>
                <c:pt idx="376">
                  <c:v>9.1163304303896062</c:v>
                </c:pt>
                <c:pt idx="377">
                  <c:v>9.1145824282800731</c:v>
                </c:pt>
                <c:pt idx="378">
                  <c:v>9.112834761339542</c:v>
                </c:pt>
                <c:pt idx="379">
                  <c:v>9.1110874295037458</c:v>
                </c:pt>
                <c:pt idx="380">
                  <c:v>9.1093404327084322</c:v>
                </c:pt>
                <c:pt idx="381">
                  <c:v>9.1075937708893573</c:v>
                </c:pt>
                <c:pt idx="382">
                  <c:v>9.1058474439822916</c:v>
                </c:pt>
                <c:pt idx="383">
                  <c:v>9.1041014519230181</c:v>
                </c:pt>
                <c:pt idx="384">
                  <c:v>9.1023557946473321</c:v>
                </c:pt>
                <c:pt idx="385">
                  <c:v>9.1006104720910397</c:v>
                </c:pt>
                <c:pt idx="386">
                  <c:v>9.098865484189961</c:v>
                </c:pt>
                <c:pt idx="387">
                  <c:v>9.0971208308799287</c:v>
                </c:pt>
                <c:pt idx="388">
                  <c:v>9.0953765120967862</c:v>
                </c:pt>
                <c:pt idx="389">
                  <c:v>9.093632527776391</c:v>
                </c:pt>
                <c:pt idx="390">
                  <c:v>9.0918888778546112</c:v>
                </c:pt>
                <c:pt idx="391">
                  <c:v>9.0901455622673275</c:v>
                </c:pt>
                <c:pt idx="392">
                  <c:v>9.088402580950433</c:v>
                </c:pt>
                <c:pt idx="393">
                  <c:v>9.0866599338398331</c:v>
                </c:pt>
                <c:pt idx="394">
                  <c:v>9.0849176208714457</c:v>
                </c:pt>
                <c:pt idx="395">
                  <c:v>9.0831756419812031</c:v>
                </c:pt>
                <c:pt idx="396">
                  <c:v>9.0814339971050462</c:v>
                </c:pt>
                <c:pt idx="397">
                  <c:v>9.0796926861789302</c:v>
                </c:pt>
                <c:pt idx="398">
                  <c:v>9.0779517091388211</c:v>
                </c:pt>
                <c:pt idx="399">
                  <c:v>9.0762110659206989</c:v>
                </c:pt>
                <c:pt idx="400">
                  <c:v>9.0744707564605562</c:v>
                </c:pt>
                <c:pt idx="401">
                  <c:v>9.0727307806943962</c:v>
                </c:pt>
                <c:pt idx="402">
                  <c:v>9.0709911385582345</c:v>
                </c:pt>
                <c:pt idx="403">
                  <c:v>9.0692518299880991</c:v>
                </c:pt>
                <c:pt idx="404">
                  <c:v>9.0675128549200323</c:v>
                </c:pt>
                <c:pt idx="405">
                  <c:v>9.0657742132900854</c:v>
                </c:pt>
                <c:pt idx="406">
                  <c:v>9.0640359050343253</c:v>
                </c:pt>
                <c:pt idx="407">
                  <c:v>9.0622979300888282</c:v>
                </c:pt>
                <c:pt idx="408">
                  <c:v>9.0605602883896843</c:v>
                </c:pt>
                <c:pt idx="409">
                  <c:v>9.0588229798729962</c:v>
                </c:pt>
                <c:pt idx="410">
                  <c:v>9.0570860044748773</c:v>
                </c:pt>
                <c:pt idx="411">
                  <c:v>9.0553493621314551</c:v>
                </c:pt>
                <c:pt idx="412">
                  <c:v>9.0536130527788679</c:v>
                </c:pt>
                <c:pt idx="413">
                  <c:v>9.0518770763532661</c:v>
                </c:pt>
                <c:pt idx="414">
                  <c:v>9.050141432790813</c:v>
                </c:pt>
                <c:pt idx="415">
                  <c:v>9.0484061220276839</c:v>
                </c:pt>
                <c:pt idx="416">
                  <c:v>9.0466711440000669</c:v>
                </c:pt>
                <c:pt idx="417">
                  <c:v>9.0449364986441623</c:v>
                </c:pt>
                <c:pt idx="418">
                  <c:v>9.0432021858961811</c:v>
                </c:pt>
                <c:pt idx="419">
                  <c:v>9.0414682056923485</c:v>
                </c:pt>
                <c:pt idx="420">
                  <c:v>9.0397345579689024</c:v>
                </c:pt>
                <c:pt idx="421">
                  <c:v>9.0380012426620908</c:v>
                </c:pt>
                <c:pt idx="422">
                  <c:v>9.0362682597081747</c:v>
                </c:pt>
                <c:pt idx="423">
                  <c:v>9.0345356090434272</c:v>
                </c:pt>
                <c:pt idx="424">
                  <c:v>9.0328032906041322</c:v>
                </c:pt>
                <c:pt idx="425">
                  <c:v>9.0310713043265896</c:v>
                </c:pt>
                <c:pt idx="426">
                  <c:v>9.0293396501471097</c:v>
                </c:pt>
                <c:pt idx="427">
                  <c:v>9.0276083280020138</c:v>
                </c:pt>
                <c:pt idx="428">
                  <c:v>9.0258773378276356</c:v>
                </c:pt>
                <c:pt idx="429">
                  <c:v>9.0241466795603227</c:v>
                </c:pt>
                <c:pt idx="430">
                  <c:v>9.0224163531364336</c:v>
                </c:pt>
                <c:pt idx="431">
                  <c:v>9.0206863584923394</c:v>
                </c:pt>
                <c:pt idx="432">
                  <c:v>9.0189566955644231</c:v>
                </c:pt>
                <c:pt idx="433">
                  <c:v>9.017227364289079</c:v>
                </c:pt>
                <c:pt idx="434">
                  <c:v>9.0154983646027169</c:v>
                </c:pt>
                <c:pt idx="435">
                  <c:v>9.0137696964417557</c:v>
                </c:pt>
                <c:pt idx="436">
                  <c:v>9.0120413597426268</c:v>
                </c:pt>
                <c:pt idx="437">
                  <c:v>9.0103133544417755</c:v>
                </c:pt>
                <c:pt idx="438">
                  <c:v>9.0085856804756563</c:v>
                </c:pt>
                <c:pt idx="439">
                  <c:v>9.0068583377807396</c:v>
                </c:pt>
                <c:pt idx="440">
                  <c:v>9.0051313262935047</c:v>
                </c:pt>
                <c:pt idx="441">
                  <c:v>9.0034046459504449</c:v>
                </c:pt>
                <c:pt idx="442">
                  <c:v>9.0016782966880662</c:v>
                </c:pt>
                <c:pt idx="443">
                  <c:v>8.9999522784428851</c:v>
                </c:pt>
                <c:pt idx="444">
                  <c:v>8.9982265911514308</c:v>
                </c:pt>
                <c:pt idx="445">
                  <c:v>8.9965012347502462</c:v>
                </c:pt>
                <c:pt idx="446">
                  <c:v>8.9947762091758836</c:v>
                </c:pt>
                <c:pt idx="447">
                  <c:v>8.9930515143649092</c:v>
                </c:pt>
                <c:pt idx="448">
                  <c:v>8.9913271502539018</c:v>
                </c:pt>
                <c:pt idx="449">
                  <c:v>8.9896031167794508</c:v>
                </c:pt>
                <c:pt idx="450">
                  <c:v>8.9878794138781579</c:v>
                </c:pt>
                <c:pt idx="451">
                  <c:v>8.9861560414866393</c:v>
                </c:pt>
                <c:pt idx="452">
                  <c:v>8.9844329995415215</c:v>
                </c:pt>
                <c:pt idx="453">
                  <c:v>8.9827102879794438</c:v>
                </c:pt>
                <c:pt idx="454">
                  <c:v>8.9809879067370559</c:v>
                </c:pt>
                <c:pt idx="455">
                  <c:v>8.9792658557510219</c:v>
                </c:pt>
                <c:pt idx="456">
                  <c:v>8.9775441349580163</c:v>
                </c:pt>
                <c:pt idx="457">
                  <c:v>8.9758227442947263</c:v>
                </c:pt>
                <c:pt idx="458">
                  <c:v>8.9741016836978531</c:v>
                </c:pt>
                <c:pt idx="459">
                  <c:v>8.972380953104107</c:v>
                </c:pt>
                <c:pt idx="460">
                  <c:v>8.9706605524502123</c:v>
                </c:pt>
                <c:pt idx="461">
                  <c:v>8.9689404816729041</c:v>
                </c:pt>
                <c:pt idx="462">
                  <c:v>8.9672207407089317</c:v>
                </c:pt>
                <c:pt idx="463">
                  <c:v>8.965501329495055</c:v>
                </c:pt>
                <c:pt idx="464">
                  <c:v>8.9637822479680462</c:v>
                </c:pt>
                <c:pt idx="465">
                  <c:v>8.9620634960646903</c:v>
                </c:pt>
                <c:pt idx="466">
                  <c:v>8.9603450737217845</c:v>
                </c:pt>
                <c:pt idx="467">
                  <c:v>8.9586269808761365</c:v>
                </c:pt>
                <c:pt idx="468">
                  <c:v>8.9569092174645668</c:v>
                </c:pt>
                <c:pt idx="469">
                  <c:v>8.9551917834239099</c:v>
                </c:pt>
                <c:pt idx="470">
                  <c:v>8.9534746786910091</c:v>
                </c:pt>
                <c:pt idx="471">
                  <c:v>8.9517579032027239</c:v>
                </c:pt>
                <c:pt idx="472">
                  <c:v>8.9500414568959208</c:v>
                </c:pt>
                <c:pt idx="473">
                  <c:v>8.948325339707484</c:v>
                </c:pt>
                <c:pt idx="474">
                  <c:v>8.9466095515743049</c:v>
                </c:pt>
                <c:pt idx="475">
                  <c:v>8.9448940924332891</c:v>
                </c:pt>
                <c:pt idx="476">
                  <c:v>8.9431789622213564</c:v>
                </c:pt>
                <c:pt idx="477">
                  <c:v>8.9414641608754355</c:v>
                </c:pt>
                <c:pt idx="478">
                  <c:v>8.9397496883324674</c:v>
                </c:pt>
                <c:pt idx="479">
                  <c:v>8.9380355445294075</c:v>
                </c:pt>
                <c:pt idx="480">
                  <c:v>8.93632172940322</c:v>
                </c:pt>
                <c:pt idx="481">
                  <c:v>8.9346082428908851</c:v>
                </c:pt>
                <c:pt idx="482">
                  <c:v>8.9328950849293918</c:v>
                </c:pt>
                <c:pt idx="483">
                  <c:v>8.9311822554557416</c:v>
                </c:pt>
                <c:pt idx="484">
                  <c:v>8.9294697544069503</c:v>
                </c:pt>
                <c:pt idx="485">
                  <c:v>8.9277575817200443</c:v>
                </c:pt>
                <c:pt idx="486">
                  <c:v>8.9260457373320623</c:v>
                </c:pt>
                <c:pt idx="487">
                  <c:v>8.9243342211800556</c:v>
                </c:pt>
                <c:pt idx="488">
                  <c:v>8.9226230332010861</c:v>
                </c:pt>
                <c:pt idx="489">
                  <c:v>8.9209121733322281</c:v>
                </c:pt>
                <c:pt idx="490">
                  <c:v>8.9192016415105684</c:v>
                </c:pt>
                <c:pt idx="491">
                  <c:v>8.9174914376732062</c:v>
                </c:pt>
                <c:pt idx="492">
                  <c:v>8.9157815617572531</c:v>
                </c:pt>
                <c:pt idx="493">
                  <c:v>8.9140720136998315</c:v>
                </c:pt>
                <c:pt idx="494">
                  <c:v>8.912362793438076</c:v>
                </c:pt>
                <c:pt idx="495">
                  <c:v>8.9106539009091339</c:v>
                </c:pt>
                <c:pt idx="496">
                  <c:v>8.9089453360501647</c:v>
                </c:pt>
                <c:pt idx="497">
                  <c:v>8.9072370987983405</c:v>
                </c:pt>
                <c:pt idx="498">
                  <c:v>8.9055291890908439</c:v>
                </c:pt>
                <c:pt idx="499">
                  <c:v>8.9038216068648701</c:v>
                </c:pt>
                <c:pt idx="500">
                  <c:v>8.9021143520576267</c:v>
                </c:pt>
                <c:pt idx="501">
                  <c:v>8.9004074246063318</c:v>
                </c:pt>
                <c:pt idx="502">
                  <c:v>8.898700824448218</c:v>
                </c:pt>
                <c:pt idx="503">
                  <c:v>8.8969945515205282</c:v>
                </c:pt>
                <c:pt idx="504">
                  <c:v>8.8952886057605198</c:v>
                </c:pt>
                <c:pt idx="505">
                  <c:v>8.893582987105459</c:v>
                </c:pt>
                <c:pt idx="506">
                  <c:v>8.8918776954926244</c:v>
                </c:pt>
                <c:pt idx="507">
                  <c:v>8.8901727308593088</c:v>
                </c:pt>
                <c:pt idx="508">
                  <c:v>8.8884680931428157</c:v>
                </c:pt>
                <c:pt idx="509">
                  <c:v>8.886763782280461</c:v>
                </c:pt>
                <c:pt idx="510">
                  <c:v>8.8850597982095714</c:v>
                </c:pt>
                <c:pt idx="511">
                  <c:v>8.8833561408674875</c:v>
                </c:pt>
                <c:pt idx="512">
                  <c:v>8.8816528101915608</c:v>
                </c:pt>
                <c:pt idx="513">
                  <c:v>8.8799498061191535</c:v>
                </c:pt>
                <c:pt idx="514">
                  <c:v>8.8782471285876436</c:v>
                </c:pt>
                <c:pt idx="515">
                  <c:v>8.8765447775344182</c:v>
                </c:pt>
                <c:pt idx="516">
                  <c:v>8.8748427528968765</c:v>
                </c:pt>
                <c:pt idx="517">
                  <c:v>8.8731410546124305</c:v>
                </c:pt>
                <c:pt idx="518">
                  <c:v>8.8714396826185027</c:v>
                </c:pt>
                <c:pt idx="519">
                  <c:v>8.8697386368525315</c:v>
                </c:pt>
                <c:pt idx="520">
                  <c:v>8.8680379172519626</c:v>
                </c:pt>
                <c:pt idx="521">
                  <c:v>8.8663375237542557</c:v>
                </c:pt>
                <c:pt idx="522">
                  <c:v>8.864637456296883</c:v>
                </c:pt>
                <c:pt idx="523">
                  <c:v>8.8629377148173294</c:v>
                </c:pt>
                <c:pt idx="524">
                  <c:v>8.8612382992530883</c:v>
                </c:pt>
                <c:pt idx="525">
                  <c:v>8.8595392095416692</c:v>
                </c:pt>
                <c:pt idx="526">
                  <c:v>8.8578404456205906</c:v>
                </c:pt>
                <c:pt idx="527">
                  <c:v>8.8561420074273851</c:v>
                </c:pt>
                <c:pt idx="528">
                  <c:v>8.854443894899596</c:v>
                </c:pt>
                <c:pt idx="529">
                  <c:v>8.8527461079747791</c:v>
                </c:pt>
                <c:pt idx="530">
                  <c:v>8.8510486465905007</c:v>
                </c:pt>
                <c:pt idx="531">
                  <c:v>8.8493515106843414</c:v>
                </c:pt>
                <c:pt idx="532">
                  <c:v>8.8476547001938926</c:v>
                </c:pt>
                <c:pt idx="533">
                  <c:v>8.8459582150567577</c:v>
                </c:pt>
                <c:pt idx="534">
                  <c:v>8.8442620552105531</c:v>
                </c:pt>
                <c:pt idx="535">
                  <c:v>8.8425662205929054</c:v>
                </c:pt>
                <c:pt idx="536">
                  <c:v>8.840870711141454</c:v>
                </c:pt>
                <c:pt idx="537">
                  <c:v>8.8391755267938485</c:v>
                </c:pt>
                <c:pt idx="538">
                  <c:v>8.8374806674877551</c:v>
                </c:pt>
                <c:pt idx="539">
                  <c:v>8.8357861331608465</c:v>
                </c:pt>
                <c:pt idx="540">
                  <c:v>8.8340919237508118</c:v>
                </c:pt>
                <c:pt idx="541">
                  <c:v>8.8323980391953487</c:v>
                </c:pt>
                <c:pt idx="542">
                  <c:v>8.8307044794321694</c:v>
                </c:pt>
                <c:pt idx="543">
                  <c:v>8.8290112443989965</c:v>
                </c:pt>
                <c:pt idx="544">
                  <c:v>8.8273183340335653</c:v>
                </c:pt>
                <c:pt idx="545">
                  <c:v>8.8256257482736213</c:v>
                </c:pt>
                <c:pt idx="546">
                  <c:v>8.8239334870569248</c:v>
                </c:pt>
                <c:pt idx="547">
                  <c:v>8.8222415503212464</c:v>
                </c:pt>
                <c:pt idx="548">
                  <c:v>8.820549938004369</c:v>
                </c:pt>
                <c:pt idx="549">
                  <c:v>8.8188586500440866</c:v>
                </c:pt>
                <c:pt idx="550">
                  <c:v>8.8171676863782054</c:v>
                </c:pt>
                <c:pt idx="551">
                  <c:v>8.8154770469445438</c:v>
                </c:pt>
                <c:pt idx="552">
                  <c:v>8.8137867316809331</c:v>
                </c:pt>
                <c:pt idx="553">
                  <c:v>8.8120967405252149</c:v>
                </c:pt>
                <c:pt idx="554">
                  <c:v>8.8104070734152451</c:v>
                </c:pt>
                <c:pt idx="555">
                  <c:v>8.8087177302888886</c:v>
                </c:pt>
                <c:pt idx="556">
                  <c:v>8.8070287110840226</c:v>
                </c:pt>
                <c:pt idx="557">
                  <c:v>8.8053400157385386</c:v>
                </c:pt>
                <c:pt idx="558">
                  <c:v>8.803651644190337</c:v>
                </c:pt>
                <c:pt idx="559">
                  <c:v>8.8019635963773322</c:v>
                </c:pt>
                <c:pt idx="560">
                  <c:v>8.8002758722374512</c:v>
                </c:pt>
                <c:pt idx="561">
                  <c:v>8.79858847170863</c:v>
                </c:pt>
                <c:pt idx="562">
                  <c:v>8.7969013947288186</c:v>
                </c:pt>
                <c:pt idx="563">
                  <c:v>8.7952146412359777</c:v>
                </c:pt>
                <c:pt idx="564">
                  <c:v>8.7935282111680824</c:v>
                </c:pt>
                <c:pt idx="565">
                  <c:v>8.7918421044631163</c:v>
                </c:pt>
                <c:pt idx="566">
                  <c:v>8.7901563210590776</c:v>
                </c:pt>
                <c:pt idx="567">
                  <c:v>8.788470860893975</c:v>
                </c:pt>
                <c:pt idx="568">
                  <c:v>8.7867857239058278</c:v>
                </c:pt>
                <c:pt idx="569">
                  <c:v>8.7851009100326714</c:v>
                </c:pt>
                <c:pt idx="570">
                  <c:v>8.7834164192125481</c:v>
                </c:pt>
                <c:pt idx="571">
                  <c:v>8.7817322513835148</c:v>
                </c:pt>
                <c:pt idx="572">
                  <c:v>8.7800484064836404</c:v>
                </c:pt>
                <c:pt idx="573">
                  <c:v>8.7783648844510065</c:v>
                </c:pt>
                <c:pt idx="574">
                  <c:v>8.7766816852237035</c:v>
                </c:pt>
                <c:pt idx="575">
                  <c:v>8.7749988087398361</c:v>
                </c:pt>
                <c:pt idx="576">
                  <c:v>8.7733162549375194</c:v>
                </c:pt>
                <c:pt idx="577">
                  <c:v>8.7716340237548813</c:v>
                </c:pt>
                <c:pt idx="578">
                  <c:v>8.7699521151300619</c:v>
                </c:pt>
                <c:pt idx="579">
                  <c:v>8.768270529001212</c:v>
                </c:pt>
                <c:pt idx="580">
                  <c:v>8.7665892653064947</c:v>
                </c:pt>
                <c:pt idx="581">
                  <c:v>8.7649083239840859</c:v>
                </c:pt>
                <c:pt idx="582">
                  <c:v>8.7632277049721736</c:v>
                </c:pt>
                <c:pt idx="583">
                  <c:v>8.7615474082089548</c:v>
                </c:pt>
                <c:pt idx="584">
                  <c:v>8.7598674336326408</c:v>
                </c:pt>
                <c:pt idx="585">
                  <c:v>8.758187781181455</c:v>
                </c:pt>
                <c:pt idx="586">
                  <c:v>8.7565084507936319</c:v>
                </c:pt>
                <c:pt idx="587">
                  <c:v>8.7548294424074165</c:v>
                </c:pt>
                <c:pt idx="588">
                  <c:v>8.7531507559610677</c:v>
                </c:pt>
                <c:pt idx="589">
                  <c:v>8.7514723913928556</c:v>
                </c:pt>
                <c:pt idx="590">
                  <c:v>8.7497943486410605</c:v>
                </c:pt>
                <c:pt idx="591">
                  <c:v>8.7481166276439772</c:v>
                </c:pt>
                <c:pt idx="592">
                  <c:v>8.7464392283399111</c:v>
                </c:pt>
                <c:pt idx="593">
                  <c:v>8.7447621506671798</c:v>
                </c:pt>
                <c:pt idx="594">
                  <c:v>8.7430853945641118</c:v>
                </c:pt>
                <c:pt idx="595">
                  <c:v>8.7414089599690481</c:v>
                </c:pt>
                <c:pt idx="596">
                  <c:v>8.7397328468203419</c:v>
                </c:pt>
                <c:pt idx="597">
                  <c:v>8.738057055056359</c:v>
                </c:pt>
                <c:pt idx="598">
                  <c:v>8.736381584615474</c:v>
                </c:pt>
                <c:pt idx="599">
                  <c:v>8.7347064354360757</c:v>
                </c:pt>
                <c:pt idx="600">
                  <c:v>8.7330316074565637</c:v>
                </c:pt>
                <c:pt idx="601">
                  <c:v>8.7313571006153499</c:v>
                </c:pt>
                <c:pt idx="602">
                  <c:v>8.7296829148508568</c:v>
                </c:pt>
                <c:pt idx="603">
                  <c:v>8.7280090501015213</c:v>
                </c:pt>
                <c:pt idx="604">
                  <c:v>8.7263355063057908</c:v>
                </c:pt>
                <c:pt idx="605">
                  <c:v>8.7246622834021235</c:v>
                </c:pt>
                <c:pt idx="606">
                  <c:v>8.7229893813289916</c:v>
                </c:pt>
                <c:pt idx="607">
                  <c:v>8.7213168000248764</c:v>
                </c:pt>
                <c:pt idx="608">
                  <c:v>8.7196445394282733</c:v>
                </c:pt>
                <c:pt idx="609">
                  <c:v>8.7179725994776884</c:v>
                </c:pt>
                <c:pt idx="610">
                  <c:v>8.7163009801116385</c:v>
                </c:pt>
                <c:pt idx="611">
                  <c:v>8.7146296812686543</c:v>
                </c:pt>
                <c:pt idx="612">
                  <c:v>8.7129587028872777</c:v>
                </c:pt>
                <c:pt idx="613">
                  <c:v>8.7112880449060626</c:v>
                </c:pt>
                <c:pt idx="614">
                  <c:v>8.7096177072635736</c:v>
                </c:pt>
                <c:pt idx="615">
                  <c:v>8.7079476898983881</c:v>
                </c:pt>
                <c:pt idx="616">
                  <c:v>8.7062779927490936</c:v>
                </c:pt>
                <c:pt idx="617">
                  <c:v>8.7046086157542906</c:v>
                </c:pt>
                <c:pt idx="618">
                  <c:v>8.7029395588525933</c:v>
                </c:pt>
                <c:pt idx="619">
                  <c:v>8.7012708219826234</c:v>
                </c:pt>
                <c:pt idx="620">
                  <c:v>8.6996024050830183</c:v>
                </c:pt>
                <c:pt idx="621">
                  <c:v>8.6979343080924245</c:v>
                </c:pt>
                <c:pt idx="622">
                  <c:v>8.6962665309495026</c:v>
                </c:pt>
                <c:pt idx="623">
                  <c:v>8.6945990735929222</c:v>
                </c:pt>
                <c:pt idx="624">
                  <c:v>8.6929319359613668</c:v>
                </c:pt>
                <c:pt idx="625">
                  <c:v>8.6912651179935327</c:v>
                </c:pt>
                <c:pt idx="626">
                  <c:v>8.689598619628125</c:v>
                </c:pt>
                <c:pt idx="627">
                  <c:v>8.687932440803861</c:v>
                </c:pt>
                <c:pt idx="628">
                  <c:v>8.6862665814594706</c:v>
                </c:pt>
                <c:pt idx="629">
                  <c:v>8.6846010415336963</c:v>
                </c:pt>
                <c:pt idx="630">
                  <c:v>8.6829358209652909</c:v>
                </c:pt>
                <c:pt idx="631">
                  <c:v>8.68127091969302</c:v>
                </c:pt>
                <c:pt idx="632">
                  <c:v>8.6796063376556614</c:v>
                </c:pt>
                <c:pt idx="633">
                  <c:v>8.6779420747920017</c:v>
                </c:pt>
                <c:pt idx="634">
                  <c:v>8.6762781310408421</c:v>
                </c:pt>
                <c:pt idx="635">
                  <c:v>8.6746145063409958</c:v>
                </c:pt>
                <c:pt idx="636">
                  <c:v>8.6729512006312852</c:v>
                </c:pt>
                <c:pt idx="637">
                  <c:v>8.6712882138505467</c:v>
                </c:pt>
                <c:pt idx="638">
                  <c:v>8.6696255459376275</c:v>
                </c:pt>
                <c:pt idx="639">
                  <c:v>8.6679631968313853</c:v>
                </c:pt>
                <c:pt idx="640">
                  <c:v>8.6663011664706922</c:v>
                </c:pt>
                <c:pt idx="641">
                  <c:v>8.6646394547944308</c:v>
                </c:pt>
                <c:pt idx="642">
                  <c:v>8.6629780617414944</c:v>
                </c:pt>
                <c:pt idx="643">
                  <c:v>8.6613169872507889</c:v>
                </c:pt>
                <c:pt idx="644">
                  <c:v>8.6596562312612324</c:v>
                </c:pt>
                <c:pt idx="645">
                  <c:v>8.6579957937117538</c:v>
                </c:pt>
                <c:pt idx="646">
                  <c:v>8.6563356745412943</c:v>
                </c:pt>
                <c:pt idx="647">
                  <c:v>8.6546758736888059</c:v>
                </c:pt>
                <c:pt idx="648">
                  <c:v>8.6530163910932529</c:v>
                </c:pt>
                <c:pt idx="649">
                  <c:v>8.6513572266936123</c:v>
                </c:pt>
                <c:pt idx="650">
                  <c:v>8.6496983804288714</c:v>
                </c:pt>
                <c:pt idx="651">
                  <c:v>8.6480398522380302</c:v>
                </c:pt>
                <c:pt idx="652">
                  <c:v>8.646381642060101</c:v>
                </c:pt>
                <c:pt idx="653">
                  <c:v>8.644723749834105</c:v>
                </c:pt>
                <c:pt idx="654">
                  <c:v>8.6430661754990776</c:v>
                </c:pt>
                <c:pt idx="655">
                  <c:v>8.641408918994065</c:v>
                </c:pt>
                <c:pt idx="656">
                  <c:v>8.639751980258124</c:v>
                </c:pt>
                <c:pt idx="657">
                  <c:v>8.6380953592303253</c:v>
                </c:pt>
                <c:pt idx="658">
                  <c:v>8.6364390558497508</c:v>
                </c:pt>
                <c:pt idx="659">
                  <c:v>8.6347830700554926</c:v>
                </c:pt>
                <c:pt idx="660">
                  <c:v>8.6331274017866573</c:v>
                </c:pt>
                <c:pt idx="661">
                  <c:v>8.6314720509823584</c:v>
                </c:pt>
                <c:pt idx="662">
                  <c:v>8.6298170175817255</c:v>
                </c:pt>
                <c:pt idx="663">
                  <c:v>8.6281623015238988</c:v>
                </c:pt>
                <c:pt idx="664">
                  <c:v>8.6265079027480294</c:v>
                </c:pt>
                <c:pt idx="665">
                  <c:v>8.6248538211932804</c:v>
                </c:pt>
                <c:pt idx="666">
                  <c:v>8.6232000567988258</c:v>
                </c:pt>
                <c:pt idx="667">
                  <c:v>8.6215466095038522</c:v>
                </c:pt>
                <c:pt idx="668">
                  <c:v>8.6198934792475583</c:v>
                </c:pt>
                <c:pt idx="669">
                  <c:v>8.6182406659691537</c:v>
                </c:pt>
                <c:pt idx="670">
                  <c:v>8.6165881696078586</c:v>
                </c:pt>
                <c:pt idx="671">
                  <c:v>8.6149359901029072</c:v>
                </c:pt>
                <c:pt idx="672">
                  <c:v>8.613284127393543</c:v>
                </c:pt>
                <c:pt idx="673">
                  <c:v>8.6116325814190233</c:v>
                </c:pt>
                <c:pt idx="674">
                  <c:v>8.6099813521186164</c:v>
                </c:pt>
                <c:pt idx="675">
                  <c:v>8.6083304394316009</c:v>
                </c:pt>
                <c:pt idx="676">
                  <c:v>8.60667984329727</c:v>
                </c:pt>
                <c:pt idx="677">
                  <c:v>8.6050295636549254</c:v>
                </c:pt>
                <c:pt idx="678">
                  <c:v>8.6033796004438816</c:v>
                </c:pt>
                <c:pt idx="679">
                  <c:v>8.6017299536034635</c:v>
                </c:pt>
                <c:pt idx="680">
                  <c:v>8.6000806230730102</c:v>
                </c:pt>
                <c:pt idx="681">
                  <c:v>8.5984316087918717</c:v>
                </c:pt>
                <c:pt idx="682">
                  <c:v>8.5967829106994085</c:v>
                </c:pt>
                <c:pt idx="683">
                  <c:v>8.5951345287349934</c:v>
                </c:pt>
                <c:pt idx="684">
                  <c:v>8.5934864628380101</c:v>
                </c:pt>
                <c:pt idx="685">
                  <c:v>8.5918387129478546</c:v>
                </c:pt>
                <c:pt idx="686">
                  <c:v>8.5901912790039354</c:v>
                </c:pt>
                <c:pt idx="687">
                  <c:v>8.5885441609456716</c:v>
                </c:pt>
                <c:pt idx="688">
                  <c:v>8.586897358712493</c:v>
                </c:pt>
                <c:pt idx="689">
                  <c:v>8.5852508722438436</c:v>
                </c:pt>
                <c:pt idx="690">
                  <c:v>8.5836047014791763</c:v>
                </c:pt>
                <c:pt idx="691">
                  <c:v>8.5819588463579564</c:v>
                </c:pt>
                <c:pt idx="692">
                  <c:v>8.5803133068196615</c:v>
                </c:pt>
                <c:pt idx="693">
                  <c:v>8.5786680828037802</c:v>
                </c:pt>
                <c:pt idx="694">
                  <c:v>8.5770231742498151</c:v>
                </c:pt>
                <c:pt idx="695">
                  <c:v>8.5753785810972758</c:v>
                </c:pt>
                <c:pt idx="696">
                  <c:v>8.5737343032856863</c:v>
                </c:pt>
                <c:pt idx="697">
                  <c:v>8.572090340754583</c:v>
                </c:pt>
                <c:pt idx="698">
                  <c:v>8.5704466934435111</c:v>
                </c:pt>
                <c:pt idx="699">
                  <c:v>8.56880336129203</c:v>
                </c:pt>
                <c:pt idx="700">
                  <c:v>8.56716034423971</c:v>
                </c:pt>
                <c:pt idx="701">
                  <c:v>8.5655176422261317</c:v>
                </c:pt>
                <c:pt idx="702">
                  <c:v>8.5638752551908901</c:v>
                </c:pt>
                <c:pt idx="703">
                  <c:v>8.5622331830735874</c:v>
                </c:pt>
                <c:pt idx="704">
                  <c:v>8.5605914258138416</c:v>
                </c:pt>
                <c:pt idx="705">
                  <c:v>8.5589499833512814</c:v>
                </c:pt>
                <c:pt idx="706">
                  <c:v>8.5573088556255446</c:v>
                </c:pt>
                <c:pt idx="707">
                  <c:v>8.5556680425762828</c:v>
                </c:pt>
                <c:pt idx="708">
                  <c:v>8.5540275441431586</c:v>
                </c:pt>
                <c:pt idx="709">
                  <c:v>8.5523873602658469</c:v>
                </c:pt>
                <c:pt idx="710">
                  <c:v>8.5507474908840333</c:v>
                </c:pt>
                <c:pt idx="711">
                  <c:v>8.549107935937414</c:v>
                </c:pt>
                <c:pt idx="712">
                  <c:v>8.5474686953656995</c:v>
                </c:pt>
                <c:pt idx="713">
                  <c:v>8.5458297691086091</c:v>
                </c:pt>
                <c:pt idx="714">
                  <c:v>8.5441911571058764</c:v>
                </c:pt>
                <c:pt idx="715">
                  <c:v>8.5425528592972437</c:v>
                </c:pt>
                <c:pt idx="716">
                  <c:v>8.540914875622466</c:v>
                </c:pt>
                <c:pt idx="717">
                  <c:v>8.5392772060213105</c:v>
                </c:pt>
                <c:pt idx="718">
                  <c:v>8.5376398504335551</c:v>
                </c:pt>
                <c:pt idx="719">
                  <c:v>8.5360028087989903</c:v>
                </c:pt>
                <c:pt idx="720">
                  <c:v>8.5343660810574171</c:v>
                </c:pt>
                <c:pt idx="721">
                  <c:v>8.532729667148649</c:v>
                </c:pt>
                <c:pt idx="722">
                  <c:v>8.5310935670125101</c:v>
                </c:pt>
                <c:pt idx="723">
                  <c:v>8.5294577805888352</c:v>
                </c:pt>
                <c:pt idx="724">
                  <c:v>8.5278223078174733</c:v>
                </c:pt>
                <c:pt idx="725">
                  <c:v>8.5261871486382823</c:v>
                </c:pt>
                <c:pt idx="726">
                  <c:v>8.5245523029911325</c:v>
                </c:pt>
                <c:pt idx="727">
                  <c:v>8.5229177708159067</c:v>
                </c:pt>
                <c:pt idx="728">
                  <c:v>8.5212835520524983</c:v>
                </c:pt>
                <c:pt idx="729">
                  <c:v>8.5196496466408131</c:v>
                </c:pt>
                <c:pt idx="730">
                  <c:v>8.5180160545207677</c:v>
                </c:pt>
                <c:pt idx="731">
                  <c:v>8.5163827756322892</c:v>
                </c:pt>
                <c:pt idx="732">
                  <c:v>8.5147498099153189</c:v>
                </c:pt>
                <c:pt idx="733">
                  <c:v>8.5131171573098072</c:v>
                </c:pt>
                <c:pt idx="734">
                  <c:v>8.5114848177557167</c:v>
                </c:pt>
                <c:pt idx="735">
                  <c:v>8.5098527911930226</c:v>
                </c:pt>
                <c:pt idx="736">
                  <c:v>8.5082210775617089</c:v>
                </c:pt>
                <c:pt idx="737">
                  <c:v>8.5065896768017737</c:v>
                </c:pt>
                <c:pt idx="738">
                  <c:v>8.504958588853226</c:v>
                </c:pt>
                <c:pt idx="739">
                  <c:v>8.503327813656087</c:v>
                </c:pt>
                <c:pt idx="740">
                  <c:v>8.501697351150387</c:v>
                </c:pt>
                <c:pt idx="741">
                  <c:v>8.5000672012761687</c:v>
                </c:pt>
                <c:pt idx="742">
                  <c:v>8.4984373639734887</c:v>
                </c:pt>
                <c:pt idx="743">
                  <c:v>8.4968078391824129</c:v>
                </c:pt>
                <c:pt idx="744">
                  <c:v>8.4951786268430176</c:v>
                </c:pt>
                <c:pt idx="745">
                  <c:v>8.4935497268953934</c:v>
                </c:pt>
                <c:pt idx="746">
                  <c:v>8.4919211392796417</c:v>
                </c:pt>
                <c:pt idx="747">
                  <c:v>8.4902928639358723</c:v>
                </c:pt>
                <c:pt idx="748">
                  <c:v>8.4886649008042117</c:v>
                </c:pt>
                <c:pt idx="749">
                  <c:v>8.4870372498247928</c:v>
                </c:pt>
                <c:pt idx="750">
                  <c:v>8.4854099109377632</c:v>
                </c:pt>
                <c:pt idx="751">
                  <c:v>8.483782884083281</c:v>
                </c:pt>
                <c:pt idx="752">
                  <c:v>8.4821561692015166</c:v>
                </c:pt>
                <c:pt idx="753">
                  <c:v>8.4805297662326495</c:v>
                </c:pt>
                <c:pt idx="754">
                  <c:v>8.4789036751168734</c:v>
                </c:pt>
                <c:pt idx="755">
                  <c:v>8.4772778957943924</c:v>
                </c:pt>
                <c:pt idx="756">
                  <c:v>8.4756524282054215</c:v>
                </c:pt>
                <c:pt idx="757">
                  <c:v>8.4740272722901882</c:v>
                </c:pt>
                <c:pt idx="758">
                  <c:v>8.4724024279889303</c:v>
                </c:pt>
                <c:pt idx="759">
                  <c:v>8.4707778952418966</c:v>
                </c:pt>
                <c:pt idx="760">
                  <c:v>8.46915367398935</c:v>
                </c:pt>
                <c:pt idx="761">
                  <c:v>8.4675297641715641</c:v>
                </c:pt>
                <c:pt idx="762">
                  <c:v>8.4659061657288213</c:v>
                </c:pt>
                <c:pt idx="763">
                  <c:v>8.4642828786014181</c:v>
                </c:pt>
                <c:pt idx="764">
                  <c:v>8.4626599027296621</c:v>
                </c:pt>
                <c:pt idx="765">
                  <c:v>8.461037238053871</c:v>
                </c:pt>
                <c:pt idx="766">
                  <c:v>8.4594148845143753</c:v>
                </c:pt>
                <c:pt idx="767">
                  <c:v>8.457792842051516</c:v>
                </c:pt>
                <c:pt idx="768">
                  <c:v>8.4561711106056467</c:v>
                </c:pt>
                <c:pt idx="769">
                  <c:v>8.4545496901171315</c:v>
                </c:pt>
                <c:pt idx="770">
                  <c:v>8.4529285805263452</c:v>
                </c:pt>
                <c:pt idx="771">
                  <c:v>8.4513077817736768</c:v>
                </c:pt>
                <c:pt idx="772">
                  <c:v>8.4496872937995224</c:v>
                </c:pt>
                <c:pt idx="773">
                  <c:v>8.4480671165442942</c:v>
                </c:pt>
                <c:pt idx="774">
                  <c:v>8.4464472499484131</c:v>
                </c:pt>
                <c:pt idx="775">
                  <c:v>8.4448276939523126</c:v>
                </c:pt>
                <c:pt idx="776">
                  <c:v>8.4432084484964367</c:v>
                </c:pt>
                <c:pt idx="777">
                  <c:v>8.4415895135212402</c:v>
                </c:pt>
                <c:pt idx="778">
                  <c:v>8.4399708889671921</c:v>
                </c:pt>
                <c:pt idx="779">
                  <c:v>8.4383525747747701</c:v>
                </c:pt>
                <c:pt idx="780">
                  <c:v>8.4367345708844628</c:v>
                </c:pt>
                <c:pt idx="781">
                  <c:v>8.4351168772367728</c:v>
                </c:pt>
                <c:pt idx="782">
                  <c:v>8.4334994937722136</c:v>
                </c:pt>
                <c:pt idx="783">
                  <c:v>8.4318824204313092</c:v>
                </c:pt>
                <c:pt idx="784">
                  <c:v>8.4302656571545942</c:v>
                </c:pt>
                <c:pt idx="785">
                  <c:v>8.4286492038826157</c:v>
                </c:pt>
                <c:pt idx="786">
                  <c:v>8.4270330605559334</c:v>
                </c:pt>
                <c:pt idx="787">
                  <c:v>8.4254172271151173</c:v>
                </c:pt>
                <c:pt idx="788">
                  <c:v>8.4238017035007466</c:v>
                </c:pt>
                <c:pt idx="789">
                  <c:v>8.4221864896534164</c:v>
                </c:pt>
                <c:pt idx="790">
                  <c:v>8.4205715855137289</c:v>
                </c:pt>
                <c:pt idx="791">
                  <c:v>8.4189569910223003</c:v>
                </c:pt>
                <c:pt idx="792">
                  <c:v>8.4173427061197561</c:v>
                </c:pt>
                <c:pt idx="793">
                  <c:v>8.4157287307467357</c:v>
                </c:pt>
                <c:pt idx="794">
                  <c:v>8.4141150648438892</c:v>
                </c:pt>
                <c:pt idx="795">
                  <c:v>8.4125017083518756</c:v>
                </c:pt>
                <c:pt idx="796">
                  <c:v>8.4108886612113682</c:v>
                </c:pt>
                <c:pt idx="797">
                  <c:v>8.409275923363051</c:v>
                </c:pt>
                <c:pt idx="798">
                  <c:v>8.4076634947476201</c:v>
                </c:pt>
                <c:pt idx="799">
                  <c:v>8.4060513753057808</c:v>
                </c:pt>
                <c:pt idx="800">
                  <c:v>8.4044395649782508</c:v>
                </c:pt>
                <c:pt idx="801">
                  <c:v>8.4028280637057584</c:v>
                </c:pt>
                <c:pt idx="802">
                  <c:v>8.4012168714290461</c:v>
                </c:pt>
                <c:pt idx="803">
                  <c:v>8.3996059880888652</c:v>
                </c:pt>
                <c:pt idx="804">
                  <c:v>8.3979954136259778</c:v>
                </c:pt>
                <c:pt idx="805">
                  <c:v>8.3963851479811584</c:v>
                </c:pt>
                <c:pt idx="806">
                  <c:v>8.394775191095194</c:v>
                </c:pt>
                <c:pt idx="807">
                  <c:v>8.3931655429088821</c:v>
                </c:pt>
                <c:pt idx="808">
                  <c:v>8.3915562033630309</c:v>
                </c:pt>
                <c:pt idx="809">
                  <c:v>8.3899471723984611</c:v>
                </c:pt>
                <c:pt idx="810">
                  <c:v>8.3883384499560041</c:v>
                </c:pt>
                <c:pt idx="811">
                  <c:v>8.3867300359765018</c:v>
                </c:pt>
                <c:pt idx="812">
                  <c:v>8.3851219304008087</c:v>
                </c:pt>
                <c:pt idx="813">
                  <c:v>8.3835141331697898</c:v>
                </c:pt>
                <c:pt idx="814">
                  <c:v>8.3819066442243226</c:v>
                </c:pt>
                <c:pt idx="815">
                  <c:v>8.3802994635052936</c:v>
                </c:pt>
                <c:pt idx="816">
                  <c:v>8.3786925909536034</c:v>
                </c:pt>
                <c:pt idx="817">
                  <c:v>8.3770860265101632</c:v>
                </c:pt>
                <c:pt idx="818">
                  <c:v>8.375479770115895</c:v>
                </c:pt>
                <c:pt idx="819">
                  <c:v>8.3738738217117312</c:v>
                </c:pt>
                <c:pt idx="820">
                  <c:v>8.372268181238617</c:v>
                </c:pt>
                <c:pt idx="821">
                  <c:v>8.3706628486375081</c:v>
                </c:pt>
                <c:pt idx="822">
                  <c:v>8.3690578238493725</c:v>
                </c:pt>
                <c:pt idx="823">
                  <c:v>8.3674531068151889</c:v>
                </c:pt>
                <c:pt idx="824">
                  <c:v>8.3658486974759469</c:v>
                </c:pt>
                <c:pt idx="825">
                  <c:v>8.3642445957726483</c:v>
                </c:pt>
                <c:pt idx="826">
                  <c:v>8.3626408016463056</c:v>
                </c:pt>
                <c:pt idx="827">
                  <c:v>8.361037315037942</c:v>
                </c:pt>
                <c:pt idx="828">
                  <c:v>8.3594341358885931</c:v>
                </c:pt>
                <c:pt idx="829">
                  <c:v>8.3578312641393051</c:v>
                </c:pt>
                <c:pt idx="830">
                  <c:v>8.3562286997311368</c:v>
                </c:pt>
                <c:pt idx="831">
                  <c:v>8.3546264426051575</c:v>
                </c:pt>
                <c:pt idx="832">
                  <c:v>8.3530244927024473</c:v>
                </c:pt>
                <c:pt idx="833">
                  <c:v>8.3514228499640986</c:v>
                </c:pt>
                <c:pt idx="834">
                  <c:v>8.3498215143312127</c:v>
                </c:pt>
                <c:pt idx="835">
                  <c:v>8.3482204857449052</c:v>
                </c:pt>
                <c:pt idx="836">
                  <c:v>8.3466197641463022</c:v>
                </c:pt>
                <c:pt idx="837">
                  <c:v>8.345019349476539</c:v>
                </c:pt>
                <c:pt idx="838">
                  <c:v>8.3434192416767647</c:v>
                </c:pt>
                <c:pt idx="839">
                  <c:v>8.3418194406881394</c:v>
                </c:pt>
                <c:pt idx="840">
                  <c:v>8.3402199464518336</c:v>
                </c:pt>
                <c:pt idx="841">
                  <c:v>8.3386207589090287</c:v>
                </c:pt>
                <c:pt idx="842">
                  <c:v>8.3370218780009182</c:v>
                </c:pt>
                <c:pt idx="843">
                  <c:v>8.3354233036687067</c:v>
                </c:pt>
                <c:pt idx="844">
                  <c:v>8.3338250358536108</c:v>
                </c:pt>
                <c:pt idx="845">
                  <c:v>8.3322270744968581</c:v>
                </c:pt>
                <c:pt idx="846">
                  <c:v>8.3306294195396866</c:v>
                </c:pt>
                <c:pt idx="847">
                  <c:v>8.3290320709233452</c:v>
                </c:pt>
                <c:pt idx="848">
                  <c:v>8.327435028589095</c:v>
                </c:pt>
                <c:pt idx="849">
                  <c:v>8.3258382924782079</c:v>
                </c:pt>
                <c:pt idx="850">
                  <c:v>8.3242418625319683</c:v>
                </c:pt>
                <c:pt idx="851">
                  <c:v>8.322645738691671</c:v>
                </c:pt>
                <c:pt idx="852">
                  <c:v>8.3210499208986217</c:v>
                </c:pt>
                <c:pt idx="853">
                  <c:v>8.3194544090941385</c:v>
                </c:pt>
                <c:pt idx="854">
                  <c:v>8.3178592032195482</c:v>
                </c:pt>
                <c:pt idx="855">
                  <c:v>8.316264303216192</c:v>
                </c:pt>
                <c:pt idx="856">
                  <c:v>8.31466970902542</c:v>
                </c:pt>
                <c:pt idx="857">
                  <c:v>8.3130754205885946</c:v>
                </c:pt>
                <c:pt idx="858">
                  <c:v>8.3114814378470889</c:v>
                </c:pt>
                <c:pt idx="859">
                  <c:v>8.3098877607422885</c:v>
                </c:pt>
                <c:pt idx="860">
                  <c:v>8.3082943892155896</c:v>
                </c:pt>
                <c:pt idx="861">
                  <c:v>8.306701323208399</c:v>
                </c:pt>
                <c:pt idx="862">
                  <c:v>8.3051085626621344</c:v>
                </c:pt>
                <c:pt idx="863">
                  <c:v>8.3035161075182273</c:v>
                </c:pt>
                <c:pt idx="864">
                  <c:v>8.3019239577181168</c:v>
                </c:pt>
                <c:pt idx="865">
                  <c:v>8.3003321132032557</c:v>
                </c:pt>
                <c:pt idx="866">
                  <c:v>8.2987405739151079</c:v>
                </c:pt>
                <c:pt idx="867">
                  <c:v>8.2971493397951477</c:v>
                </c:pt>
                <c:pt idx="868">
                  <c:v>8.2955584107848601</c:v>
                </c:pt>
                <c:pt idx="869">
                  <c:v>8.2939677868257426</c:v>
                </c:pt>
                <c:pt idx="870">
                  <c:v>8.2923774678593034</c:v>
                </c:pt>
                <c:pt idx="871">
                  <c:v>8.2907874538270629</c:v>
                </c:pt>
                <c:pt idx="872">
                  <c:v>8.2891977446705507</c:v>
                </c:pt>
                <c:pt idx="873">
                  <c:v>8.2876083403313086</c:v>
                </c:pt>
                <c:pt idx="874">
                  <c:v>8.2860192407508908</c:v>
                </c:pt>
                <c:pt idx="875">
                  <c:v>8.2844304458708606</c:v>
                </c:pt>
                <c:pt idx="876">
                  <c:v>8.2828419556327937</c:v>
                </c:pt>
                <c:pt idx="877">
                  <c:v>8.2812537699782762</c:v>
                </c:pt>
                <c:pt idx="878">
                  <c:v>8.279665888848907</c:v>
                </c:pt>
                <c:pt idx="879">
                  <c:v>8.2780783121862953</c:v>
                </c:pt>
                <c:pt idx="880">
                  <c:v>8.2764910399320613</c:v>
                </c:pt>
                <c:pt idx="881">
                  <c:v>8.2749040720278373</c:v>
                </c:pt>
                <c:pt idx="882">
                  <c:v>8.2733174084152648</c:v>
                </c:pt>
                <c:pt idx="883">
                  <c:v>8.2717310490359974</c:v>
                </c:pt>
                <c:pt idx="884">
                  <c:v>8.2701449938317015</c:v>
                </c:pt>
                <c:pt idx="885">
                  <c:v>8.2685592427440522</c:v>
                </c:pt>
                <c:pt idx="886">
                  <c:v>8.2669737957147369</c:v>
                </c:pt>
                <c:pt idx="887">
                  <c:v>8.2653886526854539</c:v>
                </c:pt>
                <c:pt idx="888">
                  <c:v>8.2638038135979137</c:v>
                </c:pt>
                <c:pt idx="889">
                  <c:v>8.2622192783938377</c:v>
                </c:pt>
                <c:pt idx="890">
                  <c:v>8.2606350470149579</c:v>
                </c:pt>
                <c:pt idx="891">
                  <c:v>8.2590511194030167</c:v>
                </c:pt>
                <c:pt idx="892">
                  <c:v>8.2574674954997693</c:v>
                </c:pt>
                <c:pt idx="893">
                  <c:v>8.2558841752469814</c:v>
                </c:pt>
                <c:pt idx="894">
                  <c:v>8.254301158586431</c:v>
                </c:pt>
                <c:pt idx="895">
                  <c:v>8.2527184454599034</c:v>
                </c:pt>
                <c:pt idx="896">
                  <c:v>8.2511360358091999</c:v>
                </c:pt>
                <c:pt idx="897">
                  <c:v>8.2495539295761304</c:v>
                </c:pt>
                <c:pt idx="898">
                  <c:v>8.2479721267025159</c:v>
                </c:pt>
                <c:pt idx="899">
                  <c:v>8.2463906271301894</c:v>
                </c:pt>
                <c:pt idx="900">
                  <c:v>8.2448094308009949</c:v>
                </c:pt>
                <c:pt idx="901">
                  <c:v>8.2432285376567869</c:v>
                </c:pt>
                <c:pt idx="902">
                  <c:v>8.2416479476394304</c:v>
                </c:pt>
                <c:pt idx="903">
                  <c:v>8.240067660690805</c:v>
                </c:pt>
                <c:pt idx="904">
                  <c:v>8.238487676752797</c:v>
                </c:pt>
                <c:pt idx="905">
                  <c:v>8.2369079957673073</c:v>
                </c:pt>
                <c:pt idx="906">
                  <c:v>8.2353286176762452</c:v>
                </c:pt>
                <c:pt idx="907">
                  <c:v>8.2337495424215348</c:v>
                </c:pt>
                <c:pt idx="908">
                  <c:v>8.2321707699451068</c:v>
                </c:pt>
                <c:pt idx="909">
                  <c:v>8.2305923001889063</c:v>
                </c:pt>
                <c:pt idx="910">
                  <c:v>8.2290141330948874</c:v>
                </c:pt>
                <c:pt idx="911">
                  <c:v>8.2274362686050182</c:v>
                </c:pt>
                <c:pt idx="912">
                  <c:v>8.2258587066612741</c:v>
                </c:pt>
                <c:pt idx="913">
                  <c:v>8.2242814472056445</c:v>
                </c:pt>
                <c:pt idx="914">
                  <c:v>8.2227044901801296</c:v>
                </c:pt>
                <c:pt idx="915">
                  <c:v>8.2211278355267403</c:v>
                </c:pt>
                <c:pt idx="916">
                  <c:v>8.2195514831874981</c:v>
                </c:pt>
                <c:pt idx="917">
                  <c:v>8.2179754331044368</c:v>
                </c:pt>
                <c:pt idx="918">
                  <c:v>8.2163996852195993</c:v>
                </c:pt>
                <c:pt idx="919">
                  <c:v>8.2148242394750426</c:v>
                </c:pt>
                <c:pt idx="920">
                  <c:v>8.2132490958128308</c:v>
                </c:pt>
                <c:pt idx="921">
                  <c:v>8.211674254175044</c:v>
                </c:pt>
                <c:pt idx="922">
                  <c:v>8.2100997145037695</c:v>
                </c:pt>
                <c:pt idx="923">
                  <c:v>8.2085254767411069</c:v>
                </c:pt>
                <c:pt idx="924">
                  <c:v>8.2069515408291664</c:v>
                </c:pt>
                <c:pt idx="925">
                  <c:v>8.2053779067100709</c:v>
                </c:pt>
                <c:pt idx="926">
                  <c:v>8.2038045743259538</c:v>
                </c:pt>
                <c:pt idx="927">
                  <c:v>8.2022315436189572</c:v>
                </c:pt>
                <c:pt idx="928">
                  <c:v>8.2006588145312378</c:v>
                </c:pt>
                <c:pt idx="929">
                  <c:v>8.1990863870049626</c:v>
                </c:pt>
                <c:pt idx="930">
                  <c:v>8.1975142609823077</c:v>
                </c:pt>
                <c:pt idx="931">
                  <c:v>8.1959424364054634</c:v>
                </c:pt>
                <c:pt idx="932">
                  <c:v>8.1943709132166269</c:v>
                </c:pt>
                <c:pt idx="933">
                  <c:v>8.1927996913580099</c:v>
                </c:pt>
                <c:pt idx="934">
                  <c:v>8.1912287707718345</c:v>
                </c:pt>
                <c:pt idx="935">
                  <c:v>8.1896581514003337</c:v>
                </c:pt>
                <c:pt idx="936">
                  <c:v>8.1880878331857492</c:v>
                </c:pt>
                <c:pt idx="937">
                  <c:v>8.1865178160703387</c:v>
                </c:pt>
                <c:pt idx="938">
                  <c:v>8.1849480999963671</c:v>
                </c:pt>
                <c:pt idx="939">
                  <c:v>8.1833786849061116</c:v>
                </c:pt>
                <c:pt idx="940">
                  <c:v>8.1818095707418603</c:v>
                </c:pt>
                <c:pt idx="941">
                  <c:v>8.1802407574459117</c:v>
                </c:pt>
                <c:pt idx="942">
                  <c:v>8.1786722449605769</c:v>
                </c:pt>
                <c:pt idx="943">
                  <c:v>8.1771040332281775</c:v>
                </c:pt>
                <c:pt idx="944">
                  <c:v>8.1755361221910441</c:v>
                </c:pt>
                <c:pt idx="945">
                  <c:v>8.1739685117915215</c:v>
                </c:pt>
                <c:pt idx="946">
                  <c:v>8.1724012019719652</c:v>
                </c:pt>
                <c:pt idx="947">
                  <c:v>8.1708341926747394</c:v>
                </c:pt>
                <c:pt idx="948">
                  <c:v>8.169267483842221</c:v>
                </c:pt>
                <c:pt idx="949">
                  <c:v>8.1677010754167991</c:v>
                </c:pt>
                <c:pt idx="950">
                  <c:v>8.1661349673408701</c:v>
                </c:pt>
                <c:pt idx="951">
                  <c:v>8.1645691595568444</c:v>
                </c:pt>
                <c:pt idx="952">
                  <c:v>8.163003652007145</c:v>
                </c:pt>
                <c:pt idx="953">
                  <c:v>8.1614384446342019</c:v>
                </c:pt>
                <c:pt idx="954">
                  <c:v>8.1598735373804576</c:v>
                </c:pt>
                <c:pt idx="955">
                  <c:v>8.1583089301883671</c:v>
                </c:pt>
                <c:pt idx="956">
                  <c:v>8.1567446230003942</c:v>
                </c:pt>
                <c:pt idx="957">
                  <c:v>8.155180615759015</c:v>
                </c:pt>
                <c:pt idx="958">
                  <c:v>8.1536169084067183</c:v>
                </c:pt>
                <c:pt idx="959">
                  <c:v>8.1520535008859998</c:v>
                </c:pt>
                <c:pt idx="960">
                  <c:v>8.1504903931393695</c:v>
                </c:pt>
                <c:pt idx="961">
                  <c:v>8.1489275851093481</c:v>
                </c:pt>
                <c:pt idx="962">
                  <c:v>8.1473650767384669</c:v>
                </c:pt>
                <c:pt idx="963">
                  <c:v>8.1458028679692678</c:v>
                </c:pt>
                <c:pt idx="964">
                  <c:v>8.1442409587443034</c:v>
                </c:pt>
                <c:pt idx="965">
                  <c:v>8.1426793490061371</c:v>
                </c:pt>
                <c:pt idx="966">
                  <c:v>8.1411180386973463</c:v>
                </c:pt>
                <c:pt idx="967">
                  <c:v>8.1395570277605156</c:v>
                </c:pt>
                <c:pt idx="968">
                  <c:v>8.137996316138242</c:v>
                </c:pt>
                <c:pt idx="969">
                  <c:v>8.1364359037731351</c:v>
                </c:pt>
                <c:pt idx="970">
                  <c:v>8.1348757906078131</c:v>
                </c:pt>
                <c:pt idx="971">
                  <c:v>8.1333159765849068</c:v>
                </c:pt>
                <c:pt idx="972">
                  <c:v>8.1317564616470559</c:v>
                </c:pt>
                <c:pt idx="973">
                  <c:v>8.1301972457369143</c:v>
                </c:pt>
                <c:pt idx="974">
                  <c:v>8.1286383287971447</c:v>
                </c:pt>
                <c:pt idx="975">
                  <c:v>8.1270797107704205</c:v>
                </c:pt>
                <c:pt idx="976">
                  <c:v>8.1255213915994293</c:v>
                </c:pt>
                <c:pt idx="977">
                  <c:v>8.1239633712268642</c:v>
                </c:pt>
                <c:pt idx="978">
                  <c:v>8.122405649595434</c:v>
                </c:pt>
                <c:pt idx="979">
                  <c:v>8.1208482266478565</c:v>
                </c:pt>
                <c:pt idx="980">
                  <c:v>8.1192911023268621</c:v>
                </c:pt>
                <c:pt idx="981">
                  <c:v>8.1177342765751899</c:v>
                </c:pt>
                <c:pt idx="982">
                  <c:v>8.1161777493355913</c:v>
                </c:pt>
                <c:pt idx="983">
                  <c:v>8.1146215205508287</c:v>
                </c:pt>
                <c:pt idx="984">
                  <c:v>8.1130655901636732</c:v>
                </c:pt>
                <c:pt idx="985">
                  <c:v>8.1115099581169101</c:v>
                </c:pt>
                <c:pt idx="986">
                  <c:v>8.1099546243533354</c:v>
                </c:pt>
                <c:pt idx="987">
                  <c:v>8.1083995888157538</c:v>
                </c:pt>
                <c:pt idx="988">
                  <c:v>8.1068448514469829</c:v>
                </c:pt>
                <c:pt idx="989">
                  <c:v>8.1052904121898504</c:v>
                </c:pt>
                <c:pt idx="990">
                  <c:v>8.103736270987195</c:v>
                </c:pt>
                <c:pt idx="991">
                  <c:v>8.1021824277818659</c:v>
                </c:pt>
                <c:pt idx="992">
                  <c:v>8.100628882516725</c:v>
                </c:pt>
                <c:pt idx="993">
                  <c:v>8.0990756351346445</c:v>
                </c:pt>
                <c:pt idx="994">
                  <c:v>8.0975226855785056</c:v>
                </c:pt>
                <c:pt idx="995">
                  <c:v>8.0959700337912022</c:v>
                </c:pt>
                <c:pt idx="996">
                  <c:v>8.0944176797156402</c:v>
                </c:pt>
                <c:pt idx="997">
                  <c:v>8.0928656232947347</c:v>
                </c:pt>
                <c:pt idx="998">
                  <c:v>8.0913138644714113</c:v>
                </c:pt>
                <c:pt idx="999">
                  <c:v>8.0897624031886082</c:v>
                </c:pt>
                <c:pt idx="1000">
                  <c:v>8.0882112393892722</c:v>
                </c:pt>
                <c:pt idx="1001">
                  <c:v>8.0866603730163646</c:v>
                </c:pt>
                <c:pt idx="1002">
                  <c:v>8.0851098040128555</c:v>
                </c:pt>
                <c:pt idx="1003">
                  <c:v>8.0835595323217255</c:v>
                </c:pt>
                <c:pt idx="1004">
                  <c:v>8.0820095578859661</c:v>
                </c:pt>
                <c:pt idx="1005">
                  <c:v>8.080459880648581</c:v>
                </c:pt>
                <c:pt idx="1006">
                  <c:v>8.0789105005525848</c:v>
                </c:pt>
                <c:pt idx="1007">
                  <c:v>8.0773614175410007</c:v>
                </c:pt>
                <c:pt idx="1008">
                  <c:v>8.0758126315568664</c:v>
                </c:pt>
                <c:pt idx="1009">
                  <c:v>8.0742641425432282</c:v>
                </c:pt>
                <c:pt idx="1010">
                  <c:v>8.0727159504431434</c:v>
                </c:pt>
                <c:pt idx="1011">
                  <c:v>8.0711680551996796</c:v>
                </c:pt>
                <c:pt idx="1012">
                  <c:v>8.0696204567559171</c:v>
                </c:pt>
                <c:pt idx="1013">
                  <c:v>8.0680731550549467</c:v>
                </c:pt>
                <c:pt idx="1014">
                  <c:v>8.0665261500398699</c:v>
                </c:pt>
                <c:pt idx="1015">
                  <c:v>8.064979441653799</c:v>
                </c:pt>
                <c:pt idx="1016">
                  <c:v>8.0634330298398567</c:v>
                </c:pt>
                <c:pt idx="1017">
                  <c:v>8.0618869145411765</c:v>
                </c:pt>
                <c:pt idx="1018">
                  <c:v>8.0603410957009043</c:v>
                </c:pt>
                <c:pt idx="1019">
                  <c:v>8.0587955732621968</c:v>
                </c:pt>
                <c:pt idx="1020">
                  <c:v>8.0572503471682193</c:v>
                </c:pt>
                <c:pt idx="1021">
                  <c:v>8.0557054173621498</c:v>
                </c:pt>
                <c:pt idx="1022">
                  <c:v>8.0541607837871769</c:v>
                </c:pt>
                <c:pt idx="1023">
                  <c:v>8.0526164463864998</c:v>
                </c:pt>
                <c:pt idx="1024">
                  <c:v>8.0510724051033282</c:v>
                </c:pt>
                <c:pt idx="1025">
                  <c:v>8.0495286598808846</c:v>
                </c:pt>
                <c:pt idx="1026">
                  <c:v>8.0479852106624019</c:v>
                </c:pt>
                <c:pt idx="1027">
                  <c:v>8.0464420573911219</c:v>
                </c:pt>
                <c:pt idx="1028">
                  <c:v>8.0448992000102972</c:v>
                </c:pt>
                <c:pt idx="1029">
                  <c:v>8.0433566384631945</c:v>
                </c:pt>
                <c:pt idx="1030">
                  <c:v>8.0418143726930893</c:v>
                </c:pt>
                <c:pt idx="1031">
                  <c:v>8.0402724026432661</c:v>
                </c:pt>
                <c:pt idx="1032">
                  <c:v>8.0387307282570255</c:v>
                </c:pt>
                <c:pt idx="1033">
                  <c:v>8.0371893494776732</c:v>
                </c:pt>
                <c:pt idx="1034">
                  <c:v>8.0356482662485291</c:v>
                </c:pt>
                <c:pt idx="1035">
                  <c:v>8.0341074785129241</c:v>
                </c:pt>
                <c:pt idx="1036">
                  <c:v>8.0325669862141975</c:v>
                </c:pt>
                <c:pt idx="1037">
                  <c:v>8.0310267892957015</c:v>
                </c:pt>
                <c:pt idx="1038">
                  <c:v>8.0294868877008003</c:v>
                </c:pt>
                <c:pt idx="1039">
                  <c:v>8.0279472813728656</c:v>
                </c:pt>
                <c:pt idx="1040">
                  <c:v>8.0264079702552813</c:v>
                </c:pt>
                <c:pt idx="1041">
                  <c:v>8.0248689542914438</c:v>
                </c:pt>
                <c:pt idx="1042">
                  <c:v>8.02333023342476</c:v>
                </c:pt>
                <c:pt idx="1043">
                  <c:v>8.0217918075986443</c:v>
                </c:pt>
                <c:pt idx="1044">
                  <c:v>8.0202536767565267</c:v>
                </c:pt>
                <c:pt idx="1045">
                  <c:v>8.0187158408418444</c:v>
                </c:pt>
                <c:pt idx="1046">
                  <c:v>8.0171782997980472</c:v>
                </c:pt>
                <c:pt idx="1047">
                  <c:v>8.0156410535685954</c:v>
                </c:pt>
                <c:pt idx="1048">
                  <c:v>8.0141041020969599</c:v>
                </c:pt>
                <c:pt idx="1049">
                  <c:v>8.0125674453266225</c:v>
                </c:pt>
                <c:pt idx="1050">
                  <c:v>8.0110310832010772</c:v>
                </c:pt>
                <c:pt idx="1051">
                  <c:v>8.0094950156638269</c:v>
                </c:pt>
                <c:pt idx="1052">
                  <c:v>8.0079592426583854</c:v>
                </c:pt>
                <c:pt idx="1053">
                  <c:v>8.0064237641282787</c:v>
                </c:pt>
                <c:pt idx="1054">
                  <c:v>8.0048885800170417</c:v>
                </c:pt>
                <c:pt idx="1055">
                  <c:v>8.0033536902682236</c:v>
                </c:pt>
                <c:pt idx="1056">
                  <c:v>8.0018190948253807</c:v>
                </c:pt>
                <c:pt idx="1057">
                  <c:v>8.0002847936320816</c:v>
                </c:pt>
                <c:pt idx="1058">
                  <c:v>7.9987507866319048</c:v>
                </c:pt>
                <c:pt idx="1059">
                  <c:v>7.997217073768442</c:v>
                </c:pt>
                <c:pt idx="1060">
                  <c:v>7.9956836549852941</c:v>
                </c:pt>
                <c:pt idx="1061">
                  <c:v>7.9941505302260722</c:v>
                </c:pt>
                <c:pt idx="1062">
                  <c:v>7.9926176994343994</c:v>
                </c:pt>
                <c:pt idx="1063">
                  <c:v>7.991085162553909</c:v>
                </c:pt>
                <c:pt idx="1064">
                  <c:v>7.9895529195282462</c:v>
                </c:pt>
                <c:pt idx="1065">
                  <c:v>7.9880209703010649</c:v>
                </c:pt>
                <c:pt idx="1066">
                  <c:v>7.9864893148160316</c:v>
                </c:pt>
                <c:pt idx="1067">
                  <c:v>7.9849579530168224</c:v>
                </c:pt>
                <c:pt idx="1068">
                  <c:v>7.983426884847125</c:v>
                </c:pt>
                <c:pt idx="1069">
                  <c:v>7.9818961102506387</c:v>
                </c:pt>
                <c:pt idx="1070">
                  <c:v>7.9803656291710716</c:v>
                </c:pt>
                <c:pt idx="1071">
                  <c:v>7.9788354415521434</c:v>
                </c:pt>
                <c:pt idx="1072">
                  <c:v>7.9773055473375853</c:v>
                </c:pt>
                <c:pt idx="1073">
                  <c:v>7.9757759464711384</c:v>
                </c:pt>
                <c:pt idx="1074">
                  <c:v>7.9742466388965552</c:v>
                </c:pt>
                <c:pt idx="1075">
                  <c:v>7.9727176245575988</c:v>
                </c:pt>
                <c:pt idx="1076">
                  <c:v>7.9711889033980423</c:v>
                </c:pt>
                <c:pt idx="1077">
                  <c:v>7.9696604753616711</c:v>
                </c:pt>
                <c:pt idx="1078">
                  <c:v>7.9681323403922804</c:v>
                </c:pt>
                <c:pt idx="1079">
                  <c:v>7.9666044984336768</c:v>
                </c:pt>
                <c:pt idx="1080">
                  <c:v>7.965076949429676</c:v>
                </c:pt>
                <c:pt idx="1081">
                  <c:v>7.963549693324107</c:v>
                </c:pt>
                <c:pt idx="1082">
                  <c:v>7.9620227300608075</c:v>
                </c:pt>
                <c:pt idx="1083">
                  <c:v>7.9604960595836269</c:v>
                </c:pt>
                <c:pt idx="1084">
                  <c:v>7.9589696818364253</c:v>
                </c:pt>
                <c:pt idx="1085">
                  <c:v>7.9574435967630732</c:v>
                </c:pt>
                <c:pt idx="1086">
                  <c:v>7.9559178043074521</c:v>
                </c:pt>
                <c:pt idx="1087">
                  <c:v>7.9543923044134548</c:v>
                </c:pt>
                <c:pt idx="1088">
                  <c:v>7.952867097024984</c:v>
                </c:pt>
                <c:pt idx="1089">
                  <c:v>7.9513421820859538</c:v>
                </c:pt>
                <c:pt idx="1090">
                  <c:v>7.9498175595402882</c:v>
                </c:pt>
                <c:pt idx="1091">
                  <c:v>7.9482932293319228</c:v>
                </c:pt>
                <c:pt idx="1092">
                  <c:v>7.9467691914048038</c:v>
                </c:pt>
                <c:pt idx="1093">
                  <c:v>7.9452454457028878</c:v>
                </c:pt>
                <c:pt idx="1094">
                  <c:v>7.9437219921701425</c:v>
                </c:pt>
                <c:pt idx="1095">
                  <c:v>7.942198830750546</c:v>
                </c:pt>
                <c:pt idx="1096">
                  <c:v>7.940675961388088</c:v>
                </c:pt>
                <c:pt idx="1097">
                  <c:v>7.9391533840267678</c:v>
                </c:pt>
                <c:pt idx="1098">
                  <c:v>7.9376310986105958</c:v>
                </c:pt>
                <c:pt idx="1099">
                  <c:v>7.9361091050835935</c:v>
                </c:pt>
                <c:pt idx="1100">
                  <c:v>7.9345874033897923</c:v>
                </c:pt>
                <c:pt idx="1101">
                  <c:v>7.9330659934732353</c:v>
                </c:pt>
                <c:pt idx="1102">
                  <c:v>7.931544875277976</c:v>
                </c:pt>
                <c:pt idx="1103">
                  <c:v>7.9300240487480789</c:v>
                </c:pt>
                <c:pt idx="1104">
                  <c:v>7.9285035138276188</c:v>
                </c:pt>
                <c:pt idx="1105">
                  <c:v>7.9269832704606804</c:v>
                </c:pt>
                <c:pt idx="1106">
                  <c:v>7.925463318591361</c:v>
                </c:pt>
                <c:pt idx="1107">
                  <c:v>7.9239436581637674</c:v>
                </c:pt>
                <c:pt idx="1108">
                  <c:v>7.9224242891220173</c:v>
                </c:pt>
                <c:pt idx="1109">
                  <c:v>7.9209052114102398</c:v>
                </c:pt>
                <c:pt idx="1110">
                  <c:v>7.9193864249725738</c:v>
                </c:pt>
                <c:pt idx="1111">
                  <c:v>7.9178679297531689</c:v>
                </c:pt>
                <c:pt idx="1112">
                  <c:v>7.9163497256961861</c:v>
                </c:pt>
                <c:pt idx="1113">
                  <c:v>7.9148318127457964</c:v>
                </c:pt>
                <c:pt idx="1114">
                  <c:v>7.9133141908461822</c:v>
                </c:pt>
                <c:pt idx="1115">
                  <c:v>7.9117968599415356</c:v>
                </c:pt>
                <c:pt idx="1116">
                  <c:v>7.9102798199760604</c:v>
                </c:pt>
                <c:pt idx="1117">
                  <c:v>7.9087630708939711</c:v>
                </c:pt>
                <c:pt idx="1118">
                  <c:v>7.9072466126394918</c:v>
                </c:pt>
                <c:pt idx="1119">
                  <c:v>7.9057304451568591</c:v>
                </c:pt>
                <c:pt idx="1120">
                  <c:v>7.9042145683903184</c:v>
                </c:pt>
                <c:pt idx="1121">
                  <c:v>7.9026989822841269</c:v>
                </c:pt>
                <c:pt idx="1122">
                  <c:v>7.9011836867825522</c:v>
                </c:pt>
                <c:pt idx="1123">
                  <c:v>7.8996686818298727</c:v>
                </c:pt>
                <c:pt idx="1124">
                  <c:v>7.8981539673703764</c:v>
                </c:pt>
                <c:pt idx="1125">
                  <c:v>7.896639543348364</c:v>
                </c:pt>
                <c:pt idx="1126">
                  <c:v>7.8951254097081458</c:v>
                </c:pt>
                <c:pt idx="1127">
                  <c:v>7.8936115663940427</c:v>
                </c:pt>
                <c:pt idx="1128">
                  <c:v>7.8920980133503864</c:v>
                </c:pt>
                <c:pt idx="1129">
                  <c:v>7.8905847505215192</c:v>
                </c:pt>
                <c:pt idx="1130">
                  <c:v>7.889071777851794</c:v>
                </c:pt>
                <c:pt idx="1131">
                  <c:v>7.8875590952855745</c:v>
                </c:pt>
                <c:pt idx="1132">
                  <c:v>7.886046702767235</c:v>
                </c:pt>
                <c:pt idx="1133">
                  <c:v>7.8845346002411612</c:v>
                </c:pt>
                <c:pt idx="1134">
                  <c:v>7.8830227876517478</c:v>
                </c:pt>
                <c:pt idx="1135">
                  <c:v>7.881511264943402</c:v>
                </c:pt>
                <c:pt idx="1136">
                  <c:v>7.8800000320605408</c:v>
                </c:pt>
                <c:pt idx="1137">
                  <c:v>7.8784890889475916</c:v>
                </c:pt>
                <c:pt idx="1138">
                  <c:v>7.8769784355489927</c:v>
                </c:pt>
                <c:pt idx="1139">
                  <c:v>7.8754680718091938</c:v>
                </c:pt>
                <c:pt idx="1140">
                  <c:v>7.8739579976726537</c:v>
                </c:pt>
                <c:pt idx="1141">
                  <c:v>7.8724482130838425</c:v>
                </c:pt>
                <c:pt idx="1142">
                  <c:v>7.8709387179872419</c:v>
                </c:pt>
                <c:pt idx="1143">
                  <c:v>7.8694295123273434</c:v>
                </c:pt>
                <c:pt idx="1144">
                  <c:v>7.8679205960486494</c:v>
                </c:pt>
                <c:pt idx="1145">
                  <c:v>7.8664119690956715</c:v>
                </c:pt>
                <c:pt idx="1146">
                  <c:v>7.8649036314129344</c:v>
                </c:pt>
                <c:pt idx="1147">
                  <c:v>7.863395582944972</c:v>
                </c:pt>
                <c:pt idx="1148">
                  <c:v>7.8618878236363292</c:v>
                </c:pt>
                <c:pt idx="1149">
                  <c:v>7.8603803534315615</c:v>
                </c:pt>
                <c:pt idx="1150">
                  <c:v>7.8588731722752341</c:v>
                </c:pt>
                <c:pt idx="1151">
                  <c:v>7.8573662801119246</c:v>
                </c:pt>
                <c:pt idx="1152">
                  <c:v>7.8558596768862206</c:v>
                </c:pt>
                <c:pt idx="1153">
                  <c:v>7.8543533625427191</c:v>
                </c:pt>
                <c:pt idx="1154">
                  <c:v>7.852847337026029</c:v>
                </c:pt>
                <c:pt idx="1155">
                  <c:v>7.8513416002807697</c:v>
                </c:pt>
                <c:pt idx="1156">
                  <c:v>7.8498361522515703</c:v>
                </c:pt>
                <c:pt idx="1157">
                  <c:v>7.8483309928830716</c:v>
                </c:pt>
                <c:pt idx="1158">
                  <c:v>7.8468261221199249</c:v>
                </c:pt>
                <c:pt idx="1159">
                  <c:v>7.8453215399067915</c:v>
                </c:pt>
                <c:pt idx="1160">
                  <c:v>7.843817246188344</c:v>
                </c:pt>
                <c:pt idx="1161">
                  <c:v>7.8423132409092648</c:v>
                </c:pt>
                <c:pt idx="1162">
                  <c:v>7.8408095240142481</c:v>
                </c:pt>
                <c:pt idx="1163">
                  <c:v>7.8393060954479976</c:v>
                </c:pt>
                <c:pt idx="1164">
                  <c:v>7.8378029551552277</c:v>
                </c:pt>
                <c:pt idx="1165">
                  <c:v>7.8363001030806645</c:v>
                </c:pt>
                <c:pt idx="1166">
                  <c:v>7.8347975391690428</c:v>
                </c:pt>
                <c:pt idx="1167">
                  <c:v>7.8332952633651098</c:v>
                </c:pt>
                <c:pt idx="1168">
                  <c:v>7.8317932756136219</c:v>
                </c:pt>
                <c:pt idx="1169">
                  <c:v>7.8302915758593477</c:v>
                </c:pt>
                <c:pt idx="1170">
                  <c:v>7.8287901640470645</c:v>
                </c:pt>
                <c:pt idx="1171">
                  <c:v>7.8272890401215616</c:v>
                </c:pt>
                <c:pt idx="1172">
                  <c:v>7.8257882040276385</c:v>
                </c:pt>
                <c:pt idx="1173">
                  <c:v>7.8242876557101049</c:v>
                </c:pt>
                <c:pt idx="1174">
                  <c:v>7.8227873951137816</c:v>
                </c:pt>
                <c:pt idx="1175">
                  <c:v>7.8212874221834996</c:v>
                </c:pt>
                <c:pt idx="1176">
                  <c:v>7.8197877368641011</c:v>
                </c:pt>
                <c:pt idx="1177">
                  <c:v>7.8182883391004374</c:v>
                </c:pt>
                <c:pt idx="1178">
                  <c:v>7.8167892288373721</c:v>
                </c:pt>
                <c:pt idx="1179">
                  <c:v>7.8152904060197788</c:v>
                </c:pt>
                <c:pt idx="1180">
                  <c:v>7.8137918705925413</c:v>
                </c:pt>
                <c:pt idx="1181">
                  <c:v>7.8122936225005546</c:v>
                </c:pt>
                <c:pt idx="1182">
                  <c:v>7.810795661688724</c:v>
                </c:pt>
                <c:pt idx="1183">
                  <c:v>7.8092979881019646</c:v>
                </c:pt>
                <c:pt idx="1184">
                  <c:v>7.8078006016852024</c:v>
                </c:pt>
                <c:pt idx="1185">
                  <c:v>7.8063035023833756</c:v>
                </c:pt>
                <c:pt idx="1186">
                  <c:v>7.8048066901414304</c:v>
                </c:pt>
                <c:pt idx="1187">
                  <c:v>7.8033101649043255</c:v>
                </c:pt>
                <c:pt idx="1188">
                  <c:v>7.8018139266170285</c:v>
                </c:pt>
                <c:pt idx="1189">
                  <c:v>7.8003179752245195</c:v>
                </c:pt>
                <c:pt idx="1190">
                  <c:v>7.7988223106717873</c:v>
                </c:pt>
                <c:pt idx="1191">
                  <c:v>7.7973269329038333</c:v>
                </c:pt>
                <c:pt idx="1192">
                  <c:v>7.7958318418656667</c:v>
                </c:pt>
                <c:pt idx="1193">
                  <c:v>7.7943370375023102</c:v>
                </c:pt>
                <c:pt idx="1194">
                  <c:v>7.7928425197587945</c:v>
                </c:pt>
                <c:pt idx="1195">
                  <c:v>7.7913482885801626</c:v>
                </c:pt>
                <c:pt idx="1196">
                  <c:v>7.7898543439114674</c:v>
                </c:pt>
                <c:pt idx="1197">
                  <c:v>7.7883606856977714</c:v>
                </c:pt>
                <c:pt idx="1198">
                  <c:v>7.7868673138841498</c:v>
                </c:pt>
                <c:pt idx="1199">
                  <c:v>7.7853742284156864</c:v>
                </c:pt>
                <c:pt idx="1200">
                  <c:v>7.7838814292374758</c:v>
                </c:pt>
                <c:pt idx="1201">
                  <c:v>7.7823889162946243</c:v>
                </c:pt>
                <c:pt idx="1202">
                  <c:v>7.7808966895322476</c:v>
                </c:pt>
                <c:pt idx="1203">
                  <c:v>7.7794047488954732</c:v>
                </c:pt>
                <c:pt idx="1204">
                  <c:v>7.7779130943294374</c:v>
                </c:pt>
                <c:pt idx="1205">
                  <c:v>7.7764217257792874</c:v>
                </c:pt>
                <c:pt idx="1206">
                  <c:v>7.7749306431901823</c:v>
                </c:pt>
                <c:pt idx="1207">
                  <c:v>7.7734398465072907</c:v>
                </c:pt>
                <c:pt idx="1208">
                  <c:v>7.7719493356757914</c:v>
                </c:pt>
                <c:pt idx="1209">
                  <c:v>7.770459110640874</c:v>
                </c:pt>
                <c:pt idx="1210">
                  <c:v>7.7689691713477389</c:v>
                </c:pt>
                <c:pt idx="1211">
                  <c:v>7.7674795177415961</c:v>
                </c:pt>
                <c:pt idx="1212">
                  <c:v>7.765990149767668</c:v>
                </c:pt>
                <c:pt idx="1213">
                  <c:v>7.7645010673711852</c:v>
                </c:pt>
                <c:pt idx="1214">
                  <c:v>7.7630122704973905</c:v>
                </c:pt>
                <c:pt idx="1215">
                  <c:v>7.7615237590915367</c:v>
                </c:pt>
                <c:pt idx="1216">
                  <c:v>7.7600355330988871</c:v>
                </c:pt>
                <c:pt idx="1217">
                  <c:v>7.7585475924647156</c:v>
                </c:pt>
                <c:pt idx="1218">
                  <c:v>7.7570599371343061</c:v>
                </c:pt>
                <c:pt idx="1219">
                  <c:v>7.7555725670529529</c:v>
                </c:pt>
                <c:pt idx="1220">
                  <c:v>7.7540854821659622</c:v>
                </c:pt>
                <c:pt idx="1221">
                  <c:v>7.7525986824186486</c:v>
                </c:pt>
                <c:pt idx="1222">
                  <c:v>7.7511121677563386</c:v>
                </c:pt>
                <c:pt idx="1223">
                  <c:v>7.7496259381243693</c:v>
                </c:pt>
                <c:pt idx="1224">
                  <c:v>7.7481399934680875</c:v>
                </c:pt>
                <c:pt idx="1225">
                  <c:v>7.7466543337328506</c:v>
                </c:pt>
                <c:pt idx="1226">
                  <c:v>7.7451689588640269</c:v>
                </c:pt>
                <c:pt idx="1227">
                  <c:v>7.7436838688069951</c:v>
                </c:pt>
                <c:pt idx="1228">
                  <c:v>7.7421990635071438</c:v>
                </c:pt>
                <c:pt idx="1229">
                  <c:v>7.7407145429098732</c:v>
                </c:pt>
                <c:pt idx="1230">
                  <c:v>7.739230306960593</c:v>
                </c:pt>
                <c:pt idx="1231">
                  <c:v>7.737746355604723</c:v>
                </c:pt>
                <c:pt idx="1232">
                  <c:v>7.7362626887876953</c:v>
                </c:pt>
                <c:pt idx="1233">
                  <c:v>7.7347793064549499</c:v>
                </c:pt>
                <c:pt idx="1234">
                  <c:v>7.7332962085519394</c:v>
                </c:pt>
                <c:pt idx="1235">
                  <c:v>7.7318133950241261</c:v>
                </c:pt>
                <c:pt idx="1236">
                  <c:v>7.7303308658169829</c:v>
                </c:pt>
                <c:pt idx="1237">
                  <c:v>7.7288486208759926</c:v>
                </c:pt>
                <c:pt idx="1238">
                  <c:v>7.7273666601466493</c:v>
                </c:pt>
                <c:pt idx="1239">
                  <c:v>7.7258849835744563</c:v>
                </c:pt>
                <c:pt idx="1240">
                  <c:v>7.7244035911049291</c:v>
                </c:pt>
                <c:pt idx="1241">
                  <c:v>7.7229224826835923</c:v>
                </c:pt>
                <c:pt idx="1242">
                  <c:v>7.7214416582559808</c:v>
                </c:pt>
                <c:pt idx="1243">
                  <c:v>7.7199611177676415</c:v>
                </c:pt>
                <c:pt idx="1244">
                  <c:v>7.7184808611641307</c:v>
                </c:pt>
                <c:pt idx="1245">
                  <c:v>7.7170008883910146</c:v>
                </c:pt>
                <c:pt idx="1246">
                  <c:v>7.7155211993938702</c:v>
                </c:pt>
                <c:pt idx="1247">
                  <c:v>7.7140417941182857</c:v>
                </c:pt>
                <c:pt idx="1248">
                  <c:v>7.7125626725098586</c:v>
                </c:pt>
                <c:pt idx="1249">
                  <c:v>7.7110838345141977</c:v>
                </c:pt>
                <c:pt idx="1250">
                  <c:v>7.7096052800769224</c:v>
                </c:pt>
                <c:pt idx="1251">
                  <c:v>7.708127009143662</c:v>
                </c:pt>
                <c:pt idx="1252">
                  <c:v>7.7066490216600556</c:v>
                </c:pt>
                <c:pt idx="1253">
                  <c:v>7.7051713175717538</c:v>
                </c:pt>
                <c:pt idx="1254">
                  <c:v>7.7036938968244177</c:v>
                </c:pt>
                <c:pt idx="1255">
                  <c:v>7.7022167593637176</c:v>
                </c:pt>
                <c:pt idx="1256">
                  <c:v>7.7007399051353351</c:v>
                </c:pt>
                <c:pt idx="1257">
                  <c:v>7.6992633340849626</c:v>
                </c:pt>
                <c:pt idx="1258">
                  <c:v>7.697787046158302</c:v>
                </c:pt>
                <c:pt idx="1259">
                  <c:v>7.6963110413010662</c:v>
                </c:pt>
                <c:pt idx="1260">
                  <c:v>7.6948353194589778</c:v>
                </c:pt>
                <c:pt idx="1261">
                  <c:v>7.6933598805777708</c:v>
                </c:pt>
                <c:pt idx="1262">
                  <c:v>7.6918847246031889</c:v>
                </c:pt>
                <c:pt idx="1263">
                  <c:v>7.6904098514809869</c:v>
                </c:pt>
                <c:pt idx="1264">
                  <c:v>7.6889352611569288</c:v>
                </c:pt>
                <c:pt idx="1265">
                  <c:v>7.6874609535767906</c:v>
                </c:pt>
                <c:pt idx="1266">
                  <c:v>7.6859869286863569</c:v>
                </c:pt>
                <c:pt idx="1267">
                  <c:v>7.6845131864314249</c:v>
                </c:pt>
                <c:pt idx="1268">
                  <c:v>7.6830397267577997</c:v>
                </c:pt>
                <c:pt idx="1269">
                  <c:v>7.6815665496112988</c:v>
                </c:pt>
                <c:pt idx="1270">
                  <c:v>7.6800936549377488</c:v>
                </c:pt>
                <c:pt idx="1271">
                  <c:v>7.6786210426829875</c:v>
                </c:pt>
                <c:pt idx="1272">
                  <c:v>7.6771487127928628</c:v>
                </c:pt>
                <c:pt idx="1273">
                  <c:v>7.6756766652132322</c:v>
                </c:pt>
                <c:pt idx="1274">
                  <c:v>7.6742048998899657</c:v>
                </c:pt>
                <c:pt idx="1275">
                  <c:v>7.6727334167689412</c:v>
                </c:pt>
                <c:pt idx="1276">
                  <c:v>7.6712622157960482</c:v>
                </c:pt>
                <c:pt idx="1277">
                  <c:v>7.6697912969171869</c:v>
                </c:pt>
                <c:pt idx="1278">
                  <c:v>7.6683206600782672</c:v>
                </c:pt>
                <c:pt idx="1279">
                  <c:v>7.6668503052252097</c:v>
                </c:pt>
                <c:pt idx="1280">
                  <c:v>7.6653802323039457</c:v>
                </c:pt>
                <c:pt idx="1281">
                  <c:v>7.6639104412604162</c:v>
                </c:pt>
                <c:pt idx="1282">
                  <c:v>7.6624409320405729</c:v>
                </c:pt>
                <c:pt idx="1283">
                  <c:v>7.6609717045903771</c:v>
                </c:pt>
                <c:pt idx="1284">
                  <c:v>7.659502758855802</c:v>
                </c:pt>
                <c:pt idx="1285">
                  <c:v>7.6580340947828294</c:v>
                </c:pt>
                <c:pt idx="1286">
                  <c:v>7.6565657123174535</c:v>
                </c:pt>
                <c:pt idx="1287">
                  <c:v>7.6550976114056768</c:v>
                </c:pt>
                <c:pt idx="1288">
                  <c:v>7.653629791993513</c:v>
                </c:pt>
                <c:pt idx="1289">
                  <c:v>7.6521622540269867</c:v>
                </c:pt>
                <c:pt idx="1290">
                  <c:v>7.650694997452133</c:v>
                </c:pt>
                <c:pt idx="1291">
                  <c:v>7.649228022214996</c:v>
                </c:pt>
                <c:pt idx="1292">
                  <c:v>7.6477613282616304</c:v>
                </c:pt>
                <c:pt idx="1293">
                  <c:v>7.6462949155381024</c:v>
                </c:pt>
                <c:pt idx="1294">
                  <c:v>7.6448287839904872</c:v>
                </c:pt>
                <c:pt idx="1295">
                  <c:v>7.6433629335648714</c:v>
                </c:pt>
                <c:pt idx="1296">
                  <c:v>7.6418973642073516</c:v>
                </c:pt>
                <c:pt idx="1297">
                  <c:v>7.6404320758640347</c:v>
                </c:pt>
                <c:pt idx="1298">
                  <c:v>7.6389670684810378</c:v>
                </c:pt>
                <c:pt idx="1299">
                  <c:v>7.6375023420044883</c:v>
                </c:pt>
                <c:pt idx="1300">
                  <c:v>7.6360378963805244</c:v>
                </c:pt>
                <c:pt idx="1301">
                  <c:v>7.6345737315552942</c:v>
                </c:pt>
                <c:pt idx="1302">
                  <c:v>7.6331098474749561</c:v>
                </c:pt>
                <c:pt idx="1303">
                  <c:v>7.6316462440856796</c:v>
                </c:pt>
                <c:pt idx="1304">
                  <c:v>7.6301829213336427</c:v>
                </c:pt>
                <c:pt idx="1305">
                  <c:v>7.6287198791650352</c:v>
                </c:pt>
                <c:pt idx="1306">
                  <c:v>7.6272571175260575</c:v>
                </c:pt>
                <c:pt idx="1307">
                  <c:v>7.6257946363629188</c:v>
                </c:pt>
                <c:pt idx="1308">
                  <c:v>7.6243324356218407</c:v>
                </c:pt>
                <c:pt idx="1309">
                  <c:v>7.622870515249053</c:v>
                </c:pt>
                <c:pt idx="1310">
                  <c:v>7.6214088751907969</c:v>
                </c:pt>
                <c:pt idx="1311">
                  <c:v>7.6199475153933243</c:v>
                </c:pt>
                <c:pt idx="1312">
                  <c:v>7.6184864358028959</c:v>
                </c:pt>
                <c:pt idx="1313">
                  <c:v>7.617025636365784</c:v>
                </c:pt>
                <c:pt idx="1314">
                  <c:v>7.6155651170282717</c:v>
                </c:pt>
                <c:pt idx="1315">
                  <c:v>7.6141048777366507</c:v>
                </c:pt>
                <c:pt idx="1316">
                  <c:v>7.6126449184372245</c:v>
                </c:pt>
                <c:pt idx="1317">
                  <c:v>7.6111852390763053</c:v>
                </c:pt>
                <c:pt idx="1318">
                  <c:v>7.609725839600217</c:v>
                </c:pt>
                <c:pt idx="1319">
                  <c:v>7.608266719955294</c:v>
                </c:pt>
                <c:pt idx="1320">
                  <c:v>7.6068078800878798</c:v>
                </c:pt>
                <c:pt idx="1321">
                  <c:v>7.6053493199443283</c:v>
                </c:pt>
                <c:pt idx="1322">
                  <c:v>7.6038910394710051</c:v>
                </c:pt>
                <c:pt idx="1323">
                  <c:v>7.6024330386142847</c:v>
                </c:pt>
                <c:pt idx="1324">
                  <c:v>7.6009753173205521</c:v>
                </c:pt>
                <c:pt idx="1325">
                  <c:v>7.5995178755362023</c:v>
                </c:pt>
                <c:pt idx="1326">
                  <c:v>7.5980607132076416</c:v>
                </c:pt>
                <c:pt idx="1327">
                  <c:v>7.5966038302812864</c:v>
                </c:pt>
                <c:pt idx="1328">
                  <c:v>7.5951472267035625</c:v>
                </c:pt>
                <c:pt idx="1329">
                  <c:v>7.5936909024209065</c:v>
                </c:pt>
                <c:pt idx="1330">
                  <c:v>7.5922348573797649</c:v>
                </c:pt>
                <c:pt idx="1331">
                  <c:v>7.5907790915265956</c:v>
                </c:pt>
                <c:pt idx="1332">
                  <c:v>7.5893236048078654</c:v>
                </c:pt>
                <c:pt idx="1333">
                  <c:v>7.5878683971700518</c:v>
                </c:pt>
                <c:pt idx="1334">
                  <c:v>7.5864134685596429</c:v>
                </c:pt>
                <c:pt idx="1335">
                  <c:v>7.5849588189231367</c:v>
                </c:pt>
                <c:pt idx="1336">
                  <c:v>7.5835044482070417</c:v>
                </c:pt>
                <c:pt idx="1337">
                  <c:v>7.5820503563578772</c:v>
                </c:pt>
                <c:pt idx="1338">
                  <c:v>7.5805965433221711</c:v>
                </c:pt>
                <c:pt idx="1339">
                  <c:v>7.5791430090464633</c:v>
                </c:pt>
                <c:pt idx="1340">
                  <c:v>7.5776897534773031</c:v>
                </c:pt>
                <c:pt idx="1341">
                  <c:v>7.5762367765612497</c:v>
                </c:pt>
                <c:pt idx="1342">
                  <c:v>7.5747840782448739</c:v>
                </c:pt>
                <c:pt idx="1343">
                  <c:v>7.5733316584747552</c:v>
                </c:pt>
                <c:pt idx="1344">
                  <c:v>7.571879517197484</c:v>
                </c:pt>
                <c:pt idx="1345">
                  <c:v>7.5704276543596611</c:v>
                </c:pt>
                <c:pt idx="1346">
                  <c:v>7.5689760699078974</c:v>
                </c:pt>
                <c:pt idx="1347">
                  <c:v>7.5675247637888141</c:v>
                </c:pt>
                <c:pt idx="1348">
                  <c:v>7.5660737359490424</c:v>
                </c:pt>
                <c:pt idx="1349">
                  <c:v>7.5646229863352241</c:v>
                </c:pt>
                <c:pt idx="1350">
                  <c:v>7.5631725148940117</c:v>
                </c:pt>
                <c:pt idx="1351">
                  <c:v>7.5617223215720664</c:v>
                </c:pt>
                <c:pt idx="1352">
                  <c:v>7.5602724063160602</c:v>
                </c:pt>
                <c:pt idx="1353">
                  <c:v>7.5588227690726759</c:v>
                </c:pt>
                <c:pt idx="1354">
                  <c:v>7.5573734097886067</c:v>
                </c:pt>
                <c:pt idx="1355">
                  <c:v>7.5559243284105548</c:v>
                </c:pt>
                <c:pt idx="1356">
                  <c:v>7.554475524885234</c:v>
                </c:pt>
                <c:pt idx="1357">
                  <c:v>7.5530269991593677</c:v>
                </c:pt>
                <c:pt idx="1358">
                  <c:v>7.5515787511796892</c:v>
                </c:pt>
                <c:pt idx="1359">
                  <c:v>7.5501307808929425</c:v>
                </c:pt>
                <c:pt idx="1360">
                  <c:v>7.5486830882458813</c:v>
                </c:pt>
                <c:pt idx="1361">
                  <c:v>7.5472356731852699</c:v>
                </c:pt>
                <c:pt idx="1362">
                  <c:v>7.5457885356578833</c:v>
                </c:pt>
                <c:pt idx="1363">
                  <c:v>7.5443416756105055</c:v>
                </c:pt>
                <c:pt idx="1364">
                  <c:v>7.5428950929899319</c:v>
                </c:pt>
                <c:pt idx="1365">
                  <c:v>7.5414487877429668</c:v>
                </c:pt>
                <c:pt idx="1366">
                  <c:v>7.5400027598164261</c:v>
                </c:pt>
                <c:pt idx="1367">
                  <c:v>7.5385570091571354</c:v>
                </c:pt>
                <c:pt idx="1368">
                  <c:v>7.5371115357119303</c:v>
                </c:pt>
                <c:pt idx="1369">
                  <c:v>7.5356663394276566</c:v>
                </c:pt>
                <c:pt idx="1370">
                  <c:v>7.5342214202511695</c:v>
                </c:pt>
                <c:pt idx="1371">
                  <c:v>7.5327767781293362</c:v>
                </c:pt>
                <c:pt idx="1372">
                  <c:v>7.5313324130090331</c:v>
                </c:pt>
                <c:pt idx="1373">
                  <c:v>7.5298883248371462</c:v>
                </c:pt>
                <c:pt idx="1374">
                  <c:v>7.5284445135605731</c:v>
                </c:pt>
                <c:pt idx="1375">
                  <c:v>7.5270009791262202</c:v>
                </c:pt>
                <c:pt idx="1376">
                  <c:v>7.5255577214810048</c:v>
                </c:pt>
                <c:pt idx="1377">
                  <c:v>7.5241147405718536</c:v>
                </c:pt>
                <c:pt idx="1378">
                  <c:v>7.5226720363457051</c:v>
                </c:pt>
                <c:pt idx="1379">
                  <c:v>7.5212296087495067</c:v>
                </c:pt>
                <c:pt idx="1380">
                  <c:v>7.5197874577302155</c:v>
                </c:pt>
                <c:pt idx="1381">
                  <c:v>7.5183455832348001</c:v>
                </c:pt>
                <c:pt idx="1382">
                  <c:v>7.5169039852102388</c:v>
                </c:pt>
                <c:pt idx="1383">
                  <c:v>7.51546266360352</c:v>
                </c:pt>
                <c:pt idx="1384">
                  <c:v>7.5140216183616424</c:v>
                </c:pt>
                <c:pt idx="1385">
                  <c:v>7.5125808494316137</c:v>
                </c:pt>
                <c:pt idx="1386">
                  <c:v>7.5111403567604542</c:v>
                </c:pt>
                <c:pt idx="1387">
                  <c:v>7.509700140295192</c:v>
                </c:pt>
                <c:pt idx="1388">
                  <c:v>7.5082601999828666</c:v>
                </c:pt>
                <c:pt idx="1389">
                  <c:v>7.5068205357705269</c:v>
                </c:pt>
                <c:pt idx="1390">
                  <c:v>7.5053811476052328</c:v>
                </c:pt>
                <c:pt idx="1391">
                  <c:v>7.5039420354340534</c:v>
                </c:pt>
                <c:pt idx="1392">
                  <c:v>7.5025031992040692</c:v>
                </c:pt>
                <c:pt idx="1393">
                  <c:v>7.5010646388623696</c:v>
                </c:pt>
                <c:pt idx="1394">
                  <c:v>7.4996263543560548</c:v>
                </c:pt>
                <c:pt idx="1395">
                  <c:v>7.4981883456322347</c:v>
                </c:pt>
                <c:pt idx="1396">
                  <c:v>7.4967506126380297</c:v>
                </c:pt>
                <c:pt idx="1397">
                  <c:v>7.495313155320571</c:v>
                </c:pt>
                <c:pt idx="1398">
                  <c:v>7.4938759736269986</c:v>
                </c:pt>
                <c:pt idx="1399">
                  <c:v>7.4924390675044634</c:v>
                </c:pt>
                <c:pt idx="1400">
                  <c:v>7.4910024369001258</c:v>
                </c:pt>
                <c:pt idx="1401">
                  <c:v>7.4895660817611578</c:v>
                </c:pt>
                <c:pt idx="1402">
                  <c:v>7.4881300020347403</c:v>
                </c:pt>
                <c:pt idx="1403">
                  <c:v>7.4866941976680641</c:v>
                </c:pt>
                <c:pt idx="1404">
                  <c:v>7.4852586686083304</c:v>
                </c:pt>
                <c:pt idx="1405">
                  <c:v>7.4838234148027514</c:v>
                </c:pt>
                <c:pt idx="1406">
                  <c:v>7.4823884361985487</c:v>
                </c:pt>
                <c:pt idx="1407">
                  <c:v>7.4809537327429538</c:v>
                </c:pt>
                <c:pt idx="1408">
                  <c:v>7.4795193043832091</c:v>
                </c:pt>
                <c:pt idx="1409">
                  <c:v>7.4780851510665656</c:v>
                </c:pt>
                <c:pt idx="1410">
                  <c:v>7.4766512727402867</c:v>
                </c:pt>
                <c:pt idx="1411">
                  <c:v>7.4752176693516441</c:v>
                </c:pt>
                <c:pt idx="1412">
                  <c:v>7.4737843408479199</c:v>
                </c:pt>
                <c:pt idx="1413">
                  <c:v>7.472351287176406</c:v>
                </c:pt>
                <c:pt idx="1414">
                  <c:v>7.4709185082844058</c:v>
                </c:pt>
                <c:pt idx="1415">
                  <c:v>7.4694860041192319</c:v>
                </c:pt>
                <c:pt idx="1416">
                  <c:v>7.4680537746282072</c:v>
                </c:pt>
                <c:pt idx="1417">
                  <c:v>7.4666218197586645</c:v>
                </c:pt>
                <c:pt idx="1418">
                  <c:v>7.4651901394579463</c:v>
                </c:pt>
                <c:pt idx="1419">
                  <c:v>7.4637587336734059</c:v>
                </c:pt>
                <c:pt idx="1420">
                  <c:v>7.4623276023524063</c:v>
                </c:pt>
                <c:pt idx="1421">
                  <c:v>7.4608967454423212</c:v>
                </c:pt>
                <c:pt idx="1422">
                  <c:v>7.4594661628905339</c:v>
                </c:pt>
                <c:pt idx="1423">
                  <c:v>7.4580358546444376</c:v>
                </c:pt>
                <c:pt idx="1424">
                  <c:v>7.4566058206514354</c:v>
                </c:pt>
                <c:pt idx="1425">
                  <c:v>7.4551760608589417</c:v>
                </c:pt>
                <c:pt idx="1426">
                  <c:v>7.4537465752143799</c:v>
                </c:pt>
                <c:pt idx="1427">
                  <c:v>7.4523173636651832</c:v>
                </c:pt>
                <c:pt idx="1428">
                  <c:v>7.4508884261587962</c:v>
                </c:pt>
                <c:pt idx="1429">
                  <c:v>7.4494597626426726</c:v>
                </c:pt>
                <c:pt idx="1430">
                  <c:v>7.4480313730642767</c:v>
                </c:pt>
                <c:pt idx="1431">
                  <c:v>7.4466032573710823</c:v>
                </c:pt>
                <c:pt idx="1432">
                  <c:v>7.4451754155105734</c:v>
                </c:pt>
                <c:pt idx="1433">
                  <c:v>7.4437478474302443</c:v>
                </c:pt>
                <c:pt idx="1434">
                  <c:v>7.4423205530775993</c:v>
                </c:pt>
                <c:pt idx="1435">
                  <c:v>7.4408935324001524</c:v>
                </c:pt>
                <c:pt idx="1436">
                  <c:v>7.4394667853454282</c:v>
                </c:pt>
                <c:pt idx="1437">
                  <c:v>7.438040311860961</c:v>
                </c:pt>
                <c:pt idx="1438">
                  <c:v>7.4366141118942961</c:v>
                </c:pt>
                <c:pt idx="1439">
                  <c:v>7.4351881853929873</c:v>
                </c:pt>
                <c:pt idx="1440">
                  <c:v>7.4337625323046002</c:v>
                </c:pt>
                <c:pt idx="1441">
                  <c:v>7.4323371525767081</c:v>
                </c:pt>
                <c:pt idx="1442">
                  <c:v>7.4309120461568972</c:v>
                </c:pt>
                <c:pt idx="1443">
                  <c:v>7.4294872129927612</c:v>
                </c:pt>
                <c:pt idx="1444">
                  <c:v>7.4280626530319056</c:v>
                </c:pt>
                <c:pt idx="1445">
                  <c:v>7.4266383662219448</c:v>
                </c:pt>
                <c:pt idx="1446">
                  <c:v>7.4252143525105039</c:v>
                </c:pt>
                <c:pt idx="1447">
                  <c:v>7.4237906118452184</c:v>
                </c:pt>
                <c:pt idx="1448">
                  <c:v>7.4223671441737329</c:v>
                </c:pt>
                <c:pt idx="1449">
                  <c:v>7.4209439494437026</c:v>
                </c:pt>
                <c:pt idx="1450">
                  <c:v>7.4195210276027925</c:v>
                </c:pt>
                <c:pt idx="1451">
                  <c:v>7.4180983785986774</c:v>
                </c:pt>
                <c:pt idx="1452">
                  <c:v>7.4166760023790426</c:v>
                </c:pt>
                <c:pt idx="1453">
                  <c:v>7.4152538988915833</c:v>
                </c:pt>
                <c:pt idx="1454">
                  <c:v>7.4138320680840053</c:v>
                </c:pt>
                <c:pt idx="1455">
                  <c:v>7.4124105099040234</c:v>
                </c:pt>
                <c:pt idx="1456">
                  <c:v>7.4109892242993629</c:v>
                </c:pt>
                <c:pt idx="1457">
                  <c:v>7.409568211217759</c:v>
                </c:pt>
                <c:pt idx="1458">
                  <c:v>7.4081474706069574</c:v>
                </c:pt>
                <c:pt idx="1459">
                  <c:v>7.4067270024147129</c:v>
                </c:pt>
                <c:pt idx="1460">
                  <c:v>7.4053068065887917</c:v>
                </c:pt>
                <c:pt idx="1461">
                  <c:v>7.4038868830769689</c:v>
                </c:pt>
                <c:pt idx="1462">
                  <c:v>7.4024672318270293</c:v>
                </c:pt>
                <c:pt idx="1463">
                  <c:v>7.4010478527867685</c:v>
                </c:pt>
                <c:pt idx="1464">
                  <c:v>7.3996287459039918</c:v>
                </c:pt>
                <c:pt idx="1465">
                  <c:v>7.3982099111265152</c:v>
                </c:pt>
                <c:pt idx="1466">
                  <c:v>7.3967913484021635</c:v>
                </c:pt>
                <c:pt idx="1467">
                  <c:v>7.3953730576787731</c:v>
                </c:pt>
                <c:pt idx="1468">
                  <c:v>7.3939550389041884</c:v>
                </c:pt>
                <c:pt idx="1469">
                  <c:v>7.3925372920262653</c:v>
                </c:pt>
                <c:pt idx="1470">
                  <c:v>7.3911198169928696</c:v>
                </c:pt>
                <c:pt idx="1471">
                  <c:v>7.3897026137518758</c:v>
                </c:pt>
                <c:pt idx="1472">
                  <c:v>7.38828568225117</c:v>
                </c:pt>
                <c:pt idx="1473">
                  <c:v>7.3868690224386473</c:v>
                </c:pt>
                <c:pt idx="1474">
                  <c:v>7.3854526342622133</c:v>
                </c:pt>
                <c:pt idx="1475">
                  <c:v>7.3840365176697835</c:v>
                </c:pt>
                <c:pt idx="1476">
                  <c:v>7.3826206726092831</c:v>
                </c:pt>
                <c:pt idx="1477">
                  <c:v>7.3812050990286471</c:v>
                </c:pt>
                <c:pt idx="1478">
                  <c:v>7.379789796875821</c:v>
                </c:pt>
                <c:pt idx="1479">
                  <c:v>7.3783747660987604</c:v>
                </c:pt>
                <c:pt idx="1480">
                  <c:v>7.3769600066454313</c:v>
                </c:pt>
                <c:pt idx="1481">
                  <c:v>7.3755455184638077</c:v>
                </c:pt>
                <c:pt idx="1482">
                  <c:v>7.3741313015018752</c:v>
                </c:pt>
                <c:pt idx="1483">
                  <c:v>7.3727173557076293</c:v>
                </c:pt>
                <c:pt idx="1484">
                  <c:v>7.371303681029076</c:v>
                </c:pt>
                <c:pt idx="1485">
                  <c:v>7.3698902774142292</c:v>
                </c:pt>
                <c:pt idx="1486">
                  <c:v>7.3684771448111146</c:v>
                </c:pt>
                <c:pt idx="1487">
                  <c:v>7.3670642831677675</c:v>
                </c:pt>
                <c:pt idx="1488">
                  <c:v>7.3656516924322322</c:v>
                </c:pt>
                <c:pt idx="1489">
                  <c:v>7.3642393725525643</c:v>
                </c:pt>
                <c:pt idx="1490">
                  <c:v>7.3628273234768287</c:v>
                </c:pt>
                <c:pt idx="1491">
                  <c:v>7.3614155451531005</c:v>
                </c:pt>
                <c:pt idx="1492">
                  <c:v>7.3600040375294649</c:v>
                </c:pt>
                <c:pt idx="1493">
                  <c:v>7.3585928005540158</c:v>
                </c:pt>
                <c:pt idx="1494">
                  <c:v>7.3571818341748587</c:v>
                </c:pt>
                <c:pt idx="1495">
                  <c:v>7.3557711383401081</c:v>
                </c:pt>
                <c:pt idx="1496">
                  <c:v>7.354360712997889</c:v>
                </c:pt>
                <c:pt idx="1497">
                  <c:v>7.3529505580963361</c:v>
                </c:pt>
                <c:pt idx="1498">
                  <c:v>7.3515406735835942</c:v>
                </c:pt>
                <c:pt idx="1499">
                  <c:v>7.3501310594078175</c:v>
                </c:pt>
                <c:pt idx="1500">
                  <c:v>7.3487217155171702</c:v>
                </c:pt>
                <c:pt idx="1501">
                  <c:v>7.3473126418598271</c:v>
                </c:pt>
                <c:pt idx="1502">
                  <c:v>7.3459038383839728</c:v>
                </c:pt>
                <c:pt idx="1503">
                  <c:v>7.3444953050378006</c:v>
                </c:pt>
                <c:pt idx="1504">
                  <c:v>7.3430870417695155</c:v>
                </c:pt>
                <c:pt idx="1505">
                  <c:v>7.3416790485273316</c:v>
                </c:pt>
                <c:pt idx="1506">
                  <c:v>7.3402713252594731</c:v>
                </c:pt>
                <c:pt idx="1507">
                  <c:v>7.3388638719141746</c:v>
                </c:pt>
                <c:pt idx="1508">
                  <c:v>7.337456688439679</c:v>
                </c:pt>
                <c:pt idx="1509">
                  <c:v>7.3360497747842404</c:v>
                </c:pt>
                <c:pt idx="1510">
                  <c:v>7.3346431308961231</c:v>
                </c:pt>
                <c:pt idx="1511">
                  <c:v>7.3332367567236005</c:v>
                </c:pt>
                <c:pt idx="1512">
                  <c:v>7.3318306522149559</c:v>
                </c:pt>
                <c:pt idx="1513">
                  <c:v>7.3304248173184838</c:v>
                </c:pt>
                <c:pt idx="1514">
                  <c:v>7.329019251982487</c:v>
                </c:pt>
                <c:pt idx="1515">
                  <c:v>7.3276139561552789</c:v>
                </c:pt>
                <c:pt idx="1516">
                  <c:v>7.3262089297851825</c:v>
                </c:pt>
                <c:pt idx="1517">
                  <c:v>7.3248041728205315</c:v>
                </c:pt>
                <c:pt idx="1518">
                  <c:v>7.3233996852096688</c:v>
                </c:pt>
                <c:pt idx="1519">
                  <c:v>7.3219954669009475</c:v>
                </c:pt>
                <c:pt idx="1520">
                  <c:v>7.3205915178427308</c:v>
                </c:pt>
                <c:pt idx="1521">
                  <c:v>7.3191878379833915</c:v>
                </c:pt>
                <c:pt idx="1522">
                  <c:v>7.3177844272713122</c:v>
                </c:pt>
                <c:pt idx="1523">
                  <c:v>7.3163812856548853</c:v>
                </c:pt>
                <c:pt idx="1524">
                  <c:v>7.3149784130825131</c:v>
                </c:pt>
                <c:pt idx="1525">
                  <c:v>7.3135758095026082</c:v>
                </c:pt>
                <c:pt idx="1526">
                  <c:v>7.3121734748635934</c:v>
                </c:pt>
                <c:pt idx="1527">
                  <c:v>7.3107714091139</c:v>
                </c:pt>
                <c:pt idx="1528">
                  <c:v>7.3093696122019702</c:v>
                </c:pt>
                <c:pt idx="1529">
                  <c:v>7.3079680840762569</c:v>
                </c:pt>
                <c:pt idx="1530">
                  <c:v>7.3065668246852207</c:v>
                </c:pt>
                <c:pt idx="1531">
                  <c:v>7.305165833977334</c:v>
                </c:pt>
                <c:pt idx="1532">
                  <c:v>7.3037651119010789</c:v>
                </c:pt>
                <c:pt idx="1533">
                  <c:v>7.3023646584049464</c:v>
                </c:pt>
                <c:pt idx="1534">
                  <c:v>7.3009644734374373</c:v>
                </c:pt>
                <c:pt idx="1535">
                  <c:v>7.2995645569470637</c:v>
                </c:pt>
                <c:pt idx="1536">
                  <c:v>7.2981649088823461</c:v>
                </c:pt>
                <c:pt idx="1537">
                  <c:v>7.2967655291918163</c:v>
                </c:pt>
                <c:pt idx="1538">
                  <c:v>7.2953664178240141</c:v>
                </c:pt>
                <c:pt idx="1539">
                  <c:v>7.2939675747274908</c:v>
                </c:pt>
                <c:pt idx="1540">
                  <c:v>7.2925689998508068</c:v>
                </c:pt>
                <c:pt idx="1541">
                  <c:v>7.2911706931425329</c:v>
                </c:pt>
                <c:pt idx="1542">
                  <c:v>7.2897726545512489</c:v>
                </c:pt>
                <c:pt idx="1543">
                  <c:v>7.2883748840255453</c:v>
                </c:pt>
                <c:pt idx="1544">
                  <c:v>7.2869773815140215</c:v>
                </c:pt>
                <c:pt idx="1545">
                  <c:v>7.2855801469652883</c:v>
                </c:pt>
                <c:pt idx="1546">
                  <c:v>7.2841831803279646</c:v>
                </c:pt>
                <c:pt idx="1547">
                  <c:v>7.2827864815506809</c:v>
                </c:pt>
                <c:pt idx="1548">
                  <c:v>7.2813900505820754</c:v>
                </c:pt>
                <c:pt idx="1549">
                  <c:v>7.2799938873707983</c:v>
                </c:pt>
                <c:pt idx="1550">
                  <c:v>7.2785979918655084</c:v>
                </c:pt>
                <c:pt idx="1551">
                  <c:v>7.2772023640148751</c:v>
                </c:pt>
                <c:pt idx="1552">
                  <c:v>7.2758070037675768</c:v>
                </c:pt>
                <c:pt idx="1553">
                  <c:v>7.2744119110723027</c:v>
                </c:pt>
                <c:pt idx="1554">
                  <c:v>7.2730170858777505</c:v>
                </c:pt>
                <c:pt idx="1555">
                  <c:v>7.271622528132629</c:v>
                </c:pt>
                <c:pt idx="1556">
                  <c:v>7.2702282377856564</c:v>
                </c:pt>
                <c:pt idx="1557">
                  <c:v>7.26883421478556</c:v>
                </c:pt>
                <c:pt idx="1558">
                  <c:v>7.2674404590810786</c:v>
                </c:pt>
                <c:pt idx="1559">
                  <c:v>7.2660469706209589</c:v>
                </c:pt>
                <c:pt idx="1560">
                  <c:v>7.2646537493539594</c:v>
                </c:pt>
                <c:pt idx="1561">
                  <c:v>7.263260795228847</c:v>
                </c:pt>
                <c:pt idx="1562">
                  <c:v>7.261868108194399</c:v>
                </c:pt>
                <c:pt idx="1563">
                  <c:v>7.2604756881994019</c:v>
                </c:pt>
                <c:pt idx="1564">
                  <c:v>7.2590835351926524</c:v>
                </c:pt>
                <c:pt idx="1565">
                  <c:v>7.2576916491229575</c:v>
                </c:pt>
                <c:pt idx="1566">
                  <c:v>7.2563000299391334</c:v>
                </c:pt>
                <c:pt idx="1567">
                  <c:v>7.2549086775900067</c:v>
                </c:pt>
                <c:pt idx="1568">
                  <c:v>7.253517592024413</c:v>
                </c:pt>
                <c:pt idx="1569">
                  <c:v>7.2521267731911978</c:v>
                </c:pt>
                <c:pt idx="1570">
                  <c:v>7.250736221039217</c:v>
                </c:pt>
                <c:pt idx="1571">
                  <c:v>7.2493459355173364</c:v>
                </c:pt>
                <c:pt idx="1572">
                  <c:v>7.2479559165744316</c:v>
                </c:pt>
                <c:pt idx="1573">
                  <c:v>7.246566164159387</c:v>
                </c:pt>
                <c:pt idx="1574">
                  <c:v>7.2451766782210978</c:v>
                </c:pt>
                <c:pt idx="1575">
                  <c:v>7.2437874587084687</c:v>
                </c:pt>
                <c:pt idx="1576">
                  <c:v>7.2423985055704136</c:v>
                </c:pt>
                <c:pt idx="1577">
                  <c:v>7.2410098187558578</c:v>
                </c:pt>
                <c:pt idx="1578">
                  <c:v>7.2396213982137345</c:v>
                </c:pt>
                <c:pt idx="1579">
                  <c:v>7.2382332438929877</c:v>
                </c:pt>
                <c:pt idx="1580">
                  <c:v>7.2368453557425712</c:v>
                </c:pt>
                <c:pt idx="1581">
                  <c:v>7.2354577337114483</c:v>
                </c:pt>
                <c:pt idx="1582">
                  <c:v>7.2340703777485924</c:v>
                </c:pt>
                <c:pt idx="1583">
                  <c:v>7.2326832878029865</c:v>
                </c:pt>
                <c:pt idx="1584">
                  <c:v>7.2312964638236226</c:v>
                </c:pt>
                <c:pt idx="1585">
                  <c:v>7.229909905759504</c:v>
                </c:pt>
                <c:pt idx="1586">
                  <c:v>7.2285236135596431</c:v>
                </c:pt>
                <c:pt idx="1587">
                  <c:v>7.2271375871730621</c:v>
                </c:pt>
                <c:pt idx="1588">
                  <c:v>7.2257518265487919</c:v>
                </c:pt>
                <c:pt idx="1589">
                  <c:v>7.224366331635875</c:v>
                </c:pt>
                <c:pt idx="1590">
                  <c:v>7.222981102383363</c:v>
                </c:pt>
                <c:pt idx="1591">
                  <c:v>7.2215961387403169</c:v>
                </c:pt>
                <c:pt idx="1592">
                  <c:v>7.2202114406558078</c:v>
                </c:pt>
                <c:pt idx="1593">
                  <c:v>7.2188270080789154</c:v>
                </c:pt>
                <c:pt idx="1594">
                  <c:v>7.2174428409587312</c:v>
                </c:pt>
                <c:pt idx="1595">
                  <c:v>7.2160589392443555</c:v>
                </c:pt>
                <c:pt idx="1596">
                  <c:v>7.2146753028848982</c:v>
                </c:pt>
                <c:pt idx="1597">
                  <c:v>7.2132919318294784</c:v>
                </c:pt>
                <c:pt idx="1598">
                  <c:v>7.2119088260272264</c:v>
                </c:pt>
                <c:pt idx="1599">
                  <c:v>7.2105259854272816</c:v>
                </c:pt>
                <c:pt idx="1600">
                  <c:v>7.2091434099787923</c:v>
                </c:pt>
                <c:pt idx="1601">
                  <c:v>7.2077610996309174</c:v>
                </c:pt>
                <c:pt idx="1602">
                  <c:v>7.2063790543328263</c:v>
                </c:pt>
                <c:pt idx="1603">
                  <c:v>7.2049972740336967</c:v>
                </c:pt>
                <c:pt idx="1604">
                  <c:v>7.2036157586827159</c:v>
                </c:pt>
                <c:pt idx="1605">
                  <c:v>7.2022345082290826</c:v>
                </c:pt>
                <c:pt idx="1606">
                  <c:v>7.2008535226220038</c:v>
                </c:pt>
                <c:pt idx="1607">
                  <c:v>7.199472801810697</c:v>
                </c:pt>
                <c:pt idx="1608">
                  <c:v>7.1980923457443895</c:v>
                </c:pt>
                <c:pt idx="1609">
                  <c:v>7.1967121543723183</c:v>
                </c:pt>
                <c:pt idx="1610">
                  <c:v>7.1953322276437284</c:v>
                </c:pt>
                <c:pt idx="1611">
                  <c:v>7.1939525655078773</c:v>
                </c:pt>
                <c:pt idx="1612">
                  <c:v>7.1925731679140306</c:v>
                </c:pt>
                <c:pt idx="1613">
                  <c:v>7.1911940348114634</c:v>
                </c:pt>
                <c:pt idx="1614">
                  <c:v>7.1898151661494616</c:v>
                </c:pt>
                <c:pt idx="1615">
                  <c:v>7.1884365618773201</c:v>
                </c:pt>
                <c:pt idx="1616">
                  <c:v>7.1870582219443442</c:v>
                </c:pt>
                <c:pt idx="1617">
                  <c:v>7.1856801462998483</c:v>
                </c:pt>
                <c:pt idx="1618">
                  <c:v>7.1843023348931565</c:v>
                </c:pt>
                <c:pt idx="1619">
                  <c:v>7.1829247876736027</c:v>
                </c:pt>
                <c:pt idx="1620">
                  <c:v>7.1815475045905304</c:v>
                </c:pt>
                <c:pt idx="1621">
                  <c:v>7.1801704855932931</c:v>
                </c:pt>
                <c:pt idx="1622">
                  <c:v>7.1787937306312539</c:v>
                </c:pt>
                <c:pt idx="1623">
                  <c:v>7.1774172396537859</c:v>
                </c:pt>
                <c:pt idx="1624">
                  <c:v>7.1760410126102716</c:v>
                </c:pt>
                <c:pt idx="1625">
                  <c:v>7.1746650494501027</c:v>
                </c:pt>
                <c:pt idx="1626">
                  <c:v>7.1732893501226815</c:v>
                </c:pt>
                <c:pt idx="1627">
                  <c:v>7.17191391457742</c:v>
                </c:pt>
                <c:pt idx="1628">
                  <c:v>7.170538742763739</c:v>
                </c:pt>
                <c:pt idx="1629">
                  <c:v>7.1691638346310702</c:v>
                </c:pt>
                <c:pt idx="1630">
                  <c:v>7.1677891901288531</c:v>
                </c:pt>
                <c:pt idx="1631">
                  <c:v>7.1664148092065396</c:v>
                </c:pt>
                <c:pt idx="1632">
                  <c:v>7.1650406918135889</c:v>
                </c:pt>
                <c:pt idx="1633">
                  <c:v>7.1636668378994708</c:v>
                </c:pt>
                <c:pt idx="1634">
                  <c:v>7.1622932474136656</c:v>
                </c:pt>
                <c:pt idx="1635">
                  <c:v>7.1609199203056617</c:v>
                </c:pt>
                <c:pt idx="1636">
                  <c:v>7.1595468565249583</c:v>
                </c:pt>
                <c:pt idx="1637">
                  <c:v>7.1581740560210632</c:v>
                </c:pt>
                <c:pt idx="1638">
                  <c:v>7.1568015187434959</c:v>
                </c:pt>
                <c:pt idx="1639">
                  <c:v>7.155429244641784</c:v>
                </c:pt>
                <c:pt idx="1640">
                  <c:v>7.1540572336654646</c:v>
                </c:pt>
                <c:pt idx="1641">
                  <c:v>7.1526854857640849</c:v>
                </c:pt>
                <c:pt idx="1642">
                  <c:v>7.1513140008872025</c:v>
                </c:pt>
                <c:pt idx="1643">
                  <c:v>7.149942778984383</c:v>
                </c:pt>
                <c:pt idx="1644">
                  <c:v>7.1485718200052037</c:v>
                </c:pt>
                <c:pt idx="1645">
                  <c:v>7.1472011238992499</c:v>
                </c:pt>
                <c:pt idx="1646">
                  <c:v>7.1458306906161182</c:v>
                </c:pt>
                <c:pt idx="1647">
                  <c:v>7.1444605201054125</c:v>
                </c:pt>
                <c:pt idx="1648">
                  <c:v>7.1430906123167492</c:v>
                </c:pt>
                <c:pt idx="1649">
                  <c:v>7.1417209671997517</c:v>
                </c:pt>
                <c:pt idx="1650">
                  <c:v>7.1403515847040548</c:v>
                </c:pt>
                <c:pt idx="1651">
                  <c:v>7.1389824647793025</c:v>
                </c:pt>
                <c:pt idx="1652">
                  <c:v>7.1376136073751484</c:v>
                </c:pt>
                <c:pt idx="1653">
                  <c:v>7.1362450124412549</c:v>
                </c:pt>
                <c:pt idx="1654">
                  <c:v>7.134876679927296</c:v>
                </c:pt>
                <c:pt idx="1655">
                  <c:v>7.1335086097829539</c:v>
                </c:pt>
                <c:pt idx="1656">
                  <c:v>7.1321408019579202</c:v>
                </c:pt>
                <c:pt idx="1657">
                  <c:v>7.1307732564018975</c:v>
                </c:pt>
                <c:pt idx="1658">
                  <c:v>7.1294059730645971</c:v>
                </c:pt>
                <c:pt idx="1659">
                  <c:v>7.1280389518957401</c:v>
                </c:pt>
                <c:pt idx="1660">
                  <c:v>7.1266721928450574</c:v>
                </c:pt>
                <c:pt idx="1661">
                  <c:v>7.1253056958622887</c:v>
                </c:pt>
                <c:pt idx="1662">
                  <c:v>7.1239394608971844</c:v>
                </c:pt>
                <c:pt idx="1663">
                  <c:v>7.1225734878995048</c:v>
                </c:pt>
                <c:pt idx="1664">
                  <c:v>7.121207776819019</c:v>
                </c:pt>
                <c:pt idx="1665">
                  <c:v>7.1198423276055056</c:v>
                </c:pt>
                <c:pt idx="1666">
                  <c:v>7.1184771402087534</c:v>
                </c:pt>
                <c:pt idx="1667">
                  <c:v>7.1171122145785599</c:v>
                </c:pt>
                <c:pt idx="1668">
                  <c:v>7.1157475506647332</c:v>
                </c:pt>
                <c:pt idx="1669">
                  <c:v>7.1143831484170912</c:v>
                </c:pt>
                <c:pt idx="1670">
                  <c:v>7.1130190077854607</c:v>
                </c:pt>
                <c:pt idx="1671">
                  <c:v>7.1116551287196783</c:v>
                </c:pt>
                <c:pt idx="1672">
                  <c:v>7.1102915111695904</c:v>
                </c:pt>
                <c:pt idx="1673">
                  <c:v>7.1089281550850529</c:v>
                </c:pt>
                <c:pt idx="1674">
                  <c:v>7.1075650604159319</c:v>
                </c:pt>
                <c:pt idx="1675">
                  <c:v>7.1062022271121021</c:v>
                </c:pt>
                <c:pt idx="1676">
                  <c:v>7.1048396551234481</c:v>
                </c:pt>
                <c:pt idx="1677">
                  <c:v>7.103477344399864</c:v>
                </c:pt>
                <c:pt idx="1678">
                  <c:v>7.102115294891254</c:v>
                </c:pt>
                <c:pt idx="1679">
                  <c:v>7.100753506547532</c:v>
                </c:pt>
                <c:pt idx="1680">
                  <c:v>7.0993919793186215</c:v>
                </c:pt>
                <c:pt idx="1681">
                  <c:v>7.0980307131544551</c:v>
                </c:pt>
                <c:pt idx="1682">
                  <c:v>7.0966697080049741</c:v>
                </c:pt>
                <c:pt idx="1683">
                  <c:v>7.0953089638201314</c:v>
                </c:pt>
                <c:pt idx="1684">
                  <c:v>7.0939484805498889</c:v>
                </c:pt>
                <c:pt idx="1685">
                  <c:v>7.0925882581442172</c:v>
                </c:pt>
                <c:pt idx="1686">
                  <c:v>7.0912282965530968</c:v>
                </c:pt>
                <c:pt idx="1687">
                  <c:v>7.0898685957265188</c:v>
                </c:pt>
                <c:pt idx="1688">
                  <c:v>7.0885091556144832</c:v>
                </c:pt>
                <c:pt idx="1689">
                  <c:v>7.0871499761669989</c:v>
                </c:pt>
                <c:pt idx="1690">
                  <c:v>7.0857910573340854</c:v>
                </c:pt>
                <c:pt idx="1691">
                  <c:v>7.0844323990657712</c:v>
                </c:pt>
                <c:pt idx="1692">
                  <c:v>7.0830740013120943</c:v>
                </c:pt>
                <c:pt idx="1693">
                  <c:v>7.0817158640231037</c:v>
                </c:pt>
                <c:pt idx="1694">
                  <c:v>7.0803579871488553</c:v>
                </c:pt>
                <c:pt idx="1695">
                  <c:v>7.0790003706394176</c:v>
                </c:pt>
                <c:pt idx="1696">
                  <c:v>7.0776430144448659</c:v>
                </c:pt>
                <c:pt idx="1697">
                  <c:v>7.0762859185152873</c:v>
                </c:pt>
                <c:pt idx="1698">
                  <c:v>7.0749290828007769</c:v>
                </c:pt>
                <c:pt idx="1699">
                  <c:v>7.0735725072514404</c:v>
                </c:pt>
                <c:pt idx="1700">
                  <c:v>7.0722161918173931</c:v>
                </c:pt>
                <c:pt idx="1701">
                  <c:v>7.0708601364487587</c:v>
                </c:pt>
                <c:pt idx="1702">
                  <c:v>7.0695043410956719</c:v>
                </c:pt>
                <c:pt idx="1703">
                  <c:v>7.068148805708276</c:v>
                </c:pt>
                <c:pt idx="1704">
                  <c:v>7.0667935302367235</c:v>
                </c:pt>
                <c:pt idx="1705">
                  <c:v>7.065438514631178</c:v>
                </c:pt>
                <c:pt idx="1706">
                  <c:v>7.0640837588418108</c:v>
                </c:pt>
                <c:pt idx="1707">
                  <c:v>7.0627292628188041</c:v>
                </c:pt>
                <c:pt idx="1708">
                  <c:v>7.0613750265123496</c:v>
                </c:pt>
                <c:pt idx="1709">
                  <c:v>7.0600210498726481</c:v>
                </c:pt>
                <c:pt idx="1710">
                  <c:v>7.0586673328499092</c:v>
                </c:pt>
                <c:pt idx="1711">
                  <c:v>7.0573138753943541</c:v>
                </c:pt>
                <c:pt idx="1712">
                  <c:v>7.0559606774562118</c:v>
                </c:pt>
                <c:pt idx="1713">
                  <c:v>7.0546077389857214</c:v>
                </c:pt>
                <c:pt idx="1714">
                  <c:v>7.0532550599331314</c:v>
                </c:pt>
                <c:pt idx="1715">
                  <c:v>7.0519026402486995</c:v>
                </c:pt>
                <c:pt idx="1716">
                  <c:v>7.0505504798826948</c:v>
                </c:pt>
                <c:pt idx="1717">
                  <c:v>7.0491985787853935</c:v>
                </c:pt>
                <c:pt idx="1718">
                  <c:v>7.0478469369070824</c:v>
                </c:pt>
                <c:pt idx="1719">
                  <c:v>7.0464955541980583</c:v>
                </c:pt>
                <c:pt idx="1720">
                  <c:v>7.0451444306086266</c:v>
                </c:pt>
                <c:pt idx="1721">
                  <c:v>7.0437935660891027</c:v>
                </c:pt>
                <c:pt idx="1722">
                  <c:v>7.0424429605898116</c:v>
                </c:pt>
                <c:pt idx="1723">
                  <c:v>7.0410926140610872</c:v>
                </c:pt>
                <c:pt idx="1724">
                  <c:v>7.0397425264532743</c:v>
                </c:pt>
                <c:pt idx="1725">
                  <c:v>7.0383926977167253</c:v>
                </c:pt>
                <c:pt idx="1726">
                  <c:v>7.0370431278018044</c:v>
                </c:pt>
                <c:pt idx="1727">
                  <c:v>7.0356938166588829</c:v>
                </c:pt>
                <c:pt idx="1728">
                  <c:v>7.0343447642383437</c:v>
                </c:pt>
                <c:pt idx="1729">
                  <c:v>7.0329959704905782</c:v>
                </c:pt>
                <c:pt idx="1730">
                  <c:v>7.0316474353659872</c:v>
                </c:pt>
                <c:pt idx="1731">
                  <c:v>7.030299158814981</c:v>
                </c:pt>
                <c:pt idx="1732">
                  <c:v>7.0289511407879806</c:v>
                </c:pt>
                <c:pt idx="1733">
                  <c:v>7.0276033812354148</c:v>
                </c:pt>
                <c:pt idx="1734">
                  <c:v>7.0262558801077226</c:v>
                </c:pt>
                <c:pt idx="1735">
                  <c:v>7.0249086373553524</c:v>
                </c:pt>
                <c:pt idx="1736">
                  <c:v>7.0235616529287634</c:v>
                </c:pt>
                <c:pt idx="1737">
                  <c:v>7.022214926778422</c:v>
                </c:pt>
                <c:pt idx="1738">
                  <c:v>7.0208684588548058</c:v>
                </c:pt>
                <c:pt idx="1739">
                  <c:v>7.0195222491084008</c:v>
                </c:pt>
                <c:pt idx="1740">
                  <c:v>7.0181762974897035</c:v>
                </c:pt>
                <c:pt idx="1741">
                  <c:v>7.0168306039492201</c:v>
                </c:pt>
                <c:pt idx="1742">
                  <c:v>7.0154851684374648</c:v>
                </c:pt>
                <c:pt idx="1743">
                  <c:v>7.0141399909049627</c:v>
                </c:pt>
                <c:pt idx="1744">
                  <c:v>7.0127950713022473</c:v>
                </c:pt>
                <c:pt idx="1745">
                  <c:v>7.0114504095798615</c:v>
                </c:pt>
                <c:pt idx="1746">
                  <c:v>7.0101060056883595</c:v>
                </c:pt>
                <c:pt idx="1747">
                  <c:v>7.0087618595783034</c:v>
                </c:pt>
                <c:pt idx="1748">
                  <c:v>7.0074179712002644</c:v>
                </c:pt>
                <c:pt idx="1749">
                  <c:v>7.0060743405048251</c:v>
                </c:pt>
                <c:pt idx="1750">
                  <c:v>7.0047309674425753</c:v>
                </c:pt>
                <c:pt idx="1751">
                  <c:v>7.0033878519641162</c:v>
                </c:pt>
                <c:pt idx="1752">
                  <c:v>7.0020449940200571</c:v>
                </c:pt>
                <c:pt idx="1753">
                  <c:v>7.000702393561018</c:v>
                </c:pt>
                <c:pt idx="1754">
                  <c:v>6.9993600505376268</c:v>
                </c:pt>
                <c:pt idx="1755">
                  <c:v>6.9980179649005221</c:v>
                </c:pt>
                <c:pt idx="1756">
                  <c:v>6.9966761366003523</c:v>
                </c:pt>
                <c:pt idx="1757">
                  <c:v>6.9953345655877737</c:v>
                </c:pt>
                <c:pt idx="1758">
                  <c:v>6.9939932518134533</c:v>
                </c:pt>
                <c:pt idx="1759">
                  <c:v>6.9926521952280671</c:v>
                </c:pt>
                <c:pt idx="1760">
                  <c:v>6.9913113957823008</c:v>
                </c:pt>
                <c:pt idx="1761">
                  <c:v>6.9899708534268488</c:v>
                </c:pt>
                <c:pt idx="1762">
                  <c:v>6.9886305681124163</c:v>
                </c:pt>
                <c:pt idx="1763">
                  <c:v>6.9872905397897167</c:v>
                </c:pt>
                <c:pt idx="1764">
                  <c:v>6.9859507684094737</c:v>
                </c:pt>
                <c:pt idx="1765">
                  <c:v>6.9846112539224201</c:v>
                </c:pt>
                <c:pt idx="1766">
                  <c:v>6.9832719962792975</c:v>
                </c:pt>
                <c:pt idx="1767">
                  <c:v>6.9819329954308582</c:v>
                </c:pt>
                <c:pt idx="1768">
                  <c:v>6.9805942513278634</c:v>
                </c:pt>
                <c:pt idx="1769">
                  <c:v>6.9792557639210839</c:v>
                </c:pt>
                <c:pt idx="1770">
                  <c:v>6.9779175331612997</c:v>
                </c:pt>
                <c:pt idx="1771">
                  <c:v>6.9765795589992994</c:v>
                </c:pt>
                <c:pt idx="1772">
                  <c:v>6.9752418413858823</c:v>
                </c:pt>
                <c:pt idx="1773">
                  <c:v>6.9739043802718577</c:v>
                </c:pt>
                <c:pt idx="1774">
                  <c:v>6.9725671756080425</c:v>
                </c:pt>
                <c:pt idx="1775">
                  <c:v>6.9712302273452638</c:v>
                </c:pt>
                <c:pt idx="1776">
                  <c:v>6.9698935354343581</c:v>
                </c:pt>
                <c:pt idx="1777">
                  <c:v>6.9685570998261719</c:v>
                </c:pt>
                <c:pt idx="1778">
                  <c:v>6.9672209204715605</c:v>
                </c:pt>
                <c:pt idx="1779">
                  <c:v>6.965884997321389</c:v>
                </c:pt>
                <c:pt idx="1780">
                  <c:v>6.9645493303265313</c:v>
                </c:pt>
                <c:pt idx="1781">
                  <c:v>6.9632139194378722</c:v>
                </c:pt>
                <c:pt idx="1782">
                  <c:v>6.9618787646063032</c:v>
                </c:pt>
                <c:pt idx="1783">
                  <c:v>6.9605438657827285</c:v>
                </c:pt>
                <c:pt idx="1784">
                  <c:v>6.9592092229180587</c:v>
                </c:pt>
                <c:pt idx="1785">
                  <c:v>6.9578748359632163</c:v>
                </c:pt>
                <c:pt idx="1786">
                  <c:v>6.9565407048691315</c:v>
                </c:pt>
                <c:pt idx="1787">
                  <c:v>6.9552068295867446</c:v>
                </c:pt>
                <c:pt idx="1788">
                  <c:v>6.9538732100670053</c:v>
                </c:pt>
                <c:pt idx="1789">
                  <c:v>6.9525398462608727</c:v>
                </c:pt>
                <c:pt idx="1790">
                  <c:v>6.951206738119315</c:v>
                </c:pt>
                <c:pt idx="1791">
                  <c:v>6.9498738855933109</c:v>
                </c:pt>
                <c:pt idx="1792">
                  <c:v>6.9485412886338462</c:v>
                </c:pt>
                <c:pt idx="1793">
                  <c:v>6.9472089471919185</c:v>
                </c:pt>
                <c:pt idx="1794">
                  <c:v>6.945876861218534</c:v>
                </c:pt>
                <c:pt idx="1795">
                  <c:v>6.9445450306647079</c:v>
                </c:pt>
                <c:pt idx="1796">
                  <c:v>6.9432134554814642</c:v>
                </c:pt>
                <c:pt idx="1797">
                  <c:v>6.9418821356198386</c:v>
                </c:pt>
                <c:pt idx="1798">
                  <c:v>6.9405510710308738</c:v>
                </c:pt>
                <c:pt idx="1799">
                  <c:v>6.9392202616656222</c:v>
                </c:pt>
                <c:pt idx="1800">
                  <c:v>6.9378897074751471</c:v>
                </c:pt>
                <c:pt idx="1801">
                  <c:v>6.9365594084105204</c:v>
                </c:pt>
                <c:pt idx="1802">
                  <c:v>6.9352293644228222</c:v>
                </c:pt>
                <c:pt idx="1803">
                  <c:v>6.9338995754631441</c:v>
                </c:pt>
                <c:pt idx="1804">
                  <c:v>6.9325700414825855</c:v>
                </c:pt>
                <c:pt idx="1805">
                  <c:v>6.9312407624322558</c:v>
                </c:pt>
                <c:pt idx="1806">
                  <c:v>6.9299117382632733</c:v>
                </c:pt>
                <c:pt idx="1807">
                  <c:v>6.9285829689267668</c:v>
                </c:pt>
                <c:pt idx="1808">
                  <c:v>6.9272544543738732</c:v>
                </c:pt>
                <c:pt idx="1809">
                  <c:v>6.9259261945557391</c:v>
                </c:pt>
                <c:pt idx="1810">
                  <c:v>6.9245981894235209</c:v>
                </c:pt>
                <c:pt idx="1811">
                  <c:v>6.9232704389283839</c:v>
                </c:pt>
                <c:pt idx="1812">
                  <c:v>6.9219429430215031</c:v>
                </c:pt>
                <c:pt idx="1813">
                  <c:v>6.9206157016540626</c:v>
                </c:pt>
                <c:pt idx="1814">
                  <c:v>6.9192887147772559</c:v>
                </c:pt>
                <c:pt idx="1815">
                  <c:v>6.9179619823422858</c:v>
                </c:pt>
                <c:pt idx="1816">
                  <c:v>6.9166355043003653</c:v>
                </c:pt>
                <c:pt idx="1817">
                  <c:v>6.915309280602715</c:v>
                </c:pt>
                <c:pt idx="1818">
                  <c:v>6.9139833112005666</c:v>
                </c:pt>
                <c:pt idx="1819">
                  <c:v>6.9126575960451602</c:v>
                </c:pt>
                <c:pt idx="1820">
                  <c:v>6.9113321350877461</c:v>
                </c:pt>
                <c:pt idx="1821">
                  <c:v>6.9100069282795831</c:v>
                </c:pt>
                <c:pt idx="1822">
                  <c:v>6.9086819755719393</c:v>
                </c:pt>
                <c:pt idx="1823">
                  <c:v>6.907357276916092</c:v>
                </c:pt>
                <c:pt idx="1824">
                  <c:v>6.9060328322633291</c:v>
                </c:pt>
                <c:pt idx="1825">
                  <c:v>6.9047086415649463</c:v>
                </c:pt>
                <c:pt idx="1826">
                  <c:v>6.9033847047722503</c:v>
                </c:pt>
                <c:pt idx="1827">
                  <c:v>6.9020610218365555</c:v>
                </c:pt>
                <c:pt idx="1828">
                  <c:v>6.9007375927091861</c:v>
                </c:pt>
                <c:pt idx="1829">
                  <c:v>6.8994144173414762</c:v>
                </c:pt>
                <c:pt idx="1830">
                  <c:v>6.8980914956847696</c:v>
                </c:pt>
                <c:pt idx="1831">
                  <c:v>6.8967688276904182</c:v>
                </c:pt>
                <c:pt idx="1832">
                  <c:v>6.8954464133097835</c:v>
                </c:pt>
                <c:pt idx="1833">
                  <c:v>6.8941242524942368</c:v>
                </c:pt>
                <c:pt idx="1834">
                  <c:v>6.8928023451951583</c:v>
                </c:pt>
                <c:pt idx="1835">
                  <c:v>6.8914806913639373</c:v>
                </c:pt>
                <c:pt idx="1836">
                  <c:v>6.8901592909519733</c:v>
                </c:pt>
                <c:pt idx="1837">
                  <c:v>6.8888381439106752</c:v>
                </c:pt>
                <c:pt idx="1838">
                  <c:v>6.8875172501914603</c:v>
                </c:pt>
                <c:pt idx="1839">
                  <c:v>6.8861966097457552</c:v>
                </c:pt>
                <c:pt idx="1840">
                  <c:v>6.8848762225249969</c:v>
                </c:pt>
                <c:pt idx="1841">
                  <c:v>6.8835560884806304</c:v>
                </c:pt>
                <c:pt idx="1842">
                  <c:v>6.8822362075641106</c:v>
                </c:pt>
                <c:pt idx="1843">
                  <c:v>6.8809165797269021</c:v>
                </c:pt>
                <c:pt idx="1844">
                  <c:v>6.8795972049204783</c:v>
                </c:pt>
                <c:pt idx="1845">
                  <c:v>6.8782780830963226</c:v>
                </c:pt>
                <c:pt idx="1846">
                  <c:v>6.876959214205927</c:v>
                </c:pt>
                <c:pt idx="1847">
                  <c:v>6.8756405982007927</c:v>
                </c:pt>
                <c:pt idx="1848">
                  <c:v>6.8743222350324302</c:v>
                </c:pt>
                <c:pt idx="1849">
                  <c:v>6.8730041246523594</c:v>
                </c:pt>
                <c:pt idx="1850">
                  <c:v>6.8716862670121106</c:v>
                </c:pt>
                <c:pt idx="1851">
                  <c:v>6.8703686620632212</c:v>
                </c:pt>
                <c:pt idx="1852">
                  <c:v>6.8690513097572401</c:v>
                </c:pt>
                <c:pt idx="1853">
                  <c:v>6.8677342100457244</c:v>
                </c:pt>
                <c:pt idx="1854">
                  <c:v>6.8664173628802398</c:v>
                </c:pt>
                <c:pt idx="1855">
                  <c:v>6.865100768212363</c:v>
                </c:pt>
                <c:pt idx="1856">
                  <c:v>6.8637844259936793</c:v>
                </c:pt>
                <c:pt idx="1857">
                  <c:v>6.8624683361757821</c:v>
                </c:pt>
                <c:pt idx="1858">
                  <c:v>6.8611524987102754</c:v>
                </c:pt>
                <c:pt idx="1859">
                  <c:v>6.8598369135487731</c:v>
                </c:pt>
                <c:pt idx="1860">
                  <c:v>6.8585215806428961</c:v>
                </c:pt>
                <c:pt idx="1861">
                  <c:v>6.8572064999442768</c:v>
                </c:pt>
                <c:pt idx="1862">
                  <c:v>6.8558916714045548</c:v>
                </c:pt>
                <c:pt idx="1863">
                  <c:v>6.8545770949753813</c:v>
                </c:pt>
                <c:pt idx="1864">
                  <c:v>6.8532627706084153</c:v>
                </c:pt>
                <c:pt idx="1865">
                  <c:v>6.8519486982553248</c:v>
                </c:pt>
                <c:pt idx="1866">
                  <c:v>6.8506348778677886</c:v>
                </c:pt>
                <c:pt idx="1867">
                  <c:v>6.8493213093974932</c:v>
                </c:pt>
                <c:pt idx="1868">
                  <c:v>6.848007992796135</c:v>
                </c:pt>
                <c:pt idx="1869">
                  <c:v>6.8466949280154195</c:v>
                </c:pt>
                <c:pt idx="1870">
                  <c:v>6.8453821150070615</c:v>
                </c:pt>
                <c:pt idx="1871">
                  <c:v>6.844069553722786</c:v>
                </c:pt>
                <c:pt idx="1872">
                  <c:v>6.8427572441143258</c:v>
                </c:pt>
                <c:pt idx="1873">
                  <c:v>6.8414451861334236</c:v>
                </c:pt>
                <c:pt idx="1874">
                  <c:v>6.8401333797318307</c:v>
                </c:pt>
                <c:pt idx="1875">
                  <c:v>6.8388218248613093</c:v>
                </c:pt>
                <c:pt idx="1876">
                  <c:v>6.8375105214736296</c:v>
                </c:pt>
                <c:pt idx="1877">
                  <c:v>6.8361994695205706</c:v>
                </c:pt>
                <c:pt idx="1878">
                  <c:v>6.8348886689539219</c:v>
                </c:pt>
                <c:pt idx="1879">
                  <c:v>6.8335781197254812</c:v>
                </c:pt>
                <c:pt idx="1880">
                  <c:v>6.8322678217870561</c:v>
                </c:pt>
                <c:pt idx="1881">
                  <c:v>6.8309577750904635</c:v>
                </c:pt>
                <c:pt idx="1882">
                  <c:v>6.8296479795875289</c:v>
                </c:pt>
                <c:pt idx="1883">
                  <c:v>6.8283384352300871</c:v>
                </c:pt>
                <c:pt idx="1884">
                  <c:v>6.8270291419699829</c:v>
                </c:pt>
                <c:pt idx="1885">
                  <c:v>6.8257200997590699</c:v>
                </c:pt>
                <c:pt idx="1886">
                  <c:v>6.8244113085492106</c:v>
                </c:pt>
                <c:pt idx="1887">
                  <c:v>6.8231027682922774</c:v>
                </c:pt>
                <c:pt idx="1888">
                  <c:v>6.8217944789401512</c:v>
                </c:pt>
                <c:pt idx="1889">
                  <c:v>6.8204864404447232</c:v>
                </c:pt>
                <c:pt idx="1890">
                  <c:v>6.819178652757893</c:v>
                </c:pt>
                <c:pt idx="1891">
                  <c:v>6.8178711158315686</c:v>
                </c:pt>
                <c:pt idx="1892">
                  <c:v>6.8165638296176692</c:v>
                </c:pt>
                <c:pt idx="1893">
                  <c:v>6.8152567940681212</c:v>
                </c:pt>
                <c:pt idx="1894">
                  <c:v>6.8139500091348619</c:v>
                </c:pt>
                <c:pt idx="1895">
                  <c:v>6.8126434747698372</c:v>
                </c:pt>
                <c:pt idx="1896">
                  <c:v>6.811337190925002</c:v>
                </c:pt>
                <c:pt idx="1897">
                  <c:v>6.8100311575523209</c:v>
                </c:pt>
                <c:pt idx="1898">
                  <c:v>6.8087253746037666</c:v>
                </c:pt>
                <c:pt idx="1899">
                  <c:v>6.8074198420313223</c:v>
                </c:pt>
                <c:pt idx="1900">
                  <c:v>6.8061145597869794</c:v>
                </c:pt>
                <c:pt idx="1901">
                  <c:v>6.804809527822739</c:v>
                </c:pt>
                <c:pt idx="1902">
                  <c:v>6.8035047460906117</c:v>
                </c:pt>
                <c:pt idx="1903">
                  <c:v>6.8022002145426166</c:v>
                </c:pt>
                <c:pt idx="1904">
                  <c:v>6.800895933130783</c:v>
                </c:pt>
                <c:pt idx="1905">
                  <c:v>6.7995919018071485</c:v>
                </c:pt>
                <c:pt idx="1906">
                  <c:v>6.7982881205237602</c:v>
                </c:pt>
                <c:pt idx="1907">
                  <c:v>6.7969845892326743</c:v>
                </c:pt>
                <c:pt idx="1908">
                  <c:v>6.7956813078859559</c:v>
                </c:pt>
                <c:pt idx="1909">
                  <c:v>6.7943782764356806</c:v>
                </c:pt>
                <c:pt idx="1910">
                  <c:v>6.7930754948339311</c:v>
                </c:pt>
                <c:pt idx="1911">
                  <c:v>6.791772963032801</c:v>
                </c:pt>
                <c:pt idx="1912">
                  <c:v>6.7904706809843924</c:v>
                </c:pt>
                <c:pt idx="1913">
                  <c:v>6.7891686486408176</c:v>
                </c:pt>
                <c:pt idx="1914">
                  <c:v>6.7878668659541956</c:v>
                </c:pt>
                <c:pt idx="1915">
                  <c:v>6.7865653328766573</c:v>
                </c:pt>
                <c:pt idx="1916">
                  <c:v>6.7852640493603413</c:v>
                </c:pt>
                <c:pt idx="1917">
                  <c:v>6.7839630153573962</c:v>
                </c:pt>
                <c:pt idx="1918">
                  <c:v>6.7826622308199784</c:v>
                </c:pt>
                <c:pt idx="1919">
                  <c:v>6.7813616957002552</c:v>
                </c:pt>
                <c:pt idx="1920">
                  <c:v>6.7800614099504015</c:v>
                </c:pt>
                <c:pt idx="1921">
                  <c:v>6.7787613735226024</c:v>
                </c:pt>
                <c:pt idx="1922">
                  <c:v>6.7774615863690517</c:v>
                </c:pt>
                <c:pt idx="1923">
                  <c:v>6.7761620484419529</c:v>
                </c:pt>
                <c:pt idx="1924">
                  <c:v>6.7748627596935185</c:v>
                </c:pt>
                <c:pt idx="1925">
                  <c:v>6.7735637200759697</c:v>
                </c:pt>
                <c:pt idx="1926">
                  <c:v>6.7722649295415369</c:v>
                </c:pt>
                <c:pt idx="1927">
                  <c:v>6.77096638804246</c:v>
                </c:pt>
                <c:pt idx="1928">
                  <c:v>6.7696680955309878</c:v>
                </c:pt>
                <c:pt idx="1929">
                  <c:v>6.768370051959379</c:v>
                </c:pt>
                <c:pt idx="1930">
                  <c:v>6.7670722572799002</c:v>
                </c:pt>
                <c:pt idx="1931">
                  <c:v>6.7657747114448288</c:v>
                </c:pt>
                <c:pt idx="1932">
                  <c:v>6.764477414406449</c:v>
                </c:pt>
                <c:pt idx="1933">
                  <c:v>6.7631803661170569</c:v>
                </c:pt>
                <c:pt idx="1934">
                  <c:v>6.7618835665289554</c:v>
                </c:pt>
                <c:pt idx="1935">
                  <c:v>6.7605870155944574</c:v>
                </c:pt>
                <c:pt idx="1936">
                  <c:v>6.7592907132658855</c:v>
                </c:pt>
                <c:pt idx="1937">
                  <c:v>6.7579946594955711</c:v>
                </c:pt>
                <c:pt idx="1938">
                  <c:v>6.7566988542358546</c:v>
                </c:pt>
                <c:pt idx="1939">
                  <c:v>6.7554032974390852</c:v>
                </c:pt>
                <c:pt idx="1940">
                  <c:v>6.7541079890576219</c:v>
                </c:pt>
                <c:pt idx="1941">
                  <c:v>6.7528129290438326</c:v>
                </c:pt>
                <c:pt idx="1942">
                  <c:v>6.751518117350094</c:v>
                </c:pt>
                <c:pt idx="1943">
                  <c:v>6.7502235539287927</c:v>
                </c:pt>
                <c:pt idx="1944">
                  <c:v>6.7489292387323232</c:v>
                </c:pt>
                <c:pt idx="1945">
                  <c:v>6.7476351717130907</c:v>
                </c:pt>
                <c:pt idx="1946">
                  <c:v>6.7463413528235074</c:v>
                </c:pt>
                <c:pt idx="1947">
                  <c:v>6.7450477820159973</c:v>
                </c:pt>
                <c:pt idx="1948">
                  <c:v>6.7437544592429912</c:v>
                </c:pt>
                <c:pt idx="1949">
                  <c:v>6.7424613844569308</c:v>
                </c:pt>
                <c:pt idx="1950">
                  <c:v>6.7411685576102656</c:v>
                </c:pt>
                <c:pt idx="1951">
                  <c:v>6.739875978655455</c:v>
                </c:pt>
                <c:pt idx="1952">
                  <c:v>6.7385836475449663</c:v>
                </c:pt>
                <c:pt idx="1953">
                  <c:v>6.7372915642312776</c:v>
                </c:pt>
                <c:pt idx="1954">
                  <c:v>6.7359997286668758</c:v>
                </c:pt>
                <c:pt idx="1955">
                  <c:v>6.7347081408042557</c:v>
                </c:pt>
                <c:pt idx="1956">
                  <c:v>6.7334168005959221</c:v>
                </c:pt>
                <c:pt idx="1957">
                  <c:v>6.7321257079943884</c:v>
                </c:pt>
                <c:pt idx="1958">
                  <c:v>6.7308348629521779</c:v>
                </c:pt>
                <c:pt idx="1959">
                  <c:v>6.7295442654218229</c:v>
                </c:pt>
                <c:pt idx="1960">
                  <c:v>6.7282539153558645</c:v>
                </c:pt>
                <c:pt idx="1961">
                  <c:v>6.7269638127068516</c:v>
                </c:pt>
                <c:pt idx="1962">
                  <c:v>6.725673957427345</c:v>
                </c:pt>
                <c:pt idx="1963">
                  <c:v>6.7243843494699123</c:v>
                </c:pt>
                <c:pt idx="1964">
                  <c:v>6.723094988787131</c:v>
                </c:pt>
                <c:pt idx="1965">
                  <c:v>6.7218058753315875</c:v>
                </c:pt>
                <c:pt idx="1966">
                  <c:v>6.7205170090558779</c:v>
                </c:pt>
                <c:pt idx="1967">
                  <c:v>6.7192283899126064</c:v>
                </c:pt>
                <c:pt idx="1968">
                  <c:v>6.7179400178543878</c:v>
                </c:pt>
                <c:pt idx="1969">
                  <c:v>6.7166518928338439</c:v>
                </c:pt>
                <c:pt idx="1970">
                  <c:v>6.7153640148036073</c:v>
                </c:pt>
                <c:pt idx="1971">
                  <c:v>6.7140763837163187</c:v>
                </c:pt>
                <c:pt idx="1972">
                  <c:v>6.712788999524629</c:v>
                </c:pt>
                <c:pt idx="1973">
                  <c:v>6.7115018621811968</c:v>
                </c:pt>
                <c:pt idx="1974">
                  <c:v>6.710214971638691</c:v>
                </c:pt>
                <c:pt idx="1975">
                  <c:v>6.7089283278497884</c:v>
                </c:pt>
                <c:pt idx="1976">
                  <c:v>6.7076419307671751</c:v>
                </c:pt>
                <c:pt idx="1977">
                  <c:v>6.7063557803435474</c:v>
                </c:pt>
                <c:pt idx="1978">
                  <c:v>6.7050698765316099</c:v>
                </c:pt>
                <c:pt idx="1979">
                  <c:v>6.703784219284076</c:v>
                </c:pt>
                <c:pt idx="1980">
                  <c:v>6.7024988085536679</c:v>
                </c:pt>
                <c:pt idx="1981">
                  <c:v>6.7012136442931185</c:v>
                </c:pt>
                <c:pt idx="1982">
                  <c:v>6.6999287264551679</c:v>
                </c:pt>
                <c:pt idx="1983">
                  <c:v>6.6986440549925668</c:v>
                </c:pt>
                <c:pt idx="1984">
                  <c:v>6.6973596298580729</c:v>
                </c:pt>
                <c:pt idx="1985">
                  <c:v>6.6960754510044556</c:v>
                </c:pt>
                <c:pt idx="1986">
                  <c:v>6.6947915183844913</c:v>
                </c:pt>
                <c:pt idx="1987">
                  <c:v>6.6935078319509662</c:v>
                </c:pt>
                <c:pt idx="1988">
                  <c:v>6.6922243916566755</c:v>
                </c:pt>
                <c:pt idx="1989">
                  <c:v>6.6909411974544239</c:v>
                </c:pt>
                <c:pt idx="1990">
                  <c:v>6.6896582492970245</c:v>
                </c:pt>
                <c:pt idx="1991">
                  <c:v>6.6883755471372996</c:v>
                </c:pt>
                <c:pt idx="1992">
                  <c:v>6.6870930909280801</c:v>
                </c:pt>
                <c:pt idx="1993">
                  <c:v>6.6858108806222072</c:v>
                </c:pt>
                <c:pt idx="1994">
                  <c:v>6.6845289161725301</c:v>
                </c:pt>
                <c:pt idx="1995">
                  <c:v>6.683247197531907</c:v>
                </c:pt>
                <c:pt idx="1996">
                  <c:v>6.6819657246532058</c:v>
                </c:pt>
                <c:pt idx="1997">
                  <c:v>6.6806844974893034</c:v>
                </c:pt>
                <c:pt idx="1998">
                  <c:v>6.6794035159930853</c:v>
                </c:pt>
                <c:pt idx="1999">
                  <c:v>6.6781227801174463</c:v>
                </c:pt>
                <c:pt idx="2000">
                  <c:v>6.6768422898152897</c:v>
                </c:pt>
                <c:pt idx="2001">
                  <c:v>6.6755620450395288</c:v>
                </c:pt>
                <c:pt idx="2002">
                  <c:v>6.6742820457430847</c:v>
                </c:pt>
                <c:pt idx="2003">
                  <c:v>6.6730022918788885</c:v>
                </c:pt>
                <c:pt idx="2004">
                  <c:v>6.67172278339988</c:v>
                </c:pt>
                <c:pt idx="2005">
                  <c:v>6.670443520259008</c:v>
                </c:pt>
                <c:pt idx="2006">
                  <c:v>6.669164502409231</c:v>
                </c:pt>
                <c:pt idx="2007">
                  <c:v>6.6678857298035146</c:v>
                </c:pt>
                <c:pt idx="2008">
                  <c:v>6.666607202394836</c:v>
                </c:pt>
                <c:pt idx="2009">
                  <c:v>6.6653289201361794</c:v>
                </c:pt>
                <c:pt idx="2010">
                  <c:v>6.6640508829805389</c:v>
                </c:pt>
                <c:pt idx="2011">
                  <c:v>6.6627730908809175</c:v>
                </c:pt>
                <c:pt idx="2012">
                  <c:v>6.6614955437903269</c:v>
                </c:pt>
                <c:pt idx="2013">
                  <c:v>6.6602182416617888</c:v>
                </c:pt>
                <c:pt idx="2014">
                  <c:v>6.6589411844483326</c:v>
                </c:pt>
                <c:pt idx="2015">
                  <c:v>6.6576643721029978</c:v>
                </c:pt>
                <c:pt idx="2016">
                  <c:v>6.6563878045788316</c:v>
                </c:pt>
                <c:pt idx="2017">
                  <c:v>6.6551114818288912</c:v>
                </c:pt>
                <c:pt idx="2018">
                  <c:v>6.6538354038062435</c:v>
                </c:pt>
                <c:pt idx="2019">
                  <c:v>6.6525595704639624</c:v>
                </c:pt>
                <c:pt idx="2020">
                  <c:v>6.6512839817551326</c:v>
                </c:pt>
                <c:pt idx="2021">
                  <c:v>6.6500086376328467</c:v>
                </c:pt>
                <c:pt idx="2022">
                  <c:v>6.6487335380502071</c:v>
                </c:pt>
                <c:pt idx="2023">
                  <c:v>6.6474586829603242</c:v>
                </c:pt>
                <c:pt idx="2024">
                  <c:v>6.6461840723163181</c:v>
                </c:pt>
                <c:pt idx="2025">
                  <c:v>6.644909706071318</c:v>
                </c:pt>
                <c:pt idx="2026">
                  <c:v>6.6436355841784618</c:v>
                </c:pt>
                <c:pt idx="2027">
                  <c:v>6.6423617065908962</c:v>
                </c:pt>
                <c:pt idx="2028">
                  <c:v>6.641088073261777</c:v>
                </c:pt>
                <c:pt idx="2029">
                  <c:v>6.6398146841442696</c:v>
                </c:pt>
                <c:pt idx="2030">
                  <c:v>6.6385415391915474</c:v>
                </c:pt>
                <c:pt idx="2031">
                  <c:v>6.6372686383567938</c:v>
                </c:pt>
                <c:pt idx="2032">
                  <c:v>6.6359959815932008</c:v>
                </c:pt>
                <c:pt idx="2033">
                  <c:v>6.6347235688539685</c:v>
                </c:pt>
                <c:pt idx="2034">
                  <c:v>6.6334514000923068</c:v>
                </c:pt>
                <c:pt idx="2035">
                  <c:v>6.6321794752614345</c:v>
                </c:pt>
                <c:pt idx="2036">
                  <c:v>6.6309077943145791</c:v>
                </c:pt>
                <c:pt idx="2037">
                  <c:v>6.6296363572049781</c:v>
                </c:pt>
                <c:pt idx="2038">
                  <c:v>6.6283651638858769</c:v>
                </c:pt>
                <c:pt idx="2039">
                  <c:v>6.6270942143105298</c:v>
                </c:pt>
                <c:pt idx="2040">
                  <c:v>6.6258235084321999</c:v>
                </c:pt>
                <c:pt idx="2041">
                  <c:v>6.6245530462041602</c:v>
                </c:pt>
                <c:pt idx="2042">
                  <c:v>6.6232828275796924</c:v>
                </c:pt>
                <c:pt idx="2043">
                  <c:v>6.6220128525120874</c:v>
                </c:pt>
                <c:pt idx="2044">
                  <c:v>6.6207431209546437</c:v>
                </c:pt>
                <c:pt idx="2045">
                  <c:v>6.6194736328606698</c:v>
                </c:pt>
                <c:pt idx="2046">
                  <c:v>6.618204388183484</c:v>
                </c:pt>
                <c:pt idx="2047">
                  <c:v>6.6169353868764116</c:v>
                </c:pt>
                <c:pt idx="2048">
                  <c:v>6.6156666288927877</c:v>
                </c:pt>
                <c:pt idx="2049">
                  <c:v>6.6143981141859571</c:v>
                </c:pt>
                <c:pt idx="2050">
                  <c:v>6.6131298427092728</c:v>
                </c:pt>
                <c:pt idx="2051">
                  <c:v>6.6118618144160965</c:v>
                </c:pt>
                <c:pt idx="2052">
                  <c:v>6.6105940292597998</c:v>
                </c:pt>
                <c:pt idx="2053">
                  <c:v>6.609326487193762</c:v>
                </c:pt>
                <c:pt idx="2054">
                  <c:v>6.6080591881713726</c:v>
                </c:pt>
                <c:pt idx="2055">
                  <c:v>6.6067921321460297</c:v>
                </c:pt>
                <c:pt idx="2056">
                  <c:v>6.6055253190711394</c:v>
                </c:pt>
                <c:pt idx="2057">
                  <c:v>6.6042587489001177</c:v>
                </c:pt>
                <c:pt idx="2058">
                  <c:v>6.6029924215863884</c:v>
                </c:pt>
                <c:pt idx="2059">
                  <c:v>6.6017263370833863</c:v>
                </c:pt>
                <c:pt idx="2060">
                  <c:v>6.6004604953445529</c:v>
                </c:pt>
                <c:pt idx="2061">
                  <c:v>6.5991948963233398</c:v>
                </c:pt>
                <c:pt idx="2062">
                  <c:v>6.5979295399732081</c:v>
                </c:pt>
                <c:pt idx="2063">
                  <c:v>6.5966644262476262</c:v>
                </c:pt>
                <c:pt idx="2064">
                  <c:v>6.5953995551000721</c:v>
                </c:pt>
                <c:pt idx="2065">
                  <c:v>6.5941349264840339</c:v>
                </c:pt>
                <c:pt idx="2066">
                  <c:v>6.5928705403530072</c:v>
                </c:pt>
                <c:pt idx="2067">
                  <c:v>6.591606396660497</c:v>
                </c:pt>
                <c:pt idx="2068">
                  <c:v>6.5903424953600167</c:v>
                </c:pt>
                <c:pt idx="2069">
                  <c:v>6.5890788364050898</c:v>
                </c:pt>
                <c:pt idx="2070">
                  <c:v>6.5878154197492469</c:v>
                </c:pt>
                <c:pt idx="2071">
                  <c:v>6.5865522453460299</c:v>
                </c:pt>
                <c:pt idx="2072">
                  <c:v>6.5852893131489871</c:v>
                </c:pt>
                <c:pt idx="2073">
                  <c:v>6.5840266231116775</c:v>
                </c:pt>
                <c:pt idx="2074">
                  <c:v>6.5827641751876689</c:v>
                </c:pt>
                <c:pt idx="2075">
                  <c:v>6.581501969330537</c:v>
                </c:pt>
                <c:pt idx="2076">
                  <c:v>6.5802400054938666</c:v>
                </c:pt>
                <c:pt idx="2077">
                  <c:v>6.578978283631252</c:v>
                </c:pt>
                <c:pt idx="2078">
                  <c:v>6.5777168036962967</c:v>
                </c:pt>
                <c:pt idx="2079">
                  <c:v>6.576455565642612</c:v>
                </c:pt>
                <c:pt idx="2080">
                  <c:v>6.5751945694238181</c:v>
                </c:pt>
                <c:pt idx="2081">
                  <c:v>6.5739338149935449</c:v>
                </c:pt>
                <c:pt idx="2082">
                  <c:v>6.5726733023054313</c:v>
                </c:pt>
                <c:pt idx="2083">
                  <c:v>6.5714130313131243</c:v>
                </c:pt>
                <c:pt idx="2084">
                  <c:v>6.5701530019702803</c:v>
                </c:pt>
                <c:pt idx="2085">
                  <c:v>6.5688932142305649</c:v>
                </c:pt>
                <c:pt idx="2086">
                  <c:v>6.5676336680476517</c:v>
                </c:pt>
                <c:pt idx="2087">
                  <c:v>6.566374363375223</c:v>
                </c:pt>
                <c:pt idx="2088">
                  <c:v>6.5651153001669718</c:v>
                </c:pt>
                <c:pt idx="2089">
                  <c:v>6.5638564783765982</c:v>
                </c:pt>
                <c:pt idx="2090">
                  <c:v>6.5625978979578115</c:v>
                </c:pt>
                <c:pt idx="2091">
                  <c:v>6.5613395588643302</c:v>
                </c:pt>
                <c:pt idx="2092">
                  <c:v>6.5600814610498821</c:v>
                </c:pt>
                <c:pt idx="2093">
                  <c:v>6.5588236044682029</c:v>
                </c:pt>
                <c:pt idx="2094">
                  <c:v>6.557565989073038</c:v>
                </c:pt>
                <c:pt idx="2095">
                  <c:v>6.5563086148181409</c:v>
                </c:pt>
                <c:pt idx="2096">
                  <c:v>6.5550514816572747</c:v>
                </c:pt>
                <c:pt idx="2097">
                  <c:v>6.5537945895442116</c:v>
                </c:pt>
                <c:pt idx="2098">
                  <c:v>6.5525379384327307</c:v>
                </c:pt>
                <c:pt idx="2099">
                  <c:v>6.5512815282766228</c:v>
                </c:pt>
                <c:pt idx="2100">
                  <c:v>6.5500253590296857</c:v>
                </c:pt>
                <c:pt idx="2101">
                  <c:v>6.5487694306457263</c:v>
                </c:pt>
                <c:pt idx="2102">
                  <c:v>6.5475137430785599</c:v>
                </c:pt>
                <c:pt idx="2103">
                  <c:v>6.5462582962820122</c:v>
                </c:pt>
                <c:pt idx="2104">
                  <c:v>6.5450030902099172</c:v>
                </c:pt>
                <c:pt idx="2105">
                  <c:v>6.5437481248161165</c:v>
                </c:pt>
                <c:pt idx="2106">
                  <c:v>6.5424934000544619</c:v>
                </c:pt>
                <c:pt idx="2107">
                  <c:v>6.5412389158788136</c:v>
                </c:pt>
                <c:pt idx="2108">
                  <c:v>6.5399846722430404</c:v>
                </c:pt>
                <c:pt idx="2109">
                  <c:v>6.538730669101021</c:v>
                </c:pt>
                <c:pt idx="2110">
                  <c:v>6.5374769064066411</c:v>
                </c:pt>
                <c:pt idx="2111">
                  <c:v>6.5362233841137973</c:v>
                </c:pt>
                <c:pt idx="2112">
                  <c:v>6.5349701021763931</c:v>
                </c:pt>
                <c:pt idx="2113">
                  <c:v>6.5337170605483426</c:v>
                </c:pt>
                <c:pt idx="2114">
                  <c:v>6.5324642591835671</c:v>
                </c:pt>
                <c:pt idx="2115">
                  <c:v>6.5312116980359987</c:v>
                </c:pt>
                <c:pt idx="2116">
                  <c:v>6.5299593770595763</c:v>
                </c:pt>
                <c:pt idx="2117">
                  <c:v>6.5287072962082489</c:v>
                </c:pt>
                <c:pt idx="2118">
                  <c:v>6.5274554554359732</c:v>
                </c:pt>
                <c:pt idx="2119">
                  <c:v>6.5262038546967158</c:v>
                </c:pt>
                <c:pt idx="2120">
                  <c:v>6.5249524939444523</c:v>
                </c:pt>
                <c:pt idx="2121">
                  <c:v>6.5237013731331661</c:v>
                </c:pt>
                <c:pt idx="2122">
                  <c:v>6.5224504922168505</c:v>
                </c:pt>
                <c:pt idx="2123">
                  <c:v>6.5211998511495066</c:v>
                </c:pt>
                <c:pt idx="2124">
                  <c:v>6.5199494498851447</c:v>
                </c:pt>
                <c:pt idx="2125">
                  <c:v>6.5186992883777846</c:v>
                </c:pt>
                <c:pt idx="2126">
                  <c:v>6.5174493665814532</c:v>
                </c:pt>
                <c:pt idx="2127">
                  <c:v>6.5161996844501884</c:v>
                </c:pt>
                <c:pt idx="2128">
                  <c:v>6.5149502419380356</c:v>
                </c:pt>
                <c:pt idx="2129">
                  <c:v>6.5137010389990495</c:v>
                </c:pt>
                <c:pt idx="2130">
                  <c:v>6.5124520755872926</c:v>
                </c:pt>
                <c:pt idx="2131">
                  <c:v>6.5112033516568379</c:v>
                </c:pt>
                <c:pt idx="2132">
                  <c:v>6.509954867161766</c:v>
                </c:pt>
                <c:pt idx="2133">
                  <c:v>6.5087066220561658</c:v>
                </c:pt>
                <c:pt idx="2134">
                  <c:v>6.5074586162941364</c:v>
                </c:pt>
                <c:pt idx="2135">
                  <c:v>6.5062108498297855</c:v>
                </c:pt>
                <c:pt idx="2136">
                  <c:v>6.5049633226172281</c:v>
                </c:pt>
                <c:pt idx="2137">
                  <c:v>6.5037160346105907</c:v>
                </c:pt>
                <c:pt idx="2138">
                  <c:v>6.5024689857640059</c:v>
                </c:pt>
                <c:pt idx="2139">
                  <c:v>6.5012221760316162</c:v>
                </c:pt>
                <c:pt idx="2140">
                  <c:v>6.499975605367573</c:v>
                </c:pt>
                <c:pt idx="2141">
                  <c:v>6.4987292737260365</c:v>
                </c:pt>
                <c:pt idx="2142">
                  <c:v>6.4974831810611748</c:v>
                </c:pt>
                <c:pt idx="2143">
                  <c:v>6.496237327327167</c:v>
                </c:pt>
                <c:pt idx="2144">
                  <c:v>6.494991712478198</c:v>
                </c:pt>
                <c:pt idx="2145">
                  <c:v>6.4937463364684644</c:v>
                </c:pt>
                <c:pt idx="2146">
                  <c:v>6.4925011992521693</c:v>
                </c:pt>
                <c:pt idx="2147">
                  <c:v>6.491256300783526</c:v>
                </c:pt>
                <c:pt idx="2148">
                  <c:v>6.4900116410167552</c:v>
                </c:pt>
                <c:pt idx="2149">
                  <c:v>6.4887672199060882</c:v>
                </c:pt>
                <c:pt idx="2150">
                  <c:v>6.4875230374057633</c:v>
                </c:pt>
                <c:pt idx="2151">
                  <c:v>6.4862790934700287</c:v>
                </c:pt>
                <c:pt idx="2152">
                  <c:v>6.4850353880531415</c:v>
                </c:pt>
                <c:pt idx="2153">
                  <c:v>6.4837919211093666</c:v>
                </c:pt>
                <c:pt idx="2154">
                  <c:v>6.4825486925929789</c:v>
                </c:pt>
                <c:pt idx="2155">
                  <c:v>6.4813057024582603</c:v>
                </c:pt>
                <c:pt idx="2156">
                  <c:v>6.4800629506595033</c:v>
                </c:pt>
                <c:pt idx="2157">
                  <c:v>6.4788204371510085</c:v>
                </c:pt>
                <c:pt idx="2158">
                  <c:v>6.4775781618870845</c:v>
                </c:pt>
                <c:pt idx="2159">
                  <c:v>6.4763361248220495</c:v>
                </c:pt>
                <c:pt idx="2160">
                  <c:v>6.4750943259102307</c:v>
                </c:pt>
                <c:pt idx="2161">
                  <c:v>6.4738527651059634</c:v>
                </c:pt>
                <c:pt idx="2162">
                  <c:v>6.4726114423635925</c:v>
                </c:pt>
                <c:pt idx="2163">
                  <c:v>6.4713703576374701</c:v>
                </c:pt>
                <c:pt idx="2164">
                  <c:v>6.4701295108819581</c:v>
                </c:pt>
                <c:pt idx="2165">
                  <c:v>6.4688889020514271</c:v>
                </c:pt>
                <c:pt idx="2166">
                  <c:v>6.4676485311002567</c:v>
                </c:pt>
                <c:pt idx="2167">
                  <c:v>6.4664083979828355</c:v>
                </c:pt>
                <c:pt idx="2168">
                  <c:v>6.465168502653559</c:v>
                </c:pt>
                <c:pt idx="2169">
                  <c:v>6.4639288450668335</c:v>
                </c:pt>
                <c:pt idx="2170">
                  <c:v>6.4626894251770732</c:v>
                </c:pt>
                <c:pt idx="2171">
                  <c:v>6.4614502429387013</c:v>
                </c:pt>
                <c:pt idx="2172">
                  <c:v>6.4602112983061488</c:v>
                </c:pt>
                <c:pt idx="2173">
                  <c:v>6.4589725912338576</c:v>
                </c:pt>
                <c:pt idx="2174">
                  <c:v>6.4577341216762756</c:v>
                </c:pt>
                <c:pt idx="2175">
                  <c:v>6.4564958895878615</c:v>
                </c:pt>
                <c:pt idx="2176">
                  <c:v>6.4552578949230819</c:v>
                </c:pt>
                <c:pt idx="2177">
                  <c:v>6.4540201376364115</c:v>
                </c:pt>
                <c:pt idx="2178">
                  <c:v>6.4527826176823355</c:v>
                </c:pt>
                <c:pt idx="2179">
                  <c:v>6.4515453350153464</c:v>
                </c:pt>
                <c:pt idx="2180">
                  <c:v>6.4503082895899455</c:v>
                </c:pt>
                <c:pt idx="2181">
                  <c:v>6.4490714813606429</c:v>
                </c:pt>
                <c:pt idx="2182">
                  <c:v>6.4478349102819585</c:v>
                </c:pt>
                <c:pt idx="2183">
                  <c:v>6.4465985763084195</c:v>
                </c:pt>
                <c:pt idx="2184">
                  <c:v>6.4453624793945625</c:v>
                </c:pt>
                <c:pt idx="2185">
                  <c:v>6.4441266194949334</c:v>
                </c:pt>
                <c:pt idx="2186">
                  <c:v>6.4428909965640848</c:v>
                </c:pt>
                <c:pt idx="2187">
                  <c:v>6.4416556105565803</c:v>
                </c:pt>
                <c:pt idx="2188">
                  <c:v>6.4404204614269913</c:v>
                </c:pt>
                <c:pt idx="2189">
                  <c:v>6.4391855491298973</c:v>
                </c:pt>
                <c:pt idx="2190">
                  <c:v>6.4379508736198874</c:v>
                </c:pt>
                <c:pt idx="2191">
                  <c:v>6.4367164348515598</c:v>
                </c:pt>
                <c:pt idx="2192">
                  <c:v>6.4354822327795196</c:v>
                </c:pt>
                <c:pt idx="2193">
                  <c:v>6.4342482673583818</c:v>
                </c:pt>
                <c:pt idx="2194">
                  <c:v>6.4330145385427704</c:v>
                </c:pt>
                <c:pt idx="2195">
                  <c:v>6.4317810462873179</c:v>
                </c:pt>
                <c:pt idx="2196">
                  <c:v>6.4305477905466653</c:v>
                </c:pt>
                <c:pt idx="2197">
                  <c:v>6.4293147712754619</c:v>
                </c:pt>
                <c:pt idx="2198">
                  <c:v>6.4280819884283655</c:v>
                </c:pt>
                <c:pt idx="2199">
                  <c:v>6.4268494419600444</c:v>
                </c:pt>
                <c:pt idx="2200">
                  <c:v>6.4256171318251738</c:v>
                </c:pt>
                <c:pt idx="2201">
                  <c:v>6.4243850579784381</c:v>
                </c:pt>
                <c:pt idx="2202">
                  <c:v>6.4231532203745303</c:v>
                </c:pt>
                <c:pt idx="2203">
                  <c:v>6.4219216189681525</c:v>
                </c:pt>
                <c:pt idx="2204">
                  <c:v>6.4206902537140156</c:v>
                </c:pt>
                <c:pt idx="2205">
                  <c:v>6.4194591245668384</c:v>
                </c:pt>
                <c:pt idx="2206">
                  <c:v>6.4182282314813488</c:v>
                </c:pt>
                <c:pt idx="2207">
                  <c:v>6.4169975744122834</c:v>
                </c:pt>
                <c:pt idx="2208">
                  <c:v>6.4157671533143876</c:v>
                </c:pt>
                <c:pt idx="2209">
                  <c:v>6.4145369681424151</c:v>
                </c:pt>
                <c:pt idx="2210">
                  <c:v>6.4133070188511283</c:v>
                </c:pt>
                <c:pt idx="2211">
                  <c:v>6.4120773053952984</c:v>
                </c:pt>
                <c:pt idx="2212">
                  <c:v>6.4108478277297065</c:v>
                </c:pt>
                <c:pt idx="2213">
                  <c:v>6.4096185858091399</c:v>
                </c:pt>
                <c:pt idx="2214">
                  <c:v>6.4083895795883965</c:v>
                </c:pt>
                <c:pt idx="2215">
                  <c:v>6.4071608090222822</c:v>
                </c:pt>
                <c:pt idx="2216">
                  <c:v>6.4059322740656119</c:v>
                </c:pt>
                <c:pt idx="2217">
                  <c:v>6.4047039746732084</c:v>
                </c:pt>
                <c:pt idx="2218">
                  <c:v>6.4034759107999042</c:v>
                </c:pt>
                <c:pt idx="2219">
                  <c:v>6.4022480824005399</c:v>
                </c:pt>
                <c:pt idx="2220">
                  <c:v>6.401020489429964</c:v>
                </c:pt>
                <c:pt idx="2221">
                  <c:v>6.399793131843035</c:v>
                </c:pt>
                <c:pt idx="2222">
                  <c:v>6.3985660095946191</c:v>
                </c:pt>
                <c:pt idx="2223">
                  <c:v>6.3973391226395924</c:v>
                </c:pt>
                <c:pt idx="2224">
                  <c:v>6.3961124709328381</c:v>
                </c:pt>
                <c:pt idx="2225">
                  <c:v>6.3948860544292483</c:v>
                </c:pt>
                <c:pt idx="2226">
                  <c:v>6.3936598730837249</c:v>
                </c:pt>
                <c:pt idx="2227">
                  <c:v>6.3924339268511776</c:v>
                </c:pt>
                <c:pt idx="2228">
                  <c:v>6.3912082156865253</c:v>
                </c:pt>
                <c:pt idx="2229">
                  <c:v>6.3899827395446946</c:v>
                </c:pt>
                <c:pt idx="2230">
                  <c:v>6.3887574983806212</c:v>
                </c:pt>
                <c:pt idx="2231">
                  <c:v>6.3875324921492496</c:v>
                </c:pt>
                <c:pt idx="2232">
                  <c:v>6.386307720805533</c:v>
                </c:pt>
                <c:pt idx="2233">
                  <c:v>6.3850831843044329</c:v>
                </c:pt>
                <c:pt idx="2234">
                  <c:v>6.3838588826009204</c:v>
                </c:pt>
                <c:pt idx="2235">
                  <c:v>6.3826348156499737</c:v>
                </c:pt>
                <c:pt idx="2236">
                  <c:v>6.3814109834065809</c:v>
                </c:pt>
                <c:pt idx="2237">
                  <c:v>6.380187385825737</c:v>
                </c:pt>
                <c:pt idx="2238">
                  <c:v>6.3789640228624478</c:v>
                </c:pt>
                <c:pt idx="2239">
                  <c:v>6.3777408944717271</c:v>
                </c:pt>
                <c:pt idx="2240">
                  <c:v>6.3765180006085966</c:v>
                </c:pt>
                <c:pt idx="2241">
                  <c:v>6.3752953412280871</c:v>
                </c:pt>
                <c:pt idx="2242">
                  <c:v>6.3740729162852379</c:v>
                </c:pt>
                <c:pt idx="2243">
                  <c:v>6.3728507257350966</c:v>
                </c:pt>
                <c:pt idx="2244">
                  <c:v>6.3716287695327205</c:v>
                </c:pt>
                <c:pt idx="2245">
                  <c:v>6.370407047633174</c:v>
                </c:pt>
                <c:pt idx="2246">
                  <c:v>6.3691855599915312</c:v>
                </c:pt>
                <c:pt idx="2247">
                  <c:v>6.3679643065628753</c:v>
                </c:pt>
                <c:pt idx="2248">
                  <c:v>6.3667432873022962</c:v>
                </c:pt>
                <c:pt idx="2249">
                  <c:v>6.3655225021648949</c:v>
                </c:pt>
                <c:pt idx="2250">
                  <c:v>6.3643019511057783</c:v>
                </c:pt>
                <c:pt idx="2251">
                  <c:v>6.3630816340800642</c:v>
                </c:pt>
                <c:pt idx="2252">
                  <c:v>6.3618615510428773</c:v>
                </c:pt>
                <c:pt idx="2253">
                  <c:v>6.3606417019493522</c:v>
                </c:pt>
                <c:pt idx="2254">
                  <c:v>6.3594220867546323</c:v>
                </c:pt>
                <c:pt idx="2255">
                  <c:v>6.3582027054138681</c:v>
                </c:pt>
                <c:pt idx="2256">
                  <c:v>6.3569835578822191</c:v>
                </c:pt>
                <c:pt idx="2257">
                  <c:v>6.3557646441148545</c:v>
                </c:pt>
                <c:pt idx="2258">
                  <c:v>6.3545459640669515</c:v>
                </c:pt>
                <c:pt idx="2259">
                  <c:v>6.3533275176936952</c:v>
                </c:pt>
                <c:pt idx="2260">
                  <c:v>6.3521093049502797</c:v>
                </c:pt>
                <c:pt idx="2261">
                  <c:v>6.3508913257919088</c:v>
                </c:pt>
                <c:pt idx="2262">
                  <c:v>6.3496735801737927</c:v>
                </c:pt>
                <c:pt idx="2263">
                  <c:v>6.3484560680511528</c:v>
                </c:pt>
                <c:pt idx="2264">
                  <c:v>6.347238789379217</c:v>
                </c:pt>
                <c:pt idx="2265">
                  <c:v>6.346021744113223</c:v>
                </c:pt>
                <c:pt idx="2266">
                  <c:v>6.3448049322084152</c:v>
                </c:pt>
                <c:pt idx="2267">
                  <c:v>6.3435883536200492</c:v>
                </c:pt>
                <c:pt idx="2268">
                  <c:v>6.3423720083033883</c:v>
                </c:pt>
                <c:pt idx="2269">
                  <c:v>6.3411558962137029</c:v>
                </c:pt>
                <c:pt idx="2270">
                  <c:v>6.3399400173062741</c:v>
                </c:pt>
                <c:pt idx="2271">
                  <c:v>6.3387243715363901</c:v>
                </c:pt>
                <c:pt idx="2272">
                  <c:v>6.3375089588593481</c:v>
                </c:pt>
                <c:pt idx="2273">
                  <c:v>6.3362937792304548</c:v>
                </c:pt>
                <c:pt idx="2274">
                  <c:v>6.3350788326050234</c:v>
                </c:pt>
                <c:pt idx="2275">
                  <c:v>6.3338641189383775</c:v>
                </c:pt>
                <c:pt idx="2276">
                  <c:v>6.3326496381858481</c:v>
                </c:pt>
                <c:pt idx="2277">
                  <c:v>6.3314353903027758</c:v>
                </c:pt>
                <c:pt idx="2278">
                  <c:v>6.3302213752445091</c:v>
                </c:pt>
                <c:pt idx="2279">
                  <c:v>6.3290075929664056</c:v>
                </c:pt>
                <c:pt idx="2280">
                  <c:v>6.3277940434238307</c:v>
                </c:pt>
                <c:pt idx="2281">
                  <c:v>6.3265807265721588</c:v>
                </c:pt>
                <c:pt idx="2282">
                  <c:v>6.3253676423667731</c:v>
                </c:pt>
                <c:pt idx="2283">
                  <c:v>6.3241547907630649</c:v>
                </c:pt>
                <c:pt idx="2284">
                  <c:v>6.3229421717164342</c:v>
                </c:pt>
                <c:pt idx="2285">
                  <c:v>6.3217297851822893</c:v>
                </c:pt>
                <c:pt idx="2286">
                  <c:v>6.320517631116048</c:v>
                </c:pt>
                <c:pt idx="2287">
                  <c:v>6.3193057094731353</c:v>
                </c:pt>
                <c:pt idx="2288">
                  <c:v>6.318094020208985</c:v>
                </c:pt>
                <c:pt idx="2289">
                  <c:v>6.3168825632790409</c:v>
                </c:pt>
                <c:pt idx="2290">
                  <c:v>6.3156713386387535</c:v>
                </c:pt>
                <c:pt idx="2291">
                  <c:v>6.3144603462435835</c:v>
                </c:pt>
                <c:pt idx="2292">
                  <c:v>6.3132495860489986</c:v>
                </c:pt>
                <c:pt idx="2293">
                  <c:v>6.3120390580104759</c:v>
                </c:pt>
                <c:pt idx="2294">
                  <c:v>6.3108287620835011</c:v>
                </c:pt>
                <c:pt idx="2295">
                  <c:v>6.3096186982235674</c:v>
                </c:pt>
                <c:pt idx="2296">
                  <c:v>6.3084088663861779</c:v>
                </c:pt>
                <c:pt idx="2297">
                  <c:v>6.3071992665268439</c:v>
                </c:pt>
                <c:pt idx="2298">
                  <c:v>6.3059898986010845</c:v>
                </c:pt>
                <c:pt idx="2299">
                  <c:v>6.3047807625644277</c:v>
                </c:pt>
                <c:pt idx="2300">
                  <c:v>6.3035718583724112</c:v>
                </c:pt>
                <c:pt idx="2301">
                  <c:v>6.3023631859805791</c:v>
                </c:pt>
                <c:pt idx="2302">
                  <c:v>6.3011547453444852</c:v>
                </c:pt>
                <c:pt idx="2303">
                  <c:v>6.299946536419692</c:v>
                </c:pt>
                <c:pt idx="2304">
                  <c:v>6.2987385591617704</c:v>
                </c:pt>
                <c:pt idx="2305">
                  <c:v>6.2975308135262997</c:v>
                </c:pt>
                <c:pt idx="2306">
                  <c:v>6.2963232994688667</c:v>
                </c:pt>
                <c:pt idx="2307">
                  <c:v>6.2951160169450686</c:v>
                </c:pt>
                <c:pt idx="2308">
                  <c:v>6.2939089659105099</c:v>
                </c:pt>
                <c:pt idx="2309">
                  <c:v>6.2927021463208046</c:v>
                </c:pt>
                <c:pt idx="2310">
                  <c:v>6.2914955581315732</c:v>
                </c:pt>
                <c:pt idx="2311">
                  <c:v>6.2902892012984477</c:v>
                </c:pt>
                <c:pt idx="2312">
                  <c:v>6.2890830757770653</c:v>
                </c:pt>
                <c:pt idx="2313">
                  <c:v>6.2878771815230747</c:v>
                </c:pt>
                <c:pt idx="2314">
                  <c:v>6.2866715184921311</c:v>
                </c:pt>
                <c:pt idx="2315">
                  <c:v>6.2854660866398984</c:v>
                </c:pt>
                <c:pt idx="2316">
                  <c:v>6.2842608859220501</c:v>
                </c:pt>
                <c:pt idx="2317">
                  <c:v>6.2830559162942672</c:v>
                </c:pt>
                <c:pt idx="2318">
                  <c:v>6.2818511777122401</c:v>
                </c:pt>
                <c:pt idx="2319">
                  <c:v>6.2806466701316666</c:v>
                </c:pt>
                <c:pt idx="2320">
                  <c:v>6.279442393508254</c:v>
                </c:pt>
                <c:pt idx="2321">
                  <c:v>6.2782383477977168</c:v>
                </c:pt>
                <c:pt idx="2322">
                  <c:v>6.2770345329557795</c:v>
                </c:pt>
                <c:pt idx="2323">
                  <c:v>6.2758309489381743</c:v>
                </c:pt>
                <c:pt idx="2324">
                  <c:v>6.2746275957006423</c:v>
                </c:pt>
                <c:pt idx="2325">
                  <c:v>6.2734244731989328</c:v>
                </c:pt>
                <c:pt idx="2326">
                  <c:v>6.2722215813888029</c:v>
                </c:pt>
                <c:pt idx="2327">
                  <c:v>6.2710189202260196</c:v>
                </c:pt>
                <c:pt idx="2328">
                  <c:v>6.2698164896663577</c:v>
                </c:pt>
                <c:pt idx="2329">
                  <c:v>6.2686142896655994</c:v>
                </c:pt>
                <c:pt idx="2330">
                  <c:v>6.2674123201795373</c:v>
                </c:pt>
                <c:pt idx="2331">
                  <c:v>6.2662105811639712</c:v>
                </c:pt>
                <c:pt idx="2332">
                  <c:v>6.2650090725747098</c:v>
                </c:pt>
                <c:pt idx="2333">
                  <c:v>6.2638077943675707</c:v>
                </c:pt>
                <c:pt idx="2334">
                  <c:v>6.2626067464983795</c:v>
                </c:pt>
                <c:pt idx="2335">
                  <c:v>6.2614059289229695</c:v>
                </c:pt>
                <c:pt idx="2336">
                  <c:v>6.2602053415971834</c:v>
                </c:pt>
                <c:pt idx="2337">
                  <c:v>6.2590049844768725</c:v>
                </c:pt>
                <c:pt idx="2338">
                  <c:v>6.2578048575178959</c:v>
                </c:pt>
                <c:pt idx="2339">
                  <c:v>6.256604960676122</c:v>
                </c:pt>
                <c:pt idx="2340">
                  <c:v>6.2554052939074269</c:v>
                </c:pt>
                <c:pt idx="2341">
                  <c:v>6.2542058571676957</c:v>
                </c:pt>
                <c:pt idx="2342">
                  <c:v>6.2530066504128214</c:v>
                </c:pt>
                <c:pt idx="2343">
                  <c:v>6.251807673598706</c:v>
                </c:pt>
                <c:pt idx="2344">
                  <c:v>6.2506089266812603</c:v>
                </c:pt>
                <c:pt idx="2345">
                  <c:v>6.2494104096164023</c:v>
                </c:pt>
                <c:pt idx="2346">
                  <c:v>6.2482121223600586</c:v>
                </c:pt>
                <c:pt idx="2347">
                  <c:v>6.247014064868166</c:v>
                </c:pt>
                <c:pt idx="2348">
                  <c:v>6.2458162370966681</c:v>
                </c:pt>
                <c:pt idx="2349">
                  <c:v>6.2446186390015166</c:v>
                </c:pt>
                <c:pt idx="2350">
                  <c:v>6.2434212705386729</c:v>
                </c:pt>
                <c:pt idx="2351">
                  <c:v>6.2422241316641074</c:v>
                </c:pt>
                <c:pt idx="2352">
                  <c:v>6.2410272223337966</c:v>
                </c:pt>
                <c:pt idx="2353">
                  <c:v>6.2398305425037268</c:v>
                </c:pt>
                <c:pt idx="2354">
                  <c:v>6.2386340921298933</c:v>
                </c:pt>
                <c:pt idx="2355">
                  <c:v>6.2374378711682992</c:v>
                </c:pt>
                <c:pt idx="2356">
                  <c:v>6.2362418795749557</c:v>
                </c:pt>
                <c:pt idx="2357">
                  <c:v>6.2350461173058829</c:v>
                </c:pt>
                <c:pt idx="2358">
                  <c:v>6.2338505843171097</c:v>
                </c:pt>
                <c:pt idx="2359">
                  <c:v>6.2326552805646722</c:v>
                </c:pt>
                <c:pt idx="2360">
                  <c:v>6.2314602060046163</c:v>
                </c:pt>
                <c:pt idx="2361">
                  <c:v>6.2302653605929956</c:v>
                </c:pt>
                <c:pt idx="2362">
                  <c:v>6.2290707442858722</c:v>
                </c:pt>
                <c:pt idx="2363">
                  <c:v>6.2278763570393165</c:v>
                </c:pt>
                <c:pt idx="2364">
                  <c:v>6.2266821988094074</c:v>
                </c:pt>
                <c:pt idx="2365">
                  <c:v>6.2254882695522324</c:v>
                </c:pt>
                <c:pt idx="2366">
                  <c:v>6.224294569223888</c:v>
                </c:pt>
                <c:pt idx="2367">
                  <c:v>6.2231010977804777</c:v>
                </c:pt>
                <c:pt idx="2368">
                  <c:v>6.2219078551781148</c:v>
                </c:pt>
                <c:pt idx="2369">
                  <c:v>6.2207148413729199</c:v>
                </c:pt>
                <c:pt idx="2370">
                  <c:v>6.2195220563210221</c:v>
                </c:pt>
                <c:pt idx="2371">
                  <c:v>6.2183294999785605</c:v>
                </c:pt>
                <c:pt idx="2372">
                  <c:v>6.2171371723016806</c:v>
                </c:pt>
                <c:pt idx="2373">
                  <c:v>6.2159450732465373</c:v>
                </c:pt>
                <c:pt idx="2374">
                  <c:v>6.2147532027692938</c:v>
                </c:pt>
                <c:pt idx="2375">
                  <c:v>6.213561560826121</c:v>
                </c:pt>
                <c:pt idx="2376">
                  <c:v>6.2123701473731998</c:v>
                </c:pt>
                <c:pt idx="2377">
                  <c:v>6.2111789623667182</c:v>
                </c:pt>
                <c:pt idx="2378">
                  <c:v>6.2099880057628729</c:v>
                </c:pt>
                <c:pt idx="2379">
                  <c:v>6.2087972775178697</c:v>
                </c:pt>
                <c:pt idx="2380">
                  <c:v>6.2076067775879213</c:v>
                </c:pt>
                <c:pt idx="2381">
                  <c:v>6.2064165059292495</c:v>
                </c:pt>
                <c:pt idx="2382">
                  <c:v>6.2052264624980857</c:v>
                </c:pt>
                <c:pt idx="2383">
                  <c:v>6.2040366472506676</c:v>
                </c:pt>
                <c:pt idx="2384">
                  <c:v>6.2028470601432426</c:v>
                </c:pt>
                <c:pt idx="2385">
                  <c:v>6.2016577011320662</c:v>
                </c:pt>
                <c:pt idx="2386">
                  <c:v>6.2004685701734026</c:v>
                </c:pt>
                <c:pt idx="2387">
                  <c:v>6.1992796672235242</c:v>
                </c:pt>
                <c:pt idx="2388">
                  <c:v>6.1980909922387113</c:v>
                </c:pt>
                <c:pt idx="2389">
                  <c:v>6.1969025451752531</c:v>
                </c:pt>
                <c:pt idx="2390">
                  <c:v>6.1957143259894467</c:v>
                </c:pt>
                <c:pt idx="2391">
                  <c:v>6.1945263346375983</c:v>
                </c:pt>
                <c:pt idx="2392">
                  <c:v>6.1933385710760218</c:v>
                </c:pt>
                <c:pt idx="2393">
                  <c:v>6.1921510352610403</c:v>
                </c:pt>
                <c:pt idx="2394">
                  <c:v>6.1909637271489837</c:v>
                </c:pt>
                <c:pt idx="2395">
                  <c:v>6.1897766466961928</c:v>
                </c:pt>
                <c:pt idx="2396">
                  <c:v>6.1885897938590144</c:v>
                </c:pt>
                <c:pt idx="2397">
                  <c:v>6.1874031685938045</c:v>
                </c:pt>
                <c:pt idx="2398">
                  <c:v>6.1862167708569276</c:v>
                </c:pt>
                <c:pt idx="2399">
                  <c:v>6.1850306006047564</c:v>
                </c:pt>
                <c:pt idx="2400">
                  <c:v>6.1838446577936725</c:v>
                </c:pt>
                <c:pt idx="2401">
                  <c:v>6.1826589423800655</c:v>
                </c:pt>
                <c:pt idx="2402">
                  <c:v>6.1814734543203329</c:v>
                </c:pt>
                <c:pt idx="2403">
                  <c:v>6.1802881935708811</c:v>
                </c:pt>
                <c:pt idx="2404">
                  <c:v>6.1791031600881245</c:v>
                </c:pt>
                <c:pt idx="2405">
                  <c:v>6.1779183538284856</c:v>
                </c:pt>
                <c:pt idx="2406">
                  <c:v>6.1767337747483966</c:v>
                </c:pt>
                <c:pt idx="2407">
                  <c:v>6.1755494228042966</c:v>
                </c:pt>
                <c:pt idx="2408">
                  <c:v>6.174365297952634</c:v>
                </c:pt>
                <c:pt idx="2409">
                  <c:v>6.1731814001498657</c:v>
                </c:pt>
                <c:pt idx="2410">
                  <c:v>6.1719977293524551</c:v>
                </c:pt>
                <c:pt idx="2411">
                  <c:v>6.1708142855168759</c:v>
                </c:pt>
                <c:pt idx="2412">
                  <c:v>6.1696310685996103</c:v>
                </c:pt>
                <c:pt idx="2413">
                  <c:v>6.1684480785571472</c:v>
                </c:pt>
                <c:pt idx="2414">
                  <c:v>6.1672653153459844</c:v>
                </c:pt>
                <c:pt idx="2415">
                  <c:v>6.1660827789226289</c:v>
                </c:pt>
                <c:pt idx="2416">
                  <c:v>6.1649004692435954</c:v>
                </c:pt>
                <c:pt idx="2417">
                  <c:v>6.1637183862654075</c:v>
                </c:pt>
                <c:pt idx="2418">
                  <c:v>6.162536529944596</c:v>
                </c:pt>
                <c:pt idx="2419">
                  <c:v>6.1613549002377006</c:v>
                </c:pt>
                <c:pt idx="2420">
                  <c:v>6.1601734971012698</c:v>
                </c:pt>
                <c:pt idx="2421">
                  <c:v>6.1589923204918602</c:v>
                </c:pt>
                <c:pt idx="2422">
                  <c:v>6.1578113703660362</c:v>
                </c:pt>
                <c:pt idx="2423">
                  <c:v>6.1566306466803713</c:v>
                </c:pt>
                <c:pt idx="2424">
                  <c:v>6.1554501493914469</c:v>
                </c:pt>
                <c:pt idx="2425">
                  <c:v>6.1542698784558523</c:v>
                </c:pt>
                <c:pt idx="2426">
                  <c:v>6.1530898338301858</c:v>
                </c:pt>
                <c:pt idx="2427">
                  <c:v>6.1519100154710538</c:v>
                </c:pt>
                <c:pt idx="2428">
                  <c:v>6.1507304233350713</c:v>
                </c:pt>
                <c:pt idx="2429">
                  <c:v>6.1495510573788614</c:v>
                </c:pt>
                <c:pt idx="2430">
                  <c:v>6.1483719175590554</c:v>
                </c:pt>
                <c:pt idx="2431">
                  <c:v>6.1471930038322933</c:v>
                </c:pt>
                <c:pt idx="2432">
                  <c:v>6.1460143161552221</c:v>
                </c:pt>
                <c:pt idx="2433">
                  <c:v>6.1448358544844988</c:v>
                </c:pt>
                <c:pt idx="2434">
                  <c:v>6.1436576187767882</c:v>
                </c:pt>
                <c:pt idx="2435">
                  <c:v>6.1424796089887623</c:v>
                </c:pt>
                <c:pt idx="2436">
                  <c:v>6.1413018250771039</c:v>
                </c:pt>
                <c:pt idx="2437">
                  <c:v>6.1401242669985008</c:v>
                </c:pt>
                <c:pt idx="2438">
                  <c:v>6.1389469347096526</c:v>
                </c:pt>
                <c:pt idx="2439">
                  <c:v>6.1377698281672641</c:v>
                </c:pt>
                <c:pt idx="2440">
                  <c:v>6.1365929473280501</c:v>
                </c:pt>
                <c:pt idx="2441">
                  <c:v>6.1354162921487339</c:v>
                </c:pt>
                <c:pt idx="2442">
                  <c:v>6.1342398625860461</c:v>
                </c:pt>
                <c:pt idx="2443">
                  <c:v>6.1330636585967264</c:v>
                </c:pt>
                <c:pt idx="2444">
                  <c:v>6.1318876801375222</c:v>
                </c:pt>
                <c:pt idx="2445">
                  <c:v>6.1307119271651889</c:v>
                </c:pt>
                <c:pt idx="2446">
                  <c:v>6.1295363996364909</c:v>
                </c:pt>
                <c:pt idx="2447">
                  <c:v>6.1283610975082015</c:v>
                </c:pt>
                <c:pt idx="2448">
                  <c:v>6.1271860207371009</c:v>
                </c:pt>
                <c:pt idx="2449">
                  <c:v>6.1260111692799786</c:v>
                </c:pt>
                <c:pt idx="2450">
                  <c:v>6.1248365430936316</c:v>
                </c:pt>
                <c:pt idx="2451">
                  <c:v>6.123662142134866</c:v>
                </c:pt>
                <c:pt idx="2452">
                  <c:v>6.1224879663604952</c:v>
                </c:pt>
                <c:pt idx="2453">
                  <c:v>6.121314015727342</c:v>
                </c:pt>
                <c:pt idx="2454">
                  <c:v>6.1201402901922366</c:v>
                </c:pt>
                <c:pt idx="2455">
                  <c:v>6.1189667897120179</c:v>
                </c:pt>
                <c:pt idx="2456">
                  <c:v>6.1177935142435329</c:v>
                </c:pt>
                <c:pt idx="2457">
                  <c:v>6.1166204637436365</c:v>
                </c:pt>
                <c:pt idx="2458">
                  <c:v>6.1154476381691927</c:v>
                </c:pt>
                <c:pt idx="2459">
                  <c:v>6.114275037477074</c:v>
                </c:pt>
                <c:pt idx="2460">
                  <c:v>6.1131026616241595</c:v>
                </c:pt>
                <c:pt idx="2461">
                  <c:v>6.1119305105673378</c:v>
                </c:pt>
                <c:pt idx="2462">
                  <c:v>6.1107585842635066</c:v>
                </c:pt>
                <c:pt idx="2463">
                  <c:v>6.1095868826695696</c:v>
                </c:pt>
                <c:pt idx="2464">
                  <c:v>6.1084154057424405</c:v>
                </c:pt>
                <c:pt idx="2465">
                  <c:v>6.1072441534390407</c:v>
                </c:pt>
                <c:pt idx="2466">
                  <c:v>6.1060731257163008</c:v>
                </c:pt>
                <c:pt idx="2467">
                  <c:v>6.1049023225311574</c:v>
                </c:pt>
                <c:pt idx="2468">
                  <c:v>6.1037317438405578</c:v>
                </c:pt>
                <c:pt idx="2469">
                  <c:v>6.1025613896014557</c:v>
                </c:pt>
                <c:pt idx="2470">
                  <c:v>6.1013912597708142</c:v>
                </c:pt>
                <c:pt idx="2471">
                  <c:v>6.1002213543056047</c:v>
                </c:pt>
                <c:pt idx="2472">
                  <c:v>6.0990516731628066</c:v>
                </c:pt>
                <c:pt idx="2473">
                  <c:v>6.0978822162994062</c:v>
                </c:pt>
                <c:pt idx="2474">
                  <c:v>6.0967129836724006</c:v>
                </c:pt>
                <c:pt idx="2475">
                  <c:v>6.095543975238793</c:v>
                </c:pt>
                <c:pt idx="2476">
                  <c:v>6.0943751909555957</c:v>
                </c:pt>
                <c:pt idx="2477">
                  <c:v>6.0932066307798296</c:v>
                </c:pt>
                <c:pt idx="2478">
                  <c:v>6.092038294668523</c:v>
                </c:pt>
                <c:pt idx="2479">
                  <c:v>6.0908701825787128</c:v>
                </c:pt>
                <c:pt idx="2480">
                  <c:v>6.089702294467445</c:v>
                </c:pt>
                <c:pt idx="2481">
                  <c:v>6.0885346302917727</c:v>
                </c:pt>
                <c:pt idx="2482">
                  <c:v>6.0873671900087567</c:v>
                </c:pt>
                <c:pt idx="2483">
                  <c:v>6.0861999735754679</c:v>
                </c:pt>
                <c:pt idx="2484">
                  <c:v>6.0850329809489843</c:v>
                </c:pt>
                <c:pt idx="2485">
                  <c:v>6.0838662120863924</c:v>
                </c:pt>
                <c:pt idx="2486">
                  <c:v>6.0826996669447864</c:v>
                </c:pt>
                <c:pt idx="2487">
                  <c:v>6.0815333454812688</c:v>
                </c:pt>
                <c:pt idx="2488">
                  <c:v>6.0803672476529513</c:v>
                </c:pt>
                <c:pt idx="2489">
                  <c:v>6.0792013734169537</c:v>
                </c:pt>
                <c:pt idx="2490">
                  <c:v>6.0780357227304025</c:v>
                </c:pt>
                <c:pt idx="2491">
                  <c:v>6.0768702955504335</c:v>
                </c:pt>
                <c:pt idx="2492">
                  <c:v>6.0757050918341911</c:v>
                </c:pt>
                <c:pt idx="2493">
                  <c:v>6.0745401115388269</c:v>
                </c:pt>
                <c:pt idx="2494">
                  <c:v>6.0733753546215024</c:v>
                </c:pt>
                <c:pt idx="2495">
                  <c:v>6.072210821039385</c:v>
                </c:pt>
                <c:pt idx="2496">
                  <c:v>6.0710465107496523</c:v>
                </c:pt>
                <c:pt idx="2497">
                  <c:v>6.0698824237094886</c:v>
                </c:pt>
                <c:pt idx="2498">
                  <c:v>6.0687185598760873</c:v>
                </c:pt>
                <c:pt idx="2499">
                  <c:v>6.0675549192066498</c:v>
                </c:pt>
                <c:pt idx="2500">
                  <c:v>6.0663915016583863</c:v>
                </c:pt>
                <c:pt idx="2501">
                  <c:v>6.065228307188514</c:v>
                </c:pt>
                <c:pt idx="2502">
                  <c:v>6.0640653357542593</c:v>
                </c:pt>
                <c:pt idx="2503">
                  <c:v>6.0629025873128564</c:v>
                </c:pt>
                <c:pt idx="2504">
                  <c:v>6.0617400618215482</c:v>
                </c:pt>
                <c:pt idx="2505">
                  <c:v>6.0605777592375842</c:v>
                </c:pt>
                <c:pt idx="2506">
                  <c:v>6.0594156795182244</c:v>
                </c:pt>
                <c:pt idx="2507">
                  <c:v>6.0582538226207356</c:v>
                </c:pt>
                <c:pt idx="2508">
                  <c:v>6.0570921885023923</c:v>
                </c:pt>
                <c:pt idx="2509">
                  <c:v>6.0559307771204782</c:v>
                </c:pt>
                <c:pt idx="2510">
                  <c:v>6.0547695884322854</c:v>
                </c:pt>
                <c:pt idx="2511">
                  <c:v>6.0536086223951138</c:v>
                </c:pt>
                <c:pt idx="2512">
                  <c:v>6.0524478789662703</c:v>
                </c:pt>
                <c:pt idx="2513">
                  <c:v>6.0512873581030719</c:v>
                </c:pt>
                <c:pt idx="2514">
                  <c:v>6.0501270597628434</c:v>
                </c:pt>
                <c:pt idx="2515">
                  <c:v>6.0489669839029165</c:v>
                </c:pt>
                <c:pt idx="2516">
                  <c:v>6.0478071304806322</c:v>
                </c:pt>
                <c:pt idx="2517">
                  <c:v>6.0466474994533392</c:v>
                </c:pt>
                <c:pt idx="2518">
                  <c:v>6.0454880907783952</c:v>
                </c:pt>
                <c:pt idx="2519">
                  <c:v>6.0443289044131649</c:v>
                </c:pt>
                <c:pt idx="2520">
                  <c:v>6.0431699403150221</c:v>
                </c:pt>
                <c:pt idx="2521">
                  <c:v>6.0420111984413483</c:v>
                </c:pt>
                <c:pt idx="2522">
                  <c:v>6.0408526787495331</c:v>
                </c:pt>
                <c:pt idx="2523">
                  <c:v>6.0396943811969743</c:v>
                </c:pt>
                <c:pt idx="2524">
                  <c:v>6.0385363057410784</c:v>
                </c:pt>
                <c:pt idx="2525">
                  <c:v>6.0373784523392597</c:v>
                </c:pt>
                <c:pt idx="2526">
                  <c:v>6.036220820948941</c:v>
                </c:pt>
                <c:pt idx="2527">
                  <c:v>6.0350634115275517</c:v>
                </c:pt>
                <c:pt idx="2528">
                  <c:v>6.0339062240325312</c:v>
                </c:pt>
                <c:pt idx="2529">
                  <c:v>6.0327492584213269</c:v>
                </c:pt>
                <c:pt idx="2530">
                  <c:v>6.0315925146513933</c:v>
                </c:pt>
                <c:pt idx="2531">
                  <c:v>6.0304359926801938</c:v>
                </c:pt>
                <c:pt idx="2532">
                  <c:v>6.0292796924652006</c:v>
                </c:pt>
                <c:pt idx="2533">
                  <c:v>6.0281236139638921</c:v>
                </c:pt>
                <c:pt idx="2534">
                  <c:v>6.0269677571337565</c:v>
                </c:pt>
                <c:pt idx="2535">
                  <c:v>6.0258121219322902</c:v>
                </c:pt>
                <c:pt idx="2536">
                  <c:v>6.0246567083169964</c:v>
                </c:pt>
                <c:pt idx="2537">
                  <c:v>6.0235015162453873</c:v>
                </c:pt>
                <c:pt idx="2538">
                  <c:v>6.0223465456749841</c:v>
                </c:pt>
                <c:pt idx="2539">
                  <c:v>6.0211917965633139</c:v>
                </c:pt>
                <c:pt idx="2540">
                  <c:v>6.020037268867914</c:v>
                </c:pt>
                <c:pt idx="2541">
                  <c:v>6.0188829625463294</c:v>
                </c:pt>
                <c:pt idx="2542">
                  <c:v>6.0177288775561131</c:v>
                </c:pt>
                <c:pt idx="2543">
                  <c:v>6.0165750138548253</c:v>
                </c:pt>
                <c:pt idx="2544">
                  <c:v>6.015421371400036</c:v>
                </c:pt>
                <c:pt idx="2545">
                  <c:v>6.0142679501493221</c:v>
                </c:pt>
                <c:pt idx="2546">
                  <c:v>6.0131147500602689</c:v>
                </c:pt>
                <c:pt idx="2547">
                  <c:v>6.0119617710904709</c:v>
                </c:pt>
                <c:pt idx="2548">
                  <c:v>6.0108090131975285</c:v>
                </c:pt>
                <c:pt idx="2549">
                  <c:v>6.0096564763390523</c:v>
                </c:pt>
                <c:pt idx="2550">
                  <c:v>6.0085041604726603</c:v>
                </c:pt>
                <c:pt idx="2551">
                  <c:v>6.0073520655559784</c:v>
                </c:pt>
                <c:pt idx="2552">
                  <c:v>6.0062001915466405</c:v>
                </c:pt>
                <c:pt idx="2553">
                  <c:v>6.0050485384022894</c:v>
                </c:pt>
                <c:pt idx="2554">
                  <c:v>6.0038971060805748</c:v>
                </c:pt>
                <c:pt idx="2555">
                  <c:v>6.0027458945391565</c:v>
                </c:pt>
                <c:pt idx="2556">
                  <c:v>6.0015949037357004</c:v>
                </c:pt>
                <c:pt idx="2557">
                  <c:v>6.0004441336278811</c:v>
                </c:pt>
                <c:pt idx="2558">
                  <c:v>5.9992935841733823</c:v>
                </c:pt>
                <c:pt idx="2559">
                  <c:v>5.9981432553298939</c:v>
                </c:pt>
                <c:pt idx="2560">
                  <c:v>5.9969931470551163</c:v>
                </c:pt>
                <c:pt idx="2561">
                  <c:v>5.9958432593067563</c:v>
                </c:pt>
                <c:pt idx="2562">
                  <c:v>5.9946935920425286</c:v>
                </c:pt>
                <c:pt idx="2563">
                  <c:v>5.9935441452201577</c:v>
                </c:pt>
                <c:pt idx="2564">
                  <c:v>5.9923949187973742</c:v>
                </c:pt>
                <c:pt idx="2565">
                  <c:v>5.9912459127319186</c:v>
                </c:pt>
                <c:pt idx="2566">
                  <c:v>5.9900971269815386</c:v>
                </c:pt>
                <c:pt idx="2567">
                  <c:v>5.9889485615039897</c:v>
                </c:pt>
                <c:pt idx="2568">
                  <c:v>5.9878002162570363</c:v>
                </c:pt>
                <c:pt idx="2569">
                  <c:v>5.98665209119845</c:v>
                </c:pt>
                <c:pt idx="2570">
                  <c:v>5.9855041862860112</c:v>
                </c:pt>
                <c:pt idx="2571">
                  <c:v>5.9843565014775084</c:v>
                </c:pt>
                <c:pt idx="2572">
                  <c:v>5.983209036730738</c:v>
                </c:pt>
                <c:pt idx="2573">
                  <c:v>5.9820617920035044</c:v>
                </c:pt>
                <c:pt idx="2574">
                  <c:v>5.98091476725362</c:v>
                </c:pt>
                <c:pt idx="2575">
                  <c:v>5.9797679624389053</c:v>
                </c:pt>
                <c:pt idx="2576">
                  <c:v>5.9786213775171895</c:v>
                </c:pt>
                <c:pt idx="2577">
                  <c:v>5.977475012446309</c:v>
                </c:pt>
                <c:pt idx="2578">
                  <c:v>5.9763288671841091</c:v>
                </c:pt>
                <c:pt idx="2579">
                  <c:v>5.975182941688443</c:v>
                </c:pt>
                <c:pt idx="2580">
                  <c:v>5.9740372359171712</c:v>
                </c:pt>
                <c:pt idx="2581">
                  <c:v>5.9728917498281628</c:v>
                </c:pt>
                <c:pt idx="2582">
                  <c:v>5.9717464833792953</c:v>
                </c:pt>
                <c:pt idx="2583">
                  <c:v>5.9706014365284537</c:v>
                </c:pt>
                <c:pt idx="2584">
                  <c:v>5.9694566092335322</c:v>
                </c:pt>
                <c:pt idx="2585">
                  <c:v>5.9683120014524311</c:v>
                </c:pt>
                <c:pt idx="2586">
                  <c:v>5.9671676131430607</c:v>
                </c:pt>
                <c:pt idx="2587">
                  <c:v>5.9660234442633389</c:v>
                </c:pt>
                <c:pt idx="2588">
                  <c:v>5.9648794947711909</c:v>
                </c:pt>
                <c:pt idx="2589">
                  <c:v>5.9637357646245501</c:v>
                </c:pt>
                <c:pt idx="2590">
                  <c:v>5.9625922537813594</c:v>
                </c:pt>
                <c:pt idx="2591">
                  <c:v>5.9614489621995679</c:v>
                </c:pt>
                <c:pt idx="2592">
                  <c:v>5.9603058898371328</c:v>
                </c:pt>
                <c:pt idx="2593">
                  <c:v>5.9591630366520212</c:v>
                </c:pt>
                <c:pt idx="2594">
                  <c:v>5.958020402602207</c:v>
                </c:pt>
                <c:pt idx="2595">
                  <c:v>5.9568779876456723</c:v>
                </c:pt>
                <c:pt idx="2596">
                  <c:v>5.9557357917404072</c:v>
                </c:pt>
                <c:pt idx="2597">
                  <c:v>5.9545938148444097</c:v>
                </c:pt>
                <c:pt idx="2598">
                  <c:v>5.9534520569156859</c:v>
                </c:pt>
                <c:pt idx="2599">
                  <c:v>5.9523105179122506</c:v>
                </c:pt>
                <c:pt idx="2600">
                  <c:v>5.9511691977921259</c:v>
                </c:pt>
                <c:pt idx="2601">
                  <c:v>5.9500280965133427</c:v>
                </c:pt>
                <c:pt idx="2602">
                  <c:v>5.9488872140339391</c:v>
                </c:pt>
                <c:pt idx="2603">
                  <c:v>5.9477465503119609</c:v>
                </c:pt>
                <c:pt idx="2604">
                  <c:v>5.946606105305464</c:v>
                </c:pt>
                <c:pt idx="2605">
                  <c:v>5.9454658789725103</c:v>
                </c:pt>
                <c:pt idx="2606">
                  <c:v>5.9443258712711708</c:v>
                </c:pt>
                <c:pt idx="2607">
                  <c:v>5.9431860821595235</c:v>
                </c:pt>
                <c:pt idx="2608">
                  <c:v>5.942046511595656</c:v>
                </c:pt>
                <c:pt idx="2609">
                  <c:v>5.9409071595376624</c:v>
                </c:pt>
                <c:pt idx="2610">
                  <c:v>5.9397680259436454</c:v>
                </c:pt>
                <c:pt idx="2611">
                  <c:v>5.938629110771716</c:v>
                </c:pt>
                <c:pt idx="2612">
                  <c:v>5.9374904139799938</c:v>
                </c:pt>
                <c:pt idx="2613">
                  <c:v>5.9363519355266048</c:v>
                </c:pt>
                <c:pt idx="2614">
                  <c:v>5.9352136753696847</c:v>
                </c:pt>
                <c:pt idx="2615">
                  <c:v>5.9340756334673754</c:v>
                </c:pt>
                <c:pt idx="2616">
                  <c:v>5.9329378097778287</c:v>
                </c:pt>
                <c:pt idx="2617">
                  <c:v>5.9318002042592033</c:v>
                </c:pt>
                <c:pt idx="2618">
                  <c:v>5.930662816869666</c:v>
                </c:pt>
                <c:pt idx="2619">
                  <c:v>5.9295256475673925</c:v>
                </c:pt>
                <c:pt idx="2620">
                  <c:v>5.9283886963105656</c:v>
                </c:pt>
                <c:pt idx="2621">
                  <c:v>5.9272519630573761</c:v>
                </c:pt>
                <c:pt idx="2622">
                  <c:v>5.9261154477660236</c:v>
                </c:pt>
                <c:pt idx="2623">
                  <c:v>5.9249791503947149</c:v>
                </c:pt>
                <c:pt idx="2624">
                  <c:v>5.9238430709016647</c:v>
                </c:pt>
                <c:pt idx="2625">
                  <c:v>5.9227072092450967</c:v>
                </c:pt>
                <c:pt idx="2626">
                  <c:v>5.9215715653832426</c:v>
                </c:pt>
                <c:pt idx="2627">
                  <c:v>5.9204361392743401</c:v>
                </c:pt>
                <c:pt idx="2628">
                  <c:v>5.9193009308766378</c:v>
                </c:pt>
                <c:pt idx="2629">
                  <c:v>5.9181659401483904</c:v>
                </c:pt>
                <c:pt idx="2630">
                  <c:v>5.9170311670478606</c:v>
                </c:pt>
                <c:pt idx="2631">
                  <c:v>5.91589661153332</c:v>
                </c:pt>
                <c:pt idx="2632">
                  <c:v>5.9147622735630474</c:v>
                </c:pt>
                <c:pt idx="2633">
                  <c:v>5.9136281530953303</c:v>
                </c:pt>
                <c:pt idx="2634">
                  <c:v>5.9124942500884634</c:v>
                </c:pt>
                <c:pt idx="2635">
                  <c:v>5.9113605645007503</c:v>
                </c:pt>
                <c:pt idx="2636">
                  <c:v>5.9102270962905026</c:v>
                </c:pt>
                <c:pt idx="2637">
                  <c:v>5.9090938454160389</c:v>
                </c:pt>
                <c:pt idx="2638">
                  <c:v>5.9079608118356868</c:v>
                </c:pt>
                <c:pt idx="2639">
                  <c:v>5.9068279955077809</c:v>
                </c:pt>
                <c:pt idx="2640">
                  <c:v>5.9056953963906649</c:v>
                </c:pt>
                <c:pt idx="2641">
                  <c:v>5.9045630144426893</c:v>
                </c:pt>
                <c:pt idx="2642">
                  <c:v>5.9034308496222136</c:v>
                </c:pt>
                <c:pt idx="2643">
                  <c:v>5.9022989018876046</c:v>
                </c:pt>
                <c:pt idx="2644">
                  <c:v>5.9011671711972378</c:v>
                </c:pt>
                <c:pt idx="2645">
                  <c:v>5.9000356575094957</c:v>
                </c:pt>
                <c:pt idx="2646">
                  <c:v>5.8989043607827698</c:v>
                </c:pt>
                <c:pt idx="2647">
                  <c:v>5.8977732809754588</c:v>
                </c:pt>
                <c:pt idx="2648">
                  <c:v>5.8966424180459702</c:v>
                </c:pt>
                <c:pt idx="2649">
                  <c:v>5.8955117719527186</c:v>
                </c:pt>
                <c:pt idx="2650">
                  <c:v>5.8943813426541274</c:v>
                </c:pt>
                <c:pt idx="2651">
                  <c:v>5.8932511301086272</c:v>
                </c:pt>
                <c:pt idx="2652">
                  <c:v>5.8921211342746567</c:v>
                </c:pt>
                <c:pt idx="2653">
                  <c:v>5.8909913551106623</c:v>
                </c:pt>
                <c:pt idx="2654">
                  <c:v>5.8898617925750996</c:v>
                </c:pt>
                <c:pt idx="2655">
                  <c:v>5.888732446626431</c:v>
                </c:pt>
                <c:pt idx="2656">
                  <c:v>5.8876033172231281</c:v>
                </c:pt>
                <c:pt idx="2657">
                  <c:v>5.8864744043236685</c:v>
                </c:pt>
                <c:pt idx="2658">
                  <c:v>5.8853457078865397</c:v>
                </c:pt>
                <c:pt idx="2659">
                  <c:v>5.8842172278702352</c:v>
                </c:pt>
                <c:pt idx="2660">
                  <c:v>5.8830889642332584</c:v>
                </c:pt>
                <c:pt idx="2661">
                  <c:v>5.88196091693412</c:v>
                </c:pt>
                <c:pt idx="2662">
                  <c:v>5.8808330859313385</c:v>
                </c:pt>
                <c:pt idx="2663">
                  <c:v>5.8797054711834402</c:v>
                </c:pt>
                <c:pt idx="2664">
                  <c:v>5.8785780726489598</c:v>
                </c:pt>
                <c:pt idx="2665">
                  <c:v>5.8774508902864389</c:v>
                </c:pt>
                <c:pt idx="2666">
                  <c:v>5.8763239240544278</c:v>
                </c:pt>
                <c:pt idx="2667">
                  <c:v>5.8751971739114861</c:v>
                </c:pt>
                <c:pt idx="2668">
                  <c:v>5.8740706398161784</c:v>
                </c:pt>
                <c:pt idx="2669">
                  <c:v>5.87294432172708</c:v>
                </c:pt>
                <c:pt idx="2670">
                  <c:v>5.8718182196027726</c:v>
                </c:pt>
                <c:pt idx="2671">
                  <c:v>5.8706923334018457</c:v>
                </c:pt>
                <c:pt idx="2672">
                  <c:v>5.8695666630828978</c:v>
                </c:pt>
                <c:pt idx="2673">
                  <c:v>5.8684412086045352</c:v>
                </c:pt>
                <c:pt idx="2674">
                  <c:v>5.8673159699253716</c:v>
                </c:pt>
                <c:pt idx="2675">
                  <c:v>5.8661909470040285</c:v>
                </c:pt>
                <c:pt idx="2676">
                  <c:v>5.8650661397991355</c:v>
                </c:pt>
                <c:pt idx="2677">
                  <c:v>5.86394154826933</c:v>
                </c:pt>
                <c:pt idx="2678">
                  <c:v>5.8628171723732585</c:v>
                </c:pt>
                <c:pt idx="2679">
                  <c:v>5.8616930120695736</c:v>
                </c:pt>
                <c:pt idx="2680">
                  <c:v>5.8605690673169377</c:v>
                </c:pt>
                <c:pt idx="2681">
                  <c:v>5.8594453380740195</c:v>
                </c:pt>
                <c:pt idx="2682">
                  <c:v>5.8583218242994963</c:v>
                </c:pt>
                <c:pt idx="2683">
                  <c:v>5.8571985259520529</c:v>
                </c:pt>
                <c:pt idx="2684">
                  <c:v>5.8560754429903836</c:v>
                </c:pt>
                <c:pt idx="2685">
                  <c:v>5.8549525753731881</c:v>
                </c:pt>
                <c:pt idx="2686">
                  <c:v>5.8538299230591768</c:v>
                </c:pt>
                <c:pt idx="2687">
                  <c:v>5.8527074860070654</c:v>
                </c:pt>
                <c:pt idx="2688">
                  <c:v>5.8515852641755792</c:v>
                </c:pt>
                <c:pt idx="2689">
                  <c:v>5.850463257523451</c:v>
                </c:pt>
                <c:pt idx="2690">
                  <c:v>5.8493414660094212</c:v>
                </c:pt>
                <c:pt idx="2691">
                  <c:v>5.8482198895922393</c:v>
                </c:pt>
                <c:pt idx="2692">
                  <c:v>5.8470985282306609</c:v>
                </c:pt>
                <c:pt idx="2693">
                  <c:v>5.8459773818834506</c:v>
                </c:pt>
                <c:pt idx="2694">
                  <c:v>5.8448564505093801</c:v>
                </c:pt>
                <c:pt idx="2695">
                  <c:v>5.8437357340672298</c:v>
                </c:pt>
                <c:pt idx="2696">
                  <c:v>5.8426152325157883</c:v>
                </c:pt>
                <c:pt idx="2697">
                  <c:v>5.8414949458138512</c:v>
                </c:pt>
                <c:pt idx="2698">
                  <c:v>5.8403748739202221</c:v>
                </c:pt>
                <c:pt idx="2699">
                  <c:v>5.8392550167937136</c:v>
                </c:pt>
                <c:pt idx="2700">
                  <c:v>5.8381353743931452</c:v>
                </c:pt>
                <c:pt idx="2701">
                  <c:v>5.8370159466773437</c:v>
                </c:pt>
                <c:pt idx="2702">
                  <c:v>5.8358967336051455</c:v>
                </c:pt>
                <c:pt idx="2703">
                  <c:v>5.8347777351353933</c:v>
                </c:pt>
                <c:pt idx="2704">
                  <c:v>5.8336589512269388</c:v>
                </c:pt>
                <c:pt idx="2705">
                  <c:v>5.8325403818386405</c:v>
                </c:pt>
                <c:pt idx="2706">
                  <c:v>5.8314220269293662</c:v>
                </c:pt>
                <c:pt idx="2707">
                  <c:v>5.8303038864579904</c:v>
                </c:pt>
                <c:pt idx="2708">
                  <c:v>5.8291859603833958</c:v>
                </c:pt>
                <c:pt idx="2709">
                  <c:v>5.8280682486644739</c:v>
                </c:pt>
                <c:pt idx="2710">
                  <c:v>5.8269507512601226</c:v>
                </c:pt>
                <c:pt idx="2711">
                  <c:v>5.8258334681292485</c:v>
                </c:pt>
                <c:pt idx="2712">
                  <c:v>5.8247163992307653</c:v>
                </c:pt>
                <c:pt idx="2713">
                  <c:v>5.8235995445235966</c:v>
                </c:pt>
                <c:pt idx="2714">
                  <c:v>5.8224829039666712</c:v>
                </c:pt>
                <c:pt idx="2715">
                  <c:v>5.8213664775189278</c:v>
                </c:pt>
                <c:pt idx="2716">
                  <c:v>5.820250265139312</c:v>
                </c:pt>
                <c:pt idx="2717">
                  <c:v>5.8191342667867776</c:v>
                </c:pt>
                <c:pt idx="2718">
                  <c:v>5.8180184824202854</c:v>
                </c:pt>
                <c:pt idx="2719">
                  <c:v>5.816902911998806</c:v>
                </c:pt>
                <c:pt idx="2720">
                  <c:v>5.8157875554813163</c:v>
                </c:pt>
                <c:pt idx="2721">
                  <c:v>5.814672412826801</c:v>
                </c:pt>
                <c:pt idx="2722">
                  <c:v>5.8135574839942539</c:v>
                </c:pt>
                <c:pt idx="2723">
                  <c:v>5.8124427689426756</c:v>
                </c:pt>
                <c:pt idx="2724">
                  <c:v>5.8113282676310751</c:v>
                </c:pt>
                <c:pt idx="2725">
                  <c:v>5.8102139800184682</c:v>
                </c:pt>
                <c:pt idx="2726">
                  <c:v>5.8090999060638806</c:v>
                </c:pt>
                <c:pt idx="2727">
                  <c:v>5.8079860457263441</c:v>
                </c:pt>
                <c:pt idx="2728">
                  <c:v>5.8068723989648987</c:v>
                </c:pt>
                <c:pt idx="2729">
                  <c:v>5.8057589657385922</c:v>
                </c:pt>
                <c:pt idx="2730">
                  <c:v>5.8046457460064813</c:v>
                </c:pt>
                <c:pt idx="2731">
                  <c:v>5.8035327397276291</c:v>
                </c:pt>
                <c:pt idx="2732">
                  <c:v>5.8024199468611073</c:v>
                </c:pt>
                <c:pt idx="2733">
                  <c:v>5.8013073673659958</c:v>
                </c:pt>
                <c:pt idx="2734">
                  <c:v>5.8001950012013817</c:v>
                </c:pt>
                <c:pt idx="2735">
                  <c:v>5.7990828483263597</c:v>
                </c:pt>
                <c:pt idx="2736">
                  <c:v>5.7979709087000337</c:v>
                </c:pt>
                <c:pt idx="2737">
                  <c:v>5.7968591822815139</c:v>
                </c:pt>
                <c:pt idx="2738">
                  <c:v>5.795747669029919</c:v>
                </c:pt>
                <c:pt idx="2739">
                  <c:v>5.7946363689043752</c:v>
                </c:pt>
                <c:pt idx="2740">
                  <c:v>5.7935252818640173</c:v>
                </c:pt>
                <c:pt idx="2741">
                  <c:v>5.7924144078679873</c:v>
                </c:pt>
                <c:pt idx="2742">
                  <c:v>5.7913037468754354</c:v>
                </c:pt>
                <c:pt idx="2743">
                  <c:v>5.7901932988455194</c:v>
                </c:pt>
                <c:pt idx="2744">
                  <c:v>5.7890830637374053</c:v>
                </c:pt>
                <c:pt idx="2745">
                  <c:v>5.7879730415102664</c:v>
                </c:pt>
                <c:pt idx="2746">
                  <c:v>5.7868632321232836</c:v>
                </c:pt>
                <c:pt idx="2747">
                  <c:v>5.785753635535646</c:v>
                </c:pt>
                <c:pt idx="2748">
                  <c:v>5.7846442517065517</c:v>
                </c:pt>
                <c:pt idx="2749">
                  <c:v>5.7835350805952048</c:v>
                </c:pt>
                <c:pt idx="2750">
                  <c:v>5.7824261221608175</c:v>
                </c:pt>
                <c:pt idx="2751">
                  <c:v>5.7813173763626109</c:v>
                </c:pt>
                <c:pt idx="2752">
                  <c:v>5.7802088431598131</c:v>
                </c:pt>
                <c:pt idx="2753">
                  <c:v>5.7791005225116603</c:v>
                </c:pt>
                <c:pt idx="2754">
                  <c:v>5.7779924143773957</c:v>
                </c:pt>
                <c:pt idx="2755">
                  <c:v>5.7768845187162716</c:v>
                </c:pt>
                <c:pt idx="2756">
                  <c:v>5.7757768354875481</c:v>
                </c:pt>
                <c:pt idx="2757">
                  <c:v>5.7746693646504914</c:v>
                </c:pt>
                <c:pt idx="2758">
                  <c:v>5.7735621061643778</c:v>
                </c:pt>
                <c:pt idx="2759">
                  <c:v>5.7724550599884896</c:v>
                </c:pt>
                <c:pt idx="2760">
                  <c:v>5.7713482260821172</c:v>
                </c:pt>
                <c:pt idx="2761">
                  <c:v>5.7702416044045597</c:v>
                </c:pt>
                <c:pt idx="2762">
                  <c:v>5.7691351949151235</c:v>
                </c:pt>
                <c:pt idx="2763">
                  <c:v>5.7680289975731229</c:v>
                </c:pt>
                <c:pt idx="2764">
                  <c:v>5.7669230123378803</c:v>
                </c:pt>
                <c:pt idx="2765">
                  <c:v>5.7658172391687241</c:v>
                </c:pt>
                <c:pt idx="2766">
                  <c:v>5.7647116780249927</c:v>
                </c:pt>
                <c:pt idx="2767">
                  <c:v>5.7636063288660315</c:v>
                </c:pt>
                <c:pt idx="2768">
                  <c:v>5.7625011916511939</c:v>
                </c:pt>
                <c:pt idx="2769">
                  <c:v>5.7613962663398413</c:v>
                </c:pt>
                <c:pt idx="2770">
                  <c:v>5.7602915528913412</c:v>
                </c:pt>
                <c:pt idx="2771">
                  <c:v>5.7591870512650711</c:v>
                </c:pt>
                <c:pt idx="2772">
                  <c:v>5.7580827614204146</c:v>
                </c:pt>
                <c:pt idx="2773">
                  <c:v>5.7569786833167651</c:v>
                </c:pt>
                <c:pt idx="2774">
                  <c:v>5.7558748169135212</c:v>
                </c:pt>
                <c:pt idx="2775">
                  <c:v>5.7547711621700914</c:v>
                </c:pt>
                <c:pt idx="2776">
                  <c:v>5.7536677190458905</c:v>
                </c:pt>
                <c:pt idx="2777">
                  <c:v>5.7525644875003419</c:v>
                </c:pt>
                <c:pt idx="2778">
                  <c:v>5.7514614674928772</c:v>
                </c:pt>
                <c:pt idx="2779">
                  <c:v>5.7503586589829352</c:v>
                </c:pt>
                <c:pt idx="2780">
                  <c:v>5.7492560619299624</c:v>
                </c:pt>
                <c:pt idx="2781">
                  <c:v>5.7481536762934127</c:v>
                </c:pt>
                <c:pt idx="2782">
                  <c:v>5.7470515020327486</c:v>
                </c:pt>
                <c:pt idx="2783">
                  <c:v>5.74594953910744</c:v>
                </c:pt>
                <c:pt idx="2784">
                  <c:v>5.7448477874769646</c:v>
                </c:pt>
                <c:pt idx="2785">
                  <c:v>5.7437462471008081</c:v>
                </c:pt>
                <c:pt idx="2786">
                  <c:v>5.7426449179384633</c:v>
                </c:pt>
                <c:pt idx="2787">
                  <c:v>5.7415437999494321</c:v>
                </c:pt>
                <c:pt idx="2788">
                  <c:v>5.7404428930932223</c:v>
                </c:pt>
                <c:pt idx="2789">
                  <c:v>5.7393421973293508</c:v>
                </c:pt>
                <c:pt idx="2790">
                  <c:v>5.7382417126173415</c:v>
                </c:pt>
                <c:pt idx="2791">
                  <c:v>5.7371414389167272</c:v>
                </c:pt>
                <c:pt idx="2792">
                  <c:v>5.736041376187047</c:v>
                </c:pt>
                <c:pt idx="2793">
                  <c:v>5.7349415243878488</c:v>
                </c:pt>
                <c:pt idx="2794">
                  <c:v>5.7338418834786884</c:v>
                </c:pt>
                <c:pt idx="2795">
                  <c:v>5.732742453419128</c:v>
                </c:pt>
                <c:pt idx="2796">
                  <c:v>5.7316432341687396</c:v>
                </c:pt>
                <c:pt idx="2797">
                  <c:v>5.7305442256871011</c:v>
                </c:pt>
                <c:pt idx="2798">
                  <c:v>5.7294454279337987</c:v>
                </c:pt>
                <c:pt idx="2799">
                  <c:v>5.7283468408684266</c:v>
                </c:pt>
                <c:pt idx="2800">
                  <c:v>5.7272484644505868</c:v>
                </c:pt>
                <c:pt idx="2801">
                  <c:v>5.7261502986398884</c:v>
                </c:pt>
                <c:pt idx="2802">
                  <c:v>5.7250523433959497</c:v>
                </c:pt>
                <c:pt idx="2803">
                  <c:v>5.7239545986783948</c:v>
                </c:pt>
                <c:pt idx="2804">
                  <c:v>5.722857064446857</c:v>
                </c:pt>
                <c:pt idx="2805">
                  <c:v>5.7217597406609766</c:v>
                </c:pt>
                <c:pt idx="2806">
                  <c:v>5.7206626272804018</c:v>
                </c:pt>
                <c:pt idx="2807">
                  <c:v>5.7195657242647888</c:v>
                </c:pt>
                <c:pt idx="2808">
                  <c:v>5.718469031573802</c:v>
                </c:pt>
                <c:pt idx="2809">
                  <c:v>5.7173725491671119</c:v>
                </c:pt>
                <c:pt idx="2810">
                  <c:v>5.7162762770043987</c:v>
                </c:pt>
                <c:pt idx="2811">
                  <c:v>5.7151802150453488</c:v>
                </c:pt>
                <c:pt idx="2812">
                  <c:v>5.7140843632496567</c:v>
                </c:pt>
                <c:pt idx="2813">
                  <c:v>5.712988721577025</c:v>
                </c:pt>
                <c:pt idx="2814">
                  <c:v>5.7118932899871639</c:v>
                </c:pt>
                <c:pt idx="2815">
                  <c:v>5.7107980684397921</c:v>
                </c:pt>
                <c:pt idx="2816">
                  <c:v>5.7097030568946341</c:v>
                </c:pt>
                <c:pt idx="2817">
                  <c:v>5.7086082553114235</c:v>
                </c:pt>
                <c:pt idx="2818">
                  <c:v>5.7075136636499018</c:v>
                </c:pt>
                <c:pt idx="2819">
                  <c:v>5.7064192818698167</c:v>
                </c:pt>
                <c:pt idx="2820">
                  <c:v>5.7053251099309259</c:v>
                </c:pt>
                <c:pt idx="2821">
                  <c:v>5.704231147792993</c:v>
                </c:pt>
                <c:pt idx="2822">
                  <c:v>5.7031373954157898</c:v>
                </c:pt>
                <c:pt idx="2823">
                  <c:v>5.702043852759096</c:v>
                </c:pt>
                <c:pt idx="2824">
                  <c:v>5.7009505197826993</c:v>
                </c:pt>
                <c:pt idx="2825">
                  <c:v>5.6998573964463946</c:v>
                </c:pt>
                <c:pt idx="2826">
                  <c:v>5.6987644827099846</c:v>
                </c:pt>
                <c:pt idx="2827">
                  <c:v>5.6976717785332793</c:v>
                </c:pt>
                <c:pt idx="2828">
                  <c:v>5.6965792838760976</c:v>
                </c:pt>
                <c:pt idx="2829">
                  <c:v>5.6954869986982652</c:v>
                </c:pt>
                <c:pt idx="2830">
                  <c:v>5.6943949229596154</c:v>
                </c:pt>
                <c:pt idx="2831">
                  <c:v>5.6933030566199898</c:v>
                </c:pt>
                <c:pt idx="2832">
                  <c:v>5.6922113996392367</c:v>
                </c:pt>
                <c:pt idx="2833">
                  <c:v>5.6911199519772131</c:v>
                </c:pt>
                <c:pt idx="2834">
                  <c:v>5.6900287135937839</c:v>
                </c:pt>
                <c:pt idx="2835">
                  <c:v>5.6889376844488213</c:v>
                </c:pt>
                <c:pt idx="2836">
                  <c:v>5.6878468645022044</c:v>
                </c:pt>
                <c:pt idx="2837">
                  <c:v>5.6867562537138205</c:v>
                </c:pt>
                <c:pt idx="2838">
                  <c:v>5.6856658520435657</c:v>
                </c:pt>
                <c:pt idx="2839">
                  <c:v>5.6845756594513421</c:v>
                </c:pt>
                <c:pt idx="2840">
                  <c:v>5.6834856758970602</c:v>
                </c:pt>
                <c:pt idx="2841">
                  <c:v>5.6823959013406382</c:v>
                </c:pt>
                <c:pt idx="2842">
                  <c:v>5.6813063357420024</c:v>
                </c:pt>
                <c:pt idx="2843">
                  <c:v>5.6802169790610861</c:v>
                </c:pt>
                <c:pt idx="2844">
                  <c:v>5.6791278312578308</c:v>
                </c:pt>
                <c:pt idx="2845">
                  <c:v>5.6780388922921858</c:v>
                </c:pt>
                <c:pt idx="2846">
                  <c:v>5.6769501621241067</c:v>
                </c:pt>
                <c:pt idx="2847">
                  <c:v>5.6758616407135589</c:v>
                </c:pt>
                <c:pt idx="2848">
                  <c:v>5.6747733280205139</c:v>
                </c:pt>
                <c:pt idx="2849">
                  <c:v>5.6736852240049513</c:v>
                </c:pt>
                <c:pt idx="2850">
                  <c:v>5.6725973286268587</c:v>
                </c:pt>
                <c:pt idx="2851">
                  <c:v>5.6715096418462307</c:v>
                </c:pt>
                <c:pt idx="2852">
                  <c:v>5.6704221636230701</c:v>
                </c:pt>
                <c:pt idx="2853">
                  <c:v>5.6693348939173873</c:v>
                </c:pt>
                <c:pt idx="2854">
                  <c:v>5.6682478326892003</c:v>
                </c:pt>
                <c:pt idx="2855">
                  <c:v>5.6671609798985347</c:v>
                </c:pt>
                <c:pt idx="2856">
                  <c:v>5.6660743355054235</c:v>
                </c:pt>
                <c:pt idx="2857">
                  <c:v>5.6649878994699083</c:v>
                </c:pt>
                <c:pt idx="2858">
                  <c:v>5.6639016717520381</c:v>
                </c:pt>
                <c:pt idx="2859">
                  <c:v>5.6628156523118687</c:v>
                </c:pt>
                <c:pt idx="2860">
                  <c:v>5.6617298411094641</c:v>
                </c:pt>
                <c:pt idx="2861">
                  <c:v>5.6606442381048963</c:v>
                </c:pt>
                <c:pt idx="2862">
                  <c:v>5.6595588432582442</c:v>
                </c:pt>
                <c:pt idx="2863">
                  <c:v>5.6584736565295941</c:v>
                </c:pt>
                <c:pt idx="2864">
                  <c:v>5.6573886778790419</c:v>
                </c:pt>
                <c:pt idx="2865">
                  <c:v>5.6563039072666887</c:v>
                </c:pt>
                <c:pt idx="2866">
                  <c:v>5.6552193446526458</c:v>
                </c:pt>
                <c:pt idx="2867">
                  <c:v>5.6541349899970301</c:v>
                </c:pt>
                <c:pt idx="2868">
                  <c:v>5.6530508432599662</c:v>
                </c:pt>
                <c:pt idx="2869">
                  <c:v>5.6519669044015872</c:v>
                </c:pt>
                <c:pt idx="2870">
                  <c:v>5.6508831733820344</c:v>
                </c:pt>
                <c:pt idx="2871">
                  <c:v>5.6497996501614551</c:v>
                </c:pt>
                <c:pt idx="2872">
                  <c:v>5.6487163347000058</c:v>
                </c:pt>
                <c:pt idx="2873">
                  <c:v>5.6476332269578489</c:v>
                </c:pt>
                <c:pt idx="2874">
                  <c:v>5.6465503268951567</c:v>
                </c:pt>
                <c:pt idx="2875">
                  <c:v>5.6454676344721069</c:v>
                </c:pt>
                <c:pt idx="2876">
                  <c:v>5.6443851496488859</c:v>
                </c:pt>
                <c:pt idx="2877">
                  <c:v>5.6433028723856884</c:v>
                </c:pt>
                <c:pt idx="2878">
                  <c:v>5.6422208026427159</c:v>
                </c:pt>
                <c:pt idx="2879">
                  <c:v>5.641138940380177</c:v>
                </c:pt>
                <c:pt idx="2880">
                  <c:v>5.6400572855582887</c:v>
                </c:pt>
                <c:pt idx="2881">
                  <c:v>5.6389758381372754</c:v>
                </c:pt>
                <c:pt idx="2882">
                  <c:v>5.63789459807737</c:v>
                </c:pt>
                <c:pt idx="2883">
                  <c:v>5.6368135653388114</c:v>
                </c:pt>
                <c:pt idx="2884">
                  <c:v>5.6357327398818473</c:v>
                </c:pt>
                <c:pt idx="2885">
                  <c:v>5.6346521216667327</c:v>
                </c:pt>
                <c:pt idx="2886">
                  <c:v>5.6335717106537304</c:v>
                </c:pt>
                <c:pt idx="2887">
                  <c:v>5.6324915068031105</c:v>
                </c:pt>
                <c:pt idx="2888">
                  <c:v>5.631411510075151</c:v>
                </c:pt>
                <c:pt idx="2889">
                  <c:v>5.6303317204301369</c:v>
                </c:pt>
                <c:pt idx="2890">
                  <c:v>5.6292521378283613</c:v>
                </c:pt>
                <c:pt idx="2891">
                  <c:v>5.6281727622301254</c:v>
                </c:pt>
                <c:pt idx="2892">
                  <c:v>5.6270935935957374</c:v>
                </c:pt>
                <c:pt idx="2893">
                  <c:v>5.6260146318855124</c:v>
                </c:pt>
                <c:pt idx="2894">
                  <c:v>5.6249358770597748</c:v>
                </c:pt>
                <c:pt idx="2895">
                  <c:v>5.6238573290788558</c:v>
                </c:pt>
                <c:pt idx="2896">
                  <c:v>5.6227789879030938</c:v>
                </c:pt>
                <c:pt idx="2897">
                  <c:v>5.6217008534928343</c:v>
                </c:pt>
                <c:pt idx="2898">
                  <c:v>5.6206229258084326</c:v>
                </c:pt>
                <c:pt idx="2899">
                  <c:v>5.6195452048102492</c:v>
                </c:pt>
                <c:pt idx="2900">
                  <c:v>5.6184676904586546</c:v>
                </c:pt>
                <c:pt idx="2901">
                  <c:v>5.6173903827140244</c:v>
                </c:pt>
                <c:pt idx="2902">
                  <c:v>5.6163132815367431</c:v>
                </c:pt>
                <c:pt idx="2903">
                  <c:v>5.6152363868872026</c:v>
                </c:pt>
                <c:pt idx="2904">
                  <c:v>5.6141596987258033</c:v>
                </c:pt>
                <c:pt idx="2905">
                  <c:v>5.6130832170129512</c:v>
                </c:pt>
                <c:pt idx="2906">
                  <c:v>5.6120069417090619</c:v>
                </c:pt>
                <c:pt idx="2907">
                  <c:v>5.6109308727745573</c:v>
                </c:pt>
                <c:pt idx="2908">
                  <c:v>5.6098550101698672</c:v>
                </c:pt>
                <c:pt idx="2909">
                  <c:v>5.6087793538554287</c:v>
                </c:pt>
                <c:pt idx="2910">
                  <c:v>5.6077039037916876</c:v>
                </c:pt>
                <c:pt idx="2911">
                  <c:v>5.606628659939096</c:v>
                </c:pt>
                <c:pt idx="2912">
                  <c:v>5.6055536222581148</c:v>
                </c:pt>
                <c:pt idx="2913">
                  <c:v>5.6044787907092113</c:v>
                </c:pt>
                <c:pt idx="2914">
                  <c:v>5.6034041652528614</c:v>
                </c:pt>
                <c:pt idx="2915">
                  <c:v>5.6023297458495476</c:v>
                </c:pt>
                <c:pt idx="2916">
                  <c:v>5.6012555324597608</c:v>
                </c:pt>
                <c:pt idx="2917">
                  <c:v>5.6001815250439986</c:v>
                </c:pt>
                <c:pt idx="2918">
                  <c:v>5.5991077235627671</c:v>
                </c:pt>
                <c:pt idx="2919">
                  <c:v>5.5980341279765797</c:v>
                </c:pt>
                <c:pt idx="2920">
                  <c:v>5.596960738245957</c:v>
                </c:pt>
                <c:pt idx="2921">
                  <c:v>5.5958875543314273</c:v>
                </c:pt>
                <c:pt idx="2922">
                  <c:v>5.5948145761935271</c:v>
                </c:pt>
                <c:pt idx="2923">
                  <c:v>5.5937418037927991</c:v>
                </c:pt>
                <c:pt idx="2924">
                  <c:v>5.5926692370897957</c:v>
                </c:pt>
                <c:pt idx="2925">
                  <c:v>5.5915968760450747</c:v>
                </c:pt>
                <c:pt idx="2926">
                  <c:v>5.5905247206192019</c:v>
                </c:pt>
                <c:pt idx="2927">
                  <c:v>5.5894527707727519</c:v>
                </c:pt>
                <c:pt idx="2928">
                  <c:v>5.5883810264663065</c:v>
                </c:pt>
                <c:pt idx="2929">
                  <c:v>5.5873094876604537</c:v>
                </c:pt>
                <c:pt idx="2930">
                  <c:v>5.5862381543157902</c:v>
                </c:pt>
                <c:pt idx="2931">
                  <c:v>5.5851670263929201</c:v>
                </c:pt>
                <c:pt idx="2932">
                  <c:v>5.5840961038524553</c:v>
                </c:pt>
                <c:pt idx="2933">
                  <c:v>5.5830253866550148</c:v>
                </c:pt>
                <c:pt idx="2934">
                  <c:v>5.5819548747612249</c:v>
                </c:pt>
                <c:pt idx="2935">
                  <c:v>5.5808845681317196</c:v>
                </c:pt>
                <c:pt idx="2936">
                  <c:v>5.5798144667271412</c:v>
                </c:pt>
                <c:pt idx="2937">
                  <c:v>5.5787445705081398</c:v>
                </c:pt>
                <c:pt idx="2938">
                  <c:v>5.5776748794353708</c:v>
                </c:pt>
                <c:pt idx="2939">
                  <c:v>5.5766053934694995</c:v>
                </c:pt>
                <c:pt idx="2940">
                  <c:v>5.5755361125711982</c:v>
                </c:pt>
                <c:pt idx="2941">
                  <c:v>5.5744670367011455</c:v>
                </c:pt>
                <c:pt idx="2942">
                  <c:v>5.5733981658200289</c:v>
                </c:pt>
                <c:pt idx="2943">
                  <c:v>5.5723294998885429</c:v>
                </c:pt>
                <c:pt idx="2944">
                  <c:v>5.57126103886739</c:v>
                </c:pt>
                <c:pt idx="2945">
                  <c:v>5.5701927827172799</c:v>
                </c:pt>
                <c:pt idx="2946">
                  <c:v>5.5691247313989294</c:v>
                </c:pt>
                <c:pt idx="2947">
                  <c:v>5.5680568848730632</c:v>
                </c:pt>
                <c:pt idx="2948">
                  <c:v>5.566989243100414</c:v>
                </c:pt>
                <c:pt idx="2949">
                  <c:v>5.5659218060417208</c:v>
                </c:pt>
                <c:pt idx="2950">
                  <c:v>5.5648545736577315</c:v>
                </c:pt>
                <c:pt idx="2951">
                  <c:v>5.563787545909201</c:v>
                </c:pt>
                <c:pt idx="2952">
                  <c:v>5.5627207227568913</c:v>
                </c:pt>
                <c:pt idx="2953">
                  <c:v>5.5616541041615726</c:v>
                </c:pt>
                <c:pt idx="2954">
                  <c:v>5.5605876900840219</c:v>
                </c:pt>
                <c:pt idx="2955">
                  <c:v>5.5595214804850244</c:v>
                </c:pt>
                <c:pt idx="2956">
                  <c:v>5.5584554753253723</c:v>
                </c:pt>
                <c:pt idx="2957">
                  <c:v>5.557389674565866</c:v>
                </c:pt>
                <c:pt idx="2958">
                  <c:v>5.5563240781673136</c:v>
                </c:pt>
                <c:pt idx="2959">
                  <c:v>5.5552586860905286</c:v>
                </c:pt>
                <c:pt idx="2960">
                  <c:v>5.5541934982963346</c:v>
                </c:pt>
                <c:pt idx="2961">
                  <c:v>5.5531285147455609</c:v>
                </c:pt>
                <c:pt idx="2962">
                  <c:v>5.5520637353990461</c:v>
                </c:pt>
                <c:pt idx="2963">
                  <c:v>5.5509991602176338</c:v>
                </c:pt>
                <c:pt idx="2964">
                  <c:v>5.5499347891621778</c:v>
                </c:pt>
                <c:pt idx="2965">
                  <c:v>5.5488706221935375</c:v>
                </c:pt>
                <c:pt idx="2966">
                  <c:v>5.547806659272581</c:v>
                </c:pt>
                <c:pt idx="2967">
                  <c:v>5.5467429003601829</c:v>
                </c:pt>
                <c:pt idx="2968">
                  <c:v>5.5456793454172262</c:v>
                </c:pt>
                <c:pt idx="2969">
                  <c:v>5.5446159944046007</c:v>
                </c:pt>
                <c:pt idx="2970">
                  <c:v>5.5435528472832036</c:v>
                </c:pt>
                <c:pt idx="2971">
                  <c:v>5.5424899040139408</c:v>
                </c:pt>
                <c:pt idx="2972">
                  <c:v>5.5414271645577244</c:v>
                </c:pt>
                <c:pt idx="2973">
                  <c:v>5.5403646288754738</c:v>
                </c:pt>
                <c:pt idx="2974">
                  <c:v>5.5393022969281178</c:v>
                </c:pt>
                <c:pt idx="2975">
                  <c:v>5.538240168676591</c:v>
                </c:pt>
                <c:pt idx="2976">
                  <c:v>5.5371782440818356</c:v>
                </c:pt>
                <c:pt idx="2977">
                  <c:v>5.536116523104802</c:v>
                </c:pt>
                <c:pt idx="2978">
                  <c:v>5.5350550057064467</c:v>
                </c:pt>
                <c:pt idx="2979">
                  <c:v>5.5339936918477362</c:v>
                </c:pt>
                <c:pt idx="2980">
                  <c:v>5.532932581489642</c:v>
                </c:pt>
                <c:pt idx="2981">
                  <c:v>5.5318716745931447</c:v>
                </c:pt>
                <c:pt idx="2982">
                  <c:v>5.530810971119231</c:v>
                </c:pt>
                <c:pt idx="2983">
                  <c:v>5.5297504710288967</c:v>
                </c:pt>
                <c:pt idx="2984">
                  <c:v>5.5286901742831436</c:v>
                </c:pt>
                <c:pt idx="2985">
                  <c:v>5.5276300808429815</c:v>
                </c:pt>
                <c:pt idx="2986">
                  <c:v>5.5265701906694282</c:v>
                </c:pt>
                <c:pt idx="2987">
                  <c:v>5.5255105037235088</c:v>
                </c:pt>
                <c:pt idx="2988">
                  <c:v>5.5244510199662544</c:v>
                </c:pt>
                <c:pt idx="2989">
                  <c:v>5.523391739358706</c:v>
                </c:pt>
                <c:pt idx="2990">
                  <c:v>5.5223326618619106</c:v>
                </c:pt>
                <c:pt idx="2991">
                  <c:v>5.5212737874369227</c:v>
                </c:pt>
                <c:pt idx="2992">
                  <c:v>5.5202151160448043</c:v>
                </c:pt>
                <c:pt idx="2993">
                  <c:v>5.5191566476466249</c:v>
                </c:pt>
                <c:pt idx="2994">
                  <c:v>5.5180983822034628</c:v>
                </c:pt>
                <c:pt idx="2995">
                  <c:v>5.5170403196764015</c:v>
                </c:pt>
                <c:pt idx="2996">
                  <c:v>5.5159824600265335</c:v>
                </c:pt>
                <c:pt idx="2997">
                  <c:v>5.5149248032149583</c:v>
                </c:pt>
                <c:pt idx="2998">
                  <c:v>5.5138673492027825</c:v>
                </c:pt>
                <c:pt idx="2999">
                  <c:v>5.5128100979511201</c:v>
                </c:pt>
                <c:pt idx="3000">
                  <c:v>5.5117530494210936</c:v>
                </c:pt>
                <c:pt idx="3001">
                  <c:v>5.5106962035738327</c:v>
                </c:pt>
                <c:pt idx="3002">
                  <c:v>5.5096395603704735</c:v>
                </c:pt>
                <c:pt idx="3003">
                  <c:v>5.5085831197721609</c:v>
                </c:pt>
                <c:pt idx="3004">
                  <c:v>5.5075268817400458</c:v>
                </c:pt>
                <c:pt idx="3005">
                  <c:v>5.5064708462352883</c:v>
                </c:pt>
                <c:pt idx="3006">
                  <c:v>5.5054150132190545</c:v>
                </c:pt>
                <c:pt idx="3007">
                  <c:v>5.5043593826525186</c:v>
                </c:pt>
                <c:pt idx="3008">
                  <c:v>5.5033039544968618</c:v>
                </c:pt>
                <c:pt idx="3009">
                  <c:v>5.5022487287132726</c:v>
                </c:pt>
                <c:pt idx="3010">
                  <c:v>5.5011937052629483</c:v>
                </c:pt>
                <c:pt idx="3011">
                  <c:v>5.5001388841070922</c:v>
                </c:pt>
                <c:pt idx="3012">
                  <c:v>5.499084265206915</c:v>
                </c:pt>
                <c:pt idx="3013">
                  <c:v>5.4980298485236361</c:v>
                </c:pt>
                <c:pt idx="3014">
                  <c:v>5.4969756340184821</c:v>
                </c:pt>
                <c:pt idx="3015">
                  <c:v>5.4959216216526858</c:v>
                </c:pt>
                <c:pt idx="3016">
                  <c:v>5.494867811387488</c:v>
                </c:pt>
                <c:pt idx="3017">
                  <c:v>5.4938142031841375</c:v>
                </c:pt>
                <c:pt idx="3018">
                  <c:v>5.4927607970038901</c:v>
                </c:pt>
                <c:pt idx="3019">
                  <c:v>5.4917075928080088</c:v>
                </c:pt>
                <c:pt idx="3020">
                  <c:v>5.4906545905577646</c:v>
                </c:pt>
                <c:pt idx="3021">
                  <c:v>5.4896017902144356</c:v>
                </c:pt>
                <c:pt idx="3022">
                  <c:v>5.488549191739307</c:v>
                </c:pt>
                <c:pt idx="3023">
                  <c:v>5.4874967950936728</c:v>
                </c:pt>
                <c:pt idx="3024">
                  <c:v>5.4864446002388325</c:v>
                </c:pt>
                <c:pt idx="3025">
                  <c:v>5.4853926071360943</c:v>
                </c:pt>
                <c:pt idx="3026">
                  <c:v>5.4843408157467728</c:v>
                </c:pt>
                <c:pt idx="3027">
                  <c:v>5.4832892260321913</c:v>
                </c:pt>
                <c:pt idx="3028">
                  <c:v>5.4822378379536794</c:v>
                </c:pt>
                <c:pt idx="3029">
                  <c:v>5.4811866514725747</c:v>
                </c:pt>
                <c:pt idx="3030">
                  <c:v>5.4801356665502228</c:v>
                </c:pt>
                <c:pt idx="3031">
                  <c:v>5.4790848831479746</c:v>
                </c:pt>
                <c:pt idx="3032">
                  <c:v>5.4780343012271908</c:v>
                </c:pt>
                <c:pt idx="3033">
                  <c:v>5.4769839207492383</c:v>
                </c:pt>
                <c:pt idx="3034">
                  <c:v>5.4759337416754921</c:v>
                </c:pt>
                <c:pt idx="3035">
                  <c:v>5.474883763967334</c:v>
                </c:pt>
                <c:pt idx="3036">
                  <c:v>5.4738339875861532</c:v>
                </c:pt>
                <c:pt idx="3037">
                  <c:v>5.472784412493346</c:v>
                </c:pt>
                <c:pt idx="3038">
                  <c:v>5.4717350386503174</c:v>
                </c:pt>
                <c:pt idx="3039">
                  <c:v>5.4706858660184778</c:v>
                </c:pt>
                <c:pt idx="3040">
                  <c:v>5.4696368945592475</c:v>
                </c:pt>
                <c:pt idx="3041">
                  <c:v>5.4685881242340519</c:v>
                </c:pt>
                <c:pt idx="3042">
                  <c:v>5.4675395550043246</c:v>
                </c:pt>
                <c:pt idx="3043">
                  <c:v>5.4664911868315071</c:v>
                </c:pt>
                <c:pt idx="3044">
                  <c:v>5.465443019677048</c:v>
                </c:pt>
                <c:pt idx="3045">
                  <c:v>5.464395053502404</c:v>
                </c:pt>
                <c:pt idx="3046">
                  <c:v>5.4633472882690368</c:v>
                </c:pt>
                <c:pt idx="3047">
                  <c:v>5.4622997239384183</c:v>
                </c:pt>
                <c:pt idx="3048">
                  <c:v>5.4612523604720264</c:v>
                </c:pt>
                <c:pt idx="3049">
                  <c:v>5.4602051978313462</c:v>
                </c:pt>
                <c:pt idx="3050">
                  <c:v>5.4591582359778705</c:v>
                </c:pt>
                <c:pt idx="3051">
                  <c:v>5.4581114748731006</c:v>
                </c:pt>
                <c:pt idx="3052">
                  <c:v>5.4570649144785426</c:v>
                </c:pt>
                <c:pt idx="3053">
                  <c:v>5.4560185547557127</c:v>
                </c:pt>
                <c:pt idx="3054">
                  <c:v>5.4549723956661325</c:v>
                </c:pt>
                <c:pt idx="3055">
                  <c:v>5.4539264371713321</c:v>
                </c:pt>
                <c:pt idx="3056">
                  <c:v>5.452880679232849</c:v>
                </c:pt>
                <c:pt idx="3057">
                  <c:v>5.451835121812227</c:v>
                </c:pt>
                <c:pt idx="3058">
                  <c:v>5.4507897648710184</c:v>
                </c:pt>
                <c:pt idx="3059">
                  <c:v>5.449744608370783</c:v>
                </c:pt>
                <c:pt idx="3060">
                  <c:v>5.4486996522730866</c:v>
                </c:pt>
                <c:pt idx="3061">
                  <c:v>5.4476548965395031</c:v>
                </c:pt>
                <c:pt idx="3062">
                  <c:v>5.4466103411316142</c:v>
                </c:pt>
                <c:pt idx="3063">
                  <c:v>5.4455659860110091</c:v>
                </c:pt>
                <c:pt idx="3064">
                  <c:v>5.4445218311392836</c:v>
                </c:pt>
                <c:pt idx="3065">
                  <c:v>5.4434778764780409</c:v>
                </c:pt>
                <c:pt idx="3066">
                  <c:v>5.4424341219888923</c:v>
                </c:pt>
                <c:pt idx="3067">
                  <c:v>5.441390567633456</c:v>
                </c:pt>
                <c:pt idx="3068">
                  <c:v>5.4403472133733564</c:v>
                </c:pt>
                <c:pt idx="3069">
                  <c:v>5.4393040591702277</c:v>
                </c:pt>
                <c:pt idx="3070">
                  <c:v>5.4382611049857097</c:v>
                </c:pt>
                <c:pt idx="3071">
                  <c:v>5.4372183507814498</c:v>
                </c:pt>
                <c:pt idx="3072">
                  <c:v>5.4361757965191035</c:v>
                </c:pt>
                <c:pt idx="3073">
                  <c:v>5.4351334421603328</c:v>
                </c:pt>
                <c:pt idx="3074">
                  <c:v>5.4340912876668073</c:v>
                </c:pt>
                <c:pt idx="3075">
                  <c:v>5.4330493330002039</c:v>
                </c:pt>
                <c:pt idx="3076">
                  <c:v>5.4320075781222075</c:v>
                </c:pt>
                <c:pt idx="3077">
                  <c:v>5.43096602299451</c:v>
                </c:pt>
                <c:pt idx="3078">
                  <c:v>5.4299246675788098</c:v>
                </c:pt>
                <c:pt idx="3079">
                  <c:v>5.4288835118368137</c:v>
                </c:pt>
                <c:pt idx="3080">
                  <c:v>5.4278425557302352</c:v>
                </c:pt>
                <c:pt idx="3081">
                  <c:v>5.4268017992207955</c:v>
                </c:pt>
                <c:pt idx="3082">
                  <c:v>5.4257612422702231</c:v>
                </c:pt>
                <c:pt idx="3083">
                  <c:v>5.4247208848402533</c:v>
                </c:pt>
                <c:pt idx="3084">
                  <c:v>5.4236807268926297</c:v>
                </c:pt>
                <c:pt idx="3085">
                  <c:v>5.4226407683891029</c:v>
                </c:pt>
                <c:pt idx="3086">
                  <c:v>5.4216010092914306</c:v>
                </c:pt>
                <c:pt idx="3087">
                  <c:v>5.4205614495613776</c:v>
                </c:pt>
                <c:pt idx="3088">
                  <c:v>5.4195220891607168</c:v>
                </c:pt>
                <c:pt idx="3089">
                  <c:v>5.418482928051227</c:v>
                </c:pt>
                <c:pt idx="3090">
                  <c:v>5.4174439661946963</c:v>
                </c:pt>
                <c:pt idx="3091">
                  <c:v>5.4164052035529187</c:v>
                </c:pt>
                <c:pt idx="3092">
                  <c:v>5.4153666400876963</c:v>
                </c:pt>
                <c:pt idx="3093">
                  <c:v>5.4143282757608375</c:v>
                </c:pt>
                <c:pt idx="3094">
                  <c:v>5.4132901105341595</c:v>
                </c:pt>
                <c:pt idx="3095">
                  <c:v>5.4122521443694858</c:v>
                </c:pt>
                <c:pt idx="3096">
                  <c:v>5.4112143772286476</c:v>
                </c:pt>
                <c:pt idx="3097">
                  <c:v>5.4101768090734828</c:v>
                </c:pt>
                <c:pt idx="3098">
                  <c:v>5.4091394398658368</c:v>
                </c:pt>
                <c:pt idx="3099">
                  <c:v>5.4081022695675633</c:v>
                </c:pt>
                <c:pt idx="3100">
                  <c:v>5.4070652981405223</c:v>
                </c:pt>
                <c:pt idx="3101">
                  <c:v>5.4060285255465814</c:v>
                </c:pt>
                <c:pt idx="3102">
                  <c:v>5.4049919517476157</c:v>
                </c:pt>
                <c:pt idx="3103">
                  <c:v>5.4039555767055072</c:v>
                </c:pt>
                <c:pt idx="3104">
                  <c:v>5.4029194003821459</c:v>
                </c:pt>
                <c:pt idx="3105">
                  <c:v>5.401883422739429</c:v>
                </c:pt>
                <c:pt idx="3106">
                  <c:v>5.4008476437392599</c:v>
                </c:pt>
                <c:pt idx="3107">
                  <c:v>5.3998120633435498</c:v>
                </c:pt>
                <c:pt idx="3108">
                  <c:v>5.3987766815142182</c:v>
                </c:pt>
                <c:pt idx="3109">
                  <c:v>5.3977414982131906</c:v>
                </c:pt>
                <c:pt idx="3110">
                  <c:v>5.3967065134024006</c:v>
                </c:pt>
                <c:pt idx="3111">
                  <c:v>5.3956717270437888</c:v>
                </c:pt>
                <c:pt idx="3112">
                  <c:v>5.394637139099304</c:v>
                </c:pt>
                <c:pt idx="3113">
                  <c:v>5.3936027495309009</c:v>
                </c:pt>
                <c:pt idx="3114">
                  <c:v>5.3925685583005416</c:v>
                </c:pt>
                <c:pt idx="3115">
                  <c:v>5.391534565370196</c:v>
                </c:pt>
                <c:pt idx="3116">
                  <c:v>5.3905007707018422</c:v>
                </c:pt>
                <c:pt idx="3117">
                  <c:v>5.3894671742574642</c:v>
                </c:pt>
                <c:pt idx="3118">
                  <c:v>5.3884337759990535</c:v>
                </c:pt>
                <c:pt idx="3119">
                  <c:v>5.3874005758886092</c:v>
                </c:pt>
                <c:pt idx="3120">
                  <c:v>5.3863675738881369</c:v>
                </c:pt>
                <c:pt idx="3121">
                  <c:v>5.385334769959651</c:v>
                </c:pt>
                <c:pt idx="3122">
                  <c:v>5.3843021640651729</c:v>
                </c:pt>
                <c:pt idx="3123">
                  <c:v>5.3832697561667295</c:v>
                </c:pt>
                <c:pt idx="3124">
                  <c:v>5.3822375462263574</c:v>
                </c:pt>
                <c:pt idx="3125">
                  <c:v>5.3812055342060985</c:v>
                </c:pt>
                <c:pt idx="3126">
                  <c:v>5.3801737200680027</c:v>
                </c:pt>
                <c:pt idx="3127">
                  <c:v>5.3791421037741278</c:v>
                </c:pt>
                <c:pt idx="3128">
                  <c:v>5.3781106852865381</c:v>
                </c:pt>
                <c:pt idx="3129">
                  <c:v>5.3770794645673057</c:v>
                </c:pt>
                <c:pt idx="3130">
                  <c:v>5.3760484415785097</c:v>
                </c:pt>
                <c:pt idx="3131">
                  <c:v>5.3750176162822365</c:v>
                </c:pt>
                <c:pt idx="3132">
                  <c:v>5.3739869886405796</c:v>
                </c:pt>
                <c:pt idx="3133">
                  <c:v>5.3729565586156394</c:v>
                </c:pt>
                <c:pt idx="3134">
                  <c:v>5.3719263261695245</c:v>
                </c:pt>
                <c:pt idx="3135">
                  <c:v>5.3708962912643505</c:v>
                </c:pt>
                <c:pt idx="3136">
                  <c:v>5.3698664538622394</c:v>
                </c:pt>
                <c:pt idx="3137">
                  <c:v>5.3688368139253217</c:v>
                </c:pt>
                <c:pt idx="3138">
                  <c:v>5.3678073714157346</c:v>
                </c:pt>
                <c:pt idx="3139">
                  <c:v>5.3667781262956229</c:v>
                </c:pt>
                <c:pt idx="3140">
                  <c:v>5.3657490785271378</c:v>
                </c:pt>
                <c:pt idx="3141">
                  <c:v>5.3647202280724384</c:v>
                </c:pt>
                <c:pt idx="3142">
                  <c:v>5.3636915748936911</c:v>
                </c:pt>
                <c:pt idx="3143">
                  <c:v>5.36266311895307</c:v>
                </c:pt>
                <c:pt idx="3144">
                  <c:v>5.3616348602127548</c:v>
                </c:pt>
                <c:pt idx="3145">
                  <c:v>5.3606067986349339</c:v>
                </c:pt>
                <c:pt idx="3146">
                  <c:v>5.359578934181803</c:v>
                </c:pt>
                <c:pt idx="3147">
                  <c:v>5.3585512668155646</c:v>
                </c:pt>
                <c:pt idx="3148">
                  <c:v>5.3575237964984277</c:v>
                </c:pt>
                <c:pt idx="3149">
                  <c:v>5.35649652319261</c:v>
                </c:pt>
                <c:pt idx="3150">
                  <c:v>5.3554694468603357</c:v>
                </c:pt>
                <c:pt idx="3151">
                  <c:v>5.3544425674638356</c:v>
                </c:pt>
                <c:pt idx="3152">
                  <c:v>5.353415884965349</c:v>
                </c:pt>
                <c:pt idx="3153">
                  <c:v>5.3523893993271221</c:v>
                </c:pt>
                <c:pt idx="3154">
                  <c:v>5.3513631105114072</c:v>
                </c:pt>
                <c:pt idx="3155">
                  <c:v>5.3503370184804657</c:v>
                </c:pt>
                <c:pt idx="3156">
                  <c:v>5.3493111231965651</c:v>
                </c:pt>
                <c:pt idx="3157">
                  <c:v>5.34828542462198</c:v>
                </c:pt>
                <c:pt idx="3158">
                  <c:v>5.347259922718993</c:v>
                </c:pt>
                <c:pt idx="3159">
                  <c:v>5.3462346174498929</c:v>
                </c:pt>
                <c:pt idx="3160">
                  <c:v>5.3452095087769766</c:v>
                </c:pt>
                <c:pt idx="3161">
                  <c:v>5.3441845966625481</c:v>
                </c:pt>
                <c:pt idx="3162">
                  <c:v>5.3431598810689183</c:v>
                </c:pt>
                <c:pt idx="3163">
                  <c:v>5.3421353619584053</c:v>
                </c:pt>
                <c:pt idx="3164">
                  <c:v>5.3411110392933354</c:v>
                </c:pt>
                <c:pt idx="3165">
                  <c:v>5.3400869130360409</c:v>
                </c:pt>
                <c:pt idx="3166">
                  <c:v>5.3390629831488612</c:v>
                </c:pt>
                <c:pt idx="3167">
                  <c:v>5.3380392495941447</c:v>
                </c:pt>
                <c:pt idx="3168">
                  <c:v>5.337015712334245</c:v>
                </c:pt>
                <c:pt idx="3169">
                  <c:v>5.3359923713315238</c:v>
                </c:pt>
                <c:pt idx="3170">
                  <c:v>5.3349692265483499</c:v>
                </c:pt>
                <c:pt idx="3171">
                  <c:v>5.3339462779470992</c:v>
                </c:pt>
                <c:pt idx="3172">
                  <c:v>5.3329235254901555</c:v>
                </c:pt>
                <c:pt idx="3173">
                  <c:v>5.3319009691399089</c:v>
                </c:pt>
                <c:pt idx="3174">
                  <c:v>5.3308786088587574</c:v>
                </c:pt>
                <c:pt idx="3175">
                  <c:v>5.3298564446091063</c:v>
                </c:pt>
                <c:pt idx="3176">
                  <c:v>5.328834476353367</c:v>
                </c:pt>
                <c:pt idx="3177">
                  <c:v>5.3278127040539589</c:v>
                </c:pt>
                <c:pt idx="3178">
                  <c:v>5.3267911276733093</c:v>
                </c:pt>
                <c:pt idx="3179">
                  <c:v>5.325769747173851</c:v>
                </c:pt>
                <c:pt idx="3180">
                  <c:v>5.3247485625180255</c:v>
                </c:pt>
                <c:pt idx="3181">
                  <c:v>5.3237275736682808</c:v>
                </c:pt>
                <c:pt idx="3182">
                  <c:v>5.3227067805870725</c:v>
                </c:pt>
                <c:pt idx="3183">
                  <c:v>5.3216861832368627</c:v>
                </c:pt>
                <c:pt idx="3184">
                  <c:v>5.3206657815801215</c:v>
                </c:pt>
                <c:pt idx="3185">
                  <c:v>5.319645575579325</c:v>
                </c:pt>
                <c:pt idx="3186">
                  <c:v>5.3186255651969585</c:v>
                </c:pt>
                <c:pt idx="3187">
                  <c:v>5.3176057503955123</c:v>
                </c:pt>
                <c:pt idx="3188">
                  <c:v>5.3165861311374858</c:v>
                </c:pt>
                <c:pt idx="3189">
                  <c:v>5.3155667073853845</c:v>
                </c:pt>
                <c:pt idx="3190">
                  <c:v>5.3145474791017211</c:v>
                </c:pt>
                <c:pt idx="3191">
                  <c:v>5.3135284462490153</c:v>
                </c:pt>
                <c:pt idx="3192">
                  <c:v>5.3125096087897949</c:v>
                </c:pt>
                <c:pt idx="3193">
                  <c:v>5.3114909666865948</c:v>
                </c:pt>
                <c:pt idx="3194">
                  <c:v>5.310472519901956</c:v>
                </c:pt>
                <c:pt idx="3195">
                  <c:v>5.3094542683984276</c:v>
                </c:pt>
                <c:pt idx="3196">
                  <c:v>5.3084362121385649</c:v>
                </c:pt>
                <c:pt idx="3197">
                  <c:v>5.307418351084932</c:v>
                </c:pt>
                <c:pt idx="3198">
                  <c:v>5.3064006852000993</c:v>
                </c:pt>
                <c:pt idx="3199">
                  <c:v>5.3053832144466435</c:v>
                </c:pt>
                <c:pt idx="3200">
                  <c:v>5.30436593878715</c:v>
                </c:pt>
                <c:pt idx="3201">
                  <c:v>5.3033488581842105</c:v>
                </c:pt>
                <c:pt idx="3202">
                  <c:v>5.3023319726004239</c:v>
                </c:pt>
                <c:pt idx="3203">
                  <c:v>5.3013152819983969</c:v>
                </c:pt>
                <c:pt idx="3204">
                  <c:v>5.3002987863407425</c:v>
                </c:pt>
                <c:pt idx="3205">
                  <c:v>5.2992824855900809</c:v>
                </c:pt>
                <c:pt idx="3206">
                  <c:v>5.298266379709041</c:v>
                </c:pt>
                <c:pt idx="3207">
                  <c:v>5.2972504686602564</c:v>
                </c:pt>
                <c:pt idx="3208">
                  <c:v>5.2962347524063702</c:v>
                </c:pt>
                <c:pt idx="3209">
                  <c:v>5.295219230910031</c:v>
                </c:pt>
                <c:pt idx="3210">
                  <c:v>5.2942039041338953</c:v>
                </c:pt>
                <c:pt idx="3211">
                  <c:v>5.2931887720406268</c:v>
                </c:pt>
                <c:pt idx="3212">
                  <c:v>5.2921738345928961</c:v>
                </c:pt>
                <c:pt idx="3213">
                  <c:v>5.2911590917533813</c:v>
                </c:pt>
                <c:pt idx="3214">
                  <c:v>5.2901445434847671</c:v>
                </c:pt>
                <c:pt idx="3215">
                  <c:v>5.2891301897497467</c:v>
                </c:pt>
                <c:pt idx="3216">
                  <c:v>5.2881160305110182</c:v>
                </c:pt>
                <c:pt idx="3217">
                  <c:v>5.2871020657312888</c:v>
                </c:pt>
                <c:pt idx="3218">
                  <c:v>5.286088295373272</c:v>
                </c:pt>
                <c:pt idx="3219">
                  <c:v>5.2850747193996881</c:v>
                </c:pt>
                <c:pt idx="3220">
                  <c:v>5.2840613377732657</c:v>
                </c:pt>
                <c:pt idx="3221">
                  <c:v>5.2830481504567395</c:v>
                </c:pt>
                <c:pt idx="3222">
                  <c:v>5.2820351574128521</c:v>
                </c:pt>
                <c:pt idx="3223">
                  <c:v>5.2810223586043525</c:v>
                </c:pt>
                <c:pt idx="3224">
                  <c:v>5.2800097539939976</c:v>
                </c:pt>
                <c:pt idx="3225">
                  <c:v>5.2789973435445505</c:v>
                </c:pt>
                <c:pt idx="3226">
                  <c:v>5.2779851272187823</c:v>
                </c:pt>
                <c:pt idx="3227">
                  <c:v>5.2769731049794713</c:v>
                </c:pt>
                <c:pt idx="3228">
                  <c:v>5.2759612767894017</c:v>
                </c:pt>
                <c:pt idx="3229">
                  <c:v>5.2749496426113662</c:v>
                </c:pt>
                <c:pt idx="3230">
                  <c:v>5.2739382024081642</c:v>
                </c:pt>
                <c:pt idx="3231">
                  <c:v>5.2729269561426024</c:v>
                </c:pt>
                <c:pt idx="3232">
                  <c:v>5.2719159037774945</c:v>
                </c:pt>
                <c:pt idx="3233">
                  <c:v>5.2709050452756605</c:v>
                </c:pt>
                <c:pt idx="3234">
                  <c:v>5.2698943805999292</c:v>
                </c:pt>
                <c:pt idx="3235">
                  <c:v>5.2688839097131348</c:v>
                </c:pt>
                <c:pt idx="3236">
                  <c:v>5.2678736325781195</c:v>
                </c:pt>
                <c:pt idx="3237">
                  <c:v>5.2668635491577325</c:v>
                </c:pt>
                <c:pt idx="3238">
                  <c:v>5.2658536594148311</c:v>
                </c:pt>
                <c:pt idx="3239">
                  <c:v>5.2648439633122779</c:v>
                </c:pt>
                <c:pt idx="3240">
                  <c:v>5.2638344608129435</c:v>
                </c:pt>
                <c:pt idx="3241">
                  <c:v>5.2628251518797065</c:v>
                </c:pt>
                <c:pt idx="3242">
                  <c:v>5.2618160364754507</c:v>
                </c:pt>
                <c:pt idx="3243">
                  <c:v>5.2608071145630682</c:v>
                </c:pt>
                <c:pt idx="3244">
                  <c:v>5.2597983861054587</c:v>
                </c:pt>
                <c:pt idx="3245">
                  <c:v>5.2587898510655284</c:v>
                </c:pt>
                <c:pt idx="3246">
                  <c:v>5.2577815094061897</c:v>
                </c:pt>
                <c:pt idx="3247">
                  <c:v>5.2567733610903637</c:v>
                </c:pt>
                <c:pt idx="3248">
                  <c:v>5.255765406080978</c:v>
                </c:pt>
                <c:pt idx="3249">
                  <c:v>5.2547576443409669</c:v>
                </c:pt>
                <c:pt idx="3250">
                  <c:v>5.2537500758332731</c:v>
                </c:pt>
                <c:pt idx="3251">
                  <c:v>5.2527427005208445</c:v>
                </c:pt>
                <c:pt idx="3252">
                  <c:v>5.2517355183666368</c:v>
                </c:pt>
                <c:pt idx="3253">
                  <c:v>5.2507285293336139</c:v>
                </c:pt>
                <c:pt idx="3254">
                  <c:v>5.249721733384745</c:v>
                </c:pt>
                <c:pt idx="3255">
                  <c:v>5.2487151304830082</c:v>
                </c:pt>
                <c:pt idx="3256">
                  <c:v>5.2477087205913877</c:v>
                </c:pt>
                <c:pt idx="3257">
                  <c:v>5.2467025036728749</c:v>
                </c:pt>
                <c:pt idx="3258">
                  <c:v>5.2456964796904684</c:v>
                </c:pt>
                <c:pt idx="3259">
                  <c:v>5.2446906486071736</c:v>
                </c:pt>
                <c:pt idx="3260">
                  <c:v>5.2436850103860033</c:v>
                </c:pt>
                <c:pt idx="3261">
                  <c:v>5.2426795649899773</c:v>
                </c:pt>
                <c:pt idx="3262">
                  <c:v>5.2416743123821234</c:v>
                </c:pt>
                <c:pt idx="3263">
                  <c:v>5.2406692525254748</c:v>
                </c:pt>
                <c:pt idx="3264">
                  <c:v>5.2396643853830724</c:v>
                </c:pt>
                <c:pt idx="3265">
                  <c:v>5.2386597109179647</c:v>
                </c:pt>
                <c:pt idx="3266">
                  <c:v>5.2376552290932068</c:v>
                </c:pt>
                <c:pt idx="3267">
                  <c:v>5.2366509398718613</c:v>
                </c:pt>
                <c:pt idx="3268">
                  <c:v>5.2356468432169976</c:v>
                </c:pt>
                <c:pt idx="3269">
                  <c:v>5.2346429390916924</c:v>
                </c:pt>
                <c:pt idx="3270">
                  <c:v>5.2336392274590287</c:v>
                </c:pt>
                <c:pt idx="3271">
                  <c:v>5.232635708282098</c:v>
                </c:pt>
                <c:pt idx="3272">
                  <c:v>5.2316323815239976</c:v>
                </c:pt>
                <c:pt idx="3273">
                  <c:v>5.2306292471478324</c:v>
                </c:pt>
                <c:pt idx="3274">
                  <c:v>5.2296263051167138</c:v>
                </c:pt>
                <c:pt idx="3275">
                  <c:v>5.228623555393761</c:v>
                </c:pt>
                <c:pt idx="3276">
                  <c:v>5.2276209979421004</c:v>
                </c:pt>
                <c:pt idx="3277">
                  <c:v>5.2266186327248656</c:v>
                </c:pt>
                <c:pt idx="3278">
                  <c:v>5.2256164597051962</c:v>
                </c:pt>
                <c:pt idx="3279">
                  <c:v>5.224614478846239</c:v>
                </c:pt>
                <c:pt idx="3280">
                  <c:v>5.2236126901111488</c:v>
                </c:pt>
                <c:pt idx="3281">
                  <c:v>5.2226110934630876</c:v>
                </c:pt>
                <c:pt idx="3282">
                  <c:v>5.2216096888652226</c:v>
                </c:pt>
                <c:pt idx="3283">
                  <c:v>5.2206084762807299</c:v>
                </c:pt>
                <c:pt idx="3284">
                  <c:v>5.2196074556727927</c:v>
                </c:pt>
                <c:pt idx="3285">
                  <c:v>5.2186066270045997</c:v>
                </c:pt>
                <c:pt idx="3286">
                  <c:v>5.2176059902393481</c:v>
                </c:pt>
                <c:pt idx="3287">
                  <c:v>5.2166055453402418</c:v>
                </c:pt>
                <c:pt idx="3288">
                  <c:v>5.2156052922704914</c:v>
                </c:pt>
                <c:pt idx="3289">
                  <c:v>5.2146052309933149</c:v>
                </c:pt>
                <c:pt idx="3290">
                  <c:v>5.2136053614719362</c:v>
                </c:pt>
                <c:pt idx="3291">
                  <c:v>5.2126056836695884</c:v>
                </c:pt>
                <c:pt idx="3292">
                  <c:v>5.2116061975495107</c:v>
                </c:pt>
                <c:pt idx="3293">
                  <c:v>5.2106069030749484</c:v>
                </c:pt>
                <c:pt idx="3294">
                  <c:v>5.209607800209155</c:v>
                </c:pt>
                <c:pt idx="3295">
                  <c:v>5.2086088889153901</c:v>
                </c:pt>
                <c:pt idx="3296">
                  <c:v>5.2076101691569212</c:v>
                </c:pt>
                <c:pt idx="3297">
                  <c:v>5.2066116408970231</c:v>
                </c:pt>
                <c:pt idx="3298">
                  <c:v>5.2056133040989767</c:v>
                </c:pt>
                <c:pt idx="3299">
                  <c:v>5.2046151587260701</c:v>
                </c:pt>
                <c:pt idx="3300">
                  <c:v>5.2036172047415992</c:v>
                </c:pt>
                <c:pt idx="3301">
                  <c:v>5.2026194421088654</c:v>
                </c:pt>
                <c:pt idx="3302">
                  <c:v>5.201621870791179</c:v>
                </c:pt>
                <c:pt idx="3303">
                  <c:v>5.2006244907518564</c:v>
                </c:pt>
                <c:pt idx="3304">
                  <c:v>5.1996273019542212</c:v>
                </c:pt>
                <c:pt idx="3305">
                  <c:v>5.198630304361604</c:v>
                </c:pt>
                <c:pt idx="3306">
                  <c:v>5.1976334979373418</c:v>
                </c:pt>
                <c:pt idx="3307">
                  <c:v>5.1966368826447793</c:v>
                </c:pt>
                <c:pt idx="3308">
                  <c:v>5.1956404584472686</c:v>
                </c:pt>
                <c:pt idx="3309">
                  <c:v>5.1946442253081679</c:v>
                </c:pt>
                <c:pt idx="3310">
                  <c:v>5.1936481831908434</c:v>
                </c:pt>
                <c:pt idx="3311">
                  <c:v>5.1926523320586675</c:v>
                </c:pt>
                <c:pt idx="3312">
                  <c:v>5.1916566718750197</c:v>
                </c:pt>
                <c:pt idx="3313">
                  <c:v>5.1906612026032874</c:v>
                </c:pt>
                <c:pt idx="3314">
                  <c:v>5.1896659242068637</c:v>
                </c:pt>
                <c:pt idx="3315">
                  <c:v>5.1886708366491501</c:v>
                </c:pt>
                <c:pt idx="3316">
                  <c:v>5.1876759398935537</c:v>
                </c:pt>
                <c:pt idx="3317">
                  <c:v>5.1866812339034896</c:v>
                </c:pt>
                <c:pt idx="3318">
                  <c:v>5.1856867186423798</c:v>
                </c:pt>
                <c:pt idx="3319">
                  <c:v>5.1846923940736529</c:v>
                </c:pt>
                <c:pt idx="3320">
                  <c:v>5.1836982601607451</c:v>
                </c:pt>
                <c:pt idx="3321">
                  <c:v>5.182704316867099</c:v>
                </c:pt>
                <c:pt idx="3322">
                  <c:v>5.1817105641561652</c:v>
                </c:pt>
                <c:pt idx="3323">
                  <c:v>5.1807170019913995</c:v>
                </c:pt>
                <c:pt idx="3324">
                  <c:v>5.1797236303362659</c:v>
                </c:pt>
                <c:pt idx="3325">
                  <c:v>5.1787304491542363</c:v>
                </c:pt>
                <c:pt idx="3326">
                  <c:v>5.1777374584087879</c:v>
                </c:pt>
                <c:pt idx="3327">
                  <c:v>5.1767446580634058</c:v>
                </c:pt>
                <c:pt idx="3328">
                  <c:v>5.1757520480815815</c:v>
                </c:pt>
                <c:pt idx="3329">
                  <c:v>5.1747596284268145</c:v>
                </c:pt>
                <c:pt idx="3330">
                  <c:v>5.1737673990626103</c:v>
                </c:pt>
                <c:pt idx="3331">
                  <c:v>5.1727753599524826</c:v>
                </c:pt>
                <c:pt idx="3332">
                  <c:v>5.1717835110599504</c:v>
                </c:pt>
                <c:pt idx="3333">
                  <c:v>5.1707918523485406</c:v>
                </c:pt>
                <c:pt idx="3334">
                  <c:v>5.1698003837817881</c:v>
                </c:pt>
                <c:pt idx="3335">
                  <c:v>5.1688091053232323</c:v>
                </c:pt>
                <c:pt idx="3336">
                  <c:v>5.1678180169364225</c:v>
                </c:pt>
                <c:pt idx="3337">
                  <c:v>5.1668271185849131</c:v>
                </c:pt>
                <c:pt idx="3338">
                  <c:v>5.1658364102322656</c:v>
                </c:pt>
                <c:pt idx="3339">
                  <c:v>5.1648458918420488</c:v>
                </c:pt>
                <c:pt idx="3340">
                  <c:v>5.1638555633778394</c:v>
                </c:pt>
                <c:pt idx="3341">
                  <c:v>5.1628654248032193</c:v>
                </c:pt>
                <c:pt idx="3342">
                  <c:v>5.1618754760817787</c:v>
                </c:pt>
                <c:pt idx="3343">
                  <c:v>5.1608857171771145</c:v>
                </c:pt>
                <c:pt idx="3344">
                  <c:v>5.1598961480528303</c:v>
                </c:pt>
                <c:pt idx="3345">
                  <c:v>5.1589067686725363</c:v>
                </c:pt>
                <c:pt idx="3346">
                  <c:v>5.157917578999851</c:v>
                </c:pt>
                <c:pt idx="3347">
                  <c:v>5.1569285789983992</c:v>
                </c:pt>
                <c:pt idx="3348">
                  <c:v>5.1559397686318125</c:v>
                </c:pt>
                <c:pt idx="3349">
                  <c:v>5.1549511478637289</c:v>
                </c:pt>
                <c:pt idx="3350">
                  <c:v>5.1539627166577944</c:v>
                </c:pt>
                <c:pt idx="3351">
                  <c:v>5.1529744749776611</c:v>
                </c:pt>
                <c:pt idx="3352">
                  <c:v>5.1519864227869894</c:v>
                </c:pt>
                <c:pt idx="3353">
                  <c:v>5.1509985600494455</c:v>
                </c:pt>
                <c:pt idx="3354">
                  <c:v>5.1500108867287029</c:v>
                </c:pt>
                <c:pt idx="3355">
                  <c:v>5.1490234027884423</c:v>
                </c:pt>
                <c:pt idx="3356">
                  <c:v>5.1480361081923505</c:v>
                </c:pt>
                <c:pt idx="3357">
                  <c:v>5.1470490029041223</c:v>
                </c:pt>
                <c:pt idx="3358">
                  <c:v>5.1460620868874587</c:v>
                </c:pt>
                <c:pt idx="3359">
                  <c:v>5.1450753601060679</c:v>
                </c:pt>
                <c:pt idx="3360">
                  <c:v>5.1440888225236661</c:v>
                </c:pt>
                <c:pt idx="3361">
                  <c:v>5.1431024741039746</c:v>
                </c:pt>
                <c:pt idx="3362">
                  <c:v>5.142116314810723</c:v>
                </c:pt>
                <c:pt idx="3363">
                  <c:v>5.1411303446076477</c:v>
                </c:pt>
                <c:pt idx="3364">
                  <c:v>5.1401445634584908</c:v>
                </c:pt>
                <c:pt idx="3365">
                  <c:v>5.1391589713270029</c:v>
                </c:pt>
                <c:pt idx="3366">
                  <c:v>5.1381735681769412</c:v>
                </c:pt>
                <c:pt idx="3367">
                  <c:v>5.1371883539720695</c:v>
                </c:pt>
                <c:pt idx="3368">
                  <c:v>5.1362033286761593</c:v>
                </c:pt>
                <c:pt idx="3369">
                  <c:v>5.1352184922529869</c:v>
                </c:pt>
                <c:pt idx="3370">
                  <c:v>5.1342338446663387</c:v>
                </c:pt>
                <c:pt idx="3371">
                  <c:v>5.1332493858800055</c:v>
                </c:pt>
                <c:pt idx="3372">
                  <c:v>5.1322651158577859</c:v>
                </c:pt>
                <c:pt idx="3373">
                  <c:v>5.1312810345634858</c:v>
                </c:pt>
                <c:pt idx="3374">
                  <c:v>5.1302971419609182</c:v>
                </c:pt>
                <c:pt idx="3375">
                  <c:v>5.1293134380139014</c:v>
                </c:pt>
                <c:pt idx="3376">
                  <c:v>5.1283299226862624</c:v>
                </c:pt>
                <c:pt idx="3377">
                  <c:v>5.1273465959418347</c:v>
                </c:pt>
                <c:pt idx="3378">
                  <c:v>5.1263634577444588</c:v>
                </c:pt>
                <c:pt idx="3379">
                  <c:v>5.1253805080579822</c:v>
                </c:pt>
                <c:pt idx="3380">
                  <c:v>5.1243977468462578</c:v>
                </c:pt>
                <c:pt idx="3381">
                  <c:v>5.1234151740731475</c:v>
                </c:pt>
                <c:pt idx="3382">
                  <c:v>5.1224327897025193</c:v>
                </c:pt>
                <c:pt idx="3383">
                  <c:v>5.1214505936982482</c:v>
                </c:pt>
                <c:pt idx="3384">
                  <c:v>5.1204685860242156</c:v>
                </c:pt>
                <c:pt idx="3385">
                  <c:v>5.1194867666443109</c:v>
                </c:pt>
                <c:pt idx="3386">
                  <c:v>5.1185051355224296</c:v>
                </c:pt>
                <c:pt idx="3387">
                  <c:v>5.1175236926224743</c:v>
                </c:pt>
                <c:pt idx="3388">
                  <c:v>5.1165424379083548</c:v>
                </c:pt>
                <c:pt idx="3389">
                  <c:v>5.1155613713439871</c:v>
                </c:pt>
                <c:pt idx="3390">
                  <c:v>5.1145804928932952</c:v>
                </c:pt>
                <c:pt idx="3391">
                  <c:v>5.1135998025202092</c:v>
                </c:pt>
                <c:pt idx="3392">
                  <c:v>5.1126193001886664</c:v>
                </c:pt>
                <c:pt idx="3393">
                  <c:v>5.1116389858626103</c:v>
                </c:pt>
                <c:pt idx="3394">
                  <c:v>5.1106588595059925</c:v>
                </c:pt>
                <c:pt idx="3395">
                  <c:v>5.1096789210827707</c:v>
                </c:pt>
                <c:pt idx="3396">
                  <c:v>5.1086991705569105</c:v>
                </c:pt>
                <c:pt idx="3397">
                  <c:v>5.107719607892383</c:v>
                </c:pt>
                <c:pt idx="3398">
                  <c:v>5.1067402330531673</c:v>
                </c:pt>
                <c:pt idx="3399">
                  <c:v>5.1057610460032485</c:v>
                </c:pt>
                <c:pt idx="3400">
                  <c:v>5.1047820467066201</c:v>
                </c:pt>
                <c:pt idx="3401">
                  <c:v>5.1038032351272804</c:v>
                </c:pt>
                <c:pt idx="3402">
                  <c:v>5.1028246112292361</c:v>
                </c:pt>
                <c:pt idx="3403">
                  <c:v>5.1018461749765009</c:v>
                </c:pt>
                <c:pt idx="3404">
                  <c:v>5.1008679263330947</c:v>
                </c:pt>
                <c:pt idx="3405">
                  <c:v>5.0998898652630444</c:v>
                </c:pt>
                <c:pt idx="3406">
                  <c:v>5.0989119917303833</c:v>
                </c:pt>
                <c:pt idx="3407">
                  <c:v>5.0979343056991535</c:v>
                </c:pt>
                <c:pt idx="3408">
                  <c:v>5.0969568071334015</c:v>
                </c:pt>
                <c:pt idx="3409">
                  <c:v>5.0959794959971827</c:v>
                </c:pt>
                <c:pt idx="3410">
                  <c:v>5.0950023722545588</c:v>
                </c:pt>
                <c:pt idx="3411">
                  <c:v>5.0940254358695976</c:v>
                </c:pt>
                <c:pt idx="3412">
                  <c:v>5.093048686806374</c:v>
                </c:pt>
                <c:pt idx="3413">
                  <c:v>5.0920721250289711</c:v>
                </c:pt>
                <c:pt idx="3414">
                  <c:v>5.0910957505014771</c:v>
                </c:pt>
                <c:pt idx="3415">
                  <c:v>5.0901195631879892</c:v>
                </c:pt>
                <c:pt idx="3416">
                  <c:v>5.089143563052609</c:v>
                </c:pt>
                <c:pt idx="3417">
                  <c:v>5.0881677500594469</c:v>
                </c:pt>
                <c:pt idx="3418">
                  <c:v>5.0871921241726188</c:v>
                </c:pt>
                <c:pt idx="3419">
                  <c:v>5.0862166853562485</c:v>
                </c:pt>
                <c:pt idx="3420">
                  <c:v>5.0852414335744669</c:v>
                </c:pt>
                <c:pt idx="3421">
                  <c:v>5.0842663687914111</c:v>
                </c:pt>
                <c:pt idx="3422">
                  <c:v>5.0832914909712246</c:v>
                </c:pt>
                <c:pt idx="3423">
                  <c:v>5.0823168000780585</c:v>
                </c:pt>
                <c:pt idx="3424">
                  <c:v>5.0813422960760715</c:v>
                </c:pt>
                <c:pt idx="3425">
                  <c:v>5.0803679789294272</c:v>
                </c:pt>
                <c:pt idx="3426">
                  <c:v>5.0793938486022974</c:v>
                </c:pt>
                <c:pt idx="3427">
                  <c:v>5.078419905058861</c:v>
                </c:pt>
                <c:pt idx="3428">
                  <c:v>5.0774461482633031</c:v>
                </c:pt>
                <c:pt idx="3429">
                  <c:v>5.0764725781798168</c:v>
                </c:pt>
                <c:pt idx="3430">
                  <c:v>5.0754991947725996</c:v>
                </c:pt>
                <c:pt idx="3431">
                  <c:v>5.0745259980058588</c:v>
                </c:pt>
                <c:pt idx="3432">
                  <c:v>5.0735529878438062</c:v>
                </c:pt>
                <c:pt idx="3433">
                  <c:v>5.0725801642506623</c:v>
                </c:pt>
                <c:pt idx="3434">
                  <c:v>5.0716075271906531</c:v>
                </c:pt>
                <c:pt idx="3435">
                  <c:v>5.0706350766280117</c:v>
                </c:pt>
                <c:pt idx="3436">
                  <c:v>5.0696628125269791</c:v>
                </c:pt>
                <c:pt idx="3437">
                  <c:v>5.0686907348518018</c:v>
                </c:pt>
                <c:pt idx="3438">
                  <c:v>5.067718843566734</c:v>
                </c:pt>
                <c:pt idx="3439">
                  <c:v>5.0667471386360363</c:v>
                </c:pt>
                <c:pt idx="3440">
                  <c:v>5.0657756200239765</c:v>
                </c:pt>
                <c:pt idx="3441">
                  <c:v>5.0648042876948294</c:v>
                </c:pt>
                <c:pt idx="3442">
                  <c:v>5.0638331416128759</c:v>
                </c:pt>
                <c:pt idx="3443">
                  <c:v>5.0628621817424042</c:v>
                </c:pt>
                <c:pt idx="3444">
                  <c:v>5.0618914080477095</c:v>
                </c:pt>
                <c:pt idx="3445">
                  <c:v>5.0609208204930942</c:v>
                </c:pt>
                <c:pt idx="3446">
                  <c:v>5.0599504190428668</c:v>
                </c:pt>
                <c:pt idx="3447">
                  <c:v>5.0589802036613429</c:v>
                </c:pt>
                <c:pt idx="3448">
                  <c:v>5.0580101743128445</c:v>
                </c:pt>
                <c:pt idx="3449">
                  <c:v>5.0570403309617014</c:v>
                </c:pt>
                <c:pt idx="3450">
                  <c:v>5.0560706735722487</c:v>
                </c:pt>
                <c:pt idx="3451">
                  <c:v>5.0551012021088306</c:v>
                </c:pt>
                <c:pt idx="3452">
                  <c:v>5.0541319165357965</c:v>
                </c:pt>
                <c:pt idx="3453">
                  <c:v>5.0531628168175029</c:v>
                </c:pt>
                <c:pt idx="3454">
                  <c:v>5.0521939029183125</c:v>
                </c:pt>
                <c:pt idx="3455">
                  <c:v>5.0512251748025969</c:v>
                </c:pt>
                <c:pt idx="3456">
                  <c:v>5.0502566324347322</c:v>
                </c:pt>
                <c:pt idx="3457">
                  <c:v>5.0492882757791033</c:v>
                </c:pt>
                <c:pt idx="3458">
                  <c:v>5.0483201048001005</c:v>
                </c:pt>
                <c:pt idx="3459">
                  <c:v>5.0473521194621211</c:v>
                </c:pt>
                <c:pt idx="3460">
                  <c:v>5.0463843197295697</c:v>
                </c:pt>
                <c:pt idx="3461">
                  <c:v>5.0454167055668577</c:v>
                </c:pt>
                <c:pt idx="3462">
                  <c:v>5.0444492769384039</c:v>
                </c:pt>
                <c:pt idx="3463">
                  <c:v>5.0434820338086324</c:v>
                </c:pt>
                <c:pt idx="3464">
                  <c:v>5.042514976141975</c:v>
                </c:pt>
                <c:pt idx="3465">
                  <c:v>5.04154810390287</c:v>
                </c:pt>
                <c:pt idx="3466">
                  <c:v>5.0405814170557637</c:v>
                </c:pt>
                <c:pt idx="3467">
                  <c:v>5.0396149155651075</c:v>
                </c:pt>
                <c:pt idx="3468">
                  <c:v>5.0386485993953603</c:v>
                </c:pt>
                <c:pt idx="3469">
                  <c:v>5.0376824685109884</c:v>
                </c:pt>
                <c:pt idx="3470">
                  <c:v>5.0367165228764641</c:v>
                </c:pt>
                <c:pt idx="3471">
                  <c:v>5.0357507624562672</c:v>
                </c:pt>
                <c:pt idx="3472">
                  <c:v>5.034785187214883</c:v>
                </c:pt>
                <c:pt idx="3473">
                  <c:v>5.0338197971168057</c:v>
                </c:pt>
                <c:pt idx="3474">
                  <c:v>5.0328545921265349</c:v>
                </c:pt>
                <c:pt idx="3475">
                  <c:v>5.031889572208577</c:v>
                </c:pt>
                <c:pt idx="3476">
                  <c:v>5.0309247373274459</c:v>
                </c:pt>
                <c:pt idx="3477">
                  <c:v>5.0299600874476615</c:v>
                </c:pt>
                <c:pt idx="3478">
                  <c:v>5.0289956225337509</c:v>
                </c:pt>
                <c:pt idx="3479">
                  <c:v>5.0280313425502481</c:v>
                </c:pt>
                <c:pt idx="3480">
                  <c:v>5.0270672474616935</c:v>
                </c:pt>
                <c:pt idx="3481">
                  <c:v>5.0261033372326347</c:v>
                </c:pt>
                <c:pt idx="3482">
                  <c:v>5.0251396118276261</c:v>
                </c:pt>
                <c:pt idx="3483">
                  <c:v>5.0241760712112296</c:v>
                </c:pt>
                <c:pt idx="3484">
                  <c:v>5.0232127153480119</c:v>
                </c:pt>
                <c:pt idx="3485">
                  <c:v>5.0222495442025483</c:v>
                </c:pt>
                <c:pt idx="3486">
                  <c:v>5.0212865577394199</c:v>
                </c:pt>
                <c:pt idx="3487">
                  <c:v>5.020323755923215</c:v>
                </c:pt>
                <c:pt idx="3488">
                  <c:v>5.0193611387185291</c:v>
                </c:pt>
                <c:pt idx="3489">
                  <c:v>5.0183987060899637</c:v>
                </c:pt>
                <c:pt idx="3490">
                  <c:v>5.0174364580021278</c:v>
                </c:pt>
                <c:pt idx="3491">
                  <c:v>5.0164743944196362</c:v>
                </c:pt>
                <c:pt idx="3492">
                  <c:v>5.015512515307111</c:v>
                </c:pt>
                <c:pt idx="3493">
                  <c:v>5.0145508206291822</c:v>
                </c:pt>
                <c:pt idx="3494">
                  <c:v>5.0135893103504845</c:v>
                </c:pt>
                <c:pt idx="3495">
                  <c:v>5.0126279844356612</c:v>
                </c:pt>
                <c:pt idx="3496">
                  <c:v>5.0116668428493609</c:v>
                </c:pt>
                <c:pt idx="3497">
                  <c:v>5.0107058855562405</c:v>
                </c:pt>
                <c:pt idx="3498">
                  <c:v>5.009745112520962</c:v>
                </c:pt>
                <c:pt idx="3499">
                  <c:v>5.0087845237081963</c:v>
                </c:pt>
                <c:pt idx="3500">
                  <c:v>5.0078241190826187</c:v>
                </c:pt>
                <c:pt idx="3501">
                  <c:v>5.0068638986089127</c:v>
                </c:pt>
                <c:pt idx="3502">
                  <c:v>5.0059038622517686</c:v>
                </c:pt>
                <c:pt idx="3503">
                  <c:v>5.0049440099758824</c:v>
                </c:pt>
                <c:pt idx="3504">
                  <c:v>5.0039843417459586</c:v>
                </c:pt>
                <c:pt idx="3505">
                  <c:v>5.0030248575267064</c:v>
                </c:pt>
                <c:pt idx="3506">
                  <c:v>5.0020655572828439</c:v>
                </c:pt>
                <c:pt idx="3507">
                  <c:v>5.0011064409790942</c:v>
                </c:pt>
                <c:pt idx="3508">
                  <c:v>5.0001475085801879</c:v>
                </c:pt>
                <c:pt idx="3509">
                  <c:v>4.9991887600508624</c:v>
                </c:pt>
                <c:pt idx="3510">
                  <c:v>4.9982301953558625</c:v>
                </c:pt>
                <c:pt idx="3511">
                  <c:v>4.9972718144599382</c:v>
                </c:pt>
                <c:pt idx="3512">
                  <c:v>4.9963136173278482</c:v>
                </c:pt>
                <c:pt idx="3513">
                  <c:v>4.9953556039243558</c:v>
                </c:pt>
                <c:pt idx="3514">
                  <c:v>4.9943977742142325</c:v>
                </c:pt>
                <c:pt idx="3515">
                  <c:v>4.9934401281622556</c:v>
                </c:pt>
                <c:pt idx="3516">
                  <c:v>4.9924826657332106</c:v>
                </c:pt>
                <c:pt idx="3517">
                  <c:v>4.9915253868918885</c:v>
                </c:pt>
                <c:pt idx="3518">
                  <c:v>4.990568291603088</c:v>
                </c:pt>
                <c:pt idx="3519">
                  <c:v>4.9896113798316133</c:v>
                </c:pt>
                <c:pt idx="3520">
                  <c:v>4.9886546515422765</c:v>
                </c:pt>
                <c:pt idx="3521">
                  <c:v>4.9876981066998951</c:v>
                </c:pt>
                <c:pt idx="3522">
                  <c:v>4.9867417452692955</c:v>
                </c:pt>
                <c:pt idx="3523">
                  <c:v>4.9857855672153084</c:v>
                </c:pt>
                <c:pt idx="3524">
                  <c:v>4.9848295725027736</c:v>
                </c:pt>
                <c:pt idx="3525">
                  <c:v>4.983873761096536</c:v>
                </c:pt>
                <c:pt idx="3526">
                  <c:v>4.9829181329614469</c:v>
                </c:pt>
                <c:pt idx="3527">
                  <c:v>4.9819626880623664</c:v>
                </c:pt>
                <c:pt idx="3528">
                  <c:v>4.9810074263641591</c:v>
                </c:pt>
                <c:pt idx="3529">
                  <c:v>4.9800523478316983</c:v>
                </c:pt>
                <c:pt idx="3530">
                  <c:v>4.9790974524298619</c:v>
                </c:pt>
                <c:pt idx="3531">
                  <c:v>4.9781427401235367</c:v>
                </c:pt>
                <c:pt idx="3532">
                  <c:v>4.9771882108776149</c:v>
                </c:pt>
                <c:pt idx="3533">
                  <c:v>4.9762338646569955</c:v>
                </c:pt>
                <c:pt idx="3534">
                  <c:v>4.9752797014265848</c:v>
                </c:pt>
                <c:pt idx="3535">
                  <c:v>4.9743257211512955</c:v>
                </c:pt>
                <c:pt idx="3536">
                  <c:v>4.973371923796047</c:v>
                </c:pt>
                <c:pt idx="3537">
                  <c:v>4.9724183093257652</c:v>
                </c:pt>
                <c:pt idx="3538">
                  <c:v>4.9714648777053831</c:v>
                </c:pt>
                <c:pt idx="3539">
                  <c:v>4.9705116288998408</c:v>
                </c:pt>
                <c:pt idx="3540">
                  <c:v>4.9695585628740844</c:v>
                </c:pt>
                <c:pt idx="3541">
                  <c:v>4.9686056795930664</c:v>
                </c:pt>
                <c:pt idx="3542">
                  <c:v>4.9676529790217474</c:v>
                </c:pt>
                <c:pt idx="3543">
                  <c:v>4.9667004611250931</c:v>
                </c:pt>
                <c:pt idx="3544">
                  <c:v>4.9657481258680773</c:v>
                </c:pt>
                <c:pt idx="3545">
                  <c:v>4.9647959732156792</c:v>
                </c:pt>
                <c:pt idx="3546">
                  <c:v>4.9638440031328868</c:v>
                </c:pt>
                <c:pt idx="3547">
                  <c:v>4.9628922155846924</c:v>
                </c:pt>
                <c:pt idx="3548">
                  <c:v>4.9619406105360966</c:v>
                </c:pt>
                <c:pt idx="3549">
                  <c:v>4.960989187952106</c:v>
                </c:pt>
                <c:pt idx="3550">
                  <c:v>4.9600379477977334</c:v>
                </c:pt>
                <c:pt idx="3551">
                  <c:v>4.9590868900379999</c:v>
                </c:pt>
                <c:pt idx="3552">
                  <c:v>4.9581360146379323</c:v>
                </c:pt>
                <c:pt idx="3553">
                  <c:v>4.9571853215625641</c:v>
                </c:pt>
                <c:pt idx="3554">
                  <c:v>4.9562348107769356</c:v>
                </c:pt>
                <c:pt idx="3555">
                  <c:v>4.9552844822460935</c:v>
                </c:pt>
                <c:pt idx="3556">
                  <c:v>4.9543343359350924</c:v>
                </c:pt>
                <c:pt idx="3557">
                  <c:v>4.9533843718089923</c:v>
                </c:pt>
                <c:pt idx="3558">
                  <c:v>4.9524345898328601</c:v>
                </c:pt>
                <c:pt idx="3559">
                  <c:v>4.9514849899717692</c:v>
                </c:pt>
                <c:pt idx="3560">
                  <c:v>4.9505355721908009</c:v>
                </c:pt>
                <c:pt idx="3561">
                  <c:v>4.9495863364550425</c:v>
                </c:pt>
                <c:pt idx="3562">
                  <c:v>4.948637282729587</c:v>
                </c:pt>
                <c:pt idx="3563">
                  <c:v>4.947688410979536</c:v>
                </c:pt>
                <c:pt idx="3564">
                  <c:v>4.9467397211699966</c:v>
                </c:pt>
                <c:pt idx="3565">
                  <c:v>4.945791213266082</c:v>
                </c:pt>
                <c:pt idx="3566">
                  <c:v>4.9448428872329142</c:v>
                </c:pt>
                <c:pt idx="3567">
                  <c:v>4.9438947430356199</c:v>
                </c:pt>
                <c:pt idx="3568">
                  <c:v>4.9429467806393328</c:v>
                </c:pt>
                <c:pt idx="3569">
                  <c:v>4.9419990000091936</c:v>
                </c:pt>
                <c:pt idx="3570">
                  <c:v>4.9410514011103501</c:v>
                </c:pt>
                <c:pt idx="3571">
                  <c:v>4.9401039839079566</c:v>
                </c:pt>
                <c:pt idx="3572">
                  <c:v>4.9391567483671732</c:v>
                </c:pt>
                <c:pt idx="3573">
                  <c:v>4.9382096944531684</c:v>
                </c:pt>
                <c:pt idx="3574">
                  <c:v>4.9372628221311157</c:v>
                </c:pt>
                <c:pt idx="3575">
                  <c:v>4.9363161313661958</c:v>
                </c:pt>
                <c:pt idx="3576">
                  <c:v>4.9353696221235968</c:v>
                </c:pt>
                <c:pt idx="3577">
                  <c:v>4.9344232943685125</c:v>
                </c:pt>
                <c:pt idx="3578">
                  <c:v>4.9334771480661432</c:v>
                </c:pt>
                <c:pt idx="3579">
                  <c:v>4.9325311831816974</c:v>
                </c:pt>
                <c:pt idx="3580">
                  <c:v>4.9315853996803884</c:v>
                </c:pt>
                <c:pt idx="3581">
                  <c:v>4.9306397975274381</c:v>
                </c:pt>
                <c:pt idx="3582">
                  <c:v>4.9296943766880732</c:v>
                </c:pt>
                <c:pt idx="3583">
                  <c:v>4.9287491371275278</c:v>
                </c:pt>
                <c:pt idx="3584">
                  <c:v>4.9278040788110431</c:v>
                </c:pt>
                <c:pt idx="3585">
                  <c:v>4.9268592017038673</c:v>
                </c:pt>
                <c:pt idx="3586">
                  <c:v>4.925914505771253</c:v>
                </c:pt>
                <c:pt idx="3587">
                  <c:v>4.9249699909784628</c:v>
                </c:pt>
                <c:pt idx="3588">
                  <c:v>4.9240256572907626</c:v>
                </c:pt>
                <c:pt idx="3589">
                  <c:v>4.9230815046734282</c:v>
                </c:pt>
                <c:pt idx="3590">
                  <c:v>4.922137533091739</c:v>
                </c:pt>
                <c:pt idx="3591">
                  <c:v>4.9211937425109831</c:v>
                </c:pt>
                <c:pt idx="3592">
                  <c:v>4.920250132896455</c:v>
                </c:pt>
                <c:pt idx="3593">
                  <c:v>4.9193067042134553</c:v>
                </c:pt>
                <c:pt idx="3594">
                  <c:v>4.9183634564272909</c:v>
                </c:pt>
                <c:pt idx="3595">
                  <c:v>4.9174203895032766</c:v>
                </c:pt>
                <c:pt idx="3596">
                  <c:v>4.9164775034067327</c:v>
                </c:pt>
                <c:pt idx="3597">
                  <c:v>4.9155347981029864</c:v>
                </c:pt>
                <c:pt idx="3598">
                  <c:v>4.9145922735573722</c:v>
                </c:pt>
                <c:pt idx="3599">
                  <c:v>4.9136499297352314</c:v>
                </c:pt>
                <c:pt idx="3600">
                  <c:v>4.9127077666019101</c:v>
                </c:pt>
                <c:pt idx="3601">
                  <c:v>4.9117657841227631</c:v>
                </c:pt>
                <c:pt idx="3602">
                  <c:v>4.9108239822631505</c:v>
                </c:pt>
                <c:pt idx="3603">
                  <c:v>4.9098823609884406</c:v>
                </c:pt>
                <c:pt idx="3604">
                  <c:v>4.9089409202640066</c:v>
                </c:pt>
                <c:pt idx="3605">
                  <c:v>4.9079996600552285</c:v>
                </c:pt>
                <c:pt idx="3606">
                  <c:v>4.9070585803274946</c:v>
                </c:pt>
                <c:pt idx="3607">
                  <c:v>4.9061176810461982</c:v>
                </c:pt>
                <c:pt idx="3608">
                  <c:v>4.9051769621767392</c:v>
                </c:pt>
                <c:pt idx="3609">
                  <c:v>4.9042364236845257</c:v>
                </c:pt>
                <c:pt idx="3610">
                  <c:v>4.9032960655349713</c:v>
                </c:pt>
                <c:pt idx="3611">
                  <c:v>4.9023558876934956</c:v>
                </c:pt>
                <c:pt idx="3612">
                  <c:v>4.9014158901255263</c:v>
                </c:pt>
                <c:pt idx="3613">
                  <c:v>4.9004760727964962</c:v>
                </c:pt>
                <c:pt idx="3614">
                  <c:v>4.8995364356718465</c:v>
                </c:pt>
                <c:pt idx="3615">
                  <c:v>4.8985969787170243</c:v>
                </c:pt>
                <c:pt idx="3616">
                  <c:v>4.8976577018974821</c:v>
                </c:pt>
                <c:pt idx="3617">
                  <c:v>4.8967186051786804</c:v>
                </c:pt>
                <c:pt idx="3618">
                  <c:v>4.895779688526086</c:v>
                </c:pt>
                <c:pt idx="3619">
                  <c:v>4.8948409519051728</c:v>
                </c:pt>
                <c:pt idx="3620">
                  <c:v>4.8939023952814198</c:v>
                </c:pt>
                <c:pt idx="3621">
                  <c:v>4.8929640186203143</c:v>
                </c:pt>
                <c:pt idx="3622">
                  <c:v>4.8920258218873496</c:v>
                </c:pt>
                <c:pt idx="3623">
                  <c:v>4.8910878050480253</c:v>
                </c:pt>
                <c:pt idx="3624">
                  <c:v>4.8901499680678482</c:v>
                </c:pt>
                <c:pt idx="3625">
                  <c:v>4.8892123109123302</c:v>
                </c:pt>
                <c:pt idx="3626">
                  <c:v>4.8882748335469923</c:v>
                </c:pt>
                <c:pt idx="3627">
                  <c:v>4.8873375359373608</c:v>
                </c:pt>
                <c:pt idx="3628">
                  <c:v>4.886400418048968</c:v>
                </c:pt>
                <c:pt idx="3629">
                  <c:v>4.8854634798473535</c:v>
                </c:pt>
                <c:pt idx="3630">
                  <c:v>4.8845267212980632</c:v>
                </c:pt>
                <c:pt idx="3631">
                  <c:v>4.8835901423666499</c:v>
                </c:pt>
                <c:pt idx="3632">
                  <c:v>4.8826537430186736</c:v>
                </c:pt>
                <c:pt idx="3633">
                  <c:v>4.8817175232196997</c:v>
                </c:pt>
                <c:pt idx="3634">
                  <c:v>4.8807814829353013</c:v>
                </c:pt>
                <c:pt idx="3635">
                  <c:v>4.8798456221310564</c:v>
                </c:pt>
                <c:pt idx="3636">
                  <c:v>4.8789099407725516</c:v>
                </c:pt>
                <c:pt idx="3637">
                  <c:v>4.8779744388253796</c:v>
                </c:pt>
                <c:pt idx="3638">
                  <c:v>4.8770391162551388</c:v>
                </c:pt>
                <c:pt idx="3639">
                  <c:v>4.8761039730274343</c:v>
                </c:pt>
                <c:pt idx="3640">
                  <c:v>4.8751690091078794</c:v>
                </c:pt>
                <c:pt idx="3641">
                  <c:v>4.874234224462092</c:v>
                </c:pt>
                <c:pt idx="3642">
                  <c:v>4.8732996190556976</c:v>
                </c:pt>
                <c:pt idx="3643">
                  <c:v>4.8723651928543283</c:v>
                </c:pt>
                <c:pt idx="3644">
                  <c:v>4.8714309458236222</c:v>
                </c:pt>
                <c:pt idx="3645">
                  <c:v>4.8704968779292246</c:v>
                </c:pt>
                <c:pt idx="3646">
                  <c:v>4.8695629891367869</c:v>
                </c:pt>
                <c:pt idx="3647">
                  <c:v>4.8686292794119677</c:v>
                </c:pt>
                <c:pt idx="3648">
                  <c:v>4.8676957487204318</c:v>
                </c:pt>
                <c:pt idx="3649">
                  <c:v>4.8667623970278511</c:v>
                </c:pt>
                <c:pt idx="3650">
                  <c:v>4.8658292242999028</c:v>
                </c:pt>
                <c:pt idx="3651">
                  <c:v>4.8648962305022723</c:v>
                </c:pt>
                <c:pt idx="3652">
                  <c:v>4.8639634156006499</c:v>
                </c:pt>
                <c:pt idx="3653">
                  <c:v>4.8630307795607344</c:v>
                </c:pt>
                <c:pt idx="3654">
                  <c:v>4.8620983223482295</c:v>
                </c:pt>
                <c:pt idx="3655">
                  <c:v>4.8611660439288453</c:v>
                </c:pt>
                <c:pt idx="3656">
                  <c:v>4.8602339442683009</c:v>
                </c:pt>
                <c:pt idx="3657">
                  <c:v>4.8593020233323196</c:v>
                </c:pt>
                <c:pt idx="3658">
                  <c:v>4.858370281086632</c:v>
                </c:pt>
                <c:pt idx="3659">
                  <c:v>4.8574387174969749</c:v>
                </c:pt>
                <c:pt idx="3660">
                  <c:v>4.8565073325290928</c:v>
                </c:pt>
                <c:pt idx="3661">
                  <c:v>4.8555761261487351</c:v>
                </c:pt>
                <c:pt idx="3662">
                  <c:v>4.8546450983216598</c:v>
                </c:pt>
                <c:pt idx="3663">
                  <c:v>4.8537142490136294</c:v>
                </c:pt>
                <c:pt idx="3664">
                  <c:v>4.8527835781904143</c:v>
                </c:pt>
                <c:pt idx="3665">
                  <c:v>4.8518530858177913</c:v>
                </c:pt>
                <c:pt idx="3666">
                  <c:v>4.8509227718615433</c:v>
                </c:pt>
                <c:pt idx="3667">
                  <c:v>4.8499926362874604</c:v>
                </c:pt>
                <c:pt idx="3668">
                  <c:v>4.8490626790613387</c:v>
                </c:pt>
                <c:pt idx="3669">
                  <c:v>4.8481329001489808</c:v>
                </c:pt>
                <c:pt idx="3670">
                  <c:v>4.8472032995161971</c:v>
                </c:pt>
                <c:pt idx="3671">
                  <c:v>4.8462738771288025</c:v>
                </c:pt>
                <c:pt idx="3672">
                  <c:v>4.84534463295262</c:v>
                </c:pt>
                <c:pt idx="3673">
                  <c:v>4.8444155669534776</c:v>
                </c:pt>
                <c:pt idx="3674">
                  <c:v>4.8434866790972126</c:v>
                </c:pt>
                <c:pt idx="3675">
                  <c:v>4.8425579693496656</c:v>
                </c:pt>
                <c:pt idx="3676">
                  <c:v>4.8416294376766862</c:v>
                </c:pt>
                <c:pt idx="3677">
                  <c:v>4.84070108404413</c:v>
                </c:pt>
                <c:pt idx="3678">
                  <c:v>4.8397729084178582</c:v>
                </c:pt>
                <c:pt idx="3679">
                  <c:v>4.838844910763739</c:v>
                </c:pt>
                <c:pt idx="3680">
                  <c:v>4.8379170910476477</c:v>
                </c:pt>
                <c:pt idx="3681">
                  <c:v>4.8369894492354657</c:v>
                </c:pt>
                <c:pt idx="3682">
                  <c:v>4.8360619852930808</c:v>
                </c:pt>
                <c:pt idx="3683">
                  <c:v>4.8351346991863871</c:v>
                </c:pt>
                <c:pt idx="3684">
                  <c:v>4.8342075908812863</c:v>
                </c:pt>
                <c:pt idx="3685">
                  <c:v>4.8332806603436858</c:v>
                </c:pt>
                <c:pt idx="3686">
                  <c:v>4.8323539075394999</c:v>
                </c:pt>
                <c:pt idx="3687">
                  <c:v>4.8314273324346493</c:v>
                </c:pt>
                <c:pt idx="3688">
                  <c:v>4.8305009349950607</c:v>
                </c:pt>
                <c:pt idx="3689">
                  <c:v>4.829574715186669</c:v>
                </c:pt>
                <c:pt idx="3690">
                  <c:v>4.8286486729754134</c:v>
                </c:pt>
                <c:pt idx="3691">
                  <c:v>4.8277228083272412</c:v>
                </c:pt>
                <c:pt idx="3692">
                  <c:v>4.8267971212081049</c:v>
                </c:pt>
                <c:pt idx="3693">
                  <c:v>4.825871611583965</c:v>
                </c:pt>
                <c:pt idx="3694">
                  <c:v>4.8249462794207885</c:v>
                </c:pt>
                <c:pt idx="3695">
                  <c:v>4.8240211246845472</c:v>
                </c:pt>
                <c:pt idx="3696">
                  <c:v>4.8230961473412215</c:v>
                </c:pt>
                <c:pt idx="3697">
                  <c:v>4.8221713473567966</c:v>
                </c:pt>
                <c:pt idx="3698">
                  <c:v>4.8212467246972652</c:v>
                </c:pt>
                <c:pt idx="3699">
                  <c:v>4.8203222793286269</c:v>
                </c:pt>
                <c:pt idx="3700">
                  <c:v>4.8193980112168866</c:v>
                </c:pt>
                <c:pt idx="3701">
                  <c:v>4.8184739203280564</c:v>
                </c:pt>
                <c:pt idx="3702">
                  <c:v>4.8175500066281547</c:v>
                </c:pt>
                <c:pt idx="3703">
                  <c:v>4.8166262700832068</c:v>
                </c:pt>
                <c:pt idx="3704">
                  <c:v>4.8157027106592443</c:v>
                </c:pt>
                <c:pt idx="3705">
                  <c:v>4.8147793283223059</c:v>
                </c:pt>
                <c:pt idx="3706">
                  <c:v>4.8138561230384358</c:v>
                </c:pt>
                <c:pt idx="3707">
                  <c:v>4.8129330947736841</c:v>
                </c:pt>
                <c:pt idx="3708">
                  <c:v>4.8120102434941101</c:v>
                </c:pt>
                <c:pt idx="3709">
                  <c:v>4.8110875691657764</c:v>
                </c:pt>
                <c:pt idx="3710">
                  <c:v>4.8101650717547546</c:v>
                </c:pt>
                <c:pt idx="3711">
                  <c:v>4.8092427512271216</c:v>
                </c:pt>
                <c:pt idx="3712">
                  <c:v>4.8083206075489615</c:v>
                </c:pt>
                <c:pt idx="3713">
                  <c:v>4.8073986406863636</c:v>
                </c:pt>
                <c:pt idx="3714">
                  <c:v>4.8064768506054252</c:v>
                </c:pt>
                <c:pt idx="3715">
                  <c:v>4.8055552372722499</c:v>
                </c:pt>
                <c:pt idx="3716">
                  <c:v>4.8046338006529465</c:v>
                </c:pt>
                <c:pt idx="3717">
                  <c:v>4.8037125407136312</c:v>
                </c:pt>
                <c:pt idx="3718">
                  <c:v>4.8027914574204269</c:v>
                </c:pt>
                <c:pt idx="3719">
                  <c:v>4.801870550739463</c:v>
                </c:pt>
                <c:pt idx="3720">
                  <c:v>4.800949820636875</c:v>
                </c:pt>
                <c:pt idx="3721">
                  <c:v>4.8000292670788047</c:v>
                </c:pt>
                <c:pt idx="3722">
                  <c:v>4.799108890031401</c:v>
                </c:pt>
                <c:pt idx="3723">
                  <c:v>4.7981886894608197</c:v>
                </c:pt>
                <c:pt idx="3724">
                  <c:v>4.7972686653332213</c:v>
                </c:pt>
                <c:pt idx="3725">
                  <c:v>4.7963488176147742</c:v>
                </c:pt>
                <c:pt idx="3726">
                  <c:v>4.7954291462716538</c:v>
                </c:pt>
                <c:pt idx="3727">
                  <c:v>4.7945096512700403</c:v>
                </c:pt>
                <c:pt idx="3728">
                  <c:v>4.7935903325761213</c:v>
                </c:pt>
                <c:pt idx="3729">
                  <c:v>4.7926711901560912</c:v>
                </c:pt>
                <c:pt idx="3730">
                  <c:v>4.7917522239761503</c:v>
                </c:pt>
                <c:pt idx="3731">
                  <c:v>4.7908334340025061</c:v>
                </c:pt>
                <c:pt idx="3732">
                  <c:v>4.7899148202013713</c:v>
                </c:pt>
                <c:pt idx="3733">
                  <c:v>4.7889963825389668</c:v>
                </c:pt>
                <c:pt idx="3734">
                  <c:v>4.7880781209815177</c:v>
                </c:pt>
                <c:pt idx="3735">
                  <c:v>4.7871600354952584</c:v>
                </c:pt>
                <c:pt idx="3736">
                  <c:v>4.7862421260464272</c:v>
                </c:pt>
                <c:pt idx="3737">
                  <c:v>4.7853243926012707</c:v>
                </c:pt>
                <c:pt idx="3738">
                  <c:v>4.7844068351260409</c:v>
                </c:pt>
                <c:pt idx="3739">
                  <c:v>4.7834894535869967</c:v>
                </c:pt>
                <c:pt idx="3740">
                  <c:v>4.7825722479504034</c:v>
                </c:pt>
                <c:pt idx="3741">
                  <c:v>4.7816552181825323</c:v>
                </c:pt>
                <c:pt idx="3742">
                  <c:v>4.7807383642496619</c:v>
                </c:pt>
                <c:pt idx="3743">
                  <c:v>4.7798216861180771</c:v>
                </c:pt>
                <c:pt idx="3744">
                  <c:v>4.7789051837540697</c:v>
                </c:pt>
                <c:pt idx="3745">
                  <c:v>4.777988857123936</c:v>
                </c:pt>
                <c:pt idx="3746">
                  <c:v>4.7770727061939811</c:v>
                </c:pt>
                <c:pt idx="3747">
                  <c:v>4.7761567309305146</c:v>
                </c:pt>
                <c:pt idx="3748">
                  <c:v>4.7752409312998543</c:v>
                </c:pt>
                <c:pt idx="3749">
                  <c:v>4.7743253072683229</c:v>
                </c:pt>
                <c:pt idx="3750">
                  <c:v>4.7734098588022515</c:v>
                </c:pt>
                <c:pt idx="3751">
                  <c:v>4.7724945858679755</c:v>
                </c:pt>
                <c:pt idx="3752">
                  <c:v>4.7715794884318381</c:v>
                </c:pt>
                <c:pt idx="3753">
                  <c:v>4.7706645664601881</c:v>
                </c:pt>
                <c:pt idx="3754">
                  <c:v>4.7697498199193813</c:v>
                </c:pt>
                <c:pt idx="3755">
                  <c:v>4.7688352487757806</c:v>
                </c:pt>
                <c:pt idx="3756">
                  <c:v>4.7679208529957542</c:v>
                </c:pt>
                <c:pt idx="3757">
                  <c:v>4.7670066325456766</c:v>
                </c:pt>
                <c:pt idx="3758">
                  <c:v>4.7660925873919302</c:v>
                </c:pt>
                <c:pt idx="3759">
                  <c:v>4.7651787175009028</c:v>
                </c:pt>
                <c:pt idx="3760">
                  <c:v>4.7642650228389885</c:v>
                </c:pt>
                <c:pt idx="3761">
                  <c:v>4.7633515033725882</c:v>
                </c:pt>
                <c:pt idx="3762">
                  <c:v>4.7624381590681093</c:v>
                </c:pt>
                <c:pt idx="3763">
                  <c:v>4.7615249898919654</c:v>
                </c:pt>
                <c:pt idx="3764">
                  <c:v>4.760611995810577</c:v>
                </c:pt>
                <c:pt idx="3765">
                  <c:v>4.7596991767903702</c:v>
                </c:pt>
                <c:pt idx="3766">
                  <c:v>4.758786532797779</c:v>
                </c:pt>
                <c:pt idx="3767">
                  <c:v>4.7578740637992416</c:v>
                </c:pt>
                <c:pt idx="3768">
                  <c:v>4.7569617697612054</c:v>
                </c:pt>
                <c:pt idx="3769">
                  <c:v>4.7560496506501213</c:v>
                </c:pt>
                <c:pt idx="3770">
                  <c:v>4.7551377064324489</c:v>
                </c:pt>
                <c:pt idx="3771">
                  <c:v>4.7542259370746534</c:v>
                </c:pt>
                <c:pt idx="3772">
                  <c:v>4.7533143425432067</c:v>
                </c:pt>
                <c:pt idx="3773">
                  <c:v>4.7524029228045865</c:v>
                </c:pt>
                <c:pt idx="3774">
                  <c:v>4.7514916778252774</c:v>
                </c:pt>
                <c:pt idx="3775">
                  <c:v>4.75058060757177</c:v>
                </c:pt>
                <c:pt idx="3776">
                  <c:v>4.7496697120105624</c:v>
                </c:pt>
                <c:pt idx="3777">
                  <c:v>4.7487589911081578</c:v>
                </c:pt>
                <c:pt idx="3778">
                  <c:v>4.7478484448310665</c:v>
                </c:pt>
                <c:pt idx="3779">
                  <c:v>4.7469380731458051</c:v>
                </c:pt>
                <c:pt idx="3780">
                  <c:v>4.7460278760188972</c:v>
                </c:pt>
                <c:pt idx="3781">
                  <c:v>4.7451178534168719</c:v>
                </c:pt>
                <c:pt idx="3782">
                  <c:v>4.7442080053062652</c:v>
                </c:pt>
                <c:pt idx="3783">
                  <c:v>4.7432983316536195</c:v>
                </c:pt>
                <c:pt idx="3784">
                  <c:v>4.7423888324254833</c:v>
                </c:pt>
                <c:pt idx="3785">
                  <c:v>4.7414795075884113</c:v>
                </c:pt>
                <c:pt idx="3786">
                  <c:v>4.7405703571089655</c:v>
                </c:pt>
                <c:pt idx="3787">
                  <c:v>4.7396613809537138</c:v>
                </c:pt>
                <c:pt idx="3788">
                  <c:v>4.7387525790892306</c:v>
                </c:pt>
                <c:pt idx="3789">
                  <c:v>4.7378439514820974</c:v>
                </c:pt>
                <c:pt idx="3790">
                  <c:v>4.7369354980988998</c:v>
                </c:pt>
                <c:pt idx="3791">
                  <c:v>4.7360272189062327</c:v>
                </c:pt>
                <c:pt idx="3792">
                  <c:v>4.7351191138706961</c:v>
                </c:pt>
                <c:pt idx="3793">
                  <c:v>4.7342111829588953</c:v>
                </c:pt>
                <c:pt idx="3794">
                  <c:v>4.7333034261374438</c:v>
                </c:pt>
                <c:pt idx="3795">
                  <c:v>4.7323958433729612</c:v>
                </c:pt>
                <c:pt idx="3796">
                  <c:v>4.7314884346320722</c:v>
                </c:pt>
                <c:pt idx="3797">
                  <c:v>4.73058119988141</c:v>
                </c:pt>
                <c:pt idx="3798">
                  <c:v>4.7296741390876118</c:v>
                </c:pt>
                <c:pt idx="3799">
                  <c:v>4.728767252217323</c:v>
                </c:pt>
                <c:pt idx="3800">
                  <c:v>4.7278605392371951</c:v>
                </c:pt>
                <c:pt idx="3801">
                  <c:v>4.726954000113885</c:v>
                </c:pt>
                <c:pt idx="3802">
                  <c:v>4.7260476348140577</c:v>
                </c:pt>
                <c:pt idx="3803">
                  <c:v>4.7251414433043823</c:v>
                </c:pt>
                <c:pt idx="3804">
                  <c:v>4.7242354255515364</c:v>
                </c:pt>
                <c:pt idx="3805">
                  <c:v>4.7233295815222034</c:v>
                </c:pt>
                <c:pt idx="3806">
                  <c:v>4.7224239111830721</c:v>
                </c:pt>
                <c:pt idx="3807">
                  <c:v>4.7215184145008386</c:v>
                </c:pt>
                <c:pt idx="3808">
                  <c:v>4.720613091442206</c:v>
                </c:pt>
                <c:pt idx="3809">
                  <c:v>4.7197079419738817</c:v>
                </c:pt>
                <c:pt idx="3810">
                  <c:v>4.7188029660625821</c:v>
                </c:pt>
                <c:pt idx="3811">
                  <c:v>4.7178981636750281</c:v>
                </c:pt>
                <c:pt idx="3812">
                  <c:v>4.7169935347779477</c:v>
                </c:pt>
                <c:pt idx="3813">
                  <c:v>4.7160890793380741</c:v>
                </c:pt>
                <c:pt idx="3814">
                  <c:v>4.7151847973221495</c:v>
                </c:pt>
                <c:pt idx="3815">
                  <c:v>4.7142806886969195</c:v>
                </c:pt>
                <c:pt idx="3816">
                  <c:v>4.7133767534291389</c:v>
                </c:pt>
                <c:pt idx="3817">
                  <c:v>4.7124729914855665</c:v>
                </c:pt>
                <c:pt idx="3818">
                  <c:v>4.7115694028329687</c:v>
                </c:pt>
                <c:pt idx="3819">
                  <c:v>4.7106659874381176</c:v>
                </c:pt>
                <c:pt idx="3820">
                  <c:v>4.7097627452677919</c:v>
                </c:pt>
                <c:pt idx="3821">
                  <c:v>4.7088596762887773</c:v>
                </c:pt>
                <c:pt idx="3822">
                  <c:v>4.7079567804678657</c:v>
                </c:pt>
                <c:pt idx="3823">
                  <c:v>4.7070540577718543</c:v>
                </c:pt>
                <c:pt idx="3824">
                  <c:v>4.7061515081675482</c:v>
                </c:pt>
                <c:pt idx="3825">
                  <c:v>4.7052491316217573</c:v>
                </c:pt>
                <c:pt idx="3826">
                  <c:v>4.7043469281012991</c:v>
                </c:pt>
                <c:pt idx="3827">
                  <c:v>4.7034448975729974</c:v>
                </c:pt>
                <c:pt idx="3828">
                  <c:v>4.7025430400036816</c:v>
                </c:pt>
                <c:pt idx="3829">
                  <c:v>4.7016413553601879</c:v>
                </c:pt>
                <c:pt idx="3830">
                  <c:v>4.7007398436093588</c:v>
                </c:pt>
                <c:pt idx="3831">
                  <c:v>4.6998385047180431</c:v>
                </c:pt>
                <c:pt idx="3832">
                  <c:v>4.6989373386530957</c:v>
                </c:pt>
                <c:pt idx="3833">
                  <c:v>4.6980363453813787</c:v>
                </c:pt>
                <c:pt idx="3834">
                  <c:v>4.6971355248697595</c:v>
                </c:pt>
                <c:pt idx="3835">
                  <c:v>4.6962348770851126</c:v>
                </c:pt>
                <c:pt idx="3836">
                  <c:v>4.6953344019943186</c:v>
                </c:pt>
                <c:pt idx="3837">
                  <c:v>4.6944340995642646</c:v>
                </c:pt>
                <c:pt idx="3838">
                  <c:v>4.6935339697618446</c:v>
                </c:pt>
                <c:pt idx="3839">
                  <c:v>4.692634012553957</c:v>
                </c:pt>
                <c:pt idx="3840">
                  <c:v>4.6917342279075092</c:v>
                </c:pt>
                <c:pt idx="3841">
                  <c:v>4.6908346157894121</c:v>
                </c:pt>
                <c:pt idx="3842">
                  <c:v>4.6899351761665855</c:v>
                </c:pt>
                <c:pt idx="3843">
                  <c:v>4.6890359090059537</c:v>
                </c:pt>
                <c:pt idx="3844">
                  <c:v>4.6881368142744488</c:v>
                </c:pt>
                <c:pt idx="3845">
                  <c:v>4.6872378919390085</c:v>
                </c:pt>
                <c:pt idx="3846">
                  <c:v>4.6863391419665765</c:v>
                </c:pt>
                <c:pt idx="3847">
                  <c:v>4.6854405643241028</c:v>
                </c:pt>
                <c:pt idx="3848">
                  <c:v>4.6845421589785454</c:v>
                </c:pt>
                <c:pt idx="3849">
                  <c:v>4.6836439258968667</c:v>
                </c:pt>
                <c:pt idx="3850">
                  <c:v>4.6827458650460354</c:v>
                </c:pt>
                <c:pt idx="3851">
                  <c:v>4.6818479763930281</c:v>
                </c:pt>
                <c:pt idx="3852">
                  <c:v>4.6809502599048267</c:v>
                </c:pt>
                <c:pt idx="3853">
                  <c:v>4.6800527155484204</c:v>
                </c:pt>
                <c:pt idx="3854">
                  <c:v>4.6791553432908026</c:v>
                </c:pt>
                <c:pt idx="3855">
                  <c:v>4.6782581430989749</c:v>
                </c:pt>
                <c:pt idx="3856">
                  <c:v>4.677361114939945</c:v>
                </c:pt>
                <c:pt idx="3857">
                  <c:v>4.6764642587807268</c:v>
                </c:pt>
                <c:pt idx="3858">
                  <c:v>4.6755675745883396</c:v>
                </c:pt>
                <c:pt idx="3859">
                  <c:v>4.6746710623298107</c:v>
                </c:pt>
                <c:pt idx="3860">
                  <c:v>4.6737747219721717</c:v>
                </c:pt>
                <c:pt idx="3861">
                  <c:v>4.6728785534824624</c:v>
                </c:pt>
                <c:pt idx="3862">
                  <c:v>4.6719825568277278</c:v>
                </c:pt>
                <c:pt idx="3863">
                  <c:v>4.67108673197502</c:v>
                </c:pt>
                <c:pt idx="3864">
                  <c:v>4.6701910788913965</c:v>
                </c:pt>
                <c:pt idx="3865">
                  <c:v>4.6692955975439219</c:v>
                </c:pt>
                <c:pt idx="3866">
                  <c:v>4.6684002878996669</c:v>
                </c:pt>
                <c:pt idx="3867">
                  <c:v>4.6675051499257085</c:v>
                </c:pt>
                <c:pt idx="3868">
                  <c:v>4.66661018358913</c:v>
                </c:pt>
                <c:pt idx="3869">
                  <c:v>4.66571538885702</c:v>
                </c:pt>
                <c:pt idx="3870">
                  <c:v>4.6648207656964749</c:v>
                </c:pt>
                <c:pt idx="3871">
                  <c:v>4.6639263140745975</c:v>
                </c:pt>
                <c:pt idx="3872">
                  <c:v>4.6630320339584959</c:v>
                </c:pt>
                <c:pt idx="3873">
                  <c:v>4.6621379253152844</c:v>
                </c:pt>
                <c:pt idx="3874">
                  <c:v>4.6612439881120844</c:v>
                </c:pt>
                <c:pt idx="3875">
                  <c:v>4.6603502223160236</c:v>
                </c:pt>
                <c:pt idx="3876">
                  <c:v>4.6594566278942358</c:v>
                </c:pt>
                <c:pt idx="3877">
                  <c:v>4.6585632048138601</c:v>
                </c:pt>
                <c:pt idx="3878">
                  <c:v>4.6576699530420438</c:v>
                </c:pt>
                <c:pt idx="3879">
                  <c:v>4.6567768725459393</c:v>
                </c:pt>
                <c:pt idx="3880">
                  <c:v>4.6558839632927054</c:v>
                </c:pt>
                <c:pt idx="3881">
                  <c:v>4.6549912252495069</c:v>
                </c:pt>
                <c:pt idx="3882">
                  <c:v>4.6540986583835151</c:v>
                </c:pt>
                <c:pt idx="3883">
                  <c:v>4.6532062626619082</c:v>
                </c:pt>
                <c:pt idx="3884">
                  <c:v>4.6523140380518706</c:v>
                </c:pt>
                <c:pt idx="3885">
                  <c:v>4.6514219845205922</c:v>
                </c:pt>
                <c:pt idx="3886">
                  <c:v>4.6505301020352698</c:v>
                </c:pt>
                <c:pt idx="3887">
                  <c:v>4.6496383905631067</c:v>
                </c:pt>
                <c:pt idx="3888">
                  <c:v>4.6487468500713121</c:v>
                </c:pt>
                <c:pt idx="3889">
                  <c:v>4.6478554805271015</c:v>
                </c:pt>
                <c:pt idx="3890">
                  <c:v>4.6469642818976959</c:v>
                </c:pt>
                <c:pt idx="3891">
                  <c:v>4.6460732541503242</c:v>
                </c:pt>
                <c:pt idx="3892">
                  <c:v>4.6451823972522206</c:v>
                </c:pt>
                <c:pt idx="3893">
                  <c:v>4.6442917111706263</c:v>
                </c:pt>
                <c:pt idx="3894">
                  <c:v>4.6434011958727872</c:v>
                </c:pt>
                <c:pt idx="3895">
                  <c:v>4.642510851325957</c:v>
                </c:pt>
                <c:pt idx="3896">
                  <c:v>4.6416206774973956</c:v>
                </c:pt>
                <c:pt idx="3897">
                  <c:v>4.6407306743543684</c:v>
                </c:pt>
                <c:pt idx="3898">
                  <c:v>4.6398408418641477</c:v>
                </c:pt>
                <c:pt idx="3899">
                  <c:v>4.6389511799940113</c:v>
                </c:pt>
                <c:pt idx="3900">
                  <c:v>4.6380616887112449</c:v>
                </c:pt>
                <c:pt idx="3901">
                  <c:v>4.6371723679831387</c:v>
                </c:pt>
                <c:pt idx="3902">
                  <c:v>4.6362832177769899</c:v>
                </c:pt>
                <c:pt idx="3903">
                  <c:v>4.6353942380601012</c:v>
                </c:pt>
                <c:pt idx="3904">
                  <c:v>4.6345054287997831</c:v>
                </c:pt>
                <c:pt idx="3905">
                  <c:v>4.6336167899633516</c:v>
                </c:pt>
                <c:pt idx="3906">
                  <c:v>4.6327283215181287</c:v>
                </c:pt>
                <c:pt idx="3907">
                  <c:v>4.631840023431443</c:v>
                </c:pt>
                <c:pt idx="3908">
                  <c:v>4.6309518956706297</c:v>
                </c:pt>
                <c:pt idx="3909">
                  <c:v>4.6300639382030289</c:v>
                </c:pt>
                <c:pt idx="3910">
                  <c:v>4.6291761509959883</c:v>
                </c:pt>
                <c:pt idx="3911">
                  <c:v>4.6282885340168614</c:v>
                </c:pt>
                <c:pt idx="3912">
                  <c:v>4.6274010872330082</c:v>
                </c:pt>
                <c:pt idx="3913">
                  <c:v>4.6265138106117947</c:v>
                </c:pt>
                <c:pt idx="3914">
                  <c:v>4.6256267041205934</c:v>
                </c:pt>
                <c:pt idx="3915">
                  <c:v>4.6247397677267825</c:v>
                </c:pt>
                <c:pt idx="3916">
                  <c:v>4.6238530013977472</c:v>
                </c:pt>
                <c:pt idx="3917">
                  <c:v>4.6229664051008781</c:v>
                </c:pt>
                <c:pt idx="3918">
                  <c:v>4.6220799788035736</c:v>
                </c:pt>
                <c:pt idx="3919">
                  <c:v>4.6211937224732358</c:v>
                </c:pt>
                <c:pt idx="3920">
                  <c:v>4.6203076360772757</c:v>
                </c:pt>
                <c:pt idx="3921">
                  <c:v>4.6194217195831087</c:v>
                </c:pt>
                <c:pt idx="3922">
                  <c:v>4.6185359729581572</c:v>
                </c:pt>
                <c:pt idx="3923">
                  <c:v>4.6176503961698501</c:v>
                </c:pt>
                <c:pt idx="3924">
                  <c:v>4.6167649891856222</c:v>
                </c:pt>
                <c:pt idx="3925">
                  <c:v>4.6158797519729147</c:v>
                </c:pt>
                <c:pt idx="3926">
                  <c:v>4.6149946844991749</c:v>
                </c:pt>
                <c:pt idx="3927">
                  <c:v>4.6141097867318566</c:v>
                </c:pt>
                <c:pt idx="3928">
                  <c:v>4.6132250586384185</c:v>
                </c:pt>
                <c:pt idx="3929">
                  <c:v>4.6123405001863276</c:v>
                </c:pt>
                <c:pt idx="3930">
                  <c:v>4.6114561113430561</c:v>
                </c:pt>
                <c:pt idx="3931">
                  <c:v>4.6105718920760825</c:v>
                </c:pt>
                <c:pt idx="3932">
                  <c:v>4.6096878423528915</c:v>
                </c:pt>
                <c:pt idx="3933">
                  <c:v>4.608803962140974</c:v>
                </c:pt>
                <c:pt idx="3934">
                  <c:v>4.607920251407827</c:v>
                </c:pt>
                <c:pt idx="3935">
                  <c:v>4.6070367101209539</c:v>
                </c:pt>
                <c:pt idx="3936">
                  <c:v>4.6061533382478652</c:v>
                </c:pt>
                <c:pt idx="3937">
                  <c:v>4.6052701357560766</c:v>
                </c:pt>
                <c:pt idx="3938">
                  <c:v>4.6043871026131091</c:v>
                </c:pt>
                <c:pt idx="3939">
                  <c:v>4.603504238786492</c:v>
                </c:pt>
                <c:pt idx="3940">
                  <c:v>4.6026215442437604</c:v>
                </c:pt>
                <c:pt idx="3941">
                  <c:v>4.6017390189524541</c:v>
                </c:pt>
                <c:pt idx="3942">
                  <c:v>4.6008566628801209</c:v>
                </c:pt>
                <c:pt idx="3943">
                  <c:v>4.5999744759943137</c:v>
                </c:pt>
                <c:pt idx="3944">
                  <c:v>4.5990924582625921</c:v>
                </c:pt>
                <c:pt idx="3945">
                  <c:v>4.5982106096525213</c:v>
                </c:pt>
                <c:pt idx="3946">
                  <c:v>4.597328930131674</c:v>
                </c:pt>
                <c:pt idx="3947">
                  <c:v>4.5964474196676282</c:v>
                </c:pt>
                <c:pt idx="3948">
                  <c:v>4.5955660782279679</c:v>
                </c:pt>
                <c:pt idx="3949">
                  <c:v>4.5946849057802837</c:v>
                </c:pt>
                <c:pt idx="3950">
                  <c:v>4.5938039022921728</c:v>
                </c:pt>
                <c:pt idx="3951">
                  <c:v>4.5929230677312383</c:v>
                </c:pt>
                <c:pt idx="3952">
                  <c:v>4.592042402065089</c:v>
                </c:pt>
                <c:pt idx="3953">
                  <c:v>4.5911619052613402</c:v>
                </c:pt>
                <c:pt idx="3954">
                  <c:v>4.5902815772876133</c:v>
                </c:pt>
                <c:pt idx="3955">
                  <c:v>4.589401418111537</c:v>
                </c:pt>
                <c:pt idx="3956">
                  <c:v>4.5885214277007451</c:v>
                </c:pt>
                <c:pt idx="3957">
                  <c:v>4.5876416060228777</c:v>
                </c:pt>
                <c:pt idx="3958">
                  <c:v>4.5867619530455812</c:v>
                </c:pt>
                <c:pt idx="3959">
                  <c:v>4.5858824687365081</c:v>
                </c:pt>
                <c:pt idx="3960">
                  <c:v>4.585003153063318</c:v>
                </c:pt>
                <c:pt idx="3961">
                  <c:v>4.584124005993675</c:v>
                </c:pt>
                <c:pt idx="3962">
                  <c:v>4.5832450274952512</c:v>
                </c:pt>
                <c:pt idx="3963">
                  <c:v>4.582366217535724</c:v>
                </c:pt>
                <c:pt idx="3964">
                  <c:v>4.5814875760827762</c:v>
                </c:pt>
                <c:pt idx="3965">
                  <c:v>4.5806091031040985</c:v>
                </c:pt>
                <c:pt idx="3966">
                  <c:v>4.579730798567387</c:v>
                </c:pt>
                <c:pt idx="3967">
                  <c:v>4.5788526624403438</c:v>
                </c:pt>
                <c:pt idx="3968">
                  <c:v>4.5779746946906767</c:v>
                </c:pt>
                <c:pt idx="3969">
                  <c:v>4.5770968952861013</c:v>
                </c:pt>
                <c:pt idx="3970">
                  <c:v>4.5762192641943376</c:v>
                </c:pt>
                <c:pt idx="3971">
                  <c:v>4.5753418013831135</c:v>
                </c:pt>
                <c:pt idx="3972">
                  <c:v>4.5744645068201617</c:v>
                </c:pt>
                <c:pt idx="3973">
                  <c:v>4.5735873804732217</c:v>
                </c:pt>
                <c:pt idx="3974">
                  <c:v>4.5727104223100383</c:v>
                </c:pt>
                <c:pt idx="3975">
                  <c:v>4.5718336322983646</c:v>
                </c:pt>
                <c:pt idx="3976">
                  <c:v>4.5709570104059578</c:v>
                </c:pt>
                <c:pt idx="3977">
                  <c:v>4.5700805566005824</c:v>
                </c:pt>
                <c:pt idx="3978">
                  <c:v>4.5692042708500082</c:v>
                </c:pt>
                <c:pt idx="3979">
                  <c:v>4.5683281531220121</c:v>
                </c:pt>
                <c:pt idx="3980">
                  <c:v>4.5674522033843763</c:v>
                </c:pt>
                <c:pt idx="3981">
                  <c:v>4.5665764216048901</c:v>
                </c:pt>
                <c:pt idx="3982">
                  <c:v>4.565700807751349</c:v>
                </c:pt>
                <c:pt idx="3983">
                  <c:v>4.5648253617915531</c:v>
                </c:pt>
                <c:pt idx="3984">
                  <c:v>4.5639500836933102</c:v>
                </c:pt>
                <c:pt idx="3985">
                  <c:v>4.5630749734244338</c:v>
                </c:pt>
                <c:pt idx="3986">
                  <c:v>4.5622000309527442</c:v>
                </c:pt>
                <c:pt idx="3987">
                  <c:v>4.5613252562460671</c:v>
                </c:pt>
                <c:pt idx="3988">
                  <c:v>4.5604506492722336</c:v>
                </c:pt>
                <c:pt idx="3989">
                  <c:v>4.5595762099990829</c:v>
                </c:pt>
                <c:pt idx="3990">
                  <c:v>4.5587019383944591</c:v>
                </c:pt>
                <c:pt idx="3991">
                  <c:v>4.5578278344262131</c:v>
                </c:pt>
                <c:pt idx="3992">
                  <c:v>4.5569538980622006</c:v>
                </c:pt>
                <c:pt idx="3993">
                  <c:v>4.5560801292702857</c:v>
                </c:pt>
                <c:pt idx="3994">
                  <c:v>4.5552065280183367</c:v>
                </c:pt>
                <c:pt idx="3995">
                  <c:v>4.5543330942742291</c:v>
                </c:pt>
                <c:pt idx="3996">
                  <c:v>4.5534598280058445</c:v>
                </c:pt>
                <c:pt idx="3997">
                  <c:v>4.55258672918107</c:v>
                </c:pt>
                <c:pt idx="3998">
                  <c:v>4.5517137977677997</c:v>
                </c:pt>
                <c:pt idx="3999">
                  <c:v>4.5508410337339331</c:v>
                </c:pt>
                <c:pt idx="4000">
                  <c:v>4.5499684370473759</c:v>
                </c:pt>
                <c:pt idx="4001">
                  <c:v>4.5490960076760407</c:v>
                </c:pt>
                <c:pt idx="4002">
                  <c:v>4.5482237455878458</c:v>
                </c:pt>
                <c:pt idx="4003">
                  <c:v>4.5473516507507155</c:v>
                </c:pt>
                <c:pt idx="4004">
                  <c:v>4.5464797231325802</c:v>
                </c:pt>
                <c:pt idx="4005">
                  <c:v>4.5456079627013768</c:v>
                </c:pt>
                <c:pt idx="4006">
                  <c:v>4.5447363694250482</c:v>
                </c:pt>
                <c:pt idx="4007">
                  <c:v>4.5438649432715437</c:v>
                </c:pt>
                <c:pt idx="4008">
                  <c:v>4.5429936842088186</c:v>
                </c:pt>
                <c:pt idx="4009">
                  <c:v>4.5421225922048336</c:v>
                </c:pt>
                <c:pt idx="4010">
                  <c:v>4.5412516672275567</c:v>
                </c:pt>
                <c:pt idx="4011">
                  <c:v>4.5403809092449618</c:v>
                </c:pt>
                <c:pt idx="4012">
                  <c:v>4.5395103182250285</c:v>
                </c:pt>
                <c:pt idx="4013">
                  <c:v>4.5386398941357422</c:v>
                </c:pt>
                <c:pt idx="4014">
                  <c:v>4.5377696369450948</c:v>
                </c:pt>
                <c:pt idx="4015">
                  <c:v>4.5368995466210853</c:v>
                </c:pt>
                <c:pt idx="4016">
                  <c:v>4.536029623131717</c:v>
                </c:pt>
                <c:pt idx="4017">
                  <c:v>4.5351598664450012</c:v>
                </c:pt>
                <c:pt idx="4018">
                  <c:v>4.5342902765289548</c:v>
                </c:pt>
                <c:pt idx="4019">
                  <c:v>4.5334208533515996</c:v>
                </c:pt>
                <c:pt idx="4020">
                  <c:v>4.5325515968809649</c:v>
                </c:pt>
                <c:pt idx="4021">
                  <c:v>4.531682507085085</c:v>
                </c:pt>
                <c:pt idx="4022">
                  <c:v>4.5308135839320016</c:v>
                </c:pt>
                <c:pt idx="4023">
                  <c:v>4.5299448273897625</c:v>
                </c:pt>
                <c:pt idx="4024">
                  <c:v>4.5290762374264206</c:v>
                </c:pt>
                <c:pt idx="4025">
                  <c:v>4.5282078140100346</c:v>
                </c:pt>
                <c:pt idx="4026">
                  <c:v>4.5273395571086708</c:v>
                </c:pt>
                <c:pt idx="4027">
                  <c:v>4.5264714666904009</c:v>
                </c:pt>
                <c:pt idx="4028">
                  <c:v>4.525603542723303</c:v>
                </c:pt>
                <c:pt idx="4029">
                  <c:v>4.5247357851754613</c:v>
                </c:pt>
                <c:pt idx="4030">
                  <c:v>4.5238681940149652</c:v>
                </c:pt>
                <c:pt idx="4031">
                  <c:v>4.5230007692099115</c:v>
                </c:pt>
                <c:pt idx="4032">
                  <c:v>4.522133510728402</c:v>
                </c:pt>
                <c:pt idx="4033">
                  <c:v>4.5212664185385449</c:v>
                </c:pt>
                <c:pt idx="4034">
                  <c:v>4.5203994926084556</c:v>
                </c:pt>
                <c:pt idx="4035">
                  <c:v>4.5195327329062547</c:v>
                </c:pt>
                <c:pt idx="4036">
                  <c:v>4.518666139400068</c:v>
                </c:pt>
                <c:pt idx="4037">
                  <c:v>4.5177997120580295</c:v>
                </c:pt>
                <c:pt idx="4038">
                  <c:v>4.5169334508482777</c:v>
                </c:pt>
                <c:pt idx="4039">
                  <c:v>4.5160673557389579</c:v>
                </c:pt>
                <c:pt idx="4040">
                  <c:v>4.515201426698221</c:v>
                </c:pt>
                <c:pt idx="4041">
                  <c:v>4.5143356636942249</c:v>
                </c:pt>
                <c:pt idx="4042">
                  <c:v>4.5134700666951328</c:v>
                </c:pt>
                <c:pt idx="4043">
                  <c:v>4.5126046356691143</c:v>
                </c:pt>
                <c:pt idx="4044">
                  <c:v>4.5117393705843449</c:v>
                </c:pt>
                <c:pt idx="4045">
                  <c:v>4.5108742714090058</c:v>
                </c:pt>
                <c:pt idx="4046">
                  <c:v>4.5100093381112858</c:v>
                </c:pt>
                <c:pt idx="4047">
                  <c:v>4.5091445706593785</c:v>
                </c:pt>
                <c:pt idx="4048">
                  <c:v>4.5082799690214834</c:v>
                </c:pt>
                <c:pt idx="4049">
                  <c:v>4.5074155331658075</c:v>
                </c:pt>
                <c:pt idx="4050">
                  <c:v>4.5065512630605626</c:v>
                </c:pt>
                <c:pt idx="4051">
                  <c:v>4.5056871586739673</c:v>
                </c:pt>
                <c:pt idx="4052">
                  <c:v>4.504823219974246</c:v>
                </c:pt>
                <c:pt idx="4053">
                  <c:v>4.5039594469296294</c:v>
                </c:pt>
                <c:pt idx="4054">
                  <c:v>4.5030958395083536</c:v>
                </c:pt>
                <c:pt idx="4055">
                  <c:v>4.5022323976786618</c:v>
                </c:pt>
                <c:pt idx="4056">
                  <c:v>4.5013691214088025</c:v>
                </c:pt>
                <c:pt idx="4057">
                  <c:v>4.5005060106670305</c:v>
                </c:pt>
                <c:pt idx="4058">
                  <c:v>4.4996430654216066</c:v>
                </c:pt>
                <c:pt idx="4059">
                  <c:v>4.498780285640799</c:v>
                </c:pt>
                <c:pt idx="4060">
                  <c:v>4.4979176712928801</c:v>
                </c:pt>
                <c:pt idx="4061">
                  <c:v>4.4970552223461286</c:v>
                </c:pt>
                <c:pt idx="4062">
                  <c:v>4.4961929387688304</c:v>
                </c:pt>
                <c:pt idx="4063">
                  <c:v>4.4953308205292766</c:v>
                </c:pt>
                <c:pt idx="4064">
                  <c:v>4.4944688675957645</c:v>
                </c:pt>
                <c:pt idx="4065">
                  <c:v>4.4936070799365986</c:v>
                </c:pt>
                <c:pt idx="4066">
                  <c:v>4.4927454575200878</c:v>
                </c:pt>
                <c:pt idx="4067">
                  <c:v>4.4918840003145482</c:v>
                </c:pt>
                <c:pt idx="4068">
                  <c:v>4.491022708288301</c:v>
                </c:pt>
                <c:pt idx="4069">
                  <c:v>4.4901615814096747</c:v>
                </c:pt>
                <c:pt idx="4070">
                  <c:v>4.4893006196470022</c:v>
                </c:pt>
                <c:pt idx="4071">
                  <c:v>4.4884398229686244</c:v>
                </c:pt>
                <c:pt idx="4072">
                  <c:v>4.4875791913428875</c:v>
                </c:pt>
                <c:pt idx="4073">
                  <c:v>4.486718724738143</c:v>
                </c:pt>
                <c:pt idx="4074">
                  <c:v>4.4858584231227496</c:v>
                </c:pt>
                <c:pt idx="4075">
                  <c:v>4.4849982864650713</c:v>
                </c:pt>
                <c:pt idx="4076">
                  <c:v>4.4841383147334781</c:v>
                </c:pt>
                <c:pt idx="4077">
                  <c:v>4.4832785078963475</c:v>
                </c:pt>
                <c:pt idx="4078">
                  <c:v>4.4824188659220612</c:v>
                </c:pt>
                <c:pt idx="4079">
                  <c:v>4.4815593887790079</c:v>
                </c:pt>
                <c:pt idx="4080">
                  <c:v>4.480700076435582</c:v>
                </c:pt>
                <c:pt idx="4081">
                  <c:v>4.4798409288601837</c:v>
                </c:pt>
                <c:pt idx="4082">
                  <c:v>4.4789819460212206</c:v>
                </c:pt>
                <c:pt idx="4083">
                  <c:v>4.4781231278871054</c:v>
                </c:pt>
                <c:pt idx="4084">
                  <c:v>4.4772644744262564</c:v>
                </c:pt>
                <c:pt idx="4085">
                  <c:v>4.4764059856070988</c:v>
                </c:pt>
                <c:pt idx="4086">
                  <c:v>4.4755476613980631</c:v>
                </c:pt>
                <c:pt idx="4087">
                  <c:v>4.4746895017675872</c:v>
                </c:pt>
                <c:pt idx="4088">
                  <c:v>4.473831506684113</c:v>
                </c:pt>
                <c:pt idx="4089">
                  <c:v>4.4729736761160908</c:v>
                </c:pt>
                <c:pt idx="4090">
                  <c:v>4.472116010031975</c:v>
                </c:pt>
                <c:pt idx="4091">
                  <c:v>4.4712585084002265</c:v>
                </c:pt>
                <c:pt idx="4092">
                  <c:v>4.4704011711893132</c:v>
                </c:pt>
                <c:pt idx="4093">
                  <c:v>4.4695439983677083</c:v>
                </c:pt>
                <c:pt idx="4094">
                  <c:v>4.4686869899038912</c:v>
                </c:pt>
                <c:pt idx="4095">
                  <c:v>4.4678301457663467</c:v>
                </c:pt>
                <c:pt idx="4096">
                  <c:v>4.4669734659235667</c:v>
                </c:pt>
                <c:pt idx="4097">
                  <c:v>4.4661169503440483</c:v>
                </c:pt>
                <c:pt idx="4098">
                  <c:v>4.465260598996295</c:v>
                </c:pt>
                <c:pt idx="4099">
                  <c:v>4.4644044118488173</c:v>
                </c:pt>
                <c:pt idx="4100">
                  <c:v>4.4635483888701302</c:v>
                </c:pt>
                <c:pt idx="4101">
                  <c:v>4.4626925300287548</c:v>
                </c:pt>
                <c:pt idx="4102">
                  <c:v>4.4618368352932185</c:v>
                </c:pt>
                <c:pt idx="4103">
                  <c:v>4.4609813046320559</c:v>
                </c:pt>
                <c:pt idx="4104">
                  <c:v>4.4601259380138067</c:v>
                </c:pt>
                <c:pt idx="4105">
                  <c:v>4.4592707354070162</c:v>
                </c:pt>
                <c:pt idx="4106">
                  <c:v>4.4584156967802366</c:v>
                </c:pt>
                <c:pt idx="4107">
                  <c:v>4.4575608221020255</c:v>
                </c:pt>
                <c:pt idx="4108">
                  <c:v>4.4567061113409467</c:v>
                </c:pt>
                <c:pt idx="4109">
                  <c:v>4.4558515644655694</c:v>
                </c:pt>
                <c:pt idx="4110">
                  <c:v>4.4549971814444707</c:v>
                </c:pt>
                <c:pt idx="4111">
                  <c:v>4.4541429622462312</c:v>
                </c:pt>
                <c:pt idx="4112">
                  <c:v>4.4532889068394397</c:v>
                </c:pt>
                <c:pt idx="4113">
                  <c:v>4.4524350151926901</c:v>
                </c:pt>
                <c:pt idx="4114">
                  <c:v>4.4515812872745828</c:v>
                </c:pt>
                <c:pt idx="4115">
                  <c:v>4.4507277230537232</c:v>
                </c:pt>
                <c:pt idx="4116">
                  <c:v>4.4498743224987232</c:v>
                </c:pt>
                <c:pt idx="4117">
                  <c:v>4.4490210855782015</c:v>
                </c:pt>
                <c:pt idx="4118">
                  <c:v>4.4481680122607816</c:v>
                </c:pt>
                <c:pt idx="4119">
                  <c:v>4.4473151025150939</c:v>
                </c:pt>
                <c:pt idx="4120">
                  <c:v>4.446462356309774</c:v>
                </c:pt>
                <c:pt idx="4121">
                  <c:v>4.4456097736134641</c:v>
                </c:pt>
                <c:pt idx="4122">
                  <c:v>4.4447573543948131</c:v>
                </c:pt>
                <c:pt idx="4123">
                  <c:v>4.4439050986224746</c:v>
                </c:pt>
                <c:pt idx="4124">
                  <c:v>4.4430530062651084</c:v>
                </c:pt>
                <c:pt idx="4125">
                  <c:v>4.4422010772913811</c:v>
                </c:pt>
                <c:pt idx="4126">
                  <c:v>4.4413493116699652</c:v>
                </c:pt>
                <c:pt idx="4127">
                  <c:v>4.4404977093695379</c:v>
                </c:pt>
                <c:pt idx="4128">
                  <c:v>4.439646270358784</c:v>
                </c:pt>
                <c:pt idx="4129">
                  <c:v>4.4387949946063934</c:v>
                </c:pt>
                <c:pt idx="4130">
                  <c:v>4.4379438820810631</c:v>
                </c:pt>
                <c:pt idx="4131">
                  <c:v>4.4370929327514945</c:v>
                </c:pt>
                <c:pt idx="4132">
                  <c:v>4.4362421465863955</c:v>
                </c:pt>
                <c:pt idx="4133">
                  <c:v>4.4353915235544807</c:v>
                </c:pt>
                <c:pt idx="4134">
                  <c:v>4.4345410636244704</c:v>
                </c:pt>
                <c:pt idx="4135">
                  <c:v>4.4336907667650909</c:v>
                </c:pt>
                <c:pt idx="4136">
                  <c:v>4.4328406329450738</c:v>
                </c:pt>
                <c:pt idx="4137">
                  <c:v>4.431990662133158</c:v>
                </c:pt>
                <c:pt idx="4138">
                  <c:v>4.4311408542980866</c:v>
                </c:pt>
                <c:pt idx="4139">
                  <c:v>4.4302912094086109</c:v>
                </c:pt>
                <c:pt idx="4140">
                  <c:v>4.4294417274334865</c:v>
                </c:pt>
                <c:pt idx="4141">
                  <c:v>4.4285924083414754</c:v>
                </c:pt>
                <c:pt idx="4142">
                  <c:v>4.4277432521013464</c:v>
                </c:pt>
                <c:pt idx="4143">
                  <c:v>4.4268942586818731</c:v>
                </c:pt>
                <c:pt idx="4144">
                  <c:v>4.426045428051836</c:v>
                </c:pt>
                <c:pt idx="4145">
                  <c:v>4.4251967601800208</c:v>
                </c:pt>
                <c:pt idx="4146">
                  <c:v>4.4243482550352198</c:v>
                </c:pt>
                <c:pt idx="4147">
                  <c:v>4.4234999125862302</c:v>
                </c:pt>
                <c:pt idx="4148">
                  <c:v>4.4226517328018575</c:v>
                </c:pt>
                <c:pt idx="4149">
                  <c:v>4.4218037156509107</c:v>
                </c:pt>
                <c:pt idx="4150">
                  <c:v>4.4209558611022057</c:v>
                </c:pt>
                <c:pt idx="4151">
                  <c:v>4.4201081691245649</c:v>
                </c:pt>
                <c:pt idx="4152">
                  <c:v>4.4192606396868168</c:v>
                </c:pt>
                <c:pt idx="4153">
                  <c:v>4.4184132727577943</c:v>
                </c:pt>
                <c:pt idx="4154">
                  <c:v>4.4175660683063382</c:v>
                </c:pt>
                <c:pt idx="4155">
                  <c:v>4.4167190263012941</c:v>
                </c:pt>
                <c:pt idx="4156">
                  <c:v>4.4158721467115134</c:v>
                </c:pt>
                <c:pt idx="4157">
                  <c:v>4.4150254295058549</c:v>
                </c:pt>
                <c:pt idx="4158">
                  <c:v>4.4141788746531816</c:v>
                </c:pt>
                <c:pt idx="4159">
                  <c:v>4.4133324821223638</c:v>
                </c:pt>
                <c:pt idx="4160">
                  <c:v>4.4124862518822763</c:v>
                </c:pt>
                <c:pt idx="4161">
                  <c:v>4.4116401839018016</c:v>
                </c:pt>
                <c:pt idx="4162">
                  <c:v>4.4107942781498277</c:v>
                </c:pt>
                <c:pt idx="4163">
                  <c:v>4.409948534595248</c:v>
                </c:pt>
                <c:pt idx="4164">
                  <c:v>4.4091029532069612</c:v>
                </c:pt>
                <c:pt idx="4165">
                  <c:v>4.4082575339538739</c:v>
                </c:pt>
                <c:pt idx="4166">
                  <c:v>4.4074122768048971</c:v>
                </c:pt>
                <c:pt idx="4167">
                  <c:v>4.4065671817289491</c:v>
                </c:pt>
                <c:pt idx="4168">
                  <c:v>4.4057222486949525</c:v>
                </c:pt>
                <c:pt idx="4169">
                  <c:v>4.4048774776718371</c:v>
                </c:pt>
                <c:pt idx="4170">
                  <c:v>4.4040328686285379</c:v>
                </c:pt>
                <c:pt idx="4171">
                  <c:v>4.4031884215339971</c:v>
                </c:pt>
                <c:pt idx="4172">
                  <c:v>4.4023441363571614</c:v>
                </c:pt>
                <c:pt idx="4173">
                  <c:v>4.4015000130669844</c:v>
                </c:pt>
                <c:pt idx="4174">
                  <c:v>4.4006560516324242</c:v>
                </c:pt>
                <c:pt idx="4175">
                  <c:v>4.3998122520224472</c:v>
                </c:pt>
                <c:pt idx="4176">
                  <c:v>4.3989686142060238</c:v>
                </c:pt>
                <c:pt idx="4177">
                  <c:v>4.3981251381521318</c:v>
                </c:pt>
                <c:pt idx="4178">
                  <c:v>4.3972818238297533</c:v>
                </c:pt>
                <c:pt idx="4179">
                  <c:v>4.3964386712078776</c:v>
                </c:pt>
                <c:pt idx="4180">
                  <c:v>4.3955956802555001</c:v>
                </c:pt>
                <c:pt idx="4181">
                  <c:v>4.3947528509416207</c:v>
                </c:pt>
                <c:pt idx="4182">
                  <c:v>4.3939101832352465</c:v>
                </c:pt>
                <c:pt idx="4183">
                  <c:v>4.3930676771053907</c:v>
                </c:pt>
                <c:pt idx="4184">
                  <c:v>4.3922253325210718</c:v>
                </c:pt>
                <c:pt idx="4185">
                  <c:v>4.3913831494513138</c:v>
                </c:pt>
                <c:pt idx="4186">
                  <c:v>4.3905411278651476</c:v>
                </c:pt>
                <c:pt idx="4187">
                  <c:v>4.3896992677316096</c:v>
                </c:pt>
                <c:pt idx="4188">
                  <c:v>4.3888575690197422</c:v>
                </c:pt>
                <c:pt idx="4189">
                  <c:v>4.3880160316985943</c:v>
                </c:pt>
                <c:pt idx="4190">
                  <c:v>4.38717465573722</c:v>
                </c:pt>
                <c:pt idx="4191">
                  <c:v>4.3863334411046795</c:v>
                </c:pt>
                <c:pt idx="4192">
                  <c:v>4.3854923877700385</c:v>
                </c:pt>
                <c:pt idx="4193">
                  <c:v>4.3846514957023697</c:v>
                </c:pt>
                <c:pt idx="4194">
                  <c:v>4.3838107648707503</c:v>
                </c:pt>
                <c:pt idx="4195">
                  <c:v>4.3829701952442646</c:v>
                </c:pt>
                <c:pt idx="4196">
                  <c:v>4.382129786792003</c:v>
                </c:pt>
                <c:pt idx="4197">
                  <c:v>4.3812895394830607</c:v>
                </c:pt>
                <c:pt idx="4198">
                  <c:v>4.3804494532865395</c:v>
                </c:pt>
                <c:pt idx="4199">
                  <c:v>4.3796095281715477</c:v>
                </c:pt>
                <c:pt idx="4200">
                  <c:v>4.3787697641071981</c:v>
                </c:pt>
                <c:pt idx="4201">
                  <c:v>4.3779301610626105</c:v>
                </c:pt>
                <c:pt idx="4202">
                  <c:v>4.3770907190069099</c:v>
                </c:pt>
                <c:pt idx="4203">
                  <c:v>4.3762514379092288</c:v>
                </c:pt>
                <c:pt idx="4204">
                  <c:v>4.3754123177387036</c:v>
                </c:pt>
                <c:pt idx="4205">
                  <c:v>4.3745733584644775</c:v>
                </c:pt>
                <c:pt idx="4206">
                  <c:v>4.3737345600556994</c:v>
                </c:pt>
                <c:pt idx="4207">
                  <c:v>4.3728959224815247</c:v>
                </c:pt>
                <c:pt idx="4208">
                  <c:v>4.3720574457111141</c:v>
                </c:pt>
                <c:pt idx="4209">
                  <c:v>4.3712191297136345</c:v>
                </c:pt>
                <c:pt idx="4210">
                  <c:v>4.3703809744582589</c:v>
                </c:pt>
                <c:pt idx="4211">
                  <c:v>4.3695429799141658</c:v>
                </c:pt>
                <c:pt idx="4212">
                  <c:v>4.3687051460505399</c:v>
                </c:pt>
                <c:pt idx="4213">
                  <c:v>4.3678674728365712</c:v>
                </c:pt>
                <c:pt idx="4214">
                  <c:v>4.3670299602414566</c:v>
                </c:pt>
                <c:pt idx="4215">
                  <c:v>4.3661926082343978</c:v>
                </c:pt>
                <c:pt idx="4216">
                  <c:v>4.3653554167846034</c:v>
                </c:pt>
                <c:pt idx="4217">
                  <c:v>4.3645183858612873</c:v>
                </c:pt>
                <c:pt idx="4218">
                  <c:v>4.3636815154336697</c:v>
                </c:pt>
                <c:pt idx="4219">
                  <c:v>4.3628448054709761</c:v>
                </c:pt>
                <c:pt idx="4220">
                  <c:v>4.3620082559424391</c:v>
                </c:pt>
                <c:pt idx="4221">
                  <c:v>4.3611718668172959</c:v>
                </c:pt>
                <c:pt idx="4222">
                  <c:v>4.3603356380647904</c:v>
                </c:pt>
                <c:pt idx="4223">
                  <c:v>4.3594995696541714</c:v>
                </c:pt>
                <c:pt idx="4224">
                  <c:v>4.3586636615546954</c:v>
                </c:pt>
                <c:pt idx="4225">
                  <c:v>4.3578279137356226</c:v>
                </c:pt>
                <c:pt idx="4226">
                  <c:v>4.3569923261662211</c:v>
                </c:pt>
                <c:pt idx="4227">
                  <c:v>4.3561568988157635</c:v>
                </c:pt>
                <c:pt idx="4228">
                  <c:v>4.3553216316535286</c:v>
                </c:pt>
                <c:pt idx="4229">
                  <c:v>4.3544865246488014</c:v>
                </c:pt>
                <c:pt idx="4230">
                  <c:v>4.3536515777708722</c:v>
                </c:pt>
                <c:pt idx="4231">
                  <c:v>4.3528167909890385</c:v>
                </c:pt>
                <c:pt idx="4232">
                  <c:v>4.3519821642726022</c:v>
                </c:pt>
                <c:pt idx="4233">
                  <c:v>4.3511476975908723</c:v>
                </c:pt>
                <c:pt idx="4234">
                  <c:v>4.350313390913163</c:v>
                </c:pt>
                <c:pt idx="4235">
                  <c:v>4.3494792442087942</c:v>
                </c:pt>
                <c:pt idx="4236">
                  <c:v>4.3486452574470915</c:v>
                </c:pt>
                <c:pt idx="4237">
                  <c:v>4.3478114305973881</c:v>
                </c:pt>
                <c:pt idx="4238">
                  <c:v>4.3469777636290203</c:v>
                </c:pt>
                <c:pt idx="4239">
                  <c:v>4.3461442565113328</c:v>
                </c:pt>
                <c:pt idx="4240">
                  <c:v>4.3453109092136755</c:v>
                </c:pt>
                <c:pt idx="4241">
                  <c:v>4.3444777217054034</c:v>
                </c:pt>
                <c:pt idx="4242">
                  <c:v>4.343644693955877</c:v>
                </c:pt>
                <c:pt idx="4243">
                  <c:v>4.342811825934465</c:v>
                </c:pt>
                <c:pt idx="4244">
                  <c:v>4.3419791176105393</c:v>
                </c:pt>
                <c:pt idx="4245">
                  <c:v>4.3411465689534801</c:v>
                </c:pt>
                <c:pt idx="4246">
                  <c:v>4.3403141799326708</c:v>
                </c:pt>
                <c:pt idx="4247">
                  <c:v>4.3394819505175031</c:v>
                </c:pt>
                <c:pt idx="4248">
                  <c:v>4.338649880677373</c:v>
                </c:pt>
                <c:pt idx="4249">
                  <c:v>4.3378179703816828</c:v>
                </c:pt>
                <c:pt idx="4250">
                  <c:v>4.3369862195998419</c:v>
                </c:pt>
                <c:pt idx="4251">
                  <c:v>4.3361546283012631</c:v>
                </c:pt>
                <c:pt idx="4252">
                  <c:v>4.3353231964553673</c:v>
                </c:pt>
                <c:pt idx="4253">
                  <c:v>4.33449192403158</c:v>
                </c:pt>
                <c:pt idx="4254">
                  <c:v>4.3336608109993335</c:v>
                </c:pt>
                <c:pt idx="4255">
                  <c:v>4.3328298573280648</c:v>
                </c:pt>
                <c:pt idx="4256">
                  <c:v>4.3319990629872178</c:v>
                </c:pt>
                <c:pt idx="4257">
                  <c:v>4.3311684279462419</c:v>
                </c:pt>
                <c:pt idx="4258">
                  <c:v>4.3303379521745917</c:v>
                </c:pt>
                <c:pt idx="4259">
                  <c:v>4.329507635641729</c:v>
                </c:pt>
                <c:pt idx="4260">
                  <c:v>4.32867747831712</c:v>
                </c:pt>
                <c:pt idx="4261">
                  <c:v>4.327847480170238</c:v>
                </c:pt>
                <c:pt idx="4262">
                  <c:v>4.3270176411705616</c:v>
                </c:pt>
                <c:pt idx="4263">
                  <c:v>4.3261879612875749</c:v>
                </c:pt>
                <c:pt idx="4264">
                  <c:v>4.3253584404907679</c:v>
                </c:pt>
                <c:pt idx="4265">
                  <c:v>4.324529078749638</c:v>
                </c:pt>
                <c:pt idx="4266">
                  <c:v>4.323699876033686</c:v>
                </c:pt>
                <c:pt idx="4267">
                  <c:v>4.3228708323124208</c:v>
                </c:pt>
                <c:pt idx="4268">
                  <c:v>4.3220419475553555</c:v>
                </c:pt>
                <c:pt idx="4269">
                  <c:v>4.3212132217320098</c:v>
                </c:pt>
                <c:pt idx="4270">
                  <c:v>4.3203846548119085</c:v>
                </c:pt>
                <c:pt idx="4271">
                  <c:v>4.3195562467645834</c:v>
                </c:pt>
                <c:pt idx="4272">
                  <c:v>4.3187279975595718</c:v>
                </c:pt>
                <c:pt idx="4273">
                  <c:v>4.3178999071664164</c:v>
                </c:pt>
                <c:pt idx="4274">
                  <c:v>4.3170719755546658</c:v>
                </c:pt>
                <c:pt idx="4275">
                  <c:v>4.3162442026938752</c:v>
                </c:pt>
                <c:pt idx="4276">
                  <c:v>4.3154165885536049</c:v>
                </c:pt>
                <c:pt idx="4277">
                  <c:v>4.3145891331034205</c:v>
                </c:pt>
                <c:pt idx="4278">
                  <c:v>4.3137618363128949</c:v>
                </c:pt>
                <c:pt idx="4279">
                  <c:v>4.3129346981516052</c:v>
                </c:pt>
                <c:pt idx="4280">
                  <c:v>4.3121077185891359</c:v>
                </c:pt>
                <c:pt idx="4281">
                  <c:v>4.3112808975950765</c:v>
                </c:pt>
                <c:pt idx="4282">
                  <c:v>4.310454235139022</c:v>
                </c:pt>
                <c:pt idx="4283">
                  <c:v>4.3096277311905746</c:v>
                </c:pt>
                <c:pt idx="4284">
                  <c:v>4.3088013857193408</c:v>
                </c:pt>
                <c:pt idx="4285">
                  <c:v>4.3079751986949333</c:v>
                </c:pt>
                <c:pt idx="4286">
                  <c:v>4.3071491700869711</c:v>
                </c:pt>
                <c:pt idx="4287">
                  <c:v>4.3063232998650793</c:v>
                </c:pt>
                <c:pt idx="4288">
                  <c:v>4.3054975879988877</c:v>
                </c:pt>
                <c:pt idx="4289">
                  <c:v>4.3046720344580329</c:v>
                </c:pt>
                <c:pt idx="4290">
                  <c:v>4.3038466392121562</c:v>
                </c:pt>
                <c:pt idx="4291">
                  <c:v>4.3030214022309066</c:v>
                </c:pt>
                <c:pt idx="4292">
                  <c:v>4.3021963234839369</c:v>
                </c:pt>
                <c:pt idx="4293">
                  <c:v>4.3013714029409069</c:v>
                </c:pt>
                <c:pt idx="4294">
                  <c:v>4.3005466405714818</c:v>
                </c:pt>
                <c:pt idx="4295">
                  <c:v>4.299722036345333</c:v>
                </c:pt>
                <c:pt idx="4296">
                  <c:v>4.298897590232138</c:v>
                </c:pt>
                <c:pt idx="4297">
                  <c:v>4.2980733022015789</c:v>
                </c:pt>
                <c:pt idx="4298">
                  <c:v>4.2972491722233439</c:v>
                </c:pt>
                <c:pt idx="4299">
                  <c:v>4.2964252002671284</c:v>
                </c:pt>
                <c:pt idx="4300">
                  <c:v>4.2956013863026321</c:v>
                </c:pt>
                <c:pt idx="4301">
                  <c:v>4.2947777302995611</c:v>
                </c:pt>
                <c:pt idx="4302">
                  <c:v>4.2939542322276267</c:v>
                </c:pt>
                <c:pt idx="4303">
                  <c:v>4.2931308920565474</c:v>
                </c:pt>
                <c:pt idx="4304">
                  <c:v>4.292307709756046</c:v>
                </c:pt>
                <c:pt idx="4305">
                  <c:v>4.2914846852958526</c:v>
                </c:pt>
                <c:pt idx="4306">
                  <c:v>4.2906618186457015</c:v>
                </c:pt>
                <c:pt idx="4307">
                  <c:v>4.2898391097753334</c:v>
                </c:pt>
                <c:pt idx="4308">
                  <c:v>4.2890165586544953</c:v>
                </c:pt>
                <c:pt idx="4309">
                  <c:v>4.2881941652529401</c:v>
                </c:pt>
                <c:pt idx="4310">
                  <c:v>4.2873719295404253</c:v>
                </c:pt>
                <c:pt idx="4311">
                  <c:v>4.2865498514867157</c:v>
                </c:pt>
                <c:pt idx="4312">
                  <c:v>4.2857279310615803</c:v>
                </c:pt>
                <c:pt idx="4313">
                  <c:v>4.2849061682347953</c:v>
                </c:pt>
                <c:pt idx="4314">
                  <c:v>4.2840845629761422</c:v>
                </c:pt>
                <c:pt idx="4315">
                  <c:v>4.2832631152554077</c:v>
                </c:pt>
                <c:pt idx="4316">
                  <c:v>4.2824418250423859</c:v>
                </c:pt>
                <c:pt idx="4317">
                  <c:v>4.2816206923068751</c:v>
                </c:pt>
                <c:pt idx="4318">
                  <c:v>4.28079971701868</c:v>
                </c:pt>
                <c:pt idx="4319">
                  <c:v>4.2799788991476104</c:v>
                </c:pt>
                <c:pt idx="4320">
                  <c:v>4.2791582386634834</c:v>
                </c:pt>
                <c:pt idx="4321">
                  <c:v>4.2783377355361205</c:v>
                </c:pt>
                <c:pt idx="4322">
                  <c:v>4.2775173897353493</c:v>
                </c:pt>
                <c:pt idx="4323">
                  <c:v>4.2766972012310038</c:v>
                </c:pt>
                <c:pt idx="4324">
                  <c:v>4.2758771699929232</c:v>
                </c:pt>
                <c:pt idx="4325">
                  <c:v>4.2750572959909521</c:v>
                </c:pt>
                <c:pt idx="4326">
                  <c:v>4.2742375791949421</c:v>
                </c:pt>
                <c:pt idx="4327">
                  <c:v>4.2734180195747493</c:v>
                </c:pt>
                <c:pt idx="4328">
                  <c:v>4.272598617100237</c:v>
                </c:pt>
                <c:pt idx="4329">
                  <c:v>4.2717793717412729</c:v>
                </c:pt>
                <c:pt idx="4330">
                  <c:v>4.2709602834677307</c:v>
                </c:pt>
                <c:pt idx="4331">
                  <c:v>4.2701413522494907</c:v>
                </c:pt>
                <c:pt idx="4332">
                  <c:v>4.269322578056439</c:v>
                </c:pt>
                <c:pt idx="4333">
                  <c:v>4.2685039608584656</c:v>
                </c:pt>
                <c:pt idx="4334">
                  <c:v>4.2676855006254693</c:v>
                </c:pt>
                <c:pt idx="4335">
                  <c:v>4.2668671973273513</c:v>
                </c:pt>
                <c:pt idx="4336">
                  <c:v>4.2660490509340212</c:v>
                </c:pt>
                <c:pt idx="4337">
                  <c:v>4.2652310614153937</c:v>
                </c:pt>
                <c:pt idx="4338">
                  <c:v>4.2644132287413887</c:v>
                </c:pt>
                <c:pt idx="4339">
                  <c:v>4.2635955528819318</c:v>
                </c:pt>
                <c:pt idx="4340">
                  <c:v>4.2627780338069554</c:v>
                </c:pt>
                <c:pt idx="4341">
                  <c:v>4.2619606714863965</c:v>
                </c:pt>
                <c:pt idx="4342">
                  <c:v>4.2611434658901981</c:v>
                </c:pt>
                <c:pt idx="4343">
                  <c:v>4.2603264169883097</c:v>
                </c:pt>
                <c:pt idx="4344">
                  <c:v>4.259509524750686</c:v>
                </c:pt>
                <c:pt idx="4345">
                  <c:v>4.2586927891472879</c:v>
                </c:pt>
                <c:pt idx="4346">
                  <c:v>4.2578762101480816</c:v>
                </c:pt>
                <c:pt idx="4347">
                  <c:v>4.2570597877230387</c:v>
                </c:pt>
                <c:pt idx="4348">
                  <c:v>4.2562435218421371</c:v>
                </c:pt>
                <c:pt idx="4349">
                  <c:v>4.2554274124753606</c:v>
                </c:pt>
                <c:pt idx="4350">
                  <c:v>4.2546114595926987</c:v>
                </c:pt>
                <c:pt idx="4351">
                  <c:v>4.2537956631641469</c:v>
                </c:pt>
                <c:pt idx="4352">
                  <c:v>4.2529800231597052</c:v>
                </c:pt>
                <c:pt idx="4353">
                  <c:v>4.2521645395493808</c:v>
                </c:pt>
                <c:pt idx="4354">
                  <c:v>4.2513492123031851</c:v>
                </c:pt>
                <c:pt idx="4355">
                  <c:v>4.2505340413911377</c:v>
                </c:pt>
                <c:pt idx="4356">
                  <c:v>4.2497190267832616</c:v>
                </c:pt>
                <c:pt idx="4357">
                  <c:v>4.2489041684495863</c:v>
                </c:pt>
                <c:pt idx="4358">
                  <c:v>4.2480894663601472</c:v>
                </c:pt>
                <c:pt idx="4359">
                  <c:v>4.2472749204849851</c:v>
                </c:pt>
                <c:pt idx="4360">
                  <c:v>4.2464605307941481</c:v>
                </c:pt>
                <c:pt idx="4361">
                  <c:v>4.2456462972576876</c:v>
                </c:pt>
                <c:pt idx="4362">
                  <c:v>4.2448322198456623</c:v>
                </c:pt>
                <c:pt idx="4363">
                  <c:v>4.2440182985281361</c:v>
                </c:pt>
                <c:pt idx="4364">
                  <c:v>4.2432045332751791</c:v>
                </c:pt>
                <c:pt idx="4365">
                  <c:v>4.2423909240568669</c:v>
                </c:pt>
                <c:pt idx="4366">
                  <c:v>4.2415774708432803</c:v>
                </c:pt>
                <c:pt idx="4367">
                  <c:v>4.2407641736045063</c:v>
                </c:pt>
                <c:pt idx="4368">
                  <c:v>4.2399510323106382</c:v>
                </c:pt>
                <c:pt idx="4369">
                  <c:v>4.2391380469317745</c:v>
                </c:pt>
                <c:pt idx="4370">
                  <c:v>4.2383252174380193</c:v>
                </c:pt>
                <c:pt idx="4371">
                  <c:v>4.2375125437994825</c:v>
                </c:pt>
                <c:pt idx="4372">
                  <c:v>4.2367000259862797</c:v>
                </c:pt>
                <c:pt idx="4373">
                  <c:v>4.2358876639685326</c:v>
                </c:pt>
                <c:pt idx="4374">
                  <c:v>4.2350754577163681</c:v>
                </c:pt>
                <c:pt idx="4375">
                  <c:v>4.2342634071999186</c:v>
                </c:pt>
                <c:pt idx="4376">
                  <c:v>4.2334515123893235</c:v>
                </c:pt>
                <c:pt idx="4377">
                  <c:v>4.2326397732547267</c:v>
                </c:pt>
                <c:pt idx="4378">
                  <c:v>4.2318281897662784</c:v>
                </c:pt>
                <c:pt idx="4379">
                  <c:v>4.2310167618941339</c:v>
                </c:pt>
                <c:pt idx="4380">
                  <c:v>4.2302054896084558</c:v>
                </c:pt>
                <c:pt idx="4381">
                  <c:v>4.2293943728794101</c:v>
                </c:pt>
                <c:pt idx="4382">
                  <c:v>4.2285834116771701</c:v>
                </c:pt>
                <c:pt idx="4383">
                  <c:v>4.2277726059719152</c:v>
                </c:pt>
                <c:pt idx="4384">
                  <c:v>4.2269619557338292</c:v>
                </c:pt>
                <c:pt idx="4385">
                  <c:v>4.2261514609331021</c:v>
                </c:pt>
                <c:pt idx="4386">
                  <c:v>4.2253411215399304</c:v>
                </c:pt>
                <c:pt idx="4387">
                  <c:v>4.2245309375245146</c:v>
                </c:pt>
                <c:pt idx="4388">
                  <c:v>4.2237209088570626</c:v>
                </c:pt>
                <c:pt idx="4389">
                  <c:v>4.2229110355077868</c:v>
                </c:pt>
                <c:pt idx="4390">
                  <c:v>4.2221013174469064</c:v>
                </c:pt>
                <c:pt idx="4391">
                  <c:v>4.2212917546446453</c:v>
                </c:pt>
                <c:pt idx="4392">
                  <c:v>4.2204823470712345</c:v>
                </c:pt>
                <c:pt idx="4393">
                  <c:v>4.2196730946969092</c:v>
                </c:pt>
                <c:pt idx="4394">
                  <c:v>4.2188639974919102</c:v>
                </c:pt>
                <c:pt idx="4395">
                  <c:v>4.2180550554264862</c:v>
                </c:pt>
                <c:pt idx="4396">
                  <c:v>4.2172462684708885</c:v>
                </c:pt>
                <c:pt idx="4397">
                  <c:v>4.2164376365953773</c:v>
                </c:pt>
                <c:pt idx="4398">
                  <c:v>4.2156291597702156</c:v>
                </c:pt>
                <c:pt idx="4399">
                  <c:v>4.2148208379656742</c:v>
                </c:pt>
                <c:pt idx="4400">
                  <c:v>4.2140126711520285</c:v>
                </c:pt>
                <c:pt idx="4401">
                  <c:v>4.21320465929956</c:v>
                </c:pt>
                <c:pt idx="4402">
                  <c:v>4.2123968023785556</c:v>
                </c:pt>
                <c:pt idx="4403">
                  <c:v>4.2115891003593084</c:v>
                </c:pt>
                <c:pt idx="4404">
                  <c:v>4.2107815532121169</c:v>
                </c:pt>
                <c:pt idx="4405">
                  <c:v>4.2099741609072856</c:v>
                </c:pt>
                <c:pt idx="4406">
                  <c:v>4.2091669234151237</c:v>
                </c:pt>
                <c:pt idx="4407">
                  <c:v>4.2083598407059473</c:v>
                </c:pt>
                <c:pt idx="4408">
                  <c:v>4.207552912750077</c:v>
                </c:pt>
                <c:pt idx="4409">
                  <c:v>4.2067461395178407</c:v>
                </c:pt>
                <c:pt idx="4410">
                  <c:v>4.2059395209795705</c:v>
                </c:pt>
                <c:pt idx="4411">
                  <c:v>4.2051330571056047</c:v>
                </c:pt>
                <c:pt idx="4412">
                  <c:v>4.204326747866288</c:v>
                </c:pt>
                <c:pt idx="4413">
                  <c:v>4.2035205932319695</c:v>
                </c:pt>
                <c:pt idx="4414">
                  <c:v>4.2027145931730043</c:v>
                </c:pt>
                <c:pt idx="4415">
                  <c:v>4.2019087476597541</c:v>
                </c:pt>
                <c:pt idx="4416">
                  <c:v>4.2011030566625855</c:v>
                </c:pt>
                <c:pt idx="4417">
                  <c:v>4.2002975201518717</c:v>
                </c:pt>
                <c:pt idx="4418">
                  <c:v>4.1994921380979902</c:v>
                </c:pt>
                <c:pt idx="4419">
                  <c:v>4.1986869104713245</c:v>
                </c:pt>
                <c:pt idx="4420">
                  <c:v>4.1978818372422646</c:v>
                </c:pt>
                <c:pt idx="4421">
                  <c:v>4.1970769183812049</c:v>
                </c:pt>
                <c:pt idx="4422">
                  <c:v>4.1962721538585468</c:v>
                </c:pt>
                <c:pt idx="4423">
                  <c:v>4.1954675436446971</c:v>
                </c:pt>
                <c:pt idx="4424">
                  <c:v>4.1946630877100679</c:v>
                </c:pt>
                <c:pt idx="4425">
                  <c:v>4.1938587860250767</c:v>
                </c:pt>
                <c:pt idx="4426">
                  <c:v>4.193054638560147</c:v>
                </c:pt>
                <c:pt idx="4427">
                  <c:v>4.1922506452857089</c:v>
                </c:pt>
                <c:pt idx="4428">
                  <c:v>4.1914468061721966</c:v>
                </c:pt>
                <c:pt idx="4429">
                  <c:v>4.1906431211900506</c:v>
                </c:pt>
                <c:pt idx="4430">
                  <c:v>4.1898395903097168</c:v>
                </c:pt>
                <c:pt idx="4431">
                  <c:v>4.1890362135016481</c:v>
                </c:pt>
                <c:pt idx="4432">
                  <c:v>4.1882329907363012</c:v>
                </c:pt>
                <c:pt idx="4433">
                  <c:v>4.1874299219841395</c:v>
                </c:pt>
                <c:pt idx="4434">
                  <c:v>4.1866270072156322</c:v>
                </c:pt>
                <c:pt idx="4435">
                  <c:v>4.1858242464012534</c:v>
                </c:pt>
                <c:pt idx="4436">
                  <c:v>4.1850216395114836</c:v>
                </c:pt>
                <c:pt idx="4437">
                  <c:v>4.1842191865168088</c:v>
                </c:pt>
                <c:pt idx="4438">
                  <c:v>4.1834168873877209</c:v>
                </c:pt>
                <c:pt idx="4439">
                  <c:v>4.1826147420947164</c:v>
                </c:pt>
                <c:pt idx="4440">
                  <c:v>4.181812750608298</c:v>
                </c:pt>
                <c:pt idx="4441">
                  <c:v>4.1810109128989748</c:v>
                </c:pt>
                <c:pt idx="4442">
                  <c:v>4.1802092289372608</c:v>
                </c:pt>
                <c:pt idx="4443">
                  <c:v>4.1794076986936757</c:v>
                </c:pt>
                <c:pt idx="4444">
                  <c:v>4.1786063221387444</c:v>
                </c:pt>
                <c:pt idx="4445">
                  <c:v>4.1778050992429989</c:v>
                </c:pt>
                <c:pt idx="4446">
                  <c:v>4.1770040299769757</c:v>
                </c:pt>
                <c:pt idx="4447">
                  <c:v>4.1762031143112175</c:v>
                </c:pt>
                <c:pt idx="4448">
                  <c:v>4.1754023522162722</c:v>
                </c:pt>
                <c:pt idx="4449">
                  <c:v>4.1746017436626932</c:v>
                </c:pt>
                <c:pt idx="4450">
                  <c:v>4.1738012886210401</c:v>
                </c:pt>
                <c:pt idx="4451">
                  <c:v>4.1730009870618776</c:v>
                </c:pt>
                <c:pt idx="4452">
                  <c:v>4.1722008389557761</c:v>
                </c:pt>
                <c:pt idx="4453">
                  <c:v>4.1714008442733128</c:v>
                </c:pt>
                <c:pt idx="4454">
                  <c:v>4.1706010029850686</c:v>
                </c:pt>
                <c:pt idx="4455">
                  <c:v>4.1698013150616324</c:v>
                </c:pt>
                <c:pt idx="4456">
                  <c:v>4.1690017804735966</c:v>
                </c:pt>
                <c:pt idx="4457">
                  <c:v>4.1682023991915598</c:v>
                </c:pt>
                <c:pt idx="4458">
                  <c:v>4.1674031711861268</c:v>
                </c:pt>
                <c:pt idx="4459">
                  <c:v>4.1666040964279079</c:v>
                </c:pt>
                <c:pt idx="4460">
                  <c:v>4.1658051748875184</c:v>
                </c:pt>
                <c:pt idx="4461">
                  <c:v>4.1650064065355803</c:v>
                </c:pt>
                <c:pt idx="4462">
                  <c:v>4.1642077913427196</c:v>
                </c:pt>
                <c:pt idx="4463">
                  <c:v>4.1634093292795695</c:v>
                </c:pt>
                <c:pt idx="4464">
                  <c:v>4.1626110203167688</c:v>
                </c:pt>
                <c:pt idx="4465">
                  <c:v>4.1618128644249612</c:v>
                </c:pt>
                <c:pt idx="4466">
                  <c:v>4.1610148615747962</c:v>
                </c:pt>
                <c:pt idx="4467">
                  <c:v>4.160217011736929</c:v>
                </c:pt>
                <c:pt idx="4468">
                  <c:v>4.1594193148820198</c:v>
                </c:pt>
                <c:pt idx="4469">
                  <c:v>4.1586217709807354</c:v>
                </c:pt>
                <c:pt idx="4470">
                  <c:v>4.1578243800037482</c:v>
                </c:pt>
                <c:pt idx="4471">
                  <c:v>4.1570271419217359</c:v>
                </c:pt>
                <c:pt idx="4472">
                  <c:v>4.1562300567053816</c:v>
                </c:pt>
                <c:pt idx="4473">
                  <c:v>4.1554331243253735</c:v>
                </c:pt>
                <c:pt idx="4474">
                  <c:v>4.1546363447524071</c:v>
                </c:pt>
                <c:pt idx="4475">
                  <c:v>4.1538397179571822</c:v>
                </c:pt>
                <c:pt idx="4476">
                  <c:v>4.153043243910405</c:v>
                </c:pt>
                <c:pt idx="4477">
                  <c:v>4.152246922582786</c:v>
                </c:pt>
                <c:pt idx="4478">
                  <c:v>4.1514507539450429</c:v>
                </c:pt>
                <c:pt idx="4479">
                  <c:v>4.1506547379678986</c:v>
                </c:pt>
                <c:pt idx="4480">
                  <c:v>4.1498588746220806</c:v>
                </c:pt>
                <c:pt idx="4481">
                  <c:v>4.1490631638783233</c:v>
                </c:pt>
                <c:pt idx="4482">
                  <c:v>4.1482676057073657</c:v>
                </c:pt>
                <c:pt idx="4483">
                  <c:v>4.1474722000799531</c:v>
                </c:pt>
                <c:pt idx="4484">
                  <c:v>4.1466769469668359</c:v>
                </c:pt>
                <c:pt idx="4485">
                  <c:v>4.1458818463387708</c:v>
                </c:pt>
                <c:pt idx="4486">
                  <c:v>4.1450868981665199</c:v>
                </c:pt>
                <c:pt idx="4487">
                  <c:v>4.1442921024208497</c:v>
                </c:pt>
                <c:pt idx="4488">
                  <c:v>4.1434974590725346</c:v>
                </c:pt>
                <c:pt idx="4489">
                  <c:v>4.1427029680923528</c:v>
                </c:pt>
                <c:pt idx="4490">
                  <c:v>4.1419086294510885</c:v>
                </c:pt>
                <c:pt idx="4491">
                  <c:v>4.1411144431195313</c:v>
                </c:pt>
                <c:pt idx="4492">
                  <c:v>4.1403204090684769</c:v>
                </c:pt>
                <c:pt idx="4493">
                  <c:v>4.1395265272687265</c:v>
                </c:pt>
                <c:pt idx="4494">
                  <c:v>4.1387327976910866</c:v>
                </c:pt>
                <c:pt idx="4495">
                  <c:v>4.1379392203063698</c:v>
                </c:pt>
                <c:pt idx="4496">
                  <c:v>4.1371457950853943</c:v>
                </c:pt>
                <c:pt idx="4497">
                  <c:v>4.1363525219989832</c:v>
                </c:pt>
                <c:pt idx="4498">
                  <c:v>4.1355594010179662</c:v>
                </c:pt>
                <c:pt idx="4499">
                  <c:v>4.1347664321131772</c:v>
                </c:pt>
                <c:pt idx="4500">
                  <c:v>4.1339736152554565</c:v>
                </c:pt>
                <c:pt idx="4501">
                  <c:v>4.1331809504156505</c:v>
                </c:pt>
                <c:pt idx="4502">
                  <c:v>4.1323884375646109</c:v>
                </c:pt>
                <c:pt idx="4503">
                  <c:v>4.1315960766731941</c:v>
                </c:pt>
                <c:pt idx="4504">
                  <c:v>4.1308038677122632</c:v>
                </c:pt>
                <c:pt idx="4505">
                  <c:v>4.130011810652686</c:v>
                </c:pt>
                <c:pt idx="4506">
                  <c:v>4.1292199054653365</c:v>
                </c:pt>
                <c:pt idx="4507">
                  <c:v>4.1284281521210939</c:v>
                </c:pt>
                <c:pt idx="4508">
                  <c:v>4.1276365505908439</c:v>
                </c:pt>
                <c:pt idx="4509">
                  <c:v>4.1268451008454763</c:v>
                </c:pt>
                <c:pt idx="4510">
                  <c:v>4.1260538028558873</c:v>
                </c:pt>
                <c:pt idx="4511">
                  <c:v>4.1252626565929793</c:v>
                </c:pt>
                <c:pt idx="4512">
                  <c:v>4.1244716620276591</c:v>
                </c:pt>
                <c:pt idx="4513">
                  <c:v>4.1236808191308389</c:v>
                </c:pt>
                <c:pt idx="4514">
                  <c:v>4.122890127873438</c:v>
                </c:pt>
                <c:pt idx="4515">
                  <c:v>4.1220995882263809</c:v>
                </c:pt>
                <c:pt idx="4516">
                  <c:v>4.1213092001605967</c:v>
                </c:pt>
                <c:pt idx="4517">
                  <c:v>4.1205189636470205</c:v>
                </c:pt>
                <c:pt idx="4518">
                  <c:v>4.1197288786565931</c:v>
                </c:pt>
                <c:pt idx="4519">
                  <c:v>4.1189389451602612</c:v>
                </c:pt>
                <c:pt idx="4520">
                  <c:v>4.1181491631289759</c:v>
                </c:pt>
                <c:pt idx="4521">
                  <c:v>4.1173595325336958</c:v>
                </c:pt>
                <c:pt idx="4522">
                  <c:v>4.1165700533453826</c:v>
                </c:pt>
                <c:pt idx="4523">
                  <c:v>4.1157807255350063</c:v>
                </c:pt>
                <c:pt idx="4524">
                  <c:v>4.1149915490735403</c:v>
                </c:pt>
                <c:pt idx="4525">
                  <c:v>4.1142025239319642</c:v>
                </c:pt>
                <c:pt idx="4526">
                  <c:v>4.1134136500812639</c:v>
                </c:pt>
                <c:pt idx="4527">
                  <c:v>4.1126249274924298</c:v>
                </c:pt>
                <c:pt idx="4528">
                  <c:v>4.1118363561364584</c:v>
                </c:pt>
                <c:pt idx="4529">
                  <c:v>4.1110479359843515</c:v>
                </c:pt>
                <c:pt idx="4530">
                  <c:v>4.1102596670071172</c:v>
                </c:pt>
                <c:pt idx="4531">
                  <c:v>4.1094715491757681</c:v>
                </c:pt>
                <c:pt idx="4532">
                  <c:v>4.1086835824613237</c:v>
                </c:pt>
                <c:pt idx="4533">
                  <c:v>4.1078957668348073</c:v>
                </c:pt>
                <c:pt idx="4534">
                  <c:v>4.1071081022672491</c:v>
                </c:pt>
                <c:pt idx="4535">
                  <c:v>4.1063205887296848</c:v>
                </c:pt>
                <c:pt idx="4536">
                  <c:v>4.1055332261931543</c:v>
                </c:pt>
                <c:pt idx="4537">
                  <c:v>4.1047460146287049</c:v>
                </c:pt>
                <c:pt idx="4538">
                  <c:v>4.1039589540073882</c:v>
                </c:pt>
                <c:pt idx="4539">
                  <c:v>4.1031720443002619</c:v>
                </c:pt>
                <c:pt idx="4540">
                  <c:v>4.1023852854783893</c:v>
                </c:pt>
                <c:pt idx="4541">
                  <c:v>4.1015986775128388</c:v>
                </c:pt>
                <c:pt idx="4542">
                  <c:v>4.1008122203746842</c:v>
                </c:pt>
                <c:pt idx="4543">
                  <c:v>4.1000259140350064</c:v>
                </c:pt>
                <c:pt idx="4544">
                  <c:v>4.0992397584648899</c:v>
                </c:pt>
                <c:pt idx="4545">
                  <c:v>4.0984537536354253</c:v>
                </c:pt>
                <c:pt idx="4546">
                  <c:v>4.0976678995177096</c:v>
                </c:pt>
                <c:pt idx="4547">
                  <c:v>4.0968821960828441</c:v>
                </c:pt>
                <c:pt idx="4548">
                  <c:v>4.0960966433019363</c:v>
                </c:pt>
                <c:pt idx="4549">
                  <c:v>4.0953112411461001</c:v>
                </c:pt>
                <c:pt idx="4550">
                  <c:v>4.0945259895864536</c:v>
                </c:pt>
                <c:pt idx="4551">
                  <c:v>4.0937408885941204</c:v>
                </c:pt>
                <c:pt idx="4552">
                  <c:v>4.0929559381402303</c:v>
                </c:pt>
                <c:pt idx="4553">
                  <c:v>4.0921711381959183</c:v>
                </c:pt>
                <c:pt idx="4554">
                  <c:v>4.0913864887323257</c:v>
                </c:pt>
                <c:pt idx="4555">
                  <c:v>4.0906019897205983</c:v>
                </c:pt>
                <c:pt idx="4556">
                  <c:v>4.0898176411318881</c:v>
                </c:pt>
                <c:pt idx="4557">
                  <c:v>4.0890334429373523</c:v>
                </c:pt>
                <c:pt idx="4558">
                  <c:v>4.0882493951081535</c:v>
                </c:pt>
                <c:pt idx="4559">
                  <c:v>4.0874654976154599</c:v>
                </c:pt>
                <c:pt idx="4560">
                  <c:v>4.0866817504304453</c:v>
                </c:pt>
                <c:pt idx="4561">
                  <c:v>4.0858981535242895</c:v>
                </c:pt>
                <c:pt idx="4562">
                  <c:v>4.0851147068681781</c:v>
                </c:pt>
                <c:pt idx="4563">
                  <c:v>4.0843314104333004</c:v>
                </c:pt>
                <c:pt idx="4564">
                  <c:v>4.0835482641908527</c:v>
                </c:pt>
                <c:pt idx="4565">
                  <c:v>4.0827652681120368</c:v>
                </c:pt>
                <c:pt idx="4566">
                  <c:v>4.0819824221680596</c:v>
                </c:pt>
                <c:pt idx="4567">
                  <c:v>4.0811997263301327</c:v>
                </c:pt>
                <c:pt idx="4568">
                  <c:v>4.0804171805694756</c:v>
                </c:pt>
                <c:pt idx="4569">
                  <c:v>4.0796347848573111</c:v>
                </c:pt>
                <c:pt idx="4570">
                  <c:v>4.0788525391648687</c:v>
                </c:pt>
                <c:pt idx="4571">
                  <c:v>4.0780704434633828</c:v>
                </c:pt>
                <c:pt idx="4572">
                  <c:v>4.0772884977240933</c:v>
                </c:pt>
                <c:pt idx="4573">
                  <c:v>4.0765067019182455</c:v>
                </c:pt>
                <c:pt idx="4574">
                  <c:v>4.0757250560170917</c:v>
                </c:pt>
                <c:pt idx="4575">
                  <c:v>4.0749435599918877</c:v>
                </c:pt>
                <c:pt idx="4576">
                  <c:v>4.0741622138138958</c:v>
                </c:pt>
                <c:pt idx="4577">
                  <c:v>4.0733810174543841</c:v>
                </c:pt>
                <c:pt idx="4578">
                  <c:v>4.0725999708846254</c:v>
                </c:pt>
                <c:pt idx="4579">
                  <c:v>4.0718190740758988</c:v>
                </c:pt>
                <c:pt idx="4580">
                  <c:v>4.0710383269994876</c:v>
                </c:pt>
                <c:pt idx="4581">
                  <c:v>4.0702577296266824</c:v>
                </c:pt>
                <c:pt idx="4582">
                  <c:v>4.0694772819287781</c:v>
                </c:pt>
                <c:pt idx="4583">
                  <c:v>4.0686969838770759</c:v>
                </c:pt>
                <c:pt idx="4584">
                  <c:v>4.0679168354428814</c:v>
                </c:pt>
                <c:pt idx="4585">
                  <c:v>4.0671368365975065</c:v>
                </c:pt>
                <c:pt idx="4586">
                  <c:v>4.0663569873122682</c:v>
                </c:pt>
                <c:pt idx="4587">
                  <c:v>4.0655772875584901</c:v>
                </c:pt>
                <c:pt idx="4588">
                  <c:v>4.0647977373074999</c:v>
                </c:pt>
                <c:pt idx="4589">
                  <c:v>4.0640183365306308</c:v>
                </c:pt>
                <c:pt idx="4590">
                  <c:v>4.0632390851992231</c:v>
                </c:pt>
                <c:pt idx="4591">
                  <c:v>4.0624599832846204</c:v>
                </c:pt>
                <c:pt idx="4592">
                  <c:v>4.0616810307581739</c:v>
                </c:pt>
                <c:pt idx="4593">
                  <c:v>4.0609022275912388</c:v>
                </c:pt>
                <c:pt idx="4594">
                  <c:v>4.0601235737551757</c:v>
                </c:pt>
                <c:pt idx="4595">
                  <c:v>4.0593450692213526</c:v>
                </c:pt>
                <c:pt idx="4596">
                  <c:v>4.0585667139611408</c:v>
                </c:pt>
                <c:pt idx="4597">
                  <c:v>4.0577885079459177</c:v>
                </c:pt>
                <c:pt idx="4598">
                  <c:v>4.0570104511470673</c:v>
                </c:pt>
                <c:pt idx="4599">
                  <c:v>4.0562325435359776</c:v>
                </c:pt>
                <c:pt idx="4600">
                  <c:v>4.0554547850840432</c:v>
                </c:pt>
                <c:pt idx="4601">
                  <c:v>4.0546771757626638</c:v>
                </c:pt>
                <c:pt idx="4602">
                  <c:v>4.0538997155432446</c:v>
                </c:pt>
                <c:pt idx="4603">
                  <c:v>4.0531224043971958</c:v>
                </c:pt>
                <c:pt idx="4604">
                  <c:v>4.0523452422959334</c:v>
                </c:pt>
                <c:pt idx="4605">
                  <c:v>4.0515682292108792</c:v>
                </c:pt>
                <c:pt idx="4606">
                  <c:v>4.0507913651134597</c:v>
                </c:pt>
                <c:pt idx="4607">
                  <c:v>4.0500146499751084</c:v>
                </c:pt>
                <c:pt idx="4608">
                  <c:v>4.0492380837672624</c:v>
                </c:pt>
                <c:pt idx="4609">
                  <c:v>4.0484616664613657</c:v>
                </c:pt>
                <c:pt idx="4610">
                  <c:v>4.0476853980288672</c:v>
                </c:pt>
                <c:pt idx="4611">
                  <c:v>4.0469092784412206</c:v>
                </c:pt>
                <c:pt idx="4612">
                  <c:v>4.0461333076698862</c:v>
                </c:pt>
                <c:pt idx="4613">
                  <c:v>4.0453574856863295</c:v>
                </c:pt>
                <c:pt idx="4614">
                  <c:v>4.0445818124620212</c:v>
                </c:pt>
                <c:pt idx="4615">
                  <c:v>4.0438062879684384</c:v>
                </c:pt>
                <c:pt idx="4616">
                  <c:v>4.0430309121770618</c:v>
                </c:pt>
                <c:pt idx="4617">
                  <c:v>4.0422556850593789</c:v>
                </c:pt>
                <c:pt idx="4618">
                  <c:v>4.0414806065868829</c:v>
                </c:pt>
                <c:pt idx="4619">
                  <c:v>4.0407056767310712</c:v>
                </c:pt>
                <c:pt idx="4620">
                  <c:v>4.0399308954634483</c:v>
                </c:pt>
                <c:pt idx="4621">
                  <c:v>4.0391562627555224</c:v>
                </c:pt>
                <c:pt idx="4622">
                  <c:v>4.0383817785788088</c:v>
                </c:pt>
                <c:pt idx="4623">
                  <c:v>4.037607442904827</c:v>
                </c:pt>
                <c:pt idx="4624">
                  <c:v>4.036833255705103</c:v>
                </c:pt>
                <c:pt idx="4625">
                  <c:v>4.0360592169511671</c:v>
                </c:pt>
                <c:pt idx="4626">
                  <c:v>4.0352853266145559</c:v>
                </c:pt>
                <c:pt idx="4627">
                  <c:v>4.0345115846668111</c:v>
                </c:pt>
                <c:pt idx="4628">
                  <c:v>4.0337379910794811</c:v>
                </c:pt>
                <c:pt idx="4629">
                  <c:v>4.0329645458241172</c:v>
                </c:pt>
                <c:pt idx="4630">
                  <c:v>4.0321912488722784</c:v>
                </c:pt>
                <c:pt idx="4631">
                  <c:v>4.0314181001955287</c:v>
                </c:pt>
                <c:pt idx="4632">
                  <c:v>4.0306450997654366</c:v>
                </c:pt>
                <c:pt idx="4633">
                  <c:v>4.0298722475535769</c:v>
                </c:pt>
                <c:pt idx="4634">
                  <c:v>4.0290995435315295</c:v>
                </c:pt>
                <c:pt idx="4635">
                  <c:v>4.02832698767088</c:v>
                </c:pt>
                <c:pt idx="4636">
                  <c:v>4.02755457994322</c:v>
                </c:pt>
                <c:pt idx="4637">
                  <c:v>4.0267823203201445</c:v>
                </c:pt>
                <c:pt idx="4638">
                  <c:v>4.0260102087732568</c:v>
                </c:pt>
                <c:pt idx="4639">
                  <c:v>4.0252382452741626</c:v>
                </c:pt>
                <c:pt idx="4640">
                  <c:v>4.0244664297944759</c:v>
                </c:pt>
                <c:pt idx="4641">
                  <c:v>4.0236947623058148</c:v>
                </c:pt>
                <c:pt idx="4642">
                  <c:v>4.0229232427798021</c:v>
                </c:pt>
                <c:pt idx="4643">
                  <c:v>4.0221518711880675</c:v>
                </c:pt>
                <c:pt idx="4644">
                  <c:v>4.0213806475022453</c:v>
                </c:pt>
                <c:pt idx="4645">
                  <c:v>4.0206095716939751</c:v>
                </c:pt>
                <c:pt idx="4646">
                  <c:v>4.0198386437349027</c:v>
                </c:pt>
                <c:pt idx="4647">
                  <c:v>4.0190678635966783</c:v>
                </c:pt>
                <c:pt idx="4648">
                  <c:v>4.0182972312509593</c:v>
                </c:pt>
                <c:pt idx="4649">
                  <c:v>4.0175267466694065</c:v>
                </c:pt>
                <c:pt idx="4650">
                  <c:v>4.016756409823687</c:v>
                </c:pt>
                <c:pt idx="4651">
                  <c:v>4.0159862206854733</c:v>
                </c:pt>
                <c:pt idx="4652">
                  <c:v>4.0152161792264431</c:v>
                </c:pt>
                <c:pt idx="4653">
                  <c:v>4.0144462854182805</c:v>
                </c:pt>
                <c:pt idx="4654">
                  <c:v>4.0136765392326739</c:v>
                </c:pt>
                <c:pt idx="4655">
                  <c:v>4.0129069406413178</c:v>
                </c:pt>
                <c:pt idx="4656">
                  <c:v>4.0121374896159123</c:v>
                </c:pt>
                <c:pt idx="4657">
                  <c:v>4.0113681861281618</c:v>
                </c:pt>
                <c:pt idx="4658">
                  <c:v>4.0105990301497769</c:v>
                </c:pt>
                <c:pt idx="4659">
                  <c:v>4.0098300216524736</c:v>
                </c:pt>
                <c:pt idx="4660">
                  <c:v>4.0090611606079731</c:v>
                </c:pt>
                <c:pt idx="4661">
                  <c:v>4.008292446988003</c:v>
                </c:pt>
                <c:pt idx="4662">
                  <c:v>4.0075238807642943</c:v>
                </c:pt>
                <c:pt idx="4663">
                  <c:v>4.0067554619085861</c:v>
                </c:pt>
                <c:pt idx="4664">
                  <c:v>4.0059871903926201</c:v>
                </c:pt>
                <c:pt idx="4665">
                  <c:v>4.0052190661881459</c:v>
                </c:pt>
                <c:pt idx="4666">
                  <c:v>4.004451089266917</c:v>
                </c:pt>
                <c:pt idx="4667">
                  <c:v>4.0036832596006917</c:v>
                </c:pt>
                <c:pt idx="4668">
                  <c:v>4.0029155771612359</c:v>
                </c:pt>
                <c:pt idx="4669">
                  <c:v>4.0021480419203197</c:v>
                </c:pt>
                <c:pt idx="4670">
                  <c:v>4.0013806538497185</c:v>
                </c:pt>
                <c:pt idx="4671">
                  <c:v>4.0006134129212132</c:v>
                </c:pt>
                <c:pt idx="4672">
                  <c:v>3.9998463191065898</c:v>
                </c:pt>
                <c:pt idx="4673">
                  <c:v>3.9990793723776408</c:v>
                </c:pt>
                <c:pt idx="4674">
                  <c:v>3.9983125727061628</c:v>
                </c:pt>
                <c:pt idx="4675">
                  <c:v>3.9975459200639585</c:v>
                </c:pt>
                <c:pt idx="4676">
                  <c:v>3.9967794144228361</c:v>
                </c:pt>
                <c:pt idx="4677">
                  <c:v>3.996013055754609</c:v>
                </c:pt>
                <c:pt idx="4678">
                  <c:v>3.995246844031096</c:v>
                </c:pt>
                <c:pt idx="4679">
                  <c:v>3.9944807792241215</c:v>
                </c:pt>
                <c:pt idx="4680">
                  <c:v>3.9937148613055147</c:v>
                </c:pt>
                <c:pt idx="4681">
                  <c:v>3.992949090247111</c:v>
                </c:pt>
                <c:pt idx="4682">
                  <c:v>3.9921834660207507</c:v>
                </c:pt>
                <c:pt idx="4683">
                  <c:v>3.9914179885982795</c:v>
                </c:pt>
                <c:pt idx="4684">
                  <c:v>3.9906526579515487</c:v>
                </c:pt>
                <c:pt idx="4685">
                  <c:v>3.9898874740524151</c:v>
                </c:pt>
                <c:pt idx="4686">
                  <c:v>3.9891224368727407</c:v>
                </c:pt>
                <c:pt idx="4687">
                  <c:v>3.988357546384393</c:v>
                </c:pt>
                <c:pt idx="4688">
                  <c:v>3.9875928025592446</c:v>
                </c:pt>
                <c:pt idx="4689">
                  <c:v>3.9868282053691737</c:v>
                </c:pt>
                <c:pt idx="4690">
                  <c:v>3.986063754786064</c:v>
                </c:pt>
                <c:pt idx="4691">
                  <c:v>3.9852994507818043</c:v>
                </c:pt>
                <c:pt idx="4692">
                  <c:v>3.9845352933282889</c:v>
                </c:pt>
                <c:pt idx="4693">
                  <c:v>3.9837712823974178</c:v>
                </c:pt>
                <c:pt idx="4694">
                  <c:v>3.9830074179610966</c:v>
                </c:pt>
                <c:pt idx="4695">
                  <c:v>3.9822436999912352</c:v>
                </c:pt>
                <c:pt idx="4696">
                  <c:v>3.9814801284597494</c:v>
                </c:pt>
                <c:pt idx="4697">
                  <c:v>3.9807167033385609</c:v>
                </c:pt>
                <c:pt idx="4698">
                  <c:v>3.9799534245995964</c:v>
                </c:pt>
                <c:pt idx="4699">
                  <c:v>3.9791902922147879</c:v>
                </c:pt>
                <c:pt idx="4700">
                  <c:v>3.9784273061560729</c:v>
                </c:pt>
                <c:pt idx="4701">
                  <c:v>3.9776644663953942</c:v>
                </c:pt>
                <c:pt idx="4702">
                  <c:v>3.9769017729047</c:v>
                </c:pt>
                <c:pt idx="4703">
                  <c:v>3.976139225655944</c:v>
                </c:pt>
                <c:pt idx="4704">
                  <c:v>3.975376824621085</c:v>
                </c:pt>
                <c:pt idx="4705">
                  <c:v>3.9746145697720876</c:v>
                </c:pt>
                <c:pt idx="4706">
                  <c:v>3.9738524610809214</c:v>
                </c:pt>
                <c:pt idx="4707">
                  <c:v>3.9730904985195612</c:v>
                </c:pt>
                <c:pt idx="4708">
                  <c:v>3.9723286820599881</c:v>
                </c:pt>
                <c:pt idx="4709">
                  <c:v>3.9715670116741872</c:v>
                </c:pt>
                <c:pt idx="4710">
                  <c:v>3.9708054873341503</c:v>
                </c:pt>
                <c:pt idx="4711">
                  <c:v>3.9700441090118739</c:v>
                </c:pt>
                <c:pt idx="4712">
                  <c:v>3.96928287667936</c:v>
                </c:pt>
                <c:pt idx="4713">
                  <c:v>3.9685217903086158</c:v>
                </c:pt>
                <c:pt idx="4714">
                  <c:v>3.9677608498716541</c:v>
                </c:pt>
                <c:pt idx="4715">
                  <c:v>3.9670000553404927</c:v>
                </c:pt>
                <c:pt idx="4716">
                  <c:v>3.9662394066871554</c:v>
                </c:pt>
                <c:pt idx="4717">
                  <c:v>3.9654789038836706</c:v>
                </c:pt>
                <c:pt idx="4718">
                  <c:v>3.9647185469020729</c:v>
                </c:pt>
                <c:pt idx="4719">
                  <c:v>3.9639583357144015</c:v>
                </c:pt>
                <c:pt idx="4720">
                  <c:v>3.9631982702927013</c:v>
                </c:pt>
                <c:pt idx="4721">
                  <c:v>3.9624383506090228</c:v>
                </c:pt>
                <c:pt idx="4722">
                  <c:v>3.9616785766354212</c:v>
                </c:pt>
                <c:pt idx="4723">
                  <c:v>3.960918948343958</c:v>
                </c:pt>
                <c:pt idx="4724">
                  <c:v>3.960159465706699</c:v>
                </c:pt>
                <c:pt idx="4725">
                  <c:v>3.9594001286957159</c:v>
                </c:pt>
                <c:pt idx="4726">
                  <c:v>3.9586409372830862</c:v>
                </c:pt>
                <c:pt idx="4727">
                  <c:v>3.9578818914408918</c:v>
                </c:pt>
                <c:pt idx="4728">
                  <c:v>3.9571229911412207</c:v>
                </c:pt>
                <c:pt idx="4729">
                  <c:v>3.956364236356166</c:v>
                </c:pt>
                <c:pt idx="4730">
                  <c:v>3.9556056270578259</c:v>
                </c:pt>
                <c:pt idx="4731">
                  <c:v>3.9548471632183047</c:v>
                </c:pt>
                <c:pt idx="4732">
                  <c:v>3.9540888448097107</c:v>
                </c:pt>
                <c:pt idx="4733">
                  <c:v>3.9533306718041592</c:v>
                </c:pt>
                <c:pt idx="4734">
                  <c:v>3.9525726441737694</c:v>
                </c:pt>
                <c:pt idx="4735">
                  <c:v>3.9518147618906672</c:v>
                </c:pt>
                <c:pt idx="4736">
                  <c:v>3.9510570249269823</c:v>
                </c:pt>
                <c:pt idx="4737">
                  <c:v>3.9502994332548509</c:v>
                </c:pt>
                <c:pt idx="4738">
                  <c:v>3.9495419868464143</c:v>
                </c:pt>
                <c:pt idx="4739">
                  <c:v>3.9487846856738194</c:v>
                </c:pt>
                <c:pt idx="4740">
                  <c:v>3.9480275297092176</c:v>
                </c:pt>
                <c:pt idx="4741">
                  <c:v>3.9472705189247659</c:v>
                </c:pt>
                <c:pt idx="4742">
                  <c:v>3.9465136532926275</c:v>
                </c:pt>
                <c:pt idx="4743">
                  <c:v>3.94575693278497</c:v>
                </c:pt>
                <c:pt idx="4744">
                  <c:v>3.9450003573739667</c:v>
                </c:pt>
                <c:pt idx="4745">
                  <c:v>3.9442439270317959</c:v>
                </c:pt>
                <c:pt idx="4746">
                  <c:v>3.9434876417306421</c:v>
                </c:pt>
                <c:pt idx="4747">
                  <c:v>3.9427315014426942</c:v>
                </c:pt>
                <c:pt idx="4748">
                  <c:v>3.9419755061401465</c:v>
                </c:pt>
                <c:pt idx="4749">
                  <c:v>3.9412196557951993</c:v>
                </c:pt>
                <c:pt idx="4750">
                  <c:v>3.9404639503800576</c:v>
                </c:pt>
                <c:pt idx="4751">
                  <c:v>3.9397083898669325</c:v>
                </c:pt>
                <c:pt idx="4752">
                  <c:v>3.9389529742280391</c:v>
                </c:pt>
                <c:pt idx="4753">
                  <c:v>3.9381977034355993</c:v>
                </c:pt>
                <c:pt idx="4754">
                  <c:v>3.9374425774618391</c:v>
                </c:pt>
                <c:pt idx="4755">
                  <c:v>3.9366875962789911</c:v>
                </c:pt>
                <c:pt idx="4756">
                  <c:v>3.9359327598592921</c:v>
                </c:pt>
                <c:pt idx="4757">
                  <c:v>3.9351780681749844</c:v>
                </c:pt>
                <c:pt idx="4758">
                  <c:v>3.9344235211983163</c:v>
                </c:pt>
                <c:pt idx="4759">
                  <c:v>3.9336691189015407</c:v>
                </c:pt>
                <c:pt idx="4760">
                  <c:v>3.9329148612569158</c:v>
                </c:pt>
                <c:pt idx="4761">
                  <c:v>3.932160748236706</c:v>
                </c:pt>
                <c:pt idx="4762">
                  <c:v>3.9314067798131802</c:v>
                </c:pt>
                <c:pt idx="4763">
                  <c:v>3.9306529559586125</c:v>
                </c:pt>
                <c:pt idx="4764">
                  <c:v>3.9298992766452834</c:v>
                </c:pt>
                <c:pt idx="4765">
                  <c:v>3.9291457418454772</c:v>
                </c:pt>
                <c:pt idx="4766">
                  <c:v>3.9283923515314845</c:v>
                </c:pt>
                <c:pt idx="4767">
                  <c:v>3.9276391056756013</c:v>
                </c:pt>
                <c:pt idx="4768">
                  <c:v>3.9268860042501283</c:v>
                </c:pt>
                <c:pt idx="4769">
                  <c:v>3.9261330472273723</c:v>
                </c:pt>
                <c:pt idx="4770">
                  <c:v>3.9253802345796447</c:v>
                </c:pt>
                <c:pt idx="4771">
                  <c:v>3.9246275662792622</c:v>
                </c:pt>
                <c:pt idx="4772">
                  <c:v>3.9238750422985471</c:v>
                </c:pt>
                <c:pt idx="4773">
                  <c:v>3.9231226626098272</c:v>
                </c:pt>
                <c:pt idx="4774">
                  <c:v>3.9223704271854354</c:v>
                </c:pt>
                <c:pt idx="4775">
                  <c:v>3.9216183359977097</c:v>
                </c:pt>
                <c:pt idx="4776">
                  <c:v>3.9208663890189936</c:v>
                </c:pt>
                <c:pt idx="4777">
                  <c:v>3.920114586221636</c:v>
                </c:pt>
                <c:pt idx="4778">
                  <c:v>3.9193629275779909</c:v>
                </c:pt>
                <c:pt idx="4779">
                  <c:v>3.9186114130604177</c:v>
                </c:pt>
                <c:pt idx="4780">
                  <c:v>3.9178600426412808</c:v>
                </c:pt>
                <c:pt idx="4781">
                  <c:v>3.9171088162929504</c:v>
                </c:pt>
                <c:pt idx="4782">
                  <c:v>3.9163577339878017</c:v>
                </c:pt>
                <c:pt idx="4783">
                  <c:v>3.9156067956982157</c:v>
                </c:pt>
                <c:pt idx="4784">
                  <c:v>3.9148560013965779</c:v>
                </c:pt>
                <c:pt idx="4785">
                  <c:v>3.9141053510552792</c:v>
                </c:pt>
                <c:pt idx="4786">
                  <c:v>3.9133548446467166</c:v>
                </c:pt>
                <c:pt idx="4787">
                  <c:v>3.9126044821432915</c:v>
                </c:pt>
                <c:pt idx="4788">
                  <c:v>3.9118542635174114</c:v>
                </c:pt>
                <c:pt idx="4789">
                  <c:v>3.9111041887414881</c:v>
                </c:pt>
                <c:pt idx="4790">
                  <c:v>3.9103542577879398</c:v>
                </c:pt>
                <c:pt idx="4791">
                  <c:v>3.9096044706291888</c:v>
                </c:pt>
                <c:pt idx="4792">
                  <c:v>3.9088548272376635</c:v>
                </c:pt>
                <c:pt idx="4793">
                  <c:v>3.9081053275857975</c:v>
                </c:pt>
                <c:pt idx="4794">
                  <c:v>3.9073559716460298</c:v>
                </c:pt>
                <c:pt idx="4795">
                  <c:v>3.906606759390804</c:v>
                </c:pt>
                <c:pt idx="4796">
                  <c:v>3.9058576907925695</c:v>
                </c:pt>
                <c:pt idx="4797">
                  <c:v>3.9051087658237811</c:v>
                </c:pt>
                <c:pt idx="4798">
                  <c:v>3.904359984456899</c:v>
                </c:pt>
                <c:pt idx="4799">
                  <c:v>3.903611346664388</c:v>
                </c:pt>
                <c:pt idx="4800">
                  <c:v>3.9028628524187186</c:v>
                </c:pt>
                <c:pt idx="4801">
                  <c:v>3.9021145016923664</c:v>
                </c:pt>
                <c:pt idx="4802">
                  <c:v>3.9013662944578127</c:v>
                </c:pt>
                <c:pt idx="4803">
                  <c:v>3.9006182306875439</c:v>
                </c:pt>
                <c:pt idx="4804">
                  <c:v>3.8998703103540513</c:v>
                </c:pt>
                <c:pt idx="4805">
                  <c:v>3.8991225334298316</c:v>
                </c:pt>
                <c:pt idx="4806">
                  <c:v>3.8983748998873873</c:v>
                </c:pt>
                <c:pt idx="4807">
                  <c:v>3.8976274096992256</c:v>
                </c:pt>
                <c:pt idx="4808">
                  <c:v>3.8968800628378593</c:v>
                </c:pt>
                <c:pt idx="4809">
                  <c:v>3.8961328592758062</c:v>
                </c:pt>
                <c:pt idx="4810">
                  <c:v>3.8953857989855898</c:v>
                </c:pt>
                <c:pt idx="4811">
                  <c:v>3.8946388819397382</c:v>
                </c:pt>
                <c:pt idx="4812">
                  <c:v>3.8938921081107853</c:v>
                </c:pt>
                <c:pt idx="4813">
                  <c:v>3.8931454774712702</c:v>
                </c:pt>
                <c:pt idx="4814">
                  <c:v>3.8923989899937368</c:v>
                </c:pt>
                <c:pt idx="4815">
                  <c:v>3.8916526456507352</c:v>
                </c:pt>
                <c:pt idx="4816">
                  <c:v>3.8909064444148198</c:v>
                </c:pt>
                <c:pt idx="4817">
                  <c:v>3.8901603862585508</c:v>
                </c:pt>
                <c:pt idx="4818">
                  <c:v>3.8894144711544936</c:v>
                </c:pt>
                <c:pt idx="4819">
                  <c:v>3.8886686990752186</c:v>
                </c:pt>
                <c:pt idx="4820">
                  <c:v>3.8879230699933021</c:v>
                </c:pt>
                <c:pt idx="4821">
                  <c:v>3.8871775838813245</c:v>
                </c:pt>
                <c:pt idx="4822">
                  <c:v>3.8864322407118728</c:v>
                </c:pt>
                <c:pt idx="4823">
                  <c:v>3.8856870404575381</c:v>
                </c:pt>
                <c:pt idx="4824">
                  <c:v>3.884941983090918</c:v>
                </c:pt>
                <c:pt idx="4825">
                  <c:v>3.8841970685846139</c:v>
                </c:pt>
                <c:pt idx="4826">
                  <c:v>3.8834522969112335</c:v>
                </c:pt>
                <c:pt idx="4827">
                  <c:v>3.8827076680433894</c:v>
                </c:pt>
                <c:pt idx="4828">
                  <c:v>3.8819631819536995</c:v>
                </c:pt>
                <c:pt idx="4829">
                  <c:v>3.881218838614787</c:v>
                </c:pt>
                <c:pt idx="4830">
                  <c:v>3.8804746379992801</c:v>
                </c:pt>
                <c:pt idx="4831">
                  <c:v>3.8797305800798125</c:v>
                </c:pt>
                <c:pt idx="4832">
                  <c:v>3.8789866648290232</c:v>
                </c:pt>
                <c:pt idx="4833">
                  <c:v>3.8782428922195562</c:v>
                </c:pt>
                <c:pt idx="4834">
                  <c:v>3.8774992622240609</c:v>
                </c:pt>
                <c:pt idx="4835">
                  <c:v>3.8767557748151922</c:v>
                </c:pt>
                <c:pt idx="4836">
                  <c:v>3.8760124299656096</c:v>
                </c:pt>
                <c:pt idx="4837">
                  <c:v>3.8752692276479785</c:v>
                </c:pt>
                <c:pt idx="4838">
                  <c:v>3.8745261678349689</c:v>
                </c:pt>
                <c:pt idx="4839">
                  <c:v>3.8737832504992564</c:v>
                </c:pt>
                <c:pt idx="4840">
                  <c:v>3.8730404756135224</c:v>
                </c:pt>
                <c:pt idx="4841">
                  <c:v>3.8722978431504522</c:v>
                </c:pt>
                <c:pt idx="4842">
                  <c:v>3.8715553530827376</c:v>
                </c:pt>
                <c:pt idx="4843">
                  <c:v>3.8708130053830749</c:v>
                </c:pt>
                <c:pt idx="4844">
                  <c:v>3.8700708000241661</c:v>
                </c:pt>
                <c:pt idx="4845">
                  <c:v>3.8693287369787179</c:v>
                </c:pt>
                <c:pt idx="4846">
                  <c:v>3.8685868162194428</c:v>
                </c:pt>
                <c:pt idx="4847">
                  <c:v>3.8678450377190581</c:v>
                </c:pt>
                <c:pt idx="4848">
                  <c:v>3.8671034014502865</c:v>
                </c:pt>
                <c:pt idx="4849">
                  <c:v>3.8663619073858562</c:v>
                </c:pt>
                <c:pt idx="4850">
                  <c:v>3.8656205554985004</c:v>
                </c:pt>
                <c:pt idx="4851">
                  <c:v>3.8648793457609569</c:v>
                </c:pt>
                <c:pt idx="4852">
                  <c:v>3.8641382781459699</c:v>
                </c:pt>
                <c:pt idx="4853">
                  <c:v>3.8633973526262881</c:v>
                </c:pt>
                <c:pt idx="4854">
                  <c:v>3.8626565691746655</c:v>
                </c:pt>
                <c:pt idx="4855">
                  <c:v>3.8619159277638615</c:v>
                </c:pt>
                <c:pt idx="4856">
                  <c:v>3.8611754283666402</c:v>
                </c:pt>
                <c:pt idx="4857">
                  <c:v>3.8604350709557718</c:v>
                </c:pt>
                <c:pt idx="4858">
                  <c:v>3.8596948555040314</c:v>
                </c:pt>
                <c:pt idx="4859">
                  <c:v>3.8589547819841985</c:v>
                </c:pt>
                <c:pt idx="4860">
                  <c:v>3.858214850369059</c:v>
                </c:pt>
                <c:pt idx="4861">
                  <c:v>3.8574750606314034</c:v>
                </c:pt>
                <c:pt idx="4862">
                  <c:v>3.8567354127440279</c:v>
                </c:pt>
                <c:pt idx="4863">
                  <c:v>3.8559959066797331</c:v>
                </c:pt>
                <c:pt idx="4864">
                  <c:v>3.8552565424113254</c:v>
                </c:pt>
                <c:pt idx="4865">
                  <c:v>3.8545173199116163</c:v>
                </c:pt>
                <c:pt idx="4866">
                  <c:v>3.8537782391534225</c:v>
                </c:pt>
                <c:pt idx="4867">
                  <c:v>3.853039300109566</c:v>
                </c:pt>
                <c:pt idx="4868">
                  <c:v>3.8523005027528736</c:v>
                </c:pt>
                <c:pt idx="4869">
                  <c:v>3.8515618470561779</c:v>
                </c:pt>
                <c:pt idx="4870">
                  <c:v>3.8508233329923161</c:v>
                </c:pt>
                <c:pt idx="4871">
                  <c:v>3.8500849605341312</c:v>
                </c:pt>
                <c:pt idx="4872">
                  <c:v>3.8493467296544712</c:v>
                </c:pt>
                <c:pt idx="4873">
                  <c:v>3.8486086403261894</c:v>
                </c:pt>
                <c:pt idx="4874">
                  <c:v>3.847870692522144</c:v>
                </c:pt>
                <c:pt idx="4875">
                  <c:v>3.8471328862151983</c:v>
                </c:pt>
                <c:pt idx="4876">
                  <c:v>3.8463952213782218</c:v>
                </c:pt>
                <c:pt idx="4877">
                  <c:v>3.8456576979840875</c:v>
                </c:pt>
                <c:pt idx="4878">
                  <c:v>3.8449203160056755</c:v>
                </c:pt>
                <c:pt idx="4879">
                  <c:v>3.8441830754158697</c:v>
                </c:pt>
                <c:pt idx="4880">
                  <c:v>3.8434459761875597</c:v>
                </c:pt>
                <c:pt idx="4881">
                  <c:v>3.8427090182936401</c:v>
                </c:pt>
                <c:pt idx="4882">
                  <c:v>3.8419722017070113</c:v>
                </c:pt>
                <c:pt idx="4883">
                  <c:v>3.841235526400578</c:v>
                </c:pt>
                <c:pt idx="4884">
                  <c:v>3.8404989923472508</c:v>
                </c:pt>
                <c:pt idx="4885">
                  <c:v>3.8397625995199456</c:v>
                </c:pt>
                <c:pt idx="4886">
                  <c:v>3.8390263478915827</c:v>
                </c:pt>
                <c:pt idx="4887">
                  <c:v>3.8382902374350882</c:v>
                </c:pt>
                <c:pt idx="4888">
                  <c:v>3.8375542681233932</c:v>
                </c:pt>
                <c:pt idx="4889">
                  <c:v>3.8368184399294338</c:v>
                </c:pt>
                <c:pt idx="4890">
                  <c:v>3.8360827528261519</c:v>
                </c:pt>
                <c:pt idx="4891">
                  <c:v>3.8353472067864942</c:v>
                </c:pt>
                <c:pt idx="4892">
                  <c:v>3.8346118017834123</c:v>
                </c:pt>
                <c:pt idx="4893">
                  <c:v>3.8338765377898634</c:v>
                </c:pt>
                <c:pt idx="4894">
                  <c:v>3.8331414147788099</c:v>
                </c:pt>
                <c:pt idx="4895">
                  <c:v>3.8324064327232188</c:v>
                </c:pt>
                <c:pt idx="4896">
                  <c:v>3.8316715915960633</c:v>
                </c:pt>
                <c:pt idx="4897">
                  <c:v>3.830936891370321</c:v>
                </c:pt>
                <c:pt idx="4898">
                  <c:v>3.8302023320189749</c:v>
                </c:pt>
                <c:pt idx="4899">
                  <c:v>3.8294679135150131</c:v>
                </c:pt>
                <c:pt idx="4900">
                  <c:v>3.828733635831429</c:v>
                </c:pt>
                <c:pt idx="4901">
                  <c:v>3.8279994989412209</c:v>
                </c:pt>
                <c:pt idx="4902">
                  <c:v>3.8272655028173928</c:v>
                </c:pt>
                <c:pt idx="4903">
                  <c:v>3.8265316474329536</c:v>
                </c:pt>
                <c:pt idx="4904">
                  <c:v>3.8257979327609171</c:v>
                </c:pt>
                <c:pt idx="4905">
                  <c:v>3.8250643587743025</c:v>
                </c:pt>
                <c:pt idx="4906">
                  <c:v>3.8243309254461346</c:v>
                </c:pt>
                <c:pt idx="4907">
                  <c:v>3.823597632749443</c:v>
                </c:pt>
                <c:pt idx="4908">
                  <c:v>3.822864480657262</c:v>
                </c:pt>
                <c:pt idx="4909">
                  <c:v>3.822131469142632</c:v>
                </c:pt>
                <c:pt idx="4910">
                  <c:v>3.8213985981785976</c:v>
                </c:pt>
                <c:pt idx="4911">
                  <c:v>3.8206658677382093</c:v>
                </c:pt>
                <c:pt idx="4912">
                  <c:v>3.8199332777945223</c:v>
                </c:pt>
                <c:pt idx="4913">
                  <c:v>3.8192008283205978</c:v>
                </c:pt>
                <c:pt idx="4914">
                  <c:v>3.8184685192895009</c:v>
                </c:pt>
                <c:pt idx="4915">
                  <c:v>3.8177363506743029</c:v>
                </c:pt>
                <c:pt idx="4916">
                  <c:v>3.8170043224480801</c:v>
                </c:pt>
                <c:pt idx="4917">
                  <c:v>3.816272434583913</c:v>
                </c:pt>
                <c:pt idx="4918">
                  <c:v>3.8155406870548885</c:v>
                </c:pt>
                <c:pt idx="4919">
                  <c:v>3.8148090798340983</c:v>
                </c:pt>
                <c:pt idx="4920">
                  <c:v>3.8140776128946388</c:v>
                </c:pt>
                <c:pt idx="4921">
                  <c:v>3.8133462862096121</c:v>
                </c:pt>
                <c:pt idx="4922">
                  <c:v>3.8126150997521253</c:v>
                </c:pt>
                <c:pt idx="4923">
                  <c:v>3.8118840534952905</c:v>
                </c:pt>
                <c:pt idx="4924">
                  <c:v>3.8111531474122251</c:v>
                </c:pt>
                <c:pt idx="4925">
                  <c:v>3.8104223814760516</c:v>
                </c:pt>
                <c:pt idx="4926">
                  <c:v>3.8096917556598977</c:v>
                </c:pt>
                <c:pt idx="4927">
                  <c:v>3.808961269936896</c:v>
                </c:pt>
                <c:pt idx="4928">
                  <c:v>3.8082309242801844</c:v>
                </c:pt>
                <c:pt idx="4929">
                  <c:v>3.8075007186629066</c:v>
                </c:pt>
                <c:pt idx="4930">
                  <c:v>3.8067706530582104</c:v>
                </c:pt>
                <c:pt idx="4931">
                  <c:v>3.8060407274392491</c:v>
                </c:pt>
                <c:pt idx="4932">
                  <c:v>3.8053109417791817</c:v>
                </c:pt>
                <c:pt idx="4933">
                  <c:v>3.8045812960511718</c:v>
                </c:pt>
                <c:pt idx="4934">
                  <c:v>3.8038517902283879</c:v>
                </c:pt>
                <c:pt idx="4935">
                  <c:v>3.8031224242840045</c:v>
                </c:pt>
                <c:pt idx="4936">
                  <c:v>3.8023931981912007</c:v>
                </c:pt>
                <c:pt idx="4937">
                  <c:v>3.8016641119231607</c:v>
                </c:pt>
                <c:pt idx="4938">
                  <c:v>3.8009351654530739</c:v>
                </c:pt>
                <c:pt idx="4939">
                  <c:v>3.8002063587541346</c:v>
                </c:pt>
                <c:pt idx="4940">
                  <c:v>3.799477691799543</c:v>
                </c:pt>
                <c:pt idx="4941">
                  <c:v>3.7987491645625036</c:v>
                </c:pt>
                <c:pt idx="4942">
                  <c:v>3.7980207770162262</c:v>
                </c:pt>
                <c:pt idx="4943">
                  <c:v>3.7972925291339266</c:v>
                </c:pt>
                <c:pt idx="4944">
                  <c:v>3.7965644208888243</c:v>
                </c:pt>
                <c:pt idx="4945">
                  <c:v>3.7958364522541452</c:v>
                </c:pt>
                <c:pt idx="4946">
                  <c:v>3.7951086232031197</c:v>
                </c:pt>
                <c:pt idx="4947">
                  <c:v>3.7943809337089838</c:v>
                </c:pt>
                <c:pt idx="4948">
                  <c:v>3.793653383744978</c:v>
                </c:pt>
                <c:pt idx="4949">
                  <c:v>3.7929259732843481</c:v>
                </c:pt>
                <c:pt idx="4950">
                  <c:v>3.7921987023003454</c:v>
                </c:pt>
                <c:pt idx="4951">
                  <c:v>3.7914715707662259</c:v>
                </c:pt>
                <c:pt idx="4952">
                  <c:v>3.7907445786552509</c:v>
                </c:pt>
                <c:pt idx="4953">
                  <c:v>3.7900177259406869</c:v>
                </c:pt>
                <c:pt idx="4954">
                  <c:v>3.7892910125958053</c:v>
                </c:pt>
                <c:pt idx="4955">
                  <c:v>3.788564438593883</c:v>
                </c:pt>
                <c:pt idx="4956">
                  <c:v>3.787838003908202</c:v>
                </c:pt>
                <c:pt idx="4957">
                  <c:v>3.7871117085120489</c:v>
                </c:pt>
                <c:pt idx="4958">
                  <c:v>3.7863855523787158</c:v>
                </c:pt>
                <c:pt idx="4959">
                  <c:v>3.7856595354814999</c:v>
                </c:pt>
                <c:pt idx="4960">
                  <c:v>3.7849336577937036</c:v>
                </c:pt>
                <c:pt idx="4961">
                  <c:v>3.7842079192886344</c:v>
                </c:pt>
                <c:pt idx="4962">
                  <c:v>3.7834823199396048</c:v>
                </c:pt>
                <c:pt idx="4963">
                  <c:v>3.7827568597199326</c:v>
                </c:pt>
                <c:pt idx="4964">
                  <c:v>3.7820315386029399</c:v>
                </c:pt>
                <c:pt idx="4965">
                  <c:v>3.7813063565619554</c:v>
                </c:pt>
                <c:pt idx="4966">
                  <c:v>3.7805813135703117</c:v>
                </c:pt>
                <c:pt idx="4967">
                  <c:v>3.7798564096013467</c:v>
                </c:pt>
                <c:pt idx="4968">
                  <c:v>3.779131644628404</c:v>
                </c:pt>
                <c:pt idx="4969">
                  <c:v>3.778407018624832</c:v>
                </c:pt>
                <c:pt idx="4970">
                  <c:v>3.7776825315639839</c:v>
                </c:pt>
                <c:pt idx="4971">
                  <c:v>3.7769581834192185</c:v>
                </c:pt>
                <c:pt idx="4972">
                  <c:v>3.7762339741638993</c:v>
                </c:pt>
                <c:pt idx="4973">
                  <c:v>3.7755099037713951</c:v>
                </c:pt>
                <c:pt idx="4974">
                  <c:v>3.7747859722150796</c:v>
                </c:pt>
                <c:pt idx="4975">
                  <c:v>3.774062179468332</c:v>
                </c:pt>
                <c:pt idx="4976">
                  <c:v>3.7733385255045366</c:v>
                </c:pt>
                <c:pt idx="4977">
                  <c:v>3.7726150102970823</c:v>
                </c:pt>
                <c:pt idx="4978">
                  <c:v>3.7718916338193633</c:v>
                </c:pt>
                <c:pt idx="4979">
                  <c:v>3.771168396044779</c:v>
                </c:pt>
                <c:pt idx="4980">
                  <c:v>3.7704452969467344</c:v>
                </c:pt>
                <c:pt idx="4981">
                  <c:v>3.7697223364986385</c:v>
                </c:pt>
                <c:pt idx="4982">
                  <c:v>3.7689995146739066</c:v>
                </c:pt>
                <c:pt idx="4983">
                  <c:v>3.768276831445958</c:v>
                </c:pt>
                <c:pt idx="4984">
                  <c:v>3.7675542867882177</c:v>
                </c:pt>
                <c:pt idx="4985">
                  <c:v>3.7668318806741157</c:v>
                </c:pt>
                <c:pt idx="4986">
                  <c:v>3.766109613077087</c:v>
                </c:pt>
                <c:pt idx="4987">
                  <c:v>3.7653874839705721</c:v>
                </c:pt>
                <c:pt idx="4988">
                  <c:v>3.7646654933280157</c:v>
                </c:pt>
                <c:pt idx="4989">
                  <c:v>3.7639436411228688</c:v>
                </c:pt>
                <c:pt idx="4990">
                  <c:v>3.7632219273285865</c:v>
                </c:pt>
                <c:pt idx="4991">
                  <c:v>3.7625003519186295</c:v>
                </c:pt>
                <c:pt idx="4992">
                  <c:v>3.7617789148664631</c:v>
                </c:pt>
                <c:pt idx="4993">
                  <c:v>3.7610576161455582</c:v>
                </c:pt>
                <c:pt idx="4994">
                  <c:v>3.7603364557293908</c:v>
                </c:pt>
                <c:pt idx="4995">
                  <c:v>3.7596154335914416</c:v>
                </c:pt>
                <c:pt idx="4996">
                  <c:v>3.7588945497051967</c:v>
                </c:pt>
                <c:pt idx="4997">
                  <c:v>3.758173804044147</c:v>
                </c:pt>
                <c:pt idx="4998">
                  <c:v>3.7574531965817886</c:v>
                </c:pt>
                <c:pt idx="4999">
                  <c:v>3.7567327272916229</c:v>
                </c:pt>
                <c:pt idx="5000">
                  <c:v>3.7560123961471561</c:v>
                </c:pt>
                <c:pt idx="5001">
                  <c:v>3.7552922031218996</c:v>
                </c:pt>
                <c:pt idx="5002">
                  <c:v>3.7545721481893701</c:v>
                </c:pt>
                <c:pt idx="5003">
                  <c:v>3.7538522313230889</c:v>
                </c:pt>
                <c:pt idx="5004">
                  <c:v>3.7531324524965823</c:v>
                </c:pt>
                <c:pt idx="5005">
                  <c:v>3.7524128116833828</c:v>
                </c:pt>
                <c:pt idx="5006">
                  <c:v>3.7516933088570266</c:v>
                </c:pt>
                <c:pt idx="5007">
                  <c:v>3.7509739439910557</c:v>
                </c:pt>
                <c:pt idx="5008">
                  <c:v>3.750254717059017</c:v>
                </c:pt>
                <c:pt idx="5009">
                  <c:v>3.7495356280344625</c:v>
                </c:pt>
                <c:pt idx="5010">
                  <c:v>3.7488166768909492</c:v>
                </c:pt>
                <c:pt idx="5011">
                  <c:v>3.7480978636020392</c:v>
                </c:pt>
                <c:pt idx="5012">
                  <c:v>3.7473791881412999</c:v>
                </c:pt>
                <c:pt idx="5013">
                  <c:v>3.746660650482303</c:v>
                </c:pt>
                <c:pt idx="5014">
                  <c:v>3.7459422505986266</c:v>
                </c:pt>
                <c:pt idx="5015">
                  <c:v>3.7452239884638527</c:v>
                </c:pt>
                <c:pt idx="5016">
                  <c:v>3.7445058640515687</c:v>
                </c:pt>
                <c:pt idx="5017">
                  <c:v>3.7437878773353672</c:v>
                </c:pt>
                <c:pt idx="5018">
                  <c:v>3.7430700282888458</c:v>
                </c:pt>
                <c:pt idx="5019">
                  <c:v>3.7423523168856074</c:v>
                </c:pt>
                <c:pt idx="5020">
                  <c:v>3.7416347430992594</c:v>
                </c:pt>
                <c:pt idx="5021">
                  <c:v>3.7409173069034147</c:v>
                </c:pt>
                <c:pt idx="5022">
                  <c:v>3.7402000082716911</c:v>
                </c:pt>
                <c:pt idx="5023">
                  <c:v>3.7394828471777117</c:v>
                </c:pt>
                <c:pt idx="5024">
                  <c:v>3.7387658235951045</c:v>
                </c:pt>
                <c:pt idx="5025">
                  <c:v>3.7380489374975019</c:v>
                </c:pt>
                <c:pt idx="5026">
                  <c:v>3.7373321888585425</c:v>
                </c:pt>
                <c:pt idx="5027">
                  <c:v>3.7366155776518695</c:v>
                </c:pt>
                <c:pt idx="5028">
                  <c:v>3.7358991038511307</c:v>
                </c:pt>
                <c:pt idx="5029">
                  <c:v>3.7351827674299796</c:v>
                </c:pt>
                <c:pt idx="5030">
                  <c:v>3.7344665683620746</c:v>
                </c:pt>
                <c:pt idx="5031">
                  <c:v>3.7337505066210785</c:v>
                </c:pt>
                <c:pt idx="5032">
                  <c:v>3.7330345821806601</c:v>
                </c:pt>
                <c:pt idx="5033">
                  <c:v>3.7323187950144927</c:v>
                </c:pt>
                <c:pt idx="5034">
                  <c:v>3.7316031450962548</c:v>
                </c:pt>
                <c:pt idx="5035">
                  <c:v>3.7308876323996301</c:v>
                </c:pt>
                <c:pt idx="5036">
                  <c:v>3.7301722568983071</c:v>
                </c:pt>
                <c:pt idx="5037">
                  <c:v>3.7294570185659794</c:v>
                </c:pt>
                <c:pt idx="5038">
                  <c:v>3.7287419173763454</c:v>
                </c:pt>
                <c:pt idx="5039">
                  <c:v>3.7280269533031092</c:v>
                </c:pt>
                <c:pt idx="5040">
                  <c:v>3.7273121263199793</c:v>
                </c:pt>
                <c:pt idx="5041">
                  <c:v>3.7265974364006693</c:v>
                </c:pt>
                <c:pt idx="5042">
                  <c:v>3.7258828835188984</c:v>
                </c:pt>
                <c:pt idx="5043">
                  <c:v>3.7251684676483903</c:v>
                </c:pt>
                <c:pt idx="5044">
                  <c:v>3.7244541887628739</c:v>
                </c:pt>
                <c:pt idx="5045">
                  <c:v>3.7237400468360833</c:v>
                </c:pt>
                <c:pt idx="5046">
                  <c:v>3.7230260418417576</c:v>
                </c:pt>
                <c:pt idx="5047">
                  <c:v>3.7223121737536404</c:v>
                </c:pt>
                <c:pt idx="5048">
                  <c:v>3.7215984425454809</c:v>
                </c:pt>
                <c:pt idx="5049">
                  <c:v>3.7208848481910333</c:v>
                </c:pt>
                <c:pt idx="5050">
                  <c:v>3.7201713906640563</c:v>
                </c:pt>
                <c:pt idx="5051">
                  <c:v>3.7194580699383146</c:v>
                </c:pt>
                <c:pt idx="5052">
                  <c:v>3.7187448859875771</c:v>
                </c:pt>
                <c:pt idx="5053">
                  <c:v>3.7180318387856182</c:v>
                </c:pt>
                <c:pt idx="5054">
                  <c:v>3.7173189283062169</c:v>
                </c:pt>
                <c:pt idx="5055">
                  <c:v>3.7166061545231575</c:v>
                </c:pt>
                <c:pt idx="5056">
                  <c:v>3.7158935174102292</c:v>
                </c:pt>
                <c:pt idx="5057">
                  <c:v>3.7151810169412265</c:v>
                </c:pt>
                <c:pt idx="5058">
                  <c:v>3.7144686530899489</c:v>
                </c:pt>
                <c:pt idx="5059">
                  <c:v>3.7137564258302005</c:v>
                </c:pt>
                <c:pt idx="5060">
                  <c:v>3.7130443351357907</c:v>
                </c:pt>
                <c:pt idx="5061">
                  <c:v>3.7123323809805342</c:v>
                </c:pt>
                <c:pt idx="5062">
                  <c:v>3.7116205633382502</c:v>
                </c:pt>
                <c:pt idx="5063">
                  <c:v>3.7109088821827632</c:v>
                </c:pt>
                <c:pt idx="5064">
                  <c:v>3.7101973374879025</c:v>
                </c:pt>
                <c:pt idx="5065">
                  <c:v>3.7094859292275024</c:v>
                </c:pt>
                <c:pt idx="5066">
                  <c:v>3.708774657375403</c:v>
                </c:pt>
                <c:pt idx="5067">
                  <c:v>3.7080635219054483</c:v>
                </c:pt>
                <c:pt idx="5068">
                  <c:v>3.7073525227914881</c:v>
                </c:pt>
                <c:pt idx="5069">
                  <c:v>3.706641660007377</c:v>
                </c:pt>
                <c:pt idx="5070">
                  <c:v>3.7059309335269743</c:v>
                </c:pt>
                <c:pt idx="5071">
                  <c:v>3.7052203433241448</c:v>
                </c:pt>
                <c:pt idx="5072">
                  <c:v>3.7045098893727584</c:v>
                </c:pt>
                <c:pt idx="5073">
                  <c:v>3.7037995716466892</c:v>
                </c:pt>
                <c:pt idx="5074">
                  <c:v>3.7030893901198167</c:v>
                </c:pt>
                <c:pt idx="5075">
                  <c:v>3.702379344766026</c:v>
                </c:pt>
                <c:pt idx="5076">
                  <c:v>3.7016694355592064</c:v>
                </c:pt>
                <c:pt idx="5077">
                  <c:v>3.7009596624732524</c:v>
                </c:pt>
                <c:pt idx="5078">
                  <c:v>3.7002500254820641</c:v>
                </c:pt>
                <c:pt idx="5079">
                  <c:v>3.6995405245595459</c:v>
                </c:pt>
                <c:pt idx="5080">
                  <c:v>3.6988311596796071</c:v>
                </c:pt>
                <c:pt idx="5081">
                  <c:v>3.6981219308161628</c:v>
                </c:pt>
                <c:pt idx="5082">
                  <c:v>3.6974128379431326</c:v>
                </c:pt>
                <c:pt idx="5083">
                  <c:v>3.6967038810344408</c:v>
                </c:pt>
                <c:pt idx="5084">
                  <c:v>3.6959950600640172</c:v>
                </c:pt>
                <c:pt idx="5085">
                  <c:v>3.6952863750057969</c:v>
                </c:pt>
                <c:pt idx="5086">
                  <c:v>3.694577825833719</c:v>
                </c:pt>
                <c:pt idx="5087">
                  <c:v>3.6938694125217282</c:v>
                </c:pt>
                <c:pt idx="5088">
                  <c:v>3.6931611350437743</c:v>
                </c:pt>
                <c:pt idx="5089">
                  <c:v>3.6924529933738119</c:v>
                </c:pt>
                <c:pt idx="5090">
                  <c:v>3.691744987485801</c:v>
                </c:pt>
                <c:pt idx="5091">
                  <c:v>3.6910371173537055</c:v>
                </c:pt>
                <c:pt idx="5092">
                  <c:v>3.6903293829514956</c:v>
                </c:pt>
                <c:pt idx="5093">
                  <c:v>3.6896217842531454</c:v>
                </c:pt>
                <c:pt idx="5094">
                  <c:v>3.6889143212326347</c:v>
                </c:pt>
                <c:pt idx="5095">
                  <c:v>3.6882069938639486</c:v>
                </c:pt>
                <c:pt idx="5096">
                  <c:v>3.6874998021210761</c:v>
                </c:pt>
                <c:pt idx="5097">
                  <c:v>3.6867927459780119</c:v>
                </c:pt>
                <c:pt idx="5098">
                  <c:v>3.6860858254087554</c:v>
                </c:pt>
                <c:pt idx="5099">
                  <c:v>3.685379040387311</c:v>
                </c:pt>
                <c:pt idx="5100">
                  <c:v>3.6846723908876884</c:v>
                </c:pt>
                <c:pt idx="5101">
                  <c:v>3.6839658768839021</c:v>
                </c:pt>
                <c:pt idx="5102">
                  <c:v>3.683259498349972</c:v>
                </c:pt>
                <c:pt idx="5103">
                  <c:v>3.6825532552599221</c:v>
                </c:pt>
                <c:pt idx="5104">
                  <c:v>3.6818471475877819</c:v>
                </c:pt>
                <c:pt idx="5105">
                  <c:v>3.6811411753075856</c:v>
                </c:pt>
                <c:pt idx="5106">
                  <c:v>3.680435338393373</c:v>
                </c:pt>
                <c:pt idx="5107">
                  <c:v>3.6797296368191885</c:v>
                </c:pt>
                <c:pt idx="5108">
                  <c:v>3.6790240705590813</c:v>
                </c:pt>
                <c:pt idx="5109">
                  <c:v>3.6783186395871055</c:v>
                </c:pt>
                <c:pt idx="5110">
                  <c:v>3.6776133438773209</c:v>
                </c:pt>
                <c:pt idx="5111">
                  <c:v>3.6769081834037913</c:v>
                </c:pt>
                <c:pt idx="5112">
                  <c:v>3.6762031581405861</c:v>
                </c:pt>
                <c:pt idx="5113">
                  <c:v>3.6754982680617796</c:v>
                </c:pt>
                <c:pt idx="5114">
                  <c:v>3.6747935131414509</c:v>
                </c:pt>
                <c:pt idx="5115">
                  <c:v>3.6740888933536842</c:v>
                </c:pt>
                <c:pt idx="5116">
                  <c:v>3.6733844086725687</c:v>
                </c:pt>
                <c:pt idx="5117">
                  <c:v>3.6726800590721984</c:v>
                </c:pt>
                <c:pt idx="5118">
                  <c:v>3.6719758445266728</c:v>
                </c:pt>
                <c:pt idx="5119">
                  <c:v>3.6712717650100952</c:v>
                </c:pt>
                <c:pt idx="5120">
                  <c:v>3.6705678204965753</c:v>
                </c:pt>
                <c:pt idx="5121">
                  <c:v>3.6698640109602265</c:v>
                </c:pt>
                <c:pt idx="5122">
                  <c:v>3.6691603363751684</c:v>
                </c:pt>
                <c:pt idx="5123">
                  <c:v>3.6684567967155242</c:v>
                </c:pt>
                <c:pt idx="5124">
                  <c:v>3.667753391955423</c:v>
                </c:pt>
                <c:pt idx="5125">
                  <c:v>3.6670501220689986</c:v>
                </c:pt>
                <c:pt idx="5126">
                  <c:v>3.6663469870303897</c:v>
                </c:pt>
                <c:pt idx="5127">
                  <c:v>3.6656439868137403</c:v>
                </c:pt>
                <c:pt idx="5128">
                  <c:v>3.6649411213931988</c:v>
                </c:pt>
                <c:pt idx="5129">
                  <c:v>3.6642383907429195</c:v>
                </c:pt>
                <c:pt idx="5130">
                  <c:v>3.6635357948370602</c:v>
                </c:pt>
                <c:pt idx="5131">
                  <c:v>3.6628333336497847</c:v>
                </c:pt>
                <c:pt idx="5132">
                  <c:v>3.6621310071552617</c:v>
                </c:pt>
                <c:pt idx="5133">
                  <c:v>3.6614288153276644</c:v>
                </c:pt>
                <c:pt idx="5134">
                  <c:v>3.6607267581411715</c:v>
                </c:pt>
                <c:pt idx="5135">
                  <c:v>3.6600248355699661</c:v>
                </c:pt>
                <c:pt idx="5136">
                  <c:v>3.6593230475882366</c:v>
                </c:pt>
                <c:pt idx="5137">
                  <c:v>3.6586213941701766</c:v>
                </c:pt>
                <c:pt idx="5138">
                  <c:v>3.6579198752899837</c:v>
                </c:pt>
                <c:pt idx="5139">
                  <c:v>3.6572184909218617</c:v>
                </c:pt>
                <c:pt idx="5140">
                  <c:v>3.6565172410400182</c:v>
                </c:pt>
                <c:pt idx="5141">
                  <c:v>3.6558161256186668</c:v>
                </c:pt>
                <c:pt idx="5142">
                  <c:v>3.6551151446320249</c:v>
                </c:pt>
                <c:pt idx="5143">
                  <c:v>3.6544142980543159</c:v>
                </c:pt>
                <c:pt idx="5144">
                  <c:v>3.6537135858597676</c:v>
                </c:pt>
                <c:pt idx="5145">
                  <c:v>3.6530130080226124</c:v>
                </c:pt>
                <c:pt idx="5146">
                  <c:v>3.6523125645170884</c:v>
                </c:pt>
                <c:pt idx="5147">
                  <c:v>3.6516122553174384</c:v>
                </c:pt>
                <c:pt idx="5148">
                  <c:v>3.65091208039791</c:v>
                </c:pt>
                <c:pt idx="5149">
                  <c:v>3.6502120397327555</c:v>
                </c:pt>
                <c:pt idx="5150">
                  <c:v>3.6495121332962328</c:v>
                </c:pt>
                <c:pt idx="5151">
                  <c:v>3.6488123610626042</c:v>
                </c:pt>
                <c:pt idx="5152">
                  <c:v>3.648112723006137</c:v>
                </c:pt>
                <c:pt idx="5153">
                  <c:v>3.6474132191011037</c:v>
                </c:pt>
                <c:pt idx="5154">
                  <c:v>3.6467138493217814</c:v>
                </c:pt>
                <c:pt idx="5155">
                  <c:v>3.6460146136424525</c:v>
                </c:pt>
                <c:pt idx="5156">
                  <c:v>3.6453155120374041</c:v>
                </c:pt>
                <c:pt idx="5157">
                  <c:v>3.644616544480928</c:v>
                </c:pt>
                <c:pt idx="5158">
                  <c:v>3.6439177109473215</c:v>
                </c:pt>
                <c:pt idx="5159">
                  <c:v>3.6432190114108867</c:v>
                </c:pt>
                <c:pt idx="5160">
                  <c:v>3.6425204458459297</c:v>
                </c:pt>
                <c:pt idx="5161">
                  <c:v>3.6418220142267628</c:v>
                </c:pt>
                <c:pt idx="5162">
                  <c:v>3.6411237165277024</c:v>
                </c:pt>
                <c:pt idx="5163">
                  <c:v>3.6404255527230704</c:v>
                </c:pt>
                <c:pt idx="5164">
                  <c:v>3.6397275227871932</c:v>
                </c:pt>
                <c:pt idx="5165">
                  <c:v>3.6390296266944024</c:v>
                </c:pt>
                <c:pt idx="5166">
                  <c:v>3.6383318644190341</c:v>
                </c:pt>
                <c:pt idx="5167">
                  <c:v>3.6376342359354301</c:v>
                </c:pt>
                <c:pt idx="5168">
                  <c:v>3.6369367412179363</c:v>
                </c:pt>
                <c:pt idx="5169">
                  <c:v>3.6362393802409039</c:v>
                </c:pt>
                <c:pt idx="5170">
                  <c:v>3.6355421529786889</c:v>
                </c:pt>
                <c:pt idx="5171">
                  <c:v>3.6348450594056518</c:v>
                </c:pt>
                <c:pt idx="5172">
                  <c:v>3.6341480994961595</c:v>
                </c:pt>
                <c:pt idx="5173">
                  <c:v>3.6334512732245821</c:v>
                </c:pt>
                <c:pt idx="5174">
                  <c:v>3.6327545805652957</c:v>
                </c:pt>
                <c:pt idx="5175">
                  <c:v>3.6320580214926803</c:v>
                </c:pt>
                <c:pt idx="5176">
                  <c:v>3.6313615959811223</c:v>
                </c:pt>
                <c:pt idx="5177">
                  <c:v>3.6306653040050114</c:v>
                </c:pt>
                <c:pt idx="5178">
                  <c:v>3.6299691455387437</c:v>
                </c:pt>
                <c:pt idx="5179">
                  <c:v>3.6292731205567192</c:v>
                </c:pt>
                <c:pt idx="5180">
                  <c:v>3.6285772290333429</c:v>
                </c:pt>
                <c:pt idx="5181">
                  <c:v>3.6278814709430249</c:v>
                </c:pt>
                <c:pt idx="5182">
                  <c:v>3.6271858462601805</c:v>
                </c:pt>
                <c:pt idx="5183">
                  <c:v>3.6264903549592291</c:v>
                </c:pt>
                <c:pt idx="5184">
                  <c:v>3.6257949970145962</c:v>
                </c:pt>
                <c:pt idx="5185">
                  <c:v>3.625099772400711</c:v>
                </c:pt>
                <c:pt idx="5186">
                  <c:v>3.6244046810920083</c:v>
                </c:pt>
                <c:pt idx="5187">
                  <c:v>3.6237097230629276</c:v>
                </c:pt>
                <c:pt idx="5188">
                  <c:v>3.6230148982879133</c:v>
                </c:pt>
                <c:pt idx="5189">
                  <c:v>3.6223202067414149</c:v>
                </c:pt>
                <c:pt idx="5190">
                  <c:v>3.6216256483978864</c:v>
                </c:pt>
                <c:pt idx="5191">
                  <c:v>3.620931223231787</c:v>
                </c:pt>
                <c:pt idx="5192">
                  <c:v>3.6202369312175806</c:v>
                </c:pt>
                <c:pt idx="5193">
                  <c:v>3.6195427723297366</c:v>
                </c:pt>
                <c:pt idx="5194">
                  <c:v>3.6188487465427284</c:v>
                </c:pt>
                <c:pt idx="5195">
                  <c:v>3.6181548538310344</c:v>
                </c:pt>
                <c:pt idx="5196">
                  <c:v>3.6174610941691387</c:v>
                </c:pt>
                <c:pt idx="5197">
                  <c:v>3.6167674675315298</c:v>
                </c:pt>
                <c:pt idx="5198">
                  <c:v>3.6160739738927008</c:v>
                </c:pt>
                <c:pt idx="5199">
                  <c:v>3.6153806132271504</c:v>
                </c:pt>
                <c:pt idx="5200">
                  <c:v>3.6146873855093813</c:v>
                </c:pt>
                <c:pt idx="5201">
                  <c:v>3.6139942907139018</c:v>
                </c:pt>
                <c:pt idx="5202">
                  <c:v>3.6133013288152247</c:v>
                </c:pt>
                <c:pt idx="5203">
                  <c:v>3.6126084997878678</c:v>
                </c:pt>
                <c:pt idx="5204">
                  <c:v>3.6119158036063541</c:v>
                </c:pt>
                <c:pt idx="5205">
                  <c:v>3.6112232402452111</c:v>
                </c:pt>
                <c:pt idx="5206">
                  <c:v>3.6105308096789712</c:v>
                </c:pt>
                <c:pt idx="5207">
                  <c:v>3.6098385118821716</c:v>
                </c:pt>
                <c:pt idx="5208">
                  <c:v>3.609146346829355</c:v>
                </c:pt>
                <c:pt idx="5209">
                  <c:v>3.6084543144950683</c:v>
                </c:pt>
                <c:pt idx="5210">
                  <c:v>3.6077624148538634</c:v>
                </c:pt>
                <c:pt idx="5211">
                  <c:v>3.6070706478802972</c:v>
                </c:pt>
                <c:pt idx="5212">
                  <c:v>3.6063790135489313</c:v>
                </c:pt>
                <c:pt idx="5213">
                  <c:v>3.6056875118343328</c:v>
                </c:pt>
                <c:pt idx="5214">
                  <c:v>3.604996142711073</c:v>
                </c:pt>
                <c:pt idx="5215">
                  <c:v>3.6043049061537284</c:v>
                </c:pt>
                <c:pt idx="5216">
                  <c:v>3.6036138021368802</c:v>
                </c:pt>
                <c:pt idx="5217">
                  <c:v>3.6029228306351144</c:v>
                </c:pt>
                <c:pt idx="5218">
                  <c:v>3.6022319916230221</c:v>
                </c:pt>
                <c:pt idx="5219">
                  <c:v>3.6015412850751995</c:v>
                </c:pt>
                <c:pt idx="5220">
                  <c:v>3.6008507109662471</c:v>
                </c:pt>
                <c:pt idx="5221">
                  <c:v>3.6001602692707704</c:v>
                </c:pt>
                <c:pt idx="5222">
                  <c:v>3.5994699599633799</c:v>
                </c:pt>
                <c:pt idx="5223">
                  <c:v>3.5987797830186912</c:v>
                </c:pt>
                <c:pt idx="5224">
                  <c:v>3.5980897384113244</c:v>
                </c:pt>
                <c:pt idx="5225">
                  <c:v>3.5973998261159048</c:v>
                </c:pt>
                <c:pt idx="5226">
                  <c:v>3.596710046107062</c:v>
                </c:pt>
                <c:pt idx="5227">
                  <c:v>3.5960203983594314</c:v>
                </c:pt>
                <c:pt idx="5228">
                  <c:v>3.5953308828476525</c:v>
                </c:pt>
                <c:pt idx="5229">
                  <c:v>3.5946414995463694</c:v>
                </c:pt>
                <c:pt idx="5230">
                  <c:v>3.5939522484302318</c:v>
                </c:pt>
                <c:pt idx="5231">
                  <c:v>3.5932631294738941</c:v>
                </c:pt>
                <c:pt idx="5232">
                  <c:v>3.5925741426520155</c:v>
                </c:pt>
                <c:pt idx="5233">
                  <c:v>3.59188528793926</c:v>
                </c:pt>
                <c:pt idx="5234">
                  <c:v>3.5911965653102964</c:v>
                </c:pt>
                <c:pt idx="5235">
                  <c:v>3.5905079747397983</c:v>
                </c:pt>
                <c:pt idx="5236">
                  <c:v>3.5898195162024442</c:v>
                </c:pt>
                <c:pt idx="5237">
                  <c:v>3.5891311896729179</c:v>
                </c:pt>
                <c:pt idx="5238">
                  <c:v>3.5884429951259071</c:v>
                </c:pt>
                <c:pt idx="5239">
                  <c:v>3.5877549325361056</c:v>
                </c:pt>
                <c:pt idx="5240">
                  <c:v>3.5870670018782111</c:v>
                </c:pt>
                <c:pt idx="5241">
                  <c:v>3.5863792031269264</c:v>
                </c:pt>
                <c:pt idx="5242">
                  <c:v>3.585691536256959</c:v>
                </c:pt>
                <c:pt idx="5243">
                  <c:v>3.5850040012430218</c:v>
                </c:pt>
                <c:pt idx="5244">
                  <c:v>3.5843165980598322</c:v>
                </c:pt>
                <c:pt idx="5245">
                  <c:v>3.5836293266821122</c:v>
                </c:pt>
                <c:pt idx="5246">
                  <c:v>3.5829421870845892</c:v>
                </c:pt>
                <c:pt idx="5247">
                  <c:v>3.5822551792419945</c:v>
                </c:pt>
                <c:pt idx="5248">
                  <c:v>3.5815683031290657</c:v>
                </c:pt>
                <c:pt idx="5249">
                  <c:v>3.5808815587205438</c:v>
                </c:pt>
                <c:pt idx="5250">
                  <c:v>3.5801949459911757</c:v>
                </c:pt>
                <c:pt idx="5251">
                  <c:v>3.5795084649157123</c:v>
                </c:pt>
                <c:pt idx="5252">
                  <c:v>3.5788221154689097</c:v>
                </c:pt>
                <c:pt idx="5253">
                  <c:v>3.5781358976255295</c:v>
                </c:pt>
                <c:pt idx="5254">
                  <c:v>3.5774498113603368</c:v>
                </c:pt>
                <c:pt idx="5255">
                  <c:v>3.5767638566481028</c:v>
                </c:pt>
                <c:pt idx="5256">
                  <c:v>3.5760780334636029</c:v>
                </c:pt>
                <c:pt idx="5257">
                  <c:v>3.5753923417816171</c:v>
                </c:pt>
                <c:pt idx="5258">
                  <c:v>3.5747067815769311</c:v>
                </c:pt>
                <c:pt idx="5259">
                  <c:v>3.5740213528243348</c:v>
                </c:pt>
                <c:pt idx="5260">
                  <c:v>3.5733360554986224</c:v>
                </c:pt>
                <c:pt idx="5261">
                  <c:v>3.5726508895745943</c:v>
                </c:pt>
                <c:pt idx="5262">
                  <c:v>3.5719658550270545</c:v>
                </c:pt>
                <c:pt idx="5263">
                  <c:v>3.5712809518308131</c:v>
                </c:pt>
                <c:pt idx="5264">
                  <c:v>3.5705961799606833</c:v>
                </c:pt>
                <c:pt idx="5265">
                  <c:v>3.5699115393914846</c:v>
                </c:pt>
                <c:pt idx="5266">
                  <c:v>3.5692270300980411</c:v>
                </c:pt>
                <c:pt idx="5267">
                  <c:v>3.5685426520551813</c:v>
                </c:pt>
                <c:pt idx="5268">
                  <c:v>3.5678584052377382</c:v>
                </c:pt>
                <c:pt idx="5269">
                  <c:v>3.5671742896205507</c:v>
                </c:pt>
                <c:pt idx="5270">
                  <c:v>3.5664903051784616</c:v>
                </c:pt>
                <c:pt idx="5271">
                  <c:v>3.5658064518863188</c:v>
                </c:pt>
                <c:pt idx="5272">
                  <c:v>3.5651227297189751</c:v>
                </c:pt>
                <c:pt idx="5273">
                  <c:v>3.5644391386512884</c:v>
                </c:pt>
                <c:pt idx="5274">
                  <c:v>3.5637556786581208</c:v>
                </c:pt>
                <c:pt idx="5275">
                  <c:v>3.5630723497143397</c:v>
                </c:pt>
                <c:pt idx="5276">
                  <c:v>3.5623891517948172</c:v>
                </c:pt>
                <c:pt idx="5277">
                  <c:v>3.5617060848744302</c:v>
                </c:pt>
                <c:pt idx="5278">
                  <c:v>3.5610231489280602</c:v>
                </c:pt>
                <c:pt idx="5279">
                  <c:v>3.5603403439305938</c:v>
                </c:pt>
                <c:pt idx="5280">
                  <c:v>3.5596576698569224</c:v>
                </c:pt>
                <c:pt idx="5281">
                  <c:v>3.558975126681942</c:v>
                </c:pt>
                <c:pt idx="5282">
                  <c:v>3.5582927143805541</c:v>
                </c:pt>
                <c:pt idx="5283">
                  <c:v>3.5576104329276639</c:v>
                </c:pt>
                <c:pt idx="5284">
                  <c:v>3.5569282822981818</c:v>
                </c:pt>
                <c:pt idx="5285">
                  <c:v>3.5562462624670235</c:v>
                </c:pt>
                <c:pt idx="5286">
                  <c:v>3.5555643734091094</c:v>
                </c:pt>
                <c:pt idx="5287">
                  <c:v>3.554882615099364</c:v>
                </c:pt>
                <c:pt idx="5288">
                  <c:v>3.5542009875127176</c:v>
                </c:pt>
                <c:pt idx="5289">
                  <c:v>3.5535194906241045</c:v>
                </c:pt>
                <c:pt idx="5290">
                  <c:v>3.5528381244084644</c:v>
                </c:pt>
                <c:pt idx="5291">
                  <c:v>3.5521568888407415</c:v>
                </c:pt>
                <c:pt idx="5292">
                  <c:v>3.5514757838958846</c:v>
                </c:pt>
                <c:pt idx="5293">
                  <c:v>3.5507948095488477</c:v>
                </c:pt>
                <c:pt idx="5294">
                  <c:v>3.5501139657745893</c:v>
                </c:pt>
                <c:pt idx="5295">
                  <c:v>3.5494332525480732</c:v>
                </c:pt>
                <c:pt idx="5296">
                  <c:v>3.5487526698442675</c:v>
                </c:pt>
                <c:pt idx="5297">
                  <c:v>3.5480722176381452</c:v>
                </c:pt>
                <c:pt idx="5298">
                  <c:v>3.547391895904684</c:v>
                </c:pt>
                <c:pt idx="5299">
                  <c:v>3.5467117046188665</c:v>
                </c:pt>
                <c:pt idx="5300">
                  <c:v>3.5460316437556805</c:v>
                </c:pt>
                <c:pt idx="5301">
                  <c:v>3.5453517132901178</c:v>
                </c:pt>
                <c:pt idx="5302">
                  <c:v>3.5446719131971758</c:v>
                </c:pt>
                <c:pt idx="5303">
                  <c:v>3.5439922434518563</c:v>
                </c:pt>
                <c:pt idx="5304">
                  <c:v>3.5433127040291654</c:v>
                </c:pt>
                <c:pt idx="5305">
                  <c:v>3.5426332949041153</c:v>
                </c:pt>
                <c:pt idx="5306">
                  <c:v>3.5419540160517218</c:v>
                </c:pt>
                <c:pt idx="5307">
                  <c:v>3.5412748674470058</c:v>
                </c:pt>
                <c:pt idx="5308">
                  <c:v>3.5405958490649931</c:v>
                </c:pt>
                <c:pt idx="5309">
                  <c:v>3.5399169608807144</c:v>
                </c:pt>
                <c:pt idx="5310">
                  <c:v>3.5392382028692051</c:v>
                </c:pt>
                <c:pt idx="5311">
                  <c:v>3.5385595750055052</c:v>
                </c:pt>
                <c:pt idx="5312">
                  <c:v>3.5378810772646596</c:v>
                </c:pt>
                <c:pt idx="5313">
                  <c:v>3.5372027096217185</c:v>
                </c:pt>
                <c:pt idx="5314">
                  <c:v>3.5365244720517359</c:v>
                </c:pt>
                <c:pt idx="5315">
                  <c:v>3.5358463645297711</c:v>
                </c:pt>
                <c:pt idx="5316">
                  <c:v>3.5351683870308883</c:v>
                </c:pt>
                <c:pt idx="5317">
                  <c:v>3.5344905395301565</c:v>
                </c:pt>
                <c:pt idx="5318">
                  <c:v>3.5338128220026488</c:v>
                </c:pt>
                <c:pt idx="5319">
                  <c:v>3.5331352344234443</c:v>
                </c:pt>
                <c:pt idx="5320">
                  <c:v>3.5324577767676257</c:v>
                </c:pt>
                <c:pt idx="5321">
                  <c:v>3.5317804490102813</c:v>
                </c:pt>
                <c:pt idx="5322">
                  <c:v>3.5311032511265035</c:v>
                </c:pt>
                <c:pt idx="5323">
                  <c:v>3.5304261830913899</c:v>
                </c:pt>
                <c:pt idx="5324">
                  <c:v>3.5297492448800427</c:v>
                </c:pt>
                <c:pt idx="5325">
                  <c:v>3.5290724364675694</c:v>
                </c:pt>
                <c:pt idx="5326">
                  <c:v>3.5283957578290814</c:v>
                </c:pt>
                <c:pt idx="5327">
                  <c:v>3.5277192089396956</c:v>
                </c:pt>
                <c:pt idx="5328">
                  <c:v>3.5270427897745331</c:v>
                </c:pt>
                <c:pt idx="5329">
                  <c:v>3.5263665003087206</c:v>
                </c:pt>
                <c:pt idx="5330">
                  <c:v>3.5256903405173885</c:v>
                </c:pt>
                <c:pt idx="5331">
                  <c:v>3.5250143103756724</c:v>
                </c:pt>
                <c:pt idx="5332">
                  <c:v>3.5243384098587129</c:v>
                </c:pt>
                <c:pt idx="5333">
                  <c:v>3.5236626389416554</c:v>
                </c:pt>
                <c:pt idx="5334">
                  <c:v>3.5229869975996499</c:v>
                </c:pt>
                <c:pt idx="5335">
                  <c:v>3.522311485807851</c:v>
                </c:pt>
                <c:pt idx="5336">
                  <c:v>3.5216361035414181</c:v>
                </c:pt>
                <c:pt idx="5337">
                  <c:v>3.5209608507755159</c:v>
                </c:pt>
                <c:pt idx="5338">
                  <c:v>3.5202857274853132</c:v>
                </c:pt>
                <c:pt idx="5339">
                  <c:v>3.5196107336459836</c:v>
                </c:pt>
                <c:pt idx="5340">
                  <c:v>3.5189358692327062</c:v>
                </c:pt>
                <c:pt idx="5341">
                  <c:v>3.5182611342206638</c:v>
                </c:pt>
                <c:pt idx="5342">
                  <c:v>3.5175865285850447</c:v>
                </c:pt>
                <c:pt idx="5343">
                  <c:v>3.5169120523010418</c:v>
                </c:pt>
                <c:pt idx="5344">
                  <c:v>3.5162377053438525</c:v>
                </c:pt>
                <c:pt idx="5345">
                  <c:v>3.515563487688679</c:v>
                </c:pt>
                <c:pt idx="5346">
                  <c:v>3.5148893993107291</c:v>
                </c:pt>
                <c:pt idx="5347">
                  <c:v>3.5142154401852141</c:v>
                </c:pt>
                <c:pt idx="5348">
                  <c:v>3.5135416102873509</c:v>
                </c:pt>
                <c:pt idx="5349">
                  <c:v>3.5128679095923605</c:v>
                </c:pt>
                <c:pt idx="5350">
                  <c:v>3.512194338075469</c:v>
                </c:pt>
                <c:pt idx="5351">
                  <c:v>3.5115208957119077</c:v>
                </c:pt>
                <c:pt idx="5352">
                  <c:v>3.5108475824769121</c:v>
                </c:pt>
                <c:pt idx="5353">
                  <c:v>3.5101743983457223</c:v>
                </c:pt>
                <c:pt idx="5354">
                  <c:v>3.5095013432935835</c:v>
                </c:pt>
                <c:pt idx="5355">
                  <c:v>3.5088284172957458</c:v>
                </c:pt>
                <c:pt idx="5356">
                  <c:v>3.5081556203274635</c:v>
                </c:pt>
                <c:pt idx="5357">
                  <c:v>3.5074829523639965</c:v>
                </c:pt>
                <c:pt idx="5358">
                  <c:v>3.5068104133806082</c:v>
                </c:pt>
                <c:pt idx="5359">
                  <c:v>3.506138003352568</c:v>
                </c:pt>
                <c:pt idx="5360">
                  <c:v>3.5054657222551491</c:v>
                </c:pt>
                <c:pt idx="5361">
                  <c:v>3.5047935700636299</c:v>
                </c:pt>
                <c:pt idx="5362">
                  <c:v>3.5041215467532933</c:v>
                </c:pt>
                <c:pt idx="5363">
                  <c:v>3.5034496522994276</c:v>
                </c:pt>
                <c:pt idx="5364">
                  <c:v>3.5027778866773249</c:v>
                </c:pt>
                <c:pt idx="5365">
                  <c:v>3.5021062498622828</c:v>
                </c:pt>
                <c:pt idx="5366">
                  <c:v>3.5014347418296032</c:v>
                </c:pt>
                <c:pt idx="5367">
                  <c:v>3.5007633625545926</c:v>
                </c:pt>
                <c:pt idx="5368">
                  <c:v>3.5000921120125628</c:v>
                </c:pt>
                <c:pt idx="5369">
                  <c:v>3.4994209901788298</c:v>
                </c:pt>
                <c:pt idx="5370">
                  <c:v>3.4987499970287144</c:v>
                </c:pt>
                <c:pt idx="5371">
                  <c:v>3.4980791325375429</c:v>
                </c:pt>
                <c:pt idx="5372">
                  <c:v>3.4974083966806453</c:v>
                </c:pt>
                <c:pt idx="5373">
                  <c:v>3.4967377894333564</c:v>
                </c:pt>
                <c:pt idx="5374">
                  <c:v>3.4960673107710165</c:v>
                </c:pt>
                <c:pt idx="5375">
                  <c:v>3.4953969606689701</c:v>
                </c:pt>
                <c:pt idx="5376">
                  <c:v>3.4947267391025667</c:v>
                </c:pt>
                <c:pt idx="5377">
                  <c:v>3.4940566460471603</c:v>
                </c:pt>
                <c:pt idx="5378">
                  <c:v>3.4933866814781096</c:v>
                </c:pt>
                <c:pt idx="5379">
                  <c:v>3.492716845370778</c:v>
                </c:pt>
                <c:pt idx="5380">
                  <c:v>3.492047137700534</c:v>
                </c:pt>
                <c:pt idx="5381">
                  <c:v>3.4913775584427502</c:v>
                </c:pt>
                <c:pt idx="5382">
                  <c:v>3.4907081075728046</c:v>
                </c:pt>
                <c:pt idx="5383">
                  <c:v>3.4900387850660795</c:v>
                </c:pt>
                <c:pt idx="5384">
                  <c:v>3.4893695908979621</c:v>
                </c:pt>
                <c:pt idx="5385">
                  <c:v>3.4887005250438441</c:v>
                </c:pt>
                <c:pt idx="5386">
                  <c:v>3.4880315874791221</c:v>
                </c:pt>
                <c:pt idx="5387">
                  <c:v>3.4873627781791972</c:v>
                </c:pt>
                <c:pt idx="5388">
                  <c:v>3.4866940971194755</c:v>
                </c:pt>
                <c:pt idx="5389">
                  <c:v>3.4860255442753676</c:v>
                </c:pt>
                <c:pt idx="5390">
                  <c:v>3.4853571196222894</c:v>
                </c:pt>
                <c:pt idx="5391">
                  <c:v>3.4846888231356608</c:v>
                </c:pt>
                <c:pt idx="5392">
                  <c:v>3.4840206547909061</c:v>
                </c:pt>
                <c:pt idx="5393">
                  <c:v>3.4833526145634552</c:v>
                </c:pt>
                <c:pt idx="5394">
                  <c:v>3.4826847024287426</c:v>
                </c:pt>
                <c:pt idx="5395">
                  <c:v>3.4820169183622074</c:v>
                </c:pt>
                <c:pt idx="5396">
                  <c:v>3.4813492623392928</c:v>
                </c:pt>
                <c:pt idx="5397">
                  <c:v>3.4806817343354477</c:v>
                </c:pt>
                <c:pt idx="5398">
                  <c:v>3.4800143343261247</c:v>
                </c:pt>
                <c:pt idx="5399">
                  <c:v>3.4793470622867821</c:v>
                </c:pt>
                <c:pt idx="5400">
                  <c:v>3.4786799181928818</c:v>
                </c:pt>
                <c:pt idx="5401">
                  <c:v>3.4780129020198918</c:v>
                </c:pt>
                <c:pt idx="5402">
                  <c:v>3.4773460137432832</c:v>
                </c:pt>
                <c:pt idx="5403">
                  <c:v>3.4766792533385331</c:v>
                </c:pt>
                <c:pt idx="5404">
                  <c:v>3.4760126207811228</c:v>
                </c:pt>
                <c:pt idx="5405">
                  <c:v>3.4753461160465386</c:v>
                </c:pt>
                <c:pt idx="5406">
                  <c:v>3.4746797391102708</c:v>
                </c:pt>
                <c:pt idx="5407">
                  <c:v>3.474013489947815</c:v>
                </c:pt>
                <c:pt idx="5408">
                  <c:v>3.4733473685346712</c:v>
                </c:pt>
                <c:pt idx="5409">
                  <c:v>3.4726813748463443</c:v>
                </c:pt>
                <c:pt idx="5410">
                  <c:v>3.4720155088583438</c:v>
                </c:pt>
                <c:pt idx="5411">
                  <c:v>3.4713497705461842</c:v>
                </c:pt>
                <c:pt idx="5412">
                  <c:v>3.4706841598853844</c:v>
                </c:pt>
                <c:pt idx="5413">
                  <c:v>3.4700186768514674</c:v>
                </c:pt>
                <c:pt idx="5414">
                  <c:v>3.4693533214199621</c:v>
                </c:pt>
                <c:pt idx="5415">
                  <c:v>3.4686880935664015</c:v>
                </c:pt>
                <c:pt idx="5416">
                  <c:v>3.4680229932663229</c:v>
                </c:pt>
                <c:pt idx="5417">
                  <c:v>3.467358020495269</c:v>
                </c:pt>
                <c:pt idx="5418">
                  <c:v>3.4666931752287868</c:v>
                </c:pt>
                <c:pt idx="5419">
                  <c:v>3.466028457442428</c:v>
                </c:pt>
                <c:pt idx="5420">
                  <c:v>3.465363867111749</c:v>
                </c:pt>
                <c:pt idx="5421">
                  <c:v>3.4646994042123112</c:v>
                </c:pt>
                <c:pt idx="5422">
                  <c:v>3.4640350687196797</c:v>
                </c:pt>
                <c:pt idx="5423">
                  <c:v>3.4633708606094258</c:v>
                </c:pt>
                <c:pt idx="5424">
                  <c:v>3.4627067798571245</c:v>
                </c:pt>
                <c:pt idx="5425">
                  <c:v>3.4620428264383554</c:v>
                </c:pt>
                <c:pt idx="5426">
                  <c:v>3.4613790003287033</c:v>
                </c:pt>
                <c:pt idx="5427">
                  <c:v>3.4607153015037571</c:v>
                </c:pt>
                <c:pt idx="5428">
                  <c:v>3.4600517299391109</c:v>
                </c:pt>
                <c:pt idx="5429">
                  <c:v>3.4593882856103635</c:v>
                </c:pt>
                <c:pt idx="5430">
                  <c:v>3.4587249684931183</c:v>
                </c:pt>
                <c:pt idx="5431">
                  <c:v>3.4580617785629828</c:v>
                </c:pt>
                <c:pt idx="5432">
                  <c:v>3.4573987157955699</c:v>
                </c:pt>
                <c:pt idx="5433">
                  <c:v>3.4567357801664969</c:v>
                </c:pt>
                <c:pt idx="5434">
                  <c:v>3.4560729716513854</c:v>
                </c:pt>
                <c:pt idx="5435">
                  <c:v>3.4554102902258625</c:v>
                </c:pt>
                <c:pt idx="5436">
                  <c:v>3.4547477358655594</c:v>
                </c:pt>
                <c:pt idx="5437">
                  <c:v>3.4540853085461123</c:v>
                </c:pt>
                <c:pt idx="5438">
                  <c:v>3.4534230082431616</c:v>
                </c:pt>
                <c:pt idx="5439">
                  <c:v>3.4527608349323526</c:v>
                </c:pt>
                <c:pt idx="5440">
                  <c:v>3.4520987885893355</c:v>
                </c:pt>
                <c:pt idx="5441">
                  <c:v>3.4514368691897648</c:v>
                </c:pt>
                <c:pt idx="5442">
                  <c:v>3.4507750767092999</c:v>
                </c:pt>
                <c:pt idx="5443">
                  <c:v>3.4501134111236049</c:v>
                </c:pt>
                <c:pt idx="5444">
                  <c:v>3.4494518724083485</c:v>
                </c:pt>
                <c:pt idx="5445">
                  <c:v>3.4487904605392039</c:v>
                </c:pt>
                <c:pt idx="5446">
                  <c:v>3.4481291754918493</c:v>
                </c:pt>
                <c:pt idx="5447">
                  <c:v>3.4474680172419672</c:v>
                </c:pt>
                <c:pt idx="5448">
                  <c:v>3.446806985765245</c:v>
                </c:pt>
                <c:pt idx="5449">
                  <c:v>3.4461460810373747</c:v>
                </c:pt>
                <c:pt idx="5450">
                  <c:v>3.4454853030340531</c:v>
                </c:pt>
                <c:pt idx="5451">
                  <c:v>3.4448246517309813</c:v>
                </c:pt>
                <c:pt idx="5452">
                  <c:v>3.4441641271038654</c:v>
                </c:pt>
                <c:pt idx="5453">
                  <c:v>3.4435037291284161</c:v>
                </c:pt>
                <c:pt idx="5454">
                  <c:v>3.4428434577803486</c:v>
                </c:pt>
                <c:pt idx="5455">
                  <c:v>3.4421833130353829</c:v>
                </c:pt>
                <c:pt idx="5456">
                  <c:v>3.4415232948692434</c:v>
                </c:pt>
                <c:pt idx="5457">
                  <c:v>3.4408634032576595</c:v>
                </c:pt>
                <c:pt idx="5458">
                  <c:v>3.4402036381763654</c:v>
                </c:pt>
                <c:pt idx="5459">
                  <c:v>3.4395439996010992</c:v>
                </c:pt>
                <c:pt idx="5460">
                  <c:v>3.4388844875076043</c:v>
                </c:pt>
                <c:pt idx="5461">
                  <c:v>3.438225101871629</c:v>
                </c:pt>
                <c:pt idx="5462">
                  <c:v>3.4375658426689251</c:v>
                </c:pt>
                <c:pt idx="5463">
                  <c:v>3.4369067098752502</c:v>
                </c:pt>
                <c:pt idx="5464">
                  <c:v>3.4362477034663659</c:v>
                </c:pt>
                <c:pt idx="5465">
                  <c:v>3.4355888234180392</c:v>
                </c:pt>
                <c:pt idx="5466">
                  <c:v>3.4349300697060405</c:v>
                </c:pt>
                <c:pt idx="5467">
                  <c:v>3.4342714423061462</c:v>
                </c:pt>
                <c:pt idx="5468">
                  <c:v>3.4336129411941361</c:v>
                </c:pt>
                <c:pt idx="5469">
                  <c:v>3.4329545663457957</c:v>
                </c:pt>
                <c:pt idx="5470">
                  <c:v>3.4322963177369146</c:v>
                </c:pt>
                <c:pt idx="5471">
                  <c:v>3.4316381953432868</c:v>
                </c:pt>
                <c:pt idx="5472">
                  <c:v>3.4309801991407118</c:v>
                </c:pt>
                <c:pt idx="5473">
                  <c:v>3.4303223291049929</c:v>
                </c:pt>
                <c:pt idx="5474">
                  <c:v>3.4296645852119383</c:v>
                </c:pt>
                <c:pt idx="5475">
                  <c:v>3.4290069674373611</c:v>
                </c:pt>
                <c:pt idx="5476">
                  <c:v>3.4283494757570789</c:v>
                </c:pt>
                <c:pt idx="5477">
                  <c:v>3.4276921101469138</c:v>
                </c:pt>
                <c:pt idx="5478">
                  <c:v>3.4270348705826925</c:v>
                </c:pt>
                <c:pt idx="5479">
                  <c:v>3.4263777570402465</c:v>
                </c:pt>
                <c:pt idx="5480">
                  <c:v>3.4257207694954115</c:v>
                </c:pt>
                <c:pt idx="5481">
                  <c:v>3.4250639079240286</c:v>
                </c:pt>
                <c:pt idx="5482">
                  <c:v>3.4244071723019434</c:v>
                </c:pt>
                <c:pt idx="5483">
                  <c:v>3.4237505626050053</c:v>
                </c:pt>
                <c:pt idx="5484">
                  <c:v>3.4230940788090694</c:v>
                </c:pt>
                <c:pt idx="5485">
                  <c:v>3.4224377208899943</c:v>
                </c:pt>
                <c:pt idx="5486">
                  <c:v>3.4217814888236444</c:v>
                </c:pt>
                <c:pt idx="5487">
                  <c:v>3.4211253825858883</c:v>
                </c:pt>
                <c:pt idx="5488">
                  <c:v>3.4204694021525985</c:v>
                </c:pt>
                <c:pt idx="5489">
                  <c:v>3.4198135474996532</c:v>
                </c:pt>
                <c:pt idx="5490">
                  <c:v>3.4191578186029346</c:v>
                </c:pt>
                <c:pt idx="5491">
                  <c:v>3.41850221543833</c:v>
                </c:pt>
                <c:pt idx="5492">
                  <c:v>3.4178467379817308</c:v>
                </c:pt>
                <c:pt idx="5493">
                  <c:v>3.4171913862090331</c:v>
                </c:pt>
                <c:pt idx="5494">
                  <c:v>3.4165361600961379</c:v>
                </c:pt>
                <c:pt idx="5495">
                  <c:v>3.4158810596189504</c:v>
                </c:pt>
                <c:pt idx="5496">
                  <c:v>3.4152260847533813</c:v>
                </c:pt>
                <c:pt idx="5497">
                  <c:v>3.414571235475345</c:v>
                </c:pt>
                <c:pt idx="5498">
                  <c:v>3.4139165117607608</c:v>
                </c:pt>
                <c:pt idx="5499">
                  <c:v>3.4132619135855524</c:v>
                </c:pt>
                <c:pt idx="5500">
                  <c:v>3.4126074409256488</c:v>
                </c:pt>
                <c:pt idx="5501">
                  <c:v>3.4119530937569831</c:v>
                </c:pt>
                <c:pt idx="5502">
                  <c:v>3.4112988720554931</c:v>
                </c:pt>
                <c:pt idx="5503">
                  <c:v>3.4106447757971208</c:v>
                </c:pt>
                <c:pt idx="5504">
                  <c:v>3.4099908049578138</c:v>
                </c:pt>
                <c:pt idx="5505">
                  <c:v>3.4093369595135234</c:v>
                </c:pt>
                <c:pt idx="5506">
                  <c:v>3.4086832394402062</c:v>
                </c:pt>
                <c:pt idx="5507">
                  <c:v>3.4080296447138227</c:v>
                </c:pt>
                <c:pt idx="5508">
                  <c:v>3.4073761753103384</c:v>
                </c:pt>
                <c:pt idx="5509">
                  <c:v>3.4067228312057236</c:v>
                </c:pt>
                <c:pt idx="5510">
                  <c:v>3.4060696123759526</c:v>
                </c:pt>
                <c:pt idx="5511">
                  <c:v>3.4054165187970051</c:v>
                </c:pt>
                <c:pt idx="5512">
                  <c:v>3.4047635504448648</c:v>
                </c:pt>
                <c:pt idx="5513">
                  <c:v>3.4041107072955201</c:v>
                </c:pt>
                <c:pt idx="5514">
                  <c:v>3.4034579893249646</c:v>
                </c:pt>
                <c:pt idx="5515">
                  <c:v>3.4028053965091956</c:v>
                </c:pt>
                <c:pt idx="5516">
                  <c:v>3.4021529288242154</c:v>
                </c:pt>
                <c:pt idx="5517">
                  <c:v>3.4015005862460312</c:v>
                </c:pt>
                <c:pt idx="5518">
                  <c:v>3.4008483687506543</c:v>
                </c:pt>
                <c:pt idx="5519">
                  <c:v>3.4001962763141007</c:v>
                </c:pt>
                <c:pt idx="5520">
                  <c:v>3.3995443089123913</c:v>
                </c:pt>
                <c:pt idx="5521">
                  <c:v>3.3988924665215516</c:v>
                </c:pt>
                <c:pt idx="5522">
                  <c:v>3.398240749117611</c:v>
                </c:pt>
                <c:pt idx="5523">
                  <c:v>3.3975891566766045</c:v>
                </c:pt>
                <c:pt idx="5524">
                  <c:v>3.3969376891745711</c:v>
                </c:pt>
                <c:pt idx="5525">
                  <c:v>3.3962863465875541</c:v>
                </c:pt>
                <c:pt idx="5526">
                  <c:v>3.3956351288916022</c:v>
                </c:pt>
                <c:pt idx="5527">
                  <c:v>3.3949840360627683</c:v>
                </c:pt>
                <c:pt idx="5528">
                  <c:v>3.3943330680771098</c:v>
                </c:pt>
                <c:pt idx="5529">
                  <c:v>3.3936822249106884</c:v>
                </c:pt>
                <c:pt idx="5530">
                  <c:v>3.3930315065395713</c:v>
                </c:pt>
                <c:pt idx="5531">
                  <c:v>3.3923809129398292</c:v>
                </c:pt>
                <c:pt idx="5532">
                  <c:v>3.3917304440875382</c:v>
                </c:pt>
                <c:pt idx="5533">
                  <c:v>3.3910800999587787</c:v>
                </c:pt>
                <c:pt idx="5534">
                  <c:v>3.390429880529636</c:v>
                </c:pt>
                <c:pt idx="5535">
                  <c:v>3.3897797857761995</c:v>
                </c:pt>
                <c:pt idx="5536">
                  <c:v>3.3891298156745631</c:v>
                </c:pt>
                <c:pt idx="5537">
                  <c:v>3.3884799702008257</c:v>
                </c:pt>
                <c:pt idx="5538">
                  <c:v>3.387830249331091</c:v>
                </c:pt>
                <c:pt idx="5539">
                  <c:v>3.3871806530414665</c:v>
                </c:pt>
                <c:pt idx="5540">
                  <c:v>3.3865311813080647</c:v>
                </c:pt>
                <c:pt idx="5541">
                  <c:v>3.3858818341070029</c:v>
                </c:pt>
                <c:pt idx="5542">
                  <c:v>3.3852326114144029</c:v>
                </c:pt>
                <c:pt idx="5543">
                  <c:v>3.3845835132063904</c:v>
                </c:pt>
                <c:pt idx="5544">
                  <c:v>3.3839345394590969</c:v>
                </c:pt>
                <c:pt idx="5545">
                  <c:v>3.3832856901486572</c:v>
                </c:pt>
                <c:pt idx="5546">
                  <c:v>3.3826369652512116</c:v>
                </c:pt>
                <c:pt idx="5547">
                  <c:v>3.3819883647429045</c:v>
                </c:pt>
                <c:pt idx="5548">
                  <c:v>3.3813398885998853</c:v>
                </c:pt>
                <c:pt idx="5549">
                  <c:v>3.3806915367983073</c:v>
                </c:pt>
                <c:pt idx="5550">
                  <c:v>3.3800433093143289</c:v>
                </c:pt>
                <c:pt idx="5551">
                  <c:v>3.379395206124113</c:v>
                </c:pt>
                <c:pt idx="5552">
                  <c:v>3.3787472272038275</c:v>
                </c:pt>
                <c:pt idx="5553">
                  <c:v>3.3780993725296438</c:v>
                </c:pt>
                <c:pt idx="5554">
                  <c:v>3.3774516420777383</c:v>
                </c:pt>
                <c:pt idx="5555">
                  <c:v>3.3768040358242923</c:v>
                </c:pt>
                <c:pt idx="5556">
                  <c:v>3.3761565537454916</c:v>
                </c:pt>
                <c:pt idx="5557">
                  <c:v>3.3755091958175263</c:v>
                </c:pt>
                <c:pt idx="5558">
                  <c:v>3.3748619620165914</c:v>
                </c:pt>
                <c:pt idx="5559">
                  <c:v>3.3742148523188864</c:v>
                </c:pt>
                <c:pt idx="5560">
                  <c:v>3.3735678667006148</c:v>
                </c:pt>
                <c:pt idx="5561">
                  <c:v>3.3729210051379854</c:v>
                </c:pt>
                <c:pt idx="5562">
                  <c:v>3.3722742676072115</c:v>
                </c:pt>
                <c:pt idx="5563">
                  <c:v>3.3716276540845103</c:v>
                </c:pt>
                <c:pt idx="5564">
                  <c:v>3.3709811645461039</c:v>
                </c:pt>
                <c:pt idx="5565">
                  <c:v>3.3703347989682193</c:v>
                </c:pt>
                <c:pt idx="5566">
                  <c:v>3.3696885573270881</c:v>
                </c:pt>
                <c:pt idx="5567">
                  <c:v>3.3690424395989456</c:v>
                </c:pt>
                <c:pt idx="5568">
                  <c:v>3.3683964457600326</c:v>
                </c:pt>
                <c:pt idx="5569">
                  <c:v>3.367750575786594</c:v>
                </c:pt>
                <c:pt idx="5570">
                  <c:v>3.3671048296548793</c:v>
                </c:pt>
                <c:pt idx="5571">
                  <c:v>3.3664592073411428</c:v>
                </c:pt>
                <c:pt idx="5572">
                  <c:v>3.3658137088216424</c:v>
                </c:pt>
                <c:pt idx="5573">
                  <c:v>3.3651683340726422</c:v>
                </c:pt>
                <c:pt idx="5574">
                  <c:v>3.3645230830704094</c:v>
                </c:pt>
                <c:pt idx="5575">
                  <c:v>3.3638779557912164</c:v>
                </c:pt>
                <c:pt idx="5576">
                  <c:v>3.36323295221134</c:v>
                </c:pt>
                <c:pt idx="5577">
                  <c:v>3.3625880723070618</c:v>
                </c:pt>
                <c:pt idx="5578">
                  <c:v>3.3619433160546675</c:v>
                </c:pt>
                <c:pt idx="5579">
                  <c:v>3.3612986834304479</c:v>
                </c:pt>
                <c:pt idx="5580">
                  <c:v>3.3606541744106977</c:v>
                </c:pt>
                <c:pt idx="5581">
                  <c:v>3.3600097889717166</c:v>
                </c:pt>
                <c:pt idx="5582">
                  <c:v>3.3593655270898091</c:v>
                </c:pt>
                <c:pt idx="5583">
                  <c:v>3.3587213887412832</c:v>
                </c:pt>
                <c:pt idx="5584">
                  <c:v>3.3580773739024523</c:v>
                </c:pt>
                <c:pt idx="5585">
                  <c:v>3.3574334825496344</c:v>
                </c:pt>
                <c:pt idx="5586">
                  <c:v>3.3567897146591519</c:v>
                </c:pt>
                <c:pt idx="5587">
                  <c:v>3.3561460702073314</c:v>
                </c:pt>
                <c:pt idx="5588">
                  <c:v>3.3555025491705042</c:v>
                </c:pt>
                <c:pt idx="5589">
                  <c:v>3.3548591515250061</c:v>
                </c:pt>
                <c:pt idx="5590">
                  <c:v>3.354215877247178</c:v>
                </c:pt>
                <c:pt idx="5591">
                  <c:v>3.3535727263133643</c:v>
                </c:pt>
                <c:pt idx="5592">
                  <c:v>3.3529296986999149</c:v>
                </c:pt>
                <c:pt idx="5593">
                  <c:v>3.3522867943831836</c:v>
                </c:pt>
                <c:pt idx="5594">
                  <c:v>3.3516440133395293</c:v>
                </c:pt>
                <c:pt idx="5595">
                  <c:v>3.3510013555453151</c:v>
                </c:pt>
                <c:pt idx="5596">
                  <c:v>3.3503588209769086</c:v>
                </c:pt>
                <c:pt idx="5597">
                  <c:v>3.3497164096106817</c:v>
                </c:pt>
                <c:pt idx="5598">
                  <c:v>3.3490741214230115</c:v>
                </c:pt>
                <c:pt idx="5599">
                  <c:v>3.3484319563902791</c:v>
                </c:pt>
                <c:pt idx="5600">
                  <c:v>3.3477899144888701</c:v>
                </c:pt>
                <c:pt idx="5601">
                  <c:v>3.3471479956951748</c:v>
                </c:pt>
                <c:pt idx="5602">
                  <c:v>3.3465061999855883</c:v>
                </c:pt>
                <c:pt idx="5603">
                  <c:v>3.3458645273365097</c:v>
                </c:pt>
                <c:pt idx="5604">
                  <c:v>3.3452229777243434</c:v>
                </c:pt>
                <c:pt idx="5605">
                  <c:v>3.3445815511254975</c:v>
                </c:pt>
                <c:pt idx="5606">
                  <c:v>3.3439402475163846</c:v>
                </c:pt>
                <c:pt idx="5607">
                  <c:v>3.3432990668734224</c:v>
                </c:pt>
                <c:pt idx="5608">
                  <c:v>3.3426580091730331</c:v>
                </c:pt>
                <c:pt idx="5609">
                  <c:v>3.3420170743916429</c:v>
                </c:pt>
                <c:pt idx="5610">
                  <c:v>3.3413762625056829</c:v>
                </c:pt>
                <c:pt idx="5611">
                  <c:v>3.3407355734915885</c:v>
                </c:pt>
                <c:pt idx="5612">
                  <c:v>3.3400950073257998</c:v>
                </c:pt>
                <c:pt idx="5613">
                  <c:v>3.3394545639847615</c:v>
                </c:pt>
                <c:pt idx="5614">
                  <c:v>3.3388142434449226</c:v>
                </c:pt>
                <c:pt idx="5615">
                  <c:v>3.3381740456827367</c:v>
                </c:pt>
                <c:pt idx="5616">
                  <c:v>3.3375339706746621</c:v>
                </c:pt>
                <c:pt idx="5617">
                  <c:v>3.3368940183971612</c:v>
                </c:pt>
                <c:pt idx="5618">
                  <c:v>3.3362541888267012</c:v>
                </c:pt>
                <c:pt idx="5619">
                  <c:v>3.335614481939754</c:v>
                </c:pt>
                <c:pt idx="5620">
                  <c:v>3.3349748977127951</c:v>
                </c:pt>
                <c:pt idx="5621">
                  <c:v>3.3343354361223057</c:v>
                </c:pt>
                <c:pt idx="5622">
                  <c:v>3.3336960971447711</c:v>
                </c:pt>
                <c:pt idx="5623">
                  <c:v>3.3330568807566805</c:v>
                </c:pt>
                <c:pt idx="5624">
                  <c:v>3.3324177869345286</c:v>
                </c:pt>
                <c:pt idx="5625">
                  <c:v>3.3317788156548138</c:v>
                </c:pt>
                <c:pt idx="5626">
                  <c:v>3.3311399668940394</c:v>
                </c:pt>
                <c:pt idx="5627">
                  <c:v>3.3305012406287133</c:v>
                </c:pt>
                <c:pt idx="5628">
                  <c:v>3.3298626368353474</c:v>
                </c:pt>
                <c:pt idx="5629">
                  <c:v>3.3292241554904587</c:v>
                </c:pt>
                <c:pt idx="5630">
                  <c:v>3.3285857965705685</c:v>
                </c:pt>
                <c:pt idx="5631">
                  <c:v>3.3279475600522024</c:v>
                </c:pt>
                <c:pt idx="5632">
                  <c:v>3.3273094459118906</c:v>
                </c:pt>
                <c:pt idx="5633">
                  <c:v>3.3266714541261675</c:v>
                </c:pt>
                <c:pt idx="5634">
                  <c:v>3.3260335846715727</c:v>
                </c:pt>
                <c:pt idx="5635">
                  <c:v>3.32539583752465</c:v>
                </c:pt>
                <c:pt idx="5636">
                  <c:v>3.3247582126619477</c:v>
                </c:pt>
                <c:pt idx="5637">
                  <c:v>3.3241207100600181</c:v>
                </c:pt>
                <c:pt idx="5638">
                  <c:v>3.3234833296954189</c:v>
                </c:pt>
                <c:pt idx="5639">
                  <c:v>3.3228460715447117</c:v>
                </c:pt>
                <c:pt idx="5640">
                  <c:v>3.3222089355844626</c:v>
                </c:pt>
                <c:pt idx="5641">
                  <c:v>3.3215719217912421</c:v>
                </c:pt>
                <c:pt idx="5642">
                  <c:v>3.3209350301416256</c:v>
                </c:pt>
                <c:pt idx="5643">
                  <c:v>3.3202982606121929</c:v>
                </c:pt>
                <c:pt idx="5644">
                  <c:v>3.319661613179528</c:v>
                </c:pt>
                <c:pt idx="5645">
                  <c:v>3.3190250878202199</c:v>
                </c:pt>
                <c:pt idx="5646">
                  <c:v>3.3183886845108614</c:v>
                </c:pt>
                <c:pt idx="5647">
                  <c:v>3.3177524032280505</c:v>
                </c:pt>
                <c:pt idx="5648">
                  <c:v>3.317116243948389</c:v>
                </c:pt>
                <c:pt idx="5649">
                  <c:v>3.3164802066484835</c:v>
                </c:pt>
                <c:pt idx="5650">
                  <c:v>3.3158442913049453</c:v>
                </c:pt>
                <c:pt idx="5651">
                  <c:v>3.3152084978943899</c:v>
                </c:pt>
                <c:pt idx="5652">
                  <c:v>3.3145728263934378</c:v>
                </c:pt>
                <c:pt idx="5653">
                  <c:v>3.313937276778713</c:v>
                </c:pt>
                <c:pt idx="5654">
                  <c:v>3.3133018490268449</c:v>
                </c:pt>
                <c:pt idx="5655">
                  <c:v>3.3126665431144668</c:v>
                </c:pt>
                <c:pt idx="5656">
                  <c:v>3.3120313590182167</c:v>
                </c:pt>
                <c:pt idx="5657">
                  <c:v>3.311396296714737</c:v>
                </c:pt>
                <c:pt idx="5658">
                  <c:v>3.310761356180675</c:v>
                </c:pt>
                <c:pt idx="5659">
                  <c:v>3.3101265373926818</c:v>
                </c:pt>
                <c:pt idx="5660">
                  <c:v>3.3094918403274134</c:v>
                </c:pt>
                <c:pt idx="5661">
                  <c:v>3.3088572649615302</c:v>
                </c:pt>
                <c:pt idx="5662">
                  <c:v>3.3082228112716972</c:v>
                </c:pt>
                <c:pt idx="5663">
                  <c:v>3.3075884792345835</c:v>
                </c:pt>
                <c:pt idx="5664">
                  <c:v>3.3069542688268632</c:v>
                </c:pt>
                <c:pt idx="5665">
                  <c:v>3.3063201800252142</c:v>
                </c:pt>
                <c:pt idx="5666">
                  <c:v>3.3056862128063198</c:v>
                </c:pt>
                <c:pt idx="5667">
                  <c:v>3.305052367146867</c:v>
                </c:pt>
                <c:pt idx="5668">
                  <c:v>3.3044186430235474</c:v>
                </c:pt>
                <c:pt idx="5669">
                  <c:v>3.3037850404130569</c:v>
                </c:pt>
                <c:pt idx="5670">
                  <c:v>3.3031515592920968</c:v>
                </c:pt>
                <c:pt idx="5671">
                  <c:v>3.3025181996373716</c:v>
                </c:pt>
                <c:pt idx="5672">
                  <c:v>3.3018849614255914</c:v>
                </c:pt>
                <c:pt idx="5673">
                  <c:v>3.30125184463347</c:v>
                </c:pt>
                <c:pt idx="5674">
                  <c:v>3.3006188492377255</c:v>
                </c:pt>
                <c:pt idx="5675">
                  <c:v>3.2999859752150815</c:v>
                </c:pt>
                <c:pt idx="5676">
                  <c:v>3.299353222542265</c:v>
                </c:pt>
                <c:pt idx="5677">
                  <c:v>3.298720591196008</c:v>
                </c:pt>
                <c:pt idx="5678">
                  <c:v>3.2980880811530469</c:v>
                </c:pt>
                <c:pt idx="5679">
                  <c:v>3.2974556923901228</c:v>
                </c:pt>
                <c:pt idx="5680">
                  <c:v>3.2968234248839807</c:v>
                </c:pt>
                <c:pt idx="5681">
                  <c:v>3.2961912786113703</c:v>
                </c:pt>
                <c:pt idx="5682">
                  <c:v>3.2955592535490457</c:v>
                </c:pt>
                <c:pt idx="5683">
                  <c:v>3.2949273496737654</c:v>
                </c:pt>
                <c:pt idx="5684">
                  <c:v>3.2942955669622931</c:v>
                </c:pt>
                <c:pt idx="5685">
                  <c:v>3.2936639053913961</c:v>
                </c:pt>
                <c:pt idx="5686">
                  <c:v>3.2930323649378463</c:v>
                </c:pt>
                <c:pt idx="5687">
                  <c:v>3.2924009455784202</c:v>
                </c:pt>
                <c:pt idx="5688">
                  <c:v>3.291769647289899</c:v>
                </c:pt>
                <c:pt idx="5689">
                  <c:v>3.2911384700490673</c:v>
                </c:pt>
                <c:pt idx="5690">
                  <c:v>3.2905074138327159</c:v>
                </c:pt>
                <c:pt idx="5691">
                  <c:v>3.2898764786176384</c:v>
                </c:pt>
                <c:pt idx="5692">
                  <c:v>3.2892456643806338</c:v>
                </c:pt>
                <c:pt idx="5693">
                  <c:v>3.2886149710985051</c:v>
                </c:pt>
                <c:pt idx="5694">
                  <c:v>3.2879843987480601</c:v>
                </c:pt>
                <c:pt idx="5695">
                  <c:v>3.2873539473061109</c:v>
                </c:pt>
                <c:pt idx="5696">
                  <c:v>3.286723616749474</c:v>
                </c:pt>
                <c:pt idx="5697">
                  <c:v>3.2860934070549703</c:v>
                </c:pt>
                <c:pt idx="5698">
                  <c:v>3.2854633181994251</c:v>
                </c:pt>
                <c:pt idx="5699">
                  <c:v>3.2848333501596683</c:v>
                </c:pt>
                <c:pt idx="5700">
                  <c:v>3.284203502912534</c:v>
                </c:pt>
                <c:pt idx="5701">
                  <c:v>3.2835737764348614</c:v>
                </c:pt>
                <c:pt idx="5702">
                  <c:v>3.2829441707034936</c:v>
                </c:pt>
                <c:pt idx="5703">
                  <c:v>3.2823146856952778</c:v>
                </c:pt>
                <c:pt idx="5704">
                  <c:v>3.2816853213870667</c:v>
                </c:pt>
                <c:pt idx="5705">
                  <c:v>3.2810560777557161</c:v>
                </c:pt>
                <c:pt idx="5706">
                  <c:v>3.2804269547780871</c:v>
                </c:pt>
                <c:pt idx="5707">
                  <c:v>3.2797979524310454</c:v>
                </c:pt>
                <c:pt idx="5708">
                  <c:v>3.2791690706914607</c:v>
                </c:pt>
                <c:pt idx="5709">
                  <c:v>3.2785403095362069</c:v>
                </c:pt>
                <c:pt idx="5710">
                  <c:v>3.277911668942163</c:v>
                </c:pt>
                <c:pt idx="5711">
                  <c:v>3.277283148886212</c:v>
                </c:pt>
                <c:pt idx="5712">
                  <c:v>3.2766547493452416</c:v>
                </c:pt>
                <c:pt idx="5713">
                  <c:v>3.2760264702961437</c:v>
                </c:pt>
                <c:pt idx="5714">
                  <c:v>3.2753983117158145</c:v>
                </c:pt>
                <c:pt idx="5715">
                  <c:v>3.2747702735811548</c:v>
                </c:pt>
                <c:pt idx="5716">
                  <c:v>3.2741423558690701</c:v>
                </c:pt>
                <c:pt idx="5717">
                  <c:v>3.27351455855647</c:v>
                </c:pt>
                <c:pt idx="5718">
                  <c:v>3.2728868816202685</c:v>
                </c:pt>
                <c:pt idx="5719">
                  <c:v>3.2722593250373846</c:v>
                </c:pt>
                <c:pt idx="5720">
                  <c:v>3.2716318887847406</c:v>
                </c:pt>
                <c:pt idx="5721">
                  <c:v>3.2710045728392645</c:v>
                </c:pt>
                <c:pt idx="5722">
                  <c:v>3.2703773771778879</c:v>
                </c:pt>
                <c:pt idx="5723">
                  <c:v>3.2697503017775471</c:v>
                </c:pt>
                <c:pt idx="5724">
                  <c:v>3.2691233466151823</c:v>
                </c:pt>
                <c:pt idx="5725">
                  <c:v>3.2684965116677391</c:v>
                </c:pt>
                <c:pt idx="5726">
                  <c:v>3.2678697969121666</c:v>
                </c:pt>
                <c:pt idx="5727">
                  <c:v>3.2672432023254192</c:v>
                </c:pt>
                <c:pt idx="5728">
                  <c:v>3.2666167278844549</c:v>
                </c:pt>
                <c:pt idx="5729">
                  <c:v>3.2659903735662366</c:v>
                </c:pt>
                <c:pt idx="5730">
                  <c:v>3.2653641393477315</c:v>
                </c:pt>
                <c:pt idx="5731">
                  <c:v>3.2647380252059111</c:v>
                </c:pt>
                <c:pt idx="5732">
                  <c:v>3.2641120311177514</c:v>
                </c:pt>
                <c:pt idx="5733">
                  <c:v>3.2634861570602327</c:v>
                </c:pt>
                <c:pt idx="5734">
                  <c:v>3.2628604030103401</c:v>
                </c:pt>
                <c:pt idx="5735">
                  <c:v>3.262234768945063</c:v>
                </c:pt>
                <c:pt idx="5736">
                  <c:v>3.2616092548413946</c:v>
                </c:pt>
                <c:pt idx="5737">
                  <c:v>3.2609838606763333</c:v>
                </c:pt>
                <c:pt idx="5738">
                  <c:v>3.2603585864268814</c:v>
                </c:pt>
                <c:pt idx="5739">
                  <c:v>3.2597334320700457</c:v>
                </c:pt>
                <c:pt idx="5740">
                  <c:v>3.2591083975828381</c:v>
                </c:pt>
                <c:pt idx="5741">
                  <c:v>3.2584834829422737</c:v>
                </c:pt>
                <c:pt idx="5742">
                  <c:v>3.2578586881253728</c:v>
                </c:pt>
                <c:pt idx="5743">
                  <c:v>3.2572340131091599</c:v>
                </c:pt>
                <c:pt idx="5744">
                  <c:v>3.2566094578706641</c:v>
                </c:pt>
                <c:pt idx="5745">
                  <c:v>3.2559850223869184</c:v>
                </c:pt>
                <c:pt idx="5746">
                  <c:v>3.2553607066349608</c:v>
                </c:pt>
                <c:pt idx="5747">
                  <c:v>3.2547365105918336</c:v>
                </c:pt>
                <c:pt idx="5748">
                  <c:v>3.2541124342345831</c:v>
                </c:pt>
                <c:pt idx="5749">
                  <c:v>3.2534884775402602</c:v>
                </c:pt>
                <c:pt idx="5750">
                  <c:v>3.2528646404859205</c:v>
                </c:pt>
                <c:pt idx="5751">
                  <c:v>3.2522409230486233</c:v>
                </c:pt>
                <c:pt idx="5752">
                  <c:v>3.2516173252054332</c:v>
                </c:pt>
                <c:pt idx="5753">
                  <c:v>3.2509938469334183</c:v>
                </c:pt>
                <c:pt idx="5754">
                  <c:v>3.250370488209652</c:v>
                </c:pt>
                <c:pt idx="5755">
                  <c:v>3.2497472490112114</c:v>
                </c:pt>
                <c:pt idx="5756">
                  <c:v>3.2491241293151782</c:v>
                </c:pt>
                <c:pt idx="5757">
                  <c:v>3.2485011290986385</c:v>
                </c:pt>
                <c:pt idx="5758">
                  <c:v>3.247878248338683</c:v>
                </c:pt>
                <c:pt idx="5759">
                  <c:v>3.2472554870124064</c:v>
                </c:pt>
                <c:pt idx="5760">
                  <c:v>3.2466328450969084</c:v>
                </c:pt>
                <c:pt idx="5761">
                  <c:v>3.2460103225692922</c:v>
                </c:pt>
                <c:pt idx="5762">
                  <c:v>3.2453879194066664</c:v>
                </c:pt>
                <c:pt idx="5763">
                  <c:v>3.2447656355861429</c:v>
                </c:pt>
                <c:pt idx="5764">
                  <c:v>3.2441434710848389</c:v>
                </c:pt>
                <c:pt idx="5765">
                  <c:v>3.2435214258798757</c:v>
                </c:pt>
                <c:pt idx="5766">
                  <c:v>3.2428994999483787</c:v>
                </c:pt>
                <c:pt idx="5767">
                  <c:v>3.2422776932674782</c:v>
                </c:pt>
                <c:pt idx="5768">
                  <c:v>3.241656005814308</c:v>
                </c:pt>
                <c:pt idx="5769">
                  <c:v>3.2410344375660074</c:v>
                </c:pt>
                <c:pt idx="5770">
                  <c:v>3.2404129884997195</c:v>
                </c:pt>
                <c:pt idx="5771">
                  <c:v>3.2397916585925919</c:v>
                </c:pt>
                <c:pt idx="5772">
                  <c:v>3.2391704478217767</c:v>
                </c:pt>
                <c:pt idx="5773">
                  <c:v>3.2385493561644298</c:v>
                </c:pt>
                <c:pt idx="5774">
                  <c:v>3.2379283835977124</c:v>
                </c:pt>
                <c:pt idx="5775">
                  <c:v>3.2373075300987892</c:v>
                </c:pt>
                <c:pt idx="5776">
                  <c:v>3.2366867956448298</c:v>
                </c:pt>
                <c:pt idx="5777">
                  <c:v>3.2360661802130082</c:v>
                </c:pt>
                <c:pt idx="5778">
                  <c:v>3.2354456837805023</c:v>
                </c:pt>
                <c:pt idx="5779">
                  <c:v>3.2348253063244949</c:v>
                </c:pt>
                <c:pt idx="5780">
                  <c:v>3.2342050478221727</c:v>
                </c:pt>
                <c:pt idx="5781">
                  <c:v>3.2335849082507271</c:v>
                </c:pt>
                <c:pt idx="5782">
                  <c:v>3.2329648875873542</c:v>
                </c:pt>
                <c:pt idx="5783">
                  <c:v>3.2323449858092537</c:v>
                </c:pt>
                <c:pt idx="5784">
                  <c:v>3.2317252028936303</c:v>
                </c:pt>
                <c:pt idx="5785">
                  <c:v>3.2311055388176926</c:v>
                </c:pt>
                <c:pt idx="5786">
                  <c:v>3.2304859935586538</c:v>
                </c:pt>
                <c:pt idx="5787">
                  <c:v>3.2298665670937314</c:v>
                </c:pt>
                <c:pt idx="5788">
                  <c:v>3.2292472594001476</c:v>
                </c:pt>
                <c:pt idx="5789">
                  <c:v>3.2286280704551285</c:v>
                </c:pt>
                <c:pt idx="5790">
                  <c:v>3.2280090002359052</c:v>
                </c:pt>
                <c:pt idx="5791">
                  <c:v>3.2273900487197125</c:v>
                </c:pt>
                <c:pt idx="5792">
                  <c:v>3.2267712158837893</c:v>
                </c:pt>
                <c:pt idx="5793">
                  <c:v>3.2261525017053798</c:v>
                </c:pt>
                <c:pt idx="5794">
                  <c:v>3.2255339061617323</c:v>
                </c:pt>
                <c:pt idx="5795">
                  <c:v>3.2249154292300992</c:v>
                </c:pt>
                <c:pt idx="5796">
                  <c:v>3.224297070887737</c:v>
                </c:pt>
                <c:pt idx="5797">
                  <c:v>3.2236788311119073</c:v>
                </c:pt>
                <c:pt idx="5798">
                  <c:v>3.2230607098798756</c:v>
                </c:pt>
                <c:pt idx="5799">
                  <c:v>3.2224427071689115</c:v>
                </c:pt>
                <c:pt idx="5800">
                  <c:v>3.2218248229562896</c:v>
                </c:pt>
                <c:pt idx="5801">
                  <c:v>3.2212070572192886</c:v>
                </c:pt>
                <c:pt idx="5802">
                  <c:v>3.2205894099351915</c:v>
                </c:pt>
                <c:pt idx="5803">
                  <c:v>3.2199718810812854</c:v>
                </c:pt>
                <c:pt idx="5804">
                  <c:v>3.2193544706348622</c:v>
                </c:pt>
                <c:pt idx="5805">
                  <c:v>3.2187371785732179</c:v>
                </c:pt>
                <c:pt idx="5806">
                  <c:v>3.2181200048736529</c:v>
                </c:pt>
                <c:pt idx="5807">
                  <c:v>3.2175029495134719</c:v>
                </c:pt>
                <c:pt idx="5808">
                  <c:v>3.2168860124699843</c:v>
                </c:pt>
                <c:pt idx="5809">
                  <c:v>3.2162691937205037</c:v>
                </c:pt>
                <c:pt idx="5810">
                  <c:v>3.2156524932423474</c:v>
                </c:pt>
                <c:pt idx="5811">
                  <c:v>3.2150359110128379</c:v>
                </c:pt>
                <c:pt idx="5812">
                  <c:v>3.2144194470093019</c:v>
                </c:pt>
                <c:pt idx="5813">
                  <c:v>3.21380310120907</c:v>
                </c:pt>
                <c:pt idx="5814">
                  <c:v>3.2131868735894775</c:v>
                </c:pt>
                <c:pt idx="5815">
                  <c:v>3.212570764127864</c:v>
                </c:pt>
                <c:pt idx="5816">
                  <c:v>3.2119547728015734</c:v>
                </c:pt>
                <c:pt idx="5817">
                  <c:v>3.2113388995879535</c:v>
                </c:pt>
                <c:pt idx="5818">
                  <c:v>3.2107231444643576</c:v>
                </c:pt>
                <c:pt idx="5819">
                  <c:v>3.210107507408142</c:v>
                </c:pt>
                <c:pt idx="5820">
                  <c:v>3.2094919883966684</c:v>
                </c:pt>
                <c:pt idx="5821">
                  <c:v>3.2088765874073024</c:v>
                </c:pt>
                <c:pt idx="5822">
                  <c:v>3.2082613044174142</c:v>
                </c:pt>
                <c:pt idx="5823">
                  <c:v>3.2076461394043778</c:v>
                </c:pt>
                <c:pt idx="5824">
                  <c:v>3.2070310923455718</c:v>
                </c:pt>
                <c:pt idx="5825">
                  <c:v>3.2064161632183792</c:v>
                </c:pt>
                <c:pt idx="5826">
                  <c:v>3.2058013520001873</c:v>
                </c:pt>
                <c:pt idx="5827">
                  <c:v>3.2051866586683877</c:v>
                </c:pt>
                <c:pt idx="5828">
                  <c:v>3.2045720832003766</c:v>
                </c:pt>
                <c:pt idx="5829">
                  <c:v>3.2039576255735542</c:v>
                </c:pt>
                <c:pt idx="5830">
                  <c:v>3.203343285765325</c:v>
                </c:pt>
                <c:pt idx="5831">
                  <c:v>3.2027290637530981</c:v>
                </c:pt>
                <c:pt idx="5832">
                  <c:v>3.202114959514287</c:v>
                </c:pt>
                <c:pt idx="5833">
                  <c:v>3.2015009730263091</c:v>
                </c:pt>
                <c:pt idx="5834">
                  <c:v>3.2008871042665867</c:v>
                </c:pt>
                <c:pt idx="5835">
                  <c:v>3.200273353212546</c:v>
                </c:pt>
                <c:pt idx="5836">
                  <c:v>3.1996597198416175</c:v>
                </c:pt>
                <c:pt idx="5837">
                  <c:v>3.199046204131236</c:v>
                </c:pt>
                <c:pt idx="5838">
                  <c:v>3.1984328060588409</c:v>
                </c:pt>
                <c:pt idx="5839">
                  <c:v>3.1978195256018762</c:v>
                </c:pt>
                <c:pt idx="5840">
                  <c:v>3.1972063627377896</c:v>
                </c:pt>
                <c:pt idx="5841">
                  <c:v>3.1965933174440333</c:v>
                </c:pt>
                <c:pt idx="5842">
                  <c:v>3.1959803896980636</c:v>
                </c:pt>
                <c:pt idx="5843">
                  <c:v>3.1953675794773417</c:v>
                </c:pt>
                <c:pt idx="5844">
                  <c:v>3.1947548867593332</c:v>
                </c:pt>
                <c:pt idx="5845">
                  <c:v>3.1941423115215071</c:v>
                </c:pt>
                <c:pt idx="5846">
                  <c:v>3.1935298537413375</c:v>
                </c:pt>
                <c:pt idx="5847">
                  <c:v>3.1929175133963024</c:v>
                </c:pt>
                <c:pt idx="5848">
                  <c:v>3.1923052904638847</c:v>
                </c:pt>
                <c:pt idx="5849">
                  <c:v>3.1916931849215708</c:v>
                </c:pt>
                <c:pt idx="5850">
                  <c:v>3.1910811967468522</c:v>
                </c:pt>
                <c:pt idx="5851">
                  <c:v>3.1904693259172241</c:v>
                </c:pt>
                <c:pt idx="5852">
                  <c:v>3.1898575724101863</c:v>
                </c:pt>
                <c:pt idx="5853">
                  <c:v>3.189245936203243</c:v>
                </c:pt>
                <c:pt idx="5854">
                  <c:v>3.1886344172739025</c:v>
                </c:pt>
                <c:pt idx="5855">
                  <c:v>3.1880230155996778</c:v>
                </c:pt>
                <c:pt idx="5856">
                  <c:v>3.1874117311580856</c:v>
                </c:pt>
                <c:pt idx="5857">
                  <c:v>3.1868005639266475</c:v>
                </c:pt>
                <c:pt idx="5858">
                  <c:v>3.1861895138828888</c:v>
                </c:pt>
                <c:pt idx="5859">
                  <c:v>3.1855785810043398</c:v>
                </c:pt>
                <c:pt idx="5860">
                  <c:v>3.1849677652685346</c:v>
                </c:pt>
                <c:pt idx="5861">
                  <c:v>3.1843570666530119</c:v>
                </c:pt>
                <c:pt idx="5862">
                  <c:v>3.1837464851353148</c:v>
                </c:pt>
                <c:pt idx="5863">
                  <c:v>3.1831360206929902</c:v>
                </c:pt>
                <c:pt idx="5864">
                  <c:v>3.1825256733035894</c:v>
                </c:pt>
                <c:pt idx="5865">
                  <c:v>3.1819154429446685</c:v>
                </c:pt>
                <c:pt idx="5866">
                  <c:v>3.1813053295937874</c:v>
                </c:pt>
                <c:pt idx="5867">
                  <c:v>3.1806953332285106</c:v>
                </c:pt>
                <c:pt idx="5868">
                  <c:v>3.1800854538264067</c:v>
                </c:pt>
                <c:pt idx="5869">
                  <c:v>3.1794756913650488</c:v>
                </c:pt>
                <c:pt idx="5870">
                  <c:v>3.1788660458220144</c:v>
                </c:pt>
                <c:pt idx="5871">
                  <c:v>3.1782565171748849</c:v>
                </c:pt>
                <c:pt idx="5872">
                  <c:v>3.1776471054012463</c:v>
                </c:pt>
                <c:pt idx="5873">
                  <c:v>3.1770378104786885</c:v>
                </c:pt>
                <c:pt idx="5874">
                  <c:v>3.1764286323848063</c:v>
                </c:pt>
                <c:pt idx="5875">
                  <c:v>3.1758195710971986</c:v>
                </c:pt>
                <c:pt idx="5876">
                  <c:v>3.1752106265934681</c:v>
                </c:pt>
                <c:pt idx="5877">
                  <c:v>3.1746017988512225</c:v>
                </c:pt>
                <c:pt idx="5878">
                  <c:v>3.1739930878480735</c:v>
                </c:pt>
                <c:pt idx="5879">
                  <c:v>3.1733844935616369</c:v>
                </c:pt>
                <c:pt idx="5880">
                  <c:v>3.1727760159695331</c:v>
                </c:pt>
                <c:pt idx="5881">
                  <c:v>3.1721676550493867</c:v>
                </c:pt>
                <c:pt idx="5882">
                  <c:v>3.1715594107788263</c:v>
                </c:pt>
                <c:pt idx="5883">
                  <c:v>3.1709512831354854</c:v>
                </c:pt>
                <c:pt idx="5884">
                  <c:v>3.1703432720970008</c:v>
                </c:pt>
                <c:pt idx="5885">
                  <c:v>3.1697353776410147</c:v>
                </c:pt>
                <c:pt idx="5886">
                  <c:v>3.1691275997451731</c:v>
                </c:pt>
                <c:pt idx="5887">
                  <c:v>3.1685199383871261</c:v>
                </c:pt>
                <c:pt idx="5888">
                  <c:v>3.1679123935445284</c:v>
                </c:pt>
                <c:pt idx="5889">
                  <c:v>3.1673049651950387</c:v>
                </c:pt>
                <c:pt idx="5890">
                  <c:v>3.1666976533163202</c:v>
                </c:pt>
                <c:pt idx="5891">
                  <c:v>3.1660904578860407</c:v>
                </c:pt>
                <c:pt idx="5892">
                  <c:v>3.1654833788818713</c:v>
                </c:pt>
                <c:pt idx="5893">
                  <c:v>3.1648764162814884</c:v>
                </c:pt>
                <c:pt idx="5894">
                  <c:v>3.1642695700625723</c:v>
                </c:pt>
                <c:pt idx="5895">
                  <c:v>3.1636628402028073</c:v>
                </c:pt>
                <c:pt idx="5896">
                  <c:v>3.1630562266798821</c:v>
                </c:pt>
                <c:pt idx="5897">
                  <c:v>3.1624497294714899</c:v>
                </c:pt>
                <c:pt idx="5898">
                  <c:v>3.1618433485553283</c:v>
                </c:pt>
                <c:pt idx="5899">
                  <c:v>3.1612370839090991</c:v>
                </c:pt>
                <c:pt idx="5900">
                  <c:v>3.160630935510508</c:v>
                </c:pt>
                <c:pt idx="5901">
                  <c:v>3.1600249033372649</c:v>
                </c:pt>
                <c:pt idx="5902">
                  <c:v>3.159418987367085</c:v>
                </c:pt>
                <c:pt idx="5903">
                  <c:v>3.1588131875776866</c:v>
                </c:pt>
                <c:pt idx="5904">
                  <c:v>3.1582075039467927</c:v>
                </c:pt>
                <c:pt idx="5905">
                  <c:v>3.1576019364521306</c:v>
                </c:pt>
                <c:pt idx="5906">
                  <c:v>3.1569964850714318</c:v>
                </c:pt>
                <c:pt idx="5907">
                  <c:v>3.1563911497824324</c:v>
                </c:pt>
                <c:pt idx="5908">
                  <c:v>3.1557859305628724</c:v>
                </c:pt>
                <c:pt idx="5909">
                  <c:v>3.1551808273904962</c:v>
                </c:pt>
                <c:pt idx="5910">
                  <c:v>3.1545758402430524</c:v>
                </c:pt>
                <c:pt idx="5911">
                  <c:v>3.1539709690982938</c:v>
                </c:pt>
                <c:pt idx="5912">
                  <c:v>3.1533662139339778</c:v>
                </c:pt>
                <c:pt idx="5913">
                  <c:v>3.1527615747278657</c:v>
                </c:pt>
                <c:pt idx="5914">
                  <c:v>3.1521570514577228</c:v>
                </c:pt>
                <c:pt idx="5915">
                  <c:v>3.15155264410132</c:v>
                </c:pt>
                <c:pt idx="5916">
                  <c:v>3.1509483526364308</c:v>
                </c:pt>
                <c:pt idx="5917">
                  <c:v>3.150344177040834</c:v>
                </c:pt>
                <c:pt idx="5918">
                  <c:v>3.1497401172923123</c:v>
                </c:pt>
                <c:pt idx="5919">
                  <c:v>3.1491361733686523</c:v>
                </c:pt>
                <c:pt idx="5920">
                  <c:v>3.1485323452476459</c:v>
                </c:pt>
                <c:pt idx="5921">
                  <c:v>3.1479286329070884</c:v>
                </c:pt>
                <c:pt idx="5922">
                  <c:v>3.1473250363247796</c:v>
                </c:pt>
                <c:pt idx="5923">
                  <c:v>3.1467215554785235</c:v>
                </c:pt>
                <c:pt idx="5924">
                  <c:v>3.1461181903461282</c:v>
                </c:pt>
                <c:pt idx="5925">
                  <c:v>3.1455149409054064</c:v>
                </c:pt>
                <c:pt idx="5926">
                  <c:v>3.1449118071341751</c:v>
                </c:pt>
                <c:pt idx="5927">
                  <c:v>3.144308789010255</c:v>
                </c:pt>
                <c:pt idx="5928">
                  <c:v>3.143705886511472</c:v>
                </c:pt>
                <c:pt idx="5929">
                  <c:v>3.1431030996156553</c:v>
                </c:pt>
                <c:pt idx="5930">
                  <c:v>3.1425004283006386</c:v>
                </c:pt>
                <c:pt idx="5931">
                  <c:v>3.1418978725442601</c:v>
                </c:pt>
                <c:pt idx="5932">
                  <c:v>3.141295432324362</c:v>
                </c:pt>
                <c:pt idx="5933">
                  <c:v>3.1406931076187914</c:v>
                </c:pt>
                <c:pt idx="5934">
                  <c:v>3.1400908984053983</c:v>
                </c:pt>
                <c:pt idx="5935">
                  <c:v>3.1394888046620384</c:v>
                </c:pt>
                <c:pt idx="5936">
                  <c:v>3.1388868263665706</c:v>
                </c:pt>
                <c:pt idx="5937">
                  <c:v>3.1382849634968588</c:v>
                </c:pt>
                <c:pt idx="5938">
                  <c:v>3.1376832160307706</c:v>
                </c:pt>
                <c:pt idx="5939">
                  <c:v>3.1370815839461779</c:v>
                </c:pt>
                <c:pt idx="5940">
                  <c:v>3.1364800672209574</c:v>
                </c:pt>
                <c:pt idx="5941">
                  <c:v>3.1358786658329891</c:v>
                </c:pt>
                <c:pt idx="5942">
                  <c:v>3.1352773797601583</c:v>
                </c:pt>
                <c:pt idx="5943">
                  <c:v>3.1346762089803537</c:v>
                </c:pt>
                <c:pt idx="5944">
                  <c:v>3.1340751534714686</c:v>
                </c:pt>
                <c:pt idx="5945">
                  <c:v>3.1334742132114006</c:v>
                </c:pt>
                <c:pt idx="5946">
                  <c:v>3.1328733881780515</c:v>
                </c:pt>
                <c:pt idx="5947">
                  <c:v>3.1322726783493269</c:v>
                </c:pt>
                <c:pt idx="5948">
                  <c:v>3.1316720837031373</c:v>
                </c:pt>
                <c:pt idx="5949">
                  <c:v>3.1310716042173969</c:v>
                </c:pt>
                <c:pt idx="5950">
                  <c:v>3.1304712398700243</c:v>
                </c:pt>
                <c:pt idx="5951">
                  <c:v>3.1298709906389428</c:v>
                </c:pt>
                <c:pt idx="5952">
                  <c:v>3.1292708565020795</c:v>
                </c:pt>
                <c:pt idx="5953">
                  <c:v>3.1286708374373653</c:v>
                </c:pt>
                <c:pt idx="5954">
                  <c:v>3.1280709334227361</c:v>
                </c:pt>
                <c:pt idx="5955">
                  <c:v>3.1274711444361318</c:v>
                </c:pt>
                <c:pt idx="5956">
                  <c:v>3.1268714704554963</c:v>
                </c:pt>
                <c:pt idx="5957">
                  <c:v>3.1262719114587783</c:v>
                </c:pt>
                <c:pt idx="5958">
                  <c:v>3.1256724674239296</c:v>
                </c:pt>
                <c:pt idx="5959">
                  <c:v>3.1250731383289074</c:v>
                </c:pt>
                <c:pt idx="5960">
                  <c:v>3.1244739241516726</c:v>
                </c:pt>
                <c:pt idx="5961">
                  <c:v>3.1238748248701906</c:v>
                </c:pt>
                <c:pt idx="5962">
                  <c:v>3.1232758404624308</c:v>
                </c:pt>
                <c:pt idx="5963">
                  <c:v>3.1226769709063666</c:v>
                </c:pt>
                <c:pt idx="5964">
                  <c:v>3.1220782161799758</c:v>
                </c:pt>
                <c:pt idx="5965">
                  <c:v>3.1214795762612408</c:v>
                </c:pt>
                <c:pt idx="5966">
                  <c:v>3.1208810511281477</c:v>
                </c:pt>
                <c:pt idx="5967">
                  <c:v>3.120282640758687</c:v>
                </c:pt>
                <c:pt idx="5968">
                  <c:v>3.1196843451308536</c:v>
                </c:pt>
                <c:pt idx="5969">
                  <c:v>3.1190861642226464</c:v>
                </c:pt>
                <c:pt idx="5970">
                  <c:v>3.1184880980120688</c:v>
                </c:pt>
                <c:pt idx="5971">
                  <c:v>3.1178901464771278</c:v>
                </c:pt>
                <c:pt idx="5972">
                  <c:v>3.1172923095958351</c:v>
                </c:pt>
                <c:pt idx="5973">
                  <c:v>3.1166945873462071</c:v>
                </c:pt>
                <c:pt idx="5974">
                  <c:v>3.1160969797062634</c:v>
                </c:pt>
                <c:pt idx="5975">
                  <c:v>3.1154994866540284</c:v>
                </c:pt>
                <c:pt idx="5976">
                  <c:v>3.1149021081675303</c:v>
                </c:pt>
                <c:pt idx="5977">
                  <c:v>3.1143048442248022</c:v>
                </c:pt>
                <c:pt idx="5978">
                  <c:v>3.1137076948038809</c:v>
                </c:pt>
                <c:pt idx="5979">
                  <c:v>3.1131106598828073</c:v>
                </c:pt>
                <c:pt idx="5980">
                  <c:v>3.1125137394396272</c:v>
                </c:pt>
                <c:pt idx="5981">
                  <c:v>3.1119169334523895</c:v>
                </c:pt>
                <c:pt idx="5982">
                  <c:v>3.1113202418991484</c:v>
                </c:pt>
                <c:pt idx="5983">
                  <c:v>3.1107236647579617</c:v>
                </c:pt>
                <c:pt idx="5984">
                  <c:v>3.110127202006892</c:v>
                </c:pt>
                <c:pt idx="5985">
                  <c:v>3.1095308536240052</c:v>
                </c:pt>
                <c:pt idx="5986">
                  <c:v>3.1089346195873717</c:v>
                </c:pt>
                <c:pt idx="5987">
                  <c:v>3.1083384998750669</c:v>
                </c:pt>
                <c:pt idx="5988">
                  <c:v>3.1077424944651693</c:v>
                </c:pt>
                <c:pt idx="5989">
                  <c:v>3.1071466033357624</c:v>
                </c:pt>
                <c:pt idx="5990">
                  <c:v>3.1065508264649333</c:v>
                </c:pt>
                <c:pt idx="5991">
                  <c:v>3.1059551638307741</c:v>
                </c:pt>
                <c:pt idx="5992">
                  <c:v>3.1053596154113801</c:v>
                </c:pt>
                <c:pt idx="5993">
                  <c:v>3.1047641811848514</c:v>
                </c:pt>
                <c:pt idx="5994">
                  <c:v>3.1041688611292924</c:v>
                </c:pt>
                <c:pt idx="5995">
                  <c:v>3.103573655222811</c:v>
                </c:pt>
                <c:pt idx="5996">
                  <c:v>3.1029785634435205</c:v>
                </c:pt>
                <c:pt idx="5997">
                  <c:v>3.1023835857695374</c:v>
                </c:pt>
                <c:pt idx="5998">
                  <c:v>3.1017887221789824</c:v>
                </c:pt>
                <c:pt idx="5999">
                  <c:v>3.1011939726499809</c:v>
                </c:pt>
                <c:pt idx="6000">
                  <c:v>3.1005993371606624</c:v>
                </c:pt>
                <c:pt idx="6001">
                  <c:v>3.1000048156891604</c:v>
                </c:pt>
                <c:pt idx="6002">
                  <c:v>3.0994104082136125</c:v>
                </c:pt>
                <c:pt idx="6003">
                  <c:v>3.0988161147121609</c:v>
                </c:pt>
                <c:pt idx="6004">
                  <c:v>3.0982219351629516</c:v>
                </c:pt>
                <c:pt idx="6005">
                  <c:v>3.097627869544135</c:v>
                </c:pt>
                <c:pt idx="6006">
                  <c:v>3.0970339178338655</c:v>
                </c:pt>
                <c:pt idx="6007">
                  <c:v>3.0964400800103018</c:v>
                </c:pt>
                <c:pt idx="6008">
                  <c:v>3.0958463560516067</c:v>
                </c:pt>
                <c:pt idx="6009">
                  <c:v>3.0952527459359476</c:v>
                </c:pt>
                <c:pt idx="6010">
                  <c:v>3.0946592496414955</c:v>
                </c:pt>
                <c:pt idx="6011">
                  <c:v>3.0940658671464263</c:v>
                </c:pt>
                <c:pt idx="6012">
                  <c:v>3.0934725984289191</c:v>
                </c:pt>
                <c:pt idx="6013">
                  <c:v>3.092879443467158</c:v>
                </c:pt>
                <c:pt idx="6014">
                  <c:v>3.0922864022393313</c:v>
                </c:pt>
                <c:pt idx="6015">
                  <c:v>3.0916934747236309</c:v>
                </c:pt>
                <c:pt idx="6016">
                  <c:v>3.091100660898253</c:v>
                </c:pt>
                <c:pt idx="6017">
                  <c:v>3.0905079607413986</c:v>
                </c:pt>
                <c:pt idx="6018">
                  <c:v>3.0899153742312717</c:v>
                </c:pt>
                <c:pt idx="6019">
                  <c:v>3.0893229013460819</c:v>
                </c:pt>
                <c:pt idx="6020">
                  <c:v>3.0887305420640421</c:v>
                </c:pt>
                <c:pt idx="6021">
                  <c:v>3.0881382963633697</c:v>
                </c:pt>
                <c:pt idx="6022">
                  <c:v>3.0875461642222857</c:v>
                </c:pt>
                <c:pt idx="6023">
                  <c:v>3.0869541456190164</c:v>
                </c:pt>
                <c:pt idx="6024">
                  <c:v>3.0863622405317912</c:v>
                </c:pt>
                <c:pt idx="6025">
                  <c:v>3.085770448938844</c:v>
                </c:pt>
                <c:pt idx="6026">
                  <c:v>3.0851787708184131</c:v>
                </c:pt>
                <c:pt idx="6027">
                  <c:v>3.0845872061487407</c:v>
                </c:pt>
                <c:pt idx="6028">
                  <c:v>3.0839957549080732</c:v>
                </c:pt>
                <c:pt idx="6029">
                  <c:v>3.0834044170746617</c:v>
                </c:pt>
                <c:pt idx="6030">
                  <c:v>3.0828131926267606</c:v>
                </c:pt>
                <c:pt idx="6031">
                  <c:v>3.0822220815426289</c:v>
                </c:pt>
                <c:pt idx="6032">
                  <c:v>3.0816310838005299</c:v>
                </c:pt>
                <c:pt idx="6033">
                  <c:v>3.0810401993787311</c:v>
                </c:pt>
                <c:pt idx="6034">
                  <c:v>3.0804494282555037</c:v>
                </c:pt>
                <c:pt idx="6035">
                  <c:v>3.0798587704091238</c:v>
                </c:pt>
                <c:pt idx="6036">
                  <c:v>3.079268225817871</c:v>
                </c:pt>
                <c:pt idx="6037">
                  <c:v>3.0786777944600292</c:v>
                </c:pt>
                <c:pt idx="6038">
                  <c:v>3.0780874763138866</c:v>
                </c:pt>
                <c:pt idx="6039">
                  <c:v>3.0774972713577355</c:v>
                </c:pt>
                <c:pt idx="6040">
                  <c:v>3.0769071795698726</c:v>
                </c:pt>
                <c:pt idx="6041">
                  <c:v>3.0763172009285986</c:v>
                </c:pt>
                <c:pt idx="6042">
                  <c:v>3.0757273354122181</c:v>
                </c:pt>
                <c:pt idx="6043">
                  <c:v>3.0751375829990399</c:v>
                </c:pt>
                <c:pt idx="6044">
                  <c:v>3.0745479436673775</c:v>
                </c:pt>
                <c:pt idx="6045">
                  <c:v>3.0739584173955481</c:v>
                </c:pt>
                <c:pt idx="6046">
                  <c:v>3.0733690041618731</c:v>
                </c:pt>
                <c:pt idx="6047">
                  <c:v>3.0727797039446783</c:v>
                </c:pt>
                <c:pt idx="6048">
                  <c:v>3.0721905167222929</c:v>
                </c:pt>
                <c:pt idx="6049">
                  <c:v>3.0716014424730513</c:v>
                </c:pt>
                <c:pt idx="6050">
                  <c:v>3.0710124811752917</c:v>
                </c:pt>
                <c:pt idx="6051">
                  <c:v>3.0704236328073558</c:v>
                </c:pt>
                <c:pt idx="6052">
                  <c:v>3.0698348973475902</c:v>
                </c:pt>
                <c:pt idx="6053">
                  <c:v>3.0692462747743456</c:v>
                </c:pt>
                <c:pt idx="6054">
                  <c:v>3.0686577650659768</c:v>
                </c:pt>
                <c:pt idx="6055">
                  <c:v>3.0680693682008422</c:v>
                </c:pt>
                <c:pt idx="6056">
                  <c:v>3.067481084157305</c:v>
                </c:pt>
                <c:pt idx="6057">
                  <c:v>3.0668929129137323</c:v>
                </c:pt>
                <c:pt idx="6058">
                  <c:v>3.0663048544484957</c:v>
                </c:pt>
                <c:pt idx="6059">
                  <c:v>3.06571690873997</c:v>
                </c:pt>
                <c:pt idx="6060">
                  <c:v>3.0651290757665355</c:v>
                </c:pt>
                <c:pt idx="6061">
                  <c:v>3.064541355506575</c:v>
                </c:pt>
                <c:pt idx="6062">
                  <c:v>3.0639537479384771</c:v>
                </c:pt>
                <c:pt idx="6063">
                  <c:v>3.0633662530406336</c:v>
                </c:pt>
                <c:pt idx="6064">
                  <c:v>3.0627788707914405</c:v>
                </c:pt>
                <c:pt idx="6065">
                  <c:v>3.0621916011692982</c:v>
                </c:pt>
                <c:pt idx="6066">
                  <c:v>3.0616044441526111</c:v>
                </c:pt>
                <c:pt idx="6067">
                  <c:v>3.061017399719788</c:v>
                </c:pt>
                <c:pt idx="6068">
                  <c:v>3.0604304678492413</c:v>
                </c:pt>
                <c:pt idx="6069">
                  <c:v>3.0598436485193883</c:v>
                </c:pt>
                <c:pt idx="6070">
                  <c:v>3.0592569417086497</c:v>
                </c:pt>
                <c:pt idx="6071">
                  <c:v>3.0586703473954504</c:v>
                </c:pt>
                <c:pt idx="6072">
                  <c:v>3.0580838655582201</c:v>
                </c:pt>
                <c:pt idx="6073">
                  <c:v>3.057497496175392</c:v>
                </c:pt>
                <c:pt idx="6074">
                  <c:v>3.0569112392254034</c:v>
                </c:pt>
                <c:pt idx="6075">
                  <c:v>3.0563250946866964</c:v>
                </c:pt>
                <c:pt idx="6076">
                  <c:v>3.0557390625377163</c:v>
                </c:pt>
                <c:pt idx="6077">
                  <c:v>3.0551531427569136</c:v>
                </c:pt>
                <c:pt idx="6078">
                  <c:v>3.054567335322742</c:v>
                </c:pt>
                <c:pt idx="6079">
                  <c:v>3.0539816402136597</c:v>
                </c:pt>
                <c:pt idx="6080">
                  <c:v>3.0533960574081291</c:v>
                </c:pt>
                <c:pt idx="6081">
                  <c:v>3.0528105868846169</c:v>
                </c:pt>
                <c:pt idx="6082">
                  <c:v>3.0522252286215936</c:v>
                </c:pt>
                <c:pt idx="6083">
                  <c:v>3.0516399825975338</c:v>
                </c:pt>
                <c:pt idx="6084">
                  <c:v>3.0510548487909164</c:v>
                </c:pt>
                <c:pt idx="6085">
                  <c:v>3.050469827180224</c:v>
                </c:pt>
                <c:pt idx="6086">
                  <c:v>3.049884917743944</c:v>
                </c:pt>
                <c:pt idx="6087">
                  <c:v>3.0493001204605679</c:v>
                </c:pt>
                <c:pt idx="6088">
                  <c:v>3.0487154353085906</c:v>
                </c:pt>
                <c:pt idx="6089">
                  <c:v>3.048130862266512</c:v>
                </c:pt>
                <c:pt idx="6090">
                  <c:v>3.0475464013128355</c:v>
                </c:pt>
                <c:pt idx="6091">
                  <c:v>3.0469620524260685</c:v>
                </c:pt>
                <c:pt idx="6092">
                  <c:v>3.0463778155847234</c:v>
                </c:pt>
                <c:pt idx="6093">
                  <c:v>3.045793690767316</c:v>
                </c:pt>
                <c:pt idx="6094">
                  <c:v>3.0452096779523661</c:v>
                </c:pt>
                <c:pt idx="6095">
                  <c:v>3.044625777118398</c:v>
                </c:pt>
                <c:pt idx="6096">
                  <c:v>3.04404198824394</c:v>
                </c:pt>
                <c:pt idx="6097">
                  <c:v>3.0434583113075249</c:v>
                </c:pt>
                <c:pt idx="6098">
                  <c:v>3.0428747462876888</c:v>
                </c:pt>
                <c:pt idx="6099">
                  <c:v>3.0422912931629726</c:v>
                </c:pt>
                <c:pt idx="6100">
                  <c:v>3.041707951911921</c:v>
                </c:pt>
                <c:pt idx="6101">
                  <c:v>3.0411247225130826</c:v>
                </c:pt>
                <c:pt idx="6102">
                  <c:v>3.0405416049450107</c:v>
                </c:pt>
                <c:pt idx="6103">
                  <c:v>3.0399585991862623</c:v>
                </c:pt>
                <c:pt idx="6104">
                  <c:v>3.0393757052153991</c:v>
                </c:pt>
                <c:pt idx="6105">
                  <c:v>3.0387929230109858</c:v>
                </c:pt>
                <c:pt idx="6106">
                  <c:v>3.0382102525515924</c:v>
                </c:pt>
                <c:pt idx="6107">
                  <c:v>3.037627693815792</c:v>
                </c:pt>
                <c:pt idx="6108">
                  <c:v>3.0370452467821623</c:v>
                </c:pt>
                <c:pt idx="6109">
                  <c:v>3.0364629114292851</c:v>
                </c:pt>
                <c:pt idx="6110">
                  <c:v>3.0358806877357467</c:v>
                </c:pt>
                <c:pt idx="6111">
                  <c:v>3.0352985756801365</c:v>
                </c:pt>
                <c:pt idx="6112">
                  <c:v>3.034716575241049</c:v>
                </c:pt>
                <c:pt idx="6113">
                  <c:v>3.0341346863970822</c:v>
                </c:pt>
                <c:pt idx="6114">
                  <c:v>3.0335529091268385</c:v>
                </c:pt>
                <c:pt idx="6115">
                  <c:v>3.0329712434089244</c:v>
                </c:pt>
                <c:pt idx="6116">
                  <c:v>3.0323896892219504</c:v>
                </c:pt>
                <c:pt idx="6117">
                  <c:v>3.0318082465445308</c:v>
                </c:pt>
                <c:pt idx="6118">
                  <c:v>3.0312269153552847</c:v>
                </c:pt>
                <c:pt idx="6119">
                  <c:v>3.0306456956328343</c:v>
                </c:pt>
                <c:pt idx="6120">
                  <c:v>3.030064587355807</c:v>
                </c:pt>
                <c:pt idx="6121">
                  <c:v>3.0294835905028337</c:v>
                </c:pt>
                <c:pt idx="6122">
                  <c:v>3.0289027050525497</c:v>
                </c:pt>
                <c:pt idx="6123">
                  <c:v>3.0283219309835938</c:v>
                </c:pt>
                <c:pt idx="6124">
                  <c:v>3.0277412682746094</c:v>
                </c:pt>
                <c:pt idx="6125">
                  <c:v>3.0271607169042443</c:v>
                </c:pt>
                <c:pt idx="6126">
                  <c:v>3.0265802768511496</c:v>
                </c:pt>
                <c:pt idx="6127">
                  <c:v>3.0259999480939808</c:v>
                </c:pt>
                <c:pt idx="6128">
                  <c:v>3.0254197306113975</c:v>
                </c:pt>
                <c:pt idx="6129">
                  <c:v>3.0248396243820639</c:v>
                </c:pt>
                <c:pt idx="6130">
                  <c:v>3.0242596293846478</c:v>
                </c:pt>
                <c:pt idx="6131">
                  <c:v>3.0236797455978208</c:v>
                </c:pt>
                <c:pt idx="6132">
                  <c:v>3.0230999730002592</c:v>
                </c:pt>
                <c:pt idx="6133">
                  <c:v>3.0225203115706427</c:v>
                </c:pt>
                <c:pt idx="6134">
                  <c:v>3.0219407612876559</c:v>
                </c:pt>
                <c:pt idx="6135">
                  <c:v>3.0213613221299869</c:v>
                </c:pt>
                <c:pt idx="6136">
                  <c:v>3.0207819940763283</c:v>
                </c:pt>
                <c:pt idx="6137">
                  <c:v>3.0202027771053763</c:v>
                </c:pt>
                <c:pt idx="6138">
                  <c:v>3.019623671195832</c:v>
                </c:pt>
                <c:pt idx="6139">
                  <c:v>3.0190446763263994</c:v>
                </c:pt>
                <c:pt idx="6140">
                  <c:v>3.0184657924757876</c:v>
                </c:pt>
                <c:pt idx="6141">
                  <c:v>3.0178870196227092</c:v>
                </c:pt>
                <c:pt idx="6142">
                  <c:v>3.0173083577458812</c:v>
                </c:pt>
                <c:pt idx="6143">
                  <c:v>3.0167298068240247</c:v>
                </c:pt>
                <c:pt idx="6144">
                  <c:v>3.0161513668358642</c:v>
                </c:pt>
                <c:pt idx="6145">
                  <c:v>3.0155730377601291</c:v>
                </c:pt>
                <c:pt idx="6146">
                  <c:v>3.0149948195755529</c:v>
                </c:pt>
                <c:pt idx="6147">
                  <c:v>3.0144167122608727</c:v>
                </c:pt>
                <c:pt idx="6148">
                  <c:v>3.0138387157948299</c:v>
                </c:pt>
                <c:pt idx="6149">
                  <c:v>3.0132608301561699</c:v>
                </c:pt>
                <c:pt idx="6150">
                  <c:v>3.0126830553236421</c:v>
                </c:pt>
                <c:pt idx="6151">
                  <c:v>3.0121053912760001</c:v>
                </c:pt>
                <c:pt idx="6152">
                  <c:v>3.0115278379920016</c:v>
                </c:pt>
                <c:pt idx="6153">
                  <c:v>3.0109503954504082</c:v>
                </c:pt>
                <c:pt idx="6154">
                  <c:v>3.0103730636299861</c:v>
                </c:pt>
                <c:pt idx="6155">
                  <c:v>3.0097958425095048</c:v>
                </c:pt>
                <c:pt idx="6156">
                  <c:v>3.0092187320677382</c:v>
                </c:pt>
                <c:pt idx="6157">
                  <c:v>3.0086417322834644</c:v>
                </c:pt>
                <c:pt idx="6158">
                  <c:v>3.008064843135466</c:v>
                </c:pt>
                <c:pt idx="6159">
                  <c:v>3.0074880646025286</c:v>
                </c:pt>
                <c:pt idx="6160">
                  <c:v>3.0069113966634422</c:v>
                </c:pt>
                <c:pt idx="6161">
                  <c:v>3.0063348392970015</c:v>
                </c:pt>
                <c:pt idx="6162">
                  <c:v>3.0057583924820048</c:v>
                </c:pt>
                <c:pt idx="6163">
                  <c:v>3.0051820561972544</c:v>
                </c:pt>
                <c:pt idx="6164">
                  <c:v>3.004605830421557</c:v>
                </c:pt>
                <c:pt idx="6165">
                  <c:v>3.004029715133723</c:v>
                </c:pt>
                <c:pt idx="6166">
                  <c:v>3.0034537103125669</c:v>
                </c:pt>
                <c:pt idx="6167">
                  <c:v>3.0028778159369076</c:v>
                </c:pt>
                <c:pt idx="6168">
                  <c:v>3.0023020319855678</c:v>
                </c:pt>
                <c:pt idx="6169">
                  <c:v>3.0017263584373741</c:v>
                </c:pt>
                <c:pt idx="6170">
                  <c:v>3.0011507952711578</c:v>
                </c:pt>
                <c:pt idx="6171">
                  <c:v>3.0005753424657535</c:v>
                </c:pt>
                <c:pt idx="6172">
                  <c:v>3</c:v>
                </c:pt>
              </c:numCache>
            </c:numRef>
          </c:yVal>
          <c:smooth val="0"/>
          <c:extLst>
            <c:ext xmlns:c16="http://schemas.microsoft.com/office/drawing/2014/chart" uri="{C3380CC4-5D6E-409C-BE32-E72D297353CC}">
              <c16:uniqueId val="{00000001-53A8-4BFB-9A07-876483973D3F}"/>
            </c:ext>
          </c:extLst>
        </c:ser>
        <c:dLbls>
          <c:showLegendKey val="0"/>
          <c:showVal val="0"/>
          <c:showCatName val="0"/>
          <c:showSerName val="0"/>
          <c:showPercent val="0"/>
          <c:showBubbleSize val="0"/>
        </c:dLbls>
        <c:axId val="693141376"/>
        <c:axId val="693141768"/>
      </c:scatterChart>
      <c:valAx>
        <c:axId val="693141376"/>
        <c:scaling>
          <c:orientation val="minMax"/>
          <c:max val="42000"/>
          <c:min val="32000"/>
        </c:scaling>
        <c:delete val="0"/>
        <c:axPos val="b"/>
        <c:numFmt formatCode="m/d/yyyy" sourceLinked="1"/>
        <c:majorTickMark val="out"/>
        <c:minorTickMark val="none"/>
        <c:tickLblPos val="nextTo"/>
        <c:crossAx val="693141768"/>
        <c:crosses val="autoZero"/>
        <c:crossBetween val="midCat"/>
      </c:valAx>
      <c:valAx>
        <c:axId val="693141768"/>
        <c:scaling>
          <c:orientation val="minMax"/>
        </c:scaling>
        <c:delete val="0"/>
        <c:axPos val="l"/>
        <c:majorGridlines/>
        <c:numFmt formatCode="General" sourceLinked="1"/>
        <c:majorTickMark val="out"/>
        <c:minorTickMark val="none"/>
        <c:tickLblPos val="nextTo"/>
        <c:crossAx val="693141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 Nominal</a:t>
            </a:r>
            <a:r>
              <a:rPr lang="en-ZA" baseline="0"/>
              <a:t> Exchange Rate</a:t>
            </a:r>
            <a:endParaRPr lang="en-ZA"/>
          </a:p>
        </c:rich>
      </c:tx>
      <c:overlay val="1"/>
    </c:title>
    <c:autoTitleDeleted val="0"/>
    <c:plotArea>
      <c:layout/>
      <c:scatterChart>
        <c:scatterStyle val="lineMarker"/>
        <c:varyColors val="0"/>
        <c:ser>
          <c:idx val="0"/>
          <c:order val="0"/>
          <c:tx>
            <c:strRef>
              <c:f>ExchangeRateDetail!$L$8</c:f>
              <c:strCache>
                <c:ptCount val="1"/>
                <c:pt idx="0">
                  <c:v>Actual Annual</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ExchangeRateDetail!$L$9:$L$33</c:f>
              <c:numCache>
                <c:formatCode>0.00</c:formatCode>
                <c:ptCount val="25"/>
                <c:pt idx="0">
                  <c:v>2.5889442231075721</c:v>
                </c:pt>
                <c:pt idx="1">
                  <c:v>2.7628585657370519</c:v>
                </c:pt>
                <c:pt idx="2">
                  <c:v>2.8506062992125973</c:v>
                </c:pt>
                <c:pt idx="3">
                  <c:v>3.2709692913385835</c:v>
                </c:pt>
                <c:pt idx="4">
                  <c:v>3.5487626506024079</c:v>
                </c:pt>
                <c:pt idx="5">
                  <c:v>3.6274677419354808</c:v>
                </c:pt>
                <c:pt idx="6">
                  <c:v>4.2953916334661351</c:v>
                </c:pt>
                <c:pt idx="7">
                  <c:v>4.6092395999999995</c:v>
                </c:pt>
                <c:pt idx="8">
                  <c:v>5.5432832669322698</c:v>
                </c:pt>
                <c:pt idx="9">
                  <c:v>6.1146855421686723</c:v>
                </c:pt>
                <c:pt idx="10">
                  <c:v>6.939072580645159</c:v>
                </c:pt>
                <c:pt idx="11">
                  <c:v>8.5832743999999987</c:v>
                </c:pt>
                <c:pt idx="12">
                  <c:v>10.521936</c:v>
                </c:pt>
                <c:pt idx="13">
                  <c:v>7.5688784</c:v>
                </c:pt>
                <c:pt idx="14">
                  <c:v>6.4494872509960182</c:v>
                </c:pt>
                <c:pt idx="15">
                  <c:v>6.3696482071713172</c:v>
                </c:pt>
                <c:pt idx="16">
                  <c:v>6.783416935483868</c:v>
                </c:pt>
                <c:pt idx="17">
                  <c:v>7.0540310756972087</c:v>
                </c:pt>
                <c:pt idx="18">
                  <c:v>8.2567474103585603</c:v>
                </c:pt>
                <c:pt idx="19">
                  <c:v>8.4290340000000015</c:v>
                </c:pt>
                <c:pt idx="20">
                  <c:v>7.3214764940239094</c:v>
                </c:pt>
                <c:pt idx="21">
                  <c:v>7.2601907630522087</c:v>
                </c:pt>
                <c:pt idx="22">
                  <c:v>8.2166439999999987</c:v>
                </c:pt>
                <c:pt idx="23">
                  <c:v>9.6492559999999976</c:v>
                </c:pt>
                <c:pt idx="24">
                  <c:v>10.69748484848485</c:v>
                </c:pt>
              </c:numCache>
            </c:numRef>
          </c:yVal>
          <c:smooth val="0"/>
          <c:extLst>
            <c:ext xmlns:c16="http://schemas.microsoft.com/office/drawing/2014/chart" uri="{C3380CC4-5D6E-409C-BE32-E72D297353CC}">
              <c16:uniqueId val="{00000000-A25A-46D8-AED9-A656E10B7E54}"/>
            </c:ext>
          </c:extLst>
        </c:ser>
        <c:ser>
          <c:idx val="1"/>
          <c:order val="1"/>
          <c:tx>
            <c:strRef>
              <c:f>ExchangeRateDetail!$M$8</c:f>
              <c:strCache>
                <c:ptCount val="1"/>
                <c:pt idx="0">
                  <c:v>model1 (simple exp.func.)</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ExchangeRateDetail!$M$9:$M$33</c:f>
              <c:numCache>
                <c:formatCode>0.00</c:formatCode>
                <c:ptCount val="25"/>
                <c:pt idx="0">
                  <c:v>3.0730763239088108</c:v>
                </c:pt>
                <c:pt idx="1">
                  <c:v>3.2246083170471329</c:v>
                </c:pt>
                <c:pt idx="2">
                  <c:v>3.3845935545884442</c:v>
                </c:pt>
                <c:pt idx="3">
                  <c:v>3.5535300332054041</c:v>
                </c:pt>
                <c:pt idx="4">
                  <c:v>3.7290961448304842</c:v>
                </c:pt>
                <c:pt idx="5">
                  <c:v>3.9110977431821694</c:v>
                </c:pt>
                <c:pt idx="6">
                  <c:v>4.1027812947903053</c:v>
                </c:pt>
                <c:pt idx="7">
                  <c:v>4.3046715092790704</c:v>
                </c:pt>
                <c:pt idx="8">
                  <c:v>4.5165032983922382</c:v>
                </c:pt>
                <c:pt idx="9">
                  <c:v>4.7382940428100113</c:v>
                </c:pt>
                <c:pt idx="10">
                  <c:v>4.9695503729658217</c:v>
                </c:pt>
                <c:pt idx="11">
                  <c:v>5.2126050477208272</c:v>
                </c:pt>
                <c:pt idx="12">
                  <c:v>5.4685874570548973</c:v>
                </c:pt>
                <c:pt idx="13">
                  <c:v>5.7371407389735083</c:v>
                </c:pt>
                <c:pt idx="14">
                  <c:v>6.0194639742101872</c:v>
                </c:pt>
                <c:pt idx="15">
                  <c:v>6.3162809997229905</c:v>
                </c:pt>
                <c:pt idx="16">
                  <c:v>6.625812588974056</c:v>
                </c:pt>
                <c:pt idx="17">
                  <c:v>6.9505447671862921</c:v>
                </c:pt>
                <c:pt idx="18">
                  <c:v>7.2932729623094215</c:v>
                </c:pt>
                <c:pt idx="19">
                  <c:v>7.6521613204472363</c:v>
                </c:pt>
                <c:pt idx="20">
                  <c:v>8.0287222309833446</c:v>
                </c:pt>
                <c:pt idx="21">
                  <c:v>8.4229865905305026</c:v>
                </c:pt>
                <c:pt idx="22">
                  <c:v>8.8357850551765083</c:v>
                </c:pt>
                <c:pt idx="23">
                  <c:v>9.2696958399137763</c:v>
                </c:pt>
                <c:pt idx="24">
                  <c:v>9.6454589167521352</c:v>
                </c:pt>
              </c:numCache>
            </c:numRef>
          </c:yVal>
          <c:smooth val="0"/>
          <c:extLst>
            <c:ext xmlns:c16="http://schemas.microsoft.com/office/drawing/2014/chart" uri="{C3380CC4-5D6E-409C-BE32-E72D297353CC}">
              <c16:uniqueId val="{00000001-A25A-46D8-AED9-A656E10B7E54}"/>
            </c:ext>
          </c:extLst>
        </c:ser>
        <c:ser>
          <c:idx val="2"/>
          <c:order val="2"/>
          <c:tx>
            <c:strRef>
              <c:f>ExchangeRateDetail!$N$8</c:f>
              <c:strCache>
                <c:ptCount val="1"/>
                <c:pt idx="0">
                  <c:v>model2 (infl.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ExchangeRateDetail!$N$9:$N$33</c:f>
              <c:numCache>
                <c:formatCode>0.00</c:formatCode>
                <c:ptCount val="25"/>
                <c:pt idx="0">
                  <c:v>2.2000000000000002</c:v>
                </c:pt>
                <c:pt idx="1">
                  <c:v>2.4730569222625949</c:v>
                </c:pt>
                <c:pt idx="2">
                  <c:v>2.7770061801711114</c:v>
                </c:pt>
                <c:pt idx="3">
                  <c:v>3.0742790321337252</c:v>
                </c:pt>
                <c:pt idx="4">
                  <c:v>3.3039267382537445</c:v>
                </c:pt>
                <c:pt idx="5">
                  <c:v>3.5736044051235236</c:v>
                </c:pt>
                <c:pt idx="6">
                  <c:v>3.7975697387346945</c:v>
                </c:pt>
                <c:pt idx="7">
                  <c:v>4.0400705402214427</c:v>
                </c:pt>
                <c:pt idx="8">
                  <c:v>4.3077550744459669</c:v>
                </c:pt>
                <c:pt idx="9">
                  <c:v>4.5507844790950847</c:v>
                </c:pt>
                <c:pt idx="10">
                  <c:v>4.8479573862034879</c:v>
                </c:pt>
                <c:pt idx="11">
                  <c:v>5.109237108465023</c:v>
                </c:pt>
                <c:pt idx="12">
                  <c:v>5.5800643257444351</c:v>
                </c:pt>
                <c:pt idx="13">
                  <c:v>5.7785500095577502</c:v>
                </c:pt>
                <c:pt idx="14">
                  <c:v>5.9879903821747087</c:v>
                </c:pt>
                <c:pt idx="15">
                  <c:v>6.1213783144013174</c:v>
                </c:pt>
                <c:pt idx="16">
                  <c:v>6.3328282250158283</c:v>
                </c:pt>
                <c:pt idx="17">
                  <c:v>6.675600170685267</c:v>
                </c:pt>
                <c:pt idx="18">
                  <c:v>7.0812847085816584</c:v>
                </c:pt>
                <c:pt idx="19">
                  <c:v>7.6183123156954515</c:v>
                </c:pt>
                <c:pt idx="20">
                  <c:v>8.1079649200717725</c:v>
                </c:pt>
                <c:pt idx="21">
                  <c:v>8.4169355254578893</c:v>
                </c:pt>
                <c:pt idx="22">
                  <c:v>8.6405359737374585</c:v>
                </c:pt>
                <c:pt idx="23">
                  <c:v>9.0172747888423537</c:v>
                </c:pt>
                <c:pt idx="24">
                  <c:v>9.4104399153749227</c:v>
                </c:pt>
              </c:numCache>
            </c:numRef>
          </c:yVal>
          <c:smooth val="0"/>
          <c:extLst>
            <c:ext xmlns:c16="http://schemas.microsoft.com/office/drawing/2014/chart" uri="{C3380CC4-5D6E-409C-BE32-E72D297353CC}">
              <c16:uniqueId val="{00000002-A25A-46D8-AED9-A656E10B7E54}"/>
            </c:ext>
          </c:extLst>
        </c:ser>
        <c:ser>
          <c:idx val="3"/>
          <c:order val="3"/>
          <c:tx>
            <c:strRef>
              <c:f>ExchangeRateDetail!$O$8</c:f>
              <c:strCache>
                <c:ptCount val="1"/>
                <c:pt idx="0">
                  <c:v>model3 (lending diff.)</c:v>
                </c:pt>
              </c:strCache>
            </c:strRef>
          </c:tx>
          <c:marker>
            <c:symbol val="none"/>
          </c:marker>
          <c:xVal>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xVal>
          <c:yVal>
            <c:numRef>
              <c:f>ExchangeRateDetail!$O$9:$O$33</c:f>
              <c:numCache>
                <c:formatCode>0.00</c:formatCode>
                <c:ptCount val="25"/>
                <c:pt idx="0">
                  <c:v>2</c:v>
                </c:pt>
                <c:pt idx="1">
                  <c:v>2.2369833333333333</c:v>
                </c:pt>
                <c:pt idx="2">
                  <c:v>2.5200549326388879</c:v>
                </c:pt>
                <c:pt idx="3">
                  <c:v>2.7760505128794537</c:v>
                </c:pt>
                <c:pt idx="4">
                  <c:v>3.0104879786921228</c:v>
                </c:pt>
                <c:pt idx="5">
                  <c:v>3.2834388887602075</c:v>
                </c:pt>
                <c:pt idx="6">
                  <c:v>3.4892189367864392</c:v>
                </c:pt>
                <c:pt idx="7">
                  <c:v>3.7120294305880286</c:v>
                </c:pt>
                <c:pt idx="8">
                  <c:v>3.957978816684693</c:v>
                </c:pt>
                <c:pt idx="9">
                  <c:v>4.1812749927228383</c:v>
                </c:pt>
                <c:pt idx="10">
                  <c:v>4.4279035984658064</c:v>
                </c:pt>
                <c:pt idx="11">
                  <c:v>4.6988613495702971</c:v>
                </c:pt>
                <c:pt idx="12">
                  <c:v>5.1755658998771947</c:v>
                </c:pt>
                <c:pt idx="13">
                  <c:v>5.5480224834318408</c:v>
                </c:pt>
                <c:pt idx="14">
                  <c:v>5.841405012748969</c:v>
                </c:pt>
                <c:pt idx="15">
                  <c:v>6.1005200034394917</c:v>
                </c:pt>
                <c:pt idx="16">
                  <c:v>6.2962958578832069</c:v>
                </c:pt>
                <c:pt idx="17">
                  <c:v>6.6184563292782332</c:v>
                </c:pt>
                <c:pt idx="18">
                  <c:v>7.2827838833295369</c:v>
                </c:pt>
                <c:pt idx="19">
                  <c:v>7.8987860201278242</c:v>
                </c:pt>
                <c:pt idx="20">
                  <c:v>8.4187894331195707</c:v>
                </c:pt>
                <c:pt idx="21">
                  <c:v>8.9028698255239469</c:v>
                </c:pt>
                <c:pt idx="22">
                  <c:v>9.3925276659277639</c:v>
                </c:pt>
                <c:pt idx="23">
                  <c:v>9.8856353683889715</c:v>
                </c:pt>
                <c:pt idx="24">
                  <c:v>10.404631225229393</c:v>
                </c:pt>
              </c:numCache>
            </c:numRef>
          </c:yVal>
          <c:smooth val="0"/>
          <c:extLst>
            <c:ext xmlns:c16="http://schemas.microsoft.com/office/drawing/2014/chart" uri="{C3380CC4-5D6E-409C-BE32-E72D297353CC}">
              <c16:uniqueId val="{00000003-A25A-46D8-AED9-A656E10B7E54}"/>
            </c:ext>
          </c:extLst>
        </c:ser>
        <c:dLbls>
          <c:showLegendKey val="0"/>
          <c:showVal val="0"/>
          <c:showCatName val="0"/>
          <c:showSerName val="0"/>
          <c:showPercent val="0"/>
          <c:showBubbleSize val="0"/>
        </c:dLbls>
        <c:axId val="693142552"/>
        <c:axId val="693142944"/>
      </c:scatterChart>
      <c:valAx>
        <c:axId val="693142552"/>
        <c:scaling>
          <c:orientation val="minMax"/>
        </c:scaling>
        <c:delete val="0"/>
        <c:axPos val="b"/>
        <c:numFmt formatCode="General" sourceLinked="1"/>
        <c:majorTickMark val="out"/>
        <c:minorTickMark val="none"/>
        <c:tickLblPos val="nextTo"/>
        <c:crossAx val="693142944"/>
        <c:crosses val="autoZero"/>
        <c:crossBetween val="midCat"/>
      </c:valAx>
      <c:valAx>
        <c:axId val="693142944"/>
        <c:scaling>
          <c:orientation val="minMax"/>
        </c:scaling>
        <c:delete val="0"/>
        <c:axPos val="l"/>
        <c:majorGridlines/>
        <c:numFmt formatCode="0.00" sourceLinked="1"/>
        <c:majorTickMark val="out"/>
        <c:minorTickMark val="none"/>
        <c:tickLblPos val="nextTo"/>
        <c:crossAx val="69314255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Differentials</a:t>
            </a:r>
            <a:r>
              <a:rPr lang="en-ZA" baseline="0"/>
              <a:t> (inflation, lending rate)</a:t>
            </a:r>
            <a:endParaRPr lang="en-ZA"/>
          </a:p>
        </c:rich>
      </c:tx>
      <c:overlay val="1"/>
    </c:title>
    <c:autoTitleDeleted val="0"/>
    <c:plotArea>
      <c:layout/>
      <c:lineChart>
        <c:grouping val="standard"/>
        <c:varyColors val="0"/>
        <c:ser>
          <c:idx val="0"/>
          <c:order val="0"/>
          <c:tx>
            <c:strRef>
              <c:f>ExchangeRateDetail!$P$8</c:f>
              <c:strCache>
                <c:ptCount val="1"/>
                <c:pt idx="0">
                  <c:v>differential in inflation</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ExchangeRateDetail!$P$9:$P$33</c:f>
              <c:numCache>
                <c:formatCode>0.00</c:formatCode>
                <c:ptCount val="25"/>
                <c:pt idx="0">
                  <c:v>11.808436192069152</c:v>
                </c:pt>
                <c:pt idx="1">
                  <c:v>12.411678284663381</c:v>
                </c:pt>
                <c:pt idx="2">
                  <c:v>12.290427089338252</c:v>
                </c:pt>
                <c:pt idx="3">
                  <c:v>10.704796196899238</c:v>
                </c:pt>
                <c:pt idx="4">
                  <c:v>7.4699695024309705</c:v>
                </c:pt>
                <c:pt idx="5">
                  <c:v>8.1623379764260164</c:v>
                </c:pt>
                <c:pt idx="6">
                  <c:v>6.2672111465406886</c:v>
                </c:pt>
                <c:pt idx="7">
                  <c:v>6.3856839550113591</c:v>
                </c:pt>
                <c:pt idx="8">
                  <c:v>6.6257391191454786</c:v>
                </c:pt>
                <c:pt idx="9">
                  <c:v>5.6416718325234427</c:v>
                </c:pt>
                <c:pt idx="10">
                  <c:v>6.530146801579491</c:v>
                </c:pt>
                <c:pt idx="11">
                  <c:v>5.3894805883627441</c:v>
                </c:pt>
                <c:pt idx="12">
                  <c:v>9.2152156434341634</c:v>
                </c:pt>
                <c:pt idx="13">
                  <c:v>3.5570501024078425</c:v>
                </c:pt>
                <c:pt idx="14">
                  <c:v>3.6244450990394199</c:v>
                </c:pt>
                <c:pt idx="15">
                  <c:v>2.2275909564531418</c:v>
                </c:pt>
                <c:pt idx="16">
                  <c:v>3.4542859427107686</c:v>
                </c:pt>
                <c:pt idx="17">
                  <c:v>5.4126202936537453</c:v>
                </c:pt>
                <c:pt idx="18">
                  <c:v>6.0771245659361597</c:v>
                </c:pt>
                <c:pt idx="19">
                  <c:v>7.5837595749113405</c:v>
                </c:pt>
                <c:pt idx="20">
                  <c:v>6.427310722973715</c:v>
                </c:pt>
                <c:pt idx="21">
                  <c:v>3.8107047629330566</c:v>
                </c:pt>
                <c:pt idx="22">
                  <c:v>2.6565541295078958</c:v>
                </c:pt>
                <c:pt idx="23">
                  <c:v>4.360132476156295</c:v>
                </c:pt>
                <c:pt idx="24">
                  <c:v>4.360132476156295</c:v>
                </c:pt>
              </c:numCache>
            </c:numRef>
          </c:val>
          <c:smooth val="0"/>
          <c:extLst>
            <c:ext xmlns:c16="http://schemas.microsoft.com/office/drawing/2014/chart" uri="{C3380CC4-5D6E-409C-BE32-E72D297353CC}">
              <c16:uniqueId val="{00000000-D552-431D-BCB7-DFFCCC98912F}"/>
            </c:ext>
          </c:extLst>
        </c:ser>
        <c:ser>
          <c:idx val="1"/>
          <c:order val="1"/>
          <c:tx>
            <c:strRef>
              <c:f>ExchangeRateDetail!$Q$8</c:f>
              <c:strCache>
                <c:ptCount val="1"/>
                <c:pt idx="0">
                  <c:v>differential lending rate (adj)</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ExchangeRateDetail!$Q$9:$Q$33</c:f>
              <c:numCache>
                <c:formatCode>0.00</c:formatCode>
                <c:ptCount val="25"/>
                <c:pt idx="0">
                  <c:v>10.990833333333301</c:v>
                </c:pt>
                <c:pt idx="1">
                  <c:v>11.849166666666671</c:v>
                </c:pt>
                <c:pt idx="2">
                  <c:v>12.654166666666633</c:v>
                </c:pt>
                <c:pt idx="3">
                  <c:v>10.158333333333299</c:v>
                </c:pt>
                <c:pt idx="4">
                  <c:v>8.4449999999999701</c:v>
                </c:pt>
                <c:pt idx="5">
                  <c:v>9.0666666666666309</c:v>
                </c:pt>
                <c:pt idx="6">
                  <c:v>6.2672111465406886</c:v>
                </c:pt>
                <c:pt idx="7">
                  <c:v>6.3856839550113591</c:v>
                </c:pt>
                <c:pt idx="8">
                  <c:v>6.6257391191454786</c:v>
                </c:pt>
                <c:pt idx="9">
                  <c:v>5.6416718325234427</c:v>
                </c:pt>
                <c:pt idx="10">
                  <c:v>5.8984067341230801</c:v>
                </c:pt>
                <c:pt idx="11">
                  <c:v>6.1193236275146869</c:v>
                </c:pt>
                <c:pt idx="12">
                  <c:v>10.145107821717081</c:v>
                </c:pt>
                <c:pt idx="13">
                  <c:v>7.196441717870572</c:v>
                </c:pt>
                <c:pt idx="14">
                  <c:v>5.2880558828530599</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1-D552-431D-BCB7-DFFCCC98912F}"/>
            </c:ext>
          </c:extLst>
        </c:ser>
        <c:ser>
          <c:idx val="2"/>
          <c:order val="2"/>
          <c:tx>
            <c:strRef>
              <c:f>ExchangeRateDetail!$R$8</c:f>
              <c:strCache>
                <c:ptCount val="1"/>
                <c:pt idx="0">
                  <c:v>differential lending rate (original)</c:v>
                </c:pt>
              </c:strCache>
            </c:strRef>
          </c:tx>
          <c:marker>
            <c:symbol val="none"/>
          </c:marker>
          <c:cat>
            <c:numRef>
              <c:f>ExchangeRateDetail!$K$9:$K$33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ExchangeRateDetail!$R$9:$R$33</c:f>
              <c:numCache>
                <c:formatCode>0.00</c:formatCode>
                <c:ptCount val="25"/>
                <c:pt idx="0">
                  <c:v>10.990833333333301</c:v>
                </c:pt>
                <c:pt idx="1">
                  <c:v>11.849166666666671</c:v>
                </c:pt>
                <c:pt idx="2">
                  <c:v>12.654166666666633</c:v>
                </c:pt>
                <c:pt idx="3">
                  <c:v>10.158333333333299</c:v>
                </c:pt>
                <c:pt idx="4">
                  <c:v>8.4449999999999701</c:v>
                </c:pt>
                <c:pt idx="5">
                  <c:v>9.0666666666666309</c:v>
                </c:pt>
                <c:pt idx="6">
                  <c:v>11.24999999999997</c:v>
                </c:pt>
                <c:pt idx="7">
                  <c:v>11.55833333333333</c:v>
                </c:pt>
                <c:pt idx="8">
                  <c:v>13.43750000000003</c:v>
                </c:pt>
                <c:pt idx="9">
                  <c:v>10.00583333333333</c:v>
                </c:pt>
                <c:pt idx="10">
                  <c:v>5.2666666666666693</c:v>
                </c:pt>
                <c:pt idx="11">
                  <c:v>6.8491666666666298</c:v>
                </c:pt>
                <c:pt idx="12">
                  <c:v>11.074999999999999</c:v>
                </c:pt>
                <c:pt idx="13">
                  <c:v>10.835833333333301</c:v>
                </c:pt>
                <c:pt idx="14">
                  <c:v>6.9516666666667</c:v>
                </c:pt>
                <c:pt idx="15">
                  <c:v>4.4358333333333304</c:v>
                </c:pt>
                <c:pt idx="16">
                  <c:v>3.2091666666667003</c:v>
                </c:pt>
                <c:pt idx="17">
                  <c:v>5.1166666666666991</c:v>
                </c:pt>
                <c:pt idx="18">
                  <c:v>10.0375</c:v>
                </c:pt>
                <c:pt idx="19">
                  <c:v>8.4583333333333002</c:v>
                </c:pt>
                <c:pt idx="20">
                  <c:v>6.5833333333333197</c:v>
                </c:pt>
                <c:pt idx="21">
                  <c:v>5.75</c:v>
                </c:pt>
                <c:pt idx="22">
                  <c:v>5.5</c:v>
                </c:pt>
                <c:pt idx="23">
                  <c:v>5.25</c:v>
                </c:pt>
                <c:pt idx="24">
                  <c:v>5.25</c:v>
                </c:pt>
              </c:numCache>
            </c:numRef>
          </c:val>
          <c:smooth val="0"/>
          <c:extLst>
            <c:ext xmlns:c16="http://schemas.microsoft.com/office/drawing/2014/chart" uri="{C3380CC4-5D6E-409C-BE32-E72D297353CC}">
              <c16:uniqueId val="{00000002-D552-431D-BCB7-DFFCCC98912F}"/>
            </c:ext>
          </c:extLst>
        </c:ser>
        <c:dLbls>
          <c:showLegendKey val="0"/>
          <c:showVal val="0"/>
          <c:showCatName val="0"/>
          <c:showSerName val="0"/>
          <c:showPercent val="0"/>
          <c:showBubbleSize val="0"/>
        </c:dLbls>
        <c:smooth val="0"/>
        <c:axId val="693143728"/>
        <c:axId val="693144120"/>
      </c:lineChart>
      <c:catAx>
        <c:axId val="693143728"/>
        <c:scaling>
          <c:orientation val="minMax"/>
        </c:scaling>
        <c:delete val="0"/>
        <c:axPos val="b"/>
        <c:numFmt formatCode="General" sourceLinked="1"/>
        <c:majorTickMark val="out"/>
        <c:minorTickMark val="none"/>
        <c:tickLblPos val="nextTo"/>
        <c:crossAx val="693144120"/>
        <c:crosses val="autoZero"/>
        <c:auto val="1"/>
        <c:lblAlgn val="ctr"/>
        <c:lblOffset val="100"/>
        <c:noMultiLvlLbl val="0"/>
      </c:catAx>
      <c:valAx>
        <c:axId val="693144120"/>
        <c:scaling>
          <c:orientation val="minMax"/>
        </c:scaling>
        <c:delete val="0"/>
        <c:axPos val="l"/>
        <c:majorGridlines/>
        <c:numFmt formatCode="0.00" sourceLinked="1"/>
        <c:majorTickMark val="out"/>
        <c:minorTickMark val="none"/>
        <c:tickLblPos val="nextTo"/>
        <c:crossAx val="6931437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Real Exchange Rates</a:t>
            </a:r>
          </a:p>
        </c:rich>
      </c:tx>
      <c:overlay val="1"/>
    </c:title>
    <c:autoTitleDeleted val="0"/>
    <c:plotArea>
      <c:layout/>
      <c:lineChart>
        <c:grouping val="standard"/>
        <c:varyColors val="0"/>
        <c:ser>
          <c:idx val="0"/>
          <c:order val="0"/>
          <c:tx>
            <c:strRef>
              <c:f>ExchangeRateDetail!$T$8</c:f>
              <c:strCache>
                <c:ptCount val="1"/>
                <c:pt idx="0">
                  <c:v>Actual (adj.by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ExchangeRateDetail!$T$9:$T$33</c:f>
              <c:numCache>
                <c:formatCode>0.00</c:formatCode>
                <c:ptCount val="25"/>
                <c:pt idx="0">
                  <c:v>11.08786193480141</c:v>
                </c:pt>
                <c:pt idx="1">
                  <c:v>10.732058728066116</c:v>
                </c:pt>
                <c:pt idx="2">
                  <c:v>10.492748040322541</c:v>
                </c:pt>
                <c:pt idx="3">
                  <c:v>10.248548428183103</c:v>
                </c:pt>
                <c:pt idx="4">
                  <c:v>10.03539260922752</c:v>
                </c:pt>
                <c:pt idx="5">
                  <c:v>9.8301404584518632</c:v>
                </c:pt>
                <c:pt idx="6">
                  <c:v>9.654197501322983</c:v>
                </c:pt>
                <c:pt idx="7">
                  <c:v>9.4908792590931181</c:v>
                </c:pt>
                <c:pt idx="8">
                  <c:v>9.3890388241471907</c:v>
                </c:pt>
                <c:pt idx="9">
                  <c:v>9.256526317168106</c:v>
                </c:pt>
                <c:pt idx="10">
                  <c:v>9.0502354327031629</c:v>
                </c:pt>
                <c:pt idx="11">
                  <c:v>8.84871087796623</c:v>
                </c:pt>
                <c:pt idx="12">
                  <c:v>8.7150021117599099</c:v>
                </c:pt>
                <c:pt idx="13">
                  <c:v>8.5446910657066031</c:v>
                </c:pt>
                <c:pt idx="14">
                  <c:v>8.3162074955010361</c:v>
                </c:pt>
                <c:pt idx="15">
                  <c:v>8.0570068987776473</c:v>
                </c:pt>
                <c:pt idx="16">
                  <c:v>7.8167719232171056</c:v>
                </c:pt>
                <c:pt idx="17">
                  <c:v>7.6137639160063868</c:v>
                </c:pt>
                <c:pt idx="18">
                  <c:v>7.4696504624570439</c:v>
                </c:pt>
                <c:pt idx="19">
                  <c:v>7.4112377958406199</c:v>
                </c:pt>
                <c:pt idx="20">
                  <c:v>7.3214764940239094</c:v>
                </c:pt>
                <c:pt idx="21">
                  <c:v>7.173438315675944</c:v>
                </c:pt>
                <c:pt idx="22">
                  <c:v>7.0466444138671172</c:v>
                </c:pt>
                <c:pt idx="23">
                  <c:v>6.9433269899854766</c:v>
                </c:pt>
                <c:pt idx="24">
                  <c:v>6.8415243991861656</c:v>
                </c:pt>
              </c:numCache>
            </c:numRef>
          </c:val>
          <c:smooth val="0"/>
          <c:extLst>
            <c:ext xmlns:c16="http://schemas.microsoft.com/office/drawing/2014/chart" uri="{C3380CC4-5D6E-409C-BE32-E72D297353CC}">
              <c16:uniqueId val="{00000000-1C4A-4D14-8AD5-3F0D2FDB6439}"/>
            </c:ext>
          </c:extLst>
        </c:ser>
        <c:ser>
          <c:idx val="1"/>
          <c:order val="1"/>
          <c:tx>
            <c:strRef>
              <c:f>ExchangeRateDetail!$U$8</c:f>
              <c:strCache>
                <c:ptCount val="1"/>
                <c:pt idx="0">
                  <c:v>Model 2:infl.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ExchangeRateDetail!$U$9:$U$33</c:f>
              <c:numCache>
                <c:formatCode>0.00</c:formatCode>
                <c:ptCount val="25"/>
                <c:pt idx="0">
                  <c:v>12.278943417949787</c:v>
                </c:pt>
                <c:pt idx="1">
                  <c:v>11.884919081326766</c:v>
                </c:pt>
                <c:pt idx="2">
                  <c:v>11.619901135451105</c:v>
                </c:pt>
                <c:pt idx="3">
                  <c:v>11.349469086623547</c:v>
                </c:pt>
                <c:pt idx="4">
                  <c:v>11.113415620630489</c:v>
                </c:pt>
                <c:pt idx="5">
                  <c:v>10.886114851500563</c:v>
                </c:pt>
                <c:pt idx="6">
                  <c:v>10.69127173133224</c:v>
                </c:pt>
                <c:pt idx="7">
                  <c:v>10.510409499528535</c:v>
                </c:pt>
                <c:pt idx="8">
                  <c:v>10.39762915055652</c:v>
                </c:pt>
                <c:pt idx="9">
                  <c:v>10.250881870969655</c:v>
                </c:pt>
                <c:pt idx="10">
                  <c:v>10.022430785189679</c:v>
                </c:pt>
                <c:pt idx="11">
                  <c:v>9.7992580383163066</c:v>
                </c:pt>
                <c:pt idx="12">
                  <c:v>9.6511859948163643</c:v>
                </c:pt>
                <c:pt idx="13">
                  <c:v>9.462579777473719</c:v>
                </c:pt>
                <c:pt idx="14">
                  <c:v>9.2095520209069104</c:v>
                </c:pt>
                <c:pt idx="15">
                  <c:v>8.9225075501351601</c:v>
                </c:pt>
                <c:pt idx="16">
                  <c:v>8.6564660274984266</c:v>
                </c:pt>
                <c:pt idx="17">
                  <c:v>8.431650472561973</c:v>
                </c:pt>
                <c:pt idx="18">
                  <c:v>8.2720560482894623</c:v>
                </c:pt>
                <c:pt idx="19">
                  <c:v>8.2073685699918268</c:v>
                </c:pt>
                <c:pt idx="20">
                  <c:v>8.1079649200717725</c:v>
                </c:pt>
                <c:pt idx="21">
                  <c:v>7.9440241687962123</c:v>
                </c:pt>
                <c:pt idx="22">
                  <c:v>7.8036097989919631</c:v>
                </c:pt>
                <c:pt idx="23">
                  <c:v>7.6891937998218109</c:v>
                </c:pt>
                <c:pt idx="24">
                  <c:v>7.576455360294351</c:v>
                </c:pt>
              </c:numCache>
            </c:numRef>
          </c:val>
          <c:smooth val="0"/>
          <c:extLst>
            <c:ext xmlns:c16="http://schemas.microsoft.com/office/drawing/2014/chart" uri="{C3380CC4-5D6E-409C-BE32-E72D297353CC}">
              <c16:uniqueId val="{00000001-1C4A-4D14-8AD5-3F0D2FDB6439}"/>
            </c:ext>
          </c:extLst>
        </c:ser>
        <c:ser>
          <c:idx val="2"/>
          <c:order val="2"/>
          <c:tx>
            <c:strRef>
              <c:f>ExchangeRateDetail!$V$8</c:f>
              <c:strCache>
                <c:ptCount val="1"/>
                <c:pt idx="0">
                  <c:v>Model 3:lend.rate diff. (USD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ExchangeRateDetail!$V$9:$V$33</c:f>
              <c:numCache>
                <c:formatCode>0.00</c:formatCode>
                <c:ptCount val="25"/>
                <c:pt idx="0">
                  <c:v>12.749665312562019</c:v>
                </c:pt>
                <c:pt idx="1">
                  <c:v>12.340535777067622</c:v>
                </c:pt>
                <c:pt idx="2">
                  <c:v>12.065358182650339</c:v>
                </c:pt>
                <c:pt idx="3">
                  <c:v>11.784558931853116</c:v>
                </c:pt>
                <c:pt idx="4">
                  <c:v>11.539456190937949</c:v>
                </c:pt>
                <c:pt idx="5">
                  <c:v>11.303441687649494</c:v>
                </c:pt>
                <c:pt idx="6">
                  <c:v>11.101129120024989</c:v>
                </c:pt>
                <c:pt idx="7">
                  <c:v>10.913333407911082</c:v>
                </c:pt>
                <c:pt idx="8">
                  <c:v>10.796229545283525</c:v>
                </c:pt>
                <c:pt idx="9">
                  <c:v>10.643856605969672</c:v>
                </c:pt>
                <c:pt idx="10">
                  <c:v>10.406647687836843</c:v>
                </c:pt>
                <c:pt idx="11">
                  <c:v>10.174919457428912</c:v>
                </c:pt>
                <c:pt idx="12">
                  <c:v>10.02117096844967</c:v>
                </c:pt>
                <c:pt idx="13">
                  <c:v>9.8253343996882396</c:v>
                </c:pt>
                <c:pt idx="14">
                  <c:v>9.5626066468834399</c:v>
                </c:pt>
                <c:pt idx="15">
                  <c:v>9.2645581253134637</c:v>
                </c:pt>
                <c:pt idx="16">
                  <c:v>8.9883177146031841</c:v>
                </c:pt>
                <c:pt idx="17">
                  <c:v>8.7548836979346483</c:v>
                </c:pt>
                <c:pt idx="18">
                  <c:v>8.589171109647042</c:v>
                </c:pt>
                <c:pt idx="19">
                  <c:v>8.5220037915695901</c:v>
                </c:pt>
                <c:pt idx="20">
                  <c:v>8.4187894331195707</c:v>
                </c:pt>
                <c:pt idx="21">
                  <c:v>8.2485638983396115</c:v>
                </c:pt>
                <c:pt idx="22">
                  <c:v>8.1027666453396936</c:v>
                </c:pt>
                <c:pt idx="23">
                  <c:v>7.9839644287182425</c:v>
                </c:pt>
                <c:pt idx="24">
                  <c:v>7.8669040821631464</c:v>
                </c:pt>
              </c:numCache>
            </c:numRef>
          </c:val>
          <c:smooth val="0"/>
          <c:extLst>
            <c:ext xmlns:c16="http://schemas.microsoft.com/office/drawing/2014/chart" uri="{C3380CC4-5D6E-409C-BE32-E72D297353CC}">
              <c16:uniqueId val="{00000002-1C4A-4D14-8AD5-3F0D2FDB6439}"/>
            </c:ext>
          </c:extLst>
        </c:ser>
        <c:ser>
          <c:idx val="3"/>
          <c:order val="3"/>
          <c:tx>
            <c:strRef>
              <c:f>ExchangeRateDetail!$W$8</c:f>
              <c:strCache>
                <c:ptCount val="1"/>
                <c:pt idx="0">
                  <c:v>Actual (ZAR adj.by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ExchangeRateDetail!$W$9:$W$33</c:f>
              <c:numCache>
                <c:formatCode>0.00</c:formatCode>
                <c:ptCount val="25"/>
                <c:pt idx="0">
                  <c:v>16.272352439573087</c:v>
                </c:pt>
                <c:pt idx="1">
                  <c:v>15.032231484655695</c:v>
                </c:pt>
                <c:pt idx="2">
                  <c:v>13.4019290483738</c:v>
                </c:pt>
                <c:pt idx="3">
                  <c:v>13.422433531159271</c:v>
                </c:pt>
                <c:pt idx="4">
                  <c:v>12.877064794429499</c:v>
                </c:pt>
                <c:pt idx="5">
                  <c:v>12.010377771884693</c:v>
                </c:pt>
                <c:pt idx="6">
                  <c:v>12.899592572244664</c:v>
                </c:pt>
                <c:pt idx="7">
                  <c:v>12.806143212280011</c:v>
                </c:pt>
                <c:pt idx="8">
                  <c:v>14.246377018984125</c:v>
                </c:pt>
                <c:pt idx="9">
                  <c:v>14.589949834300548</c:v>
                </c:pt>
                <c:pt idx="10">
                  <c:v>15.463229423714839</c:v>
                </c:pt>
                <c:pt idx="11">
                  <c:v>17.578619784291213</c:v>
                </c:pt>
                <c:pt idx="12">
                  <c:v>20.014517201428369</c:v>
                </c:pt>
                <c:pt idx="13">
                  <c:v>12.999881781420441</c:v>
                </c:pt>
                <c:pt idx="14">
                  <c:v>10.494793083831256</c:v>
                </c:pt>
                <c:pt idx="15">
                  <c:v>9.7439993402019667</c:v>
                </c:pt>
                <c:pt idx="16">
                  <c:v>9.8411457065962633</c:v>
                </c:pt>
                <c:pt idx="17">
                  <c:v>9.6066578454805569</c:v>
                </c:pt>
                <c:pt idx="18">
                  <c:v>10.404059774980967</c:v>
                </c:pt>
                <c:pt idx="19">
                  <c:v>9.8338136891845966</c:v>
                </c:pt>
                <c:pt idx="20">
                  <c:v>7.8818118396210179</c:v>
                </c:pt>
                <c:pt idx="21">
                  <c:v>7.2601907630522087</c:v>
                </c:pt>
                <c:pt idx="22">
                  <c:v>7.7607464166171916</c:v>
                </c:pt>
                <c:pt idx="23">
                  <c:v>8.7250887273925422</c:v>
                </c:pt>
                <c:pt idx="24">
                  <c:v>9.1384904239021321</c:v>
                </c:pt>
              </c:numCache>
            </c:numRef>
          </c:val>
          <c:smooth val="0"/>
          <c:extLst>
            <c:ext xmlns:c16="http://schemas.microsoft.com/office/drawing/2014/chart" uri="{C3380CC4-5D6E-409C-BE32-E72D297353CC}">
              <c16:uniqueId val="{00000003-1C4A-4D14-8AD5-3F0D2FDB6439}"/>
            </c:ext>
          </c:extLst>
        </c:ser>
        <c:ser>
          <c:idx val="4"/>
          <c:order val="4"/>
          <c:tx>
            <c:strRef>
              <c:f>ExchangeRateDetail!$X$8</c:f>
              <c:strCache>
                <c:ptCount val="1"/>
                <c:pt idx="0">
                  <c:v>Model 2: infl.diff.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ExchangeRateDetail!$X$9:$X$33</c:f>
              <c:numCache>
                <c:formatCode>0.00</c:formatCode>
                <c:ptCount val="25"/>
                <c:pt idx="0">
                  <c:v>13.827712102692649</c:v>
                </c:pt>
                <c:pt idx="1">
                  <c:v>13.455471297447362</c:v>
                </c:pt>
                <c:pt idx="2">
                  <c:v>13.0559031613131</c:v>
                </c:pt>
                <c:pt idx="3">
                  <c:v>12.615314388404096</c:v>
                </c:pt>
                <c:pt idx="4">
                  <c:v>11.988651502889189</c:v>
                </c:pt>
                <c:pt idx="5">
                  <c:v>11.832038757125957</c:v>
                </c:pt>
                <c:pt idx="6">
                  <c:v>11.404571823601888</c:v>
                </c:pt>
                <c:pt idx="7">
                  <c:v>11.224784653370866</c:v>
                </c:pt>
                <c:pt idx="8">
                  <c:v>11.071038577821449</c:v>
                </c:pt>
                <c:pt idx="9">
                  <c:v>10.858402578321716</c:v>
                </c:pt>
                <c:pt idx="10">
                  <c:v>10.803328028064465</c:v>
                </c:pt>
                <c:pt idx="11">
                  <c:v>10.463761535748885</c:v>
                </c:pt>
                <c:pt idx="12">
                  <c:v>10.614234246690797</c:v>
                </c:pt>
                <c:pt idx="13">
                  <c:v>9.924913973023628</c:v>
                </c:pt>
                <c:pt idx="14">
                  <c:v>9.7438319672916904</c:v>
                </c:pt>
                <c:pt idx="15">
                  <c:v>9.3642073026104278</c:v>
                </c:pt>
                <c:pt idx="16">
                  <c:v>9.1874472540851784</c:v>
                </c:pt>
                <c:pt idx="17">
                  <c:v>9.0912849780246319</c:v>
                </c:pt>
                <c:pt idx="18">
                  <c:v>8.9228973262902382</c:v>
                </c:pt>
                <c:pt idx="19">
                  <c:v>8.8879774287978339</c:v>
                </c:pt>
                <c:pt idx="20">
                  <c:v>8.7284926687145479</c:v>
                </c:pt>
                <c:pt idx="21">
                  <c:v>8.4169355254578893</c:v>
                </c:pt>
                <c:pt idx="22">
                  <c:v>8.1611188942632698</c:v>
                </c:pt>
                <c:pt idx="23">
                  <c:v>8.1536361572259466</c:v>
                </c:pt>
                <c:pt idx="24">
                  <c:v>8.0390125594373192</c:v>
                </c:pt>
              </c:numCache>
            </c:numRef>
          </c:val>
          <c:smooth val="0"/>
          <c:extLst>
            <c:ext xmlns:c16="http://schemas.microsoft.com/office/drawing/2014/chart" uri="{C3380CC4-5D6E-409C-BE32-E72D297353CC}">
              <c16:uniqueId val="{00000004-1C4A-4D14-8AD5-3F0D2FDB6439}"/>
            </c:ext>
          </c:extLst>
        </c:ser>
        <c:ser>
          <c:idx val="5"/>
          <c:order val="5"/>
          <c:tx>
            <c:strRef>
              <c:f>ExchangeRateDetail!$Y$8</c:f>
              <c:strCache>
                <c:ptCount val="1"/>
                <c:pt idx="0">
                  <c:v>Model 3:lend.rate diff. (ZAR infl.)</c:v>
                </c:pt>
              </c:strCache>
            </c:strRef>
          </c:tx>
          <c:marker>
            <c:symbol val="none"/>
          </c:marker>
          <c:cat>
            <c:numRef>
              <c:f>ExchangeRateDetail!$S$9:$S$33</c:f>
              <c:numCache>
                <c:formatCode>General</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ExchangeRateDetail!$Y$9:$Y$33</c:f>
              <c:numCache>
                <c:formatCode>0.00</c:formatCode>
                <c:ptCount val="25"/>
                <c:pt idx="0">
                  <c:v>12.570647366084225</c:v>
                </c:pt>
                <c:pt idx="1">
                  <c:v>12.1710360823384</c:v>
                </c:pt>
                <c:pt idx="2">
                  <c:v>11.847864580443758</c:v>
                </c:pt>
                <c:pt idx="3">
                  <c:v>11.3915326527008</c:v>
                </c:pt>
                <c:pt idx="4">
                  <c:v>10.923877582483271</c:v>
                </c:pt>
                <c:pt idx="5">
                  <c:v>10.87131416470327</c:v>
                </c:pt>
                <c:pt idx="6">
                  <c:v>10.478556211086552</c:v>
                </c:pt>
                <c:pt idx="7">
                  <c:v>10.313367197554347</c:v>
                </c:pt>
                <c:pt idx="8">
                  <c:v>10.172104823148983</c:v>
                </c:pt>
                <c:pt idx="9">
                  <c:v>9.9767342026889132</c:v>
                </c:pt>
                <c:pt idx="10">
                  <c:v>9.8672680554096921</c:v>
                </c:pt>
                <c:pt idx="11">
                  <c:v>9.6233084524476755</c:v>
                </c:pt>
                <c:pt idx="12">
                  <c:v>9.8448092375983087</c:v>
                </c:pt>
                <c:pt idx="13">
                  <c:v>9.5289728006829364</c:v>
                </c:pt>
                <c:pt idx="14">
                  <c:v>9.5053039942342163</c:v>
                </c:pt>
                <c:pt idx="15">
                  <c:v>9.3322992031927967</c:v>
                </c:pt>
                <c:pt idx="16">
                  <c:v>9.1344473645931501</c:v>
                </c:pt>
                <c:pt idx="17">
                  <c:v>9.0134626199313885</c:v>
                </c:pt>
                <c:pt idx="18">
                  <c:v>9.1767999049323077</c:v>
                </c:pt>
                <c:pt idx="19">
                  <c:v>9.2151947770851219</c:v>
                </c:pt>
                <c:pt idx="20">
                  <c:v>9.0631055475490623</c:v>
                </c:pt>
                <c:pt idx="21">
                  <c:v>8.9028698255239469</c:v>
                </c:pt>
                <c:pt idx="22">
                  <c:v>8.8713865936417289</c:v>
                </c:pt>
                <c:pt idx="23">
                  <c:v>8.9388286222112523</c:v>
                </c:pt>
                <c:pt idx="24">
                  <c:v>8.8883157267999362</c:v>
                </c:pt>
              </c:numCache>
            </c:numRef>
          </c:val>
          <c:smooth val="0"/>
          <c:extLst>
            <c:ext xmlns:c16="http://schemas.microsoft.com/office/drawing/2014/chart" uri="{C3380CC4-5D6E-409C-BE32-E72D297353CC}">
              <c16:uniqueId val="{00000005-1C4A-4D14-8AD5-3F0D2FDB6439}"/>
            </c:ext>
          </c:extLst>
        </c:ser>
        <c:dLbls>
          <c:showLegendKey val="0"/>
          <c:showVal val="0"/>
          <c:showCatName val="0"/>
          <c:showSerName val="0"/>
          <c:showPercent val="0"/>
          <c:showBubbleSize val="0"/>
        </c:dLbls>
        <c:smooth val="0"/>
        <c:axId val="693144904"/>
        <c:axId val="693145296"/>
      </c:lineChart>
      <c:catAx>
        <c:axId val="693144904"/>
        <c:scaling>
          <c:orientation val="minMax"/>
        </c:scaling>
        <c:delete val="0"/>
        <c:axPos val="b"/>
        <c:numFmt formatCode="General" sourceLinked="1"/>
        <c:majorTickMark val="out"/>
        <c:minorTickMark val="none"/>
        <c:tickLblPos val="nextTo"/>
        <c:crossAx val="693145296"/>
        <c:crosses val="autoZero"/>
        <c:auto val="1"/>
        <c:lblAlgn val="ctr"/>
        <c:lblOffset val="100"/>
        <c:noMultiLvlLbl val="0"/>
      </c:catAx>
      <c:valAx>
        <c:axId val="693145296"/>
        <c:scaling>
          <c:orientation val="minMax"/>
        </c:scaling>
        <c:delete val="0"/>
        <c:axPos val="l"/>
        <c:majorGridlines/>
        <c:numFmt formatCode="0.00" sourceLinked="1"/>
        <c:majorTickMark val="out"/>
        <c:minorTickMark val="none"/>
        <c:tickLblPos val="nextTo"/>
        <c:crossAx val="6931449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ExchangeRateDetail!$W$92</c:f>
              <c:strCache>
                <c:ptCount val="1"/>
                <c:pt idx="0">
                  <c:v>ZAR,USD</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ExchangeRateDetail!$W$93:$W$110</c:f>
              <c:numCache>
                <c:formatCode>General</c:formatCode>
                <c:ptCount val="18"/>
                <c:pt idx="0">
                  <c:v>8</c:v>
                </c:pt>
                <c:pt idx="17">
                  <c:v>8</c:v>
                </c:pt>
              </c:numCache>
            </c:numRef>
          </c:val>
          <c:smooth val="0"/>
          <c:extLst>
            <c:ext xmlns:c16="http://schemas.microsoft.com/office/drawing/2014/chart" uri="{C3380CC4-5D6E-409C-BE32-E72D297353CC}">
              <c16:uniqueId val="{00000000-48DE-4247-9882-A060312A29AA}"/>
            </c:ext>
          </c:extLst>
        </c:ser>
        <c:ser>
          <c:idx val="1"/>
          <c:order val="1"/>
          <c:tx>
            <c:strRef>
              <c:f>ExchangeRateDetail!$X$92</c:f>
              <c:strCache>
                <c:ptCount val="1"/>
                <c:pt idx="0">
                  <c:v>FEER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ExchangeRateDetail!$X$93:$X$110</c:f>
              <c:numCache>
                <c:formatCode>General</c:formatCode>
                <c:ptCount val="18"/>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numCache>
            </c:numRef>
          </c:val>
          <c:smooth val="0"/>
          <c:extLst>
            <c:ext xmlns:c16="http://schemas.microsoft.com/office/drawing/2014/chart" uri="{C3380CC4-5D6E-409C-BE32-E72D297353CC}">
              <c16:uniqueId val="{00000001-48DE-4247-9882-A060312A29AA}"/>
            </c:ext>
          </c:extLst>
        </c:ser>
        <c:ser>
          <c:idx val="2"/>
          <c:order val="2"/>
          <c:tx>
            <c:strRef>
              <c:f>ExchangeRateDetail!$Y$92</c:f>
              <c:strCache>
                <c:ptCount val="1"/>
                <c:pt idx="0">
                  <c:v>BEER</c:v>
                </c:pt>
              </c:strCache>
            </c:strRef>
          </c:tx>
          <c:marker>
            <c:symbol val="none"/>
          </c:marker>
          <c:cat>
            <c:numRef>
              <c:f>ExchangeRateDetail!$V$93:$V$110</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ExchangeRateDetail!$Y$93:$Y$110</c:f>
              <c:numCache>
                <c:formatCode>General</c:formatCode>
                <c:ptCount val="18"/>
                <c:pt idx="0">
                  <c:v>8.1999999999999993</c:v>
                </c:pt>
                <c:pt idx="1">
                  <c:v>8.1999999999999993</c:v>
                </c:pt>
                <c:pt idx="2">
                  <c:v>8.1999999999999993</c:v>
                </c:pt>
                <c:pt idx="3">
                  <c:v>8.1999999999999993</c:v>
                </c:pt>
                <c:pt idx="4">
                  <c:v>8.1999999999999993</c:v>
                </c:pt>
                <c:pt idx="5">
                  <c:v>8.1999999999999993</c:v>
                </c:pt>
                <c:pt idx="6">
                  <c:v>8.1999999999999993</c:v>
                </c:pt>
                <c:pt idx="7">
                  <c:v>8.1999999999999993</c:v>
                </c:pt>
                <c:pt idx="8">
                  <c:v>8.1999999999999993</c:v>
                </c:pt>
                <c:pt idx="9">
                  <c:v>8.1999999999999993</c:v>
                </c:pt>
                <c:pt idx="10">
                  <c:v>8.1999999999999993</c:v>
                </c:pt>
                <c:pt idx="11">
                  <c:v>8.1999999999999993</c:v>
                </c:pt>
                <c:pt idx="12">
                  <c:v>8.1999999999999993</c:v>
                </c:pt>
                <c:pt idx="13">
                  <c:v>8.1999999999999993</c:v>
                </c:pt>
                <c:pt idx="14">
                  <c:v>8.1999999999999993</c:v>
                </c:pt>
                <c:pt idx="15">
                  <c:v>8.1999999999999993</c:v>
                </c:pt>
                <c:pt idx="16">
                  <c:v>8.1999999999999993</c:v>
                </c:pt>
                <c:pt idx="17">
                  <c:v>8.1999999999999993</c:v>
                </c:pt>
              </c:numCache>
            </c:numRef>
          </c:val>
          <c:smooth val="0"/>
          <c:extLst>
            <c:ext xmlns:c16="http://schemas.microsoft.com/office/drawing/2014/chart" uri="{C3380CC4-5D6E-409C-BE32-E72D297353CC}">
              <c16:uniqueId val="{00000002-48DE-4247-9882-A060312A29AA}"/>
            </c:ext>
          </c:extLst>
        </c:ser>
        <c:dLbls>
          <c:showLegendKey val="0"/>
          <c:showVal val="0"/>
          <c:showCatName val="0"/>
          <c:showSerName val="0"/>
          <c:showPercent val="0"/>
          <c:showBubbleSize val="0"/>
        </c:dLbls>
        <c:smooth val="0"/>
        <c:axId val="693146080"/>
        <c:axId val="693146472"/>
      </c:lineChart>
      <c:catAx>
        <c:axId val="693146080"/>
        <c:scaling>
          <c:orientation val="minMax"/>
        </c:scaling>
        <c:delete val="0"/>
        <c:axPos val="b"/>
        <c:majorGridlines/>
        <c:numFmt formatCode="General" sourceLinked="1"/>
        <c:majorTickMark val="out"/>
        <c:minorTickMark val="none"/>
        <c:tickLblPos val="nextTo"/>
        <c:crossAx val="693146472"/>
        <c:crosses val="autoZero"/>
        <c:auto val="1"/>
        <c:lblAlgn val="ctr"/>
        <c:lblOffset val="100"/>
        <c:noMultiLvlLbl val="0"/>
      </c:catAx>
      <c:valAx>
        <c:axId val="693146472"/>
        <c:scaling>
          <c:orientation val="minMax"/>
          <c:max val="18"/>
        </c:scaling>
        <c:delete val="0"/>
        <c:axPos val="l"/>
        <c:majorGridlines/>
        <c:minorGridlines/>
        <c:numFmt formatCode="General" sourceLinked="1"/>
        <c:majorTickMark val="out"/>
        <c:minorTickMark val="none"/>
        <c:tickLblPos val="nextTo"/>
        <c:crossAx val="693146080"/>
        <c:crosses val="autoZero"/>
        <c:crossBetween val="between"/>
        <c:minorUnit val="0.5"/>
      </c:valAx>
      <c:spPr>
        <a:noFill/>
      </c:spPr>
    </c:plotArea>
    <c:legend>
      <c:legendPos val="r"/>
      <c:overlay val="0"/>
    </c:legend>
    <c:plotVisOnly val="1"/>
    <c:dispBlanksAs val="gap"/>
    <c:showDLblsOverMax val="0"/>
  </c:chart>
  <c:spPr>
    <a:noFill/>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7.emf"/><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5.emf"/><Relationship Id="rId11" Type="http://schemas.openxmlformats.org/officeDocument/2006/relationships/chart" Target="../charts/chart9.xml"/><Relationship Id="rId5" Type="http://schemas.openxmlformats.org/officeDocument/2006/relationships/image" Target="../media/image4.emf"/><Relationship Id="rId10" Type="http://schemas.openxmlformats.org/officeDocument/2006/relationships/image" Target="../media/image8.png"/><Relationship Id="rId4" Type="http://schemas.openxmlformats.org/officeDocument/2006/relationships/chart" Target="../charts/chart7.xml"/><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4.emf"/><Relationship Id="rId7" Type="http://schemas.openxmlformats.org/officeDocument/2006/relationships/image" Target="../media/image18.png"/><Relationship Id="rId2" Type="http://schemas.openxmlformats.org/officeDocument/2006/relationships/image" Target="../media/image13.emf"/><Relationship Id="rId1" Type="http://schemas.openxmlformats.org/officeDocument/2006/relationships/image" Target="../media/image12.emf"/><Relationship Id="rId6" Type="http://schemas.openxmlformats.org/officeDocument/2006/relationships/image" Target="../media/image17.emf"/><Relationship Id="rId5" Type="http://schemas.openxmlformats.org/officeDocument/2006/relationships/image" Target="../media/image16.emf"/><Relationship Id="rId4" Type="http://schemas.openxmlformats.org/officeDocument/2006/relationships/image" Target="../media/image15.emf"/></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39.emf"/><Relationship Id="rId3" Type="http://schemas.openxmlformats.org/officeDocument/2006/relationships/image" Target="../media/image34.emf"/><Relationship Id="rId7" Type="http://schemas.openxmlformats.org/officeDocument/2006/relationships/image" Target="../media/image38.emf"/><Relationship Id="rId2" Type="http://schemas.openxmlformats.org/officeDocument/2006/relationships/image" Target="../media/image33.emf"/><Relationship Id="rId1" Type="http://schemas.openxmlformats.org/officeDocument/2006/relationships/image" Target="../media/image32.emf"/><Relationship Id="rId6" Type="http://schemas.openxmlformats.org/officeDocument/2006/relationships/image" Target="../media/image37.emf"/><Relationship Id="rId5" Type="http://schemas.openxmlformats.org/officeDocument/2006/relationships/image" Target="../media/image36.emf"/><Relationship Id="rId4" Type="http://schemas.openxmlformats.org/officeDocument/2006/relationships/image" Target="../media/image35.emf"/><Relationship Id="rId9" Type="http://schemas.openxmlformats.org/officeDocument/2006/relationships/image" Target="../media/image40.emf"/></Relationships>
</file>

<file path=xl/drawings/_rels/drawing14.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emf"/></Relationships>
</file>

<file path=xl/drawings/_rels/drawing2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chart" Target="../charts/chart12.xml"/><Relationship Id="rId1" Type="http://schemas.openxmlformats.org/officeDocument/2006/relationships/image" Target="../media/image75.png"/><Relationship Id="rId4" Type="http://schemas.openxmlformats.org/officeDocument/2006/relationships/image" Target="../media/image7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3.png"/><Relationship Id="rId5" Type="http://schemas.openxmlformats.org/officeDocument/2006/relationships/chart" Target="../charts/chart15.xml"/><Relationship Id="rId4" Type="http://schemas.openxmlformats.org/officeDocument/2006/relationships/chart" Target="../charts/chart1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10" Type="http://schemas.openxmlformats.org/officeDocument/2006/relationships/image" Target="../media/image91.png"/><Relationship Id="rId4" Type="http://schemas.openxmlformats.org/officeDocument/2006/relationships/image" Target="../media/image87.png"/><Relationship Id="rId9" Type="http://schemas.openxmlformats.org/officeDocument/2006/relationships/chart" Target="../charts/chart1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openxmlformats.org/officeDocument/2006/relationships/image" Target="../media/image96.png"/><Relationship Id="rId4"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97.pn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1.emf"/><Relationship Id="rId2" Type="http://schemas.openxmlformats.org/officeDocument/2006/relationships/image" Target="../media/image20.emf"/><Relationship Id="rId1" Type="http://schemas.openxmlformats.org/officeDocument/2006/relationships/image" Target="../media/image19.emf"/><Relationship Id="rId4" Type="http://schemas.openxmlformats.org/officeDocument/2006/relationships/image" Target="../media/image22.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30.emf"/><Relationship Id="rId3" Type="http://schemas.openxmlformats.org/officeDocument/2006/relationships/image" Target="../media/image25.emf"/><Relationship Id="rId7" Type="http://schemas.openxmlformats.org/officeDocument/2006/relationships/image" Target="../media/image29.emf"/><Relationship Id="rId2" Type="http://schemas.openxmlformats.org/officeDocument/2006/relationships/image" Target="../media/image24.emf"/><Relationship Id="rId1" Type="http://schemas.openxmlformats.org/officeDocument/2006/relationships/image" Target="../media/image23.emf"/><Relationship Id="rId6" Type="http://schemas.openxmlformats.org/officeDocument/2006/relationships/image" Target="../media/image28.emf"/><Relationship Id="rId5" Type="http://schemas.openxmlformats.org/officeDocument/2006/relationships/image" Target="../media/image27.emf"/><Relationship Id="rId4" Type="http://schemas.openxmlformats.org/officeDocument/2006/relationships/image" Target="../media/image26.emf"/><Relationship Id="rId9" Type="http://schemas.openxmlformats.org/officeDocument/2006/relationships/image" Target="../media/image31.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48.emf"/><Relationship Id="rId3" Type="http://schemas.openxmlformats.org/officeDocument/2006/relationships/image" Target="../media/image43.emf"/><Relationship Id="rId7" Type="http://schemas.openxmlformats.org/officeDocument/2006/relationships/image" Target="../media/image47.emf"/><Relationship Id="rId2" Type="http://schemas.openxmlformats.org/officeDocument/2006/relationships/image" Target="../media/image42.emf"/><Relationship Id="rId1" Type="http://schemas.openxmlformats.org/officeDocument/2006/relationships/image" Target="../media/image41.emf"/><Relationship Id="rId6" Type="http://schemas.openxmlformats.org/officeDocument/2006/relationships/image" Target="../media/image46.emf"/><Relationship Id="rId5" Type="http://schemas.openxmlformats.org/officeDocument/2006/relationships/image" Target="../media/image45.emf"/><Relationship Id="rId4" Type="http://schemas.openxmlformats.org/officeDocument/2006/relationships/image" Target="../media/image44.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1.emf"/><Relationship Id="rId2" Type="http://schemas.openxmlformats.org/officeDocument/2006/relationships/image" Target="../media/image50.emf"/><Relationship Id="rId1" Type="http://schemas.openxmlformats.org/officeDocument/2006/relationships/image" Target="../media/image49.emf"/><Relationship Id="rId4" Type="http://schemas.openxmlformats.org/officeDocument/2006/relationships/image" Target="../media/image52.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60.emf"/><Relationship Id="rId3" Type="http://schemas.openxmlformats.org/officeDocument/2006/relationships/image" Target="../media/image55.emf"/><Relationship Id="rId7" Type="http://schemas.openxmlformats.org/officeDocument/2006/relationships/image" Target="../media/image59.emf"/><Relationship Id="rId2" Type="http://schemas.openxmlformats.org/officeDocument/2006/relationships/image" Target="../media/image54.emf"/><Relationship Id="rId1" Type="http://schemas.openxmlformats.org/officeDocument/2006/relationships/image" Target="../media/image53.emf"/><Relationship Id="rId6" Type="http://schemas.openxmlformats.org/officeDocument/2006/relationships/image" Target="../media/image58.emf"/><Relationship Id="rId5" Type="http://schemas.openxmlformats.org/officeDocument/2006/relationships/image" Target="../media/image57.emf"/><Relationship Id="rId4" Type="http://schemas.openxmlformats.org/officeDocument/2006/relationships/image" Target="../media/image56.emf"/><Relationship Id="rId9" Type="http://schemas.openxmlformats.org/officeDocument/2006/relationships/image" Target="../media/image61.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69.emf"/><Relationship Id="rId3" Type="http://schemas.openxmlformats.org/officeDocument/2006/relationships/image" Target="../media/image64.emf"/><Relationship Id="rId7" Type="http://schemas.openxmlformats.org/officeDocument/2006/relationships/image" Target="../media/image68.emf"/><Relationship Id="rId2" Type="http://schemas.openxmlformats.org/officeDocument/2006/relationships/image" Target="../media/image63.emf"/><Relationship Id="rId1" Type="http://schemas.openxmlformats.org/officeDocument/2006/relationships/image" Target="../media/image62.emf"/><Relationship Id="rId6" Type="http://schemas.openxmlformats.org/officeDocument/2006/relationships/image" Target="../media/image67.emf"/><Relationship Id="rId5" Type="http://schemas.openxmlformats.org/officeDocument/2006/relationships/image" Target="../media/image66.emf"/><Relationship Id="rId4" Type="http://schemas.openxmlformats.org/officeDocument/2006/relationships/image" Target="../media/image65.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94.emf"/><Relationship Id="rId2" Type="http://schemas.openxmlformats.org/officeDocument/2006/relationships/image" Target="../media/image93.emf"/><Relationship Id="rId1" Type="http://schemas.openxmlformats.org/officeDocument/2006/relationships/image" Target="../media/image92.emf"/><Relationship Id="rId4" Type="http://schemas.openxmlformats.org/officeDocument/2006/relationships/image" Target="../media/image95.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99.emf"/><Relationship Id="rId3" Type="http://schemas.openxmlformats.org/officeDocument/2006/relationships/image" Target="../media/image104.emf"/><Relationship Id="rId7" Type="http://schemas.openxmlformats.org/officeDocument/2006/relationships/image" Target="../media/image100.emf"/><Relationship Id="rId2" Type="http://schemas.openxmlformats.org/officeDocument/2006/relationships/image" Target="../media/image105.emf"/><Relationship Id="rId1" Type="http://schemas.openxmlformats.org/officeDocument/2006/relationships/image" Target="../media/image106.emf"/><Relationship Id="rId6" Type="http://schemas.openxmlformats.org/officeDocument/2006/relationships/image" Target="../media/image101.emf"/><Relationship Id="rId5" Type="http://schemas.openxmlformats.org/officeDocument/2006/relationships/image" Target="../media/image102.emf"/><Relationship Id="rId4" Type="http://schemas.openxmlformats.org/officeDocument/2006/relationships/image" Target="../media/image103.emf"/><Relationship Id="rId9" Type="http://schemas.openxmlformats.org/officeDocument/2006/relationships/image" Target="../media/image98.emf"/></Relationships>
</file>

<file path=xl/drawings/_rels/vmlDrawing46.vml.rels><?xml version="1.0" encoding="UTF-8" standalone="yes"?>
<Relationships xmlns="http://schemas.openxmlformats.org/package/2006/relationships"><Relationship Id="rId8" Type="http://schemas.openxmlformats.org/officeDocument/2006/relationships/image" Target="../media/image108.emf"/><Relationship Id="rId3" Type="http://schemas.openxmlformats.org/officeDocument/2006/relationships/image" Target="../media/image113.emf"/><Relationship Id="rId7" Type="http://schemas.openxmlformats.org/officeDocument/2006/relationships/image" Target="../media/image109.emf"/><Relationship Id="rId2" Type="http://schemas.openxmlformats.org/officeDocument/2006/relationships/image" Target="../media/image114.emf"/><Relationship Id="rId1" Type="http://schemas.openxmlformats.org/officeDocument/2006/relationships/image" Target="../media/image115.emf"/><Relationship Id="rId6" Type="http://schemas.openxmlformats.org/officeDocument/2006/relationships/image" Target="../media/image110.emf"/><Relationship Id="rId5" Type="http://schemas.openxmlformats.org/officeDocument/2006/relationships/image" Target="../media/image111.emf"/><Relationship Id="rId4" Type="http://schemas.openxmlformats.org/officeDocument/2006/relationships/image" Target="../media/image112.emf"/><Relationship Id="rId9" Type="http://schemas.openxmlformats.org/officeDocument/2006/relationships/image" Target="../media/image107.emf"/></Relationships>
</file>

<file path=xl/drawings/drawing1.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23336250" y="16383001"/>
          <a:ext cx="9278916"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426720</xdr:colOff>
      <xdr:row>3</xdr:row>
      <xdr:rowOff>0</xdr:rowOff>
    </xdr:from>
    <xdr:to>
      <xdr:col>26</xdr:col>
      <xdr:colOff>45720</xdr:colOff>
      <xdr:row>14</xdr:row>
      <xdr:rowOff>152400</xdr:rowOff>
    </xdr:to>
    <xdr:graphicFrame macro="">
      <xdr:nvGraphicFramePr>
        <xdr:cNvPr id="2228276" name="Chart 1">
          <a:extLst>
            <a:ext uri="{FF2B5EF4-FFF2-40B4-BE49-F238E27FC236}">
              <a16:creationId xmlns:a16="http://schemas.microsoft.com/office/drawing/2014/main" id="{00000000-0008-0000-0700-000034002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79</xdr:row>
      <xdr:rowOff>99060</xdr:rowOff>
    </xdr:from>
    <xdr:to>
      <xdr:col>20</xdr:col>
      <xdr:colOff>525780</xdr:colOff>
      <xdr:row>108</xdr:row>
      <xdr:rowOff>15240</xdr:rowOff>
    </xdr:to>
    <xdr:graphicFrame macro="">
      <xdr:nvGraphicFramePr>
        <xdr:cNvPr id="2130248" name="Chart 1">
          <a:extLst>
            <a:ext uri="{FF2B5EF4-FFF2-40B4-BE49-F238E27FC236}">
              <a16:creationId xmlns:a16="http://schemas.microsoft.com/office/drawing/2014/main" id="{00000000-0008-0000-0800-000048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106</xdr:row>
      <xdr:rowOff>0</xdr:rowOff>
    </xdr:from>
    <xdr:to>
      <xdr:col>18</xdr:col>
      <xdr:colOff>213360</xdr:colOff>
      <xdr:row>134</xdr:row>
      <xdr:rowOff>45720</xdr:rowOff>
    </xdr:to>
    <xdr:pic>
      <xdr:nvPicPr>
        <xdr:cNvPr id="2130249" name="Picture 2" descr="temp.tiff">
          <a:extLst>
            <a:ext uri="{FF2B5EF4-FFF2-40B4-BE49-F238E27FC236}">
              <a16:creationId xmlns:a16="http://schemas.microsoft.com/office/drawing/2014/main" id="{00000000-0008-0000-0800-000049812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49140" y="20398740"/>
          <a:ext cx="6172200" cy="5166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79</xdr:row>
      <xdr:rowOff>60960</xdr:rowOff>
    </xdr:from>
    <xdr:to>
      <xdr:col>36</xdr:col>
      <xdr:colOff>381000</xdr:colOff>
      <xdr:row>99</xdr:row>
      <xdr:rowOff>15240</xdr:rowOff>
    </xdr:to>
    <xdr:pic>
      <xdr:nvPicPr>
        <xdr:cNvPr id="2130250" name="Picture 1">
          <a:extLst>
            <a:ext uri="{FF2B5EF4-FFF2-40B4-BE49-F238E27FC236}">
              <a16:creationId xmlns:a16="http://schemas.microsoft.com/office/drawing/2014/main" id="{00000000-0008-0000-0800-00004A812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65380" y="15521940"/>
          <a:ext cx="81991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22</xdr:row>
      <xdr:rowOff>68580</xdr:rowOff>
    </xdr:from>
    <xdr:to>
      <xdr:col>67</xdr:col>
      <xdr:colOff>541020</xdr:colOff>
      <xdr:row>47</xdr:row>
      <xdr:rowOff>175260</xdr:rowOff>
    </xdr:to>
    <xdr:graphicFrame macro="">
      <xdr:nvGraphicFramePr>
        <xdr:cNvPr id="2130251" name="Chart 1">
          <a:extLst>
            <a:ext uri="{FF2B5EF4-FFF2-40B4-BE49-F238E27FC236}">
              <a16:creationId xmlns:a16="http://schemas.microsoft.com/office/drawing/2014/main" id="{00000000-0008-0000-0800-00004B81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45</xdr:row>
      <xdr:rowOff>0</xdr:rowOff>
    </xdr:from>
    <xdr:to>
      <xdr:col>48</xdr:col>
      <xdr:colOff>196850</xdr:colOff>
      <xdr:row>68</xdr:row>
      <xdr:rowOff>152400</xdr:rowOff>
    </xdr:to>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69400" y="8305800"/>
          <a:ext cx="5784850" cy="487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47</xdr:row>
      <xdr:rowOff>0</xdr:rowOff>
    </xdr:from>
    <xdr:to>
      <xdr:col>60</xdr:col>
      <xdr:colOff>577850</xdr:colOff>
      <xdr:row>70</xdr:row>
      <xdr:rowOff>127000</xdr:rowOff>
    </xdr:to>
    <xdr:pic>
      <xdr:nvPicPr>
        <xdr:cNvPr id="7" name="Picture 6">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0" y="8674100"/>
          <a:ext cx="7613650" cy="484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60</xdr:row>
      <xdr:rowOff>0</xdr:rowOff>
    </xdr:from>
    <xdr:to>
      <xdr:col>70</xdr:col>
      <xdr:colOff>759179</xdr:colOff>
      <xdr:row>83</xdr:row>
      <xdr:rowOff>83893</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37242750" y="10887075"/>
          <a:ext cx="7017104" cy="5236918"/>
        </a:xfrm>
        <a:prstGeom prst="rect">
          <a:avLst/>
        </a:prstGeom>
      </xdr:spPr>
    </xdr:pic>
    <xdr:clientData/>
  </xdr:twoCellAnchor>
  <xdr:twoCellAnchor editAs="oneCell">
    <xdr:from>
      <xdr:col>75</xdr:col>
      <xdr:colOff>266700</xdr:colOff>
      <xdr:row>60</xdr:row>
      <xdr:rowOff>114300</xdr:rowOff>
    </xdr:from>
    <xdr:to>
      <xdr:col>85</xdr:col>
      <xdr:colOff>673677</xdr:colOff>
      <xdr:row>80</xdr:row>
      <xdr:rowOff>171450</xdr:rowOff>
    </xdr:to>
    <xdr:pic>
      <xdr:nvPicPr>
        <xdr:cNvPr id="9" name="Picture 8">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68</xdr:row>
      <xdr:rowOff>38099</xdr:rowOff>
    </xdr:from>
    <xdr:to>
      <xdr:col>84</xdr:col>
      <xdr:colOff>171450</xdr:colOff>
      <xdr:row>77</xdr:row>
      <xdr:rowOff>4761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60</xdr:row>
      <xdr:rowOff>0</xdr:rowOff>
    </xdr:from>
    <xdr:to>
      <xdr:col>95</xdr:col>
      <xdr:colOff>580190</xdr:colOff>
      <xdr:row>82</xdr:row>
      <xdr:rowOff>123169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83</xdr:row>
      <xdr:rowOff>176212</xdr:rowOff>
    </xdr:from>
    <xdr:to>
      <xdr:col>95</xdr:col>
      <xdr:colOff>209550</xdr:colOff>
      <xdr:row>98</xdr:row>
      <xdr:rowOff>61912</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61</xdr:row>
      <xdr:rowOff>0</xdr:rowOff>
    </xdr:from>
    <xdr:to>
      <xdr:col>107</xdr:col>
      <xdr:colOff>46762</xdr:colOff>
      <xdr:row>84</xdr:row>
      <xdr:rowOff>142193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345660" name="Picture 1">
          <a:extLst>
            <a:ext uri="{FF2B5EF4-FFF2-40B4-BE49-F238E27FC236}">
              <a16:creationId xmlns:a16="http://schemas.microsoft.com/office/drawing/2014/main" id="{00000000-0008-0000-0900-0000BCCA23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5303520"/>
          <a:ext cx="4175760" cy="667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2345661" name="Picture 1">
          <a:extLst>
            <a:ext uri="{FF2B5EF4-FFF2-40B4-BE49-F238E27FC236}">
              <a16:creationId xmlns:a16="http://schemas.microsoft.com/office/drawing/2014/main" id="{00000000-0008-0000-0900-0000BDCA23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12280" y="228600"/>
          <a:ext cx="7993380" cy="4564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2990849" y="1802130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3028949" y="1945957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2971799" y="222980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4486274" y="1798320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9" name="Rectangle 8">
          <a:extLst>
            <a:ext uri="{FF2B5EF4-FFF2-40B4-BE49-F238E27FC236}">
              <a16:creationId xmlns:a16="http://schemas.microsoft.com/office/drawing/2014/main" id="{00000000-0008-0000-0900-000009000000}"/>
            </a:ext>
          </a:extLst>
        </xdr:cNvPr>
        <xdr:cNvSpPr/>
      </xdr:nvSpPr>
      <xdr:spPr>
        <a:xfrm>
          <a:off x="4486274" y="1846897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16" name="Straight Arrow Connector 15">
          <a:extLst>
            <a:ext uri="{FF2B5EF4-FFF2-40B4-BE49-F238E27FC236}">
              <a16:creationId xmlns:a16="http://schemas.microsoft.com/office/drawing/2014/main" id="{00000000-0008-0000-0900-000010000000}"/>
            </a:ext>
          </a:extLst>
        </xdr:cNvPr>
        <xdr:cNvCxnSpPr>
          <a:endCxn id="2" idx="1"/>
        </xdr:cNvCxnSpPr>
      </xdr:nvCxnSpPr>
      <xdr:spPr>
        <a:xfrm>
          <a:off x="2257425" y="1826418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9" name="Rectangle 18">
          <a:extLst>
            <a:ext uri="{FF2B5EF4-FFF2-40B4-BE49-F238E27FC236}">
              <a16:creationId xmlns:a16="http://schemas.microsoft.com/office/drawing/2014/main" id="{00000000-0008-0000-0900-000013000000}"/>
            </a:ext>
          </a:extLst>
        </xdr:cNvPr>
        <xdr:cNvSpPr/>
      </xdr:nvSpPr>
      <xdr:spPr>
        <a:xfrm>
          <a:off x="781049" y="1809750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21" name="Rectangle 20">
          <a:extLst>
            <a:ext uri="{FF2B5EF4-FFF2-40B4-BE49-F238E27FC236}">
              <a16:creationId xmlns:a16="http://schemas.microsoft.com/office/drawing/2014/main" id="{00000000-0008-0000-0900-000015000000}"/>
            </a:ext>
          </a:extLst>
        </xdr:cNvPr>
        <xdr:cNvSpPr/>
      </xdr:nvSpPr>
      <xdr:spPr>
        <a:xfrm>
          <a:off x="6543674" y="17545050"/>
          <a:ext cx="800101" cy="5553075"/>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22" name="Straight Arrow Connector 21">
          <a:extLst>
            <a:ext uri="{FF2B5EF4-FFF2-40B4-BE49-F238E27FC236}">
              <a16:creationId xmlns:a16="http://schemas.microsoft.com/office/drawing/2014/main" id="{00000000-0008-0000-0900-000016000000}"/>
            </a:ext>
          </a:extLst>
        </xdr:cNvPr>
        <xdr:cNvCxnSpPr>
          <a:stCxn id="9" idx="3"/>
        </xdr:cNvCxnSpPr>
      </xdr:nvCxnSpPr>
      <xdr:spPr>
        <a:xfrm flipV="1">
          <a:off x="5981700" y="1864042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25" name="Straight Arrow Connector 24">
          <a:extLst>
            <a:ext uri="{FF2B5EF4-FFF2-40B4-BE49-F238E27FC236}">
              <a16:creationId xmlns:a16="http://schemas.microsoft.com/office/drawing/2014/main" id="{00000000-0008-0000-0900-000019000000}"/>
            </a:ext>
          </a:extLst>
        </xdr:cNvPr>
        <xdr:cNvCxnSpPr>
          <a:stCxn id="8" idx="3"/>
        </xdr:cNvCxnSpPr>
      </xdr:nvCxnSpPr>
      <xdr:spPr>
        <a:xfrm flipV="1">
          <a:off x="5981700" y="1815147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990849" y="20593050"/>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0" name="Rectangle 9">
          <a:extLst>
            <a:ext uri="{FF2B5EF4-FFF2-40B4-BE49-F238E27FC236}">
              <a16:creationId xmlns:a16="http://schemas.microsoft.com/office/drawing/2014/main" id="{00000000-0008-0000-0900-00000A000000}"/>
            </a:ext>
          </a:extLst>
        </xdr:cNvPr>
        <xdr:cNvSpPr/>
      </xdr:nvSpPr>
      <xdr:spPr>
        <a:xfrm>
          <a:off x="2971799" y="21269325"/>
          <a:ext cx="800101"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8" name="Rectangle 17">
          <a:extLst>
            <a:ext uri="{FF2B5EF4-FFF2-40B4-BE49-F238E27FC236}">
              <a16:creationId xmlns:a16="http://schemas.microsoft.com/office/drawing/2014/main" id="{00000000-0008-0000-0900-000012000000}"/>
            </a:ext>
          </a:extLst>
        </xdr:cNvPr>
        <xdr:cNvSpPr/>
      </xdr:nvSpPr>
      <xdr:spPr>
        <a:xfrm>
          <a:off x="4533900" y="2077402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4514850" y="2125980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23" name="Straight Arrow Connector 22">
          <a:extLst>
            <a:ext uri="{FF2B5EF4-FFF2-40B4-BE49-F238E27FC236}">
              <a16:creationId xmlns:a16="http://schemas.microsoft.com/office/drawing/2014/main" id="{00000000-0008-0000-0900-000017000000}"/>
            </a:ext>
          </a:extLst>
        </xdr:cNvPr>
        <xdr:cNvCxnSpPr>
          <a:stCxn id="20" idx="3"/>
        </xdr:cNvCxnSpPr>
      </xdr:nvCxnSpPr>
      <xdr:spPr>
        <a:xfrm flipV="1">
          <a:off x="6010276" y="2143125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24" name="Straight Arrow Connector 23">
          <a:extLst>
            <a:ext uri="{FF2B5EF4-FFF2-40B4-BE49-F238E27FC236}">
              <a16:creationId xmlns:a16="http://schemas.microsoft.com/office/drawing/2014/main" id="{00000000-0008-0000-0900-000018000000}"/>
            </a:ext>
          </a:extLst>
        </xdr:cNvPr>
        <xdr:cNvCxnSpPr>
          <a:stCxn id="18" idx="3"/>
        </xdr:cNvCxnSpPr>
      </xdr:nvCxnSpPr>
      <xdr:spPr>
        <a:xfrm flipV="1">
          <a:off x="6029326" y="2094230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6" name="Straight Arrow Connector 25">
          <a:extLst>
            <a:ext uri="{FF2B5EF4-FFF2-40B4-BE49-F238E27FC236}">
              <a16:creationId xmlns:a16="http://schemas.microsoft.com/office/drawing/2014/main" id="{00000000-0008-0000-0900-00001A000000}"/>
            </a:ext>
          </a:extLst>
        </xdr:cNvPr>
        <xdr:cNvCxnSpPr/>
      </xdr:nvCxnSpPr>
      <xdr:spPr>
        <a:xfrm>
          <a:off x="2276476" y="19654838"/>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7" name="Rectangle 26">
          <a:extLst>
            <a:ext uri="{FF2B5EF4-FFF2-40B4-BE49-F238E27FC236}">
              <a16:creationId xmlns:a16="http://schemas.microsoft.com/office/drawing/2014/main" id="{00000000-0008-0000-0900-00001B000000}"/>
            </a:ext>
          </a:extLst>
        </xdr:cNvPr>
        <xdr:cNvSpPr/>
      </xdr:nvSpPr>
      <xdr:spPr>
        <a:xfrm>
          <a:off x="800100" y="19488150"/>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4" name="Straight Arrow Connector 3">
          <a:extLst>
            <a:ext uri="{FF2B5EF4-FFF2-40B4-BE49-F238E27FC236}">
              <a16:creationId xmlns:a16="http://schemas.microsoft.com/office/drawing/2014/main" id="{00000000-0008-0000-0900-000004000000}"/>
            </a:ext>
          </a:extLst>
        </xdr:cNvPr>
        <xdr:cNvCxnSpPr>
          <a:stCxn id="2" idx="3"/>
          <a:endCxn id="8" idx="1"/>
        </xdr:cNvCxnSpPr>
      </xdr:nvCxnSpPr>
      <xdr:spPr>
        <a:xfrm flipV="1">
          <a:off x="3790950" y="18159413"/>
          <a:ext cx="695324"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13" name="Straight Arrow Connector 12">
          <a:extLst>
            <a:ext uri="{FF2B5EF4-FFF2-40B4-BE49-F238E27FC236}">
              <a16:creationId xmlns:a16="http://schemas.microsoft.com/office/drawing/2014/main" id="{00000000-0008-0000-0900-00000D000000}"/>
            </a:ext>
          </a:extLst>
        </xdr:cNvPr>
        <xdr:cNvCxnSpPr>
          <a:stCxn id="2" idx="3"/>
          <a:endCxn id="9" idx="1"/>
        </xdr:cNvCxnSpPr>
      </xdr:nvCxnSpPr>
      <xdr:spPr>
        <a:xfrm>
          <a:off x="3790950" y="18273713"/>
          <a:ext cx="695324"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8" name="Straight Arrow Connector 27">
          <a:extLst>
            <a:ext uri="{FF2B5EF4-FFF2-40B4-BE49-F238E27FC236}">
              <a16:creationId xmlns:a16="http://schemas.microsoft.com/office/drawing/2014/main" id="{00000000-0008-0000-0900-00001C000000}"/>
            </a:ext>
          </a:extLst>
        </xdr:cNvPr>
        <xdr:cNvCxnSpPr>
          <a:stCxn id="6" idx="3"/>
          <a:endCxn id="108" idx="1"/>
        </xdr:cNvCxnSpPr>
      </xdr:nvCxnSpPr>
      <xdr:spPr>
        <a:xfrm flipV="1">
          <a:off x="3829050" y="19511963"/>
          <a:ext cx="657225" cy="2000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9" name="Straight Arrow Connector 28">
          <a:extLst>
            <a:ext uri="{FF2B5EF4-FFF2-40B4-BE49-F238E27FC236}">
              <a16:creationId xmlns:a16="http://schemas.microsoft.com/office/drawing/2014/main" id="{00000000-0008-0000-0900-00001D000000}"/>
            </a:ext>
          </a:extLst>
        </xdr:cNvPr>
        <xdr:cNvCxnSpPr>
          <a:stCxn id="6" idx="3"/>
          <a:endCxn id="109" idx="1"/>
        </xdr:cNvCxnSpPr>
      </xdr:nvCxnSpPr>
      <xdr:spPr>
        <a:xfrm>
          <a:off x="3829050" y="19711988"/>
          <a:ext cx="657225" cy="285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35" name="Straight Arrow Connector 34">
          <a:extLst>
            <a:ext uri="{FF2B5EF4-FFF2-40B4-BE49-F238E27FC236}">
              <a16:creationId xmlns:a16="http://schemas.microsoft.com/office/drawing/2014/main" id="{00000000-0008-0000-0900-000023000000}"/>
            </a:ext>
          </a:extLst>
        </xdr:cNvPr>
        <xdr:cNvCxnSpPr>
          <a:stCxn id="5" idx="3"/>
          <a:endCxn id="18" idx="1"/>
        </xdr:cNvCxnSpPr>
      </xdr:nvCxnSpPr>
      <xdr:spPr>
        <a:xfrm>
          <a:off x="3790950" y="20845463"/>
          <a:ext cx="7429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36" name="Straight Arrow Connector 35">
          <a:extLst>
            <a:ext uri="{FF2B5EF4-FFF2-40B4-BE49-F238E27FC236}">
              <a16:creationId xmlns:a16="http://schemas.microsoft.com/office/drawing/2014/main" id="{00000000-0008-0000-0900-000024000000}"/>
            </a:ext>
          </a:extLst>
        </xdr:cNvPr>
        <xdr:cNvCxnSpPr>
          <a:stCxn id="5" idx="3"/>
          <a:endCxn id="20" idx="1"/>
        </xdr:cNvCxnSpPr>
      </xdr:nvCxnSpPr>
      <xdr:spPr>
        <a:xfrm>
          <a:off x="3790950" y="20845463"/>
          <a:ext cx="723900" cy="5905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37" name="Straight Arrow Connector 36">
          <a:extLst>
            <a:ext uri="{FF2B5EF4-FFF2-40B4-BE49-F238E27FC236}">
              <a16:creationId xmlns:a16="http://schemas.microsoft.com/office/drawing/2014/main" id="{00000000-0008-0000-0900-000025000000}"/>
            </a:ext>
          </a:extLst>
        </xdr:cNvPr>
        <xdr:cNvCxnSpPr>
          <a:stCxn id="10" idx="3"/>
          <a:endCxn id="18" idx="1"/>
        </xdr:cNvCxnSpPr>
      </xdr:nvCxnSpPr>
      <xdr:spPr>
        <a:xfrm flipV="1">
          <a:off x="3771900" y="20950238"/>
          <a:ext cx="7620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38" name="Straight Arrow Connector 37">
          <a:extLst>
            <a:ext uri="{FF2B5EF4-FFF2-40B4-BE49-F238E27FC236}">
              <a16:creationId xmlns:a16="http://schemas.microsoft.com/office/drawing/2014/main" id="{00000000-0008-0000-0900-000026000000}"/>
            </a:ext>
          </a:extLst>
        </xdr:cNvPr>
        <xdr:cNvCxnSpPr>
          <a:stCxn id="10" idx="3"/>
          <a:endCxn id="20" idx="1"/>
        </xdr:cNvCxnSpPr>
      </xdr:nvCxnSpPr>
      <xdr:spPr>
        <a:xfrm flipV="1">
          <a:off x="3771900" y="21436013"/>
          <a:ext cx="742950" cy="857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47" name="Straight Arrow Connector 46">
          <a:extLst>
            <a:ext uri="{FF2B5EF4-FFF2-40B4-BE49-F238E27FC236}">
              <a16:creationId xmlns:a16="http://schemas.microsoft.com/office/drawing/2014/main" id="{00000000-0008-0000-0900-00002F000000}"/>
            </a:ext>
          </a:extLst>
        </xdr:cNvPr>
        <xdr:cNvCxnSpPr>
          <a:stCxn id="48" idx="3"/>
          <a:endCxn id="5" idx="1"/>
        </xdr:cNvCxnSpPr>
      </xdr:nvCxnSpPr>
      <xdr:spPr>
        <a:xfrm>
          <a:off x="2266951" y="20835938"/>
          <a:ext cx="72389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48" name="Rectangle 47">
          <a:extLst>
            <a:ext uri="{FF2B5EF4-FFF2-40B4-BE49-F238E27FC236}">
              <a16:creationId xmlns:a16="http://schemas.microsoft.com/office/drawing/2014/main" id="{00000000-0008-0000-0900-000030000000}"/>
            </a:ext>
          </a:extLst>
        </xdr:cNvPr>
        <xdr:cNvSpPr/>
      </xdr:nvSpPr>
      <xdr:spPr>
        <a:xfrm>
          <a:off x="771525" y="206597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51" name="Straight Arrow Connector 50">
          <a:extLst>
            <a:ext uri="{FF2B5EF4-FFF2-40B4-BE49-F238E27FC236}">
              <a16:creationId xmlns:a16="http://schemas.microsoft.com/office/drawing/2014/main" id="{00000000-0008-0000-0900-000033000000}"/>
            </a:ext>
          </a:extLst>
        </xdr:cNvPr>
        <xdr:cNvCxnSpPr>
          <a:stCxn id="52" idx="3"/>
          <a:endCxn id="10" idx="1"/>
        </xdr:cNvCxnSpPr>
      </xdr:nvCxnSpPr>
      <xdr:spPr>
        <a:xfrm>
          <a:off x="2305051" y="2152173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809625" y="2134552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61" name="Straight Arrow Connector 60">
          <a:extLst>
            <a:ext uri="{FF2B5EF4-FFF2-40B4-BE49-F238E27FC236}">
              <a16:creationId xmlns:a16="http://schemas.microsoft.com/office/drawing/2014/main" id="{00000000-0008-0000-0900-00003D000000}"/>
            </a:ext>
          </a:extLst>
        </xdr:cNvPr>
        <xdr:cNvCxnSpPr>
          <a:stCxn id="52" idx="3"/>
          <a:endCxn id="5" idx="1"/>
        </xdr:cNvCxnSpPr>
      </xdr:nvCxnSpPr>
      <xdr:spPr>
        <a:xfrm flipV="1">
          <a:off x="2305051" y="20845463"/>
          <a:ext cx="685798" cy="676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69" name="Straight Arrow Connector 68">
          <a:extLst>
            <a:ext uri="{FF2B5EF4-FFF2-40B4-BE49-F238E27FC236}">
              <a16:creationId xmlns:a16="http://schemas.microsoft.com/office/drawing/2014/main" id="{00000000-0008-0000-0900-000045000000}"/>
            </a:ext>
          </a:extLst>
        </xdr:cNvPr>
        <xdr:cNvCxnSpPr>
          <a:stCxn id="48" idx="3"/>
          <a:endCxn id="10" idx="1"/>
        </xdr:cNvCxnSpPr>
      </xdr:nvCxnSpPr>
      <xdr:spPr>
        <a:xfrm>
          <a:off x="2266951" y="20835938"/>
          <a:ext cx="704848" cy="685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80" name="Straight Arrow Connector 79">
          <a:extLst>
            <a:ext uri="{FF2B5EF4-FFF2-40B4-BE49-F238E27FC236}">
              <a16:creationId xmlns:a16="http://schemas.microsoft.com/office/drawing/2014/main" id="{00000000-0008-0000-0900-000050000000}"/>
            </a:ext>
          </a:extLst>
        </xdr:cNvPr>
        <xdr:cNvCxnSpPr>
          <a:stCxn id="81" idx="3"/>
        </xdr:cNvCxnSpPr>
      </xdr:nvCxnSpPr>
      <xdr:spPr>
        <a:xfrm>
          <a:off x="2314576" y="22569488"/>
          <a:ext cx="666748"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81" name="Rectangle 80">
          <a:extLst>
            <a:ext uri="{FF2B5EF4-FFF2-40B4-BE49-F238E27FC236}">
              <a16:creationId xmlns:a16="http://schemas.microsoft.com/office/drawing/2014/main" id="{00000000-0008-0000-0900-000051000000}"/>
            </a:ext>
          </a:extLst>
        </xdr:cNvPr>
        <xdr:cNvSpPr/>
      </xdr:nvSpPr>
      <xdr:spPr>
        <a:xfrm>
          <a:off x="819150" y="22393275"/>
          <a:ext cx="1495426" cy="3524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82" name="Rectangle 81">
          <a:extLst>
            <a:ext uri="{FF2B5EF4-FFF2-40B4-BE49-F238E27FC236}">
              <a16:creationId xmlns:a16="http://schemas.microsoft.com/office/drawing/2014/main" id="{00000000-0008-0000-0900-000052000000}"/>
            </a:ext>
          </a:extLst>
        </xdr:cNvPr>
        <xdr:cNvSpPr/>
      </xdr:nvSpPr>
      <xdr:spPr>
        <a:xfrm>
          <a:off x="4495800" y="22126575"/>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83" name="Rectangle 82">
          <a:extLst>
            <a:ext uri="{FF2B5EF4-FFF2-40B4-BE49-F238E27FC236}">
              <a16:creationId xmlns:a16="http://schemas.microsoft.com/office/drawing/2014/main" id="{00000000-0008-0000-0900-000053000000}"/>
            </a:ext>
          </a:extLst>
        </xdr:cNvPr>
        <xdr:cNvSpPr/>
      </xdr:nvSpPr>
      <xdr:spPr>
        <a:xfrm>
          <a:off x="4476750" y="22612350"/>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84" name="Straight Arrow Connector 83">
          <a:extLst>
            <a:ext uri="{FF2B5EF4-FFF2-40B4-BE49-F238E27FC236}">
              <a16:creationId xmlns:a16="http://schemas.microsoft.com/office/drawing/2014/main" id="{00000000-0008-0000-0900-000054000000}"/>
            </a:ext>
          </a:extLst>
        </xdr:cNvPr>
        <xdr:cNvCxnSpPr>
          <a:stCxn id="83" idx="3"/>
        </xdr:cNvCxnSpPr>
      </xdr:nvCxnSpPr>
      <xdr:spPr>
        <a:xfrm flipV="1">
          <a:off x="5972176" y="22783800"/>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85" name="Straight Arrow Connector 84">
          <a:extLst>
            <a:ext uri="{FF2B5EF4-FFF2-40B4-BE49-F238E27FC236}">
              <a16:creationId xmlns:a16="http://schemas.microsoft.com/office/drawing/2014/main" id="{00000000-0008-0000-0900-000055000000}"/>
            </a:ext>
          </a:extLst>
        </xdr:cNvPr>
        <xdr:cNvCxnSpPr>
          <a:stCxn id="82" idx="3"/>
        </xdr:cNvCxnSpPr>
      </xdr:nvCxnSpPr>
      <xdr:spPr>
        <a:xfrm flipV="1">
          <a:off x="5991226" y="22294850"/>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92" name="Straight Arrow Connector 91">
          <a:extLst>
            <a:ext uri="{FF2B5EF4-FFF2-40B4-BE49-F238E27FC236}">
              <a16:creationId xmlns:a16="http://schemas.microsoft.com/office/drawing/2014/main" id="{00000000-0008-0000-0900-00005C000000}"/>
            </a:ext>
          </a:extLst>
        </xdr:cNvPr>
        <xdr:cNvCxnSpPr>
          <a:stCxn id="7" idx="3"/>
          <a:endCxn id="82" idx="1"/>
        </xdr:cNvCxnSpPr>
      </xdr:nvCxnSpPr>
      <xdr:spPr>
        <a:xfrm flipV="1">
          <a:off x="3771900" y="22302788"/>
          <a:ext cx="723900" cy="2476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95" name="Straight Arrow Connector 94">
          <a:extLst>
            <a:ext uri="{FF2B5EF4-FFF2-40B4-BE49-F238E27FC236}">
              <a16:creationId xmlns:a16="http://schemas.microsoft.com/office/drawing/2014/main" id="{00000000-0008-0000-0900-00005F000000}"/>
            </a:ext>
          </a:extLst>
        </xdr:cNvPr>
        <xdr:cNvCxnSpPr>
          <a:stCxn id="7" idx="3"/>
          <a:endCxn id="83" idx="1"/>
        </xdr:cNvCxnSpPr>
      </xdr:nvCxnSpPr>
      <xdr:spPr>
        <a:xfrm>
          <a:off x="3771900" y="22550438"/>
          <a:ext cx="704850"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108" name="Rectangle 107">
          <a:extLst>
            <a:ext uri="{FF2B5EF4-FFF2-40B4-BE49-F238E27FC236}">
              <a16:creationId xmlns:a16="http://schemas.microsoft.com/office/drawing/2014/main" id="{00000000-0008-0000-0900-00006C000000}"/>
            </a:ext>
          </a:extLst>
        </xdr:cNvPr>
        <xdr:cNvSpPr/>
      </xdr:nvSpPr>
      <xdr:spPr>
        <a:xfrm>
          <a:off x="4486275" y="19335750"/>
          <a:ext cx="1495426"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109" name="Rectangle 108">
          <a:extLst>
            <a:ext uri="{FF2B5EF4-FFF2-40B4-BE49-F238E27FC236}">
              <a16:creationId xmlns:a16="http://schemas.microsoft.com/office/drawing/2014/main" id="{00000000-0008-0000-0900-00006D000000}"/>
            </a:ext>
          </a:extLst>
        </xdr:cNvPr>
        <xdr:cNvSpPr/>
      </xdr:nvSpPr>
      <xdr:spPr>
        <a:xfrm>
          <a:off x="4486275" y="19821525"/>
          <a:ext cx="1495426"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110" name="Straight Arrow Connector 109">
          <a:extLst>
            <a:ext uri="{FF2B5EF4-FFF2-40B4-BE49-F238E27FC236}">
              <a16:creationId xmlns:a16="http://schemas.microsoft.com/office/drawing/2014/main" id="{00000000-0008-0000-0900-00006E000000}"/>
            </a:ext>
          </a:extLst>
        </xdr:cNvPr>
        <xdr:cNvCxnSpPr>
          <a:stCxn id="109" idx="3"/>
        </xdr:cNvCxnSpPr>
      </xdr:nvCxnSpPr>
      <xdr:spPr>
        <a:xfrm flipV="1">
          <a:off x="5981701" y="19992975"/>
          <a:ext cx="561975"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111" name="Straight Arrow Connector 110">
          <a:extLst>
            <a:ext uri="{FF2B5EF4-FFF2-40B4-BE49-F238E27FC236}">
              <a16:creationId xmlns:a16="http://schemas.microsoft.com/office/drawing/2014/main" id="{00000000-0008-0000-0900-00006F000000}"/>
            </a:ext>
          </a:extLst>
        </xdr:cNvPr>
        <xdr:cNvCxnSpPr>
          <a:stCxn id="108" idx="3"/>
        </xdr:cNvCxnSpPr>
      </xdr:nvCxnSpPr>
      <xdr:spPr>
        <a:xfrm flipV="1">
          <a:off x="5981701" y="19504025"/>
          <a:ext cx="55245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238125</xdr:colOff>
      <xdr:row>96</xdr:row>
      <xdr:rowOff>38100</xdr:rowOff>
    </xdr:from>
    <xdr:to>
      <xdr:col>9</xdr:col>
      <xdr:colOff>1371600</xdr:colOff>
      <xdr:row>107</xdr:row>
      <xdr:rowOff>85725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5838825" y="16182975"/>
          <a:ext cx="5943600" cy="27241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20</xdr:row>
      <xdr:rowOff>123825</xdr:rowOff>
    </xdr:from>
    <xdr:to>
      <xdr:col>22</xdr:col>
      <xdr:colOff>409575</xdr:colOff>
      <xdr:row>44</xdr:row>
      <xdr:rowOff>180975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124</xdr:row>
      <xdr:rowOff>0</xdr:rowOff>
    </xdr:from>
    <xdr:to>
      <xdr:col>16</xdr:col>
      <xdr:colOff>213360</xdr:colOff>
      <xdr:row>144</xdr:row>
      <xdr:rowOff>60960</xdr:rowOff>
    </xdr:to>
    <xdr:pic>
      <xdr:nvPicPr>
        <xdr:cNvPr id="2134592" name="Picture 1">
          <a:extLst>
            <a:ext uri="{FF2B5EF4-FFF2-40B4-BE49-F238E27FC236}">
              <a16:creationId xmlns:a16="http://schemas.microsoft.com/office/drawing/2014/main" id="{00000000-0008-0000-0C00-000040922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1560" y="22989540"/>
          <a:ext cx="5692140" cy="3413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0</xdr:colOff>
      <xdr:row>124</xdr:row>
      <xdr:rowOff>0</xdr:rowOff>
    </xdr:from>
    <xdr:to>
      <xdr:col>32</xdr:col>
      <xdr:colOff>365760</xdr:colOff>
      <xdr:row>145</xdr:row>
      <xdr:rowOff>106680</xdr:rowOff>
    </xdr:to>
    <xdr:pic>
      <xdr:nvPicPr>
        <xdr:cNvPr id="2134593" name="Picture 2">
          <a:extLst>
            <a:ext uri="{FF2B5EF4-FFF2-40B4-BE49-F238E27FC236}">
              <a16:creationId xmlns:a16="http://schemas.microsoft.com/office/drawing/2014/main" id="{00000000-0008-0000-0C00-000041922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701260" y="22989540"/>
          <a:ext cx="587502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14</xdr:col>
      <xdr:colOff>182880</xdr:colOff>
      <xdr:row>169</xdr:row>
      <xdr:rowOff>68580</xdr:rowOff>
    </xdr:to>
    <xdr:pic>
      <xdr:nvPicPr>
        <xdr:cNvPr id="2134594" name="Picture 3">
          <a:extLst>
            <a:ext uri="{FF2B5EF4-FFF2-40B4-BE49-F238E27FC236}">
              <a16:creationId xmlns:a16="http://schemas.microsoft.com/office/drawing/2014/main" id="{00000000-0008-0000-0C00-000042922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85760" y="27348180"/>
          <a:ext cx="5082540" cy="3253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14</xdr:col>
      <xdr:colOff>91440</xdr:colOff>
      <xdr:row>191</xdr:row>
      <xdr:rowOff>106680</xdr:rowOff>
    </xdr:to>
    <xdr:pic>
      <xdr:nvPicPr>
        <xdr:cNvPr id="2134595" name="Picture 4">
          <a:extLst>
            <a:ext uri="{FF2B5EF4-FFF2-40B4-BE49-F238E27FC236}">
              <a16:creationId xmlns:a16="http://schemas.microsoft.com/office/drawing/2014/main" id="{00000000-0008-0000-0C00-000043922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85760" y="30700980"/>
          <a:ext cx="4991100" cy="3627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23</xdr:col>
      <xdr:colOff>91440</xdr:colOff>
      <xdr:row>191</xdr:row>
      <xdr:rowOff>91440</xdr:rowOff>
    </xdr:to>
    <xdr:pic>
      <xdr:nvPicPr>
        <xdr:cNvPr id="2134596" name="Picture 5">
          <a:extLst>
            <a:ext uri="{FF2B5EF4-FFF2-40B4-BE49-F238E27FC236}">
              <a16:creationId xmlns:a16="http://schemas.microsoft.com/office/drawing/2014/main" id="{00000000-0008-0000-0C00-000044922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80720" y="30700980"/>
          <a:ext cx="5074920" cy="3611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457200</xdr:colOff>
      <xdr:row>169</xdr:row>
      <xdr:rowOff>106680</xdr:rowOff>
    </xdr:to>
    <xdr:pic>
      <xdr:nvPicPr>
        <xdr:cNvPr id="2134597" name="Picture 6">
          <a:extLst>
            <a:ext uri="{FF2B5EF4-FFF2-40B4-BE49-F238E27FC236}">
              <a16:creationId xmlns:a16="http://schemas.microsoft.com/office/drawing/2014/main" id="{00000000-0008-0000-0C00-000045922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67360" y="27081480"/>
          <a:ext cx="4991100" cy="355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59</xdr:row>
      <xdr:rowOff>7620</xdr:rowOff>
    </xdr:from>
    <xdr:to>
      <xdr:col>33</xdr:col>
      <xdr:colOff>385762</xdr:colOff>
      <xdr:row>77</xdr:row>
      <xdr:rowOff>30480</xdr:rowOff>
    </xdr:to>
    <xdr:pic>
      <xdr:nvPicPr>
        <xdr:cNvPr id="2134598" name="Picture 1">
          <a:extLst>
            <a:ext uri="{FF2B5EF4-FFF2-40B4-BE49-F238E27FC236}">
              <a16:creationId xmlns:a16="http://schemas.microsoft.com/office/drawing/2014/main" id="{00000000-0008-0000-0C00-000046922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466820" y="11430000"/>
          <a:ext cx="7010400"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0</xdr:colOff>
          <xdr:row>3</xdr:row>
          <xdr:rowOff>0</xdr:rowOff>
        </xdr:to>
        <xdr:sp macro="" textlink="">
          <xdr:nvSpPr>
            <xdr:cNvPr id="4097" name="cmdCheckItemsSheet"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152400</xdr:colOff>
          <xdr:row>4</xdr:row>
          <xdr:rowOff>95250</xdr:rowOff>
        </xdr:to>
        <xdr:sp macro="" textlink="">
          <xdr:nvSpPr>
            <xdr:cNvPr id="4098" name="cmdSpecifyComponent" hidden="1">
              <a:extLst>
                <a:ext uri="{63B3BB69-23CF-44E3-9099-C40C66FF867C}">
                  <a14:compatExt spid="_x0000_s4098"/>
                </a:ext>
                <a:ext uri="{FF2B5EF4-FFF2-40B4-BE49-F238E27FC236}">
                  <a16:creationId xmlns:a16="http://schemas.microsoft.com/office/drawing/2014/main" id="{00000000-0008-0000-0D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4</xdr:col>
          <xdr:colOff>676275</xdr:colOff>
          <xdr:row>4</xdr:row>
          <xdr:rowOff>104775</xdr:rowOff>
        </xdr:to>
        <xdr:sp macro="" textlink="">
          <xdr:nvSpPr>
            <xdr:cNvPr id="4099" name="cmdSpecifyUnits" hidden="1">
              <a:extLst>
                <a:ext uri="{63B3BB69-23CF-44E3-9099-C40C66FF867C}">
                  <a14:compatExt spid="_x0000_s4099"/>
                </a:ext>
                <a:ext uri="{FF2B5EF4-FFF2-40B4-BE49-F238E27FC236}">
                  <a16:creationId xmlns:a16="http://schemas.microsoft.com/office/drawing/2014/main" id="{00000000-0008-0000-0D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104775</xdr:rowOff>
        </xdr:to>
        <xdr:sp macro="" textlink="">
          <xdr:nvSpPr>
            <xdr:cNvPr id="4100" name="cmdSpecifySets" hidden="1">
              <a:extLst>
                <a:ext uri="{63B3BB69-23CF-44E3-9099-C40C66FF867C}">
                  <a14:compatExt spid="_x0000_s4100"/>
                </a:ext>
                <a:ext uri="{FF2B5EF4-FFF2-40B4-BE49-F238E27FC236}">
                  <a16:creationId xmlns:a16="http://schemas.microsoft.com/office/drawing/2014/main" id="{00000000-0008-0000-0D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5121" name="cmdCheckTSandTIDDataSheet" hidden="1">
              <a:extLst>
                <a:ext uri="{63B3BB69-23CF-44E3-9099-C40C66FF867C}">
                  <a14:compatExt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5122" name="cmdSpecifyParameter" hidden="1">
              <a:extLst>
                <a:ext uri="{63B3BB69-23CF-44E3-9099-C40C66FF867C}">
                  <a14:compatExt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5123" name="cmdSpecifyArg1" hidden="1">
              <a:extLst>
                <a:ext uri="{63B3BB69-23CF-44E3-9099-C40C66FF867C}">
                  <a14:compatExt spid="_x0000_s5123"/>
                </a:ext>
                <a:ext uri="{FF2B5EF4-FFF2-40B4-BE49-F238E27FC236}">
                  <a16:creationId xmlns:a16="http://schemas.microsoft.com/office/drawing/2014/main" id="{00000000-0008-0000-0E00-000003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5124" name="cmdSpecifyArg2" hidden="1">
              <a:extLst>
                <a:ext uri="{63B3BB69-23CF-44E3-9099-C40C66FF867C}">
                  <a14:compatExt spid="_x0000_s5124"/>
                </a:ext>
                <a:ext uri="{FF2B5EF4-FFF2-40B4-BE49-F238E27FC236}">
                  <a16:creationId xmlns:a16="http://schemas.microsoft.com/office/drawing/2014/main" id="{00000000-0008-0000-0E00-000004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5125" name="cmdSpecifyArg3" hidden="1">
              <a:extLst>
                <a:ext uri="{63B3BB69-23CF-44E3-9099-C40C66FF867C}">
                  <a14:compatExt spid="_x0000_s5125"/>
                </a:ext>
                <a:ext uri="{FF2B5EF4-FFF2-40B4-BE49-F238E27FC236}">
                  <a16:creationId xmlns:a16="http://schemas.microsoft.com/office/drawing/2014/main" id="{00000000-0008-0000-0E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5126" name="cmdSpecifyArg4" hidden="1">
              <a:extLst>
                <a:ext uri="{63B3BB69-23CF-44E3-9099-C40C66FF867C}">
                  <a14:compatExt spid="_x0000_s5126"/>
                </a:ext>
                <a:ext uri="{FF2B5EF4-FFF2-40B4-BE49-F238E27FC236}">
                  <a16:creationId xmlns:a16="http://schemas.microsoft.com/office/drawing/2014/main" id="{00000000-0008-0000-0E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5127" name="cmdSpecifyArg5" hidden="1">
              <a:extLst>
                <a:ext uri="{63B3BB69-23CF-44E3-9099-C40C66FF867C}">
                  <a14:compatExt spid="_x0000_s5127"/>
                </a:ext>
                <a:ext uri="{FF2B5EF4-FFF2-40B4-BE49-F238E27FC236}">
                  <a16:creationId xmlns:a16="http://schemas.microsoft.com/office/drawing/2014/main" id="{00000000-0008-0000-0E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5128" name="cmdSpecifyArg6" hidden="1">
              <a:extLst>
                <a:ext uri="{63B3BB69-23CF-44E3-9099-C40C66FF867C}">
                  <a14:compatExt spid="_x0000_s5128"/>
                </a:ext>
                <a:ext uri="{FF2B5EF4-FFF2-40B4-BE49-F238E27FC236}">
                  <a16:creationId xmlns:a16="http://schemas.microsoft.com/office/drawing/2014/main" id="{00000000-0008-0000-0E00-000008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5129" name="cmdSpecifyIEOptcode" hidden="1">
              <a:extLst>
                <a:ext uri="{63B3BB69-23CF-44E3-9099-C40C66FF867C}">
                  <a14:compatExt spid="_x0000_s5129"/>
                </a:ext>
                <a:ext uri="{FF2B5EF4-FFF2-40B4-BE49-F238E27FC236}">
                  <a16:creationId xmlns:a16="http://schemas.microsoft.com/office/drawing/2014/main" id="{00000000-0008-0000-0E00-000009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0</xdr:col>
      <xdr:colOff>311021</xdr:colOff>
      <xdr:row>126</xdr:row>
      <xdr:rowOff>115468</xdr:rowOff>
    </xdr:from>
    <xdr:to>
      <xdr:col>16</xdr:col>
      <xdr:colOff>7277</xdr:colOff>
      <xdr:row>145</xdr:row>
      <xdr:rowOff>56893</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1"/>
        <a:stretch>
          <a:fillRect/>
        </a:stretch>
      </xdr:blipFill>
      <xdr:spPr>
        <a:xfrm>
          <a:off x="311021" y="17641468"/>
          <a:ext cx="9729256" cy="2354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0</xdr:colOff>
      <xdr:row>3</xdr:row>
      <xdr:rowOff>44450</xdr:rowOff>
    </xdr:to>
    <xdr:sp macro="" textlink="">
      <xdr:nvSpPr>
        <xdr:cNvPr id="2" name="cmdCheckTSandTIDDataSheet" hidden="1">
          <a:extLst>
            <a:ext uri="{63B3BB69-23CF-44E3-9099-C40C66FF867C}">
              <a14:compatExt xmlns:a14="http://schemas.microsoft.com/office/drawing/2010/main" spid="_x0000_s2377729"/>
            </a:ext>
            <a:ext uri="{FF2B5EF4-FFF2-40B4-BE49-F238E27FC236}">
              <a16:creationId xmlns:a16="http://schemas.microsoft.com/office/drawing/2014/main" id="{00000000-0008-0000-0F00-000002000000}"/>
            </a:ext>
          </a:extLst>
        </xdr:cNvPr>
        <xdr:cNvSpPr/>
      </xdr:nvSpPr>
      <xdr:spPr>
        <a:xfrm>
          <a:off x="0" y="0"/>
          <a:ext cx="0" cy="0"/>
        </a:xfrm>
        <a:prstGeom prst="rect">
          <a:avLst/>
        </a:prstGeom>
      </xdr:spPr>
    </xdr:sp>
    <xdr:clientData/>
  </xdr:twoCellAnchor>
  <xdr:twoCellAnchor editAs="oneCell">
    <xdr:from>
      <xdr:col>1</xdr:col>
      <xdr:colOff>0</xdr:colOff>
      <xdr:row>3</xdr:row>
      <xdr:rowOff>0</xdr:rowOff>
    </xdr:from>
    <xdr:to>
      <xdr:col>2</xdr:col>
      <xdr:colOff>0</xdr:colOff>
      <xdr:row>4</xdr:row>
      <xdr:rowOff>120650</xdr:rowOff>
    </xdr:to>
    <xdr:sp macro="" textlink="">
      <xdr:nvSpPr>
        <xdr:cNvPr id="3" name="cmdSpecifyParameter" hidden="1">
          <a:extLst>
            <a:ext uri="{63B3BB69-23CF-44E3-9099-C40C66FF867C}">
              <a14:compatExt xmlns:a14="http://schemas.microsoft.com/office/drawing/2010/main" spid="_x0000_s2377730"/>
            </a:ext>
            <a:ext uri="{FF2B5EF4-FFF2-40B4-BE49-F238E27FC236}">
              <a16:creationId xmlns:a16="http://schemas.microsoft.com/office/drawing/2014/main" id="{00000000-0008-0000-0F00-000003000000}"/>
            </a:ext>
          </a:extLst>
        </xdr:cNvPr>
        <xdr:cNvSpPr/>
      </xdr:nvSpPr>
      <xdr:spPr>
        <a:xfrm>
          <a:off x="0" y="0"/>
          <a:ext cx="0" cy="0"/>
        </a:xfrm>
        <a:prstGeom prst="rect">
          <a:avLst/>
        </a:prstGeom>
      </xdr:spPr>
    </xdr:sp>
    <xdr:clientData/>
  </xdr:twoCellAnchor>
  <xdr:twoCellAnchor editAs="oneCell">
    <xdr:from>
      <xdr:col>2</xdr:col>
      <xdr:colOff>0</xdr:colOff>
      <xdr:row>3</xdr:row>
      <xdr:rowOff>0</xdr:rowOff>
    </xdr:from>
    <xdr:to>
      <xdr:col>2</xdr:col>
      <xdr:colOff>622300</xdr:colOff>
      <xdr:row>4</xdr:row>
      <xdr:rowOff>120650</xdr:rowOff>
    </xdr:to>
    <xdr:sp macro="" textlink="">
      <xdr:nvSpPr>
        <xdr:cNvPr id="4" name="cmdSpecifyArg1" hidden="1">
          <a:extLst>
            <a:ext uri="{63B3BB69-23CF-44E3-9099-C40C66FF867C}">
              <a14:compatExt xmlns:a14="http://schemas.microsoft.com/office/drawing/2010/main" spid="_x0000_s2377731"/>
            </a:ext>
            <a:ext uri="{FF2B5EF4-FFF2-40B4-BE49-F238E27FC236}">
              <a16:creationId xmlns:a16="http://schemas.microsoft.com/office/drawing/2014/main" id="{00000000-0008-0000-0F00-000004000000}"/>
            </a:ext>
          </a:extLst>
        </xdr:cNvPr>
        <xdr:cNvSpPr/>
      </xdr:nvSpPr>
      <xdr:spPr>
        <a:xfrm>
          <a:off x="0" y="0"/>
          <a:ext cx="0" cy="0"/>
        </a:xfrm>
        <a:prstGeom prst="rect">
          <a:avLst/>
        </a:prstGeom>
      </xdr:spPr>
    </xdr:sp>
    <xdr:clientData/>
  </xdr:twoCellAnchor>
  <xdr:twoCellAnchor editAs="oneCell">
    <xdr:from>
      <xdr:col>3</xdr:col>
      <xdr:colOff>0</xdr:colOff>
      <xdr:row>3</xdr:row>
      <xdr:rowOff>0</xdr:rowOff>
    </xdr:from>
    <xdr:to>
      <xdr:col>3</xdr:col>
      <xdr:colOff>622300</xdr:colOff>
      <xdr:row>4</xdr:row>
      <xdr:rowOff>120650</xdr:rowOff>
    </xdr:to>
    <xdr:sp macro="" textlink="">
      <xdr:nvSpPr>
        <xdr:cNvPr id="5" name="cmdSpecifyArg2" hidden="1">
          <a:extLst>
            <a:ext uri="{63B3BB69-23CF-44E3-9099-C40C66FF867C}">
              <a14:compatExt xmlns:a14="http://schemas.microsoft.com/office/drawing/2010/main" spid="_x0000_s2377732"/>
            </a:ext>
            <a:ext uri="{FF2B5EF4-FFF2-40B4-BE49-F238E27FC236}">
              <a16:creationId xmlns:a16="http://schemas.microsoft.com/office/drawing/2014/main" id="{00000000-0008-0000-0F00-000005000000}"/>
            </a:ext>
          </a:extLst>
        </xdr:cNvPr>
        <xdr:cNvSpPr/>
      </xdr:nvSpPr>
      <xdr:spPr>
        <a:xfrm>
          <a:off x="0" y="0"/>
          <a:ext cx="0" cy="0"/>
        </a:xfrm>
        <a:prstGeom prst="rect">
          <a:avLst/>
        </a:prstGeom>
      </xdr:spPr>
    </xdr:sp>
    <xdr:clientData/>
  </xdr:twoCellAnchor>
  <xdr:twoCellAnchor editAs="oneCell">
    <xdr:from>
      <xdr:col>4</xdr:col>
      <xdr:colOff>0</xdr:colOff>
      <xdr:row>3</xdr:row>
      <xdr:rowOff>0</xdr:rowOff>
    </xdr:from>
    <xdr:to>
      <xdr:col>5</xdr:col>
      <xdr:colOff>12700</xdr:colOff>
      <xdr:row>4</xdr:row>
      <xdr:rowOff>88900</xdr:rowOff>
    </xdr:to>
    <xdr:sp macro="" textlink="">
      <xdr:nvSpPr>
        <xdr:cNvPr id="6" name="cmdSpecifyArg3" hidden="1">
          <a:extLst>
            <a:ext uri="{63B3BB69-23CF-44E3-9099-C40C66FF867C}">
              <a14:compatExt xmlns:a14="http://schemas.microsoft.com/office/drawing/2010/main" spid="_x0000_s2377733"/>
            </a:ext>
            <a:ext uri="{FF2B5EF4-FFF2-40B4-BE49-F238E27FC236}">
              <a16:creationId xmlns:a16="http://schemas.microsoft.com/office/drawing/2014/main" id="{00000000-0008-0000-0F00-000006000000}"/>
            </a:ext>
          </a:extLst>
        </xdr:cNvPr>
        <xdr:cNvSpPr/>
      </xdr:nvSpPr>
      <xdr:spPr>
        <a:xfrm>
          <a:off x="0" y="0"/>
          <a:ext cx="0" cy="0"/>
        </a:xfrm>
        <a:prstGeom prst="rect">
          <a:avLst/>
        </a:prstGeom>
      </xdr:spPr>
    </xdr:sp>
    <xdr:clientData/>
  </xdr:twoCellAnchor>
  <xdr:twoCellAnchor editAs="oneCell">
    <xdr:from>
      <xdr:col>5</xdr:col>
      <xdr:colOff>0</xdr:colOff>
      <xdr:row>3</xdr:row>
      <xdr:rowOff>0</xdr:rowOff>
    </xdr:from>
    <xdr:to>
      <xdr:col>6</xdr:col>
      <xdr:colOff>12700</xdr:colOff>
      <xdr:row>4</xdr:row>
      <xdr:rowOff>88900</xdr:rowOff>
    </xdr:to>
    <xdr:sp macro="" textlink="">
      <xdr:nvSpPr>
        <xdr:cNvPr id="7" name="cmdSpecifyArg4" hidden="1">
          <a:extLst>
            <a:ext uri="{63B3BB69-23CF-44E3-9099-C40C66FF867C}">
              <a14:compatExt xmlns:a14="http://schemas.microsoft.com/office/drawing/2010/main" spid="_x0000_s2377734"/>
            </a:ext>
            <a:ext uri="{FF2B5EF4-FFF2-40B4-BE49-F238E27FC236}">
              <a16:creationId xmlns:a16="http://schemas.microsoft.com/office/drawing/2014/main" id="{00000000-0008-0000-0F00-000007000000}"/>
            </a:ext>
          </a:extLst>
        </xdr:cNvPr>
        <xdr:cNvSpPr/>
      </xdr:nvSpPr>
      <xdr:spPr>
        <a:xfrm>
          <a:off x="0" y="0"/>
          <a:ext cx="0" cy="0"/>
        </a:xfrm>
        <a:prstGeom prst="rect">
          <a:avLst/>
        </a:prstGeom>
      </xdr:spPr>
    </xdr:sp>
    <xdr:clientData/>
  </xdr:twoCellAnchor>
  <xdr:twoCellAnchor editAs="oneCell">
    <xdr:from>
      <xdr:col>6</xdr:col>
      <xdr:colOff>0</xdr:colOff>
      <xdr:row>3</xdr:row>
      <xdr:rowOff>0</xdr:rowOff>
    </xdr:from>
    <xdr:to>
      <xdr:col>7</xdr:col>
      <xdr:colOff>12700</xdr:colOff>
      <xdr:row>4</xdr:row>
      <xdr:rowOff>88900</xdr:rowOff>
    </xdr:to>
    <xdr:sp macro="" textlink="">
      <xdr:nvSpPr>
        <xdr:cNvPr id="8" name="cmdSpecifyArg5" hidden="1">
          <a:extLst>
            <a:ext uri="{63B3BB69-23CF-44E3-9099-C40C66FF867C}">
              <a14:compatExt xmlns:a14="http://schemas.microsoft.com/office/drawing/2010/main" spid="_x0000_s2377735"/>
            </a:ext>
            <a:ext uri="{FF2B5EF4-FFF2-40B4-BE49-F238E27FC236}">
              <a16:creationId xmlns:a16="http://schemas.microsoft.com/office/drawing/2014/main" id="{00000000-0008-0000-0F00-000008000000}"/>
            </a:ext>
          </a:extLst>
        </xdr:cNvPr>
        <xdr:cNvSpPr/>
      </xdr:nvSpPr>
      <xdr:spPr>
        <a:xfrm>
          <a:off x="0" y="0"/>
          <a:ext cx="0" cy="0"/>
        </a:xfrm>
        <a:prstGeom prst="rect">
          <a:avLst/>
        </a:prstGeom>
      </xdr:spPr>
    </xdr:sp>
    <xdr:clientData/>
  </xdr:twoCellAnchor>
  <xdr:twoCellAnchor editAs="oneCell">
    <xdr:from>
      <xdr:col>7</xdr:col>
      <xdr:colOff>0</xdr:colOff>
      <xdr:row>3</xdr:row>
      <xdr:rowOff>0</xdr:rowOff>
    </xdr:from>
    <xdr:to>
      <xdr:col>8</xdr:col>
      <xdr:colOff>12700</xdr:colOff>
      <xdr:row>4</xdr:row>
      <xdr:rowOff>88900</xdr:rowOff>
    </xdr:to>
    <xdr:sp macro="" textlink="">
      <xdr:nvSpPr>
        <xdr:cNvPr id="9" name="cmdSpecifyArg6" hidden="1">
          <a:extLst>
            <a:ext uri="{63B3BB69-23CF-44E3-9099-C40C66FF867C}">
              <a14:compatExt xmlns:a14="http://schemas.microsoft.com/office/drawing/2010/main" spid="_x0000_s2377736"/>
            </a:ext>
            <a:ext uri="{FF2B5EF4-FFF2-40B4-BE49-F238E27FC236}">
              <a16:creationId xmlns:a16="http://schemas.microsoft.com/office/drawing/2014/main" id="{00000000-0008-0000-0F00-000009000000}"/>
            </a:ext>
          </a:extLst>
        </xdr:cNvPr>
        <xdr:cNvSpPr/>
      </xdr:nvSpPr>
      <xdr:spPr>
        <a:xfrm>
          <a:off x="0" y="0"/>
          <a:ext cx="0" cy="0"/>
        </a:xfrm>
        <a:prstGeom prst="rect">
          <a:avLst/>
        </a:prstGeom>
      </xdr:spPr>
    </xdr:sp>
    <xdr:clientData/>
  </xdr:twoCellAnchor>
  <xdr:twoCellAnchor editAs="oneCell">
    <xdr:from>
      <xdr:col>8</xdr:col>
      <xdr:colOff>50800</xdr:colOff>
      <xdr:row>3</xdr:row>
      <xdr:rowOff>0</xdr:rowOff>
    </xdr:from>
    <xdr:to>
      <xdr:col>8</xdr:col>
      <xdr:colOff>469900</xdr:colOff>
      <xdr:row>4</xdr:row>
      <xdr:rowOff>120650</xdr:rowOff>
    </xdr:to>
    <xdr:sp macro="" textlink="">
      <xdr:nvSpPr>
        <xdr:cNvPr id="10" name="cmdSpecifyIEOptcode" hidden="1">
          <a:extLst>
            <a:ext uri="{63B3BB69-23CF-44E3-9099-C40C66FF867C}">
              <a14:compatExt xmlns:a14="http://schemas.microsoft.com/office/drawing/2010/main" spid="_x0000_s2377737"/>
            </a:ext>
            <a:ext uri="{FF2B5EF4-FFF2-40B4-BE49-F238E27FC236}">
              <a16:creationId xmlns:a16="http://schemas.microsoft.com/office/drawing/2014/main" id="{00000000-0008-0000-0F00-00000A000000}"/>
            </a:ext>
          </a:extLst>
        </xdr:cNvPr>
        <xdr:cNvSpPr/>
      </xdr:nvSpPr>
      <xdr:spPr>
        <a:xfrm>
          <a:off x="0" y="0"/>
          <a:ext cx="0" cy="0"/>
        </a:xfrm>
        <a:prstGeom prst="rect">
          <a:avLst/>
        </a:prstGeom>
      </xdr:spPr>
    </xdr:sp>
    <xdr:clientData/>
  </xdr:twoCellAnchor>
  <xdr:twoCellAnchor editAs="oneCell">
    <xdr:from>
      <xdr:col>0</xdr:col>
      <xdr:colOff>0</xdr:colOff>
      <xdr:row>2</xdr:row>
      <xdr:rowOff>0</xdr:rowOff>
    </xdr:from>
    <xdr:to>
      <xdr:col>1</xdr:col>
      <xdr:colOff>0</xdr:colOff>
      <xdr:row>3</xdr:row>
      <xdr:rowOff>44450</xdr:rowOff>
    </xdr:to>
    <xdr:pic>
      <xdr:nvPicPr>
        <xdr:cNvPr id="2377729" name="cmdCheckTSandTIDDataSheet">
          <a:extLst>
            <a:ext uri="{FF2B5EF4-FFF2-40B4-BE49-F238E27FC236}">
              <a16:creationId xmlns:a16="http://schemas.microsoft.com/office/drawing/2014/main" id="{00000000-0008-0000-0F00-0000014824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350"/>
          <a:ext cx="819150" cy="2349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0</xdr:colOff>
      <xdr:row>4</xdr:row>
      <xdr:rowOff>120650</xdr:rowOff>
    </xdr:to>
    <xdr:pic>
      <xdr:nvPicPr>
        <xdr:cNvPr id="2377730" name="cmdSpecifyParameter">
          <a:extLst>
            <a:ext uri="{FF2B5EF4-FFF2-40B4-BE49-F238E27FC236}">
              <a16:creationId xmlns:a16="http://schemas.microsoft.com/office/drawing/2014/main" id="{00000000-0008-0000-0F00-0000024824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450850"/>
          <a:ext cx="81915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2</xdr:col>
      <xdr:colOff>622300</xdr:colOff>
      <xdr:row>4</xdr:row>
      <xdr:rowOff>120650</xdr:rowOff>
    </xdr:to>
    <xdr:pic>
      <xdr:nvPicPr>
        <xdr:cNvPr id="2377731" name="cmdSpecifyArg1">
          <a:extLst>
            <a:ext uri="{FF2B5EF4-FFF2-40B4-BE49-F238E27FC236}">
              <a16:creationId xmlns:a16="http://schemas.microsoft.com/office/drawing/2014/main" id="{00000000-0008-0000-0F00-0000034824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910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3</xdr:col>
      <xdr:colOff>622300</xdr:colOff>
      <xdr:row>4</xdr:row>
      <xdr:rowOff>120650</xdr:rowOff>
    </xdr:to>
    <xdr:pic>
      <xdr:nvPicPr>
        <xdr:cNvPr id="2377732" name="cmdSpecifyArg2">
          <a:extLst>
            <a:ext uri="{FF2B5EF4-FFF2-40B4-BE49-F238E27FC236}">
              <a16:creationId xmlns:a16="http://schemas.microsoft.com/office/drawing/2014/main" id="{00000000-0008-0000-0F00-0000044824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0150" y="450850"/>
          <a:ext cx="6223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88900</xdr:rowOff>
    </xdr:to>
    <xdr:pic>
      <xdr:nvPicPr>
        <xdr:cNvPr id="2377733" name="cmdSpecifyArg3">
          <a:extLst>
            <a:ext uri="{FF2B5EF4-FFF2-40B4-BE49-F238E27FC236}">
              <a16:creationId xmlns:a16="http://schemas.microsoft.com/office/drawing/2014/main" id="{00000000-0008-0000-0F00-0000054824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02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88900</xdr:rowOff>
    </xdr:to>
    <xdr:pic>
      <xdr:nvPicPr>
        <xdr:cNvPr id="2377734" name="cmdSpecifyArg4">
          <a:extLst>
            <a:ext uri="{FF2B5EF4-FFF2-40B4-BE49-F238E27FC236}">
              <a16:creationId xmlns:a16="http://schemas.microsoft.com/office/drawing/2014/main" id="{00000000-0008-0000-0F00-000006482400}"/>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703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88900</xdr:rowOff>
    </xdr:to>
    <xdr:pic>
      <xdr:nvPicPr>
        <xdr:cNvPr id="2377735" name="cmdSpecifyArg5">
          <a:extLst>
            <a:ext uri="{FF2B5EF4-FFF2-40B4-BE49-F238E27FC236}">
              <a16:creationId xmlns:a16="http://schemas.microsoft.com/office/drawing/2014/main" id="{00000000-0008-0000-0F00-00000748240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704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88900</xdr:rowOff>
    </xdr:to>
    <xdr:pic>
      <xdr:nvPicPr>
        <xdr:cNvPr id="2377736" name="cmdSpecifyArg6">
          <a:extLst>
            <a:ext uri="{FF2B5EF4-FFF2-40B4-BE49-F238E27FC236}">
              <a16:creationId xmlns:a16="http://schemas.microsoft.com/office/drawing/2014/main" id="{00000000-0008-0000-0F00-000008482400}"/>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70550" y="450850"/>
          <a:ext cx="8128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50800</xdr:colOff>
      <xdr:row>3</xdr:row>
      <xdr:rowOff>0</xdr:rowOff>
    </xdr:from>
    <xdr:to>
      <xdr:col>8</xdr:col>
      <xdr:colOff>469900</xdr:colOff>
      <xdr:row>4</xdr:row>
      <xdr:rowOff>120650</xdr:rowOff>
    </xdr:to>
    <xdr:pic>
      <xdr:nvPicPr>
        <xdr:cNvPr id="2377737" name="cmdSpecifyIEOptcode">
          <a:extLst>
            <a:ext uri="{FF2B5EF4-FFF2-40B4-BE49-F238E27FC236}">
              <a16:creationId xmlns:a16="http://schemas.microsoft.com/office/drawing/2014/main" id="{00000000-0008-0000-0F00-000009482400}"/>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21450" y="450850"/>
          <a:ext cx="419100" cy="247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6145" name="cmdCheckTIDDataSheet" hidden="1">
              <a:extLst>
                <a:ext uri="{63B3BB69-23CF-44E3-9099-C40C66FF867C}">
                  <a14:compatExt spid="_x0000_s6145"/>
                </a:ext>
                <a:ext uri="{FF2B5EF4-FFF2-40B4-BE49-F238E27FC236}">
                  <a16:creationId xmlns:a16="http://schemas.microsoft.com/office/drawing/2014/main" id="{00000000-0008-0000-1000-000001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6146" name="cmdSpecifyParameter" hidden="1">
              <a:extLst>
                <a:ext uri="{63B3BB69-23CF-44E3-9099-C40C66FF867C}">
                  <a14:compatExt spid="_x0000_s6146"/>
                </a:ext>
                <a:ext uri="{FF2B5EF4-FFF2-40B4-BE49-F238E27FC236}">
                  <a16:creationId xmlns:a16="http://schemas.microsoft.com/office/drawing/2014/main" id="{00000000-0008-0000-10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6147" name="cmdSpecifyArg1" hidden="1">
              <a:extLst>
                <a:ext uri="{63B3BB69-23CF-44E3-9099-C40C66FF867C}">
                  <a14:compatExt spid="_x0000_s6147"/>
                </a:ext>
                <a:ext uri="{FF2B5EF4-FFF2-40B4-BE49-F238E27FC236}">
                  <a16:creationId xmlns:a16="http://schemas.microsoft.com/office/drawing/2014/main" id="{00000000-0008-0000-10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6148" name="cmdSpecifyArg2" hidden="1">
              <a:extLst>
                <a:ext uri="{63B3BB69-23CF-44E3-9099-C40C66FF867C}">
                  <a14:compatExt spid="_x0000_s6148"/>
                </a:ext>
                <a:ext uri="{FF2B5EF4-FFF2-40B4-BE49-F238E27FC236}">
                  <a16:creationId xmlns:a16="http://schemas.microsoft.com/office/drawing/2014/main" id="{00000000-0008-0000-10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6149" name="cmdSpecifyArg3" hidden="1">
              <a:extLst>
                <a:ext uri="{63B3BB69-23CF-44E3-9099-C40C66FF867C}">
                  <a14:compatExt spid="_x0000_s6149"/>
                </a:ext>
                <a:ext uri="{FF2B5EF4-FFF2-40B4-BE49-F238E27FC236}">
                  <a16:creationId xmlns:a16="http://schemas.microsoft.com/office/drawing/2014/main" id="{00000000-0008-0000-10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6150" name="cmdSpecifyArg4" hidden="1">
              <a:extLst>
                <a:ext uri="{63B3BB69-23CF-44E3-9099-C40C66FF867C}">
                  <a14:compatExt spid="_x0000_s6150"/>
                </a:ext>
                <a:ext uri="{FF2B5EF4-FFF2-40B4-BE49-F238E27FC236}">
                  <a16:creationId xmlns:a16="http://schemas.microsoft.com/office/drawing/2014/main" id="{00000000-0008-0000-1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6151" name="cmdSpecifyArg5" hidden="1">
              <a:extLst>
                <a:ext uri="{63B3BB69-23CF-44E3-9099-C40C66FF867C}">
                  <a14:compatExt spid="_x0000_s6151"/>
                </a:ext>
                <a:ext uri="{FF2B5EF4-FFF2-40B4-BE49-F238E27FC236}">
                  <a16:creationId xmlns:a16="http://schemas.microsoft.com/office/drawing/2014/main" id="{00000000-0008-0000-10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6152" name="cmdSpecifyArg6" hidden="1">
              <a:extLst>
                <a:ext uri="{63B3BB69-23CF-44E3-9099-C40C66FF867C}">
                  <a14:compatExt spid="_x0000_s6152"/>
                </a:ext>
                <a:ext uri="{FF2B5EF4-FFF2-40B4-BE49-F238E27FC236}">
                  <a16:creationId xmlns:a16="http://schemas.microsoft.com/office/drawing/2014/main" id="{00000000-0008-0000-1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1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1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0</xdr:colOff>
          <xdr:row>4</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1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1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438150</xdr:colOff>
          <xdr:row>2</xdr:row>
          <xdr:rowOff>19050</xdr:rowOff>
        </xdr:from>
        <xdr:to>
          <xdr:col>2</xdr:col>
          <xdr:colOff>457200</xdr:colOff>
          <xdr:row>3</xdr:row>
          <xdr:rowOff>66675</xdr:rowOff>
        </xdr:to>
        <xdr:sp macro="" textlink="">
          <xdr:nvSpPr>
            <xdr:cNvPr id="10241" name="cmdCheckTSandTIDDataSheet" hidden="1">
              <a:extLst>
                <a:ext uri="{63B3BB69-23CF-44E3-9099-C40C66FF867C}">
                  <a14:compatExt spid="_x0000_s10241"/>
                </a:ext>
                <a:ext uri="{FF2B5EF4-FFF2-40B4-BE49-F238E27FC236}">
                  <a16:creationId xmlns:a16="http://schemas.microsoft.com/office/drawing/2014/main" id="{00000000-0008-0000-1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0242" name="cmdSpecifyParameter" hidden="1">
              <a:extLst>
                <a:ext uri="{63B3BB69-23CF-44E3-9099-C40C66FF867C}">
                  <a14:compatExt spid="_x0000_s10242"/>
                </a:ext>
                <a:ext uri="{FF2B5EF4-FFF2-40B4-BE49-F238E27FC236}">
                  <a16:creationId xmlns:a16="http://schemas.microsoft.com/office/drawing/2014/main" id="{00000000-0008-0000-1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0243" name="cmdSpecifyArg1" hidden="1">
              <a:extLst>
                <a:ext uri="{63B3BB69-23CF-44E3-9099-C40C66FF867C}">
                  <a14:compatExt spid="_x0000_s10243"/>
                </a:ext>
                <a:ext uri="{FF2B5EF4-FFF2-40B4-BE49-F238E27FC236}">
                  <a16:creationId xmlns:a16="http://schemas.microsoft.com/office/drawing/2014/main" id="{00000000-0008-0000-12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19050</xdr:colOff>
          <xdr:row>4</xdr:row>
          <xdr:rowOff>95250</xdr:rowOff>
        </xdr:to>
        <xdr:sp macro="" textlink="">
          <xdr:nvSpPr>
            <xdr:cNvPr id="10244" name="cmdSpecifyArg2" hidden="1">
              <a:extLst>
                <a:ext uri="{63B3BB69-23CF-44E3-9099-C40C66FF867C}">
                  <a14:compatExt spid="_x0000_s10244"/>
                </a:ext>
                <a:ext uri="{FF2B5EF4-FFF2-40B4-BE49-F238E27FC236}">
                  <a16:creationId xmlns:a16="http://schemas.microsoft.com/office/drawing/2014/main" id="{00000000-0008-0000-12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5</xdr:col>
          <xdr:colOff>19050</xdr:colOff>
          <xdr:row>4</xdr:row>
          <xdr:rowOff>95250</xdr:rowOff>
        </xdr:to>
        <xdr:sp macro="" textlink="">
          <xdr:nvSpPr>
            <xdr:cNvPr id="10245" name="cmdSpecifyArg3" hidden="1">
              <a:extLst>
                <a:ext uri="{63B3BB69-23CF-44E3-9099-C40C66FF867C}">
                  <a14:compatExt spid="_x0000_s10245"/>
                </a:ext>
                <a:ext uri="{FF2B5EF4-FFF2-40B4-BE49-F238E27FC236}">
                  <a16:creationId xmlns:a16="http://schemas.microsoft.com/office/drawing/2014/main" id="{00000000-0008-0000-1200-000005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19050</xdr:colOff>
          <xdr:row>4</xdr:row>
          <xdr:rowOff>95250</xdr:rowOff>
        </xdr:to>
        <xdr:sp macro="" textlink="">
          <xdr:nvSpPr>
            <xdr:cNvPr id="10246" name="cmdSpecifyArg4" hidden="1">
              <a:extLst>
                <a:ext uri="{63B3BB69-23CF-44E3-9099-C40C66FF867C}">
                  <a14:compatExt spid="_x0000_s10246"/>
                </a:ext>
                <a:ext uri="{FF2B5EF4-FFF2-40B4-BE49-F238E27FC236}">
                  <a16:creationId xmlns:a16="http://schemas.microsoft.com/office/drawing/2014/main" id="{00000000-0008-0000-1200-000006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19050</xdr:colOff>
          <xdr:row>4</xdr:row>
          <xdr:rowOff>95250</xdr:rowOff>
        </xdr:to>
        <xdr:sp macro="" textlink="">
          <xdr:nvSpPr>
            <xdr:cNvPr id="10247" name="cmdSpecifyArg5" hidden="1">
              <a:extLst>
                <a:ext uri="{63B3BB69-23CF-44E3-9099-C40C66FF867C}">
                  <a14:compatExt spid="_x0000_s10247"/>
                </a:ext>
                <a:ext uri="{FF2B5EF4-FFF2-40B4-BE49-F238E27FC236}">
                  <a16:creationId xmlns:a16="http://schemas.microsoft.com/office/drawing/2014/main" id="{00000000-0008-0000-1200-000007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19050</xdr:colOff>
          <xdr:row>4</xdr:row>
          <xdr:rowOff>95250</xdr:rowOff>
        </xdr:to>
        <xdr:sp macro="" textlink="">
          <xdr:nvSpPr>
            <xdr:cNvPr id="10248" name="cmdSpecifyArg6" hidden="1">
              <a:extLst>
                <a:ext uri="{63B3BB69-23CF-44E3-9099-C40C66FF867C}">
                  <a14:compatExt spid="_x0000_s10248"/>
                </a:ext>
                <a:ext uri="{FF2B5EF4-FFF2-40B4-BE49-F238E27FC236}">
                  <a16:creationId xmlns:a16="http://schemas.microsoft.com/office/drawing/2014/main" id="{00000000-0008-0000-1200-000008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10249" name="cmdSpecifyIEOptcode" hidden="1">
              <a:extLst>
                <a:ext uri="{63B3BB69-23CF-44E3-9099-C40C66FF867C}">
                  <a14:compatExt spid="_x0000_s10249"/>
                </a:ext>
                <a:ext uri="{FF2B5EF4-FFF2-40B4-BE49-F238E27FC236}">
                  <a16:creationId xmlns:a16="http://schemas.microsoft.com/office/drawing/2014/main" id="{00000000-0008-0000-1200-000009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1265" name="cmdCheckTIDDataSheet" hidden="1">
              <a:extLst>
                <a:ext uri="{63B3BB69-23CF-44E3-9099-C40C66FF867C}">
                  <a14:compatExt spid="_x0000_s11265"/>
                </a:ext>
                <a:ext uri="{FF2B5EF4-FFF2-40B4-BE49-F238E27FC236}">
                  <a16:creationId xmlns:a16="http://schemas.microsoft.com/office/drawing/2014/main" id="{00000000-0008-0000-1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19050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19050</xdr:rowOff>
        </xdr:from>
        <xdr:to>
          <xdr:col>2</xdr:col>
          <xdr:colOff>619125</xdr:colOff>
          <xdr:row>4</xdr:row>
          <xdr:rowOff>95250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3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19050</xdr:rowOff>
        </xdr:from>
        <xdr:to>
          <xdr:col>4</xdr:col>
          <xdr:colOff>19050</xdr:colOff>
          <xdr:row>4</xdr:row>
          <xdr:rowOff>95250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3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19050</xdr:rowOff>
        </xdr:from>
        <xdr:to>
          <xdr:col>5</xdr:col>
          <xdr:colOff>19050</xdr:colOff>
          <xdr:row>4</xdr:row>
          <xdr:rowOff>95250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3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19050</xdr:rowOff>
        </xdr:from>
        <xdr:to>
          <xdr:col>6</xdr:col>
          <xdr:colOff>19050</xdr:colOff>
          <xdr:row>4</xdr:row>
          <xdr:rowOff>95250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3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19050</xdr:rowOff>
        </xdr:from>
        <xdr:to>
          <xdr:col>7</xdr:col>
          <xdr:colOff>19050</xdr:colOff>
          <xdr:row>4</xdr:row>
          <xdr:rowOff>95250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3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19050</xdr:rowOff>
        </xdr:from>
        <xdr:to>
          <xdr:col>8</xdr:col>
          <xdr:colOff>19050</xdr:colOff>
          <xdr:row>4</xdr:row>
          <xdr:rowOff>95250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3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9</xdr:col>
      <xdr:colOff>485775</xdr:colOff>
      <xdr:row>34</xdr:row>
      <xdr:rowOff>271462</xdr:rowOff>
    </xdr:from>
    <xdr:to>
      <xdr:col>14</xdr:col>
      <xdr:colOff>1323975</xdr:colOff>
      <xdr:row>48</xdr:row>
      <xdr:rowOff>23812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142875</xdr:colOff>
      <xdr:row>26</xdr:row>
      <xdr:rowOff>114300</xdr:rowOff>
    </xdr:from>
    <xdr:to>
      <xdr:col>10</xdr:col>
      <xdr:colOff>66675</xdr:colOff>
      <xdr:row>42</xdr:row>
      <xdr:rowOff>74914</xdr:rowOff>
    </xdr:to>
    <xdr:pic>
      <xdr:nvPicPr>
        <xdr:cNvPr id="6" name="Picture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142875" y="5057775"/>
          <a:ext cx="6915150" cy="406588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66676</xdr:colOff>
      <xdr:row>0</xdr:row>
      <xdr:rowOff>142875</xdr:rowOff>
    </xdr:from>
    <xdr:to>
      <xdr:col>11</xdr:col>
      <xdr:colOff>390526</xdr:colOff>
      <xdr:row>13</xdr:row>
      <xdr:rowOff>95250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66676" y="142875"/>
          <a:ext cx="84391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SAPIA acquired the services of a consultant to estimate theamount of the capital investment that would be required to produce highquality fuel. This exercise has indicated that a capital expenditure of roughly$3.3 billion (approximately R26.40 billion at an exchange rate of R8.00/$1.00,Q1 2009 figures at ±40% accuracy) is required to enable the South Africanrefineries to produce fuel that is complying with the Euro 4 emissions standardand $3.7 billion (approximately R29.60 billion at an exchange rate ofR8.00/$1.00, Q1 2009 figures at ±40% accuracy) for fuel complying with theEuro 5 emissions standard. Nevertheless, contextually, the cost of migratingfrom CF1 to fuel quality compatible with Euro 5 emissions standard is notsignificantly different from that of migrating from CF1 to fuel quality compatiblewith Euro 4 emissions standard: this being R3.2 billion.       </a:t>
          </a:r>
        </a:p>
        <a:p>
          <a:endParaRPr lang="en-ZA" sz="1100"/>
        </a:p>
        <a:p>
          <a:r>
            <a:rPr lang="en-ZA" sz="1100"/>
            <a:t>STAATSKOERANT, 31 JANUARIE 2011 No. 33974 PG3GOVERNMENT NOTICEDEPARTMENT OF ENERGYNo. 49 31 January 2011PETROLEUM PRODUCTS ACT, 1977DISCUSSION DOCUMENT ON THE REVIEW OF FUEL SPECIFICATIONS AND STANDARDS FOR SOUTH Africa (edited)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3143250" y="5145088"/>
          <a:ext cx="32385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6038850" y="5057775"/>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rot="5400000" flipH="1" flipV="1">
          <a:off x="1141060" y="4183417"/>
          <a:ext cx="4038604" cy="34221"/>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rot="10800000">
          <a:off x="5753100" y="5610225"/>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rot="5400000" flipH="1" flipV="1">
          <a:off x="1651356" y="6490056"/>
          <a:ext cx="10506075"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rot="10800000">
          <a:off x="6267450" y="1895475"/>
          <a:ext cx="27241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rot="10800000">
          <a:off x="3028950" y="1336680"/>
          <a:ext cx="3886204"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36" name="Straight Arrow Connector 35">
          <a:extLst>
            <a:ext uri="{FF2B5EF4-FFF2-40B4-BE49-F238E27FC236}">
              <a16:creationId xmlns:a16="http://schemas.microsoft.com/office/drawing/2014/main" id="{00000000-0008-0000-1900-000024000000}"/>
            </a:ext>
          </a:extLst>
        </xdr:cNvPr>
        <xdr:cNvCxnSpPr/>
      </xdr:nvCxnSpPr>
      <xdr:spPr>
        <a:xfrm rot="10800000">
          <a:off x="8848725" y="5438775"/>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38" name="Straight Arrow Connector 37">
          <a:extLst>
            <a:ext uri="{FF2B5EF4-FFF2-40B4-BE49-F238E27FC236}">
              <a16:creationId xmlns:a16="http://schemas.microsoft.com/office/drawing/2014/main" id="{00000000-0008-0000-1900-000026000000}"/>
            </a:ext>
          </a:extLst>
        </xdr:cNvPr>
        <xdr:cNvCxnSpPr/>
      </xdr:nvCxnSpPr>
      <xdr:spPr>
        <a:xfrm rot="5400000" flipH="1" flipV="1">
          <a:off x="2241083" y="6498758"/>
          <a:ext cx="10467975" cy="4221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42" name="Straight Arrow Connector 41">
          <a:extLst>
            <a:ext uri="{FF2B5EF4-FFF2-40B4-BE49-F238E27FC236}">
              <a16:creationId xmlns:a16="http://schemas.microsoft.com/office/drawing/2014/main" id="{00000000-0008-0000-1900-00002A000000}"/>
            </a:ext>
          </a:extLst>
        </xdr:cNvPr>
        <xdr:cNvCxnSpPr/>
      </xdr:nvCxnSpPr>
      <xdr:spPr>
        <a:xfrm rot="10800000">
          <a:off x="6591300" y="5143500"/>
          <a:ext cx="885826"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44" name="Straight Arrow Connector 43">
          <a:extLst>
            <a:ext uri="{FF2B5EF4-FFF2-40B4-BE49-F238E27FC236}">
              <a16:creationId xmlns:a16="http://schemas.microsoft.com/office/drawing/2014/main" id="{00000000-0008-0000-1900-00002C000000}"/>
            </a:ext>
          </a:extLst>
        </xdr:cNvPr>
        <xdr:cNvCxnSpPr/>
      </xdr:nvCxnSpPr>
      <xdr:spPr>
        <a:xfrm rot="10800000">
          <a:off x="9115426" y="3421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rot="10800000">
          <a:off x="3009901" y="2097088"/>
          <a:ext cx="3914775"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3162300" y="2838450"/>
          <a:ext cx="3048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29" name="Straight Arrow Connector 28">
          <a:extLst>
            <a:ext uri="{FF2B5EF4-FFF2-40B4-BE49-F238E27FC236}">
              <a16:creationId xmlns:a16="http://schemas.microsoft.com/office/drawing/2014/main" id="{00000000-0008-0000-1900-00001D000000}"/>
            </a:ext>
          </a:extLst>
        </xdr:cNvPr>
        <xdr:cNvCxnSpPr/>
      </xdr:nvCxnSpPr>
      <xdr:spPr>
        <a:xfrm rot="10800000">
          <a:off x="6534150" y="762000"/>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rot="10800000">
          <a:off x="6543675" y="942975"/>
          <a:ext cx="295278"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rot="10800000">
          <a:off x="6543675" y="1123950"/>
          <a:ext cx="295278"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47" name="Straight Arrow Connector 46">
          <a:extLst>
            <a:ext uri="{FF2B5EF4-FFF2-40B4-BE49-F238E27FC236}">
              <a16:creationId xmlns:a16="http://schemas.microsoft.com/office/drawing/2014/main" id="{00000000-0008-0000-1900-00002F000000}"/>
            </a:ext>
          </a:extLst>
        </xdr:cNvPr>
        <xdr:cNvCxnSpPr/>
      </xdr:nvCxnSpPr>
      <xdr:spPr>
        <a:xfrm rot="10800000">
          <a:off x="6380393" y="7598456"/>
          <a:ext cx="1234165"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50" name="Straight Arrow Connector 49">
          <a:extLst>
            <a:ext uri="{FF2B5EF4-FFF2-40B4-BE49-F238E27FC236}">
              <a16:creationId xmlns:a16="http://schemas.microsoft.com/office/drawing/2014/main" id="{00000000-0008-0000-1900-000032000000}"/>
            </a:ext>
          </a:extLst>
        </xdr:cNvPr>
        <xdr:cNvCxnSpPr/>
      </xdr:nvCxnSpPr>
      <xdr:spPr>
        <a:xfrm rot="5400000">
          <a:off x="6174581" y="7339806"/>
          <a:ext cx="2068513"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53" name="Straight Arrow Connector 52">
          <a:extLst>
            <a:ext uri="{FF2B5EF4-FFF2-40B4-BE49-F238E27FC236}">
              <a16:creationId xmlns:a16="http://schemas.microsoft.com/office/drawing/2014/main" id="{00000000-0008-0000-1900-000035000000}"/>
            </a:ext>
          </a:extLst>
        </xdr:cNvPr>
        <xdr:cNvCxnSpPr/>
      </xdr:nvCxnSpPr>
      <xdr:spPr>
        <a:xfrm rot="10800000">
          <a:off x="2828928" y="6467475"/>
          <a:ext cx="619123"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56" name="Straight Arrow Connector 55">
          <a:extLst>
            <a:ext uri="{FF2B5EF4-FFF2-40B4-BE49-F238E27FC236}">
              <a16:creationId xmlns:a16="http://schemas.microsoft.com/office/drawing/2014/main" id="{00000000-0008-0000-1900-000038000000}"/>
            </a:ext>
          </a:extLst>
        </xdr:cNvPr>
        <xdr:cNvCxnSpPr/>
      </xdr:nvCxnSpPr>
      <xdr:spPr>
        <a:xfrm rot="10800000" flipV="1">
          <a:off x="7219954" y="664845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62" name="Straight Arrow Connector 61">
          <a:extLst>
            <a:ext uri="{FF2B5EF4-FFF2-40B4-BE49-F238E27FC236}">
              <a16:creationId xmlns:a16="http://schemas.microsoft.com/office/drawing/2014/main" id="{00000000-0008-0000-1900-00003E000000}"/>
            </a:ext>
          </a:extLst>
        </xdr:cNvPr>
        <xdr:cNvCxnSpPr/>
      </xdr:nvCxnSpPr>
      <xdr:spPr>
        <a:xfrm rot="5400000">
          <a:off x="290910" y="8853884"/>
          <a:ext cx="5418931"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65" name="Straight Arrow Connector 64">
          <a:extLst>
            <a:ext uri="{FF2B5EF4-FFF2-40B4-BE49-F238E27FC236}">
              <a16:creationId xmlns:a16="http://schemas.microsoft.com/office/drawing/2014/main" id="{00000000-0008-0000-1900-000041000000}"/>
            </a:ext>
          </a:extLst>
        </xdr:cNvPr>
        <xdr:cNvCxnSpPr/>
      </xdr:nvCxnSpPr>
      <xdr:spPr>
        <a:xfrm rot="10800000">
          <a:off x="2990854" y="11420475"/>
          <a:ext cx="4629146"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72" name="Straight Arrow Connector 71">
          <a:extLst>
            <a:ext uri="{FF2B5EF4-FFF2-40B4-BE49-F238E27FC236}">
              <a16:creationId xmlns:a16="http://schemas.microsoft.com/office/drawing/2014/main" id="{00000000-0008-0000-1900-000048000000}"/>
            </a:ext>
          </a:extLst>
        </xdr:cNvPr>
        <xdr:cNvCxnSpPr/>
      </xdr:nvCxnSpPr>
      <xdr:spPr>
        <a:xfrm rot="10800000">
          <a:off x="7496176" y="7993063"/>
          <a:ext cx="295275"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73" name="Straight Arrow Connector 72">
          <a:extLst>
            <a:ext uri="{FF2B5EF4-FFF2-40B4-BE49-F238E27FC236}">
              <a16:creationId xmlns:a16="http://schemas.microsoft.com/office/drawing/2014/main" id="{00000000-0008-0000-1900-000049000000}"/>
            </a:ext>
          </a:extLst>
        </xdr:cNvPr>
        <xdr:cNvCxnSpPr/>
      </xdr:nvCxnSpPr>
      <xdr:spPr>
        <a:xfrm rot="10800000">
          <a:off x="7477127" y="9507538"/>
          <a:ext cx="323848"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76" name="Straight Arrow Connector 75">
          <a:extLst>
            <a:ext uri="{FF2B5EF4-FFF2-40B4-BE49-F238E27FC236}">
              <a16:creationId xmlns:a16="http://schemas.microsoft.com/office/drawing/2014/main" id="{00000000-0008-0000-1900-00004C000000}"/>
            </a:ext>
          </a:extLst>
        </xdr:cNvPr>
        <xdr:cNvCxnSpPr/>
      </xdr:nvCxnSpPr>
      <xdr:spPr>
        <a:xfrm rot="10800000">
          <a:off x="6886575" y="7810500"/>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77" name="Straight Arrow Connector 76">
          <a:extLst>
            <a:ext uri="{FF2B5EF4-FFF2-40B4-BE49-F238E27FC236}">
              <a16:creationId xmlns:a16="http://schemas.microsoft.com/office/drawing/2014/main" id="{00000000-0008-0000-1900-00004D000000}"/>
            </a:ext>
          </a:extLst>
        </xdr:cNvPr>
        <xdr:cNvCxnSpPr/>
      </xdr:nvCxnSpPr>
      <xdr:spPr>
        <a:xfrm rot="10800000">
          <a:off x="6886575" y="9705975"/>
          <a:ext cx="89535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78" name="Straight Arrow Connector 77">
          <a:extLst>
            <a:ext uri="{FF2B5EF4-FFF2-40B4-BE49-F238E27FC236}">
              <a16:creationId xmlns:a16="http://schemas.microsoft.com/office/drawing/2014/main" id="{00000000-0008-0000-1900-00004E000000}"/>
            </a:ext>
          </a:extLst>
        </xdr:cNvPr>
        <xdr:cNvCxnSpPr/>
      </xdr:nvCxnSpPr>
      <xdr:spPr>
        <a:xfrm rot="10800000" flipV="1">
          <a:off x="7219954" y="6858000"/>
          <a:ext cx="590546"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79" name="Straight Arrow Connector 78">
          <a:extLst>
            <a:ext uri="{FF2B5EF4-FFF2-40B4-BE49-F238E27FC236}">
              <a16:creationId xmlns:a16="http://schemas.microsoft.com/office/drawing/2014/main" id="{00000000-0008-0000-1900-00004F000000}"/>
            </a:ext>
          </a:extLst>
        </xdr:cNvPr>
        <xdr:cNvCxnSpPr/>
      </xdr:nvCxnSpPr>
      <xdr:spPr>
        <a:xfrm>
          <a:off x="3267075" y="7115175"/>
          <a:ext cx="3941762" cy="11113"/>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81" name="Straight Arrow Connector 80">
          <a:extLst>
            <a:ext uri="{FF2B5EF4-FFF2-40B4-BE49-F238E27FC236}">
              <a16:creationId xmlns:a16="http://schemas.microsoft.com/office/drawing/2014/main" id="{00000000-0008-0000-1900-000051000000}"/>
            </a:ext>
          </a:extLst>
        </xdr:cNvPr>
        <xdr:cNvCxnSpPr/>
      </xdr:nvCxnSpPr>
      <xdr:spPr>
        <a:xfrm rot="5400000">
          <a:off x="2967037" y="6777038"/>
          <a:ext cx="638176"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rot="10800000">
          <a:off x="3497035" y="8191501"/>
          <a:ext cx="449036"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40" name="Straight Arrow Connector 39">
          <a:extLst>
            <a:ext uri="{FF2B5EF4-FFF2-40B4-BE49-F238E27FC236}">
              <a16:creationId xmlns:a16="http://schemas.microsoft.com/office/drawing/2014/main" id="{00000000-0008-0000-1900-000028000000}"/>
            </a:ext>
          </a:extLst>
        </xdr:cNvPr>
        <xdr:cNvCxnSpPr/>
      </xdr:nvCxnSpPr>
      <xdr:spPr>
        <a:xfrm>
          <a:off x="3619500" y="10635192"/>
          <a:ext cx="3586693" cy="1588"/>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43" name="Straight Arrow Connector 42">
          <a:extLst>
            <a:ext uri="{FF2B5EF4-FFF2-40B4-BE49-F238E27FC236}">
              <a16:creationId xmlns:a16="http://schemas.microsoft.com/office/drawing/2014/main" id="{00000000-0008-0000-1900-00002B000000}"/>
            </a:ext>
          </a:extLst>
        </xdr:cNvPr>
        <xdr:cNvCxnSpPr/>
      </xdr:nvCxnSpPr>
      <xdr:spPr>
        <a:xfrm rot="5400000">
          <a:off x="2682876" y="9667875"/>
          <a:ext cx="1926167" cy="10583"/>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48" name="Straight Arrow Connector 47">
          <a:extLst>
            <a:ext uri="{FF2B5EF4-FFF2-40B4-BE49-F238E27FC236}">
              <a16:creationId xmlns:a16="http://schemas.microsoft.com/office/drawing/2014/main" id="{00000000-0008-0000-1900-000030000000}"/>
            </a:ext>
          </a:extLst>
        </xdr:cNvPr>
        <xdr:cNvCxnSpPr/>
      </xdr:nvCxnSpPr>
      <xdr:spPr>
        <a:xfrm rot="10800000" flipV="1">
          <a:off x="3661836" y="8731249"/>
          <a:ext cx="30691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57" name="Straight Arrow Connector 56">
          <a:extLst>
            <a:ext uri="{FF2B5EF4-FFF2-40B4-BE49-F238E27FC236}">
              <a16:creationId xmlns:a16="http://schemas.microsoft.com/office/drawing/2014/main" id="{00000000-0008-0000-1900-000039000000}"/>
            </a:ext>
          </a:extLst>
        </xdr:cNvPr>
        <xdr:cNvCxnSpPr/>
      </xdr:nvCxnSpPr>
      <xdr:spPr>
        <a:xfrm>
          <a:off x="3746500" y="10468504"/>
          <a:ext cx="4043894"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59" name="Straight Arrow Connector 58">
          <a:extLst>
            <a:ext uri="{FF2B5EF4-FFF2-40B4-BE49-F238E27FC236}">
              <a16:creationId xmlns:a16="http://schemas.microsoft.com/office/drawing/2014/main" id="{00000000-0008-0000-1900-00003B000000}"/>
            </a:ext>
          </a:extLst>
        </xdr:cNvPr>
        <xdr:cNvCxnSpPr/>
      </xdr:nvCxnSpPr>
      <xdr:spPr>
        <a:xfrm rot="5400000">
          <a:off x="2974711" y="9705710"/>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61" name="Straight Arrow Connector 60">
          <a:extLst>
            <a:ext uri="{FF2B5EF4-FFF2-40B4-BE49-F238E27FC236}">
              <a16:creationId xmlns:a16="http://schemas.microsoft.com/office/drawing/2014/main" id="{00000000-0008-0000-1900-00003D000000}"/>
            </a:ext>
          </a:extLst>
        </xdr:cNvPr>
        <xdr:cNvCxnSpPr/>
      </xdr:nvCxnSpPr>
      <xdr:spPr>
        <a:xfrm rot="10800000">
          <a:off x="3735917" y="8942917"/>
          <a:ext cx="222252"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67" name="Straight Arrow Connector 66">
          <a:extLst>
            <a:ext uri="{FF2B5EF4-FFF2-40B4-BE49-F238E27FC236}">
              <a16:creationId xmlns:a16="http://schemas.microsoft.com/office/drawing/2014/main" id="{00000000-0008-0000-1900-000043000000}"/>
            </a:ext>
          </a:extLst>
        </xdr:cNvPr>
        <xdr:cNvCxnSpPr/>
      </xdr:nvCxnSpPr>
      <xdr:spPr>
        <a:xfrm rot="10800000">
          <a:off x="6919384" y="7586133"/>
          <a:ext cx="880533" cy="1588"/>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68" name="Straight Arrow Connector 67">
          <a:extLst>
            <a:ext uri="{FF2B5EF4-FFF2-40B4-BE49-F238E27FC236}">
              <a16:creationId xmlns:a16="http://schemas.microsoft.com/office/drawing/2014/main" id="{00000000-0008-0000-1900-000044000000}"/>
            </a:ext>
          </a:extLst>
        </xdr:cNvPr>
        <xdr:cNvCxnSpPr/>
      </xdr:nvCxnSpPr>
      <xdr:spPr>
        <a:xfrm rot="10800000">
          <a:off x="6929967" y="7407274"/>
          <a:ext cx="295278"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312420</xdr:colOff>
      <xdr:row>29</xdr:row>
      <xdr:rowOff>101918</xdr:rowOff>
    </xdr:from>
    <xdr:to>
      <xdr:col>5</xdr:col>
      <xdr:colOff>9121</xdr:colOff>
      <xdr:row>29</xdr:row>
      <xdr:rowOff>103506</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3636645" y="5702618"/>
          <a:ext cx="306301"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309245</xdr:colOff>
      <xdr:row>23</xdr:row>
      <xdr:rowOff>103505</xdr:rowOff>
    </xdr:from>
    <xdr:to>
      <xdr:col>5</xdr:col>
      <xdr:colOff>10145</xdr:colOff>
      <xdr:row>23</xdr:row>
      <xdr:rowOff>105093</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3633470" y="4561205"/>
          <a:ext cx="310500"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312421</xdr:colOff>
      <xdr:row>12</xdr:row>
      <xdr:rowOff>9526</xdr:rowOff>
    </xdr:from>
    <xdr:to>
      <xdr:col>4</xdr:col>
      <xdr:colOff>341295</xdr:colOff>
      <xdr:row>36</xdr:row>
      <xdr:rowOff>79398</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rot="5400000" flipH="1" flipV="1">
          <a:off x="1330147" y="4678225"/>
          <a:ext cx="4641872" cy="2887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41275</xdr:colOff>
      <xdr:row>25</xdr:row>
      <xdr:rowOff>79375</xdr:rowOff>
    </xdr:from>
    <xdr:to>
      <xdr:col>4</xdr:col>
      <xdr:colOff>367080</xdr:colOff>
      <xdr:row>25</xdr:row>
      <xdr:rowOff>79379</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rot="10800000">
          <a:off x="3365500" y="4918075"/>
          <a:ext cx="325805"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294082</xdr:colOff>
      <xdr:row>7</xdr:row>
      <xdr:rowOff>38100</xdr:rowOff>
    </xdr:from>
    <xdr:to>
      <xdr:col>8</xdr:col>
      <xdr:colOff>334646</xdr:colOff>
      <xdr:row>69</xdr:row>
      <xdr:rowOff>52722</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rot="5400000" flipH="1" flipV="1">
          <a:off x="1297653" y="7340329"/>
          <a:ext cx="11825622" cy="4056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329565</xdr:colOff>
      <xdr:row>10</xdr:row>
      <xdr:rowOff>103505</xdr:rowOff>
    </xdr:from>
    <xdr:to>
      <xdr:col>9</xdr:col>
      <xdr:colOff>607805</xdr:colOff>
      <xdr:row>10</xdr:row>
      <xdr:rowOff>105093</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rot="10800000">
          <a:off x="7225665" y="2084705"/>
          <a:ext cx="887840"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7</xdr:row>
      <xdr:rowOff>103510</xdr:rowOff>
    </xdr:from>
    <xdr:to>
      <xdr:col>8</xdr:col>
      <xdr:colOff>329722</xdr:colOff>
      <xdr:row>7</xdr:row>
      <xdr:rowOff>105098</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rot="10800000">
          <a:off x="3333750" y="1513210"/>
          <a:ext cx="3892072"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24</xdr:row>
      <xdr:rowOff>90805</xdr:rowOff>
    </xdr:from>
    <xdr:to>
      <xdr:col>8</xdr:col>
      <xdr:colOff>323240</xdr:colOff>
      <xdr:row>24</xdr:row>
      <xdr:rowOff>90809</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rot="10800000">
          <a:off x="6940550" y="4739005"/>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254336</xdr:colOff>
      <xdr:row>7</xdr:row>
      <xdr:rowOff>85725</xdr:rowOff>
    </xdr:from>
    <xdr:to>
      <xdr:col>9</xdr:col>
      <xdr:colOff>287687</xdr:colOff>
      <xdr:row>69</xdr:row>
      <xdr:rowOff>41278</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rot="5400000" flipH="1" flipV="1">
          <a:off x="1893435" y="7362026"/>
          <a:ext cx="11766553" cy="33351"/>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29</xdr:row>
      <xdr:rowOff>100330</xdr:rowOff>
    </xdr:from>
    <xdr:to>
      <xdr:col>9</xdr:col>
      <xdr:colOff>271278</xdr:colOff>
      <xdr:row>29</xdr:row>
      <xdr:rowOff>103506</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rot="10800000">
          <a:off x="6896100" y="5701030"/>
          <a:ext cx="880878" cy="3176"/>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20</xdr:row>
      <xdr:rowOff>105093</xdr:rowOff>
    </xdr:from>
    <xdr:to>
      <xdr:col>9</xdr:col>
      <xdr:colOff>577745</xdr:colOff>
      <xdr:row>20</xdr:row>
      <xdr:rowOff>105887</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rot="10800000">
          <a:off x="7789546" y="3991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621666</xdr:colOff>
      <xdr:row>11</xdr:row>
      <xdr:rowOff>101918</xdr:rowOff>
    </xdr:from>
    <xdr:to>
      <xdr:col>8</xdr:col>
      <xdr:colOff>334788</xdr:colOff>
      <xdr:row>11</xdr:row>
      <xdr:rowOff>103506</xdr:rowOff>
    </xdr:to>
    <xdr:cxnSp macro="">
      <xdr:nvCxnSpPr>
        <xdr:cNvPr id="13" name="Straight Arrow Connector 12">
          <a:extLst>
            <a:ext uri="{FF2B5EF4-FFF2-40B4-BE49-F238E27FC236}">
              <a16:creationId xmlns:a16="http://schemas.microsoft.com/office/drawing/2014/main" id="{00000000-0008-0000-1A00-00000D000000}"/>
            </a:ext>
          </a:extLst>
        </xdr:cNvPr>
        <xdr:cNvCxnSpPr/>
      </xdr:nvCxnSpPr>
      <xdr:spPr>
        <a:xfrm rot="10800000">
          <a:off x="3317241" y="2273618"/>
          <a:ext cx="3913647" cy="1588"/>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334645</xdr:colOff>
      <xdr:row>23</xdr:row>
      <xdr:rowOff>106680</xdr:rowOff>
    </xdr:from>
    <xdr:to>
      <xdr:col>5</xdr:col>
      <xdr:colOff>12237</xdr:colOff>
      <xdr:row>23</xdr:row>
      <xdr:rowOff>108268</xdr:rowOff>
    </xdr:to>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a:off x="3658870" y="4564380"/>
          <a:ext cx="287192" cy="1588"/>
        </a:xfrm>
        <a:prstGeom prst="straightConnector1">
          <a:avLst/>
        </a:prstGeom>
        <a:ln w="19050">
          <a:solidFill>
            <a:schemeClr val="tx1">
              <a:lumMod val="50000"/>
              <a:lumOff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4</xdr:row>
      <xdr:rowOff>100330</xdr:rowOff>
    </xdr:from>
    <xdr:to>
      <xdr:col>8</xdr:col>
      <xdr:colOff>442461</xdr:colOff>
      <xdr:row>4</xdr:row>
      <xdr:rowOff>100334</xdr:rowOff>
    </xdr:to>
    <xdr:cxnSp macro="">
      <xdr:nvCxnSpPr>
        <xdr:cNvPr id="15" name="Straight Arrow Connector 14">
          <a:extLst>
            <a:ext uri="{FF2B5EF4-FFF2-40B4-BE49-F238E27FC236}">
              <a16:creationId xmlns:a16="http://schemas.microsoft.com/office/drawing/2014/main" id="{00000000-0008-0000-1A00-00000F000000}"/>
            </a:ext>
          </a:extLst>
        </xdr:cNvPr>
        <xdr:cNvCxnSpPr/>
      </xdr:nvCxnSpPr>
      <xdr:spPr>
        <a:xfrm rot="10800000">
          <a:off x="7038975" y="938530"/>
          <a:ext cx="299586"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5</xdr:row>
      <xdr:rowOff>103505</xdr:rowOff>
    </xdr:from>
    <xdr:to>
      <xdr:col>8</xdr:col>
      <xdr:colOff>457886</xdr:colOff>
      <xdr:row>5</xdr:row>
      <xdr:rowOff>103509</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rot="10800000">
          <a:off x="7038975" y="1132205"/>
          <a:ext cx="315011" cy="4"/>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6</xdr:row>
      <xdr:rowOff>88900</xdr:rowOff>
    </xdr:from>
    <xdr:to>
      <xdr:col>8</xdr:col>
      <xdr:colOff>457886</xdr:colOff>
      <xdr:row>6</xdr:row>
      <xdr:rowOff>88904</xdr:rowOff>
    </xdr:to>
    <xdr:cxnSp macro="">
      <xdr:nvCxnSpPr>
        <xdr:cNvPr id="17" name="Straight Arrow Connector 16">
          <a:extLst>
            <a:ext uri="{FF2B5EF4-FFF2-40B4-BE49-F238E27FC236}">
              <a16:creationId xmlns:a16="http://schemas.microsoft.com/office/drawing/2014/main" id="{00000000-0008-0000-1A00-000011000000}"/>
            </a:ext>
          </a:extLst>
        </xdr:cNvPr>
        <xdr:cNvCxnSpPr/>
      </xdr:nvCxnSpPr>
      <xdr:spPr>
        <a:xfrm rot="10800000">
          <a:off x="7038975" y="1308100"/>
          <a:ext cx="315011" cy="4"/>
        </a:xfrm>
        <a:prstGeom prst="straightConnector1">
          <a:avLst/>
        </a:prstGeom>
        <a:ln w="19050">
          <a:solidFill>
            <a:schemeClr val="tx1">
              <a:lumMod val="50000"/>
              <a:lumOff val="50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617133</xdr:colOff>
      <xdr:row>44</xdr:row>
      <xdr:rowOff>86406</xdr:rowOff>
    </xdr:from>
    <xdr:to>
      <xdr:col>10</xdr:col>
      <xdr:colOff>3304</xdr:colOff>
      <xdr:row>44</xdr:row>
      <xdr:rowOff>87994</xdr:rowOff>
    </xdr:to>
    <xdr:cxnSp macro="">
      <xdr:nvCxnSpPr>
        <xdr:cNvPr id="18" name="Straight Arrow Connector 17">
          <a:extLst>
            <a:ext uri="{FF2B5EF4-FFF2-40B4-BE49-F238E27FC236}">
              <a16:creationId xmlns:a16="http://schemas.microsoft.com/office/drawing/2014/main" id="{00000000-0008-0000-1A00-000012000000}"/>
            </a:ext>
          </a:extLst>
        </xdr:cNvPr>
        <xdr:cNvCxnSpPr/>
      </xdr:nvCxnSpPr>
      <xdr:spPr>
        <a:xfrm rot="10800000">
          <a:off x="6884583" y="8544606"/>
          <a:ext cx="1234021"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7144</xdr:colOff>
      <xdr:row>33</xdr:row>
      <xdr:rowOff>127793</xdr:rowOff>
    </xdr:from>
    <xdr:to>
      <xdr:col>9</xdr:col>
      <xdr:colOff>8732</xdr:colOff>
      <xdr:row>44</xdr:row>
      <xdr:rowOff>105973</xdr:rowOff>
    </xdr:to>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rot="5400000">
          <a:off x="6476798" y="7526539"/>
          <a:ext cx="2073680" cy="1588"/>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621668</xdr:colOff>
      <xdr:row>37</xdr:row>
      <xdr:rowOff>103505</xdr:rowOff>
    </xdr:from>
    <xdr:to>
      <xdr:col>5</xdr:col>
      <xdr:colOff>773</xdr:colOff>
      <xdr:row>37</xdr:row>
      <xdr:rowOff>105093</xdr:rowOff>
    </xdr:to>
    <xdr:cxnSp macro="">
      <xdr:nvCxnSpPr>
        <xdr:cNvPr id="20" name="Straight Arrow Connector 19">
          <a:extLst>
            <a:ext uri="{FF2B5EF4-FFF2-40B4-BE49-F238E27FC236}">
              <a16:creationId xmlns:a16="http://schemas.microsoft.com/office/drawing/2014/main" id="{00000000-0008-0000-1A00-000014000000}"/>
            </a:ext>
          </a:extLst>
        </xdr:cNvPr>
        <xdr:cNvCxnSpPr/>
      </xdr:nvCxnSpPr>
      <xdr:spPr>
        <a:xfrm rot="10800000">
          <a:off x="3317243" y="7228205"/>
          <a:ext cx="617355"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36</xdr:row>
      <xdr:rowOff>106680</xdr:rowOff>
    </xdr:from>
    <xdr:to>
      <xdr:col>10</xdr:col>
      <xdr:colOff>197</xdr:colOff>
      <xdr:row>36</xdr:row>
      <xdr:rowOff>106682</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rot="10800000" flipV="1">
          <a:off x="7515229" y="704088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168752</xdr:colOff>
      <xdr:row>35</xdr:row>
      <xdr:rowOff>149542</xdr:rowOff>
    </xdr:from>
    <xdr:to>
      <xdr:col>4</xdr:col>
      <xdr:colOff>170340</xdr:colOff>
      <xdr:row>68</xdr:row>
      <xdr:rowOff>77008</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rot="5400000">
          <a:off x="386788" y="9999431"/>
          <a:ext cx="6213966" cy="1588"/>
        </a:xfrm>
        <a:prstGeom prst="straightConnector1">
          <a:avLst/>
        </a:prstGeom>
        <a:ln w="19050">
          <a:solidFill>
            <a:schemeClr val="accent4">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160024</xdr:colOff>
      <xdr:row>67</xdr:row>
      <xdr:rowOff>90805</xdr:rowOff>
    </xdr:from>
    <xdr:to>
      <xdr:col>10</xdr:col>
      <xdr:colOff>0</xdr:colOff>
      <xdr:row>67</xdr:row>
      <xdr:rowOff>92393</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rot="10800000">
          <a:off x="3484249" y="12930505"/>
          <a:ext cx="4631051" cy="1588"/>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283846</xdr:colOff>
      <xdr:row>46</xdr:row>
      <xdr:rowOff>105093</xdr:rowOff>
    </xdr:from>
    <xdr:to>
      <xdr:col>9</xdr:col>
      <xdr:colOff>577745</xdr:colOff>
      <xdr:row>46</xdr:row>
      <xdr:rowOff>105887</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rot="10800000">
          <a:off x="7789546" y="8944293"/>
          <a:ext cx="293899" cy="794"/>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271147</xdr:colOff>
      <xdr:row>55</xdr:row>
      <xdr:rowOff>82868</xdr:rowOff>
    </xdr:from>
    <xdr:to>
      <xdr:col>9</xdr:col>
      <xdr:colOff>601446</xdr:colOff>
      <xdr:row>55</xdr:row>
      <xdr:rowOff>84456</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rot="10800000">
          <a:off x="7776847" y="10636568"/>
          <a:ext cx="330299" cy="1588"/>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45</xdr:row>
      <xdr:rowOff>100330</xdr:rowOff>
    </xdr:from>
    <xdr:to>
      <xdr:col>9</xdr:col>
      <xdr:colOff>583405</xdr:colOff>
      <xdr:row>45</xdr:row>
      <xdr:rowOff>101918</xdr:rowOff>
    </xdr:to>
    <xdr:cxnSp macro="">
      <xdr:nvCxnSpPr>
        <xdr:cNvPr id="26" name="Straight Arrow Connector 25">
          <a:extLst>
            <a:ext uri="{FF2B5EF4-FFF2-40B4-BE49-F238E27FC236}">
              <a16:creationId xmlns:a16="http://schemas.microsoft.com/office/drawing/2014/main" id="{00000000-0008-0000-1A00-00001A000000}"/>
            </a:ext>
          </a:extLst>
        </xdr:cNvPr>
        <xdr:cNvCxnSpPr/>
      </xdr:nvCxnSpPr>
      <xdr:spPr>
        <a:xfrm rot="10800000">
          <a:off x="7202170" y="8749030"/>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306070</xdr:colOff>
      <xdr:row>56</xdr:row>
      <xdr:rowOff>103505</xdr:rowOff>
    </xdr:from>
    <xdr:to>
      <xdr:col>9</xdr:col>
      <xdr:colOff>583405</xdr:colOff>
      <xdr:row>56</xdr:row>
      <xdr:rowOff>105093</xdr:rowOff>
    </xdr:to>
    <xdr:cxnSp macro="">
      <xdr:nvCxnSpPr>
        <xdr:cNvPr id="27" name="Straight Arrow Connector 26">
          <a:extLst>
            <a:ext uri="{FF2B5EF4-FFF2-40B4-BE49-F238E27FC236}">
              <a16:creationId xmlns:a16="http://schemas.microsoft.com/office/drawing/2014/main" id="{00000000-0008-0000-1A00-00001B000000}"/>
            </a:ext>
          </a:extLst>
        </xdr:cNvPr>
        <xdr:cNvCxnSpPr/>
      </xdr:nvCxnSpPr>
      <xdr:spPr>
        <a:xfrm rot="10800000">
          <a:off x="7202170" y="10847705"/>
          <a:ext cx="886935" cy="1588"/>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9529</xdr:colOff>
      <xdr:row>37</xdr:row>
      <xdr:rowOff>100330</xdr:rowOff>
    </xdr:from>
    <xdr:to>
      <xdr:col>10</xdr:col>
      <xdr:colOff>197</xdr:colOff>
      <xdr:row>37</xdr:row>
      <xdr:rowOff>100332</xdr:rowOff>
    </xdr:to>
    <xdr:cxnSp macro="">
      <xdr:nvCxnSpPr>
        <xdr:cNvPr id="28" name="Straight Arrow Connector 27">
          <a:extLst>
            <a:ext uri="{FF2B5EF4-FFF2-40B4-BE49-F238E27FC236}">
              <a16:creationId xmlns:a16="http://schemas.microsoft.com/office/drawing/2014/main" id="{00000000-0008-0000-1A00-00001C000000}"/>
            </a:ext>
          </a:extLst>
        </xdr:cNvPr>
        <xdr:cNvCxnSpPr/>
      </xdr:nvCxnSpPr>
      <xdr:spPr>
        <a:xfrm rot="10800000" flipV="1">
          <a:off x="7515229" y="7225030"/>
          <a:ext cx="600268" cy="2"/>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42</xdr:row>
      <xdr:rowOff>3175</xdr:rowOff>
    </xdr:from>
    <xdr:to>
      <xdr:col>9</xdr:col>
      <xdr:colOff>7995</xdr:colOff>
      <xdr:row>42</xdr:row>
      <xdr:rowOff>3175</xdr:rowOff>
    </xdr:to>
    <xdr:cxnSp macro="">
      <xdr:nvCxnSpPr>
        <xdr:cNvPr id="29" name="Straight Arrow Connector 28">
          <a:extLst>
            <a:ext uri="{FF2B5EF4-FFF2-40B4-BE49-F238E27FC236}">
              <a16:creationId xmlns:a16="http://schemas.microsoft.com/office/drawing/2014/main" id="{00000000-0008-0000-1A00-00001D000000}"/>
            </a:ext>
          </a:extLst>
        </xdr:cNvPr>
        <xdr:cNvCxnSpPr/>
      </xdr:nvCxnSpPr>
      <xdr:spPr>
        <a:xfrm>
          <a:off x="3598545" y="8080375"/>
          <a:ext cx="3915150" cy="0"/>
        </a:xfrm>
        <a:prstGeom prst="straightConnector1">
          <a:avLst/>
        </a:prstGeom>
        <a:ln w="19050">
          <a:solidFill>
            <a:schemeClr val="accent3">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270351</xdr:colOff>
      <xdr:row>37</xdr:row>
      <xdr:rowOff>89694</xdr:rowOff>
    </xdr:from>
    <xdr:to>
      <xdr:col>4</xdr:col>
      <xdr:colOff>271939</xdr:colOff>
      <xdr:row>41</xdr:row>
      <xdr:rowOff>148768</xdr:rowOff>
    </xdr:to>
    <xdr:cxnSp macro="">
      <xdr:nvCxnSpPr>
        <xdr:cNvPr id="30" name="Straight Arrow Connector 29">
          <a:extLst>
            <a:ext uri="{FF2B5EF4-FFF2-40B4-BE49-F238E27FC236}">
              <a16:creationId xmlns:a16="http://schemas.microsoft.com/office/drawing/2014/main" id="{00000000-0008-0000-1A00-00001E000000}"/>
            </a:ext>
          </a:extLst>
        </xdr:cNvPr>
        <xdr:cNvCxnSpPr/>
      </xdr:nvCxnSpPr>
      <xdr:spPr>
        <a:xfrm rot="5400000">
          <a:off x="3184833" y="7624137"/>
          <a:ext cx="821074" cy="1588"/>
        </a:xfrm>
        <a:prstGeom prst="straightConnector1">
          <a:avLst/>
        </a:prstGeom>
        <a:ln w="19050">
          <a:solidFill>
            <a:schemeClr val="accent3">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170905</xdr:colOff>
      <xdr:row>42</xdr:row>
      <xdr:rowOff>94888</xdr:rowOff>
    </xdr:from>
    <xdr:to>
      <xdr:col>5</xdr:col>
      <xdr:colOff>8554</xdr:colOff>
      <xdr:row>44</xdr:row>
      <xdr:rowOff>108495</xdr:rowOff>
    </xdr:to>
    <xdr:cxnSp macro="">
      <xdr:nvCxnSpPr>
        <xdr:cNvPr id="31" name="Straight Arrow Connector 30">
          <a:extLst>
            <a:ext uri="{FF2B5EF4-FFF2-40B4-BE49-F238E27FC236}">
              <a16:creationId xmlns:a16="http://schemas.microsoft.com/office/drawing/2014/main" id="{00000000-0008-0000-1A00-00001F000000}"/>
            </a:ext>
          </a:extLst>
        </xdr:cNvPr>
        <xdr:cNvCxnSpPr/>
      </xdr:nvCxnSpPr>
      <xdr:spPr>
        <a:xfrm rot="10800000">
          <a:off x="3495130" y="8172088"/>
          <a:ext cx="447249" cy="394607"/>
        </a:xfrm>
        <a:prstGeom prst="straightConnector1">
          <a:avLst/>
        </a:prstGeom>
        <a:ln w="19050">
          <a:solidFill>
            <a:schemeClr val="accent4">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306070</xdr:colOff>
      <xdr:row>55</xdr:row>
      <xdr:rowOff>89959</xdr:rowOff>
    </xdr:from>
    <xdr:to>
      <xdr:col>8</xdr:col>
      <xdr:colOff>296509</xdr:colOff>
      <xdr:row>55</xdr:row>
      <xdr:rowOff>89959</xdr:rowOff>
    </xdr:to>
    <xdr:cxnSp macro="">
      <xdr:nvCxnSpPr>
        <xdr:cNvPr id="32" name="Straight Arrow Connector 31">
          <a:extLst>
            <a:ext uri="{FF2B5EF4-FFF2-40B4-BE49-F238E27FC236}">
              <a16:creationId xmlns:a16="http://schemas.microsoft.com/office/drawing/2014/main" id="{00000000-0008-0000-1A00-000020000000}"/>
            </a:ext>
          </a:extLst>
        </xdr:cNvPr>
        <xdr:cNvCxnSpPr/>
      </xdr:nvCxnSpPr>
      <xdr:spPr>
        <a:xfrm>
          <a:off x="3630295" y="10643659"/>
          <a:ext cx="3562314"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314538</xdr:colOff>
      <xdr:row>45</xdr:row>
      <xdr:rowOff>82550</xdr:rowOff>
    </xdr:from>
    <xdr:to>
      <xdr:col>4</xdr:col>
      <xdr:colOff>314538</xdr:colOff>
      <xdr:row>55</xdr:row>
      <xdr:rowOff>78297</xdr:rowOff>
    </xdr:to>
    <xdr:cxnSp macro="">
      <xdr:nvCxnSpPr>
        <xdr:cNvPr id="33" name="Straight Arrow Connector 32">
          <a:extLst>
            <a:ext uri="{FF2B5EF4-FFF2-40B4-BE49-F238E27FC236}">
              <a16:creationId xmlns:a16="http://schemas.microsoft.com/office/drawing/2014/main" id="{00000000-0008-0000-1A00-000021000000}"/>
            </a:ext>
          </a:extLst>
        </xdr:cNvPr>
        <xdr:cNvCxnSpPr/>
      </xdr:nvCxnSpPr>
      <xdr:spPr>
        <a:xfrm rot="5400000">
          <a:off x="2688389" y="9681624"/>
          <a:ext cx="1900747" cy="0"/>
        </a:xfrm>
        <a:prstGeom prst="straightConnector1">
          <a:avLst/>
        </a:prstGeom>
        <a:ln w="19050">
          <a:solidFill>
            <a:schemeClr val="tx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338881</xdr:colOff>
      <xdr:row>45</xdr:row>
      <xdr:rowOff>96096</xdr:rowOff>
    </xdr:from>
    <xdr:to>
      <xdr:col>5</xdr:col>
      <xdr:colOff>14506</xdr:colOff>
      <xdr:row>45</xdr:row>
      <xdr:rowOff>96467</xdr:rowOff>
    </xdr:to>
    <xdr:cxnSp macro="">
      <xdr:nvCxnSpPr>
        <xdr:cNvPr id="34" name="Straight Arrow Connector 33">
          <a:extLst>
            <a:ext uri="{FF2B5EF4-FFF2-40B4-BE49-F238E27FC236}">
              <a16:creationId xmlns:a16="http://schemas.microsoft.com/office/drawing/2014/main" id="{00000000-0008-0000-1A00-000022000000}"/>
            </a:ext>
          </a:extLst>
        </xdr:cNvPr>
        <xdr:cNvCxnSpPr/>
      </xdr:nvCxnSpPr>
      <xdr:spPr>
        <a:xfrm rot="10800000" flipV="1">
          <a:off x="3663106" y="8744796"/>
          <a:ext cx="285225" cy="371"/>
        </a:xfrm>
        <a:prstGeom prst="straightConnector1">
          <a:avLst/>
        </a:prstGeom>
        <a:ln w="19050">
          <a:solidFill>
            <a:schemeClr val="tx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420370</xdr:colOff>
      <xdr:row>54</xdr:row>
      <xdr:rowOff>106151</xdr:rowOff>
    </xdr:from>
    <xdr:to>
      <xdr:col>9</xdr:col>
      <xdr:colOff>260564</xdr:colOff>
      <xdr:row>54</xdr:row>
      <xdr:rowOff>107739</xdr:rowOff>
    </xdr:to>
    <xdr:cxnSp macro="">
      <xdr:nvCxnSpPr>
        <xdr:cNvPr id="35" name="Straight Arrow Connector 34">
          <a:extLst>
            <a:ext uri="{FF2B5EF4-FFF2-40B4-BE49-F238E27FC236}">
              <a16:creationId xmlns:a16="http://schemas.microsoft.com/office/drawing/2014/main" id="{00000000-0008-0000-1A00-000023000000}"/>
            </a:ext>
          </a:extLst>
        </xdr:cNvPr>
        <xdr:cNvCxnSpPr/>
      </xdr:nvCxnSpPr>
      <xdr:spPr>
        <a:xfrm>
          <a:off x="3744595" y="10469351"/>
          <a:ext cx="4021669"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405819</xdr:colOff>
      <xdr:row>46</xdr:row>
      <xdr:rowOff>106944</xdr:rowOff>
    </xdr:from>
    <xdr:to>
      <xdr:col>4</xdr:col>
      <xdr:colOff>407407</xdr:colOff>
      <xdr:row>54</xdr:row>
      <xdr:rowOff>105357</xdr:rowOff>
    </xdr:to>
    <xdr:cxnSp macro="">
      <xdr:nvCxnSpPr>
        <xdr:cNvPr id="36" name="Straight Arrow Connector 35">
          <a:extLst>
            <a:ext uri="{FF2B5EF4-FFF2-40B4-BE49-F238E27FC236}">
              <a16:creationId xmlns:a16="http://schemas.microsoft.com/office/drawing/2014/main" id="{00000000-0008-0000-1A00-000024000000}"/>
            </a:ext>
          </a:extLst>
        </xdr:cNvPr>
        <xdr:cNvCxnSpPr/>
      </xdr:nvCxnSpPr>
      <xdr:spPr>
        <a:xfrm rot="5400000">
          <a:off x="2969631" y="9706557"/>
          <a:ext cx="1522413" cy="1588"/>
        </a:xfrm>
        <a:prstGeom prst="straightConnector1">
          <a:avLst/>
        </a:prstGeom>
        <a:ln w="19050">
          <a:solidFill>
            <a:schemeClr val="accent2">
              <a:lumMod val="75000"/>
            </a:schemeClr>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409787</xdr:colOff>
      <xdr:row>46</xdr:row>
      <xdr:rowOff>104564</xdr:rowOff>
    </xdr:from>
    <xdr:to>
      <xdr:col>5</xdr:col>
      <xdr:colOff>19761</xdr:colOff>
      <xdr:row>46</xdr:row>
      <xdr:rowOff>104570</xdr:rowOff>
    </xdr:to>
    <xdr:cxnSp macro="">
      <xdr:nvCxnSpPr>
        <xdr:cNvPr id="37" name="Straight Arrow Connector 36">
          <a:extLst>
            <a:ext uri="{FF2B5EF4-FFF2-40B4-BE49-F238E27FC236}">
              <a16:creationId xmlns:a16="http://schemas.microsoft.com/office/drawing/2014/main" id="{00000000-0008-0000-1A00-000025000000}"/>
            </a:ext>
          </a:extLst>
        </xdr:cNvPr>
        <xdr:cNvCxnSpPr/>
      </xdr:nvCxnSpPr>
      <xdr:spPr>
        <a:xfrm rot="10800000">
          <a:off x="3734012" y="8943764"/>
          <a:ext cx="219574" cy="6"/>
        </a:xfrm>
        <a:prstGeom prst="straightConnector1">
          <a:avLst/>
        </a:prstGeom>
        <a:ln w="19050">
          <a:solidFill>
            <a:schemeClr val="accent2">
              <a:lumMod val="75000"/>
            </a:schemeClr>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8467</xdr:colOff>
      <xdr:row>39</xdr:row>
      <xdr:rowOff>88900</xdr:rowOff>
    </xdr:from>
    <xdr:to>
      <xdr:col>9</xdr:col>
      <xdr:colOff>270412</xdr:colOff>
      <xdr:row>39</xdr:row>
      <xdr:rowOff>88900</xdr:rowOff>
    </xdr:to>
    <xdr:cxnSp macro="">
      <xdr:nvCxnSpPr>
        <xdr:cNvPr id="38" name="Straight Arrow Connector 37">
          <a:extLst>
            <a:ext uri="{FF2B5EF4-FFF2-40B4-BE49-F238E27FC236}">
              <a16:creationId xmlns:a16="http://schemas.microsoft.com/office/drawing/2014/main" id="{00000000-0008-0000-1A00-000026000000}"/>
            </a:ext>
          </a:extLst>
        </xdr:cNvPr>
        <xdr:cNvCxnSpPr/>
      </xdr:nvCxnSpPr>
      <xdr:spPr>
        <a:xfrm rot="10800000">
          <a:off x="6904567" y="7594600"/>
          <a:ext cx="871545" cy="0"/>
        </a:xfrm>
        <a:prstGeom prst="straightConnector1">
          <a:avLst/>
        </a:prstGeom>
        <a:ln w="19050">
          <a:solidFill>
            <a:schemeClr val="accent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44450</xdr:colOff>
      <xdr:row>38</xdr:row>
      <xdr:rowOff>105621</xdr:rowOff>
    </xdr:from>
    <xdr:to>
      <xdr:col>8</xdr:col>
      <xdr:colOff>323240</xdr:colOff>
      <xdr:row>38</xdr:row>
      <xdr:rowOff>105625</xdr:rowOff>
    </xdr:to>
    <xdr:cxnSp macro="">
      <xdr:nvCxnSpPr>
        <xdr:cNvPr id="39" name="Straight Arrow Connector 38">
          <a:extLst>
            <a:ext uri="{FF2B5EF4-FFF2-40B4-BE49-F238E27FC236}">
              <a16:creationId xmlns:a16="http://schemas.microsoft.com/office/drawing/2014/main" id="{00000000-0008-0000-1A00-000027000000}"/>
            </a:ext>
          </a:extLst>
        </xdr:cNvPr>
        <xdr:cNvCxnSpPr/>
      </xdr:nvCxnSpPr>
      <xdr:spPr>
        <a:xfrm rot="10800000">
          <a:off x="6940550" y="7420821"/>
          <a:ext cx="278790" cy="4"/>
        </a:xfrm>
        <a:prstGeom prst="straightConnector1">
          <a:avLst/>
        </a:prstGeom>
        <a:ln w="19050">
          <a:solidFill>
            <a:schemeClr val="tx2">
              <a:lumMod val="75000"/>
            </a:schemeClr>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29</xdr:row>
      <xdr:rowOff>0</xdr:rowOff>
    </xdr:from>
    <xdr:to>
      <xdr:col>4</xdr:col>
      <xdr:colOff>371475</xdr:colOff>
      <xdr:row>29</xdr:row>
      <xdr:rowOff>0</xdr:rowOff>
    </xdr:to>
    <xdr:cxnSp macro="">
      <xdr:nvCxnSpPr>
        <xdr:cNvPr id="43" name="Straight Arrow Connector 42">
          <a:extLst>
            <a:ext uri="{FF2B5EF4-FFF2-40B4-BE49-F238E27FC236}">
              <a16:creationId xmlns:a16="http://schemas.microsoft.com/office/drawing/2014/main" id="{00000000-0008-0000-1A00-00002B000000}"/>
            </a:ext>
          </a:extLst>
        </xdr:cNvPr>
        <xdr:cNvCxnSpPr>
          <a:cxnSpLocks/>
        </xdr:cNvCxnSpPr>
      </xdr:nvCxnSpPr>
      <xdr:spPr>
        <a:xfrm>
          <a:off x="3124200" y="5600700"/>
          <a:ext cx="5715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419100</xdr:colOff>
      <xdr:row>32</xdr:row>
      <xdr:rowOff>38100</xdr:rowOff>
    </xdr:from>
    <xdr:to>
      <xdr:col>4</xdr:col>
      <xdr:colOff>333375</xdr:colOff>
      <xdr:row>32</xdr:row>
      <xdr:rowOff>47625</xdr:rowOff>
    </xdr:to>
    <xdr:cxnSp macro="">
      <xdr:nvCxnSpPr>
        <xdr:cNvPr id="45" name="Straight Arrow Connector 44">
          <a:extLst>
            <a:ext uri="{FF2B5EF4-FFF2-40B4-BE49-F238E27FC236}">
              <a16:creationId xmlns:a16="http://schemas.microsoft.com/office/drawing/2014/main" id="{00000000-0008-0000-1A00-00002D000000}"/>
            </a:ext>
          </a:extLst>
        </xdr:cNvPr>
        <xdr:cNvCxnSpPr>
          <a:cxnSpLocks/>
        </xdr:cNvCxnSpPr>
      </xdr:nvCxnSpPr>
      <xdr:spPr>
        <a:xfrm flipH="1" flipV="1">
          <a:off x="3114675" y="6210300"/>
          <a:ext cx="54292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2952751</xdr:colOff>
      <xdr:row>72</xdr:row>
      <xdr:rowOff>105834</xdr:rowOff>
    </xdr:from>
    <xdr:to>
      <xdr:col>16</xdr:col>
      <xdr:colOff>474701</xdr:colOff>
      <xdr:row>104</xdr:row>
      <xdr:rowOff>139326</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2952751" y="13878984"/>
          <a:ext cx="8570950" cy="612949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58</xdr:row>
      <xdr:rowOff>3174</xdr:rowOff>
    </xdr:from>
    <xdr:to>
      <xdr:col>1</xdr:col>
      <xdr:colOff>24129</xdr:colOff>
      <xdr:row>58</xdr:row>
      <xdr:rowOff>3174</xdr:rowOff>
    </xdr:to>
    <xdr:sp macro="" textlink="">
      <xdr:nvSpPr>
        <xdr:cNvPr id="2" name="Shape 2">
          <a:extLst>
            <a:ext uri="{FF2B5EF4-FFF2-40B4-BE49-F238E27FC236}">
              <a16:creationId xmlns:a16="http://schemas.microsoft.com/office/drawing/2014/main" id="{00000000-0008-0000-1C00-000002000000}"/>
            </a:ext>
          </a:extLst>
        </xdr:cNvPr>
        <xdr:cNvSpPr/>
      </xdr:nvSpPr>
      <xdr:spPr>
        <a:xfrm>
          <a:off x="0" y="9575799"/>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twoCellAnchor editAs="oneCell">
    <xdr:from>
      <xdr:col>0</xdr:col>
      <xdr:colOff>0</xdr:colOff>
      <xdr:row>59</xdr:row>
      <xdr:rowOff>3174</xdr:rowOff>
    </xdr:from>
    <xdr:to>
      <xdr:col>1</xdr:col>
      <xdr:colOff>24129</xdr:colOff>
      <xdr:row>59</xdr:row>
      <xdr:rowOff>3174</xdr:rowOff>
    </xdr:to>
    <xdr:sp macro="" textlink="">
      <xdr:nvSpPr>
        <xdr:cNvPr id="3" name="Shape 3">
          <a:extLst>
            <a:ext uri="{FF2B5EF4-FFF2-40B4-BE49-F238E27FC236}">
              <a16:creationId xmlns:a16="http://schemas.microsoft.com/office/drawing/2014/main" id="{00000000-0008-0000-1C00-000003000000}"/>
            </a:ext>
          </a:extLst>
        </xdr:cNvPr>
        <xdr:cNvSpPr/>
      </xdr:nvSpPr>
      <xdr:spPr>
        <a:xfrm>
          <a:off x="0" y="9585324"/>
          <a:ext cx="481329" cy="0"/>
        </a:xfrm>
        <a:custGeom>
          <a:avLst/>
          <a:gdLst/>
          <a:ahLst/>
          <a:cxnLst/>
          <a:rect l="0" t="0" r="0" b="0"/>
          <a:pathLst>
            <a:path w="468630">
              <a:moveTo>
                <a:pt x="0" y="0"/>
              </a:moveTo>
              <a:lnTo>
                <a:pt x="468008" y="0"/>
              </a:lnTo>
            </a:path>
          </a:pathLst>
        </a:custGeom>
        <a:ln w="6350">
          <a:solidFill>
            <a:srgbClr val="007DB6"/>
          </a:solidFill>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476250</xdr:colOff>
      <xdr:row>73</xdr:row>
      <xdr:rowOff>38100</xdr:rowOff>
    </xdr:from>
    <xdr:to>
      <xdr:col>17</xdr:col>
      <xdr:colOff>85725</xdr:colOff>
      <xdr:row>82</xdr:row>
      <xdr:rowOff>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7350" y="11610975"/>
          <a:ext cx="94773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xdr:row>
      <xdr:rowOff>0</xdr:rowOff>
    </xdr:from>
    <xdr:to>
      <xdr:col>31</xdr:col>
      <xdr:colOff>213748</xdr:colOff>
      <xdr:row>21</xdr:row>
      <xdr:rowOff>122211</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13077825" y="200025"/>
          <a:ext cx="4480948" cy="3360711"/>
        </a:xfrm>
        <a:prstGeom prst="rect">
          <a:avLst/>
        </a:prstGeom>
      </xdr:spPr>
    </xdr:pic>
    <xdr:clientData/>
  </xdr:twoCellAnchor>
  <xdr:twoCellAnchor editAs="oneCell">
    <xdr:from>
      <xdr:col>1</xdr:col>
      <xdr:colOff>57150</xdr:colOff>
      <xdr:row>0</xdr:row>
      <xdr:rowOff>85725</xdr:rowOff>
    </xdr:from>
    <xdr:to>
      <xdr:col>20</xdr:col>
      <xdr:colOff>201646</xdr:colOff>
      <xdr:row>43</xdr:row>
      <xdr:rowOff>153386</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238250" y="85725"/>
          <a:ext cx="11612596" cy="706853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11</xdr:col>
      <xdr:colOff>2319617</xdr:colOff>
      <xdr:row>18</xdr:row>
      <xdr:rowOff>89647</xdr:rowOff>
    </xdr:from>
    <xdr:to>
      <xdr:col>14</xdr:col>
      <xdr:colOff>201706</xdr:colOff>
      <xdr:row>23</xdr:row>
      <xdr:rowOff>123265</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flipV="1">
          <a:off x="13110882" y="3686735"/>
          <a:ext cx="1826559" cy="98611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324971</xdr:colOff>
      <xdr:row>1</xdr:row>
      <xdr:rowOff>190500</xdr:rowOff>
    </xdr:from>
    <xdr:to>
      <xdr:col>9</xdr:col>
      <xdr:colOff>123266</xdr:colOff>
      <xdr:row>6</xdr:row>
      <xdr:rowOff>100852</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4538383" y="448235"/>
          <a:ext cx="4224618" cy="88526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NIR 2017 total</a:t>
          </a:r>
          <a:r>
            <a:rPr lang="en-ZA" sz="1100" baseline="0"/>
            <a:t> process emissions: 25578.84   = Secunda + Sasolburg</a:t>
          </a:r>
        </a:p>
        <a:p>
          <a:endParaRPr lang="en-ZA"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1199029</xdr:colOff>
      <xdr:row>153</xdr:row>
      <xdr:rowOff>56029</xdr:rowOff>
    </xdr:from>
    <xdr:to>
      <xdr:col>7</xdr:col>
      <xdr:colOff>560293</xdr:colOff>
      <xdr:row>171</xdr:row>
      <xdr:rowOff>119299</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2554941" y="32127264"/>
          <a:ext cx="4706470" cy="3492270"/>
        </a:xfrm>
        <a:prstGeom prst="rect">
          <a:avLst/>
        </a:prstGeom>
      </xdr:spPr>
    </xdr:pic>
    <xdr:clientData/>
  </xdr:twoCellAnchor>
  <xdr:twoCellAnchor>
    <xdr:from>
      <xdr:col>6</xdr:col>
      <xdr:colOff>414618</xdr:colOff>
      <xdr:row>114</xdr:row>
      <xdr:rowOff>89646</xdr:rowOff>
    </xdr:from>
    <xdr:to>
      <xdr:col>10</xdr:col>
      <xdr:colOff>179294</xdr:colOff>
      <xdr:row>120</xdr:row>
      <xdr:rowOff>134471</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717176</xdr:colOff>
      <xdr:row>105</xdr:row>
      <xdr:rowOff>112059</xdr:rowOff>
    </xdr:from>
    <xdr:to>
      <xdr:col>24</xdr:col>
      <xdr:colOff>72839</xdr:colOff>
      <xdr:row>130</xdr:row>
      <xdr:rowOff>103197</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3"/>
        <a:stretch>
          <a:fillRect/>
        </a:stretch>
      </xdr:blipFill>
      <xdr:spPr>
        <a:xfrm>
          <a:off x="9880226" y="14209059"/>
          <a:ext cx="8099613" cy="4753638"/>
        </a:xfrm>
        <a:prstGeom prst="rect">
          <a:avLst/>
        </a:prstGeom>
      </xdr:spPr>
    </xdr:pic>
    <xdr:clientData/>
  </xdr:twoCellAnchor>
  <xdr:twoCellAnchor>
    <xdr:from>
      <xdr:col>19</xdr:col>
      <xdr:colOff>2</xdr:colOff>
      <xdr:row>140</xdr:row>
      <xdr:rowOff>22414</xdr:rowOff>
    </xdr:from>
    <xdr:to>
      <xdr:col>31</xdr:col>
      <xdr:colOff>504267</xdr:colOff>
      <xdr:row>148</xdr:row>
      <xdr:rowOff>302560</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859002" y="20786914"/>
          <a:ext cx="7819465" cy="3137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7" name="TextBox 6">
          <a:extLst>
            <a:ext uri="{FF2B5EF4-FFF2-40B4-BE49-F238E27FC236}">
              <a16:creationId xmlns:a16="http://schemas.microsoft.com/office/drawing/2014/main" id="{00000000-0008-0000-1F00-000007000000}"/>
            </a:ext>
          </a:extLst>
        </xdr:cNvPr>
        <xdr:cNvSpPr txBox="1"/>
      </xdr:nvSpPr>
      <xdr:spPr>
        <a:xfrm>
          <a:off x="2633382" y="25941617"/>
          <a:ext cx="5345206" cy="31488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twoCellAnchor editAs="oneCell">
    <xdr:from>
      <xdr:col>5</xdr:col>
      <xdr:colOff>78439</xdr:colOff>
      <xdr:row>128</xdr:row>
      <xdr:rowOff>33618</xdr:rowOff>
    </xdr:from>
    <xdr:to>
      <xdr:col>10</xdr:col>
      <xdr:colOff>643714</xdr:colOff>
      <xdr:row>135</xdr:row>
      <xdr:rowOff>134471</xdr:rowOff>
    </xdr:to>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4"/>
        <a:stretch>
          <a:fillRect/>
        </a:stretch>
      </xdr:blipFill>
      <xdr:spPr>
        <a:xfrm>
          <a:off x="5356410" y="24484853"/>
          <a:ext cx="4442510" cy="143435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118741" name="Picture 2">
          <a:extLst>
            <a:ext uri="{FF2B5EF4-FFF2-40B4-BE49-F238E27FC236}">
              <a16:creationId xmlns:a16="http://schemas.microsoft.com/office/drawing/2014/main" id="{00000000-0008-0000-2300-000055542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15540" y="5524500"/>
          <a:ext cx="277368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123264</xdr:colOff>
      <xdr:row>4</xdr:row>
      <xdr:rowOff>168087</xdr:rowOff>
    </xdr:from>
    <xdr:to>
      <xdr:col>21</xdr:col>
      <xdr:colOff>903194</xdr:colOff>
      <xdr:row>21</xdr:row>
      <xdr:rowOff>174811</xdr:rowOff>
    </xdr:to>
    <xdr:pic>
      <xdr:nvPicPr>
        <xdr:cNvPr id="3" name="Picture 2">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75470" y="974911"/>
          <a:ext cx="5228665" cy="3942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25</xdr:row>
      <xdr:rowOff>0</xdr:rowOff>
    </xdr:from>
    <xdr:to>
      <xdr:col>27</xdr:col>
      <xdr:colOff>1186198</xdr:colOff>
      <xdr:row>48</xdr:row>
      <xdr:rowOff>168255</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3"/>
        <a:stretch>
          <a:fillRect/>
        </a:stretch>
      </xdr:blipFill>
      <xdr:spPr>
        <a:xfrm>
          <a:off x="29127450" y="5514975"/>
          <a:ext cx="5853448" cy="520698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314325</xdr:colOff>
      <xdr:row>73</xdr:row>
      <xdr:rowOff>122959</xdr:rowOff>
    </xdr:from>
    <xdr:to>
      <xdr:col>5</xdr:col>
      <xdr:colOff>301156</xdr:colOff>
      <xdr:row>97</xdr:row>
      <xdr:rowOff>38100</xdr:rowOff>
    </xdr:to>
    <xdr:pic>
      <xdr:nvPicPr>
        <xdr:cNvPr id="4" name="Picture 3">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30769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1009651</xdr:colOff>
      <xdr:row>19</xdr:row>
      <xdr:rowOff>95250</xdr:rowOff>
    </xdr:from>
    <xdr:ext cx="5867399" cy="3210035"/>
    <xdr:pic>
      <xdr:nvPicPr>
        <xdr:cNvPr id="11" name="Picture 10">
          <a:extLst>
            <a:ext uri="{FF2B5EF4-FFF2-40B4-BE49-F238E27FC236}">
              <a16:creationId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8165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73</xdr:row>
      <xdr:rowOff>133350</xdr:rowOff>
    </xdr:from>
    <xdr:to>
      <xdr:col>12</xdr:col>
      <xdr:colOff>558512</xdr:colOff>
      <xdr:row>92</xdr:row>
      <xdr:rowOff>57150</xdr:rowOff>
    </xdr:to>
    <xdr:sp macro="" textlink="">
      <xdr:nvSpPr>
        <xdr:cNvPr id="12" name="TextBox 11">
          <a:extLst>
            <a:ext uri="{FF2B5EF4-FFF2-40B4-BE49-F238E27FC236}">
              <a16:creationId xmlns:a16="http://schemas.microsoft.com/office/drawing/2014/main" id="{00000000-0008-0000-2400-00000C000000}"/>
            </a:ext>
          </a:extLst>
        </xdr:cNvPr>
        <xdr:cNvSpPr txBox="1"/>
      </xdr:nvSpPr>
      <xdr:spPr>
        <a:xfrm>
          <a:off x="6372225" y="13087350"/>
          <a:ext cx="610206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57</xdr:row>
      <xdr:rowOff>0</xdr:rowOff>
    </xdr:to>
    <xdr:graphicFrame macro="">
      <xdr:nvGraphicFramePr>
        <xdr:cNvPr id="13" name="Chart 12">
          <a:extLst>
            <a:ext uri="{FF2B5EF4-FFF2-40B4-BE49-F238E27FC236}">
              <a16:creationId xmlns:a16="http://schemas.microsoft.com/office/drawing/2014/main" id="{00000000-0008-0000-2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57</xdr:row>
      <xdr:rowOff>0</xdr:rowOff>
    </xdr:to>
    <xdr:graphicFrame macro="">
      <xdr:nvGraphicFramePr>
        <xdr:cNvPr id="14" name="Chart 13">
          <a:extLst>
            <a:ext uri="{FF2B5EF4-FFF2-40B4-BE49-F238E27FC236}">
              <a16:creationId xmlns:a16="http://schemas.microsoft.com/office/drawing/2014/main" id="{00000000-0008-0000-2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59</xdr:row>
      <xdr:rowOff>0</xdr:rowOff>
    </xdr:from>
    <xdr:to>
      <xdr:col>23</xdr:col>
      <xdr:colOff>0</xdr:colOff>
      <xdr:row>73</xdr:row>
      <xdr:rowOff>0</xdr:rowOff>
    </xdr:to>
    <xdr:graphicFrame macro="">
      <xdr:nvGraphicFramePr>
        <xdr:cNvPr id="17" name="Chart 16">
          <a:extLst>
            <a:ext uri="{FF2B5EF4-FFF2-40B4-BE49-F238E27FC236}">
              <a16:creationId xmlns:a16="http://schemas.microsoft.com/office/drawing/2014/main" id="{00000000-0008-0000-2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295275</xdr:colOff>
      <xdr:row>18</xdr:row>
      <xdr:rowOff>81327</xdr:rowOff>
    </xdr:from>
    <xdr:to>
      <xdr:col>19</xdr:col>
      <xdr:colOff>534526</xdr:colOff>
      <xdr:row>35</xdr:row>
      <xdr:rowOff>153124</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6"/>
        <a:stretch>
          <a:fillRect/>
        </a:stretch>
      </xdr:blipFill>
      <xdr:spPr>
        <a:xfrm>
          <a:off x="11601450" y="3510327"/>
          <a:ext cx="5144626" cy="3310297"/>
        </a:xfrm>
        <a:prstGeom prst="rect">
          <a:avLst/>
        </a:prstGeom>
      </xdr:spPr>
    </xdr:pic>
    <xdr:clientData/>
  </xdr:twoCellAnchor>
  <xdr:twoCellAnchor>
    <xdr:from>
      <xdr:col>11</xdr:col>
      <xdr:colOff>190500</xdr:colOff>
      <xdr:row>1</xdr:row>
      <xdr:rowOff>90487</xdr:rowOff>
    </xdr:from>
    <xdr:to>
      <xdr:col>18</xdr:col>
      <xdr:colOff>466725</xdr:colOff>
      <xdr:row>15</xdr:row>
      <xdr:rowOff>166687</xdr:rowOff>
    </xdr:to>
    <xdr:graphicFrame macro="">
      <xdr:nvGraphicFramePr>
        <xdr:cNvPr id="5" name="Chart 4">
          <a:extLst>
            <a:ext uri="{FF2B5EF4-FFF2-40B4-BE49-F238E27FC236}">
              <a16:creationId xmlns:a16="http://schemas.microsoft.com/office/drawing/2014/main" id="{00000000-0008-0000-2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47625</xdr:colOff>
      <xdr:row>95</xdr:row>
      <xdr:rowOff>28575</xdr:rowOff>
    </xdr:from>
    <xdr:to>
      <xdr:col>6</xdr:col>
      <xdr:colOff>916409</xdr:colOff>
      <xdr:row>115</xdr:row>
      <xdr:rowOff>134024</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7625" y="16573500"/>
          <a:ext cx="6364710" cy="4829849"/>
        </a:xfrm>
        <a:prstGeom prst="rect">
          <a:avLst/>
        </a:prstGeom>
      </xdr:spPr>
    </xdr:pic>
    <xdr:clientData/>
  </xdr:twoCellAnchor>
  <xdr:twoCellAnchor editAs="oneCell">
    <xdr:from>
      <xdr:col>10</xdr:col>
      <xdr:colOff>498662</xdr:colOff>
      <xdr:row>93</xdr:row>
      <xdr:rowOff>30256</xdr:rowOff>
    </xdr:from>
    <xdr:to>
      <xdr:col>18</xdr:col>
      <xdr:colOff>356448</xdr:colOff>
      <xdr:row>110</xdr:row>
      <xdr:rowOff>102586</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2"/>
        <a:stretch>
          <a:fillRect/>
        </a:stretch>
      </xdr:blipFill>
      <xdr:spPr>
        <a:xfrm>
          <a:off x="9609044" y="18553580"/>
          <a:ext cx="4698727" cy="4409006"/>
        </a:xfrm>
        <a:prstGeom prst="rect">
          <a:avLst/>
        </a:prstGeom>
      </xdr:spPr>
    </xdr:pic>
    <xdr:clientData/>
  </xdr:twoCellAnchor>
  <xdr:twoCellAnchor editAs="oneCell">
    <xdr:from>
      <xdr:col>27</xdr:col>
      <xdr:colOff>66676</xdr:colOff>
      <xdr:row>88</xdr:row>
      <xdr:rowOff>161926</xdr:rowOff>
    </xdr:from>
    <xdr:to>
      <xdr:col>35</xdr:col>
      <xdr:colOff>552450</xdr:colOff>
      <xdr:row>105</xdr:row>
      <xdr:rowOff>160948</xdr:rowOff>
    </xdr:to>
    <xdr:pic>
      <xdr:nvPicPr>
        <xdr:cNvPr id="4" name="Picture 3">
          <a:extLst>
            <a:ext uri="{FF2B5EF4-FFF2-40B4-BE49-F238E27FC236}">
              <a16:creationId xmlns:a16="http://schemas.microsoft.com/office/drawing/2014/main" id="{00000000-0008-0000-2500-000004000000}"/>
            </a:ext>
          </a:extLst>
        </xdr:cNvPr>
        <xdr:cNvPicPr>
          <a:picLocks noChangeAspect="1"/>
        </xdr:cNvPicPr>
      </xdr:nvPicPr>
      <xdr:blipFill>
        <a:blip xmlns:r="http://schemas.openxmlformats.org/officeDocument/2006/relationships" r:embed="rId3"/>
        <a:stretch>
          <a:fillRect/>
        </a:stretch>
      </xdr:blipFill>
      <xdr:spPr>
        <a:xfrm>
          <a:off x="21974176" y="15087601"/>
          <a:ext cx="5362574" cy="4285272"/>
        </a:xfrm>
        <a:prstGeom prst="rect">
          <a:avLst/>
        </a:prstGeom>
      </xdr:spPr>
    </xdr:pic>
    <xdr:clientData/>
  </xdr:twoCellAnchor>
  <xdr:twoCellAnchor editAs="oneCell">
    <xdr:from>
      <xdr:col>36</xdr:col>
      <xdr:colOff>9525</xdr:colOff>
      <xdr:row>88</xdr:row>
      <xdr:rowOff>123825</xdr:rowOff>
    </xdr:from>
    <xdr:to>
      <xdr:col>45</xdr:col>
      <xdr:colOff>324660</xdr:colOff>
      <xdr:row>100</xdr:row>
      <xdr:rowOff>95658</xdr:rowOff>
    </xdr:to>
    <xdr:pic>
      <xdr:nvPicPr>
        <xdr:cNvPr id="5" name="Picture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4"/>
        <a:stretch>
          <a:fillRect/>
        </a:stretch>
      </xdr:blipFill>
      <xdr:spPr>
        <a:xfrm>
          <a:off x="27403425" y="15049500"/>
          <a:ext cx="5801535" cy="2924583"/>
        </a:xfrm>
        <a:prstGeom prst="rect">
          <a:avLst/>
        </a:prstGeom>
      </xdr:spPr>
    </xdr:pic>
    <xdr:clientData/>
  </xdr:twoCellAnchor>
  <xdr:twoCellAnchor editAs="oneCell">
    <xdr:from>
      <xdr:col>1</xdr:col>
      <xdr:colOff>9526</xdr:colOff>
      <xdr:row>71</xdr:row>
      <xdr:rowOff>171450</xdr:rowOff>
    </xdr:from>
    <xdr:to>
      <xdr:col>13</xdr:col>
      <xdr:colOff>160806</xdr:colOff>
      <xdr:row>84</xdr:row>
      <xdr:rowOff>35113</xdr:rowOff>
    </xdr:to>
    <xdr:pic>
      <xdr:nvPicPr>
        <xdr:cNvPr id="6" name="Picture 5">
          <a:extLst>
            <a:ext uri="{FF2B5EF4-FFF2-40B4-BE49-F238E27FC236}">
              <a16:creationId xmlns:a16="http://schemas.microsoft.com/office/drawing/2014/main" id="{00000000-0008-0000-2500-000006000000}"/>
            </a:ext>
          </a:extLst>
        </xdr:cNvPr>
        <xdr:cNvPicPr>
          <a:picLocks noChangeAspect="1"/>
        </xdr:cNvPicPr>
      </xdr:nvPicPr>
      <xdr:blipFill>
        <a:blip xmlns:r="http://schemas.openxmlformats.org/officeDocument/2006/relationships" r:embed="rId5"/>
        <a:stretch>
          <a:fillRect/>
        </a:stretch>
      </xdr:blipFill>
      <xdr:spPr>
        <a:xfrm>
          <a:off x="9526" y="11858625"/>
          <a:ext cx="10754846" cy="2340163"/>
        </a:xfrm>
        <a:prstGeom prst="rect">
          <a:avLst/>
        </a:prstGeom>
      </xdr:spPr>
    </xdr:pic>
    <xdr:clientData/>
  </xdr:twoCellAnchor>
  <xdr:twoCellAnchor editAs="oneCell">
    <xdr:from>
      <xdr:col>15</xdr:col>
      <xdr:colOff>352425</xdr:colOff>
      <xdr:row>72</xdr:row>
      <xdr:rowOff>38101</xdr:rowOff>
    </xdr:from>
    <xdr:to>
      <xdr:col>27</xdr:col>
      <xdr:colOff>106680</xdr:colOff>
      <xdr:row>84</xdr:row>
      <xdr:rowOff>40701</xdr:rowOff>
    </xdr:to>
    <xdr:pic>
      <xdr:nvPicPr>
        <xdr:cNvPr id="7" name="Picture 6">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6"/>
        <a:stretch>
          <a:fillRect/>
        </a:stretch>
      </xdr:blipFill>
      <xdr:spPr>
        <a:xfrm>
          <a:off x="11296650" y="11915776"/>
          <a:ext cx="10717530" cy="2288600"/>
        </a:xfrm>
        <a:prstGeom prst="rect">
          <a:avLst/>
        </a:prstGeom>
      </xdr:spPr>
    </xdr:pic>
    <xdr:clientData/>
  </xdr:twoCellAnchor>
  <xdr:twoCellAnchor editAs="oneCell">
    <xdr:from>
      <xdr:col>22</xdr:col>
      <xdr:colOff>57150</xdr:colOff>
      <xdr:row>118</xdr:row>
      <xdr:rowOff>28575</xdr:rowOff>
    </xdr:from>
    <xdr:to>
      <xdr:col>25</xdr:col>
      <xdr:colOff>1143784</xdr:colOff>
      <xdr:row>139</xdr:row>
      <xdr:rowOff>57712</xdr:rowOff>
    </xdr:to>
    <xdr:pic>
      <xdr:nvPicPr>
        <xdr:cNvPr id="8" name="Picture 7">
          <a:extLst>
            <a:ext uri="{FF2B5EF4-FFF2-40B4-BE49-F238E27FC236}">
              <a16:creationId xmlns:a16="http://schemas.microsoft.com/office/drawing/2014/main" id="{00000000-0008-0000-2500-000008000000}"/>
            </a:ext>
          </a:extLst>
        </xdr:cNvPr>
        <xdr:cNvPicPr>
          <a:picLocks noChangeAspect="1"/>
        </xdr:cNvPicPr>
      </xdr:nvPicPr>
      <xdr:blipFill>
        <a:blip xmlns:r="http://schemas.openxmlformats.org/officeDocument/2006/relationships" r:embed="rId7"/>
        <a:stretch>
          <a:fillRect/>
        </a:stretch>
      </xdr:blipFill>
      <xdr:spPr>
        <a:xfrm>
          <a:off x="15268575" y="21869400"/>
          <a:ext cx="5620533" cy="4029637"/>
        </a:xfrm>
        <a:prstGeom prst="rect">
          <a:avLst/>
        </a:prstGeom>
      </xdr:spPr>
    </xdr:pic>
    <xdr:clientData/>
  </xdr:two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0000000-0008-0000-2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00000000-0008-0000-2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593912</xdr:colOff>
      <xdr:row>1</xdr:row>
      <xdr:rowOff>224118</xdr:rowOff>
    </xdr:from>
    <xdr:to>
      <xdr:col>22</xdr:col>
      <xdr:colOff>1093090</xdr:colOff>
      <xdr:row>17</xdr:row>
      <xdr:rowOff>177493</xdr:rowOff>
    </xdr:to>
    <xdr:pic>
      <xdr:nvPicPr>
        <xdr:cNvPr id="13" name="Picture 12">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stretch>
          <a:fillRect/>
        </a:stretch>
      </xdr:blipFill>
      <xdr:spPr>
        <a:xfrm>
          <a:off x="9704294" y="493059"/>
          <a:ext cx="7760590" cy="315825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2</xdr:row>
          <xdr:rowOff>0</xdr:rowOff>
        </xdr:from>
        <xdr:to>
          <xdr:col>1</xdr:col>
          <xdr:colOff>9525</xdr:colOff>
          <xdr:row>3</xdr:row>
          <xdr:rowOff>0</xdr:rowOff>
        </xdr:to>
        <xdr:sp macro="" textlink="">
          <xdr:nvSpPr>
            <xdr:cNvPr id="28673" name="cmdCheckItemsSheet" hidden="1">
              <a:extLst>
                <a:ext uri="{63B3BB69-23CF-44E3-9099-C40C66FF867C}">
                  <a14:compatExt spid="_x0000_s28673"/>
                </a:ext>
                <a:ext uri="{FF2B5EF4-FFF2-40B4-BE49-F238E27FC236}">
                  <a16:creationId xmlns:a16="http://schemas.microsoft.com/office/drawing/2014/main" id="{00000000-0008-0000-2F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3</xdr:row>
          <xdr:rowOff>0</xdr:rowOff>
        </xdr:from>
        <xdr:to>
          <xdr:col>2</xdr:col>
          <xdr:colOff>171450</xdr:colOff>
          <xdr:row>4</xdr:row>
          <xdr:rowOff>95250</xdr:rowOff>
        </xdr:to>
        <xdr:sp macro="" textlink="">
          <xdr:nvSpPr>
            <xdr:cNvPr id="28674" name="cmdSpecifyComponent" hidden="1">
              <a:extLst>
                <a:ext uri="{63B3BB69-23CF-44E3-9099-C40C66FF867C}">
                  <a14:compatExt spid="_x0000_s28674"/>
                </a:ext>
                <a:ext uri="{FF2B5EF4-FFF2-40B4-BE49-F238E27FC236}">
                  <a16:creationId xmlns:a16="http://schemas.microsoft.com/office/drawing/2014/main" id="{00000000-0008-0000-2F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3</xdr:row>
          <xdr:rowOff>0</xdr:rowOff>
        </xdr:from>
        <xdr:to>
          <xdr:col>5</xdr:col>
          <xdr:colOff>104775</xdr:colOff>
          <xdr:row>4</xdr:row>
          <xdr:rowOff>95250</xdr:rowOff>
        </xdr:to>
        <xdr:sp macro="" textlink="">
          <xdr:nvSpPr>
            <xdr:cNvPr id="28675" name="cmdSpecifyUnits" hidden="1">
              <a:extLst>
                <a:ext uri="{63B3BB69-23CF-44E3-9099-C40C66FF867C}">
                  <a14:compatExt spid="_x0000_s28675"/>
                </a:ext>
                <a:ext uri="{FF2B5EF4-FFF2-40B4-BE49-F238E27FC236}">
                  <a16:creationId xmlns:a16="http://schemas.microsoft.com/office/drawing/2014/main" id="{00000000-0008-0000-2F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xdr:row>
          <xdr:rowOff>0</xdr:rowOff>
        </xdr:from>
        <xdr:to>
          <xdr:col>6</xdr:col>
          <xdr:colOff>9525</xdr:colOff>
          <xdr:row>4</xdr:row>
          <xdr:rowOff>95250</xdr:rowOff>
        </xdr:to>
        <xdr:sp macro="" textlink="">
          <xdr:nvSpPr>
            <xdr:cNvPr id="28676" name="cmdSpecifySets" hidden="1">
              <a:extLst>
                <a:ext uri="{63B3BB69-23CF-44E3-9099-C40C66FF867C}">
                  <a14:compatExt spid="_x0000_s28676"/>
                </a:ext>
                <a:ext uri="{FF2B5EF4-FFF2-40B4-BE49-F238E27FC236}">
                  <a16:creationId xmlns:a16="http://schemas.microsoft.com/office/drawing/2014/main" id="{00000000-0008-0000-2F00-000004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xdr:twoCellAnchor>
    <xdr:from>
      <xdr:col>28</xdr:col>
      <xdr:colOff>292100</xdr:colOff>
      <xdr:row>29</xdr:row>
      <xdr:rowOff>76200</xdr:rowOff>
    </xdr:from>
    <xdr:to>
      <xdr:col>36</xdr:col>
      <xdr:colOff>469900</xdr:colOff>
      <xdr:row>46</xdr:row>
      <xdr:rowOff>146050</xdr:rowOff>
    </xdr:to>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241300</xdr:colOff>
      <xdr:row>7</xdr:row>
      <xdr:rowOff>396875</xdr:rowOff>
    </xdr:from>
    <xdr:to>
      <xdr:col>29</xdr:col>
      <xdr:colOff>301625</xdr:colOff>
      <xdr:row>26</xdr:row>
      <xdr:rowOff>47625</xdr:rowOff>
    </xdr:to>
    <xdr:graphicFrame macro="">
      <xdr:nvGraphicFramePr>
        <xdr:cNvPr id="3" name="Chart 2">
          <a:extLst>
            <a:ext uri="{FF2B5EF4-FFF2-40B4-BE49-F238E27FC236}">
              <a16:creationId xmlns:a16="http://schemas.microsoft.com/office/drawing/2014/main" id="{00000000-0008-0000-3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304800</xdr:colOff>
      <xdr:row>47</xdr:row>
      <xdr:rowOff>22225</xdr:rowOff>
    </xdr:from>
    <xdr:to>
      <xdr:col>37</xdr:col>
      <xdr:colOff>0</xdr:colOff>
      <xdr:row>64</xdr:row>
      <xdr:rowOff>66675</xdr:rowOff>
    </xdr:to>
    <xdr:graphicFrame macro="">
      <xdr:nvGraphicFramePr>
        <xdr:cNvPr id="4" name="Chart 3">
          <a:extLst>
            <a:ext uri="{FF2B5EF4-FFF2-40B4-BE49-F238E27FC236}">
              <a16:creationId xmlns:a16="http://schemas.microsoft.com/office/drawing/2014/main" id="{00000000-0008-0000-3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123824</xdr:colOff>
      <xdr:row>33</xdr:row>
      <xdr:rowOff>92074</xdr:rowOff>
    </xdr:from>
    <xdr:to>
      <xdr:col>27</xdr:col>
      <xdr:colOff>273049</xdr:colOff>
      <xdr:row>55</xdr:row>
      <xdr:rowOff>50799</xdr:rowOff>
    </xdr:to>
    <xdr:graphicFrame macro="">
      <xdr:nvGraphicFramePr>
        <xdr:cNvPr id="5" name="Chart 4">
          <a:extLst>
            <a:ext uri="{FF2B5EF4-FFF2-40B4-BE49-F238E27FC236}">
              <a16:creationId xmlns:a16="http://schemas.microsoft.com/office/drawing/2014/main" id="{00000000-0008-0000-3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59</xdr:row>
      <xdr:rowOff>0</xdr:rowOff>
    </xdr:from>
    <xdr:to>
      <xdr:col>31</xdr:col>
      <xdr:colOff>463918</xdr:colOff>
      <xdr:row>85</xdr:row>
      <xdr:rowOff>63725</xdr:rowOff>
    </xdr:to>
    <xdr:pic>
      <xdr:nvPicPr>
        <xdr:cNvPr id="6" name="Picture 5">
          <a:extLst>
            <a:ext uri="{FF2B5EF4-FFF2-40B4-BE49-F238E27FC236}">
              <a16:creationId xmlns:a16="http://schemas.microsoft.com/office/drawing/2014/main" id="{00000000-0008-0000-3500-000006000000}"/>
            </a:ext>
          </a:extLst>
        </xdr:cNvPr>
        <xdr:cNvPicPr>
          <a:picLocks noChangeAspect="1"/>
        </xdr:cNvPicPr>
      </xdr:nvPicPr>
      <xdr:blipFill>
        <a:blip xmlns:r="http://schemas.openxmlformats.org/officeDocument/2006/relationships" r:embed="rId5"/>
        <a:stretch>
          <a:fillRect/>
        </a:stretch>
      </xdr:blipFill>
      <xdr:spPr>
        <a:xfrm>
          <a:off x="12287250" y="11468100"/>
          <a:ext cx="7169518" cy="4369025"/>
        </a:xfrm>
        <a:prstGeom prst="rect">
          <a:avLst/>
        </a:prstGeom>
      </xdr:spPr>
    </xdr:pic>
    <xdr:clientData/>
  </xdr:twoCellAnchor>
  <xdr:twoCellAnchor>
    <xdr:from>
      <xdr:col>20</xdr:col>
      <xdr:colOff>282575</xdr:colOff>
      <xdr:row>62</xdr:row>
      <xdr:rowOff>31750</xdr:rowOff>
    </xdr:from>
    <xdr:to>
      <xdr:col>30</xdr:col>
      <xdr:colOff>12700</xdr:colOff>
      <xdr:row>81</xdr:row>
      <xdr:rowOff>107950</xdr:rowOff>
    </xdr:to>
    <xdr:graphicFrame macro="">
      <xdr:nvGraphicFramePr>
        <xdr:cNvPr id="7" name="Chart 6">
          <a:extLst>
            <a:ext uri="{FF2B5EF4-FFF2-40B4-BE49-F238E27FC236}">
              <a16:creationId xmlns:a16="http://schemas.microsoft.com/office/drawing/2014/main" id="{00000000-0008-0000-3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11</xdr:col>
      <xdr:colOff>9525</xdr:colOff>
      <xdr:row>0</xdr:row>
      <xdr:rowOff>114300</xdr:rowOff>
    </xdr:from>
    <xdr:to>
      <xdr:col>34</xdr:col>
      <xdr:colOff>66675</xdr:colOff>
      <xdr:row>11</xdr:row>
      <xdr:rowOff>172702</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5172075" y="114300"/>
          <a:ext cx="6848475" cy="215390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7905" name="cmdCheckTSandTIDDataSheet" hidden="1">
              <a:extLst>
                <a:ext uri="{63B3BB69-23CF-44E3-9099-C40C66FF867C}">
                  <a14:compatExt spid="_x0000_s2427905"/>
                </a:ext>
                <a:ext uri="{FF2B5EF4-FFF2-40B4-BE49-F238E27FC236}">
                  <a16:creationId xmlns:a16="http://schemas.microsoft.com/office/drawing/2014/main" id="{00000000-0008-0000-3F00-000001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7906" name="cmdSpecifyParameter" hidden="1">
              <a:extLst>
                <a:ext uri="{63B3BB69-23CF-44E3-9099-C40C66FF867C}">
                  <a14:compatExt spid="_x0000_s2427906"/>
                </a:ext>
                <a:ext uri="{FF2B5EF4-FFF2-40B4-BE49-F238E27FC236}">
                  <a16:creationId xmlns:a16="http://schemas.microsoft.com/office/drawing/2014/main" id="{00000000-0008-0000-3F00-000002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7907" name="cmdSpecifyArg1" hidden="1">
              <a:extLst>
                <a:ext uri="{63B3BB69-23CF-44E3-9099-C40C66FF867C}">
                  <a14:compatExt spid="_x0000_s2427907"/>
                </a:ext>
                <a:ext uri="{FF2B5EF4-FFF2-40B4-BE49-F238E27FC236}">
                  <a16:creationId xmlns:a16="http://schemas.microsoft.com/office/drawing/2014/main" id="{00000000-0008-0000-3F00-000003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4</xdr:col>
          <xdr:colOff>0</xdr:colOff>
          <xdr:row>4</xdr:row>
          <xdr:rowOff>104775</xdr:rowOff>
        </xdr:to>
        <xdr:sp macro="" textlink="">
          <xdr:nvSpPr>
            <xdr:cNvPr id="2427908" name="cmdSpecifyArg2" hidden="1">
              <a:extLst>
                <a:ext uri="{63B3BB69-23CF-44E3-9099-C40C66FF867C}">
                  <a14:compatExt spid="_x0000_s2427908"/>
                </a:ext>
                <a:ext uri="{FF2B5EF4-FFF2-40B4-BE49-F238E27FC236}">
                  <a16:creationId xmlns:a16="http://schemas.microsoft.com/office/drawing/2014/main" id="{00000000-0008-0000-3F00-000004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7909" name="cmdSpecifyArg3" hidden="1">
              <a:extLst>
                <a:ext uri="{63B3BB69-23CF-44E3-9099-C40C66FF867C}">
                  <a14:compatExt spid="_x0000_s2427909"/>
                </a:ext>
                <a:ext uri="{FF2B5EF4-FFF2-40B4-BE49-F238E27FC236}">
                  <a16:creationId xmlns:a16="http://schemas.microsoft.com/office/drawing/2014/main" id="{00000000-0008-0000-3F00-000005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7910" name="cmdSpecifyArg4" hidden="1">
              <a:extLst>
                <a:ext uri="{63B3BB69-23CF-44E3-9099-C40C66FF867C}">
                  <a14:compatExt spid="_x0000_s2427910"/>
                </a:ext>
                <a:ext uri="{FF2B5EF4-FFF2-40B4-BE49-F238E27FC236}">
                  <a16:creationId xmlns:a16="http://schemas.microsoft.com/office/drawing/2014/main" id="{00000000-0008-0000-3F00-000006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7911" name="cmdSpecifyArg5" hidden="1">
              <a:extLst>
                <a:ext uri="{63B3BB69-23CF-44E3-9099-C40C66FF867C}">
                  <a14:compatExt spid="_x0000_s2427911"/>
                </a:ext>
                <a:ext uri="{FF2B5EF4-FFF2-40B4-BE49-F238E27FC236}">
                  <a16:creationId xmlns:a16="http://schemas.microsoft.com/office/drawing/2014/main" id="{00000000-0008-0000-3F00-000007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7912" name="cmdSpecifyArg6" hidden="1">
              <a:extLst>
                <a:ext uri="{63B3BB69-23CF-44E3-9099-C40C66FF867C}">
                  <a14:compatExt spid="_x0000_s2427912"/>
                </a:ext>
                <a:ext uri="{FF2B5EF4-FFF2-40B4-BE49-F238E27FC236}">
                  <a16:creationId xmlns:a16="http://schemas.microsoft.com/office/drawing/2014/main" id="{00000000-0008-0000-3F00-000008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3</xdr:row>
          <xdr:rowOff>0</xdr:rowOff>
        </xdr:from>
        <xdr:to>
          <xdr:col>8</xdr:col>
          <xdr:colOff>476250</xdr:colOff>
          <xdr:row>4</xdr:row>
          <xdr:rowOff>104775</xdr:rowOff>
        </xdr:to>
        <xdr:sp macro="" textlink="">
          <xdr:nvSpPr>
            <xdr:cNvPr id="2427913" name="cmdSpecifyIEOptcode" hidden="1">
              <a:extLst>
                <a:ext uri="{63B3BB69-23CF-44E3-9099-C40C66FF867C}">
                  <a14:compatExt spid="_x0000_s2427913"/>
                </a:ext>
                <a:ext uri="{FF2B5EF4-FFF2-40B4-BE49-F238E27FC236}">
                  <a16:creationId xmlns:a16="http://schemas.microsoft.com/office/drawing/2014/main" id="{00000000-0008-0000-3F00-0000090C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0</xdr:colOff>
          <xdr:row>3</xdr:row>
          <xdr:rowOff>47625</xdr:rowOff>
        </xdr:to>
        <xdr:sp macro="" textlink="">
          <xdr:nvSpPr>
            <xdr:cNvPr id="2428929" name="cmdCheckTSandTIDDataSheet" hidden="1">
              <a:extLst>
                <a:ext uri="{63B3BB69-23CF-44E3-9099-C40C66FF867C}">
                  <a14:compatExt spid="_x0000_s2428929"/>
                </a:ext>
                <a:ext uri="{FF2B5EF4-FFF2-40B4-BE49-F238E27FC236}">
                  <a16:creationId xmlns:a16="http://schemas.microsoft.com/office/drawing/2014/main" id="{00000000-0008-0000-4000-000001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2428930" name="cmdSpecifyParameter" hidden="1">
              <a:extLst>
                <a:ext uri="{63B3BB69-23CF-44E3-9099-C40C66FF867C}">
                  <a14:compatExt spid="_x0000_s2428930"/>
                </a:ext>
                <a:ext uri="{FF2B5EF4-FFF2-40B4-BE49-F238E27FC236}">
                  <a16:creationId xmlns:a16="http://schemas.microsoft.com/office/drawing/2014/main" id="{00000000-0008-0000-4000-000002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2428931" name="cmdSpecifyArg1" hidden="1">
              <a:extLst>
                <a:ext uri="{63B3BB69-23CF-44E3-9099-C40C66FF867C}">
                  <a14:compatExt spid="_x0000_s2428931"/>
                </a:ext>
                <a:ext uri="{FF2B5EF4-FFF2-40B4-BE49-F238E27FC236}">
                  <a16:creationId xmlns:a16="http://schemas.microsoft.com/office/drawing/2014/main" id="{00000000-0008-0000-4000-000003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2428932" name="cmdSpecifyArg2" hidden="1">
              <a:extLst>
                <a:ext uri="{63B3BB69-23CF-44E3-9099-C40C66FF867C}">
                  <a14:compatExt spid="_x0000_s2428932"/>
                </a:ext>
                <a:ext uri="{FF2B5EF4-FFF2-40B4-BE49-F238E27FC236}">
                  <a16:creationId xmlns:a16="http://schemas.microsoft.com/office/drawing/2014/main" id="{00000000-0008-0000-4000-000004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2428933" name="cmdSpecifyArg3" hidden="1">
              <a:extLst>
                <a:ext uri="{63B3BB69-23CF-44E3-9099-C40C66FF867C}">
                  <a14:compatExt spid="_x0000_s2428933"/>
                </a:ext>
                <a:ext uri="{FF2B5EF4-FFF2-40B4-BE49-F238E27FC236}">
                  <a16:creationId xmlns:a16="http://schemas.microsoft.com/office/drawing/2014/main" id="{00000000-0008-0000-4000-000005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6</xdr:col>
          <xdr:colOff>0</xdr:colOff>
          <xdr:row>4</xdr:row>
          <xdr:rowOff>104775</xdr:rowOff>
        </xdr:to>
        <xdr:sp macro="" textlink="">
          <xdr:nvSpPr>
            <xdr:cNvPr id="2428934" name="cmdSpecifyArg4" hidden="1">
              <a:extLst>
                <a:ext uri="{63B3BB69-23CF-44E3-9099-C40C66FF867C}">
                  <a14:compatExt spid="_x0000_s2428934"/>
                </a:ext>
                <a:ext uri="{FF2B5EF4-FFF2-40B4-BE49-F238E27FC236}">
                  <a16:creationId xmlns:a16="http://schemas.microsoft.com/office/drawing/2014/main" id="{00000000-0008-0000-4000-000006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7</xdr:col>
          <xdr:colOff>0</xdr:colOff>
          <xdr:row>4</xdr:row>
          <xdr:rowOff>104775</xdr:rowOff>
        </xdr:to>
        <xdr:sp macro="" textlink="">
          <xdr:nvSpPr>
            <xdr:cNvPr id="2428935" name="cmdSpecifyArg5" hidden="1">
              <a:extLst>
                <a:ext uri="{63B3BB69-23CF-44E3-9099-C40C66FF867C}">
                  <a14:compatExt spid="_x0000_s2428935"/>
                </a:ext>
                <a:ext uri="{FF2B5EF4-FFF2-40B4-BE49-F238E27FC236}">
                  <a16:creationId xmlns:a16="http://schemas.microsoft.com/office/drawing/2014/main" id="{00000000-0008-0000-4000-000007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8</xdr:col>
          <xdr:colOff>0</xdr:colOff>
          <xdr:row>4</xdr:row>
          <xdr:rowOff>104775</xdr:rowOff>
        </xdr:to>
        <xdr:sp macro="" textlink="">
          <xdr:nvSpPr>
            <xdr:cNvPr id="2428936" name="cmdSpecifyArg6" hidden="1">
              <a:extLst>
                <a:ext uri="{63B3BB69-23CF-44E3-9099-C40C66FF867C}">
                  <a14:compatExt spid="_x0000_s2428936"/>
                </a:ext>
                <a:ext uri="{FF2B5EF4-FFF2-40B4-BE49-F238E27FC236}">
                  <a16:creationId xmlns:a16="http://schemas.microsoft.com/office/drawing/2014/main" id="{00000000-0008-0000-4000-000008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419100</xdr:colOff>
          <xdr:row>4</xdr:row>
          <xdr:rowOff>104775</xdr:rowOff>
        </xdr:to>
        <xdr:sp macro="" textlink="">
          <xdr:nvSpPr>
            <xdr:cNvPr id="2428937" name="cmdSpecifyIEOptcode" hidden="1">
              <a:extLst>
                <a:ext uri="{63B3BB69-23CF-44E3-9099-C40C66FF867C}">
                  <a14:compatExt spid="_x0000_s2428937"/>
                </a:ext>
                <a:ext uri="{FF2B5EF4-FFF2-40B4-BE49-F238E27FC236}">
                  <a16:creationId xmlns:a16="http://schemas.microsoft.com/office/drawing/2014/main" id="{00000000-0008-0000-4000-000009102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IME_SLICES.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lator"/>
    </sheetNames>
    <sheetDataSet>
      <sheetData sheetId="0">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F14">
            <v>0.9119771214891641</v>
          </cell>
          <cell r="G14">
            <v>3.9978401822178644</v>
          </cell>
          <cell r="H14">
            <v>15.533587315156527</v>
          </cell>
          <cell r="I14">
            <v>9.9384899206621569</v>
          </cell>
          <cell r="J14">
            <v>0.76987820775653648</v>
          </cell>
          <cell r="AA14" t="str">
            <v>SATIM</v>
          </cell>
        </row>
        <row r="15">
          <cell r="X15" t="str">
            <v>OGS</v>
          </cell>
          <cell r="Y15"/>
          <cell r="Z15"/>
          <cell r="AA15">
            <v>389.02717388046295</v>
          </cell>
        </row>
        <row r="16">
          <cell r="X16" t="str">
            <v>ODS</v>
          </cell>
          <cell r="Y16"/>
          <cell r="Z16"/>
          <cell r="AA16">
            <v>381.14143018103408</v>
          </cell>
        </row>
        <row r="21">
          <cell r="H21">
            <v>18.46</v>
          </cell>
        </row>
        <row r="28">
          <cell r="F28">
            <v>5.4606157194600007</v>
          </cell>
          <cell r="G28">
            <v>0</v>
          </cell>
          <cell r="H28">
            <v>0</v>
          </cell>
          <cell r="I28">
            <v>0</v>
          </cell>
          <cell r="J28">
            <v>422.46927554904926</v>
          </cell>
          <cell r="K28">
            <v>0</v>
          </cell>
        </row>
        <row r="29">
          <cell r="F29">
            <v>42.048730984919999</v>
          </cell>
          <cell r="G29">
            <v>0</v>
          </cell>
          <cell r="H29">
            <v>39.616473908879996</v>
          </cell>
          <cell r="I29">
            <v>0</v>
          </cell>
          <cell r="J29">
            <v>275.67695528723408</v>
          </cell>
          <cell r="K29">
            <v>23.79927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BC0F13A4-34AE-4160-8D48-738A4276B1AE}" userId="Bruno Merven" providerId="None"/>
  <person displayName="bruno merven" id="{C98AE95B-F7A1-4680-B272-2648DA9D0536}" userId="144eb91ed0ec6402" providerId="Windows Live"/>
  <person displayName="Fadiel Ahjum" id="{7856DDEC-3CA6-4C24-A64F-365F170C24E4}"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Y12" dT="2020-10-16T14:46:12.21" personId="{C98AE95B-F7A1-4680-B272-2648DA9D0536}" id="{77BB5465-28E6-45DB-B821-62C01E7D0C4F}">
    <text>Accounted for in process emissions</text>
  </threadedComment>
  <threadedComment ref="AY26" dT="2021-08-25T16:57:08.74" personId="{BC0F13A4-34AE-4160-8D48-738A4276B1AE}" id="{1042885E-3091-434D-A470-C7D1F540DEFA}">
    <text>Accounted for on Technology</text>
  </threadedComment>
</ThreadedComments>
</file>

<file path=xl/threadedComments/threadedComment2.xml><?xml version="1.0" encoding="utf-8"?>
<ThreadedComments xmlns="http://schemas.microsoft.com/office/spreadsheetml/2018/threadedcomments" xmlns:x="http://schemas.openxmlformats.org/spreadsheetml/2006/main">
  <threadedComment ref="AE8" dT="2020-08-27T09:26:46.39" personId="{C98AE95B-F7A1-4680-B272-2648DA9D0536}" id="{5ED86893-4688-47A2-AAA7-A0415B249DED}">
    <text>added some to meet 2012 demand</text>
  </threadedComment>
</ThreadedComments>
</file>

<file path=xl/threadedComments/threadedComment3.xml><?xml version="1.0" encoding="utf-8"?>
<ThreadedComments xmlns="http://schemas.microsoft.com/office/spreadsheetml/2018/threadedcomments" xmlns:x="http://schemas.openxmlformats.org/spreadsheetml/2006/main">
  <threadedComment ref="CM86" dT="2021-03-23T15:18:43.85" personId="{BC0F13A4-34AE-4160-8D48-738A4276B1AE}" id="{CF490E8D-48BD-4EF7-B0E4-8CC084719230}">
    <text>average of Jan and Feb 2021</text>
  </threadedComment>
  <threadedComment ref="CK91" dT="2021-03-23T15:42:46.98" personId="{BC0F13A4-34AE-4160-8D48-738A4276B1AE}" id="{9B57D1DB-693C-402E-98F9-1180A742499E}">
    <text>Note, we're using 2021 as proxy for 2020, which is an outlier for interpolation purposes.</text>
  </threadedComment>
</ThreadedComments>
</file>

<file path=xl/threadedComments/threadedComment4.xml><?xml version="1.0" encoding="utf-8"?>
<ThreadedComments xmlns="http://schemas.microsoft.com/office/spreadsheetml/2018/threadedcomments" xmlns:x="http://schemas.openxmlformats.org/spreadsheetml/2006/main">
  <threadedComment ref="E52" dT="2021-04-07T08:55:07.46" personId="{BC0F13A4-34AE-4160-8D48-738A4276B1AE}" id="{FA09FCA6-F7B4-4530-9A75-A4D12DC2F700}">
    <text>Use this cell to do any currency conversion adjustments.</text>
  </threadedComment>
  <threadedComment ref="I58" dT="2021-03-24T15:36:11.21" personId="{BC0F13A4-34AE-4160-8D48-738A4276B1AE}" id="{23C904F1-FA3A-4A76-A9F3-2EBE1337442C}">
    <text>from SUTCoal sheet in EB2017 google sheet. This includes transport costs.</text>
  </threadedComment>
  <threadedComment ref="G69" dT="2021-07-29T09:59:23.01" personId="{BC0F13A4-34AE-4160-8D48-738A4276B1AE}" id="{FBF17F1D-49C3-480A-808A-9D9584A720C6}">
    <text>Linked to coal price with slight price premium for lower CV and thus higher transport costs?</text>
  </threadedComment>
  <threadedComment ref="M69" dT="2021-07-29T09:59:37.63" personId="{BC0F13A4-34AE-4160-8D48-738A4276B1AE}" id="{46815726-5627-4C45-9BDF-8C2CE4B944F0}">
    <text>We need to determine what the limit is.</text>
  </threadedComment>
  <threadedComment ref="M85" dT="2021-07-26T15:05:55.74" personId="{BC0F13A4-34AE-4160-8D48-738A4276B1AE}" id="{9ECC9A61-6354-4F5E-BBA8-343035151CDB}">
    <text>.56 added to avoid zzs</text>
  </threadedComment>
</ThreadedComments>
</file>

<file path=xl/threadedComments/threadedComment5.xml><?xml version="1.0" encoding="utf-8"?>
<ThreadedComments xmlns="http://schemas.microsoft.com/office/spreadsheetml/2018/threadedcomments" xmlns:x="http://schemas.openxmlformats.org/spreadsheetml/2006/main">
  <threadedComment ref="O64" dT="2020-10-07T08:01:50.48" personId="{C98AE95B-F7A1-4680-B272-2648DA9D0536}" id="{EED58661-C088-4D71-95C6-0AC32B37B6B0}">
    <text>amount required to meet lower bound on production (calibrated on DEFF GHG Inventory)</text>
  </threadedComment>
</ThreadedComments>
</file>

<file path=xl/threadedComments/threadedComment6.xml><?xml version="1.0" encoding="utf-8"?>
<ThreadedComments xmlns="http://schemas.microsoft.com/office/spreadsheetml/2018/threadedcomments" xmlns:x="http://schemas.openxmlformats.org/spreadsheetml/2006/main">
  <threadedComment ref="D9" dT="2020-07-09T16:40:14.01" personId="{7856DDEC-3CA6-4C24-A64F-365F170C24E4}" id="{2F97DE14-04F2-4340-A251-3937DB9A8131}">
    <text>Calculated from eskom CDM data</text>
  </threadedComment>
  <threadedComment ref="R24" dT="2020-07-09T16:50:54.23" personId="{7856DDEC-3CA6-4C24-A64F-365F170C24E4}" id="{5C8FFD7D-6226-47B2-86B2-26249845A2A4}">
    <text>sasol cc report 2017</text>
  </threadedComment>
</ThreadedComments>
</file>

<file path=xl/threadedComments/threadedComment7.xml><?xml version="1.0" encoding="utf-8"?>
<ThreadedComments xmlns="http://schemas.microsoft.com/office/spreadsheetml/2018/threadedcomments" xmlns:x="http://schemas.openxmlformats.org/spreadsheetml/2006/main">
  <threadedComment ref="T50" dT="2020-07-23T08:38:19.38" personId="{7856DDEC-3CA6-4C24-A64F-365F170C24E4}" id="{DDCF3564-49AA-4DC4-A97F-6E94BA9D3A99}">
    <text>adjusted to match sasol total CO2 direct emissions for 2017 in CC report (2017)</text>
  </threadedComment>
</ThreadedComments>
</file>

<file path=xl/threadedComments/threadedComment8.xml><?xml version="1.0" encoding="utf-8"?>
<ThreadedComments xmlns="http://schemas.microsoft.com/office/spreadsheetml/2018/threadedcomments" xmlns:x="http://schemas.openxmlformats.org/spreadsheetml/2006/main">
  <threadedComment ref="D28" dT="2020-07-22T08:45:14.01" personId="{7856DDEC-3CA6-4C24-A64F-365F170C24E4}" id="{54C9F0EB-622C-47A8-9C91-7D3D3D18354E}">
    <text>https://www.thermexcel.com/english/tables/vapeau1.htm</text>
  </threadedComment>
  <threadedComment ref="D28" dT="2020-07-22T11:41:41.63" personId="{7856DDEC-3CA6-4C24-A64F-365F170C24E4}" id="{FB57940A-CB8D-4ADB-B3F5-EBE24BDACA1B}" parentId="{54C9F0EB-622C-47A8-9C91-7D3D3D18354E}">
    <text>2,627 previous value</text>
  </threadedComment>
  <threadedComment ref="H28" dT="2020-07-22T08:54:29.65" personId="{7856DDEC-3CA6-4C24-A64F-365F170C24E4}" id="{4EA3CB5D-7133-488B-BECE-BFD55EEFF4AC}">
    <text>https://www.environment.gov.za/sites/default/files/docs/publications/calculationofcountryspecificemissionfactors.pdf</text>
  </threadedComment>
  <threadedComment ref="H29" dT="2020-07-22T08:54:49.68" personId="{7856DDEC-3CA6-4C24-A64F-365F170C24E4}" id="{0BA273AE-6DCA-40D9-AE27-C9AB6D3006BE}">
    <text>https://www.environment.gov.za/sites/default/files/docs/publications/calculationofcountryspecificemissionfactors.pdf</text>
  </threadedComment>
  <threadedComment ref="H30" dT="2020-07-22T08:53:33.19" personId="{7856DDEC-3CA6-4C24-A64F-365F170C24E4}" id="{705A66FB-27F3-4F62-B38C-FB777BFE2821}">
    <text>http://mhps.co.za/en/references-sasol-ii-iii.html</text>
  </threadedComment>
  <threadedComment ref="H30" dT="2020-07-22T10:44:59.15" personId="{7856DDEC-3CA6-4C24-A64F-365F170C24E4}" id="{1AAC3BD3-7D72-41BC-9315-A1A6394F930D}" parentId="{705A66FB-27F3-4F62-B38C-FB777BFE2821}">
    <text>Also as reported in SRK (2018)</text>
  </threadedComment>
  <threadedComment ref="D36" dT="2020-07-30T08:30:57.74" personId="{C98AE95B-F7A1-4680-B272-2648DA9D0536}" id="{E2BE3853-D8BE-4488-8FAC-661407437727}">
    <text>adjusted this to get actual estimated emissions from elc production.</text>
  </threadedComment>
  <threadedComment ref="D67" dT="2020-07-30T08:10:26.33" personId="{C98AE95B-F7A1-4680-B272-2648DA9D0536}" id="{C9C9D365-219A-465B-B982-994E13D9E929}">
    <text>this is what was consumed the rest was exported.</text>
  </threadedComment>
  <threadedComment ref="D155" dT="2021-04-08T08:29:08.47" personId="{BC0F13A4-34AE-4160-8D48-738A4276B1AE}" id="{D9E22C50-FBF5-4229-8E8B-05279D96177A}">
    <text>Something weird going on here - we should be subtracting crude used by PetroSA and Natref. Crude imports look ok in 2017, so leaving this for now. But it would be good to rebuild this spreadsheet at some point.</text>
  </threadedComment>
  <threadedComment ref="E248" dT="2020-07-24T15:25:23.37" personId="{7856DDEC-3CA6-4C24-A64F-365F170C24E4}" id="{3C70C4E7-C4D8-4D25-855A-177A02A5472B}">
    <text>ktCO2 NIR 2017 DEFF (2020)</text>
  </threadedComment>
</ThreadedComments>
</file>

<file path=xl/threadedComments/threadedComment9.xml><?xml version="1.0" encoding="utf-8"?>
<ThreadedComments xmlns="http://schemas.microsoft.com/office/spreadsheetml/2018/threadedcomments" xmlns:x="http://schemas.openxmlformats.org/spreadsheetml/2006/main">
  <threadedComment ref="H13" dT="2021-09-09T10:02:37.71" personId="{BC0F13A4-34AE-4160-8D48-738A4276B1AE}" id="{633CBDFA-F50E-4951-9BCB-357F0A736F07}">
    <text>OAG doesn't go anywhere at the moment</text>
  </threadedComment>
  <threadedComment ref="H14" dT="2021-09-09T10:02:02.83" personId="{BC0F13A4-34AE-4160-8D48-738A4276B1AE}" id="{E12D5432-E965-4047-86BB-668D88BEA140}">
    <text>Changed to Zero to allow model more flexibility on jet fuel.</text>
  </threadedComment>
  <threadedComment ref="G23" dT="2021-09-09T11:55:55.85" personId="{BC0F13A4-34AE-4160-8D48-738A4276B1AE}" id="{3FDAA536-2195-40A4-9894-1733129029BE}">
    <text>Assumption until we have better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J19" dT="2021-09-09T10:42:54.01" personId="{BC0F13A4-34AE-4160-8D48-738A4276B1AE}" id="{15BA8B60-94D9-46DF-84EB-5861AD6EEC18}">
    <text>This is arbitrary at the moment and set to avoid unbounded solution in case this becomes a very profitable product.</text>
  </threadedComment>
</ThreadedComments>
</file>

<file path=xl/threadedComments/threadedComment11.xml><?xml version="1.0" encoding="utf-8"?>
<ThreadedComments xmlns="http://schemas.microsoft.com/office/spreadsheetml/2018/threadedcomments" xmlns:x="http://schemas.openxmlformats.org/spreadsheetml/2006/main">
  <threadedComment ref="AC38" dT="2021-04-08T08:27:25.30" personId="{BC0F13A4-34AE-4160-8D48-738A4276B1AE}" id="{8532AA27-6EBF-4713-89EB-ABAACCB03755}">
    <text>Broken Astron and Enref refineries not expected to come back online (pers.comm. Dave Wright - April 2021).</text>
  </threadedComment>
</ThreadedComments>
</file>

<file path=xl/threadedComments/threadedComment12.xml><?xml version="1.0" encoding="utf-8"?>
<ThreadedComments xmlns="http://schemas.microsoft.com/office/spreadsheetml/2018/threadedcomments" xmlns:x="http://schemas.openxmlformats.org/spreadsheetml/2006/main">
  <threadedComment ref="A45" dT="2021-08-04T09:03:01.73" personId="{BC0F13A4-34AE-4160-8D48-738A4276B1AE}" id="{AA693EDE-F6DF-4B35-B0F1-766D22111C98}">
    <text>Specific handling of RESID here because of endogenous retirement, which doesn't allow for RESID to go back up again.</text>
  </threadedComment>
  <threadedComment ref="Z174" dT="2020-10-13T14:54:33.18" personId="{C98AE95B-F7A1-4680-B272-2648DA9D0536}" id="{8D281F20-C49E-4119-B3FE-83CD993F6A61}">
    <text>300 bpd Aramco refinery (as per request from DEFF).</text>
  </threadedComment>
</ThreadedComments>
</file>

<file path=xl/threadedComments/threadedComment13.xml><?xml version="1.0" encoding="utf-8"?>
<ThreadedComments xmlns="http://schemas.microsoft.com/office/spreadsheetml/2018/threadedcomments" xmlns:x="http://schemas.openxmlformats.org/spreadsheetml/2006/main">
  <threadedComment ref="F16" dT="2021-04-21T08:06:15.39" personId="{BC0F13A4-34AE-4160-8D48-738A4276B1AE}" id="{EAB115BB-5D12-42C2-9041-85365A922BD4}">
    <text>Modelled as Energy for now - as not sure whether efficiency equations apply to ENV/GHG commodities</text>
  </threadedComment>
</ThreadedComments>
</file>

<file path=xl/threadedComments/threadedComment14.xml><?xml version="1.0" encoding="utf-8"?>
<ThreadedComments xmlns="http://schemas.microsoft.com/office/spreadsheetml/2018/threadedcomments" xmlns:x="http://schemas.openxmlformats.org/spreadsheetml/2006/main">
  <threadedComment ref="D5" dT="2021-08-25T15:51:49.75" personId="{BC0F13A4-34AE-4160-8D48-738A4276B1AE}" id="{C7DF3656-7724-4333-926F-02CF5AD12752}">
    <text>Changed to AR5 - August 2021</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1.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4.xm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3.vml"/><Relationship Id="rId7" Type="http://schemas.openxmlformats.org/officeDocument/2006/relationships/image" Target="../media/image20.emf"/><Relationship Id="rId2" Type="http://schemas.openxmlformats.org/officeDocument/2006/relationships/drawing" Target="../drawings/drawing7.xml"/><Relationship Id="rId1" Type="http://schemas.openxmlformats.org/officeDocument/2006/relationships/printerSettings" Target="../printerSettings/printerSettings13.bin"/><Relationship Id="rId6" Type="http://schemas.openxmlformats.org/officeDocument/2006/relationships/control" Target="../activeX/activeX2.xml"/><Relationship Id="rId11" Type="http://schemas.openxmlformats.org/officeDocument/2006/relationships/image" Target="../media/image22.emf"/><Relationship Id="rId5" Type="http://schemas.openxmlformats.org/officeDocument/2006/relationships/image" Target="../media/image19.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21.emf"/></Relationships>
</file>

<file path=xl/worksheets/_rels/sheet15.xml.rels><?xml version="1.0" encoding="UTF-8" standalone="yes"?>
<Relationships xmlns="http://schemas.openxmlformats.org/package/2006/relationships"><Relationship Id="rId8" Type="http://schemas.openxmlformats.org/officeDocument/2006/relationships/control" Target="../activeX/activeX7.xml"/><Relationship Id="rId13" Type="http://schemas.openxmlformats.org/officeDocument/2006/relationships/image" Target="../media/image27.emf"/><Relationship Id="rId18" Type="http://schemas.openxmlformats.org/officeDocument/2006/relationships/control" Target="../activeX/activeX12.xml"/><Relationship Id="rId3" Type="http://schemas.openxmlformats.org/officeDocument/2006/relationships/vmlDrawing" Target="../drawings/vmlDrawing14.vml"/><Relationship Id="rId21" Type="http://schemas.openxmlformats.org/officeDocument/2006/relationships/image" Target="../media/image31.emf"/><Relationship Id="rId7" Type="http://schemas.openxmlformats.org/officeDocument/2006/relationships/image" Target="../media/image24.emf"/><Relationship Id="rId12" Type="http://schemas.openxmlformats.org/officeDocument/2006/relationships/control" Target="../activeX/activeX9.xml"/><Relationship Id="rId17" Type="http://schemas.openxmlformats.org/officeDocument/2006/relationships/image" Target="../media/image29.emf"/><Relationship Id="rId2" Type="http://schemas.openxmlformats.org/officeDocument/2006/relationships/drawing" Target="../drawings/drawing8.xml"/><Relationship Id="rId16" Type="http://schemas.openxmlformats.org/officeDocument/2006/relationships/control" Target="../activeX/activeX11.xml"/><Relationship Id="rId20" Type="http://schemas.openxmlformats.org/officeDocument/2006/relationships/control" Target="../activeX/activeX13.xml"/><Relationship Id="rId1" Type="http://schemas.openxmlformats.org/officeDocument/2006/relationships/printerSettings" Target="../printerSettings/printerSettings14.bin"/><Relationship Id="rId6" Type="http://schemas.openxmlformats.org/officeDocument/2006/relationships/control" Target="../activeX/activeX6.xml"/><Relationship Id="rId11" Type="http://schemas.openxmlformats.org/officeDocument/2006/relationships/image" Target="../media/image26.emf"/><Relationship Id="rId5" Type="http://schemas.openxmlformats.org/officeDocument/2006/relationships/image" Target="../media/image23.emf"/><Relationship Id="rId15" Type="http://schemas.openxmlformats.org/officeDocument/2006/relationships/image" Target="../media/image28.emf"/><Relationship Id="rId23" Type="http://schemas.microsoft.com/office/2017/10/relationships/threadedComment" Target="../threadedComments/threadedComment5.xml"/><Relationship Id="rId10" Type="http://schemas.openxmlformats.org/officeDocument/2006/relationships/control" Target="../activeX/activeX8.xml"/><Relationship Id="rId19" Type="http://schemas.openxmlformats.org/officeDocument/2006/relationships/image" Target="../media/image30.emf"/><Relationship Id="rId4" Type="http://schemas.openxmlformats.org/officeDocument/2006/relationships/control" Target="../activeX/activeX5.xml"/><Relationship Id="rId9" Type="http://schemas.openxmlformats.org/officeDocument/2006/relationships/image" Target="../media/image25.emf"/><Relationship Id="rId14" Type="http://schemas.openxmlformats.org/officeDocument/2006/relationships/control" Target="../activeX/activeX10.xml"/><Relationship Id="rId22"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8" Type="http://schemas.openxmlformats.org/officeDocument/2006/relationships/control" Target="../activeX/activeX16.xml"/><Relationship Id="rId13" Type="http://schemas.openxmlformats.org/officeDocument/2006/relationships/image" Target="../media/image45.emf"/><Relationship Id="rId18" Type="http://schemas.openxmlformats.org/officeDocument/2006/relationships/control" Target="../activeX/activeX21.xml"/><Relationship Id="rId3" Type="http://schemas.openxmlformats.org/officeDocument/2006/relationships/vmlDrawing" Target="../drawings/vmlDrawing15.vml"/><Relationship Id="rId7" Type="http://schemas.openxmlformats.org/officeDocument/2006/relationships/image" Target="../media/image42.emf"/><Relationship Id="rId12" Type="http://schemas.openxmlformats.org/officeDocument/2006/relationships/control" Target="../activeX/activeX18.xml"/><Relationship Id="rId17" Type="http://schemas.openxmlformats.org/officeDocument/2006/relationships/image" Target="../media/image47.emf"/><Relationship Id="rId2" Type="http://schemas.openxmlformats.org/officeDocument/2006/relationships/drawing" Target="../drawings/drawing10.xml"/><Relationship Id="rId16" Type="http://schemas.openxmlformats.org/officeDocument/2006/relationships/control" Target="../activeX/activeX20.xml"/><Relationship Id="rId1" Type="http://schemas.openxmlformats.org/officeDocument/2006/relationships/printerSettings" Target="../printerSettings/printerSettings16.bin"/><Relationship Id="rId6" Type="http://schemas.openxmlformats.org/officeDocument/2006/relationships/control" Target="../activeX/activeX15.xml"/><Relationship Id="rId11" Type="http://schemas.openxmlformats.org/officeDocument/2006/relationships/image" Target="../media/image44.emf"/><Relationship Id="rId5" Type="http://schemas.openxmlformats.org/officeDocument/2006/relationships/image" Target="../media/image41.emf"/><Relationship Id="rId15" Type="http://schemas.openxmlformats.org/officeDocument/2006/relationships/image" Target="../media/image46.emf"/><Relationship Id="rId10" Type="http://schemas.openxmlformats.org/officeDocument/2006/relationships/control" Target="../activeX/activeX17.xml"/><Relationship Id="rId19" Type="http://schemas.openxmlformats.org/officeDocument/2006/relationships/image" Target="../media/image48.emf"/><Relationship Id="rId4" Type="http://schemas.openxmlformats.org/officeDocument/2006/relationships/control" Target="../activeX/activeX14.xml"/><Relationship Id="rId9" Type="http://schemas.openxmlformats.org/officeDocument/2006/relationships/image" Target="../media/image43.emf"/><Relationship Id="rId14" Type="http://schemas.openxmlformats.org/officeDocument/2006/relationships/control" Target="../activeX/activeX19.xml"/></Relationships>
</file>

<file path=xl/worksheets/_rels/sheet18.xml.rels><?xml version="1.0" encoding="UTF-8" standalone="yes"?>
<Relationships xmlns="http://schemas.openxmlformats.org/package/2006/relationships"><Relationship Id="rId8" Type="http://schemas.openxmlformats.org/officeDocument/2006/relationships/control" Target="../activeX/activeX24.xml"/><Relationship Id="rId3" Type="http://schemas.openxmlformats.org/officeDocument/2006/relationships/vmlDrawing" Target="../drawings/vmlDrawing16.vml"/><Relationship Id="rId7" Type="http://schemas.openxmlformats.org/officeDocument/2006/relationships/image" Target="../media/image50.emf"/><Relationship Id="rId2" Type="http://schemas.openxmlformats.org/officeDocument/2006/relationships/drawing" Target="../drawings/drawing11.xml"/><Relationship Id="rId1" Type="http://schemas.openxmlformats.org/officeDocument/2006/relationships/printerSettings" Target="../printerSettings/printerSettings17.bin"/><Relationship Id="rId6" Type="http://schemas.openxmlformats.org/officeDocument/2006/relationships/control" Target="../activeX/activeX23.xml"/><Relationship Id="rId11" Type="http://schemas.openxmlformats.org/officeDocument/2006/relationships/image" Target="../media/image52.emf"/><Relationship Id="rId5" Type="http://schemas.openxmlformats.org/officeDocument/2006/relationships/image" Target="../media/image49.emf"/><Relationship Id="rId10" Type="http://schemas.openxmlformats.org/officeDocument/2006/relationships/control" Target="../activeX/activeX25.xml"/><Relationship Id="rId4" Type="http://schemas.openxmlformats.org/officeDocument/2006/relationships/control" Target="../activeX/activeX22.xml"/><Relationship Id="rId9" Type="http://schemas.openxmlformats.org/officeDocument/2006/relationships/image" Target="../media/image51.emf"/></Relationships>
</file>

<file path=xl/worksheets/_rels/sheet19.xml.rels><?xml version="1.0" encoding="UTF-8" standalone="yes"?>
<Relationships xmlns="http://schemas.openxmlformats.org/package/2006/relationships"><Relationship Id="rId8" Type="http://schemas.openxmlformats.org/officeDocument/2006/relationships/image" Target="../media/image55.emf"/><Relationship Id="rId13" Type="http://schemas.openxmlformats.org/officeDocument/2006/relationships/control" Target="../activeX/activeX31.xml"/><Relationship Id="rId18" Type="http://schemas.openxmlformats.org/officeDocument/2006/relationships/image" Target="../media/image60.emf"/><Relationship Id="rId3" Type="http://schemas.openxmlformats.org/officeDocument/2006/relationships/control" Target="../activeX/activeX26.xml"/><Relationship Id="rId7" Type="http://schemas.openxmlformats.org/officeDocument/2006/relationships/control" Target="../activeX/activeX28.xml"/><Relationship Id="rId12" Type="http://schemas.openxmlformats.org/officeDocument/2006/relationships/image" Target="../media/image57.emf"/><Relationship Id="rId17" Type="http://schemas.openxmlformats.org/officeDocument/2006/relationships/control" Target="../activeX/activeX33.xml"/><Relationship Id="rId2" Type="http://schemas.openxmlformats.org/officeDocument/2006/relationships/vmlDrawing" Target="../drawings/vmlDrawing17.vml"/><Relationship Id="rId16" Type="http://schemas.openxmlformats.org/officeDocument/2006/relationships/image" Target="../media/image59.emf"/><Relationship Id="rId20" Type="http://schemas.openxmlformats.org/officeDocument/2006/relationships/image" Target="../media/image61.emf"/><Relationship Id="rId1" Type="http://schemas.openxmlformats.org/officeDocument/2006/relationships/drawing" Target="../drawings/drawing12.xml"/><Relationship Id="rId6" Type="http://schemas.openxmlformats.org/officeDocument/2006/relationships/image" Target="../media/image54.emf"/><Relationship Id="rId11" Type="http://schemas.openxmlformats.org/officeDocument/2006/relationships/control" Target="../activeX/activeX30.xml"/><Relationship Id="rId5" Type="http://schemas.openxmlformats.org/officeDocument/2006/relationships/control" Target="../activeX/activeX27.xml"/><Relationship Id="rId15" Type="http://schemas.openxmlformats.org/officeDocument/2006/relationships/control" Target="../activeX/activeX32.xml"/><Relationship Id="rId10" Type="http://schemas.openxmlformats.org/officeDocument/2006/relationships/image" Target="../media/image56.emf"/><Relationship Id="rId19" Type="http://schemas.openxmlformats.org/officeDocument/2006/relationships/control" Target="../activeX/activeX34.xml"/><Relationship Id="rId4" Type="http://schemas.openxmlformats.org/officeDocument/2006/relationships/image" Target="../media/image53.emf"/><Relationship Id="rId9" Type="http://schemas.openxmlformats.org/officeDocument/2006/relationships/control" Target="../activeX/activeX29.xml"/><Relationship Id="rId14" Type="http://schemas.openxmlformats.org/officeDocument/2006/relationships/image" Target="../media/image58.emf"/></Relationships>
</file>

<file path=xl/worksheets/_rels/sheet20.xml.rels><?xml version="1.0" encoding="UTF-8" standalone="yes"?>
<Relationships xmlns="http://schemas.openxmlformats.org/package/2006/relationships"><Relationship Id="rId8" Type="http://schemas.openxmlformats.org/officeDocument/2006/relationships/control" Target="../activeX/activeX37.xml"/><Relationship Id="rId13" Type="http://schemas.openxmlformats.org/officeDocument/2006/relationships/image" Target="../media/image66.emf"/><Relationship Id="rId18" Type="http://schemas.openxmlformats.org/officeDocument/2006/relationships/control" Target="../activeX/activeX42.xml"/><Relationship Id="rId3" Type="http://schemas.openxmlformats.org/officeDocument/2006/relationships/vmlDrawing" Target="../drawings/vmlDrawing18.vml"/><Relationship Id="rId7" Type="http://schemas.openxmlformats.org/officeDocument/2006/relationships/image" Target="../media/image63.emf"/><Relationship Id="rId12" Type="http://schemas.openxmlformats.org/officeDocument/2006/relationships/control" Target="../activeX/activeX39.xml"/><Relationship Id="rId17" Type="http://schemas.openxmlformats.org/officeDocument/2006/relationships/image" Target="../media/image68.emf"/><Relationship Id="rId2" Type="http://schemas.openxmlformats.org/officeDocument/2006/relationships/drawing" Target="../drawings/drawing13.xml"/><Relationship Id="rId16" Type="http://schemas.openxmlformats.org/officeDocument/2006/relationships/control" Target="../activeX/activeX41.xml"/><Relationship Id="rId1" Type="http://schemas.openxmlformats.org/officeDocument/2006/relationships/printerSettings" Target="../printerSettings/printerSettings18.bin"/><Relationship Id="rId6" Type="http://schemas.openxmlformats.org/officeDocument/2006/relationships/control" Target="../activeX/activeX36.xml"/><Relationship Id="rId11" Type="http://schemas.openxmlformats.org/officeDocument/2006/relationships/image" Target="../media/image65.emf"/><Relationship Id="rId5" Type="http://schemas.openxmlformats.org/officeDocument/2006/relationships/image" Target="../media/image62.emf"/><Relationship Id="rId15" Type="http://schemas.openxmlformats.org/officeDocument/2006/relationships/image" Target="../media/image67.emf"/><Relationship Id="rId10" Type="http://schemas.openxmlformats.org/officeDocument/2006/relationships/control" Target="../activeX/activeX38.xml"/><Relationship Id="rId19" Type="http://schemas.openxmlformats.org/officeDocument/2006/relationships/image" Target="../media/image69.emf"/><Relationship Id="rId4" Type="http://schemas.openxmlformats.org/officeDocument/2006/relationships/control" Target="../activeX/activeX35.xml"/><Relationship Id="rId9" Type="http://schemas.openxmlformats.org/officeDocument/2006/relationships/image" Target="../media/image64.emf"/><Relationship Id="rId14" Type="http://schemas.openxmlformats.org/officeDocument/2006/relationships/control" Target="../activeX/activeX40.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5.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6.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24.bin"/><Relationship Id="rId5" Type="http://schemas.microsoft.com/office/2017/10/relationships/threadedComment" Target="../threadedComments/threadedComment6.xml"/><Relationship Id="rId4" Type="http://schemas.openxmlformats.org/officeDocument/2006/relationships/comments" Target="../comments19.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8.xml"/><Relationship Id="rId1" Type="http://schemas.openxmlformats.org/officeDocument/2006/relationships/printerSettings" Target="../printerSettings/printerSettings25.bin"/><Relationship Id="rId4" Type="http://schemas.openxmlformats.org/officeDocument/2006/relationships/comments" Target="../comments20.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sasol.com/"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6.vml"/><Relationship Id="rId1" Type="http://schemas.openxmlformats.org/officeDocument/2006/relationships/drawing" Target="../drawings/drawing20.xml"/><Relationship Id="rId4" Type="http://schemas.microsoft.com/office/2017/10/relationships/threadedComment" Target="../threadedComments/threadedComment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1.xml"/><Relationship Id="rId1" Type="http://schemas.openxmlformats.org/officeDocument/2006/relationships/printerSettings" Target="../printerSettings/printerSettings26.bin"/><Relationship Id="rId5" Type="http://schemas.microsoft.com/office/2017/10/relationships/threadedComment" Target="../threadedComments/threadedComment8.xml"/><Relationship Id="rId4" Type="http://schemas.openxmlformats.org/officeDocument/2006/relationships/comments" Target="../comments22.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7.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9.xml"/><Relationship Id="rId5" Type="http://schemas.openxmlformats.org/officeDocument/2006/relationships/comments" Target="../comments23.xml"/><Relationship Id="rId4" Type="http://schemas.openxmlformats.org/officeDocument/2006/relationships/vmlDrawing" Target="../drawings/vmlDrawing28.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9.vml"/><Relationship Id="rId1" Type="http://schemas.openxmlformats.org/officeDocument/2006/relationships/printerSettings" Target="../printerSettings/printerSettings28.bin"/><Relationship Id="rId4" Type="http://schemas.microsoft.com/office/2017/10/relationships/threadedComment" Target="../threadedComments/threadedComment10.xml"/></Relationships>
</file>

<file path=xl/worksheets/_rels/sheet36.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3.xml"/><Relationship Id="rId5" Type="http://schemas.openxmlformats.org/officeDocument/2006/relationships/printerSettings" Target="../printerSettings/printerSettings29.bin"/><Relationship Id="rId4" Type="http://schemas.openxmlformats.org/officeDocument/2006/relationships/hyperlink" Target="https://www.webqc.org/molecular-weight-of-o.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30.vml"/><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26.xml"/><Relationship Id="rId4" Type="http://schemas.openxmlformats.org/officeDocument/2006/relationships/vmlDrawing" Target="../drawings/vmlDrawing31.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32.vml"/><Relationship Id="rId1" Type="http://schemas.openxmlformats.org/officeDocument/2006/relationships/printerSettings" Target="../printerSettings/printerSettings30.bin"/><Relationship Id="rId4" Type="http://schemas.microsoft.com/office/2017/10/relationships/threadedComment" Target="../threadedComments/threadedComment11.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1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8" Type="http://schemas.openxmlformats.org/officeDocument/2006/relationships/control" Target="../activeX/activeX45.xml"/><Relationship Id="rId3" Type="http://schemas.openxmlformats.org/officeDocument/2006/relationships/vmlDrawing" Target="../drawings/vmlDrawing35.vml"/><Relationship Id="rId7" Type="http://schemas.openxmlformats.org/officeDocument/2006/relationships/image" Target="../media/image93.emf"/><Relationship Id="rId12" Type="http://schemas.openxmlformats.org/officeDocument/2006/relationships/comments" Target="../comments30.xml"/><Relationship Id="rId2" Type="http://schemas.openxmlformats.org/officeDocument/2006/relationships/drawing" Target="../drawings/drawing26.xml"/><Relationship Id="rId1" Type="http://schemas.openxmlformats.org/officeDocument/2006/relationships/printerSettings" Target="../printerSettings/printerSettings36.bin"/><Relationship Id="rId6" Type="http://schemas.openxmlformats.org/officeDocument/2006/relationships/control" Target="../activeX/activeX44.xml"/><Relationship Id="rId11" Type="http://schemas.openxmlformats.org/officeDocument/2006/relationships/image" Target="../media/image95.emf"/><Relationship Id="rId5" Type="http://schemas.openxmlformats.org/officeDocument/2006/relationships/image" Target="../media/image92.emf"/><Relationship Id="rId10" Type="http://schemas.openxmlformats.org/officeDocument/2006/relationships/control" Target="../activeX/activeX46.xml"/><Relationship Id="rId4" Type="http://schemas.openxmlformats.org/officeDocument/2006/relationships/control" Target="../activeX/activeX43.xml"/><Relationship Id="rId9" Type="http://schemas.openxmlformats.org/officeDocument/2006/relationships/image" Target="../media/image94.emf"/></Relationships>
</file>

<file path=xl/worksheets/_rels/sheet49.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8.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40.vm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7.xml"/><Relationship Id="rId1" Type="http://schemas.openxmlformats.org/officeDocument/2006/relationships/printerSettings" Target="../printerSettings/printerSettings40.bin"/><Relationship Id="rId4" Type="http://schemas.openxmlformats.org/officeDocument/2006/relationships/comments" Target="../comments36.xm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earch.worldbank.org/data?qterm=gdp%20deflator%20%22south%20africa%22&amp;language=EN" TargetMode="Externa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37.xml"/><Relationship Id="rId1"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43.v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44.vml"/><Relationship Id="rId1" Type="http://schemas.openxmlformats.org/officeDocument/2006/relationships/drawing" Target="../drawings/drawing28.xml"/><Relationship Id="rId4" Type="http://schemas.microsoft.com/office/2017/10/relationships/threadedComment" Target="../threadedComments/threadedComment14.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8" Type="http://schemas.openxmlformats.org/officeDocument/2006/relationships/control" Target="../activeX/activeX49.xml"/><Relationship Id="rId13" Type="http://schemas.openxmlformats.org/officeDocument/2006/relationships/image" Target="../media/image102.emf"/><Relationship Id="rId18" Type="http://schemas.openxmlformats.org/officeDocument/2006/relationships/control" Target="../activeX/activeX54.xml"/><Relationship Id="rId3" Type="http://schemas.openxmlformats.org/officeDocument/2006/relationships/vmlDrawing" Target="../drawings/vmlDrawing45.vml"/><Relationship Id="rId21" Type="http://schemas.openxmlformats.org/officeDocument/2006/relationships/image" Target="../media/image106.emf"/><Relationship Id="rId7" Type="http://schemas.openxmlformats.org/officeDocument/2006/relationships/image" Target="../media/image99.emf"/><Relationship Id="rId12" Type="http://schemas.openxmlformats.org/officeDocument/2006/relationships/control" Target="../activeX/activeX51.xml"/><Relationship Id="rId17" Type="http://schemas.openxmlformats.org/officeDocument/2006/relationships/image" Target="../media/image104.emf"/><Relationship Id="rId2" Type="http://schemas.openxmlformats.org/officeDocument/2006/relationships/drawing" Target="../drawings/drawing29.xml"/><Relationship Id="rId16" Type="http://schemas.openxmlformats.org/officeDocument/2006/relationships/control" Target="../activeX/activeX53.xml"/><Relationship Id="rId20" Type="http://schemas.openxmlformats.org/officeDocument/2006/relationships/control" Target="../activeX/activeX55.xml"/><Relationship Id="rId1" Type="http://schemas.openxmlformats.org/officeDocument/2006/relationships/printerSettings" Target="../printerSettings/printerSettings45.bin"/><Relationship Id="rId6" Type="http://schemas.openxmlformats.org/officeDocument/2006/relationships/control" Target="../activeX/activeX48.xml"/><Relationship Id="rId11" Type="http://schemas.openxmlformats.org/officeDocument/2006/relationships/image" Target="../media/image101.emf"/><Relationship Id="rId5" Type="http://schemas.openxmlformats.org/officeDocument/2006/relationships/image" Target="../media/image98.emf"/><Relationship Id="rId15" Type="http://schemas.openxmlformats.org/officeDocument/2006/relationships/image" Target="../media/image103.emf"/><Relationship Id="rId10" Type="http://schemas.openxmlformats.org/officeDocument/2006/relationships/control" Target="../activeX/activeX50.xml"/><Relationship Id="rId19" Type="http://schemas.openxmlformats.org/officeDocument/2006/relationships/image" Target="../media/image105.emf"/><Relationship Id="rId4" Type="http://schemas.openxmlformats.org/officeDocument/2006/relationships/control" Target="../activeX/activeX47.xml"/><Relationship Id="rId9" Type="http://schemas.openxmlformats.org/officeDocument/2006/relationships/image" Target="../media/image100.emf"/><Relationship Id="rId14" Type="http://schemas.openxmlformats.org/officeDocument/2006/relationships/control" Target="../activeX/activeX52.xml"/></Relationships>
</file>

<file path=xl/worksheets/_rels/sheet65.xml.rels><?xml version="1.0" encoding="UTF-8" standalone="yes"?>
<Relationships xmlns="http://schemas.openxmlformats.org/package/2006/relationships"><Relationship Id="rId8" Type="http://schemas.openxmlformats.org/officeDocument/2006/relationships/control" Target="../activeX/activeX58.xml"/><Relationship Id="rId13" Type="http://schemas.openxmlformats.org/officeDocument/2006/relationships/image" Target="../media/image111.emf"/><Relationship Id="rId18" Type="http://schemas.openxmlformats.org/officeDocument/2006/relationships/control" Target="../activeX/activeX63.xml"/><Relationship Id="rId3" Type="http://schemas.openxmlformats.org/officeDocument/2006/relationships/vmlDrawing" Target="../drawings/vmlDrawing46.vml"/><Relationship Id="rId21" Type="http://schemas.openxmlformats.org/officeDocument/2006/relationships/image" Target="../media/image115.emf"/><Relationship Id="rId7" Type="http://schemas.openxmlformats.org/officeDocument/2006/relationships/image" Target="../media/image108.emf"/><Relationship Id="rId12" Type="http://schemas.openxmlformats.org/officeDocument/2006/relationships/control" Target="../activeX/activeX60.xml"/><Relationship Id="rId17" Type="http://schemas.openxmlformats.org/officeDocument/2006/relationships/image" Target="../media/image113.emf"/><Relationship Id="rId2" Type="http://schemas.openxmlformats.org/officeDocument/2006/relationships/drawing" Target="../drawings/drawing30.xml"/><Relationship Id="rId16" Type="http://schemas.openxmlformats.org/officeDocument/2006/relationships/control" Target="../activeX/activeX62.xml"/><Relationship Id="rId20" Type="http://schemas.openxmlformats.org/officeDocument/2006/relationships/control" Target="../activeX/activeX64.xml"/><Relationship Id="rId1" Type="http://schemas.openxmlformats.org/officeDocument/2006/relationships/printerSettings" Target="../printerSettings/printerSettings46.bin"/><Relationship Id="rId6" Type="http://schemas.openxmlformats.org/officeDocument/2006/relationships/control" Target="../activeX/activeX57.xml"/><Relationship Id="rId11" Type="http://schemas.openxmlformats.org/officeDocument/2006/relationships/image" Target="../media/image110.emf"/><Relationship Id="rId5" Type="http://schemas.openxmlformats.org/officeDocument/2006/relationships/image" Target="../media/image107.emf"/><Relationship Id="rId15" Type="http://schemas.openxmlformats.org/officeDocument/2006/relationships/image" Target="../media/image112.emf"/><Relationship Id="rId10" Type="http://schemas.openxmlformats.org/officeDocument/2006/relationships/control" Target="../activeX/activeX59.xml"/><Relationship Id="rId19" Type="http://schemas.openxmlformats.org/officeDocument/2006/relationships/image" Target="../media/image114.emf"/><Relationship Id="rId4" Type="http://schemas.openxmlformats.org/officeDocument/2006/relationships/control" Target="../activeX/activeX56.xml"/><Relationship Id="rId9" Type="http://schemas.openxmlformats.org/officeDocument/2006/relationships/image" Target="../media/image109.emf"/><Relationship Id="rId14" Type="http://schemas.openxmlformats.org/officeDocument/2006/relationships/control" Target="../activeX/activeX61.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9.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7.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4">
    <tabColor rgb="FFFF0000"/>
  </sheetPr>
  <dimension ref="A1:L14"/>
  <sheetViews>
    <sheetView workbookViewId="0"/>
  </sheetViews>
  <sheetFormatPr defaultRowHeight="15"/>
  <cols>
    <col min="1" max="1" width="23.28515625" customWidth="1"/>
    <col min="2" max="2" width="28.42578125" customWidth="1"/>
    <col min="3" max="10" width="15.7109375" customWidth="1"/>
    <col min="11" max="12" width="14.28515625" customWidth="1"/>
  </cols>
  <sheetData>
    <row r="1" spans="1:12" ht="15.75" thickBot="1">
      <c r="A1" s="1367" t="s">
        <v>1477</v>
      </c>
      <c r="B1" s="1367" t="s">
        <v>1478</v>
      </c>
      <c r="C1" s="1366" t="s">
        <v>1474</v>
      </c>
      <c r="D1" s="1366" t="s">
        <v>924</v>
      </c>
      <c r="E1" s="1366" t="s">
        <v>925</v>
      </c>
      <c r="F1" s="1366" t="s">
        <v>926</v>
      </c>
      <c r="G1" s="1366" t="s">
        <v>927</v>
      </c>
      <c r="H1" s="1366" t="s">
        <v>928</v>
      </c>
      <c r="I1" s="1366" t="s">
        <v>872</v>
      </c>
      <c r="J1" s="1366" t="s">
        <v>1656</v>
      </c>
      <c r="K1" s="1366" t="s">
        <v>929</v>
      </c>
      <c r="L1" s="1366" t="s">
        <v>13558</v>
      </c>
    </row>
    <row r="2" spans="1:12" ht="15.75" thickBot="1">
      <c r="A2" s="1369">
        <f>IF($C$2&gt;0,1,6)</f>
        <v>1</v>
      </c>
      <c r="B2" s="1369" t="str">
        <f>IF(C2=0,I1&amp;" &amp; "&amp;J1,IF(C2=1,INDEX(D1:H1,MATCH(C2,D2:H2,0)),"Multi-sector model"))</f>
        <v>Multi-sector model</v>
      </c>
      <c r="C2" s="1368">
        <f>SUM(D2:H2)</f>
        <v>5</v>
      </c>
      <c r="D2" s="891">
        <v>1</v>
      </c>
      <c r="E2" s="891">
        <v>1</v>
      </c>
      <c r="F2" s="891">
        <v>1</v>
      </c>
      <c r="G2" s="891">
        <v>1</v>
      </c>
      <c r="H2" s="891">
        <v>1</v>
      </c>
      <c r="I2" s="892">
        <v>1</v>
      </c>
      <c r="J2" s="892">
        <v>1</v>
      </c>
      <c r="K2" s="891">
        <v>1</v>
      </c>
      <c r="L2" s="891">
        <v>0</v>
      </c>
    </row>
    <row r="3" spans="1:12" ht="15.75" thickBot="1">
      <c r="C3" s="895" t="s">
        <v>1476</v>
      </c>
      <c r="D3" s="894" t="s">
        <v>881</v>
      </c>
      <c r="E3" s="893" t="s">
        <v>882</v>
      </c>
      <c r="F3" s="894" t="s">
        <v>883</v>
      </c>
      <c r="G3" s="893" t="s">
        <v>884</v>
      </c>
      <c r="H3" s="894" t="s">
        <v>885</v>
      </c>
      <c r="I3" s="893" t="s">
        <v>873</v>
      </c>
      <c r="J3" s="894" t="s">
        <v>887</v>
      </c>
      <c r="K3" s="894" t="s">
        <v>13559</v>
      </c>
      <c r="L3" s="894" t="s">
        <v>295</v>
      </c>
    </row>
    <row r="4" spans="1:12">
      <c r="B4" t="s">
        <v>2182</v>
      </c>
      <c r="C4" t="s">
        <v>2183</v>
      </c>
    </row>
    <row r="5" spans="1:12">
      <c r="A5" t="s">
        <v>2086</v>
      </c>
      <c r="B5" s="1370">
        <v>0</v>
      </c>
      <c r="C5" s="1370">
        <v>1</v>
      </c>
      <c r="D5" t="s">
        <v>2181</v>
      </c>
    </row>
    <row r="6" spans="1:12">
      <c r="A6" t="s">
        <v>2171</v>
      </c>
      <c r="B6" s="1650">
        <v>0</v>
      </c>
    </row>
    <row r="8" spans="1:12">
      <c r="A8" t="s">
        <v>13557</v>
      </c>
      <c r="B8" s="581">
        <f>SUM(B5:B6)</f>
        <v>0</v>
      </c>
    </row>
    <row r="10" spans="1:12">
      <c r="A10" s="1382" t="s">
        <v>13991</v>
      </c>
    </row>
    <row r="14" spans="1:12">
      <c r="A14" s="430"/>
    </row>
  </sheetData>
  <dataValidations count="4">
    <dataValidation type="whole" allowBlank="1" showInputMessage="1" showErrorMessage="1" sqref="A2" xr:uid="{00000000-0002-0000-0000-000000000000}">
      <formula1>IF($D$56&gt;0,1,6)</formula1>
      <formula2>IF($D$56&gt;0,1,6)</formula2>
    </dataValidation>
    <dataValidation type="whole" allowBlank="1" showInputMessage="1" showErrorMessage="1" sqref="I2:J2" xr:uid="{00000000-0002-0000-0000-000001000000}">
      <formula1>1</formula1>
      <formula2>1</formula2>
    </dataValidation>
    <dataValidation type="list" allowBlank="1" showInputMessage="1" showErrorMessage="1" sqref="D2:H2" xr:uid="{00000000-0002-0000-0000-000002000000}">
      <formula1>"0,1"</formula1>
    </dataValidation>
    <dataValidation type="whole" allowBlank="1" showInputMessage="1" showErrorMessage="1" sqref="C5" xr:uid="{00000000-0002-0000-0000-000003000000}">
      <formula1>1</formula1>
      <formula2>3</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rgb="FFFFFF00"/>
  </sheetPr>
  <dimension ref="A1:D121"/>
  <sheetViews>
    <sheetView topLeftCell="A91" workbookViewId="0">
      <selection activeCell="A109" sqref="A109"/>
    </sheetView>
  </sheetViews>
  <sheetFormatPr defaultColWidth="9.28515625" defaultRowHeight="15"/>
  <cols>
    <col min="1" max="1" width="145.5703125" style="430" customWidth="1"/>
    <col min="2" max="2" width="18.7109375" style="430" customWidth="1"/>
    <col min="3" max="16384" width="9.28515625" style="430"/>
  </cols>
  <sheetData>
    <row r="1" spans="1:3" ht="18.75">
      <c r="A1" s="773" t="s">
        <v>1250</v>
      </c>
    </row>
    <row r="2" spans="1:3">
      <c r="A2" s="882" t="s">
        <v>1572</v>
      </c>
    </row>
    <row r="3" spans="1:3">
      <c r="A3" s="772" t="s">
        <v>1249</v>
      </c>
      <c r="B3" s="772" t="s">
        <v>943</v>
      </c>
      <c r="C3" s="772" t="s">
        <v>1248</v>
      </c>
    </row>
    <row r="4" spans="1:3">
      <c r="A4" s="890" t="s">
        <v>1247</v>
      </c>
      <c r="B4" s="770">
        <v>41344.704870833331</v>
      </c>
      <c r="C4" s="610" t="s">
        <v>1245</v>
      </c>
    </row>
    <row r="5" spans="1:3" ht="30">
      <c r="A5" s="890" t="s">
        <v>1246</v>
      </c>
      <c r="B5" s="770">
        <v>41344.704870833331</v>
      </c>
      <c r="C5" s="610" t="s">
        <v>1245</v>
      </c>
    </row>
    <row r="6" spans="1:3">
      <c r="A6" s="890" t="s">
        <v>1413</v>
      </c>
      <c r="B6" s="770">
        <v>41347.449376504628</v>
      </c>
      <c r="C6" s="610" t="s">
        <v>1245</v>
      </c>
    </row>
    <row r="7" spans="1:3">
      <c r="A7" s="890" t="s">
        <v>1414</v>
      </c>
      <c r="B7" s="770">
        <v>41347.449376504628</v>
      </c>
      <c r="C7" s="610" t="s">
        <v>1245</v>
      </c>
    </row>
    <row r="8" spans="1:3">
      <c r="A8" s="890" t="s">
        <v>1415</v>
      </c>
      <c r="B8" s="770">
        <v>41347.449376504628</v>
      </c>
      <c r="C8" s="610" t="s">
        <v>1245</v>
      </c>
    </row>
    <row r="9" spans="1:3">
      <c r="A9" s="890" t="s">
        <v>1416</v>
      </c>
      <c r="B9" s="770">
        <v>41347.449376504628</v>
      </c>
      <c r="C9" s="610" t="s">
        <v>1245</v>
      </c>
    </row>
    <row r="10" spans="1:3">
      <c r="A10" s="890" t="s">
        <v>1417</v>
      </c>
      <c r="B10" s="770">
        <v>41347.449376504628</v>
      </c>
      <c r="C10" s="610" t="s">
        <v>1245</v>
      </c>
    </row>
    <row r="11" spans="1:3">
      <c r="A11" s="890" t="s">
        <v>1462</v>
      </c>
      <c r="B11" s="887">
        <v>41456</v>
      </c>
      <c r="C11" s="885" t="s">
        <v>1461</v>
      </c>
    </row>
    <row r="12" spans="1:3">
      <c r="A12" s="890" t="s">
        <v>1463</v>
      </c>
      <c r="B12" s="532"/>
      <c r="C12" s="886"/>
    </row>
    <row r="13" spans="1:3">
      <c r="A13" s="890" t="s">
        <v>1464</v>
      </c>
      <c r="B13" s="532"/>
      <c r="C13" s="886"/>
    </row>
    <row r="14" spans="1:3">
      <c r="A14" s="890" t="s">
        <v>1468</v>
      </c>
      <c r="B14" s="888">
        <v>41481</v>
      </c>
      <c r="C14" s="889" t="s">
        <v>1461</v>
      </c>
    </row>
    <row r="15" spans="1:3">
      <c r="A15" s="890" t="s">
        <v>1469</v>
      </c>
      <c r="B15" s="387"/>
      <c r="C15" s="600"/>
    </row>
    <row r="16" spans="1:3">
      <c r="A16" s="890" t="s">
        <v>1472</v>
      </c>
      <c r="B16" s="888">
        <v>41491</v>
      </c>
      <c r="C16" s="598" t="s">
        <v>1471</v>
      </c>
    </row>
    <row r="17" spans="1:3">
      <c r="A17" s="877" t="s">
        <v>1473</v>
      </c>
      <c r="B17" s="888">
        <v>41499</v>
      </c>
      <c r="C17" s="886" t="s">
        <v>1471</v>
      </c>
    </row>
    <row r="18" spans="1:3" ht="30">
      <c r="A18" s="890" t="s">
        <v>1475</v>
      </c>
      <c r="B18" s="888">
        <v>41500</v>
      </c>
      <c r="C18" s="600" t="s">
        <v>1471</v>
      </c>
    </row>
    <row r="19" spans="1:3" ht="30">
      <c r="A19" s="905" t="s">
        <v>1498</v>
      </c>
      <c r="B19" s="904" t="s">
        <v>1571</v>
      </c>
      <c r="C19" s="905" t="s">
        <v>1471</v>
      </c>
    </row>
    <row r="21" spans="1:3">
      <c r="A21" s="986" t="s">
        <v>1573</v>
      </c>
      <c r="B21" s="904">
        <v>41589.665909722222</v>
      </c>
      <c r="C21" s="392" t="s">
        <v>1461</v>
      </c>
    </row>
    <row r="23" spans="1:3">
      <c r="A23" s="430" t="s">
        <v>1611</v>
      </c>
      <c r="B23" s="904">
        <v>41597.58110949074</v>
      </c>
      <c r="C23" s="392" t="s">
        <v>1471</v>
      </c>
    </row>
    <row r="24" spans="1:3">
      <c r="A24" s="392" t="s">
        <v>1852</v>
      </c>
      <c r="B24" s="904">
        <v>41765.779536921298</v>
      </c>
      <c r="C24" s="392" t="s">
        <v>1471</v>
      </c>
    </row>
    <row r="26" spans="1:3">
      <c r="B26" s="904">
        <f ca="1">NOW()</f>
        <v>44736.973752199076</v>
      </c>
    </row>
    <row r="28" spans="1:3">
      <c r="A28" s="430" t="s">
        <v>2112</v>
      </c>
      <c r="B28" s="1244">
        <v>41858</v>
      </c>
      <c r="C28" s="430" t="s">
        <v>1461</v>
      </c>
    </row>
    <row r="29" spans="1:3">
      <c r="A29" s="39" t="s">
        <v>2113</v>
      </c>
    </row>
    <row r="30" spans="1:3">
      <c r="A30" s="430" t="s">
        <v>2132</v>
      </c>
    </row>
    <row r="31" spans="1:3">
      <c r="A31" s="430" t="s">
        <v>2133</v>
      </c>
    </row>
    <row r="32" spans="1:3">
      <c r="A32" s="430" t="s">
        <v>2114</v>
      </c>
    </row>
    <row r="33" spans="1:3">
      <c r="A33" s="430" t="s">
        <v>2115</v>
      </c>
    </row>
    <row r="34" spans="1:3">
      <c r="A34" s="430" t="s">
        <v>2117</v>
      </c>
    </row>
    <row r="35" spans="1:3">
      <c r="A35" s="430" t="s">
        <v>2119</v>
      </c>
    </row>
    <row r="36" spans="1:3">
      <c r="A36" s="430" t="s">
        <v>2127</v>
      </c>
    </row>
    <row r="37" spans="1:3">
      <c r="A37" s="430" t="s">
        <v>2128</v>
      </c>
    </row>
    <row r="38" spans="1:3">
      <c r="A38" s="430" t="s">
        <v>2129</v>
      </c>
    </row>
    <row r="39" spans="1:3">
      <c r="A39" s="430" t="s">
        <v>2130</v>
      </c>
    </row>
    <row r="40" spans="1:3">
      <c r="A40" s="430" t="s">
        <v>2131</v>
      </c>
    </row>
    <row r="41" spans="1:3">
      <c r="A41" s="430" t="s">
        <v>2134</v>
      </c>
    </row>
    <row r="43" spans="1:3">
      <c r="A43" s="430" t="s">
        <v>2187</v>
      </c>
      <c r="B43" s="1299">
        <v>41866</v>
      </c>
      <c r="C43" s="430" t="s">
        <v>2188</v>
      </c>
    </row>
    <row r="44" spans="1:3">
      <c r="A44" s="430" t="s">
        <v>2190</v>
      </c>
      <c r="B44" s="1299">
        <v>41866</v>
      </c>
      <c r="C44" s="430" t="s">
        <v>1461</v>
      </c>
    </row>
    <row r="45" spans="1:3">
      <c r="A45" s="430" t="s">
        <v>2189</v>
      </c>
      <c r="B45" s="1299">
        <v>41869</v>
      </c>
      <c r="C45" s="430" t="s">
        <v>1461</v>
      </c>
    </row>
    <row r="46" spans="1:3">
      <c r="A46" s="430" t="s">
        <v>2191</v>
      </c>
    </row>
    <row r="48" spans="1:3">
      <c r="A48" s="430" t="s">
        <v>2194</v>
      </c>
      <c r="B48" s="1299">
        <v>42059</v>
      </c>
      <c r="C48" s="430" t="s">
        <v>1461</v>
      </c>
    </row>
    <row r="49" spans="1:3">
      <c r="A49" s="430" t="s">
        <v>2195</v>
      </c>
      <c r="B49" s="1302">
        <v>42064</v>
      </c>
      <c r="C49" s="430" t="s">
        <v>1461</v>
      </c>
    </row>
    <row r="50" spans="1:3">
      <c r="A50" s="430" t="s">
        <v>2196</v>
      </c>
      <c r="B50" s="1302">
        <v>42064</v>
      </c>
      <c r="C50" s="430" t="s">
        <v>1461</v>
      </c>
    </row>
    <row r="52" spans="1:3">
      <c r="A52" s="430" t="s">
        <v>13421</v>
      </c>
      <c r="B52" s="1302">
        <v>42064</v>
      </c>
      <c r="C52" s="430" t="s">
        <v>1461</v>
      </c>
    </row>
    <row r="53" spans="1:3">
      <c r="A53" s="430" t="s">
        <v>13422</v>
      </c>
    </row>
    <row r="54" spans="1:3">
      <c r="A54" s="430" t="s">
        <v>13423</v>
      </c>
    </row>
    <row r="55" spans="1:3">
      <c r="A55" s="430" t="s">
        <v>13424</v>
      </c>
    </row>
    <row r="56" spans="1:3">
      <c r="A56" s="430" t="s">
        <v>13425</v>
      </c>
    </row>
    <row r="57" spans="1:3">
      <c r="A57" s="430" t="s">
        <v>13426</v>
      </c>
    </row>
    <row r="58" spans="1:3">
      <c r="A58" s="430" t="s">
        <v>13427</v>
      </c>
    </row>
    <row r="60" spans="1:3">
      <c r="A60" s="430" t="s">
        <v>13450</v>
      </c>
      <c r="B60" s="1336">
        <v>42090</v>
      </c>
      <c r="C60" s="430" t="s">
        <v>1461</v>
      </c>
    </row>
    <row r="61" spans="1:3">
      <c r="A61" s="430" t="s">
        <v>13451</v>
      </c>
    </row>
    <row r="63" spans="1:3">
      <c r="A63" s="430" t="s">
        <v>13469</v>
      </c>
      <c r="B63" s="1299">
        <v>42108</v>
      </c>
      <c r="C63" s="430" t="s">
        <v>1461</v>
      </c>
    </row>
    <row r="65" spans="1:4">
      <c r="A65" s="430" t="s">
        <v>13494</v>
      </c>
      <c r="B65" s="1299">
        <v>42109</v>
      </c>
      <c r="C65" s="430" t="s">
        <v>1461</v>
      </c>
    </row>
    <row r="67" spans="1:4">
      <c r="A67" s="430" t="s">
        <v>13561</v>
      </c>
      <c r="B67" s="1299">
        <v>42135</v>
      </c>
      <c r="C67" s="430" t="s">
        <v>13560</v>
      </c>
    </row>
    <row r="69" spans="1:4">
      <c r="A69" s="430" t="s">
        <v>13974</v>
      </c>
      <c r="B69" s="1244">
        <v>42534</v>
      </c>
      <c r="C69" s="430" t="s">
        <v>13976</v>
      </c>
    </row>
    <row r="70" spans="1:4" s="1409" customFormat="1" ht="30">
      <c r="A70" s="2" t="s">
        <v>14098</v>
      </c>
      <c r="B70" s="1244">
        <v>42767</v>
      </c>
      <c r="C70" s="1409" t="s">
        <v>13976</v>
      </c>
    </row>
    <row r="71" spans="1:4">
      <c r="A71" s="430" t="s">
        <v>14041</v>
      </c>
      <c r="B71" s="430" t="s">
        <v>14042</v>
      </c>
      <c r="C71" s="430" t="s">
        <v>14043</v>
      </c>
    </row>
    <row r="73" spans="1:4">
      <c r="A73" s="430" t="s">
        <v>14045</v>
      </c>
      <c r="B73" s="1244">
        <v>43124</v>
      </c>
      <c r="C73" s="430" t="s">
        <v>14044</v>
      </c>
    </row>
    <row r="75" spans="1:4">
      <c r="A75" s="1409" t="s">
        <v>14092</v>
      </c>
      <c r="B75" s="1244">
        <v>43862</v>
      </c>
      <c r="C75" s="719" t="s">
        <v>1471</v>
      </c>
      <c r="D75" s="1409" t="s">
        <v>14093</v>
      </c>
    </row>
    <row r="76" spans="1:4">
      <c r="A76" s="1409" t="s">
        <v>14094</v>
      </c>
      <c r="B76" s="1244">
        <v>43862</v>
      </c>
      <c r="C76" s="719" t="s">
        <v>1471</v>
      </c>
      <c r="D76" s="1409" t="s">
        <v>14093</v>
      </c>
    </row>
    <row r="77" spans="1:4">
      <c r="B77" s="1409" t="s">
        <v>14095</v>
      </c>
    </row>
    <row r="78" spans="1:4" ht="30">
      <c r="A78" s="1469" t="s">
        <v>14097</v>
      </c>
      <c r="B78" s="1244">
        <v>44007.689838194441</v>
      </c>
      <c r="C78" s="719" t="s">
        <v>1471</v>
      </c>
      <c r="D78" s="1409" t="s">
        <v>14096</v>
      </c>
    </row>
    <row r="79" spans="1:4">
      <c r="B79" s="1409"/>
    </row>
    <row r="80" spans="1:4" ht="30">
      <c r="A80" s="1586" t="s">
        <v>14302</v>
      </c>
      <c r="B80" s="1244">
        <v>44029.689837962964</v>
      </c>
      <c r="C80" s="430" t="s">
        <v>1471</v>
      </c>
      <c r="D80" s="430" t="s">
        <v>14096</v>
      </c>
    </row>
    <row r="81" spans="1:4">
      <c r="A81" s="430" t="s">
        <v>14377</v>
      </c>
      <c r="B81" s="430" t="s">
        <v>14378</v>
      </c>
      <c r="C81" s="430" t="s">
        <v>1461</v>
      </c>
      <c r="D81" s="1409" t="s">
        <v>14096</v>
      </c>
    </row>
    <row r="82" spans="1:4">
      <c r="A82" s="430" t="s">
        <v>14375</v>
      </c>
      <c r="B82" s="1244">
        <v>44276</v>
      </c>
      <c r="C82" s="430" t="s">
        <v>1461</v>
      </c>
      <c r="D82" s="430" t="s">
        <v>14722</v>
      </c>
    </row>
    <row r="83" spans="1:4">
      <c r="A83" s="1653" t="s">
        <v>14376</v>
      </c>
      <c r="B83" s="1244">
        <v>44276</v>
      </c>
      <c r="C83" s="1409" t="s">
        <v>1461</v>
      </c>
      <c r="D83" s="1409" t="s">
        <v>14722</v>
      </c>
    </row>
    <row r="84" spans="1:4">
      <c r="A84" s="430" t="s">
        <v>14379</v>
      </c>
      <c r="B84" s="1244">
        <v>44278</v>
      </c>
      <c r="C84" s="430" t="s">
        <v>1461</v>
      </c>
      <c r="D84" s="1409" t="s">
        <v>14722</v>
      </c>
    </row>
    <row r="85" spans="1:4">
      <c r="A85" s="430" t="s">
        <v>14404</v>
      </c>
      <c r="B85" s="1244">
        <v>44293</v>
      </c>
      <c r="C85" s="430" t="s">
        <v>1461</v>
      </c>
      <c r="D85" s="1409" t="s">
        <v>14722</v>
      </c>
    </row>
    <row r="86" spans="1:4">
      <c r="A86" s="430" t="s">
        <v>14405</v>
      </c>
      <c r="B86" s="1244">
        <v>44294</v>
      </c>
      <c r="C86" s="430" t="s">
        <v>1461</v>
      </c>
      <c r="D86" s="1409" t="s">
        <v>14722</v>
      </c>
    </row>
    <row r="87" spans="1:4">
      <c r="A87" s="430" t="s">
        <v>14406</v>
      </c>
      <c r="B87" s="1244">
        <v>44294</v>
      </c>
      <c r="C87" s="1409" t="s">
        <v>1461</v>
      </c>
      <c r="D87" s="1409" t="s">
        <v>14722</v>
      </c>
    </row>
    <row r="88" spans="1:4">
      <c r="A88" s="430" t="s">
        <v>14536</v>
      </c>
      <c r="B88" s="1244">
        <v>44294</v>
      </c>
      <c r="C88" s="430" t="s">
        <v>13976</v>
      </c>
      <c r="D88" s="1409" t="s">
        <v>14722</v>
      </c>
    </row>
    <row r="89" spans="1:4">
      <c r="A89" s="430" t="s">
        <v>14565</v>
      </c>
      <c r="B89" s="1244">
        <v>44295</v>
      </c>
      <c r="C89" s="1409" t="s">
        <v>13976</v>
      </c>
      <c r="D89" s="1409" t="s">
        <v>14722</v>
      </c>
    </row>
    <row r="90" spans="1:4" s="1409" customFormat="1">
      <c r="A90" s="1409" t="s">
        <v>14541</v>
      </c>
      <c r="B90" s="1244">
        <v>44295</v>
      </c>
      <c r="C90" s="1409" t="s">
        <v>13976</v>
      </c>
      <c r="D90" s="1409" t="s">
        <v>14722</v>
      </c>
    </row>
    <row r="91" spans="1:4" s="1409" customFormat="1">
      <c r="A91" s="1410" t="s">
        <v>14599</v>
      </c>
      <c r="B91" s="1244">
        <v>44295</v>
      </c>
      <c r="C91" s="1409" t="s">
        <v>13976</v>
      </c>
      <c r="D91" s="1409" t="s">
        <v>14722</v>
      </c>
    </row>
    <row r="92" spans="1:4" s="1409" customFormat="1">
      <c r="A92" s="1409" t="s">
        <v>14566</v>
      </c>
      <c r="B92" s="1244">
        <v>44295</v>
      </c>
      <c r="C92" s="1409" t="s">
        <v>13976</v>
      </c>
      <c r="D92" s="1409" t="s">
        <v>14722</v>
      </c>
    </row>
    <row r="93" spans="1:4" s="1409" customFormat="1">
      <c r="A93" s="1409" t="s">
        <v>14769</v>
      </c>
      <c r="B93" s="1244">
        <v>44295</v>
      </c>
      <c r="C93" s="1409" t="s">
        <v>13976</v>
      </c>
      <c r="D93" s="1409" t="s">
        <v>14722</v>
      </c>
    </row>
    <row r="94" spans="1:4" s="1409" customFormat="1">
      <c r="A94" s="1409" t="s">
        <v>14567</v>
      </c>
      <c r="B94" s="1244">
        <v>44295</v>
      </c>
      <c r="C94" s="1409" t="s">
        <v>13976</v>
      </c>
      <c r="D94" s="1409" t="s">
        <v>14722</v>
      </c>
    </row>
    <row r="95" spans="1:4" s="1409" customFormat="1">
      <c r="A95" s="1409" t="s">
        <v>14568</v>
      </c>
      <c r="B95" s="1244">
        <v>44295</v>
      </c>
      <c r="C95" s="1409" t="s">
        <v>13976</v>
      </c>
      <c r="D95" s="1409" t="s">
        <v>14722</v>
      </c>
    </row>
    <row r="96" spans="1:4" s="1409" customFormat="1">
      <c r="A96" s="1409" t="s">
        <v>14573</v>
      </c>
      <c r="B96" s="1244">
        <v>44295</v>
      </c>
      <c r="C96" s="1409" t="s">
        <v>13976</v>
      </c>
      <c r="D96" s="1409" t="s">
        <v>14722</v>
      </c>
    </row>
    <row r="97" spans="1:4" s="1409" customFormat="1">
      <c r="A97" s="1409" t="s">
        <v>14576</v>
      </c>
      <c r="B97" s="1244">
        <v>44295</v>
      </c>
      <c r="C97" s="1409" t="s">
        <v>13976</v>
      </c>
      <c r="D97" s="1409" t="s">
        <v>14722</v>
      </c>
    </row>
    <row r="98" spans="1:4" s="1409" customFormat="1">
      <c r="A98" s="1409" t="s">
        <v>14598</v>
      </c>
      <c r="B98" s="1244">
        <v>44295</v>
      </c>
      <c r="C98" s="1409" t="s">
        <v>13976</v>
      </c>
      <c r="D98" s="1409" t="s">
        <v>14722</v>
      </c>
    </row>
    <row r="99" spans="1:4" s="1409" customFormat="1">
      <c r="A99" s="1409" t="s">
        <v>14601</v>
      </c>
      <c r="B99" s="1244">
        <v>44296</v>
      </c>
      <c r="C99" s="1409" t="s">
        <v>13976</v>
      </c>
      <c r="D99" s="1409" t="s">
        <v>14722</v>
      </c>
    </row>
    <row r="100" spans="1:4" s="1409" customFormat="1">
      <c r="A100" s="1409" t="s">
        <v>14718</v>
      </c>
      <c r="B100" s="1244">
        <v>44297</v>
      </c>
      <c r="C100" s="1409" t="s">
        <v>13976</v>
      </c>
      <c r="D100" s="1409" t="s">
        <v>14722</v>
      </c>
    </row>
    <row r="101" spans="1:4" s="1409" customFormat="1">
      <c r="A101" s="1409" t="s">
        <v>14723</v>
      </c>
      <c r="B101" s="1244">
        <v>44308</v>
      </c>
      <c r="C101" s="1409" t="s">
        <v>13976</v>
      </c>
      <c r="D101" s="1409" t="s">
        <v>14722</v>
      </c>
    </row>
    <row r="102" spans="1:4" s="1409" customFormat="1">
      <c r="A102" s="1409" t="s">
        <v>14796</v>
      </c>
      <c r="B102" s="1244">
        <v>44308</v>
      </c>
      <c r="C102" s="1409" t="s">
        <v>13976</v>
      </c>
      <c r="D102" s="1409" t="s">
        <v>14722</v>
      </c>
    </row>
    <row r="103" spans="1:4" s="1409" customFormat="1">
      <c r="A103" s="1409" t="s">
        <v>14724</v>
      </c>
      <c r="B103" s="1244">
        <v>44308</v>
      </c>
      <c r="C103" s="1409" t="s">
        <v>13976</v>
      </c>
      <c r="D103" s="1409" t="s">
        <v>14722</v>
      </c>
    </row>
    <row r="104" spans="1:4" s="1409" customFormat="1" ht="30">
      <c r="A104" s="2" t="s">
        <v>14770</v>
      </c>
      <c r="B104" s="1244">
        <v>44317</v>
      </c>
      <c r="C104" s="1409" t="s">
        <v>14731</v>
      </c>
      <c r="D104" s="1409" t="s">
        <v>14722</v>
      </c>
    </row>
    <row r="105" spans="1:4" s="1409" customFormat="1">
      <c r="A105" s="1409" t="s">
        <v>14771</v>
      </c>
      <c r="B105" s="1244">
        <v>44321</v>
      </c>
      <c r="C105" s="1409" t="s">
        <v>13976</v>
      </c>
      <c r="D105" s="1409" t="s">
        <v>14722</v>
      </c>
    </row>
    <row r="106" spans="1:4" s="1409" customFormat="1">
      <c r="A106" s="1409" t="s">
        <v>14768</v>
      </c>
      <c r="B106" s="1244">
        <v>44322</v>
      </c>
      <c r="C106" s="1409" t="s">
        <v>13976</v>
      </c>
      <c r="D106" s="1409" t="s">
        <v>14722</v>
      </c>
    </row>
    <row r="107" spans="1:4" s="1409" customFormat="1">
      <c r="A107" s="1409" t="s">
        <v>14773</v>
      </c>
      <c r="B107" s="1244">
        <v>44327</v>
      </c>
      <c r="C107" s="1409" t="s">
        <v>1461</v>
      </c>
      <c r="D107" s="1409" t="s">
        <v>14722</v>
      </c>
    </row>
    <row r="108" spans="1:4" s="1409" customFormat="1">
      <c r="A108" s="1409" t="s">
        <v>14775</v>
      </c>
      <c r="B108" s="1244">
        <v>44328</v>
      </c>
      <c r="C108" s="1409" t="s">
        <v>13976</v>
      </c>
      <c r="D108" s="1409" t="s">
        <v>14722</v>
      </c>
    </row>
    <row r="109" spans="1:4">
      <c r="A109" s="430" t="s">
        <v>14797</v>
      </c>
      <c r="B109" s="1244">
        <v>44372</v>
      </c>
      <c r="C109" s="430" t="s">
        <v>1461</v>
      </c>
      <c r="D109" s="1409" t="s">
        <v>14722</v>
      </c>
    </row>
    <row r="110" spans="1:4">
      <c r="A110" s="430" t="s">
        <v>14798</v>
      </c>
      <c r="B110" s="1244">
        <v>44373</v>
      </c>
      <c r="C110" s="430" t="s">
        <v>1461</v>
      </c>
      <c r="D110" s="1409" t="s">
        <v>14722</v>
      </c>
    </row>
    <row r="111" spans="1:4">
      <c r="A111" s="430" t="s">
        <v>14799</v>
      </c>
      <c r="B111" s="1244">
        <v>44406</v>
      </c>
      <c r="C111" s="430" t="s">
        <v>1461</v>
      </c>
      <c r="D111" s="1409" t="s">
        <v>14722</v>
      </c>
    </row>
    <row r="112" spans="1:4">
      <c r="A112" s="430" t="s">
        <v>14800</v>
      </c>
      <c r="B112" s="1244">
        <v>44412</v>
      </c>
      <c r="C112" s="430" t="s">
        <v>1461</v>
      </c>
      <c r="D112" s="1409" t="s">
        <v>14722</v>
      </c>
    </row>
    <row r="113" spans="1:4">
      <c r="A113" s="430" t="s">
        <v>14801</v>
      </c>
      <c r="B113" s="1244">
        <v>44412</v>
      </c>
      <c r="C113" s="430" t="s">
        <v>1461</v>
      </c>
      <c r="D113" s="1409" t="s">
        <v>14722</v>
      </c>
    </row>
    <row r="114" spans="1:4">
      <c r="A114" s="430" t="s">
        <v>14810</v>
      </c>
      <c r="B114" s="1244">
        <v>44449</v>
      </c>
      <c r="C114" s="430" t="s">
        <v>1461</v>
      </c>
      <c r="D114" s="430" t="s">
        <v>14722</v>
      </c>
    </row>
    <row r="118" spans="1:4">
      <c r="A118" s="1470">
        <f ca="1">NOW()</f>
        <v>44736.973752199076</v>
      </c>
    </row>
    <row r="119" spans="1:4">
      <c r="A119" s="430" t="s">
        <v>13428</v>
      </c>
    </row>
    <row r="120" spans="1:4">
      <c r="A120" s="430" t="s">
        <v>13429</v>
      </c>
    </row>
    <row r="121" spans="1:4">
      <c r="A121" s="430" t="s">
        <v>13430</v>
      </c>
    </row>
  </sheetData>
  <phoneticPr fontId="204"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pageSetUpPr fitToPage="1"/>
  </sheetPr>
  <dimension ref="A1:CQ111"/>
  <sheetViews>
    <sheetView workbookViewId="0"/>
  </sheetViews>
  <sheetFormatPr defaultColWidth="11.42578125" defaultRowHeight="12.75"/>
  <cols>
    <col min="1" max="1" width="11.42578125" style="93" customWidth="1"/>
    <col min="2" max="2" width="26.7109375" style="93" customWidth="1"/>
    <col min="3" max="3" width="11.42578125" style="93" customWidth="1"/>
    <col min="4" max="4" width="32.7109375" style="93" customWidth="1"/>
    <col min="5" max="6" width="11.42578125" style="93" customWidth="1"/>
    <col min="7" max="41" width="11.42578125" style="95" customWidth="1"/>
    <col min="42" max="42" width="11.42578125" style="519" customWidth="1"/>
    <col min="43" max="48" width="11.42578125" style="95" customWidth="1"/>
    <col min="49" max="49" width="11.42578125" style="519" customWidth="1"/>
    <col min="50" max="67" width="11.42578125" style="93" customWidth="1"/>
    <col min="68" max="84" width="5" style="93" customWidth="1"/>
    <col min="85" max="85" width="7.7109375" style="93" customWidth="1"/>
    <col min="86" max="95" width="5" style="93" customWidth="1"/>
    <col min="96" max="16384" width="11.42578125" style="93"/>
  </cols>
  <sheetData>
    <row r="1" spans="1:95" ht="15">
      <c r="F1" s="501" t="s">
        <v>1465</v>
      </c>
      <c r="G1" s="95">
        <f>COUNTA($AY$3:$BF$3)</f>
        <v>8</v>
      </c>
      <c r="H1" s="95">
        <f>COUNTA($AY$3:$BF$3)</f>
        <v>8</v>
      </c>
      <c r="I1" s="95">
        <f>COUNTA($AY$3:$BF$3)</f>
        <v>8</v>
      </c>
      <c r="J1" s="95">
        <f>COUNTA($AY$3:$BF$3)</f>
        <v>8</v>
      </c>
      <c r="K1" s="95">
        <f>COUNTA($AY$3:$BF$3)</f>
        <v>8</v>
      </c>
      <c r="L1" s="95">
        <f>emissions_types</f>
        <v>16</v>
      </c>
      <c r="M1" s="95">
        <f>COUNTA($AY$3:$BF$3)</f>
        <v>8</v>
      </c>
      <c r="N1" s="501" t="s">
        <v>1182</v>
      </c>
      <c r="O1" s="93"/>
      <c r="P1" s="95" t="s">
        <v>359</v>
      </c>
      <c r="Q1" s="95" t="s">
        <v>1183</v>
      </c>
      <c r="R1" s="95">
        <v>1</v>
      </c>
      <c r="U1" s="501" t="s">
        <v>1466</v>
      </c>
      <c r="V1" s="93"/>
      <c r="W1" s="95" t="s">
        <v>860</v>
      </c>
      <c r="X1" s="95" t="s">
        <v>1183</v>
      </c>
      <c r="Y1" s="95">
        <v>1.0000000000000001E-5</v>
      </c>
      <c r="AB1" s="501" t="s">
        <v>578</v>
      </c>
      <c r="AC1" s="93"/>
      <c r="AD1" s="95" t="s">
        <v>861</v>
      </c>
      <c r="AE1" s="95" t="s">
        <v>1183</v>
      </c>
      <c r="AF1" s="95">
        <v>60</v>
      </c>
      <c r="AI1" s="882" t="s">
        <v>583</v>
      </c>
      <c r="AJ1" s="93"/>
      <c r="AK1" s="95" t="s">
        <v>839</v>
      </c>
      <c r="AL1" s="95" t="s">
        <v>1183</v>
      </c>
      <c r="AM1" s="95">
        <v>1E-4</v>
      </c>
    </row>
    <row r="2" spans="1:95">
      <c r="C2" s="98" t="s">
        <v>362</v>
      </c>
      <c r="D2" s="178">
        <v>1E-8</v>
      </c>
      <c r="G2" s="95">
        <v>1</v>
      </c>
      <c r="H2" s="95">
        <v>2</v>
      </c>
      <c r="I2" s="95">
        <v>3</v>
      </c>
      <c r="J2" s="95">
        <v>4</v>
      </c>
      <c r="K2" s="95">
        <v>5</v>
      </c>
      <c r="L2" s="95">
        <v>6</v>
      </c>
      <c r="M2" s="95">
        <v>7</v>
      </c>
      <c r="N2" s="95">
        <f t="shared" ref="N2:AA4" si="0">G2</f>
        <v>1</v>
      </c>
      <c r="O2" s="95">
        <f t="shared" si="0"/>
        <v>2</v>
      </c>
      <c r="P2" s="95">
        <f t="shared" si="0"/>
        <v>3</v>
      </c>
      <c r="Q2" s="95">
        <f t="shared" si="0"/>
        <v>4</v>
      </c>
      <c r="R2" s="95">
        <f t="shared" si="0"/>
        <v>5</v>
      </c>
      <c r="S2" s="95">
        <f t="shared" si="0"/>
        <v>6</v>
      </c>
      <c r="T2" s="95">
        <f t="shared" si="0"/>
        <v>7</v>
      </c>
      <c r="U2" s="95">
        <f t="shared" si="0"/>
        <v>1</v>
      </c>
      <c r="V2" s="95">
        <f t="shared" si="0"/>
        <v>2</v>
      </c>
      <c r="W2" s="95">
        <f t="shared" si="0"/>
        <v>3</v>
      </c>
      <c r="X2" s="95">
        <f t="shared" si="0"/>
        <v>4</v>
      </c>
      <c r="Y2" s="95">
        <f t="shared" si="0"/>
        <v>5</v>
      </c>
      <c r="Z2" s="95">
        <f t="shared" si="0"/>
        <v>6</v>
      </c>
      <c r="AA2" s="95">
        <f t="shared" si="0"/>
        <v>7</v>
      </c>
      <c r="AB2" s="95">
        <f t="shared" ref="AB2:AH4" si="1">N2</f>
        <v>1</v>
      </c>
      <c r="AC2" s="95">
        <f t="shared" si="1"/>
        <v>2</v>
      </c>
      <c r="AD2" s="95">
        <f t="shared" si="1"/>
        <v>3</v>
      </c>
      <c r="AE2" s="95">
        <f t="shared" si="1"/>
        <v>4</v>
      </c>
      <c r="AF2" s="95">
        <f t="shared" si="1"/>
        <v>5</v>
      </c>
      <c r="AG2" s="95">
        <f t="shared" si="1"/>
        <v>6</v>
      </c>
      <c r="AH2" s="95">
        <f t="shared" si="1"/>
        <v>7</v>
      </c>
      <c r="AI2" s="95">
        <f t="shared" ref="AI2:AO4" si="2">N2</f>
        <v>1</v>
      </c>
      <c r="AJ2" s="95">
        <f t="shared" si="2"/>
        <v>2</v>
      </c>
      <c r="AK2" s="95">
        <f t="shared" si="2"/>
        <v>3</v>
      </c>
      <c r="AL2" s="95">
        <f t="shared" si="2"/>
        <v>4</v>
      </c>
      <c r="AM2" s="95">
        <f t="shared" si="2"/>
        <v>5</v>
      </c>
      <c r="AN2" s="95">
        <f t="shared" si="2"/>
        <v>6</v>
      </c>
      <c r="AO2" s="95">
        <f t="shared" si="2"/>
        <v>7</v>
      </c>
      <c r="AY2" s="501" t="s">
        <v>956</v>
      </c>
      <c r="BD2" s="93">
        <v>7</v>
      </c>
      <c r="BE2" s="93">
        <f t="shared" ref="BE2:CG2" si="3">BD2+1</f>
        <v>8</v>
      </c>
      <c r="BF2" s="93">
        <f t="shared" si="3"/>
        <v>9</v>
      </c>
      <c r="BG2" s="93">
        <f t="shared" si="3"/>
        <v>10</v>
      </c>
      <c r="BH2" s="93">
        <f t="shared" si="3"/>
        <v>11</v>
      </c>
      <c r="BI2" s="93">
        <f t="shared" si="3"/>
        <v>12</v>
      </c>
      <c r="BJ2" s="93">
        <f t="shared" si="3"/>
        <v>13</v>
      </c>
      <c r="BK2" s="93">
        <f t="shared" si="3"/>
        <v>14</v>
      </c>
      <c r="BL2" s="93">
        <f t="shared" si="3"/>
        <v>15</v>
      </c>
      <c r="BM2" s="93">
        <f t="shared" si="3"/>
        <v>16</v>
      </c>
      <c r="BN2" s="93">
        <f t="shared" si="3"/>
        <v>17</v>
      </c>
      <c r="BO2" s="93">
        <f t="shared" si="3"/>
        <v>18</v>
      </c>
      <c r="BP2" s="93">
        <f t="shared" si="3"/>
        <v>19</v>
      </c>
      <c r="BQ2" s="93">
        <f t="shared" si="3"/>
        <v>20</v>
      </c>
      <c r="BR2" s="93">
        <f t="shared" si="3"/>
        <v>21</v>
      </c>
      <c r="BS2" s="93">
        <f t="shared" si="3"/>
        <v>22</v>
      </c>
      <c r="BT2" s="93">
        <f t="shared" si="3"/>
        <v>23</v>
      </c>
      <c r="BU2" s="93">
        <f t="shared" si="3"/>
        <v>24</v>
      </c>
      <c r="BV2" s="93">
        <f t="shared" si="3"/>
        <v>25</v>
      </c>
      <c r="BW2" s="93">
        <f t="shared" si="3"/>
        <v>26</v>
      </c>
      <c r="BX2" s="93">
        <f t="shared" si="3"/>
        <v>27</v>
      </c>
      <c r="BY2" s="93">
        <f t="shared" si="3"/>
        <v>28</v>
      </c>
      <c r="BZ2" s="93">
        <f t="shared" si="3"/>
        <v>29</v>
      </c>
      <c r="CA2" s="93">
        <f t="shared" si="3"/>
        <v>30</v>
      </c>
      <c r="CB2" s="93">
        <f t="shared" si="3"/>
        <v>31</v>
      </c>
      <c r="CC2" s="93">
        <f t="shared" si="3"/>
        <v>32</v>
      </c>
      <c r="CD2" s="93">
        <f t="shared" si="3"/>
        <v>33</v>
      </c>
      <c r="CE2" s="93">
        <f t="shared" si="3"/>
        <v>34</v>
      </c>
      <c r="CF2" s="93">
        <f t="shared" si="3"/>
        <v>35</v>
      </c>
      <c r="CG2" s="93">
        <f t="shared" si="3"/>
        <v>36</v>
      </c>
    </row>
    <row r="3" spans="1:95" ht="60">
      <c r="B3" s="509" t="s">
        <v>921</v>
      </c>
      <c r="G3" s="95" t="s">
        <v>924</v>
      </c>
      <c r="H3" s="95" t="s">
        <v>925</v>
      </c>
      <c r="I3" s="95" t="s">
        <v>926</v>
      </c>
      <c r="J3" s="95" t="s">
        <v>927</v>
      </c>
      <c r="K3" s="95" t="s">
        <v>928</v>
      </c>
      <c r="L3" s="95" t="s">
        <v>872</v>
      </c>
      <c r="M3" s="95" t="s">
        <v>929</v>
      </c>
      <c r="N3" s="95" t="str">
        <f t="shared" si="0"/>
        <v>Agriculture</v>
      </c>
      <c r="O3" s="95" t="str">
        <f t="shared" si="0"/>
        <v>Commercial</v>
      </c>
      <c r="P3" s="95" t="str">
        <f t="shared" si="0"/>
        <v>Industry</v>
      </c>
      <c r="Q3" s="95" t="str">
        <f t="shared" si="0"/>
        <v>Transport</v>
      </c>
      <c r="R3" s="95" t="str">
        <f t="shared" si="0"/>
        <v>Residential</v>
      </c>
      <c r="S3" s="95" t="str">
        <f t="shared" si="0"/>
        <v>Power Sector</v>
      </c>
      <c r="T3" s="95" t="str">
        <f t="shared" si="0"/>
        <v>Supply Sector</v>
      </c>
      <c r="U3" s="95" t="str">
        <f t="shared" si="0"/>
        <v>Agriculture</v>
      </c>
      <c r="V3" s="95" t="str">
        <f t="shared" si="0"/>
        <v>Commercial</v>
      </c>
      <c r="W3" s="95" t="str">
        <f t="shared" si="0"/>
        <v>Industry</v>
      </c>
      <c r="X3" s="95" t="str">
        <f t="shared" si="0"/>
        <v>Transport</v>
      </c>
      <c r="Y3" s="95" t="str">
        <f t="shared" si="0"/>
        <v>Residential</v>
      </c>
      <c r="Z3" s="95" t="str">
        <f t="shared" si="0"/>
        <v>Power Sector</v>
      </c>
      <c r="AA3" s="95" t="str">
        <f t="shared" si="0"/>
        <v>Supply Sector</v>
      </c>
      <c r="AB3" s="95" t="str">
        <f t="shared" si="1"/>
        <v>Agriculture</v>
      </c>
      <c r="AC3" s="95" t="str">
        <f t="shared" si="1"/>
        <v>Commercial</v>
      </c>
      <c r="AD3" s="95" t="str">
        <f t="shared" si="1"/>
        <v>Industry</v>
      </c>
      <c r="AE3" s="95" t="str">
        <f t="shared" si="1"/>
        <v>Transport</v>
      </c>
      <c r="AF3" s="95" t="str">
        <f t="shared" si="1"/>
        <v>Residential</v>
      </c>
      <c r="AG3" s="95" t="str">
        <f t="shared" si="1"/>
        <v>Power Sector</v>
      </c>
      <c r="AH3" s="95" t="str">
        <f t="shared" si="1"/>
        <v>Supply Sector</v>
      </c>
      <c r="AI3" s="95" t="str">
        <f t="shared" si="2"/>
        <v>Agriculture</v>
      </c>
      <c r="AJ3" s="95" t="str">
        <f t="shared" si="2"/>
        <v>Commercial</v>
      </c>
      <c r="AK3" s="95" t="str">
        <f t="shared" si="2"/>
        <v>Industry</v>
      </c>
      <c r="AL3" s="95" t="str">
        <f t="shared" si="2"/>
        <v>Transport</v>
      </c>
      <c r="AM3" s="95" t="str">
        <f t="shared" si="2"/>
        <v>Residential</v>
      </c>
      <c r="AN3" s="95" t="str">
        <f t="shared" si="2"/>
        <v>Power Sector</v>
      </c>
      <c r="AO3" s="95" t="str">
        <f t="shared" si="2"/>
        <v>Supply Sector</v>
      </c>
      <c r="AX3" s="93">
        <f>COUNTA(AY3:BN3)</f>
        <v>16</v>
      </c>
      <c r="AY3" s="746" t="s">
        <v>888</v>
      </c>
      <c r="AZ3" s="746" t="s">
        <v>889</v>
      </c>
      <c r="BA3" s="746" t="s">
        <v>890</v>
      </c>
      <c r="BB3" s="746" t="s">
        <v>891</v>
      </c>
      <c r="BC3" s="746" t="s">
        <v>892</v>
      </c>
      <c r="BD3" s="746" t="s">
        <v>893</v>
      </c>
      <c r="BE3" s="746" t="s">
        <v>894</v>
      </c>
      <c r="BF3" s="746" t="s">
        <v>895</v>
      </c>
      <c r="BG3" s="868" t="s">
        <v>896</v>
      </c>
      <c r="BH3" s="868" t="s">
        <v>897</v>
      </c>
      <c r="BI3" s="868" t="s">
        <v>898</v>
      </c>
      <c r="BJ3" s="868" t="s">
        <v>899</v>
      </c>
      <c r="BK3" s="868" t="s">
        <v>900</v>
      </c>
      <c r="BL3" s="868" t="s">
        <v>901</v>
      </c>
      <c r="BM3" s="868" t="s">
        <v>902</v>
      </c>
      <c r="BN3" s="868" t="s">
        <v>903</v>
      </c>
      <c r="BO3" s="508"/>
      <c r="BP3" s="508"/>
      <c r="BQ3" s="508"/>
    </row>
    <row r="4" spans="1:95" ht="15">
      <c r="G4" s="95" t="s">
        <v>881</v>
      </c>
      <c r="H4" s="95" t="s">
        <v>882</v>
      </c>
      <c r="I4" s="95" t="s">
        <v>883</v>
      </c>
      <c r="J4" s="95" t="s">
        <v>884</v>
      </c>
      <c r="K4" s="95" t="s">
        <v>885</v>
      </c>
      <c r="L4" s="95" t="s">
        <v>873</v>
      </c>
      <c r="M4" s="95" t="s">
        <v>887</v>
      </c>
      <c r="N4" s="95" t="str">
        <f t="shared" si="0"/>
        <v>AGR</v>
      </c>
      <c r="O4" s="95" t="str">
        <f t="shared" si="0"/>
        <v>COM</v>
      </c>
      <c r="P4" s="95" t="str">
        <f t="shared" si="0"/>
        <v>IND</v>
      </c>
      <c r="Q4" s="95" t="str">
        <f t="shared" si="0"/>
        <v>TRA</v>
      </c>
      <c r="R4" s="95" t="str">
        <f t="shared" si="0"/>
        <v>RES</v>
      </c>
      <c r="S4" s="95" t="str">
        <f t="shared" si="0"/>
        <v>PWR</v>
      </c>
      <c r="T4" s="95" t="str">
        <f t="shared" si="0"/>
        <v>UPS</v>
      </c>
      <c r="U4" s="95" t="str">
        <f t="shared" si="0"/>
        <v>AGR</v>
      </c>
      <c r="V4" s="95" t="str">
        <f t="shared" si="0"/>
        <v>COM</v>
      </c>
      <c r="W4" s="95" t="str">
        <f t="shared" si="0"/>
        <v>IND</v>
      </c>
      <c r="X4" s="95" t="str">
        <f t="shared" si="0"/>
        <v>TRA</v>
      </c>
      <c r="Y4" s="95" t="str">
        <f t="shared" si="0"/>
        <v>RES</v>
      </c>
      <c r="Z4" s="95" t="str">
        <f t="shared" si="0"/>
        <v>PWR</v>
      </c>
      <c r="AA4" s="95" t="str">
        <f t="shared" si="0"/>
        <v>UPS</v>
      </c>
      <c r="AB4" s="95" t="str">
        <f t="shared" si="1"/>
        <v>AGR</v>
      </c>
      <c r="AC4" s="95" t="str">
        <f t="shared" si="1"/>
        <v>COM</v>
      </c>
      <c r="AD4" s="95" t="str">
        <f t="shared" si="1"/>
        <v>IND</v>
      </c>
      <c r="AE4" s="95" t="str">
        <f t="shared" si="1"/>
        <v>TRA</v>
      </c>
      <c r="AF4" s="95" t="str">
        <f t="shared" si="1"/>
        <v>RES</v>
      </c>
      <c r="AG4" s="95" t="str">
        <f t="shared" si="1"/>
        <v>PWR</v>
      </c>
      <c r="AH4" s="95" t="str">
        <f t="shared" si="1"/>
        <v>UPS</v>
      </c>
      <c r="AI4" s="95" t="str">
        <f t="shared" si="2"/>
        <v>AGR</v>
      </c>
      <c r="AJ4" s="95" t="str">
        <f t="shared" si="2"/>
        <v>COM</v>
      </c>
      <c r="AK4" s="95" t="str">
        <f t="shared" si="2"/>
        <v>IND</v>
      </c>
      <c r="AL4" s="95" t="str">
        <f t="shared" si="2"/>
        <v>TRA</v>
      </c>
      <c r="AM4" s="95" t="str">
        <f t="shared" si="2"/>
        <v>RES</v>
      </c>
      <c r="AN4" s="95" t="str">
        <f t="shared" si="2"/>
        <v>PWR</v>
      </c>
      <c r="AO4" s="95" t="str">
        <f t="shared" si="2"/>
        <v>UPS</v>
      </c>
      <c r="AP4" s="519" t="s">
        <v>881</v>
      </c>
      <c r="AQ4" s="95" t="s">
        <v>882</v>
      </c>
      <c r="AR4" s="95" t="s">
        <v>883</v>
      </c>
      <c r="AS4" s="95" t="s">
        <v>884</v>
      </c>
      <c r="AT4" s="95" t="s">
        <v>885</v>
      </c>
      <c r="AU4" s="95" t="s">
        <v>873</v>
      </c>
      <c r="AV4" s="95" t="s">
        <v>887</v>
      </c>
      <c r="AY4" s="747" t="s">
        <v>904</v>
      </c>
      <c r="AZ4" s="747" t="s">
        <v>905</v>
      </c>
      <c r="BA4" s="747" t="s">
        <v>906</v>
      </c>
      <c r="BB4" s="747" t="s">
        <v>907</v>
      </c>
      <c r="BC4" s="747" t="s">
        <v>908</v>
      </c>
      <c r="BD4" s="747" t="s">
        <v>909</v>
      </c>
      <c r="BE4" s="747" t="s">
        <v>910</v>
      </c>
      <c r="BF4" s="747" t="s">
        <v>911</v>
      </c>
      <c r="BG4" s="869" t="s">
        <v>912</v>
      </c>
      <c r="BH4" s="869" t="s">
        <v>913</v>
      </c>
      <c r="BI4" s="869" t="s">
        <v>914</v>
      </c>
      <c r="BJ4" s="869" t="s">
        <v>915</v>
      </c>
      <c r="BK4" s="869" t="s">
        <v>916</v>
      </c>
      <c r="BL4" s="869" t="s">
        <v>917</v>
      </c>
      <c r="BM4" s="869" t="s">
        <v>918</v>
      </c>
      <c r="BN4" s="869" t="s">
        <v>919</v>
      </c>
      <c r="BO4" s="507"/>
      <c r="BP4" s="507"/>
      <c r="BQ4" s="507"/>
      <c r="BR4" s="93">
        <v>1</v>
      </c>
      <c r="BS4" s="93">
        <f t="shared" ref="BS4:CG4" si="4">BR4+1</f>
        <v>2</v>
      </c>
      <c r="BT4" s="93">
        <f t="shared" si="4"/>
        <v>3</v>
      </c>
      <c r="BU4" s="93">
        <f t="shared" si="4"/>
        <v>4</v>
      </c>
      <c r="BV4" s="93">
        <f t="shared" si="4"/>
        <v>5</v>
      </c>
      <c r="BW4" s="93">
        <f t="shared" si="4"/>
        <v>6</v>
      </c>
      <c r="BX4" s="93">
        <f t="shared" si="4"/>
        <v>7</v>
      </c>
      <c r="BY4" s="93">
        <f t="shared" si="4"/>
        <v>8</v>
      </c>
      <c r="BZ4" s="93">
        <f t="shared" si="4"/>
        <v>9</v>
      </c>
      <c r="CA4" s="93">
        <f t="shared" si="4"/>
        <v>10</v>
      </c>
      <c r="CB4" s="93">
        <f t="shared" si="4"/>
        <v>11</v>
      </c>
      <c r="CC4" s="93">
        <f t="shared" si="4"/>
        <v>12</v>
      </c>
      <c r="CD4" s="93">
        <f t="shared" si="4"/>
        <v>13</v>
      </c>
      <c r="CE4" s="93">
        <f t="shared" si="4"/>
        <v>14</v>
      </c>
      <c r="CF4" s="93">
        <f t="shared" si="4"/>
        <v>15</v>
      </c>
      <c r="CG4" s="93">
        <f t="shared" si="4"/>
        <v>16</v>
      </c>
      <c r="CH4" s="93">
        <v>1</v>
      </c>
      <c r="CI4" s="93">
        <f t="shared" ref="CI4:CQ4" si="5">CH4+1</f>
        <v>2</v>
      </c>
      <c r="CJ4" s="93">
        <f t="shared" si="5"/>
        <v>3</v>
      </c>
      <c r="CK4" s="93">
        <f t="shared" si="5"/>
        <v>4</v>
      </c>
      <c r="CL4" s="93">
        <f t="shared" si="5"/>
        <v>5</v>
      </c>
      <c r="CM4" s="93">
        <f t="shared" si="5"/>
        <v>6</v>
      </c>
      <c r="CN4" s="93">
        <f t="shared" si="5"/>
        <v>7</v>
      </c>
      <c r="CO4" s="93">
        <f t="shared" si="5"/>
        <v>8</v>
      </c>
      <c r="CP4" s="93">
        <f t="shared" si="5"/>
        <v>9</v>
      </c>
      <c r="CQ4" s="93">
        <f t="shared" si="5"/>
        <v>10</v>
      </c>
    </row>
    <row r="5" spans="1:95">
      <c r="A5" s="93">
        <v>1</v>
      </c>
      <c r="B5" s="391" t="s">
        <v>537</v>
      </c>
      <c r="C5" s="391" t="s">
        <v>538</v>
      </c>
      <c r="D5" s="390" t="str">
        <f t="shared" ref="D5:D45" si="6">B5</f>
        <v>Biogas</v>
      </c>
      <c r="L5" s="95">
        <v>1</v>
      </c>
      <c r="N5" s="95" t="str">
        <f>IF(ISBLANK($G$5),"",$R$1)</f>
        <v/>
      </c>
      <c r="O5" s="95" t="str">
        <f t="shared" ref="O5:O15" si="7">IF(ISBLANK(H5),"",$R$1)</f>
        <v/>
      </c>
      <c r="P5" s="95" t="str">
        <f t="shared" ref="P5:P15" si="8">IF(ISBLANK(I5),"",$R$1)</f>
        <v/>
      </c>
      <c r="Q5" s="95" t="str">
        <f t="shared" ref="Q5:Q15" si="9">IF(ISBLANK(J5),"",$R$1)</f>
        <v/>
      </c>
      <c r="R5" s="95" t="str">
        <f t="shared" ref="R5:R15" si="10">IF(ISBLANK(K5),"",$R$1)</f>
        <v/>
      </c>
      <c r="S5" s="95">
        <f t="shared" ref="S5:S15" si="11">IF(ISBLANK(L5),"",$R$1)</f>
        <v>1</v>
      </c>
      <c r="T5" s="95" t="str">
        <f t="shared" ref="T5:T15" si="12">IF(ISBLANK(M5),"",$R$1)</f>
        <v/>
      </c>
      <c r="U5" s="95" t="str">
        <f t="shared" ref="U5:U15" si="13">IF(ISBLANK(G5),"",$Y$1)</f>
        <v/>
      </c>
      <c r="V5" s="95" t="str">
        <f t="shared" ref="V5:V15" si="14">IF(ISBLANK(H5),"",$Y$1)</f>
        <v/>
      </c>
      <c r="W5" s="95" t="str">
        <f t="shared" ref="W5:W15" si="15">IF(ISBLANK(I5),"",$Y$1)</f>
        <v/>
      </c>
      <c r="X5" s="95" t="str">
        <f t="shared" ref="X5:X15" si="16">IF(ISBLANK(J5),"",$Y$1)</f>
        <v/>
      </c>
      <c r="Y5" s="95" t="str">
        <f t="shared" ref="Y5:Y15" si="17">IF(ISBLANK(K5),"",$Y$1)</f>
        <v/>
      </c>
      <c r="Z5" s="95">
        <f t="shared" ref="Z5:Z15" si="18">IF(ISBLANK(L5),"",$Y$1)</f>
        <v>1.0000000000000001E-5</v>
      </c>
      <c r="AA5" s="95" t="str">
        <f t="shared" ref="AA5:AA15" si="19">IF(ISBLANK(M5),"",$Y$1)</f>
        <v/>
      </c>
      <c r="AB5" s="95" t="str">
        <f t="shared" ref="AB5:AB17" si="20">IF(ISBLANK(G5),"",$AF$1)</f>
        <v/>
      </c>
      <c r="AC5" s="95" t="str">
        <f t="shared" ref="AC5:AC17" si="21">IF(ISBLANK(H5),"",$AF$1)</f>
        <v/>
      </c>
      <c r="AD5" s="95" t="str">
        <f t="shared" ref="AD5:AD17" si="22">IF(ISBLANK(I5),"",$AF$1)</f>
        <v/>
      </c>
      <c r="AE5" s="95" t="str">
        <f t="shared" ref="AE5:AE17" si="23">IF(ISBLANK(J5),"",$AF$1)</f>
        <v/>
      </c>
      <c r="AF5" s="95" t="str">
        <f t="shared" ref="AF5:AF17" si="24">IF(ISBLANK(K5),"",$AF$1)</f>
        <v/>
      </c>
      <c r="AG5" s="95">
        <f t="shared" ref="AG5:AG17" si="25">IF(ISBLANK(L5),"",$AF$1)</f>
        <v>60</v>
      </c>
      <c r="AH5" s="95" t="str">
        <f t="shared" ref="AH5:AH17" si="26">IF(ISBLANK(M5),"",$AF$1)</f>
        <v/>
      </c>
      <c r="AI5" s="95" t="str">
        <f t="shared" ref="AI5:AI15" si="27">IF(ISBLANK(G5),"",$AM$1)</f>
        <v/>
      </c>
      <c r="AJ5" s="95" t="str">
        <f t="shared" ref="AJ5:AJ15" si="28">IF(ISBLANK(H5),"",$AM$1)</f>
        <v/>
      </c>
      <c r="AK5" s="95" t="str">
        <f t="shared" ref="AK5:AK15" si="29">IF(ISBLANK(I5),"",$AM$1)</f>
        <v/>
      </c>
      <c r="AL5" s="95" t="str">
        <f t="shared" ref="AL5:AL15" si="30">IF(ISBLANK(J5),"",$AM$1)</f>
        <v/>
      </c>
      <c r="AM5" s="95" t="str">
        <f t="shared" ref="AM5:AM15" si="31">IF(ISBLANK(K5),"",$AM$1)</f>
        <v/>
      </c>
      <c r="AN5" s="95">
        <f t="shared" ref="AN5:AN15" si="32">IF(ISBLANK(L5),"",$AM$1)</f>
        <v>1E-4</v>
      </c>
      <c r="AO5" s="95" t="str">
        <f t="shared" ref="AO5:AO15" si="33">IF(ISBLANK(M5),"",$AM$1)</f>
        <v/>
      </c>
      <c r="AP5" s="519">
        <f>IF(Sector.Agriculture,IF(G5,1,0),0)</f>
        <v>0</v>
      </c>
      <c r="AQ5" s="263">
        <f>IF(Sector.Commercial,IF(H5,1,0),0)</f>
        <v>0</v>
      </c>
      <c r="AR5" s="263">
        <f>IF(Sector.Industry,IF(I5,1,0),0)</f>
        <v>0</v>
      </c>
      <c r="AS5" s="263">
        <f>IF(Sector.Transport,IF(J5,1,0),0)</f>
        <v>0</v>
      </c>
      <c r="AT5" s="263">
        <f>IF(Sector.Residential,IF(K5,1,0),0)</f>
        <v>0</v>
      </c>
      <c r="AU5" s="263">
        <f>IF(Sector.Power,IF(L5,1,0),0)</f>
        <v>1</v>
      </c>
      <c r="AV5" s="520">
        <f>IF(Sector.Supply,IF(M5,1,0),0)</f>
        <v>0</v>
      </c>
      <c r="AW5" s="93">
        <v>1</v>
      </c>
      <c r="AX5" s="93" t="str">
        <f t="shared" ref="AX5:AX44" si="34">C5</f>
        <v>BIG</v>
      </c>
      <c r="AY5" s="93">
        <v>0</v>
      </c>
      <c r="AZ5" s="93">
        <v>0</v>
      </c>
      <c r="BA5" s="93">
        <v>0</v>
      </c>
      <c r="BB5" s="93">
        <v>0</v>
      </c>
      <c r="BC5" s="93">
        <v>0</v>
      </c>
      <c r="BD5" s="93">
        <v>0</v>
      </c>
      <c r="BE5" s="93">
        <v>0</v>
      </c>
      <c r="BF5" s="93">
        <v>0</v>
      </c>
      <c r="BG5" s="93">
        <v>0</v>
      </c>
      <c r="BH5" s="93">
        <v>0</v>
      </c>
      <c r="BI5" s="93">
        <v>0</v>
      </c>
      <c r="BJ5" s="93">
        <v>0</v>
      </c>
      <c r="BK5" s="93">
        <v>0</v>
      </c>
      <c r="BL5" s="93">
        <v>0</v>
      </c>
      <c r="BM5" s="93">
        <v>0</v>
      </c>
      <c r="BN5" s="93">
        <v>0</v>
      </c>
      <c r="BO5" s="93">
        <f t="shared" ref="BO5:BO45" si="35">BO6+1</f>
        <v>42</v>
      </c>
    </row>
    <row r="6" spans="1:95">
      <c r="A6" s="93">
        <f t="shared" ref="A6:A45" si="36">A5+1</f>
        <v>2</v>
      </c>
      <c r="B6" s="391" t="s">
        <v>949</v>
      </c>
      <c r="C6" s="391" t="s">
        <v>950</v>
      </c>
      <c r="D6" s="390" t="str">
        <f t="shared" si="6"/>
        <v>Bioethanol</v>
      </c>
      <c r="M6" s="95">
        <v>1</v>
      </c>
      <c r="N6" s="95" t="str">
        <f t="shared" ref="N6:N15" si="37">IF(ISBLANK(G6),"",$R$1)</f>
        <v/>
      </c>
      <c r="O6" s="95" t="str">
        <f t="shared" si="7"/>
        <v/>
      </c>
      <c r="P6" s="95" t="str">
        <f t="shared" si="8"/>
        <v/>
      </c>
      <c r="Q6" s="95" t="str">
        <f t="shared" si="9"/>
        <v/>
      </c>
      <c r="R6" s="95" t="str">
        <f t="shared" si="10"/>
        <v/>
      </c>
      <c r="S6" s="95" t="str">
        <f t="shared" si="11"/>
        <v/>
      </c>
      <c r="T6" s="95">
        <f t="shared" si="12"/>
        <v>1</v>
      </c>
      <c r="U6" s="95" t="str">
        <f t="shared" si="13"/>
        <v/>
      </c>
      <c r="V6" s="95" t="str">
        <f t="shared" si="14"/>
        <v/>
      </c>
      <c r="W6" s="95" t="str">
        <f t="shared" si="15"/>
        <v/>
      </c>
      <c r="X6" s="95" t="str">
        <f t="shared" si="16"/>
        <v/>
      </c>
      <c r="Y6" s="95" t="str">
        <f t="shared" si="17"/>
        <v/>
      </c>
      <c r="Z6" s="95" t="str">
        <f t="shared" si="18"/>
        <v/>
      </c>
      <c r="AA6" s="95">
        <f t="shared" si="19"/>
        <v>1.0000000000000001E-5</v>
      </c>
      <c r="AB6" s="95" t="str">
        <f t="shared" si="20"/>
        <v/>
      </c>
      <c r="AC6" s="95" t="str">
        <f t="shared" si="21"/>
        <v/>
      </c>
      <c r="AD6" s="95" t="str">
        <f t="shared" si="22"/>
        <v/>
      </c>
      <c r="AE6" s="95" t="str">
        <f t="shared" si="23"/>
        <v/>
      </c>
      <c r="AF6" s="95" t="str">
        <f t="shared" si="24"/>
        <v/>
      </c>
      <c r="AG6" s="95" t="str">
        <f t="shared" si="25"/>
        <v/>
      </c>
      <c r="AH6" s="95">
        <f t="shared" si="26"/>
        <v>60</v>
      </c>
      <c r="AI6" s="95" t="str">
        <f t="shared" si="27"/>
        <v/>
      </c>
      <c r="AJ6" s="95" t="str">
        <f t="shared" si="28"/>
        <v/>
      </c>
      <c r="AK6" s="95" t="str">
        <f t="shared" si="29"/>
        <v/>
      </c>
      <c r="AL6" s="95" t="str">
        <f t="shared" si="30"/>
        <v/>
      </c>
      <c r="AM6" s="95" t="str">
        <f t="shared" si="31"/>
        <v/>
      </c>
      <c r="AN6" s="95" t="str">
        <f t="shared" si="32"/>
        <v/>
      </c>
      <c r="AO6" s="95">
        <f t="shared" si="33"/>
        <v>1E-4</v>
      </c>
      <c r="AP6" s="519">
        <f t="shared" ref="AP6:AP44" si="38">IF(Sector.Agriculture,IF(G6,AP5+1,AP5),0)</f>
        <v>0</v>
      </c>
      <c r="AQ6" s="263">
        <f t="shared" ref="AQ6:AQ44" si="39">IF(Sector.Commercial,IF(H6,AQ5+1,AQ5),0)</f>
        <v>0</v>
      </c>
      <c r="AR6" s="263">
        <f t="shared" ref="AR6:AR44" si="40">IF(Sector.Industry,IF(I6,AR5+1,AR5),0)</f>
        <v>0</v>
      </c>
      <c r="AS6" s="263">
        <f t="shared" ref="AS6:AS44" si="41">IF(Sector.Transport,IF(J6,AS5+1,AS5),0)</f>
        <v>0</v>
      </c>
      <c r="AT6" s="263">
        <f t="shared" ref="AT6:AT44" si="42">IF(Sector.Residential,IF(K6,AT5+1,AT5),0)</f>
        <v>0</v>
      </c>
      <c r="AU6" s="263">
        <f t="shared" ref="AU6:AU44" si="43">IF(Sector.Power,IF(L6,AU5+1,AU5),0)</f>
        <v>1</v>
      </c>
      <c r="AV6" s="520">
        <f t="shared" ref="AV6:AV44" si="44">IF(Sector.Supply,IF(M6,AV5+1,AV5),0)</f>
        <v>1</v>
      </c>
      <c r="AW6" s="93">
        <f t="shared" ref="AW6:AW44" si="45">AW5+1</f>
        <v>2</v>
      </c>
      <c r="AX6" s="93" t="str">
        <f t="shared" si="34"/>
        <v>BIE</v>
      </c>
      <c r="AY6" s="93">
        <v>0</v>
      </c>
      <c r="AZ6" s="93">
        <v>0</v>
      </c>
      <c r="BA6" s="93">
        <v>0</v>
      </c>
      <c r="BB6" s="93">
        <v>0</v>
      </c>
      <c r="BC6" s="93">
        <v>0</v>
      </c>
      <c r="BD6" s="93">
        <v>0</v>
      </c>
      <c r="BE6" s="93">
        <v>0</v>
      </c>
      <c r="BF6" s="93">
        <v>0</v>
      </c>
      <c r="BG6" s="93">
        <v>0</v>
      </c>
      <c r="BH6" s="93">
        <v>0</v>
      </c>
      <c r="BI6" s="93">
        <v>0</v>
      </c>
      <c r="BJ6" s="93">
        <v>0</v>
      </c>
      <c r="BK6" s="93">
        <v>0</v>
      </c>
      <c r="BL6" s="93">
        <v>0</v>
      </c>
      <c r="BM6" s="93">
        <v>0</v>
      </c>
      <c r="BN6" s="93">
        <v>0</v>
      </c>
      <c r="BO6" s="93">
        <f t="shared" si="35"/>
        <v>41</v>
      </c>
      <c r="BP6" s="93">
        <f t="shared" ref="BP6:BP44" si="46">MAX(BR6:CG6)</f>
        <v>0</v>
      </c>
      <c r="BR6" s="93">
        <f t="shared" ref="BR6:BR44" si="47">IF(AY6=0,BQ6,BQ6+1)</f>
        <v>0</v>
      </c>
      <c r="BS6" s="93">
        <f t="shared" ref="BS6:BS44" si="48">IF(AZ6=0,BR6,BR6+1)</f>
        <v>0</v>
      </c>
      <c r="BT6" s="93">
        <f t="shared" ref="BT6:BT44" si="49">IF(BA6=0,BS6,BS6+1)</f>
        <v>0</v>
      </c>
      <c r="BU6" s="93">
        <f t="shared" ref="BU6:BU44" si="50">IF(BB6=0,BT6,BT6+1)</f>
        <v>0</v>
      </c>
      <c r="BV6" s="93">
        <f t="shared" ref="BV6:BV44" si="51">IF(BC6=0,BU6,BU6+1)</f>
        <v>0</v>
      </c>
      <c r="BW6" s="93">
        <f t="shared" ref="BW6:BW44" si="52">IF(BD6=0,BV6,BV6+1)</f>
        <v>0</v>
      </c>
      <c r="BX6" s="93">
        <f t="shared" ref="BX6:BX44" si="53">IF(BE6=0,BW6,BW6+1)</f>
        <v>0</v>
      </c>
      <c r="BY6" s="93">
        <f t="shared" ref="BY6:BY44" si="54">IF(BF6=0,BX6,BX6+1)</f>
        <v>0</v>
      </c>
      <c r="BZ6" s="93">
        <f t="shared" ref="BZ6:BZ44" si="55">IF(BG6=0,BY6,BY6+1)</f>
        <v>0</v>
      </c>
      <c r="CA6" s="93">
        <f t="shared" ref="CA6:CA44" si="56">IF(BH6=0,BZ6,BZ6+1)</f>
        <v>0</v>
      </c>
      <c r="CB6" s="93">
        <f t="shared" ref="CB6:CB44" si="57">IF(BI6=0,CA6,CA6+1)</f>
        <v>0</v>
      </c>
      <c r="CC6" s="93">
        <f t="shared" ref="CC6:CC44" si="58">IF(BJ6=0,CB6,CB6+1)</f>
        <v>0</v>
      </c>
      <c r="CD6" s="93">
        <f t="shared" ref="CD6:CD44" si="59">IF(BK6=0,CC6,CC6+1)</f>
        <v>0</v>
      </c>
      <c r="CE6" s="93">
        <f t="shared" ref="CE6:CE44" si="60">IF(BL6=0,CD6,CD6+1)</f>
        <v>0</v>
      </c>
      <c r="CF6" s="93">
        <f t="shared" ref="CF6:CF44" si="61">IF(BM6=0,CE6,CE6+1)</f>
        <v>0</v>
      </c>
      <c r="CG6" s="93">
        <f t="shared" ref="CG6:CG44" si="62">IF(BN6=0,CF6,CF6+1)</f>
        <v>0</v>
      </c>
      <c r="CH6" s="93" t="str">
        <f>IFERROR(HLOOKUP(CH$4,$BR6:$CG$46,$BO6,FALSE),"")</f>
        <v/>
      </c>
      <c r="CI6" s="93" t="str">
        <f>IFERROR(HLOOKUP(CI$4,$BR6:$CG$46,$BO6,FALSE),"")</f>
        <v/>
      </c>
      <c r="CJ6" s="93" t="str">
        <f>IFERROR(HLOOKUP(CJ$4,$BR6:$CG$46,$BO6,FALSE),"")</f>
        <v/>
      </c>
      <c r="CK6" s="93" t="str">
        <f>IFERROR(HLOOKUP(CK$4,$BR6:$CG$46,$BO6,FALSE),"")</f>
        <v/>
      </c>
      <c r="CL6" s="93" t="str">
        <f>IFERROR(HLOOKUP(CL$4,$BR6:$CG$46,$BO6,FALSE),"")</f>
        <v/>
      </c>
      <c r="CM6" s="93" t="str">
        <f>IFERROR(HLOOKUP(CM$4,$BR6:$CG$46,$BO6,FALSE),"")</f>
        <v/>
      </c>
      <c r="CN6" s="93" t="str">
        <f>IFERROR(HLOOKUP(CN$4,$BR6:$CG$46,$BO6,FALSE),"")</f>
        <v/>
      </c>
      <c r="CO6" s="93" t="str">
        <f>IFERROR(HLOOKUP(CO$4,$BR6:$CG$46,$BO6,FALSE),"")</f>
        <v/>
      </c>
      <c r="CP6" s="93" t="str">
        <f>IFERROR(HLOOKUP(CP$4,$BR6:$CG$46,$BO6,FALSE),"")</f>
        <v/>
      </c>
      <c r="CQ6" s="93" t="str">
        <f>IFERROR(HLOOKUP(CQ$4,$BR6:$CG$46,$BO6,FALSE),"")</f>
        <v/>
      </c>
    </row>
    <row r="7" spans="1:95">
      <c r="A7" s="93">
        <f t="shared" si="36"/>
        <v>3</v>
      </c>
      <c r="B7" s="391" t="s">
        <v>951</v>
      </c>
      <c r="C7" s="391" t="s">
        <v>952</v>
      </c>
      <c r="D7" s="390" t="str">
        <f t="shared" si="6"/>
        <v>Biodiesel</v>
      </c>
      <c r="M7" s="95">
        <v>1</v>
      </c>
      <c r="N7" s="95" t="str">
        <f t="shared" si="37"/>
        <v/>
      </c>
      <c r="O7" s="95" t="str">
        <f t="shared" si="7"/>
        <v/>
      </c>
      <c r="P7" s="95" t="str">
        <f t="shared" si="8"/>
        <v/>
      </c>
      <c r="Q7" s="95" t="str">
        <f t="shared" si="9"/>
        <v/>
      </c>
      <c r="R7" s="95" t="str">
        <f t="shared" si="10"/>
        <v/>
      </c>
      <c r="S7" s="95" t="str">
        <f t="shared" si="11"/>
        <v/>
      </c>
      <c r="T7" s="95">
        <f t="shared" si="12"/>
        <v>1</v>
      </c>
      <c r="U7" s="95" t="str">
        <f t="shared" si="13"/>
        <v/>
      </c>
      <c r="V7" s="95" t="str">
        <f t="shared" si="14"/>
        <v/>
      </c>
      <c r="W7" s="95" t="str">
        <f t="shared" si="15"/>
        <v/>
      </c>
      <c r="X7" s="95" t="str">
        <f t="shared" si="16"/>
        <v/>
      </c>
      <c r="Y7" s="95" t="str">
        <f t="shared" si="17"/>
        <v/>
      </c>
      <c r="Z7" s="95" t="str">
        <f t="shared" si="18"/>
        <v/>
      </c>
      <c r="AA7" s="95">
        <f t="shared" si="19"/>
        <v>1.0000000000000001E-5</v>
      </c>
      <c r="AB7" s="95" t="str">
        <f t="shared" si="20"/>
        <v/>
      </c>
      <c r="AC7" s="95" t="str">
        <f t="shared" si="21"/>
        <v/>
      </c>
      <c r="AD7" s="95" t="str">
        <f t="shared" si="22"/>
        <v/>
      </c>
      <c r="AE7" s="95" t="str">
        <f t="shared" si="23"/>
        <v/>
      </c>
      <c r="AF7" s="95" t="str">
        <f t="shared" si="24"/>
        <v/>
      </c>
      <c r="AG7" s="95" t="str">
        <f t="shared" si="25"/>
        <v/>
      </c>
      <c r="AH7" s="95">
        <f t="shared" si="26"/>
        <v>60</v>
      </c>
      <c r="AI7" s="95" t="str">
        <f t="shared" si="27"/>
        <v/>
      </c>
      <c r="AJ7" s="95" t="str">
        <f t="shared" si="28"/>
        <v/>
      </c>
      <c r="AK7" s="95" t="str">
        <f t="shared" si="29"/>
        <v/>
      </c>
      <c r="AL7" s="95" t="str">
        <f t="shared" si="30"/>
        <v/>
      </c>
      <c r="AM7" s="95" t="str">
        <f t="shared" si="31"/>
        <v/>
      </c>
      <c r="AN7" s="95" t="str">
        <f t="shared" si="32"/>
        <v/>
      </c>
      <c r="AO7" s="95">
        <f t="shared" si="33"/>
        <v>1E-4</v>
      </c>
      <c r="AP7" s="519">
        <f t="shared" si="38"/>
        <v>0</v>
      </c>
      <c r="AQ7" s="263">
        <f t="shared" si="39"/>
        <v>0</v>
      </c>
      <c r="AR7" s="263">
        <f t="shared" si="40"/>
        <v>0</v>
      </c>
      <c r="AS7" s="263">
        <f t="shared" si="41"/>
        <v>0</v>
      </c>
      <c r="AT7" s="263">
        <f t="shared" si="42"/>
        <v>0</v>
      </c>
      <c r="AU7" s="263">
        <f t="shared" si="43"/>
        <v>1</v>
      </c>
      <c r="AV7" s="520">
        <f t="shared" si="44"/>
        <v>2</v>
      </c>
      <c r="AW7" s="93">
        <f t="shared" si="45"/>
        <v>3</v>
      </c>
      <c r="AX7" s="93" t="str">
        <f t="shared" si="34"/>
        <v>BID</v>
      </c>
      <c r="AY7" s="93">
        <v>0</v>
      </c>
      <c r="AZ7" s="93">
        <v>0</v>
      </c>
      <c r="BA7" s="93">
        <v>0</v>
      </c>
      <c r="BB7" s="93">
        <v>0</v>
      </c>
      <c r="BC7" s="93">
        <v>0</v>
      </c>
      <c r="BD7" s="93">
        <v>0</v>
      </c>
      <c r="BE7" s="93">
        <v>0</v>
      </c>
      <c r="BF7" s="93">
        <v>0</v>
      </c>
      <c r="BG7" s="93">
        <v>0</v>
      </c>
      <c r="BH7" s="93">
        <v>0</v>
      </c>
      <c r="BI7" s="93">
        <v>0</v>
      </c>
      <c r="BJ7" s="93">
        <v>0</v>
      </c>
      <c r="BK7" s="93">
        <v>0</v>
      </c>
      <c r="BL7" s="93">
        <v>0</v>
      </c>
      <c r="BM7" s="93">
        <v>0</v>
      </c>
      <c r="BN7" s="93">
        <v>0</v>
      </c>
      <c r="BO7" s="93">
        <f t="shared" si="35"/>
        <v>40</v>
      </c>
      <c r="BP7" s="93">
        <f t="shared" si="46"/>
        <v>0</v>
      </c>
      <c r="BR7" s="93">
        <f t="shared" si="47"/>
        <v>0</v>
      </c>
      <c r="BS7" s="93">
        <f t="shared" si="48"/>
        <v>0</v>
      </c>
      <c r="BT7" s="93">
        <f t="shared" si="49"/>
        <v>0</v>
      </c>
      <c r="BU7" s="93">
        <f t="shared" si="50"/>
        <v>0</v>
      </c>
      <c r="BV7" s="93">
        <f t="shared" si="51"/>
        <v>0</v>
      </c>
      <c r="BW7" s="93">
        <f t="shared" si="52"/>
        <v>0</v>
      </c>
      <c r="BX7" s="93">
        <f t="shared" si="53"/>
        <v>0</v>
      </c>
      <c r="BY7" s="93">
        <f t="shared" si="54"/>
        <v>0</v>
      </c>
      <c r="BZ7" s="93">
        <f t="shared" si="55"/>
        <v>0</v>
      </c>
      <c r="CA7" s="93">
        <f t="shared" si="56"/>
        <v>0</v>
      </c>
      <c r="CB7" s="93">
        <f t="shared" si="57"/>
        <v>0</v>
      </c>
      <c r="CC7" s="93">
        <f t="shared" si="58"/>
        <v>0</v>
      </c>
      <c r="CD7" s="93">
        <f t="shared" si="59"/>
        <v>0</v>
      </c>
      <c r="CE7" s="93">
        <f t="shared" si="60"/>
        <v>0</v>
      </c>
      <c r="CF7" s="93">
        <f t="shared" si="61"/>
        <v>0</v>
      </c>
      <c r="CG7" s="93">
        <f t="shared" si="62"/>
        <v>0</v>
      </c>
      <c r="CH7" s="93" t="str">
        <f>IFERROR(HLOOKUP(CH$4,$BR7:$CG$46,$BO7,FALSE),"")</f>
        <v/>
      </c>
      <c r="CI7" s="93" t="str">
        <f>IFERROR(HLOOKUP(CI$4,$BR7:$CG$46,$BO7,FALSE),"")</f>
        <v/>
      </c>
      <c r="CJ7" s="93" t="str">
        <f>IFERROR(HLOOKUP(CJ$4,$BR7:$CG$46,$BO7,FALSE),"")</f>
        <v/>
      </c>
      <c r="CK7" s="93" t="str">
        <f>IFERROR(HLOOKUP(CK$4,$BR7:$CG$46,$BO7,FALSE),"")</f>
        <v/>
      </c>
      <c r="CL7" s="93" t="str">
        <f>IFERROR(HLOOKUP(CL$4,$BR7:$CG$46,$BO7,FALSE),"")</f>
        <v/>
      </c>
      <c r="CM7" s="93" t="str">
        <f>IFERROR(HLOOKUP(CM$4,$BR7:$CG$46,$BO7,FALSE),"")</f>
        <v/>
      </c>
      <c r="CN7" s="93" t="str">
        <f>IFERROR(HLOOKUP(CN$4,$BR7:$CG$46,$BO7,FALSE),"")</f>
        <v/>
      </c>
      <c r="CO7" s="93" t="str">
        <f>IFERROR(HLOOKUP(CO$4,$BR7:$CG$46,$BO7,FALSE),"")</f>
        <v/>
      </c>
      <c r="CP7" s="93" t="str">
        <f>IFERROR(HLOOKUP(CP$4,$BR7:$CG$46,$BO7,FALSE),"")</f>
        <v/>
      </c>
      <c r="CQ7" s="93" t="str">
        <f>IFERROR(HLOOKUP(CQ$4,$BR7:$CG$46,$BO7,FALSE),"")</f>
        <v/>
      </c>
    </row>
    <row r="8" spans="1:95">
      <c r="A8" s="93">
        <f t="shared" si="36"/>
        <v>4</v>
      </c>
      <c r="B8" s="391" t="s">
        <v>539</v>
      </c>
      <c r="C8" s="391" t="s">
        <v>540</v>
      </c>
      <c r="D8" s="390" t="str">
        <f t="shared" si="6"/>
        <v>Biomass bagasse</v>
      </c>
      <c r="I8" s="95">
        <v>1</v>
      </c>
      <c r="L8" s="95">
        <v>1</v>
      </c>
      <c r="N8" s="95" t="str">
        <f t="shared" si="37"/>
        <v/>
      </c>
      <c r="O8" s="95" t="str">
        <f t="shared" si="7"/>
        <v/>
      </c>
      <c r="P8" s="95">
        <f t="shared" si="8"/>
        <v>1</v>
      </c>
      <c r="Q8" s="95" t="str">
        <f t="shared" si="9"/>
        <v/>
      </c>
      <c r="R8" s="95" t="str">
        <f t="shared" si="10"/>
        <v/>
      </c>
      <c r="S8" s="95">
        <f t="shared" si="11"/>
        <v>1</v>
      </c>
      <c r="T8" s="95" t="str">
        <f t="shared" si="12"/>
        <v/>
      </c>
      <c r="U8" s="95" t="str">
        <f t="shared" si="13"/>
        <v/>
      </c>
      <c r="V8" s="95" t="str">
        <f t="shared" si="14"/>
        <v/>
      </c>
      <c r="W8" s="95">
        <f t="shared" si="15"/>
        <v>1.0000000000000001E-5</v>
      </c>
      <c r="X8" s="95" t="str">
        <f t="shared" si="16"/>
        <v/>
      </c>
      <c r="Y8" s="95" t="str">
        <f t="shared" si="17"/>
        <v/>
      </c>
      <c r="Z8" s="95">
        <f t="shared" si="18"/>
        <v>1.0000000000000001E-5</v>
      </c>
      <c r="AA8" s="95" t="str">
        <f t="shared" si="19"/>
        <v/>
      </c>
      <c r="AB8" s="95" t="str">
        <f t="shared" si="20"/>
        <v/>
      </c>
      <c r="AC8" s="95" t="str">
        <f t="shared" si="21"/>
        <v/>
      </c>
      <c r="AD8" s="95">
        <f t="shared" si="22"/>
        <v>60</v>
      </c>
      <c r="AE8" s="95" t="str">
        <f t="shared" si="23"/>
        <v/>
      </c>
      <c r="AF8" s="95" t="str">
        <f t="shared" si="24"/>
        <v/>
      </c>
      <c r="AG8" s="95">
        <f t="shared" si="25"/>
        <v>60</v>
      </c>
      <c r="AH8" s="95" t="str">
        <f t="shared" si="26"/>
        <v/>
      </c>
      <c r="AI8" s="95" t="str">
        <f t="shared" si="27"/>
        <v/>
      </c>
      <c r="AJ8" s="95" t="str">
        <f t="shared" si="28"/>
        <v/>
      </c>
      <c r="AK8" s="95">
        <f t="shared" si="29"/>
        <v>1E-4</v>
      </c>
      <c r="AL8" s="95" t="str">
        <f t="shared" si="30"/>
        <v/>
      </c>
      <c r="AM8" s="95" t="str">
        <f t="shared" si="31"/>
        <v/>
      </c>
      <c r="AN8" s="95">
        <f t="shared" si="32"/>
        <v>1E-4</v>
      </c>
      <c r="AO8" s="95" t="str">
        <f t="shared" si="33"/>
        <v/>
      </c>
      <c r="AP8" s="519">
        <f t="shared" si="38"/>
        <v>0</v>
      </c>
      <c r="AQ8" s="263">
        <f t="shared" si="39"/>
        <v>0</v>
      </c>
      <c r="AR8" s="263">
        <f t="shared" si="40"/>
        <v>1</v>
      </c>
      <c r="AS8" s="263">
        <f t="shared" si="41"/>
        <v>0</v>
      </c>
      <c r="AT8" s="263">
        <f t="shared" si="42"/>
        <v>0</v>
      </c>
      <c r="AU8" s="263">
        <f t="shared" si="43"/>
        <v>2</v>
      </c>
      <c r="AV8" s="520">
        <f t="shared" si="44"/>
        <v>2</v>
      </c>
      <c r="AW8" s="93">
        <f t="shared" si="45"/>
        <v>4</v>
      </c>
      <c r="AX8" s="93" t="str">
        <f t="shared" si="34"/>
        <v>BIB</v>
      </c>
      <c r="AY8" s="93">
        <v>0</v>
      </c>
      <c r="AZ8" s="93">
        <v>0</v>
      </c>
      <c r="BA8" s="93">
        <v>0</v>
      </c>
      <c r="BB8" s="93">
        <v>0</v>
      </c>
      <c r="BC8" s="93">
        <v>0</v>
      </c>
      <c r="BD8" s="93">
        <v>0</v>
      </c>
      <c r="BE8" s="93">
        <v>0</v>
      </c>
      <c r="BF8" s="93">
        <v>0</v>
      </c>
      <c r="BG8" s="93">
        <v>0</v>
      </c>
      <c r="BH8" s="93">
        <v>0</v>
      </c>
      <c r="BI8" s="93">
        <v>0</v>
      </c>
      <c r="BJ8" s="93">
        <v>0</v>
      </c>
      <c r="BK8" s="93">
        <v>0</v>
      </c>
      <c r="BL8" s="93">
        <v>0</v>
      </c>
      <c r="BM8" s="93">
        <v>0</v>
      </c>
      <c r="BN8" s="93">
        <v>0</v>
      </c>
      <c r="BO8" s="93">
        <f t="shared" si="35"/>
        <v>39</v>
      </c>
      <c r="BP8" s="93">
        <f t="shared" si="46"/>
        <v>0</v>
      </c>
      <c r="BR8" s="93">
        <f t="shared" si="47"/>
        <v>0</v>
      </c>
      <c r="BS8" s="93">
        <f t="shared" si="48"/>
        <v>0</v>
      </c>
      <c r="BT8" s="93">
        <f t="shared" si="49"/>
        <v>0</v>
      </c>
      <c r="BU8" s="93">
        <f t="shared" si="50"/>
        <v>0</v>
      </c>
      <c r="BV8" s="93">
        <f t="shared" si="51"/>
        <v>0</v>
      </c>
      <c r="BW8" s="93">
        <f t="shared" si="52"/>
        <v>0</v>
      </c>
      <c r="BX8" s="93">
        <f t="shared" si="53"/>
        <v>0</v>
      </c>
      <c r="BY8" s="93">
        <f t="shared" si="54"/>
        <v>0</v>
      </c>
      <c r="BZ8" s="93">
        <f t="shared" si="55"/>
        <v>0</v>
      </c>
      <c r="CA8" s="93">
        <f t="shared" si="56"/>
        <v>0</v>
      </c>
      <c r="CB8" s="93">
        <f t="shared" si="57"/>
        <v>0</v>
      </c>
      <c r="CC8" s="93">
        <f t="shared" si="58"/>
        <v>0</v>
      </c>
      <c r="CD8" s="93">
        <f t="shared" si="59"/>
        <v>0</v>
      </c>
      <c r="CE8" s="93">
        <f t="shared" si="60"/>
        <v>0</v>
      </c>
      <c r="CF8" s="93">
        <f t="shared" si="61"/>
        <v>0</v>
      </c>
      <c r="CG8" s="93">
        <f t="shared" si="62"/>
        <v>0</v>
      </c>
      <c r="CH8" s="93" t="str">
        <f>IFERROR(HLOOKUP(CH$4,$BR8:$CG$46,$BO8,FALSE),"")</f>
        <v/>
      </c>
      <c r="CI8" s="93" t="str">
        <f>IFERROR(HLOOKUP(CI$4,$BR8:$CG$46,$BO8,FALSE),"")</f>
        <v/>
      </c>
      <c r="CJ8" s="93" t="str">
        <f>IFERROR(HLOOKUP(CJ$4,$BR8:$CG$46,$BO8,FALSE),"")</f>
        <v/>
      </c>
      <c r="CK8" s="93" t="str">
        <f>IFERROR(HLOOKUP(CK$4,$BR8:$CG$46,$BO8,FALSE),"")</f>
        <v/>
      </c>
      <c r="CL8" s="93" t="str">
        <f>IFERROR(HLOOKUP(CL$4,$BR8:$CG$46,$BO8,FALSE),"")</f>
        <v/>
      </c>
      <c r="CM8" s="93" t="str">
        <f>IFERROR(HLOOKUP(CM$4,$BR8:$CG$46,$BO8,FALSE),"")</f>
        <v/>
      </c>
      <c r="CN8" s="93" t="str">
        <f>IFERROR(HLOOKUP(CN$4,$BR8:$CG$46,$BO8,FALSE),"")</f>
        <v/>
      </c>
      <c r="CO8" s="93" t="str">
        <f>IFERROR(HLOOKUP(CO$4,$BR8:$CG$46,$BO8,FALSE),"")</f>
        <v/>
      </c>
      <c r="CP8" s="93" t="str">
        <f>IFERROR(HLOOKUP(CP$4,$BR8:$CG$46,$BO8,FALSE),"")</f>
        <v/>
      </c>
      <c r="CQ8" s="93" t="str">
        <f>IFERROR(HLOOKUP(CQ$4,$BR8:$CG$46,$BO8,FALSE),"")</f>
        <v/>
      </c>
    </row>
    <row r="9" spans="1:95">
      <c r="A9" s="93">
        <f t="shared" si="36"/>
        <v>5</v>
      </c>
      <c r="B9" s="390" t="s">
        <v>552</v>
      </c>
      <c r="C9" s="391" t="s">
        <v>364</v>
      </c>
      <c r="D9" s="390" t="str">
        <f t="shared" si="6"/>
        <v>Biomass Other</v>
      </c>
      <c r="L9" s="95">
        <v>1</v>
      </c>
      <c r="N9" s="95" t="str">
        <f t="shared" si="37"/>
        <v/>
      </c>
      <c r="O9" s="95" t="str">
        <f t="shared" si="7"/>
        <v/>
      </c>
      <c r="P9" s="95" t="str">
        <f t="shared" si="8"/>
        <v/>
      </c>
      <c r="Q9" s="95" t="str">
        <f t="shared" si="9"/>
        <v/>
      </c>
      <c r="R9" s="95" t="str">
        <f t="shared" si="10"/>
        <v/>
      </c>
      <c r="S9" s="95">
        <f t="shared" si="11"/>
        <v>1</v>
      </c>
      <c r="T9" s="95" t="str">
        <f t="shared" si="12"/>
        <v/>
      </c>
      <c r="U9" s="95" t="str">
        <f t="shared" si="13"/>
        <v/>
      </c>
      <c r="V9" s="95" t="str">
        <f t="shared" si="14"/>
        <v/>
      </c>
      <c r="W9" s="95" t="str">
        <f t="shared" si="15"/>
        <v/>
      </c>
      <c r="X9" s="95" t="str">
        <f t="shared" si="16"/>
        <v/>
      </c>
      <c r="Y9" s="95" t="str">
        <f t="shared" si="17"/>
        <v/>
      </c>
      <c r="Z9" s="95">
        <f t="shared" si="18"/>
        <v>1.0000000000000001E-5</v>
      </c>
      <c r="AA9" s="95" t="str">
        <f t="shared" si="19"/>
        <v/>
      </c>
      <c r="AB9" s="95" t="str">
        <f t="shared" si="20"/>
        <v/>
      </c>
      <c r="AC9" s="95" t="str">
        <f t="shared" si="21"/>
        <v/>
      </c>
      <c r="AD9" s="95" t="str">
        <f t="shared" si="22"/>
        <v/>
      </c>
      <c r="AE9" s="95" t="str">
        <f t="shared" si="23"/>
        <v/>
      </c>
      <c r="AF9" s="95" t="str">
        <f t="shared" si="24"/>
        <v/>
      </c>
      <c r="AG9" s="95">
        <f t="shared" si="25"/>
        <v>60</v>
      </c>
      <c r="AH9" s="95" t="str">
        <f t="shared" si="26"/>
        <v/>
      </c>
      <c r="AI9" s="95" t="str">
        <f t="shared" si="27"/>
        <v/>
      </c>
      <c r="AJ9" s="95" t="str">
        <f t="shared" si="28"/>
        <v/>
      </c>
      <c r="AK9" s="95" t="str">
        <f t="shared" si="29"/>
        <v/>
      </c>
      <c r="AL9" s="95" t="str">
        <f t="shared" si="30"/>
        <v/>
      </c>
      <c r="AM9" s="95" t="str">
        <f t="shared" si="31"/>
        <v/>
      </c>
      <c r="AN9" s="95">
        <f t="shared" si="32"/>
        <v>1E-4</v>
      </c>
      <c r="AO9" s="95" t="str">
        <f t="shared" si="33"/>
        <v/>
      </c>
      <c r="AP9" s="519">
        <f t="shared" si="38"/>
        <v>0</v>
      </c>
      <c r="AQ9" s="263">
        <f t="shared" si="39"/>
        <v>0</v>
      </c>
      <c r="AR9" s="263">
        <f t="shared" si="40"/>
        <v>1</v>
      </c>
      <c r="AS9" s="263">
        <f t="shared" si="41"/>
        <v>0</v>
      </c>
      <c r="AT9" s="263">
        <f t="shared" si="42"/>
        <v>0</v>
      </c>
      <c r="AU9" s="263">
        <f t="shared" si="43"/>
        <v>3</v>
      </c>
      <c r="AV9" s="520">
        <f t="shared" si="44"/>
        <v>2</v>
      </c>
      <c r="AW9" s="93">
        <f t="shared" si="45"/>
        <v>5</v>
      </c>
      <c r="AX9" s="93" t="str">
        <f t="shared" si="34"/>
        <v>BIO</v>
      </c>
      <c r="AY9" s="93">
        <v>0</v>
      </c>
      <c r="AZ9" s="93">
        <v>0</v>
      </c>
      <c r="BA9" s="93">
        <v>0</v>
      </c>
      <c r="BB9" s="93">
        <v>0</v>
      </c>
      <c r="BC9" s="93">
        <v>0</v>
      </c>
      <c r="BD9" s="93">
        <v>0</v>
      </c>
      <c r="BE9" s="93">
        <v>0</v>
      </c>
      <c r="BF9" s="93">
        <v>0</v>
      </c>
      <c r="BG9" s="93">
        <v>0</v>
      </c>
      <c r="BH9" s="93">
        <v>0</v>
      </c>
      <c r="BI9" s="93">
        <v>0</v>
      </c>
      <c r="BJ9" s="93">
        <v>0</v>
      </c>
      <c r="BK9" s="93">
        <v>0</v>
      </c>
      <c r="BL9" s="93">
        <v>0</v>
      </c>
      <c r="BM9" s="93">
        <v>0</v>
      </c>
      <c r="BN9" s="93">
        <v>0</v>
      </c>
      <c r="BO9" s="93">
        <f t="shared" si="35"/>
        <v>38</v>
      </c>
      <c r="BP9" s="93">
        <f t="shared" si="46"/>
        <v>0</v>
      </c>
      <c r="BR9" s="93">
        <f t="shared" si="47"/>
        <v>0</v>
      </c>
      <c r="BS9" s="93">
        <f t="shared" si="48"/>
        <v>0</v>
      </c>
      <c r="BT9" s="93">
        <f t="shared" si="49"/>
        <v>0</v>
      </c>
      <c r="BU9" s="93">
        <f t="shared" si="50"/>
        <v>0</v>
      </c>
      <c r="BV9" s="93">
        <f t="shared" si="51"/>
        <v>0</v>
      </c>
      <c r="BW9" s="93">
        <f t="shared" si="52"/>
        <v>0</v>
      </c>
      <c r="BX9" s="93">
        <f t="shared" si="53"/>
        <v>0</v>
      </c>
      <c r="BY9" s="93">
        <f t="shared" si="54"/>
        <v>0</v>
      </c>
      <c r="BZ9" s="93">
        <f t="shared" si="55"/>
        <v>0</v>
      </c>
      <c r="CA9" s="93">
        <f t="shared" si="56"/>
        <v>0</v>
      </c>
      <c r="CB9" s="93">
        <f t="shared" si="57"/>
        <v>0</v>
      </c>
      <c r="CC9" s="93">
        <f t="shared" si="58"/>
        <v>0</v>
      </c>
      <c r="CD9" s="93">
        <f t="shared" si="59"/>
        <v>0</v>
      </c>
      <c r="CE9" s="93">
        <f t="shared" si="60"/>
        <v>0</v>
      </c>
      <c r="CF9" s="93">
        <f t="shared" si="61"/>
        <v>0</v>
      </c>
      <c r="CG9" s="93">
        <f t="shared" si="62"/>
        <v>0</v>
      </c>
      <c r="CH9" s="93" t="str">
        <f>IFERROR(HLOOKUP(CH$4,$BR9:$CG$46,$BO9,FALSE),"")</f>
        <v/>
      </c>
      <c r="CI9" s="93" t="str">
        <f>IFERROR(HLOOKUP(CI$4,$BR9:$CG$46,$BO9,FALSE),"")</f>
        <v/>
      </c>
      <c r="CJ9" s="93" t="str">
        <f>IFERROR(HLOOKUP(CJ$4,$BR9:$CG$46,$BO9,FALSE),"")</f>
        <v/>
      </c>
      <c r="CK9" s="93" t="str">
        <f>IFERROR(HLOOKUP(CK$4,$BR9:$CG$46,$BO9,FALSE),"")</f>
        <v/>
      </c>
      <c r="CL9" s="93" t="str">
        <f>IFERROR(HLOOKUP(CL$4,$BR9:$CG$46,$BO9,FALSE),"")</f>
        <v/>
      </c>
      <c r="CM9" s="93" t="str">
        <f>IFERROR(HLOOKUP(CM$4,$BR9:$CG$46,$BO9,FALSE),"")</f>
        <v/>
      </c>
      <c r="CN9" s="93" t="str">
        <f>IFERROR(HLOOKUP(CN$4,$BR9:$CG$46,$BO9,FALSE),"")</f>
        <v/>
      </c>
      <c r="CO9" s="93" t="str">
        <f>IFERROR(HLOOKUP(CO$4,$BR9:$CG$46,$BO9,FALSE),"")</f>
        <v/>
      </c>
      <c r="CP9" s="93" t="str">
        <f>IFERROR(HLOOKUP(CP$4,$BR9:$CG$46,$BO9,FALSE),"")</f>
        <v/>
      </c>
      <c r="CQ9" s="93" t="str">
        <f>IFERROR(HLOOKUP(CQ$4,$BR9:$CG$46,$BO9,FALSE),"")</f>
        <v/>
      </c>
    </row>
    <row r="10" spans="1:95">
      <c r="A10" s="93">
        <f t="shared" si="36"/>
        <v>6</v>
      </c>
      <c r="B10" s="390" t="s">
        <v>545</v>
      </c>
      <c r="C10" s="390" t="s">
        <v>541</v>
      </c>
      <c r="D10" s="390" t="str">
        <f t="shared" si="6"/>
        <v>Biomass Wood</v>
      </c>
      <c r="I10" s="95">
        <v>1</v>
      </c>
      <c r="K10" s="95">
        <v>1</v>
      </c>
      <c r="L10" s="95">
        <v>1</v>
      </c>
      <c r="N10" s="95" t="str">
        <f t="shared" si="37"/>
        <v/>
      </c>
      <c r="O10" s="95" t="str">
        <f t="shared" si="7"/>
        <v/>
      </c>
      <c r="P10" s="95">
        <f t="shared" si="8"/>
        <v>1</v>
      </c>
      <c r="Q10" s="95" t="str">
        <f t="shared" si="9"/>
        <v/>
      </c>
      <c r="R10" s="95">
        <f t="shared" si="10"/>
        <v>1</v>
      </c>
      <c r="S10" s="95">
        <f t="shared" si="11"/>
        <v>1</v>
      </c>
      <c r="T10" s="95" t="str">
        <f t="shared" si="12"/>
        <v/>
      </c>
      <c r="U10" s="95" t="str">
        <f t="shared" si="13"/>
        <v/>
      </c>
      <c r="V10" s="95" t="str">
        <f t="shared" si="14"/>
        <v/>
      </c>
      <c r="W10" s="95">
        <f t="shared" si="15"/>
        <v>1.0000000000000001E-5</v>
      </c>
      <c r="X10" s="95" t="str">
        <f t="shared" si="16"/>
        <v/>
      </c>
      <c r="Y10" s="95">
        <f t="shared" si="17"/>
        <v>1.0000000000000001E-5</v>
      </c>
      <c r="Z10" s="95">
        <f t="shared" si="18"/>
        <v>1.0000000000000001E-5</v>
      </c>
      <c r="AA10" s="95" t="str">
        <f t="shared" si="19"/>
        <v/>
      </c>
      <c r="AB10" s="95" t="str">
        <f t="shared" si="20"/>
        <v/>
      </c>
      <c r="AC10" s="95" t="str">
        <f t="shared" si="21"/>
        <v/>
      </c>
      <c r="AD10" s="95">
        <f t="shared" si="22"/>
        <v>60</v>
      </c>
      <c r="AE10" s="95" t="str">
        <f t="shared" si="23"/>
        <v/>
      </c>
      <c r="AF10" s="95">
        <f t="shared" si="24"/>
        <v>60</v>
      </c>
      <c r="AG10" s="95">
        <f t="shared" si="25"/>
        <v>60</v>
      </c>
      <c r="AH10" s="95" t="str">
        <f t="shared" si="26"/>
        <v/>
      </c>
      <c r="AI10" s="95" t="str">
        <f t="shared" si="27"/>
        <v/>
      </c>
      <c r="AJ10" s="95" t="str">
        <f t="shared" si="28"/>
        <v/>
      </c>
      <c r="AK10" s="95">
        <f t="shared" si="29"/>
        <v>1E-4</v>
      </c>
      <c r="AL10" s="95" t="str">
        <f t="shared" si="30"/>
        <v/>
      </c>
      <c r="AM10" s="95">
        <f t="shared" si="31"/>
        <v>1E-4</v>
      </c>
      <c r="AN10" s="95">
        <f t="shared" si="32"/>
        <v>1E-4</v>
      </c>
      <c r="AO10" s="95" t="str">
        <f t="shared" si="33"/>
        <v/>
      </c>
      <c r="AP10" s="519">
        <f t="shared" si="38"/>
        <v>0</v>
      </c>
      <c r="AQ10" s="263">
        <f t="shared" si="39"/>
        <v>0</v>
      </c>
      <c r="AR10" s="263">
        <f t="shared" si="40"/>
        <v>2</v>
      </c>
      <c r="AS10" s="263">
        <f t="shared" si="41"/>
        <v>0</v>
      </c>
      <c r="AT10" s="263">
        <f t="shared" si="42"/>
        <v>1</v>
      </c>
      <c r="AU10" s="263">
        <f t="shared" si="43"/>
        <v>4</v>
      </c>
      <c r="AV10" s="520">
        <f t="shared" si="44"/>
        <v>2</v>
      </c>
      <c r="AW10" s="93">
        <f t="shared" si="45"/>
        <v>6</v>
      </c>
      <c r="AX10" s="93" t="str">
        <f t="shared" si="34"/>
        <v>BIW</v>
      </c>
      <c r="AY10" s="93">
        <v>0</v>
      </c>
      <c r="AZ10" s="93">
        <v>0</v>
      </c>
      <c r="BA10" s="93">
        <v>0</v>
      </c>
      <c r="BB10" s="93">
        <v>0</v>
      </c>
      <c r="BC10" s="93">
        <v>0</v>
      </c>
      <c r="BD10" s="93">
        <v>0</v>
      </c>
      <c r="BE10" s="93">
        <v>0</v>
      </c>
      <c r="BF10" s="93">
        <v>0</v>
      </c>
      <c r="BG10" s="93">
        <v>0</v>
      </c>
      <c r="BH10" s="93">
        <v>0</v>
      </c>
      <c r="BI10" s="93">
        <v>0</v>
      </c>
      <c r="BJ10" s="93">
        <v>0</v>
      </c>
      <c r="BK10" s="93">
        <v>0</v>
      </c>
      <c r="BL10" s="93">
        <v>0</v>
      </c>
      <c r="BM10" s="93">
        <v>0</v>
      </c>
      <c r="BN10" s="93">
        <v>0</v>
      </c>
      <c r="BO10" s="93">
        <f t="shared" si="35"/>
        <v>37</v>
      </c>
      <c r="BP10" s="93">
        <f t="shared" si="46"/>
        <v>0</v>
      </c>
      <c r="BR10" s="93">
        <f t="shared" si="47"/>
        <v>0</v>
      </c>
      <c r="BS10" s="93">
        <f t="shared" si="48"/>
        <v>0</v>
      </c>
      <c r="BT10" s="93">
        <f t="shared" si="49"/>
        <v>0</v>
      </c>
      <c r="BU10" s="93">
        <f t="shared" si="50"/>
        <v>0</v>
      </c>
      <c r="BV10" s="93">
        <f t="shared" si="51"/>
        <v>0</v>
      </c>
      <c r="BW10" s="93">
        <f t="shared" si="52"/>
        <v>0</v>
      </c>
      <c r="BX10" s="93">
        <f t="shared" si="53"/>
        <v>0</v>
      </c>
      <c r="BY10" s="93">
        <f t="shared" si="54"/>
        <v>0</v>
      </c>
      <c r="BZ10" s="93">
        <f t="shared" si="55"/>
        <v>0</v>
      </c>
      <c r="CA10" s="93">
        <f t="shared" si="56"/>
        <v>0</v>
      </c>
      <c r="CB10" s="93">
        <f t="shared" si="57"/>
        <v>0</v>
      </c>
      <c r="CC10" s="93">
        <f t="shared" si="58"/>
        <v>0</v>
      </c>
      <c r="CD10" s="93">
        <f t="shared" si="59"/>
        <v>0</v>
      </c>
      <c r="CE10" s="93">
        <f t="shared" si="60"/>
        <v>0</v>
      </c>
      <c r="CF10" s="93">
        <f t="shared" si="61"/>
        <v>0</v>
      </c>
      <c r="CG10" s="93">
        <f t="shared" si="62"/>
        <v>0</v>
      </c>
      <c r="CH10" s="93" t="str">
        <f>IFERROR(HLOOKUP(CH$4,$BR10:$CG$46,$BO10,FALSE),"")</f>
        <v/>
      </c>
      <c r="CI10" s="93" t="str">
        <f>IFERROR(HLOOKUP(CI$4,$BR10:$CG$46,$BO10,FALSE),"")</f>
        <v/>
      </c>
      <c r="CJ10" s="93" t="str">
        <f>IFERROR(HLOOKUP(CJ$4,$BR10:$CG$46,$BO10,FALSE),"")</f>
        <v/>
      </c>
      <c r="CK10" s="93" t="str">
        <f>IFERROR(HLOOKUP(CK$4,$BR10:$CG$46,$BO10,FALSE),"")</f>
        <v/>
      </c>
      <c r="CL10" s="93" t="str">
        <f>IFERROR(HLOOKUP(CL$4,$BR10:$CG$46,$BO10,FALSE),"")</f>
        <v/>
      </c>
      <c r="CM10" s="93" t="str">
        <f>IFERROR(HLOOKUP(CM$4,$BR10:$CG$46,$BO10,FALSE),"")</f>
        <v/>
      </c>
      <c r="CN10" s="93" t="str">
        <f>IFERROR(HLOOKUP(CN$4,$BR10:$CG$46,$BO10,FALSE),"")</f>
        <v/>
      </c>
      <c r="CO10" s="93" t="str">
        <f>IFERROR(HLOOKUP(CO$4,$BR10:$CG$46,$BO10,FALSE),"")</f>
        <v/>
      </c>
      <c r="CP10" s="93" t="str">
        <f>IFERROR(HLOOKUP(CP$4,$BR10:$CG$46,$BO10,FALSE),"")</f>
        <v/>
      </c>
      <c r="CQ10" s="93" t="str">
        <f>IFERROR(HLOOKUP(CQ$4,$BR10:$CG$46,$BO10,FALSE),"")</f>
        <v/>
      </c>
    </row>
    <row r="11" spans="1:95">
      <c r="A11" s="93">
        <f t="shared" si="36"/>
        <v>7</v>
      </c>
      <c r="B11" s="390" t="s">
        <v>2</v>
      </c>
      <c r="C11" s="390" t="s">
        <v>363</v>
      </c>
      <c r="D11" s="390" t="str">
        <f t="shared" si="6"/>
        <v>Coal</v>
      </c>
      <c r="G11" s="95">
        <v>1</v>
      </c>
      <c r="H11" s="95">
        <v>1</v>
      </c>
      <c r="I11" s="95">
        <v>1</v>
      </c>
      <c r="K11" s="95">
        <v>1</v>
      </c>
      <c r="N11" s="95">
        <f t="shared" si="37"/>
        <v>1</v>
      </c>
      <c r="O11" s="95">
        <f t="shared" si="7"/>
        <v>1</v>
      </c>
      <c r="P11" s="95">
        <f t="shared" si="8"/>
        <v>1</v>
      </c>
      <c r="Q11" s="95" t="str">
        <f t="shared" si="9"/>
        <v/>
      </c>
      <c r="R11" s="95">
        <f t="shared" si="10"/>
        <v>1</v>
      </c>
      <c r="S11" s="95" t="str">
        <f t="shared" si="11"/>
        <v/>
      </c>
      <c r="T11" s="95" t="str">
        <f t="shared" si="12"/>
        <v/>
      </c>
      <c r="U11" s="95">
        <f t="shared" si="13"/>
        <v>1.0000000000000001E-5</v>
      </c>
      <c r="V11" s="95">
        <f t="shared" si="14"/>
        <v>1.0000000000000001E-5</v>
      </c>
      <c r="W11" s="95">
        <f t="shared" si="15"/>
        <v>1.0000000000000001E-5</v>
      </c>
      <c r="X11" s="95" t="str">
        <f t="shared" si="16"/>
        <v/>
      </c>
      <c r="Y11" s="95">
        <f t="shared" si="17"/>
        <v>1.0000000000000001E-5</v>
      </c>
      <c r="Z11" s="95" t="str">
        <f t="shared" si="18"/>
        <v/>
      </c>
      <c r="AA11" s="95" t="str">
        <f t="shared" si="19"/>
        <v/>
      </c>
      <c r="AB11" s="95">
        <f t="shared" si="20"/>
        <v>60</v>
      </c>
      <c r="AC11" s="95">
        <f t="shared" si="21"/>
        <v>60</v>
      </c>
      <c r="AD11" s="95">
        <f t="shared" si="22"/>
        <v>60</v>
      </c>
      <c r="AE11" s="95" t="str">
        <f t="shared" si="23"/>
        <v/>
      </c>
      <c r="AF11" s="95">
        <f t="shared" si="24"/>
        <v>60</v>
      </c>
      <c r="AG11" s="95" t="str">
        <f t="shared" si="25"/>
        <v/>
      </c>
      <c r="AH11" s="95" t="str">
        <f t="shared" si="26"/>
        <v/>
      </c>
      <c r="AI11" s="95">
        <f t="shared" si="27"/>
        <v>1E-4</v>
      </c>
      <c r="AJ11" s="95">
        <f t="shared" si="28"/>
        <v>1E-4</v>
      </c>
      <c r="AK11" s="95">
        <f t="shared" si="29"/>
        <v>1E-4</v>
      </c>
      <c r="AL11" s="95" t="str">
        <f t="shared" si="30"/>
        <v/>
      </c>
      <c r="AM11" s="95">
        <f t="shared" si="31"/>
        <v>1E-4</v>
      </c>
      <c r="AN11" s="95" t="str">
        <f t="shared" si="32"/>
        <v/>
      </c>
      <c r="AO11" s="95" t="str">
        <f t="shared" si="33"/>
        <v/>
      </c>
      <c r="AP11" s="519">
        <f t="shared" si="38"/>
        <v>1</v>
      </c>
      <c r="AQ11" s="263">
        <f t="shared" si="39"/>
        <v>1</v>
      </c>
      <c r="AR11" s="263">
        <f t="shared" si="40"/>
        <v>3</v>
      </c>
      <c r="AS11" s="263">
        <f t="shared" si="41"/>
        <v>0</v>
      </c>
      <c r="AT11" s="263">
        <f t="shared" si="42"/>
        <v>2</v>
      </c>
      <c r="AU11" s="263">
        <f t="shared" si="43"/>
        <v>4</v>
      </c>
      <c r="AV11" s="520">
        <f t="shared" si="44"/>
        <v>2</v>
      </c>
      <c r="AW11" s="93">
        <f t="shared" si="45"/>
        <v>7</v>
      </c>
      <c r="AX11" s="93" t="str">
        <f t="shared" si="34"/>
        <v>COA</v>
      </c>
      <c r="AY11" s="93">
        <v>96.25</v>
      </c>
      <c r="AZ11" s="93">
        <v>1E-3</v>
      </c>
      <c r="BA11" s="93">
        <v>1.4E-3</v>
      </c>
      <c r="BB11" s="93">
        <v>0.62619999999999998</v>
      </c>
      <c r="BC11" s="93">
        <v>0.3</v>
      </c>
      <c r="BD11" s="93">
        <v>0.02</v>
      </c>
      <c r="BE11" s="93">
        <v>5.0000000000000001E-3</v>
      </c>
      <c r="BF11" s="93">
        <v>0</v>
      </c>
      <c r="BG11" s="93">
        <v>0</v>
      </c>
      <c r="BH11" s="93">
        <v>0</v>
      </c>
      <c r="BI11" s="93">
        <v>0</v>
      </c>
      <c r="BJ11" s="93">
        <v>0</v>
      </c>
      <c r="BK11" s="93">
        <v>0</v>
      </c>
      <c r="BL11" s="93">
        <v>0</v>
      </c>
      <c r="BM11" s="93">
        <v>0</v>
      </c>
      <c r="BN11" s="93">
        <v>0</v>
      </c>
      <c r="BO11" s="93">
        <f t="shared" si="35"/>
        <v>36</v>
      </c>
      <c r="BP11" s="93">
        <f t="shared" si="46"/>
        <v>7</v>
      </c>
      <c r="BR11" s="93">
        <f t="shared" si="47"/>
        <v>1</v>
      </c>
      <c r="BS11" s="93">
        <f t="shared" si="48"/>
        <v>2</v>
      </c>
      <c r="BT11" s="93">
        <f t="shared" si="49"/>
        <v>3</v>
      </c>
      <c r="BU11" s="93">
        <f t="shared" si="50"/>
        <v>4</v>
      </c>
      <c r="BV11" s="93">
        <f t="shared" si="51"/>
        <v>5</v>
      </c>
      <c r="BW11" s="93">
        <f t="shared" si="52"/>
        <v>6</v>
      </c>
      <c r="BX11" s="93">
        <f t="shared" si="53"/>
        <v>7</v>
      </c>
      <c r="BY11" s="93">
        <f t="shared" si="54"/>
        <v>7</v>
      </c>
      <c r="BZ11" s="93">
        <f t="shared" si="55"/>
        <v>7</v>
      </c>
      <c r="CA11" s="93">
        <f t="shared" si="56"/>
        <v>7</v>
      </c>
      <c r="CB11" s="93">
        <f t="shared" si="57"/>
        <v>7</v>
      </c>
      <c r="CC11" s="93">
        <f t="shared" si="58"/>
        <v>7</v>
      </c>
      <c r="CD11" s="93">
        <f t="shared" si="59"/>
        <v>7</v>
      </c>
      <c r="CE11" s="93">
        <f t="shared" si="60"/>
        <v>7</v>
      </c>
      <c r="CF11" s="93">
        <f t="shared" si="61"/>
        <v>7</v>
      </c>
      <c r="CG11" s="93">
        <f t="shared" si="62"/>
        <v>7</v>
      </c>
      <c r="CH11" s="93">
        <f>IFERROR(HLOOKUP(CH$4,$BR11:$CG$46,$BO11,FALSE),"")</f>
        <v>1</v>
      </c>
      <c r="CI11" s="93">
        <f>IFERROR(HLOOKUP(CI$4,$BR11:$CG$46,$BO11,FALSE),"")</f>
        <v>2</v>
      </c>
      <c r="CJ11" s="93">
        <f>IFERROR(HLOOKUP(CJ$4,$BR11:$CG$46,$BO11,FALSE),"")</f>
        <v>3</v>
      </c>
      <c r="CK11" s="93">
        <f>IFERROR(HLOOKUP(CK$4,$BR11:$CG$46,$BO11,FALSE),"")</f>
        <v>4</v>
      </c>
      <c r="CL11" s="93">
        <f>IFERROR(HLOOKUP(CL$4,$BR11:$CG$46,$BO11,FALSE),"")</f>
        <v>5</v>
      </c>
      <c r="CM11" s="93">
        <f>IFERROR(HLOOKUP(CM$4,$BR11:$CG$46,$BO11,FALSE),"")</f>
        <v>6</v>
      </c>
      <c r="CN11" s="93">
        <f>IFERROR(HLOOKUP(CN$4,$BR11:$CG$46,$BO11,FALSE),"")</f>
        <v>7</v>
      </c>
      <c r="CO11" s="93" t="str">
        <f>IFERROR(HLOOKUP(CO$4,$BR11:$CG$46,$BO11,FALSE),"")</f>
        <v/>
      </c>
      <c r="CP11" s="93" t="str">
        <f>IFERROR(HLOOKUP(CP$4,$BR11:$CG$46,$BO11,FALSE),"")</f>
        <v/>
      </c>
      <c r="CQ11" s="93" t="str">
        <f>IFERROR(HLOOKUP(CQ$4,$BR11:$CG$46,$BO11,FALSE),"")</f>
        <v/>
      </c>
    </row>
    <row r="12" spans="1:95" ht="15">
      <c r="A12" s="93">
        <f t="shared" si="36"/>
        <v>8</v>
      </c>
      <c r="B12" s="390" t="s">
        <v>556</v>
      </c>
      <c r="C12" s="390" t="s">
        <v>365</v>
      </c>
      <c r="D12" s="390" t="str">
        <f t="shared" si="6"/>
        <v>Coal Coking</v>
      </c>
      <c r="I12" s="95">
        <v>1</v>
      </c>
      <c r="N12" s="95" t="str">
        <f t="shared" si="37"/>
        <v/>
      </c>
      <c r="O12" s="95" t="str">
        <f t="shared" si="7"/>
        <v/>
      </c>
      <c r="P12" s="95">
        <f t="shared" si="8"/>
        <v>1</v>
      </c>
      <c r="Q12" s="95" t="str">
        <f t="shared" si="9"/>
        <v/>
      </c>
      <c r="R12" s="95" t="str">
        <f t="shared" si="10"/>
        <v/>
      </c>
      <c r="S12" s="95" t="str">
        <f t="shared" si="11"/>
        <v/>
      </c>
      <c r="T12" s="95" t="str">
        <f t="shared" si="12"/>
        <v/>
      </c>
      <c r="U12" s="95" t="str">
        <f t="shared" si="13"/>
        <v/>
      </c>
      <c r="V12" s="95" t="str">
        <f t="shared" si="14"/>
        <v/>
      </c>
      <c r="W12" s="95">
        <f t="shared" si="15"/>
        <v>1.0000000000000001E-5</v>
      </c>
      <c r="X12" s="95" t="str">
        <f t="shared" si="16"/>
        <v/>
      </c>
      <c r="Y12" s="95" t="str">
        <f t="shared" si="17"/>
        <v/>
      </c>
      <c r="Z12" s="95" t="str">
        <f t="shared" si="18"/>
        <v/>
      </c>
      <c r="AA12" s="95" t="str">
        <f t="shared" si="19"/>
        <v/>
      </c>
      <c r="AB12" s="95" t="str">
        <f t="shared" si="20"/>
        <v/>
      </c>
      <c r="AC12" s="95" t="str">
        <f t="shared" si="21"/>
        <v/>
      </c>
      <c r="AD12" s="95">
        <f t="shared" si="22"/>
        <v>60</v>
      </c>
      <c r="AE12" s="95" t="str">
        <f t="shared" si="23"/>
        <v/>
      </c>
      <c r="AF12" s="95" t="str">
        <f t="shared" si="24"/>
        <v/>
      </c>
      <c r="AG12" s="95" t="str">
        <f t="shared" si="25"/>
        <v/>
      </c>
      <c r="AH12" s="95" t="str">
        <f t="shared" si="26"/>
        <v/>
      </c>
      <c r="AI12" s="95" t="str">
        <f t="shared" si="27"/>
        <v/>
      </c>
      <c r="AJ12" s="95" t="str">
        <f t="shared" si="28"/>
        <v/>
      </c>
      <c r="AK12" s="95">
        <f t="shared" si="29"/>
        <v>1E-4</v>
      </c>
      <c r="AL12" s="95" t="str">
        <f t="shared" si="30"/>
        <v/>
      </c>
      <c r="AM12" s="95" t="str">
        <f t="shared" si="31"/>
        <v/>
      </c>
      <c r="AN12" s="95" t="str">
        <f t="shared" si="32"/>
        <v/>
      </c>
      <c r="AO12" s="95" t="str">
        <f t="shared" si="33"/>
        <v/>
      </c>
      <c r="AP12" s="519">
        <f t="shared" si="38"/>
        <v>1</v>
      </c>
      <c r="AQ12" s="263">
        <f t="shared" si="39"/>
        <v>1</v>
      </c>
      <c r="AR12" s="263">
        <f t="shared" si="40"/>
        <v>4</v>
      </c>
      <c r="AS12" s="263">
        <f t="shared" si="41"/>
        <v>0</v>
      </c>
      <c r="AT12" s="263">
        <f t="shared" si="42"/>
        <v>2</v>
      </c>
      <c r="AU12" s="263">
        <f t="shared" si="43"/>
        <v>4</v>
      </c>
      <c r="AV12" s="520">
        <f t="shared" si="44"/>
        <v>2</v>
      </c>
      <c r="AW12" s="93">
        <f t="shared" si="45"/>
        <v>8</v>
      </c>
      <c r="AX12" s="93" t="str">
        <f t="shared" si="34"/>
        <v>COK</v>
      </c>
      <c r="AY12" s="39">
        <v>0</v>
      </c>
      <c r="AZ12" s="39">
        <v>0</v>
      </c>
      <c r="BA12" s="39">
        <v>0</v>
      </c>
      <c r="BB12" s="93">
        <v>0</v>
      </c>
      <c r="BC12" s="93">
        <v>0</v>
      </c>
      <c r="BD12" s="93">
        <v>0</v>
      </c>
      <c r="BE12" s="93">
        <v>0</v>
      </c>
      <c r="BF12" s="93">
        <v>0</v>
      </c>
      <c r="BG12" s="93">
        <v>0</v>
      </c>
      <c r="BH12" s="93">
        <v>0</v>
      </c>
      <c r="BI12" s="93">
        <v>0</v>
      </c>
      <c r="BJ12" s="93">
        <v>0</v>
      </c>
      <c r="BK12" s="93">
        <v>0</v>
      </c>
      <c r="BL12" s="93">
        <v>0</v>
      </c>
      <c r="BM12" s="93">
        <v>0</v>
      </c>
      <c r="BN12" s="93">
        <v>0</v>
      </c>
      <c r="BO12" s="93">
        <f t="shared" si="35"/>
        <v>35</v>
      </c>
      <c r="BP12" s="93">
        <f t="shared" si="46"/>
        <v>0</v>
      </c>
      <c r="BR12" s="93">
        <f t="shared" si="47"/>
        <v>0</v>
      </c>
      <c r="BS12" s="93">
        <f t="shared" si="48"/>
        <v>0</v>
      </c>
      <c r="BT12" s="93">
        <f t="shared" si="49"/>
        <v>0</v>
      </c>
      <c r="BU12" s="93">
        <f t="shared" si="50"/>
        <v>0</v>
      </c>
      <c r="BV12" s="93">
        <f t="shared" si="51"/>
        <v>0</v>
      </c>
      <c r="BW12" s="93">
        <f t="shared" si="52"/>
        <v>0</v>
      </c>
      <c r="BX12" s="93">
        <f t="shared" si="53"/>
        <v>0</v>
      </c>
      <c r="BY12" s="93">
        <f t="shared" si="54"/>
        <v>0</v>
      </c>
      <c r="BZ12" s="93">
        <f t="shared" si="55"/>
        <v>0</v>
      </c>
      <c r="CA12" s="93">
        <f t="shared" si="56"/>
        <v>0</v>
      </c>
      <c r="CB12" s="93">
        <f t="shared" si="57"/>
        <v>0</v>
      </c>
      <c r="CC12" s="93">
        <f t="shared" si="58"/>
        <v>0</v>
      </c>
      <c r="CD12" s="93">
        <f t="shared" si="59"/>
        <v>0</v>
      </c>
      <c r="CE12" s="93">
        <f t="shared" si="60"/>
        <v>0</v>
      </c>
      <c r="CF12" s="93">
        <f t="shared" si="61"/>
        <v>0</v>
      </c>
      <c r="CG12" s="93">
        <f t="shared" si="62"/>
        <v>0</v>
      </c>
      <c r="CH12" s="93" t="str">
        <f>IFERROR(HLOOKUP(CH$4,$BR12:$CG$46,$BO12,FALSE),"")</f>
        <v/>
      </c>
      <c r="CI12" s="93" t="str">
        <f>IFERROR(HLOOKUP(CI$4,$BR12:$CG$46,$BO12,FALSE),"")</f>
        <v/>
      </c>
      <c r="CJ12" s="93" t="str">
        <f>IFERROR(HLOOKUP(CJ$4,$BR12:$CG$46,$BO12,FALSE),"")</f>
        <v/>
      </c>
      <c r="CK12" s="93" t="str">
        <f>IFERROR(HLOOKUP(CK$4,$BR12:$CG$46,$BO12,FALSE),"")</f>
        <v/>
      </c>
      <c r="CL12" s="93" t="str">
        <f>IFERROR(HLOOKUP(CL$4,$BR12:$CG$46,$BO12,FALSE),"")</f>
        <v/>
      </c>
      <c r="CM12" s="93" t="str">
        <f>IFERROR(HLOOKUP(CM$4,$BR12:$CG$46,$BO12,FALSE),"")</f>
        <v/>
      </c>
      <c r="CN12" s="93" t="str">
        <f>IFERROR(HLOOKUP(CN$4,$BR12:$CG$46,$BO12,FALSE),"")</f>
        <v/>
      </c>
      <c r="CO12" s="93" t="str">
        <f>IFERROR(HLOOKUP(CO$4,$BR12:$CG$46,$BO12,FALSE),"")</f>
        <v/>
      </c>
      <c r="CP12" s="93" t="str">
        <f>IFERROR(HLOOKUP(CP$4,$BR12:$CG$46,$BO12,FALSE),"")</f>
        <v/>
      </c>
      <c r="CQ12" s="93" t="str">
        <f>IFERROR(HLOOKUP(CQ$4,$BR12:$CG$46,$BO12,FALSE),"")</f>
        <v/>
      </c>
    </row>
    <row r="13" spans="1:95" ht="15">
      <c r="A13" s="93">
        <f t="shared" si="36"/>
        <v>9</v>
      </c>
      <c r="B13" s="392" t="s">
        <v>542</v>
      </c>
      <c r="C13" s="392" t="s">
        <v>543</v>
      </c>
      <c r="D13" s="390" t="str">
        <f t="shared" si="6"/>
        <v>Coal Discard</v>
      </c>
      <c r="L13" s="95">
        <v>1</v>
      </c>
      <c r="N13" s="95" t="str">
        <f t="shared" si="37"/>
        <v/>
      </c>
      <c r="O13" s="95" t="str">
        <f t="shared" si="7"/>
        <v/>
      </c>
      <c r="P13" s="95" t="str">
        <f t="shared" si="8"/>
        <v/>
      </c>
      <c r="Q13" s="95" t="str">
        <f t="shared" si="9"/>
        <v/>
      </c>
      <c r="R13" s="95" t="str">
        <f t="shared" si="10"/>
        <v/>
      </c>
      <c r="S13" s="95">
        <f t="shared" si="11"/>
        <v>1</v>
      </c>
      <c r="T13" s="95" t="str">
        <f t="shared" si="12"/>
        <v/>
      </c>
      <c r="U13" s="95" t="str">
        <f t="shared" si="13"/>
        <v/>
      </c>
      <c r="V13" s="95" t="str">
        <f t="shared" si="14"/>
        <v/>
      </c>
      <c r="W13" s="95" t="str">
        <f t="shared" si="15"/>
        <v/>
      </c>
      <c r="X13" s="95" t="str">
        <f t="shared" si="16"/>
        <v/>
      </c>
      <c r="Y13" s="95" t="str">
        <f t="shared" si="17"/>
        <v/>
      </c>
      <c r="Z13" s="95">
        <f t="shared" si="18"/>
        <v>1.0000000000000001E-5</v>
      </c>
      <c r="AA13" s="95" t="str">
        <f t="shared" si="19"/>
        <v/>
      </c>
      <c r="AB13" s="95" t="str">
        <f t="shared" si="20"/>
        <v/>
      </c>
      <c r="AC13" s="95" t="str">
        <f t="shared" si="21"/>
        <v/>
      </c>
      <c r="AD13" s="95" t="str">
        <f t="shared" si="22"/>
        <v/>
      </c>
      <c r="AE13" s="95" t="str">
        <f t="shared" si="23"/>
        <v/>
      </c>
      <c r="AF13" s="95" t="str">
        <f t="shared" si="24"/>
        <v/>
      </c>
      <c r="AG13" s="95">
        <f t="shared" si="25"/>
        <v>60</v>
      </c>
      <c r="AH13" s="95" t="str">
        <f t="shared" si="26"/>
        <v/>
      </c>
      <c r="AI13" s="95" t="str">
        <f t="shared" si="27"/>
        <v/>
      </c>
      <c r="AJ13" s="95" t="str">
        <f t="shared" si="28"/>
        <v/>
      </c>
      <c r="AK13" s="95" t="str">
        <f t="shared" si="29"/>
        <v/>
      </c>
      <c r="AL13" s="95" t="str">
        <f t="shared" si="30"/>
        <v/>
      </c>
      <c r="AM13" s="95" t="str">
        <f t="shared" si="31"/>
        <v/>
      </c>
      <c r="AN13" s="95">
        <f t="shared" si="32"/>
        <v>1E-4</v>
      </c>
      <c r="AO13" s="95" t="str">
        <f t="shared" si="33"/>
        <v/>
      </c>
      <c r="AP13" s="519">
        <f t="shared" si="38"/>
        <v>1</v>
      </c>
      <c r="AQ13" s="263">
        <f t="shared" si="39"/>
        <v>1</v>
      </c>
      <c r="AR13" s="263">
        <f t="shared" si="40"/>
        <v>4</v>
      </c>
      <c r="AS13" s="263">
        <f t="shared" si="41"/>
        <v>0</v>
      </c>
      <c r="AT13" s="263">
        <f t="shared" si="42"/>
        <v>2</v>
      </c>
      <c r="AU13" s="263">
        <f t="shared" si="43"/>
        <v>5</v>
      </c>
      <c r="AV13" s="520">
        <f t="shared" si="44"/>
        <v>2</v>
      </c>
      <c r="AW13" s="93">
        <f t="shared" si="45"/>
        <v>9</v>
      </c>
      <c r="AX13" s="93" t="str">
        <f t="shared" si="34"/>
        <v>CLD</v>
      </c>
      <c r="AY13" s="93">
        <v>96.25</v>
      </c>
      <c r="AZ13" s="93">
        <v>1E-3</v>
      </c>
      <c r="BA13" s="93">
        <v>1.4E-3</v>
      </c>
      <c r="BB13" s="93">
        <v>0.62619999999999998</v>
      </c>
      <c r="BC13" s="93">
        <v>0.3</v>
      </c>
      <c r="BD13" s="93">
        <v>0.02</v>
      </c>
      <c r="BE13" s="93">
        <v>5.0000000000000001E-3</v>
      </c>
      <c r="BF13" s="93">
        <v>0</v>
      </c>
      <c r="BG13" s="93">
        <v>0</v>
      </c>
      <c r="BH13" s="93">
        <v>0</v>
      </c>
      <c r="BI13" s="93">
        <v>0</v>
      </c>
      <c r="BJ13" s="93">
        <v>0</v>
      </c>
      <c r="BK13" s="93">
        <v>0</v>
      </c>
      <c r="BL13" s="93">
        <v>0</v>
      </c>
      <c r="BM13" s="93">
        <v>0</v>
      </c>
      <c r="BN13" s="93">
        <v>0</v>
      </c>
      <c r="BO13" s="93">
        <f t="shared" si="35"/>
        <v>34</v>
      </c>
      <c r="BP13" s="93">
        <f t="shared" si="46"/>
        <v>7</v>
      </c>
      <c r="BR13" s="93">
        <f t="shared" si="47"/>
        <v>1</v>
      </c>
      <c r="BS13" s="93">
        <f t="shared" si="48"/>
        <v>2</v>
      </c>
      <c r="BT13" s="93">
        <f t="shared" si="49"/>
        <v>3</v>
      </c>
      <c r="BU13" s="93">
        <f t="shared" si="50"/>
        <v>4</v>
      </c>
      <c r="BV13" s="93">
        <f t="shared" si="51"/>
        <v>5</v>
      </c>
      <c r="BW13" s="93">
        <f t="shared" si="52"/>
        <v>6</v>
      </c>
      <c r="BX13" s="93">
        <f t="shared" si="53"/>
        <v>7</v>
      </c>
      <c r="BY13" s="93">
        <f t="shared" si="54"/>
        <v>7</v>
      </c>
      <c r="BZ13" s="93">
        <f t="shared" si="55"/>
        <v>7</v>
      </c>
      <c r="CA13" s="93">
        <f t="shared" si="56"/>
        <v>7</v>
      </c>
      <c r="CB13" s="93">
        <f t="shared" si="57"/>
        <v>7</v>
      </c>
      <c r="CC13" s="93">
        <f t="shared" si="58"/>
        <v>7</v>
      </c>
      <c r="CD13" s="93">
        <f t="shared" si="59"/>
        <v>7</v>
      </c>
      <c r="CE13" s="93">
        <f t="shared" si="60"/>
        <v>7</v>
      </c>
      <c r="CF13" s="93">
        <f t="shared" si="61"/>
        <v>7</v>
      </c>
      <c r="CG13" s="93">
        <f t="shared" si="62"/>
        <v>7</v>
      </c>
      <c r="CH13" s="93">
        <f>IFERROR(HLOOKUP(CH$4,$BR13:$CG$46,$BO13,FALSE),"")</f>
        <v>1</v>
      </c>
      <c r="CI13" s="93">
        <f>IFERROR(HLOOKUP(CI$4,$BR13:$CG$46,$BO13,FALSE),"")</f>
        <v>2</v>
      </c>
      <c r="CJ13" s="93">
        <f>IFERROR(HLOOKUP(CJ$4,$BR13:$CG$46,$BO13,FALSE),"")</f>
        <v>3</v>
      </c>
      <c r="CK13" s="93">
        <f>IFERROR(HLOOKUP(CK$4,$BR13:$CG$46,$BO13,FALSE),"")</f>
        <v>4</v>
      </c>
      <c r="CL13" s="93">
        <f>IFERROR(HLOOKUP(CL$4,$BR13:$CG$46,$BO13,FALSE),"")</f>
        <v>5</v>
      </c>
      <c r="CM13" s="93">
        <f>IFERROR(HLOOKUP(CM$4,$BR13:$CG$46,$BO13,FALSE),"")</f>
        <v>6</v>
      </c>
      <c r="CN13" s="93">
        <f>IFERROR(HLOOKUP(CN$4,$BR13:$CG$46,$BO13,FALSE),"")</f>
        <v>7</v>
      </c>
      <c r="CO13" s="93" t="str">
        <f>IFERROR(HLOOKUP(CO$4,$BR13:$CG$46,$BO13,FALSE),"")</f>
        <v/>
      </c>
      <c r="CP13" s="93" t="str">
        <f>IFERROR(HLOOKUP(CP$4,$BR13:$CG$46,$BO13,FALSE),"")</f>
        <v/>
      </c>
      <c r="CQ13" s="93" t="str">
        <f>IFERROR(HLOOKUP(CQ$4,$BR13:$CG$46,$BO13,FALSE),"")</f>
        <v/>
      </c>
    </row>
    <row r="14" spans="1:95" ht="15">
      <c r="A14" s="93">
        <f t="shared" si="36"/>
        <v>10</v>
      </c>
      <c r="B14" s="392" t="s">
        <v>1792</v>
      </c>
      <c r="C14" s="392" t="s">
        <v>544</v>
      </c>
      <c r="D14" s="390" t="str">
        <f t="shared" si="6"/>
        <v>Coal low grade</v>
      </c>
      <c r="I14" s="95">
        <v>1</v>
      </c>
      <c r="L14" s="95">
        <v>1</v>
      </c>
      <c r="M14" s="95">
        <v>1</v>
      </c>
      <c r="N14" s="95" t="str">
        <f t="shared" si="37"/>
        <v/>
      </c>
      <c r="O14" s="95" t="str">
        <f t="shared" si="7"/>
        <v/>
      </c>
      <c r="P14" s="95">
        <f t="shared" si="8"/>
        <v>1</v>
      </c>
      <c r="Q14" s="95" t="str">
        <f t="shared" si="9"/>
        <v/>
      </c>
      <c r="R14" s="95" t="str">
        <f t="shared" si="10"/>
        <v/>
      </c>
      <c r="S14" s="95">
        <f t="shared" si="11"/>
        <v>1</v>
      </c>
      <c r="T14" s="95">
        <f t="shared" si="12"/>
        <v>1</v>
      </c>
      <c r="U14" s="95" t="str">
        <f t="shared" si="13"/>
        <v/>
      </c>
      <c r="V14" s="95" t="str">
        <f t="shared" si="14"/>
        <v/>
      </c>
      <c r="W14" s="95">
        <f t="shared" si="15"/>
        <v>1.0000000000000001E-5</v>
      </c>
      <c r="X14" s="95" t="str">
        <f t="shared" si="16"/>
        <v/>
      </c>
      <c r="Y14" s="95" t="str">
        <f t="shared" si="17"/>
        <v/>
      </c>
      <c r="Z14" s="95">
        <f t="shared" si="18"/>
        <v>1.0000000000000001E-5</v>
      </c>
      <c r="AA14" s="95">
        <f t="shared" si="19"/>
        <v>1.0000000000000001E-5</v>
      </c>
      <c r="AB14" s="95" t="str">
        <f t="shared" si="20"/>
        <v/>
      </c>
      <c r="AC14" s="95" t="str">
        <f t="shared" si="21"/>
        <v/>
      </c>
      <c r="AD14" s="95">
        <f t="shared" si="22"/>
        <v>60</v>
      </c>
      <c r="AE14" s="95" t="str">
        <f t="shared" si="23"/>
        <v/>
      </c>
      <c r="AF14" s="95" t="str">
        <f t="shared" si="24"/>
        <v/>
      </c>
      <c r="AG14" s="95">
        <f t="shared" si="25"/>
        <v>60</v>
      </c>
      <c r="AH14" s="95">
        <f t="shared" si="26"/>
        <v>60</v>
      </c>
      <c r="AI14" s="95" t="str">
        <f t="shared" si="27"/>
        <v/>
      </c>
      <c r="AJ14" s="95" t="str">
        <f t="shared" si="28"/>
        <v/>
      </c>
      <c r="AK14" s="95">
        <f t="shared" si="29"/>
        <v>1E-4</v>
      </c>
      <c r="AL14" s="95" t="str">
        <f t="shared" si="30"/>
        <v/>
      </c>
      <c r="AM14" s="95" t="str">
        <f t="shared" si="31"/>
        <v/>
      </c>
      <c r="AN14" s="95">
        <f t="shared" si="32"/>
        <v>1E-4</v>
      </c>
      <c r="AO14" s="95">
        <f t="shared" si="33"/>
        <v>1E-4</v>
      </c>
      <c r="AP14" s="519">
        <f t="shared" si="38"/>
        <v>1</v>
      </c>
      <c r="AQ14" s="263">
        <f t="shared" si="39"/>
        <v>1</v>
      </c>
      <c r="AR14" s="263">
        <f t="shared" si="40"/>
        <v>5</v>
      </c>
      <c r="AS14" s="263">
        <f t="shared" si="41"/>
        <v>0</v>
      </c>
      <c r="AT14" s="263">
        <f t="shared" si="42"/>
        <v>2</v>
      </c>
      <c r="AU14" s="263">
        <f t="shared" si="43"/>
        <v>6</v>
      </c>
      <c r="AV14" s="520">
        <f t="shared" si="44"/>
        <v>3</v>
      </c>
      <c r="AW14" s="93">
        <f t="shared" si="45"/>
        <v>10</v>
      </c>
      <c r="AX14" s="93" t="str">
        <f t="shared" si="34"/>
        <v>CLE</v>
      </c>
      <c r="AY14" s="93">
        <v>96.25</v>
      </c>
      <c r="AZ14" s="93">
        <v>1E-3</v>
      </c>
      <c r="BA14" s="93">
        <v>1.4E-3</v>
      </c>
      <c r="BB14" s="93">
        <v>0.62619999999999998</v>
      </c>
      <c r="BC14" s="93">
        <v>0.3</v>
      </c>
      <c r="BD14" s="93">
        <v>0.02</v>
      </c>
      <c r="BE14" s="93">
        <v>5.0000000000000001E-3</v>
      </c>
      <c r="BF14" s="93">
        <v>0</v>
      </c>
      <c r="BG14" s="93">
        <v>0</v>
      </c>
      <c r="BH14" s="93">
        <v>0</v>
      </c>
      <c r="BI14" s="93">
        <v>0</v>
      </c>
      <c r="BJ14" s="93">
        <v>0</v>
      </c>
      <c r="BK14" s="93">
        <v>0</v>
      </c>
      <c r="BL14" s="93">
        <v>0</v>
      </c>
      <c r="BM14" s="93">
        <v>0</v>
      </c>
      <c r="BN14" s="93">
        <v>0</v>
      </c>
      <c r="BO14" s="93">
        <f t="shared" si="35"/>
        <v>33</v>
      </c>
      <c r="BP14" s="93">
        <f t="shared" si="46"/>
        <v>7</v>
      </c>
      <c r="BR14" s="93">
        <f t="shared" si="47"/>
        <v>1</v>
      </c>
      <c r="BS14" s="93">
        <f t="shared" si="48"/>
        <v>2</v>
      </c>
      <c r="BT14" s="93">
        <f t="shared" si="49"/>
        <v>3</v>
      </c>
      <c r="BU14" s="93">
        <f t="shared" si="50"/>
        <v>4</v>
      </c>
      <c r="BV14" s="93">
        <f t="shared" si="51"/>
        <v>5</v>
      </c>
      <c r="BW14" s="93">
        <f t="shared" si="52"/>
        <v>6</v>
      </c>
      <c r="BX14" s="93">
        <f t="shared" si="53"/>
        <v>7</v>
      </c>
      <c r="BY14" s="93">
        <f t="shared" si="54"/>
        <v>7</v>
      </c>
      <c r="BZ14" s="93">
        <f t="shared" si="55"/>
        <v>7</v>
      </c>
      <c r="CA14" s="93">
        <f t="shared" si="56"/>
        <v>7</v>
      </c>
      <c r="CB14" s="93">
        <f t="shared" si="57"/>
        <v>7</v>
      </c>
      <c r="CC14" s="93">
        <f t="shared" si="58"/>
        <v>7</v>
      </c>
      <c r="CD14" s="93">
        <f t="shared" si="59"/>
        <v>7</v>
      </c>
      <c r="CE14" s="93">
        <f t="shared" si="60"/>
        <v>7</v>
      </c>
      <c r="CF14" s="93">
        <f t="shared" si="61"/>
        <v>7</v>
      </c>
      <c r="CG14" s="93">
        <f t="shared" si="62"/>
        <v>7</v>
      </c>
      <c r="CH14" s="93">
        <f>IFERROR(HLOOKUP(CH$4,$BR14:$CG$46,$BO14,FALSE),"")</f>
        <v>1</v>
      </c>
      <c r="CI14" s="93">
        <f>IFERROR(HLOOKUP(CI$4,$BR14:$CG$46,$BO14,FALSE),"")</f>
        <v>2</v>
      </c>
      <c r="CJ14" s="93">
        <f>IFERROR(HLOOKUP(CJ$4,$BR14:$CG$46,$BO14,FALSE),"")</f>
        <v>3</v>
      </c>
      <c r="CK14" s="93">
        <f>IFERROR(HLOOKUP(CK$4,$BR14:$CG$46,$BO14,FALSE),"")</f>
        <v>4</v>
      </c>
      <c r="CL14" s="93">
        <f>IFERROR(HLOOKUP(CL$4,$BR14:$CG$46,$BO14,FALSE),"")</f>
        <v>5</v>
      </c>
      <c r="CM14" s="93">
        <f>IFERROR(HLOOKUP(CM$4,$BR14:$CG$46,$BO14,FALSE),"")</f>
        <v>6</v>
      </c>
      <c r="CN14" s="93">
        <f>IFERROR(HLOOKUP(CN$4,$BR14:$CG$46,$BO14,FALSE),"")</f>
        <v>7</v>
      </c>
      <c r="CO14" s="93" t="str">
        <f>IFERROR(HLOOKUP(CO$4,$BR14:$CG$46,$BO14,FALSE),"")</f>
        <v/>
      </c>
      <c r="CP14" s="93" t="str">
        <f>IFERROR(HLOOKUP(CP$4,$BR14:$CG$46,$BO14,FALSE),"")</f>
        <v/>
      </c>
      <c r="CQ14" s="93" t="str">
        <f>IFERROR(HLOOKUP(CQ$4,$BR14:$CG$46,$BO14,FALSE),"")</f>
        <v/>
      </c>
    </row>
    <row r="15" spans="1:95" s="870" customFormat="1">
      <c r="A15" s="93">
        <f t="shared" si="36"/>
        <v>11</v>
      </c>
      <c r="B15" s="561" t="s">
        <v>1807</v>
      </c>
      <c r="C15" s="561" t="s">
        <v>1806</v>
      </c>
      <c r="D15" s="1118" t="str">
        <f t="shared" si="6"/>
        <v>Coal for plants in Botswana</v>
      </c>
      <c r="G15" s="871"/>
      <c r="H15" s="871"/>
      <c r="I15" s="871"/>
      <c r="J15" s="871"/>
      <c r="K15" s="871"/>
      <c r="L15" s="871">
        <v>1</v>
      </c>
      <c r="M15" s="871"/>
      <c r="N15" s="871" t="str">
        <f t="shared" si="37"/>
        <v/>
      </c>
      <c r="O15" s="871" t="str">
        <f t="shared" si="7"/>
        <v/>
      </c>
      <c r="P15" s="871" t="str">
        <f t="shared" si="8"/>
        <v/>
      </c>
      <c r="Q15" s="871" t="str">
        <f t="shared" si="9"/>
        <v/>
      </c>
      <c r="R15" s="871" t="str">
        <f t="shared" si="10"/>
        <v/>
      </c>
      <c r="S15" s="871">
        <f t="shared" si="11"/>
        <v>1</v>
      </c>
      <c r="T15" s="871" t="str">
        <f t="shared" si="12"/>
        <v/>
      </c>
      <c r="U15" s="95" t="str">
        <f t="shared" si="13"/>
        <v/>
      </c>
      <c r="V15" s="95" t="str">
        <f t="shared" si="14"/>
        <v/>
      </c>
      <c r="W15" s="95" t="str">
        <f t="shared" si="15"/>
        <v/>
      </c>
      <c r="X15" s="95" t="str">
        <f t="shared" si="16"/>
        <v/>
      </c>
      <c r="Y15" s="95" t="str">
        <f t="shared" si="17"/>
        <v/>
      </c>
      <c r="Z15" s="95">
        <f t="shared" si="18"/>
        <v>1.0000000000000001E-5</v>
      </c>
      <c r="AA15" s="95" t="str">
        <f t="shared" si="19"/>
        <v/>
      </c>
      <c r="AB15" s="95" t="str">
        <f t="shared" si="20"/>
        <v/>
      </c>
      <c r="AC15" s="95" t="str">
        <f t="shared" si="21"/>
        <v/>
      </c>
      <c r="AD15" s="95" t="str">
        <f t="shared" si="22"/>
        <v/>
      </c>
      <c r="AE15" s="95" t="str">
        <f t="shared" si="23"/>
        <v/>
      </c>
      <c r="AF15" s="95" t="str">
        <f t="shared" si="24"/>
        <v/>
      </c>
      <c r="AG15" s="95">
        <f t="shared" si="25"/>
        <v>60</v>
      </c>
      <c r="AH15" s="95" t="str">
        <f t="shared" si="26"/>
        <v/>
      </c>
      <c r="AI15" s="871" t="str">
        <f t="shared" si="27"/>
        <v/>
      </c>
      <c r="AJ15" s="871" t="str">
        <f t="shared" si="28"/>
        <v/>
      </c>
      <c r="AK15" s="871" t="str">
        <f t="shared" si="29"/>
        <v/>
      </c>
      <c r="AL15" s="871" t="str">
        <f t="shared" si="30"/>
        <v/>
      </c>
      <c r="AM15" s="871" t="str">
        <f t="shared" si="31"/>
        <v/>
      </c>
      <c r="AN15" s="871">
        <f t="shared" si="32"/>
        <v>1E-4</v>
      </c>
      <c r="AO15" s="871" t="str">
        <f t="shared" si="33"/>
        <v/>
      </c>
      <c r="AP15" s="519">
        <f t="shared" si="38"/>
        <v>1</v>
      </c>
      <c r="AQ15" s="263">
        <f t="shared" si="39"/>
        <v>1</v>
      </c>
      <c r="AR15" s="263">
        <f t="shared" si="40"/>
        <v>5</v>
      </c>
      <c r="AS15" s="263">
        <f t="shared" si="41"/>
        <v>0</v>
      </c>
      <c r="AT15" s="263">
        <f t="shared" si="42"/>
        <v>2</v>
      </c>
      <c r="AU15" s="263">
        <f t="shared" si="43"/>
        <v>7</v>
      </c>
      <c r="AV15" s="520">
        <f t="shared" si="44"/>
        <v>3</v>
      </c>
      <c r="AW15" s="93">
        <f t="shared" si="45"/>
        <v>11</v>
      </c>
      <c r="AX15" s="870" t="str">
        <f t="shared" si="34"/>
        <v>CRB</v>
      </c>
      <c r="AY15" s="93">
        <v>0</v>
      </c>
      <c r="AZ15" s="93">
        <v>0</v>
      </c>
      <c r="BA15" s="93">
        <v>0</v>
      </c>
      <c r="BB15" s="93">
        <v>0</v>
      </c>
      <c r="BC15" s="93">
        <v>0</v>
      </c>
      <c r="BD15" s="93">
        <v>0</v>
      </c>
      <c r="BE15" s="93">
        <v>0</v>
      </c>
      <c r="BF15" s="93">
        <v>0</v>
      </c>
      <c r="BG15" s="93">
        <v>96.25</v>
      </c>
      <c r="BH15" s="93">
        <v>1E-3</v>
      </c>
      <c r="BI15" s="93">
        <v>1.4E-3</v>
      </c>
      <c r="BJ15" s="93">
        <v>0.62619999999999998</v>
      </c>
      <c r="BK15" s="93">
        <v>0.3</v>
      </c>
      <c r="BL15" s="93">
        <v>0.02</v>
      </c>
      <c r="BM15" s="93">
        <v>5.0000000000000001E-3</v>
      </c>
      <c r="BN15" s="93">
        <v>0</v>
      </c>
      <c r="BO15" s="93">
        <f t="shared" si="35"/>
        <v>32</v>
      </c>
      <c r="BP15" s="93">
        <f t="shared" si="46"/>
        <v>7</v>
      </c>
      <c r="BR15" s="870">
        <f t="shared" si="47"/>
        <v>0</v>
      </c>
      <c r="BS15" s="870">
        <f t="shared" si="48"/>
        <v>0</v>
      </c>
      <c r="BT15" s="870">
        <f t="shared" si="49"/>
        <v>0</v>
      </c>
      <c r="BU15" s="870">
        <f t="shared" si="50"/>
        <v>0</v>
      </c>
      <c r="BV15" s="870">
        <f t="shared" si="51"/>
        <v>0</v>
      </c>
      <c r="BW15" s="870">
        <f t="shared" si="52"/>
        <v>0</v>
      </c>
      <c r="BX15" s="870">
        <f t="shared" si="53"/>
        <v>0</v>
      </c>
      <c r="BY15" s="870">
        <f t="shared" si="54"/>
        <v>0</v>
      </c>
      <c r="BZ15" s="870">
        <f t="shared" si="55"/>
        <v>1</v>
      </c>
      <c r="CA15" s="870">
        <f t="shared" si="56"/>
        <v>2</v>
      </c>
      <c r="CB15" s="870">
        <f t="shared" si="57"/>
        <v>3</v>
      </c>
      <c r="CC15" s="870">
        <f t="shared" si="58"/>
        <v>4</v>
      </c>
      <c r="CD15" s="870">
        <f t="shared" si="59"/>
        <v>5</v>
      </c>
      <c r="CE15" s="870">
        <f t="shared" si="60"/>
        <v>6</v>
      </c>
      <c r="CF15" s="870">
        <f t="shared" si="61"/>
        <v>7</v>
      </c>
      <c r="CG15" s="93">
        <f t="shared" si="62"/>
        <v>7</v>
      </c>
      <c r="CH15" s="870">
        <f>IFERROR(HLOOKUP(CH$4,$BR15:$CG$46,$BO15,FALSE),"")</f>
        <v>9</v>
      </c>
      <c r="CI15" s="870">
        <f>IFERROR(HLOOKUP(CI$4,$BR15:$CG$46,$BO15,FALSE),"")</f>
        <v>10</v>
      </c>
      <c r="CJ15" s="870">
        <f>IFERROR(HLOOKUP(CJ$4,$BR15:$CG$46,$BO15,FALSE),"")</f>
        <v>11</v>
      </c>
      <c r="CK15" s="870">
        <f>IFERROR(HLOOKUP(CK$4,$BR15:$CG$46,$BO15,FALSE),"")</f>
        <v>12</v>
      </c>
      <c r="CL15" s="870">
        <f>IFERROR(HLOOKUP(CL$4,$BR15:$CG$46,$BO15,FALSE),"")</f>
        <v>13</v>
      </c>
      <c r="CM15" s="870">
        <f>IFERROR(HLOOKUP(CM$4,$BR15:$CG$46,$BO15,FALSE),"")</f>
        <v>14</v>
      </c>
      <c r="CN15" s="870">
        <f>IFERROR(HLOOKUP(CN$4,$BR15:$CG$46,$BO15,FALSE),"")</f>
        <v>15</v>
      </c>
      <c r="CO15" s="870" t="str">
        <f>IFERROR(HLOOKUP(CO$4,$BR15:$CG$46,$BO15,FALSE),"")</f>
        <v/>
      </c>
      <c r="CP15" s="870" t="str">
        <f>IFERROR(HLOOKUP(CP$4,$BR15:$CG$46,$BO15,FALSE),"")</f>
        <v/>
      </c>
      <c r="CQ15" s="870" t="str">
        <f>IFERROR(HLOOKUP(CQ$4,$BR15:$CG$46,$BO15,FALSE),"")</f>
        <v/>
      </c>
    </row>
    <row r="16" spans="1:95" ht="15">
      <c r="A16" s="93">
        <f t="shared" si="36"/>
        <v>12</v>
      </c>
      <c r="B16" s="561" t="s">
        <v>22</v>
      </c>
      <c r="C16" s="561" t="s">
        <v>277</v>
      </c>
      <c r="D16" s="1118" t="str">
        <f t="shared" si="6"/>
        <v>Electricity</v>
      </c>
      <c r="G16" s="95">
        <v>1</v>
      </c>
      <c r="H16" s="95">
        <v>1</v>
      </c>
      <c r="I16" s="95">
        <v>1</v>
      </c>
      <c r="J16" s="95">
        <v>1</v>
      </c>
      <c r="K16" s="95">
        <v>1</v>
      </c>
      <c r="M16" s="95">
        <v>1</v>
      </c>
      <c r="N16" s="881">
        <v>0.92614771720220124</v>
      </c>
      <c r="O16" s="881">
        <v>0.88185177764855327</v>
      </c>
      <c r="P16" s="881">
        <v>0.97199999999999998</v>
      </c>
      <c r="Q16" s="881">
        <v>0.88185177764855327</v>
      </c>
      <c r="R16" s="881">
        <v>0.87928211713238158</v>
      </c>
      <c r="S16" s="878" t="str">
        <f t="shared" ref="S16:S44" si="63">IF(ISBLANK(L16),"",$R$1)</f>
        <v/>
      </c>
      <c r="T16" s="878">
        <f>P16</f>
        <v>0.97199999999999998</v>
      </c>
      <c r="U16" s="880">
        <f>[8]LossesCalib!F$14</f>
        <v>0.9119771214891641</v>
      </c>
      <c r="V16" s="880">
        <f>[8]LossesCalib!G$14</f>
        <v>3.9978401822178644</v>
      </c>
      <c r="W16" s="880">
        <f>IF(Sector.Industry,[8]LossesCalib!H$14,[8]LossesCalib!H$14)</f>
        <v>15.533587315156527</v>
      </c>
      <c r="X16" s="880">
        <f>[8]LossesCalib!J$14</f>
        <v>0.76987820775653648</v>
      </c>
      <c r="Y16" s="880">
        <f>[8]LossesCalib!I$14</f>
        <v>9.9384899206621569</v>
      </c>
      <c r="Z16" s="879" t="str">
        <f>IF(ISBLANK(L16),"",$Y$1)</f>
        <v/>
      </c>
      <c r="AA16" s="879">
        <f>IF(ISBLANK(M16),"",$Y$1)</f>
        <v>1.0000000000000001E-5</v>
      </c>
      <c r="AB16" s="95">
        <f t="shared" si="20"/>
        <v>60</v>
      </c>
      <c r="AC16" s="95">
        <f t="shared" si="21"/>
        <v>60</v>
      </c>
      <c r="AD16" s="95">
        <f t="shared" si="22"/>
        <v>60</v>
      </c>
      <c r="AE16" s="95">
        <f t="shared" si="23"/>
        <v>60</v>
      </c>
      <c r="AF16" s="95">
        <f t="shared" si="24"/>
        <v>60</v>
      </c>
      <c r="AG16" s="95" t="str">
        <f t="shared" si="25"/>
        <v/>
      </c>
      <c r="AH16" s="95">
        <f t="shared" si="26"/>
        <v>60</v>
      </c>
      <c r="AI16" s="1066">
        <f>2433*7.4*zar.2010</f>
        <v>23574.885069341282</v>
      </c>
      <c r="AJ16" s="1066">
        <f>AI16/2</f>
        <v>11787.442534670641</v>
      </c>
      <c r="AK16" s="1066">
        <f>IF(Sector.Industry,0,840.4*7.4)</f>
        <v>0</v>
      </c>
      <c r="AL16" s="1066">
        <f>AJ16</f>
        <v>11787.442534670641</v>
      </c>
      <c r="AM16" s="1066">
        <f>AI16</f>
        <v>23574.885069341282</v>
      </c>
      <c r="AN16" s="838" t="str">
        <f>IF(ISBLANK(L16),"",$AM$1)</f>
        <v/>
      </c>
      <c r="AO16" s="838">
        <f>AJ16/2</f>
        <v>5893.7212673353206</v>
      </c>
      <c r="AP16" s="519">
        <f t="shared" si="38"/>
        <v>2</v>
      </c>
      <c r="AQ16" s="263">
        <f t="shared" si="39"/>
        <v>2</v>
      </c>
      <c r="AR16" s="263">
        <f t="shared" si="40"/>
        <v>6</v>
      </c>
      <c r="AS16" s="263">
        <f t="shared" si="41"/>
        <v>1</v>
      </c>
      <c r="AT16" s="263">
        <f t="shared" si="42"/>
        <v>3</v>
      </c>
      <c r="AU16" s="263">
        <f t="shared" si="43"/>
        <v>7</v>
      </c>
      <c r="AV16" s="520">
        <f t="shared" si="44"/>
        <v>4</v>
      </c>
      <c r="AW16" s="93">
        <f t="shared" si="45"/>
        <v>12</v>
      </c>
      <c r="AX16" s="93" t="str">
        <f t="shared" si="34"/>
        <v>ELC</v>
      </c>
      <c r="AY16" s="93">
        <v>0</v>
      </c>
      <c r="AZ16" s="93">
        <v>0</v>
      </c>
      <c r="BA16" s="93">
        <v>0</v>
      </c>
      <c r="BB16" s="93">
        <v>0</v>
      </c>
      <c r="BC16" s="93">
        <v>0</v>
      </c>
      <c r="BD16" s="93">
        <v>0</v>
      </c>
      <c r="BE16" s="93">
        <v>0</v>
      </c>
      <c r="BF16" s="93">
        <v>0</v>
      </c>
      <c r="BG16" s="93">
        <v>0</v>
      </c>
      <c r="BH16" s="93">
        <v>0</v>
      </c>
      <c r="BI16" s="93">
        <v>0</v>
      </c>
      <c r="BJ16" s="93">
        <v>0</v>
      </c>
      <c r="BK16" s="93">
        <v>0</v>
      </c>
      <c r="BL16" s="93">
        <v>0</v>
      </c>
      <c r="BM16" s="93">
        <v>0</v>
      </c>
      <c r="BN16" s="93">
        <v>0</v>
      </c>
      <c r="BO16" s="93">
        <f t="shared" si="35"/>
        <v>31</v>
      </c>
      <c r="BP16" s="93">
        <f t="shared" si="46"/>
        <v>0</v>
      </c>
      <c r="BR16" s="93">
        <f t="shared" si="47"/>
        <v>0</v>
      </c>
      <c r="BS16" s="93">
        <f t="shared" si="48"/>
        <v>0</v>
      </c>
      <c r="BT16" s="93">
        <f t="shared" si="49"/>
        <v>0</v>
      </c>
      <c r="BU16" s="93">
        <f t="shared" si="50"/>
        <v>0</v>
      </c>
      <c r="BV16" s="93">
        <f t="shared" si="51"/>
        <v>0</v>
      </c>
      <c r="BW16" s="93">
        <f t="shared" si="52"/>
        <v>0</v>
      </c>
      <c r="BX16" s="93">
        <f t="shared" si="53"/>
        <v>0</v>
      </c>
      <c r="BY16" s="93">
        <f t="shared" si="54"/>
        <v>0</v>
      </c>
      <c r="BZ16" s="93">
        <f t="shared" si="55"/>
        <v>0</v>
      </c>
      <c r="CA16" s="93">
        <f t="shared" si="56"/>
        <v>0</v>
      </c>
      <c r="CB16" s="93">
        <f t="shared" si="57"/>
        <v>0</v>
      </c>
      <c r="CC16" s="93">
        <f t="shared" si="58"/>
        <v>0</v>
      </c>
      <c r="CD16" s="93">
        <f t="shared" si="59"/>
        <v>0</v>
      </c>
      <c r="CE16" s="93">
        <f t="shared" si="60"/>
        <v>0</v>
      </c>
      <c r="CF16" s="93">
        <f t="shared" si="61"/>
        <v>0</v>
      </c>
      <c r="CG16" s="93">
        <f t="shared" si="62"/>
        <v>0</v>
      </c>
      <c r="CH16" s="93" t="str">
        <f>IFERROR(HLOOKUP(CH$4,$BR16:$CG$46,$BO16,FALSE),"")</f>
        <v/>
      </c>
      <c r="CI16" s="93" t="str">
        <f>IFERROR(HLOOKUP(CI$4,$BR16:$CG$46,$BO16,FALSE),"")</f>
        <v/>
      </c>
      <c r="CJ16" s="93" t="str">
        <f>IFERROR(HLOOKUP(CJ$4,$BR16:$CG$46,$BO16,FALSE),"")</f>
        <v/>
      </c>
      <c r="CK16" s="93" t="str">
        <f>IFERROR(HLOOKUP(CK$4,$BR16:$CG$46,$BO16,FALSE),"")</f>
        <v/>
      </c>
      <c r="CL16" s="93" t="str">
        <f>IFERROR(HLOOKUP(CL$4,$BR16:$CG$46,$BO16,FALSE),"")</f>
        <v/>
      </c>
      <c r="CM16" s="93" t="str">
        <f>IFERROR(HLOOKUP(CM$4,$BR16:$CG$46,$BO16,FALSE),"")</f>
        <v/>
      </c>
      <c r="CN16" s="93" t="str">
        <f>IFERROR(HLOOKUP(CN$4,$BR16:$CG$46,$BO16,FALSE),"")</f>
        <v/>
      </c>
      <c r="CO16" s="93" t="str">
        <f>IFERROR(HLOOKUP(CO$4,$BR16:$CG$46,$BO16,FALSE),"")</f>
        <v/>
      </c>
      <c r="CP16" s="93" t="str">
        <f>IFERROR(HLOOKUP(CP$4,$BR16:$CG$46,$BO16,FALSE),"")</f>
        <v/>
      </c>
      <c r="CQ16" s="93" t="str">
        <f>IFERROR(HLOOKUP(CQ$4,$BR16:$CG$46,$BO16,FALSE),"")</f>
        <v/>
      </c>
    </row>
    <row r="17" spans="1:95">
      <c r="A17" s="93">
        <f t="shared" si="36"/>
        <v>13</v>
      </c>
      <c r="B17" s="561" t="s">
        <v>886</v>
      </c>
      <c r="C17" s="561" t="s">
        <v>275</v>
      </c>
      <c r="D17" s="1118" t="str">
        <f t="shared" si="6"/>
        <v>Electricity Upstream Transmission</v>
      </c>
      <c r="N17" s="95" t="str">
        <f t="shared" ref="N17:N25" si="64">IF(ISBLANK(G17),"",$R$1)</f>
        <v/>
      </c>
      <c r="O17" s="95" t="str">
        <f t="shared" ref="O17:O25" si="65">IF(ISBLANK(H17),"",$R$1)</f>
        <v/>
      </c>
      <c r="P17" s="95" t="str">
        <f t="shared" ref="P17:P25" si="66">IF(ISBLANK(I17),"",$R$1)</f>
        <v/>
      </c>
      <c r="Q17" s="95" t="str">
        <f t="shared" ref="Q17:Q25" si="67">IF(ISBLANK(J17),"",$R$1)</f>
        <v/>
      </c>
      <c r="R17" s="95" t="str">
        <f t="shared" ref="R17:R25" si="68">IF(ISBLANK(K17),"",$R$1)</f>
        <v/>
      </c>
      <c r="S17" s="95" t="str">
        <f t="shared" si="63"/>
        <v/>
      </c>
      <c r="T17" s="95" t="str">
        <f t="shared" ref="T17:T44" si="69">IF(ISBLANK(M17),"",$R$1)</f>
        <v/>
      </c>
      <c r="U17" s="95" t="str">
        <f>IF(ISBLANK(G17),"",$Y$1)</f>
        <v/>
      </c>
      <c r="V17" s="95" t="str">
        <f>IF(ISBLANK(H17),"",$Y$1)</f>
        <v/>
      </c>
      <c r="W17" s="95" t="str">
        <f>IF(ISBLANK(I17),"",$Y$1)</f>
        <v/>
      </c>
      <c r="X17" s="95" t="str">
        <f>IF(ISBLANK(J17),"",$Y$1)</f>
        <v/>
      </c>
      <c r="Y17" s="95" t="str">
        <f>IF(ISBLANK(K17),"",$Y$1)</f>
        <v/>
      </c>
      <c r="Z17" s="95" t="str">
        <f>IF(ISBLANK(L17),"",$Y$1)</f>
        <v/>
      </c>
      <c r="AA17" s="95" t="str">
        <f>IF(ISBLANK(M17),"",$Y$1)</f>
        <v/>
      </c>
      <c r="AB17" s="95" t="str">
        <f t="shared" si="20"/>
        <v/>
      </c>
      <c r="AC17" s="95" t="str">
        <f t="shared" si="21"/>
        <v/>
      </c>
      <c r="AD17" s="95" t="str">
        <f t="shared" si="22"/>
        <v/>
      </c>
      <c r="AE17" s="95" t="str">
        <f t="shared" si="23"/>
        <v/>
      </c>
      <c r="AF17" s="95" t="str">
        <f t="shared" si="24"/>
        <v/>
      </c>
      <c r="AG17" s="95" t="str">
        <f t="shared" si="25"/>
        <v/>
      </c>
      <c r="AH17" s="95" t="str">
        <f t="shared" si="26"/>
        <v/>
      </c>
      <c r="AI17" s="95" t="str">
        <f>IF(ISBLANK(G17),"",$AM$1)</f>
        <v/>
      </c>
      <c r="AJ17" s="95" t="str">
        <f>IF(ISBLANK(H17),"",$AM$1)</f>
        <v/>
      </c>
      <c r="AK17" s="95" t="str">
        <f>IF(ISBLANK(I17),"",$AM$1)</f>
        <v/>
      </c>
      <c r="AL17" s="95" t="str">
        <f>IF(ISBLANK(J17),"",$AM$1)</f>
        <v/>
      </c>
      <c r="AM17" s="95" t="str">
        <f>IF(ISBLANK(K17),"",$AM$1)</f>
        <v/>
      </c>
      <c r="AN17" s="95" t="str">
        <f>IF(ISBLANK(L17),"",$AM$1)</f>
        <v/>
      </c>
      <c r="AO17" s="95" t="str">
        <f>IF(ISBLANK(M17),"",$AM$1)</f>
        <v/>
      </c>
      <c r="AP17" s="519">
        <f t="shared" si="38"/>
        <v>2</v>
      </c>
      <c r="AQ17" s="263">
        <f t="shared" si="39"/>
        <v>2</v>
      </c>
      <c r="AR17" s="263">
        <f t="shared" si="40"/>
        <v>6</v>
      </c>
      <c r="AS17" s="263">
        <f t="shared" si="41"/>
        <v>1</v>
      </c>
      <c r="AT17" s="263">
        <f t="shared" si="42"/>
        <v>3</v>
      </c>
      <c r="AU17" s="263">
        <f t="shared" si="43"/>
        <v>7</v>
      </c>
      <c r="AV17" s="520">
        <f t="shared" si="44"/>
        <v>4</v>
      </c>
      <c r="AW17" s="93">
        <f t="shared" si="45"/>
        <v>13</v>
      </c>
      <c r="AX17" s="93" t="str">
        <f t="shared" si="34"/>
        <v>ELCC</v>
      </c>
      <c r="AY17" s="93">
        <v>0</v>
      </c>
      <c r="AZ17" s="93">
        <v>0</v>
      </c>
      <c r="BA17" s="93">
        <v>0</v>
      </c>
      <c r="BB17" s="93">
        <v>0</v>
      </c>
      <c r="BC17" s="93">
        <v>0</v>
      </c>
      <c r="BD17" s="93">
        <v>0</v>
      </c>
      <c r="BE17" s="93">
        <v>0</v>
      </c>
      <c r="BF17" s="93">
        <v>0</v>
      </c>
      <c r="BG17" s="93">
        <v>0</v>
      </c>
      <c r="BH17" s="93">
        <v>0</v>
      </c>
      <c r="BI17" s="93">
        <v>0</v>
      </c>
      <c r="BJ17" s="93">
        <v>0</v>
      </c>
      <c r="BK17" s="93">
        <v>0</v>
      </c>
      <c r="BL17" s="93">
        <v>0</v>
      </c>
      <c r="BM17" s="93">
        <v>0</v>
      </c>
      <c r="BN17" s="93">
        <v>0</v>
      </c>
      <c r="BO17" s="93">
        <f t="shared" si="35"/>
        <v>30</v>
      </c>
      <c r="BP17" s="93">
        <f t="shared" si="46"/>
        <v>0</v>
      </c>
      <c r="BR17" s="93">
        <f t="shared" si="47"/>
        <v>0</v>
      </c>
      <c r="BS17" s="93">
        <f t="shared" si="48"/>
        <v>0</v>
      </c>
      <c r="BT17" s="93">
        <f t="shared" si="49"/>
        <v>0</v>
      </c>
      <c r="BU17" s="93">
        <f t="shared" si="50"/>
        <v>0</v>
      </c>
      <c r="BV17" s="93">
        <f t="shared" si="51"/>
        <v>0</v>
      </c>
      <c r="BW17" s="93">
        <f t="shared" si="52"/>
        <v>0</v>
      </c>
      <c r="BX17" s="93">
        <f t="shared" si="53"/>
        <v>0</v>
      </c>
      <c r="BY17" s="93">
        <f t="shared" si="54"/>
        <v>0</v>
      </c>
      <c r="BZ17" s="93">
        <f t="shared" si="55"/>
        <v>0</v>
      </c>
      <c r="CA17" s="93">
        <f t="shared" si="56"/>
        <v>0</v>
      </c>
      <c r="CB17" s="93">
        <f t="shared" si="57"/>
        <v>0</v>
      </c>
      <c r="CC17" s="93">
        <f t="shared" si="58"/>
        <v>0</v>
      </c>
      <c r="CD17" s="93">
        <f t="shared" si="59"/>
        <v>0</v>
      </c>
      <c r="CE17" s="93">
        <f t="shared" si="60"/>
        <v>0</v>
      </c>
      <c r="CF17" s="93">
        <f t="shared" si="61"/>
        <v>0</v>
      </c>
      <c r="CG17" s="93">
        <f t="shared" si="62"/>
        <v>0</v>
      </c>
      <c r="CH17" s="93" t="str">
        <f>IFERROR(HLOOKUP(CH$4,$BR17:$CG$46,$BO17,FALSE),"")</f>
        <v/>
      </c>
      <c r="CI17" s="93" t="str">
        <f>IFERROR(HLOOKUP(CI$4,$BR17:$CG$46,$BO17,FALSE),"")</f>
        <v/>
      </c>
      <c r="CJ17" s="93" t="str">
        <f>IFERROR(HLOOKUP(CJ$4,$BR17:$CG$46,$BO17,FALSE),"")</f>
        <v/>
      </c>
      <c r="CK17" s="93" t="str">
        <f>IFERROR(HLOOKUP(CK$4,$BR17:$CG$46,$BO17,FALSE),"")</f>
        <v/>
      </c>
      <c r="CL17" s="93" t="str">
        <f>IFERROR(HLOOKUP(CL$4,$BR17:$CG$46,$BO17,FALSE),"")</f>
        <v/>
      </c>
      <c r="CM17" s="93" t="str">
        <f>IFERROR(HLOOKUP(CM$4,$BR17:$CG$46,$BO17,FALSE),"")</f>
        <v/>
      </c>
      <c r="CN17" s="93" t="str">
        <f>IFERROR(HLOOKUP(CN$4,$BR17:$CG$46,$BO17,FALSE),"")</f>
        <v/>
      </c>
      <c r="CO17" s="93" t="str">
        <f>IFERROR(HLOOKUP(CO$4,$BR17:$CG$46,$BO17,FALSE),"")</f>
        <v/>
      </c>
      <c r="CP17" s="93" t="str">
        <f>IFERROR(HLOOKUP(CP$4,$BR17:$CG$46,$BO17,FALSE),"")</f>
        <v/>
      </c>
      <c r="CQ17" s="93" t="str">
        <f>IFERROR(HLOOKUP(CQ$4,$BR17:$CG$46,$BO17,FALSE),"")</f>
        <v/>
      </c>
    </row>
    <row r="18" spans="1:95" ht="15">
      <c r="A18" s="93">
        <f t="shared" si="36"/>
        <v>14</v>
      </c>
      <c r="B18" s="561" t="s">
        <v>1184</v>
      </c>
      <c r="C18" s="561" t="s">
        <v>366</v>
      </c>
      <c r="D18" s="1118" t="str">
        <f t="shared" si="6"/>
        <v>Gas South Africa</v>
      </c>
      <c r="H18" s="95">
        <v>1</v>
      </c>
      <c r="I18" s="95">
        <v>1</v>
      </c>
      <c r="J18" s="95">
        <v>1</v>
      </c>
      <c r="K18" s="95">
        <v>1</v>
      </c>
      <c r="L18" s="95">
        <v>1</v>
      </c>
      <c r="M18" s="95">
        <v>1</v>
      </c>
      <c r="N18" s="95" t="str">
        <f t="shared" si="64"/>
        <v/>
      </c>
      <c r="O18" s="1288">
        <f>'Fugitive emissions'!O7</f>
        <v>0.999</v>
      </c>
      <c r="P18" s="1288">
        <f>O18</f>
        <v>0.999</v>
      </c>
      <c r="Q18" s="1288">
        <f>P18</f>
        <v>0.999</v>
      </c>
      <c r="R18" s="1288">
        <f>Q18</f>
        <v>0.999</v>
      </c>
      <c r="S18" s="1288">
        <f>R18</f>
        <v>0.999</v>
      </c>
      <c r="T18" s="1288">
        <f>S18</f>
        <v>0.999</v>
      </c>
      <c r="U18" s="880">
        <f>[8]LossesCalib!F21</f>
        <v>0</v>
      </c>
      <c r="V18" s="880">
        <f>[8]LossesCalib!G21</f>
        <v>0</v>
      </c>
      <c r="W18" s="880">
        <f>[8]LossesCalib!H21</f>
        <v>18.46</v>
      </c>
      <c r="X18" s="880">
        <f>[8]LossesCalib!I21</f>
        <v>0</v>
      </c>
      <c r="Y18" s="880">
        <f>[8]LossesCalib!J21</f>
        <v>0</v>
      </c>
      <c r="Z18" s="880">
        <f>[8]LossesCalib!K21</f>
        <v>0</v>
      </c>
      <c r="AA18" s="95">
        <f t="shared" ref="AA18:AA25" si="70">IF(ISBLANK(M18),"",$Y$1)</f>
        <v>1.0000000000000001E-5</v>
      </c>
      <c r="AB18" s="95" t="str">
        <f t="shared" ref="AB18:AB25" si="71">IF(ISBLANK(G18),"",$AF$1)</f>
        <v/>
      </c>
      <c r="AC18" s="1045">
        <v>60</v>
      </c>
      <c r="AD18" s="1045">
        <v>70</v>
      </c>
      <c r="AE18" s="1045">
        <v>60</v>
      </c>
      <c r="AF18" s="1045">
        <v>60</v>
      </c>
      <c r="AG18" s="1045">
        <v>80</v>
      </c>
      <c r="AH18" s="1045">
        <v>80</v>
      </c>
      <c r="AI18" s="838">
        <f>Distribution!B93</f>
        <v>0</v>
      </c>
      <c r="AJ18" s="1125">
        <f>AJ16*$AM$18/$AM$16</f>
        <v>264.49961291265515</v>
      </c>
      <c r="AK18" s="1125">
        <f>AK16*$AM$18/$AM$16</f>
        <v>0</v>
      </c>
      <c r="AL18" s="1125">
        <f>AL16*$AM$18/$AM$16</f>
        <v>264.49961291265515</v>
      </c>
      <c r="AM18" s="1125">
        <f>Distribution!F93</f>
        <v>528.9992258253103</v>
      </c>
      <c r="AN18" s="1125">
        <f>Distribution!G93</f>
        <v>27.842064517121592</v>
      </c>
      <c r="AO18" s="1265">
        <f>Distribution!H93</f>
        <v>27.842064517121592</v>
      </c>
      <c r="AP18" s="519">
        <f t="shared" si="38"/>
        <v>2</v>
      </c>
      <c r="AQ18" s="263">
        <f t="shared" si="39"/>
        <v>3</v>
      </c>
      <c r="AR18" s="263">
        <f t="shared" si="40"/>
        <v>7</v>
      </c>
      <c r="AS18" s="263">
        <f t="shared" si="41"/>
        <v>2</v>
      </c>
      <c r="AT18" s="263">
        <f t="shared" si="42"/>
        <v>4</v>
      </c>
      <c r="AU18" s="263">
        <f t="shared" si="43"/>
        <v>8</v>
      </c>
      <c r="AV18" s="520">
        <f t="shared" si="44"/>
        <v>5</v>
      </c>
      <c r="AW18" s="93">
        <f t="shared" si="45"/>
        <v>14</v>
      </c>
      <c r="AX18" s="93" t="str">
        <f t="shared" si="34"/>
        <v>GAS</v>
      </c>
      <c r="AY18" s="93">
        <v>56.1</v>
      </c>
      <c r="AZ18" s="93">
        <v>1E-3</v>
      </c>
      <c r="BA18" s="93">
        <v>1E-4</v>
      </c>
      <c r="BB18" s="93">
        <v>0</v>
      </c>
      <c r="BC18" s="93">
        <v>0.15</v>
      </c>
      <c r="BD18" s="93">
        <v>0.02</v>
      </c>
      <c r="BE18" s="93">
        <v>5.0000000000000001E-3</v>
      </c>
      <c r="BF18" s="93">
        <v>0</v>
      </c>
      <c r="BG18" s="93">
        <v>0</v>
      </c>
      <c r="BH18" s="93">
        <v>0</v>
      </c>
      <c r="BI18" s="93">
        <v>0</v>
      </c>
      <c r="BJ18" s="93">
        <v>0</v>
      </c>
      <c r="BK18" s="93">
        <v>0</v>
      </c>
      <c r="BL18" s="93">
        <v>0</v>
      </c>
      <c r="BM18" s="93">
        <v>0</v>
      </c>
      <c r="BN18" s="93">
        <v>0</v>
      </c>
      <c r="BO18" s="93">
        <f t="shared" si="35"/>
        <v>29</v>
      </c>
      <c r="BP18" s="93">
        <f t="shared" si="46"/>
        <v>6</v>
      </c>
      <c r="BR18" s="93">
        <f t="shared" si="47"/>
        <v>1</v>
      </c>
      <c r="BS18" s="93">
        <f t="shared" si="48"/>
        <v>2</v>
      </c>
      <c r="BT18" s="93">
        <f t="shared" si="49"/>
        <v>3</v>
      </c>
      <c r="BU18" s="93">
        <f t="shared" si="50"/>
        <v>3</v>
      </c>
      <c r="BV18" s="93">
        <f t="shared" si="51"/>
        <v>4</v>
      </c>
      <c r="BW18" s="93">
        <f t="shared" si="52"/>
        <v>5</v>
      </c>
      <c r="BX18" s="93">
        <f t="shared" si="53"/>
        <v>6</v>
      </c>
      <c r="BY18" s="93">
        <f t="shared" si="54"/>
        <v>6</v>
      </c>
      <c r="BZ18" s="93">
        <f t="shared" si="55"/>
        <v>6</v>
      </c>
      <c r="CA18" s="93">
        <f t="shared" si="56"/>
        <v>6</v>
      </c>
      <c r="CB18" s="93">
        <f t="shared" si="57"/>
        <v>6</v>
      </c>
      <c r="CC18" s="93">
        <f t="shared" si="58"/>
        <v>6</v>
      </c>
      <c r="CD18" s="93">
        <f t="shared" si="59"/>
        <v>6</v>
      </c>
      <c r="CE18" s="93">
        <f t="shared" si="60"/>
        <v>6</v>
      </c>
      <c r="CF18" s="93">
        <f t="shared" si="61"/>
        <v>6</v>
      </c>
      <c r="CG18" s="93">
        <f t="shared" si="62"/>
        <v>6</v>
      </c>
      <c r="CH18" s="93">
        <f>IFERROR(HLOOKUP(CH$4,$BR18:$CG$46,$BO18,FALSE),"")</f>
        <v>1</v>
      </c>
      <c r="CI18" s="93">
        <f>IFERROR(HLOOKUP(CI$4,$BR18:$CG$46,$BO18,FALSE),"")</f>
        <v>2</v>
      </c>
      <c r="CJ18" s="93">
        <f>IFERROR(HLOOKUP(CJ$4,$BR18:$CG$46,$BO18,FALSE),"")</f>
        <v>3</v>
      </c>
      <c r="CK18" s="93">
        <f>IFERROR(HLOOKUP(CK$4,$BR18:$CG$46,$BO18,FALSE),"")</f>
        <v>5</v>
      </c>
      <c r="CL18" s="93">
        <f>IFERROR(HLOOKUP(CL$4,$BR18:$CG$46,$BO18,FALSE),"")</f>
        <v>6</v>
      </c>
      <c r="CM18" s="93">
        <f>IFERROR(HLOOKUP(CM$4,$BR18:$CG$46,$BO18,FALSE),"")</f>
        <v>7</v>
      </c>
      <c r="CN18" s="93" t="str">
        <f>IFERROR(HLOOKUP(CN$4,$BR18:$CG$46,$BO18,FALSE),"")</f>
        <v/>
      </c>
      <c r="CO18" s="93" t="str">
        <f>IFERROR(HLOOKUP(CO$4,$BR18:$CG$46,$BO18,FALSE),"")</f>
        <v/>
      </c>
      <c r="CP18" s="93" t="str">
        <f>IFERROR(HLOOKUP(CP$4,$BR18:$CG$46,$BO18,FALSE),"")</f>
        <v/>
      </c>
      <c r="CQ18" s="93" t="str">
        <f>IFERROR(HLOOKUP(CQ$4,$BR18:$CG$46,$BO18,FALSE),"")</f>
        <v/>
      </c>
    </row>
    <row r="19" spans="1:95">
      <c r="A19" s="93">
        <f t="shared" si="36"/>
        <v>15</v>
      </c>
      <c r="B19" s="561" t="s">
        <v>1795</v>
      </c>
      <c r="C19" s="561" t="s">
        <v>1808</v>
      </c>
      <c r="D19" s="1118" t="str">
        <f t="shared" si="6"/>
        <v>Gas Southern Mozambique</v>
      </c>
      <c r="L19" s="95">
        <v>1</v>
      </c>
      <c r="N19" s="95" t="str">
        <f t="shared" si="64"/>
        <v/>
      </c>
      <c r="O19" s="95" t="str">
        <f t="shared" si="65"/>
        <v/>
      </c>
      <c r="P19" s="95" t="str">
        <f t="shared" si="66"/>
        <v/>
      </c>
      <c r="Q19" s="95" t="str">
        <f t="shared" si="67"/>
        <v/>
      </c>
      <c r="R19" s="95" t="str">
        <f t="shared" si="68"/>
        <v/>
      </c>
      <c r="S19" s="95">
        <f t="shared" si="63"/>
        <v>1</v>
      </c>
      <c r="T19" s="95" t="str">
        <f t="shared" si="69"/>
        <v/>
      </c>
      <c r="U19" s="95" t="str">
        <f t="shared" ref="U19:Z25" si="72">IF(ISBLANK(G19),"",$Y$1)</f>
        <v/>
      </c>
      <c r="V19" s="95" t="str">
        <f t="shared" si="72"/>
        <v/>
      </c>
      <c r="W19" s="95" t="str">
        <f t="shared" si="72"/>
        <v/>
      </c>
      <c r="X19" s="95" t="str">
        <f t="shared" si="72"/>
        <v/>
      </c>
      <c r="Y19" s="95" t="str">
        <f t="shared" si="72"/>
        <v/>
      </c>
      <c r="Z19" s="95">
        <f t="shared" si="72"/>
        <v>1.0000000000000001E-5</v>
      </c>
      <c r="AA19" s="95" t="str">
        <f t="shared" si="70"/>
        <v/>
      </c>
      <c r="AB19" s="95" t="str">
        <f t="shared" si="71"/>
        <v/>
      </c>
      <c r="AC19" s="880" t="str">
        <f t="shared" ref="AC19:AH25" si="73">IF(ISBLANK(H19),"",$AF$1)</f>
        <v/>
      </c>
      <c r="AD19" s="880" t="str">
        <f t="shared" si="73"/>
        <v/>
      </c>
      <c r="AE19" s="880" t="str">
        <f t="shared" si="73"/>
        <v/>
      </c>
      <c r="AF19" s="880" t="str">
        <f t="shared" si="73"/>
        <v/>
      </c>
      <c r="AG19" s="1045">
        <f t="shared" si="73"/>
        <v>60</v>
      </c>
      <c r="AH19" s="95" t="str">
        <f t="shared" si="73"/>
        <v/>
      </c>
      <c r="AI19" s="95" t="str">
        <f t="shared" ref="AI19:AO24" si="74">IF(ISBLANK(G19),"",$AM$1)</f>
        <v/>
      </c>
      <c r="AJ19" s="95" t="str">
        <f t="shared" si="74"/>
        <v/>
      </c>
      <c r="AK19" s="95" t="str">
        <f t="shared" si="74"/>
        <v/>
      </c>
      <c r="AL19" s="95" t="str">
        <f t="shared" si="74"/>
        <v/>
      </c>
      <c r="AM19" s="95" t="str">
        <f t="shared" si="74"/>
        <v/>
      </c>
      <c r="AN19" s="95">
        <f t="shared" si="74"/>
        <v>1E-4</v>
      </c>
      <c r="AO19" s="95" t="str">
        <f t="shared" si="74"/>
        <v/>
      </c>
      <c r="AP19" s="519">
        <f t="shared" si="38"/>
        <v>2</v>
      </c>
      <c r="AQ19" s="263">
        <f t="shared" si="39"/>
        <v>3</v>
      </c>
      <c r="AR19" s="263">
        <f t="shared" si="40"/>
        <v>7</v>
      </c>
      <c r="AS19" s="263">
        <f t="shared" si="41"/>
        <v>2</v>
      </c>
      <c r="AT19" s="263">
        <f t="shared" si="42"/>
        <v>4</v>
      </c>
      <c r="AU19" s="263">
        <f t="shared" si="43"/>
        <v>9</v>
      </c>
      <c r="AV19" s="520">
        <f t="shared" si="44"/>
        <v>5</v>
      </c>
      <c r="AW19" s="93">
        <f t="shared" si="45"/>
        <v>15</v>
      </c>
      <c r="AX19" s="870" t="str">
        <f t="shared" si="34"/>
        <v>GRS</v>
      </c>
      <c r="AY19" s="93">
        <v>0</v>
      </c>
      <c r="AZ19" s="93">
        <v>0</v>
      </c>
      <c r="BA19" s="93">
        <v>0</v>
      </c>
      <c r="BB19" s="93">
        <v>0</v>
      </c>
      <c r="BC19" s="93">
        <v>0</v>
      </c>
      <c r="BD19" s="93">
        <v>0</v>
      </c>
      <c r="BE19" s="93">
        <v>0</v>
      </c>
      <c r="BF19" s="93">
        <v>0</v>
      </c>
      <c r="BG19" s="93">
        <v>56.1</v>
      </c>
      <c r="BH19" s="93">
        <v>1E-3</v>
      </c>
      <c r="BI19" s="93">
        <v>1E-4</v>
      </c>
      <c r="BJ19" s="93">
        <v>0</v>
      </c>
      <c r="BK19" s="93">
        <v>0.15</v>
      </c>
      <c r="BL19" s="93">
        <v>0.02</v>
      </c>
      <c r="BM19" s="93">
        <v>5.0000000000000001E-3</v>
      </c>
      <c r="BN19" s="93">
        <v>0</v>
      </c>
      <c r="BO19" s="93">
        <f t="shared" si="35"/>
        <v>28</v>
      </c>
      <c r="BP19" s="93">
        <f t="shared" si="46"/>
        <v>6</v>
      </c>
      <c r="BR19" s="93">
        <f t="shared" si="47"/>
        <v>0</v>
      </c>
      <c r="BS19" s="93">
        <f t="shared" si="48"/>
        <v>0</v>
      </c>
      <c r="BT19" s="93">
        <f t="shared" si="49"/>
        <v>0</v>
      </c>
      <c r="BU19" s="93">
        <f t="shared" si="50"/>
        <v>0</v>
      </c>
      <c r="BV19" s="93">
        <f t="shared" si="51"/>
        <v>0</v>
      </c>
      <c r="BW19" s="93">
        <f t="shared" si="52"/>
        <v>0</v>
      </c>
      <c r="BX19" s="93">
        <f t="shared" si="53"/>
        <v>0</v>
      </c>
      <c r="BY19" s="93">
        <f t="shared" si="54"/>
        <v>0</v>
      </c>
      <c r="BZ19" s="93">
        <f t="shared" si="55"/>
        <v>1</v>
      </c>
      <c r="CA19" s="93">
        <f t="shared" si="56"/>
        <v>2</v>
      </c>
      <c r="CB19" s="93">
        <f t="shared" si="57"/>
        <v>3</v>
      </c>
      <c r="CC19" s="93">
        <f t="shared" si="58"/>
        <v>3</v>
      </c>
      <c r="CD19" s="93">
        <f t="shared" si="59"/>
        <v>4</v>
      </c>
      <c r="CE19" s="93">
        <f t="shared" si="60"/>
        <v>5</v>
      </c>
      <c r="CF19" s="93">
        <f t="shared" si="61"/>
        <v>6</v>
      </c>
      <c r="CG19" s="93">
        <f t="shared" si="62"/>
        <v>6</v>
      </c>
      <c r="CH19" s="93">
        <f>IFERROR(HLOOKUP(CH$4,$BR19:$CG$46,$BO19,FALSE),"")</f>
        <v>9</v>
      </c>
      <c r="CI19" s="93">
        <f>IFERROR(HLOOKUP(CI$4,$BR19:$CG$46,$BO19,FALSE),"")</f>
        <v>10</v>
      </c>
      <c r="CJ19" s="93">
        <f>IFERROR(HLOOKUP(CJ$4,$BR19:$CG$46,$BO19,FALSE),"")</f>
        <v>11</v>
      </c>
      <c r="CK19" s="93">
        <f>IFERROR(HLOOKUP(CK$4,$BR19:$CG$46,$BO19,FALSE),"")</f>
        <v>13</v>
      </c>
      <c r="CL19" s="93">
        <f>IFERROR(HLOOKUP(CL$4,$BR19:$CG$46,$BO19,FALSE),"")</f>
        <v>14</v>
      </c>
      <c r="CM19" s="93">
        <f>IFERROR(HLOOKUP(CM$4,$BR19:$CG$46,$BO19,FALSE),"")</f>
        <v>15</v>
      </c>
      <c r="CN19" s="93" t="str">
        <f>IFERROR(HLOOKUP(CN$4,$BR19:$CG$46,$BO19,FALSE),"")</f>
        <v/>
      </c>
      <c r="CO19" s="93" t="str">
        <f>IFERROR(HLOOKUP(CO$4,$BR19:$CG$46,$BO19,FALSE),"")</f>
        <v/>
      </c>
      <c r="CP19" s="93" t="str">
        <f>IFERROR(HLOOKUP(CP$4,$BR19:$CG$46,$BO19,FALSE),"")</f>
        <v/>
      </c>
      <c r="CQ19" s="93" t="str">
        <f>IFERROR(HLOOKUP(CQ$4,$BR19:$CG$46,$BO19,FALSE),"")</f>
        <v/>
      </c>
    </row>
    <row r="20" spans="1:95" s="870" customFormat="1">
      <c r="A20" s="93">
        <f t="shared" si="36"/>
        <v>16</v>
      </c>
      <c r="B20" s="561" t="s">
        <v>1801</v>
      </c>
      <c r="C20" s="561" t="s">
        <v>1809</v>
      </c>
      <c r="D20" s="1118" t="str">
        <f t="shared" si="6"/>
        <v>Gas Namibia</v>
      </c>
      <c r="G20" s="871"/>
      <c r="H20" s="871"/>
      <c r="I20" s="871"/>
      <c r="J20" s="871"/>
      <c r="K20" s="871"/>
      <c r="L20" s="871">
        <v>1</v>
      </c>
      <c r="M20" s="871"/>
      <c r="N20" s="871" t="str">
        <f t="shared" si="64"/>
        <v/>
      </c>
      <c r="O20" s="871" t="str">
        <f t="shared" si="65"/>
        <v/>
      </c>
      <c r="P20" s="871" t="str">
        <f t="shared" si="66"/>
        <v/>
      </c>
      <c r="Q20" s="871" t="str">
        <f t="shared" si="67"/>
        <v/>
      </c>
      <c r="R20" s="871" t="str">
        <f t="shared" si="68"/>
        <v/>
      </c>
      <c r="S20" s="871">
        <f t="shared" si="63"/>
        <v>1</v>
      </c>
      <c r="T20" s="871" t="str">
        <f t="shared" si="69"/>
        <v/>
      </c>
      <c r="U20" s="95" t="str">
        <f t="shared" si="72"/>
        <v/>
      </c>
      <c r="V20" s="95" t="str">
        <f t="shared" si="72"/>
        <v/>
      </c>
      <c r="W20" s="95" t="str">
        <f t="shared" si="72"/>
        <v/>
      </c>
      <c r="X20" s="95" t="str">
        <f t="shared" si="72"/>
        <v/>
      </c>
      <c r="Y20" s="95" t="str">
        <f t="shared" si="72"/>
        <v/>
      </c>
      <c r="Z20" s="95">
        <f t="shared" si="72"/>
        <v>1.0000000000000001E-5</v>
      </c>
      <c r="AA20" s="95" t="str">
        <f t="shared" si="70"/>
        <v/>
      </c>
      <c r="AB20" s="95" t="str">
        <f t="shared" si="71"/>
        <v/>
      </c>
      <c r="AC20" s="95" t="str">
        <f t="shared" si="73"/>
        <v/>
      </c>
      <c r="AD20" s="95" t="str">
        <f t="shared" si="73"/>
        <v/>
      </c>
      <c r="AE20" s="95" t="str">
        <f t="shared" si="73"/>
        <v/>
      </c>
      <c r="AF20" s="95" t="str">
        <f t="shared" si="73"/>
        <v/>
      </c>
      <c r="AG20" s="95">
        <f t="shared" si="73"/>
        <v>60</v>
      </c>
      <c r="AH20" s="95" t="str">
        <f t="shared" si="73"/>
        <v/>
      </c>
      <c r="AI20" s="95" t="str">
        <f t="shared" si="74"/>
        <v/>
      </c>
      <c r="AJ20" s="95" t="str">
        <f t="shared" si="74"/>
        <v/>
      </c>
      <c r="AK20" s="95" t="str">
        <f t="shared" si="74"/>
        <v/>
      </c>
      <c r="AL20" s="95" t="str">
        <f t="shared" si="74"/>
        <v/>
      </c>
      <c r="AM20" s="95" t="str">
        <f t="shared" si="74"/>
        <v/>
      </c>
      <c r="AN20" s="95">
        <f t="shared" si="74"/>
        <v>1E-4</v>
      </c>
      <c r="AO20" s="95" t="str">
        <f t="shared" si="74"/>
        <v/>
      </c>
      <c r="AP20" s="519">
        <f t="shared" si="38"/>
        <v>2</v>
      </c>
      <c r="AQ20" s="263">
        <f t="shared" si="39"/>
        <v>3</v>
      </c>
      <c r="AR20" s="263">
        <f t="shared" si="40"/>
        <v>7</v>
      </c>
      <c r="AS20" s="263">
        <f t="shared" si="41"/>
        <v>2</v>
      </c>
      <c r="AT20" s="263">
        <f t="shared" si="42"/>
        <v>4</v>
      </c>
      <c r="AU20" s="263">
        <f t="shared" si="43"/>
        <v>10</v>
      </c>
      <c r="AV20" s="520">
        <f t="shared" si="44"/>
        <v>5</v>
      </c>
      <c r="AW20" s="93">
        <f t="shared" si="45"/>
        <v>16</v>
      </c>
      <c r="AX20" s="870" t="str">
        <f t="shared" si="34"/>
        <v>GRN</v>
      </c>
      <c r="AY20" s="93">
        <v>0</v>
      </c>
      <c r="AZ20" s="93">
        <v>0</v>
      </c>
      <c r="BA20" s="93">
        <v>0</v>
      </c>
      <c r="BB20" s="93">
        <v>0</v>
      </c>
      <c r="BC20" s="93">
        <v>0</v>
      </c>
      <c r="BD20" s="93">
        <v>0</v>
      </c>
      <c r="BE20" s="93">
        <v>0</v>
      </c>
      <c r="BF20" s="93">
        <v>0</v>
      </c>
      <c r="BG20" s="93">
        <v>56.1</v>
      </c>
      <c r="BH20" s="93">
        <v>1E-3</v>
      </c>
      <c r="BI20" s="93">
        <v>1E-4</v>
      </c>
      <c r="BJ20" s="93">
        <v>0</v>
      </c>
      <c r="BK20" s="93">
        <v>0.15</v>
      </c>
      <c r="BL20" s="93">
        <v>0.02</v>
      </c>
      <c r="BM20" s="93">
        <v>5.0000000000000001E-3</v>
      </c>
      <c r="BN20" s="93">
        <v>0</v>
      </c>
      <c r="BO20" s="93">
        <f t="shared" si="35"/>
        <v>27</v>
      </c>
      <c r="BP20" s="870">
        <f t="shared" si="46"/>
        <v>6</v>
      </c>
      <c r="BR20" s="870">
        <f t="shared" si="47"/>
        <v>0</v>
      </c>
      <c r="BS20" s="870">
        <f t="shared" si="48"/>
        <v>0</v>
      </c>
      <c r="BT20" s="870">
        <f t="shared" si="49"/>
        <v>0</v>
      </c>
      <c r="BU20" s="870">
        <f t="shared" si="50"/>
        <v>0</v>
      </c>
      <c r="BV20" s="870">
        <f t="shared" si="51"/>
        <v>0</v>
      </c>
      <c r="BW20" s="870">
        <f t="shared" si="52"/>
        <v>0</v>
      </c>
      <c r="BX20" s="870">
        <f t="shared" si="53"/>
        <v>0</v>
      </c>
      <c r="BY20" s="870">
        <f t="shared" si="54"/>
        <v>0</v>
      </c>
      <c r="BZ20" s="870">
        <f t="shared" si="55"/>
        <v>1</v>
      </c>
      <c r="CA20" s="870">
        <f t="shared" si="56"/>
        <v>2</v>
      </c>
      <c r="CB20" s="870">
        <f t="shared" si="57"/>
        <v>3</v>
      </c>
      <c r="CC20" s="870">
        <f t="shared" si="58"/>
        <v>3</v>
      </c>
      <c r="CD20" s="870">
        <f t="shared" si="59"/>
        <v>4</v>
      </c>
      <c r="CE20" s="870">
        <f t="shared" si="60"/>
        <v>5</v>
      </c>
      <c r="CF20" s="870">
        <f t="shared" si="61"/>
        <v>6</v>
      </c>
      <c r="CG20" s="93">
        <f t="shared" si="62"/>
        <v>6</v>
      </c>
      <c r="CH20" s="870">
        <f>IFERROR(HLOOKUP(CH$4,$BR20:$CG$46,$BO20,FALSE),"")</f>
        <v>9</v>
      </c>
      <c r="CI20" s="870">
        <f>IFERROR(HLOOKUP(CI$4,$BR20:$CG$46,$BO20,FALSE),"")</f>
        <v>10</v>
      </c>
      <c r="CJ20" s="870">
        <f>IFERROR(HLOOKUP(CJ$4,$BR20:$CG$46,$BO20,FALSE),"")</f>
        <v>11</v>
      </c>
      <c r="CK20" s="870">
        <f>IFERROR(HLOOKUP(CK$4,$BR20:$CG$46,$BO20,FALSE),"")</f>
        <v>13</v>
      </c>
      <c r="CL20" s="870">
        <f>IFERROR(HLOOKUP(CL$4,$BR20:$CG$46,$BO20,FALSE),"")</f>
        <v>14</v>
      </c>
      <c r="CM20" s="870">
        <f>IFERROR(HLOOKUP(CM$4,$BR20:$CG$46,$BO20,FALSE),"")</f>
        <v>15</v>
      </c>
      <c r="CN20" s="870" t="str">
        <f>IFERROR(HLOOKUP(CN$4,$BR20:$CG$46,$BO20,FALSE),"")</f>
        <v/>
      </c>
      <c r="CO20" s="870" t="str">
        <f>IFERROR(HLOOKUP(CO$4,$BR20:$CG$46,$BO20,FALSE),"")</f>
        <v/>
      </c>
      <c r="CP20" s="870" t="str">
        <f>IFERROR(HLOOKUP(CP$4,$BR20:$CG$46,$BO20,FALSE),"")</f>
        <v/>
      </c>
      <c r="CQ20" s="870" t="str">
        <f>IFERROR(HLOOKUP(CQ$4,$BR20:$CG$46,$BO20,FALSE),"")</f>
        <v/>
      </c>
    </row>
    <row r="21" spans="1:95">
      <c r="A21" s="93">
        <f t="shared" si="36"/>
        <v>17</v>
      </c>
      <c r="B21" s="561" t="s">
        <v>1173</v>
      </c>
      <c r="C21" s="561" t="s">
        <v>1810</v>
      </c>
      <c r="D21" s="1118" t="str">
        <f t="shared" si="6"/>
        <v>Gas Regional LNG</v>
      </c>
      <c r="N21" s="95" t="str">
        <f t="shared" si="64"/>
        <v/>
      </c>
      <c r="O21" s="95" t="str">
        <f t="shared" si="65"/>
        <v/>
      </c>
      <c r="P21" s="95" t="str">
        <f t="shared" si="66"/>
        <v/>
      </c>
      <c r="Q21" s="95" t="str">
        <f t="shared" si="67"/>
        <v/>
      </c>
      <c r="R21" s="95" t="str">
        <f t="shared" si="68"/>
        <v/>
      </c>
      <c r="S21" s="95" t="str">
        <f t="shared" si="63"/>
        <v/>
      </c>
      <c r="T21" s="95" t="str">
        <f t="shared" si="69"/>
        <v/>
      </c>
      <c r="U21" s="95" t="str">
        <f t="shared" si="72"/>
        <v/>
      </c>
      <c r="V21" s="95" t="str">
        <f t="shared" si="72"/>
        <v/>
      </c>
      <c r="W21" s="95" t="str">
        <f t="shared" si="72"/>
        <v/>
      </c>
      <c r="X21" s="95" t="str">
        <f t="shared" si="72"/>
        <v/>
      </c>
      <c r="Y21" s="95" t="str">
        <f t="shared" si="72"/>
        <v/>
      </c>
      <c r="Z21" s="95" t="str">
        <f t="shared" si="72"/>
        <v/>
      </c>
      <c r="AA21" s="95" t="str">
        <f t="shared" si="70"/>
        <v/>
      </c>
      <c r="AB21" s="95" t="str">
        <f t="shared" si="71"/>
        <v/>
      </c>
      <c r="AC21" s="95" t="str">
        <f t="shared" si="73"/>
        <v/>
      </c>
      <c r="AD21" s="95" t="str">
        <f t="shared" si="73"/>
        <v/>
      </c>
      <c r="AE21" s="95" t="str">
        <f t="shared" si="73"/>
        <v/>
      </c>
      <c r="AF21" s="95" t="str">
        <f t="shared" si="73"/>
        <v/>
      </c>
      <c r="AG21" s="95" t="str">
        <f t="shared" si="73"/>
        <v/>
      </c>
      <c r="AH21" s="95" t="str">
        <f t="shared" si="73"/>
        <v/>
      </c>
      <c r="AI21" s="95" t="str">
        <f t="shared" si="74"/>
        <v/>
      </c>
      <c r="AJ21" s="95" t="str">
        <f t="shared" si="74"/>
        <v/>
      </c>
      <c r="AK21" s="95" t="str">
        <f t="shared" si="74"/>
        <v/>
      </c>
      <c r="AL21" s="95" t="str">
        <f t="shared" si="74"/>
        <v/>
      </c>
      <c r="AM21" s="95" t="str">
        <f t="shared" si="74"/>
        <v/>
      </c>
      <c r="AN21" s="95" t="str">
        <f t="shared" si="74"/>
        <v/>
      </c>
      <c r="AO21" s="95" t="str">
        <f t="shared" si="74"/>
        <v/>
      </c>
      <c r="AP21" s="519">
        <f t="shared" si="38"/>
        <v>2</v>
      </c>
      <c r="AQ21" s="263">
        <f t="shared" si="39"/>
        <v>3</v>
      </c>
      <c r="AR21" s="263">
        <f t="shared" si="40"/>
        <v>7</v>
      </c>
      <c r="AS21" s="263">
        <f t="shared" si="41"/>
        <v>2</v>
      </c>
      <c r="AT21" s="263">
        <f t="shared" si="42"/>
        <v>4</v>
      </c>
      <c r="AU21" s="263">
        <f t="shared" si="43"/>
        <v>10</v>
      </c>
      <c r="AV21" s="520">
        <f t="shared" si="44"/>
        <v>5</v>
      </c>
      <c r="AW21" s="93">
        <f t="shared" si="45"/>
        <v>17</v>
      </c>
      <c r="AX21" s="93" t="str">
        <f t="shared" si="34"/>
        <v>GRL</v>
      </c>
      <c r="AY21" s="93">
        <v>56.1</v>
      </c>
      <c r="AZ21" s="93">
        <v>1E-3</v>
      </c>
      <c r="BA21" s="93">
        <v>1E-4</v>
      </c>
      <c r="BB21" s="93">
        <v>0</v>
      </c>
      <c r="BC21" s="93">
        <v>0.15</v>
      </c>
      <c r="BD21" s="93">
        <v>0.02</v>
      </c>
      <c r="BE21" s="93">
        <v>5.0000000000000001E-3</v>
      </c>
      <c r="BF21" s="93">
        <v>0</v>
      </c>
      <c r="BG21" s="93">
        <v>0</v>
      </c>
      <c r="BH21" s="93">
        <v>0</v>
      </c>
      <c r="BI21" s="93">
        <v>0</v>
      </c>
      <c r="BJ21" s="93">
        <v>0</v>
      </c>
      <c r="BK21" s="93">
        <v>0</v>
      </c>
      <c r="BL21" s="93">
        <v>0</v>
      </c>
      <c r="BM21" s="93">
        <v>0</v>
      </c>
      <c r="BN21" s="93">
        <v>0</v>
      </c>
      <c r="BO21" s="93">
        <f t="shared" si="35"/>
        <v>26</v>
      </c>
      <c r="BP21" s="93">
        <f t="shared" si="46"/>
        <v>6</v>
      </c>
      <c r="BR21" s="93">
        <f t="shared" si="47"/>
        <v>1</v>
      </c>
      <c r="BS21" s="93">
        <f t="shared" si="48"/>
        <v>2</v>
      </c>
      <c r="BT21" s="93">
        <f t="shared" si="49"/>
        <v>3</v>
      </c>
      <c r="BU21" s="93">
        <f t="shared" si="50"/>
        <v>3</v>
      </c>
      <c r="BV21" s="93">
        <f t="shared" si="51"/>
        <v>4</v>
      </c>
      <c r="BW21" s="93">
        <f t="shared" si="52"/>
        <v>5</v>
      </c>
      <c r="BX21" s="93">
        <f t="shared" si="53"/>
        <v>6</v>
      </c>
      <c r="BY21" s="93">
        <f t="shared" si="54"/>
        <v>6</v>
      </c>
      <c r="BZ21" s="93">
        <f t="shared" si="55"/>
        <v>6</v>
      </c>
      <c r="CA21" s="93">
        <f t="shared" si="56"/>
        <v>6</v>
      </c>
      <c r="CB21" s="93">
        <f t="shared" si="57"/>
        <v>6</v>
      </c>
      <c r="CC21" s="93">
        <f t="shared" si="58"/>
        <v>6</v>
      </c>
      <c r="CD21" s="93">
        <f t="shared" si="59"/>
        <v>6</v>
      </c>
      <c r="CE21" s="93">
        <f t="shared" si="60"/>
        <v>6</v>
      </c>
      <c r="CF21" s="93">
        <f t="shared" si="61"/>
        <v>6</v>
      </c>
      <c r="CG21" s="93">
        <f t="shared" si="62"/>
        <v>6</v>
      </c>
      <c r="CH21" s="93">
        <f>IFERROR(HLOOKUP(CH$4,$BR21:$CG$46,$BO21,FALSE),"")</f>
        <v>1</v>
      </c>
      <c r="CI21" s="93">
        <f>IFERROR(HLOOKUP(CI$4,$BR21:$CG$46,$BO21,FALSE),"")</f>
        <v>2</v>
      </c>
      <c r="CJ21" s="93">
        <f>IFERROR(HLOOKUP(CJ$4,$BR21:$CG$46,$BO21,FALSE),"")</f>
        <v>3</v>
      </c>
      <c r="CK21" s="93">
        <f>IFERROR(HLOOKUP(CK$4,$BR21:$CG$46,$BO21,FALSE),"")</f>
        <v>5</v>
      </c>
      <c r="CL21" s="93">
        <f>IFERROR(HLOOKUP(CL$4,$BR21:$CG$46,$BO21,FALSE),"")</f>
        <v>6</v>
      </c>
      <c r="CM21" s="93">
        <f>IFERROR(HLOOKUP(CM$4,$BR21:$CG$46,$BO21,FALSE),"")</f>
        <v>7</v>
      </c>
      <c r="CN21" s="93" t="str">
        <f>IFERROR(HLOOKUP(CN$4,$BR21:$CG$46,$BO21,FALSE),"")</f>
        <v/>
      </c>
      <c r="CO21" s="93" t="str">
        <f>IFERROR(HLOOKUP(CO$4,$BR21:$CG$46,$BO21,FALSE),"")</f>
        <v/>
      </c>
      <c r="CP21" s="93" t="str">
        <f>IFERROR(HLOOKUP(CP$4,$BR21:$CG$46,$BO21,FALSE),"")</f>
        <v/>
      </c>
      <c r="CQ21" s="93" t="str">
        <f>IFERROR(HLOOKUP(CQ$4,$BR21:$CG$46,$BO21,FALSE),"")</f>
        <v/>
      </c>
    </row>
    <row r="22" spans="1:95">
      <c r="A22" s="93">
        <f t="shared" si="36"/>
        <v>18</v>
      </c>
      <c r="B22" s="561" t="s">
        <v>1174</v>
      </c>
      <c r="C22" s="561" t="s">
        <v>1811</v>
      </c>
      <c r="D22" s="1118" t="str">
        <f t="shared" si="6"/>
        <v>Gas International LNG</v>
      </c>
      <c r="N22" s="95" t="str">
        <f t="shared" si="64"/>
        <v/>
      </c>
      <c r="O22" s="95" t="str">
        <f t="shared" si="65"/>
        <v/>
      </c>
      <c r="P22" s="95" t="str">
        <f t="shared" si="66"/>
        <v/>
      </c>
      <c r="Q22" s="95" t="str">
        <f t="shared" si="67"/>
        <v/>
      </c>
      <c r="R22" s="95" t="str">
        <f t="shared" si="68"/>
        <v/>
      </c>
      <c r="S22" s="95" t="str">
        <f t="shared" si="63"/>
        <v/>
      </c>
      <c r="T22" s="95" t="str">
        <f t="shared" si="69"/>
        <v/>
      </c>
      <c r="U22" s="95" t="str">
        <f t="shared" si="72"/>
        <v/>
      </c>
      <c r="V22" s="95" t="str">
        <f t="shared" si="72"/>
        <v/>
      </c>
      <c r="W22" s="95" t="str">
        <f t="shared" si="72"/>
        <v/>
      </c>
      <c r="X22" s="95" t="str">
        <f t="shared" si="72"/>
        <v/>
      </c>
      <c r="Y22" s="95" t="str">
        <f t="shared" si="72"/>
        <v/>
      </c>
      <c r="Z22" s="95" t="str">
        <f t="shared" si="72"/>
        <v/>
      </c>
      <c r="AA22" s="95" t="str">
        <f t="shared" si="70"/>
        <v/>
      </c>
      <c r="AB22" s="95" t="str">
        <f t="shared" si="71"/>
        <v/>
      </c>
      <c r="AC22" s="95" t="str">
        <f t="shared" si="73"/>
        <v/>
      </c>
      <c r="AD22" s="95" t="str">
        <f t="shared" si="73"/>
        <v/>
      </c>
      <c r="AE22" s="95" t="str">
        <f t="shared" si="73"/>
        <v/>
      </c>
      <c r="AF22" s="95" t="str">
        <f t="shared" si="73"/>
        <v/>
      </c>
      <c r="AG22" s="95" t="str">
        <f t="shared" si="73"/>
        <v/>
      </c>
      <c r="AH22" s="95" t="str">
        <f t="shared" si="73"/>
        <v/>
      </c>
      <c r="AI22" s="95" t="str">
        <f t="shared" si="74"/>
        <v/>
      </c>
      <c r="AJ22" s="95" t="str">
        <f t="shared" si="74"/>
        <v/>
      </c>
      <c r="AK22" s="95" t="str">
        <f t="shared" si="74"/>
        <v/>
      </c>
      <c r="AL22" s="95" t="str">
        <f t="shared" si="74"/>
        <v/>
      </c>
      <c r="AM22" s="95" t="str">
        <f t="shared" si="74"/>
        <v/>
      </c>
      <c r="AN22" s="95" t="str">
        <f t="shared" si="74"/>
        <v/>
      </c>
      <c r="AO22" s="95" t="str">
        <f t="shared" si="74"/>
        <v/>
      </c>
      <c r="AP22" s="519">
        <f t="shared" si="38"/>
        <v>2</v>
      </c>
      <c r="AQ22" s="263">
        <f t="shared" si="39"/>
        <v>3</v>
      </c>
      <c r="AR22" s="263">
        <f t="shared" si="40"/>
        <v>7</v>
      </c>
      <c r="AS22" s="263">
        <f t="shared" si="41"/>
        <v>2</v>
      </c>
      <c r="AT22" s="263">
        <f t="shared" si="42"/>
        <v>4</v>
      </c>
      <c r="AU22" s="263">
        <f t="shared" si="43"/>
        <v>10</v>
      </c>
      <c r="AV22" s="520">
        <f t="shared" si="44"/>
        <v>5</v>
      </c>
      <c r="AW22" s="93">
        <f t="shared" si="45"/>
        <v>18</v>
      </c>
      <c r="AX22" s="93" t="str">
        <f t="shared" si="34"/>
        <v>GWL</v>
      </c>
      <c r="AY22" s="93">
        <v>56.1</v>
      </c>
      <c r="AZ22" s="93">
        <v>1E-3</v>
      </c>
      <c r="BA22" s="93">
        <v>1E-4</v>
      </c>
      <c r="BB22" s="93">
        <v>0</v>
      </c>
      <c r="BC22" s="93">
        <v>0.15</v>
      </c>
      <c r="BD22" s="93">
        <v>0.02</v>
      </c>
      <c r="BE22" s="93">
        <v>5.0000000000000001E-3</v>
      </c>
      <c r="BF22" s="93">
        <v>0</v>
      </c>
      <c r="BG22" s="93">
        <v>0</v>
      </c>
      <c r="BH22" s="93">
        <v>0</v>
      </c>
      <c r="BI22" s="93">
        <v>0</v>
      </c>
      <c r="BJ22" s="93">
        <v>0</v>
      </c>
      <c r="BK22" s="93">
        <v>0</v>
      </c>
      <c r="BL22" s="93">
        <v>0</v>
      </c>
      <c r="BM22" s="93">
        <v>0</v>
      </c>
      <c r="BN22" s="93">
        <v>0</v>
      </c>
      <c r="BO22" s="93">
        <f t="shared" si="35"/>
        <v>25</v>
      </c>
      <c r="BP22" s="93">
        <f t="shared" si="46"/>
        <v>6</v>
      </c>
      <c r="BR22" s="93">
        <f t="shared" si="47"/>
        <v>1</v>
      </c>
      <c r="BS22" s="93">
        <f t="shared" si="48"/>
        <v>2</v>
      </c>
      <c r="BT22" s="93">
        <f t="shared" si="49"/>
        <v>3</v>
      </c>
      <c r="BU22" s="93">
        <f t="shared" si="50"/>
        <v>3</v>
      </c>
      <c r="BV22" s="93">
        <f t="shared" si="51"/>
        <v>4</v>
      </c>
      <c r="BW22" s="93">
        <f t="shared" si="52"/>
        <v>5</v>
      </c>
      <c r="BX22" s="93">
        <f t="shared" si="53"/>
        <v>6</v>
      </c>
      <c r="BY22" s="93">
        <f t="shared" si="54"/>
        <v>6</v>
      </c>
      <c r="BZ22" s="93">
        <f t="shared" si="55"/>
        <v>6</v>
      </c>
      <c r="CA22" s="93">
        <f t="shared" si="56"/>
        <v>6</v>
      </c>
      <c r="CB22" s="93">
        <f t="shared" si="57"/>
        <v>6</v>
      </c>
      <c r="CC22" s="93">
        <f t="shared" si="58"/>
        <v>6</v>
      </c>
      <c r="CD22" s="93">
        <f t="shared" si="59"/>
        <v>6</v>
      </c>
      <c r="CE22" s="93">
        <f t="shared" si="60"/>
        <v>6</v>
      </c>
      <c r="CF22" s="93">
        <f t="shared" si="61"/>
        <v>6</v>
      </c>
      <c r="CG22" s="93">
        <f t="shared" si="62"/>
        <v>6</v>
      </c>
      <c r="CH22" s="93">
        <f>IFERROR(HLOOKUP(CH$4,$BR22:$CG$46,$BO22,FALSE),"")</f>
        <v>1</v>
      </c>
      <c r="CI22" s="93">
        <f>IFERROR(HLOOKUP(CI$4,$BR22:$CG$46,$BO22,FALSE),"")</f>
        <v>2</v>
      </c>
      <c r="CJ22" s="93">
        <f>IFERROR(HLOOKUP(CJ$4,$BR22:$CG$46,$BO22,FALSE),"")</f>
        <v>3</v>
      </c>
      <c r="CK22" s="93">
        <f>IFERROR(HLOOKUP(CK$4,$BR22:$CG$46,$BO22,FALSE),"")</f>
        <v>5</v>
      </c>
      <c r="CL22" s="93">
        <f>IFERROR(HLOOKUP(CL$4,$BR22:$CG$46,$BO22,FALSE),"")</f>
        <v>6</v>
      </c>
      <c r="CM22" s="93">
        <f>IFERROR(HLOOKUP(CM$4,$BR22:$CG$46,$BO22,FALSE),"")</f>
        <v>7</v>
      </c>
      <c r="CN22" s="93" t="str">
        <f>IFERROR(HLOOKUP(CN$4,$BR22:$CG$46,$BO22,FALSE),"")</f>
        <v/>
      </c>
      <c r="CO22" s="93" t="str">
        <f>IFERROR(HLOOKUP(CO$4,$BR22:$CG$46,$BO22,FALSE),"")</f>
        <v/>
      </c>
      <c r="CP22" s="93" t="str">
        <f>IFERROR(HLOOKUP(CP$4,$BR22:$CG$46,$BO22,FALSE),"")</f>
        <v/>
      </c>
      <c r="CQ22" s="93" t="str">
        <f>IFERROR(HLOOKUP(CQ$4,$BR22:$CG$46,$BO22,FALSE),"")</f>
        <v/>
      </c>
    </row>
    <row r="23" spans="1:95">
      <c r="A23" s="93">
        <f t="shared" si="36"/>
        <v>19</v>
      </c>
      <c r="B23" s="561" t="s">
        <v>1176</v>
      </c>
      <c r="C23" s="561" t="s">
        <v>1812</v>
      </c>
      <c r="D23" s="1118" t="str">
        <f t="shared" si="6"/>
        <v>Gas Northern Mozambique</v>
      </c>
      <c r="L23" s="95">
        <v>1</v>
      </c>
      <c r="N23" s="95" t="str">
        <f t="shared" si="64"/>
        <v/>
      </c>
      <c r="O23" s="95" t="str">
        <f t="shared" si="65"/>
        <v/>
      </c>
      <c r="P23" s="95" t="str">
        <f t="shared" si="66"/>
        <v/>
      </c>
      <c r="Q23" s="95" t="str">
        <f t="shared" si="67"/>
        <v/>
      </c>
      <c r="R23" s="95" t="str">
        <f t="shared" si="68"/>
        <v/>
      </c>
      <c r="S23" s="95">
        <f t="shared" si="63"/>
        <v>1</v>
      </c>
      <c r="T23" s="95" t="str">
        <f t="shared" si="69"/>
        <v/>
      </c>
      <c r="U23" s="95" t="str">
        <f t="shared" si="72"/>
        <v/>
      </c>
      <c r="V23" s="95" t="str">
        <f t="shared" si="72"/>
        <v/>
      </c>
      <c r="W23" s="95" t="str">
        <f t="shared" si="72"/>
        <v/>
      </c>
      <c r="X23" s="95" t="str">
        <f t="shared" si="72"/>
        <v/>
      </c>
      <c r="Y23" s="95" t="str">
        <f t="shared" si="72"/>
        <v/>
      </c>
      <c r="Z23" s="95">
        <f t="shared" si="72"/>
        <v>1.0000000000000001E-5</v>
      </c>
      <c r="AA23" s="95" t="str">
        <f t="shared" si="70"/>
        <v/>
      </c>
      <c r="AB23" s="95" t="str">
        <f t="shared" si="71"/>
        <v/>
      </c>
      <c r="AC23" s="95" t="str">
        <f t="shared" si="73"/>
        <v/>
      </c>
      <c r="AD23" s="95" t="str">
        <f t="shared" si="73"/>
        <v/>
      </c>
      <c r="AE23" s="95" t="str">
        <f t="shared" si="73"/>
        <v/>
      </c>
      <c r="AF23" s="95" t="str">
        <f t="shared" si="73"/>
        <v/>
      </c>
      <c r="AG23" s="95">
        <f t="shared" si="73"/>
        <v>60</v>
      </c>
      <c r="AH23" s="95" t="str">
        <f t="shared" si="73"/>
        <v/>
      </c>
      <c r="AI23" s="95" t="str">
        <f t="shared" si="74"/>
        <v/>
      </c>
      <c r="AJ23" s="95" t="str">
        <f t="shared" si="74"/>
        <v/>
      </c>
      <c r="AK23" s="95" t="str">
        <f t="shared" si="74"/>
        <v/>
      </c>
      <c r="AL23" s="95" t="str">
        <f t="shared" si="74"/>
        <v/>
      </c>
      <c r="AM23" s="95" t="str">
        <f t="shared" si="74"/>
        <v/>
      </c>
      <c r="AN23" s="95">
        <f t="shared" si="74"/>
        <v>1E-4</v>
      </c>
      <c r="AO23" s="95" t="str">
        <f t="shared" si="74"/>
        <v/>
      </c>
      <c r="AP23" s="519">
        <f t="shared" si="38"/>
        <v>2</v>
      </c>
      <c r="AQ23" s="263">
        <f t="shared" si="39"/>
        <v>3</v>
      </c>
      <c r="AR23" s="263">
        <f t="shared" si="40"/>
        <v>7</v>
      </c>
      <c r="AS23" s="263">
        <f t="shared" si="41"/>
        <v>2</v>
      </c>
      <c r="AT23" s="263">
        <f t="shared" si="42"/>
        <v>4</v>
      </c>
      <c r="AU23" s="263">
        <f t="shared" si="43"/>
        <v>11</v>
      </c>
      <c r="AV23" s="520">
        <f t="shared" si="44"/>
        <v>5</v>
      </c>
      <c r="AW23" s="93">
        <f t="shared" si="45"/>
        <v>19</v>
      </c>
      <c r="AX23" s="870" t="str">
        <f t="shared" si="34"/>
        <v>GRM</v>
      </c>
      <c r="AY23" s="93">
        <v>0</v>
      </c>
      <c r="AZ23" s="93">
        <v>0</v>
      </c>
      <c r="BA23" s="93">
        <v>0</v>
      </c>
      <c r="BB23" s="93">
        <v>0</v>
      </c>
      <c r="BC23" s="93">
        <v>0</v>
      </c>
      <c r="BD23" s="93">
        <v>0</v>
      </c>
      <c r="BE23" s="93">
        <v>0</v>
      </c>
      <c r="BF23" s="93">
        <v>0</v>
      </c>
      <c r="BG23" s="93">
        <v>56.1</v>
      </c>
      <c r="BH23" s="93">
        <v>1E-3</v>
      </c>
      <c r="BI23" s="93">
        <v>1E-4</v>
      </c>
      <c r="BJ23" s="93">
        <v>0</v>
      </c>
      <c r="BK23" s="93">
        <v>0.15</v>
      </c>
      <c r="BL23" s="93">
        <v>0.02</v>
      </c>
      <c r="BM23" s="93">
        <v>5.0000000000000001E-3</v>
      </c>
      <c r="BN23" s="93">
        <v>0</v>
      </c>
      <c r="BO23" s="93">
        <f t="shared" si="35"/>
        <v>24</v>
      </c>
      <c r="BP23" s="93">
        <f t="shared" si="46"/>
        <v>6</v>
      </c>
      <c r="BR23" s="93">
        <f t="shared" si="47"/>
        <v>0</v>
      </c>
      <c r="BS23" s="93">
        <f t="shared" si="48"/>
        <v>0</v>
      </c>
      <c r="BT23" s="93">
        <f t="shared" si="49"/>
        <v>0</v>
      </c>
      <c r="BU23" s="93">
        <f t="shared" si="50"/>
        <v>0</v>
      </c>
      <c r="BV23" s="93">
        <f t="shared" si="51"/>
        <v>0</v>
      </c>
      <c r="BW23" s="93">
        <f t="shared" si="52"/>
        <v>0</v>
      </c>
      <c r="BX23" s="93">
        <f t="shared" si="53"/>
        <v>0</v>
      </c>
      <c r="BY23" s="93">
        <f t="shared" si="54"/>
        <v>0</v>
      </c>
      <c r="BZ23" s="93">
        <f t="shared" si="55"/>
        <v>1</v>
      </c>
      <c r="CA23" s="93">
        <f t="shared" si="56"/>
        <v>2</v>
      </c>
      <c r="CB23" s="93">
        <f t="shared" si="57"/>
        <v>3</v>
      </c>
      <c r="CC23" s="93">
        <f t="shared" si="58"/>
        <v>3</v>
      </c>
      <c r="CD23" s="93">
        <f t="shared" si="59"/>
        <v>4</v>
      </c>
      <c r="CE23" s="93">
        <f t="shared" si="60"/>
        <v>5</v>
      </c>
      <c r="CF23" s="93">
        <f t="shared" si="61"/>
        <v>6</v>
      </c>
      <c r="CG23" s="93">
        <f t="shared" si="62"/>
        <v>6</v>
      </c>
      <c r="CH23" s="93">
        <f>IFERROR(HLOOKUP(CH$4,$BR23:$CG$46,$BO23,FALSE),"")</f>
        <v>9</v>
      </c>
      <c r="CI23" s="93">
        <f>IFERROR(HLOOKUP(CI$4,$BR23:$CG$46,$BO23,FALSE),"")</f>
        <v>10</v>
      </c>
      <c r="CJ23" s="93">
        <f>IFERROR(HLOOKUP(CJ$4,$BR23:$CG$46,$BO23,FALSE),"")</f>
        <v>11</v>
      </c>
      <c r="CK23" s="93">
        <f>IFERROR(HLOOKUP(CK$4,$BR23:$CG$46,$BO23,FALSE),"")</f>
        <v>13</v>
      </c>
      <c r="CL23" s="93">
        <f>IFERROR(HLOOKUP(CL$4,$BR23:$CG$46,$BO23,FALSE),"")</f>
        <v>14</v>
      </c>
      <c r="CM23" s="93">
        <f>IFERROR(HLOOKUP(CM$4,$BR23:$CG$46,$BO23,FALSE),"")</f>
        <v>15</v>
      </c>
      <c r="CN23" s="93" t="str">
        <f>IFERROR(HLOOKUP(CN$4,$BR23:$CG$46,$BO23,FALSE),"")</f>
        <v/>
      </c>
      <c r="CO23" s="93" t="str">
        <f>IFERROR(HLOOKUP(CO$4,$BR23:$CG$46,$BO23,FALSE),"")</f>
        <v/>
      </c>
      <c r="CP23" s="93" t="str">
        <f>IFERROR(HLOOKUP(CP$4,$BR23:$CG$46,$BO23,FALSE),"")</f>
        <v/>
      </c>
      <c r="CQ23" s="93" t="str">
        <f>IFERROR(HLOOKUP(CQ$4,$BR23:$CG$46,$BO23,FALSE),"")</f>
        <v/>
      </c>
    </row>
    <row r="24" spans="1:95">
      <c r="A24" s="93">
        <f t="shared" si="36"/>
        <v>20</v>
      </c>
      <c r="B24" s="561" t="s">
        <v>1178</v>
      </c>
      <c r="C24" s="561" t="s">
        <v>1802</v>
      </c>
      <c r="D24" s="1118" t="str">
        <f t="shared" si="6"/>
        <v>Gas Indigenous Ibhubezi</v>
      </c>
      <c r="N24" s="95" t="str">
        <f t="shared" si="64"/>
        <v/>
      </c>
      <c r="O24" s="95" t="str">
        <f t="shared" si="65"/>
        <v/>
      </c>
      <c r="P24" s="95" t="str">
        <f t="shared" si="66"/>
        <v/>
      </c>
      <c r="Q24" s="95" t="str">
        <f t="shared" si="67"/>
        <v/>
      </c>
      <c r="R24" s="95" t="str">
        <f t="shared" si="68"/>
        <v/>
      </c>
      <c r="S24" s="95" t="str">
        <f t="shared" si="63"/>
        <v/>
      </c>
      <c r="T24" s="95" t="str">
        <f t="shared" si="69"/>
        <v/>
      </c>
      <c r="U24" s="95" t="str">
        <f t="shared" si="72"/>
        <v/>
      </c>
      <c r="V24" s="95" t="str">
        <f t="shared" si="72"/>
        <v/>
      </c>
      <c r="W24" s="95" t="str">
        <f t="shared" si="72"/>
        <v/>
      </c>
      <c r="X24" s="95" t="str">
        <f t="shared" si="72"/>
        <v/>
      </c>
      <c r="Y24" s="95" t="str">
        <f t="shared" si="72"/>
        <v/>
      </c>
      <c r="Z24" s="95" t="str">
        <f t="shared" si="72"/>
        <v/>
      </c>
      <c r="AA24" s="95" t="str">
        <f t="shared" si="70"/>
        <v/>
      </c>
      <c r="AB24" s="95" t="str">
        <f t="shared" si="71"/>
        <v/>
      </c>
      <c r="AC24" s="95" t="str">
        <f t="shared" si="73"/>
        <v/>
      </c>
      <c r="AD24" s="95" t="str">
        <f t="shared" si="73"/>
        <v/>
      </c>
      <c r="AE24" s="95" t="str">
        <f t="shared" si="73"/>
        <v/>
      </c>
      <c r="AF24" s="95" t="str">
        <f t="shared" si="73"/>
        <v/>
      </c>
      <c r="AG24" s="95" t="str">
        <f t="shared" si="73"/>
        <v/>
      </c>
      <c r="AH24" s="95" t="str">
        <f t="shared" si="73"/>
        <v/>
      </c>
      <c r="AI24" s="95" t="str">
        <f t="shared" si="74"/>
        <v/>
      </c>
      <c r="AJ24" s="95" t="str">
        <f t="shared" si="74"/>
        <v/>
      </c>
      <c r="AK24" s="95" t="str">
        <f t="shared" si="74"/>
        <v/>
      </c>
      <c r="AL24" s="95" t="str">
        <f t="shared" si="74"/>
        <v/>
      </c>
      <c r="AM24" s="95" t="str">
        <f t="shared" si="74"/>
        <v/>
      </c>
      <c r="AN24" s="95" t="str">
        <f t="shared" si="74"/>
        <v/>
      </c>
      <c r="AO24" s="95" t="str">
        <f t="shared" si="74"/>
        <v/>
      </c>
      <c r="AP24" s="519">
        <f t="shared" si="38"/>
        <v>2</v>
      </c>
      <c r="AQ24" s="263">
        <f t="shared" si="39"/>
        <v>3</v>
      </c>
      <c r="AR24" s="263">
        <f t="shared" si="40"/>
        <v>7</v>
      </c>
      <c r="AS24" s="263">
        <f t="shared" si="41"/>
        <v>2</v>
      </c>
      <c r="AT24" s="263">
        <f t="shared" si="42"/>
        <v>4</v>
      </c>
      <c r="AU24" s="263">
        <f t="shared" si="43"/>
        <v>11</v>
      </c>
      <c r="AV24" s="520">
        <f t="shared" si="44"/>
        <v>5</v>
      </c>
      <c r="AW24" s="93">
        <f t="shared" si="45"/>
        <v>20</v>
      </c>
      <c r="AX24" s="93" t="str">
        <f t="shared" si="34"/>
        <v>GIB</v>
      </c>
      <c r="AY24" s="93">
        <v>56.1</v>
      </c>
      <c r="AZ24" s="93">
        <v>1E-3</v>
      </c>
      <c r="BA24" s="93">
        <v>1E-4</v>
      </c>
      <c r="BB24" s="93">
        <v>0</v>
      </c>
      <c r="BC24" s="93">
        <v>0.15</v>
      </c>
      <c r="BD24" s="93">
        <v>0.02</v>
      </c>
      <c r="BE24" s="93">
        <v>5.0000000000000001E-3</v>
      </c>
      <c r="BF24" s="93">
        <v>0</v>
      </c>
      <c r="BG24" s="93">
        <v>0</v>
      </c>
      <c r="BH24" s="93">
        <v>0</v>
      </c>
      <c r="BI24" s="93">
        <v>0</v>
      </c>
      <c r="BJ24" s="93">
        <v>0</v>
      </c>
      <c r="BK24" s="93">
        <v>0</v>
      </c>
      <c r="BL24" s="93">
        <v>0</v>
      </c>
      <c r="BM24" s="93">
        <v>0</v>
      </c>
      <c r="BN24" s="93">
        <v>0</v>
      </c>
      <c r="BO24" s="93">
        <f t="shared" si="35"/>
        <v>23</v>
      </c>
      <c r="BP24" s="93">
        <f t="shared" si="46"/>
        <v>6</v>
      </c>
      <c r="BR24" s="93">
        <f t="shared" si="47"/>
        <v>1</v>
      </c>
      <c r="BS24" s="93">
        <f t="shared" si="48"/>
        <v>2</v>
      </c>
      <c r="BT24" s="93">
        <f t="shared" si="49"/>
        <v>3</v>
      </c>
      <c r="BU24" s="93">
        <f t="shared" si="50"/>
        <v>3</v>
      </c>
      <c r="BV24" s="93">
        <f t="shared" si="51"/>
        <v>4</v>
      </c>
      <c r="BW24" s="93">
        <f t="shared" si="52"/>
        <v>5</v>
      </c>
      <c r="BX24" s="93">
        <f t="shared" si="53"/>
        <v>6</v>
      </c>
      <c r="BY24" s="93">
        <f t="shared" si="54"/>
        <v>6</v>
      </c>
      <c r="BZ24" s="93">
        <f t="shared" si="55"/>
        <v>6</v>
      </c>
      <c r="CA24" s="93">
        <f t="shared" si="56"/>
        <v>6</v>
      </c>
      <c r="CB24" s="93">
        <f t="shared" si="57"/>
        <v>6</v>
      </c>
      <c r="CC24" s="93">
        <f t="shared" si="58"/>
        <v>6</v>
      </c>
      <c r="CD24" s="93">
        <f t="shared" si="59"/>
        <v>6</v>
      </c>
      <c r="CE24" s="93">
        <f t="shared" si="60"/>
        <v>6</v>
      </c>
      <c r="CF24" s="93">
        <f t="shared" si="61"/>
        <v>6</v>
      </c>
      <c r="CG24" s="93">
        <f t="shared" si="62"/>
        <v>6</v>
      </c>
      <c r="CH24" s="93">
        <f>IFERROR(HLOOKUP(CH$4,$BR24:$CG$46,$BO24,FALSE),"")</f>
        <v>1</v>
      </c>
      <c r="CI24" s="93">
        <f>IFERROR(HLOOKUP(CI$4,$BR24:$CG$46,$BO24,FALSE),"")</f>
        <v>2</v>
      </c>
      <c r="CJ24" s="93">
        <f>IFERROR(HLOOKUP(CJ$4,$BR24:$CG$46,$BO24,FALSE),"")</f>
        <v>3</v>
      </c>
      <c r="CK24" s="93">
        <f>IFERROR(HLOOKUP(CK$4,$BR24:$CG$46,$BO24,FALSE),"")</f>
        <v>5</v>
      </c>
      <c r="CL24" s="93">
        <f>IFERROR(HLOOKUP(CL$4,$BR24:$CG$46,$BO24,FALSE),"")</f>
        <v>6</v>
      </c>
      <c r="CM24" s="93">
        <f>IFERROR(HLOOKUP(CM$4,$BR24:$CG$46,$BO24,FALSE),"")</f>
        <v>7</v>
      </c>
      <c r="CN24" s="93" t="str">
        <f>IFERROR(HLOOKUP(CN$4,$BR24:$CG$46,$BO24,FALSE),"")</f>
        <v/>
      </c>
      <c r="CO24" s="93" t="str">
        <f>IFERROR(HLOOKUP(CO$4,$BR24:$CG$46,$BO24,FALSE),"")</f>
        <v/>
      </c>
      <c r="CP24" s="93" t="str">
        <f>IFERROR(HLOOKUP(CP$4,$BR24:$CG$46,$BO24,FALSE),"")</f>
        <v/>
      </c>
      <c r="CQ24" s="93" t="str">
        <f>IFERROR(HLOOKUP(CQ$4,$BR24:$CG$46,$BO24,FALSE),"")</f>
        <v/>
      </c>
    </row>
    <row r="25" spans="1:95" ht="15">
      <c r="A25" s="93">
        <f t="shared" si="36"/>
        <v>21</v>
      </c>
      <c r="B25" s="561" t="s">
        <v>1180</v>
      </c>
      <c r="C25" s="561" t="s">
        <v>1803</v>
      </c>
      <c r="D25" s="1118" t="str">
        <f t="shared" si="6"/>
        <v>Gas Indigenous Shale</v>
      </c>
      <c r="L25" s="95">
        <v>1</v>
      </c>
      <c r="N25" s="95" t="str">
        <f t="shared" si="64"/>
        <v/>
      </c>
      <c r="O25" s="95" t="str">
        <f t="shared" si="65"/>
        <v/>
      </c>
      <c r="P25" s="95" t="str">
        <f t="shared" si="66"/>
        <v/>
      </c>
      <c r="Q25" s="95" t="str">
        <f t="shared" si="67"/>
        <v/>
      </c>
      <c r="R25" s="95" t="str">
        <f t="shared" si="68"/>
        <v/>
      </c>
      <c r="S25" s="95">
        <f t="shared" si="63"/>
        <v>1</v>
      </c>
      <c r="T25" s="95" t="str">
        <f t="shared" si="69"/>
        <v/>
      </c>
      <c r="U25" s="95" t="str">
        <f t="shared" si="72"/>
        <v/>
      </c>
      <c r="V25" s="95" t="str">
        <f t="shared" si="72"/>
        <v/>
      </c>
      <c r="W25" s="95" t="str">
        <f t="shared" si="72"/>
        <v/>
      </c>
      <c r="X25" s="95" t="str">
        <f t="shared" si="72"/>
        <v/>
      </c>
      <c r="Y25" s="95" t="str">
        <f t="shared" si="72"/>
        <v/>
      </c>
      <c r="Z25" s="95">
        <f t="shared" si="72"/>
        <v>1.0000000000000001E-5</v>
      </c>
      <c r="AA25" s="95" t="str">
        <f t="shared" si="70"/>
        <v/>
      </c>
      <c r="AB25" s="95" t="str">
        <f t="shared" si="71"/>
        <v/>
      </c>
      <c r="AC25" s="95" t="str">
        <f t="shared" si="73"/>
        <v/>
      </c>
      <c r="AD25" s="95" t="str">
        <f t="shared" si="73"/>
        <v/>
      </c>
      <c r="AE25" s="95" t="str">
        <f t="shared" si="73"/>
        <v/>
      </c>
      <c r="AF25" s="95" t="str">
        <f t="shared" si="73"/>
        <v/>
      </c>
      <c r="AG25" s="95">
        <f t="shared" si="73"/>
        <v>60</v>
      </c>
      <c r="AH25" s="95" t="str">
        <f t="shared" si="73"/>
        <v/>
      </c>
      <c r="AI25" s="95" t="str">
        <f>IF(ISBLANK(G25),"",$AM$1)</f>
        <v/>
      </c>
      <c r="AJ25" s="95" t="str">
        <f>IF(ISBLANK(H25),"",$AM$1)</f>
        <v/>
      </c>
      <c r="AK25" s="95" t="str">
        <f>IF(ISBLANK(I25),"",$AM$1)</f>
        <v/>
      </c>
      <c r="AL25" s="95" t="str">
        <f>IF(ISBLANK(J25),"",$AM$1)</f>
        <v/>
      </c>
      <c r="AM25" s="95" t="str">
        <f>IF(ISBLANK(K25),"",$AM$1)</f>
        <v/>
      </c>
      <c r="AN25" s="1066">
        <f>AN18</f>
        <v>27.842064517121592</v>
      </c>
      <c r="AO25" s="1066">
        <f>AN25</f>
        <v>27.842064517121592</v>
      </c>
      <c r="AP25" s="519">
        <f t="shared" si="38"/>
        <v>2</v>
      </c>
      <c r="AQ25" s="263">
        <f t="shared" si="39"/>
        <v>3</v>
      </c>
      <c r="AR25" s="263">
        <f t="shared" si="40"/>
        <v>7</v>
      </c>
      <c r="AS25" s="263">
        <f t="shared" si="41"/>
        <v>2</v>
      </c>
      <c r="AT25" s="263">
        <f t="shared" si="42"/>
        <v>4</v>
      </c>
      <c r="AU25" s="263">
        <f t="shared" si="43"/>
        <v>12</v>
      </c>
      <c r="AV25" s="520">
        <f t="shared" si="44"/>
        <v>5</v>
      </c>
      <c r="AW25" s="93">
        <f t="shared" si="45"/>
        <v>21</v>
      </c>
      <c r="AX25" s="93" t="str">
        <f t="shared" si="34"/>
        <v>GIH</v>
      </c>
      <c r="AY25" s="93">
        <v>56.1</v>
      </c>
      <c r="AZ25" s="93">
        <v>1E-3</v>
      </c>
      <c r="BA25" s="93" t="s">
        <v>1775</v>
      </c>
      <c r="BB25" s="93">
        <v>0</v>
      </c>
      <c r="BC25" s="93">
        <v>0.15</v>
      </c>
      <c r="BD25" s="93">
        <v>0.02</v>
      </c>
      <c r="BE25" s="93">
        <v>5.0000000000000001E-3</v>
      </c>
      <c r="BF25" s="93">
        <v>0</v>
      </c>
      <c r="BG25" s="93">
        <v>0</v>
      </c>
      <c r="BH25" s="93">
        <v>0</v>
      </c>
      <c r="BI25" s="93">
        <v>0</v>
      </c>
      <c r="BJ25" s="93">
        <v>0</v>
      </c>
      <c r="BK25" s="93">
        <v>0</v>
      </c>
      <c r="BL25" s="93">
        <v>0</v>
      </c>
      <c r="BM25" s="93">
        <v>0</v>
      </c>
      <c r="BN25" s="93">
        <v>0</v>
      </c>
      <c r="BO25" s="93">
        <f t="shared" si="35"/>
        <v>22</v>
      </c>
      <c r="BP25" s="93">
        <f t="shared" si="46"/>
        <v>6</v>
      </c>
      <c r="BR25" s="93">
        <f t="shared" si="47"/>
        <v>1</v>
      </c>
      <c r="BS25" s="93">
        <f t="shared" si="48"/>
        <v>2</v>
      </c>
      <c r="BT25" s="93">
        <f t="shared" si="49"/>
        <v>3</v>
      </c>
      <c r="BU25" s="93">
        <f t="shared" si="50"/>
        <v>3</v>
      </c>
      <c r="BV25" s="93">
        <f t="shared" si="51"/>
        <v>4</v>
      </c>
      <c r="BW25" s="93">
        <f t="shared" si="52"/>
        <v>5</v>
      </c>
      <c r="BX25" s="93">
        <f t="shared" si="53"/>
        <v>6</v>
      </c>
      <c r="BY25" s="93">
        <f t="shared" si="54"/>
        <v>6</v>
      </c>
      <c r="BZ25" s="93">
        <f t="shared" si="55"/>
        <v>6</v>
      </c>
      <c r="CA25" s="93">
        <f t="shared" si="56"/>
        <v>6</v>
      </c>
      <c r="CB25" s="93">
        <f t="shared" si="57"/>
        <v>6</v>
      </c>
      <c r="CC25" s="93">
        <f t="shared" si="58"/>
        <v>6</v>
      </c>
      <c r="CD25" s="93">
        <f t="shared" si="59"/>
        <v>6</v>
      </c>
      <c r="CE25" s="93">
        <f t="shared" si="60"/>
        <v>6</v>
      </c>
      <c r="CF25" s="93">
        <f t="shared" si="61"/>
        <v>6</v>
      </c>
      <c r="CG25" s="93">
        <f t="shared" si="62"/>
        <v>6</v>
      </c>
      <c r="CH25" s="93">
        <f>IFERROR(HLOOKUP(CH$4,$BR25:$CG$46,$BO25,FALSE),"")</f>
        <v>1</v>
      </c>
      <c r="CI25" s="93">
        <f>IFERROR(HLOOKUP(CI$4,$BR25:$CG$46,$BO25,FALSE),"")</f>
        <v>2</v>
      </c>
      <c r="CJ25" s="93">
        <f>IFERROR(HLOOKUP(CJ$4,$BR25:$CG$46,$BO25,FALSE),"")</f>
        <v>3</v>
      </c>
      <c r="CK25" s="93">
        <f>IFERROR(HLOOKUP(CK$4,$BR25:$CG$46,$BO25,FALSE),"")</f>
        <v>5</v>
      </c>
      <c r="CL25" s="93">
        <f>IFERROR(HLOOKUP(CL$4,$BR25:$CG$46,$BO25,FALSE),"")</f>
        <v>6</v>
      </c>
      <c r="CM25" s="93">
        <f>IFERROR(HLOOKUP(CM$4,$BR25:$CG$46,$BO25,FALSE),"")</f>
        <v>7</v>
      </c>
      <c r="CN25" s="93" t="str">
        <f>IFERROR(HLOOKUP(CN$4,$BR25:$CG$46,$BO25,FALSE),"")</f>
        <v/>
      </c>
      <c r="CO25" s="93" t="str">
        <f>IFERROR(HLOOKUP(CO$4,$BR25:$CG$46,$BO25,FALSE),"")</f>
        <v/>
      </c>
      <c r="CP25" s="93" t="str">
        <f>IFERROR(HLOOKUP(CP$4,$BR25:$CG$46,$BO25,FALSE),"")</f>
        <v/>
      </c>
      <c r="CQ25" s="93" t="str">
        <f>IFERROR(HLOOKUP(CQ$4,$BR25:$CG$46,$BO25,FALSE),"")</f>
        <v/>
      </c>
    </row>
    <row r="26" spans="1:95" ht="15">
      <c r="A26" s="93">
        <f t="shared" si="36"/>
        <v>22</v>
      </c>
      <c r="B26" s="561" t="s">
        <v>1721</v>
      </c>
      <c r="C26" s="561" t="s">
        <v>1805</v>
      </c>
      <c r="D26" s="1118" t="str">
        <f t="shared" si="6"/>
        <v>Coastal Gas</v>
      </c>
      <c r="L26" s="95">
        <v>1</v>
      </c>
      <c r="M26" s="95">
        <v>1</v>
      </c>
      <c r="S26" s="95">
        <f t="shared" si="63"/>
        <v>1</v>
      </c>
      <c r="T26" s="95">
        <f t="shared" si="69"/>
        <v>1</v>
      </c>
      <c r="AG26" s="1045">
        <v>60</v>
      </c>
      <c r="AH26" s="1045"/>
      <c r="AN26" s="95">
        <f t="shared" ref="AN26:AN44" si="75">IF(ISBLANK(L26),"",$AM$1)</f>
        <v>1E-4</v>
      </c>
      <c r="AO26" s="95">
        <f t="shared" ref="AO26:AO44" si="76">IF(ISBLANK(M26),"",$AM$1)</f>
        <v>1E-4</v>
      </c>
      <c r="AP26" s="519">
        <f t="shared" si="38"/>
        <v>2</v>
      </c>
      <c r="AQ26" s="263">
        <f t="shared" si="39"/>
        <v>3</v>
      </c>
      <c r="AR26" s="263">
        <f t="shared" si="40"/>
        <v>7</v>
      </c>
      <c r="AS26" s="263">
        <f t="shared" si="41"/>
        <v>2</v>
      </c>
      <c r="AT26" s="263">
        <f t="shared" si="42"/>
        <v>4</v>
      </c>
      <c r="AU26" s="263">
        <f t="shared" si="43"/>
        <v>13</v>
      </c>
      <c r="AV26" s="520">
        <f t="shared" si="44"/>
        <v>6</v>
      </c>
      <c r="AW26" s="93">
        <f t="shared" si="45"/>
        <v>22</v>
      </c>
      <c r="AX26" s="93" t="str">
        <f t="shared" si="34"/>
        <v>GIC</v>
      </c>
      <c r="AY26" s="39">
        <v>0</v>
      </c>
      <c r="AZ26" s="39">
        <v>0</v>
      </c>
      <c r="BA26" s="39">
        <v>0</v>
      </c>
      <c r="BB26" s="39">
        <v>0</v>
      </c>
      <c r="BC26" s="39">
        <v>0</v>
      </c>
      <c r="BD26" s="39">
        <v>0</v>
      </c>
      <c r="BE26" s="39">
        <v>0</v>
      </c>
      <c r="BF26" s="39">
        <v>0</v>
      </c>
      <c r="BG26" s="93">
        <v>0</v>
      </c>
      <c r="BH26" s="93">
        <v>0</v>
      </c>
      <c r="BI26" s="93">
        <v>0</v>
      </c>
      <c r="BJ26" s="93">
        <v>0</v>
      </c>
      <c r="BK26" s="93">
        <v>0</v>
      </c>
      <c r="BL26" s="93">
        <v>0</v>
      </c>
      <c r="BM26" s="93">
        <v>0</v>
      </c>
      <c r="BN26" s="93">
        <v>0</v>
      </c>
      <c r="BO26" s="93">
        <f t="shared" si="35"/>
        <v>21</v>
      </c>
      <c r="BP26" s="93">
        <f t="shared" si="46"/>
        <v>0</v>
      </c>
      <c r="BR26" s="93">
        <f t="shared" si="47"/>
        <v>0</v>
      </c>
      <c r="BS26" s="93">
        <f t="shared" si="48"/>
        <v>0</v>
      </c>
      <c r="BT26" s="93">
        <f t="shared" si="49"/>
        <v>0</v>
      </c>
      <c r="BU26" s="93">
        <f t="shared" si="50"/>
        <v>0</v>
      </c>
      <c r="BV26" s="93">
        <f t="shared" si="51"/>
        <v>0</v>
      </c>
      <c r="BW26" s="93">
        <f t="shared" si="52"/>
        <v>0</v>
      </c>
      <c r="BX26" s="93">
        <f t="shared" si="53"/>
        <v>0</v>
      </c>
      <c r="BY26" s="93">
        <f t="shared" si="54"/>
        <v>0</v>
      </c>
      <c r="BZ26" s="93">
        <f t="shared" si="55"/>
        <v>0</v>
      </c>
      <c r="CA26" s="93">
        <f t="shared" si="56"/>
        <v>0</v>
      </c>
      <c r="CB26" s="93">
        <f t="shared" si="57"/>
        <v>0</v>
      </c>
      <c r="CC26" s="93">
        <f t="shared" si="58"/>
        <v>0</v>
      </c>
      <c r="CD26" s="93">
        <f t="shared" si="59"/>
        <v>0</v>
      </c>
      <c r="CE26" s="93">
        <f t="shared" si="60"/>
        <v>0</v>
      </c>
      <c r="CF26" s="93">
        <f t="shared" si="61"/>
        <v>0</v>
      </c>
      <c r="CG26" s="93">
        <f t="shared" si="62"/>
        <v>0</v>
      </c>
      <c r="CH26" s="93" t="str">
        <f>IFERROR(HLOOKUP(CH$4,$BR26:$CG$46,$BO26,FALSE),"")</f>
        <v/>
      </c>
      <c r="CI26" s="93" t="str">
        <f>IFERROR(HLOOKUP(CI$4,$BR26:$CG$46,$BO26,FALSE),"")</f>
        <v/>
      </c>
      <c r="CJ26" s="93" t="str">
        <f>IFERROR(HLOOKUP(CJ$4,$BR26:$CG$46,$BO26,FALSE),"")</f>
        <v/>
      </c>
      <c r="CK26" s="93" t="str">
        <f>IFERROR(HLOOKUP(CK$4,$BR26:$CG$46,$BO26,FALSE),"")</f>
        <v/>
      </c>
      <c r="CL26" s="93" t="str">
        <f>IFERROR(HLOOKUP(CL$4,$BR26:$CG$46,$BO26,FALSE),"")</f>
        <v/>
      </c>
      <c r="CM26" s="93" t="str">
        <f>IFERROR(HLOOKUP(CM$4,$BR26:$CG$46,$BO26,FALSE),"")</f>
        <v/>
      </c>
      <c r="CN26" s="93" t="str">
        <f>IFERROR(HLOOKUP(CN$4,$BR26:$CG$46,$BO26,FALSE),"")</f>
        <v/>
      </c>
    </row>
    <row r="27" spans="1:95">
      <c r="A27" s="93">
        <f t="shared" si="36"/>
        <v>23</v>
      </c>
      <c r="B27" s="391" t="s">
        <v>597</v>
      </c>
      <c r="C27" s="391" t="s">
        <v>1804</v>
      </c>
      <c r="D27" s="391" t="str">
        <f t="shared" si="6"/>
        <v>Gas Methane Rich</v>
      </c>
      <c r="E27" s="391"/>
      <c r="F27" s="391"/>
      <c r="G27" s="263"/>
      <c r="H27" s="263"/>
      <c r="I27" s="263"/>
      <c r="J27" s="263"/>
      <c r="K27" s="263"/>
      <c r="L27" s="263"/>
      <c r="M27" s="263"/>
      <c r="N27" s="95" t="str">
        <f t="shared" ref="N27:N44" si="77">IF(ISBLANK(G27),"",$R$1)</f>
        <v/>
      </c>
      <c r="O27" s="95" t="str">
        <f t="shared" ref="O27:O44" si="78">IF(ISBLANK(H27),"",$R$1)</f>
        <v/>
      </c>
      <c r="P27" s="95" t="str">
        <f t="shared" ref="P27:P44" si="79">IF(ISBLANK(I27),"",$R$1)</f>
        <v/>
      </c>
      <c r="Q27" s="95" t="str">
        <f t="shared" ref="Q27:Q44" si="80">IF(ISBLANK(J27),"",$R$1)</f>
        <v/>
      </c>
      <c r="R27" s="95" t="str">
        <f t="shared" ref="R27:R44" si="81">IF(ISBLANK(K27),"",$R$1)</f>
        <v/>
      </c>
      <c r="S27" s="95" t="str">
        <f t="shared" si="63"/>
        <v/>
      </c>
      <c r="T27" s="95" t="str">
        <f t="shared" si="69"/>
        <v/>
      </c>
      <c r="U27" s="95" t="str">
        <f t="shared" ref="U27:U35" si="82">IF(ISBLANK(G27),"",$Y$1)</f>
        <v/>
      </c>
      <c r="V27" s="95" t="str">
        <f t="shared" ref="V27:V35" si="83">IF(ISBLANK(H27),"",$Y$1)</f>
        <v/>
      </c>
      <c r="W27" s="95" t="str">
        <f t="shared" ref="W27:W35" si="84">IF(ISBLANK(I27),"",$Y$1)</f>
        <v/>
      </c>
      <c r="X27" s="95" t="str">
        <f t="shared" ref="X27:X35" si="85">IF(ISBLANK(J27),"",$Y$1)</f>
        <v/>
      </c>
      <c r="Y27" s="95" t="str">
        <f t="shared" ref="Y27:Y35" si="86">IF(ISBLANK(K27),"",$Y$1)</f>
        <v/>
      </c>
      <c r="Z27" s="95" t="str">
        <f t="shared" ref="Z27:Z35" si="87">IF(ISBLANK(L27),"",$Y$1)</f>
        <v/>
      </c>
      <c r="AA27" s="95" t="str">
        <f t="shared" ref="AA27:AA35" si="88">IF(ISBLANK(M27),"",$Y$1)</f>
        <v/>
      </c>
      <c r="AB27" s="95" t="str">
        <f t="shared" ref="AB27:AB44" si="89">IF(ISBLANK(G27),"",$AF$1)</f>
        <v/>
      </c>
      <c r="AC27" s="95" t="str">
        <f t="shared" ref="AC27:AC44" si="90">IF(ISBLANK(H27),"",$AF$1)</f>
        <v/>
      </c>
      <c r="AD27" s="95" t="str">
        <f t="shared" ref="AD27:AD44" si="91">IF(ISBLANK(I27),"",$AF$1)</f>
        <v/>
      </c>
      <c r="AE27" s="95" t="str">
        <f t="shared" ref="AE27:AE44" si="92">IF(ISBLANK(J27),"",$AF$1)</f>
        <v/>
      </c>
      <c r="AF27" s="95" t="str">
        <f t="shared" ref="AF27:AF44" si="93">IF(ISBLANK(K27),"",$AF$1)</f>
        <v/>
      </c>
      <c r="AG27" s="95" t="str">
        <f t="shared" ref="AG27:AG44" si="94">IF(ISBLANK(L27),"",$AF$1)</f>
        <v/>
      </c>
      <c r="AH27" s="95" t="str">
        <f t="shared" ref="AH27:AH44" si="95">IF(ISBLANK(M27),"",$AF$1)</f>
        <v/>
      </c>
      <c r="AI27" s="95" t="str">
        <f t="shared" ref="AI27:AI35" si="96">IF(ISBLANK(G27),"",$AM$1)</f>
        <v/>
      </c>
      <c r="AJ27" s="95" t="str">
        <f t="shared" ref="AJ27:AJ35" si="97">IF(ISBLANK(H27),"",$AM$1)</f>
        <v/>
      </c>
      <c r="AK27" s="95" t="str">
        <f t="shared" ref="AK27:AK35" si="98">IF(ISBLANK(I27),"",$AM$1)</f>
        <v/>
      </c>
      <c r="AL27" s="95" t="str">
        <f t="shared" ref="AL27:AL35" si="99">IF(ISBLANK(J27),"",$AM$1)</f>
        <v/>
      </c>
      <c r="AM27" s="95" t="str">
        <f t="shared" ref="AM27:AM35" si="100">IF(ISBLANK(K27),"",$AM$1)</f>
        <v/>
      </c>
      <c r="AN27" s="95" t="str">
        <f t="shared" si="75"/>
        <v/>
      </c>
      <c r="AO27" s="95" t="str">
        <f t="shared" si="76"/>
        <v/>
      </c>
      <c r="AP27" s="519">
        <f t="shared" si="38"/>
        <v>2</v>
      </c>
      <c r="AQ27" s="263">
        <f t="shared" si="39"/>
        <v>3</v>
      </c>
      <c r="AR27" s="263">
        <f t="shared" si="40"/>
        <v>7</v>
      </c>
      <c r="AS27" s="263">
        <f t="shared" si="41"/>
        <v>2</v>
      </c>
      <c r="AT27" s="263">
        <f t="shared" si="42"/>
        <v>4</v>
      </c>
      <c r="AU27" s="263">
        <f t="shared" si="43"/>
        <v>13</v>
      </c>
      <c r="AV27" s="520">
        <f t="shared" si="44"/>
        <v>6</v>
      </c>
      <c r="AW27" s="93">
        <f t="shared" si="45"/>
        <v>23</v>
      </c>
      <c r="AX27" s="93" t="str">
        <f t="shared" si="34"/>
        <v>GIM</v>
      </c>
      <c r="AY27" s="93">
        <v>56.1</v>
      </c>
      <c r="AZ27" s="93">
        <v>1E-3</v>
      </c>
      <c r="BA27" s="93">
        <v>1E-4</v>
      </c>
      <c r="BB27" s="93">
        <v>0</v>
      </c>
      <c r="BC27" s="93">
        <v>0.15</v>
      </c>
      <c r="BD27" s="93">
        <v>0.02</v>
      </c>
      <c r="BE27" s="93">
        <v>5.0000000000000001E-3</v>
      </c>
      <c r="BF27" s="93">
        <v>0</v>
      </c>
      <c r="BG27" s="93">
        <v>0</v>
      </c>
      <c r="BH27" s="93">
        <v>0</v>
      </c>
      <c r="BI27" s="93">
        <v>0</v>
      </c>
      <c r="BJ27" s="93">
        <v>0</v>
      </c>
      <c r="BK27" s="93">
        <v>0</v>
      </c>
      <c r="BL27" s="93">
        <v>0</v>
      </c>
      <c r="BM27" s="93">
        <v>0</v>
      </c>
      <c r="BN27" s="93">
        <v>0</v>
      </c>
      <c r="BO27" s="93">
        <f t="shared" si="35"/>
        <v>20</v>
      </c>
      <c r="BP27" s="93">
        <f t="shared" si="46"/>
        <v>6</v>
      </c>
      <c r="BR27" s="93">
        <f t="shared" si="47"/>
        <v>1</v>
      </c>
      <c r="BS27" s="93">
        <f t="shared" si="48"/>
        <v>2</v>
      </c>
      <c r="BT27" s="93">
        <f t="shared" si="49"/>
        <v>3</v>
      </c>
      <c r="BU27" s="93">
        <f t="shared" si="50"/>
        <v>3</v>
      </c>
      <c r="BV27" s="93">
        <f t="shared" si="51"/>
        <v>4</v>
      </c>
      <c r="BW27" s="93">
        <f t="shared" si="52"/>
        <v>5</v>
      </c>
      <c r="BX27" s="93">
        <f t="shared" si="53"/>
        <v>6</v>
      </c>
      <c r="BY27" s="93">
        <f t="shared" si="54"/>
        <v>6</v>
      </c>
      <c r="BZ27" s="93">
        <f t="shared" si="55"/>
        <v>6</v>
      </c>
      <c r="CA27" s="93">
        <f t="shared" si="56"/>
        <v>6</v>
      </c>
      <c r="CB27" s="93">
        <f t="shared" si="57"/>
        <v>6</v>
      </c>
      <c r="CC27" s="93">
        <f t="shared" si="58"/>
        <v>6</v>
      </c>
      <c r="CD27" s="93">
        <f t="shared" si="59"/>
        <v>6</v>
      </c>
      <c r="CE27" s="93">
        <f t="shared" si="60"/>
        <v>6</v>
      </c>
      <c r="CF27" s="93">
        <f t="shared" si="61"/>
        <v>6</v>
      </c>
      <c r="CG27" s="93">
        <f t="shared" si="62"/>
        <v>6</v>
      </c>
      <c r="CH27" s="93">
        <f>IFERROR(HLOOKUP(CH$4,$BR27:$CG$46,$BO27,FALSE),"")</f>
        <v>1</v>
      </c>
      <c r="CI27" s="93">
        <f>IFERROR(HLOOKUP(CI$4,$BR27:$CG$46,$BO27,FALSE),"")</f>
        <v>2</v>
      </c>
      <c r="CJ27" s="93">
        <f>IFERROR(HLOOKUP(CJ$4,$BR27:$CG$46,$BO27,FALSE),"")</f>
        <v>3</v>
      </c>
      <c r="CK27" s="93">
        <f>IFERROR(HLOOKUP(CK$4,$BR27:$CG$46,$BO27,FALSE),"")</f>
        <v>5</v>
      </c>
      <c r="CL27" s="93">
        <f>IFERROR(HLOOKUP(CL$4,$BR27:$CG$46,$BO27,FALSE),"")</f>
        <v>6</v>
      </c>
      <c r="CM27" s="93">
        <f>IFERROR(HLOOKUP(CM$4,$BR27:$CG$46,$BO27,FALSE),"")</f>
        <v>7</v>
      </c>
      <c r="CN27" s="93" t="str">
        <f>IFERROR(HLOOKUP(CN$4,$BR27:$CG$46,$BO27,FALSE),"")</f>
        <v/>
      </c>
      <c r="CO27" s="93" t="str">
        <f>IFERROR(HLOOKUP(CO$4,$BR27:$CG$46,$BO27,FALSE),"")</f>
        <v/>
      </c>
      <c r="CP27" s="93" t="str">
        <f>IFERROR(HLOOKUP(CP$4,$BR27:$CG$46,$BO27,FALSE),"")</f>
        <v/>
      </c>
      <c r="CQ27" s="93" t="str">
        <f>IFERROR(HLOOKUP(CQ$4,$BR27:$CG$46,$BO27,FALSE),"")</f>
        <v/>
      </c>
    </row>
    <row r="28" spans="1:95">
      <c r="A28" s="93">
        <f t="shared" si="36"/>
        <v>24</v>
      </c>
      <c r="B28" s="391" t="s">
        <v>596</v>
      </c>
      <c r="C28" s="391" t="s">
        <v>595</v>
      </c>
      <c r="D28" s="391" t="str">
        <f t="shared" si="6"/>
        <v>Heat-Steam</v>
      </c>
      <c r="E28" s="391"/>
      <c r="F28" s="391"/>
      <c r="G28" s="263"/>
      <c r="H28" s="263"/>
      <c r="I28" s="263"/>
      <c r="J28" s="263"/>
      <c r="K28" s="263"/>
      <c r="L28" s="263"/>
      <c r="M28" s="263"/>
      <c r="N28" s="95" t="str">
        <f t="shared" si="77"/>
        <v/>
      </c>
      <c r="O28" s="95" t="str">
        <f t="shared" si="78"/>
        <v/>
      </c>
      <c r="P28" s="95" t="str">
        <f t="shared" si="79"/>
        <v/>
      </c>
      <c r="Q28" s="95" t="str">
        <f t="shared" si="80"/>
        <v/>
      </c>
      <c r="R28" s="95" t="str">
        <f t="shared" si="81"/>
        <v/>
      </c>
      <c r="S28" s="95" t="str">
        <f t="shared" si="63"/>
        <v/>
      </c>
      <c r="T28" s="95" t="str">
        <f t="shared" si="69"/>
        <v/>
      </c>
      <c r="U28" s="95" t="str">
        <f t="shared" si="82"/>
        <v/>
      </c>
      <c r="V28" s="95" t="str">
        <f t="shared" si="83"/>
        <v/>
      </c>
      <c r="W28" s="95" t="str">
        <f t="shared" si="84"/>
        <v/>
      </c>
      <c r="X28" s="95" t="str">
        <f t="shared" si="85"/>
        <v/>
      </c>
      <c r="Y28" s="95" t="str">
        <f t="shared" si="86"/>
        <v/>
      </c>
      <c r="Z28" s="95" t="str">
        <f t="shared" si="87"/>
        <v/>
      </c>
      <c r="AA28" s="95" t="str">
        <f t="shared" si="88"/>
        <v/>
      </c>
      <c r="AB28" s="95" t="str">
        <f t="shared" si="89"/>
        <v/>
      </c>
      <c r="AC28" s="95" t="str">
        <f t="shared" si="90"/>
        <v/>
      </c>
      <c r="AD28" s="95" t="str">
        <f t="shared" si="91"/>
        <v/>
      </c>
      <c r="AE28" s="95" t="str">
        <f t="shared" si="92"/>
        <v/>
      </c>
      <c r="AF28" s="95" t="str">
        <f t="shared" si="93"/>
        <v/>
      </c>
      <c r="AG28" s="95" t="str">
        <f t="shared" si="94"/>
        <v/>
      </c>
      <c r="AH28" s="95" t="str">
        <f t="shared" si="95"/>
        <v/>
      </c>
      <c r="AI28" s="95" t="str">
        <f t="shared" si="96"/>
        <v/>
      </c>
      <c r="AJ28" s="95" t="str">
        <f t="shared" si="97"/>
        <v/>
      </c>
      <c r="AK28" s="95" t="str">
        <f t="shared" si="98"/>
        <v/>
      </c>
      <c r="AL28" s="95" t="str">
        <f t="shared" si="99"/>
        <v/>
      </c>
      <c r="AM28" s="95" t="str">
        <f t="shared" si="100"/>
        <v/>
      </c>
      <c r="AN28" s="95" t="str">
        <f t="shared" si="75"/>
        <v/>
      </c>
      <c r="AO28" s="95" t="str">
        <f t="shared" si="76"/>
        <v/>
      </c>
      <c r="AP28" s="519">
        <f t="shared" si="38"/>
        <v>2</v>
      </c>
      <c r="AQ28" s="263">
        <f t="shared" si="39"/>
        <v>3</v>
      </c>
      <c r="AR28" s="263">
        <f t="shared" si="40"/>
        <v>7</v>
      </c>
      <c r="AS28" s="263">
        <f t="shared" si="41"/>
        <v>2</v>
      </c>
      <c r="AT28" s="263">
        <f t="shared" si="42"/>
        <v>4</v>
      </c>
      <c r="AU28" s="263">
        <f t="shared" si="43"/>
        <v>13</v>
      </c>
      <c r="AV28" s="520">
        <f t="shared" si="44"/>
        <v>6</v>
      </c>
      <c r="AW28" s="93">
        <f t="shared" si="45"/>
        <v>24</v>
      </c>
      <c r="AX28" s="93" t="str">
        <f t="shared" si="34"/>
        <v>HET</v>
      </c>
      <c r="AY28" s="93">
        <v>0</v>
      </c>
      <c r="AZ28" s="93">
        <v>0</v>
      </c>
      <c r="BA28" s="93">
        <v>0</v>
      </c>
      <c r="BB28" s="93">
        <v>0</v>
      </c>
      <c r="BC28" s="93">
        <v>0</v>
      </c>
      <c r="BD28" s="93">
        <v>0</v>
      </c>
      <c r="BE28" s="93">
        <v>0</v>
      </c>
      <c r="BF28" s="93">
        <v>0</v>
      </c>
      <c r="BG28" s="93">
        <v>0</v>
      </c>
      <c r="BH28" s="93">
        <v>0</v>
      </c>
      <c r="BI28" s="93">
        <v>0</v>
      </c>
      <c r="BJ28" s="93">
        <v>0</v>
      </c>
      <c r="BK28" s="93">
        <v>0</v>
      </c>
      <c r="BL28" s="93">
        <v>0</v>
      </c>
      <c r="BM28" s="93">
        <v>0</v>
      </c>
      <c r="BN28" s="93">
        <v>0</v>
      </c>
      <c r="BO28" s="93">
        <f t="shared" si="35"/>
        <v>19</v>
      </c>
      <c r="BP28" s="93">
        <f t="shared" si="46"/>
        <v>0</v>
      </c>
      <c r="BR28" s="93">
        <f t="shared" si="47"/>
        <v>0</v>
      </c>
      <c r="BS28" s="93">
        <f t="shared" si="48"/>
        <v>0</v>
      </c>
      <c r="BT28" s="93">
        <f t="shared" si="49"/>
        <v>0</v>
      </c>
      <c r="BU28" s="93">
        <f t="shared" si="50"/>
        <v>0</v>
      </c>
      <c r="BV28" s="93">
        <f t="shared" si="51"/>
        <v>0</v>
      </c>
      <c r="BW28" s="93">
        <f t="shared" si="52"/>
        <v>0</v>
      </c>
      <c r="BX28" s="93">
        <f t="shared" si="53"/>
        <v>0</v>
      </c>
      <c r="BY28" s="93">
        <f t="shared" si="54"/>
        <v>0</v>
      </c>
      <c r="BZ28" s="93">
        <f t="shared" si="55"/>
        <v>0</v>
      </c>
      <c r="CA28" s="93">
        <f t="shared" si="56"/>
        <v>0</v>
      </c>
      <c r="CB28" s="93">
        <f t="shared" si="57"/>
        <v>0</v>
      </c>
      <c r="CC28" s="93">
        <f t="shared" si="58"/>
        <v>0</v>
      </c>
      <c r="CD28" s="93">
        <f t="shared" si="59"/>
        <v>0</v>
      </c>
      <c r="CE28" s="93">
        <f t="shared" si="60"/>
        <v>0</v>
      </c>
      <c r="CF28" s="93">
        <f t="shared" si="61"/>
        <v>0</v>
      </c>
      <c r="CG28" s="93">
        <f t="shared" si="62"/>
        <v>0</v>
      </c>
      <c r="CH28" s="93" t="str">
        <f>IFERROR(HLOOKUP(CH$4,$BR28:$CG$46,$BO28,FALSE),"")</f>
        <v/>
      </c>
      <c r="CI28" s="93" t="str">
        <f>IFERROR(HLOOKUP(CI$4,$BR28:$CG$46,$BO28,FALSE),"")</f>
        <v/>
      </c>
      <c r="CJ28" s="93" t="str">
        <f>IFERROR(HLOOKUP(CJ$4,$BR28:$CG$46,$BO28,FALSE),"")</f>
        <v/>
      </c>
      <c r="CK28" s="93" t="str">
        <f>IFERROR(HLOOKUP(CK$4,$BR28:$CG$46,$BO28,FALSE),"")</f>
        <v/>
      </c>
      <c r="CL28" s="93" t="str">
        <f>IFERROR(HLOOKUP(CL$4,$BR28:$CG$46,$BO28,FALSE),"")</f>
        <v/>
      </c>
      <c r="CM28" s="93" t="str">
        <f>IFERROR(HLOOKUP(CM$4,$BR28:$CG$46,$BO28,FALSE),"")</f>
        <v/>
      </c>
      <c r="CN28" s="93" t="str">
        <f>IFERROR(HLOOKUP(CN$4,$BR28:$CG$46,$BO28,FALSE),"")</f>
        <v/>
      </c>
      <c r="CO28" s="93" t="str">
        <f>IFERROR(HLOOKUP(CO$4,$BR28:$CG$46,$BO28,FALSE),"")</f>
        <v/>
      </c>
      <c r="CP28" s="93" t="str">
        <f>IFERROR(HLOOKUP(CP$4,$BR28:$CG$46,$BO28,FALSE),"")</f>
        <v/>
      </c>
      <c r="CQ28" s="93" t="str">
        <f>IFERROR(HLOOKUP(CQ$4,$BR28:$CG$46,$BO28,FALSE),"")</f>
        <v/>
      </c>
    </row>
    <row r="29" spans="1:95">
      <c r="A29" s="93">
        <f t="shared" si="36"/>
        <v>25</v>
      </c>
      <c r="B29" s="391" t="s">
        <v>863</v>
      </c>
      <c r="C29" s="391" t="s">
        <v>865</v>
      </c>
      <c r="D29" s="391" t="str">
        <f t="shared" si="6"/>
        <v>Heat-Steam Existing</v>
      </c>
      <c r="E29" s="391"/>
      <c r="F29" s="391"/>
      <c r="G29" s="263"/>
      <c r="H29" s="263"/>
      <c r="I29" s="263"/>
      <c r="J29" s="263"/>
      <c r="K29" s="263"/>
      <c r="L29" s="263"/>
      <c r="M29" s="263">
        <v>1</v>
      </c>
      <c r="N29" s="95" t="str">
        <f t="shared" si="77"/>
        <v/>
      </c>
      <c r="O29" s="95" t="str">
        <f t="shared" si="78"/>
        <v/>
      </c>
      <c r="P29" s="95" t="str">
        <f t="shared" si="79"/>
        <v/>
      </c>
      <c r="Q29" s="95" t="str">
        <f t="shared" si="80"/>
        <v/>
      </c>
      <c r="R29" s="95" t="str">
        <f t="shared" si="81"/>
        <v/>
      </c>
      <c r="S29" s="95" t="str">
        <f t="shared" si="63"/>
        <v/>
      </c>
      <c r="T29" s="95">
        <f t="shared" si="69"/>
        <v>1</v>
      </c>
      <c r="U29" s="95" t="str">
        <f t="shared" si="82"/>
        <v/>
      </c>
      <c r="V29" s="95" t="str">
        <f t="shared" si="83"/>
        <v/>
      </c>
      <c r="W29" s="95" t="str">
        <f t="shared" si="84"/>
        <v/>
      </c>
      <c r="X29" s="95" t="str">
        <f t="shared" si="85"/>
        <v/>
      </c>
      <c r="Y29" s="95" t="str">
        <f t="shared" si="86"/>
        <v/>
      </c>
      <c r="Z29" s="95" t="str">
        <f t="shared" si="87"/>
        <v/>
      </c>
      <c r="AA29" s="95">
        <f t="shared" si="88"/>
        <v>1.0000000000000001E-5</v>
      </c>
      <c r="AB29" s="95" t="str">
        <f t="shared" si="89"/>
        <v/>
      </c>
      <c r="AC29" s="95" t="str">
        <f t="shared" si="90"/>
        <v/>
      </c>
      <c r="AD29" s="95" t="str">
        <f t="shared" si="91"/>
        <v/>
      </c>
      <c r="AE29" s="95" t="str">
        <f t="shared" si="92"/>
        <v/>
      </c>
      <c r="AF29" s="95" t="str">
        <f t="shared" si="93"/>
        <v/>
      </c>
      <c r="AG29" s="95" t="str">
        <f t="shared" si="94"/>
        <v/>
      </c>
      <c r="AH29" s="95">
        <f t="shared" si="95"/>
        <v>60</v>
      </c>
      <c r="AI29" s="95" t="str">
        <f t="shared" si="96"/>
        <v/>
      </c>
      <c r="AJ29" s="95" t="str">
        <f t="shared" si="97"/>
        <v/>
      </c>
      <c r="AK29" s="95" t="str">
        <f t="shared" si="98"/>
        <v/>
      </c>
      <c r="AL29" s="95" t="str">
        <f t="shared" si="99"/>
        <v/>
      </c>
      <c r="AM29" s="95" t="str">
        <f t="shared" si="100"/>
        <v/>
      </c>
      <c r="AN29" s="95" t="str">
        <f t="shared" si="75"/>
        <v/>
      </c>
      <c r="AO29" s="95">
        <f t="shared" si="76"/>
        <v>1E-4</v>
      </c>
      <c r="AP29" s="519">
        <f t="shared" si="38"/>
        <v>2</v>
      </c>
      <c r="AQ29" s="263">
        <f t="shared" si="39"/>
        <v>3</v>
      </c>
      <c r="AR29" s="263">
        <f t="shared" si="40"/>
        <v>7</v>
      </c>
      <c r="AS29" s="263">
        <f t="shared" si="41"/>
        <v>2</v>
      </c>
      <c r="AT29" s="263">
        <f t="shared" si="42"/>
        <v>4</v>
      </c>
      <c r="AU29" s="263">
        <f t="shared" si="43"/>
        <v>13</v>
      </c>
      <c r="AV29" s="520">
        <f t="shared" si="44"/>
        <v>7</v>
      </c>
      <c r="AW29" s="93">
        <f t="shared" si="45"/>
        <v>25</v>
      </c>
      <c r="AX29" s="93" t="str">
        <f t="shared" si="34"/>
        <v>HEE</v>
      </c>
      <c r="AY29" s="93">
        <v>0</v>
      </c>
      <c r="AZ29" s="93">
        <v>0</v>
      </c>
      <c r="BA29" s="93">
        <v>0</v>
      </c>
      <c r="BB29" s="93">
        <v>0</v>
      </c>
      <c r="BC29" s="93">
        <v>0</v>
      </c>
      <c r="BD29" s="93">
        <v>0</v>
      </c>
      <c r="BE29" s="93">
        <v>0</v>
      </c>
      <c r="BF29" s="93">
        <v>0</v>
      </c>
      <c r="BG29" s="93">
        <v>0</v>
      </c>
      <c r="BH29" s="93">
        <v>0</v>
      </c>
      <c r="BI29" s="93">
        <v>0</v>
      </c>
      <c r="BJ29" s="93">
        <v>0</v>
      </c>
      <c r="BK29" s="93">
        <v>0</v>
      </c>
      <c r="BL29" s="93">
        <v>0</v>
      </c>
      <c r="BM29" s="93">
        <v>0</v>
      </c>
      <c r="BN29" s="93">
        <v>0</v>
      </c>
      <c r="BO29" s="93">
        <f t="shared" si="35"/>
        <v>18</v>
      </c>
      <c r="BP29" s="93">
        <f t="shared" si="46"/>
        <v>0</v>
      </c>
      <c r="BR29" s="93">
        <f t="shared" si="47"/>
        <v>0</v>
      </c>
      <c r="BS29" s="93">
        <f t="shared" si="48"/>
        <v>0</v>
      </c>
      <c r="BT29" s="93">
        <f t="shared" si="49"/>
        <v>0</v>
      </c>
      <c r="BU29" s="93">
        <f t="shared" si="50"/>
        <v>0</v>
      </c>
      <c r="BV29" s="93">
        <f t="shared" si="51"/>
        <v>0</v>
      </c>
      <c r="BW29" s="93">
        <f t="shared" si="52"/>
        <v>0</v>
      </c>
      <c r="BX29" s="93">
        <f t="shared" si="53"/>
        <v>0</v>
      </c>
      <c r="BY29" s="93">
        <f t="shared" si="54"/>
        <v>0</v>
      </c>
      <c r="BZ29" s="93">
        <f t="shared" si="55"/>
        <v>0</v>
      </c>
      <c r="CA29" s="93">
        <f t="shared" si="56"/>
        <v>0</v>
      </c>
      <c r="CB29" s="93">
        <f t="shared" si="57"/>
        <v>0</v>
      </c>
      <c r="CC29" s="93">
        <f t="shared" si="58"/>
        <v>0</v>
      </c>
      <c r="CD29" s="93">
        <f t="shared" si="59"/>
        <v>0</v>
      </c>
      <c r="CE29" s="93">
        <f t="shared" si="60"/>
        <v>0</v>
      </c>
      <c r="CF29" s="93">
        <f t="shared" si="61"/>
        <v>0</v>
      </c>
      <c r="CG29" s="93">
        <f t="shared" si="62"/>
        <v>0</v>
      </c>
      <c r="CH29" s="93" t="str">
        <f>IFERROR(HLOOKUP(CH$4,$BR29:$CG$46,$BO29,FALSE),"")</f>
        <v/>
      </c>
      <c r="CI29" s="93" t="str">
        <f>IFERROR(HLOOKUP(CI$4,$BR29:$CG$46,$BO29,FALSE),"")</f>
        <v/>
      </c>
      <c r="CJ29" s="93" t="str">
        <f>IFERROR(HLOOKUP(CJ$4,$BR29:$CG$46,$BO29,FALSE),"")</f>
        <v/>
      </c>
      <c r="CK29" s="93" t="str">
        <f>IFERROR(HLOOKUP(CK$4,$BR29:$CG$46,$BO29,FALSE),"")</f>
        <v/>
      </c>
      <c r="CL29" s="93" t="str">
        <f>IFERROR(HLOOKUP(CL$4,$BR29:$CG$46,$BO29,FALSE),"")</f>
        <v/>
      </c>
      <c r="CM29" s="93" t="str">
        <f>IFERROR(HLOOKUP(CM$4,$BR29:$CG$46,$BO29,FALSE),"")</f>
        <v/>
      </c>
      <c r="CN29" s="93" t="str">
        <f>IFERROR(HLOOKUP(CN$4,$BR29:$CG$46,$BO29,FALSE),"")</f>
        <v/>
      </c>
      <c r="CO29" s="93" t="str">
        <f>IFERROR(HLOOKUP(CO$4,$BR29:$CG$46,$BO29,FALSE),"")</f>
        <v/>
      </c>
      <c r="CP29" s="93" t="str">
        <f>IFERROR(HLOOKUP(CP$4,$BR29:$CG$46,$BO29,FALSE),"")</f>
        <v/>
      </c>
      <c r="CQ29" s="93" t="str">
        <f>IFERROR(HLOOKUP(CQ$4,$BR29:$CG$46,$BO29,FALSE),"")</f>
        <v/>
      </c>
    </row>
    <row r="30" spans="1:95">
      <c r="A30" s="93">
        <f t="shared" si="36"/>
        <v>26</v>
      </c>
      <c r="B30" s="391" t="s">
        <v>864</v>
      </c>
      <c r="C30" s="391" t="s">
        <v>866</v>
      </c>
      <c r="D30" s="391" t="str">
        <f t="shared" si="6"/>
        <v>Heat-Steam New</v>
      </c>
      <c r="E30" s="391"/>
      <c r="F30" s="391"/>
      <c r="G30" s="263"/>
      <c r="H30" s="263"/>
      <c r="I30" s="263"/>
      <c r="J30" s="263"/>
      <c r="K30" s="263"/>
      <c r="L30" s="263"/>
      <c r="M30" s="263">
        <v>1</v>
      </c>
      <c r="N30" s="95" t="str">
        <f t="shared" si="77"/>
        <v/>
      </c>
      <c r="O30" s="95" t="str">
        <f t="shared" si="78"/>
        <v/>
      </c>
      <c r="P30" s="95" t="str">
        <f t="shared" si="79"/>
        <v/>
      </c>
      <c r="Q30" s="95" t="str">
        <f t="shared" si="80"/>
        <v/>
      </c>
      <c r="R30" s="95" t="str">
        <f t="shared" si="81"/>
        <v/>
      </c>
      <c r="S30" s="95" t="str">
        <f t="shared" si="63"/>
        <v/>
      </c>
      <c r="T30" s="95">
        <f t="shared" si="69"/>
        <v>1</v>
      </c>
      <c r="U30" s="95" t="str">
        <f t="shared" si="82"/>
        <v/>
      </c>
      <c r="V30" s="95" t="str">
        <f t="shared" si="83"/>
        <v/>
      </c>
      <c r="W30" s="95" t="str">
        <f t="shared" si="84"/>
        <v/>
      </c>
      <c r="X30" s="95" t="str">
        <f t="shared" si="85"/>
        <v/>
      </c>
      <c r="Y30" s="95" t="str">
        <f t="shared" si="86"/>
        <v/>
      </c>
      <c r="Z30" s="95" t="str">
        <f t="shared" si="87"/>
        <v/>
      </c>
      <c r="AA30" s="95">
        <f t="shared" si="88"/>
        <v>1.0000000000000001E-5</v>
      </c>
      <c r="AB30" s="95" t="str">
        <f t="shared" si="89"/>
        <v/>
      </c>
      <c r="AC30" s="95" t="str">
        <f t="shared" si="90"/>
        <v/>
      </c>
      <c r="AD30" s="95" t="str">
        <f t="shared" si="91"/>
        <v/>
      </c>
      <c r="AE30" s="95" t="str">
        <f t="shared" si="92"/>
        <v/>
      </c>
      <c r="AF30" s="95" t="str">
        <f t="shared" si="93"/>
        <v/>
      </c>
      <c r="AG30" s="95" t="str">
        <f t="shared" si="94"/>
        <v/>
      </c>
      <c r="AH30" s="95">
        <f t="shared" si="95"/>
        <v>60</v>
      </c>
      <c r="AI30" s="95" t="str">
        <f t="shared" si="96"/>
        <v/>
      </c>
      <c r="AJ30" s="95" t="str">
        <f t="shared" si="97"/>
        <v/>
      </c>
      <c r="AK30" s="95" t="str">
        <f t="shared" si="98"/>
        <v/>
      </c>
      <c r="AL30" s="95" t="str">
        <f t="shared" si="99"/>
        <v/>
      </c>
      <c r="AM30" s="95" t="str">
        <f t="shared" si="100"/>
        <v/>
      </c>
      <c r="AN30" s="95" t="str">
        <f t="shared" si="75"/>
        <v/>
      </c>
      <c r="AO30" s="95">
        <f t="shared" si="76"/>
        <v>1E-4</v>
      </c>
      <c r="AP30" s="519">
        <f t="shared" si="38"/>
        <v>2</v>
      </c>
      <c r="AQ30" s="263">
        <f t="shared" si="39"/>
        <v>3</v>
      </c>
      <c r="AR30" s="263">
        <f t="shared" si="40"/>
        <v>7</v>
      </c>
      <c r="AS30" s="263">
        <f t="shared" si="41"/>
        <v>2</v>
      </c>
      <c r="AT30" s="263">
        <f t="shared" si="42"/>
        <v>4</v>
      </c>
      <c r="AU30" s="263">
        <f t="shared" si="43"/>
        <v>13</v>
      </c>
      <c r="AV30" s="520">
        <f t="shared" si="44"/>
        <v>8</v>
      </c>
      <c r="AW30" s="93">
        <f t="shared" si="45"/>
        <v>26</v>
      </c>
      <c r="AX30" s="93" t="str">
        <f t="shared" si="34"/>
        <v>HEN</v>
      </c>
      <c r="AY30" s="93">
        <v>0</v>
      </c>
      <c r="AZ30" s="93">
        <v>0</v>
      </c>
      <c r="BA30" s="93">
        <v>0</v>
      </c>
      <c r="BB30" s="93">
        <v>0</v>
      </c>
      <c r="BC30" s="93">
        <v>0</v>
      </c>
      <c r="BD30" s="93">
        <v>0</v>
      </c>
      <c r="BE30" s="93">
        <v>0</v>
      </c>
      <c r="BF30" s="93">
        <v>0</v>
      </c>
      <c r="BG30" s="93">
        <v>0</v>
      </c>
      <c r="BH30" s="93">
        <v>0</v>
      </c>
      <c r="BI30" s="93">
        <v>0</v>
      </c>
      <c r="BJ30" s="93">
        <v>0</v>
      </c>
      <c r="BK30" s="93">
        <v>0</v>
      </c>
      <c r="BL30" s="93">
        <v>0</v>
      </c>
      <c r="BM30" s="93">
        <v>0</v>
      </c>
      <c r="BN30" s="93">
        <v>0</v>
      </c>
      <c r="BO30" s="93">
        <f t="shared" si="35"/>
        <v>17</v>
      </c>
      <c r="BP30" s="93">
        <f t="shared" si="46"/>
        <v>0</v>
      </c>
      <c r="BR30" s="93">
        <f t="shared" si="47"/>
        <v>0</v>
      </c>
      <c r="BS30" s="93">
        <f t="shared" si="48"/>
        <v>0</v>
      </c>
      <c r="BT30" s="93">
        <f t="shared" si="49"/>
        <v>0</v>
      </c>
      <c r="BU30" s="93">
        <f t="shared" si="50"/>
        <v>0</v>
      </c>
      <c r="BV30" s="93">
        <f t="shared" si="51"/>
        <v>0</v>
      </c>
      <c r="BW30" s="93">
        <f t="shared" si="52"/>
        <v>0</v>
      </c>
      <c r="BX30" s="93">
        <f t="shared" si="53"/>
        <v>0</v>
      </c>
      <c r="BY30" s="93">
        <f t="shared" si="54"/>
        <v>0</v>
      </c>
      <c r="BZ30" s="93">
        <f t="shared" si="55"/>
        <v>0</v>
      </c>
      <c r="CA30" s="93">
        <f t="shared" si="56"/>
        <v>0</v>
      </c>
      <c r="CB30" s="93">
        <f t="shared" si="57"/>
        <v>0</v>
      </c>
      <c r="CC30" s="93">
        <f t="shared" si="58"/>
        <v>0</v>
      </c>
      <c r="CD30" s="93">
        <f t="shared" si="59"/>
        <v>0</v>
      </c>
      <c r="CE30" s="93">
        <f t="shared" si="60"/>
        <v>0</v>
      </c>
      <c r="CF30" s="93">
        <f t="shared" si="61"/>
        <v>0</v>
      </c>
      <c r="CG30" s="93">
        <f t="shared" si="62"/>
        <v>0</v>
      </c>
      <c r="CH30" s="93" t="str">
        <f>IFERROR(HLOOKUP(CH$4,$BR30:$CG$46,$BO30,FALSE),"")</f>
        <v/>
      </c>
      <c r="CI30" s="93" t="str">
        <f>IFERROR(HLOOKUP(CI$4,$BR30:$CG$46,$BO30,FALSE),"")</f>
        <v/>
      </c>
      <c r="CJ30" s="93" t="str">
        <f>IFERROR(HLOOKUP(CJ$4,$BR30:$CG$46,$BO30,FALSE),"")</f>
        <v/>
      </c>
      <c r="CK30" s="93" t="str">
        <f>IFERROR(HLOOKUP(CK$4,$BR30:$CG$46,$BO30,FALSE),"")</f>
        <v/>
      </c>
      <c r="CL30" s="93" t="str">
        <f>IFERROR(HLOOKUP(CL$4,$BR30:$CG$46,$BO30,FALSE),"")</f>
        <v/>
      </c>
      <c r="CM30" s="93" t="str">
        <f>IFERROR(HLOOKUP(CM$4,$BR30:$CG$46,$BO30,FALSE),"")</f>
        <v/>
      </c>
      <c r="CN30" s="93" t="str">
        <f>IFERROR(HLOOKUP(CN$4,$BR30:$CG$46,$BO30,FALSE),"")</f>
        <v/>
      </c>
      <c r="CO30" s="93" t="str">
        <f>IFERROR(HLOOKUP(CO$4,$BR30:$CG$46,$BO30,FALSE),"")</f>
        <v/>
      </c>
      <c r="CP30" s="93" t="str">
        <f>IFERROR(HLOOKUP(CP$4,$BR30:$CG$46,$BO30,FALSE),"")</f>
        <v/>
      </c>
      <c r="CQ30" s="93" t="str">
        <f>IFERROR(HLOOKUP(CQ$4,$BR30:$CG$46,$BO30,FALSE),"")</f>
        <v/>
      </c>
    </row>
    <row r="31" spans="1:95">
      <c r="A31" s="93">
        <f t="shared" si="36"/>
        <v>27</v>
      </c>
      <c r="B31" s="391" t="s">
        <v>131</v>
      </c>
      <c r="C31" s="391" t="s">
        <v>367</v>
      </c>
      <c r="D31" s="391" t="str">
        <f t="shared" si="6"/>
        <v>Hydro</v>
      </c>
      <c r="E31" s="391"/>
      <c r="F31" s="391"/>
      <c r="G31" s="263"/>
      <c r="H31" s="263"/>
      <c r="I31" s="263"/>
      <c r="J31" s="263"/>
      <c r="K31" s="263"/>
      <c r="L31" s="263">
        <v>1</v>
      </c>
      <c r="M31" s="263"/>
      <c r="N31" s="95" t="str">
        <f t="shared" si="77"/>
        <v/>
      </c>
      <c r="O31" s="95" t="str">
        <f t="shared" si="78"/>
        <v/>
      </c>
      <c r="P31" s="95" t="str">
        <f t="shared" si="79"/>
        <v/>
      </c>
      <c r="Q31" s="95" t="str">
        <f t="shared" si="80"/>
        <v/>
      </c>
      <c r="R31" s="95" t="str">
        <f t="shared" si="81"/>
        <v/>
      </c>
      <c r="S31" s="95">
        <f t="shared" si="63"/>
        <v>1</v>
      </c>
      <c r="T31" s="95" t="str">
        <f t="shared" si="69"/>
        <v/>
      </c>
      <c r="U31" s="95" t="str">
        <f t="shared" si="82"/>
        <v/>
      </c>
      <c r="V31" s="95" t="str">
        <f t="shared" si="83"/>
        <v/>
      </c>
      <c r="W31" s="95" t="str">
        <f t="shared" si="84"/>
        <v/>
      </c>
      <c r="X31" s="95" t="str">
        <f t="shared" si="85"/>
        <v/>
      </c>
      <c r="Y31" s="95" t="str">
        <f t="shared" si="86"/>
        <v/>
      </c>
      <c r="Z31" s="95">
        <f t="shared" si="87"/>
        <v>1.0000000000000001E-5</v>
      </c>
      <c r="AA31" s="95" t="str">
        <f t="shared" si="88"/>
        <v/>
      </c>
      <c r="AB31" s="95" t="str">
        <f t="shared" si="89"/>
        <v/>
      </c>
      <c r="AC31" s="95" t="str">
        <f t="shared" si="90"/>
        <v/>
      </c>
      <c r="AD31" s="95" t="str">
        <f t="shared" si="91"/>
        <v/>
      </c>
      <c r="AE31" s="95" t="str">
        <f t="shared" si="92"/>
        <v/>
      </c>
      <c r="AF31" s="95" t="str">
        <f t="shared" si="93"/>
        <v/>
      </c>
      <c r="AG31" s="95">
        <f t="shared" si="94"/>
        <v>60</v>
      </c>
      <c r="AH31" s="95" t="str">
        <f t="shared" si="95"/>
        <v/>
      </c>
      <c r="AI31" s="95" t="str">
        <f t="shared" si="96"/>
        <v/>
      </c>
      <c r="AJ31" s="95" t="str">
        <f t="shared" si="97"/>
        <v/>
      </c>
      <c r="AK31" s="95" t="str">
        <f t="shared" si="98"/>
        <v/>
      </c>
      <c r="AL31" s="95" t="str">
        <f t="shared" si="99"/>
        <v/>
      </c>
      <c r="AM31" s="95" t="str">
        <f t="shared" si="100"/>
        <v/>
      </c>
      <c r="AN31" s="95">
        <f t="shared" si="75"/>
        <v>1E-4</v>
      </c>
      <c r="AO31" s="95" t="str">
        <f t="shared" si="76"/>
        <v/>
      </c>
      <c r="AP31" s="519">
        <f t="shared" si="38"/>
        <v>2</v>
      </c>
      <c r="AQ31" s="263">
        <f t="shared" si="39"/>
        <v>3</v>
      </c>
      <c r="AR31" s="263">
        <f t="shared" si="40"/>
        <v>7</v>
      </c>
      <c r="AS31" s="263">
        <f t="shared" si="41"/>
        <v>2</v>
      </c>
      <c r="AT31" s="263">
        <f t="shared" si="42"/>
        <v>4</v>
      </c>
      <c r="AU31" s="263">
        <f t="shared" si="43"/>
        <v>14</v>
      </c>
      <c r="AV31" s="520">
        <f t="shared" si="44"/>
        <v>8</v>
      </c>
      <c r="AW31" s="93">
        <f t="shared" si="45"/>
        <v>27</v>
      </c>
      <c r="AX31" s="93" t="str">
        <f t="shared" si="34"/>
        <v>HYD</v>
      </c>
      <c r="AY31" s="93">
        <v>0</v>
      </c>
      <c r="AZ31" s="93">
        <v>0</v>
      </c>
      <c r="BA31" s="93">
        <v>0</v>
      </c>
      <c r="BB31" s="93">
        <v>0</v>
      </c>
      <c r="BC31" s="93">
        <v>0</v>
      </c>
      <c r="BD31" s="93">
        <v>0</v>
      </c>
      <c r="BE31" s="93">
        <v>0</v>
      </c>
      <c r="BF31" s="93">
        <v>0</v>
      </c>
      <c r="BG31" s="93">
        <v>0</v>
      </c>
      <c r="BH31" s="93">
        <v>0</v>
      </c>
      <c r="BI31" s="93">
        <v>0</v>
      </c>
      <c r="BJ31" s="93">
        <v>0</v>
      </c>
      <c r="BK31" s="93">
        <v>0</v>
      </c>
      <c r="BL31" s="93">
        <v>0</v>
      </c>
      <c r="BM31" s="93">
        <v>0</v>
      </c>
      <c r="BN31" s="93">
        <v>0</v>
      </c>
      <c r="BO31" s="93">
        <f>BO32+1</f>
        <v>16</v>
      </c>
      <c r="BP31" s="93">
        <f t="shared" si="46"/>
        <v>0</v>
      </c>
      <c r="BR31" s="93">
        <f t="shared" si="47"/>
        <v>0</v>
      </c>
      <c r="BS31" s="93">
        <f t="shared" si="48"/>
        <v>0</v>
      </c>
      <c r="BT31" s="93">
        <f t="shared" si="49"/>
        <v>0</v>
      </c>
      <c r="BU31" s="93">
        <f t="shared" si="50"/>
        <v>0</v>
      </c>
      <c r="BV31" s="93">
        <f t="shared" si="51"/>
        <v>0</v>
      </c>
      <c r="BW31" s="93">
        <f t="shared" si="52"/>
        <v>0</v>
      </c>
      <c r="BX31" s="93">
        <f t="shared" si="53"/>
        <v>0</v>
      </c>
      <c r="BY31" s="93">
        <f t="shared" si="54"/>
        <v>0</v>
      </c>
      <c r="BZ31" s="93">
        <f t="shared" si="55"/>
        <v>0</v>
      </c>
      <c r="CA31" s="93">
        <f t="shared" si="56"/>
        <v>0</v>
      </c>
      <c r="CB31" s="93">
        <f t="shared" si="57"/>
        <v>0</v>
      </c>
      <c r="CC31" s="93">
        <f t="shared" si="58"/>
        <v>0</v>
      </c>
      <c r="CD31" s="93">
        <f t="shared" si="59"/>
        <v>0</v>
      </c>
      <c r="CE31" s="93">
        <f t="shared" si="60"/>
        <v>0</v>
      </c>
      <c r="CF31" s="93">
        <f t="shared" si="61"/>
        <v>0</v>
      </c>
      <c r="CG31" s="93">
        <f t="shared" si="62"/>
        <v>0</v>
      </c>
      <c r="CH31" s="93" t="str">
        <f>IFERROR(HLOOKUP(CH$4,$BR31:$CG$46,$BO31,FALSE),"")</f>
        <v/>
      </c>
      <c r="CI31" s="93" t="str">
        <f>IFERROR(HLOOKUP(CI$4,$BR31:$CG$46,$BO31,FALSE),"")</f>
        <v/>
      </c>
      <c r="CJ31" s="93" t="str">
        <f>IFERROR(HLOOKUP(CJ$4,$BR31:$CG$46,$BO31,FALSE),"")</f>
        <v/>
      </c>
      <c r="CK31" s="93" t="str">
        <f>IFERROR(HLOOKUP(CK$4,$BR31:$CG$46,$BO31,FALSE),"")</f>
        <v/>
      </c>
      <c r="CL31" s="93" t="str">
        <f>IFERROR(HLOOKUP(CL$4,$BR31:$CG$46,$BO31,FALSE),"")</f>
        <v/>
      </c>
      <c r="CM31" s="93" t="str">
        <f>IFERROR(HLOOKUP(CM$4,$BR31:$CG$46,$BO31,FALSE),"")</f>
        <v/>
      </c>
      <c r="CN31" s="93" t="str">
        <f>IFERROR(HLOOKUP(CN$4,$BR31:$CG$46,$BO31,FALSE),"")</f>
        <v/>
      </c>
      <c r="CO31" s="93" t="str">
        <f>IFERROR(HLOOKUP(CO$4,$BR31:$CG$46,$BO31,FALSE),"")</f>
        <v/>
      </c>
      <c r="CP31" s="93" t="str">
        <f>IFERROR(HLOOKUP(CP$4,$BR31:$CG$46,$BO31,FALSE),"")</f>
        <v/>
      </c>
      <c r="CQ31" s="93" t="str">
        <f>IFERROR(HLOOKUP(CQ$4,$BR31:$CG$46,$BO31,FALSE),"")</f>
        <v/>
      </c>
    </row>
    <row r="32" spans="1:95" s="743" customFormat="1">
      <c r="A32" s="93">
        <f>A31+1</f>
        <v>28</v>
      </c>
      <c r="B32" s="744" t="s">
        <v>1198</v>
      </c>
      <c r="C32" s="744" t="s">
        <v>1199</v>
      </c>
      <c r="D32" s="744" t="str">
        <f t="shared" si="6"/>
        <v>Hydrogen</v>
      </c>
      <c r="E32" s="744"/>
      <c r="F32" s="744"/>
      <c r="G32" s="745"/>
      <c r="H32" s="745"/>
      <c r="I32" s="745"/>
      <c r="J32" s="745">
        <v>1</v>
      </c>
      <c r="K32" s="745"/>
      <c r="L32" s="745">
        <v>1</v>
      </c>
      <c r="M32" s="745">
        <v>1</v>
      </c>
      <c r="N32" s="749" t="str">
        <f t="shared" si="77"/>
        <v/>
      </c>
      <c r="O32" s="749" t="str">
        <f t="shared" si="78"/>
        <v/>
      </c>
      <c r="P32" s="749" t="str">
        <f t="shared" si="79"/>
        <v/>
      </c>
      <c r="Q32" s="749">
        <v>0.98</v>
      </c>
      <c r="R32" s="749" t="str">
        <f t="shared" si="81"/>
        <v/>
      </c>
      <c r="S32" s="749">
        <f t="shared" si="63"/>
        <v>1</v>
      </c>
      <c r="T32" s="749">
        <f t="shared" si="69"/>
        <v>1</v>
      </c>
      <c r="U32" s="95" t="str">
        <f t="shared" si="82"/>
        <v/>
      </c>
      <c r="V32" s="95" t="str">
        <f t="shared" si="83"/>
        <v/>
      </c>
      <c r="W32" s="95" t="str">
        <f t="shared" si="84"/>
        <v/>
      </c>
      <c r="X32" s="95">
        <f t="shared" si="85"/>
        <v>1.0000000000000001E-5</v>
      </c>
      <c r="Y32" s="95" t="str">
        <f t="shared" si="86"/>
        <v/>
      </c>
      <c r="Z32" s="95">
        <f t="shared" si="87"/>
        <v>1.0000000000000001E-5</v>
      </c>
      <c r="AA32" s="95">
        <f t="shared" si="88"/>
        <v>1.0000000000000001E-5</v>
      </c>
      <c r="AB32" s="95" t="str">
        <f t="shared" si="89"/>
        <v/>
      </c>
      <c r="AC32" s="95" t="str">
        <f t="shared" si="90"/>
        <v/>
      </c>
      <c r="AD32" s="95" t="str">
        <f t="shared" si="91"/>
        <v/>
      </c>
      <c r="AE32" s="95">
        <f t="shared" si="92"/>
        <v>60</v>
      </c>
      <c r="AF32" s="95" t="str">
        <f t="shared" si="93"/>
        <v/>
      </c>
      <c r="AG32" s="95">
        <f t="shared" si="94"/>
        <v>60</v>
      </c>
      <c r="AH32" s="95">
        <f t="shared" si="95"/>
        <v>60</v>
      </c>
      <c r="AI32" s="749" t="str">
        <f t="shared" si="96"/>
        <v/>
      </c>
      <c r="AJ32" s="749" t="str">
        <f t="shared" si="97"/>
        <v/>
      </c>
      <c r="AK32" s="749" t="str">
        <f t="shared" si="98"/>
        <v/>
      </c>
      <c r="AL32" s="749">
        <f>AL18*3</f>
        <v>793.49883873796546</v>
      </c>
      <c r="AM32" s="749" t="str">
        <f t="shared" si="100"/>
        <v/>
      </c>
      <c r="AN32" s="749">
        <f t="shared" si="75"/>
        <v>1E-4</v>
      </c>
      <c r="AO32" s="749">
        <f t="shared" si="76"/>
        <v>1E-4</v>
      </c>
      <c r="AP32" s="519">
        <f>IF(Sector.Agriculture,IF(G32,AP31+1,AP31),0)</f>
        <v>2</v>
      </c>
      <c r="AQ32" s="263">
        <f>IF(Sector.Commercial,IF(H32,AQ31+1,AQ31),0)</f>
        <v>3</v>
      </c>
      <c r="AR32" s="263">
        <f>IF(Sector.Industry,IF(I32,AR31+1,AR31),0)</f>
        <v>7</v>
      </c>
      <c r="AS32" s="263">
        <f>IF(Sector.Transport,IF(J32,AS31+1,AS31),0)</f>
        <v>3</v>
      </c>
      <c r="AT32" s="263">
        <f>IF(Sector.Residential,IF(K32,AT31+1,AT31),0)</f>
        <v>4</v>
      </c>
      <c r="AU32" s="263">
        <f>IF(Sector.Power,IF(L32,AU31+1,AU31),0)</f>
        <v>15</v>
      </c>
      <c r="AV32" s="520">
        <f>IF(Sector.Supply,IF(M32,AV31+1,AV31),0)</f>
        <v>9</v>
      </c>
      <c r="AW32" s="93">
        <f>AW31+1</f>
        <v>28</v>
      </c>
      <c r="AX32" s="748" t="str">
        <f t="shared" si="34"/>
        <v>HGN</v>
      </c>
      <c r="AY32" s="93">
        <v>0</v>
      </c>
      <c r="AZ32" s="93">
        <v>0</v>
      </c>
      <c r="BA32" s="93">
        <v>0</v>
      </c>
      <c r="BB32" s="93">
        <v>0</v>
      </c>
      <c r="BC32" s="93">
        <v>0</v>
      </c>
      <c r="BD32" s="93">
        <v>0</v>
      </c>
      <c r="BE32" s="93">
        <v>0</v>
      </c>
      <c r="BF32" s="93">
        <v>0</v>
      </c>
      <c r="BG32" s="93">
        <v>0</v>
      </c>
      <c r="BH32" s="93">
        <v>0</v>
      </c>
      <c r="BI32" s="93">
        <v>0</v>
      </c>
      <c r="BJ32" s="93">
        <v>0</v>
      </c>
      <c r="BK32" s="93">
        <v>0</v>
      </c>
      <c r="BL32" s="93">
        <v>0</v>
      </c>
      <c r="BM32" s="93">
        <v>0</v>
      </c>
      <c r="BN32" s="93">
        <v>0</v>
      </c>
      <c r="BO32" s="93">
        <f>BO33+1</f>
        <v>15</v>
      </c>
      <c r="BP32" s="93">
        <f t="shared" si="46"/>
        <v>0</v>
      </c>
      <c r="BQ32" s="748"/>
      <c r="BR32" s="93">
        <f t="shared" si="47"/>
        <v>0</v>
      </c>
      <c r="BS32" s="93">
        <f t="shared" si="48"/>
        <v>0</v>
      </c>
      <c r="BT32" s="93">
        <f t="shared" si="49"/>
        <v>0</v>
      </c>
      <c r="BU32" s="93">
        <f t="shared" si="50"/>
        <v>0</v>
      </c>
      <c r="BV32" s="93">
        <f t="shared" si="51"/>
        <v>0</v>
      </c>
      <c r="BW32" s="93">
        <f t="shared" si="52"/>
        <v>0</v>
      </c>
      <c r="BX32" s="93">
        <f t="shared" si="53"/>
        <v>0</v>
      </c>
      <c r="BY32" s="93">
        <f t="shared" si="54"/>
        <v>0</v>
      </c>
      <c r="BZ32" s="93">
        <f t="shared" si="55"/>
        <v>0</v>
      </c>
      <c r="CA32" s="93">
        <f t="shared" si="56"/>
        <v>0</v>
      </c>
      <c r="CB32" s="93">
        <f t="shared" si="57"/>
        <v>0</v>
      </c>
      <c r="CC32" s="93">
        <f t="shared" si="58"/>
        <v>0</v>
      </c>
      <c r="CD32" s="93">
        <f t="shared" si="59"/>
        <v>0</v>
      </c>
      <c r="CE32" s="93">
        <f t="shared" si="60"/>
        <v>0</v>
      </c>
      <c r="CF32" s="93">
        <f t="shared" si="61"/>
        <v>0</v>
      </c>
      <c r="CG32" s="93">
        <f t="shared" si="62"/>
        <v>0</v>
      </c>
      <c r="CH32" s="743" t="str">
        <f>IFERROR(HLOOKUP(CH$4,$BR32:$CG$46,$BO32,FALSE),"")</f>
        <v/>
      </c>
      <c r="CI32" s="743" t="str">
        <f>IFERROR(HLOOKUP(CI$4,$BR32:$CG$46,$BO32,FALSE),"")</f>
        <v/>
      </c>
      <c r="CJ32" s="743" t="str">
        <f>IFERROR(HLOOKUP(CJ$4,$BR32:$CG$46,$BO32,FALSE),"")</f>
        <v/>
      </c>
      <c r="CK32" s="743" t="str">
        <f>IFERROR(HLOOKUP(CK$4,$BR32:$CG$46,$BO32,FALSE),"")</f>
        <v/>
      </c>
      <c r="CL32" s="743" t="str">
        <f>IFERROR(HLOOKUP(CL$4,$BR32:$CG$46,$BO32,FALSE),"")</f>
        <v/>
      </c>
      <c r="CM32" s="743" t="str">
        <f>IFERROR(HLOOKUP(CM$4,$BR32:$CG$46,$BO32,FALSE),"")</f>
        <v/>
      </c>
      <c r="CN32" s="743" t="str">
        <f>IFERROR(HLOOKUP(CN$4,$BR32:$CG$46,$BO32,FALSE),"")</f>
        <v/>
      </c>
      <c r="CO32" s="743" t="str">
        <f>IFERROR(HLOOKUP(CO$4,$BR32:$CG$46,$BO32,FALSE),"")</f>
        <v/>
      </c>
      <c r="CP32" s="743" t="str">
        <f>IFERROR(HLOOKUP(CP$4,$BR32:$CG$46,$BO32,FALSE),"")</f>
        <v/>
      </c>
      <c r="CQ32" s="743" t="str">
        <f>IFERROR(HLOOKUP(CQ$4,$BR32:$CG$46,$BO32,FALSE),"")</f>
        <v/>
      </c>
    </row>
    <row r="33" spans="1:95">
      <c r="A33" s="93">
        <f>A32+1</f>
        <v>29</v>
      </c>
      <c r="B33" s="390" t="s">
        <v>130</v>
      </c>
      <c r="C33" s="390" t="s">
        <v>370</v>
      </c>
      <c r="D33" s="390" t="str">
        <f t="shared" si="6"/>
        <v>Nuclear</v>
      </c>
      <c r="L33" s="95">
        <v>1</v>
      </c>
      <c r="N33" s="95" t="str">
        <f t="shared" si="77"/>
        <v/>
      </c>
      <c r="O33" s="95" t="str">
        <f t="shared" si="78"/>
        <v/>
      </c>
      <c r="P33" s="95" t="str">
        <f t="shared" si="79"/>
        <v/>
      </c>
      <c r="Q33" s="95" t="str">
        <f t="shared" si="80"/>
        <v/>
      </c>
      <c r="R33" s="95" t="str">
        <f t="shared" si="81"/>
        <v/>
      </c>
      <c r="S33" s="95">
        <f t="shared" si="63"/>
        <v>1</v>
      </c>
      <c r="T33" s="95" t="str">
        <f t="shared" si="69"/>
        <v/>
      </c>
      <c r="U33" s="95" t="str">
        <f t="shared" si="82"/>
        <v/>
      </c>
      <c r="V33" s="95" t="str">
        <f t="shared" si="83"/>
        <v/>
      </c>
      <c r="W33" s="95" t="str">
        <f t="shared" si="84"/>
        <v/>
      </c>
      <c r="X33" s="95" t="str">
        <f t="shared" si="85"/>
        <v/>
      </c>
      <c r="Y33" s="95" t="str">
        <f t="shared" si="86"/>
        <v/>
      </c>
      <c r="Z33" s="95">
        <f t="shared" si="87"/>
        <v>1.0000000000000001E-5</v>
      </c>
      <c r="AA33" s="95" t="str">
        <f t="shared" si="88"/>
        <v/>
      </c>
      <c r="AB33" s="95" t="str">
        <f t="shared" si="89"/>
        <v/>
      </c>
      <c r="AC33" s="95" t="str">
        <f t="shared" si="90"/>
        <v/>
      </c>
      <c r="AD33" s="95" t="str">
        <f t="shared" si="91"/>
        <v/>
      </c>
      <c r="AE33" s="95" t="str">
        <f t="shared" si="92"/>
        <v/>
      </c>
      <c r="AF33" s="95" t="str">
        <f t="shared" si="93"/>
        <v/>
      </c>
      <c r="AG33" s="95">
        <f t="shared" si="94"/>
        <v>60</v>
      </c>
      <c r="AH33" s="95" t="str">
        <f t="shared" si="95"/>
        <v/>
      </c>
      <c r="AI33" s="95" t="str">
        <f t="shared" si="96"/>
        <v/>
      </c>
      <c r="AJ33" s="95" t="str">
        <f t="shared" si="97"/>
        <v/>
      </c>
      <c r="AK33" s="95" t="str">
        <f t="shared" si="98"/>
        <v/>
      </c>
      <c r="AL33" s="95" t="str">
        <f t="shared" si="99"/>
        <v/>
      </c>
      <c r="AM33" s="95" t="str">
        <f t="shared" si="100"/>
        <v/>
      </c>
      <c r="AN33" s="95">
        <f t="shared" si="75"/>
        <v>1E-4</v>
      </c>
      <c r="AO33" s="95" t="str">
        <f t="shared" si="76"/>
        <v/>
      </c>
      <c r="AP33" s="519">
        <f>IF(Sector.Agriculture,IF(G33,AP32+1,AP32),0)</f>
        <v>2</v>
      </c>
      <c r="AQ33" s="263">
        <f>IF(Sector.Commercial,IF(H33,AQ32+1,AQ32),0)</f>
        <v>3</v>
      </c>
      <c r="AR33" s="263">
        <f>IF(Sector.Industry,IF(I33,AR32+1,AR32),0)</f>
        <v>7</v>
      </c>
      <c r="AS33" s="263">
        <f>IF(Sector.Transport,IF(J33,AS32+1,AS32),0)</f>
        <v>3</v>
      </c>
      <c r="AT33" s="263">
        <f>IF(Sector.Residential,IF(K33,AT32+1,AT32),0)</f>
        <v>4</v>
      </c>
      <c r="AU33" s="263">
        <f>IF(Sector.Power,IF(L33,AU32+1,AU32),0)</f>
        <v>16</v>
      </c>
      <c r="AV33" s="520">
        <f>IF(Sector.Supply,IF(M33,AV32+1,AV32),0)</f>
        <v>9</v>
      </c>
      <c r="AW33" s="93">
        <f>AW32+1</f>
        <v>29</v>
      </c>
      <c r="AX33" s="93" t="str">
        <f t="shared" si="34"/>
        <v>NUC</v>
      </c>
      <c r="AY33" s="93">
        <v>0</v>
      </c>
      <c r="AZ33" s="93">
        <v>0</v>
      </c>
      <c r="BA33" s="93">
        <v>0</v>
      </c>
      <c r="BB33" s="93">
        <v>0</v>
      </c>
      <c r="BC33" s="93">
        <v>0</v>
      </c>
      <c r="BD33" s="93">
        <v>0</v>
      </c>
      <c r="BE33" s="93">
        <v>0</v>
      </c>
      <c r="BF33" s="93">
        <v>0</v>
      </c>
      <c r="BG33" s="93">
        <v>0</v>
      </c>
      <c r="BH33" s="93">
        <v>0</v>
      </c>
      <c r="BI33" s="93">
        <v>0</v>
      </c>
      <c r="BJ33" s="93">
        <v>0</v>
      </c>
      <c r="BK33" s="93">
        <v>0</v>
      </c>
      <c r="BL33" s="93">
        <v>0</v>
      </c>
      <c r="BM33" s="93">
        <v>0</v>
      </c>
      <c r="BN33" s="93">
        <v>0</v>
      </c>
      <c r="BO33" s="93">
        <f t="shared" si="35"/>
        <v>14</v>
      </c>
      <c r="BP33" s="93">
        <f t="shared" si="46"/>
        <v>0</v>
      </c>
      <c r="BR33" s="93">
        <f t="shared" si="47"/>
        <v>0</v>
      </c>
      <c r="BS33" s="93">
        <f t="shared" si="48"/>
        <v>0</v>
      </c>
      <c r="BT33" s="93">
        <f t="shared" si="49"/>
        <v>0</v>
      </c>
      <c r="BU33" s="93">
        <f t="shared" si="50"/>
        <v>0</v>
      </c>
      <c r="BV33" s="93">
        <f t="shared" si="51"/>
        <v>0</v>
      </c>
      <c r="BW33" s="93">
        <f t="shared" si="52"/>
        <v>0</v>
      </c>
      <c r="BX33" s="93">
        <f t="shared" si="53"/>
        <v>0</v>
      </c>
      <c r="BY33" s="93">
        <f t="shared" si="54"/>
        <v>0</v>
      </c>
      <c r="BZ33" s="93">
        <f t="shared" si="55"/>
        <v>0</v>
      </c>
      <c r="CA33" s="93">
        <f t="shared" si="56"/>
        <v>0</v>
      </c>
      <c r="CB33" s="93">
        <f t="shared" si="57"/>
        <v>0</v>
      </c>
      <c r="CC33" s="93">
        <f t="shared" si="58"/>
        <v>0</v>
      </c>
      <c r="CD33" s="93">
        <f t="shared" si="59"/>
        <v>0</v>
      </c>
      <c r="CE33" s="93">
        <f t="shared" si="60"/>
        <v>0</v>
      </c>
      <c r="CF33" s="93">
        <f t="shared" si="61"/>
        <v>0</v>
      </c>
      <c r="CG33" s="93">
        <f t="shared" si="62"/>
        <v>0</v>
      </c>
      <c r="CH33" s="93" t="str">
        <f>IFERROR(HLOOKUP(CH$4,$BR33:$CG$46,$BO33,FALSE),"")</f>
        <v/>
      </c>
      <c r="CI33" s="93" t="str">
        <f>IFERROR(HLOOKUP(CI$4,$BR33:$CG$46,$BO33,FALSE),"")</f>
        <v/>
      </c>
      <c r="CJ33" s="93" t="str">
        <f>IFERROR(HLOOKUP(CJ$4,$BR33:$CG$46,$BO33,FALSE),"")</f>
        <v/>
      </c>
      <c r="CK33" s="93" t="str">
        <f>IFERROR(HLOOKUP(CK$4,$BR33:$CG$46,$BO33,FALSE),"")</f>
        <v/>
      </c>
      <c r="CL33" s="93" t="str">
        <f>IFERROR(HLOOKUP(CL$4,$BR33:$CG$46,$BO33,FALSE),"")</f>
        <v/>
      </c>
      <c r="CM33" s="93" t="str">
        <f>IFERROR(HLOOKUP(CM$4,$BR33:$CG$46,$BO33,FALSE),"")</f>
        <v/>
      </c>
      <c r="CN33" s="93" t="str">
        <f>IFERROR(HLOOKUP(CN$4,$BR33:$CG$46,$BO33,FALSE),"")</f>
        <v/>
      </c>
      <c r="CO33" s="93" t="str">
        <f>IFERROR(HLOOKUP(CO$4,$BR33:$CG$46,$BO33,FALSE),"")</f>
        <v/>
      </c>
      <c r="CP33" s="93" t="str">
        <f>IFERROR(HLOOKUP(CP$4,$BR33:$CG$46,$BO33,FALSE),"")</f>
        <v/>
      </c>
      <c r="CQ33" s="93" t="str">
        <f>IFERROR(HLOOKUP(CQ$4,$BR33:$CG$46,$BO33,FALSE),"")</f>
        <v/>
      </c>
    </row>
    <row r="34" spans="1:95">
      <c r="A34" s="93">
        <f t="shared" si="36"/>
        <v>30</v>
      </c>
      <c r="B34" s="389" t="s">
        <v>557</v>
      </c>
      <c r="C34" s="390" t="s">
        <v>558</v>
      </c>
      <c r="D34" s="390" t="str">
        <f t="shared" si="6"/>
        <v>Oil Av Gasoline</v>
      </c>
      <c r="J34" s="95">
        <v>1</v>
      </c>
      <c r="N34" s="95" t="str">
        <f t="shared" si="77"/>
        <v/>
      </c>
      <c r="O34" s="95" t="str">
        <f t="shared" si="78"/>
        <v/>
      </c>
      <c r="P34" s="95" t="str">
        <f t="shared" si="79"/>
        <v/>
      </c>
      <c r="Q34" s="95">
        <f t="shared" si="80"/>
        <v>1</v>
      </c>
      <c r="R34" s="95" t="str">
        <f t="shared" si="81"/>
        <v/>
      </c>
      <c r="S34" s="95" t="str">
        <f t="shared" si="63"/>
        <v/>
      </c>
      <c r="T34" s="95" t="str">
        <f t="shared" si="69"/>
        <v/>
      </c>
      <c r="U34" s="95" t="str">
        <f t="shared" si="82"/>
        <v/>
      </c>
      <c r="V34" s="95" t="str">
        <f t="shared" si="83"/>
        <v/>
      </c>
      <c r="W34" s="95" t="str">
        <f t="shared" si="84"/>
        <v/>
      </c>
      <c r="X34" s="95">
        <f t="shared" si="85"/>
        <v>1.0000000000000001E-5</v>
      </c>
      <c r="Y34" s="95" t="str">
        <f t="shared" si="86"/>
        <v/>
      </c>
      <c r="Z34" s="95" t="str">
        <f t="shared" si="87"/>
        <v/>
      </c>
      <c r="AA34" s="95" t="str">
        <f t="shared" si="88"/>
        <v/>
      </c>
      <c r="AB34" s="95" t="str">
        <f t="shared" si="89"/>
        <v/>
      </c>
      <c r="AC34" s="95" t="str">
        <f t="shared" si="90"/>
        <v/>
      </c>
      <c r="AD34" s="95" t="str">
        <f t="shared" si="91"/>
        <v/>
      </c>
      <c r="AE34" s="95">
        <f t="shared" si="92"/>
        <v>60</v>
      </c>
      <c r="AF34" s="95" t="str">
        <f t="shared" si="93"/>
        <v/>
      </c>
      <c r="AG34" s="95" t="str">
        <f t="shared" si="94"/>
        <v/>
      </c>
      <c r="AH34" s="95" t="str">
        <f t="shared" si="95"/>
        <v/>
      </c>
      <c r="AI34" s="95" t="str">
        <f t="shared" si="96"/>
        <v/>
      </c>
      <c r="AJ34" s="95" t="str">
        <f t="shared" si="97"/>
        <v/>
      </c>
      <c r="AK34" s="95" t="str">
        <f t="shared" si="98"/>
        <v/>
      </c>
      <c r="AL34" s="95">
        <f t="shared" si="99"/>
        <v>1E-4</v>
      </c>
      <c r="AM34" s="95" t="str">
        <f t="shared" si="100"/>
        <v/>
      </c>
      <c r="AN34" s="95" t="str">
        <f t="shared" si="75"/>
        <v/>
      </c>
      <c r="AO34" s="95" t="str">
        <f t="shared" si="76"/>
        <v/>
      </c>
      <c r="AP34" s="519">
        <f t="shared" si="38"/>
        <v>2</v>
      </c>
      <c r="AQ34" s="263">
        <f t="shared" si="39"/>
        <v>3</v>
      </c>
      <c r="AR34" s="263">
        <f t="shared" si="40"/>
        <v>7</v>
      </c>
      <c r="AS34" s="263">
        <f t="shared" si="41"/>
        <v>4</v>
      </c>
      <c r="AT34" s="263">
        <f t="shared" si="42"/>
        <v>4</v>
      </c>
      <c r="AU34" s="263">
        <f t="shared" si="43"/>
        <v>16</v>
      </c>
      <c r="AV34" s="520">
        <f t="shared" si="44"/>
        <v>9</v>
      </c>
      <c r="AW34" s="93">
        <f t="shared" si="45"/>
        <v>30</v>
      </c>
      <c r="AX34" s="93" t="str">
        <f t="shared" si="34"/>
        <v>OAG</v>
      </c>
      <c r="AY34" s="93">
        <v>70</v>
      </c>
      <c r="AZ34" s="93">
        <v>3.0000000000000001E-3</v>
      </c>
      <c r="BA34" s="93">
        <v>5.9999999999999995E-4</v>
      </c>
      <c r="BB34" s="93">
        <v>4.6699999999999998E-2</v>
      </c>
      <c r="BC34" s="93">
        <v>0.3</v>
      </c>
      <c r="BD34" s="93">
        <v>0.1</v>
      </c>
      <c r="BE34" s="93">
        <f>50/1000</f>
        <v>0.05</v>
      </c>
      <c r="BF34" s="93">
        <v>0</v>
      </c>
      <c r="BG34" s="93">
        <v>0</v>
      </c>
      <c r="BH34" s="93">
        <v>0</v>
      </c>
      <c r="BI34" s="93">
        <v>0</v>
      </c>
      <c r="BJ34" s="93">
        <v>0</v>
      </c>
      <c r="BK34" s="93">
        <v>0</v>
      </c>
      <c r="BL34" s="93">
        <v>0</v>
      </c>
      <c r="BM34" s="93">
        <v>0</v>
      </c>
      <c r="BN34" s="93">
        <v>0</v>
      </c>
      <c r="BO34" s="93">
        <f t="shared" si="35"/>
        <v>13</v>
      </c>
      <c r="BP34" s="93">
        <f t="shared" si="46"/>
        <v>7</v>
      </c>
      <c r="BR34" s="93">
        <f t="shared" si="47"/>
        <v>1</v>
      </c>
      <c r="BS34" s="93">
        <f t="shared" si="48"/>
        <v>2</v>
      </c>
      <c r="BT34" s="93">
        <f t="shared" si="49"/>
        <v>3</v>
      </c>
      <c r="BU34" s="93">
        <f t="shared" si="50"/>
        <v>4</v>
      </c>
      <c r="BV34" s="93">
        <f t="shared" si="51"/>
        <v>5</v>
      </c>
      <c r="BW34" s="93">
        <f t="shared" si="52"/>
        <v>6</v>
      </c>
      <c r="BX34" s="93">
        <f t="shared" si="53"/>
        <v>7</v>
      </c>
      <c r="BY34" s="93">
        <f t="shared" si="54"/>
        <v>7</v>
      </c>
      <c r="BZ34" s="93">
        <f t="shared" si="55"/>
        <v>7</v>
      </c>
      <c r="CA34" s="93">
        <f t="shared" si="56"/>
        <v>7</v>
      </c>
      <c r="CB34" s="93">
        <f t="shared" si="57"/>
        <v>7</v>
      </c>
      <c r="CC34" s="93">
        <f t="shared" si="58"/>
        <v>7</v>
      </c>
      <c r="CD34" s="93">
        <f t="shared" si="59"/>
        <v>7</v>
      </c>
      <c r="CE34" s="93">
        <f t="shared" si="60"/>
        <v>7</v>
      </c>
      <c r="CF34" s="93">
        <f t="shared" si="61"/>
        <v>7</v>
      </c>
      <c r="CG34" s="93">
        <f t="shared" si="62"/>
        <v>7</v>
      </c>
      <c r="CH34" s="93">
        <f>IFERROR(HLOOKUP(CH$4,$BR34:$CG$46,$BO34,FALSE),"")</f>
        <v>1</v>
      </c>
      <c r="CI34" s="93">
        <f>IFERROR(HLOOKUP(CI$4,$BR34:$CG$46,$BO34,FALSE),"")</f>
        <v>2</v>
      </c>
      <c r="CJ34" s="93">
        <f>IFERROR(HLOOKUP(CJ$4,$BR34:$CG$46,$BO34,FALSE),"")</f>
        <v>3</v>
      </c>
      <c r="CK34" s="93">
        <f>IFERROR(HLOOKUP(CK$4,$BR34:$CG$46,$BO34,FALSE),"")</f>
        <v>4</v>
      </c>
      <c r="CL34" s="93">
        <f>IFERROR(HLOOKUP(CL$4,$BR34:$CG$46,$BO34,FALSE),"")</f>
        <v>5</v>
      </c>
      <c r="CM34" s="93">
        <f>IFERROR(HLOOKUP(CM$4,$BR34:$CG$46,$BO34,FALSE),"")</f>
        <v>6</v>
      </c>
      <c r="CN34" s="93">
        <f>IFERROR(HLOOKUP(CN$4,$BR34:$CG$46,$BO34,FALSE),"")</f>
        <v>7</v>
      </c>
      <c r="CO34" s="93" t="str">
        <f>IFERROR(HLOOKUP(CO$4,$BR34:$CG$46,$BO34,FALSE),"")</f>
        <v/>
      </c>
      <c r="CP34" s="93" t="str">
        <f>IFERROR(HLOOKUP(CP$4,$BR34:$CG$46,$BO34,FALSE),"")</f>
        <v/>
      </c>
      <c r="CQ34" s="93" t="str">
        <f>IFERROR(HLOOKUP(CQ$4,$BR34:$CG$46,$BO34,FALSE),"")</f>
        <v/>
      </c>
    </row>
    <row r="35" spans="1:95">
      <c r="A35" s="93">
        <f t="shared" si="36"/>
        <v>31</v>
      </c>
      <c r="B35" s="390" t="s">
        <v>553</v>
      </c>
      <c r="C35" s="390" t="s">
        <v>559</v>
      </c>
      <c r="D35" s="390" t="str">
        <f t="shared" si="6"/>
        <v>Oil Crude</v>
      </c>
      <c r="M35" s="95">
        <v>1</v>
      </c>
      <c r="N35" s="95" t="str">
        <f t="shared" si="77"/>
        <v/>
      </c>
      <c r="O35" s="95" t="str">
        <f t="shared" si="78"/>
        <v/>
      </c>
      <c r="P35" s="95" t="str">
        <f t="shared" si="79"/>
        <v/>
      </c>
      <c r="Q35" s="95" t="str">
        <f t="shared" si="80"/>
        <v/>
      </c>
      <c r="R35" s="95" t="str">
        <f t="shared" si="81"/>
        <v/>
      </c>
      <c r="S35" s="95" t="str">
        <f t="shared" si="63"/>
        <v/>
      </c>
      <c r="T35" s="95">
        <f t="shared" si="69"/>
        <v>1</v>
      </c>
      <c r="U35" s="95" t="str">
        <f t="shared" si="82"/>
        <v/>
      </c>
      <c r="V35" s="95" t="str">
        <f t="shared" si="83"/>
        <v/>
      </c>
      <c r="W35" s="95" t="str">
        <f t="shared" si="84"/>
        <v/>
      </c>
      <c r="X35" s="95" t="str">
        <f t="shared" si="85"/>
        <v/>
      </c>
      <c r="Y35" s="95" t="str">
        <f t="shared" si="86"/>
        <v/>
      </c>
      <c r="Z35" s="95" t="str">
        <f t="shared" si="87"/>
        <v/>
      </c>
      <c r="AA35" s="95">
        <f t="shared" si="88"/>
        <v>1.0000000000000001E-5</v>
      </c>
      <c r="AB35" s="95" t="str">
        <f t="shared" si="89"/>
        <v/>
      </c>
      <c r="AC35" s="95" t="str">
        <f t="shared" si="90"/>
        <v/>
      </c>
      <c r="AD35" s="95" t="str">
        <f t="shared" si="91"/>
        <v/>
      </c>
      <c r="AE35" s="95" t="str">
        <f t="shared" si="92"/>
        <v/>
      </c>
      <c r="AF35" s="95" t="str">
        <f t="shared" si="93"/>
        <v/>
      </c>
      <c r="AG35" s="95" t="str">
        <f t="shared" si="94"/>
        <v/>
      </c>
      <c r="AH35" s="95">
        <f t="shared" si="95"/>
        <v>60</v>
      </c>
      <c r="AI35" s="95" t="str">
        <f t="shared" si="96"/>
        <v/>
      </c>
      <c r="AJ35" s="95" t="str">
        <f t="shared" si="97"/>
        <v/>
      </c>
      <c r="AK35" s="95" t="str">
        <f t="shared" si="98"/>
        <v/>
      </c>
      <c r="AL35" s="95" t="str">
        <f t="shared" si="99"/>
        <v/>
      </c>
      <c r="AM35" s="95" t="str">
        <f t="shared" si="100"/>
        <v/>
      </c>
      <c r="AN35" s="95" t="str">
        <f t="shared" si="75"/>
        <v/>
      </c>
      <c r="AO35" s="95">
        <f t="shared" si="76"/>
        <v>1E-4</v>
      </c>
      <c r="AP35" s="519">
        <f t="shared" si="38"/>
        <v>2</v>
      </c>
      <c r="AQ35" s="263">
        <f t="shared" si="39"/>
        <v>3</v>
      </c>
      <c r="AR35" s="263">
        <f t="shared" si="40"/>
        <v>7</v>
      </c>
      <c r="AS35" s="263">
        <f t="shared" si="41"/>
        <v>4</v>
      </c>
      <c r="AT35" s="263">
        <f t="shared" si="42"/>
        <v>4</v>
      </c>
      <c r="AU35" s="263">
        <f t="shared" si="43"/>
        <v>16</v>
      </c>
      <c r="AV35" s="520">
        <f t="shared" si="44"/>
        <v>10</v>
      </c>
      <c r="AW35" s="93">
        <f t="shared" si="45"/>
        <v>31</v>
      </c>
      <c r="AX35" s="93" t="str">
        <f t="shared" si="34"/>
        <v>OCR</v>
      </c>
      <c r="AY35" s="93">
        <v>73.3</v>
      </c>
      <c r="AZ35" s="93">
        <v>3.0000000000000001E-3</v>
      </c>
      <c r="BA35" s="93">
        <v>5.9999999999999995E-4</v>
      </c>
      <c r="BB35" s="93">
        <v>0</v>
      </c>
      <c r="BC35" s="93">
        <v>0</v>
      </c>
      <c r="BD35" s="93">
        <v>0</v>
      </c>
      <c r="BE35" s="93">
        <v>0</v>
      </c>
      <c r="BF35" s="93">
        <v>0</v>
      </c>
      <c r="BG35" s="93">
        <v>0</v>
      </c>
      <c r="BH35" s="93">
        <v>0</v>
      </c>
      <c r="BI35" s="93">
        <v>0</v>
      </c>
      <c r="BJ35" s="93">
        <v>0</v>
      </c>
      <c r="BK35" s="93">
        <v>0</v>
      </c>
      <c r="BL35" s="93">
        <v>0</v>
      </c>
      <c r="BM35" s="93">
        <v>0</v>
      </c>
      <c r="BN35" s="93">
        <v>0</v>
      </c>
      <c r="BO35" s="93">
        <f t="shared" si="35"/>
        <v>12</v>
      </c>
      <c r="BP35" s="93">
        <f t="shared" si="46"/>
        <v>3</v>
      </c>
      <c r="BR35" s="93">
        <f t="shared" si="47"/>
        <v>1</v>
      </c>
      <c r="BS35" s="93">
        <f t="shared" si="48"/>
        <v>2</v>
      </c>
      <c r="BT35" s="93">
        <f t="shared" si="49"/>
        <v>3</v>
      </c>
      <c r="BU35" s="93">
        <f t="shared" si="50"/>
        <v>3</v>
      </c>
      <c r="BV35" s="93">
        <f t="shared" si="51"/>
        <v>3</v>
      </c>
      <c r="BW35" s="93">
        <f t="shared" si="52"/>
        <v>3</v>
      </c>
      <c r="BX35" s="93">
        <f t="shared" si="53"/>
        <v>3</v>
      </c>
      <c r="BY35" s="93">
        <f t="shared" si="54"/>
        <v>3</v>
      </c>
      <c r="BZ35" s="93">
        <f t="shared" si="55"/>
        <v>3</v>
      </c>
      <c r="CA35" s="93">
        <f t="shared" si="56"/>
        <v>3</v>
      </c>
      <c r="CB35" s="93">
        <f t="shared" si="57"/>
        <v>3</v>
      </c>
      <c r="CC35" s="93">
        <f t="shared" si="58"/>
        <v>3</v>
      </c>
      <c r="CD35" s="93">
        <f t="shared" si="59"/>
        <v>3</v>
      </c>
      <c r="CE35" s="93">
        <f t="shared" si="60"/>
        <v>3</v>
      </c>
      <c r="CF35" s="93">
        <f t="shared" si="61"/>
        <v>3</v>
      </c>
      <c r="CG35" s="93">
        <f t="shared" si="62"/>
        <v>3</v>
      </c>
      <c r="CH35" s="93">
        <f>IFERROR(HLOOKUP(CH$4,$BR35:$CG$46,$BO35,FALSE),"")</f>
        <v>1</v>
      </c>
      <c r="CI35" s="93">
        <f>IFERROR(HLOOKUP(CI$4,$BR35:$CG$46,$BO35,FALSE),"")</f>
        <v>2</v>
      </c>
      <c r="CJ35" s="93">
        <f>IFERROR(HLOOKUP(CJ$4,$BR35:$CG$46,$BO35,FALSE),"")</f>
        <v>3</v>
      </c>
      <c r="CK35" s="93" t="str">
        <f>IFERROR(HLOOKUP(CK$4,$BR35:$CG$46,$BO35,FALSE),"")</f>
        <v/>
      </c>
      <c r="CL35" s="93" t="str">
        <f>IFERROR(HLOOKUP(CL$4,$BR35:$CG$46,$BO35,FALSE),"")</f>
        <v/>
      </c>
      <c r="CM35" s="93" t="str">
        <f>IFERROR(HLOOKUP(CM$4,$BR35:$CG$46,$BO35,FALSE),"")</f>
        <v/>
      </c>
      <c r="CN35" s="93" t="str">
        <f>IFERROR(HLOOKUP(CN$4,$BR35:$CG$46,$BO35,FALSE),"")</f>
        <v/>
      </c>
      <c r="CO35" s="93" t="str">
        <f>IFERROR(HLOOKUP(CO$4,$BR35:$CG$46,$BO35,FALSE),"")</f>
        <v/>
      </c>
      <c r="CP35" s="93" t="str">
        <f>IFERROR(HLOOKUP(CP$4,$BR35:$CG$46,$BO35,FALSE),"")</f>
        <v/>
      </c>
      <c r="CQ35" s="93" t="str">
        <f>IFERROR(HLOOKUP(CQ$4,$BR35:$CG$46,$BO35,FALSE),"")</f>
        <v/>
      </c>
    </row>
    <row r="36" spans="1:95" ht="15">
      <c r="A36" s="93">
        <f t="shared" si="36"/>
        <v>32</v>
      </c>
      <c r="B36" s="391" t="s">
        <v>554</v>
      </c>
      <c r="C36" s="391" t="s">
        <v>555</v>
      </c>
      <c r="D36" s="390" t="str">
        <f t="shared" si="6"/>
        <v>Oil Diesel</v>
      </c>
      <c r="G36" s="95">
        <v>1</v>
      </c>
      <c r="H36" s="95">
        <v>1</v>
      </c>
      <c r="I36" s="95">
        <v>1</v>
      </c>
      <c r="J36" s="95">
        <v>1</v>
      </c>
      <c r="L36" s="95">
        <v>1</v>
      </c>
      <c r="N36" s="95">
        <f t="shared" si="77"/>
        <v>1</v>
      </c>
      <c r="O36" s="95">
        <f t="shared" si="78"/>
        <v>1</v>
      </c>
      <c r="P36" s="95">
        <f t="shared" si="79"/>
        <v>1</v>
      </c>
      <c r="Q36" s="95">
        <f t="shared" si="80"/>
        <v>1</v>
      </c>
      <c r="R36" s="95" t="str">
        <f t="shared" si="81"/>
        <v/>
      </c>
      <c r="S36" s="95">
        <f t="shared" si="63"/>
        <v>1</v>
      </c>
      <c r="T36" s="95" t="str">
        <f t="shared" si="69"/>
        <v/>
      </c>
      <c r="U36" s="880">
        <f>[8]LossesCalib!F29</f>
        <v>42.048730984919999</v>
      </c>
      <c r="V36" s="880">
        <f>[8]LossesCalib!G29</f>
        <v>0</v>
      </c>
      <c r="W36" s="880">
        <f>[8]LossesCalib!H29</f>
        <v>39.616473908879996</v>
      </c>
      <c r="X36" s="880">
        <f>[8]LossesCalib!J29</f>
        <v>275.67695528723408</v>
      </c>
      <c r="Y36" s="880">
        <f>[8]LossesCalib!I29</f>
        <v>0</v>
      </c>
      <c r="Z36" s="880">
        <f>[8]LossesCalib!K29</f>
        <v>23.79927</v>
      </c>
      <c r="AA36" s="95" t="str">
        <f t="shared" ref="AA36:AA44" si="101">IF(ISBLANK(M36),"",$Y$1)</f>
        <v/>
      </c>
      <c r="AB36" s="95">
        <f t="shared" si="89"/>
        <v>60</v>
      </c>
      <c r="AC36" s="95">
        <f t="shared" si="90"/>
        <v>60</v>
      </c>
      <c r="AD36" s="95">
        <f t="shared" si="91"/>
        <v>60</v>
      </c>
      <c r="AE36" s="95">
        <f t="shared" si="92"/>
        <v>60</v>
      </c>
      <c r="AF36" s="95" t="str">
        <f t="shared" si="93"/>
        <v/>
      </c>
      <c r="AG36" s="95">
        <f t="shared" si="94"/>
        <v>60</v>
      </c>
      <c r="AH36" s="95" t="str">
        <f t="shared" si="95"/>
        <v/>
      </c>
      <c r="AI36" s="95">
        <f t="shared" ref="AI36:AI44" si="102">IF(ISBLANK(G36),"",$AM$1)</f>
        <v>1E-4</v>
      </c>
      <c r="AJ36" s="95">
        <f t="shared" ref="AJ36:AJ44" si="103">IF(ISBLANK(H36),"",$AM$1)</f>
        <v>1E-4</v>
      </c>
      <c r="AK36" s="95">
        <f t="shared" ref="AK36:AK44" si="104">IF(ISBLANK(I36),"",$AM$1)</f>
        <v>1E-4</v>
      </c>
      <c r="AL36" s="1066">
        <f>Distribution!J54</f>
        <v>25.827936915797132</v>
      </c>
      <c r="AM36" s="95" t="str">
        <f t="shared" ref="AM36:AM44" si="105">IF(ISBLANK(K36),"",$AM$1)</f>
        <v/>
      </c>
      <c r="AN36" s="95">
        <f t="shared" si="75"/>
        <v>1E-4</v>
      </c>
      <c r="AO36" s="95" t="str">
        <f t="shared" si="76"/>
        <v/>
      </c>
      <c r="AP36" s="519">
        <f t="shared" si="38"/>
        <v>3</v>
      </c>
      <c r="AQ36" s="263">
        <f t="shared" si="39"/>
        <v>4</v>
      </c>
      <c r="AR36" s="263">
        <f t="shared" si="40"/>
        <v>8</v>
      </c>
      <c r="AS36" s="263">
        <f t="shared" si="41"/>
        <v>5</v>
      </c>
      <c r="AT36" s="263">
        <f t="shared" si="42"/>
        <v>4</v>
      </c>
      <c r="AU36" s="263">
        <f t="shared" si="43"/>
        <v>17</v>
      </c>
      <c r="AV36" s="520">
        <f t="shared" si="44"/>
        <v>10</v>
      </c>
      <c r="AW36" s="93">
        <f t="shared" si="45"/>
        <v>32</v>
      </c>
      <c r="AX36" s="93" t="str">
        <f t="shared" si="34"/>
        <v>ODS</v>
      </c>
      <c r="AY36" s="93">
        <v>74.066699999999997</v>
      </c>
      <c r="AZ36" s="93">
        <v>3.0000000000000001E-3</v>
      </c>
      <c r="BA36" s="93">
        <v>5.9999999999999995E-4</v>
      </c>
      <c r="BB36" s="93">
        <v>0.25290000000000001</v>
      </c>
      <c r="BC36" s="93">
        <v>0.2</v>
      </c>
      <c r="BD36" s="93">
        <v>1.4999999999999999E-2</v>
      </c>
      <c r="BE36" s="93">
        <v>5.0000000000000001E-3</v>
      </c>
      <c r="BF36" s="93">
        <v>0</v>
      </c>
      <c r="BG36" s="93">
        <v>0</v>
      </c>
      <c r="BH36" s="93">
        <v>0</v>
      </c>
      <c r="BI36" s="93">
        <v>0</v>
      </c>
      <c r="BJ36" s="93">
        <v>0</v>
      </c>
      <c r="BK36" s="93">
        <v>0</v>
      </c>
      <c r="BL36" s="93">
        <v>0</v>
      </c>
      <c r="BM36" s="93">
        <v>0</v>
      </c>
      <c r="BN36" s="93">
        <v>0</v>
      </c>
      <c r="BO36" s="93">
        <f t="shared" si="35"/>
        <v>11</v>
      </c>
      <c r="BP36" s="93">
        <f t="shared" si="46"/>
        <v>7</v>
      </c>
      <c r="BR36" s="93">
        <f t="shared" si="47"/>
        <v>1</v>
      </c>
      <c r="BS36" s="93">
        <f t="shared" si="48"/>
        <v>2</v>
      </c>
      <c r="BT36" s="93">
        <f t="shared" si="49"/>
        <v>3</v>
      </c>
      <c r="BU36" s="93">
        <f t="shared" si="50"/>
        <v>4</v>
      </c>
      <c r="BV36" s="93">
        <f t="shared" si="51"/>
        <v>5</v>
      </c>
      <c r="BW36" s="93">
        <f t="shared" si="52"/>
        <v>6</v>
      </c>
      <c r="BX36" s="93">
        <f t="shared" si="53"/>
        <v>7</v>
      </c>
      <c r="BY36" s="93">
        <f t="shared" si="54"/>
        <v>7</v>
      </c>
      <c r="BZ36" s="93">
        <f t="shared" si="55"/>
        <v>7</v>
      </c>
      <c r="CA36" s="93">
        <f t="shared" si="56"/>
        <v>7</v>
      </c>
      <c r="CB36" s="93">
        <f t="shared" si="57"/>
        <v>7</v>
      </c>
      <c r="CC36" s="93">
        <f t="shared" si="58"/>
        <v>7</v>
      </c>
      <c r="CD36" s="93">
        <f t="shared" si="59"/>
        <v>7</v>
      </c>
      <c r="CE36" s="93">
        <f t="shared" si="60"/>
        <v>7</v>
      </c>
      <c r="CF36" s="93">
        <f t="shared" si="61"/>
        <v>7</v>
      </c>
      <c r="CG36" s="93">
        <f t="shared" si="62"/>
        <v>7</v>
      </c>
      <c r="CH36" s="93">
        <f>IFERROR(HLOOKUP(CH$4,$BR36:$CG$46,$BO36,FALSE),"")</f>
        <v>1</v>
      </c>
      <c r="CI36" s="93">
        <f>IFERROR(HLOOKUP(CI$4,$BR36:$CG$46,$BO36,FALSE),"")</f>
        <v>2</v>
      </c>
      <c r="CJ36" s="93">
        <f>IFERROR(HLOOKUP(CJ$4,$BR36:$CG$46,$BO36,FALSE),"")</f>
        <v>3</v>
      </c>
      <c r="CK36" s="93">
        <f>IFERROR(HLOOKUP(CK$4,$BR36:$CG$46,$BO36,FALSE),"")</f>
        <v>4</v>
      </c>
      <c r="CL36" s="93">
        <f>IFERROR(HLOOKUP(CL$4,$BR36:$CG$46,$BO36,FALSE),"")</f>
        <v>5</v>
      </c>
      <c r="CM36" s="93">
        <f>IFERROR(HLOOKUP(CM$4,$BR36:$CG$46,$BO36,FALSE),"")</f>
        <v>6</v>
      </c>
      <c r="CN36" s="93">
        <f>IFERROR(HLOOKUP(CN$4,$BR36:$CG$46,$BO36,FALSE),"")</f>
        <v>7</v>
      </c>
      <c r="CO36" s="93" t="str">
        <f>IFERROR(HLOOKUP(CO$4,$BR36:$CG$46,$BO36,FALSE),"")</f>
        <v/>
      </c>
      <c r="CP36" s="93" t="str">
        <f>IFERROR(HLOOKUP(CP$4,$BR36:$CG$46,$BO36,FALSE),"")</f>
        <v/>
      </c>
      <c r="CQ36" s="93" t="str">
        <f>IFERROR(HLOOKUP(CQ$4,$BR36:$CG$46,$BO36,FALSE),"")</f>
        <v/>
      </c>
    </row>
    <row r="37" spans="1:95" ht="15">
      <c r="A37" s="93">
        <f t="shared" si="36"/>
        <v>33</v>
      </c>
      <c r="B37" s="390" t="s">
        <v>546</v>
      </c>
      <c r="C37" s="390" t="s">
        <v>547</v>
      </c>
      <c r="D37" s="390" t="str">
        <f t="shared" si="6"/>
        <v>Oil Gasoline</v>
      </c>
      <c r="G37" s="95">
        <v>1</v>
      </c>
      <c r="H37" s="95">
        <v>1</v>
      </c>
      <c r="I37" s="95">
        <v>1</v>
      </c>
      <c r="J37" s="95">
        <v>1</v>
      </c>
      <c r="N37" s="95">
        <f t="shared" si="77"/>
        <v>1</v>
      </c>
      <c r="O37" s="95">
        <f t="shared" si="78"/>
        <v>1</v>
      </c>
      <c r="P37" s="95">
        <f t="shared" si="79"/>
        <v>1</v>
      </c>
      <c r="Q37" s="95">
        <f t="shared" si="80"/>
        <v>1</v>
      </c>
      <c r="R37" s="95" t="str">
        <f t="shared" si="81"/>
        <v/>
      </c>
      <c r="S37" s="95" t="str">
        <f t="shared" si="63"/>
        <v/>
      </c>
      <c r="T37" s="95" t="str">
        <f t="shared" si="69"/>
        <v/>
      </c>
      <c r="U37" s="880">
        <f>[8]LossesCalib!F28</f>
        <v>5.4606157194600007</v>
      </c>
      <c r="V37" s="880">
        <f>[8]LossesCalib!G28</f>
        <v>0</v>
      </c>
      <c r="W37" s="880">
        <f>[8]LossesCalib!H28</f>
        <v>0</v>
      </c>
      <c r="X37" s="880">
        <f>[8]LossesCalib!J28</f>
        <v>422.46927554904926</v>
      </c>
      <c r="Y37" s="880">
        <f>[8]LossesCalib!I28</f>
        <v>0</v>
      </c>
      <c r="Z37" s="880">
        <f>[8]LossesCalib!K28</f>
        <v>0</v>
      </c>
      <c r="AA37" s="95" t="str">
        <f t="shared" si="101"/>
        <v/>
      </c>
      <c r="AB37" s="95">
        <f t="shared" si="89"/>
        <v>60</v>
      </c>
      <c r="AC37" s="95">
        <f t="shared" si="90"/>
        <v>60</v>
      </c>
      <c r="AD37" s="95">
        <f t="shared" si="91"/>
        <v>60</v>
      </c>
      <c r="AE37" s="95">
        <f t="shared" si="92"/>
        <v>60</v>
      </c>
      <c r="AF37" s="95" t="str">
        <f t="shared" si="93"/>
        <v/>
      </c>
      <c r="AG37" s="95" t="str">
        <f t="shared" si="94"/>
        <v/>
      </c>
      <c r="AH37" s="95" t="str">
        <f t="shared" si="95"/>
        <v/>
      </c>
      <c r="AI37" s="95">
        <f t="shared" si="102"/>
        <v>1E-4</v>
      </c>
      <c r="AJ37" s="95">
        <f t="shared" si="103"/>
        <v>1E-4</v>
      </c>
      <c r="AK37" s="95">
        <f t="shared" si="104"/>
        <v>1E-4</v>
      </c>
      <c r="AL37" s="1066">
        <f>Distribution!I54</f>
        <v>25.463596835812123</v>
      </c>
      <c r="AM37" s="95" t="str">
        <f t="shared" si="105"/>
        <v/>
      </c>
      <c r="AN37" s="95" t="str">
        <f t="shared" si="75"/>
        <v/>
      </c>
      <c r="AO37" s="95" t="str">
        <f t="shared" si="76"/>
        <v/>
      </c>
      <c r="AP37" s="519">
        <f t="shared" si="38"/>
        <v>4</v>
      </c>
      <c r="AQ37" s="263">
        <f t="shared" si="39"/>
        <v>5</v>
      </c>
      <c r="AR37" s="263">
        <f t="shared" si="40"/>
        <v>9</v>
      </c>
      <c r="AS37" s="263">
        <f t="shared" si="41"/>
        <v>6</v>
      </c>
      <c r="AT37" s="263">
        <f t="shared" si="42"/>
        <v>4</v>
      </c>
      <c r="AU37" s="263">
        <f t="shared" si="43"/>
        <v>17</v>
      </c>
      <c r="AV37" s="520">
        <f t="shared" si="44"/>
        <v>10</v>
      </c>
      <c r="AW37" s="93">
        <f t="shared" si="45"/>
        <v>33</v>
      </c>
      <c r="AX37" s="93" t="str">
        <f t="shared" si="34"/>
        <v>OGS</v>
      </c>
      <c r="AY37" s="93">
        <v>69.3</v>
      </c>
      <c r="AZ37" s="93">
        <v>3.0000000000000001E-3</v>
      </c>
      <c r="BA37" s="93">
        <v>5.9999999999999995E-4</v>
      </c>
      <c r="BB37" s="93">
        <v>4.6699999999999998E-2</v>
      </c>
      <c r="BC37" s="93">
        <v>0.6</v>
      </c>
      <c r="BD37" s="93">
        <v>8</v>
      </c>
      <c r="BE37" s="93">
        <v>1.5</v>
      </c>
      <c r="BF37" s="93">
        <v>0</v>
      </c>
      <c r="BG37" s="93">
        <v>0</v>
      </c>
      <c r="BH37" s="93">
        <v>0</v>
      </c>
      <c r="BI37" s="93">
        <v>0</v>
      </c>
      <c r="BJ37" s="93">
        <v>0</v>
      </c>
      <c r="BK37" s="93">
        <v>0</v>
      </c>
      <c r="BL37" s="93">
        <v>0</v>
      </c>
      <c r="BM37" s="93">
        <v>0</v>
      </c>
      <c r="BN37" s="93">
        <v>0</v>
      </c>
      <c r="BO37" s="93">
        <f t="shared" si="35"/>
        <v>10</v>
      </c>
      <c r="BP37" s="93">
        <f t="shared" si="46"/>
        <v>7</v>
      </c>
      <c r="BR37" s="93">
        <f t="shared" si="47"/>
        <v>1</v>
      </c>
      <c r="BS37" s="93">
        <f t="shared" si="48"/>
        <v>2</v>
      </c>
      <c r="BT37" s="93">
        <f t="shared" si="49"/>
        <v>3</v>
      </c>
      <c r="BU37" s="93">
        <f t="shared" si="50"/>
        <v>4</v>
      </c>
      <c r="BV37" s="93">
        <f t="shared" si="51"/>
        <v>5</v>
      </c>
      <c r="BW37" s="93">
        <f t="shared" si="52"/>
        <v>6</v>
      </c>
      <c r="BX37" s="93">
        <f t="shared" si="53"/>
        <v>7</v>
      </c>
      <c r="BY37" s="93">
        <f t="shared" si="54"/>
        <v>7</v>
      </c>
      <c r="BZ37" s="93">
        <f t="shared" si="55"/>
        <v>7</v>
      </c>
      <c r="CA37" s="93">
        <f t="shared" si="56"/>
        <v>7</v>
      </c>
      <c r="CB37" s="93">
        <f t="shared" si="57"/>
        <v>7</v>
      </c>
      <c r="CC37" s="93">
        <f t="shared" si="58"/>
        <v>7</v>
      </c>
      <c r="CD37" s="93">
        <f t="shared" si="59"/>
        <v>7</v>
      </c>
      <c r="CE37" s="93">
        <f t="shared" si="60"/>
        <v>7</v>
      </c>
      <c r="CF37" s="93">
        <f t="shared" si="61"/>
        <v>7</v>
      </c>
      <c r="CG37" s="93">
        <f t="shared" si="62"/>
        <v>7</v>
      </c>
      <c r="CH37" s="93">
        <f>IFERROR(HLOOKUP(CH$4,$BR37:$CG$46,$BO37,FALSE),"")</f>
        <v>1</v>
      </c>
      <c r="CI37" s="93">
        <f>IFERROR(HLOOKUP(CI$4,$BR37:$CG$46,$BO37,FALSE),"")</f>
        <v>2</v>
      </c>
      <c r="CJ37" s="93">
        <f>IFERROR(HLOOKUP(CJ$4,$BR37:$CG$46,$BO37,FALSE),"")</f>
        <v>3</v>
      </c>
      <c r="CK37" s="93">
        <f>IFERROR(HLOOKUP(CK$4,$BR37:$CG$46,$BO37,FALSE),"")</f>
        <v>4</v>
      </c>
      <c r="CL37" s="93">
        <f>IFERROR(HLOOKUP(CL$4,$BR37:$CG$46,$BO37,FALSE),"")</f>
        <v>5</v>
      </c>
      <c r="CM37" s="93">
        <f>IFERROR(HLOOKUP(CM$4,$BR37:$CG$46,$BO37,FALSE),"")</f>
        <v>6</v>
      </c>
      <c r="CN37" s="93">
        <f>IFERROR(HLOOKUP(CN$4,$BR37:$CG$46,$BO37,FALSE),"")</f>
        <v>7</v>
      </c>
      <c r="CO37" s="93" t="str">
        <f>IFERROR(HLOOKUP(CO$4,$BR37:$CG$46,$BO37,FALSE),"")</f>
        <v/>
      </c>
      <c r="CP37" s="93" t="str">
        <f>IFERROR(HLOOKUP(CP$4,$BR37:$CG$46,$BO37,FALSE),"")</f>
        <v/>
      </c>
      <c r="CQ37" s="93" t="str">
        <f>IFERROR(HLOOKUP(CQ$4,$BR37:$CG$46,$BO37,FALSE),"")</f>
        <v/>
      </c>
    </row>
    <row r="38" spans="1:95">
      <c r="A38" s="93">
        <f t="shared" si="36"/>
        <v>34</v>
      </c>
      <c r="B38" s="391" t="s">
        <v>548</v>
      </c>
      <c r="C38" s="391" t="s">
        <v>549</v>
      </c>
      <c r="D38" s="390" t="str">
        <f t="shared" si="6"/>
        <v>Oil HFO</v>
      </c>
      <c r="G38" s="95">
        <v>1</v>
      </c>
      <c r="H38" s="95">
        <v>1</v>
      </c>
      <c r="I38" s="95">
        <v>1</v>
      </c>
      <c r="J38" s="95">
        <v>1</v>
      </c>
      <c r="M38" s="95">
        <v>1</v>
      </c>
      <c r="N38" s="95">
        <f t="shared" si="77"/>
        <v>1</v>
      </c>
      <c r="O38" s="95">
        <f t="shared" si="78"/>
        <v>1</v>
      </c>
      <c r="P38" s="95">
        <f t="shared" si="79"/>
        <v>1</v>
      </c>
      <c r="Q38" s="95">
        <f t="shared" si="80"/>
        <v>1</v>
      </c>
      <c r="R38" s="95" t="str">
        <f t="shared" si="81"/>
        <v/>
      </c>
      <c r="S38" s="95" t="str">
        <f t="shared" si="63"/>
        <v/>
      </c>
      <c r="T38" s="95">
        <f t="shared" si="69"/>
        <v>1</v>
      </c>
      <c r="U38" s="95">
        <f t="shared" ref="U38:Z44" si="106">IF(ISBLANK(G38),"",$Y$1)</f>
        <v>1.0000000000000001E-5</v>
      </c>
      <c r="V38" s="95">
        <f t="shared" si="106"/>
        <v>1.0000000000000001E-5</v>
      </c>
      <c r="W38" s="95">
        <f t="shared" si="106"/>
        <v>1.0000000000000001E-5</v>
      </c>
      <c r="X38" s="95">
        <f t="shared" si="106"/>
        <v>1.0000000000000001E-5</v>
      </c>
      <c r="Y38" s="95" t="str">
        <f t="shared" si="106"/>
        <v/>
      </c>
      <c r="Z38" s="95" t="str">
        <f t="shared" si="106"/>
        <v/>
      </c>
      <c r="AA38" s="95">
        <f t="shared" si="101"/>
        <v>1.0000000000000001E-5</v>
      </c>
      <c r="AB38" s="95">
        <f t="shared" si="89"/>
        <v>60</v>
      </c>
      <c r="AC38" s="95">
        <f t="shared" si="90"/>
        <v>60</v>
      </c>
      <c r="AD38" s="95">
        <f t="shared" si="91"/>
        <v>60</v>
      </c>
      <c r="AE38" s="95">
        <f t="shared" si="92"/>
        <v>60</v>
      </c>
      <c r="AF38" s="95" t="str">
        <f t="shared" si="93"/>
        <v/>
      </c>
      <c r="AG38" s="95" t="str">
        <f t="shared" si="94"/>
        <v/>
      </c>
      <c r="AH38" s="95">
        <f t="shared" si="95"/>
        <v>60</v>
      </c>
      <c r="AI38" s="95">
        <f t="shared" si="102"/>
        <v>1E-4</v>
      </c>
      <c r="AJ38" s="95">
        <f t="shared" si="103"/>
        <v>1E-4</v>
      </c>
      <c r="AK38" s="95">
        <f t="shared" si="104"/>
        <v>1E-4</v>
      </c>
      <c r="AL38" s="95">
        <f t="shared" ref="AL38:AL44" si="107">IF(ISBLANK(J38),"",$AM$1)</f>
        <v>1E-4</v>
      </c>
      <c r="AM38" s="95" t="str">
        <f t="shared" si="105"/>
        <v/>
      </c>
      <c r="AN38" s="95" t="str">
        <f t="shared" si="75"/>
        <v/>
      </c>
      <c r="AO38" s="95">
        <f t="shared" si="76"/>
        <v>1E-4</v>
      </c>
      <c r="AP38" s="519">
        <f t="shared" si="38"/>
        <v>5</v>
      </c>
      <c r="AQ38" s="263">
        <f t="shared" si="39"/>
        <v>6</v>
      </c>
      <c r="AR38" s="263">
        <f t="shared" si="40"/>
        <v>10</v>
      </c>
      <c r="AS38" s="263">
        <f t="shared" si="41"/>
        <v>7</v>
      </c>
      <c r="AT38" s="263">
        <f t="shared" si="42"/>
        <v>4</v>
      </c>
      <c r="AU38" s="263">
        <f t="shared" si="43"/>
        <v>17</v>
      </c>
      <c r="AV38" s="520">
        <f t="shared" si="44"/>
        <v>11</v>
      </c>
      <c r="AW38" s="93">
        <f t="shared" si="45"/>
        <v>34</v>
      </c>
      <c r="AX38" s="93" t="str">
        <f t="shared" si="34"/>
        <v>OHF</v>
      </c>
      <c r="AY38" s="93">
        <v>77.400000000000006</v>
      </c>
      <c r="AZ38" s="93">
        <v>3.0000000000000001E-3</v>
      </c>
      <c r="BA38" s="93">
        <v>5.9999999999999995E-4</v>
      </c>
      <c r="BB38" s="93">
        <v>1.5290999999999999</v>
      </c>
      <c r="BC38" s="93">
        <v>0.2</v>
      </c>
      <c r="BD38" s="93">
        <v>0.01</v>
      </c>
      <c r="BE38" s="93">
        <v>5.0000000000000001E-3</v>
      </c>
      <c r="BF38" s="93">
        <v>0</v>
      </c>
      <c r="BG38" s="93">
        <v>0</v>
      </c>
      <c r="BH38" s="93">
        <v>0</v>
      </c>
      <c r="BI38" s="93">
        <v>0</v>
      </c>
      <c r="BJ38" s="93">
        <v>0</v>
      </c>
      <c r="BK38" s="93">
        <v>0</v>
      </c>
      <c r="BL38" s="93">
        <v>0</v>
      </c>
      <c r="BM38" s="93">
        <v>0</v>
      </c>
      <c r="BN38" s="93">
        <v>0</v>
      </c>
      <c r="BO38" s="93">
        <f t="shared" si="35"/>
        <v>9</v>
      </c>
      <c r="BP38" s="93">
        <f t="shared" si="46"/>
        <v>7</v>
      </c>
      <c r="BR38" s="93">
        <f t="shared" si="47"/>
        <v>1</v>
      </c>
      <c r="BS38" s="93">
        <f t="shared" si="48"/>
        <v>2</v>
      </c>
      <c r="BT38" s="93">
        <f t="shared" si="49"/>
        <v>3</v>
      </c>
      <c r="BU38" s="93">
        <f t="shared" si="50"/>
        <v>4</v>
      </c>
      <c r="BV38" s="93">
        <f t="shared" si="51"/>
        <v>5</v>
      </c>
      <c r="BW38" s="93">
        <f t="shared" si="52"/>
        <v>6</v>
      </c>
      <c r="BX38" s="93">
        <f t="shared" si="53"/>
        <v>7</v>
      </c>
      <c r="BY38" s="93">
        <f t="shared" si="54"/>
        <v>7</v>
      </c>
      <c r="BZ38" s="93">
        <f t="shared" si="55"/>
        <v>7</v>
      </c>
      <c r="CA38" s="93">
        <f t="shared" si="56"/>
        <v>7</v>
      </c>
      <c r="CB38" s="93">
        <f t="shared" si="57"/>
        <v>7</v>
      </c>
      <c r="CC38" s="93">
        <f t="shared" si="58"/>
        <v>7</v>
      </c>
      <c r="CD38" s="93">
        <f t="shared" si="59"/>
        <v>7</v>
      </c>
      <c r="CE38" s="93">
        <f t="shared" si="60"/>
        <v>7</v>
      </c>
      <c r="CF38" s="93">
        <f t="shared" si="61"/>
        <v>7</v>
      </c>
      <c r="CG38" s="93">
        <f t="shared" si="62"/>
        <v>7</v>
      </c>
      <c r="CH38" s="93">
        <f>IFERROR(HLOOKUP(CH$4,$BR38:$CG$46,$BO38,FALSE),"")</f>
        <v>1</v>
      </c>
      <c r="CI38" s="93">
        <f>IFERROR(HLOOKUP(CI$4,$BR38:$CG$46,$BO38,FALSE),"")</f>
        <v>2</v>
      </c>
      <c r="CJ38" s="93">
        <f>IFERROR(HLOOKUP(CJ$4,$BR38:$CG$46,$BO38,FALSE),"")</f>
        <v>3</v>
      </c>
      <c r="CK38" s="93">
        <f>IFERROR(HLOOKUP(CK$4,$BR38:$CG$46,$BO38,FALSE),"")</f>
        <v>4</v>
      </c>
      <c r="CL38" s="93">
        <f>IFERROR(HLOOKUP(CL$4,$BR38:$CG$46,$BO38,FALSE),"")</f>
        <v>5</v>
      </c>
      <c r="CM38" s="93">
        <f>IFERROR(HLOOKUP(CM$4,$BR38:$CG$46,$BO38,FALSE),"")</f>
        <v>6</v>
      </c>
      <c r="CN38" s="93">
        <f>IFERROR(HLOOKUP(CN$4,$BR38:$CG$46,$BO38,FALSE),"")</f>
        <v>7</v>
      </c>
      <c r="CO38" s="93" t="str">
        <f>IFERROR(HLOOKUP(CO$4,$BR38:$CG$46,$BO38,FALSE),"")</f>
        <v/>
      </c>
      <c r="CP38" s="93" t="str">
        <f>IFERROR(HLOOKUP(CP$4,$BR38:$CG$46,$BO38,FALSE),"")</f>
        <v/>
      </c>
      <c r="CQ38" s="93" t="str">
        <f>IFERROR(HLOOKUP(CQ$4,$BR38:$CG$46,$BO38,FALSE),"")</f>
        <v/>
      </c>
    </row>
    <row r="39" spans="1:95">
      <c r="A39" s="93">
        <f t="shared" si="36"/>
        <v>35</v>
      </c>
      <c r="B39" s="93" t="s">
        <v>591</v>
      </c>
      <c r="C39" s="93" t="s">
        <v>592</v>
      </c>
      <c r="D39" s="93" t="str">
        <f t="shared" si="6"/>
        <v>Oil Kerosene</v>
      </c>
      <c r="G39" s="95">
        <v>1</v>
      </c>
      <c r="H39" s="95">
        <v>1</v>
      </c>
      <c r="J39" s="95">
        <v>1</v>
      </c>
      <c r="K39" s="95">
        <v>1</v>
      </c>
      <c r="N39" s="95">
        <f t="shared" si="77"/>
        <v>1</v>
      </c>
      <c r="O39" s="95">
        <f t="shared" si="78"/>
        <v>1</v>
      </c>
      <c r="P39" s="95" t="str">
        <f t="shared" si="79"/>
        <v/>
      </c>
      <c r="Q39" s="95">
        <f t="shared" si="80"/>
        <v>1</v>
      </c>
      <c r="R39" s="95">
        <f t="shared" si="81"/>
        <v>1</v>
      </c>
      <c r="S39" s="95" t="str">
        <f t="shared" si="63"/>
        <v/>
      </c>
      <c r="T39" s="95" t="str">
        <f t="shared" si="69"/>
        <v/>
      </c>
      <c r="U39" s="95">
        <f t="shared" si="106"/>
        <v>1.0000000000000001E-5</v>
      </c>
      <c r="V39" s="95">
        <f t="shared" si="106"/>
        <v>1.0000000000000001E-5</v>
      </c>
      <c r="W39" s="95" t="str">
        <f t="shared" si="106"/>
        <v/>
      </c>
      <c r="X39" s="95">
        <f t="shared" si="106"/>
        <v>1.0000000000000001E-5</v>
      </c>
      <c r="Y39" s="95">
        <f t="shared" si="106"/>
        <v>1.0000000000000001E-5</v>
      </c>
      <c r="Z39" s="95" t="str">
        <f t="shared" si="106"/>
        <v/>
      </c>
      <c r="AA39" s="95" t="str">
        <f t="shared" si="101"/>
        <v/>
      </c>
      <c r="AB39" s="95">
        <f t="shared" si="89"/>
        <v>60</v>
      </c>
      <c r="AC39" s="95">
        <f t="shared" si="90"/>
        <v>60</v>
      </c>
      <c r="AD39" s="95" t="str">
        <f t="shared" si="91"/>
        <v/>
      </c>
      <c r="AE39" s="95">
        <f t="shared" si="92"/>
        <v>60</v>
      </c>
      <c r="AF39" s="95">
        <f t="shared" si="93"/>
        <v>60</v>
      </c>
      <c r="AG39" s="95" t="str">
        <f t="shared" si="94"/>
        <v/>
      </c>
      <c r="AH39" s="95" t="str">
        <f t="shared" si="95"/>
        <v/>
      </c>
      <c r="AI39" s="1362">
        <v>25</v>
      </c>
      <c r="AJ39" s="1362">
        <v>25</v>
      </c>
      <c r="AK39" s="95" t="str">
        <f t="shared" si="104"/>
        <v/>
      </c>
      <c r="AL39" s="1362">
        <v>25</v>
      </c>
      <c r="AM39" s="1362">
        <v>25</v>
      </c>
      <c r="AN39" s="95" t="str">
        <f t="shared" si="75"/>
        <v/>
      </c>
      <c r="AO39" s="95" t="str">
        <f t="shared" si="76"/>
        <v/>
      </c>
      <c r="AP39" s="519">
        <f t="shared" si="38"/>
        <v>6</v>
      </c>
      <c r="AQ39" s="263">
        <f t="shared" si="39"/>
        <v>7</v>
      </c>
      <c r="AR39" s="263">
        <f t="shared" si="40"/>
        <v>10</v>
      </c>
      <c r="AS39" s="263">
        <f t="shared" si="41"/>
        <v>8</v>
      </c>
      <c r="AT39" s="263">
        <f t="shared" si="42"/>
        <v>5</v>
      </c>
      <c r="AU39" s="263">
        <f t="shared" si="43"/>
        <v>17</v>
      </c>
      <c r="AV39" s="520">
        <f t="shared" si="44"/>
        <v>11</v>
      </c>
      <c r="AW39" s="93">
        <f t="shared" si="45"/>
        <v>35</v>
      </c>
      <c r="AX39" s="93" t="str">
        <f t="shared" si="34"/>
        <v>OKE</v>
      </c>
      <c r="AY39" s="93">
        <v>72.900000000000006</v>
      </c>
      <c r="AZ39" s="93">
        <v>3.0000000000000001E-3</v>
      </c>
      <c r="BA39" s="93">
        <v>5.9999999999999995E-4</v>
      </c>
      <c r="BB39" s="93">
        <v>4.5900000000000003E-2</v>
      </c>
      <c r="BC39" s="93">
        <v>0.2</v>
      </c>
      <c r="BD39" s="93">
        <v>0.01</v>
      </c>
      <c r="BE39" s="93">
        <v>5.0000000000000001E-3</v>
      </c>
      <c r="BF39" s="93">
        <v>0</v>
      </c>
      <c r="BG39" s="93">
        <v>0</v>
      </c>
      <c r="BH39" s="93">
        <v>0</v>
      </c>
      <c r="BI39" s="93">
        <v>0</v>
      </c>
      <c r="BJ39" s="93">
        <v>0</v>
      </c>
      <c r="BK39" s="93">
        <v>0</v>
      </c>
      <c r="BL39" s="93">
        <v>0</v>
      </c>
      <c r="BM39" s="93">
        <v>0</v>
      </c>
      <c r="BN39" s="93">
        <v>0</v>
      </c>
      <c r="BO39" s="93">
        <f t="shared" si="35"/>
        <v>8</v>
      </c>
      <c r="BP39" s="93">
        <f t="shared" si="46"/>
        <v>7</v>
      </c>
      <c r="BR39" s="93">
        <f t="shared" si="47"/>
        <v>1</v>
      </c>
      <c r="BS39" s="93">
        <f t="shared" si="48"/>
        <v>2</v>
      </c>
      <c r="BT39" s="93">
        <f t="shared" si="49"/>
        <v>3</v>
      </c>
      <c r="BU39" s="93">
        <f t="shared" si="50"/>
        <v>4</v>
      </c>
      <c r="BV39" s="93">
        <f t="shared" si="51"/>
        <v>5</v>
      </c>
      <c r="BW39" s="93">
        <f t="shared" si="52"/>
        <v>6</v>
      </c>
      <c r="BX39" s="93">
        <f t="shared" si="53"/>
        <v>7</v>
      </c>
      <c r="BY39" s="93">
        <f t="shared" si="54"/>
        <v>7</v>
      </c>
      <c r="BZ39" s="93">
        <f t="shared" si="55"/>
        <v>7</v>
      </c>
      <c r="CA39" s="93">
        <f t="shared" si="56"/>
        <v>7</v>
      </c>
      <c r="CB39" s="93">
        <f t="shared" si="57"/>
        <v>7</v>
      </c>
      <c r="CC39" s="93">
        <f t="shared" si="58"/>
        <v>7</v>
      </c>
      <c r="CD39" s="93">
        <f t="shared" si="59"/>
        <v>7</v>
      </c>
      <c r="CE39" s="93">
        <f t="shared" si="60"/>
        <v>7</v>
      </c>
      <c r="CF39" s="93">
        <f t="shared" si="61"/>
        <v>7</v>
      </c>
      <c r="CG39" s="93">
        <f t="shared" si="62"/>
        <v>7</v>
      </c>
      <c r="CH39" s="93">
        <f>IFERROR(HLOOKUP(CH$4,$BR39:$CG$46,$BO39,FALSE),"")</f>
        <v>1</v>
      </c>
      <c r="CI39" s="93">
        <f>IFERROR(HLOOKUP(CI$4,$BR39:$CG$46,$BO39,FALSE),"")</f>
        <v>2</v>
      </c>
      <c r="CJ39" s="93">
        <f>IFERROR(HLOOKUP(CJ$4,$BR39:$CG$46,$BO39,FALSE),"")</f>
        <v>3</v>
      </c>
      <c r="CK39" s="93">
        <f>IFERROR(HLOOKUP(CK$4,$BR39:$CG$46,$BO39,FALSE),"")</f>
        <v>4</v>
      </c>
      <c r="CL39" s="93">
        <f>IFERROR(HLOOKUP(CL$4,$BR39:$CG$46,$BO39,FALSE),"")</f>
        <v>5</v>
      </c>
      <c r="CM39" s="93">
        <f>IFERROR(HLOOKUP(CM$4,$BR39:$CG$46,$BO39,FALSE),"")</f>
        <v>6</v>
      </c>
      <c r="CN39" s="93">
        <f>IFERROR(HLOOKUP(CN$4,$BR39:$CG$46,$BO39,FALSE),"")</f>
        <v>7</v>
      </c>
      <c r="CO39" s="93" t="str">
        <f>IFERROR(HLOOKUP(CO$4,$BR39:$CG$46,$BO39,FALSE),"")</f>
        <v/>
      </c>
      <c r="CP39" s="93" t="str">
        <f>IFERROR(HLOOKUP(CP$4,$BR39:$CG$46,$BO39,FALSE),"")</f>
        <v/>
      </c>
      <c r="CQ39" s="93" t="str">
        <f>IFERROR(HLOOKUP(CQ$4,$BR39:$CG$46,$BO39,FALSE),"")</f>
        <v/>
      </c>
    </row>
    <row r="40" spans="1:95">
      <c r="A40" s="93">
        <f t="shared" si="36"/>
        <v>36</v>
      </c>
      <c r="B40" s="391" t="s">
        <v>550</v>
      </c>
      <c r="C40" s="391" t="s">
        <v>551</v>
      </c>
      <c r="D40" s="390" t="str">
        <f t="shared" si="6"/>
        <v>Oil LPG</v>
      </c>
      <c r="G40" s="95">
        <v>1</v>
      </c>
      <c r="H40" s="95">
        <v>1</v>
      </c>
      <c r="I40" s="95">
        <v>1</v>
      </c>
      <c r="K40" s="95">
        <v>1</v>
      </c>
      <c r="N40" s="95">
        <f t="shared" si="77"/>
        <v>1</v>
      </c>
      <c r="O40" s="95">
        <f t="shared" si="78"/>
        <v>1</v>
      </c>
      <c r="P40" s="95">
        <f t="shared" si="79"/>
        <v>1</v>
      </c>
      <c r="Q40" s="95" t="str">
        <f t="shared" si="80"/>
        <v/>
      </c>
      <c r="R40" s="95">
        <f t="shared" si="81"/>
        <v>1</v>
      </c>
      <c r="S40" s="95" t="str">
        <f t="shared" si="63"/>
        <v/>
      </c>
      <c r="T40" s="95" t="str">
        <f t="shared" si="69"/>
        <v/>
      </c>
      <c r="U40" s="95">
        <f t="shared" si="106"/>
        <v>1.0000000000000001E-5</v>
      </c>
      <c r="V40" s="95">
        <f t="shared" si="106"/>
        <v>1.0000000000000001E-5</v>
      </c>
      <c r="W40" s="95">
        <f t="shared" si="106"/>
        <v>1.0000000000000001E-5</v>
      </c>
      <c r="X40" s="95" t="str">
        <f t="shared" si="106"/>
        <v/>
      </c>
      <c r="Y40" s="95">
        <f t="shared" si="106"/>
        <v>1.0000000000000001E-5</v>
      </c>
      <c r="Z40" s="95" t="str">
        <f t="shared" si="106"/>
        <v/>
      </c>
      <c r="AA40" s="95" t="str">
        <f t="shared" si="101"/>
        <v/>
      </c>
      <c r="AB40" s="95">
        <f t="shared" si="89"/>
        <v>60</v>
      </c>
      <c r="AC40" s="95">
        <f t="shared" si="90"/>
        <v>60</v>
      </c>
      <c r="AD40" s="95">
        <f t="shared" si="91"/>
        <v>60</v>
      </c>
      <c r="AE40" s="95" t="str">
        <f t="shared" si="92"/>
        <v/>
      </c>
      <c r="AF40" s="95">
        <f t="shared" si="93"/>
        <v>60</v>
      </c>
      <c r="AG40" s="95" t="str">
        <f t="shared" si="94"/>
        <v/>
      </c>
      <c r="AH40" s="95" t="str">
        <f t="shared" si="95"/>
        <v/>
      </c>
      <c r="AI40" s="1362">
        <v>25</v>
      </c>
      <c r="AJ40" s="1362">
        <v>25</v>
      </c>
      <c r="AK40" s="1362">
        <v>25</v>
      </c>
      <c r="AL40" s="95" t="str">
        <f t="shared" si="107"/>
        <v/>
      </c>
      <c r="AM40" s="1362">
        <v>45</v>
      </c>
      <c r="AN40" s="95" t="str">
        <f t="shared" si="75"/>
        <v/>
      </c>
      <c r="AO40" s="95" t="str">
        <f t="shared" si="76"/>
        <v/>
      </c>
      <c r="AP40" s="519">
        <f t="shared" si="38"/>
        <v>7</v>
      </c>
      <c r="AQ40" s="263">
        <f t="shared" si="39"/>
        <v>8</v>
      </c>
      <c r="AR40" s="263">
        <f t="shared" si="40"/>
        <v>11</v>
      </c>
      <c r="AS40" s="263">
        <f t="shared" si="41"/>
        <v>8</v>
      </c>
      <c r="AT40" s="263">
        <f t="shared" si="42"/>
        <v>6</v>
      </c>
      <c r="AU40" s="263">
        <f t="shared" si="43"/>
        <v>17</v>
      </c>
      <c r="AV40" s="520">
        <f t="shared" si="44"/>
        <v>11</v>
      </c>
      <c r="AW40" s="93">
        <f t="shared" si="45"/>
        <v>36</v>
      </c>
      <c r="AX40" s="93" t="str">
        <f t="shared" si="34"/>
        <v>OLP</v>
      </c>
      <c r="AY40" s="93">
        <v>63.1</v>
      </c>
      <c r="AZ40" s="93">
        <v>3.0000000000000001E-3</v>
      </c>
      <c r="BA40" s="93">
        <v>1E-4</v>
      </c>
      <c r="BB40" s="93">
        <v>5.4089999999999998</v>
      </c>
      <c r="BC40" s="93">
        <v>1.2460000000000001E-2</v>
      </c>
      <c r="BD40" s="93">
        <v>0.182</v>
      </c>
      <c r="BE40" s="93">
        <v>2.3699999999999999E-2</v>
      </c>
      <c r="BF40" s="93">
        <v>0</v>
      </c>
      <c r="BG40" s="93">
        <v>0</v>
      </c>
      <c r="BH40" s="93">
        <v>0</v>
      </c>
      <c r="BI40" s="93">
        <v>0</v>
      </c>
      <c r="BJ40" s="93">
        <v>0</v>
      </c>
      <c r="BK40" s="93">
        <v>0</v>
      </c>
      <c r="BL40" s="93">
        <v>0</v>
      </c>
      <c r="BM40" s="93">
        <v>0</v>
      </c>
      <c r="BN40" s="93">
        <v>0</v>
      </c>
      <c r="BO40" s="93">
        <f t="shared" si="35"/>
        <v>7</v>
      </c>
      <c r="BP40" s="93">
        <f t="shared" si="46"/>
        <v>7</v>
      </c>
      <c r="BR40" s="93">
        <f t="shared" si="47"/>
        <v>1</v>
      </c>
      <c r="BS40" s="93">
        <f t="shared" si="48"/>
        <v>2</v>
      </c>
      <c r="BT40" s="93">
        <f t="shared" si="49"/>
        <v>3</v>
      </c>
      <c r="BU40" s="93">
        <f t="shared" si="50"/>
        <v>4</v>
      </c>
      <c r="BV40" s="93">
        <f t="shared" si="51"/>
        <v>5</v>
      </c>
      <c r="BW40" s="93">
        <f t="shared" si="52"/>
        <v>6</v>
      </c>
      <c r="BX40" s="93">
        <f t="shared" si="53"/>
        <v>7</v>
      </c>
      <c r="BY40" s="93">
        <f t="shared" si="54"/>
        <v>7</v>
      </c>
      <c r="BZ40" s="93">
        <f t="shared" si="55"/>
        <v>7</v>
      </c>
      <c r="CA40" s="93">
        <f t="shared" si="56"/>
        <v>7</v>
      </c>
      <c r="CB40" s="93">
        <f t="shared" si="57"/>
        <v>7</v>
      </c>
      <c r="CC40" s="93">
        <f t="shared" si="58"/>
        <v>7</v>
      </c>
      <c r="CD40" s="93">
        <f t="shared" si="59"/>
        <v>7</v>
      </c>
      <c r="CE40" s="93">
        <f t="shared" si="60"/>
        <v>7</v>
      </c>
      <c r="CF40" s="93">
        <f t="shared" si="61"/>
        <v>7</v>
      </c>
      <c r="CG40" s="93">
        <f t="shared" si="62"/>
        <v>7</v>
      </c>
      <c r="CH40" s="93">
        <f>IFERROR(HLOOKUP(CH$4,$BR40:$CG$46,$BO40,FALSE),"")</f>
        <v>1</v>
      </c>
      <c r="CI40" s="93">
        <f>IFERROR(HLOOKUP(CI$4,$BR40:$CG$46,$BO40,FALSE),"")</f>
        <v>2</v>
      </c>
      <c r="CJ40" s="93">
        <f>IFERROR(HLOOKUP(CJ$4,$BR40:$CG$46,$BO40,FALSE),"")</f>
        <v>3</v>
      </c>
      <c r="CK40" s="93">
        <f>IFERROR(HLOOKUP(CK$4,$BR40:$CG$46,$BO40,FALSE),"")</f>
        <v>4</v>
      </c>
      <c r="CL40" s="93">
        <f>IFERROR(HLOOKUP(CL$4,$BR40:$CG$46,$BO40,FALSE),"")</f>
        <v>5</v>
      </c>
      <c r="CM40" s="93">
        <f>IFERROR(HLOOKUP(CM$4,$BR40:$CG$46,$BO40,FALSE),"")</f>
        <v>6</v>
      </c>
      <c r="CN40" s="93">
        <f>IFERROR(HLOOKUP(CN$4,$BR40:$CG$46,$BO40,FALSE),"")</f>
        <v>7</v>
      </c>
      <c r="CO40" s="93" t="str">
        <f>IFERROR(HLOOKUP(CO$4,$BR40:$CG$46,$BO40,FALSE),"")</f>
        <v/>
      </c>
      <c r="CP40" s="93" t="str">
        <f>IFERROR(HLOOKUP(CP$4,$BR40:$CG$46,$BO40,FALSE),"")</f>
        <v/>
      </c>
      <c r="CQ40" s="93" t="str">
        <f>IFERROR(HLOOKUP(CQ$4,$BR40:$CG$46,$BO40,FALSE),"")</f>
        <v/>
      </c>
    </row>
    <row r="41" spans="1:95">
      <c r="A41" s="93">
        <f t="shared" si="36"/>
        <v>37</v>
      </c>
      <c r="B41" s="93" t="s">
        <v>593</v>
      </c>
      <c r="C41" s="93" t="s">
        <v>594</v>
      </c>
      <c r="D41" s="93" t="str">
        <f t="shared" si="6"/>
        <v>Oil Other</v>
      </c>
      <c r="N41" s="95" t="str">
        <f t="shared" si="77"/>
        <v/>
      </c>
      <c r="O41" s="95" t="str">
        <f t="shared" si="78"/>
        <v/>
      </c>
      <c r="P41" s="95" t="str">
        <f t="shared" si="79"/>
        <v/>
      </c>
      <c r="Q41" s="95" t="str">
        <f t="shared" si="80"/>
        <v/>
      </c>
      <c r="R41" s="95" t="str">
        <f t="shared" si="81"/>
        <v/>
      </c>
      <c r="S41" s="95" t="str">
        <f t="shared" si="63"/>
        <v/>
      </c>
      <c r="T41" s="95" t="str">
        <f t="shared" si="69"/>
        <v/>
      </c>
      <c r="U41" s="95" t="str">
        <f t="shared" si="106"/>
        <v/>
      </c>
      <c r="V41" s="95" t="str">
        <f t="shared" si="106"/>
        <v/>
      </c>
      <c r="W41" s="95" t="str">
        <f t="shared" si="106"/>
        <v/>
      </c>
      <c r="X41" s="95" t="str">
        <f t="shared" si="106"/>
        <v/>
      </c>
      <c r="Y41" s="95" t="str">
        <f t="shared" si="106"/>
        <v/>
      </c>
      <c r="Z41" s="95" t="str">
        <f t="shared" si="106"/>
        <v/>
      </c>
      <c r="AA41" s="95" t="str">
        <f t="shared" si="101"/>
        <v/>
      </c>
      <c r="AB41" s="95" t="str">
        <f t="shared" si="89"/>
        <v/>
      </c>
      <c r="AC41" s="95" t="str">
        <f t="shared" si="90"/>
        <v/>
      </c>
      <c r="AD41" s="95" t="str">
        <f t="shared" si="91"/>
        <v/>
      </c>
      <c r="AE41" s="95" t="str">
        <f t="shared" si="92"/>
        <v/>
      </c>
      <c r="AF41" s="95" t="str">
        <f t="shared" si="93"/>
        <v/>
      </c>
      <c r="AG41" s="95" t="str">
        <f t="shared" si="94"/>
        <v/>
      </c>
      <c r="AH41" s="95" t="str">
        <f t="shared" si="95"/>
        <v/>
      </c>
      <c r="AI41" s="95" t="str">
        <f t="shared" si="102"/>
        <v/>
      </c>
      <c r="AJ41" s="95" t="str">
        <f t="shared" si="103"/>
        <v/>
      </c>
      <c r="AK41" s="95" t="str">
        <f t="shared" si="104"/>
        <v/>
      </c>
      <c r="AL41" s="95" t="str">
        <f t="shared" si="107"/>
        <v/>
      </c>
      <c r="AM41" s="95" t="str">
        <f t="shared" si="105"/>
        <v/>
      </c>
      <c r="AN41" s="95" t="str">
        <f t="shared" si="75"/>
        <v/>
      </c>
      <c r="AO41" s="95" t="str">
        <f t="shared" si="76"/>
        <v/>
      </c>
      <c r="AP41" s="519">
        <f t="shared" si="38"/>
        <v>7</v>
      </c>
      <c r="AQ41" s="263">
        <f t="shared" si="39"/>
        <v>8</v>
      </c>
      <c r="AR41" s="263">
        <f t="shared" si="40"/>
        <v>11</v>
      </c>
      <c r="AS41" s="263">
        <f t="shared" si="41"/>
        <v>8</v>
      </c>
      <c r="AT41" s="263">
        <f t="shared" si="42"/>
        <v>6</v>
      </c>
      <c r="AU41" s="263">
        <f t="shared" si="43"/>
        <v>17</v>
      </c>
      <c r="AV41" s="520">
        <f t="shared" si="44"/>
        <v>11</v>
      </c>
      <c r="AW41" s="93">
        <f t="shared" si="45"/>
        <v>37</v>
      </c>
      <c r="AX41" s="93" t="str">
        <f t="shared" si="34"/>
        <v>OTH</v>
      </c>
      <c r="AY41" s="93">
        <v>0</v>
      </c>
      <c r="AZ41" s="93">
        <v>0</v>
      </c>
      <c r="BA41" s="93">
        <v>0</v>
      </c>
      <c r="BB41" s="93">
        <v>0</v>
      </c>
      <c r="BC41" s="93">
        <v>0</v>
      </c>
      <c r="BD41" s="93">
        <v>0</v>
      </c>
      <c r="BE41" s="93">
        <v>0</v>
      </c>
      <c r="BF41" s="93">
        <v>0</v>
      </c>
      <c r="BG41" s="93">
        <v>0</v>
      </c>
      <c r="BH41" s="93">
        <v>0</v>
      </c>
      <c r="BI41" s="93">
        <v>0</v>
      </c>
      <c r="BJ41" s="93">
        <v>0</v>
      </c>
      <c r="BK41" s="93">
        <v>0</v>
      </c>
      <c r="BL41" s="93">
        <v>0</v>
      </c>
      <c r="BM41" s="93">
        <v>0</v>
      </c>
      <c r="BN41" s="93">
        <v>0</v>
      </c>
      <c r="BO41" s="93">
        <f t="shared" si="35"/>
        <v>6</v>
      </c>
      <c r="BP41" s="93">
        <f t="shared" si="46"/>
        <v>0</v>
      </c>
      <c r="BR41" s="93">
        <f t="shared" si="47"/>
        <v>0</v>
      </c>
      <c r="BS41" s="93">
        <f t="shared" si="48"/>
        <v>0</v>
      </c>
      <c r="BT41" s="93">
        <f t="shared" si="49"/>
        <v>0</v>
      </c>
      <c r="BU41" s="93">
        <f t="shared" si="50"/>
        <v>0</v>
      </c>
      <c r="BV41" s="93">
        <f t="shared" si="51"/>
        <v>0</v>
      </c>
      <c r="BW41" s="93">
        <f t="shared" si="52"/>
        <v>0</v>
      </c>
      <c r="BX41" s="93">
        <f t="shared" si="53"/>
        <v>0</v>
      </c>
      <c r="BY41" s="93">
        <f t="shared" si="54"/>
        <v>0</v>
      </c>
      <c r="BZ41" s="93">
        <f t="shared" si="55"/>
        <v>0</v>
      </c>
      <c r="CA41" s="93">
        <f t="shared" si="56"/>
        <v>0</v>
      </c>
      <c r="CB41" s="93">
        <f t="shared" si="57"/>
        <v>0</v>
      </c>
      <c r="CC41" s="93">
        <f t="shared" si="58"/>
        <v>0</v>
      </c>
      <c r="CD41" s="93">
        <f t="shared" si="59"/>
        <v>0</v>
      </c>
      <c r="CE41" s="93">
        <f t="shared" si="60"/>
        <v>0</v>
      </c>
      <c r="CF41" s="93">
        <f t="shared" si="61"/>
        <v>0</v>
      </c>
      <c r="CG41" s="93">
        <f t="shared" si="62"/>
        <v>0</v>
      </c>
      <c r="CH41" s="93" t="str">
        <f>IFERROR(HLOOKUP(CH$4,$BR41:$CG$46,$BO41,FALSE),"")</f>
        <v/>
      </c>
      <c r="CI41" s="93" t="str">
        <f>IFERROR(HLOOKUP(CI$4,$BR41:$CG$46,$BO41,FALSE),"")</f>
        <v/>
      </c>
      <c r="CJ41" s="93" t="str">
        <f>IFERROR(HLOOKUP(CJ$4,$BR41:$CG$46,$BO41,FALSE),"")</f>
        <v/>
      </c>
      <c r="CK41" s="93" t="str">
        <f>IFERROR(HLOOKUP(CK$4,$BR41:$CG$46,$BO41,FALSE),"")</f>
        <v/>
      </c>
      <c r="CL41" s="93" t="str">
        <f>IFERROR(HLOOKUP(CL$4,$BR41:$CG$46,$BO41,FALSE),"")</f>
        <v/>
      </c>
      <c r="CM41" s="93" t="str">
        <f>IFERROR(HLOOKUP(CM$4,$BR41:$CG$46,$BO41,FALSE),"")</f>
        <v/>
      </c>
      <c r="CN41" s="93" t="str">
        <f>IFERROR(HLOOKUP(CN$4,$BR41:$CG$46,$BO41,FALSE),"")</f>
        <v/>
      </c>
      <c r="CO41" s="93" t="str">
        <f>IFERROR(HLOOKUP(CO$4,$BR41:$CG$46,$BO41,FALSE),"")</f>
        <v/>
      </c>
      <c r="CP41" s="93" t="str">
        <f>IFERROR(HLOOKUP(CP$4,$BR41:$CG$46,$BO41,FALSE),"")</f>
        <v/>
      </c>
      <c r="CQ41" s="93" t="str">
        <f>IFERROR(HLOOKUP(CQ$4,$BR41:$CG$46,$BO41,FALSE),"")</f>
        <v/>
      </c>
    </row>
    <row r="42" spans="1:95">
      <c r="A42" s="93">
        <f t="shared" si="36"/>
        <v>38</v>
      </c>
      <c r="B42" s="390" t="s">
        <v>133</v>
      </c>
      <c r="C42" s="390" t="s">
        <v>368</v>
      </c>
      <c r="D42" s="390" t="str">
        <f t="shared" si="6"/>
        <v>Solar</v>
      </c>
      <c r="L42" s="95">
        <v>1</v>
      </c>
      <c r="N42" s="95" t="str">
        <f t="shared" si="77"/>
        <v/>
      </c>
      <c r="O42" s="95" t="str">
        <f t="shared" si="78"/>
        <v/>
      </c>
      <c r="P42" s="95" t="str">
        <f t="shared" si="79"/>
        <v/>
      </c>
      <c r="Q42" s="95" t="str">
        <f t="shared" si="80"/>
        <v/>
      </c>
      <c r="R42" s="95" t="str">
        <f t="shared" si="81"/>
        <v/>
      </c>
      <c r="S42" s="95">
        <f t="shared" si="63"/>
        <v>1</v>
      </c>
      <c r="T42" s="95" t="str">
        <f t="shared" si="69"/>
        <v/>
      </c>
      <c r="U42" s="95" t="str">
        <f t="shared" si="106"/>
        <v/>
      </c>
      <c r="V42" s="95" t="str">
        <f t="shared" si="106"/>
        <v/>
      </c>
      <c r="W42" s="95" t="str">
        <f t="shared" si="106"/>
        <v/>
      </c>
      <c r="X42" s="95" t="str">
        <f t="shared" si="106"/>
        <v/>
      </c>
      <c r="Y42" s="95" t="str">
        <f t="shared" si="106"/>
        <v/>
      </c>
      <c r="Z42" s="95">
        <f t="shared" si="106"/>
        <v>1.0000000000000001E-5</v>
      </c>
      <c r="AA42" s="95" t="str">
        <f t="shared" si="101"/>
        <v/>
      </c>
      <c r="AB42" s="95" t="str">
        <f t="shared" si="89"/>
        <v/>
      </c>
      <c r="AC42" s="95" t="str">
        <f t="shared" si="90"/>
        <v/>
      </c>
      <c r="AD42" s="95" t="str">
        <f t="shared" si="91"/>
        <v/>
      </c>
      <c r="AE42" s="95" t="str">
        <f t="shared" si="92"/>
        <v/>
      </c>
      <c r="AF42" s="95" t="str">
        <f t="shared" si="93"/>
        <v/>
      </c>
      <c r="AG42" s="95">
        <f t="shared" si="94"/>
        <v>60</v>
      </c>
      <c r="AH42" s="95" t="str">
        <f t="shared" si="95"/>
        <v/>
      </c>
      <c r="AI42" s="95" t="str">
        <f t="shared" si="102"/>
        <v/>
      </c>
      <c r="AJ42" s="95" t="str">
        <f t="shared" si="103"/>
        <v/>
      </c>
      <c r="AK42" s="95" t="str">
        <f t="shared" si="104"/>
        <v/>
      </c>
      <c r="AL42" s="95" t="str">
        <f t="shared" si="107"/>
        <v/>
      </c>
      <c r="AM42" s="95" t="str">
        <f t="shared" si="105"/>
        <v/>
      </c>
      <c r="AN42" s="95">
        <f t="shared" si="75"/>
        <v>1E-4</v>
      </c>
      <c r="AO42" s="95" t="str">
        <f t="shared" si="76"/>
        <v/>
      </c>
      <c r="AP42" s="519">
        <f t="shared" si="38"/>
        <v>7</v>
      </c>
      <c r="AQ42" s="263">
        <f t="shared" si="39"/>
        <v>8</v>
      </c>
      <c r="AR42" s="263">
        <f t="shared" si="40"/>
        <v>11</v>
      </c>
      <c r="AS42" s="263">
        <f t="shared" si="41"/>
        <v>8</v>
      </c>
      <c r="AT42" s="263">
        <f t="shared" si="42"/>
        <v>6</v>
      </c>
      <c r="AU42" s="263">
        <f t="shared" si="43"/>
        <v>18</v>
      </c>
      <c r="AV42" s="520">
        <f t="shared" si="44"/>
        <v>11</v>
      </c>
      <c r="AW42" s="93">
        <f t="shared" si="45"/>
        <v>38</v>
      </c>
      <c r="AX42" s="93" t="str">
        <f t="shared" si="34"/>
        <v>SOL</v>
      </c>
      <c r="AY42" s="93">
        <v>0</v>
      </c>
      <c r="AZ42" s="93">
        <v>0</v>
      </c>
      <c r="BA42" s="93">
        <v>0</v>
      </c>
      <c r="BB42" s="93">
        <v>0</v>
      </c>
      <c r="BC42" s="93">
        <v>0</v>
      </c>
      <c r="BD42" s="93">
        <v>0</v>
      </c>
      <c r="BE42" s="93">
        <v>0</v>
      </c>
      <c r="BF42" s="93">
        <v>0</v>
      </c>
      <c r="BG42" s="93">
        <v>0</v>
      </c>
      <c r="BH42" s="93">
        <v>0</v>
      </c>
      <c r="BI42" s="93">
        <v>0</v>
      </c>
      <c r="BJ42" s="93">
        <v>0</v>
      </c>
      <c r="BK42" s="93">
        <v>0</v>
      </c>
      <c r="BL42" s="93">
        <v>0</v>
      </c>
      <c r="BM42" s="93">
        <v>0</v>
      </c>
      <c r="BN42" s="93">
        <v>0</v>
      </c>
      <c r="BO42" s="93">
        <f t="shared" si="35"/>
        <v>5</v>
      </c>
      <c r="BP42" s="93">
        <f t="shared" si="46"/>
        <v>0</v>
      </c>
      <c r="BR42" s="93">
        <f t="shared" si="47"/>
        <v>0</v>
      </c>
      <c r="BS42" s="93">
        <f t="shared" si="48"/>
        <v>0</v>
      </c>
      <c r="BT42" s="93">
        <f t="shared" si="49"/>
        <v>0</v>
      </c>
      <c r="BU42" s="93">
        <f t="shared" si="50"/>
        <v>0</v>
      </c>
      <c r="BV42" s="93">
        <f t="shared" si="51"/>
        <v>0</v>
      </c>
      <c r="BW42" s="93">
        <f t="shared" si="52"/>
        <v>0</v>
      </c>
      <c r="BX42" s="93">
        <f t="shared" si="53"/>
        <v>0</v>
      </c>
      <c r="BY42" s="93">
        <f t="shared" si="54"/>
        <v>0</v>
      </c>
      <c r="BZ42" s="93">
        <f t="shared" si="55"/>
        <v>0</v>
      </c>
      <c r="CA42" s="93">
        <f t="shared" si="56"/>
        <v>0</v>
      </c>
      <c r="CB42" s="93">
        <f t="shared" si="57"/>
        <v>0</v>
      </c>
      <c r="CC42" s="93">
        <f t="shared" si="58"/>
        <v>0</v>
      </c>
      <c r="CD42" s="93">
        <f t="shared" si="59"/>
        <v>0</v>
      </c>
      <c r="CE42" s="93">
        <f t="shared" si="60"/>
        <v>0</v>
      </c>
      <c r="CF42" s="93">
        <f t="shared" si="61"/>
        <v>0</v>
      </c>
      <c r="CG42" s="93">
        <f t="shared" si="62"/>
        <v>0</v>
      </c>
      <c r="CH42" s="93" t="str">
        <f>IFERROR(HLOOKUP(CH$4,$BR42:$CG$46,$BO42,FALSE),"")</f>
        <v/>
      </c>
      <c r="CI42" s="93" t="str">
        <f>IFERROR(HLOOKUP(CI$4,$BR42:$CG$46,$BO42,FALSE),"")</f>
        <v/>
      </c>
      <c r="CJ42" s="93" t="str">
        <f>IFERROR(HLOOKUP(CJ$4,$BR42:$CG$46,$BO42,FALSE),"")</f>
        <v/>
      </c>
      <c r="CK42" s="93" t="str">
        <f>IFERROR(HLOOKUP(CK$4,$BR42:$CG$46,$BO42,FALSE),"")</f>
        <v/>
      </c>
      <c r="CL42" s="93" t="str">
        <f>IFERROR(HLOOKUP(CL$4,$BR42:$CG$46,$BO42,FALSE),"")</f>
        <v/>
      </c>
      <c r="CM42" s="93" t="str">
        <f>IFERROR(HLOOKUP(CM$4,$BR42:$CG$46,$BO42,FALSE),"")</f>
        <v/>
      </c>
      <c r="CN42" s="93" t="str">
        <f>IFERROR(HLOOKUP(CN$4,$BR42:$CG$46,$BO42,FALSE),"")</f>
        <v/>
      </c>
      <c r="CO42" s="93" t="str">
        <f>IFERROR(HLOOKUP(CO$4,$BR42:$CG$46,$BO42,FALSE),"")</f>
        <v/>
      </c>
      <c r="CP42" s="93" t="str">
        <f>IFERROR(HLOOKUP(CP$4,$BR42:$CG$46,$BO42,FALSE),"")</f>
        <v/>
      </c>
      <c r="CQ42" s="93" t="str">
        <f>IFERROR(HLOOKUP(CQ$4,$BR42:$CG$46,$BO42,FALSE),"")</f>
        <v/>
      </c>
    </row>
    <row r="43" spans="1:95">
      <c r="A43" s="93">
        <f t="shared" si="36"/>
        <v>39</v>
      </c>
      <c r="B43" s="390" t="s">
        <v>135</v>
      </c>
      <c r="C43" s="390" t="s">
        <v>369</v>
      </c>
      <c r="D43" s="390" t="str">
        <f t="shared" si="6"/>
        <v>Wind</v>
      </c>
      <c r="L43" s="95">
        <v>1</v>
      </c>
      <c r="N43" s="95" t="str">
        <f t="shared" si="77"/>
        <v/>
      </c>
      <c r="O43" s="95" t="str">
        <f t="shared" si="78"/>
        <v/>
      </c>
      <c r="P43" s="95" t="str">
        <f t="shared" si="79"/>
        <v/>
      </c>
      <c r="Q43" s="95" t="str">
        <f t="shared" si="80"/>
        <v/>
      </c>
      <c r="R43" s="95" t="str">
        <f t="shared" si="81"/>
        <v/>
      </c>
      <c r="S43" s="95">
        <f t="shared" si="63"/>
        <v>1</v>
      </c>
      <c r="T43" s="95" t="str">
        <f t="shared" si="69"/>
        <v/>
      </c>
      <c r="U43" s="95" t="str">
        <f t="shared" si="106"/>
        <v/>
      </c>
      <c r="V43" s="95" t="str">
        <f t="shared" si="106"/>
        <v/>
      </c>
      <c r="W43" s="95" t="str">
        <f t="shared" si="106"/>
        <v/>
      </c>
      <c r="X43" s="95" t="str">
        <f t="shared" si="106"/>
        <v/>
      </c>
      <c r="Y43" s="95" t="str">
        <f t="shared" si="106"/>
        <v/>
      </c>
      <c r="Z43" s="95">
        <f t="shared" si="106"/>
        <v>1.0000000000000001E-5</v>
      </c>
      <c r="AA43" s="95" t="str">
        <f t="shared" si="101"/>
        <v/>
      </c>
      <c r="AB43" s="95" t="str">
        <f t="shared" si="89"/>
        <v/>
      </c>
      <c r="AC43" s="95" t="str">
        <f t="shared" si="90"/>
        <v/>
      </c>
      <c r="AD43" s="95" t="str">
        <f t="shared" si="91"/>
        <v/>
      </c>
      <c r="AE43" s="95" t="str">
        <f t="shared" si="92"/>
        <v/>
      </c>
      <c r="AF43" s="95" t="str">
        <f t="shared" si="93"/>
        <v/>
      </c>
      <c r="AG43" s="95">
        <f t="shared" si="94"/>
        <v>60</v>
      </c>
      <c r="AH43" s="95" t="str">
        <f t="shared" si="95"/>
        <v/>
      </c>
      <c r="AI43" s="95" t="str">
        <f t="shared" si="102"/>
        <v/>
      </c>
      <c r="AJ43" s="95" t="str">
        <f t="shared" si="103"/>
        <v/>
      </c>
      <c r="AK43" s="95" t="str">
        <f t="shared" si="104"/>
        <v/>
      </c>
      <c r="AL43" s="95" t="str">
        <f t="shared" si="107"/>
        <v/>
      </c>
      <c r="AM43" s="95" t="str">
        <f t="shared" si="105"/>
        <v/>
      </c>
      <c r="AN43" s="95">
        <f t="shared" si="75"/>
        <v>1E-4</v>
      </c>
      <c r="AO43" s="95" t="str">
        <f t="shared" si="76"/>
        <v/>
      </c>
      <c r="AP43" s="519">
        <f t="shared" si="38"/>
        <v>7</v>
      </c>
      <c r="AQ43" s="263">
        <f t="shared" si="39"/>
        <v>8</v>
      </c>
      <c r="AR43" s="263">
        <f t="shared" si="40"/>
        <v>11</v>
      </c>
      <c r="AS43" s="263">
        <f t="shared" si="41"/>
        <v>8</v>
      </c>
      <c r="AT43" s="263">
        <f t="shared" si="42"/>
        <v>6</v>
      </c>
      <c r="AU43" s="263">
        <f t="shared" si="43"/>
        <v>19</v>
      </c>
      <c r="AV43" s="520">
        <f t="shared" si="44"/>
        <v>11</v>
      </c>
      <c r="AW43" s="93">
        <f t="shared" si="45"/>
        <v>39</v>
      </c>
      <c r="AX43" s="93" t="str">
        <f t="shared" si="34"/>
        <v>WND</v>
      </c>
      <c r="AY43" s="93">
        <v>0</v>
      </c>
      <c r="AZ43" s="93">
        <v>0</v>
      </c>
      <c r="BA43" s="93">
        <v>0</v>
      </c>
      <c r="BB43" s="93">
        <v>0</v>
      </c>
      <c r="BC43" s="93">
        <v>0</v>
      </c>
      <c r="BD43" s="93">
        <v>0</v>
      </c>
      <c r="BE43" s="93">
        <v>0</v>
      </c>
      <c r="BF43" s="93">
        <v>0</v>
      </c>
      <c r="BG43" s="93">
        <v>0</v>
      </c>
      <c r="BH43" s="93">
        <v>0</v>
      </c>
      <c r="BI43" s="93">
        <v>0</v>
      </c>
      <c r="BJ43" s="93">
        <v>0</v>
      </c>
      <c r="BK43" s="93">
        <v>0</v>
      </c>
      <c r="BL43" s="93">
        <v>0</v>
      </c>
      <c r="BM43" s="93">
        <v>0</v>
      </c>
      <c r="BN43" s="93">
        <v>0</v>
      </c>
      <c r="BO43" s="93">
        <f t="shared" si="35"/>
        <v>4</v>
      </c>
      <c r="BP43" s="93">
        <f t="shared" si="46"/>
        <v>0</v>
      </c>
      <c r="BR43" s="93">
        <f t="shared" si="47"/>
        <v>0</v>
      </c>
      <c r="BS43" s="93">
        <f t="shared" si="48"/>
        <v>0</v>
      </c>
      <c r="BT43" s="93">
        <f t="shared" si="49"/>
        <v>0</v>
      </c>
      <c r="BU43" s="93">
        <f t="shared" si="50"/>
        <v>0</v>
      </c>
      <c r="BV43" s="93">
        <f t="shared" si="51"/>
        <v>0</v>
      </c>
      <c r="BW43" s="93">
        <f t="shared" si="52"/>
        <v>0</v>
      </c>
      <c r="BX43" s="93">
        <f t="shared" si="53"/>
        <v>0</v>
      </c>
      <c r="BY43" s="93">
        <f t="shared" si="54"/>
        <v>0</v>
      </c>
      <c r="BZ43" s="93">
        <f t="shared" si="55"/>
        <v>0</v>
      </c>
      <c r="CA43" s="93">
        <f t="shared" si="56"/>
        <v>0</v>
      </c>
      <c r="CB43" s="93">
        <f t="shared" si="57"/>
        <v>0</v>
      </c>
      <c r="CC43" s="93">
        <f t="shared" si="58"/>
        <v>0</v>
      </c>
      <c r="CD43" s="93">
        <f t="shared" si="59"/>
        <v>0</v>
      </c>
      <c r="CE43" s="93">
        <f t="shared" si="60"/>
        <v>0</v>
      </c>
      <c r="CF43" s="93">
        <f t="shared" si="61"/>
        <v>0</v>
      </c>
      <c r="CG43" s="93">
        <f t="shared" si="62"/>
        <v>0</v>
      </c>
      <c r="CH43" s="93" t="str">
        <f>IFERROR(HLOOKUP(CH$4,$BR43:$CG$46,$BO43,FALSE),"")</f>
        <v/>
      </c>
      <c r="CI43" s="93" t="str">
        <f>IFERROR(HLOOKUP(CI$4,$BR43:$CG$46,$BO43,FALSE),"")</f>
        <v/>
      </c>
      <c r="CJ43" s="93" t="str">
        <f>IFERROR(HLOOKUP(CJ$4,$BR43:$CG$46,$BO43,FALSE),"")</f>
        <v/>
      </c>
      <c r="CK43" s="93" t="str">
        <f>IFERROR(HLOOKUP(CK$4,$BR43:$CG$46,$BO43,FALSE),"")</f>
        <v/>
      </c>
      <c r="CL43" s="93" t="str">
        <f>IFERROR(HLOOKUP(CL$4,$BR43:$CG$46,$BO43,FALSE),"")</f>
        <v/>
      </c>
      <c r="CM43" s="93" t="str">
        <f>IFERROR(HLOOKUP(CM$4,$BR43:$CG$46,$BO43,FALSE),"")</f>
        <v/>
      </c>
      <c r="CN43" s="93" t="str">
        <f>IFERROR(HLOOKUP(CN$4,$BR43:$CG$46,$BO43,FALSE),"")</f>
        <v/>
      </c>
      <c r="CO43" s="93" t="str">
        <f>IFERROR(HLOOKUP(CO$4,$BR43:$CG$46,$BO43,FALSE),"")</f>
        <v/>
      </c>
      <c r="CP43" s="93" t="str">
        <f>IFERROR(HLOOKUP(CP$4,$BR43:$CG$46,$BO43,FALSE),"")</f>
        <v/>
      </c>
      <c r="CQ43" s="93" t="str">
        <f>IFERROR(HLOOKUP(CQ$4,$BR43:$CG$46,$BO43,FALSE),"")</f>
        <v/>
      </c>
    </row>
    <row r="44" spans="1:95">
      <c r="A44" s="93">
        <f t="shared" si="36"/>
        <v>40</v>
      </c>
      <c r="B44" s="390" t="s">
        <v>143</v>
      </c>
      <c r="C44" s="390" t="s">
        <v>1470</v>
      </c>
      <c r="D44" s="390" t="str">
        <f t="shared" si="6"/>
        <v>Waste</v>
      </c>
      <c r="I44" s="95">
        <v>1</v>
      </c>
      <c r="N44" s="95" t="str">
        <f t="shared" si="77"/>
        <v/>
      </c>
      <c r="O44" s="95" t="str">
        <f t="shared" si="78"/>
        <v/>
      </c>
      <c r="P44" s="95">
        <f t="shared" si="79"/>
        <v>1</v>
      </c>
      <c r="Q44" s="95" t="str">
        <f t="shared" si="80"/>
        <v/>
      </c>
      <c r="R44" s="95" t="str">
        <f t="shared" si="81"/>
        <v/>
      </c>
      <c r="S44" s="95" t="str">
        <f t="shared" si="63"/>
        <v/>
      </c>
      <c r="T44" s="95" t="str">
        <f t="shared" si="69"/>
        <v/>
      </c>
      <c r="U44" s="95" t="str">
        <f t="shared" si="106"/>
        <v/>
      </c>
      <c r="V44" s="95" t="str">
        <f t="shared" si="106"/>
        <v/>
      </c>
      <c r="W44" s="95">
        <f t="shared" si="106"/>
        <v>1.0000000000000001E-5</v>
      </c>
      <c r="X44" s="95" t="str">
        <f t="shared" si="106"/>
        <v/>
      </c>
      <c r="Y44" s="95" t="str">
        <f t="shared" si="106"/>
        <v/>
      </c>
      <c r="Z44" s="95" t="str">
        <f t="shared" si="106"/>
        <v/>
      </c>
      <c r="AA44" s="95" t="str">
        <f t="shared" si="101"/>
        <v/>
      </c>
      <c r="AB44" s="95" t="str">
        <f t="shared" si="89"/>
        <v/>
      </c>
      <c r="AC44" s="95" t="str">
        <f t="shared" si="90"/>
        <v/>
      </c>
      <c r="AD44" s="95">
        <f t="shared" si="91"/>
        <v>60</v>
      </c>
      <c r="AE44" s="95" t="str">
        <f t="shared" si="92"/>
        <v/>
      </c>
      <c r="AF44" s="95" t="str">
        <f t="shared" si="93"/>
        <v/>
      </c>
      <c r="AG44" s="95" t="str">
        <f t="shared" si="94"/>
        <v/>
      </c>
      <c r="AH44" s="95" t="str">
        <f t="shared" si="95"/>
        <v/>
      </c>
      <c r="AI44" s="95" t="str">
        <f t="shared" si="102"/>
        <v/>
      </c>
      <c r="AJ44" s="95" t="str">
        <f t="shared" si="103"/>
        <v/>
      </c>
      <c r="AK44" s="95">
        <f t="shared" si="104"/>
        <v>1E-4</v>
      </c>
      <c r="AL44" s="95" t="str">
        <f t="shared" si="107"/>
        <v/>
      </c>
      <c r="AM44" s="95" t="str">
        <f t="shared" si="105"/>
        <v/>
      </c>
      <c r="AN44" s="95" t="str">
        <f t="shared" si="75"/>
        <v/>
      </c>
      <c r="AO44" s="95" t="str">
        <f t="shared" si="76"/>
        <v/>
      </c>
      <c r="AP44" s="519">
        <f t="shared" si="38"/>
        <v>7</v>
      </c>
      <c r="AQ44" s="263">
        <f t="shared" si="39"/>
        <v>8</v>
      </c>
      <c r="AR44" s="263">
        <f t="shared" si="40"/>
        <v>12</v>
      </c>
      <c r="AS44" s="263">
        <f t="shared" si="41"/>
        <v>8</v>
      </c>
      <c r="AT44" s="263">
        <f t="shared" si="42"/>
        <v>6</v>
      </c>
      <c r="AU44" s="263">
        <f t="shared" si="43"/>
        <v>19</v>
      </c>
      <c r="AV44" s="520">
        <f t="shared" si="44"/>
        <v>11</v>
      </c>
      <c r="AW44" s="93">
        <f t="shared" si="45"/>
        <v>40</v>
      </c>
      <c r="AX44" s="93" t="str">
        <f t="shared" si="34"/>
        <v>WAS</v>
      </c>
      <c r="AY44" s="93">
        <f>91700/1000</f>
        <v>91.7</v>
      </c>
      <c r="AZ44" s="93">
        <f>30/1000</f>
        <v>0.03</v>
      </c>
      <c r="BA44" s="93">
        <f>4/1000</f>
        <v>4.0000000000000001E-3</v>
      </c>
      <c r="BB44" s="93">
        <v>1.5290999999999999</v>
      </c>
      <c r="BC44" s="93">
        <v>0.2</v>
      </c>
      <c r="BD44" s="93">
        <v>0.01</v>
      </c>
      <c r="BE44" s="93">
        <v>5.0000000000000001E-3</v>
      </c>
      <c r="BF44" s="93">
        <v>0</v>
      </c>
      <c r="BG44" s="93">
        <v>0</v>
      </c>
      <c r="BH44" s="93">
        <v>0</v>
      </c>
      <c r="BI44" s="93">
        <v>0</v>
      </c>
      <c r="BJ44" s="93">
        <v>0</v>
      </c>
      <c r="BK44" s="93">
        <v>0</v>
      </c>
      <c r="BL44" s="93">
        <v>0</v>
      </c>
      <c r="BM44" s="93">
        <v>0</v>
      </c>
      <c r="BN44" s="93">
        <v>0</v>
      </c>
      <c r="BO44" s="93">
        <f t="shared" si="35"/>
        <v>3</v>
      </c>
      <c r="BP44" s="93">
        <f t="shared" si="46"/>
        <v>7</v>
      </c>
      <c r="BR44" s="93">
        <f t="shared" si="47"/>
        <v>1</v>
      </c>
      <c r="BS44" s="93">
        <f t="shared" si="48"/>
        <v>2</v>
      </c>
      <c r="BT44" s="93">
        <f t="shared" si="49"/>
        <v>3</v>
      </c>
      <c r="BU44" s="93">
        <f t="shared" si="50"/>
        <v>4</v>
      </c>
      <c r="BV44" s="93">
        <f t="shared" si="51"/>
        <v>5</v>
      </c>
      <c r="BW44" s="93">
        <f t="shared" si="52"/>
        <v>6</v>
      </c>
      <c r="BX44" s="93">
        <f t="shared" si="53"/>
        <v>7</v>
      </c>
      <c r="BY44" s="93">
        <f t="shared" si="54"/>
        <v>7</v>
      </c>
      <c r="BZ44" s="93">
        <f t="shared" si="55"/>
        <v>7</v>
      </c>
      <c r="CA44" s="93">
        <f t="shared" si="56"/>
        <v>7</v>
      </c>
      <c r="CB44" s="93">
        <f t="shared" si="57"/>
        <v>7</v>
      </c>
      <c r="CC44" s="93">
        <f t="shared" si="58"/>
        <v>7</v>
      </c>
      <c r="CD44" s="93">
        <f t="shared" si="59"/>
        <v>7</v>
      </c>
      <c r="CE44" s="93">
        <f t="shared" si="60"/>
        <v>7</v>
      </c>
      <c r="CF44" s="93">
        <f t="shared" si="61"/>
        <v>7</v>
      </c>
      <c r="CG44" s="93">
        <f t="shared" si="62"/>
        <v>7</v>
      </c>
      <c r="CH44" s="93">
        <f>IFERROR(HLOOKUP(CH$4,$BR44:$CG$46,$BO44,FALSE),"")</f>
        <v>1</v>
      </c>
      <c r="CI44" s="93">
        <f>IFERROR(HLOOKUP(CI$4,$BR44:$CG$46,$BO44,FALSE),"")</f>
        <v>2</v>
      </c>
      <c r="CJ44" s="93">
        <f>IFERROR(HLOOKUP(CJ$4,$BR44:$CG$46,$BO44,FALSE),"")</f>
        <v>3</v>
      </c>
      <c r="CK44" s="93">
        <f>IFERROR(HLOOKUP(CK$4,$BR44:$CG$46,$BO44,FALSE),"")</f>
        <v>4</v>
      </c>
      <c r="CL44" s="93">
        <f>IFERROR(HLOOKUP(CL$4,$BR44:$CG$46,$BO44,FALSE),"")</f>
        <v>5</v>
      </c>
      <c r="CM44" s="93">
        <f>IFERROR(HLOOKUP(CM$4,$BR44:$CG$46,$BO44,FALSE),"")</f>
        <v>6</v>
      </c>
      <c r="CN44" s="93">
        <f>IFERROR(HLOOKUP(CN$4,$BR44:$CG$46,$BO44,FALSE),"")</f>
        <v>7</v>
      </c>
      <c r="CO44" s="93" t="str">
        <f>IFERROR(HLOOKUP(CO$4,$BR44:$CG$46,$BO44,FALSE),"")</f>
        <v/>
      </c>
      <c r="CP44" s="93" t="str">
        <f>IFERROR(HLOOKUP(CP$4,$BR44:$CG$46,$BO44,FALSE),"")</f>
        <v/>
      </c>
      <c r="CQ44" s="93" t="str">
        <f>IFERROR(HLOOKUP(CQ$4,$BR44:$CG$46,$BO44,FALSE),"")</f>
        <v/>
      </c>
    </row>
    <row r="45" spans="1:95">
      <c r="A45" s="93">
        <f t="shared" si="36"/>
        <v>41</v>
      </c>
      <c r="B45" s="93" t="s">
        <v>920</v>
      </c>
      <c r="D45" s="93" t="str">
        <f t="shared" si="6"/>
        <v>Total Fuels used</v>
      </c>
      <c r="G45" s="105">
        <f t="shared" ref="G45:M45" si="108">COUNT(G5:G44)</f>
        <v>7</v>
      </c>
      <c r="H45" s="105">
        <f t="shared" si="108"/>
        <v>8</v>
      </c>
      <c r="I45" s="105">
        <f t="shared" si="108"/>
        <v>12</v>
      </c>
      <c r="J45" s="105">
        <f t="shared" si="108"/>
        <v>8</v>
      </c>
      <c r="K45" s="105">
        <f t="shared" si="108"/>
        <v>6</v>
      </c>
      <c r="L45" s="105">
        <f t="shared" si="108"/>
        <v>19</v>
      </c>
      <c r="M45" s="105">
        <f t="shared" si="108"/>
        <v>11</v>
      </c>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521">
        <f t="shared" ref="AP45:AU45" si="109">AQ45+1</f>
        <v>8</v>
      </c>
      <c r="AQ45" s="105">
        <f t="shared" si="109"/>
        <v>7</v>
      </c>
      <c r="AR45" s="105">
        <f t="shared" si="109"/>
        <v>6</v>
      </c>
      <c r="AS45" s="105">
        <f t="shared" si="109"/>
        <v>5</v>
      </c>
      <c r="AT45" s="105">
        <f t="shared" si="109"/>
        <v>4</v>
      </c>
      <c r="AU45" s="105">
        <f t="shared" si="109"/>
        <v>3</v>
      </c>
      <c r="AV45" s="105">
        <v>2</v>
      </c>
      <c r="BO45" s="93">
        <f t="shared" si="35"/>
        <v>2</v>
      </c>
    </row>
    <row r="46" spans="1:95">
      <c r="BO46" s="93">
        <v>1</v>
      </c>
      <c r="BR46" s="93">
        <f t="shared" ref="BR46:CG46" si="110">BR4</f>
        <v>1</v>
      </c>
      <c r="BS46" s="93">
        <f t="shared" si="110"/>
        <v>2</v>
      </c>
      <c r="BT46" s="93">
        <f t="shared" si="110"/>
        <v>3</v>
      </c>
      <c r="BU46" s="93">
        <f t="shared" si="110"/>
        <v>4</v>
      </c>
      <c r="BV46" s="93">
        <f t="shared" si="110"/>
        <v>5</v>
      </c>
      <c r="BW46" s="93">
        <f t="shared" si="110"/>
        <v>6</v>
      </c>
      <c r="BX46" s="93">
        <f t="shared" si="110"/>
        <v>7</v>
      </c>
      <c r="BY46" s="93">
        <f t="shared" si="110"/>
        <v>8</v>
      </c>
      <c r="BZ46" s="93">
        <f t="shared" si="110"/>
        <v>9</v>
      </c>
      <c r="CA46" s="93">
        <f t="shared" si="110"/>
        <v>10</v>
      </c>
      <c r="CB46" s="93">
        <f t="shared" si="110"/>
        <v>11</v>
      </c>
      <c r="CC46" s="93">
        <f t="shared" si="110"/>
        <v>12</v>
      </c>
      <c r="CD46" s="93">
        <f t="shared" si="110"/>
        <v>13</v>
      </c>
      <c r="CE46" s="93">
        <f t="shared" si="110"/>
        <v>14</v>
      </c>
      <c r="CF46" s="93">
        <f t="shared" si="110"/>
        <v>15</v>
      </c>
      <c r="CG46" s="93">
        <f t="shared" si="110"/>
        <v>16</v>
      </c>
    </row>
    <row r="47" spans="1:95">
      <c r="D47" s="95"/>
      <c r="E47" s="95"/>
      <c r="F47" s="95"/>
    </row>
    <row r="48" spans="1:95">
      <c r="C48" s="95" t="s">
        <v>1200</v>
      </c>
      <c r="CH48" s="93">
        <f>HLOOKUP(CH$4,$BR34:$CG$46,$BO34,FALSE)</f>
        <v>1</v>
      </c>
    </row>
    <row r="49" spans="1:13">
      <c r="C49" s="95">
        <f t="shared" ref="C49:C59" si="111">COUNTIF($C$5:$C$44,C5)</f>
        <v>1</v>
      </c>
    </row>
    <row r="50" spans="1:13">
      <c r="C50" s="95">
        <f t="shared" si="111"/>
        <v>1</v>
      </c>
    </row>
    <row r="51" spans="1:13">
      <c r="C51" s="95">
        <f t="shared" si="111"/>
        <v>1</v>
      </c>
    </row>
    <row r="52" spans="1:13">
      <c r="C52" s="95">
        <f t="shared" si="111"/>
        <v>1</v>
      </c>
    </row>
    <row r="53" spans="1:13">
      <c r="C53" s="95">
        <f t="shared" si="111"/>
        <v>1</v>
      </c>
    </row>
    <row r="54" spans="1:13">
      <c r="C54" s="95">
        <f t="shared" si="111"/>
        <v>1</v>
      </c>
    </row>
    <row r="55" spans="1:13">
      <c r="C55" s="95">
        <f t="shared" si="111"/>
        <v>1</v>
      </c>
    </row>
    <row r="56" spans="1:13">
      <c r="C56" s="95">
        <f t="shared" si="111"/>
        <v>1</v>
      </c>
    </row>
    <row r="57" spans="1:13">
      <c r="C57" s="95">
        <f t="shared" si="111"/>
        <v>1</v>
      </c>
    </row>
    <row r="58" spans="1:13">
      <c r="C58" s="95">
        <f t="shared" si="111"/>
        <v>1</v>
      </c>
    </row>
    <row r="59" spans="1:13">
      <c r="C59" s="95">
        <f t="shared" si="111"/>
        <v>1</v>
      </c>
      <c r="F59" s="839" t="s">
        <v>1412</v>
      </c>
    </row>
    <row r="60" spans="1:13">
      <c r="A60" s="93">
        <v>1</v>
      </c>
      <c r="C60" s="95">
        <f>COUNTIF($C$5:$C$44,#REF!)</f>
        <v>0</v>
      </c>
      <c r="F60" s="840" t="str">
        <f>INDEX(C5:C44,MATCH(1,G5:G44,0))</f>
        <v>COA</v>
      </c>
      <c r="G60" s="95" t="str">
        <f>IFERROR(VLOOKUP(VLOOKUP($A60,AP$5:$AW$44,AP$45,FALSE),$A$5:$C$44,3,FALSE),"")</f>
        <v>COA</v>
      </c>
      <c r="H60" s="95" t="str">
        <f>IFERROR(VLOOKUP(VLOOKUP($A60,AQ$5:$AW$44,AQ$45,FALSE),$A$5:$C$44,3,FALSE),"")</f>
        <v>COA</v>
      </c>
      <c r="I60" s="95" t="str">
        <f>IFERROR(VLOOKUP(VLOOKUP($A60,AR$5:$AW$44,AR$45,FALSE),$A$5:$C$44,3,FALSE),"")</f>
        <v>BIB</v>
      </c>
      <c r="J60" s="95" t="str">
        <f>IFERROR(VLOOKUP(VLOOKUP($A60,AS$5:$AW$44,AS$45,FALSE),$A$5:$C$44,3,FALSE),"")</f>
        <v>ELC</v>
      </c>
      <c r="K60" s="95" t="str">
        <f>IFERROR(VLOOKUP(VLOOKUP($A60,AT$5:$AW$44,AT$45,FALSE),$A$5:$C$44,3,FALSE),"")</f>
        <v>BIW</v>
      </c>
      <c r="L60" s="95" t="str">
        <f>IFERROR(VLOOKUP(VLOOKUP($A60,AU$5:$AW$44,AU$45,FALSE),$A$5:$C$44,3,FALSE),"")</f>
        <v>BIG</v>
      </c>
      <c r="M60" s="95" t="str">
        <f>IFERROR(VLOOKUP(VLOOKUP($A60,AV$5:$AW$44,AV$45,FALSE),$A$5:$C$44,3,FALSE),"")</f>
        <v>BIE</v>
      </c>
    </row>
    <row r="61" spans="1:13">
      <c r="A61" s="93">
        <v>2</v>
      </c>
      <c r="C61" s="95">
        <f>COUNTIF($C$5:$C$44,#REF!)</f>
        <v>0</v>
      </c>
      <c r="F61" s="840" t="str">
        <f t="shared" ref="F61:F72" ca="1" si="112">IFERROR(INDEX(OFFSET(C5:C44,MATCH(F60,C5:C44,0),0),MATCH(1,OFFSET(G5:G44,MATCH(F60,C5:C44,0),0),0)),"")</f>
        <v>ELC</v>
      </c>
      <c r="G61" s="95" t="str">
        <f>IFERROR(VLOOKUP(VLOOKUP($A61,AP$5:$AW$44,AP$45,FALSE),$A$5:$C$44,3,FALSE),"")</f>
        <v>ELC</v>
      </c>
      <c r="H61" s="95" t="str">
        <f>IFERROR(VLOOKUP(VLOOKUP($A61,AQ$5:$AW$44,AQ$45,FALSE),$A$5:$C$44,3,FALSE),"")</f>
        <v>ELC</v>
      </c>
      <c r="I61" s="95" t="str">
        <f>IFERROR(VLOOKUP(VLOOKUP($A61,AR$5:$AW$44,AR$45,FALSE),$A$5:$C$44,3,FALSE),"")</f>
        <v>BIW</v>
      </c>
      <c r="J61" s="95" t="str">
        <f>IFERROR(VLOOKUP(VLOOKUP($A61,AS$5:$AW$44,AS$45,FALSE),$A$5:$C$44,3,FALSE),"")</f>
        <v>GAS</v>
      </c>
      <c r="K61" s="95" t="str">
        <f>IFERROR(VLOOKUP(VLOOKUP($A61,AT$5:$AW$44,AT$45,FALSE),$A$5:$C$44,3,FALSE),"")</f>
        <v>COA</v>
      </c>
      <c r="L61" s="95" t="str">
        <f>IFERROR(VLOOKUP(VLOOKUP($A61,AU$5:$AW$44,AU$45,FALSE),$A$5:$C$44,3,FALSE),"")</f>
        <v>BIB</v>
      </c>
      <c r="M61" s="95" t="str">
        <f>IFERROR(VLOOKUP(VLOOKUP($A61,AV$5:$AW$44,AV$45,FALSE),$A$5:$C$44,3,FALSE),"")</f>
        <v>BID</v>
      </c>
    </row>
    <row r="62" spans="1:13">
      <c r="A62" s="93">
        <v>3</v>
      </c>
      <c r="C62" s="95">
        <f>COUNTIF($C$5:$C$44,#REF!)</f>
        <v>0</v>
      </c>
      <c r="F62" s="840" t="str">
        <f t="shared" ca="1" si="112"/>
        <v>ODS</v>
      </c>
      <c r="G62" s="95" t="str">
        <f>IFERROR(VLOOKUP(VLOOKUP($A62,AP$5:$AW$44,AP$45,FALSE),$A$5:$C$44,3,FALSE),"")</f>
        <v>ODS</v>
      </c>
      <c r="H62" s="95" t="str">
        <f>IFERROR(VLOOKUP(VLOOKUP($A62,AQ$5:$AW$44,AQ$45,FALSE),$A$5:$C$44,3,FALSE),"")</f>
        <v>GAS</v>
      </c>
      <c r="I62" s="95" t="str">
        <f>IFERROR(VLOOKUP(VLOOKUP($A62,AR$5:$AW$44,AR$45,FALSE),$A$5:$C$44,3,FALSE),"")</f>
        <v>COA</v>
      </c>
      <c r="J62" s="95" t="str">
        <f>IFERROR(VLOOKUP(VLOOKUP($A62,AS$5:$AW$44,AS$45,FALSE),$A$5:$C$44,3,FALSE),"")</f>
        <v>HGN</v>
      </c>
      <c r="K62" s="95" t="str">
        <f>IFERROR(VLOOKUP(VLOOKUP($A62,AT$5:$AW$44,AT$45,FALSE),$A$5:$C$44,3,FALSE),"")</f>
        <v>ELC</v>
      </c>
      <c r="L62" s="95" t="str">
        <f>IFERROR(VLOOKUP(VLOOKUP($A62,AU$5:$AW$44,AU$45,FALSE),$A$5:$C$44,3,FALSE),"")</f>
        <v>BIO</v>
      </c>
      <c r="M62" s="95" t="str">
        <f>IFERROR(VLOOKUP(VLOOKUP($A62,AV$5:$AW$44,AV$45,FALSE),$A$5:$C$44,3,FALSE),"")</f>
        <v>CLE</v>
      </c>
    </row>
    <row r="63" spans="1:13">
      <c r="A63" s="93">
        <v>4</v>
      </c>
      <c r="C63" s="95">
        <f>COUNTIF($C$5:$C$44,C16)</f>
        <v>1</v>
      </c>
      <c r="F63" s="840" t="str">
        <f t="shared" ca="1" si="112"/>
        <v>OGS</v>
      </c>
      <c r="G63" s="95" t="str">
        <f>IFERROR(VLOOKUP(VLOOKUP($A63,AP$5:$AW$44,AP$45,FALSE),$A$5:$C$44,3,FALSE),"")</f>
        <v>OGS</v>
      </c>
      <c r="H63" s="95" t="str">
        <f>IFERROR(VLOOKUP(VLOOKUP($A63,AQ$5:$AW$44,AQ$45,FALSE),$A$5:$C$44,3,FALSE),"")</f>
        <v>ODS</v>
      </c>
      <c r="I63" s="95" t="str">
        <f>IFERROR(VLOOKUP(VLOOKUP($A63,AR$5:$AW$44,AR$45,FALSE),$A$5:$C$44,3,FALSE),"")</f>
        <v>COK</v>
      </c>
      <c r="J63" s="95" t="str">
        <f>IFERROR(VLOOKUP(VLOOKUP($A63,AS$5:$AW$44,AS$45,FALSE),$A$5:$C$44,3,FALSE),"")</f>
        <v>OAG</v>
      </c>
      <c r="K63" s="95" t="str">
        <f>IFERROR(VLOOKUP(VLOOKUP($A63,AT$5:$AW$44,AT$45,FALSE),$A$5:$C$44,3,FALSE),"")</f>
        <v>GAS</v>
      </c>
      <c r="L63" s="95" t="str">
        <f>IFERROR(VLOOKUP(VLOOKUP($A63,AU$5:$AW$44,AU$45,FALSE),$A$5:$C$44,3,FALSE),"")</f>
        <v>BIW</v>
      </c>
      <c r="M63" s="95" t="str">
        <f>IFERROR(VLOOKUP(VLOOKUP($A63,AV$5:$AW$44,AV$45,FALSE),$A$5:$C$44,3,FALSE),"")</f>
        <v>ELC</v>
      </c>
    </row>
    <row r="64" spans="1:13">
      <c r="A64" s="93">
        <v>5</v>
      </c>
      <c r="C64" s="95">
        <f>COUNTIF($C$5:$C$44,C17)</f>
        <v>1</v>
      </c>
      <c r="F64" s="840" t="str">
        <f t="shared" ca="1" si="112"/>
        <v>OHF</v>
      </c>
      <c r="G64" s="95" t="str">
        <f>IFERROR(VLOOKUP(VLOOKUP($A64,AP$5:$AW$44,AP$45,FALSE),$A$5:$C$44,3,FALSE),"")</f>
        <v>OHF</v>
      </c>
      <c r="H64" s="95" t="str">
        <f>IFERROR(VLOOKUP(VLOOKUP($A64,AQ$5:$AW$44,AQ$45,FALSE),$A$5:$C$44,3,FALSE),"")</f>
        <v>OGS</v>
      </c>
      <c r="I64" s="95" t="str">
        <f>IFERROR(VLOOKUP(VLOOKUP($A64,AR$5:$AW$44,AR$45,FALSE),$A$5:$C$44,3,FALSE),"")</f>
        <v>CLE</v>
      </c>
      <c r="J64" s="95" t="str">
        <f>IFERROR(VLOOKUP(VLOOKUP($A64,AS$5:$AW$44,AS$45,FALSE),$A$5:$C$44,3,FALSE),"")</f>
        <v>ODS</v>
      </c>
      <c r="K64" s="95" t="str">
        <f>IFERROR(VLOOKUP(VLOOKUP($A64,AT$5:$AW$44,AT$45,FALSE),$A$5:$C$44,3,FALSE),"")</f>
        <v>OKE</v>
      </c>
      <c r="L64" s="95" t="str">
        <f>IFERROR(VLOOKUP(VLOOKUP($A64,AU$5:$AW$44,AU$45,FALSE),$A$5:$C$44,3,FALSE),"")</f>
        <v>CLD</v>
      </c>
      <c r="M64" s="95" t="str">
        <f>IFERROR(VLOOKUP(VLOOKUP($A64,AV$5:$AW$44,AV$45,FALSE),$A$5:$C$44,3,FALSE),"")</f>
        <v>GAS</v>
      </c>
    </row>
    <row r="65" spans="1:13">
      <c r="A65" s="93">
        <v>6</v>
      </c>
      <c r="C65" s="95">
        <f>COUNTIF($C$5:$C$44,#REF!)</f>
        <v>0</v>
      </c>
      <c r="F65" s="840" t="str">
        <f t="shared" ca="1" si="112"/>
        <v>OKE</v>
      </c>
      <c r="G65" s="95" t="str">
        <f>IFERROR(VLOOKUP(VLOOKUP($A65,AP$5:$AW$44,AP$45,FALSE),$A$5:$C$44,3,FALSE),"")</f>
        <v>OKE</v>
      </c>
      <c r="H65" s="95" t="str">
        <f>IFERROR(VLOOKUP(VLOOKUP($A65,AQ$5:$AW$44,AQ$45,FALSE),$A$5:$C$44,3,FALSE),"")</f>
        <v>OHF</v>
      </c>
      <c r="I65" s="95" t="str">
        <f>IFERROR(VLOOKUP(VLOOKUP($A65,AR$5:$AW$44,AR$45,FALSE),$A$5:$C$44,3,FALSE),"")</f>
        <v>ELC</v>
      </c>
      <c r="J65" s="95" t="str">
        <f>IFERROR(VLOOKUP(VLOOKUP($A65,AS$5:$AW$44,AS$45,FALSE),$A$5:$C$44,3,FALSE),"")</f>
        <v>OGS</v>
      </c>
      <c r="K65" s="95" t="str">
        <f>IFERROR(VLOOKUP(VLOOKUP($A65,AT$5:$AW$44,AT$45,FALSE),$A$5:$C$44,3,FALSE),"")</f>
        <v>OLP</v>
      </c>
      <c r="L65" s="95" t="str">
        <f>IFERROR(VLOOKUP(VLOOKUP($A65,AU$5:$AW$44,AU$45,FALSE),$A$5:$C$44,3,FALSE),"")</f>
        <v>CLE</v>
      </c>
      <c r="M65" s="95" t="str">
        <f>IFERROR(VLOOKUP(VLOOKUP($A65,AV$5:$AW$44,AV$45,FALSE),$A$5:$C$44,3,FALSE),"")</f>
        <v>GIC</v>
      </c>
    </row>
    <row r="66" spans="1:13">
      <c r="A66" s="93">
        <v>7</v>
      </c>
      <c r="C66" s="95">
        <f>COUNTIF($C$5:$C$44,#REF!)</f>
        <v>0</v>
      </c>
      <c r="F66" s="840" t="str">
        <f t="shared" ca="1" si="112"/>
        <v>OLP</v>
      </c>
      <c r="G66" s="95" t="str">
        <f>IFERROR(VLOOKUP(VLOOKUP($A66,AP$5:$AW$44,AP$45,FALSE),$A$5:$C$44,3,FALSE),"")</f>
        <v>OLP</v>
      </c>
      <c r="H66" s="95" t="str">
        <f>IFERROR(VLOOKUP(VLOOKUP($A66,AQ$5:$AW$44,AQ$45,FALSE),$A$5:$C$44,3,FALSE),"")</f>
        <v>OKE</v>
      </c>
      <c r="I66" s="95" t="str">
        <f>IFERROR(VLOOKUP(VLOOKUP($A66,AR$5:$AW$44,AR$45,FALSE),$A$5:$C$44,3,FALSE),"")</f>
        <v>GAS</v>
      </c>
      <c r="J66" s="95" t="str">
        <f>IFERROR(VLOOKUP(VLOOKUP($A66,AS$5:$AW$44,AS$45,FALSE),$A$5:$C$44,3,FALSE),"")</f>
        <v>OHF</v>
      </c>
      <c r="K66" s="95" t="str">
        <f>IFERROR(VLOOKUP(VLOOKUP($A66,AT$5:$AW$44,AT$45,FALSE),$A$5:$C$44,3,FALSE),"")</f>
        <v/>
      </c>
      <c r="L66" s="95" t="str">
        <f>IFERROR(VLOOKUP(VLOOKUP($A66,AU$5:$AW$44,AU$45,FALSE),$A$5:$C$44,3,FALSE),"")</f>
        <v>CRB</v>
      </c>
      <c r="M66" s="95" t="str">
        <f>IFERROR(VLOOKUP(VLOOKUP($A66,AV$5:$AW$44,AV$45,FALSE),$A$5:$C$44,3,FALSE),"")</f>
        <v>HEE</v>
      </c>
    </row>
    <row r="67" spans="1:13">
      <c r="A67" s="93">
        <v>8</v>
      </c>
      <c r="C67" s="95">
        <f>COUNTIF($C$5:$C$44,#REF!)</f>
        <v>0</v>
      </c>
      <c r="F67" s="840" t="str">
        <f t="shared" ca="1" si="112"/>
        <v/>
      </c>
      <c r="G67" s="95" t="str">
        <f>IFERROR(VLOOKUP(VLOOKUP($A67,AP$5:$AW$44,AP$45,FALSE),$A$5:$C$44,3,FALSE),"")</f>
        <v/>
      </c>
      <c r="H67" s="95" t="str">
        <f>IFERROR(VLOOKUP(VLOOKUP($A67,AQ$5:$AW$44,AQ$45,FALSE),$A$5:$C$44,3,FALSE),"")</f>
        <v>OLP</v>
      </c>
      <c r="I67" s="95" t="str">
        <f>IFERROR(VLOOKUP(VLOOKUP($A67,AR$5:$AW$44,AR$45,FALSE),$A$5:$C$44,3,FALSE),"")</f>
        <v>ODS</v>
      </c>
      <c r="J67" s="95" t="str">
        <f>IFERROR(VLOOKUP(VLOOKUP($A67,AS$5:$AW$44,AS$45,FALSE),$A$5:$C$44,3,FALSE),"")</f>
        <v>OKE</v>
      </c>
      <c r="K67" s="95" t="str">
        <f>IFERROR(VLOOKUP(VLOOKUP($A67,AT$5:$AW$44,AT$45,FALSE),$A$5:$C$44,3,FALSE),"")</f>
        <v/>
      </c>
      <c r="L67" s="95" t="str">
        <f>IFERROR(VLOOKUP(VLOOKUP($A67,AU$5:$AW$44,AU$45,FALSE),$A$5:$C$44,3,FALSE),"")</f>
        <v>GAS</v>
      </c>
      <c r="M67" s="95" t="str">
        <f>IFERROR(VLOOKUP(VLOOKUP($A67,AV$5:$AW$44,AV$45,FALSE),$A$5:$C$44,3,FALSE),"")</f>
        <v>HEN</v>
      </c>
    </row>
    <row r="68" spans="1:13">
      <c r="A68" s="93">
        <v>9</v>
      </c>
      <c r="C68" s="95">
        <f>COUNTIF($C$5:$C$44,#REF!)</f>
        <v>0</v>
      </c>
      <c r="F68" s="840" t="str">
        <f t="shared" ca="1" si="112"/>
        <v/>
      </c>
      <c r="G68" s="95" t="str">
        <f>IFERROR(VLOOKUP(VLOOKUP($A68,AP$5:$AW$44,AP$45,FALSE),$A$5:$C$44,3,FALSE),"")</f>
        <v/>
      </c>
      <c r="H68" s="95" t="str">
        <f>IFERROR(VLOOKUP(VLOOKUP($A68,AQ$5:$AW$44,AQ$45,FALSE),$A$5:$C$44,3,FALSE),"")</f>
        <v/>
      </c>
      <c r="I68" s="95" t="str">
        <f>IFERROR(VLOOKUP(VLOOKUP($A68,AR$5:$AW$44,AR$45,FALSE),$A$5:$C$44,3,FALSE),"")</f>
        <v>OGS</v>
      </c>
      <c r="J68" s="95" t="str">
        <f>IFERROR(VLOOKUP(VLOOKUP($A68,AS$5:$AW$44,AS$45,FALSE),$A$5:$C$44,3,FALSE),"")</f>
        <v/>
      </c>
      <c r="K68" s="95" t="str">
        <f>IFERROR(VLOOKUP(VLOOKUP($A68,AT$5:$AW$44,AT$45,FALSE),$A$5:$C$44,3,FALSE),"")</f>
        <v/>
      </c>
      <c r="L68" s="95" t="str">
        <f>IFERROR(VLOOKUP(VLOOKUP($A68,AU$5:$AW$44,AU$45,FALSE),$A$5:$C$44,3,FALSE),"")</f>
        <v>GRS</v>
      </c>
      <c r="M68" s="95" t="str">
        <f>IFERROR(VLOOKUP(VLOOKUP($A68,AV$5:$AW$44,AV$45,FALSE),$A$5:$C$44,3,FALSE),"")</f>
        <v>HGN</v>
      </c>
    </row>
    <row r="69" spans="1:13">
      <c r="A69" s="93">
        <v>10</v>
      </c>
      <c r="C69" s="95">
        <f>COUNTIF($C$5:$C$44,C18)</f>
        <v>1</v>
      </c>
      <c r="F69" s="840" t="str">
        <f t="shared" ca="1" si="112"/>
        <v/>
      </c>
      <c r="G69" s="95" t="str">
        <f>IFERROR(VLOOKUP(VLOOKUP($A69,AP$5:$AW$44,AP$45,FALSE),$A$5:$C$44,3,FALSE),"")</f>
        <v/>
      </c>
      <c r="H69" s="95" t="str">
        <f>IFERROR(VLOOKUP(VLOOKUP($A69,AQ$5:$AW$44,AQ$45,FALSE),$A$5:$C$44,3,FALSE),"")</f>
        <v/>
      </c>
      <c r="I69" s="95" t="str">
        <f>IFERROR(VLOOKUP(VLOOKUP($A69,AR$5:$AW$44,AR$45,FALSE),$A$5:$C$44,3,FALSE),"")</f>
        <v>OHF</v>
      </c>
      <c r="J69" s="95" t="str">
        <f>IFERROR(VLOOKUP(VLOOKUP($A69,AS$5:$AW$44,AS$45,FALSE),$A$5:$C$44,3,FALSE),"")</f>
        <v/>
      </c>
      <c r="K69" s="95" t="str">
        <f>IFERROR(VLOOKUP(VLOOKUP($A69,AT$5:$AW$44,AT$45,FALSE),$A$5:$C$44,3,FALSE),"")</f>
        <v/>
      </c>
      <c r="L69" s="95" t="str">
        <f>IFERROR(VLOOKUP(VLOOKUP($A69,AU$5:$AW$44,AU$45,FALSE),$A$5:$C$44,3,FALSE),"")</f>
        <v>GRN</v>
      </c>
      <c r="M69" s="95" t="str">
        <f>IFERROR(VLOOKUP(VLOOKUP($A69,AV$5:$AW$44,AV$45,FALSE),$A$5:$C$44,3,FALSE),"")</f>
        <v>OCR</v>
      </c>
    </row>
    <row r="70" spans="1:13">
      <c r="A70" s="93">
        <v>11</v>
      </c>
      <c r="C70" s="95">
        <f>COUNTIF($C$5:$C$44,C19)</f>
        <v>1</v>
      </c>
      <c r="F70" s="840" t="str">
        <f t="shared" ca="1" si="112"/>
        <v/>
      </c>
      <c r="G70" s="95" t="str">
        <f>IFERROR(VLOOKUP(VLOOKUP($A70,AP$5:$AW$44,AP$45,FALSE),$A$5:$C$44,3,FALSE),"")</f>
        <v/>
      </c>
      <c r="H70" s="95" t="str">
        <f>IFERROR(VLOOKUP(VLOOKUP($A70,AQ$5:$AW$44,AQ$45,FALSE),$A$5:$C$44,3,FALSE),"")</f>
        <v/>
      </c>
      <c r="I70" s="95" t="str">
        <f>IFERROR(VLOOKUP(VLOOKUP($A70,AR$5:$AW$44,AR$45,FALSE),$A$5:$C$44,3,FALSE),"")</f>
        <v>OLP</v>
      </c>
      <c r="J70" s="95" t="str">
        <f>IFERROR(VLOOKUP(VLOOKUP($A70,AS$5:$AW$44,AS$45,FALSE),$A$5:$C$44,3,FALSE),"")</f>
        <v/>
      </c>
      <c r="K70" s="95" t="str">
        <f>IFERROR(VLOOKUP(VLOOKUP($A70,AT$5:$AW$44,AT$45,FALSE),$A$5:$C$44,3,FALSE),"")</f>
        <v/>
      </c>
      <c r="L70" s="95" t="str">
        <f>IFERROR(VLOOKUP(VLOOKUP($A70,AU$5:$AW$44,AU$45,FALSE),$A$5:$C$44,3,FALSE),"")</f>
        <v>GRM</v>
      </c>
      <c r="M70" s="95" t="str">
        <f>IFERROR(VLOOKUP(VLOOKUP($A70,AV$5:$AW$44,AV$45,FALSE),$A$5:$C$44,3,FALSE),"")</f>
        <v>OHF</v>
      </c>
    </row>
    <row r="71" spans="1:13">
      <c r="A71" s="93">
        <v>12</v>
      </c>
      <c r="C71" s="95">
        <f>COUNTIF($C$5:$C$44,C20)</f>
        <v>1</v>
      </c>
      <c r="F71" s="840" t="str">
        <f t="shared" ca="1" si="112"/>
        <v/>
      </c>
      <c r="G71" s="95" t="str">
        <f>IFERROR(VLOOKUP(VLOOKUP($A71,AP$5:$AW$44,AP$45,FALSE),$A$5:$C$44,3,FALSE),"")</f>
        <v/>
      </c>
      <c r="H71" s="95" t="str">
        <f>IFERROR(VLOOKUP(VLOOKUP($A71,AQ$5:$AW$44,AQ$45,FALSE),$A$5:$C$44,3,FALSE),"")</f>
        <v/>
      </c>
      <c r="I71" s="95" t="str">
        <f>IFERROR(VLOOKUP(VLOOKUP($A71,AR$5:$AW$44,AR$45,FALSE),$A$5:$C$44,3,FALSE),"")</f>
        <v>WAS</v>
      </c>
      <c r="J71" s="95" t="str">
        <f>IFERROR(VLOOKUP(VLOOKUP($A71,AS$5:$AW$44,AS$45,FALSE),$A$5:$C$44,3,FALSE),"")</f>
        <v/>
      </c>
      <c r="K71" s="95" t="str">
        <f>IFERROR(VLOOKUP(VLOOKUP($A71,AT$5:$AW$44,AT$45,FALSE),$A$5:$C$44,3,FALSE),"")</f>
        <v/>
      </c>
      <c r="L71" s="95" t="str">
        <f>IFERROR(VLOOKUP(VLOOKUP($A71,AU$5:$AW$44,AU$45,FALSE),$A$5:$C$44,3,FALSE),"")</f>
        <v>GIH</v>
      </c>
      <c r="M71" s="95" t="str">
        <f>IFERROR(VLOOKUP(VLOOKUP($A71,AV$5:$AW$44,AV$45,FALSE),$A$5:$C$44,3,FALSE),"")</f>
        <v/>
      </c>
    </row>
    <row r="72" spans="1:13">
      <c r="A72" s="93">
        <v>13</v>
      </c>
      <c r="C72" s="95">
        <f>COUNTIF($C$5:$C$44,C21)</f>
        <v>1</v>
      </c>
      <c r="F72" s="840" t="str">
        <f t="shared" ca="1" si="112"/>
        <v/>
      </c>
      <c r="G72" s="95" t="str">
        <f>IFERROR(VLOOKUP(VLOOKUP($A72,AP$5:$AW$44,AP$45,FALSE),$A$5:$C$44,3,FALSE),"")</f>
        <v/>
      </c>
      <c r="H72" s="95" t="str">
        <f>IFERROR(VLOOKUP(VLOOKUP($A72,AQ$5:$AW$44,AQ$45,FALSE),$A$5:$C$44,3,FALSE),"")</f>
        <v/>
      </c>
      <c r="I72" s="95" t="str">
        <f>IFERROR(VLOOKUP(VLOOKUP($A72,AR$5:$AW$44,AR$45,FALSE),$A$5:$C$44,3,FALSE),"")</f>
        <v/>
      </c>
      <c r="J72" s="95" t="str">
        <f>IFERROR(VLOOKUP(VLOOKUP($A72,AS$5:$AW$44,AS$45,FALSE),$A$5:$C$44,3,FALSE),"")</f>
        <v/>
      </c>
      <c r="K72" s="95" t="str">
        <f>IFERROR(VLOOKUP(VLOOKUP($A72,AT$5:$AW$44,AT$45,FALSE),$A$5:$C$44,3,FALSE),"")</f>
        <v/>
      </c>
      <c r="L72" s="95" t="str">
        <f>IFERROR(VLOOKUP(VLOOKUP($A72,AU$5:$AW$44,AU$45,FALSE),$A$5:$C$44,3,FALSE),"")</f>
        <v>GIC</v>
      </c>
      <c r="M72" s="95" t="str">
        <f>IFERROR(VLOOKUP(VLOOKUP($A72,AV$5:$AW$44,AV$45,FALSE),$A$5:$C$44,3,FALSE),"")</f>
        <v/>
      </c>
    </row>
    <row r="73" spans="1:13">
      <c r="A73" s="93">
        <v>14</v>
      </c>
      <c r="C73" s="95">
        <f>COUNTIF($C$5:$C$44,C22)</f>
        <v>1</v>
      </c>
      <c r="F73" s="840" t="str">
        <f ca="1">IFERROR(INDEX(OFFSET(C16:C56,MATCH(F72,C16:C56,0),0),MATCH(1,OFFSET(G16:G56,MATCH(F72,C16:C56,0),0),0)),"")</f>
        <v/>
      </c>
      <c r="G73" s="95" t="str">
        <f>IFERROR(VLOOKUP(VLOOKUP($A73,AP$5:$AW$44,AP$45,FALSE),$A$5:$C$44,3,FALSE),"")</f>
        <v/>
      </c>
      <c r="H73" s="95" t="str">
        <f>IFERROR(VLOOKUP(VLOOKUP($A73,AQ$5:$AW$44,AQ$45,FALSE),$A$5:$C$44,3,FALSE),"")</f>
        <v/>
      </c>
      <c r="I73" s="95" t="str">
        <f>IFERROR(VLOOKUP(VLOOKUP($A73,AR$5:$AW$44,AR$45,FALSE),$A$5:$C$44,3,FALSE),"")</f>
        <v/>
      </c>
      <c r="J73" s="95" t="str">
        <f>IFERROR(VLOOKUP(VLOOKUP($A73,AS$5:$AW$44,AS$45,FALSE),$A$5:$C$44,3,FALSE),"")</f>
        <v/>
      </c>
      <c r="K73" s="95" t="str">
        <f>IFERROR(VLOOKUP(VLOOKUP($A73,AT$5:$AW$44,AT$45,FALSE),$A$5:$C$44,3,FALSE),"")</f>
        <v/>
      </c>
      <c r="L73" s="95" t="str">
        <f>IFERROR(VLOOKUP(VLOOKUP($A73,AU$5:$AW$44,AU$45,FALSE),$A$5:$C$44,3,FALSE),"")</f>
        <v>HYD</v>
      </c>
      <c r="M73" s="95" t="str">
        <f>IFERROR(VLOOKUP(VLOOKUP($A73,AV$5:$AW$44,AV$45,FALSE),$A$5:$C$44,3,FALSE),"")</f>
        <v/>
      </c>
    </row>
    <row r="74" spans="1:13">
      <c r="A74" s="93">
        <v>15</v>
      </c>
      <c r="C74" s="95">
        <f>COUNTIF($C$5:$C$44,#REF!)</f>
        <v>0</v>
      </c>
      <c r="F74" s="840"/>
      <c r="G74" s="95" t="str">
        <f>IFERROR(VLOOKUP(VLOOKUP($A74,AP$5:$AW$44,AP$45,FALSE),$A$5:$C$44,3,FALSE),"")</f>
        <v/>
      </c>
      <c r="H74" s="95" t="str">
        <f>IFERROR(VLOOKUP(VLOOKUP($A74,AQ$5:$AW$44,AQ$45,FALSE),$A$5:$C$44,3,FALSE),"")</f>
        <v/>
      </c>
      <c r="I74" s="95" t="str">
        <f>IFERROR(VLOOKUP(VLOOKUP($A74,AR$5:$AW$44,AR$45,FALSE),$A$5:$C$44,3,FALSE),"")</f>
        <v/>
      </c>
      <c r="J74" s="95" t="str">
        <f>IFERROR(VLOOKUP(VLOOKUP($A74,AS$5:$AW$44,AS$45,FALSE),$A$5:$C$44,3,FALSE),"")</f>
        <v/>
      </c>
      <c r="K74" s="95" t="str">
        <f>IFERROR(VLOOKUP(VLOOKUP($A74,AT$5:$AW$44,AT$45,FALSE),$A$5:$C$44,3,FALSE),"")</f>
        <v/>
      </c>
      <c r="L74" s="95" t="str">
        <f>IFERROR(VLOOKUP(VLOOKUP($A74,AU$5:$AW$44,AU$45,FALSE),$A$5:$C$44,3,FALSE),"")</f>
        <v>HGN</v>
      </c>
      <c r="M74" s="95" t="str">
        <f>IFERROR(VLOOKUP(VLOOKUP($A74,AV$5:$AW$44,AV$45,FALSE),$A$5:$C$44,3,FALSE),"")</f>
        <v/>
      </c>
    </row>
    <row r="75" spans="1:13">
      <c r="A75" s="93">
        <v>16</v>
      </c>
      <c r="C75" s="95">
        <f>COUNTIF($C$5:$C$44,C23)</f>
        <v>1</v>
      </c>
      <c r="F75" s="840"/>
      <c r="G75" s="95" t="str">
        <f>IFERROR(VLOOKUP(VLOOKUP($A75,AP$5:$AW$44,AP$45,FALSE),$A$5:$C$44,3,FALSE),"")</f>
        <v/>
      </c>
      <c r="H75" s="95" t="str">
        <f>IFERROR(VLOOKUP(VLOOKUP($A75,AQ$5:$AW$44,AQ$45,FALSE),$A$5:$C$44,3,FALSE),"")</f>
        <v/>
      </c>
      <c r="I75" s="95" t="str">
        <f>IFERROR(VLOOKUP(VLOOKUP($A75,AR$5:$AW$44,AR$45,FALSE),$A$5:$C$44,3,FALSE),"")</f>
        <v/>
      </c>
      <c r="J75" s="95" t="str">
        <f>IFERROR(VLOOKUP(VLOOKUP($A75,AS$5:$AW$44,AS$45,FALSE),$A$5:$C$44,3,FALSE),"")</f>
        <v/>
      </c>
      <c r="K75" s="95" t="str">
        <f>IFERROR(VLOOKUP(VLOOKUP($A75,AT$5:$AW$44,AT$45,FALSE),$A$5:$C$44,3,FALSE),"")</f>
        <v/>
      </c>
      <c r="L75" s="95" t="str">
        <f>IFERROR(VLOOKUP(VLOOKUP($A75,AU$5:$AW$44,AU$45,FALSE),$A$5:$C$44,3,FALSE),"")</f>
        <v>NUC</v>
      </c>
      <c r="M75" s="95" t="str">
        <f>IFERROR(VLOOKUP(VLOOKUP($A75,AV$5:$AW$44,AV$45,FALSE),$A$5:$C$44,3,FALSE),"")</f>
        <v/>
      </c>
    </row>
    <row r="76" spans="1:13">
      <c r="A76" s="93">
        <v>17</v>
      </c>
      <c r="C76" s="95">
        <f>COUNTIF($C$5:$C$44,#REF!)</f>
        <v>0</v>
      </c>
      <c r="F76" s="840"/>
      <c r="G76" s="95" t="str">
        <f>IFERROR(VLOOKUP(VLOOKUP($A76,AP$5:$AW$44,AP$45,FALSE),$A$5:$C$44,3,FALSE),"")</f>
        <v/>
      </c>
      <c r="H76" s="95" t="str">
        <f>IFERROR(VLOOKUP(VLOOKUP($A76,AQ$5:$AW$44,AQ$45,FALSE),$A$5:$C$44,3,FALSE),"")</f>
        <v/>
      </c>
      <c r="I76" s="95" t="str">
        <f>IFERROR(VLOOKUP(VLOOKUP($A76,AR$5:$AW$44,AR$45,FALSE),$A$5:$C$44,3,FALSE),"")</f>
        <v/>
      </c>
      <c r="J76" s="95" t="str">
        <f>IFERROR(VLOOKUP(VLOOKUP($A76,AS$5:$AW$44,AS$45,FALSE),$A$5:$C$44,3,FALSE),"")</f>
        <v/>
      </c>
      <c r="K76" s="95" t="str">
        <f>IFERROR(VLOOKUP(VLOOKUP($A76,AT$5:$AW$44,AT$45,FALSE),$A$5:$C$44,3,FALSE),"")</f>
        <v/>
      </c>
      <c r="L76" s="95" t="str">
        <f>IFERROR(VLOOKUP(VLOOKUP($A76,AU$5:$AW$44,AU$45,FALSE),$A$5:$C$44,3,FALSE),"")</f>
        <v>ODS</v>
      </c>
      <c r="M76" s="95" t="str">
        <f>IFERROR(VLOOKUP(VLOOKUP($A76,AV$5:$AW$44,AV$45,FALSE),$A$5:$C$44,3,FALSE),"")</f>
        <v/>
      </c>
    </row>
    <row r="77" spans="1:13">
      <c r="A77" s="93">
        <v>18</v>
      </c>
      <c r="C77" s="95">
        <f>COUNTIF($C$5:$C$44,C24)</f>
        <v>1</v>
      </c>
      <c r="F77" s="840"/>
      <c r="G77" s="95" t="str">
        <f>IFERROR(VLOOKUP(VLOOKUP($A77,AP$5:$AW$44,AP$45,FALSE),$A$5:$C$44,3,FALSE),"")</f>
        <v/>
      </c>
      <c r="H77" s="95" t="str">
        <f>IFERROR(VLOOKUP(VLOOKUP($A77,AQ$5:$AW$44,AQ$45,FALSE),$A$5:$C$44,3,FALSE),"")</f>
        <v/>
      </c>
      <c r="I77" s="95" t="str">
        <f>IFERROR(VLOOKUP(VLOOKUP($A77,AR$5:$AW$44,AR$45,FALSE),$A$5:$C$44,3,FALSE),"")</f>
        <v/>
      </c>
      <c r="J77" s="95" t="str">
        <f>IFERROR(VLOOKUP(VLOOKUP($A77,AS$5:$AW$44,AS$45,FALSE),$A$5:$C$44,3,FALSE),"")</f>
        <v/>
      </c>
      <c r="K77" s="95" t="str">
        <f>IFERROR(VLOOKUP(VLOOKUP($A77,AT$5:$AW$44,AT$45,FALSE),$A$5:$C$44,3,FALSE),"")</f>
        <v/>
      </c>
      <c r="L77" s="95" t="str">
        <f>IFERROR(VLOOKUP(VLOOKUP($A77,AU$5:$AW$44,AU$45,FALSE),$A$5:$C$44,3,FALSE),"")</f>
        <v>SOL</v>
      </c>
      <c r="M77" s="95" t="str">
        <f>IFERROR(VLOOKUP(VLOOKUP($A77,AV$5:$AW$44,AV$45,FALSE),$A$5:$C$44,3,FALSE),"")</f>
        <v/>
      </c>
    </row>
    <row r="78" spans="1:13">
      <c r="A78" s="93">
        <v>19</v>
      </c>
      <c r="C78" s="95">
        <f>COUNTIF($C$5:$C$44,#REF!)</f>
        <v>0</v>
      </c>
      <c r="F78" s="840"/>
      <c r="G78" s="95" t="str">
        <f>IFERROR(VLOOKUP(VLOOKUP($A78,AP$5:$AW$44,AP$45,FALSE),$A$5:$C$44,3,FALSE),"")</f>
        <v/>
      </c>
      <c r="H78" s="95" t="str">
        <f>IFERROR(VLOOKUP(VLOOKUP($A78,AQ$5:$AW$44,AQ$45,FALSE),$A$5:$C$44,3,FALSE),"")</f>
        <v/>
      </c>
      <c r="I78" s="95" t="str">
        <f>IFERROR(VLOOKUP(VLOOKUP($A78,AR$5:$AW$44,AR$45,FALSE),$A$5:$C$44,3,FALSE),"")</f>
        <v/>
      </c>
      <c r="J78" s="95" t="str">
        <f>IFERROR(VLOOKUP(VLOOKUP($A78,AS$5:$AW$44,AS$45,FALSE),$A$5:$C$44,3,FALSE),"")</f>
        <v/>
      </c>
      <c r="K78" s="95" t="str">
        <f>IFERROR(VLOOKUP(VLOOKUP($A78,AT$5:$AW$44,AT$45,FALSE),$A$5:$C$44,3,FALSE),"")</f>
        <v/>
      </c>
      <c r="L78" s="95" t="str">
        <f>IFERROR(VLOOKUP(VLOOKUP($A78,AU$5:$AW$44,AU$45,FALSE),$A$5:$C$44,3,FALSE),"")</f>
        <v>WND</v>
      </c>
      <c r="M78" s="95" t="str">
        <f>IFERROR(VLOOKUP(VLOOKUP($A78,AV$5:$AW$44,AV$45,FALSE),$A$5:$C$44,3,FALSE),"")</f>
        <v/>
      </c>
    </row>
    <row r="79" spans="1:13">
      <c r="A79" s="93">
        <v>20</v>
      </c>
      <c r="C79" s="95">
        <f>COUNTIF($C$5:$C$44,C25)</f>
        <v>1</v>
      </c>
      <c r="F79" s="840"/>
      <c r="G79" s="95" t="str">
        <f>IFERROR(VLOOKUP(VLOOKUP($A79,AP$5:$AW$44,AP$45,FALSE),$A$5:$C$44,3,FALSE),"")</f>
        <v/>
      </c>
      <c r="H79" s="95" t="str">
        <f>IFERROR(VLOOKUP(VLOOKUP($A79,AQ$5:$AW$44,AQ$45,FALSE),$A$5:$C$44,3,FALSE),"")</f>
        <v/>
      </c>
      <c r="I79" s="95" t="str">
        <f>IFERROR(VLOOKUP(VLOOKUP($A79,AR$5:$AW$44,AR$45,FALSE),$A$5:$C$44,3,FALSE),"")</f>
        <v/>
      </c>
      <c r="J79" s="95" t="str">
        <f>IFERROR(VLOOKUP(VLOOKUP($A79,AS$5:$AW$44,AS$45,FALSE),$A$5:$C$44,3,FALSE),"")</f>
        <v/>
      </c>
      <c r="K79" s="95" t="str">
        <f>IFERROR(VLOOKUP(VLOOKUP($A79,AT$5:$AW$44,AT$45,FALSE),$A$5:$C$44,3,FALSE),"")</f>
        <v/>
      </c>
      <c r="L79" s="95" t="str">
        <f>IFERROR(VLOOKUP(VLOOKUP($A79,AU$5:$AW$44,AU$45,FALSE),$A$5:$C$44,3,FALSE),"")</f>
        <v/>
      </c>
      <c r="M79" s="95" t="str">
        <f>IFERROR(VLOOKUP(VLOOKUP($A79,AV$5:$AW$44,AV$45,FALSE),$A$5:$C$44,3,FALSE),"")</f>
        <v/>
      </c>
    </row>
    <row r="80" spans="1:13">
      <c r="A80" s="93">
        <v>21</v>
      </c>
      <c r="C80" s="95">
        <f>COUNTIF($C$5:$C$44,#REF!)</f>
        <v>0</v>
      </c>
      <c r="F80" s="840"/>
    </row>
    <row r="81" spans="1:6">
      <c r="A81" s="93">
        <v>22</v>
      </c>
      <c r="C81" s="95">
        <f>COUNTIF($C$5:$C$44,C27)</f>
        <v>1</v>
      </c>
      <c r="F81" s="840"/>
    </row>
    <row r="82" spans="1:6" ht="15">
      <c r="B82" s="532"/>
      <c r="C82" s="95">
        <f>COUNTIF($C$5:$C$44,#REF!)</f>
        <v>0</v>
      </c>
      <c r="F82" s="840"/>
    </row>
    <row r="83" spans="1:6" ht="15">
      <c r="B83" s="532"/>
      <c r="C83" s="95">
        <f t="shared" ref="C83:C98" si="113">COUNTIF($C$5:$C$44,C28)</f>
        <v>1</v>
      </c>
      <c r="F83" s="840"/>
    </row>
    <row r="84" spans="1:6" ht="15">
      <c r="B84" s="532"/>
      <c r="C84" s="95">
        <f t="shared" si="113"/>
        <v>1</v>
      </c>
      <c r="F84" s="840"/>
    </row>
    <row r="85" spans="1:6" ht="15">
      <c r="B85" s="532"/>
      <c r="C85" s="95">
        <f t="shared" si="113"/>
        <v>1</v>
      </c>
      <c r="F85" s="840" t="str">
        <f ca="1">IFERROR(INDEX(OFFSET(C22:C68,MATCH(F84,C22:C68,0),0),MATCH(1,OFFSET(G22:G68,MATCH(F84,C22:C68,0),0),0)),"")</f>
        <v/>
      </c>
    </row>
    <row r="86" spans="1:6" ht="15">
      <c r="B86" s="532"/>
      <c r="C86" s="95">
        <f t="shared" si="113"/>
        <v>1</v>
      </c>
      <c r="F86" s="840" t="str">
        <f ca="1">IFERROR(INDEX(OFFSET(C23:C69,MATCH(F85,C23:C69,0),0),MATCH(1,OFFSET(G23:G69,MATCH(F85,C23:C69,0),0),0)),"")</f>
        <v/>
      </c>
    </row>
    <row r="87" spans="1:6" ht="15">
      <c r="B87" s="532"/>
      <c r="C87" s="95">
        <f t="shared" si="113"/>
        <v>1</v>
      </c>
      <c r="F87" s="840" t="str">
        <f ca="1">IFERROR(INDEX(OFFSET(C23:C70,MATCH(F86,C23:C70,0),0),MATCH(1,OFFSET(G23:G70,MATCH(F86,C23:C70,0),0),0)),"")</f>
        <v/>
      </c>
    </row>
    <row r="88" spans="1:6" ht="15">
      <c r="B88" s="532"/>
      <c r="C88" s="95">
        <f t="shared" si="113"/>
        <v>1</v>
      </c>
      <c r="F88" s="840" t="str">
        <f ca="1">IFERROR(INDEX(OFFSET(C24:C71,MATCH(F87,C24:C71,0),0),MATCH(1,OFFSET(G24:G71,MATCH(F87,C24:C71,0),0),0)),"")</f>
        <v/>
      </c>
    </row>
    <row r="89" spans="1:6" ht="15">
      <c r="B89" s="532"/>
      <c r="C89" s="95">
        <f t="shared" si="113"/>
        <v>1</v>
      </c>
      <c r="F89" s="840" t="str">
        <f ca="1">IFERROR(INDEX(OFFSET(C24:C72,MATCH(F88,C24:C72,0),0),MATCH(1,OFFSET(G24:G72,MATCH(F88,C24:C72,0),0),0)),"")</f>
        <v/>
      </c>
    </row>
    <row r="90" spans="1:6" ht="15">
      <c r="B90" s="532"/>
      <c r="C90" s="95">
        <f t="shared" si="113"/>
        <v>1</v>
      </c>
      <c r="F90" s="840" t="str">
        <f ca="1">IFERROR(INDEX(OFFSET(C25:C73,MATCH(F89,C25:C73,0),0),MATCH(1,OFFSET(G25:G73,MATCH(F89,C25:C73,0),0),0)),"")</f>
        <v/>
      </c>
    </row>
    <row r="91" spans="1:6" ht="15">
      <c r="B91" s="532"/>
      <c r="C91" s="95">
        <f t="shared" si="113"/>
        <v>1</v>
      </c>
      <c r="F91" s="840" t="str">
        <f ca="1">IFERROR(INDEX(OFFSET(C25:C74,MATCH(F90,C25:C74,0),0),MATCH(1,OFFSET(G25:G74,MATCH(F90,C25:C74,0),0),0)),"")</f>
        <v/>
      </c>
    </row>
    <row r="92" spans="1:6" ht="15">
      <c r="B92" s="532"/>
      <c r="C92" s="95">
        <f t="shared" si="113"/>
        <v>1</v>
      </c>
      <c r="F92" s="840" t="str">
        <f ca="1">IFERROR(INDEX(OFFSET(C26:C75,MATCH(F91,C26:C75,0),0),MATCH(1,OFFSET(G26:G75,MATCH(F91,C26:C75,0),0),0)),"")</f>
        <v/>
      </c>
    </row>
    <row r="93" spans="1:6" ht="15">
      <c r="B93" s="532"/>
      <c r="C93" s="95">
        <f t="shared" si="113"/>
        <v>1</v>
      </c>
      <c r="F93" s="840" t="str">
        <f ca="1">IFERROR(INDEX(OFFSET(C27:C76,MATCH(F92,C27:C76,0),0),MATCH(1,OFFSET(G27:G76,MATCH(F92,C27:C76,0),0),0)),"")</f>
        <v/>
      </c>
    </row>
    <row r="94" spans="1:6" ht="15">
      <c r="B94" s="532"/>
      <c r="C94" s="95">
        <f t="shared" si="113"/>
        <v>1</v>
      </c>
      <c r="F94" s="840" t="str">
        <f ca="1">IFERROR(INDEX(OFFSET(C28:C77,MATCH(F93,C28:C77,0),0),MATCH(1,OFFSET(G28:G77,MATCH(F93,C28:C77,0),0),0)),"")</f>
        <v/>
      </c>
    </row>
    <row r="95" spans="1:6" ht="15">
      <c r="B95" s="532"/>
      <c r="C95" s="95">
        <f t="shared" si="113"/>
        <v>1</v>
      </c>
      <c r="F95" s="840" t="str">
        <f ca="1">IFERROR(INDEX(OFFSET(C28:C78,MATCH(F94,C28:C78,0),0),MATCH(1,OFFSET(G28:G78,MATCH(F94,C28:C78,0),0),0)),"")</f>
        <v/>
      </c>
    </row>
    <row r="96" spans="1:6" ht="15">
      <c r="B96" s="532"/>
      <c r="C96" s="95">
        <f t="shared" si="113"/>
        <v>1</v>
      </c>
      <c r="F96" s="840" t="str">
        <f ca="1">IFERROR(INDEX(OFFSET(C29:C79,MATCH(F95,C29:C79,0),0),MATCH(1,OFFSET(G29:G79,MATCH(F95,C29:C79,0),0),0)),"")</f>
        <v/>
      </c>
    </row>
    <row r="97" spans="2:6" ht="15">
      <c r="B97" s="532"/>
      <c r="C97" s="95">
        <f t="shared" si="113"/>
        <v>1</v>
      </c>
      <c r="F97" s="840" t="str">
        <f ca="1">IFERROR(INDEX(OFFSET(C30:C80,MATCH(F96,C30:C80,0),0),MATCH(1,OFFSET(G30:G80,MATCH(F96,C30:C80,0),0),0)),"")</f>
        <v/>
      </c>
    </row>
    <row r="98" spans="2:6" ht="15">
      <c r="B98" s="532"/>
      <c r="C98" s="95">
        <f t="shared" si="113"/>
        <v>1</v>
      </c>
      <c r="F98" s="840" t="str">
        <f ca="1">IFERROR(INDEX(OFFSET(C31:C81,MATCH(F97,C31:C81,0),0),MATCH(1,OFFSET(G31:G81,MATCH(F97,C31:C81,0),0),0)),"")</f>
        <v/>
      </c>
    </row>
    <row r="99" spans="2:6" ht="15">
      <c r="B99" s="532"/>
      <c r="F99" s="840" t="str">
        <f ca="1">IFERROR(INDEX(OFFSET(C32:C82,MATCH(F98,C32:C82,0),0),MATCH(1,OFFSET(G32:G82,MATCH(F98,C32:C82,0),0),0)),"")</f>
        <v/>
      </c>
    </row>
    <row r="100" spans="2:6" ht="15">
      <c r="B100" s="532"/>
    </row>
    <row r="101" spans="2:6">
      <c r="B101" s="394"/>
      <c r="C101" s="394"/>
      <c r="D101" s="394"/>
      <c r="E101" s="124"/>
    </row>
    <row r="102" spans="2:6" ht="15">
      <c r="B102" s="392"/>
      <c r="C102" s="392"/>
      <c r="D102" s="124"/>
      <c r="E102" s="124"/>
    </row>
    <row r="103" spans="2:6">
      <c r="B103" s="124"/>
      <c r="C103" s="124"/>
      <c r="D103" s="124"/>
      <c r="E103" s="124"/>
    </row>
    <row r="104" spans="2:6" ht="15">
      <c r="B104" s="884"/>
      <c r="C104" s="392"/>
      <c r="D104" s="124"/>
      <c r="E104" s="124"/>
    </row>
    <row r="105" spans="2:6">
      <c r="B105" s="124"/>
      <c r="C105" s="124"/>
      <c r="D105" s="124"/>
      <c r="E105" s="124"/>
    </row>
    <row r="108" spans="2:6" ht="15">
      <c r="B108" s="532"/>
    </row>
    <row r="109" spans="2:6" ht="15">
      <c r="B109" s="532"/>
    </row>
    <row r="110" spans="2:6" ht="15">
      <c r="B110" s="532"/>
    </row>
    <row r="111" spans="2:6" ht="15">
      <c r="B111" s="532"/>
    </row>
  </sheetData>
  <phoneticPr fontId="56" type="noConversion"/>
  <dataValidations disablePrompts="1" count="1">
    <dataValidation type="whole" allowBlank="1" showInputMessage="1" showErrorMessage="1" sqref="B2" xr:uid="{00000000-0002-0000-0200-000000000000}">
      <formula1>IF($E$47&gt;0,1,6)</formula1>
      <formula2>IF($E$47&gt;0,1,6)</formula2>
    </dataValidation>
  </dataValidations>
  <pageMargins left="0.70000000000000007" right="0.70000000000000007" top="0.75000000000000011" bottom="0.75000000000000011" header="0.30000000000000004" footer="0.30000000000000004"/>
  <pageSetup paperSize="9" scale="21" orientation="landscape"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A1:B1"/>
  <sheetViews>
    <sheetView workbookViewId="0"/>
  </sheetViews>
  <sheetFormatPr defaultColWidth="11.42578125" defaultRowHeight="11.25"/>
  <cols>
    <col min="1" max="1" width="12.28515625" style="42" customWidth="1"/>
    <col min="2" max="2" width="42.42578125" style="42" customWidth="1"/>
    <col min="3" max="3" width="28.42578125" style="42" customWidth="1"/>
    <col min="4" max="4" width="21.7109375" style="42" customWidth="1"/>
    <col min="5" max="16384" width="11.42578125" style="42"/>
  </cols>
  <sheetData>
    <row r="1" spans="1:2">
      <c r="A1" s="41" t="s">
        <v>85</v>
      </c>
      <c r="B1" s="42" t="s">
        <v>86</v>
      </c>
    </row>
  </sheetData>
  <pageMargins left="0.75" right="0.75" top="1" bottom="1" header="0.5" footer="0.5"/>
  <pageSetup paperSize="9" orientation="portrait" horizontalDpi="12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BE106"/>
  <sheetViews>
    <sheetView workbookViewId="0"/>
  </sheetViews>
  <sheetFormatPr defaultColWidth="8.7109375" defaultRowHeight="12.75"/>
  <cols>
    <col min="1" max="1" width="30.28515625" style="57" customWidth="1"/>
    <col min="2" max="2" width="19.28515625" style="57" customWidth="1"/>
    <col min="3" max="3" width="12.28515625" style="57" customWidth="1"/>
    <col min="4" max="4" width="14.42578125" style="57" customWidth="1"/>
    <col min="5" max="5" width="16.42578125" style="57" customWidth="1"/>
    <col min="6" max="9" width="8.7109375" style="57"/>
    <col min="10" max="10" width="15.42578125" style="57" customWidth="1"/>
    <col min="11" max="12" width="8.7109375" style="57"/>
    <col min="13" max="13" width="10.7109375" style="57" customWidth="1"/>
    <col min="14" max="16" width="8.7109375" style="57"/>
    <col min="17" max="17" width="17" style="57" customWidth="1"/>
    <col min="18" max="21" width="8.7109375" style="57"/>
    <col min="22" max="22" width="11.42578125" style="57" bestFit="1" customWidth="1"/>
    <col min="23" max="23" width="16" style="57" bestFit="1" customWidth="1"/>
    <col min="24" max="24" width="12.42578125" style="57" bestFit="1" customWidth="1"/>
    <col min="25" max="27" width="8.7109375" style="57"/>
    <col min="28" max="28" width="15.7109375" style="57" bestFit="1" customWidth="1"/>
    <col min="29" max="31" width="8.7109375" style="57"/>
    <col min="32" max="32" width="15.42578125" style="57" customWidth="1"/>
    <col min="33" max="36" width="8.7109375" style="57"/>
    <col min="37" max="37" width="14.7109375" style="57" customWidth="1"/>
    <col min="38" max="38" width="12.28515625" style="57" customWidth="1"/>
    <col min="39" max="44" width="8.7109375" style="57"/>
    <col min="45" max="45" width="15" style="57" customWidth="1"/>
    <col min="46" max="46" width="8.7109375" style="57"/>
    <col min="47" max="47" width="11.7109375" style="57" customWidth="1"/>
    <col min="48" max="48" width="14.42578125" style="57" customWidth="1"/>
    <col min="49" max="49" width="8.7109375" style="57"/>
    <col min="50" max="50" width="13" style="57" customWidth="1"/>
    <col min="51" max="55" width="8.7109375" style="57"/>
    <col min="56" max="56" width="19.42578125" style="57" customWidth="1"/>
    <col min="57" max="57" width="16.42578125" style="57" customWidth="1"/>
    <col min="58" max="16384" width="8.7109375" style="57"/>
  </cols>
  <sheetData>
    <row r="1" spans="1:57" s="46" customFormat="1" ht="23.25">
      <c r="A1" s="43" t="s">
        <v>87</v>
      </c>
      <c r="B1" s="43"/>
      <c r="C1" s="44"/>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row>
    <row r="2" spans="1:57">
      <c r="A2" s="47" t="s">
        <v>88</v>
      </c>
      <c r="B2" s="48" t="s">
        <v>89</v>
      </c>
      <c r="C2" s="48" t="s">
        <v>90</v>
      </c>
      <c r="D2" s="48" t="s">
        <v>91</v>
      </c>
      <c r="E2" s="48" t="s">
        <v>92</v>
      </c>
      <c r="F2" s="48" t="s">
        <v>93</v>
      </c>
      <c r="G2" s="48" t="s">
        <v>94</v>
      </c>
      <c r="H2" s="48" t="s">
        <v>95</v>
      </c>
      <c r="I2" s="49" t="s">
        <v>96</v>
      </c>
      <c r="J2" s="49" t="s">
        <v>97</v>
      </c>
      <c r="K2" s="49" t="s">
        <v>98</v>
      </c>
      <c r="L2" s="49" t="s">
        <v>99</v>
      </c>
      <c r="M2" s="50" t="s">
        <v>100</v>
      </c>
      <c r="N2" s="51" t="s">
        <v>97</v>
      </c>
      <c r="O2" s="51" t="s">
        <v>101</v>
      </c>
      <c r="P2" s="51" t="s">
        <v>102</v>
      </c>
      <c r="Q2" s="52" t="s">
        <v>103</v>
      </c>
      <c r="R2" s="52" t="s">
        <v>104</v>
      </c>
      <c r="S2" s="52" t="s">
        <v>105</v>
      </c>
      <c r="T2" s="52" t="s">
        <v>106</v>
      </c>
      <c r="U2" s="52" t="s">
        <v>107</v>
      </c>
      <c r="V2" s="50" t="s">
        <v>108</v>
      </c>
      <c r="W2" s="53" t="s">
        <v>109</v>
      </c>
      <c r="X2" s="53" t="s">
        <v>110</v>
      </c>
      <c r="Y2" s="53" t="s">
        <v>111</v>
      </c>
      <c r="Z2" s="53" t="s">
        <v>112</v>
      </c>
      <c r="AA2" s="53" t="s">
        <v>113</v>
      </c>
      <c r="AB2" s="53" t="s">
        <v>114</v>
      </c>
      <c r="AC2" s="51" t="s">
        <v>112</v>
      </c>
      <c r="AD2" s="51" t="s">
        <v>115</v>
      </c>
      <c r="AE2" s="51" t="s">
        <v>116</v>
      </c>
      <c r="AF2" s="51" t="s">
        <v>117</v>
      </c>
      <c r="AG2" s="51" t="s">
        <v>118</v>
      </c>
      <c r="AH2" s="51" t="s">
        <v>119</v>
      </c>
      <c r="AI2" s="51" t="s">
        <v>119</v>
      </c>
      <c r="AJ2" s="51" t="s">
        <v>36</v>
      </c>
      <c r="AK2" s="51" t="s">
        <v>120</v>
      </c>
      <c r="AL2" s="51" t="s">
        <v>121</v>
      </c>
      <c r="AM2" s="51" t="s">
        <v>122</v>
      </c>
      <c r="AN2" s="51" t="s">
        <v>123</v>
      </c>
      <c r="AO2" s="51" t="s">
        <v>124</v>
      </c>
      <c r="AP2" s="51" t="s">
        <v>125</v>
      </c>
      <c r="AQ2" s="51" t="s">
        <v>126</v>
      </c>
      <c r="AR2" s="51" t="s">
        <v>127</v>
      </c>
      <c r="AS2" s="51" t="s">
        <v>128</v>
      </c>
      <c r="AT2" s="51" t="s">
        <v>129</v>
      </c>
      <c r="AU2" s="54" t="s">
        <v>130</v>
      </c>
      <c r="AV2" s="54" t="s">
        <v>131</v>
      </c>
      <c r="AW2" s="54" t="s">
        <v>132</v>
      </c>
      <c r="AX2" s="54" t="s">
        <v>133</v>
      </c>
      <c r="AY2" s="54" t="s">
        <v>134</v>
      </c>
      <c r="AZ2" s="54" t="s">
        <v>135</v>
      </c>
      <c r="BA2" s="51" t="s">
        <v>136</v>
      </c>
      <c r="BB2" s="51" t="s">
        <v>137</v>
      </c>
      <c r="BC2" s="51" t="s">
        <v>36</v>
      </c>
      <c r="BD2" s="55" t="s">
        <v>22</v>
      </c>
      <c r="BE2" s="56" t="s">
        <v>23</v>
      </c>
    </row>
    <row r="3" spans="1:57">
      <c r="A3" s="58"/>
      <c r="B3" s="48" t="s">
        <v>2</v>
      </c>
      <c r="C3" s="48" t="s">
        <v>2</v>
      </c>
      <c r="D3" s="48" t="s">
        <v>2</v>
      </c>
      <c r="E3" s="48" t="s">
        <v>2</v>
      </c>
      <c r="F3" s="48" t="s">
        <v>92</v>
      </c>
      <c r="G3" s="48"/>
      <c r="H3" s="48"/>
      <c r="I3" s="49" t="s">
        <v>138</v>
      </c>
      <c r="J3" s="49" t="s">
        <v>139</v>
      </c>
      <c r="K3" s="49"/>
      <c r="L3" s="49"/>
      <c r="M3" s="50" t="s">
        <v>140</v>
      </c>
      <c r="N3" s="51" t="s">
        <v>140</v>
      </c>
      <c r="O3" s="51" t="s">
        <v>141</v>
      </c>
      <c r="P3" s="51" t="s">
        <v>141</v>
      </c>
      <c r="Q3" s="52" t="s">
        <v>142</v>
      </c>
      <c r="R3" s="52"/>
      <c r="S3" s="52" t="s">
        <v>143</v>
      </c>
      <c r="T3" s="52" t="s">
        <v>143</v>
      </c>
      <c r="U3" s="52"/>
      <c r="V3" s="50" t="s">
        <v>140</v>
      </c>
      <c r="W3" s="53" t="s">
        <v>144</v>
      </c>
      <c r="X3" s="53"/>
      <c r="Y3" s="53"/>
      <c r="Z3" s="53" t="s">
        <v>145</v>
      </c>
      <c r="AA3" s="53"/>
      <c r="AB3" s="53" t="s">
        <v>146</v>
      </c>
      <c r="AC3" s="51" t="s">
        <v>140</v>
      </c>
      <c r="AD3" s="51"/>
      <c r="AE3" s="51"/>
      <c r="AF3" s="51" t="s">
        <v>33</v>
      </c>
      <c r="AG3" s="51" t="s">
        <v>33</v>
      </c>
      <c r="AH3" s="51" t="s">
        <v>33</v>
      </c>
      <c r="AI3" s="51" t="s">
        <v>147</v>
      </c>
      <c r="AJ3" s="51" t="s">
        <v>147</v>
      </c>
      <c r="AK3" s="51"/>
      <c r="AL3" s="51" t="s">
        <v>138</v>
      </c>
      <c r="AM3" s="51"/>
      <c r="AN3" s="51" t="s">
        <v>148</v>
      </c>
      <c r="AO3" s="51"/>
      <c r="AP3" s="51"/>
      <c r="AQ3" s="51" t="s">
        <v>149</v>
      </c>
      <c r="AR3" s="51" t="s">
        <v>150</v>
      </c>
      <c r="AS3" s="51" t="s">
        <v>151</v>
      </c>
      <c r="AT3" s="51"/>
      <c r="AU3" s="54"/>
      <c r="AV3" s="54"/>
      <c r="AW3" s="54"/>
      <c r="AX3" s="54"/>
      <c r="AY3" s="54"/>
      <c r="AZ3" s="54"/>
      <c r="BA3" s="51"/>
      <c r="BB3" s="51"/>
      <c r="BC3" s="51"/>
      <c r="BD3" s="55"/>
      <c r="BE3" s="59"/>
    </row>
    <row r="4" spans="1:57">
      <c r="A4" s="60" t="s">
        <v>152</v>
      </c>
      <c r="B4" s="61"/>
      <c r="C4" s="61"/>
      <c r="D4" s="61"/>
      <c r="E4" s="61"/>
      <c r="F4" s="61" t="s">
        <v>2</v>
      </c>
      <c r="G4" s="61"/>
      <c r="H4" s="61"/>
      <c r="I4" s="62"/>
      <c r="J4" s="62"/>
      <c r="K4" s="62"/>
      <c r="L4" s="62"/>
      <c r="M4" s="63"/>
      <c r="N4" s="64"/>
      <c r="O4" s="64"/>
      <c r="P4" s="64"/>
      <c r="Q4" s="65"/>
      <c r="R4" s="65"/>
      <c r="S4" s="65"/>
      <c r="T4" s="65"/>
      <c r="U4" s="65"/>
      <c r="V4" s="63"/>
      <c r="W4" s="66"/>
      <c r="X4" s="66"/>
      <c r="Y4" s="66"/>
      <c r="Z4" s="66"/>
      <c r="AA4" s="66"/>
      <c r="AB4" s="66" t="s">
        <v>153</v>
      </c>
      <c r="AC4" s="64"/>
      <c r="AD4" s="64"/>
      <c r="AE4" s="64"/>
      <c r="AF4" s="64"/>
      <c r="AG4" s="64"/>
      <c r="AH4" s="64"/>
      <c r="AI4" s="64"/>
      <c r="AJ4" s="64"/>
      <c r="AK4" s="64"/>
      <c r="AL4" s="64"/>
      <c r="AM4" s="64"/>
      <c r="AN4" s="64"/>
      <c r="AO4" s="64"/>
      <c r="AP4" s="64"/>
      <c r="AQ4" s="64"/>
      <c r="AR4" s="64"/>
      <c r="AS4" s="64"/>
      <c r="AT4" s="64"/>
      <c r="AU4" s="67"/>
      <c r="AV4" s="67"/>
      <c r="AW4" s="67"/>
      <c r="AX4" s="67"/>
      <c r="AY4" s="67"/>
      <c r="AZ4" s="67"/>
      <c r="BA4" s="64"/>
      <c r="BB4" s="64"/>
      <c r="BC4" s="64"/>
      <c r="BD4" s="68"/>
      <c r="BE4" s="69"/>
    </row>
    <row r="5" spans="1:57">
      <c r="A5" s="70">
        <v>1</v>
      </c>
      <c r="B5" s="74" t="s">
        <v>2</v>
      </c>
      <c r="C5" s="71"/>
      <c r="D5" s="74" t="s">
        <v>556</v>
      </c>
      <c r="E5" s="71"/>
      <c r="F5" s="71"/>
      <c r="G5" s="71"/>
      <c r="H5" s="71"/>
      <c r="I5" s="72"/>
      <c r="J5" s="72"/>
      <c r="K5" s="72"/>
      <c r="L5" s="72"/>
      <c r="M5" s="72"/>
      <c r="N5" s="72"/>
      <c r="O5" s="72"/>
      <c r="P5" s="72"/>
      <c r="Q5" s="72"/>
      <c r="R5" s="72"/>
      <c r="S5" s="72"/>
      <c r="T5" s="72"/>
      <c r="U5" s="72"/>
      <c r="V5" s="619" t="str">
        <f>NameConv!B26</f>
        <v>Coastal Gas</v>
      </c>
      <c r="W5" s="72"/>
      <c r="X5" s="74" t="s">
        <v>553</v>
      </c>
      <c r="Y5" s="72"/>
      <c r="Z5" s="72"/>
      <c r="AA5" s="72"/>
      <c r="AB5" s="72"/>
      <c r="AC5" s="72"/>
      <c r="AD5" s="72"/>
      <c r="AE5" s="74" t="s">
        <v>550</v>
      </c>
      <c r="AF5" s="74" t="s">
        <v>546</v>
      </c>
      <c r="AG5" s="393" t="s">
        <v>557</v>
      </c>
      <c r="AH5" s="72"/>
      <c r="AI5" s="74" t="s">
        <v>591</v>
      </c>
      <c r="AJ5" s="74" t="s">
        <v>591</v>
      </c>
      <c r="AK5" s="74" t="s">
        <v>554</v>
      </c>
      <c r="AL5" s="76" t="s">
        <v>548</v>
      </c>
      <c r="AM5" s="72"/>
      <c r="AN5" s="72"/>
      <c r="AO5" s="72"/>
      <c r="AP5" s="72"/>
      <c r="AQ5" s="72"/>
      <c r="AR5" s="72"/>
      <c r="AS5" s="72"/>
      <c r="AT5" s="72"/>
      <c r="AU5" s="74" t="s">
        <v>130</v>
      </c>
      <c r="AV5" s="72"/>
      <c r="AW5" s="72"/>
      <c r="AX5" s="72"/>
      <c r="AY5" s="72"/>
      <c r="AZ5" s="72"/>
      <c r="BA5" s="72"/>
      <c r="BB5" s="72"/>
      <c r="BC5" s="72"/>
      <c r="BD5" s="393" t="s">
        <v>22</v>
      </c>
      <c r="BE5" s="72"/>
    </row>
    <row r="6" spans="1:57" ht="15">
      <c r="A6" s="73" t="s">
        <v>154</v>
      </c>
      <c r="B6" s="74">
        <v>5788410.7964000003</v>
      </c>
      <c r="C6" s="74">
        <v>0</v>
      </c>
      <c r="D6" s="74">
        <v>49117.144</v>
      </c>
      <c r="E6" s="74">
        <v>5739293.6524</v>
      </c>
      <c r="F6" s="74">
        <v>0</v>
      </c>
      <c r="G6" s="74">
        <v>0</v>
      </c>
      <c r="H6" s="74">
        <v>0</v>
      </c>
      <c r="I6" s="75"/>
      <c r="J6" s="74"/>
      <c r="K6" s="74"/>
      <c r="L6" s="74"/>
      <c r="M6" s="76"/>
      <c r="N6" s="74"/>
      <c r="O6" s="74"/>
      <c r="P6" s="74"/>
      <c r="Q6" s="74">
        <v>428396</v>
      </c>
      <c r="R6" s="74">
        <v>0</v>
      </c>
      <c r="S6" s="74">
        <v>0</v>
      </c>
      <c r="T6" s="74">
        <v>0</v>
      </c>
      <c r="U6" s="74">
        <v>0</v>
      </c>
      <c r="V6" s="76">
        <v>72313.597500000003</v>
      </c>
      <c r="W6" s="74">
        <v>0</v>
      </c>
      <c r="X6" s="74">
        <v>0</v>
      </c>
      <c r="Y6" s="74">
        <v>0</v>
      </c>
      <c r="Z6" s="74">
        <v>0</v>
      </c>
      <c r="AA6" s="74">
        <v>0</v>
      </c>
      <c r="AB6" s="74">
        <v>0</v>
      </c>
      <c r="AC6" s="75"/>
      <c r="AD6" s="74"/>
      <c r="AE6" s="74"/>
      <c r="AF6" s="74"/>
      <c r="AG6" s="74"/>
      <c r="AH6" s="74"/>
      <c r="AI6" s="74"/>
      <c r="AJ6" s="74"/>
      <c r="AK6" s="74"/>
      <c r="AL6" s="74"/>
      <c r="AM6" s="74"/>
      <c r="AN6" s="74"/>
      <c r="AO6" s="74"/>
      <c r="AP6" s="74"/>
      <c r="AQ6" s="74"/>
      <c r="AR6" s="74"/>
      <c r="AS6" s="74"/>
      <c r="AT6" s="74">
        <v>0</v>
      </c>
      <c r="AU6" s="1300"/>
      <c r="AV6" s="74">
        <v>9894.6540000000005</v>
      </c>
      <c r="AW6" s="74">
        <v>0</v>
      </c>
      <c r="AX6" s="74">
        <v>1915.2</v>
      </c>
      <c r="AY6" s="74">
        <v>0</v>
      </c>
      <c r="AZ6" s="74">
        <v>116.02079999999999</v>
      </c>
      <c r="BA6" s="74">
        <v>0</v>
      </c>
      <c r="BB6" s="74">
        <v>0</v>
      </c>
      <c r="BC6" s="74">
        <v>0</v>
      </c>
      <c r="BD6" s="74">
        <v>844563.02400000009</v>
      </c>
      <c r="BE6" s="74">
        <v>0</v>
      </c>
    </row>
    <row r="7" spans="1:57">
      <c r="A7" s="73" t="s">
        <v>155</v>
      </c>
      <c r="B7" s="74">
        <v>0</v>
      </c>
      <c r="C7" s="74">
        <v>0</v>
      </c>
      <c r="D7" s="74">
        <v>0</v>
      </c>
      <c r="E7" s="74">
        <v>0</v>
      </c>
      <c r="F7" s="74">
        <v>0</v>
      </c>
      <c r="G7" s="74">
        <v>0</v>
      </c>
      <c r="H7" s="74">
        <v>0</v>
      </c>
      <c r="I7" s="74"/>
      <c r="J7" s="74"/>
      <c r="K7" s="74"/>
      <c r="L7" s="74"/>
      <c r="M7" s="76"/>
      <c r="N7" s="74"/>
      <c r="O7" s="74"/>
      <c r="P7" s="74"/>
      <c r="Q7" s="74">
        <v>0</v>
      </c>
      <c r="R7" s="74">
        <v>0</v>
      </c>
      <c r="S7" s="74">
        <v>0</v>
      </c>
      <c r="T7" s="74">
        <v>0</v>
      </c>
      <c r="U7" s="74">
        <v>0</v>
      </c>
      <c r="V7" s="76">
        <v>35802.400000000001</v>
      </c>
      <c r="W7" s="74">
        <v>308603.56728538277</v>
      </c>
      <c r="X7" s="74">
        <v>0</v>
      </c>
      <c r="Y7" s="74">
        <v>0</v>
      </c>
      <c r="Z7" s="75"/>
      <c r="AA7" s="74">
        <v>0</v>
      </c>
      <c r="AB7" s="74">
        <v>308603.56728538277</v>
      </c>
      <c r="AC7" s="74"/>
      <c r="AD7" s="74"/>
      <c r="AE7" s="74"/>
      <c r="AF7" s="74"/>
      <c r="AG7" s="74"/>
      <c r="AH7" s="74"/>
      <c r="AI7" s="74"/>
      <c r="AJ7" s="74"/>
      <c r="AK7" s="74"/>
      <c r="AL7" s="74"/>
      <c r="AM7" s="74"/>
      <c r="AN7" s="74"/>
      <c r="AO7" s="74"/>
      <c r="AP7" s="74"/>
      <c r="AQ7" s="74"/>
      <c r="AR7" s="74"/>
      <c r="AS7" s="74"/>
      <c r="AT7" s="74">
        <v>0</v>
      </c>
      <c r="AU7" s="74"/>
      <c r="AV7" s="74"/>
      <c r="AW7" s="74"/>
      <c r="AX7" s="74"/>
      <c r="AY7" s="74"/>
      <c r="AZ7" s="74"/>
      <c r="BA7" s="74">
        <v>0</v>
      </c>
      <c r="BB7" s="74">
        <v>0</v>
      </c>
      <c r="BC7" s="74">
        <v>0</v>
      </c>
      <c r="BD7" s="74">
        <v>0</v>
      </c>
      <c r="BE7" s="74">
        <v>0</v>
      </c>
    </row>
    <row r="8" spans="1:57" ht="15">
      <c r="A8" s="73" t="s">
        <v>156</v>
      </c>
      <c r="B8" s="74">
        <v>57428.12</v>
      </c>
      <c r="C8" s="74">
        <v>0</v>
      </c>
      <c r="D8" s="74">
        <v>57428.12</v>
      </c>
      <c r="E8" s="74">
        <v>0</v>
      </c>
      <c r="F8" s="74">
        <v>0</v>
      </c>
      <c r="G8" s="74">
        <v>0</v>
      </c>
      <c r="H8" s="74">
        <v>0</v>
      </c>
      <c r="I8" s="74">
        <v>0</v>
      </c>
      <c r="J8" s="74">
        <v>0</v>
      </c>
      <c r="K8" s="74">
        <v>0</v>
      </c>
      <c r="L8" s="74">
        <v>0</v>
      </c>
      <c r="M8" s="76">
        <v>0</v>
      </c>
      <c r="N8" s="74">
        <v>0</v>
      </c>
      <c r="O8" s="74">
        <v>0</v>
      </c>
      <c r="P8" s="74">
        <v>0</v>
      </c>
      <c r="Q8" s="74">
        <v>0</v>
      </c>
      <c r="R8" s="74">
        <v>0</v>
      </c>
      <c r="S8" s="74">
        <v>0</v>
      </c>
      <c r="T8" s="74">
        <v>0</v>
      </c>
      <c r="U8" s="74">
        <v>0</v>
      </c>
      <c r="V8" s="76">
        <v>52201.61</v>
      </c>
      <c r="W8" s="74">
        <v>926356.32638568</v>
      </c>
      <c r="X8" s="74">
        <v>926356.32638568</v>
      </c>
      <c r="Y8" s="74">
        <v>0</v>
      </c>
      <c r="Z8" s="74">
        <v>0</v>
      </c>
      <c r="AA8" s="74">
        <v>0</v>
      </c>
      <c r="AB8" s="74">
        <v>0</v>
      </c>
      <c r="AC8" s="74">
        <v>0</v>
      </c>
      <c r="AD8" s="74">
        <v>0</v>
      </c>
      <c r="AE8" s="74">
        <v>105.13174444444449</v>
      </c>
      <c r="AF8" s="74">
        <v>14986.755471891889</v>
      </c>
      <c r="AG8" s="74">
        <v>1394.321535205479</v>
      </c>
      <c r="AH8" s="74">
        <v>0</v>
      </c>
      <c r="AI8" s="74">
        <v>9321.3474623456787</v>
      </c>
      <c r="AJ8" s="74">
        <v>1.8485839506172841</v>
      </c>
      <c r="AK8" s="74">
        <v>74844.069916896566</v>
      </c>
      <c r="AL8" s="74">
        <v>4206.3969178947364</v>
      </c>
      <c r="AM8" s="74">
        <v>0</v>
      </c>
      <c r="AN8" s="74">
        <v>215.03208296296299</v>
      </c>
      <c r="AO8" s="74">
        <v>9424.2159353333336</v>
      </c>
      <c r="AP8" s="74">
        <v>6.1492471153846147</v>
      </c>
      <c r="AQ8" s="74">
        <v>1466.8191075</v>
      </c>
      <c r="AR8" s="74">
        <v>0</v>
      </c>
      <c r="AS8" s="74">
        <v>19291.431292087909</v>
      </c>
      <c r="AT8" s="74">
        <v>0</v>
      </c>
      <c r="AU8" s="1300">
        <v>109374.5454545454</v>
      </c>
      <c r="AV8" s="74"/>
      <c r="AW8" s="74"/>
      <c r="AX8" s="74"/>
      <c r="AY8" s="74"/>
      <c r="AZ8" s="74"/>
      <c r="BA8" s="74">
        <v>0</v>
      </c>
      <c r="BB8" s="74">
        <v>0</v>
      </c>
      <c r="BC8" s="74">
        <v>0</v>
      </c>
      <c r="BD8" s="74">
        <v>38246.400000000001</v>
      </c>
      <c r="BE8" s="74">
        <v>0</v>
      </c>
    </row>
    <row r="9" spans="1:57">
      <c r="A9" s="73" t="s">
        <v>157</v>
      </c>
      <c r="B9" s="74">
        <v>-1926941.6869999999</v>
      </c>
      <c r="C9" s="74">
        <v>0</v>
      </c>
      <c r="D9" s="74">
        <v>-20834.014999999999</v>
      </c>
      <c r="E9" s="74">
        <v>-1906107.672</v>
      </c>
      <c r="F9" s="74">
        <v>0</v>
      </c>
      <c r="G9" s="74">
        <v>0</v>
      </c>
      <c r="H9" s="74">
        <v>0</v>
      </c>
      <c r="I9" s="74">
        <v>0</v>
      </c>
      <c r="J9" s="74">
        <v>0</v>
      </c>
      <c r="K9" s="74">
        <v>0</v>
      </c>
      <c r="L9" s="74">
        <v>0</v>
      </c>
      <c r="M9" s="76">
        <v>0</v>
      </c>
      <c r="N9" s="74">
        <v>0</v>
      </c>
      <c r="O9" s="74">
        <v>0</v>
      </c>
      <c r="P9" s="74">
        <v>0</v>
      </c>
      <c r="Q9" s="74">
        <v>0</v>
      </c>
      <c r="R9" s="74">
        <v>0</v>
      </c>
      <c r="S9" s="74">
        <v>0</v>
      </c>
      <c r="T9" s="74">
        <v>0</v>
      </c>
      <c r="U9" s="74">
        <v>0</v>
      </c>
      <c r="V9" s="76">
        <v>0</v>
      </c>
      <c r="W9" s="74">
        <v>-20838.03412968</v>
      </c>
      <c r="X9" s="74">
        <v>-20838.03412968</v>
      </c>
      <c r="Y9" s="74">
        <v>0</v>
      </c>
      <c r="Z9" s="74">
        <v>0</v>
      </c>
      <c r="AA9" s="74">
        <v>0</v>
      </c>
      <c r="AB9" s="74">
        <v>0</v>
      </c>
      <c r="AC9" s="74">
        <v>0</v>
      </c>
      <c r="AD9" s="74">
        <v>0</v>
      </c>
      <c r="AE9" s="74">
        <v>-549.93525222222218</v>
      </c>
      <c r="AF9" s="74">
        <v>-3548.8458656756761</v>
      </c>
      <c r="AG9" s="74">
        <v>-225.64281164383561</v>
      </c>
      <c r="AH9" s="74">
        <v>0</v>
      </c>
      <c r="AI9" s="74">
        <v>-4821.5598079012334</v>
      </c>
      <c r="AJ9" s="74">
        <v>-205.79623827160489</v>
      </c>
      <c r="AK9" s="74">
        <v>-28736.592522758619</v>
      </c>
      <c r="AL9" s="74">
        <v>-61887.355098947359</v>
      </c>
      <c r="AM9" s="74">
        <v>0</v>
      </c>
      <c r="AN9" s="74">
        <v>-793.93625259259261</v>
      </c>
      <c r="AO9" s="74">
        <v>-4708.9429099999988</v>
      </c>
      <c r="AP9" s="74">
        <v>-8587.6355936538457</v>
      </c>
      <c r="AQ9" s="74">
        <v>-5299.0486762500004</v>
      </c>
      <c r="AR9" s="74">
        <v>0</v>
      </c>
      <c r="AS9" s="74">
        <v>-6507.4773553846162</v>
      </c>
      <c r="AT9" s="74">
        <v>0</v>
      </c>
      <c r="AU9" s="74"/>
      <c r="AV9" s="74"/>
      <c r="AW9" s="74"/>
      <c r="AX9" s="74"/>
      <c r="AY9" s="74"/>
      <c r="AZ9" s="74"/>
      <c r="BA9" s="74">
        <v>0</v>
      </c>
      <c r="BB9" s="74">
        <v>0</v>
      </c>
      <c r="BC9" s="74">
        <v>0</v>
      </c>
      <c r="BD9" s="74">
        <v>-48920.4</v>
      </c>
      <c r="BE9" s="74">
        <v>0</v>
      </c>
    </row>
    <row r="10" spans="1:57">
      <c r="A10" s="73" t="s">
        <v>158</v>
      </c>
      <c r="B10" s="74">
        <v>0</v>
      </c>
      <c r="C10" s="74">
        <v>0</v>
      </c>
      <c r="D10" s="74">
        <v>0</v>
      </c>
      <c r="E10" s="74">
        <v>0</v>
      </c>
      <c r="F10" s="74">
        <v>0</v>
      </c>
      <c r="G10" s="74">
        <v>0</v>
      </c>
      <c r="H10" s="74">
        <v>0</v>
      </c>
      <c r="I10" s="74">
        <v>0</v>
      </c>
      <c r="J10" s="74">
        <v>0</v>
      </c>
      <c r="K10" s="74">
        <v>0</v>
      </c>
      <c r="L10" s="74">
        <v>0</v>
      </c>
      <c r="M10" s="76">
        <v>0</v>
      </c>
      <c r="N10" s="74">
        <v>0</v>
      </c>
      <c r="O10" s="74">
        <v>0</v>
      </c>
      <c r="P10" s="74">
        <v>0</v>
      </c>
      <c r="Q10" s="74">
        <v>0</v>
      </c>
      <c r="R10" s="74">
        <v>0</v>
      </c>
      <c r="S10" s="74">
        <v>0</v>
      </c>
      <c r="T10" s="74">
        <v>0</v>
      </c>
      <c r="U10" s="74">
        <v>0</v>
      </c>
      <c r="V10" s="76">
        <v>0</v>
      </c>
      <c r="W10" s="74">
        <v>0</v>
      </c>
      <c r="X10" s="74">
        <v>0</v>
      </c>
      <c r="Y10" s="74">
        <v>0</v>
      </c>
      <c r="Z10" s="74">
        <v>0</v>
      </c>
      <c r="AA10" s="74">
        <v>0</v>
      </c>
      <c r="AB10" s="74">
        <v>0</v>
      </c>
      <c r="AC10" s="74">
        <v>0</v>
      </c>
      <c r="AD10" s="74">
        <v>0</v>
      </c>
      <c r="AE10" s="74">
        <v>0</v>
      </c>
      <c r="AF10" s="74">
        <v>0</v>
      </c>
      <c r="AG10" s="74">
        <v>0</v>
      </c>
      <c r="AH10" s="74">
        <v>0</v>
      </c>
      <c r="AI10" s="74">
        <v>0</v>
      </c>
      <c r="AJ10" s="74">
        <v>0</v>
      </c>
      <c r="AK10" s="74">
        <v>-9921.7739333999998</v>
      </c>
      <c r="AL10" s="74">
        <v>-97592.864054399994</v>
      </c>
      <c r="AM10" s="74">
        <v>0</v>
      </c>
      <c r="AN10" s="74">
        <v>0</v>
      </c>
      <c r="AO10" s="74">
        <v>0</v>
      </c>
      <c r="AP10" s="74">
        <v>0</v>
      </c>
      <c r="AQ10" s="74">
        <v>0</v>
      </c>
      <c r="AR10" s="74">
        <v>0</v>
      </c>
      <c r="AS10" s="74">
        <v>0</v>
      </c>
      <c r="AT10" s="74">
        <v>0</v>
      </c>
      <c r="AU10" s="74"/>
      <c r="AV10" s="74"/>
      <c r="AW10" s="74"/>
      <c r="AX10" s="74"/>
      <c r="AY10" s="74"/>
      <c r="AZ10" s="74"/>
      <c r="BA10" s="74">
        <v>0</v>
      </c>
      <c r="BB10" s="74">
        <v>0</v>
      </c>
      <c r="BC10" s="74">
        <v>0</v>
      </c>
      <c r="BD10" s="74">
        <v>0</v>
      </c>
      <c r="BE10" s="74">
        <v>0</v>
      </c>
    </row>
    <row r="11" spans="1:57">
      <c r="A11" s="73" t="s">
        <v>159</v>
      </c>
      <c r="B11" s="74">
        <v>-197740.92600000001</v>
      </c>
      <c r="C11" s="74">
        <v>0</v>
      </c>
      <c r="D11" s="74">
        <v>0</v>
      </c>
      <c r="E11" s="74">
        <v>-197740.92600000001</v>
      </c>
      <c r="F11" s="74">
        <v>0</v>
      </c>
      <c r="G11" s="74">
        <v>0</v>
      </c>
      <c r="H11" s="74">
        <v>0</v>
      </c>
      <c r="I11" s="74">
        <v>0</v>
      </c>
      <c r="J11" s="74">
        <v>0</v>
      </c>
      <c r="K11" s="74">
        <v>0</v>
      </c>
      <c r="L11" s="74">
        <v>0</v>
      </c>
      <c r="M11" s="76">
        <v>0</v>
      </c>
      <c r="N11" s="74">
        <v>0</v>
      </c>
      <c r="O11" s="74">
        <v>0</v>
      </c>
      <c r="P11" s="74">
        <v>0</v>
      </c>
      <c r="Q11" s="74">
        <v>0</v>
      </c>
      <c r="R11" s="74">
        <v>0</v>
      </c>
      <c r="S11" s="74">
        <v>0</v>
      </c>
      <c r="T11" s="74">
        <v>0</v>
      </c>
      <c r="U11" s="74">
        <v>0</v>
      </c>
      <c r="V11" s="76">
        <v>0</v>
      </c>
      <c r="W11" s="74">
        <v>0</v>
      </c>
      <c r="X11" s="74">
        <v>0</v>
      </c>
      <c r="Y11" s="74">
        <v>0</v>
      </c>
      <c r="Z11" s="74">
        <v>0</v>
      </c>
      <c r="AA11" s="74">
        <v>0</v>
      </c>
      <c r="AB11" s="74">
        <v>0</v>
      </c>
      <c r="AC11" s="74">
        <v>0</v>
      </c>
      <c r="AD11" s="74">
        <v>0</v>
      </c>
      <c r="AE11" s="74">
        <v>0</v>
      </c>
      <c r="AF11" s="74">
        <v>0</v>
      </c>
      <c r="AG11" s="74">
        <v>-423.93247116164378</v>
      </c>
      <c r="AH11" s="74">
        <v>0</v>
      </c>
      <c r="AI11" s="74">
        <v>0</v>
      </c>
      <c r="AJ11" s="74">
        <v>0</v>
      </c>
      <c r="AK11" s="74">
        <v>0</v>
      </c>
      <c r="AL11" s="74">
        <v>0</v>
      </c>
      <c r="AM11" s="74">
        <v>0</v>
      </c>
      <c r="AN11" s="74">
        <v>0</v>
      </c>
      <c r="AO11" s="74">
        <v>0</v>
      </c>
      <c r="AP11" s="74">
        <v>0</v>
      </c>
      <c r="AQ11" s="74">
        <v>0</v>
      </c>
      <c r="AR11" s="74">
        <v>0</v>
      </c>
      <c r="AS11" s="74">
        <v>0</v>
      </c>
      <c r="AT11" s="74">
        <v>0</v>
      </c>
      <c r="AU11" s="74"/>
      <c r="AV11" s="74"/>
      <c r="AW11" s="74"/>
      <c r="AX11" s="74"/>
      <c r="AY11" s="74"/>
      <c r="AZ11" s="74"/>
      <c r="BA11" s="74">
        <v>0</v>
      </c>
      <c r="BB11" s="74">
        <v>0</v>
      </c>
      <c r="BC11" s="74">
        <v>0</v>
      </c>
      <c r="BD11" s="74">
        <v>0</v>
      </c>
      <c r="BE11" s="74">
        <v>0</v>
      </c>
    </row>
    <row r="12" spans="1:57">
      <c r="A12" s="77" t="s">
        <v>160</v>
      </c>
      <c r="B12" s="78">
        <v>3721156.3034000001</v>
      </c>
      <c r="C12" s="78">
        <v>0</v>
      </c>
      <c r="D12" s="78">
        <v>85711.248999999996</v>
      </c>
      <c r="E12" s="78">
        <v>3635445.0543999998</v>
      </c>
      <c r="F12" s="78">
        <v>0</v>
      </c>
      <c r="G12" s="78">
        <v>0</v>
      </c>
      <c r="H12" s="78">
        <v>0</v>
      </c>
      <c r="I12" s="78">
        <v>0</v>
      </c>
      <c r="J12" s="78">
        <v>0</v>
      </c>
      <c r="K12" s="78">
        <v>0</v>
      </c>
      <c r="L12" s="78">
        <v>0</v>
      </c>
      <c r="M12" s="79">
        <v>0</v>
      </c>
      <c r="N12" s="78">
        <v>0</v>
      </c>
      <c r="O12" s="78">
        <v>0</v>
      </c>
      <c r="P12" s="78">
        <v>0</v>
      </c>
      <c r="Q12" s="78">
        <v>428396</v>
      </c>
      <c r="R12" s="78">
        <v>0</v>
      </c>
      <c r="S12" s="78">
        <v>0</v>
      </c>
      <c r="T12" s="78">
        <v>0</v>
      </c>
      <c r="U12" s="78">
        <v>0</v>
      </c>
      <c r="V12" s="79">
        <v>160317.60750000001</v>
      </c>
      <c r="W12" s="78">
        <v>1214121.8595413801</v>
      </c>
      <c r="X12" s="78">
        <v>905518.29225599999</v>
      </c>
      <c r="Y12" s="78">
        <v>0</v>
      </c>
      <c r="Z12" s="78">
        <v>0</v>
      </c>
      <c r="AA12" s="78">
        <v>0</v>
      </c>
      <c r="AB12" s="78">
        <v>308603.56728538277</v>
      </c>
      <c r="AC12" s="78">
        <v>0</v>
      </c>
      <c r="AD12" s="78">
        <v>0</v>
      </c>
      <c r="AE12" s="78">
        <v>-444.80350777777772</v>
      </c>
      <c r="AF12" s="78">
        <v>11437.909606216221</v>
      </c>
      <c r="AG12" s="78">
        <v>744.74625240000012</v>
      </c>
      <c r="AH12" s="78">
        <v>0</v>
      </c>
      <c r="AI12" s="78">
        <v>4499.7876544444453</v>
      </c>
      <c r="AJ12" s="78">
        <v>-203.94765432098771</v>
      </c>
      <c r="AK12" s="78">
        <v>36185.703460737939</v>
      </c>
      <c r="AL12" s="78">
        <v>-155273.82223545259</v>
      </c>
      <c r="AM12" s="78">
        <v>0</v>
      </c>
      <c r="AN12" s="78">
        <v>-578.90416962962968</v>
      </c>
      <c r="AO12" s="78">
        <v>4715.2730253333339</v>
      </c>
      <c r="AP12" s="78">
        <v>-8581.4863465384606</v>
      </c>
      <c r="AQ12" s="78">
        <v>-3832.22956875</v>
      </c>
      <c r="AR12" s="78">
        <v>0</v>
      </c>
      <c r="AS12" s="78">
        <v>12783.953936703299</v>
      </c>
      <c r="AT12" s="78">
        <v>0</v>
      </c>
      <c r="AU12" s="78">
        <v>109374.5454545454</v>
      </c>
      <c r="AV12" s="78">
        <v>9894.6540000000005</v>
      </c>
      <c r="AW12" s="78">
        <v>0</v>
      </c>
      <c r="AX12" s="78">
        <v>1915.2</v>
      </c>
      <c r="AY12" s="78">
        <v>0</v>
      </c>
      <c r="AZ12" s="78">
        <v>116.02079999999999</v>
      </c>
      <c r="BA12" s="78">
        <v>0</v>
      </c>
      <c r="BB12" s="78">
        <v>0</v>
      </c>
      <c r="BC12" s="78">
        <v>0</v>
      </c>
      <c r="BD12" s="78">
        <v>833889.02400000009</v>
      </c>
      <c r="BE12" s="78">
        <v>0</v>
      </c>
    </row>
    <row r="13" spans="1:57">
      <c r="A13" s="73"/>
      <c r="B13" s="74"/>
      <c r="C13" s="74"/>
      <c r="D13" s="74"/>
      <c r="E13" s="74"/>
      <c r="F13" s="74"/>
      <c r="I13" s="74"/>
      <c r="J13" s="74"/>
      <c r="K13" s="74"/>
      <c r="L13" s="74"/>
      <c r="M13" s="76"/>
      <c r="O13" s="74"/>
      <c r="P13" s="74"/>
      <c r="Q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row>
    <row r="14" spans="1:57">
      <c r="A14" s="73" t="s">
        <v>161</v>
      </c>
      <c r="B14" s="74">
        <v>0</v>
      </c>
      <c r="C14" s="74" t="s">
        <v>162</v>
      </c>
      <c r="D14" s="74">
        <v>0</v>
      </c>
      <c r="E14" s="74">
        <v>0</v>
      </c>
      <c r="F14" s="74">
        <v>0</v>
      </c>
      <c r="G14" s="74">
        <v>0</v>
      </c>
      <c r="H14" s="74">
        <v>0</v>
      </c>
      <c r="I14" s="74">
        <v>0</v>
      </c>
      <c r="J14" s="74">
        <v>0</v>
      </c>
      <c r="K14" s="74">
        <v>0</v>
      </c>
      <c r="L14" s="74">
        <v>0</v>
      </c>
      <c r="M14" s="76">
        <v>0</v>
      </c>
      <c r="N14" s="74">
        <v>0</v>
      </c>
      <c r="O14" s="74">
        <v>0</v>
      </c>
      <c r="P14" s="74">
        <v>0</v>
      </c>
      <c r="Q14" s="74">
        <v>0</v>
      </c>
      <c r="R14" s="74">
        <v>0</v>
      </c>
      <c r="S14" s="74">
        <v>0</v>
      </c>
      <c r="T14" s="74">
        <v>0</v>
      </c>
      <c r="U14" s="74">
        <v>0</v>
      </c>
      <c r="V14" s="76">
        <v>0</v>
      </c>
      <c r="W14" s="74">
        <v>0</v>
      </c>
      <c r="X14" s="74">
        <v>0</v>
      </c>
      <c r="Y14" s="74">
        <v>0</v>
      </c>
      <c r="Z14" s="74">
        <v>0</v>
      </c>
      <c r="AA14" s="74">
        <v>0</v>
      </c>
      <c r="AB14" s="74">
        <v>0</v>
      </c>
      <c r="AC14" s="74">
        <v>0</v>
      </c>
      <c r="AD14" s="74">
        <v>0</v>
      </c>
      <c r="AE14" s="74">
        <v>0</v>
      </c>
      <c r="AF14" s="74">
        <v>0</v>
      </c>
      <c r="AG14" s="74">
        <v>0</v>
      </c>
      <c r="AH14" s="74">
        <v>0</v>
      </c>
      <c r="AI14" s="74">
        <v>0</v>
      </c>
      <c r="AJ14" s="74">
        <v>0</v>
      </c>
      <c r="AK14" s="74">
        <v>0</v>
      </c>
      <c r="AL14" s="74">
        <v>0</v>
      </c>
      <c r="AM14" s="74">
        <v>0</v>
      </c>
      <c r="AN14" s="74">
        <v>0</v>
      </c>
      <c r="AO14" s="74">
        <v>0</v>
      </c>
      <c r="AP14" s="74">
        <v>0</v>
      </c>
      <c r="AQ14" s="74">
        <v>0</v>
      </c>
      <c r="AR14" s="74">
        <v>0</v>
      </c>
      <c r="AS14" s="74">
        <v>0</v>
      </c>
      <c r="AT14" s="74">
        <v>0</v>
      </c>
      <c r="AU14" s="74"/>
      <c r="AV14" s="74"/>
      <c r="AW14" s="74"/>
      <c r="AX14" s="74"/>
      <c r="AY14" s="74"/>
      <c r="AZ14" s="74"/>
      <c r="BA14" s="74">
        <v>0</v>
      </c>
      <c r="BB14" s="74">
        <v>0</v>
      </c>
      <c r="BC14" s="74">
        <v>0</v>
      </c>
      <c r="BD14" s="74">
        <v>0</v>
      </c>
      <c r="BE14" s="74">
        <v>0</v>
      </c>
    </row>
    <row r="15" spans="1:57">
      <c r="A15" s="73" t="s">
        <v>163</v>
      </c>
      <c r="B15" s="74">
        <v>164306.04149999889</v>
      </c>
      <c r="C15" s="74" t="s">
        <v>162</v>
      </c>
      <c r="D15" s="74">
        <v>7822.0749999999971</v>
      </c>
      <c r="E15" s="74">
        <v>156483.96649999969</v>
      </c>
      <c r="F15" s="74">
        <v>0</v>
      </c>
      <c r="G15" s="74">
        <v>0</v>
      </c>
      <c r="H15" s="74">
        <v>0</v>
      </c>
      <c r="I15" s="74">
        <v>0</v>
      </c>
      <c r="J15" s="74">
        <v>0</v>
      </c>
      <c r="K15" s="74">
        <v>0</v>
      </c>
      <c r="L15" s="74">
        <v>0</v>
      </c>
      <c r="M15" s="74">
        <v>88004.01</v>
      </c>
      <c r="N15" s="74">
        <v>0</v>
      </c>
      <c r="O15" s="74">
        <v>-3309</v>
      </c>
      <c r="P15" s="74">
        <v>0</v>
      </c>
      <c r="Q15" s="74">
        <v>0</v>
      </c>
      <c r="R15" s="74">
        <v>0</v>
      </c>
      <c r="S15" s="74">
        <v>0</v>
      </c>
      <c r="T15" s="74">
        <v>0</v>
      </c>
      <c r="U15" s="74">
        <v>0</v>
      </c>
      <c r="V15" s="74">
        <v>-88004.01</v>
      </c>
      <c r="W15" s="74">
        <v>-308603.56728538289</v>
      </c>
      <c r="X15" s="74">
        <v>0</v>
      </c>
      <c r="Y15" s="74">
        <v>0</v>
      </c>
      <c r="Z15" s="74">
        <v>0</v>
      </c>
      <c r="AA15" s="74">
        <v>0</v>
      </c>
      <c r="AB15" s="74">
        <v>-308603.56728538277</v>
      </c>
      <c r="AC15" s="74">
        <v>-3.0275800000000002E-3</v>
      </c>
      <c r="AD15" s="74">
        <v>0</v>
      </c>
      <c r="AE15" s="74">
        <v>1.8189894035458601E-12</v>
      </c>
      <c r="AF15" s="74">
        <v>1.16415321826935E-10</v>
      </c>
      <c r="AG15" s="74">
        <v>-1.13686837721616E-13</v>
      </c>
      <c r="AH15" s="74">
        <v>0</v>
      </c>
      <c r="AI15" s="74">
        <v>0</v>
      </c>
      <c r="AJ15" s="74">
        <v>0</v>
      </c>
      <c r="AK15" s="74">
        <v>-5.8207660913467401E-11</v>
      </c>
      <c r="AL15" s="74">
        <v>3.6379788070917101E-12</v>
      </c>
      <c r="AM15" s="74">
        <v>0</v>
      </c>
      <c r="AN15" s="74">
        <v>4253.9954766000001</v>
      </c>
      <c r="AO15" s="74">
        <v>17195.366607600001</v>
      </c>
      <c r="AP15" s="74">
        <v>-1.8189894035458601E-12</v>
      </c>
      <c r="AQ15" s="74">
        <v>2.8421709430404002E-13</v>
      </c>
      <c r="AR15" s="74">
        <v>0</v>
      </c>
      <c r="AS15" s="74">
        <v>-1.7670329725660801E-4</v>
      </c>
      <c r="AT15" s="74">
        <v>0</v>
      </c>
      <c r="AU15" s="74">
        <v>0</v>
      </c>
      <c r="AV15" s="74">
        <v>0</v>
      </c>
      <c r="AW15" s="74">
        <v>0</v>
      </c>
      <c r="AX15" s="74">
        <v>0</v>
      </c>
      <c r="AY15" s="74">
        <v>0</v>
      </c>
      <c r="AZ15" s="74">
        <v>0</v>
      </c>
      <c r="BA15" s="74">
        <v>0</v>
      </c>
      <c r="BB15" s="74">
        <v>0</v>
      </c>
      <c r="BC15" s="74">
        <v>0</v>
      </c>
      <c r="BD15" s="74">
        <v>14760831.3961032</v>
      </c>
      <c r="BE15" s="74">
        <v>0</v>
      </c>
    </row>
    <row r="16" spans="1:57">
      <c r="A16" s="73"/>
      <c r="B16" s="74"/>
      <c r="C16" s="74"/>
      <c r="D16" s="74"/>
      <c r="E16" s="74"/>
      <c r="F16" s="74"/>
      <c r="G16" s="74"/>
      <c r="H16" s="74"/>
      <c r="I16" s="74"/>
      <c r="J16" s="74"/>
      <c r="K16" s="74"/>
      <c r="L16" s="74"/>
      <c r="M16" s="76"/>
      <c r="N16" s="74"/>
      <c r="O16" s="74"/>
      <c r="P16" s="74"/>
      <c r="Q16" s="74"/>
      <c r="R16" s="74"/>
      <c r="S16" s="74"/>
      <c r="T16" s="74"/>
      <c r="U16" s="74"/>
      <c r="V16" s="76"/>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row>
    <row r="17" spans="1:57">
      <c r="A17" s="77" t="s">
        <v>164</v>
      </c>
      <c r="B17" s="74">
        <v>-3221727.6258999999</v>
      </c>
      <c r="C17" s="74">
        <v>0</v>
      </c>
      <c r="D17" s="74">
        <v>-68315.691999999995</v>
      </c>
      <c r="E17" s="74">
        <v>-3153411.9339000001</v>
      </c>
      <c r="F17" s="74">
        <v>0</v>
      </c>
      <c r="G17" s="74">
        <v>0</v>
      </c>
      <c r="H17" s="74">
        <v>0</v>
      </c>
      <c r="I17" s="74">
        <v>0</v>
      </c>
      <c r="J17" s="74">
        <v>50250.383099999992</v>
      </c>
      <c r="K17" s="74">
        <v>0</v>
      </c>
      <c r="L17" s="74">
        <v>0</v>
      </c>
      <c r="M17" s="76">
        <v>17680.580000000002</v>
      </c>
      <c r="N17" s="74">
        <v>0</v>
      </c>
      <c r="O17" s="74">
        <v>19054</v>
      </c>
      <c r="P17" s="74">
        <v>0</v>
      </c>
      <c r="Q17" s="74">
        <v>-237996</v>
      </c>
      <c r="R17" s="74">
        <v>0</v>
      </c>
      <c r="S17" s="74">
        <v>0</v>
      </c>
      <c r="T17" s="74">
        <v>0</v>
      </c>
      <c r="U17" s="74">
        <v>0</v>
      </c>
      <c r="V17" s="76">
        <v>-72313.597500000003</v>
      </c>
      <c r="W17" s="74">
        <v>-905518.29225599999</v>
      </c>
      <c r="X17" s="74">
        <v>-905518.29225599999</v>
      </c>
      <c r="Y17" s="74">
        <v>0</v>
      </c>
      <c r="Z17" s="74">
        <v>0</v>
      </c>
      <c r="AA17" s="74">
        <v>0</v>
      </c>
      <c r="AB17" s="74">
        <v>0</v>
      </c>
      <c r="AC17" s="74">
        <v>0.02</v>
      </c>
      <c r="AD17" s="74">
        <v>0</v>
      </c>
      <c r="AE17" s="74">
        <v>13823.28781537778</v>
      </c>
      <c r="AF17" s="74">
        <v>374654.65872658382</v>
      </c>
      <c r="AG17" s="74">
        <v>0</v>
      </c>
      <c r="AH17" s="74">
        <v>0</v>
      </c>
      <c r="AI17" s="74">
        <v>73443.15394795555</v>
      </c>
      <c r="AJ17" s="74">
        <v>27522.878340320989</v>
      </c>
      <c r="AK17" s="74">
        <v>284146.83222546207</v>
      </c>
      <c r="AL17" s="74">
        <v>175074.86987065259</v>
      </c>
      <c r="AM17" s="74">
        <v>0</v>
      </c>
      <c r="AN17" s="74">
        <v>4832.8996462296291</v>
      </c>
      <c r="AO17" s="74">
        <v>12480.09358226666</v>
      </c>
      <c r="AP17" s="74">
        <v>20868.561513738459</v>
      </c>
      <c r="AQ17" s="74">
        <v>4156.6356091500002</v>
      </c>
      <c r="AR17" s="74">
        <v>0</v>
      </c>
      <c r="AS17" s="74">
        <v>0</v>
      </c>
      <c r="AT17" s="74">
        <v>0</v>
      </c>
      <c r="AU17" s="74">
        <v>-109374.5454545454</v>
      </c>
      <c r="AV17" s="74">
        <v>-9894.6540000000005</v>
      </c>
      <c r="AW17" s="74">
        <v>0</v>
      </c>
      <c r="AX17" s="74">
        <v>-1915.2</v>
      </c>
      <c r="AY17" s="74">
        <v>0</v>
      </c>
      <c r="AZ17" s="74">
        <v>-116.02079999999999</v>
      </c>
      <c r="BA17" s="74">
        <v>0</v>
      </c>
      <c r="BB17" s="74">
        <v>0</v>
      </c>
      <c r="BC17" s="74">
        <v>0</v>
      </c>
      <c r="BD17" s="74">
        <v>-844563.02400000009</v>
      </c>
      <c r="BE17" s="74">
        <v>0</v>
      </c>
    </row>
    <row r="18" spans="1:57">
      <c r="A18" s="73" t="s">
        <v>165</v>
      </c>
      <c r="B18" s="74">
        <v>-2155476.5438999999</v>
      </c>
      <c r="C18" s="74">
        <v>0</v>
      </c>
      <c r="D18" s="74">
        <v>0</v>
      </c>
      <c r="E18" s="74">
        <v>-2155476.5438999999</v>
      </c>
      <c r="F18" s="74">
        <v>0</v>
      </c>
      <c r="G18" s="74">
        <v>0</v>
      </c>
      <c r="H18" s="74">
        <v>0</v>
      </c>
      <c r="I18" s="74">
        <v>0</v>
      </c>
      <c r="J18" s="74">
        <v>0</v>
      </c>
      <c r="K18" s="74">
        <v>0</v>
      </c>
      <c r="L18" s="74">
        <v>0</v>
      </c>
      <c r="M18" s="76">
        <v>0</v>
      </c>
      <c r="N18" s="74">
        <v>0</v>
      </c>
      <c r="O18" s="74">
        <v>0</v>
      </c>
      <c r="P18" s="74">
        <v>0</v>
      </c>
      <c r="Q18" s="74">
        <v>0</v>
      </c>
      <c r="R18" s="74">
        <v>0</v>
      </c>
      <c r="S18" s="74">
        <v>0</v>
      </c>
      <c r="T18" s="74">
        <v>0</v>
      </c>
      <c r="U18" s="74">
        <v>0</v>
      </c>
      <c r="V18" s="76">
        <v>0</v>
      </c>
      <c r="W18" s="74">
        <v>0</v>
      </c>
      <c r="X18" s="74">
        <v>0</v>
      </c>
      <c r="Y18" s="74">
        <v>0</v>
      </c>
      <c r="Z18" s="74">
        <v>0</v>
      </c>
      <c r="AA18" s="74">
        <v>0</v>
      </c>
      <c r="AB18" s="74">
        <v>0</v>
      </c>
      <c r="AC18" s="74">
        <v>0</v>
      </c>
      <c r="AD18" s="74">
        <v>0</v>
      </c>
      <c r="AE18" s="74">
        <v>0</v>
      </c>
      <c r="AF18" s="74">
        <v>0</v>
      </c>
      <c r="AG18" s="74">
        <v>0</v>
      </c>
      <c r="AH18" s="74">
        <v>0</v>
      </c>
      <c r="AI18" s="74">
        <v>0</v>
      </c>
      <c r="AJ18" s="74">
        <v>0</v>
      </c>
      <c r="AK18" s="74">
        <v>0</v>
      </c>
      <c r="AL18" s="74">
        <v>0</v>
      </c>
      <c r="AM18" s="74">
        <v>0</v>
      </c>
      <c r="AN18" s="74">
        <v>0</v>
      </c>
      <c r="AO18" s="74">
        <v>0</v>
      </c>
      <c r="AP18" s="74">
        <v>0</v>
      </c>
      <c r="AQ18" s="74">
        <v>0</v>
      </c>
      <c r="AR18" s="74">
        <v>0</v>
      </c>
      <c r="AS18" s="74">
        <v>0</v>
      </c>
      <c r="AT18" s="74">
        <v>0</v>
      </c>
      <c r="AU18" s="74">
        <v>-109374.5454545454</v>
      </c>
      <c r="AV18" s="74">
        <v>-9255.2219999999998</v>
      </c>
      <c r="AW18" s="74">
        <v>0</v>
      </c>
      <c r="AX18" s="74">
        <v>-1915.2</v>
      </c>
      <c r="AY18" s="74">
        <v>0</v>
      </c>
      <c r="AZ18" s="74">
        <v>-116.02079999999999</v>
      </c>
      <c r="BA18" s="74">
        <v>0</v>
      </c>
      <c r="BB18" s="74">
        <v>0</v>
      </c>
      <c r="BC18" s="74">
        <v>0</v>
      </c>
      <c r="BD18" s="74">
        <v>-819169.64280000003</v>
      </c>
      <c r="BE18" s="74"/>
    </row>
    <row r="19" spans="1:57">
      <c r="A19" s="73" t="s">
        <v>166</v>
      </c>
      <c r="B19" s="74">
        <v>-39627.30599999999</v>
      </c>
      <c r="C19" s="74">
        <v>0</v>
      </c>
      <c r="D19" s="74">
        <v>0</v>
      </c>
      <c r="E19" s="74">
        <v>-39627.30599999999</v>
      </c>
      <c r="F19" s="74">
        <v>0</v>
      </c>
      <c r="G19" s="74">
        <v>0</v>
      </c>
      <c r="H19" s="74">
        <v>0</v>
      </c>
      <c r="I19" s="74">
        <v>0</v>
      </c>
      <c r="J19" s="74">
        <v>0</v>
      </c>
      <c r="K19" s="74">
        <v>0</v>
      </c>
      <c r="L19" s="74">
        <v>0</v>
      </c>
      <c r="M19" s="76">
        <v>0</v>
      </c>
      <c r="N19" s="74">
        <v>0</v>
      </c>
      <c r="O19" s="74">
        <v>0</v>
      </c>
      <c r="P19" s="74">
        <v>0</v>
      </c>
      <c r="Q19" s="74">
        <v>0</v>
      </c>
      <c r="R19" s="74">
        <v>0</v>
      </c>
      <c r="S19" s="74">
        <v>0</v>
      </c>
      <c r="T19" s="74">
        <v>0</v>
      </c>
      <c r="U19" s="74">
        <v>0</v>
      </c>
      <c r="V19" s="76">
        <v>0</v>
      </c>
      <c r="W19" s="74">
        <v>0</v>
      </c>
      <c r="X19" s="74">
        <v>0</v>
      </c>
      <c r="Y19" s="74">
        <v>0</v>
      </c>
      <c r="Z19" s="74">
        <v>0</v>
      </c>
      <c r="AA19" s="74">
        <v>0</v>
      </c>
      <c r="AB19" s="74">
        <v>0</v>
      </c>
      <c r="AC19" s="74">
        <v>0</v>
      </c>
      <c r="AD19" s="74">
        <v>0</v>
      </c>
      <c r="AE19" s="74">
        <v>0</v>
      </c>
      <c r="AF19" s="74">
        <v>0</v>
      </c>
      <c r="AG19" s="74">
        <v>0</v>
      </c>
      <c r="AH19" s="74">
        <v>0</v>
      </c>
      <c r="AI19" s="74">
        <v>0</v>
      </c>
      <c r="AJ19" s="74">
        <v>0</v>
      </c>
      <c r="AK19" s="74">
        <v>0</v>
      </c>
      <c r="AL19" s="74">
        <v>0</v>
      </c>
      <c r="AM19" s="74">
        <v>0</v>
      </c>
      <c r="AN19" s="74">
        <v>0</v>
      </c>
      <c r="AO19" s="74">
        <v>0</v>
      </c>
      <c r="AP19" s="74">
        <v>0</v>
      </c>
      <c r="AQ19" s="74">
        <v>0</v>
      </c>
      <c r="AR19" s="74">
        <v>0</v>
      </c>
      <c r="AS19" s="74">
        <v>0</v>
      </c>
      <c r="AT19" s="74">
        <v>0</v>
      </c>
      <c r="AU19" s="74">
        <v>0</v>
      </c>
      <c r="AV19" s="74">
        <v>-639.43200000000002</v>
      </c>
      <c r="AW19" s="74">
        <v>0</v>
      </c>
      <c r="AX19" s="74">
        <v>0</v>
      </c>
      <c r="AY19" s="74">
        <v>0</v>
      </c>
      <c r="AZ19" s="74">
        <v>0</v>
      </c>
      <c r="BA19" s="74">
        <v>0</v>
      </c>
      <c r="BB19" s="74">
        <v>0</v>
      </c>
      <c r="BC19" s="74">
        <v>0</v>
      </c>
      <c r="BD19" s="74">
        <v>-24659.049599999998</v>
      </c>
      <c r="BE19" s="74"/>
    </row>
    <row r="20" spans="1:57">
      <c r="A20" s="73" t="s">
        <v>167</v>
      </c>
      <c r="B20" s="74">
        <v>0</v>
      </c>
      <c r="C20" s="74">
        <v>0</v>
      </c>
      <c r="D20" s="74">
        <v>0</v>
      </c>
      <c r="E20" s="74">
        <v>0</v>
      </c>
      <c r="F20" s="74">
        <v>0</v>
      </c>
      <c r="G20" s="74">
        <v>0</v>
      </c>
      <c r="H20" s="74">
        <v>0</v>
      </c>
      <c r="I20" s="74">
        <v>0</v>
      </c>
      <c r="J20" s="74">
        <v>0</v>
      </c>
      <c r="K20" s="74">
        <v>0</v>
      </c>
      <c r="L20" s="74">
        <v>0</v>
      </c>
      <c r="M20" s="76">
        <v>0</v>
      </c>
      <c r="N20" s="74">
        <v>0</v>
      </c>
      <c r="O20" s="74">
        <v>0</v>
      </c>
      <c r="P20" s="74">
        <v>0</v>
      </c>
      <c r="Q20" s="74">
        <v>0</v>
      </c>
      <c r="R20" s="74">
        <v>0</v>
      </c>
      <c r="S20" s="74">
        <v>0</v>
      </c>
      <c r="T20" s="74">
        <v>0</v>
      </c>
      <c r="U20" s="74">
        <v>0</v>
      </c>
      <c r="V20" s="76">
        <v>0</v>
      </c>
      <c r="W20" s="74">
        <v>0</v>
      </c>
      <c r="X20" s="74">
        <v>0</v>
      </c>
      <c r="Y20" s="74">
        <v>0</v>
      </c>
      <c r="Z20" s="74">
        <v>0</v>
      </c>
      <c r="AA20" s="74">
        <v>0</v>
      </c>
      <c r="AB20" s="74">
        <v>0</v>
      </c>
      <c r="AC20" s="74">
        <v>0</v>
      </c>
      <c r="AD20" s="74">
        <v>0</v>
      </c>
      <c r="AE20" s="74">
        <v>0</v>
      </c>
      <c r="AF20" s="74">
        <v>0</v>
      </c>
      <c r="AG20" s="74">
        <v>0</v>
      </c>
      <c r="AH20" s="74">
        <v>0</v>
      </c>
      <c r="AI20" s="74">
        <v>0</v>
      </c>
      <c r="AJ20" s="74">
        <v>0</v>
      </c>
      <c r="AK20" s="74">
        <v>0</v>
      </c>
      <c r="AL20" s="74">
        <v>0</v>
      </c>
      <c r="AM20" s="74">
        <v>0</v>
      </c>
      <c r="AN20" s="74">
        <v>0</v>
      </c>
      <c r="AO20" s="74">
        <v>0</v>
      </c>
      <c r="AP20" s="74">
        <v>0</v>
      </c>
      <c r="AQ20" s="74">
        <v>0</v>
      </c>
      <c r="AR20" s="74">
        <v>0</v>
      </c>
      <c r="AS20" s="74">
        <v>0</v>
      </c>
      <c r="AT20" s="74">
        <v>0</v>
      </c>
      <c r="AU20" s="74">
        <v>0</v>
      </c>
      <c r="AV20" s="74">
        <v>0</v>
      </c>
      <c r="AW20" s="74">
        <v>0</v>
      </c>
      <c r="AX20" s="74">
        <v>0</v>
      </c>
      <c r="AY20" s="74">
        <v>0</v>
      </c>
      <c r="AZ20" s="74">
        <v>0</v>
      </c>
      <c r="BA20" s="74">
        <v>0</v>
      </c>
      <c r="BB20" s="74">
        <v>0</v>
      </c>
      <c r="BC20" s="74">
        <v>0</v>
      </c>
      <c r="BD20" s="74">
        <v>0</v>
      </c>
      <c r="BE20" s="74">
        <v>0</v>
      </c>
    </row>
    <row r="21" spans="1:57">
      <c r="A21" s="73" t="s">
        <v>168</v>
      </c>
      <c r="B21" s="74">
        <v>0</v>
      </c>
      <c r="C21" s="74">
        <v>0</v>
      </c>
      <c r="D21" s="74">
        <v>0</v>
      </c>
      <c r="E21" s="74">
        <v>0</v>
      </c>
      <c r="F21" s="74">
        <v>0</v>
      </c>
      <c r="G21" s="74">
        <v>0</v>
      </c>
      <c r="H21" s="74">
        <v>0</v>
      </c>
      <c r="I21" s="74">
        <v>0</v>
      </c>
      <c r="J21" s="74">
        <v>0</v>
      </c>
      <c r="K21" s="74">
        <v>0</v>
      </c>
      <c r="L21" s="74">
        <v>0</v>
      </c>
      <c r="M21" s="76">
        <v>0</v>
      </c>
      <c r="N21" s="74">
        <v>0</v>
      </c>
      <c r="O21" s="74">
        <v>0</v>
      </c>
      <c r="P21" s="74">
        <v>0</v>
      </c>
      <c r="Q21" s="74">
        <v>-237996</v>
      </c>
      <c r="R21" s="74">
        <v>0</v>
      </c>
      <c r="S21" s="74">
        <v>0</v>
      </c>
      <c r="T21" s="74">
        <v>0</v>
      </c>
      <c r="U21" s="74">
        <v>0</v>
      </c>
      <c r="V21" s="76">
        <v>0</v>
      </c>
      <c r="W21" s="74">
        <v>0</v>
      </c>
      <c r="X21" s="74">
        <v>0</v>
      </c>
      <c r="Y21" s="74">
        <v>0</v>
      </c>
      <c r="Z21" s="74">
        <v>0</v>
      </c>
      <c r="AA21" s="74">
        <v>0</v>
      </c>
      <c r="AB21" s="74">
        <v>0</v>
      </c>
      <c r="AC21" s="74">
        <v>0</v>
      </c>
      <c r="AD21" s="74">
        <v>0</v>
      </c>
      <c r="AE21" s="74">
        <v>0</v>
      </c>
      <c r="AF21" s="74">
        <v>0</v>
      </c>
      <c r="AG21" s="74">
        <v>0</v>
      </c>
      <c r="AH21" s="74">
        <v>0</v>
      </c>
      <c r="AI21" s="74">
        <v>0</v>
      </c>
      <c r="AJ21" s="74">
        <v>0</v>
      </c>
      <c r="AK21" s="74">
        <v>0</v>
      </c>
      <c r="AL21" s="74">
        <v>0</v>
      </c>
      <c r="AM21" s="74">
        <v>0</v>
      </c>
      <c r="AN21" s="74">
        <v>0</v>
      </c>
      <c r="AO21" s="74">
        <v>0</v>
      </c>
      <c r="AP21" s="74">
        <v>0</v>
      </c>
      <c r="AQ21" s="74">
        <v>0</v>
      </c>
      <c r="AR21" s="74">
        <v>0</v>
      </c>
      <c r="AS21" s="74">
        <v>0</v>
      </c>
      <c r="AT21" s="74">
        <v>0</v>
      </c>
      <c r="AU21" s="74">
        <v>0</v>
      </c>
      <c r="AV21" s="74">
        <v>0</v>
      </c>
      <c r="AW21" s="74">
        <v>0</v>
      </c>
      <c r="AX21" s="74">
        <v>0</v>
      </c>
      <c r="AY21" s="74">
        <v>0</v>
      </c>
      <c r="AZ21" s="74">
        <v>0</v>
      </c>
      <c r="BA21" s="74">
        <v>0</v>
      </c>
      <c r="BB21" s="74">
        <v>0</v>
      </c>
      <c r="BC21" s="74">
        <v>0</v>
      </c>
      <c r="BD21" s="74">
        <v>-734.33159999999998</v>
      </c>
      <c r="BE21" s="74">
        <v>0</v>
      </c>
    </row>
    <row r="22" spans="1:57">
      <c r="A22" s="73" t="s">
        <v>169</v>
      </c>
      <c r="B22" s="74">
        <v>0</v>
      </c>
      <c r="C22" s="74">
        <v>0</v>
      </c>
      <c r="D22" s="74">
        <v>0</v>
      </c>
      <c r="E22" s="74">
        <v>0</v>
      </c>
      <c r="F22" s="74">
        <v>0</v>
      </c>
      <c r="G22" s="74">
        <v>0</v>
      </c>
      <c r="H22" s="74">
        <v>0</v>
      </c>
      <c r="I22" s="74">
        <v>0</v>
      </c>
      <c r="J22" s="74">
        <v>0</v>
      </c>
      <c r="K22" s="74">
        <v>0</v>
      </c>
      <c r="L22" s="74">
        <v>0</v>
      </c>
      <c r="M22" s="76">
        <v>0</v>
      </c>
      <c r="N22" s="74">
        <v>0</v>
      </c>
      <c r="O22" s="74">
        <v>0</v>
      </c>
      <c r="P22" s="74">
        <v>0</v>
      </c>
      <c r="Q22" s="74">
        <v>0</v>
      </c>
      <c r="R22" s="74">
        <v>0</v>
      </c>
      <c r="S22" s="74">
        <v>0</v>
      </c>
      <c r="T22" s="74">
        <v>0</v>
      </c>
      <c r="U22" s="74">
        <v>0</v>
      </c>
      <c r="V22" s="76">
        <v>0</v>
      </c>
      <c r="W22" s="74">
        <v>0</v>
      </c>
      <c r="X22" s="74">
        <v>0</v>
      </c>
      <c r="Y22" s="74">
        <v>0</v>
      </c>
      <c r="Z22" s="74">
        <v>0</v>
      </c>
      <c r="AA22" s="74">
        <v>0</v>
      </c>
      <c r="AB22" s="74">
        <v>0</v>
      </c>
      <c r="AC22" s="74">
        <v>0</v>
      </c>
      <c r="AD22" s="74">
        <v>0</v>
      </c>
      <c r="AE22" s="74">
        <v>0</v>
      </c>
      <c r="AF22" s="74">
        <v>0</v>
      </c>
      <c r="AG22" s="74">
        <v>0</v>
      </c>
      <c r="AH22" s="74">
        <v>0</v>
      </c>
      <c r="AI22" s="74">
        <v>0</v>
      </c>
      <c r="AJ22" s="74">
        <v>0</v>
      </c>
      <c r="AK22" s="74">
        <v>0</v>
      </c>
      <c r="AL22" s="74">
        <v>0</v>
      </c>
      <c r="AM22" s="74">
        <v>0</v>
      </c>
      <c r="AN22" s="74">
        <v>0</v>
      </c>
      <c r="AO22" s="74">
        <v>0</v>
      </c>
      <c r="AP22" s="74">
        <v>0</v>
      </c>
      <c r="AQ22" s="74">
        <v>0</v>
      </c>
      <c r="AR22" s="74">
        <v>0</v>
      </c>
      <c r="AS22" s="74">
        <v>0</v>
      </c>
      <c r="AT22" s="74">
        <v>0</v>
      </c>
      <c r="AU22" s="74"/>
      <c r="AV22" s="74"/>
      <c r="AW22" s="74"/>
      <c r="AX22" s="74"/>
      <c r="AY22" s="74"/>
      <c r="AZ22" s="74"/>
      <c r="BA22" s="74">
        <v>0</v>
      </c>
      <c r="BB22" s="74">
        <v>0</v>
      </c>
      <c r="BC22" s="74">
        <v>0</v>
      </c>
      <c r="BD22" s="74">
        <v>0</v>
      </c>
      <c r="BE22" s="74">
        <v>0</v>
      </c>
    </row>
    <row r="23" spans="1:57">
      <c r="A23" s="73" t="s">
        <v>170</v>
      </c>
      <c r="B23" s="74">
        <v>0</v>
      </c>
      <c r="C23" s="74">
        <v>0</v>
      </c>
      <c r="D23" s="74">
        <v>0</v>
      </c>
      <c r="E23" s="74">
        <v>0</v>
      </c>
      <c r="F23" s="74">
        <v>0</v>
      </c>
      <c r="G23" s="74">
        <v>0</v>
      </c>
      <c r="H23" s="74">
        <v>0</v>
      </c>
      <c r="I23" s="74">
        <v>0</v>
      </c>
      <c r="J23" s="74">
        <v>0</v>
      </c>
      <c r="K23" s="74">
        <v>0</v>
      </c>
      <c r="L23" s="74">
        <v>0</v>
      </c>
      <c r="M23" s="76">
        <v>0</v>
      </c>
      <c r="N23" s="74">
        <v>0</v>
      </c>
      <c r="O23" s="74">
        <v>0</v>
      </c>
      <c r="P23" s="74">
        <v>0</v>
      </c>
      <c r="Q23" s="74">
        <v>0</v>
      </c>
      <c r="R23" s="74">
        <v>0</v>
      </c>
      <c r="S23" s="74">
        <v>0</v>
      </c>
      <c r="T23" s="74">
        <v>0</v>
      </c>
      <c r="U23" s="74">
        <v>0</v>
      </c>
      <c r="V23" s="76">
        <v>0</v>
      </c>
      <c r="W23" s="74">
        <v>0</v>
      </c>
      <c r="X23" s="74">
        <v>0</v>
      </c>
      <c r="Y23" s="74">
        <v>0</v>
      </c>
      <c r="Z23" s="74">
        <v>0</v>
      </c>
      <c r="AA23" s="74">
        <v>0</v>
      </c>
      <c r="AB23" s="74">
        <v>0</v>
      </c>
      <c r="AC23" s="74">
        <v>0</v>
      </c>
      <c r="AD23" s="74">
        <v>0</v>
      </c>
      <c r="AE23" s="74">
        <v>0</v>
      </c>
      <c r="AF23" s="74">
        <v>0</v>
      </c>
      <c r="AG23" s="74">
        <v>0</v>
      </c>
      <c r="AH23" s="74">
        <v>0</v>
      </c>
      <c r="AI23" s="74">
        <v>0</v>
      </c>
      <c r="AJ23" s="74">
        <v>0</v>
      </c>
      <c r="AK23" s="74">
        <v>0</v>
      </c>
      <c r="AL23" s="74">
        <v>0</v>
      </c>
      <c r="AM23" s="74">
        <v>0</v>
      </c>
      <c r="AN23" s="74">
        <v>0</v>
      </c>
      <c r="AO23" s="74">
        <v>0</v>
      </c>
      <c r="AP23" s="74">
        <v>0</v>
      </c>
      <c r="AQ23" s="74">
        <v>0</v>
      </c>
      <c r="AR23" s="74">
        <v>0</v>
      </c>
      <c r="AS23" s="74">
        <v>0</v>
      </c>
      <c r="AT23" s="74">
        <v>0</v>
      </c>
      <c r="AU23" s="74"/>
      <c r="AV23" s="74"/>
      <c r="AW23" s="74"/>
      <c r="AX23" s="74"/>
      <c r="AY23" s="74"/>
      <c r="AZ23" s="74"/>
      <c r="BA23" s="74">
        <v>0</v>
      </c>
      <c r="BB23" s="74">
        <v>0</v>
      </c>
      <c r="BC23" s="74">
        <v>0</v>
      </c>
      <c r="BD23" s="74">
        <v>0</v>
      </c>
      <c r="BE23" s="74">
        <v>0</v>
      </c>
    </row>
    <row r="24" spans="1:57">
      <c r="A24" s="73" t="s">
        <v>171</v>
      </c>
      <c r="B24" s="74">
        <v>0</v>
      </c>
      <c r="C24" s="74">
        <v>0</v>
      </c>
      <c r="D24" s="74">
        <v>0</v>
      </c>
      <c r="E24" s="74">
        <v>0</v>
      </c>
      <c r="F24" s="74">
        <v>0</v>
      </c>
      <c r="G24" s="74">
        <v>0</v>
      </c>
      <c r="H24" s="74">
        <v>0</v>
      </c>
      <c r="I24" s="74">
        <v>0</v>
      </c>
      <c r="J24" s="74">
        <v>0</v>
      </c>
      <c r="K24" s="74">
        <v>0</v>
      </c>
      <c r="L24" s="74">
        <v>0</v>
      </c>
      <c r="M24" s="76">
        <v>0</v>
      </c>
      <c r="N24" s="74">
        <v>0</v>
      </c>
      <c r="O24" s="74">
        <v>0</v>
      </c>
      <c r="P24" s="74">
        <v>0</v>
      </c>
      <c r="Q24" s="74">
        <v>0</v>
      </c>
      <c r="R24" s="74">
        <v>0</v>
      </c>
      <c r="S24" s="74">
        <v>0</v>
      </c>
      <c r="T24" s="74">
        <v>0</v>
      </c>
      <c r="U24" s="74">
        <v>0</v>
      </c>
      <c r="V24" s="76">
        <v>0</v>
      </c>
      <c r="W24" s="74">
        <v>0</v>
      </c>
      <c r="X24" s="74">
        <v>0</v>
      </c>
      <c r="Y24" s="74">
        <v>0</v>
      </c>
      <c r="Z24" s="74">
        <v>0</v>
      </c>
      <c r="AA24" s="74">
        <v>0</v>
      </c>
      <c r="AB24" s="74">
        <v>0</v>
      </c>
      <c r="AC24" s="74">
        <v>0</v>
      </c>
      <c r="AD24" s="74">
        <v>0</v>
      </c>
      <c r="AE24" s="74">
        <v>0</v>
      </c>
      <c r="AF24" s="74">
        <v>0</v>
      </c>
      <c r="AG24" s="74">
        <v>0</v>
      </c>
      <c r="AH24" s="74">
        <v>0</v>
      </c>
      <c r="AI24" s="74">
        <v>0</v>
      </c>
      <c r="AJ24" s="74">
        <v>0</v>
      </c>
      <c r="AK24" s="74">
        <v>0</v>
      </c>
      <c r="AL24" s="74">
        <v>0</v>
      </c>
      <c r="AM24" s="74">
        <v>0</v>
      </c>
      <c r="AN24" s="74">
        <v>0</v>
      </c>
      <c r="AO24" s="74">
        <v>0</v>
      </c>
      <c r="AP24" s="74">
        <v>0</v>
      </c>
      <c r="AQ24" s="74">
        <v>0</v>
      </c>
      <c r="AR24" s="74">
        <v>0</v>
      </c>
      <c r="AS24" s="74">
        <v>0</v>
      </c>
      <c r="AT24" s="74">
        <v>0</v>
      </c>
      <c r="AU24" s="74"/>
      <c r="AV24" s="74"/>
      <c r="AW24" s="74"/>
      <c r="AX24" s="74"/>
      <c r="AY24" s="74"/>
      <c r="AZ24" s="74"/>
      <c r="BA24" s="74">
        <v>0</v>
      </c>
      <c r="BB24" s="74">
        <v>0</v>
      </c>
      <c r="BC24" s="74">
        <v>0</v>
      </c>
      <c r="BD24" s="74">
        <v>0</v>
      </c>
      <c r="BE24" s="74">
        <v>0</v>
      </c>
    </row>
    <row r="25" spans="1:57">
      <c r="A25" s="73" t="s">
        <v>172</v>
      </c>
      <c r="B25" s="74">
        <v>0</v>
      </c>
      <c r="C25" s="74">
        <v>0</v>
      </c>
      <c r="D25" s="74">
        <v>0</v>
      </c>
      <c r="E25" s="74">
        <v>0</v>
      </c>
      <c r="F25" s="74">
        <v>0</v>
      </c>
      <c r="G25" s="74">
        <v>0</v>
      </c>
      <c r="H25" s="74">
        <v>0</v>
      </c>
      <c r="I25" s="74">
        <v>0</v>
      </c>
      <c r="J25" s="74">
        <v>0</v>
      </c>
      <c r="K25" s="74">
        <v>0</v>
      </c>
      <c r="L25" s="74">
        <v>0</v>
      </c>
      <c r="M25" s="76">
        <v>0</v>
      </c>
      <c r="N25" s="74">
        <v>0</v>
      </c>
      <c r="O25" s="74">
        <v>0</v>
      </c>
      <c r="P25" s="74">
        <v>0</v>
      </c>
      <c r="Q25" s="74">
        <v>0</v>
      </c>
      <c r="R25" s="74">
        <v>0</v>
      </c>
      <c r="S25" s="74">
        <v>0</v>
      </c>
      <c r="T25" s="74">
        <v>0</v>
      </c>
      <c r="U25" s="74">
        <v>0</v>
      </c>
      <c r="V25" s="76">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c r="AM25" s="74">
        <v>0</v>
      </c>
      <c r="AN25" s="74">
        <v>0</v>
      </c>
      <c r="AO25" s="74">
        <v>0</v>
      </c>
      <c r="AP25" s="74">
        <v>0</v>
      </c>
      <c r="AQ25" s="74">
        <v>0</v>
      </c>
      <c r="AR25" s="74">
        <v>0</v>
      </c>
      <c r="AS25" s="74">
        <v>0</v>
      </c>
      <c r="AT25" s="74">
        <v>0</v>
      </c>
      <c r="AU25" s="74"/>
      <c r="AV25" s="74"/>
      <c r="AW25" s="74"/>
      <c r="AX25" s="74"/>
      <c r="AY25" s="74"/>
      <c r="AZ25" s="74"/>
      <c r="BA25" s="74">
        <v>0</v>
      </c>
      <c r="BB25" s="74">
        <v>0</v>
      </c>
      <c r="BC25" s="74">
        <v>0</v>
      </c>
      <c r="BD25" s="74">
        <v>0</v>
      </c>
      <c r="BE25" s="74">
        <v>0</v>
      </c>
    </row>
    <row r="26" spans="1:57">
      <c r="A26" s="73" t="s">
        <v>173</v>
      </c>
      <c r="B26" s="74">
        <v>0</v>
      </c>
      <c r="C26" s="74">
        <v>0</v>
      </c>
      <c r="D26" s="74">
        <v>0</v>
      </c>
      <c r="E26" s="74">
        <v>0</v>
      </c>
      <c r="F26" s="74">
        <v>0</v>
      </c>
      <c r="G26" s="74">
        <v>0</v>
      </c>
      <c r="H26" s="74">
        <v>0</v>
      </c>
      <c r="I26" s="74">
        <v>0</v>
      </c>
      <c r="J26" s="74">
        <v>0</v>
      </c>
      <c r="K26" s="74">
        <v>0</v>
      </c>
      <c r="L26" s="74">
        <v>0</v>
      </c>
      <c r="M26" s="76">
        <v>0</v>
      </c>
      <c r="N26" s="74">
        <v>0</v>
      </c>
      <c r="O26" s="74">
        <v>0</v>
      </c>
      <c r="P26" s="74">
        <v>0</v>
      </c>
      <c r="Q26" s="74">
        <v>0</v>
      </c>
      <c r="R26" s="74">
        <v>0</v>
      </c>
      <c r="S26" s="74">
        <v>0</v>
      </c>
      <c r="T26" s="74">
        <v>0</v>
      </c>
      <c r="U26" s="74">
        <v>0</v>
      </c>
      <c r="V26" s="76">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c r="AM26" s="74">
        <v>0</v>
      </c>
      <c r="AN26" s="74">
        <v>0</v>
      </c>
      <c r="AO26" s="74">
        <v>0</v>
      </c>
      <c r="AP26" s="74">
        <v>0</v>
      </c>
      <c r="AQ26" s="74">
        <v>0</v>
      </c>
      <c r="AR26" s="74">
        <v>0</v>
      </c>
      <c r="AS26" s="74">
        <v>0</v>
      </c>
      <c r="AT26" s="74">
        <v>0</v>
      </c>
      <c r="AU26" s="74"/>
      <c r="AV26" s="74"/>
      <c r="AW26" s="74"/>
      <c r="AX26" s="74"/>
      <c r="AY26" s="74"/>
      <c r="AZ26" s="74"/>
      <c r="BA26" s="74">
        <v>0</v>
      </c>
      <c r="BB26" s="74">
        <v>0</v>
      </c>
      <c r="BC26" s="74">
        <v>0</v>
      </c>
      <c r="BD26" s="74">
        <v>0</v>
      </c>
      <c r="BE26" s="74">
        <v>0</v>
      </c>
    </row>
    <row r="27" spans="1:57">
      <c r="A27" s="73" t="s">
        <v>174</v>
      </c>
      <c r="B27" s="74">
        <v>-68315.691999999995</v>
      </c>
      <c r="C27" s="74">
        <v>0</v>
      </c>
      <c r="D27" s="74">
        <v>-68315.691999999995</v>
      </c>
      <c r="E27" s="74">
        <v>0</v>
      </c>
      <c r="F27" s="74">
        <v>0</v>
      </c>
      <c r="G27" s="74">
        <v>0</v>
      </c>
      <c r="H27" s="74">
        <v>0</v>
      </c>
      <c r="I27" s="74">
        <v>0</v>
      </c>
      <c r="J27" s="74">
        <v>59823.793799999999</v>
      </c>
      <c r="K27" s="74">
        <v>0</v>
      </c>
      <c r="L27" s="74">
        <v>0</v>
      </c>
      <c r="M27" s="76">
        <v>0</v>
      </c>
      <c r="N27" s="74">
        <v>0</v>
      </c>
      <c r="O27" s="74">
        <v>0</v>
      </c>
      <c r="P27" s="74">
        <v>0</v>
      </c>
      <c r="Q27" s="74">
        <v>0</v>
      </c>
      <c r="R27" s="74">
        <v>0</v>
      </c>
      <c r="S27" s="74">
        <v>0</v>
      </c>
      <c r="T27" s="74">
        <v>0</v>
      </c>
      <c r="U27" s="74">
        <v>0</v>
      </c>
      <c r="V27" s="76">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c r="AM27" s="74">
        <v>0</v>
      </c>
      <c r="AN27" s="74">
        <v>0</v>
      </c>
      <c r="AO27" s="74">
        <v>0</v>
      </c>
      <c r="AP27" s="74">
        <v>0</v>
      </c>
      <c r="AQ27" s="74">
        <v>0</v>
      </c>
      <c r="AR27" s="74">
        <v>0</v>
      </c>
      <c r="AS27" s="74">
        <v>0</v>
      </c>
      <c r="AT27" s="74">
        <v>0</v>
      </c>
      <c r="AU27" s="74"/>
      <c r="AV27" s="74"/>
      <c r="AW27" s="74"/>
      <c r="AX27" s="74"/>
      <c r="AY27" s="74"/>
      <c r="AZ27" s="74"/>
      <c r="BA27" s="74">
        <v>0</v>
      </c>
      <c r="BB27" s="74">
        <v>0</v>
      </c>
      <c r="BC27" s="74">
        <v>0</v>
      </c>
      <c r="BD27" s="74">
        <v>0</v>
      </c>
      <c r="BE27" s="74">
        <v>0</v>
      </c>
    </row>
    <row r="28" spans="1:57">
      <c r="A28" s="73" t="s">
        <v>175</v>
      </c>
      <c r="B28" s="74">
        <v>0</v>
      </c>
      <c r="C28" s="74">
        <v>0</v>
      </c>
      <c r="D28" s="74">
        <v>0</v>
      </c>
      <c r="E28" s="74">
        <v>0</v>
      </c>
      <c r="F28" s="74">
        <v>0</v>
      </c>
      <c r="G28" s="74">
        <v>0</v>
      </c>
      <c r="H28" s="74">
        <v>0</v>
      </c>
      <c r="I28" s="74">
        <v>0</v>
      </c>
      <c r="J28" s="74">
        <v>0</v>
      </c>
      <c r="K28" s="74">
        <v>0</v>
      </c>
      <c r="L28" s="74">
        <v>0</v>
      </c>
      <c r="M28" s="76">
        <v>17680.580000000002</v>
      </c>
      <c r="N28" s="74">
        <v>0</v>
      </c>
      <c r="O28" s="74">
        <v>0</v>
      </c>
      <c r="P28" s="74">
        <v>0</v>
      </c>
      <c r="Q28" s="74">
        <v>0</v>
      </c>
      <c r="R28" s="74">
        <v>0</v>
      </c>
      <c r="S28" s="74">
        <v>0</v>
      </c>
      <c r="T28" s="74">
        <v>0</v>
      </c>
      <c r="U28" s="74">
        <v>0</v>
      </c>
      <c r="V28" s="76">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c r="AM28" s="74">
        <v>0</v>
      </c>
      <c r="AN28" s="74">
        <v>0</v>
      </c>
      <c r="AO28" s="74">
        <v>0</v>
      </c>
      <c r="AP28" s="74">
        <v>0</v>
      </c>
      <c r="AQ28" s="74">
        <v>0</v>
      </c>
      <c r="AR28" s="74">
        <v>0</v>
      </c>
      <c r="AS28" s="74">
        <v>0</v>
      </c>
      <c r="AT28" s="74">
        <v>0</v>
      </c>
      <c r="AU28" s="74"/>
      <c r="AV28" s="74"/>
      <c r="AW28" s="74"/>
      <c r="AX28" s="74"/>
      <c r="AY28" s="74"/>
      <c r="AZ28" s="74"/>
      <c r="BA28" s="74">
        <v>0</v>
      </c>
      <c r="BB28" s="74">
        <v>0</v>
      </c>
      <c r="BC28" s="74">
        <v>0</v>
      </c>
      <c r="BD28" s="74">
        <v>0</v>
      </c>
      <c r="BE28" s="74">
        <v>0</v>
      </c>
    </row>
    <row r="29" spans="1:57">
      <c r="A29" s="73" t="s">
        <v>176</v>
      </c>
      <c r="B29" s="74">
        <v>0</v>
      </c>
      <c r="C29" s="74">
        <v>0</v>
      </c>
      <c r="D29" s="74">
        <v>0</v>
      </c>
      <c r="E29" s="74">
        <v>0</v>
      </c>
      <c r="F29" s="74">
        <v>0</v>
      </c>
      <c r="G29" s="74">
        <v>0</v>
      </c>
      <c r="H29" s="74">
        <v>0</v>
      </c>
      <c r="I29" s="74">
        <v>0</v>
      </c>
      <c r="J29" s="74">
        <v>-9573.4107000000004</v>
      </c>
      <c r="K29" s="74">
        <v>0</v>
      </c>
      <c r="L29" s="74">
        <v>0</v>
      </c>
      <c r="M29" s="76">
        <v>0</v>
      </c>
      <c r="N29" s="74">
        <v>0</v>
      </c>
      <c r="O29" s="74">
        <v>19054</v>
      </c>
      <c r="P29" s="74">
        <v>0</v>
      </c>
      <c r="Q29" s="74">
        <v>0</v>
      </c>
      <c r="R29" s="74">
        <v>0</v>
      </c>
      <c r="S29" s="74">
        <v>0</v>
      </c>
      <c r="T29" s="74">
        <v>0</v>
      </c>
      <c r="U29" s="74">
        <v>0</v>
      </c>
      <c r="V29" s="76">
        <v>0</v>
      </c>
      <c r="W29" s="74">
        <v>0</v>
      </c>
      <c r="X29" s="74">
        <v>0</v>
      </c>
      <c r="Y29" s="74">
        <v>0</v>
      </c>
      <c r="Z29" s="74">
        <v>0</v>
      </c>
      <c r="AA29" s="74">
        <v>0</v>
      </c>
      <c r="AB29" s="74">
        <v>0</v>
      </c>
      <c r="AC29" s="74">
        <v>0</v>
      </c>
      <c r="AD29" s="74">
        <v>0</v>
      </c>
      <c r="AE29" s="74">
        <v>0</v>
      </c>
      <c r="AF29" s="74">
        <v>0</v>
      </c>
      <c r="AG29" s="74">
        <v>0</v>
      </c>
      <c r="AH29" s="74">
        <v>0</v>
      </c>
      <c r="AI29" s="74">
        <v>0</v>
      </c>
      <c r="AJ29" s="74">
        <v>0</v>
      </c>
      <c r="AK29" s="74">
        <v>0</v>
      </c>
      <c r="AL29" s="74">
        <v>0</v>
      </c>
      <c r="AM29" s="74">
        <v>0</v>
      </c>
      <c r="AN29" s="74">
        <v>0</v>
      </c>
      <c r="AO29" s="74">
        <v>0</v>
      </c>
      <c r="AP29" s="74">
        <v>0</v>
      </c>
      <c r="AQ29" s="74">
        <v>0</v>
      </c>
      <c r="AR29" s="74">
        <v>0</v>
      </c>
      <c r="AS29" s="74">
        <v>0</v>
      </c>
      <c r="AT29" s="74">
        <v>0</v>
      </c>
      <c r="AU29" s="74"/>
      <c r="AV29" s="74"/>
      <c r="AW29" s="74"/>
      <c r="AX29" s="74"/>
      <c r="AY29" s="74"/>
      <c r="AZ29" s="74"/>
      <c r="BA29" s="74">
        <v>0</v>
      </c>
      <c r="BB29" s="74">
        <v>0</v>
      </c>
      <c r="BC29" s="74">
        <v>0</v>
      </c>
      <c r="BD29" s="74">
        <v>0</v>
      </c>
      <c r="BE29" s="74">
        <v>0</v>
      </c>
    </row>
    <row r="30" spans="1:57">
      <c r="A30" s="73" t="s">
        <v>177</v>
      </c>
      <c r="B30" s="74">
        <v>0</v>
      </c>
      <c r="C30" s="74">
        <v>0</v>
      </c>
      <c r="D30" s="74">
        <v>0</v>
      </c>
      <c r="E30" s="74">
        <v>0</v>
      </c>
      <c r="F30" s="74">
        <v>0</v>
      </c>
      <c r="G30" s="74">
        <v>0</v>
      </c>
      <c r="H30" s="74">
        <v>0</v>
      </c>
      <c r="I30" s="74">
        <v>0</v>
      </c>
      <c r="J30" s="74">
        <v>0</v>
      </c>
      <c r="K30" s="74">
        <v>0</v>
      </c>
      <c r="L30" s="74">
        <v>0</v>
      </c>
      <c r="M30" s="76">
        <v>0</v>
      </c>
      <c r="N30" s="74">
        <v>0</v>
      </c>
      <c r="O30" s="74">
        <v>0</v>
      </c>
      <c r="P30" s="74">
        <v>0</v>
      </c>
      <c r="Q30" s="74">
        <v>0</v>
      </c>
      <c r="R30" s="74">
        <v>0</v>
      </c>
      <c r="S30" s="74">
        <v>0</v>
      </c>
      <c r="T30" s="74">
        <v>0</v>
      </c>
      <c r="U30" s="74">
        <v>0</v>
      </c>
      <c r="V30" s="76">
        <v>0</v>
      </c>
      <c r="W30" s="74">
        <v>0</v>
      </c>
      <c r="X30" s="74">
        <v>0</v>
      </c>
      <c r="Y30" s="74">
        <v>0</v>
      </c>
      <c r="Z30" s="74">
        <v>0</v>
      </c>
      <c r="AA30" s="74">
        <v>0</v>
      </c>
      <c r="AB30" s="74">
        <v>0</v>
      </c>
      <c r="AC30" s="74">
        <v>0</v>
      </c>
      <c r="AD30" s="74">
        <v>0</v>
      </c>
      <c r="AE30" s="74">
        <v>0</v>
      </c>
      <c r="AF30" s="74">
        <v>0</v>
      </c>
      <c r="AG30" s="74">
        <v>0</v>
      </c>
      <c r="AH30" s="74">
        <v>0</v>
      </c>
      <c r="AI30" s="74">
        <v>0</v>
      </c>
      <c r="AJ30" s="74">
        <v>0</v>
      </c>
      <c r="AK30" s="74">
        <v>0</v>
      </c>
      <c r="AL30" s="74">
        <v>0</v>
      </c>
      <c r="AM30" s="74">
        <v>0</v>
      </c>
      <c r="AN30" s="74">
        <v>0</v>
      </c>
      <c r="AO30" s="74">
        <v>0</v>
      </c>
      <c r="AP30" s="74">
        <v>0</v>
      </c>
      <c r="AQ30" s="74">
        <v>0</v>
      </c>
      <c r="AR30" s="74">
        <v>0</v>
      </c>
      <c r="AS30" s="74">
        <v>0</v>
      </c>
      <c r="AT30" s="74">
        <v>0</v>
      </c>
      <c r="AU30" s="74"/>
      <c r="AV30" s="74"/>
      <c r="AW30" s="74"/>
      <c r="AX30" s="74"/>
      <c r="AY30" s="74"/>
      <c r="AZ30" s="74"/>
      <c r="BA30" s="74">
        <v>0</v>
      </c>
      <c r="BB30" s="74">
        <v>0</v>
      </c>
      <c r="BC30" s="74">
        <v>0</v>
      </c>
      <c r="BD30" s="74">
        <v>0</v>
      </c>
      <c r="BE30" s="74">
        <v>0</v>
      </c>
    </row>
    <row r="31" spans="1:57">
      <c r="A31" s="73" t="s">
        <v>178</v>
      </c>
      <c r="B31" s="74">
        <v>0</v>
      </c>
      <c r="C31" s="74">
        <v>0</v>
      </c>
      <c r="D31" s="74">
        <v>0</v>
      </c>
      <c r="E31" s="74">
        <v>0</v>
      </c>
      <c r="F31" s="74">
        <v>0</v>
      </c>
      <c r="G31" s="74">
        <v>0</v>
      </c>
      <c r="H31" s="74">
        <v>0</v>
      </c>
      <c r="I31" s="74">
        <v>0</v>
      </c>
      <c r="J31" s="74">
        <v>0</v>
      </c>
      <c r="K31" s="74">
        <v>0</v>
      </c>
      <c r="L31" s="74">
        <v>0</v>
      </c>
      <c r="M31" s="76">
        <v>0</v>
      </c>
      <c r="N31" s="74">
        <v>0</v>
      </c>
      <c r="O31" s="74">
        <v>0</v>
      </c>
      <c r="P31" s="74">
        <v>0</v>
      </c>
      <c r="Q31" s="74">
        <v>0</v>
      </c>
      <c r="R31" s="74">
        <v>0</v>
      </c>
      <c r="S31" s="74">
        <v>0</v>
      </c>
      <c r="T31" s="74">
        <v>0</v>
      </c>
      <c r="U31" s="74">
        <v>0</v>
      </c>
      <c r="V31" s="76">
        <v>0</v>
      </c>
      <c r="W31" s="74">
        <v>0</v>
      </c>
      <c r="X31" s="74">
        <v>0</v>
      </c>
      <c r="Y31" s="74">
        <v>0</v>
      </c>
      <c r="Z31" s="74">
        <v>0</v>
      </c>
      <c r="AA31" s="74">
        <v>0</v>
      </c>
      <c r="AB31" s="74">
        <v>0</v>
      </c>
      <c r="AC31" s="74">
        <v>0</v>
      </c>
      <c r="AD31" s="74">
        <v>0</v>
      </c>
      <c r="AE31" s="74">
        <v>0</v>
      </c>
      <c r="AF31" s="74">
        <v>0</v>
      </c>
      <c r="AG31" s="74">
        <v>0</v>
      </c>
      <c r="AH31" s="74">
        <v>0</v>
      </c>
      <c r="AI31" s="74">
        <v>0</v>
      </c>
      <c r="AJ31" s="74">
        <v>0</v>
      </c>
      <c r="AK31" s="74">
        <v>0</v>
      </c>
      <c r="AL31" s="74">
        <v>0</v>
      </c>
      <c r="AM31" s="74">
        <v>0</v>
      </c>
      <c r="AN31" s="74">
        <v>0</v>
      </c>
      <c r="AO31" s="74">
        <v>0</v>
      </c>
      <c r="AP31" s="74">
        <v>0</v>
      </c>
      <c r="AQ31" s="74">
        <v>0</v>
      </c>
      <c r="AR31" s="74">
        <v>0</v>
      </c>
      <c r="AS31" s="74">
        <v>0</v>
      </c>
      <c r="AT31" s="74">
        <v>0</v>
      </c>
      <c r="AU31" s="74"/>
      <c r="AV31" s="74"/>
      <c r="AW31" s="74"/>
      <c r="AX31" s="74"/>
      <c r="AY31" s="74"/>
      <c r="AZ31" s="74"/>
      <c r="BA31" s="74">
        <v>0</v>
      </c>
      <c r="BB31" s="74">
        <v>0</v>
      </c>
      <c r="BC31" s="74">
        <v>0</v>
      </c>
      <c r="BD31" s="74">
        <v>0</v>
      </c>
      <c r="BE31" s="74">
        <v>0</v>
      </c>
    </row>
    <row r="32" spans="1:57">
      <c r="A32" s="73" t="s">
        <v>179</v>
      </c>
      <c r="B32" s="74">
        <v>0</v>
      </c>
      <c r="C32" s="74">
        <v>0</v>
      </c>
      <c r="D32" s="74">
        <v>0</v>
      </c>
      <c r="E32" s="74">
        <v>0</v>
      </c>
      <c r="F32" s="74">
        <v>0</v>
      </c>
      <c r="G32" s="74">
        <v>0</v>
      </c>
      <c r="H32" s="74">
        <v>0</v>
      </c>
      <c r="I32" s="74">
        <v>0</v>
      </c>
      <c r="J32" s="74">
        <v>0</v>
      </c>
      <c r="K32" s="74">
        <v>0</v>
      </c>
      <c r="L32" s="74">
        <v>0</v>
      </c>
      <c r="M32" s="76">
        <v>0</v>
      </c>
      <c r="N32" s="74">
        <v>0</v>
      </c>
      <c r="O32" s="74">
        <v>0</v>
      </c>
      <c r="P32" s="74">
        <v>0</v>
      </c>
      <c r="Q32" s="74">
        <v>0</v>
      </c>
      <c r="R32" s="74">
        <v>0</v>
      </c>
      <c r="S32" s="74">
        <v>0</v>
      </c>
      <c r="T32" s="74">
        <v>0</v>
      </c>
      <c r="U32" s="74">
        <v>0</v>
      </c>
      <c r="V32" s="76">
        <v>0</v>
      </c>
      <c r="W32" s="74">
        <v>-905518.29225599999</v>
      </c>
      <c r="X32" s="74">
        <v>-905518.29225599999</v>
      </c>
      <c r="Y32" s="74">
        <v>0</v>
      </c>
      <c r="Z32" s="74">
        <v>0</v>
      </c>
      <c r="AA32" s="74">
        <v>0</v>
      </c>
      <c r="AB32" s="74">
        <v>0</v>
      </c>
      <c r="AC32" s="74">
        <v>0.02</v>
      </c>
      <c r="AD32" s="74">
        <v>0</v>
      </c>
      <c r="AE32" s="74">
        <v>13823.28781537778</v>
      </c>
      <c r="AF32" s="74">
        <v>374654.65872658382</v>
      </c>
      <c r="AG32" s="74">
        <v>0</v>
      </c>
      <c r="AH32" s="74">
        <v>0</v>
      </c>
      <c r="AI32" s="74">
        <v>73443.15394795555</v>
      </c>
      <c r="AJ32" s="74">
        <v>27522.878340320989</v>
      </c>
      <c r="AK32" s="74">
        <v>284146.83222546207</v>
      </c>
      <c r="AL32" s="74">
        <v>175074.86987065259</v>
      </c>
      <c r="AM32" s="74">
        <v>0</v>
      </c>
      <c r="AN32" s="74">
        <v>4832.8996462296291</v>
      </c>
      <c r="AO32" s="74">
        <v>12480.09358226666</v>
      </c>
      <c r="AP32" s="74">
        <v>20868.561513738459</v>
      </c>
      <c r="AQ32" s="74">
        <v>4156.6356091500002</v>
      </c>
      <c r="AR32" s="74">
        <v>0</v>
      </c>
      <c r="AS32" s="74">
        <v>0</v>
      </c>
      <c r="AT32" s="74">
        <v>0</v>
      </c>
      <c r="AU32" s="74"/>
      <c r="AV32" s="74"/>
      <c r="AW32" s="74"/>
      <c r="AX32" s="74"/>
      <c r="AY32" s="74"/>
      <c r="AZ32" s="74"/>
      <c r="BA32" s="74">
        <v>0</v>
      </c>
      <c r="BB32" s="74">
        <v>0</v>
      </c>
      <c r="BC32" s="74">
        <v>0</v>
      </c>
      <c r="BD32" s="74">
        <v>0</v>
      </c>
      <c r="BE32" s="74">
        <v>0</v>
      </c>
    </row>
    <row r="33" spans="1:57">
      <c r="A33" s="73" t="s">
        <v>180</v>
      </c>
      <c r="B33" s="74">
        <v>-958308.08399999992</v>
      </c>
      <c r="C33" s="74">
        <v>0</v>
      </c>
      <c r="D33" s="74">
        <v>0</v>
      </c>
      <c r="E33" s="74">
        <v>-958308.08399999992</v>
      </c>
      <c r="F33" s="74">
        <v>0</v>
      </c>
      <c r="G33" s="74">
        <v>0</v>
      </c>
      <c r="H33" s="74">
        <v>0</v>
      </c>
      <c r="I33" s="74">
        <v>0</v>
      </c>
      <c r="J33" s="74">
        <v>0</v>
      </c>
      <c r="K33" s="74">
        <v>0</v>
      </c>
      <c r="L33" s="74">
        <v>0</v>
      </c>
      <c r="M33" s="76">
        <v>0</v>
      </c>
      <c r="N33" s="74">
        <v>0</v>
      </c>
      <c r="O33" s="74">
        <v>0</v>
      </c>
      <c r="P33" s="74">
        <v>0</v>
      </c>
      <c r="Q33" s="74">
        <v>0</v>
      </c>
      <c r="R33" s="74">
        <v>0</v>
      </c>
      <c r="S33" s="74">
        <v>0</v>
      </c>
      <c r="T33" s="74">
        <v>0</v>
      </c>
      <c r="U33" s="74">
        <v>0</v>
      </c>
      <c r="V33" s="76">
        <v>-72313.597500000003</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c r="AM33" s="74">
        <v>0</v>
      </c>
      <c r="AN33" s="74">
        <v>0</v>
      </c>
      <c r="AO33" s="74">
        <v>0</v>
      </c>
      <c r="AP33" s="74">
        <v>0</v>
      </c>
      <c r="AQ33" s="74">
        <v>0</v>
      </c>
      <c r="AR33" s="74">
        <v>0</v>
      </c>
      <c r="AS33" s="74">
        <v>0</v>
      </c>
      <c r="AT33" s="74">
        <v>0</v>
      </c>
      <c r="AU33" s="74"/>
      <c r="AV33" s="74"/>
      <c r="AW33" s="74"/>
      <c r="AX33" s="74"/>
      <c r="AY33" s="74"/>
      <c r="AZ33" s="74"/>
      <c r="BA33" s="74">
        <v>0</v>
      </c>
      <c r="BB33" s="74">
        <v>0</v>
      </c>
      <c r="BC33" s="74">
        <v>0</v>
      </c>
      <c r="BD33" s="74">
        <v>0</v>
      </c>
      <c r="BE33" s="74">
        <v>0</v>
      </c>
    </row>
    <row r="34" spans="1:57">
      <c r="A34" s="73" t="s">
        <v>181</v>
      </c>
      <c r="B34" s="74">
        <v>0</v>
      </c>
      <c r="C34" s="74">
        <v>0</v>
      </c>
      <c r="D34" s="74">
        <v>0</v>
      </c>
      <c r="E34" s="74">
        <v>0</v>
      </c>
      <c r="F34" s="74">
        <v>0</v>
      </c>
      <c r="G34" s="74">
        <v>0</v>
      </c>
      <c r="H34" s="74">
        <v>0</v>
      </c>
      <c r="I34" s="74">
        <v>0</v>
      </c>
      <c r="J34" s="74">
        <v>0</v>
      </c>
      <c r="K34" s="74">
        <v>0</v>
      </c>
      <c r="L34" s="74">
        <v>0</v>
      </c>
      <c r="M34" s="76">
        <v>0</v>
      </c>
      <c r="N34" s="74">
        <v>0</v>
      </c>
      <c r="O34" s="74">
        <v>0</v>
      </c>
      <c r="P34" s="74">
        <v>0</v>
      </c>
      <c r="Q34" s="74">
        <v>0</v>
      </c>
      <c r="R34" s="74">
        <v>0</v>
      </c>
      <c r="S34" s="74">
        <v>0</v>
      </c>
      <c r="T34" s="74">
        <v>0</v>
      </c>
      <c r="U34" s="74">
        <v>0</v>
      </c>
      <c r="V34" s="76">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c r="AM34" s="74">
        <v>0</v>
      </c>
      <c r="AN34" s="74">
        <v>0</v>
      </c>
      <c r="AO34" s="74">
        <v>0</v>
      </c>
      <c r="AP34" s="74">
        <v>0</v>
      </c>
      <c r="AQ34" s="74">
        <v>0</v>
      </c>
      <c r="AR34" s="74">
        <v>0</v>
      </c>
      <c r="AS34" s="74">
        <v>0</v>
      </c>
      <c r="AT34" s="74">
        <v>0</v>
      </c>
      <c r="AU34" s="74"/>
      <c r="AV34" s="74"/>
      <c r="AW34" s="74"/>
      <c r="AX34" s="74"/>
      <c r="AY34" s="74"/>
      <c r="AZ34" s="74"/>
      <c r="BA34" s="74">
        <v>0</v>
      </c>
      <c r="BB34" s="74">
        <v>0</v>
      </c>
      <c r="BC34" s="74">
        <v>0</v>
      </c>
      <c r="BD34" s="74">
        <v>0</v>
      </c>
      <c r="BE34" s="74">
        <v>0</v>
      </c>
    </row>
    <row r="35" spans="1:57">
      <c r="A35" s="73"/>
      <c r="B35" s="80">
        <v>-2.1899999999999999E-2</v>
      </c>
      <c r="C35" s="74"/>
      <c r="D35" s="74"/>
      <c r="E35" s="74"/>
      <c r="F35" s="74"/>
      <c r="G35" s="74"/>
      <c r="H35" s="74"/>
      <c r="I35" s="74"/>
      <c r="J35" s="74"/>
      <c r="K35" s="74"/>
      <c r="L35" s="74"/>
      <c r="M35" s="76"/>
      <c r="N35" s="74"/>
      <c r="O35" s="74"/>
      <c r="P35" s="74"/>
      <c r="Q35" s="74"/>
      <c r="R35" s="74"/>
      <c r="S35" s="74"/>
      <c r="T35" s="74"/>
      <c r="U35" s="74"/>
      <c r="V35" s="76"/>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row>
    <row r="36" spans="1:57">
      <c r="A36" s="77" t="s">
        <v>182</v>
      </c>
      <c r="B36" s="81">
        <v>0</v>
      </c>
      <c r="C36" s="81">
        <v>0</v>
      </c>
      <c r="D36" s="81">
        <v>0</v>
      </c>
      <c r="E36" s="81">
        <v>0</v>
      </c>
      <c r="F36" s="81">
        <v>0</v>
      </c>
      <c r="G36" s="81">
        <v>0</v>
      </c>
      <c r="H36" s="81">
        <v>0</v>
      </c>
      <c r="I36" s="81">
        <v>0</v>
      </c>
      <c r="J36" s="81">
        <v>0</v>
      </c>
      <c r="K36" s="81">
        <v>0</v>
      </c>
      <c r="L36" s="81">
        <v>0</v>
      </c>
      <c r="M36" s="82">
        <v>0</v>
      </c>
      <c r="N36" s="81">
        <v>0</v>
      </c>
      <c r="O36" s="81">
        <v>0</v>
      </c>
      <c r="P36" s="81">
        <v>0</v>
      </c>
      <c r="Q36" s="81">
        <v>0</v>
      </c>
      <c r="R36" s="81">
        <v>0</v>
      </c>
      <c r="S36" s="81">
        <v>0</v>
      </c>
      <c r="T36" s="81">
        <v>0</v>
      </c>
      <c r="U36" s="81">
        <v>0</v>
      </c>
      <c r="V36" s="82">
        <v>0</v>
      </c>
      <c r="W36" s="78">
        <v>0</v>
      </c>
      <c r="X36" s="81">
        <v>0</v>
      </c>
      <c r="Y36" s="81">
        <v>0</v>
      </c>
      <c r="Z36" s="81">
        <v>0</v>
      </c>
      <c r="AA36" s="81">
        <v>0</v>
      </c>
      <c r="AB36" s="81">
        <v>0</v>
      </c>
      <c r="AC36" s="81">
        <v>0</v>
      </c>
      <c r="AD36" s="81">
        <v>0</v>
      </c>
      <c r="AE36" s="81">
        <v>0</v>
      </c>
      <c r="AF36" s="81">
        <v>0</v>
      </c>
      <c r="AG36" s="81">
        <v>0</v>
      </c>
      <c r="AH36" s="81">
        <v>0</v>
      </c>
      <c r="AI36" s="81">
        <v>0</v>
      </c>
      <c r="AJ36" s="81">
        <v>0</v>
      </c>
      <c r="AK36" s="81">
        <v>0</v>
      </c>
      <c r="AL36" s="81">
        <v>0</v>
      </c>
      <c r="AM36" s="81">
        <v>0</v>
      </c>
      <c r="AN36" s="81">
        <v>0</v>
      </c>
      <c r="AO36" s="81">
        <v>0</v>
      </c>
      <c r="AP36" s="81">
        <v>0</v>
      </c>
      <c r="AQ36" s="81">
        <v>0</v>
      </c>
      <c r="AR36" s="81">
        <v>0</v>
      </c>
      <c r="AS36" s="81">
        <v>0</v>
      </c>
      <c r="AT36" s="81">
        <v>0</v>
      </c>
      <c r="AU36" s="81"/>
      <c r="AV36" s="81"/>
      <c r="AW36" s="81"/>
      <c r="AX36" s="81"/>
      <c r="AY36" s="81"/>
      <c r="AZ36" s="81"/>
      <c r="BA36" s="81">
        <v>0</v>
      </c>
      <c r="BB36" s="81">
        <v>0</v>
      </c>
      <c r="BC36" s="81">
        <v>0</v>
      </c>
      <c r="BD36" s="81">
        <v>-14784414.0228</v>
      </c>
      <c r="BE36" s="81">
        <v>0</v>
      </c>
    </row>
    <row r="37" spans="1:57">
      <c r="A37" s="73" t="s">
        <v>183</v>
      </c>
      <c r="B37" s="74">
        <v>0</v>
      </c>
      <c r="C37" s="74">
        <v>0</v>
      </c>
      <c r="D37" s="74">
        <v>0</v>
      </c>
      <c r="E37" s="74">
        <v>0</v>
      </c>
      <c r="F37" s="74">
        <v>0</v>
      </c>
      <c r="G37" s="74">
        <v>0</v>
      </c>
      <c r="H37" s="74">
        <v>0</v>
      </c>
      <c r="I37" s="74">
        <v>0</v>
      </c>
      <c r="J37" s="74">
        <v>0</v>
      </c>
      <c r="K37" s="74">
        <v>0</v>
      </c>
      <c r="L37" s="74">
        <v>0</v>
      </c>
      <c r="M37" s="76">
        <v>0</v>
      </c>
      <c r="N37" s="74">
        <v>0</v>
      </c>
      <c r="O37" s="74">
        <v>0</v>
      </c>
      <c r="P37" s="74">
        <v>0</v>
      </c>
      <c r="Q37" s="74">
        <v>0</v>
      </c>
      <c r="R37" s="74">
        <v>0</v>
      </c>
      <c r="S37" s="74">
        <v>0</v>
      </c>
      <c r="T37" s="74">
        <v>0</v>
      </c>
      <c r="U37" s="74">
        <v>0</v>
      </c>
      <c r="V37" s="76">
        <v>0</v>
      </c>
      <c r="W37" s="74">
        <v>0</v>
      </c>
      <c r="X37" s="74">
        <v>0</v>
      </c>
      <c r="Y37" s="74">
        <v>0</v>
      </c>
      <c r="Z37" s="74">
        <v>0</v>
      </c>
      <c r="AA37" s="74">
        <v>0</v>
      </c>
      <c r="AB37" s="74">
        <v>0</v>
      </c>
      <c r="AC37" s="74">
        <v>0</v>
      </c>
      <c r="AD37" s="74">
        <v>0</v>
      </c>
      <c r="AE37" s="74">
        <v>0</v>
      </c>
      <c r="AF37" s="74">
        <v>0</v>
      </c>
      <c r="AG37" s="74">
        <v>0</v>
      </c>
      <c r="AH37" s="74">
        <v>0</v>
      </c>
      <c r="AI37" s="74">
        <v>0</v>
      </c>
      <c r="AJ37" s="74">
        <v>0</v>
      </c>
      <c r="AK37" s="74">
        <v>0</v>
      </c>
      <c r="AL37" s="74">
        <v>0</v>
      </c>
      <c r="AM37" s="74">
        <v>0</v>
      </c>
      <c r="AN37" s="74">
        <v>0</v>
      </c>
      <c r="AO37" s="74">
        <v>0</v>
      </c>
      <c r="AP37" s="74">
        <v>0</v>
      </c>
      <c r="AQ37" s="74">
        <v>0</v>
      </c>
      <c r="AR37" s="74">
        <v>0</v>
      </c>
      <c r="AS37" s="74">
        <v>0</v>
      </c>
      <c r="AT37" s="74">
        <v>0</v>
      </c>
      <c r="AU37" s="74"/>
      <c r="AV37" s="74"/>
      <c r="AW37" s="74"/>
      <c r="AX37" s="74"/>
      <c r="AY37" s="74"/>
      <c r="AZ37" s="74"/>
      <c r="BA37" s="74">
        <v>0</v>
      </c>
      <c r="BB37" s="74">
        <v>0</v>
      </c>
      <c r="BC37" s="74">
        <v>0</v>
      </c>
      <c r="BD37" s="74">
        <v>0</v>
      </c>
      <c r="BE37" s="74">
        <v>0</v>
      </c>
    </row>
    <row r="38" spans="1:57">
      <c r="A38" s="73" t="s">
        <v>184</v>
      </c>
      <c r="B38" s="74">
        <v>0</v>
      </c>
      <c r="C38" s="74">
        <v>0</v>
      </c>
      <c r="D38" s="74">
        <v>0</v>
      </c>
      <c r="E38" s="74">
        <v>0</v>
      </c>
      <c r="F38" s="74">
        <v>0</v>
      </c>
      <c r="G38" s="74">
        <v>0</v>
      </c>
      <c r="H38" s="74">
        <v>0</v>
      </c>
      <c r="I38" s="74">
        <v>0</v>
      </c>
      <c r="J38" s="74">
        <v>0</v>
      </c>
      <c r="K38" s="74">
        <v>0</v>
      </c>
      <c r="L38" s="74">
        <v>0</v>
      </c>
      <c r="M38" s="76">
        <v>0</v>
      </c>
      <c r="N38" s="74">
        <v>0</v>
      </c>
      <c r="O38" s="74">
        <v>0</v>
      </c>
      <c r="P38" s="74">
        <v>0</v>
      </c>
      <c r="Q38" s="74">
        <v>0</v>
      </c>
      <c r="R38" s="74">
        <v>0</v>
      </c>
      <c r="S38" s="74">
        <v>0</v>
      </c>
      <c r="T38" s="74">
        <v>0</v>
      </c>
      <c r="U38" s="74">
        <v>0</v>
      </c>
      <c r="V38" s="76">
        <v>0</v>
      </c>
      <c r="W38" s="74">
        <v>0</v>
      </c>
      <c r="X38" s="74">
        <v>0</v>
      </c>
      <c r="Y38" s="74">
        <v>0</v>
      </c>
      <c r="Z38" s="74">
        <v>0</v>
      </c>
      <c r="AA38" s="74">
        <v>0</v>
      </c>
      <c r="AB38" s="74">
        <v>0</v>
      </c>
      <c r="AC38" s="74">
        <v>0</v>
      </c>
      <c r="AD38" s="74">
        <v>0</v>
      </c>
      <c r="AE38" s="74">
        <v>0</v>
      </c>
      <c r="AF38" s="74">
        <v>0</v>
      </c>
      <c r="AG38" s="74">
        <v>0</v>
      </c>
      <c r="AH38" s="74">
        <v>0</v>
      </c>
      <c r="AI38" s="74">
        <v>0</v>
      </c>
      <c r="AJ38" s="74">
        <v>0</v>
      </c>
      <c r="AK38" s="74">
        <v>0</v>
      </c>
      <c r="AL38" s="74">
        <v>0</v>
      </c>
      <c r="AM38" s="74">
        <v>0</v>
      </c>
      <c r="AN38" s="74">
        <v>0</v>
      </c>
      <c r="AO38" s="74">
        <v>0</v>
      </c>
      <c r="AP38" s="74">
        <v>0</v>
      </c>
      <c r="AQ38" s="74">
        <v>0</v>
      </c>
      <c r="AR38" s="74">
        <v>0</v>
      </c>
      <c r="AS38" s="74">
        <v>0</v>
      </c>
      <c r="AT38" s="74">
        <v>0</v>
      </c>
      <c r="AU38" s="74"/>
      <c r="AV38" s="74"/>
      <c r="AW38" s="74"/>
      <c r="AX38" s="74"/>
      <c r="AY38" s="74"/>
      <c r="AZ38" s="74"/>
      <c r="BA38" s="74">
        <v>0</v>
      </c>
      <c r="BB38" s="74">
        <v>0</v>
      </c>
      <c r="BC38" s="74">
        <v>0</v>
      </c>
      <c r="BD38" s="74">
        <v>0</v>
      </c>
      <c r="BE38" s="74">
        <v>0</v>
      </c>
    </row>
    <row r="39" spans="1:57">
      <c r="A39" s="73" t="s">
        <v>173</v>
      </c>
      <c r="B39" s="74">
        <v>0</v>
      </c>
      <c r="C39" s="74">
        <v>0</v>
      </c>
      <c r="D39" s="74">
        <v>0</v>
      </c>
      <c r="E39" s="74">
        <v>0</v>
      </c>
      <c r="F39" s="74">
        <v>0</v>
      </c>
      <c r="G39" s="74">
        <v>0</v>
      </c>
      <c r="H39" s="74">
        <v>0</v>
      </c>
      <c r="I39" s="74">
        <v>0</v>
      </c>
      <c r="J39" s="74">
        <v>0</v>
      </c>
      <c r="K39" s="74">
        <v>0</v>
      </c>
      <c r="L39" s="74">
        <v>0</v>
      </c>
      <c r="M39" s="76">
        <v>0</v>
      </c>
      <c r="N39" s="74">
        <v>0</v>
      </c>
      <c r="O39" s="74">
        <v>0</v>
      </c>
      <c r="P39" s="74">
        <v>0</v>
      </c>
      <c r="Q39" s="74">
        <v>0</v>
      </c>
      <c r="R39" s="74">
        <v>0</v>
      </c>
      <c r="S39" s="74">
        <v>0</v>
      </c>
      <c r="T39" s="74">
        <v>0</v>
      </c>
      <c r="U39" s="74">
        <v>0</v>
      </c>
      <c r="V39" s="76">
        <v>0</v>
      </c>
      <c r="W39" s="74">
        <v>0</v>
      </c>
      <c r="X39" s="74">
        <v>0</v>
      </c>
      <c r="Y39" s="74">
        <v>0</v>
      </c>
      <c r="Z39" s="74">
        <v>0</v>
      </c>
      <c r="AA39" s="74">
        <v>0</v>
      </c>
      <c r="AB39" s="74">
        <v>0</v>
      </c>
      <c r="AC39" s="74">
        <v>0</v>
      </c>
      <c r="AD39" s="74">
        <v>0</v>
      </c>
      <c r="AE39" s="74">
        <v>0</v>
      </c>
      <c r="AF39" s="74">
        <v>0</v>
      </c>
      <c r="AG39" s="74">
        <v>0</v>
      </c>
      <c r="AH39" s="74">
        <v>0</v>
      </c>
      <c r="AI39" s="74">
        <v>0</v>
      </c>
      <c r="AJ39" s="74">
        <v>0</v>
      </c>
      <c r="AK39" s="74">
        <v>0</v>
      </c>
      <c r="AL39" s="74">
        <v>0</v>
      </c>
      <c r="AM39" s="74">
        <v>0</v>
      </c>
      <c r="AN39" s="74">
        <v>0</v>
      </c>
      <c r="AO39" s="74">
        <v>0</v>
      </c>
      <c r="AP39" s="74">
        <v>0</v>
      </c>
      <c r="AQ39" s="74">
        <v>0</v>
      </c>
      <c r="AR39" s="74">
        <v>0</v>
      </c>
      <c r="AS39" s="74">
        <v>0</v>
      </c>
      <c r="AT39" s="74">
        <v>0</v>
      </c>
      <c r="AU39" s="74"/>
      <c r="AV39" s="74"/>
      <c r="AW39" s="74"/>
      <c r="AX39" s="74"/>
      <c r="AY39" s="74"/>
      <c r="AZ39" s="74"/>
      <c r="BA39" s="74">
        <v>0</v>
      </c>
      <c r="BB39" s="74">
        <v>0</v>
      </c>
      <c r="BC39" s="74">
        <v>0</v>
      </c>
      <c r="BD39" s="74">
        <v>0</v>
      </c>
      <c r="BE39" s="74">
        <v>0</v>
      </c>
    </row>
    <row r="40" spans="1:57">
      <c r="A40" s="73" t="s">
        <v>174</v>
      </c>
      <c r="B40" s="74">
        <v>0</v>
      </c>
      <c r="C40" s="74">
        <v>0</v>
      </c>
      <c r="D40" s="74">
        <v>0</v>
      </c>
      <c r="E40" s="74">
        <v>0</v>
      </c>
      <c r="F40" s="74">
        <v>0</v>
      </c>
      <c r="G40" s="74">
        <v>0</v>
      </c>
      <c r="H40" s="74">
        <v>0</v>
      </c>
      <c r="I40" s="74">
        <v>0</v>
      </c>
      <c r="J40" s="74">
        <v>0</v>
      </c>
      <c r="K40" s="74">
        <v>0</v>
      </c>
      <c r="L40" s="74">
        <v>0</v>
      </c>
      <c r="M40" s="76">
        <v>0</v>
      </c>
      <c r="N40" s="74">
        <v>0</v>
      </c>
      <c r="O40" s="74">
        <v>0</v>
      </c>
      <c r="P40" s="74">
        <v>0</v>
      </c>
      <c r="Q40" s="74">
        <v>0</v>
      </c>
      <c r="R40" s="74">
        <v>0</v>
      </c>
      <c r="S40" s="74">
        <v>0</v>
      </c>
      <c r="T40" s="74">
        <v>0</v>
      </c>
      <c r="U40" s="74">
        <v>0</v>
      </c>
      <c r="V40" s="76">
        <v>0</v>
      </c>
      <c r="W40" s="74">
        <v>0</v>
      </c>
      <c r="X40" s="74">
        <v>0</v>
      </c>
      <c r="Y40" s="74">
        <v>0</v>
      </c>
      <c r="Z40" s="74">
        <v>0</v>
      </c>
      <c r="AA40" s="74">
        <v>0</v>
      </c>
      <c r="AB40" s="74">
        <v>0</v>
      </c>
      <c r="AC40" s="74">
        <v>0</v>
      </c>
      <c r="AD40" s="74">
        <v>0</v>
      </c>
      <c r="AE40" s="74">
        <v>0</v>
      </c>
      <c r="AF40" s="74">
        <v>0</v>
      </c>
      <c r="AG40" s="74">
        <v>0</v>
      </c>
      <c r="AH40" s="74">
        <v>0</v>
      </c>
      <c r="AI40" s="74">
        <v>0</v>
      </c>
      <c r="AJ40" s="74">
        <v>0</v>
      </c>
      <c r="AK40" s="74">
        <v>0</v>
      </c>
      <c r="AL40" s="74">
        <v>0</v>
      </c>
      <c r="AM40" s="74">
        <v>0</v>
      </c>
      <c r="AN40" s="74">
        <v>0</v>
      </c>
      <c r="AO40" s="74">
        <v>0</v>
      </c>
      <c r="AP40" s="74">
        <v>0</v>
      </c>
      <c r="AQ40" s="74">
        <v>0</v>
      </c>
      <c r="AR40" s="74">
        <v>0</v>
      </c>
      <c r="AS40" s="74">
        <v>0</v>
      </c>
      <c r="AT40" s="74">
        <v>0</v>
      </c>
      <c r="AU40" s="74"/>
      <c r="AV40" s="74"/>
      <c r="AW40" s="74"/>
      <c r="AX40" s="74"/>
      <c r="AY40" s="74"/>
      <c r="AZ40" s="74"/>
      <c r="BA40" s="74">
        <v>0</v>
      </c>
      <c r="BB40" s="74">
        <v>0</v>
      </c>
      <c r="BC40" s="74">
        <v>0</v>
      </c>
      <c r="BD40" s="74">
        <v>0</v>
      </c>
      <c r="BE40" s="74">
        <v>0</v>
      </c>
    </row>
    <row r="41" spans="1:57">
      <c r="A41" s="73" t="s">
        <v>175</v>
      </c>
      <c r="B41" s="74">
        <v>0</v>
      </c>
      <c r="C41" s="74">
        <v>0</v>
      </c>
      <c r="D41" s="74">
        <v>0</v>
      </c>
      <c r="E41" s="74">
        <v>0</v>
      </c>
      <c r="F41" s="74">
        <v>0</v>
      </c>
      <c r="G41" s="74">
        <v>0</v>
      </c>
      <c r="H41" s="74">
        <v>0</v>
      </c>
      <c r="I41" s="74">
        <v>0</v>
      </c>
      <c r="J41" s="74">
        <v>0</v>
      </c>
      <c r="K41" s="74">
        <v>0</v>
      </c>
      <c r="L41" s="74">
        <v>0</v>
      </c>
      <c r="M41" s="76">
        <v>0</v>
      </c>
      <c r="N41" s="74">
        <v>0</v>
      </c>
      <c r="O41" s="74">
        <v>0</v>
      </c>
      <c r="P41" s="74">
        <v>0</v>
      </c>
      <c r="Q41" s="74">
        <v>0</v>
      </c>
      <c r="R41" s="74">
        <v>0</v>
      </c>
      <c r="S41" s="74">
        <v>0</v>
      </c>
      <c r="T41" s="74">
        <v>0</v>
      </c>
      <c r="U41" s="74">
        <v>0</v>
      </c>
      <c r="V41" s="76">
        <v>0</v>
      </c>
      <c r="W41" s="74">
        <v>0</v>
      </c>
      <c r="X41" s="74">
        <v>0</v>
      </c>
      <c r="Y41" s="74">
        <v>0</v>
      </c>
      <c r="Z41" s="74">
        <v>0</v>
      </c>
      <c r="AA41" s="74">
        <v>0</v>
      </c>
      <c r="AB41" s="74">
        <v>0</v>
      </c>
      <c r="AC41" s="74">
        <v>0</v>
      </c>
      <c r="AD41" s="74">
        <v>0</v>
      </c>
      <c r="AE41" s="74">
        <v>0</v>
      </c>
      <c r="AF41" s="74">
        <v>0</v>
      </c>
      <c r="AG41" s="74">
        <v>0</v>
      </c>
      <c r="AH41" s="74">
        <v>0</v>
      </c>
      <c r="AI41" s="74">
        <v>0</v>
      </c>
      <c r="AJ41" s="74">
        <v>0</v>
      </c>
      <c r="AK41" s="74">
        <v>0</v>
      </c>
      <c r="AL41" s="74">
        <v>0</v>
      </c>
      <c r="AM41" s="74">
        <v>0</v>
      </c>
      <c r="AN41" s="74">
        <v>0</v>
      </c>
      <c r="AO41" s="74">
        <v>0</v>
      </c>
      <c r="AP41" s="74">
        <v>0</v>
      </c>
      <c r="AQ41" s="74">
        <v>0</v>
      </c>
      <c r="AR41" s="74">
        <v>0</v>
      </c>
      <c r="AS41" s="74">
        <v>0</v>
      </c>
      <c r="AT41" s="74">
        <v>0</v>
      </c>
      <c r="AU41" s="74"/>
      <c r="AV41" s="74"/>
      <c r="AW41" s="74"/>
      <c r="AX41" s="74"/>
      <c r="AY41" s="74"/>
      <c r="AZ41" s="74"/>
      <c r="BA41" s="74">
        <v>0</v>
      </c>
      <c r="BB41" s="74">
        <v>0</v>
      </c>
      <c r="BC41" s="74">
        <v>0</v>
      </c>
      <c r="BD41" s="74">
        <v>0</v>
      </c>
      <c r="BE41" s="74">
        <v>0</v>
      </c>
    </row>
    <row r="42" spans="1:57">
      <c r="A42" s="73" t="s">
        <v>185</v>
      </c>
      <c r="B42" s="74">
        <v>0</v>
      </c>
      <c r="C42" s="74">
        <v>0</v>
      </c>
      <c r="D42" s="74">
        <v>0</v>
      </c>
      <c r="E42" s="74">
        <v>0</v>
      </c>
      <c r="F42" s="74">
        <v>0</v>
      </c>
      <c r="G42" s="74">
        <v>0</v>
      </c>
      <c r="H42" s="74">
        <v>0</v>
      </c>
      <c r="I42" s="74">
        <v>0</v>
      </c>
      <c r="J42" s="74">
        <v>0</v>
      </c>
      <c r="K42" s="74">
        <v>0</v>
      </c>
      <c r="L42" s="74">
        <v>0</v>
      </c>
      <c r="M42" s="76">
        <v>0</v>
      </c>
      <c r="N42" s="74">
        <v>0</v>
      </c>
      <c r="O42" s="74">
        <v>0</v>
      </c>
      <c r="P42" s="74">
        <v>0</v>
      </c>
      <c r="Q42" s="74">
        <v>0</v>
      </c>
      <c r="R42" s="74">
        <v>0</v>
      </c>
      <c r="S42" s="74">
        <v>0</v>
      </c>
      <c r="T42" s="74">
        <v>0</v>
      </c>
      <c r="U42" s="74">
        <v>0</v>
      </c>
      <c r="V42" s="76">
        <v>0</v>
      </c>
      <c r="W42" s="74">
        <v>0</v>
      </c>
      <c r="X42" s="74">
        <v>0</v>
      </c>
      <c r="Y42" s="74">
        <v>0</v>
      </c>
      <c r="Z42" s="74">
        <v>0</v>
      </c>
      <c r="AA42" s="74">
        <v>0</v>
      </c>
      <c r="AB42" s="74">
        <v>0</v>
      </c>
      <c r="AC42" s="74">
        <v>0</v>
      </c>
      <c r="AD42" s="74">
        <v>0</v>
      </c>
      <c r="AE42" s="74">
        <v>0</v>
      </c>
      <c r="AF42" s="74">
        <v>0</v>
      </c>
      <c r="AG42" s="74">
        <v>0</v>
      </c>
      <c r="AH42" s="74">
        <v>0</v>
      </c>
      <c r="AI42" s="74">
        <v>0</v>
      </c>
      <c r="AJ42" s="74">
        <v>0</v>
      </c>
      <c r="AK42" s="74">
        <v>0</v>
      </c>
      <c r="AL42" s="74">
        <v>0</v>
      </c>
      <c r="AM42" s="74">
        <v>0</v>
      </c>
      <c r="AN42" s="74">
        <v>0</v>
      </c>
      <c r="AO42" s="74">
        <v>0</v>
      </c>
      <c r="AP42" s="74">
        <v>0</v>
      </c>
      <c r="AQ42" s="74">
        <v>0</v>
      </c>
      <c r="AR42" s="74">
        <v>0</v>
      </c>
      <c r="AS42" s="74">
        <v>0</v>
      </c>
      <c r="AT42" s="74">
        <v>0</v>
      </c>
      <c r="AU42" s="74"/>
      <c r="AV42" s="74"/>
      <c r="AW42" s="74"/>
      <c r="AX42" s="74"/>
      <c r="AY42" s="74"/>
      <c r="AZ42" s="74"/>
      <c r="BA42" s="74">
        <v>0</v>
      </c>
      <c r="BB42" s="74">
        <v>0</v>
      </c>
      <c r="BC42" s="74">
        <v>0</v>
      </c>
      <c r="BD42" s="74">
        <v>0</v>
      </c>
      <c r="BE42" s="74">
        <v>0</v>
      </c>
    </row>
    <row r="43" spans="1:57">
      <c r="A43" s="73" t="s">
        <v>179</v>
      </c>
      <c r="B43" s="74">
        <v>0</v>
      </c>
      <c r="C43" s="74">
        <v>0</v>
      </c>
      <c r="D43" s="74">
        <v>0</v>
      </c>
      <c r="E43" s="74">
        <v>0</v>
      </c>
      <c r="F43" s="74">
        <v>0</v>
      </c>
      <c r="G43" s="74">
        <v>0</v>
      </c>
      <c r="H43" s="74">
        <v>0</v>
      </c>
      <c r="I43" s="74">
        <v>0</v>
      </c>
      <c r="J43" s="74">
        <v>0</v>
      </c>
      <c r="K43" s="74">
        <v>0</v>
      </c>
      <c r="L43" s="74">
        <v>0</v>
      </c>
      <c r="M43" s="76">
        <v>0</v>
      </c>
      <c r="N43" s="74">
        <v>0</v>
      </c>
      <c r="O43" s="74">
        <v>0</v>
      </c>
      <c r="P43" s="74">
        <v>0</v>
      </c>
      <c r="Q43" s="74">
        <v>0</v>
      </c>
      <c r="R43" s="74">
        <v>0</v>
      </c>
      <c r="S43" s="74">
        <v>0</v>
      </c>
      <c r="T43" s="74">
        <v>0</v>
      </c>
      <c r="U43" s="74">
        <v>0</v>
      </c>
      <c r="V43" s="76">
        <v>0</v>
      </c>
      <c r="W43" s="74">
        <v>0</v>
      </c>
      <c r="X43" s="74">
        <v>0</v>
      </c>
      <c r="Y43" s="74">
        <v>0</v>
      </c>
      <c r="Z43" s="74">
        <v>0</v>
      </c>
      <c r="AA43" s="74">
        <v>0</v>
      </c>
      <c r="AB43" s="74">
        <v>0</v>
      </c>
      <c r="AC43" s="74">
        <v>0</v>
      </c>
      <c r="AD43" s="74">
        <v>0</v>
      </c>
      <c r="AE43" s="74">
        <v>0</v>
      </c>
      <c r="AF43" s="74">
        <v>0</v>
      </c>
      <c r="AG43" s="74">
        <v>0</v>
      </c>
      <c r="AH43" s="74">
        <v>0</v>
      </c>
      <c r="AI43" s="74">
        <v>0</v>
      </c>
      <c r="AJ43" s="74">
        <v>0</v>
      </c>
      <c r="AK43" s="74">
        <v>0</v>
      </c>
      <c r="AL43" s="74">
        <v>0</v>
      </c>
      <c r="AM43" s="74">
        <v>0</v>
      </c>
      <c r="AN43" s="74">
        <v>0</v>
      </c>
      <c r="AO43" s="74">
        <v>0</v>
      </c>
      <c r="AP43" s="74">
        <v>0</v>
      </c>
      <c r="AQ43" s="74">
        <v>0</v>
      </c>
      <c r="AR43" s="74">
        <v>0</v>
      </c>
      <c r="AS43" s="74">
        <v>0</v>
      </c>
      <c r="AT43" s="74">
        <v>0</v>
      </c>
      <c r="AU43" s="74"/>
      <c r="AV43" s="74"/>
      <c r="AW43" s="74"/>
      <c r="AX43" s="74"/>
      <c r="AY43" s="74"/>
      <c r="AZ43" s="74"/>
      <c r="BA43" s="74">
        <v>0</v>
      </c>
      <c r="BB43" s="74">
        <v>0</v>
      </c>
      <c r="BC43" s="74">
        <v>0</v>
      </c>
      <c r="BD43" s="74">
        <v>-29226.337200000002</v>
      </c>
      <c r="BE43" s="74">
        <v>0</v>
      </c>
    </row>
    <row r="44" spans="1:57">
      <c r="A44" s="73" t="s">
        <v>186</v>
      </c>
      <c r="B44" s="74">
        <v>0</v>
      </c>
      <c r="C44" s="74">
        <v>0</v>
      </c>
      <c r="D44" s="74">
        <v>0</v>
      </c>
      <c r="E44" s="74">
        <v>0</v>
      </c>
      <c r="F44" s="74">
        <v>0</v>
      </c>
      <c r="G44" s="74">
        <v>0</v>
      </c>
      <c r="H44" s="74">
        <v>0</v>
      </c>
      <c r="I44" s="74">
        <v>0</v>
      </c>
      <c r="J44" s="74">
        <v>0</v>
      </c>
      <c r="K44" s="74">
        <v>0</v>
      </c>
      <c r="L44" s="74">
        <v>0</v>
      </c>
      <c r="M44" s="76">
        <v>0</v>
      </c>
      <c r="N44" s="74">
        <v>0</v>
      </c>
      <c r="O44" s="74">
        <v>0</v>
      </c>
      <c r="P44" s="74">
        <v>0</v>
      </c>
      <c r="Q44" s="74">
        <v>0</v>
      </c>
      <c r="R44" s="74">
        <v>0</v>
      </c>
      <c r="S44" s="74">
        <v>0</v>
      </c>
      <c r="T44" s="74">
        <v>0</v>
      </c>
      <c r="U44" s="74">
        <v>0</v>
      </c>
      <c r="V44" s="76">
        <v>0</v>
      </c>
      <c r="W44" s="74">
        <v>0</v>
      </c>
      <c r="X44" s="74">
        <v>0</v>
      </c>
      <c r="Y44" s="74">
        <v>0</v>
      </c>
      <c r="Z44" s="74">
        <v>0</v>
      </c>
      <c r="AA44" s="74">
        <v>0</v>
      </c>
      <c r="AB44" s="74">
        <v>0</v>
      </c>
      <c r="AC44" s="74">
        <v>0</v>
      </c>
      <c r="AD44" s="74">
        <v>0</v>
      </c>
      <c r="AE44" s="74">
        <v>0</v>
      </c>
      <c r="AF44" s="74">
        <v>0</v>
      </c>
      <c r="AG44" s="74">
        <v>0</v>
      </c>
      <c r="AH44" s="74">
        <v>0</v>
      </c>
      <c r="AI44" s="74">
        <v>0</v>
      </c>
      <c r="AJ44" s="74">
        <v>0</v>
      </c>
      <c r="AK44" s="74">
        <v>0</v>
      </c>
      <c r="AL44" s="74">
        <v>0</v>
      </c>
      <c r="AM44" s="74">
        <v>0</v>
      </c>
      <c r="AN44" s="74">
        <v>0</v>
      </c>
      <c r="AO44" s="74">
        <v>0</v>
      </c>
      <c r="AP44" s="74">
        <v>0</v>
      </c>
      <c r="AQ44" s="74">
        <v>0</v>
      </c>
      <c r="AR44" s="74">
        <v>0</v>
      </c>
      <c r="AS44" s="74">
        <v>0</v>
      </c>
      <c r="AT44" s="74">
        <v>0</v>
      </c>
      <c r="AU44" s="74"/>
      <c r="AV44" s="74"/>
      <c r="AW44" s="74"/>
      <c r="AX44" s="74"/>
      <c r="AY44" s="74"/>
      <c r="AZ44" s="74"/>
      <c r="BA44" s="74">
        <v>0</v>
      </c>
      <c r="BB44" s="74">
        <v>0</v>
      </c>
      <c r="BC44" s="74">
        <v>0</v>
      </c>
      <c r="BD44" s="74">
        <v>-1.2636000000000001</v>
      </c>
      <c r="BE44" s="74">
        <v>0</v>
      </c>
    </row>
    <row r="45" spans="1:57">
      <c r="A45" s="73" t="s">
        <v>187</v>
      </c>
      <c r="B45" s="74">
        <v>0</v>
      </c>
      <c r="C45" s="74">
        <v>0</v>
      </c>
      <c r="D45" s="74">
        <v>0</v>
      </c>
      <c r="E45" s="74">
        <v>0</v>
      </c>
      <c r="F45" s="74">
        <v>0</v>
      </c>
      <c r="G45" s="74">
        <v>0</v>
      </c>
      <c r="H45" s="74">
        <v>0</v>
      </c>
      <c r="I45" s="74">
        <v>0</v>
      </c>
      <c r="J45" s="74">
        <v>0</v>
      </c>
      <c r="K45" s="74">
        <v>0</v>
      </c>
      <c r="L45" s="74">
        <v>0</v>
      </c>
      <c r="M45" s="76">
        <v>0</v>
      </c>
      <c r="N45" s="74">
        <v>0</v>
      </c>
      <c r="O45" s="74">
        <v>0</v>
      </c>
      <c r="P45" s="74">
        <v>0</v>
      </c>
      <c r="Q45" s="74">
        <v>0</v>
      </c>
      <c r="R45" s="74">
        <v>0</v>
      </c>
      <c r="S45" s="74">
        <v>0</v>
      </c>
      <c r="T45" s="74">
        <v>0</v>
      </c>
      <c r="U45" s="74">
        <v>0</v>
      </c>
      <c r="V45" s="76">
        <v>0</v>
      </c>
      <c r="W45" s="74">
        <v>0</v>
      </c>
      <c r="X45" s="74">
        <v>0</v>
      </c>
      <c r="Y45" s="74">
        <v>0</v>
      </c>
      <c r="Z45" s="74">
        <v>0</v>
      </c>
      <c r="AA45" s="74">
        <v>0</v>
      </c>
      <c r="AB45" s="74">
        <v>0</v>
      </c>
      <c r="AC45" s="74">
        <v>0</v>
      </c>
      <c r="AD45" s="74">
        <v>0</v>
      </c>
      <c r="AE45" s="74">
        <v>0</v>
      </c>
      <c r="AF45" s="74">
        <v>0</v>
      </c>
      <c r="AG45" s="74">
        <v>0</v>
      </c>
      <c r="AH45" s="74">
        <v>0</v>
      </c>
      <c r="AI45" s="74">
        <v>0</v>
      </c>
      <c r="AJ45" s="74">
        <v>0</v>
      </c>
      <c r="AK45" s="74">
        <v>0</v>
      </c>
      <c r="AL45" s="74">
        <v>0</v>
      </c>
      <c r="AM45" s="74">
        <v>0</v>
      </c>
      <c r="AN45" s="74">
        <v>0</v>
      </c>
      <c r="AO45" s="74">
        <v>0</v>
      </c>
      <c r="AP45" s="74">
        <v>0</v>
      </c>
      <c r="AQ45" s="74">
        <v>0</v>
      </c>
      <c r="AR45" s="74">
        <v>0</v>
      </c>
      <c r="AS45" s="74">
        <v>0</v>
      </c>
      <c r="AT45" s="74">
        <v>0</v>
      </c>
      <c r="AU45" s="74"/>
      <c r="AV45" s="74"/>
      <c r="AW45" s="74"/>
      <c r="AX45" s="74"/>
      <c r="AY45" s="74"/>
      <c r="AZ45" s="74"/>
      <c r="BA45" s="74">
        <v>0</v>
      </c>
      <c r="BB45" s="74">
        <v>0</v>
      </c>
      <c r="BC45" s="74">
        <v>0</v>
      </c>
      <c r="BD45" s="74">
        <v>-14755186.422</v>
      </c>
      <c r="BE45" s="74">
        <v>0</v>
      </c>
    </row>
    <row r="46" spans="1:57">
      <c r="A46" s="73" t="s">
        <v>188</v>
      </c>
      <c r="B46" s="74">
        <v>0</v>
      </c>
      <c r="C46" s="74">
        <v>0</v>
      </c>
      <c r="D46" s="74">
        <v>0</v>
      </c>
      <c r="E46" s="74">
        <v>0</v>
      </c>
      <c r="F46" s="74">
        <v>0</v>
      </c>
      <c r="G46" s="74">
        <v>0</v>
      </c>
      <c r="H46" s="74">
        <v>0</v>
      </c>
      <c r="I46" s="74">
        <v>0</v>
      </c>
      <c r="J46" s="74">
        <v>0</v>
      </c>
      <c r="K46" s="74">
        <v>0</v>
      </c>
      <c r="L46" s="74">
        <v>0</v>
      </c>
      <c r="M46" s="76">
        <v>0</v>
      </c>
      <c r="N46" s="74">
        <v>0</v>
      </c>
      <c r="O46" s="74">
        <v>0</v>
      </c>
      <c r="P46" s="74">
        <v>0</v>
      </c>
      <c r="Q46" s="74">
        <v>0</v>
      </c>
      <c r="R46" s="74">
        <v>0</v>
      </c>
      <c r="S46" s="74">
        <v>0</v>
      </c>
      <c r="T46" s="74">
        <v>0</v>
      </c>
      <c r="U46" s="74">
        <v>0</v>
      </c>
      <c r="V46" s="76">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c r="AP46" s="74">
        <v>0</v>
      </c>
      <c r="AQ46" s="74">
        <v>0</v>
      </c>
      <c r="AR46" s="74">
        <v>0</v>
      </c>
      <c r="AS46" s="74">
        <v>0</v>
      </c>
      <c r="AT46" s="74">
        <v>0</v>
      </c>
      <c r="AU46" s="74"/>
      <c r="AV46" s="74"/>
      <c r="AW46" s="74"/>
      <c r="AX46" s="74"/>
      <c r="AY46" s="74"/>
      <c r="AZ46" s="74"/>
      <c r="BA46" s="74">
        <v>0</v>
      </c>
      <c r="BB46" s="74">
        <v>0</v>
      </c>
      <c r="BC46" s="74">
        <v>0</v>
      </c>
      <c r="BD46" s="74">
        <v>0</v>
      </c>
      <c r="BE46" s="74">
        <v>0</v>
      </c>
    </row>
    <row r="47" spans="1:57">
      <c r="A47" s="73" t="s">
        <v>189</v>
      </c>
      <c r="B47" s="74">
        <v>0</v>
      </c>
      <c r="C47" s="74">
        <v>0</v>
      </c>
      <c r="D47" s="74">
        <v>0</v>
      </c>
      <c r="E47" s="74">
        <v>0</v>
      </c>
      <c r="F47" s="74">
        <v>0</v>
      </c>
      <c r="G47" s="74">
        <v>0</v>
      </c>
      <c r="H47" s="74">
        <v>0</v>
      </c>
      <c r="I47" s="74">
        <v>0</v>
      </c>
      <c r="J47" s="74">
        <v>0</v>
      </c>
      <c r="K47" s="74">
        <v>0</v>
      </c>
      <c r="L47" s="74">
        <v>0</v>
      </c>
      <c r="M47" s="76">
        <v>0</v>
      </c>
      <c r="N47" s="74">
        <v>0</v>
      </c>
      <c r="O47" s="74">
        <v>0</v>
      </c>
      <c r="P47" s="74">
        <v>0</v>
      </c>
      <c r="Q47" s="74">
        <v>0</v>
      </c>
      <c r="R47" s="74">
        <v>0</v>
      </c>
      <c r="S47" s="74">
        <v>0</v>
      </c>
      <c r="T47" s="74">
        <v>0</v>
      </c>
      <c r="U47" s="74">
        <v>0</v>
      </c>
      <c r="V47" s="76">
        <v>0</v>
      </c>
      <c r="W47" s="74">
        <v>0</v>
      </c>
      <c r="X47" s="74">
        <v>0</v>
      </c>
      <c r="Y47" s="74">
        <v>0</v>
      </c>
      <c r="Z47" s="74">
        <v>0</v>
      </c>
      <c r="AA47" s="74">
        <v>0</v>
      </c>
      <c r="AB47" s="74">
        <v>0</v>
      </c>
      <c r="AC47" s="74">
        <v>0</v>
      </c>
      <c r="AD47" s="74">
        <v>0</v>
      </c>
      <c r="AE47" s="74">
        <v>0</v>
      </c>
      <c r="AF47" s="74">
        <v>0</v>
      </c>
      <c r="AG47" s="74">
        <v>0</v>
      </c>
      <c r="AH47" s="74">
        <v>0</v>
      </c>
      <c r="AI47" s="74">
        <v>0</v>
      </c>
      <c r="AJ47" s="74">
        <v>0</v>
      </c>
      <c r="AK47" s="74">
        <v>0</v>
      </c>
      <c r="AL47" s="74">
        <v>0</v>
      </c>
      <c r="AM47" s="74">
        <v>0</v>
      </c>
      <c r="AN47" s="74">
        <v>0</v>
      </c>
      <c r="AO47" s="74">
        <v>0</v>
      </c>
      <c r="AP47" s="74">
        <v>0</v>
      </c>
      <c r="AQ47" s="74">
        <v>0</v>
      </c>
      <c r="AR47" s="74">
        <v>0</v>
      </c>
      <c r="AS47" s="74">
        <v>0</v>
      </c>
      <c r="AT47" s="74">
        <v>0</v>
      </c>
      <c r="AU47" s="74"/>
      <c r="AV47" s="74"/>
      <c r="AW47" s="74"/>
      <c r="AX47" s="74"/>
      <c r="AY47" s="74"/>
      <c r="AZ47" s="74"/>
      <c r="BA47" s="74">
        <v>0</v>
      </c>
      <c r="BB47" s="74">
        <v>0</v>
      </c>
      <c r="BC47" s="74">
        <v>0</v>
      </c>
      <c r="BD47" s="74">
        <v>0</v>
      </c>
      <c r="BE47" s="74">
        <v>0</v>
      </c>
    </row>
    <row r="48" spans="1:57">
      <c r="A48" s="73"/>
      <c r="B48" s="74"/>
      <c r="C48" s="74"/>
      <c r="D48" s="74"/>
      <c r="E48" s="74"/>
      <c r="F48" s="74"/>
      <c r="G48" s="74"/>
      <c r="H48" s="74"/>
      <c r="I48" s="74"/>
      <c r="J48" s="74"/>
      <c r="K48" s="74"/>
      <c r="L48" s="74"/>
      <c r="M48" s="76"/>
      <c r="N48" s="74"/>
      <c r="O48" s="74"/>
      <c r="P48" s="74"/>
      <c r="Q48" s="74"/>
      <c r="R48" s="74"/>
      <c r="S48" s="74"/>
      <c r="T48" s="74"/>
      <c r="U48" s="74"/>
      <c r="V48" s="76"/>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row>
    <row r="49" spans="1:57">
      <c r="A49" s="73" t="s">
        <v>190</v>
      </c>
      <c r="B49" s="74">
        <v>0</v>
      </c>
      <c r="C49" s="74">
        <v>0</v>
      </c>
      <c r="D49" s="74">
        <v>0</v>
      </c>
      <c r="E49" s="74">
        <v>0</v>
      </c>
      <c r="F49" s="74">
        <v>0</v>
      </c>
      <c r="G49" s="74">
        <v>0</v>
      </c>
      <c r="H49" s="74">
        <v>0</v>
      </c>
      <c r="I49" s="74">
        <v>0</v>
      </c>
      <c r="J49" s="74">
        <v>0</v>
      </c>
      <c r="K49" s="74">
        <v>0</v>
      </c>
      <c r="L49" s="74">
        <v>0</v>
      </c>
      <c r="M49" s="76">
        <v>0</v>
      </c>
      <c r="N49" s="74">
        <v>0</v>
      </c>
      <c r="O49" s="74">
        <v>0</v>
      </c>
      <c r="P49" s="74">
        <v>0</v>
      </c>
      <c r="Q49" s="74">
        <v>0</v>
      </c>
      <c r="R49" s="74">
        <v>0</v>
      </c>
      <c r="S49" s="74">
        <v>0</v>
      </c>
      <c r="T49" s="74">
        <v>0</v>
      </c>
      <c r="U49" s="74">
        <v>0</v>
      </c>
      <c r="V49" s="76">
        <v>0</v>
      </c>
      <c r="W49" s="74">
        <v>0</v>
      </c>
      <c r="X49" s="74">
        <v>0</v>
      </c>
      <c r="Y49" s="74">
        <v>0</v>
      </c>
      <c r="Z49" s="74">
        <v>0</v>
      </c>
      <c r="AA49" s="74">
        <v>0</v>
      </c>
      <c r="AB49" s="74">
        <v>0</v>
      </c>
      <c r="AC49" s="74">
        <v>0</v>
      </c>
      <c r="AD49" s="74">
        <v>0</v>
      </c>
      <c r="AE49" s="74">
        <v>0</v>
      </c>
      <c r="AF49" s="74">
        <v>0</v>
      </c>
      <c r="AG49" s="74">
        <v>0</v>
      </c>
      <c r="AH49" s="74">
        <v>0</v>
      </c>
      <c r="AI49" s="74">
        <v>0</v>
      </c>
      <c r="AJ49" s="74">
        <v>0</v>
      </c>
      <c r="AK49" s="74">
        <v>0</v>
      </c>
      <c r="AL49" s="74">
        <v>0</v>
      </c>
      <c r="AM49" s="74">
        <v>0</v>
      </c>
      <c r="AN49" s="74">
        <v>0</v>
      </c>
      <c r="AO49" s="74">
        <v>0</v>
      </c>
      <c r="AP49" s="74">
        <v>0</v>
      </c>
      <c r="AQ49" s="74">
        <v>0</v>
      </c>
      <c r="AR49" s="74">
        <v>0</v>
      </c>
      <c r="AS49" s="74">
        <v>0</v>
      </c>
      <c r="AT49" s="74">
        <v>0</v>
      </c>
      <c r="AU49" s="74"/>
      <c r="AV49" s="74"/>
      <c r="AW49" s="74"/>
      <c r="AX49" s="74"/>
      <c r="AY49" s="74"/>
      <c r="AZ49" s="74"/>
      <c r="BA49" s="74">
        <v>0</v>
      </c>
      <c r="BB49" s="74">
        <v>0</v>
      </c>
      <c r="BC49" s="74">
        <v>0</v>
      </c>
      <c r="BD49" s="74">
        <v>-33645.599999999999</v>
      </c>
      <c r="BE49" s="74">
        <v>0</v>
      </c>
    </row>
    <row r="50" spans="1:57">
      <c r="A50" s="73"/>
      <c r="B50" s="74"/>
      <c r="C50" s="74"/>
      <c r="D50" s="74"/>
      <c r="E50" s="74"/>
      <c r="F50" s="74"/>
      <c r="G50" s="74"/>
      <c r="H50" s="74"/>
      <c r="I50" s="74"/>
      <c r="J50" s="74"/>
      <c r="K50" s="74"/>
      <c r="L50" s="74"/>
      <c r="M50" s="76"/>
      <c r="N50" s="74"/>
      <c r="O50" s="74"/>
      <c r="P50" s="74"/>
      <c r="Q50" s="74"/>
      <c r="R50" s="74"/>
      <c r="S50" s="74"/>
      <c r="T50" s="74"/>
      <c r="U50" s="74"/>
      <c r="V50" s="76"/>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row>
    <row r="51" spans="1:57">
      <c r="A51" s="77" t="s">
        <v>191</v>
      </c>
      <c r="B51" s="78">
        <v>663734.71900000004</v>
      </c>
      <c r="C51" s="78">
        <v>0</v>
      </c>
      <c r="D51" s="78">
        <v>25217.632000000001</v>
      </c>
      <c r="E51" s="78">
        <v>638517.08699999994</v>
      </c>
      <c r="F51" s="78">
        <v>0</v>
      </c>
      <c r="G51" s="78">
        <v>0</v>
      </c>
      <c r="H51" s="78">
        <v>0</v>
      </c>
      <c r="I51" s="78">
        <v>0</v>
      </c>
      <c r="J51" s="78">
        <v>50250.383099999992</v>
      </c>
      <c r="K51" s="78">
        <v>0</v>
      </c>
      <c r="L51" s="78">
        <v>0</v>
      </c>
      <c r="M51" s="79">
        <v>105684.59</v>
      </c>
      <c r="N51" s="78">
        <v>0</v>
      </c>
      <c r="O51" s="78">
        <v>15745</v>
      </c>
      <c r="P51" s="78">
        <v>0</v>
      </c>
      <c r="Q51" s="78">
        <v>190400</v>
      </c>
      <c r="R51" s="78">
        <v>0</v>
      </c>
      <c r="S51" s="78">
        <v>0</v>
      </c>
      <c r="T51" s="78">
        <v>0</v>
      </c>
      <c r="U51" s="78">
        <v>0</v>
      </c>
      <c r="V51" s="79">
        <v>0</v>
      </c>
      <c r="W51" s="78">
        <v>0</v>
      </c>
      <c r="X51" s="78">
        <v>0</v>
      </c>
      <c r="Y51" s="78">
        <v>0</v>
      </c>
      <c r="Z51" s="78">
        <v>0</v>
      </c>
      <c r="AA51" s="78">
        <v>0</v>
      </c>
      <c r="AB51" s="78">
        <v>0</v>
      </c>
      <c r="AC51" s="78">
        <v>1.6972419999999998E-2</v>
      </c>
      <c r="AD51" s="78">
        <v>0</v>
      </c>
      <c r="AE51" s="78">
        <v>13378.4843076</v>
      </c>
      <c r="AF51" s="78">
        <v>386092.56833280012</v>
      </c>
      <c r="AG51" s="78">
        <v>744.7462524</v>
      </c>
      <c r="AH51" s="78">
        <v>0</v>
      </c>
      <c r="AI51" s="78">
        <v>77942.941602399995</v>
      </c>
      <c r="AJ51" s="78">
        <v>27318.930686</v>
      </c>
      <c r="AK51" s="78">
        <v>320332.53568620002</v>
      </c>
      <c r="AL51" s="78">
        <v>19801.047635200001</v>
      </c>
      <c r="AM51" s="78">
        <v>0</v>
      </c>
      <c r="AN51" s="78">
        <v>8507.9909532000001</v>
      </c>
      <c r="AO51" s="78">
        <v>34390.733215200002</v>
      </c>
      <c r="AP51" s="78">
        <v>12287.075167200001</v>
      </c>
      <c r="AQ51" s="78">
        <v>324.40604039999999</v>
      </c>
      <c r="AR51" s="78">
        <v>0</v>
      </c>
      <c r="AS51" s="78">
        <v>12783.95376</v>
      </c>
      <c r="AT51" s="78">
        <v>0</v>
      </c>
      <c r="AU51" s="78"/>
      <c r="AV51" s="78"/>
      <c r="AW51" s="78"/>
      <c r="AX51" s="78"/>
      <c r="AY51" s="78"/>
      <c r="AZ51" s="78"/>
      <c r="BA51" s="78">
        <v>0</v>
      </c>
      <c r="BB51" s="78">
        <v>0</v>
      </c>
      <c r="BC51" s="78">
        <v>0</v>
      </c>
      <c r="BD51" s="78">
        <v>776660.7973032</v>
      </c>
      <c r="BE51" s="78">
        <v>0</v>
      </c>
    </row>
    <row r="52" spans="1:57">
      <c r="A52" s="73"/>
      <c r="B52" s="74"/>
      <c r="C52" s="74"/>
      <c r="D52" s="74"/>
      <c r="E52" s="74"/>
      <c r="F52" s="74"/>
      <c r="G52" s="74"/>
      <c r="H52" s="74"/>
      <c r="I52" s="74"/>
      <c r="J52" s="74"/>
      <c r="K52" s="74"/>
      <c r="L52" s="74"/>
      <c r="M52" s="76"/>
      <c r="N52" s="74"/>
      <c r="O52" s="74"/>
      <c r="P52" s="74"/>
      <c r="Q52" s="74"/>
      <c r="R52" s="74"/>
      <c r="S52" s="74"/>
      <c r="T52" s="74"/>
      <c r="U52" s="74"/>
      <c r="V52" s="76"/>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row>
    <row r="53" spans="1:57">
      <c r="A53" s="73" t="s">
        <v>192</v>
      </c>
      <c r="B53" s="74">
        <v>433968.5</v>
      </c>
      <c r="C53" s="74">
        <v>0</v>
      </c>
      <c r="D53" s="74">
        <v>20677.960999999999</v>
      </c>
      <c r="E53" s="74">
        <v>413290.53899999999</v>
      </c>
      <c r="F53" s="74">
        <v>0</v>
      </c>
      <c r="G53" s="74">
        <v>0</v>
      </c>
      <c r="H53" s="74">
        <v>0</v>
      </c>
      <c r="I53" s="74">
        <v>0</v>
      </c>
      <c r="J53" s="74">
        <v>50250.383099999992</v>
      </c>
      <c r="K53" s="74">
        <v>0</v>
      </c>
      <c r="L53" s="74">
        <v>0</v>
      </c>
      <c r="M53" s="76">
        <v>104820.36</v>
      </c>
      <c r="N53" s="74">
        <v>0</v>
      </c>
      <c r="O53" s="74">
        <v>15745</v>
      </c>
      <c r="P53" s="74">
        <v>0</v>
      </c>
      <c r="Q53" s="74">
        <v>0</v>
      </c>
      <c r="R53" s="74">
        <v>0</v>
      </c>
      <c r="S53" s="74">
        <v>0</v>
      </c>
      <c r="T53" s="74">
        <v>0</v>
      </c>
      <c r="U53" s="74">
        <v>0</v>
      </c>
      <c r="V53" s="76">
        <v>0</v>
      </c>
      <c r="W53" s="74">
        <v>0</v>
      </c>
      <c r="X53" s="74">
        <v>0</v>
      </c>
      <c r="Y53" s="74">
        <v>0</v>
      </c>
      <c r="Z53" s="74">
        <v>0</v>
      </c>
      <c r="AA53" s="74">
        <v>0</v>
      </c>
      <c r="AB53" s="74">
        <v>0</v>
      </c>
      <c r="AC53" s="74">
        <v>0</v>
      </c>
      <c r="AD53" s="74">
        <v>0</v>
      </c>
      <c r="AE53" s="74">
        <v>3.8634099000000002</v>
      </c>
      <c r="AF53" s="74">
        <v>529.19315280000001</v>
      </c>
      <c r="AG53" s="74">
        <v>0</v>
      </c>
      <c r="AH53" s="74">
        <v>0</v>
      </c>
      <c r="AI53" s="74">
        <v>0</v>
      </c>
      <c r="AJ53" s="74">
        <v>598.82638899999995</v>
      </c>
      <c r="AK53" s="74">
        <v>36014.976280800001</v>
      </c>
      <c r="AL53" s="74">
        <v>167.0164704</v>
      </c>
      <c r="AM53" s="74">
        <v>0</v>
      </c>
      <c r="AN53" s="74">
        <v>27.6729162</v>
      </c>
      <c r="AO53" s="74">
        <v>3461.8092918000002</v>
      </c>
      <c r="AP53" s="74">
        <v>7051.7770679999994</v>
      </c>
      <c r="AQ53" s="74">
        <v>2.6431499999999999</v>
      </c>
      <c r="AR53" s="74">
        <v>0</v>
      </c>
      <c r="AS53" s="74">
        <v>0</v>
      </c>
      <c r="AT53" s="74">
        <v>0</v>
      </c>
      <c r="AU53" s="74"/>
      <c r="AV53" s="74"/>
      <c r="AW53" s="74"/>
      <c r="AX53" s="74"/>
      <c r="AY53" s="74"/>
      <c r="AZ53" s="74"/>
      <c r="BA53" s="74">
        <v>0</v>
      </c>
      <c r="BB53" s="74">
        <v>0</v>
      </c>
      <c r="BC53" s="74">
        <v>0</v>
      </c>
      <c r="BD53" s="74">
        <v>419871.14640000003</v>
      </c>
      <c r="BE53" s="74">
        <v>0</v>
      </c>
    </row>
    <row r="54" spans="1:57">
      <c r="A54" s="73" t="s">
        <v>193</v>
      </c>
      <c r="B54" s="74">
        <v>128621.87300000001</v>
      </c>
      <c r="C54" s="74">
        <v>0</v>
      </c>
      <c r="D54" s="74">
        <v>11227.115</v>
      </c>
      <c r="E54" s="74">
        <v>117394.758</v>
      </c>
      <c r="F54" s="74">
        <v>0</v>
      </c>
      <c r="G54" s="74">
        <v>0</v>
      </c>
      <c r="H54" s="74">
        <v>0</v>
      </c>
      <c r="I54" s="74">
        <v>0</v>
      </c>
      <c r="J54" s="74">
        <v>50250.383099999992</v>
      </c>
      <c r="K54" s="74">
        <v>0</v>
      </c>
      <c r="L54" s="74">
        <v>0</v>
      </c>
      <c r="M54" s="76">
        <v>21976.1</v>
      </c>
      <c r="N54" s="74">
        <v>0</v>
      </c>
      <c r="O54" s="74">
        <v>15745</v>
      </c>
      <c r="P54" s="74">
        <v>0</v>
      </c>
      <c r="Q54" s="74">
        <v>0</v>
      </c>
      <c r="R54" s="74">
        <v>0</v>
      </c>
      <c r="S54" s="74">
        <v>0</v>
      </c>
      <c r="T54" s="74">
        <v>0</v>
      </c>
      <c r="U54" s="74">
        <v>0</v>
      </c>
      <c r="V54" s="76">
        <v>0</v>
      </c>
      <c r="W54" s="74">
        <v>0</v>
      </c>
      <c r="X54" s="74">
        <v>0</v>
      </c>
      <c r="Y54" s="74">
        <v>0</v>
      </c>
      <c r="Z54" s="74">
        <v>0</v>
      </c>
      <c r="AA54" s="74">
        <v>0</v>
      </c>
      <c r="AB54" s="74">
        <v>0</v>
      </c>
      <c r="AC54" s="74">
        <v>0</v>
      </c>
      <c r="AD54" s="74">
        <v>0</v>
      </c>
      <c r="AE54" s="74">
        <v>0</v>
      </c>
      <c r="AF54" s="74">
        <v>0</v>
      </c>
      <c r="AG54" s="74">
        <v>0</v>
      </c>
      <c r="AH54" s="74">
        <v>0</v>
      </c>
      <c r="AI54" s="74">
        <v>0</v>
      </c>
      <c r="AJ54" s="74">
        <v>0</v>
      </c>
      <c r="AK54" s="74">
        <v>0</v>
      </c>
      <c r="AL54" s="74">
        <v>0</v>
      </c>
      <c r="AM54" s="74">
        <v>0</v>
      </c>
      <c r="AN54" s="74">
        <v>0</v>
      </c>
      <c r="AO54" s="74">
        <v>0</v>
      </c>
      <c r="AP54" s="74">
        <v>0</v>
      </c>
      <c r="AQ54" s="74">
        <v>0</v>
      </c>
      <c r="AR54" s="74">
        <v>0</v>
      </c>
      <c r="AS54" s="74">
        <v>0</v>
      </c>
      <c r="AT54" s="74">
        <v>0</v>
      </c>
      <c r="AU54" s="74"/>
      <c r="AV54" s="74"/>
      <c r="AW54" s="74"/>
      <c r="AX54" s="74"/>
      <c r="AY54" s="74"/>
      <c r="AZ54" s="74"/>
      <c r="BA54" s="74">
        <v>0</v>
      </c>
      <c r="BB54" s="74">
        <v>0</v>
      </c>
      <c r="BC54" s="74">
        <v>0</v>
      </c>
      <c r="BD54" s="74">
        <v>76832.351999999984</v>
      </c>
      <c r="BE54" s="74">
        <v>0</v>
      </c>
    </row>
    <row r="55" spans="1:57">
      <c r="A55" s="73" t="s">
        <v>194</v>
      </c>
      <c r="B55" s="74">
        <v>52210.51</v>
      </c>
      <c r="C55" s="74">
        <v>0</v>
      </c>
      <c r="D55" s="74">
        <v>1368.6189999999999</v>
      </c>
      <c r="E55" s="74">
        <v>50841.890999999989</v>
      </c>
      <c r="F55" s="74">
        <v>0</v>
      </c>
      <c r="G55" s="74">
        <v>0</v>
      </c>
      <c r="H55" s="74">
        <v>0</v>
      </c>
      <c r="I55" s="74">
        <v>0</v>
      </c>
      <c r="J55" s="74">
        <v>0</v>
      </c>
      <c r="K55" s="74">
        <v>0</v>
      </c>
      <c r="L55" s="74">
        <v>0</v>
      </c>
      <c r="M55" s="76">
        <v>59121.91</v>
      </c>
      <c r="N55" s="74">
        <v>0</v>
      </c>
      <c r="O55" s="74">
        <v>0</v>
      </c>
      <c r="P55" s="74">
        <v>0</v>
      </c>
      <c r="Q55" s="74">
        <v>0</v>
      </c>
      <c r="R55" s="74">
        <v>0</v>
      </c>
      <c r="S55" s="74">
        <v>0</v>
      </c>
      <c r="T55" s="74">
        <v>0</v>
      </c>
      <c r="U55" s="74">
        <v>0</v>
      </c>
      <c r="V55" s="76">
        <v>0</v>
      </c>
      <c r="W55" s="74">
        <v>0</v>
      </c>
      <c r="X55" s="74">
        <v>0</v>
      </c>
      <c r="Y55" s="74">
        <v>0</v>
      </c>
      <c r="Z55" s="74">
        <v>0</v>
      </c>
      <c r="AA55" s="74">
        <v>0</v>
      </c>
      <c r="AB55" s="74">
        <v>0</v>
      </c>
      <c r="AC55" s="74">
        <v>0</v>
      </c>
      <c r="AD55" s="74">
        <v>0</v>
      </c>
      <c r="AE55" s="74">
        <v>0</v>
      </c>
      <c r="AF55" s="74">
        <v>0</v>
      </c>
      <c r="AG55" s="74">
        <v>0</v>
      </c>
      <c r="AH55" s="74">
        <v>0</v>
      </c>
      <c r="AI55" s="74">
        <v>0</v>
      </c>
      <c r="AJ55" s="74">
        <v>0</v>
      </c>
      <c r="AK55" s="74">
        <v>0</v>
      </c>
      <c r="AL55" s="74">
        <v>0</v>
      </c>
      <c r="AM55" s="74">
        <v>0</v>
      </c>
      <c r="AN55" s="74">
        <v>0</v>
      </c>
      <c r="AO55" s="74">
        <v>0</v>
      </c>
      <c r="AP55" s="74">
        <v>0</v>
      </c>
      <c r="AQ55" s="74">
        <v>0</v>
      </c>
      <c r="AR55" s="74">
        <v>0</v>
      </c>
      <c r="AS55" s="74">
        <v>0</v>
      </c>
      <c r="AT55" s="74">
        <v>0</v>
      </c>
      <c r="AU55" s="74"/>
      <c r="AV55" s="74"/>
      <c r="AW55" s="74"/>
      <c r="AX55" s="74"/>
      <c r="AY55" s="74"/>
      <c r="AZ55" s="74"/>
      <c r="BA55" s="74">
        <v>0</v>
      </c>
      <c r="BB55" s="74">
        <v>0</v>
      </c>
      <c r="BC55" s="74">
        <v>0</v>
      </c>
      <c r="BD55" s="74">
        <v>36292.392</v>
      </c>
      <c r="BE55" s="74">
        <v>0</v>
      </c>
    </row>
    <row r="56" spans="1:57">
      <c r="A56" s="73" t="s">
        <v>195</v>
      </c>
      <c r="B56" s="74">
        <v>0</v>
      </c>
      <c r="C56" s="74">
        <v>0</v>
      </c>
      <c r="D56" s="74">
        <v>0</v>
      </c>
      <c r="E56" s="74">
        <v>0</v>
      </c>
      <c r="F56" s="74">
        <v>0</v>
      </c>
      <c r="G56" s="74">
        <v>0</v>
      </c>
      <c r="H56" s="74">
        <v>0</v>
      </c>
      <c r="I56" s="74">
        <v>0</v>
      </c>
      <c r="J56" s="74">
        <v>0</v>
      </c>
      <c r="K56" s="74">
        <v>0</v>
      </c>
      <c r="L56" s="74">
        <v>0</v>
      </c>
      <c r="M56" s="76">
        <v>0</v>
      </c>
      <c r="N56" s="74">
        <v>0</v>
      </c>
      <c r="O56" s="74">
        <v>0</v>
      </c>
      <c r="P56" s="74">
        <v>0</v>
      </c>
      <c r="Q56" s="74">
        <v>0</v>
      </c>
      <c r="R56" s="74">
        <v>0</v>
      </c>
      <c r="S56" s="74">
        <v>0</v>
      </c>
      <c r="T56" s="74">
        <v>0</v>
      </c>
      <c r="U56" s="74">
        <v>0</v>
      </c>
      <c r="V56" s="76">
        <v>0</v>
      </c>
      <c r="W56" s="74">
        <v>0</v>
      </c>
      <c r="X56" s="74">
        <v>0</v>
      </c>
      <c r="Y56" s="74">
        <v>0</v>
      </c>
      <c r="Z56" s="74">
        <v>0</v>
      </c>
      <c r="AA56" s="74">
        <v>0</v>
      </c>
      <c r="AB56" s="74">
        <v>0</v>
      </c>
      <c r="AC56" s="74">
        <v>0</v>
      </c>
      <c r="AD56" s="74">
        <v>0</v>
      </c>
      <c r="AE56" s="74">
        <v>0</v>
      </c>
      <c r="AF56" s="74">
        <v>0</v>
      </c>
      <c r="AG56" s="74">
        <v>0</v>
      </c>
      <c r="AH56" s="74">
        <v>0</v>
      </c>
      <c r="AI56" s="74">
        <v>0</v>
      </c>
      <c r="AJ56" s="74">
        <v>0</v>
      </c>
      <c r="AK56" s="74">
        <v>0</v>
      </c>
      <c r="AL56" s="74">
        <v>0</v>
      </c>
      <c r="AM56" s="74">
        <v>0</v>
      </c>
      <c r="AN56" s="74">
        <v>0</v>
      </c>
      <c r="AO56" s="74">
        <v>0</v>
      </c>
      <c r="AP56" s="74">
        <v>0</v>
      </c>
      <c r="AQ56" s="74">
        <v>0</v>
      </c>
      <c r="AR56" s="74">
        <v>0</v>
      </c>
      <c r="AS56" s="74">
        <v>0</v>
      </c>
      <c r="AT56" s="74">
        <v>0</v>
      </c>
      <c r="AU56" s="74"/>
      <c r="AV56" s="74"/>
      <c r="AW56" s="74"/>
      <c r="AX56" s="74"/>
      <c r="AY56" s="74"/>
      <c r="AZ56" s="74"/>
      <c r="BA56" s="74">
        <v>0</v>
      </c>
      <c r="BB56" s="74">
        <v>0</v>
      </c>
      <c r="BC56" s="74">
        <v>0</v>
      </c>
      <c r="BD56" s="74">
        <v>67105.584000000003</v>
      </c>
      <c r="BE56" s="74">
        <v>0</v>
      </c>
    </row>
    <row r="57" spans="1:57">
      <c r="A57" s="73" t="s">
        <v>196</v>
      </c>
      <c r="B57" s="74">
        <v>27617.46</v>
      </c>
      <c r="C57" s="74">
        <v>0</v>
      </c>
      <c r="D57" s="74">
        <v>7354.9049999999997</v>
      </c>
      <c r="E57" s="74">
        <v>20262.555</v>
      </c>
      <c r="F57" s="74">
        <v>0</v>
      </c>
      <c r="G57" s="74">
        <v>0</v>
      </c>
      <c r="H57" s="74">
        <v>0</v>
      </c>
      <c r="I57" s="74">
        <v>0</v>
      </c>
      <c r="J57" s="74">
        <v>0</v>
      </c>
      <c r="K57" s="74">
        <v>0</v>
      </c>
      <c r="L57" s="74">
        <v>0</v>
      </c>
      <c r="M57" s="76">
        <v>7868.5</v>
      </c>
      <c r="N57" s="74">
        <v>0</v>
      </c>
      <c r="O57" s="74">
        <v>0</v>
      </c>
      <c r="P57" s="74">
        <v>0</v>
      </c>
      <c r="Q57" s="74">
        <v>0</v>
      </c>
      <c r="R57" s="74">
        <v>0</v>
      </c>
      <c r="S57" s="74">
        <v>0</v>
      </c>
      <c r="T57" s="74">
        <v>0</v>
      </c>
      <c r="U57" s="74">
        <v>0</v>
      </c>
      <c r="V57" s="76">
        <v>0</v>
      </c>
      <c r="W57" s="74">
        <v>0</v>
      </c>
      <c r="X57" s="74">
        <v>0</v>
      </c>
      <c r="Y57" s="74">
        <v>0</v>
      </c>
      <c r="Z57" s="74">
        <v>0</v>
      </c>
      <c r="AA57" s="74">
        <v>0</v>
      </c>
      <c r="AB57" s="74">
        <v>0</v>
      </c>
      <c r="AC57" s="74">
        <v>0</v>
      </c>
      <c r="AD57" s="74">
        <v>0</v>
      </c>
      <c r="AE57" s="74">
        <v>0</v>
      </c>
      <c r="AF57" s="74">
        <v>0</v>
      </c>
      <c r="AG57" s="74">
        <v>0</v>
      </c>
      <c r="AH57" s="74">
        <v>0</v>
      </c>
      <c r="AI57" s="74">
        <v>0</v>
      </c>
      <c r="AJ57" s="74">
        <v>0</v>
      </c>
      <c r="AK57" s="74">
        <v>0</v>
      </c>
      <c r="AL57" s="74">
        <v>0</v>
      </c>
      <c r="AM57" s="74">
        <v>0</v>
      </c>
      <c r="AN57" s="74">
        <v>0</v>
      </c>
      <c r="AO57" s="74">
        <v>0</v>
      </c>
      <c r="AP57" s="74">
        <v>0</v>
      </c>
      <c r="AQ57" s="74">
        <v>0</v>
      </c>
      <c r="AR57" s="74">
        <v>0</v>
      </c>
      <c r="AS57" s="74">
        <v>0</v>
      </c>
      <c r="AT57" s="74">
        <v>0</v>
      </c>
      <c r="AU57" s="74"/>
      <c r="AV57" s="74"/>
      <c r="AW57" s="74"/>
      <c r="AX57" s="74"/>
      <c r="AY57" s="74"/>
      <c r="AZ57" s="74"/>
      <c r="BA57" s="74">
        <v>0</v>
      </c>
      <c r="BB57" s="74">
        <v>0</v>
      </c>
      <c r="BC57" s="74">
        <v>0</v>
      </c>
      <c r="BD57" s="74">
        <v>9380.6639999999989</v>
      </c>
      <c r="BE57" s="74">
        <v>0</v>
      </c>
    </row>
    <row r="58" spans="1:57">
      <c r="A58" s="73" t="s">
        <v>197</v>
      </c>
      <c r="B58" s="74">
        <v>0</v>
      </c>
      <c r="C58" s="74">
        <v>0</v>
      </c>
      <c r="D58" s="74">
        <v>0</v>
      </c>
      <c r="E58" s="74">
        <v>0</v>
      </c>
      <c r="F58" s="74">
        <v>0</v>
      </c>
      <c r="G58" s="74">
        <v>0</v>
      </c>
      <c r="H58" s="74">
        <v>0</v>
      </c>
      <c r="I58" s="74">
        <v>0</v>
      </c>
      <c r="J58" s="74">
        <v>0</v>
      </c>
      <c r="K58" s="74">
        <v>0</v>
      </c>
      <c r="L58" s="74">
        <v>0</v>
      </c>
      <c r="M58" s="76">
        <v>0</v>
      </c>
      <c r="N58" s="74">
        <v>0</v>
      </c>
      <c r="O58" s="74">
        <v>0</v>
      </c>
      <c r="P58" s="74">
        <v>0</v>
      </c>
      <c r="Q58" s="74">
        <v>0</v>
      </c>
      <c r="R58" s="74">
        <v>0</v>
      </c>
      <c r="S58" s="74">
        <v>0</v>
      </c>
      <c r="T58" s="74">
        <v>0</v>
      </c>
      <c r="U58" s="74">
        <v>0</v>
      </c>
      <c r="V58" s="76">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c r="AP58" s="74">
        <v>0</v>
      </c>
      <c r="AQ58" s="74">
        <v>0</v>
      </c>
      <c r="AR58" s="74">
        <v>0</v>
      </c>
      <c r="AS58" s="74">
        <v>0</v>
      </c>
      <c r="AT58" s="74">
        <v>0</v>
      </c>
      <c r="AU58" s="74"/>
      <c r="AV58" s="74"/>
      <c r="AW58" s="74"/>
      <c r="AX58" s="74"/>
      <c r="AY58" s="74"/>
      <c r="AZ58" s="74"/>
      <c r="BA58" s="74">
        <v>0</v>
      </c>
      <c r="BB58" s="74">
        <v>0</v>
      </c>
      <c r="BC58" s="74">
        <v>0</v>
      </c>
      <c r="BD58" s="74">
        <v>329.36399999999998</v>
      </c>
      <c r="BE58" s="74">
        <v>0</v>
      </c>
    </row>
    <row r="59" spans="1:57">
      <c r="A59" s="73" t="s">
        <v>198</v>
      </c>
      <c r="B59" s="74">
        <v>0</v>
      </c>
      <c r="C59" s="74">
        <v>0</v>
      </c>
      <c r="D59" s="74">
        <v>0</v>
      </c>
      <c r="E59" s="74">
        <v>0</v>
      </c>
      <c r="F59" s="74">
        <v>0</v>
      </c>
      <c r="G59" s="74">
        <v>0</v>
      </c>
      <c r="H59" s="74">
        <v>0</v>
      </c>
      <c r="I59" s="74">
        <v>0</v>
      </c>
      <c r="J59" s="74">
        <v>0</v>
      </c>
      <c r="K59" s="74">
        <v>0</v>
      </c>
      <c r="L59" s="74">
        <v>0</v>
      </c>
      <c r="M59" s="76">
        <v>2328.61</v>
      </c>
      <c r="N59" s="74">
        <v>0</v>
      </c>
      <c r="O59" s="74">
        <v>0</v>
      </c>
      <c r="P59" s="74">
        <v>0</v>
      </c>
      <c r="Q59" s="74">
        <v>0</v>
      </c>
      <c r="R59" s="74">
        <v>0</v>
      </c>
      <c r="S59" s="74">
        <v>0</v>
      </c>
      <c r="T59" s="74">
        <v>0</v>
      </c>
      <c r="U59" s="74">
        <v>0</v>
      </c>
      <c r="V59" s="76">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c r="AP59" s="74">
        <v>0</v>
      </c>
      <c r="AQ59" s="74">
        <v>0</v>
      </c>
      <c r="AR59" s="74">
        <v>0</v>
      </c>
      <c r="AS59" s="74">
        <v>0</v>
      </c>
      <c r="AT59" s="74">
        <v>0</v>
      </c>
      <c r="AU59" s="74"/>
      <c r="AV59" s="74"/>
      <c r="AW59" s="74"/>
      <c r="AX59" s="74"/>
      <c r="AY59" s="74"/>
      <c r="AZ59" s="74"/>
      <c r="BA59" s="74">
        <v>0</v>
      </c>
      <c r="BB59" s="74">
        <v>0</v>
      </c>
      <c r="BC59" s="74">
        <v>0</v>
      </c>
      <c r="BD59" s="74">
        <v>150.048</v>
      </c>
      <c r="BE59" s="74">
        <v>0</v>
      </c>
    </row>
    <row r="60" spans="1:57">
      <c r="A60" s="73" t="s">
        <v>199</v>
      </c>
      <c r="B60" s="74">
        <v>53282.366999999991</v>
      </c>
      <c r="C60" s="74">
        <v>0</v>
      </c>
      <c r="D60" s="74">
        <v>0</v>
      </c>
      <c r="E60" s="74">
        <v>53282.366999999991</v>
      </c>
      <c r="F60" s="74">
        <v>0</v>
      </c>
      <c r="G60" s="74">
        <v>0</v>
      </c>
      <c r="H60" s="74">
        <v>0</v>
      </c>
      <c r="I60" s="74">
        <v>0</v>
      </c>
      <c r="J60" s="74">
        <v>0</v>
      </c>
      <c r="K60" s="74">
        <v>0</v>
      </c>
      <c r="L60" s="74">
        <v>0</v>
      </c>
      <c r="M60" s="76">
        <v>2899.94</v>
      </c>
      <c r="N60" s="74">
        <v>0</v>
      </c>
      <c r="O60" s="74">
        <v>0</v>
      </c>
      <c r="P60" s="74">
        <v>0</v>
      </c>
      <c r="Q60" s="74">
        <v>0</v>
      </c>
      <c r="R60" s="74">
        <v>0</v>
      </c>
      <c r="S60" s="74">
        <v>0</v>
      </c>
      <c r="T60" s="74">
        <v>0</v>
      </c>
      <c r="U60" s="74">
        <v>0</v>
      </c>
      <c r="V60" s="76">
        <v>0</v>
      </c>
      <c r="W60" s="74">
        <v>0</v>
      </c>
      <c r="X60" s="74">
        <v>0</v>
      </c>
      <c r="Y60" s="74">
        <v>0</v>
      </c>
      <c r="Z60" s="74">
        <v>0</v>
      </c>
      <c r="AA60" s="74">
        <v>0</v>
      </c>
      <c r="AB60" s="74">
        <v>0</v>
      </c>
      <c r="AC60" s="74">
        <v>0</v>
      </c>
      <c r="AD60" s="74">
        <v>0</v>
      </c>
      <c r="AE60" s="74">
        <v>6.1570199999999999E-2</v>
      </c>
      <c r="AF60" s="74">
        <v>464.74479179999997</v>
      </c>
      <c r="AG60" s="74">
        <v>0</v>
      </c>
      <c r="AH60" s="74">
        <v>0</v>
      </c>
      <c r="AI60" s="74">
        <v>0</v>
      </c>
      <c r="AJ60" s="74">
        <v>496.51617199999998</v>
      </c>
      <c r="AK60" s="74">
        <v>28149.155919000001</v>
      </c>
      <c r="AL60" s="74">
        <v>77.266924799999984</v>
      </c>
      <c r="AM60" s="74">
        <v>0</v>
      </c>
      <c r="AN60" s="74">
        <v>27.250896600000001</v>
      </c>
      <c r="AO60" s="74">
        <v>3172.5133685999999</v>
      </c>
      <c r="AP60" s="74">
        <v>0</v>
      </c>
      <c r="AQ60" s="74">
        <v>0</v>
      </c>
      <c r="AR60" s="74">
        <v>0</v>
      </c>
      <c r="AS60" s="74">
        <v>0</v>
      </c>
      <c r="AT60" s="74">
        <v>0</v>
      </c>
      <c r="AU60" s="74"/>
      <c r="AV60" s="74"/>
      <c r="AW60" s="74"/>
      <c r="AX60" s="74"/>
      <c r="AY60" s="74"/>
      <c r="AZ60" s="74"/>
      <c r="BA60" s="74">
        <v>0</v>
      </c>
      <c r="BB60" s="74">
        <v>0</v>
      </c>
      <c r="BC60" s="74">
        <v>0</v>
      </c>
      <c r="BD60" s="74">
        <v>113412.492</v>
      </c>
      <c r="BE60" s="74">
        <v>0</v>
      </c>
    </row>
    <row r="61" spans="1:57">
      <c r="A61" s="73" t="s">
        <v>200</v>
      </c>
      <c r="B61" s="74">
        <v>0</v>
      </c>
      <c r="C61" s="74">
        <v>0</v>
      </c>
      <c r="D61" s="74">
        <v>0</v>
      </c>
      <c r="E61" s="74">
        <v>0</v>
      </c>
      <c r="F61" s="74">
        <v>0</v>
      </c>
      <c r="G61" s="74">
        <v>0</v>
      </c>
      <c r="H61" s="74">
        <v>0</v>
      </c>
      <c r="I61" s="74">
        <v>0</v>
      </c>
      <c r="J61" s="74">
        <v>0</v>
      </c>
      <c r="K61" s="74">
        <v>0</v>
      </c>
      <c r="L61" s="74">
        <v>0</v>
      </c>
      <c r="M61" s="76">
        <v>1396.7</v>
      </c>
      <c r="N61" s="74">
        <v>0</v>
      </c>
      <c r="O61" s="74">
        <v>0</v>
      </c>
      <c r="P61" s="74">
        <v>0</v>
      </c>
      <c r="Q61" s="74">
        <v>0</v>
      </c>
      <c r="R61" s="74">
        <v>0</v>
      </c>
      <c r="S61" s="74">
        <v>0</v>
      </c>
      <c r="T61" s="74">
        <v>0</v>
      </c>
      <c r="U61" s="74">
        <v>0</v>
      </c>
      <c r="V61" s="76">
        <v>0</v>
      </c>
      <c r="W61" s="74">
        <v>0</v>
      </c>
      <c r="X61" s="74">
        <v>0</v>
      </c>
      <c r="Y61" s="74">
        <v>0</v>
      </c>
      <c r="Z61" s="74">
        <v>0</v>
      </c>
      <c r="AA61" s="74">
        <v>0</v>
      </c>
      <c r="AB61" s="74">
        <v>0</v>
      </c>
      <c r="AC61" s="74">
        <v>0</v>
      </c>
      <c r="AD61" s="74">
        <v>0</v>
      </c>
      <c r="AE61" s="74">
        <v>0</v>
      </c>
      <c r="AF61" s="74">
        <v>0</v>
      </c>
      <c r="AG61" s="74">
        <v>0</v>
      </c>
      <c r="AH61" s="74">
        <v>0</v>
      </c>
      <c r="AI61" s="74">
        <v>0</v>
      </c>
      <c r="AJ61" s="74">
        <v>0</v>
      </c>
      <c r="AK61" s="74">
        <v>0</v>
      </c>
      <c r="AL61" s="74">
        <v>0</v>
      </c>
      <c r="AM61" s="74">
        <v>0</v>
      </c>
      <c r="AN61" s="74">
        <v>0</v>
      </c>
      <c r="AO61" s="74">
        <v>0</v>
      </c>
      <c r="AP61" s="74">
        <v>0</v>
      </c>
      <c r="AQ61" s="74">
        <v>0</v>
      </c>
      <c r="AR61" s="74">
        <v>0</v>
      </c>
      <c r="AS61" s="74">
        <v>0</v>
      </c>
      <c r="AT61" s="74">
        <v>0</v>
      </c>
      <c r="AU61" s="74"/>
      <c r="AV61" s="74"/>
      <c r="AW61" s="74"/>
      <c r="AX61" s="74"/>
      <c r="AY61" s="74"/>
      <c r="AZ61" s="74"/>
      <c r="BA61" s="74">
        <v>0</v>
      </c>
      <c r="BB61" s="74">
        <v>0</v>
      </c>
      <c r="BC61" s="74">
        <v>0</v>
      </c>
      <c r="BD61" s="74">
        <v>2738.4119999999998</v>
      </c>
      <c r="BE61" s="74">
        <v>0</v>
      </c>
    </row>
    <row r="62" spans="1:57">
      <c r="A62" s="73" t="s">
        <v>201</v>
      </c>
      <c r="B62" s="74">
        <v>0</v>
      </c>
      <c r="C62" s="74">
        <v>0</v>
      </c>
      <c r="D62" s="74">
        <v>0</v>
      </c>
      <c r="E62" s="74">
        <v>0</v>
      </c>
      <c r="F62" s="74">
        <v>0</v>
      </c>
      <c r="G62" s="74">
        <v>0</v>
      </c>
      <c r="H62" s="74">
        <v>0</v>
      </c>
      <c r="I62" s="74">
        <v>0</v>
      </c>
      <c r="J62" s="74">
        <v>0</v>
      </c>
      <c r="K62" s="74">
        <v>0</v>
      </c>
      <c r="L62" s="74">
        <v>0</v>
      </c>
      <c r="M62" s="76">
        <v>3120.7</v>
      </c>
      <c r="N62" s="74">
        <v>0</v>
      </c>
      <c r="O62" s="74">
        <v>0</v>
      </c>
      <c r="P62" s="74">
        <v>0</v>
      </c>
      <c r="Q62" s="74">
        <v>0</v>
      </c>
      <c r="R62" s="74">
        <v>0</v>
      </c>
      <c r="S62" s="74">
        <v>0</v>
      </c>
      <c r="T62" s="74">
        <v>0</v>
      </c>
      <c r="U62" s="74">
        <v>0</v>
      </c>
      <c r="V62" s="76">
        <v>0</v>
      </c>
      <c r="W62" s="74">
        <v>0</v>
      </c>
      <c r="X62" s="74">
        <v>0</v>
      </c>
      <c r="Y62" s="74">
        <v>0</v>
      </c>
      <c r="Z62" s="74">
        <v>0</v>
      </c>
      <c r="AA62" s="74">
        <v>0</v>
      </c>
      <c r="AB62" s="74">
        <v>0</v>
      </c>
      <c r="AC62" s="74">
        <v>0</v>
      </c>
      <c r="AD62" s="74">
        <v>0</v>
      </c>
      <c r="AE62" s="74">
        <v>0</v>
      </c>
      <c r="AF62" s="74">
        <v>0</v>
      </c>
      <c r="AG62" s="74">
        <v>0</v>
      </c>
      <c r="AH62" s="74">
        <v>0</v>
      </c>
      <c r="AI62" s="74">
        <v>0</v>
      </c>
      <c r="AJ62" s="74">
        <v>0</v>
      </c>
      <c r="AK62" s="74">
        <v>0</v>
      </c>
      <c r="AL62" s="74">
        <v>0</v>
      </c>
      <c r="AM62" s="74">
        <v>0</v>
      </c>
      <c r="AN62" s="74">
        <v>0</v>
      </c>
      <c r="AO62" s="74">
        <v>0</v>
      </c>
      <c r="AP62" s="74">
        <v>0</v>
      </c>
      <c r="AQ62" s="74">
        <v>0</v>
      </c>
      <c r="AR62" s="74">
        <v>0</v>
      </c>
      <c r="AS62" s="74">
        <v>0</v>
      </c>
      <c r="AT62" s="74">
        <v>0</v>
      </c>
      <c r="AU62" s="74"/>
      <c r="AV62" s="74"/>
      <c r="AW62" s="74"/>
      <c r="AX62" s="74"/>
      <c r="AY62" s="74"/>
      <c r="AZ62" s="74"/>
      <c r="BA62" s="74">
        <v>0</v>
      </c>
      <c r="BB62" s="74">
        <v>0</v>
      </c>
      <c r="BC62" s="74">
        <v>0</v>
      </c>
      <c r="BD62" s="74">
        <v>6320.5559999999987</v>
      </c>
      <c r="BE62" s="74">
        <v>0</v>
      </c>
    </row>
    <row r="63" spans="1:57">
      <c r="A63" s="73" t="s">
        <v>202</v>
      </c>
      <c r="B63" s="74">
        <v>0</v>
      </c>
      <c r="C63" s="74">
        <v>0</v>
      </c>
      <c r="D63" s="74">
        <v>0</v>
      </c>
      <c r="E63" s="74">
        <v>0</v>
      </c>
      <c r="F63" s="74">
        <v>0</v>
      </c>
      <c r="G63" s="74">
        <v>0</v>
      </c>
      <c r="H63" s="74">
        <v>0</v>
      </c>
      <c r="I63" s="74">
        <v>0</v>
      </c>
      <c r="J63" s="74">
        <v>0</v>
      </c>
      <c r="K63" s="74">
        <v>0</v>
      </c>
      <c r="L63" s="74">
        <v>0</v>
      </c>
      <c r="M63" s="76">
        <v>0</v>
      </c>
      <c r="N63" s="74">
        <v>0</v>
      </c>
      <c r="O63" s="74">
        <v>0</v>
      </c>
      <c r="P63" s="74">
        <v>0</v>
      </c>
      <c r="Q63" s="74">
        <v>0</v>
      </c>
      <c r="R63" s="74">
        <v>0</v>
      </c>
      <c r="S63" s="74">
        <v>0</v>
      </c>
      <c r="T63" s="74">
        <v>0</v>
      </c>
      <c r="U63" s="74">
        <v>0</v>
      </c>
      <c r="V63" s="76">
        <v>0</v>
      </c>
      <c r="W63" s="74">
        <v>0</v>
      </c>
      <c r="X63" s="74">
        <v>0</v>
      </c>
      <c r="Y63" s="74">
        <v>0</v>
      </c>
      <c r="Z63" s="74">
        <v>0</v>
      </c>
      <c r="AA63" s="74">
        <v>0</v>
      </c>
      <c r="AB63" s="74">
        <v>0</v>
      </c>
      <c r="AC63" s="74">
        <v>0</v>
      </c>
      <c r="AD63" s="74">
        <v>0</v>
      </c>
      <c r="AE63" s="74">
        <v>0</v>
      </c>
      <c r="AF63" s="74">
        <v>0</v>
      </c>
      <c r="AG63" s="74">
        <v>0</v>
      </c>
      <c r="AH63" s="74">
        <v>0</v>
      </c>
      <c r="AI63" s="74">
        <v>0</v>
      </c>
      <c r="AJ63" s="74">
        <v>0</v>
      </c>
      <c r="AK63" s="74">
        <v>0</v>
      </c>
      <c r="AL63" s="74">
        <v>0</v>
      </c>
      <c r="AM63" s="74">
        <v>0</v>
      </c>
      <c r="AN63" s="74">
        <v>0</v>
      </c>
      <c r="AO63" s="74">
        <v>0</v>
      </c>
      <c r="AP63" s="74">
        <v>0</v>
      </c>
      <c r="AQ63" s="74">
        <v>0</v>
      </c>
      <c r="AR63" s="74">
        <v>0</v>
      </c>
      <c r="AS63" s="74">
        <v>0</v>
      </c>
      <c r="AT63" s="74">
        <v>0</v>
      </c>
      <c r="AU63" s="74"/>
      <c r="AV63" s="74"/>
      <c r="AW63" s="74"/>
      <c r="AX63" s="74"/>
      <c r="AY63" s="74"/>
      <c r="AZ63" s="74"/>
      <c r="BA63" s="74">
        <v>0</v>
      </c>
      <c r="BB63" s="74">
        <v>0</v>
      </c>
      <c r="BC63" s="74">
        <v>0</v>
      </c>
      <c r="BD63" s="74">
        <v>1068.8040000000001</v>
      </c>
      <c r="BE63" s="74">
        <v>0</v>
      </c>
    </row>
    <row r="64" spans="1:57">
      <c r="A64" s="73" t="s">
        <v>203</v>
      </c>
      <c r="B64" s="74">
        <v>0</v>
      </c>
      <c r="C64" s="74">
        <v>0</v>
      </c>
      <c r="D64" s="74">
        <v>0</v>
      </c>
      <c r="E64" s="74">
        <v>0</v>
      </c>
      <c r="F64" s="74">
        <v>0</v>
      </c>
      <c r="G64" s="74">
        <v>0</v>
      </c>
      <c r="H64" s="74">
        <v>0</v>
      </c>
      <c r="I64" s="74">
        <v>0</v>
      </c>
      <c r="J64" s="74">
        <v>0</v>
      </c>
      <c r="K64" s="74">
        <v>0</v>
      </c>
      <c r="L64" s="74">
        <v>0</v>
      </c>
      <c r="M64" s="76">
        <v>0</v>
      </c>
      <c r="N64" s="74">
        <v>0</v>
      </c>
      <c r="O64" s="74">
        <v>0</v>
      </c>
      <c r="P64" s="74">
        <v>0</v>
      </c>
      <c r="Q64" s="74">
        <v>0</v>
      </c>
      <c r="R64" s="74">
        <v>0</v>
      </c>
      <c r="S64" s="74">
        <v>0</v>
      </c>
      <c r="T64" s="74">
        <v>0</v>
      </c>
      <c r="U64" s="74">
        <v>0</v>
      </c>
      <c r="V64" s="76">
        <v>0</v>
      </c>
      <c r="W64" s="74">
        <v>0</v>
      </c>
      <c r="X64" s="74">
        <v>0</v>
      </c>
      <c r="Y64" s="74">
        <v>0</v>
      </c>
      <c r="Z64" s="74">
        <v>0</v>
      </c>
      <c r="AA64" s="74">
        <v>0</v>
      </c>
      <c r="AB64" s="74">
        <v>0</v>
      </c>
      <c r="AC64" s="74">
        <v>0</v>
      </c>
      <c r="AD64" s="74">
        <v>0</v>
      </c>
      <c r="AE64" s="74">
        <v>3.8018396999999999</v>
      </c>
      <c r="AF64" s="74">
        <v>64.448361000000006</v>
      </c>
      <c r="AG64" s="74">
        <v>0</v>
      </c>
      <c r="AH64" s="74">
        <v>0</v>
      </c>
      <c r="AI64" s="74">
        <v>0</v>
      </c>
      <c r="AJ64" s="74">
        <v>102.31021699999999</v>
      </c>
      <c r="AK64" s="74">
        <v>7865.8203617999998</v>
      </c>
      <c r="AL64" s="74">
        <v>89.74954559999999</v>
      </c>
      <c r="AM64" s="74">
        <v>0</v>
      </c>
      <c r="AN64" s="74">
        <v>0.42201959999999999</v>
      </c>
      <c r="AO64" s="74">
        <v>289.2959232</v>
      </c>
      <c r="AP64" s="74">
        <v>7051.7770679999994</v>
      </c>
      <c r="AQ64" s="74">
        <v>2.6431499999999999</v>
      </c>
      <c r="AR64" s="74">
        <v>0</v>
      </c>
      <c r="AS64" s="74">
        <v>0</v>
      </c>
      <c r="AT64" s="74">
        <v>0</v>
      </c>
      <c r="AU64" s="74"/>
      <c r="AV64" s="74"/>
      <c r="AW64" s="74"/>
      <c r="AX64" s="74"/>
      <c r="AY64" s="74"/>
      <c r="AZ64" s="74"/>
      <c r="BA64" s="74">
        <v>0</v>
      </c>
      <c r="BB64" s="74">
        <v>0</v>
      </c>
      <c r="BC64" s="74">
        <v>0</v>
      </c>
      <c r="BD64" s="74">
        <v>194.328</v>
      </c>
      <c r="BE64" s="74">
        <v>0</v>
      </c>
    </row>
    <row r="65" spans="1:57">
      <c r="A65" s="73" t="s">
        <v>204</v>
      </c>
      <c r="B65" s="74">
        <v>0</v>
      </c>
      <c r="C65" s="74">
        <v>0</v>
      </c>
      <c r="D65" s="74">
        <v>0</v>
      </c>
      <c r="E65" s="74">
        <v>0</v>
      </c>
      <c r="F65" s="74">
        <v>0</v>
      </c>
      <c r="G65" s="74">
        <v>0</v>
      </c>
      <c r="H65" s="74">
        <v>0</v>
      </c>
      <c r="I65" s="74">
        <v>0</v>
      </c>
      <c r="J65" s="74">
        <v>0</v>
      </c>
      <c r="K65" s="74">
        <v>0</v>
      </c>
      <c r="L65" s="74">
        <v>0</v>
      </c>
      <c r="M65" s="76">
        <v>0</v>
      </c>
      <c r="N65" s="74">
        <v>0</v>
      </c>
      <c r="O65" s="74">
        <v>0</v>
      </c>
      <c r="P65" s="74">
        <v>0</v>
      </c>
      <c r="Q65" s="74">
        <v>0</v>
      </c>
      <c r="R65" s="74">
        <v>0</v>
      </c>
      <c r="S65" s="74">
        <v>0</v>
      </c>
      <c r="T65" s="74">
        <v>0</v>
      </c>
      <c r="U65" s="74">
        <v>0</v>
      </c>
      <c r="V65" s="76">
        <v>0</v>
      </c>
      <c r="W65" s="74">
        <v>0</v>
      </c>
      <c r="X65" s="74">
        <v>0</v>
      </c>
      <c r="Y65" s="74">
        <v>0</v>
      </c>
      <c r="Z65" s="74">
        <v>0</v>
      </c>
      <c r="AA65" s="74">
        <v>0</v>
      </c>
      <c r="AB65" s="74">
        <v>0</v>
      </c>
      <c r="AC65" s="74">
        <v>0</v>
      </c>
      <c r="AD65" s="74">
        <v>0</v>
      </c>
      <c r="AE65" s="74">
        <v>0</v>
      </c>
      <c r="AF65" s="74">
        <v>0</v>
      </c>
      <c r="AG65" s="74">
        <v>0</v>
      </c>
      <c r="AH65" s="74">
        <v>0</v>
      </c>
      <c r="AI65" s="74">
        <v>0</v>
      </c>
      <c r="AJ65" s="74">
        <v>0</v>
      </c>
      <c r="AK65" s="74">
        <v>0</v>
      </c>
      <c r="AL65" s="74">
        <v>0</v>
      </c>
      <c r="AM65" s="74">
        <v>0</v>
      </c>
      <c r="AN65" s="74">
        <v>0</v>
      </c>
      <c r="AO65" s="74">
        <v>0</v>
      </c>
      <c r="AP65" s="74">
        <v>0</v>
      </c>
      <c r="AQ65" s="74">
        <v>0</v>
      </c>
      <c r="AR65" s="74">
        <v>0</v>
      </c>
      <c r="AS65" s="74">
        <v>0</v>
      </c>
      <c r="AT65" s="74">
        <v>0</v>
      </c>
      <c r="AU65" s="74"/>
      <c r="AV65" s="74"/>
      <c r="AW65" s="74"/>
      <c r="AX65" s="74"/>
      <c r="AY65" s="74"/>
      <c r="AZ65" s="74"/>
      <c r="BA65" s="74">
        <v>0</v>
      </c>
      <c r="BB65" s="74">
        <v>0</v>
      </c>
      <c r="BC65" s="74">
        <v>0</v>
      </c>
      <c r="BD65" s="74">
        <v>1868.22</v>
      </c>
      <c r="BE65" s="74">
        <v>0</v>
      </c>
    </row>
    <row r="66" spans="1:57">
      <c r="A66" s="73" t="s">
        <v>205</v>
      </c>
      <c r="B66" s="74">
        <v>172236.29</v>
      </c>
      <c r="C66" s="74">
        <v>0</v>
      </c>
      <c r="D66" s="74">
        <v>727.322</v>
      </c>
      <c r="E66" s="74">
        <v>171508.96799999999</v>
      </c>
      <c r="F66" s="74">
        <v>0</v>
      </c>
      <c r="G66" s="74">
        <v>0</v>
      </c>
      <c r="H66" s="74">
        <v>0</v>
      </c>
      <c r="I66" s="74">
        <v>0</v>
      </c>
      <c r="J66" s="74">
        <v>0</v>
      </c>
      <c r="K66" s="74">
        <v>0</v>
      </c>
      <c r="L66" s="74">
        <v>0</v>
      </c>
      <c r="M66" s="76">
        <v>6107.8999999999987</v>
      </c>
      <c r="N66" s="74">
        <v>0</v>
      </c>
      <c r="O66" s="74">
        <v>0</v>
      </c>
      <c r="P66" s="74">
        <v>0</v>
      </c>
      <c r="Q66" s="74">
        <v>0</v>
      </c>
      <c r="R66" s="74">
        <v>0</v>
      </c>
      <c r="S66" s="74">
        <v>0</v>
      </c>
      <c r="T66" s="74">
        <v>0</v>
      </c>
      <c r="U66" s="74">
        <v>0</v>
      </c>
      <c r="V66" s="76">
        <v>0</v>
      </c>
      <c r="W66" s="74">
        <v>0</v>
      </c>
      <c r="X66" s="74">
        <v>0</v>
      </c>
      <c r="Y66" s="74">
        <v>0</v>
      </c>
      <c r="Z66" s="74">
        <v>0</v>
      </c>
      <c r="AA66" s="74">
        <v>0</v>
      </c>
      <c r="AB66" s="74">
        <v>0</v>
      </c>
      <c r="AC66" s="74">
        <v>0</v>
      </c>
      <c r="AD66" s="74">
        <v>0</v>
      </c>
      <c r="AE66" s="74">
        <v>0</v>
      </c>
      <c r="AF66" s="74">
        <v>0</v>
      </c>
      <c r="AG66" s="74">
        <v>0</v>
      </c>
      <c r="AH66" s="74">
        <v>0</v>
      </c>
      <c r="AI66" s="74">
        <v>0</v>
      </c>
      <c r="AJ66" s="74">
        <v>0</v>
      </c>
      <c r="AK66" s="74">
        <v>0</v>
      </c>
      <c r="AL66" s="74">
        <v>0</v>
      </c>
      <c r="AM66" s="74">
        <v>0</v>
      </c>
      <c r="AN66" s="74">
        <v>0</v>
      </c>
      <c r="AO66" s="74">
        <v>0</v>
      </c>
      <c r="AP66" s="74">
        <v>0</v>
      </c>
      <c r="AQ66" s="74">
        <v>0</v>
      </c>
      <c r="AR66" s="74">
        <v>0</v>
      </c>
      <c r="AS66" s="74">
        <v>0</v>
      </c>
      <c r="AT66" s="74">
        <v>0</v>
      </c>
      <c r="AU66" s="74"/>
      <c r="AV66" s="74"/>
      <c r="AW66" s="74"/>
      <c r="AX66" s="74"/>
      <c r="AY66" s="74"/>
      <c r="AZ66" s="74"/>
      <c r="BA66" s="74">
        <v>0</v>
      </c>
      <c r="BB66" s="74">
        <v>0</v>
      </c>
      <c r="BC66" s="74">
        <v>0</v>
      </c>
      <c r="BD66" s="74">
        <v>104177.9304</v>
      </c>
      <c r="BE66" s="74">
        <v>0</v>
      </c>
    </row>
    <row r="67" spans="1:57">
      <c r="A67" s="73"/>
      <c r="B67" s="83"/>
      <c r="C67" s="74"/>
      <c r="D67" s="74"/>
      <c r="E67" s="74"/>
      <c r="F67" s="74"/>
      <c r="G67" s="74"/>
      <c r="H67" s="74"/>
      <c r="I67" s="74"/>
      <c r="J67" s="74"/>
      <c r="K67" s="74"/>
      <c r="L67" s="74"/>
      <c r="M67" s="76"/>
      <c r="N67" s="74"/>
      <c r="O67" s="74"/>
      <c r="P67" s="74"/>
      <c r="Q67" s="74"/>
      <c r="R67" s="74"/>
      <c r="S67" s="74"/>
      <c r="T67" s="74"/>
      <c r="U67" s="74"/>
      <c r="V67" s="76"/>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row>
    <row r="68" spans="1:57">
      <c r="A68" s="77" t="s">
        <v>206</v>
      </c>
      <c r="B68" s="74">
        <v>0</v>
      </c>
      <c r="C68" s="74">
        <v>0</v>
      </c>
      <c r="D68" s="74">
        <v>0</v>
      </c>
      <c r="E68" s="74">
        <v>0</v>
      </c>
      <c r="F68" s="74">
        <v>0</v>
      </c>
      <c r="G68" s="74">
        <v>0</v>
      </c>
      <c r="H68" s="74">
        <v>0</v>
      </c>
      <c r="I68" s="74">
        <v>0</v>
      </c>
      <c r="J68" s="74">
        <v>0</v>
      </c>
      <c r="K68" s="74">
        <v>0</v>
      </c>
      <c r="L68" s="74">
        <v>0</v>
      </c>
      <c r="M68" s="76">
        <v>0</v>
      </c>
      <c r="N68" s="74">
        <v>0</v>
      </c>
      <c r="O68" s="74">
        <v>0</v>
      </c>
      <c r="P68" s="74">
        <v>0</v>
      </c>
      <c r="Q68" s="74">
        <v>0</v>
      </c>
      <c r="R68" s="74">
        <v>0</v>
      </c>
      <c r="S68" s="74">
        <v>0</v>
      </c>
      <c r="T68" s="74">
        <v>0</v>
      </c>
      <c r="U68" s="74">
        <v>0</v>
      </c>
      <c r="V68" s="76">
        <v>0</v>
      </c>
      <c r="W68" s="74">
        <v>0</v>
      </c>
      <c r="X68" s="74">
        <v>0</v>
      </c>
      <c r="Y68" s="74">
        <v>0</v>
      </c>
      <c r="Z68" s="74">
        <v>0</v>
      </c>
      <c r="AA68" s="74">
        <v>0</v>
      </c>
      <c r="AB68" s="74">
        <v>0</v>
      </c>
      <c r="AC68" s="74">
        <v>0</v>
      </c>
      <c r="AD68" s="74">
        <v>0</v>
      </c>
      <c r="AE68" s="74">
        <v>0</v>
      </c>
      <c r="AF68" s="74">
        <v>379689.11327520013</v>
      </c>
      <c r="AG68" s="74">
        <v>744.7462524</v>
      </c>
      <c r="AH68" s="74">
        <v>0</v>
      </c>
      <c r="AI68" s="74">
        <v>77942.941602399995</v>
      </c>
      <c r="AJ68" s="74">
        <v>272.05567200000002</v>
      </c>
      <c r="AK68" s="74">
        <v>242573.10939180001</v>
      </c>
      <c r="AL68" s="74">
        <v>102.4485696</v>
      </c>
      <c r="AM68" s="74">
        <v>0</v>
      </c>
      <c r="AN68" s="74">
        <v>3.2357784000000001</v>
      </c>
      <c r="AO68" s="74">
        <v>12741.1541466</v>
      </c>
      <c r="AP68" s="74">
        <v>0</v>
      </c>
      <c r="AQ68" s="74">
        <v>0</v>
      </c>
      <c r="AR68" s="74">
        <v>0</v>
      </c>
      <c r="AS68" s="74">
        <v>0</v>
      </c>
      <c r="AT68" s="74">
        <v>0</v>
      </c>
      <c r="AU68" s="74"/>
      <c r="AV68" s="74"/>
      <c r="AW68" s="74"/>
      <c r="AX68" s="74"/>
      <c r="AY68" s="74"/>
      <c r="AZ68" s="74"/>
      <c r="BA68" s="74">
        <v>0</v>
      </c>
      <c r="BB68" s="74">
        <v>0</v>
      </c>
      <c r="BC68" s="74">
        <v>0</v>
      </c>
      <c r="BD68" s="74">
        <v>12526.957303200001</v>
      </c>
      <c r="BE68" s="74">
        <v>0</v>
      </c>
    </row>
    <row r="69" spans="1:57">
      <c r="A69" s="73" t="s">
        <v>207</v>
      </c>
      <c r="B69" s="74">
        <v>0</v>
      </c>
      <c r="C69" s="74">
        <v>0</v>
      </c>
      <c r="D69" s="74">
        <v>0</v>
      </c>
      <c r="E69" s="74">
        <v>0</v>
      </c>
      <c r="F69" s="74">
        <v>0</v>
      </c>
      <c r="G69" s="74">
        <v>0</v>
      </c>
      <c r="H69" s="74">
        <v>0</v>
      </c>
      <c r="I69" s="74">
        <v>0</v>
      </c>
      <c r="J69" s="74">
        <v>0</v>
      </c>
      <c r="K69" s="74">
        <v>0</v>
      </c>
      <c r="L69" s="74">
        <v>0</v>
      </c>
      <c r="M69" s="76">
        <v>0</v>
      </c>
      <c r="N69" s="74">
        <v>0</v>
      </c>
      <c r="O69" s="74">
        <v>0</v>
      </c>
      <c r="P69" s="74">
        <v>0</v>
      </c>
      <c r="Q69" s="74">
        <v>0</v>
      </c>
      <c r="R69" s="74">
        <v>0</v>
      </c>
      <c r="S69" s="74">
        <v>0</v>
      </c>
      <c r="T69" s="74">
        <v>0</v>
      </c>
      <c r="U69" s="74">
        <v>0</v>
      </c>
      <c r="V69" s="76">
        <v>0</v>
      </c>
      <c r="W69" s="74">
        <v>0</v>
      </c>
      <c r="X69" s="74">
        <v>0</v>
      </c>
      <c r="Y69" s="74">
        <v>0</v>
      </c>
      <c r="Z69" s="74">
        <v>0</v>
      </c>
      <c r="AA69" s="74">
        <v>0</v>
      </c>
      <c r="AB69" s="74">
        <v>0</v>
      </c>
      <c r="AC69" s="74">
        <v>0</v>
      </c>
      <c r="AD69" s="74">
        <v>0</v>
      </c>
      <c r="AE69" s="74">
        <v>0</v>
      </c>
      <c r="AF69" s="74">
        <v>0</v>
      </c>
      <c r="AG69" s="74">
        <v>0</v>
      </c>
      <c r="AH69" s="74">
        <v>0</v>
      </c>
      <c r="AI69" s="74">
        <v>35178.032837499988</v>
      </c>
      <c r="AJ69" s="74">
        <v>0</v>
      </c>
      <c r="AK69" s="74">
        <v>0</v>
      </c>
      <c r="AL69" s="74">
        <v>0</v>
      </c>
      <c r="AM69" s="74">
        <v>0</v>
      </c>
      <c r="AN69" s="74">
        <v>0</v>
      </c>
      <c r="AO69" s="74">
        <v>0</v>
      </c>
      <c r="AP69" s="74">
        <v>0</v>
      </c>
      <c r="AQ69" s="74">
        <v>0</v>
      </c>
      <c r="AR69" s="74">
        <v>0</v>
      </c>
      <c r="AS69" s="74">
        <v>0</v>
      </c>
      <c r="AT69" s="74">
        <v>0</v>
      </c>
      <c r="AU69" s="74"/>
      <c r="AV69" s="74"/>
      <c r="AW69" s="74"/>
      <c r="AX69" s="74"/>
      <c r="AY69" s="74"/>
      <c r="AZ69" s="74"/>
      <c r="BA69" s="74">
        <v>0</v>
      </c>
      <c r="BB69" s="74">
        <v>0</v>
      </c>
      <c r="BC69" s="74">
        <v>0</v>
      </c>
      <c r="BD69" s="74">
        <v>0</v>
      </c>
      <c r="BE69" s="74">
        <v>0</v>
      </c>
    </row>
    <row r="70" spans="1:57">
      <c r="A70" s="73" t="s">
        <v>208</v>
      </c>
      <c r="B70" s="74">
        <v>0</v>
      </c>
      <c r="C70" s="74">
        <v>0</v>
      </c>
      <c r="D70" s="74">
        <v>0</v>
      </c>
      <c r="E70" s="74">
        <v>0</v>
      </c>
      <c r="F70" s="74">
        <v>0</v>
      </c>
      <c r="G70" s="74">
        <v>0</v>
      </c>
      <c r="H70" s="74">
        <v>0</v>
      </c>
      <c r="I70" s="74">
        <v>0</v>
      </c>
      <c r="J70" s="74">
        <v>0</v>
      </c>
      <c r="K70" s="74">
        <v>0</v>
      </c>
      <c r="L70" s="74">
        <v>0</v>
      </c>
      <c r="M70" s="76">
        <v>0</v>
      </c>
      <c r="N70" s="74">
        <v>0</v>
      </c>
      <c r="O70" s="74">
        <v>0</v>
      </c>
      <c r="P70" s="74">
        <v>0</v>
      </c>
      <c r="Q70" s="74">
        <v>0</v>
      </c>
      <c r="R70" s="74">
        <v>0</v>
      </c>
      <c r="S70" s="74">
        <v>0</v>
      </c>
      <c r="T70" s="74">
        <v>0</v>
      </c>
      <c r="U70" s="74">
        <v>0</v>
      </c>
      <c r="V70" s="76">
        <v>0</v>
      </c>
      <c r="W70" s="74">
        <v>0</v>
      </c>
      <c r="X70" s="74">
        <v>0</v>
      </c>
      <c r="Y70" s="74">
        <v>0</v>
      </c>
      <c r="Z70" s="74">
        <v>0</v>
      </c>
      <c r="AA70" s="74">
        <v>0</v>
      </c>
      <c r="AB70" s="74">
        <v>0</v>
      </c>
      <c r="AC70" s="74">
        <v>0</v>
      </c>
      <c r="AD70" s="74">
        <v>0</v>
      </c>
      <c r="AE70" s="74">
        <v>0</v>
      </c>
      <c r="AF70" s="74">
        <v>0</v>
      </c>
      <c r="AG70" s="74">
        <v>744.7462524</v>
      </c>
      <c r="AH70" s="74">
        <v>0</v>
      </c>
      <c r="AI70" s="74">
        <v>42764.908764899999</v>
      </c>
      <c r="AJ70" s="74">
        <v>0</v>
      </c>
      <c r="AK70" s="74">
        <v>0</v>
      </c>
      <c r="AL70" s="74">
        <v>0</v>
      </c>
      <c r="AM70" s="74">
        <v>0</v>
      </c>
      <c r="AN70" s="74">
        <v>0</v>
      </c>
      <c r="AO70" s="74">
        <v>0</v>
      </c>
      <c r="AP70" s="74">
        <v>0</v>
      </c>
      <c r="AQ70" s="74">
        <v>0</v>
      </c>
      <c r="AR70" s="74">
        <v>0</v>
      </c>
      <c r="AS70" s="74">
        <v>0</v>
      </c>
      <c r="AT70" s="74">
        <v>0</v>
      </c>
      <c r="AU70" s="74"/>
      <c r="AV70" s="74"/>
      <c r="AW70" s="74"/>
      <c r="AX70" s="74"/>
      <c r="AY70" s="74"/>
      <c r="AZ70" s="74"/>
      <c r="BA70" s="74">
        <v>0</v>
      </c>
      <c r="BB70" s="74">
        <v>0</v>
      </c>
      <c r="BC70" s="74">
        <v>0</v>
      </c>
      <c r="BD70" s="74">
        <v>180.18</v>
      </c>
      <c r="BE70" s="74">
        <v>0</v>
      </c>
    </row>
    <row r="71" spans="1:57">
      <c r="A71" s="73" t="s">
        <v>209</v>
      </c>
      <c r="B71" s="74">
        <v>0</v>
      </c>
      <c r="C71" s="74">
        <v>0</v>
      </c>
      <c r="D71" s="74">
        <v>0</v>
      </c>
      <c r="E71" s="74">
        <v>0</v>
      </c>
      <c r="F71" s="74">
        <v>0</v>
      </c>
      <c r="G71" s="74">
        <v>0</v>
      </c>
      <c r="H71" s="74">
        <v>0</v>
      </c>
      <c r="I71" s="74">
        <v>0</v>
      </c>
      <c r="J71" s="74">
        <v>0</v>
      </c>
      <c r="K71" s="74">
        <v>0</v>
      </c>
      <c r="L71" s="74">
        <v>0</v>
      </c>
      <c r="M71" s="76">
        <v>0</v>
      </c>
      <c r="N71" s="74">
        <v>0</v>
      </c>
      <c r="O71" s="74">
        <v>0</v>
      </c>
      <c r="P71" s="74">
        <v>0</v>
      </c>
      <c r="Q71" s="74">
        <v>0</v>
      </c>
      <c r="R71" s="74">
        <v>0</v>
      </c>
      <c r="S71" s="74">
        <v>0</v>
      </c>
      <c r="T71" s="74">
        <v>0</v>
      </c>
      <c r="U71" s="74">
        <v>0</v>
      </c>
      <c r="V71" s="76">
        <v>0</v>
      </c>
      <c r="W71" s="74">
        <v>0</v>
      </c>
      <c r="X71" s="74">
        <v>0</v>
      </c>
      <c r="Y71" s="74">
        <v>0</v>
      </c>
      <c r="Z71" s="74">
        <v>0</v>
      </c>
      <c r="AA71" s="74">
        <v>0</v>
      </c>
      <c r="AB71" s="74">
        <v>0</v>
      </c>
      <c r="AC71" s="74">
        <v>0</v>
      </c>
      <c r="AD71" s="74">
        <v>0</v>
      </c>
      <c r="AE71" s="74">
        <v>0</v>
      </c>
      <c r="AF71" s="74">
        <v>379688.8396752</v>
      </c>
      <c r="AG71" s="74">
        <v>0</v>
      </c>
      <c r="AH71" s="74">
        <v>0</v>
      </c>
      <c r="AI71" s="74">
        <v>0</v>
      </c>
      <c r="AJ71" s="74">
        <v>271.16323199999999</v>
      </c>
      <c r="AK71" s="74">
        <v>239807.8881252</v>
      </c>
      <c r="AL71" s="74">
        <v>102.4485696</v>
      </c>
      <c r="AM71" s="74">
        <v>0</v>
      </c>
      <c r="AN71" s="74">
        <v>2.9455344000000001</v>
      </c>
      <c r="AO71" s="74">
        <v>12615.6470532</v>
      </c>
      <c r="AP71" s="74">
        <v>0</v>
      </c>
      <c r="AQ71" s="74">
        <v>0</v>
      </c>
      <c r="AR71" s="74">
        <v>0</v>
      </c>
      <c r="AS71" s="74">
        <v>0</v>
      </c>
      <c r="AT71" s="74">
        <v>0</v>
      </c>
      <c r="AU71" s="74"/>
      <c r="AV71" s="74"/>
      <c r="AW71" s="74"/>
      <c r="AX71" s="74"/>
      <c r="AY71" s="74"/>
      <c r="AZ71" s="74"/>
      <c r="BA71" s="74">
        <v>0</v>
      </c>
      <c r="BB71" s="74">
        <v>0</v>
      </c>
      <c r="BC71" s="74">
        <v>0</v>
      </c>
      <c r="BD71" s="74">
        <v>71.063999999999993</v>
      </c>
      <c r="BE71" s="74">
        <v>0</v>
      </c>
    </row>
    <row r="72" spans="1:57">
      <c r="A72" s="73" t="s">
        <v>210</v>
      </c>
      <c r="B72" s="74">
        <v>0</v>
      </c>
      <c r="C72" s="74">
        <v>0</v>
      </c>
      <c r="D72" s="74">
        <v>0</v>
      </c>
      <c r="E72" s="74">
        <v>0</v>
      </c>
      <c r="F72" s="74">
        <v>0</v>
      </c>
      <c r="G72" s="74">
        <v>0</v>
      </c>
      <c r="H72" s="74">
        <v>0</v>
      </c>
      <c r="I72" s="74">
        <v>0</v>
      </c>
      <c r="J72" s="74">
        <v>0</v>
      </c>
      <c r="K72" s="74">
        <v>0</v>
      </c>
      <c r="L72" s="74">
        <v>0</v>
      </c>
      <c r="M72" s="76">
        <v>0</v>
      </c>
      <c r="N72" s="74">
        <v>0</v>
      </c>
      <c r="O72" s="74">
        <v>0</v>
      </c>
      <c r="P72" s="74">
        <v>0</v>
      </c>
      <c r="Q72" s="74">
        <v>0</v>
      </c>
      <c r="R72" s="74">
        <v>0</v>
      </c>
      <c r="S72" s="74">
        <v>0</v>
      </c>
      <c r="T72" s="74">
        <v>0</v>
      </c>
      <c r="U72" s="74">
        <v>0</v>
      </c>
      <c r="V72" s="76">
        <v>0</v>
      </c>
      <c r="W72" s="74">
        <v>0</v>
      </c>
      <c r="X72" s="74">
        <v>0</v>
      </c>
      <c r="Y72" s="74">
        <v>0</v>
      </c>
      <c r="Z72" s="74">
        <v>0</v>
      </c>
      <c r="AA72" s="74">
        <v>0</v>
      </c>
      <c r="AB72" s="74">
        <v>0</v>
      </c>
      <c r="AC72" s="74">
        <v>0</v>
      </c>
      <c r="AD72" s="74">
        <v>0</v>
      </c>
      <c r="AE72" s="74">
        <v>0</v>
      </c>
      <c r="AF72" s="74">
        <v>0.27360000000000001</v>
      </c>
      <c r="AG72" s="74">
        <v>0</v>
      </c>
      <c r="AH72" s="74">
        <v>0</v>
      </c>
      <c r="AI72" s="74">
        <v>0</v>
      </c>
      <c r="AJ72" s="74">
        <v>0.89244000000000001</v>
      </c>
      <c r="AK72" s="74">
        <v>2765.2212666</v>
      </c>
      <c r="AL72" s="74">
        <v>0</v>
      </c>
      <c r="AM72" s="74">
        <v>0</v>
      </c>
      <c r="AN72" s="74">
        <v>0.290244</v>
      </c>
      <c r="AO72" s="74">
        <v>125.5070934</v>
      </c>
      <c r="AP72" s="74">
        <v>0</v>
      </c>
      <c r="AQ72" s="74">
        <v>0</v>
      </c>
      <c r="AR72" s="74">
        <v>0</v>
      </c>
      <c r="AS72" s="74">
        <v>0</v>
      </c>
      <c r="AT72" s="74">
        <v>0</v>
      </c>
      <c r="AU72" s="74"/>
      <c r="AV72" s="74"/>
      <c r="AW72" s="74"/>
      <c r="AX72" s="74"/>
      <c r="AY72" s="74"/>
      <c r="AZ72" s="74"/>
      <c r="BA72" s="74">
        <v>0</v>
      </c>
      <c r="BB72" s="74">
        <v>0</v>
      </c>
      <c r="BC72" s="74">
        <v>0</v>
      </c>
      <c r="BD72" s="74">
        <v>11809.512000000001</v>
      </c>
      <c r="BE72" s="74">
        <v>0</v>
      </c>
    </row>
    <row r="73" spans="1:57">
      <c r="A73" s="73" t="s">
        <v>211</v>
      </c>
      <c r="B73" s="74">
        <v>0</v>
      </c>
      <c r="C73" s="74">
        <v>0</v>
      </c>
      <c r="D73" s="74">
        <v>0</v>
      </c>
      <c r="E73" s="74">
        <v>0</v>
      </c>
      <c r="F73" s="74">
        <v>0</v>
      </c>
      <c r="G73" s="74">
        <v>0</v>
      </c>
      <c r="H73" s="74">
        <v>0</v>
      </c>
      <c r="I73" s="74">
        <v>0</v>
      </c>
      <c r="J73" s="74">
        <v>0</v>
      </c>
      <c r="K73" s="74">
        <v>0</v>
      </c>
      <c r="L73" s="74">
        <v>0</v>
      </c>
      <c r="M73" s="76">
        <v>0</v>
      </c>
      <c r="N73" s="74">
        <v>0</v>
      </c>
      <c r="O73" s="74">
        <v>0</v>
      </c>
      <c r="P73" s="74">
        <v>0</v>
      </c>
      <c r="Q73" s="74">
        <v>0</v>
      </c>
      <c r="R73" s="74">
        <v>0</v>
      </c>
      <c r="S73" s="74">
        <v>0</v>
      </c>
      <c r="T73" s="74">
        <v>0</v>
      </c>
      <c r="U73" s="74">
        <v>0</v>
      </c>
      <c r="V73" s="76">
        <v>0</v>
      </c>
      <c r="W73" s="74">
        <v>0</v>
      </c>
      <c r="X73" s="74">
        <v>0</v>
      </c>
      <c r="Y73" s="74">
        <v>0</v>
      </c>
      <c r="Z73" s="74">
        <v>0</v>
      </c>
      <c r="AA73" s="74">
        <v>0</v>
      </c>
      <c r="AB73" s="74">
        <v>0</v>
      </c>
      <c r="AC73" s="74">
        <v>0</v>
      </c>
      <c r="AD73" s="74">
        <v>0</v>
      </c>
      <c r="AE73" s="74">
        <v>0</v>
      </c>
      <c r="AF73" s="74">
        <v>0</v>
      </c>
      <c r="AG73" s="74">
        <v>0</v>
      </c>
      <c r="AH73" s="74">
        <v>0</v>
      </c>
      <c r="AI73" s="74">
        <v>0</v>
      </c>
      <c r="AJ73" s="74">
        <v>0</v>
      </c>
      <c r="AK73" s="74">
        <v>0</v>
      </c>
      <c r="AL73" s="74">
        <v>0</v>
      </c>
      <c r="AM73" s="74">
        <v>0</v>
      </c>
      <c r="AN73" s="74">
        <v>0</v>
      </c>
      <c r="AO73" s="74">
        <v>0</v>
      </c>
      <c r="AP73" s="74">
        <v>0</v>
      </c>
      <c r="AQ73" s="74">
        <v>0</v>
      </c>
      <c r="AR73" s="74">
        <v>0</v>
      </c>
      <c r="AS73" s="74">
        <v>0</v>
      </c>
      <c r="AT73" s="74">
        <v>0</v>
      </c>
      <c r="AU73" s="74"/>
      <c r="AV73" s="74"/>
      <c r="AW73" s="74"/>
      <c r="AX73" s="74"/>
      <c r="AY73" s="74"/>
      <c r="AZ73" s="74"/>
      <c r="BA73" s="74">
        <v>0</v>
      </c>
      <c r="BB73" s="74">
        <v>0</v>
      </c>
      <c r="BC73" s="74">
        <v>0</v>
      </c>
      <c r="BD73" s="74">
        <v>284.00400000000002</v>
      </c>
      <c r="BE73" s="74">
        <v>0</v>
      </c>
    </row>
    <row r="74" spans="1:57">
      <c r="A74" s="73" t="s">
        <v>212</v>
      </c>
      <c r="B74" s="74">
        <v>0</v>
      </c>
      <c r="C74" s="74">
        <v>0</v>
      </c>
      <c r="D74" s="74">
        <v>0</v>
      </c>
      <c r="E74" s="74">
        <v>0</v>
      </c>
      <c r="F74" s="74">
        <v>0</v>
      </c>
      <c r="G74" s="74">
        <v>0</v>
      </c>
      <c r="H74" s="74">
        <v>0</v>
      </c>
      <c r="I74" s="74">
        <v>0</v>
      </c>
      <c r="J74" s="74">
        <v>0</v>
      </c>
      <c r="K74" s="74">
        <v>0</v>
      </c>
      <c r="L74" s="74">
        <v>0</v>
      </c>
      <c r="M74" s="76">
        <v>0</v>
      </c>
      <c r="N74" s="74">
        <v>0</v>
      </c>
      <c r="O74" s="74">
        <v>0</v>
      </c>
      <c r="P74" s="74">
        <v>0</v>
      </c>
      <c r="Q74" s="74">
        <v>0</v>
      </c>
      <c r="R74" s="74">
        <v>0</v>
      </c>
      <c r="S74" s="74">
        <v>0</v>
      </c>
      <c r="T74" s="74">
        <v>0</v>
      </c>
      <c r="U74" s="74">
        <v>0</v>
      </c>
      <c r="V74" s="76">
        <v>0</v>
      </c>
      <c r="W74" s="74">
        <v>0</v>
      </c>
      <c r="X74" s="74">
        <v>0</v>
      </c>
      <c r="Y74" s="74">
        <v>0</v>
      </c>
      <c r="Z74" s="74">
        <v>0</v>
      </c>
      <c r="AA74" s="74">
        <v>0</v>
      </c>
      <c r="AB74" s="74">
        <v>0</v>
      </c>
      <c r="AC74" s="74">
        <v>0</v>
      </c>
      <c r="AD74" s="74">
        <v>0</v>
      </c>
      <c r="AE74" s="74">
        <v>0</v>
      </c>
      <c r="AF74" s="74">
        <v>0</v>
      </c>
      <c r="AG74" s="74">
        <v>0</v>
      </c>
      <c r="AH74" s="74">
        <v>0</v>
      </c>
      <c r="AI74" s="74">
        <v>0</v>
      </c>
      <c r="AJ74" s="74">
        <v>0</v>
      </c>
      <c r="AK74" s="74">
        <v>0</v>
      </c>
      <c r="AL74" s="74">
        <v>0</v>
      </c>
      <c r="AM74" s="74">
        <v>0</v>
      </c>
      <c r="AN74" s="74">
        <v>0</v>
      </c>
      <c r="AO74" s="74">
        <v>0</v>
      </c>
      <c r="AP74" s="74">
        <v>0</v>
      </c>
      <c r="AQ74" s="74">
        <v>0</v>
      </c>
      <c r="AR74" s="74">
        <v>0</v>
      </c>
      <c r="AS74" s="74">
        <v>0</v>
      </c>
      <c r="AT74" s="74">
        <v>0</v>
      </c>
      <c r="AU74" s="74"/>
      <c r="AV74" s="74"/>
      <c r="AW74" s="74"/>
      <c r="AX74" s="74"/>
      <c r="AY74" s="74"/>
      <c r="AZ74" s="74"/>
      <c r="BA74" s="74">
        <v>0</v>
      </c>
      <c r="BB74" s="74">
        <v>0</v>
      </c>
      <c r="BC74" s="74">
        <v>0</v>
      </c>
      <c r="BD74" s="74">
        <v>181.44</v>
      </c>
      <c r="BE74" s="74">
        <v>0</v>
      </c>
    </row>
    <row r="75" spans="1:57">
      <c r="A75" s="73" t="s">
        <v>213</v>
      </c>
      <c r="B75" s="74">
        <v>0</v>
      </c>
      <c r="C75" s="74">
        <v>0</v>
      </c>
      <c r="D75" s="74">
        <v>0</v>
      </c>
      <c r="E75" s="74">
        <v>0</v>
      </c>
      <c r="F75" s="74">
        <v>0</v>
      </c>
      <c r="G75" s="74">
        <v>0</v>
      </c>
      <c r="H75" s="74">
        <v>0</v>
      </c>
      <c r="I75" s="74">
        <v>0</v>
      </c>
      <c r="J75" s="74">
        <v>0</v>
      </c>
      <c r="K75" s="74">
        <v>0</v>
      </c>
      <c r="L75" s="74">
        <v>0</v>
      </c>
      <c r="M75" s="76">
        <v>0</v>
      </c>
      <c r="N75" s="74">
        <v>0</v>
      </c>
      <c r="O75" s="74">
        <v>0</v>
      </c>
      <c r="P75" s="74">
        <v>0</v>
      </c>
      <c r="Q75" s="74">
        <v>0</v>
      </c>
      <c r="R75" s="74">
        <v>0</v>
      </c>
      <c r="S75" s="74">
        <v>0</v>
      </c>
      <c r="T75" s="74">
        <v>0</v>
      </c>
      <c r="U75" s="74">
        <v>0</v>
      </c>
      <c r="V75" s="76">
        <v>0</v>
      </c>
      <c r="W75" s="74">
        <v>0</v>
      </c>
      <c r="X75" s="74">
        <v>0</v>
      </c>
      <c r="Y75" s="74">
        <v>0</v>
      </c>
      <c r="Z75" s="74">
        <v>0</v>
      </c>
      <c r="AA75" s="74">
        <v>0</v>
      </c>
      <c r="AB75" s="74">
        <v>0</v>
      </c>
      <c r="AC75" s="74">
        <v>0</v>
      </c>
      <c r="AD75" s="74">
        <v>0</v>
      </c>
      <c r="AE75" s="74">
        <v>0</v>
      </c>
      <c r="AF75" s="74">
        <v>0</v>
      </c>
      <c r="AG75" s="74">
        <v>0</v>
      </c>
      <c r="AH75" s="74">
        <v>0</v>
      </c>
      <c r="AI75" s="74">
        <v>0</v>
      </c>
      <c r="AJ75" s="74">
        <v>0</v>
      </c>
      <c r="AK75" s="74">
        <v>0</v>
      </c>
      <c r="AL75" s="74">
        <v>0</v>
      </c>
      <c r="AM75" s="74">
        <v>0</v>
      </c>
      <c r="AN75" s="74">
        <v>0</v>
      </c>
      <c r="AO75" s="74">
        <v>0</v>
      </c>
      <c r="AP75" s="74">
        <v>0</v>
      </c>
      <c r="AQ75" s="74">
        <v>0</v>
      </c>
      <c r="AR75" s="74">
        <v>0</v>
      </c>
      <c r="AS75" s="74">
        <v>0</v>
      </c>
      <c r="AT75" s="74">
        <v>0</v>
      </c>
      <c r="AU75" s="74"/>
      <c r="AV75" s="74"/>
      <c r="AW75" s="74"/>
      <c r="AX75" s="74"/>
      <c r="AY75" s="74"/>
      <c r="AZ75" s="74"/>
      <c r="BA75" s="74">
        <v>0</v>
      </c>
      <c r="BB75" s="74">
        <v>0</v>
      </c>
      <c r="BC75" s="74">
        <v>0</v>
      </c>
      <c r="BD75" s="74">
        <v>0.75730319999999796</v>
      </c>
      <c r="BE75" s="74">
        <v>0</v>
      </c>
    </row>
    <row r="76" spans="1:57">
      <c r="A76" s="73"/>
      <c r="B76" s="83"/>
      <c r="C76" s="74"/>
      <c r="D76" s="74"/>
      <c r="E76" s="74"/>
      <c r="F76" s="74"/>
      <c r="G76" s="74"/>
      <c r="H76" s="74"/>
      <c r="I76" s="74"/>
      <c r="J76" s="74"/>
      <c r="K76" s="74"/>
      <c r="L76" s="74"/>
      <c r="M76" s="76"/>
      <c r="N76" s="74"/>
      <c r="O76" s="74"/>
      <c r="P76" s="74"/>
      <c r="Q76" s="74"/>
      <c r="R76" s="74"/>
      <c r="S76" s="74"/>
      <c r="T76" s="74"/>
      <c r="U76" s="74"/>
      <c r="V76" s="76"/>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row>
    <row r="77" spans="1:57">
      <c r="A77" s="77" t="s">
        <v>214</v>
      </c>
      <c r="B77" s="74">
        <v>229766.21900000001</v>
      </c>
      <c r="C77" s="74">
        <v>0</v>
      </c>
      <c r="D77" s="74">
        <v>4539.6709999999994</v>
      </c>
      <c r="E77" s="74">
        <v>225226.54800000001</v>
      </c>
      <c r="F77" s="74">
        <v>0</v>
      </c>
      <c r="G77" s="74">
        <v>0</v>
      </c>
      <c r="H77" s="74">
        <v>0</v>
      </c>
      <c r="I77" s="74">
        <v>0</v>
      </c>
      <c r="J77" s="74">
        <v>0</v>
      </c>
      <c r="K77" s="74">
        <v>0</v>
      </c>
      <c r="L77" s="74">
        <v>0</v>
      </c>
      <c r="M77" s="76">
        <v>864.23</v>
      </c>
      <c r="N77" s="74">
        <v>0</v>
      </c>
      <c r="O77" s="74">
        <v>0</v>
      </c>
      <c r="P77" s="74">
        <v>0</v>
      </c>
      <c r="Q77" s="74">
        <v>190400</v>
      </c>
      <c r="R77" s="74">
        <v>0</v>
      </c>
      <c r="S77" s="74">
        <v>0</v>
      </c>
      <c r="T77" s="74">
        <v>0</v>
      </c>
      <c r="U77" s="74">
        <v>0</v>
      </c>
      <c r="V77" s="76">
        <v>0</v>
      </c>
      <c r="W77" s="74">
        <v>0</v>
      </c>
      <c r="X77" s="74">
        <v>0</v>
      </c>
      <c r="Y77" s="74">
        <v>0</v>
      </c>
      <c r="Z77" s="74">
        <v>0</v>
      </c>
      <c r="AA77" s="74">
        <v>0</v>
      </c>
      <c r="AB77" s="74">
        <v>0</v>
      </c>
      <c r="AC77" s="74">
        <v>1.6972419999999998E-2</v>
      </c>
      <c r="AD77" s="74">
        <v>0</v>
      </c>
      <c r="AE77" s="74">
        <v>13374.620897700001</v>
      </c>
      <c r="AF77" s="74">
        <v>5874.2619047999988</v>
      </c>
      <c r="AG77" s="74">
        <v>0</v>
      </c>
      <c r="AH77" s="74">
        <v>0</v>
      </c>
      <c r="AI77" s="74">
        <v>0</v>
      </c>
      <c r="AJ77" s="74">
        <v>26448.048624999999</v>
      </c>
      <c r="AK77" s="74">
        <v>41744.450013599992</v>
      </c>
      <c r="AL77" s="74">
        <v>19531.582595200001</v>
      </c>
      <c r="AM77" s="74">
        <v>0</v>
      </c>
      <c r="AN77" s="74">
        <v>4223.0867820000003</v>
      </c>
      <c r="AO77" s="74">
        <v>992.40316919999998</v>
      </c>
      <c r="AP77" s="74">
        <v>5235.2980992000003</v>
      </c>
      <c r="AQ77" s="74">
        <v>321.7628904</v>
      </c>
      <c r="AR77" s="74">
        <v>0</v>
      </c>
      <c r="AS77" s="74">
        <v>12783.95376</v>
      </c>
      <c r="AT77" s="74">
        <v>0</v>
      </c>
      <c r="AU77" s="74"/>
      <c r="AV77" s="74"/>
      <c r="AW77" s="74"/>
      <c r="AX77" s="74"/>
      <c r="AY77" s="74"/>
      <c r="AZ77" s="74"/>
      <c r="BA77" s="74">
        <v>0</v>
      </c>
      <c r="BB77" s="74">
        <v>0</v>
      </c>
      <c r="BC77" s="74">
        <v>0</v>
      </c>
      <c r="BD77" s="74">
        <v>344262.6936</v>
      </c>
      <c r="BE77" s="74">
        <v>0</v>
      </c>
    </row>
    <row r="78" spans="1:57">
      <c r="A78" s="73" t="s">
        <v>215</v>
      </c>
      <c r="B78" s="74">
        <v>763.26300000000003</v>
      </c>
      <c r="C78" s="74">
        <v>0</v>
      </c>
      <c r="D78" s="74">
        <v>0</v>
      </c>
      <c r="E78" s="74">
        <v>763.26300000000003</v>
      </c>
      <c r="F78" s="74">
        <v>0</v>
      </c>
      <c r="G78" s="74">
        <v>0</v>
      </c>
      <c r="H78" s="74">
        <v>0</v>
      </c>
      <c r="I78" s="74">
        <v>0</v>
      </c>
      <c r="J78" s="74">
        <v>0</v>
      </c>
      <c r="K78" s="74">
        <v>0</v>
      </c>
      <c r="L78" s="74">
        <v>0</v>
      </c>
      <c r="M78" s="76">
        <v>0</v>
      </c>
      <c r="N78" s="74">
        <v>0</v>
      </c>
      <c r="O78" s="74">
        <v>0</v>
      </c>
      <c r="P78" s="74">
        <v>0</v>
      </c>
      <c r="Q78" s="74">
        <v>0</v>
      </c>
      <c r="R78" s="74">
        <v>0</v>
      </c>
      <c r="S78" s="74">
        <v>0</v>
      </c>
      <c r="T78" s="74">
        <v>0</v>
      </c>
      <c r="U78" s="74">
        <v>0</v>
      </c>
      <c r="V78" s="76">
        <v>0</v>
      </c>
      <c r="W78" s="74">
        <v>0</v>
      </c>
      <c r="X78" s="74">
        <v>0</v>
      </c>
      <c r="Y78" s="74">
        <v>0</v>
      </c>
      <c r="Z78" s="74">
        <v>0</v>
      </c>
      <c r="AA78" s="74">
        <v>0</v>
      </c>
      <c r="AB78" s="74">
        <v>0</v>
      </c>
      <c r="AC78" s="74">
        <v>1.81336E-3</v>
      </c>
      <c r="AD78" s="74">
        <v>0</v>
      </c>
      <c r="AE78" s="74">
        <v>1.3529157000000001</v>
      </c>
      <c r="AF78" s="74">
        <v>4964.1961086000001</v>
      </c>
      <c r="AG78" s="74">
        <v>0</v>
      </c>
      <c r="AH78" s="74">
        <v>0</v>
      </c>
      <c r="AI78" s="74">
        <v>0</v>
      </c>
      <c r="AJ78" s="74">
        <v>2509.7758600000002</v>
      </c>
      <c r="AK78" s="74">
        <v>38226.119077199997</v>
      </c>
      <c r="AL78" s="74">
        <v>1763.8130432</v>
      </c>
      <c r="AM78" s="74">
        <v>0</v>
      </c>
      <c r="AN78" s="74">
        <v>186.533829</v>
      </c>
      <c r="AO78" s="74">
        <v>940.08893939999984</v>
      </c>
      <c r="AP78" s="74">
        <v>0</v>
      </c>
      <c r="AQ78" s="74">
        <v>0</v>
      </c>
      <c r="AR78" s="74">
        <v>0</v>
      </c>
      <c r="AS78" s="74">
        <v>0</v>
      </c>
      <c r="AT78" s="74">
        <v>0</v>
      </c>
      <c r="AU78" s="74"/>
      <c r="AV78" s="74"/>
      <c r="AW78" s="74"/>
      <c r="AX78" s="74"/>
      <c r="AY78" s="74"/>
      <c r="AZ78" s="74"/>
      <c r="BA78" s="74">
        <v>0</v>
      </c>
      <c r="BB78" s="74">
        <v>0</v>
      </c>
      <c r="BC78" s="74">
        <v>0</v>
      </c>
      <c r="BD78" s="74">
        <v>21029.392800000001</v>
      </c>
      <c r="BE78" s="74">
        <v>0</v>
      </c>
    </row>
    <row r="79" spans="1:57">
      <c r="A79" s="73" t="s">
        <v>216</v>
      </c>
      <c r="B79" s="74">
        <v>76301.756666666668</v>
      </c>
      <c r="C79" s="74">
        <v>0</v>
      </c>
      <c r="D79" s="74">
        <v>1513.223666666667</v>
      </c>
      <c r="E79" s="74">
        <v>74788.532999999996</v>
      </c>
      <c r="F79" s="74">
        <v>0</v>
      </c>
      <c r="G79" s="74">
        <v>0</v>
      </c>
      <c r="H79" s="74">
        <v>0</v>
      </c>
      <c r="I79" s="74">
        <v>0</v>
      </c>
      <c r="J79" s="74">
        <v>0</v>
      </c>
      <c r="K79" s="74">
        <v>0</v>
      </c>
      <c r="L79" s="74">
        <v>0</v>
      </c>
      <c r="M79" s="76">
        <v>864.23</v>
      </c>
      <c r="N79" s="74">
        <v>0</v>
      </c>
      <c r="O79" s="74">
        <v>0</v>
      </c>
      <c r="P79" s="74">
        <v>0</v>
      </c>
      <c r="Q79" s="74">
        <v>0</v>
      </c>
      <c r="R79" s="74">
        <v>0</v>
      </c>
      <c r="S79" s="74">
        <v>0</v>
      </c>
      <c r="T79" s="74">
        <v>0</v>
      </c>
      <c r="U79" s="74">
        <v>0</v>
      </c>
      <c r="V79" s="76">
        <v>0</v>
      </c>
      <c r="W79" s="74">
        <v>0</v>
      </c>
      <c r="X79" s="74">
        <v>0</v>
      </c>
      <c r="Y79" s="74">
        <v>0</v>
      </c>
      <c r="Z79" s="74">
        <v>0</v>
      </c>
      <c r="AA79" s="74">
        <v>0</v>
      </c>
      <c r="AB79" s="74">
        <v>0</v>
      </c>
      <c r="AC79" s="74">
        <v>1.515906E-2</v>
      </c>
      <c r="AD79" s="74">
        <v>0</v>
      </c>
      <c r="AE79" s="74">
        <v>0</v>
      </c>
      <c r="AF79" s="74">
        <v>237.1015548</v>
      </c>
      <c r="AG79" s="74">
        <v>0</v>
      </c>
      <c r="AH79" s="74">
        <v>0</v>
      </c>
      <c r="AI79" s="74">
        <v>0</v>
      </c>
      <c r="AJ79" s="74">
        <v>1007.333806</v>
      </c>
      <c r="AK79" s="74">
        <v>1742.0246592000001</v>
      </c>
      <c r="AL79" s="74">
        <v>17766.613363199998</v>
      </c>
      <c r="AM79" s="74">
        <v>0</v>
      </c>
      <c r="AN79" s="74">
        <v>4036.5529529999999</v>
      </c>
      <c r="AO79" s="74">
        <v>52.229809799999991</v>
      </c>
      <c r="AP79" s="74">
        <v>5123.2927386000001</v>
      </c>
      <c r="AQ79" s="74">
        <v>321.7628904</v>
      </c>
      <c r="AR79" s="74">
        <v>0</v>
      </c>
      <c r="AS79" s="74">
        <v>0</v>
      </c>
      <c r="AT79" s="74">
        <v>0</v>
      </c>
      <c r="AU79" s="74"/>
      <c r="AV79" s="74"/>
      <c r="AW79" s="74"/>
      <c r="AX79" s="74"/>
      <c r="AY79" s="74"/>
      <c r="AZ79" s="74"/>
      <c r="BA79" s="74">
        <v>0</v>
      </c>
      <c r="BB79" s="74">
        <v>0</v>
      </c>
      <c r="BC79" s="74">
        <v>0</v>
      </c>
      <c r="BD79" s="74">
        <v>103798.06200000001</v>
      </c>
      <c r="BE79" s="74">
        <v>0</v>
      </c>
    </row>
    <row r="80" spans="1:57">
      <c r="A80" s="73" t="s">
        <v>217</v>
      </c>
      <c r="B80" s="74">
        <v>152603.51333333331</v>
      </c>
      <c r="C80" s="74">
        <v>0</v>
      </c>
      <c r="D80" s="74">
        <v>3026.4473333333331</v>
      </c>
      <c r="E80" s="74">
        <v>149577.06599999999</v>
      </c>
      <c r="F80" s="74">
        <v>0</v>
      </c>
      <c r="G80" s="74">
        <v>0</v>
      </c>
      <c r="H80" s="74">
        <v>0</v>
      </c>
      <c r="I80" s="74">
        <v>0</v>
      </c>
      <c r="J80" s="74">
        <v>0</v>
      </c>
      <c r="K80" s="74">
        <v>0</v>
      </c>
      <c r="L80" s="74">
        <v>0</v>
      </c>
      <c r="M80" s="76">
        <v>0</v>
      </c>
      <c r="N80" s="74">
        <v>0</v>
      </c>
      <c r="O80" s="74">
        <v>0</v>
      </c>
      <c r="P80" s="74">
        <v>0</v>
      </c>
      <c r="Q80" s="74">
        <v>190400</v>
      </c>
      <c r="R80" s="74">
        <v>0</v>
      </c>
      <c r="S80" s="74">
        <v>0</v>
      </c>
      <c r="T80" s="74">
        <v>0</v>
      </c>
      <c r="U80" s="74">
        <v>0</v>
      </c>
      <c r="V80" s="76">
        <v>0</v>
      </c>
      <c r="W80" s="74">
        <v>0</v>
      </c>
      <c r="X80" s="74">
        <v>0</v>
      </c>
      <c r="Y80" s="74">
        <v>0</v>
      </c>
      <c r="Z80" s="74">
        <v>0</v>
      </c>
      <c r="AA80" s="74">
        <v>0</v>
      </c>
      <c r="AB80" s="74">
        <v>0</v>
      </c>
      <c r="AC80" s="74">
        <v>0</v>
      </c>
      <c r="AD80" s="74">
        <v>0</v>
      </c>
      <c r="AE80" s="74">
        <v>13373.267981999999</v>
      </c>
      <c r="AF80" s="74">
        <v>672.96424139999999</v>
      </c>
      <c r="AG80" s="74">
        <v>0</v>
      </c>
      <c r="AH80" s="74">
        <v>0</v>
      </c>
      <c r="AI80" s="74">
        <v>0</v>
      </c>
      <c r="AJ80" s="74">
        <v>22930.938958999999</v>
      </c>
      <c r="AK80" s="74">
        <v>1776.3062772000001</v>
      </c>
      <c r="AL80" s="74">
        <v>1.1561888</v>
      </c>
      <c r="AM80" s="74">
        <v>0</v>
      </c>
      <c r="AN80" s="74">
        <v>0</v>
      </c>
      <c r="AO80" s="74">
        <v>8.4419999999999995E-2</v>
      </c>
      <c r="AP80" s="74">
        <v>112.0053606</v>
      </c>
      <c r="AQ80" s="74">
        <v>0</v>
      </c>
      <c r="AR80" s="74">
        <v>0</v>
      </c>
      <c r="AS80" s="74">
        <v>0</v>
      </c>
      <c r="AT80" s="74">
        <v>0</v>
      </c>
      <c r="AU80" s="74"/>
      <c r="AV80" s="74"/>
      <c r="AW80" s="74"/>
      <c r="AX80" s="74"/>
      <c r="AY80" s="74"/>
      <c r="AZ80" s="74"/>
      <c r="BA80" s="74">
        <v>0</v>
      </c>
      <c r="BB80" s="74">
        <v>0</v>
      </c>
      <c r="BC80" s="74">
        <v>0</v>
      </c>
      <c r="BD80" s="74">
        <v>142815.29399999999</v>
      </c>
      <c r="BE80" s="74">
        <v>0</v>
      </c>
    </row>
    <row r="81" spans="1:57">
      <c r="A81" s="73" t="s">
        <v>218</v>
      </c>
      <c r="B81" s="74">
        <v>97.685999999999993</v>
      </c>
      <c r="C81" s="74">
        <v>0</v>
      </c>
      <c r="D81" s="74">
        <v>0</v>
      </c>
      <c r="E81" s="74">
        <v>97.685999999999993</v>
      </c>
      <c r="F81" s="74">
        <v>0</v>
      </c>
      <c r="G81" s="74">
        <v>0</v>
      </c>
      <c r="H81" s="74">
        <v>0</v>
      </c>
      <c r="I81" s="74">
        <v>0</v>
      </c>
      <c r="J81" s="74">
        <v>0</v>
      </c>
      <c r="K81" s="74">
        <v>0</v>
      </c>
      <c r="L81" s="74">
        <v>0</v>
      </c>
      <c r="M81" s="76">
        <v>0</v>
      </c>
      <c r="N81" s="74">
        <v>0</v>
      </c>
      <c r="O81" s="74">
        <v>0</v>
      </c>
      <c r="P81" s="74">
        <v>0</v>
      </c>
      <c r="Q81" s="74">
        <v>0</v>
      </c>
      <c r="R81" s="74">
        <v>0</v>
      </c>
      <c r="S81" s="74">
        <v>0</v>
      </c>
      <c r="T81" s="74">
        <v>0</v>
      </c>
      <c r="U81" s="74">
        <v>0</v>
      </c>
      <c r="V81" s="76">
        <v>0</v>
      </c>
      <c r="W81" s="74">
        <v>0</v>
      </c>
      <c r="X81" s="74">
        <v>0</v>
      </c>
      <c r="Y81" s="74">
        <v>0</v>
      </c>
      <c r="Z81" s="74">
        <v>0</v>
      </c>
      <c r="AA81" s="74">
        <v>0</v>
      </c>
      <c r="AB81" s="74">
        <v>0</v>
      </c>
      <c r="AC81" s="74">
        <v>0</v>
      </c>
      <c r="AD81" s="74">
        <v>0</v>
      </c>
      <c r="AE81" s="74">
        <v>0</v>
      </c>
      <c r="AF81" s="74">
        <v>0</v>
      </c>
      <c r="AG81" s="74">
        <v>0</v>
      </c>
      <c r="AH81" s="74">
        <v>0</v>
      </c>
      <c r="AI81" s="74">
        <v>0</v>
      </c>
      <c r="AJ81" s="74">
        <v>0</v>
      </c>
      <c r="AK81" s="74">
        <v>0</v>
      </c>
      <c r="AL81" s="74">
        <v>0</v>
      </c>
      <c r="AM81" s="74">
        <v>0</v>
      </c>
      <c r="AN81" s="74">
        <v>0</v>
      </c>
      <c r="AO81" s="74">
        <v>0</v>
      </c>
      <c r="AP81" s="74">
        <v>0</v>
      </c>
      <c r="AQ81" s="74">
        <v>0</v>
      </c>
      <c r="AR81" s="74">
        <v>0</v>
      </c>
      <c r="AS81" s="74">
        <v>12783.95376</v>
      </c>
      <c r="AT81" s="74">
        <v>0</v>
      </c>
      <c r="AU81" s="74"/>
      <c r="AV81" s="74"/>
      <c r="AW81" s="74"/>
      <c r="AX81" s="74"/>
      <c r="AY81" s="74"/>
      <c r="AZ81" s="74"/>
      <c r="BA81" s="74">
        <v>0</v>
      </c>
      <c r="BB81" s="74">
        <v>0</v>
      </c>
      <c r="BC81" s="74">
        <v>0</v>
      </c>
      <c r="BD81" s="74">
        <v>76619.944799999997</v>
      </c>
      <c r="BE81" s="74">
        <v>0</v>
      </c>
    </row>
    <row r="82" spans="1:57">
      <c r="A82" s="73"/>
      <c r="B82" s="83"/>
      <c r="C82" s="74"/>
      <c r="D82" s="74"/>
      <c r="E82" s="74"/>
      <c r="F82" s="74"/>
      <c r="G82" s="74"/>
      <c r="H82" s="74"/>
      <c r="I82" s="74"/>
      <c r="J82" s="74"/>
      <c r="K82" s="74"/>
      <c r="L82" s="74"/>
      <c r="M82" s="76"/>
      <c r="N82" s="74"/>
      <c r="O82" s="74"/>
      <c r="P82" s="74"/>
      <c r="Q82" s="74"/>
      <c r="R82" s="74"/>
      <c r="S82" s="74"/>
      <c r="T82" s="74"/>
      <c r="U82" s="74"/>
      <c r="V82" s="76"/>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row>
    <row r="83" spans="1:57">
      <c r="A83" s="77" t="s">
        <v>219</v>
      </c>
      <c r="B83" s="74">
        <v>0</v>
      </c>
      <c r="C83" s="78">
        <v>0</v>
      </c>
      <c r="D83" s="78">
        <v>0</v>
      </c>
      <c r="E83" s="78">
        <v>0</v>
      </c>
      <c r="F83" s="78">
        <v>0</v>
      </c>
      <c r="G83" s="78">
        <v>0</v>
      </c>
      <c r="H83" s="78">
        <v>0</v>
      </c>
      <c r="I83" s="78">
        <v>0</v>
      </c>
      <c r="J83" s="78">
        <v>0</v>
      </c>
      <c r="K83" s="78">
        <v>0</v>
      </c>
      <c r="L83" s="78">
        <v>0</v>
      </c>
      <c r="M83" s="79">
        <v>0</v>
      </c>
      <c r="N83" s="78">
        <v>0</v>
      </c>
      <c r="O83" s="78">
        <v>0</v>
      </c>
      <c r="P83" s="78">
        <v>0</v>
      </c>
      <c r="Q83" s="78">
        <v>0</v>
      </c>
      <c r="R83" s="78">
        <v>0</v>
      </c>
      <c r="S83" s="78">
        <v>0</v>
      </c>
      <c r="T83" s="78">
        <v>0</v>
      </c>
      <c r="U83" s="78">
        <v>0</v>
      </c>
      <c r="V83" s="79">
        <v>0</v>
      </c>
      <c r="W83" s="78">
        <v>0</v>
      </c>
      <c r="X83" s="78">
        <v>0</v>
      </c>
      <c r="Y83" s="78">
        <v>0</v>
      </c>
      <c r="Z83" s="78">
        <v>0</v>
      </c>
      <c r="AA83" s="78">
        <v>0</v>
      </c>
      <c r="AB83" s="78">
        <v>0</v>
      </c>
      <c r="AC83" s="78">
        <v>0</v>
      </c>
      <c r="AD83" s="78">
        <v>0</v>
      </c>
      <c r="AE83" s="78">
        <v>0</v>
      </c>
      <c r="AF83" s="78">
        <v>0</v>
      </c>
      <c r="AG83" s="78">
        <v>0</v>
      </c>
      <c r="AH83" s="78">
        <v>0</v>
      </c>
      <c r="AI83" s="78">
        <v>0</v>
      </c>
      <c r="AJ83" s="78">
        <v>0</v>
      </c>
      <c r="AK83" s="78">
        <v>0</v>
      </c>
      <c r="AL83" s="78">
        <v>0</v>
      </c>
      <c r="AM83" s="78">
        <v>0</v>
      </c>
      <c r="AN83" s="78">
        <v>4253.9954766000001</v>
      </c>
      <c r="AO83" s="78">
        <v>17195.366607600001</v>
      </c>
      <c r="AP83" s="78">
        <v>0</v>
      </c>
      <c r="AQ83" s="78">
        <v>0</v>
      </c>
      <c r="AR83" s="78">
        <v>0</v>
      </c>
      <c r="AS83" s="78">
        <v>0</v>
      </c>
      <c r="AT83" s="78">
        <v>0</v>
      </c>
      <c r="AU83" s="78"/>
      <c r="AV83" s="78"/>
      <c r="AW83" s="78"/>
      <c r="AX83" s="78"/>
      <c r="AY83" s="78"/>
      <c r="AZ83" s="78"/>
      <c r="BA83" s="78">
        <v>0</v>
      </c>
      <c r="BB83" s="78">
        <v>0</v>
      </c>
      <c r="BC83" s="78">
        <v>0</v>
      </c>
      <c r="BD83" s="78">
        <v>0</v>
      </c>
      <c r="BE83" s="78">
        <v>0</v>
      </c>
    </row>
    <row r="84" spans="1:57">
      <c r="A84" s="73" t="s">
        <v>220</v>
      </c>
      <c r="B84" s="74">
        <v>0</v>
      </c>
      <c r="C84" s="74">
        <v>0</v>
      </c>
      <c r="D84" s="74">
        <v>0</v>
      </c>
      <c r="E84" s="74">
        <v>0</v>
      </c>
      <c r="F84" s="74">
        <v>0</v>
      </c>
      <c r="G84" s="74">
        <v>0</v>
      </c>
      <c r="H84" s="74">
        <v>0</v>
      </c>
      <c r="I84" s="74">
        <v>0</v>
      </c>
      <c r="J84" s="74">
        <v>0</v>
      </c>
      <c r="K84" s="74">
        <v>0</v>
      </c>
      <c r="L84" s="74">
        <v>0</v>
      </c>
      <c r="M84" s="76">
        <v>0</v>
      </c>
      <c r="N84" s="74">
        <v>0</v>
      </c>
      <c r="O84" s="74">
        <v>0</v>
      </c>
      <c r="P84" s="74">
        <v>0</v>
      </c>
      <c r="Q84" s="74">
        <v>0</v>
      </c>
      <c r="R84" s="74">
        <v>0</v>
      </c>
      <c r="S84" s="74">
        <v>0</v>
      </c>
      <c r="T84" s="74">
        <v>0</v>
      </c>
      <c r="U84" s="74">
        <v>0</v>
      </c>
      <c r="V84" s="76">
        <v>0</v>
      </c>
      <c r="W84" s="74">
        <v>0</v>
      </c>
      <c r="X84" s="74">
        <v>0</v>
      </c>
      <c r="Y84" s="74">
        <v>0</v>
      </c>
      <c r="Z84" s="74">
        <v>0</v>
      </c>
      <c r="AA84" s="74">
        <v>0</v>
      </c>
      <c r="AB84" s="74">
        <v>0</v>
      </c>
      <c r="AC84" s="74">
        <v>0</v>
      </c>
      <c r="AD84" s="74">
        <v>0</v>
      </c>
      <c r="AE84" s="74">
        <v>0</v>
      </c>
      <c r="AF84" s="74">
        <v>0</v>
      </c>
      <c r="AG84" s="74">
        <v>0</v>
      </c>
      <c r="AH84" s="74">
        <v>0</v>
      </c>
      <c r="AI84" s="74">
        <v>0</v>
      </c>
      <c r="AJ84" s="74">
        <v>0</v>
      </c>
      <c r="AK84" s="74">
        <v>0</v>
      </c>
      <c r="AL84" s="74">
        <v>0</v>
      </c>
      <c r="AM84" s="74">
        <v>0</v>
      </c>
      <c r="AN84" s="74">
        <v>4253.9954766000001</v>
      </c>
      <c r="AO84" s="74">
        <v>17195.366607600001</v>
      </c>
      <c r="AP84" s="74">
        <v>0</v>
      </c>
      <c r="AQ84" s="74">
        <v>0</v>
      </c>
      <c r="AR84" s="74">
        <v>0</v>
      </c>
      <c r="AS84" s="74">
        <v>0</v>
      </c>
      <c r="AT84" s="74">
        <v>0</v>
      </c>
      <c r="AU84" s="74"/>
      <c r="AV84" s="74"/>
      <c r="AW84" s="74"/>
      <c r="AX84" s="74"/>
      <c r="AY84" s="74"/>
      <c r="AZ84" s="74"/>
      <c r="BA84" s="74">
        <v>0</v>
      </c>
      <c r="BB84" s="74">
        <v>0</v>
      </c>
      <c r="BC84" s="74">
        <v>0</v>
      </c>
      <c r="BD84" s="74">
        <v>0</v>
      </c>
      <c r="BE84" s="74">
        <v>0</v>
      </c>
    </row>
    <row r="85" spans="1:57">
      <c r="A85" s="73" t="s">
        <v>221</v>
      </c>
      <c r="B85" s="74">
        <v>0</v>
      </c>
      <c r="C85" s="74">
        <v>0</v>
      </c>
      <c r="D85" s="74">
        <v>0</v>
      </c>
      <c r="E85" s="74">
        <v>0</v>
      </c>
      <c r="F85" s="74">
        <v>0</v>
      </c>
      <c r="G85" s="74">
        <v>0</v>
      </c>
      <c r="H85" s="74">
        <v>0</v>
      </c>
      <c r="I85" s="74">
        <v>0</v>
      </c>
      <c r="J85" s="74">
        <v>0</v>
      </c>
      <c r="K85" s="74">
        <v>0</v>
      </c>
      <c r="L85" s="74">
        <v>0</v>
      </c>
      <c r="M85" s="76">
        <v>0</v>
      </c>
      <c r="N85" s="74">
        <v>0</v>
      </c>
      <c r="O85" s="74">
        <v>0</v>
      </c>
      <c r="P85" s="74">
        <v>0</v>
      </c>
      <c r="Q85" s="74">
        <v>0</v>
      </c>
      <c r="R85" s="74">
        <v>0</v>
      </c>
      <c r="S85" s="74">
        <v>0</v>
      </c>
      <c r="T85" s="74">
        <v>0</v>
      </c>
      <c r="U85" s="74">
        <v>0</v>
      </c>
      <c r="V85" s="76">
        <v>0</v>
      </c>
      <c r="W85" s="74">
        <v>0</v>
      </c>
      <c r="X85" s="74">
        <v>0</v>
      </c>
      <c r="Y85" s="74">
        <v>0</v>
      </c>
      <c r="Z85" s="74">
        <v>0</v>
      </c>
      <c r="AA85" s="74">
        <v>0</v>
      </c>
      <c r="AB85" s="74">
        <v>0</v>
      </c>
      <c r="AC85" s="74">
        <v>0</v>
      </c>
      <c r="AD85" s="74">
        <v>0</v>
      </c>
      <c r="AE85" s="74">
        <v>0</v>
      </c>
      <c r="AF85" s="74">
        <v>0</v>
      </c>
      <c r="AG85" s="74">
        <v>0</v>
      </c>
      <c r="AH85" s="74">
        <v>0</v>
      </c>
      <c r="AI85" s="74">
        <v>0</v>
      </c>
      <c r="AJ85" s="74">
        <v>0</v>
      </c>
      <c r="AK85" s="74">
        <v>0</v>
      </c>
      <c r="AL85" s="74">
        <v>0</v>
      </c>
      <c r="AM85" s="74">
        <v>0</v>
      </c>
      <c r="AN85" s="74">
        <v>0</v>
      </c>
      <c r="AO85" s="74">
        <v>0</v>
      </c>
      <c r="AP85" s="74">
        <v>0</v>
      </c>
      <c r="AQ85" s="74">
        <v>0</v>
      </c>
      <c r="AR85" s="74">
        <v>0</v>
      </c>
      <c r="AS85" s="74">
        <v>0</v>
      </c>
      <c r="AT85" s="74">
        <v>0</v>
      </c>
      <c r="AU85" s="74"/>
      <c r="AV85" s="74"/>
      <c r="AW85" s="74"/>
      <c r="AX85" s="74"/>
      <c r="AY85" s="74"/>
      <c r="AZ85" s="74"/>
      <c r="BA85" s="74">
        <v>0</v>
      </c>
      <c r="BB85" s="74">
        <v>0</v>
      </c>
      <c r="BC85" s="74">
        <v>0</v>
      </c>
      <c r="BD85" s="74">
        <v>0</v>
      </c>
      <c r="BE85" s="74">
        <v>0</v>
      </c>
    </row>
    <row r="86" spans="1:57">
      <c r="A86" s="73" t="s">
        <v>222</v>
      </c>
      <c r="B86" s="74">
        <v>0</v>
      </c>
      <c r="C86" s="74">
        <v>0</v>
      </c>
      <c r="D86" s="74">
        <v>0</v>
      </c>
      <c r="E86" s="74">
        <v>0</v>
      </c>
      <c r="F86" s="74">
        <v>0</v>
      </c>
      <c r="G86" s="74">
        <v>0</v>
      </c>
      <c r="H86" s="74">
        <v>0</v>
      </c>
      <c r="I86" s="74">
        <v>0</v>
      </c>
      <c r="J86" s="74">
        <v>0</v>
      </c>
      <c r="K86" s="74">
        <v>0</v>
      </c>
      <c r="L86" s="74">
        <v>0</v>
      </c>
      <c r="M86" s="76">
        <v>0</v>
      </c>
      <c r="N86" s="74">
        <v>0</v>
      </c>
      <c r="O86" s="74">
        <v>0</v>
      </c>
      <c r="P86" s="74">
        <v>0</v>
      </c>
      <c r="Q86" s="74">
        <v>0</v>
      </c>
      <c r="R86" s="74">
        <v>0</v>
      </c>
      <c r="S86" s="74">
        <v>0</v>
      </c>
      <c r="T86" s="74">
        <v>0</v>
      </c>
      <c r="U86" s="74">
        <v>0</v>
      </c>
      <c r="V86" s="76">
        <v>0</v>
      </c>
      <c r="W86" s="74">
        <v>0</v>
      </c>
      <c r="X86" s="74">
        <v>0</v>
      </c>
      <c r="Y86" s="74">
        <v>0</v>
      </c>
      <c r="Z86" s="74">
        <v>0</v>
      </c>
      <c r="AA86" s="74">
        <v>0</v>
      </c>
      <c r="AB86" s="74">
        <v>0</v>
      </c>
      <c r="AC86" s="74">
        <v>0</v>
      </c>
      <c r="AD86" s="74">
        <v>0</v>
      </c>
      <c r="AE86" s="74">
        <v>0</v>
      </c>
      <c r="AF86" s="74">
        <v>0</v>
      </c>
      <c r="AG86" s="74">
        <v>0</v>
      </c>
      <c r="AH86" s="74">
        <v>0</v>
      </c>
      <c r="AI86" s="74">
        <v>0</v>
      </c>
      <c r="AJ86" s="74">
        <v>0</v>
      </c>
      <c r="AK86" s="74">
        <v>0</v>
      </c>
      <c r="AL86" s="74">
        <v>0</v>
      </c>
      <c r="AM86" s="74">
        <v>0</v>
      </c>
      <c r="AN86" s="74">
        <v>0</v>
      </c>
      <c r="AO86" s="74">
        <v>0</v>
      </c>
      <c r="AP86" s="74">
        <v>0</v>
      </c>
      <c r="AQ86" s="74">
        <v>0</v>
      </c>
      <c r="AR86" s="74">
        <v>0</v>
      </c>
      <c r="AS86" s="74">
        <v>0</v>
      </c>
      <c r="AT86" s="74">
        <v>0</v>
      </c>
      <c r="AU86" s="74"/>
      <c r="AV86" s="74"/>
      <c r="AW86" s="74"/>
      <c r="AX86" s="74"/>
      <c r="AY86" s="74"/>
      <c r="AZ86" s="74"/>
      <c r="BA86" s="74">
        <v>0</v>
      </c>
      <c r="BB86" s="74">
        <v>0</v>
      </c>
      <c r="BC86" s="74">
        <v>0</v>
      </c>
      <c r="BD86" s="74">
        <v>0</v>
      </c>
      <c r="BE86" s="74">
        <v>0</v>
      </c>
    </row>
    <row r="87" spans="1:57">
      <c r="A87" s="73" t="s">
        <v>223</v>
      </c>
      <c r="B87" s="74">
        <v>52210.51</v>
      </c>
      <c r="C87" s="74">
        <v>0</v>
      </c>
      <c r="D87" s="74">
        <v>1368.6189999999999</v>
      </c>
      <c r="E87" s="74">
        <v>50841.890999999989</v>
      </c>
      <c r="F87" s="74">
        <v>0</v>
      </c>
      <c r="G87" s="74">
        <v>0</v>
      </c>
      <c r="H87" s="74">
        <v>0</v>
      </c>
      <c r="I87" s="74">
        <v>0</v>
      </c>
      <c r="J87" s="74">
        <v>0</v>
      </c>
      <c r="K87" s="74">
        <v>0</v>
      </c>
      <c r="L87" s="74">
        <v>0</v>
      </c>
      <c r="M87" s="76">
        <v>0</v>
      </c>
      <c r="N87" s="74">
        <v>0</v>
      </c>
      <c r="O87" s="74">
        <v>0</v>
      </c>
      <c r="P87" s="74">
        <v>0</v>
      </c>
      <c r="Q87" s="74">
        <v>0</v>
      </c>
      <c r="R87" s="74">
        <v>0</v>
      </c>
      <c r="S87" s="74">
        <v>0</v>
      </c>
      <c r="T87" s="74">
        <v>0</v>
      </c>
      <c r="U87" s="74">
        <v>0</v>
      </c>
      <c r="V87" s="76">
        <v>0</v>
      </c>
      <c r="W87" s="74">
        <v>0</v>
      </c>
      <c r="X87" s="74">
        <v>0</v>
      </c>
      <c r="Y87" s="74">
        <v>0</v>
      </c>
      <c r="Z87" s="74">
        <v>0</v>
      </c>
      <c r="AA87" s="74">
        <v>0</v>
      </c>
      <c r="AB87" s="74">
        <v>0</v>
      </c>
      <c r="AC87" s="74">
        <v>0</v>
      </c>
      <c r="AD87" s="74">
        <v>0</v>
      </c>
      <c r="AE87" s="74">
        <v>0</v>
      </c>
      <c r="AF87" s="74">
        <v>0</v>
      </c>
      <c r="AG87" s="74">
        <v>0</v>
      </c>
      <c r="AH87" s="74">
        <v>0</v>
      </c>
      <c r="AI87" s="74">
        <v>0</v>
      </c>
      <c r="AJ87" s="74">
        <v>0</v>
      </c>
      <c r="AK87" s="74">
        <v>0</v>
      </c>
      <c r="AL87" s="74">
        <v>0</v>
      </c>
      <c r="AM87" s="74">
        <v>0</v>
      </c>
      <c r="AN87" s="74">
        <v>0</v>
      </c>
      <c r="AO87" s="74">
        <v>0</v>
      </c>
      <c r="AP87" s="74">
        <v>0</v>
      </c>
      <c r="AQ87" s="74">
        <v>0</v>
      </c>
      <c r="AR87" s="74">
        <v>0</v>
      </c>
      <c r="AS87" s="74">
        <v>0</v>
      </c>
      <c r="AT87" s="74">
        <v>0</v>
      </c>
      <c r="AU87" s="74"/>
      <c r="AV87" s="74"/>
      <c r="AW87" s="74"/>
      <c r="AX87" s="74"/>
      <c r="AY87" s="74"/>
      <c r="AZ87" s="74"/>
      <c r="BA87" s="74">
        <v>0</v>
      </c>
      <c r="BB87" s="74">
        <v>0</v>
      </c>
      <c r="BC87" s="74">
        <v>0</v>
      </c>
      <c r="BD87" s="74">
        <v>0</v>
      </c>
      <c r="BE87" s="74">
        <v>0</v>
      </c>
    </row>
    <row r="88" spans="1:57">
      <c r="A88" s="73"/>
      <c r="B88" s="74"/>
      <c r="C88" s="74"/>
      <c r="D88" s="74"/>
      <c r="E88" s="74"/>
      <c r="F88" s="74"/>
      <c r="G88" s="74"/>
      <c r="H88" s="74"/>
      <c r="I88" s="74"/>
      <c r="J88" s="74"/>
      <c r="K88" s="74"/>
      <c r="L88" s="74"/>
      <c r="M88" s="76"/>
      <c r="N88" s="74"/>
      <c r="O88" s="74"/>
      <c r="P88" s="74"/>
      <c r="Q88" s="74"/>
      <c r="R88" s="74"/>
      <c r="S88" s="74"/>
      <c r="T88" s="74"/>
      <c r="U88" s="74"/>
      <c r="V88" s="76"/>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row>
    <row r="89" spans="1:57">
      <c r="A89" s="77" t="s">
        <v>224</v>
      </c>
      <c r="B89" s="74">
        <v>220991.02499999999</v>
      </c>
      <c r="C89" s="74">
        <v>0</v>
      </c>
      <c r="D89" s="74">
        <v>0</v>
      </c>
      <c r="E89" s="74">
        <v>220991.02499999999</v>
      </c>
      <c r="F89" s="74">
        <v>0</v>
      </c>
      <c r="G89" s="74">
        <v>0</v>
      </c>
      <c r="H89" s="74">
        <v>0</v>
      </c>
      <c r="I89" s="74">
        <v>0</v>
      </c>
      <c r="J89" s="74">
        <v>0</v>
      </c>
      <c r="K89" s="74">
        <v>0</v>
      </c>
      <c r="L89" s="74">
        <v>0</v>
      </c>
      <c r="M89" s="76">
        <v>0</v>
      </c>
      <c r="N89" s="74">
        <v>0</v>
      </c>
      <c r="O89" s="74">
        <v>0</v>
      </c>
      <c r="P89" s="74">
        <v>0</v>
      </c>
      <c r="Q89" s="74">
        <v>203.98099999999999</v>
      </c>
      <c r="R89" s="74">
        <v>0</v>
      </c>
      <c r="S89" s="74">
        <v>0</v>
      </c>
      <c r="T89" s="74">
        <v>203.98099999999999</v>
      </c>
      <c r="U89" s="74">
        <v>0</v>
      </c>
      <c r="V89" s="76">
        <v>67.090999999999994</v>
      </c>
      <c r="W89" s="74">
        <v>0</v>
      </c>
      <c r="X89" s="74">
        <v>0</v>
      </c>
      <c r="Y89" s="74">
        <v>0</v>
      </c>
      <c r="Z89" s="74">
        <v>0</v>
      </c>
      <c r="AA89" s="74">
        <v>0</v>
      </c>
      <c r="AB89" s="74">
        <v>0</v>
      </c>
      <c r="AC89" s="74">
        <v>0</v>
      </c>
      <c r="AD89" s="74">
        <v>0</v>
      </c>
      <c r="AE89" s="74">
        <v>0</v>
      </c>
      <c r="AF89" s="74">
        <v>0</v>
      </c>
      <c r="AG89" s="74">
        <v>0</v>
      </c>
      <c r="AH89" s="74">
        <v>0</v>
      </c>
      <c r="AI89" s="74">
        <v>0</v>
      </c>
      <c r="AJ89" s="74">
        <v>0</v>
      </c>
      <c r="AK89" s="74">
        <v>0</v>
      </c>
      <c r="AL89" s="74">
        <v>0</v>
      </c>
      <c r="AM89" s="74">
        <v>0</v>
      </c>
      <c r="AN89" s="74">
        <v>0</v>
      </c>
      <c r="AO89" s="74">
        <v>0</v>
      </c>
      <c r="AP89" s="74">
        <v>0</v>
      </c>
      <c r="AQ89" s="74">
        <v>0</v>
      </c>
      <c r="AR89" s="74">
        <v>0</v>
      </c>
      <c r="AS89" s="74">
        <v>0</v>
      </c>
      <c r="AT89" s="74">
        <v>0</v>
      </c>
      <c r="AU89" s="74">
        <v>10026</v>
      </c>
      <c r="AV89" s="74">
        <v>2748.5149999999999</v>
      </c>
      <c r="AW89" s="74">
        <v>0</v>
      </c>
      <c r="AX89" s="74">
        <v>532</v>
      </c>
      <c r="AY89" s="74">
        <v>0</v>
      </c>
      <c r="AZ89" s="74">
        <v>32.228000000000002</v>
      </c>
      <c r="BA89" s="74">
        <v>0</v>
      </c>
      <c r="BB89" s="74">
        <v>0</v>
      </c>
      <c r="BC89" s="74">
        <v>0</v>
      </c>
      <c r="BD89" s="74">
        <v>234600.84</v>
      </c>
      <c r="BE89" s="74">
        <v>0</v>
      </c>
    </row>
    <row r="90" spans="1:57">
      <c r="A90" s="73" t="s">
        <v>225</v>
      </c>
      <c r="B90" s="74">
        <v>214328</v>
      </c>
      <c r="C90" s="74">
        <v>0</v>
      </c>
      <c r="D90" s="74">
        <v>0</v>
      </c>
      <c r="E90" s="74">
        <v>214328</v>
      </c>
      <c r="F90" s="74">
        <v>0</v>
      </c>
      <c r="G90" s="74">
        <v>0</v>
      </c>
      <c r="H90" s="74">
        <v>0</v>
      </c>
      <c r="I90" s="74">
        <v>0</v>
      </c>
      <c r="J90" s="74">
        <v>0</v>
      </c>
      <c r="K90" s="74">
        <v>0</v>
      </c>
      <c r="L90" s="74">
        <v>0</v>
      </c>
      <c r="M90" s="76">
        <v>0</v>
      </c>
      <c r="N90" s="74">
        <v>0</v>
      </c>
      <c r="O90" s="74">
        <v>0</v>
      </c>
      <c r="P90" s="74">
        <v>0</v>
      </c>
      <c r="Q90" s="74">
        <v>0</v>
      </c>
      <c r="R90" s="74">
        <v>0</v>
      </c>
      <c r="S90" s="74">
        <v>0</v>
      </c>
      <c r="T90" s="74">
        <v>0</v>
      </c>
      <c r="U90" s="74">
        <v>0</v>
      </c>
      <c r="V90" s="76">
        <v>58</v>
      </c>
      <c r="W90" s="74">
        <v>0</v>
      </c>
      <c r="X90" s="74">
        <v>0</v>
      </c>
      <c r="Y90" s="74">
        <v>0</v>
      </c>
      <c r="Z90" s="74">
        <v>0</v>
      </c>
      <c r="AA90" s="74">
        <v>0</v>
      </c>
      <c r="AB90" s="74">
        <v>0</v>
      </c>
      <c r="AC90" s="74">
        <v>0</v>
      </c>
      <c r="AD90" s="74">
        <v>0</v>
      </c>
      <c r="AE90" s="74">
        <v>0</v>
      </c>
      <c r="AF90" s="74">
        <v>0</v>
      </c>
      <c r="AG90" s="74">
        <v>0</v>
      </c>
      <c r="AH90" s="74">
        <v>0</v>
      </c>
      <c r="AI90" s="74">
        <v>0</v>
      </c>
      <c r="AJ90" s="74">
        <v>0</v>
      </c>
      <c r="AK90" s="74">
        <v>0</v>
      </c>
      <c r="AL90" s="74">
        <v>0</v>
      </c>
      <c r="AM90" s="74">
        <v>0</v>
      </c>
      <c r="AN90" s="74">
        <v>0</v>
      </c>
      <c r="AO90" s="74">
        <v>0</v>
      </c>
      <c r="AP90" s="74">
        <v>0</v>
      </c>
      <c r="AQ90" s="74">
        <v>0</v>
      </c>
      <c r="AR90" s="74">
        <v>0</v>
      </c>
      <c r="AS90" s="74">
        <v>0</v>
      </c>
      <c r="AT90" s="74">
        <v>0</v>
      </c>
      <c r="AU90" s="74">
        <v>10026</v>
      </c>
      <c r="AV90" s="84">
        <v>2570.895</v>
      </c>
      <c r="AW90" s="74">
        <v>0</v>
      </c>
      <c r="AX90" s="74">
        <v>532</v>
      </c>
      <c r="AY90" s="74">
        <v>0</v>
      </c>
      <c r="AZ90" s="74">
        <v>32.228000000000002</v>
      </c>
      <c r="BA90" s="74">
        <v>0</v>
      </c>
      <c r="BB90" s="74">
        <v>0</v>
      </c>
      <c r="BC90" s="74">
        <v>0</v>
      </c>
      <c r="BD90" s="74">
        <v>227547.12299999999</v>
      </c>
      <c r="BE90" s="74">
        <v>0</v>
      </c>
    </row>
    <row r="91" spans="1:57">
      <c r="A91" s="73" t="s">
        <v>226</v>
      </c>
      <c r="B91" s="74">
        <v>6663.0249999999996</v>
      </c>
      <c r="C91" s="74">
        <v>0</v>
      </c>
      <c r="D91" s="74">
        <v>0</v>
      </c>
      <c r="E91" s="74">
        <v>6663.0249999999996</v>
      </c>
      <c r="F91" s="74">
        <v>0</v>
      </c>
      <c r="G91" s="74">
        <v>0</v>
      </c>
      <c r="H91" s="74">
        <v>0</v>
      </c>
      <c r="I91" s="74">
        <v>0</v>
      </c>
      <c r="J91" s="74">
        <v>0</v>
      </c>
      <c r="K91" s="74">
        <v>0</v>
      </c>
      <c r="L91" s="74">
        <v>0</v>
      </c>
      <c r="M91" s="76">
        <v>0</v>
      </c>
      <c r="N91" s="74">
        <v>0</v>
      </c>
      <c r="O91" s="74">
        <v>0</v>
      </c>
      <c r="P91" s="74">
        <v>0</v>
      </c>
      <c r="Q91" s="74">
        <v>0</v>
      </c>
      <c r="R91" s="74">
        <v>0</v>
      </c>
      <c r="S91" s="74">
        <v>0</v>
      </c>
      <c r="T91" s="74">
        <v>0</v>
      </c>
      <c r="U91" s="74">
        <v>0</v>
      </c>
      <c r="V91" s="76">
        <v>9.0909999999999993</v>
      </c>
      <c r="W91" s="74">
        <v>0</v>
      </c>
      <c r="X91" s="74">
        <v>0</v>
      </c>
      <c r="Y91" s="74">
        <v>0</v>
      </c>
      <c r="Z91" s="74">
        <v>0</v>
      </c>
      <c r="AA91" s="74">
        <v>0</v>
      </c>
      <c r="AB91" s="74">
        <v>0</v>
      </c>
      <c r="AC91" s="74">
        <v>0</v>
      </c>
      <c r="AD91" s="74">
        <v>0</v>
      </c>
      <c r="AE91" s="74">
        <v>0</v>
      </c>
      <c r="AF91" s="74">
        <v>0</v>
      </c>
      <c r="AG91" s="74">
        <v>0</v>
      </c>
      <c r="AH91" s="74">
        <v>0</v>
      </c>
      <c r="AI91" s="74">
        <v>0</v>
      </c>
      <c r="AJ91" s="74">
        <v>0</v>
      </c>
      <c r="AK91" s="74">
        <v>0</v>
      </c>
      <c r="AL91" s="74">
        <v>0</v>
      </c>
      <c r="AM91" s="74">
        <v>0</v>
      </c>
      <c r="AN91" s="74">
        <v>0</v>
      </c>
      <c r="AO91" s="74">
        <v>0</v>
      </c>
      <c r="AP91" s="74">
        <v>0</v>
      </c>
      <c r="AQ91" s="74">
        <v>0</v>
      </c>
      <c r="AR91" s="74">
        <v>0</v>
      </c>
      <c r="AS91" s="74">
        <v>0</v>
      </c>
      <c r="AT91" s="74">
        <v>0</v>
      </c>
      <c r="AU91" s="74">
        <v>0</v>
      </c>
      <c r="AV91" s="74">
        <v>177.62</v>
      </c>
      <c r="AW91" s="74">
        <v>0</v>
      </c>
      <c r="AX91" s="74">
        <v>0</v>
      </c>
      <c r="AY91" s="74">
        <v>0</v>
      </c>
      <c r="AZ91" s="74">
        <v>0</v>
      </c>
      <c r="BA91" s="74">
        <v>0</v>
      </c>
      <c r="BB91" s="74">
        <v>0</v>
      </c>
      <c r="BC91" s="74">
        <v>0</v>
      </c>
      <c r="BD91" s="74">
        <v>6849.7360000000008</v>
      </c>
      <c r="BE91" s="74">
        <v>0</v>
      </c>
    </row>
    <row r="92" spans="1:57">
      <c r="A92" s="73" t="s">
        <v>227</v>
      </c>
      <c r="B92" s="74">
        <v>0</v>
      </c>
      <c r="C92" s="74">
        <v>0</v>
      </c>
      <c r="D92" s="74">
        <v>0</v>
      </c>
      <c r="E92" s="74">
        <v>0</v>
      </c>
      <c r="F92" s="74">
        <v>0</v>
      </c>
      <c r="G92" s="74">
        <v>0</v>
      </c>
      <c r="H92" s="74">
        <v>0</v>
      </c>
      <c r="I92" s="74">
        <v>0</v>
      </c>
      <c r="J92" s="74">
        <v>0</v>
      </c>
      <c r="K92" s="74">
        <v>0</v>
      </c>
      <c r="L92" s="74">
        <v>0</v>
      </c>
      <c r="M92" s="76">
        <v>0</v>
      </c>
      <c r="N92" s="74">
        <v>0</v>
      </c>
      <c r="O92" s="74">
        <v>0</v>
      </c>
      <c r="P92" s="74">
        <v>0</v>
      </c>
      <c r="Q92" s="74">
        <v>0</v>
      </c>
      <c r="R92" s="74">
        <v>0</v>
      </c>
      <c r="S92" s="74">
        <v>0</v>
      </c>
      <c r="T92" s="74">
        <v>0</v>
      </c>
      <c r="U92" s="74">
        <v>0</v>
      </c>
      <c r="V92" s="76">
        <v>0</v>
      </c>
      <c r="W92" s="74">
        <v>0</v>
      </c>
      <c r="X92" s="74">
        <v>0</v>
      </c>
      <c r="Y92" s="74">
        <v>0</v>
      </c>
      <c r="Z92" s="74">
        <v>0</v>
      </c>
      <c r="AA92" s="74">
        <v>0</v>
      </c>
      <c r="AB92" s="74">
        <v>0</v>
      </c>
      <c r="AC92" s="74">
        <v>0</v>
      </c>
      <c r="AD92" s="74">
        <v>0</v>
      </c>
      <c r="AE92" s="74">
        <v>0</v>
      </c>
      <c r="AF92" s="74">
        <v>0</v>
      </c>
      <c r="AG92" s="74">
        <v>0</v>
      </c>
      <c r="AH92" s="74">
        <v>0</v>
      </c>
      <c r="AI92" s="74">
        <v>0</v>
      </c>
      <c r="AJ92" s="74">
        <v>0</v>
      </c>
      <c r="AK92" s="74">
        <v>0</v>
      </c>
      <c r="AL92" s="74">
        <v>0</v>
      </c>
      <c r="AM92" s="74">
        <v>0</v>
      </c>
      <c r="AN92" s="74">
        <v>0</v>
      </c>
      <c r="AO92" s="74">
        <v>0</v>
      </c>
      <c r="AP92" s="74">
        <v>0</v>
      </c>
      <c r="AQ92" s="74">
        <v>0</v>
      </c>
      <c r="AR92" s="74">
        <v>0</v>
      </c>
      <c r="AS92" s="74">
        <v>0</v>
      </c>
      <c r="AT92" s="74">
        <v>0</v>
      </c>
      <c r="AU92" s="74">
        <v>0</v>
      </c>
      <c r="AV92" s="74">
        <v>0</v>
      </c>
      <c r="AW92" s="74">
        <v>0</v>
      </c>
      <c r="AX92" s="74">
        <v>0</v>
      </c>
      <c r="AY92" s="74">
        <v>0</v>
      </c>
      <c r="AZ92" s="74">
        <v>0</v>
      </c>
      <c r="BA92" s="74">
        <v>0</v>
      </c>
      <c r="BB92" s="74">
        <v>0</v>
      </c>
      <c r="BC92" s="74">
        <v>0</v>
      </c>
      <c r="BD92" s="74">
        <v>0</v>
      </c>
      <c r="BE92" s="74">
        <v>0</v>
      </c>
    </row>
    <row r="93" spans="1:57">
      <c r="A93" s="73" t="s">
        <v>228</v>
      </c>
      <c r="B93" s="74">
        <v>0</v>
      </c>
      <c r="C93" s="74">
        <v>0</v>
      </c>
      <c r="D93" s="74">
        <v>0</v>
      </c>
      <c r="E93" s="74">
        <v>0</v>
      </c>
      <c r="F93" s="74">
        <v>0</v>
      </c>
      <c r="G93" s="74">
        <v>0</v>
      </c>
      <c r="H93" s="74">
        <v>0</v>
      </c>
      <c r="I93" s="74">
        <v>0</v>
      </c>
      <c r="J93" s="74">
        <v>0</v>
      </c>
      <c r="K93" s="74">
        <v>0</v>
      </c>
      <c r="L93" s="74">
        <v>0</v>
      </c>
      <c r="M93" s="76">
        <v>0</v>
      </c>
      <c r="N93" s="74">
        <v>0</v>
      </c>
      <c r="O93" s="74">
        <v>0</v>
      </c>
      <c r="P93" s="74">
        <v>0</v>
      </c>
      <c r="Q93" s="74">
        <v>203.98099999999999</v>
      </c>
      <c r="R93" s="74">
        <v>0</v>
      </c>
      <c r="S93" s="74">
        <v>0</v>
      </c>
      <c r="T93" s="74">
        <v>203.98099999999999</v>
      </c>
      <c r="U93" s="74">
        <v>0</v>
      </c>
      <c r="V93" s="76">
        <v>0</v>
      </c>
      <c r="W93" s="74">
        <v>0</v>
      </c>
      <c r="X93" s="74">
        <v>0</v>
      </c>
      <c r="Y93" s="74">
        <v>0</v>
      </c>
      <c r="Z93" s="74">
        <v>0</v>
      </c>
      <c r="AA93" s="74">
        <v>0</v>
      </c>
      <c r="AB93" s="74">
        <v>0</v>
      </c>
      <c r="AC93" s="74">
        <v>0</v>
      </c>
      <c r="AD93" s="74">
        <v>0</v>
      </c>
      <c r="AE93" s="74">
        <v>0</v>
      </c>
      <c r="AF93" s="74">
        <v>0</v>
      </c>
      <c r="AG93" s="74">
        <v>0</v>
      </c>
      <c r="AH93" s="74">
        <v>0</v>
      </c>
      <c r="AI93" s="74">
        <v>0</v>
      </c>
      <c r="AJ93" s="74">
        <v>0</v>
      </c>
      <c r="AK93" s="74">
        <v>0</v>
      </c>
      <c r="AL93" s="74">
        <v>0</v>
      </c>
      <c r="AM93" s="74">
        <v>0</v>
      </c>
      <c r="AN93" s="74">
        <v>0</v>
      </c>
      <c r="AO93" s="74">
        <v>0</v>
      </c>
      <c r="AP93" s="74">
        <v>0</v>
      </c>
      <c r="AQ93" s="74">
        <v>0</v>
      </c>
      <c r="AR93" s="74">
        <v>0</v>
      </c>
      <c r="AS93" s="74">
        <v>0</v>
      </c>
      <c r="AT93" s="74">
        <v>0</v>
      </c>
      <c r="AU93" s="74">
        <v>0</v>
      </c>
      <c r="AV93" s="74">
        <v>0</v>
      </c>
      <c r="AW93" s="74">
        <v>0</v>
      </c>
      <c r="AX93" s="74">
        <v>0</v>
      </c>
      <c r="AY93" s="74">
        <v>0</v>
      </c>
      <c r="AZ93" s="74">
        <v>0</v>
      </c>
      <c r="BA93" s="74">
        <v>0</v>
      </c>
      <c r="BB93" s="74">
        <v>0</v>
      </c>
      <c r="BC93" s="74">
        <v>0</v>
      </c>
      <c r="BD93" s="74">
        <v>203.98099999999999</v>
      </c>
      <c r="BE93" s="74">
        <v>0</v>
      </c>
    </row>
    <row r="94" spans="1:57">
      <c r="A94" s="73"/>
      <c r="B94" s="83"/>
      <c r="C94" s="74"/>
      <c r="D94" s="74"/>
      <c r="E94" s="74"/>
      <c r="F94" s="74"/>
      <c r="G94" s="74"/>
      <c r="H94" s="74"/>
      <c r="I94" s="74"/>
      <c r="J94" s="74"/>
      <c r="K94" s="74"/>
      <c r="L94" s="74"/>
      <c r="M94" s="76"/>
      <c r="N94" s="74"/>
      <c r="O94" s="74"/>
      <c r="P94" s="74"/>
      <c r="Q94" s="74"/>
      <c r="R94" s="74"/>
      <c r="S94" s="74"/>
      <c r="T94" s="74"/>
      <c r="U94" s="74"/>
      <c r="V94" s="76"/>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v>0</v>
      </c>
      <c r="BE94" s="74"/>
    </row>
    <row r="95" spans="1:57">
      <c r="A95" s="73" t="s">
        <v>229</v>
      </c>
      <c r="B95" s="74">
        <v>0</v>
      </c>
      <c r="C95" s="74">
        <v>0</v>
      </c>
      <c r="D95" s="74">
        <v>0</v>
      </c>
      <c r="E95" s="74">
        <v>0</v>
      </c>
      <c r="F95" s="74">
        <v>0</v>
      </c>
      <c r="G95" s="74">
        <v>0</v>
      </c>
      <c r="H95" s="74">
        <v>0</v>
      </c>
      <c r="I95" s="74">
        <v>0</v>
      </c>
      <c r="J95" s="74">
        <v>0</v>
      </c>
      <c r="K95" s="74">
        <v>0</v>
      </c>
      <c r="L95" s="74">
        <v>0</v>
      </c>
      <c r="M95" s="76">
        <v>0</v>
      </c>
      <c r="N95" s="74">
        <v>0</v>
      </c>
      <c r="O95" s="74">
        <v>0</v>
      </c>
      <c r="P95" s="74">
        <v>0</v>
      </c>
      <c r="Q95" s="74">
        <v>0</v>
      </c>
      <c r="R95" s="74">
        <v>0</v>
      </c>
      <c r="S95" s="74">
        <v>0</v>
      </c>
      <c r="T95" s="74">
        <v>0</v>
      </c>
      <c r="U95" s="74">
        <v>0</v>
      </c>
      <c r="V95" s="76">
        <v>0</v>
      </c>
      <c r="W95" s="74">
        <v>0</v>
      </c>
      <c r="X95" s="74">
        <v>0</v>
      </c>
      <c r="Y95" s="74">
        <v>0</v>
      </c>
      <c r="Z95" s="74">
        <v>0</v>
      </c>
      <c r="AA95" s="74">
        <v>0</v>
      </c>
      <c r="AB95" s="74">
        <v>0</v>
      </c>
      <c r="AC95" s="74">
        <v>0</v>
      </c>
      <c r="AD95" s="74">
        <v>0</v>
      </c>
      <c r="AE95" s="74">
        <v>0</v>
      </c>
      <c r="AF95" s="74">
        <v>0</v>
      </c>
      <c r="AG95" s="74">
        <v>0</v>
      </c>
      <c r="AH95" s="74">
        <v>0</v>
      </c>
      <c r="AI95" s="74">
        <v>0</v>
      </c>
      <c r="AJ95" s="74">
        <v>0</v>
      </c>
      <c r="AK95" s="74">
        <v>0</v>
      </c>
      <c r="AL95" s="74">
        <v>0</v>
      </c>
      <c r="AM95" s="74">
        <v>0</v>
      </c>
      <c r="AN95" s="74">
        <v>0</v>
      </c>
      <c r="AO95" s="74">
        <v>0</v>
      </c>
      <c r="AP95" s="74">
        <v>0</v>
      </c>
      <c r="AQ95" s="74">
        <v>0</v>
      </c>
      <c r="AR95" s="74">
        <v>0</v>
      </c>
      <c r="AS95" s="74">
        <v>0</v>
      </c>
      <c r="AT95" s="74">
        <v>0</v>
      </c>
      <c r="AU95" s="74">
        <v>0</v>
      </c>
      <c r="AV95" s="74">
        <v>0</v>
      </c>
      <c r="AW95" s="74">
        <v>0</v>
      </c>
      <c r="AX95" s="74">
        <v>0</v>
      </c>
      <c r="AY95" s="74">
        <v>0</v>
      </c>
      <c r="AZ95" s="74">
        <v>0</v>
      </c>
      <c r="BA95" s="74">
        <v>0</v>
      </c>
      <c r="BB95" s="74">
        <v>0</v>
      </c>
      <c r="BC95" s="74">
        <v>0</v>
      </c>
      <c r="BD95" s="74">
        <v>0</v>
      </c>
      <c r="BE95" s="74">
        <v>0</v>
      </c>
    </row>
    <row r="96" spans="1:57">
      <c r="A96" s="73" t="s">
        <v>230</v>
      </c>
      <c r="B96" s="74">
        <v>0</v>
      </c>
      <c r="C96" s="74">
        <v>0</v>
      </c>
      <c r="D96" s="74">
        <v>0</v>
      </c>
      <c r="E96" s="74">
        <v>0</v>
      </c>
      <c r="F96" s="74">
        <v>0</v>
      </c>
      <c r="G96" s="74">
        <v>0</v>
      </c>
      <c r="H96" s="74">
        <v>0</v>
      </c>
      <c r="I96" s="74">
        <v>0</v>
      </c>
      <c r="J96" s="74">
        <v>0</v>
      </c>
      <c r="K96" s="74">
        <v>0</v>
      </c>
      <c r="L96" s="74">
        <v>0</v>
      </c>
      <c r="M96" s="76">
        <v>0</v>
      </c>
      <c r="N96" s="74">
        <v>0</v>
      </c>
      <c r="O96" s="74">
        <v>0</v>
      </c>
      <c r="P96" s="74">
        <v>0</v>
      </c>
      <c r="Q96" s="74">
        <v>0</v>
      </c>
      <c r="R96" s="74">
        <v>0</v>
      </c>
      <c r="S96" s="74">
        <v>0</v>
      </c>
      <c r="T96" s="74">
        <v>0</v>
      </c>
      <c r="U96" s="74">
        <v>0</v>
      </c>
      <c r="V96" s="76">
        <v>0</v>
      </c>
      <c r="W96" s="74">
        <v>0</v>
      </c>
      <c r="X96" s="74">
        <v>0</v>
      </c>
      <c r="Y96" s="74">
        <v>0</v>
      </c>
      <c r="Z96" s="74">
        <v>0</v>
      </c>
      <c r="AA96" s="74">
        <v>0</v>
      </c>
      <c r="AB96" s="74">
        <v>0</v>
      </c>
      <c r="AC96" s="74">
        <v>0</v>
      </c>
      <c r="AD96" s="74">
        <v>0</v>
      </c>
      <c r="AE96" s="74">
        <v>0</v>
      </c>
      <c r="AF96" s="74">
        <v>0</v>
      </c>
      <c r="AG96" s="74">
        <v>0</v>
      </c>
      <c r="AH96" s="74">
        <v>0</v>
      </c>
      <c r="AI96" s="74">
        <v>0</v>
      </c>
      <c r="AJ96" s="74">
        <v>0</v>
      </c>
      <c r="AK96" s="74">
        <v>0</v>
      </c>
      <c r="AL96" s="74">
        <v>0</v>
      </c>
      <c r="AM96" s="74">
        <v>0</v>
      </c>
      <c r="AN96" s="74">
        <v>0</v>
      </c>
      <c r="AO96" s="74">
        <v>0</v>
      </c>
      <c r="AP96" s="74">
        <v>0</v>
      </c>
      <c r="AQ96" s="74">
        <v>0</v>
      </c>
      <c r="AR96" s="74">
        <v>0</v>
      </c>
      <c r="AS96" s="74">
        <v>0</v>
      </c>
      <c r="AT96" s="74">
        <v>0</v>
      </c>
      <c r="AU96" s="74">
        <v>0</v>
      </c>
      <c r="AV96" s="74">
        <v>0</v>
      </c>
      <c r="AW96" s="74">
        <v>0</v>
      </c>
      <c r="AX96" s="74">
        <v>0</v>
      </c>
      <c r="AY96" s="74">
        <v>0</v>
      </c>
      <c r="AZ96" s="74">
        <v>0</v>
      </c>
      <c r="BA96" s="74">
        <v>0</v>
      </c>
      <c r="BB96" s="74">
        <v>0</v>
      </c>
      <c r="BC96" s="74">
        <v>0</v>
      </c>
      <c r="BD96" s="74">
        <v>0</v>
      </c>
      <c r="BE96" s="74">
        <v>0</v>
      </c>
    </row>
    <row r="97" spans="1:57">
      <c r="A97" s="73" t="s">
        <v>231</v>
      </c>
      <c r="B97" s="74">
        <v>0</v>
      </c>
      <c r="C97" s="74">
        <v>0</v>
      </c>
      <c r="D97" s="74">
        <v>0</v>
      </c>
      <c r="E97" s="74">
        <v>0</v>
      </c>
      <c r="F97" s="74">
        <v>0</v>
      </c>
      <c r="G97" s="74">
        <v>0</v>
      </c>
      <c r="H97" s="74">
        <v>0</v>
      </c>
      <c r="I97" s="74">
        <v>0</v>
      </c>
      <c r="J97" s="74">
        <v>0</v>
      </c>
      <c r="K97" s="74">
        <v>0</v>
      </c>
      <c r="L97" s="74">
        <v>0</v>
      </c>
      <c r="M97" s="76">
        <v>0</v>
      </c>
      <c r="N97" s="74">
        <v>0</v>
      </c>
      <c r="O97" s="74">
        <v>0</v>
      </c>
      <c r="P97" s="74">
        <v>0</v>
      </c>
      <c r="Q97" s="74">
        <v>0</v>
      </c>
      <c r="R97" s="74">
        <v>0</v>
      </c>
      <c r="S97" s="74">
        <v>0</v>
      </c>
      <c r="T97" s="74">
        <v>0</v>
      </c>
      <c r="U97" s="74">
        <v>0</v>
      </c>
      <c r="V97" s="76">
        <v>0</v>
      </c>
      <c r="W97" s="74">
        <v>0</v>
      </c>
      <c r="X97" s="74">
        <v>0</v>
      </c>
      <c r="Y97" s="74">
        <v>0</v>
      </c>
      <c r="Z97" s="74">
        <v>0</v>
      </c>
      <c r="AA97" s="74">
        <v>0</v>
      </c>
      <c r="AB97" s="74">
        <v>0</v>
      </c>
      <c r="AC97" s="74">
        <v>0</v>
      </c>
      <c r="AD97" s="74">
        <v>0</v>
      </c>
      <c r="AE97" s="74">
        <v>0</v>
      </c>
      <c r="AF97" s="74">
        <v>0</v>
      </c>
      <c r="AG97" s="74">
        <v>0</v>
      </c>
      <c r="AH97" s="74">
        <v>0</v>
      </c>
      <c r="AI97" s="74">
        <v>0</v>
      </c>
      <c r="AJ97" s="74">
        <v>0</v>
      </c>
      <c r="AK97" s="74">
        <v>0</v>
      </c>
      <c r="AL97" s="74">
        <v>0</v>
      </c>
      <c r="AM97" s="74">
        <v>0</v>
      </c>
      <c r="AN97" s="74">
        <v>0</v>
      </c>
      <c r="AO97" s="74">
        <v>0</v>
      </c>
      <c r="AP97" s="74">
        <v>0</v>
      </c>
      <c r="AQ97" s="74">
        <v>0</v>
      </c>
      <c r="AR97" s="74">
        <v>0</v>
      </c>
      <c r="AS97" s="74">
        <v>0</v>
      </c>
      <c r="AT97" s="74">
        <v>0</v>
      </c>
      <c r="AU97" s="74">
        <v>0</v>
      </c>
      <c r="AV97" s="74">
        <v>0</v>
      </c>
      <c r="AW97" s="74">
        <v>0</v>
      </c>
      <c r="AX97" s="74">
        <v>0</v>
      </c>
      <c r="AY97" s="74">
        <v>0</v>
      </c>
      <c r="AZ97" s="74">
        <v>0</v>
      </c>
      <c r="BA97" s="74">
        <v>0</v>
      </c>
      <c r="BB97" s="74">
        <v>0</v>
      </c>
      <c r="BC97" s="74">
        <v>0</v>
      </c>
      <c r="BD97" s="74">
        <v>0</v>
      </c>
      <c r="BE97" s="74">
        <v>0</v>
      </c>
    </row>
    <row r="98" spans="1:57">
      <c r="A98" s="73" t="s">
        <v>232</v>
      </c>
      <c r="B98" s="74">
        <v>0</v>
      </c>
      <c r="C98" s="74">
        <v>0</v>
      </c>
      <c r="D98" s="74">
        <v>0</v>
      </c>
      <c r="E98" s="74">
        <v>0</v>
      </c>
      <c r="F98" s="74">
        <v>0</v>
      </c>
      <c r="G98" s="74">
        <v>0</v>
      </c>
      <c r="H98" s="74">
        <v>0</v>
      </c>
      <c r="I98" s="74">
        <v>0</v>
      </c>
      <c r="J98" s="74">
        <v>0</v>
      </c>
      <c r="K98" s="74">
        <v>0</v>
      </c>
      <c r="L98" s="74">
        <v>0</v>
      </c>
      <c r="M98" s="76">
        <v>0</v>
      </c>
      <c r="N98" s="74">
        <v>0</v>
      </c>
      <c r="O98" s="74">
        <v>0</v>
      </c>
      <c r="P98" s="74">
        <v>0</v>
      </c>
      <c r="Q98" s="74">
        <v>0</v>
      </c>
      <c r="R98" s="74">
        <v>0</v>
      </c>
      <c r="S98" s="74">
        <v>0</v>
      </c>
      <c r="T98" s="74">
        <v>0</v>
      </c>
      <c r="U98" s="74">
        <v>0</v>
      </c>
      <c r="V98" s="76">
        <v>0</v>
      </c>
      <c r="W98" s="74">
        <v>0</v>
      </c>
      <c r="X98" s="74">
        <v>0</v>
      </c>
      <c r="Y98" s="74">
        <v>0</v>
      </c>
      <c r="Z98" s="74">
        <v>0</v>
      </c>
      <c r="AA98" s="74">
        <v>0</v>
      </c>
      <c r="AB98" s="74">
        <v>0</v>
      </c>
      <c r="AC98" s="74">
        <v>0</v>
      </c>
      <c r="AD98" s="74">
        <v>0</v>
      </c>
      <c r="AE98" s="74">
        <v>0</v>
      </c>
      <c r="AF98" s="74">
        <v>0</v>
      </c>
      <c r="AG98" s="74">
        <v>0</v>
      </c>
      <c r="AH98" s="74">
        <v>0</v>
      </c>
      <c r="AI98" s="74">
        <v>0</v>
      </c>
      <c r="AJ98" s="74">
        <v>0</v>
      </c>
      <c r="AK98" s="74">
        <v>0</v>
      </c>
      <c r="AL98" s="74">
        <v>0</v>
      </c>
      <c r="AM98" s="74">
        <v>0</v>
      </c>
      <c r="AN98" s="74">
        <v>0</v>
      </c>
      <c r="AO98" s="74">
        <v>0</v>
      </c>
      <c r="AP98" s="74">
        <v>0</v>
      </c>
      <c r="AQ98" s="74">
        <v>0</v>
      </c>
      <c r="AR98" s="74">
        <v>0</v>
      </c>
      <c r="AS98" s="74">
        <v>0</v>
      </c>
      <c r="AT98" s="74">
        <v>0</v>
      </c>
      <c r="AU98" s="74">
        <v>0</v>
      </c>
      <c r="AV98" s="74">
        <v>0</v>
      </c>
      <c r="AW98" s="74">
        <v>0</v>
      </c>
      <c r="AX98" s="74">
        <v>0</v>
      </c>
      <c r="AY98" s="74">
        <v>0</v>
      </c>
      <c r="AZ98" s="74">
        <v>0</v>
      </c>
      <c r="BA98" s="74">
        <v>0</v>
      </c>
      <c r="BB98" s="74">
        <v>0</v>
      </c>
      <c r="BC98" s="74">
        <v>0</v>
      </c>
      <c r="BD98" s="74">
        <v>0</v>
      </c>
      <c r="BE98" s="74">
        <v>0</v>
      </c>
    </row>
    <row r="99" spans="1:57">
      <c r="A99" s="77" t="s">
        <v>233</v>
      </c>
      <c r="B99" s="78">
        <v>0</v>
      </c>
      <c r="C99" s="78">
        <v>0</v>
      </c>
      <c r="D99" s="78">
        <v>0</v>
      </c>
      <c r="E99" s="78">
        <v>0</v>
      </c>
      <c r="F99" s="78">
        <v>0</v>
      </c>
      <c r="G99" s="78">
        <v>0</v>
      </c>
      <c r="H99" s="78">
        <v>0</v>
      </c>
      <c r="I99" s="78">
        <v>0</v>
      </c>
      <c r="J99" s="78">
        <v>0</v>
      </c>
      <c r="K99" s="78">
        <v>0</v>
      </c>
      <c r="L99" s="78">
        <v>0</v>
      </c>
      <c r="M99" s="79">
        <v>0</v>
      </c>
      <c r="N99" s="78">
        <v>0</v>
      </c>
      <c r="O99" s="78">
        <v>0</v>
      </c>
      <c r="P99" s="78">
        <v>0</v>
      </c>
      <c r="Q99" s="78">
        <v>0</v>
      </c>
      <c r="R99" s="78">
        <v>0</v>
      </c>
      <c r="S99" s="78">
        <v>0</v>
      </c>
      <c r="T99" s="78">
        <v>0</v>
      </c>
      <c r="U99" s="78">
        <v>0</v>
      </c>
      <c r="V99" s="79">
        <v>0</v>
      </c>
      <c r="W99" s="78">
        <v>0</v>
      </c>
      <c r="X99" s="78">
        <v>0</v>
      </c>
      <c r="Y99" s="78">
        <v>0</v>
      </c>
      <c r="Z99" s="78">
        <v>0</v>
      </c>
      <c r="AA99" s="78">
        <v>0</v>
      </c>
      <c r="AB99" s="78">
        <v>0</v>
      </c>
      <c r="AC99" s="78">
        <v>0</v>
      </c>
      <c r="AD99" s="78">
        <v>0</v>
      </c>
      <c r="AE99" s="78">
        <v>0</v>
      </c>
      <c r="AF99" s="78">
        <v>0</v>
      </c>
      <c r="AG99" s="78">
        <v>0</v>
      </c>
      <c r="AH99" s="78">
        <v>0</v>
      </c>
      <c r="AI99" s="78">
        <v>0</v>
      </c>
      <c r="AJ99" s="78">
        <v>0</v>
      </c>
      <c r="AK99" s="78">
        <v>0</v>
      </c>
      <c r="AL99" s="78">
        <v>0</v>
      </c>
      <c r="AM99" s="78">
        <v>0</v>
      </c>
      <c r="AN99" s="78">
        <v>0</v>
      </c>
      <c r="AO99" s="78">
        <v>0</v>
      </c>
      <c r="AP99" s="78">
        <v>0</v>
      </c>
      <c r="AQ99" s="78">
        <v>0</v>
      </c>
      <c r="AR99" s="78">
        <v>0</v>
      </c>
      <c r="AS99" s="78">
        <v>0</v>
      </c>
      <c r="AT99" s="78">
        <v>0</v>
      </c>
      <c r="AU99" s="78">
        <v>0</v>
      </c>
      <c r="AV99" s="78">
        <v>0</v>
      </c>
      <c r="AW99" s="78">
        <v>0</v>
      </c>
      <c r="AX99" s="78">
        <v>0</v>
      </c>
      <c r="AY99" s="78">
        <v>0</v>
      </c>
      <c r="AZ99" s="78">
        <v>0</v>
      </c>
      <c r="BA99" s="78">
        <v>0</v>
      </c>
      <c r="BB99" s="78">
        <v>0</v>
      </c>
      <c r="BC99" s="78">
        <v>0</v>
      </c>
      <c r="BD99" s="78">
        <v>3096.105</v>
      </c>
      <c r="BE99" s="78">
        <v>0</v>
      </c>
    </row>
    <row r="100" spans="1:57">
      <c r="A100" s="73"/>
      <c r="B100" s="74"/>
      <c r="C100" s="74"/>
      <c r="D100" s="74"/>
      <c r="E100" s="74"/>
      <c r="F100" s="74"/>
      <c r="G100" s="74"/>
      <c r="H100" s="74"/>
      <c r="I100" s="74"/>
      <c r="J100" s="74"/>
      <c r="K100" s="74"/>
      <c r="L100" s="74"/>
      <c r="M100" s="76"/>
      <c r="N100" s="74"/>
      <c r="O100" s="74"/>
      <c r="P100" s="74"/>
      <c r="Q100" s="74"/>
      <c r="R100" s="74"/>
      <c r="S100" s="74"/>
      <c r="T100" s="74"/>
      <c r="U100" s="74"/>
      <c r="V100" s="76"/>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row>
    <row r="101" spans="1:57">
      <c r="A101" s="73" t="s">
        <v>234</v>
      </c>
      <c r="B101" s="74">
        <v>0</v>
      </c>
      <c r="C101" s="74">
        <v>0</v>
      </c>
      <c r="D101" s="74">
        <v>0</v>
      </c>
      <c r="E101" s="74">
        <v>0</v>
      </c>
      <c r="F101" s="74">
        <v>0</v>
      </c>
      <c r="G101" s="74">
        <v>0</v>
      </c>
      <c r="H101" s="74">
        <v>0</v>
      </c>
      <c r="I101" s="74">
        <v>0</v>
      </c>
      <c r="J101" s="74">
        <v>0</v>
      </c>
      <c r="K101" s="74">
        <v>0</v>
      </c>
      <c r="L101" s="74">
        <v>0</v>
      </c>
      <c r="M101" s="76">
        <v>0</v>
      </c>
      <c r="N101" s="74">
        <v>0</v>
      </c>
      <c r="O101" s="74">
        <v>0</v>
      </c>
      <c r="P101" s="74">
        <v>0</v>
      </c>
      <c r="Q101" s="74">
        <v>0</v>
      </c>
      <c r="R101" s="74">
        <v>0</v>
      </c>
      <c r="S101" s="74">
        <v>0</v>
      </c>
      <c r="T101" s="74">
        <v>0</v>
      </c>
      <c r="U101" s="74">
        <v>0</v>
      </c>
      <c r="V101" s="76">
        <v>0</v>
      </c>
      <c r="W101" s="74">
        <v>0</v>
      </c>
      <c r="X101" s="74">
        <v>0</v>
      </c>
      <c r="Y101" s="74">
        <v>0</v>
      </c>
      <c r="Z101" s="74">
        <v>0</v>
      </c>
      <c r="AA101" s="74">
        <v>0</v>
      </c>
      <c r="AB101" s="74">
        <v>0</v>
      </c>
      <c r="AC101" s="74">
        <v>0</v>
      </c>
      <c r="AD101" s="74">
        <v>0</v>
      </c>
      <c r="AE101" s="74">
        <v>0</v>
      </c>
      <c r="AF101" s="74">
        <v>0</v>
      </c>
      <c r="AG101" s="74">
        <v>0</v>
      </c>
      <c r="AH101" s="74">
        <v>0</v>
      </c>
      <c r="AI101" s="74">
        <v>0</v>
      </c>
      <c r="AJ101" s="74">
        <v>0</v>
      </c>
      <c r="AK101" s="74">
        <v>0</v>
      </c>
      <c r="AL101" s="74">
        <v>0</v>
      </c>
      <c r="AM101" s="74">
        <v>0</v>
      </c>
      <c r="AN101" s="74">
        <v>0</v>
      </c>
      <c r="AO101" s="74">
        <v>0</v>
      </c>
      <c r="AP101" s="74">
        <v>0</v>
      </c>
      <c r="AQ101" s="74">
        <v>0</v>
      </c>
      <c r="AR101" s="74">
        <v>0</v>
      </c>
      <c r="AS101" s="74">
        <v>0</v>
      </c>
      <c r="AT101" s="74">
        <v>0</v>
      </c>
      <c r="AU101" s="74">
        <v>0</v>
      </c>
      <c r="AV101" s="74">
        <v>3096.105</v>
      </c>
      <c r="AW101" s="74">
        <v>0</v>
      </c>
      <c r="AX101" s="74">
        <v>0</v>
      </c>
      <c r="AY101" s="74">
        <v>0</v>
      </c>
      <c r="AZ101" s="74">
        <v>0</v>
      </c>
      <c r="BA101" s="74">
        <v>0</v>
      </c>
      <c r="BB101" s="74">
        <v>0</v>
      </c>
      <c r="BC101" s="74">
        <v>0</v>
      </c>
      <c r="BD101" s="74">
        <v>3096.105</v>
      </c>
      <c r="BE101" s="74">
        <v>0</v>
      </c>
    </row>
    <row r="102" spans="1:57">
      <c r="A102" s="73"/>
      <c r="B102" s="74"/>
      <c r="C102" s="74"/>
      <c r="D102" s="74"/>
      <c r="E102" s="74"/>
      <c r="F102" s="74"/>
      <c r="G102" s="74"/>
      <c r="H102" s="74"/>
      <c r="I102" s="74"/>
      <c r="J102" s="74"/>
      <c r="K102" s="74"/>
      <c r="L102" s="74"/>
      <c r="M102" s="76"/>
      <c r="N102" s="74"/>
      <c r="O102" s="74"/>
      <c r="P102" s="74"/>
      <c r="Q102" s="74"/>
      <c r="R102" s="74"/>
      <c r="S102" s="74"/>
      <c r="T102" s="74"/>
      <c r="U102" s="74"/>
      <c r="V102" s="76"/>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row>
    <row r="103" spans="1:57">
      <c r="A103" s="73" t="s">
        <v>235</v>
      </c>
      <c r="B103" s="74">
        <v>0</v>
      </c>
      <c r="C103" s="74">
        <v>0</v>
      </c>
      <c r="D103" s="74">
        <v>0</v>
      </c>
      <c r="E103" s="74">
        <v>0</v>
      </c>
      <c r="F103" s="74">
        <v>0</v>
      </c>
      <c r="G103" s="74">
        <v>0</v>
      </c>
      <c r="H103" s="74">
        <v>0</v>
      </c>
      <c r="I103" s="74">
        <v>0</v>
      </c>
      <c r="J103" s="74">
        <v>0</v>
      </c>
      <c r="K103" s="74">
        <v>0</v>
      </c>
      <c r="L103" s="74">
        <v>0</v>
      </c>
      <c r="M103" s="76">
        <v>0</v>
      </c>
      <c r="N103" s="74">
        <v>0</v>
      </c>
      <c r="O103" s="74">
        <v>0</v>
      </c>
      <c r="P103" s="74">
        <v>0</v>
      </c>
      <c r="Q103" s="74">
        <v>0</v>
      </c>
      <c r="R103" s="74">
        <v>0</v>
      </c>
      <c r="S103" s="74">
        <v>0</v>
      </c>
      <c r="T103" s="74">
        <v>0</v>
      </c>
      <c r="U103" s="74">
        <v>0</v>
      </c>
      <c r="V103" s="76">
        <v>0</v>
      </c>
      <c r="W103" s="74">
        <v>0</v>
      </c>
      <c r="X103" s="74">
        <v>0</v>
      </c>
      <c r="Y103" s="74">
        <v>0</v>
      </c>
      <c r="Z103" s="74">
        <v>0</v>
      </c>
      <c r="AA103" s="74">
        <v>0</v>
      </c>
      <c r="AB103" s="74">
        <v>0</v>
      </c>
      <c r="AC103" s="74">
        <v>0</v>
      </c>
      <c r="AD103" s="74">
        <v>0</v>
      </c>
      <c r="AE103" s="74">
        <v>0</v>
      </c>
      <c r="AF103" s="74">
        <v>0</v>
      </c>
      <c r="AG103" s="74">
        <v>0</v>
      </c>
      <c r="AH103" s="74">
        <v>0</v>
      </c>
      <c r="AI103" s="74">
        <v>0</v>
      </c>
      <c r="AJ103" s="74">
        <v>0</v>
      </c>
      <c r="AK103" s="74">
        <v>0</v>
      </c>
      <c r="AL103" s="74">
        <v>0</v>
      </c>
      <c r="AM103" s="74">
        <v>0</v>
      </c>
      <c r="AN103" s="74">
        <v>0</v>
      </c>
      <c r="AO103" s="74">
        <v>0</v>
      </c>
      <c r="AP103" s="74">
        <v>0</v>
      </c>
      <c r="AQ103" s="74">
        <v>0</v>
      </c>
      <c r="AR103" s="74">
        <v>0</v>
      </c>
      <c r="AS103" s="74">
        <v>0</v>
      </c>
      <c r="AT103" s="74">
        <v>0</v>
      </c>
      <c r="AU103" s="74">
        <v>0</v>
      </c>
      <c r="AV103" s="74">
        <v>0</v>
      </c>
      <c r="AW103" s="74">
        <v>0</v>
      </c>
      <c r="AX103" s="74">
        <v>0</v>
      </c>
      <c r="AY103" s="74">
        <v>0</v>
      </c>
      <c r="AZ103" s="74">
        <v>0</v>
      </c>
      <c r="BA103" s="74">
        <v>0</v>
      </c>
      <c r="BB103" s="74">
        <v>0</v>
      </c>
      <c r="BC103" s="74">
        <v>0</v>
      </c>
      <c r="BD103" s="74">
        <v>0</v>
      </c>
      <c r="BE103" s="74">
        <v>0</v>
      </c>
    </row>
    <row r="104" spans="1:57">
      <c r="A104" s="73" t="s">
        <v>236</v>
      </c>
      <c r="B104" s="74">
        <v>0</v>
      </c>
      <c r="C104" s="74">
        <v>0</v>
      </c>
      <c r="D104" s="74">
        <v>0</v>
      </c>
      <c r="E104" s="74">
        <v>0</v>
      </c>
      <c r="F104" s="74">
        <v>0</v>
      </c>
      <c r="G104" s="74">
        <v>0</v>
      </c>
      <c r="H104" s="74">
        <v>0</v>
      </c>
      <c r="I104" s="74">
        <v>0</v>
      </c>
      <c r="J104" s="74">
        <v>0</v>
      </c>
      <c r="K104" s="74">
        <v>0</v>
      </c>
      <c r="L104" s="74">
        <v>0</v>
      </c>
      <c r="M104" s="76">
        <v>0</v>
      </c>
      <c r="N104" s="74">
        <v>0</v>
      </c>
      <c r="O104" s="74">
        <v>0</v>
      </c>
      <c r="P104" s="74">
        <v>0</v>
      </c>
      <c r="Q104" s="74">
        <v>0</v>
      </c>
      <c r="R104" s="74">
        <v>0</v>
      </c>
      <c r="S104" s="74">
        <v>0</v>
      </c>
      <c r="T104" s="74">
        <v>0</v>
      </c>
      <c r="U104" s="74">
        <v>0</v>
      </c>
      <c r="V104" s="76">
        <v>0</v>
      </c>
      <c r="W104" s="74">
        <v>0</v>
      </c>
      <c r="X104" s="74">
        <v>0</v>
      </c>
      <c r="Y104" s="74">
        <v>0</v>
      </c>
      <c r="Z104" s="74">
        <v>0</v>
      </c>
      <c r="AA104" s="74">
        <v>0</v>
      </c>
      <c r="AB104" s="74">
        <v>0</v>
      </c>
      <c r="AC104" s="74">
        <v>0</v>
      </c>
      <c r="AD104" s="74">
        <v>0</v>
      </c>
      <c r="AE104" s="74">
        <v>0</v>
      </c>
      <c r="AF104" s="74">
        <v>0</v>
      </c>
      <c r="AG104" s="74">
        <v>0</v>
      </c>
      <c r="AH104" s="74">
        <v>0</v>
      </c>
      <c r="AI104" s="74">
        <v>0</v>
      </c>
      <c r="AJ104" s="74">
        <v>0</v>
      </c>
      <c r="AK104" s="74">
        <v>0</v>
      </c>
      <c r="AL104" s="74">
        <v>0</v>
      </c>
      <c r="AM104" s="74">
        <v>0</v>
      </c>
      <c r="AN104" s="74">
        <v>0</v>
      </c>
      <c r="AO104" s="74">
        <v>0</v>
      </c>
      <c r="AP104" s="74">
        <v>0</v>
      </c>
      <c r="AQ104" s="74">
        <v>0</v>
      </c>
      <c r="AR104" s="74">
        <v>0</v>
      </c>
      <c r="AS104" s="74">
        <v>0</v>
      </c>
      <c r="AT104" s="74">
        <v>0</v>
      </c>
      <c r="AU104" s="74">
        <v>0</v>
      </c>
      <c r="AV104" s="74">
        <v>0</v>
      </c>
      <c r="AW104" s="74">
        <v>0</v>
      </c>
      <c r="AX104" s="74">
        <v>0</v>
      </c>
      <c r="AY104" s="74">
        <v>0</v>
      </c>
      <c r="AZ104" s="74">
        <v>0</v>
      </c>
      <c r="BA104" s="74">
        <v>0</v>
      </c>
      <c r="BB104" s="74">
        <v>0</v>
      </c>
      <c r="BC104" s="74">
        <v>0</v>
      </c>
      <c r="BD104" s="74">
        <v>0</v>
      </c>
      <c r="BE104" s="74">
        <v>0</v>
      </c>
    </row>
    <row r="105" spans="1:57">
      <c r="A105" s="85" t="s">
        <v>237</v>
      </c>
      <c r="B105" s="74">
        <v>0</v>
      </c>
      <c r="C105" s="74">
        <v>0</v>
      </c>
      <c r="D105" s="74">
        <v>0</v>
      </c>
      <c r="E105" s="74">
        <v>0</v>
      </c>
      <c r="F105" s="74">
        <v>0</v>
      </c>
      <c r="G105" s="74">
        <v>0</v>
      </c>
      <c r="H105" s="74">
        <v>0</v>
      </c>
      <c r="I105" s="74">
        <v>0</v>
      </c>
      <c r="J105" s="74">
        <v>0</v>
      </c>
      <c r="K105" s="74">
        <v>0</v>
      </c>
      <c r="L105" s="74">
        <v>0</v>
      </c>
      <c r="M105" s="74">
        <v>0</v>
      </c>
      <c r="N105" s="74">
        <v>0</v>
      </c>
      <c r="O105" s="74">
        <v>0</v>
      </c>
      <c r="P105" s="74">
        <v>0</v>
      </c>
      <c r="Q105" s="74">
        <v>0</v>
      </c>
      <c r="R105" s="74">
        <v>0</v>
      </c>
      <c r="S105" s="74">
        <v>0</v>
      </c>
      <c r="T105" s="74">
        <v>0</v>
      </c>
      <c r="U105" s="74">
        <v>0</v>
      </c>
      <c r="V105" s="74">
        <v>0</v>
      </c>
      <c r="W105" s="74">
        <v>0</v>
      </c>
      <c r="X105" s="74">
        <v>0</v>
      </c>
      <c r="Y105" s="74">
        <v>0</v>
      </c>
      <c r="Z105" s="74">
        <v>0</v>
      </c>
      <c r="AA105" s="74">
        <v>0</v>
      </c>
      <c r="AB105" s="74">
        <v>0</v>
      </c>
      <c r="AC105" s="74">
        <v>0</v>
      </c>
      <c r="AD105" s="74">
        <v>0</v>
      </c>
      <c r="AE105" s="74">
        <v>0</v>
      </c>
      <c r="AF105" s="74">
        <v>0</v>
      </c>
      <c r="AG105" s="74">
        <v>0</v>
      </c>
      <c r="AH105" s="74">
        <v>0</v>
      </c>
      <c r="AI105" s="74">
        <v>0</v>
      </c>
      <c r="AJ105" s="74">
        <v>0</v>
      </c>
      <c r="AK105" s="74">
        <v>0</v>
      </c>
      <c r="AL105" s="74">
        <v>0</v>
      </c>
      <c r="AM105" s="74">
        <v>0</v>
      </c>
      <c r="AN105" s="74">
        <v>0</v>
      </c>
      <c r="AO105" s="74">
        <v>0</v>
      </c>
      <c r="AP105" s="74">
        <v>0</v>
      </c>
      <c r="AQ105" s="74">
        <v>0</v>
      </c>
      <c r="AR105" s="74">
        <v>0</v>
      </c>
      <c r="AS105" s="74">
        <v>0</v>
      </c>
      <c r="AT105" s="74">
        <v>0</v>
      </c>
      <c r="AU105" s="74">
        <v>0</v>
      </c>
      <c r="AV105" s="74">
        <v>0</v>
      </c>
      <c r="AW105" s="74">
        <v>0</v>
      </c>
      <c r="AX105" s="74">
        <v>0</v>
      </c>
      <c r="AY105" s="74">
        <v>0</v>
      </c>
      <c r="AZ105" s="74">
        <v>0</v>
      </c>
      <c r="BA105" s="74">
        <v>0</v>
      </c>
      <c r="BB105" s="74">
        <v>0</v>
      </c>
      <c r="BC105" s="74">
        <v>0</v>
      </c>
      <c r="BD105" s="74">
        <v>0</v>
      </c>
      <c r="BE105" s="74">
        <v>0</v>
      </c>
    </row>
    <row r="106" spans="1:57">
      <c r="A106" s="85" t="s">
        <v>238</v>
      </c>
      <c r="B106" s="74">
        <v>0</v>
      </c>
      <c r="C106" s="74">
        <v>0</v>
      </c>
      <c r="D106" s="74">
        <v>0</v>
      </c>
      <c r="E106" s="74">
        <v>0</v>
      </c>
      <c r="F106" s="74">
        <v>0</v>
      </c>
      <c r="G106" s="74">
        <v>0</v>
      </c>
      <c r="H106" s="74">
        <v>0</v>
      </c>
      <c r="I106" s="74">
        <v>0</v>
      </c>
      <c r="J106" s="74">
        <v>0</v>
      </c>
      <c r="K106" s="74">
        <v>0</v>
      </c>
      <c r="L106" s="74">
        <v>0</v>
      </c>
      <c r="M106" s="74">
        <v>0</v>
      </c>
      <c r="N106" s="74">
        <v>0</v>
      </c>
      <c r="O106" s="74">
        <v>0</v>
      </c>
      <c r="P106" s="74">
        <v>0</v>
      </c>
      <c r="Q106" s="74">
        <v>0</v>
      </c>
      <c r="R106" s="74">
        <v>0</v>
      </c>
      <c r="S106" s="74">
        <v>0</v>
      </c>
      <c r="T106" s="74">
        <v>0</v>
      </c>
      <c r="U106" s="74">
        <v>0</v>
      </c>
      <c r="V106" s="74">
        <v>0</v>
      </c>
      <c r="W106" s="74">
        <v>0</v>
      </c>
      <c r="X106" s="74">
        <v>0</v>
      </c>
      <c r="Y106" s="74">
        <v>0</v>
      </c>
      <c r="Z106" s="74">
        <v>0</v>
      </c>
      <c r="AA106" s="74">
        <v>0</v>
      </c>
      <c r="AB106" s="74">
        <v>0</v>
      </c>
      <c r="AC106" s="74">
        <v>0</v>
      </c>
      <c r="AD106" s="74">
        <v>0</v>
      </c>
      <c r="AE106" s="74">
        <v>0</v>
      </c>
      <c r="AF106" s="74">
        <v>0</v>
      </c>
      <c r="AG106" s="74">
        <v>0</v>
      </c>
      <c r="AH106" s="74">
        <v>0</v>
      </c>
      <c r="AI106" s="74">
        <v>0</v>
      </c>
      <c r="AJ106" s="74">
        <v>0</v>
      </c>
      <c r="AK106" s="74">
        <v>0</v>
      </c>
      <c r="AL106" s="74">
        <v>0</v>
      </c>
      <c r="AM106" s="74">
        <v>0</v>
      </c>
      <c r="AN106" s="74">
        <v>0</v>
      </c>
      <c r="AO106" s="74">
        <v>0</v>
      </c>
      <c r="AP106" s="74">
        <v>0</v>
      </c>
      <c r="AQ106" s="74">
        <v>0</v>
      </c>
      <c r="AR106" s="74">
        <v>0</v>
      </c>
      <c r="AS106" s="74">
        <v>0</v>
      </c>
      <c r="AT106" s="74">
        <v>0</v>
      </c>
      <c r="AU106" s="74">
        <v>0</v>
      </c>
      <c r="AV106" s="74">
        <v>0</v>
      </c>
      <c r="AW106" s="74">
        <v>0</v>
      </c>
      <c r="AX106" s="74">
        <v>0</v>
      </c>
      <c r="AY106" s="74">
        <v>0</v>
      </c>
      <c r="AZ106" s="74">
        <v>0</v>
      </c>
      <c r="BA106" s="74">
        <v>0</v>
      </c>
      <c r="BB106" s="74">
        <v>0</v>
      </c>
      <c r="BC106" s="74">
        <v>0</v>
      </c>
      <c r="BD106" s="74">
        <v>0</v>
      </c>
      <c r="BE106" s="74">
        <v>0</v>
      </c>
    </row>
  </sheetData>
  <pageMargins left="0.7" right="0.7" top="0.75" bottom="0.75" header="0.3" footer="0.3"/>
  <pageSetup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4"/>
  <dimension ref="A1:BF106"/>
  <sheetViews>
    <sheetView workbookViewId="0"/>
  </sheetViews>
  <sheetFormatPr defaultColWidth="8.7109375" defaultRowHeight="12.75"/>
  <cols>
    <col min="1" max="1" width="30.28515625" style="57" customWidth="1"/>
    <col min="2" max="2" width="19.28515625" style="57" customWidth="1"/>
    <col min="3" max="3" width="12.28515625" style="1415" customWidth="1"/>
    <col min="4" max="4" width="14.42578125" style="1415" customWidth="1"/>
    <col min="5" max="5" width="16.42578125" style="1415" customWidth="1"/>
    <col min="6" max="9" width="8.7109375" style="1415"/>
    <col min="10" max="10" width="15.42578125" style="1415" customWidth="1"/>
    <col min="11" max="12" width="8.7109375" style="1415"/>
    <col min="13" max="13" width="10.7109375" style="1415" customWidth="1"/>
    <col min="14" max="16" width="8.7109375" style="1415"/>
    <col min="17" max="17" width="17" style="1415" customWidth="1"/>
    <col min="18" max="21" width="8.7109375" style="1415"/>
    <col min="22" max="22" width="11.42578125" style="1415" bestFit="1" customWidth="1"/>
    <col min="23" max="23" width="16" style="1415" bestFit="1" customWidth="1"/>
    <col min="24" max="24" width="12.42578125" style="1415" bestFit="1" customWidth="1"/>
    <col min="25" max="27" width="8.7109375" style="1415"/>
    <col min="28" max="28" width="15.7109375" style="1415" bestFit="1" customWidth="1"/>
    <col min="29" max="31" width="8.7109375" style="1415"/>
    <col min="32" max="32" width="15.42578125" style="1415" customWidth="1"/>
    <col min="33" max="36" width="8.7109375" style="1415"/>
    <col min="37" max="37" width="14.7109375" style="1415" customWidth="1"/>
    <col min="38" max="38" width="12.28515625" style="1415" customWidth="1"/>
    <col min="39" max="44" width="8.7109375" style="1415"/>
    <col min="45" max="45" width="15" style="1415" customWidth="1"/>
    <col min="46" max="46" width="8.7109375" style="1415"/>
    <col min="47" max="47" width="11.7109375" style="1415" customWidth="1"/>
    <col min="48" max="48" width="14.42578125" style="1415" customWidth="1"/>
    <col min="49" max="49" width="8.7109375" style="1415"/>
    <col min="50" max="50" width="13" style="1415" customWidth="1"/>
    <col min="51" max="55" width="8.7109375" style="1415"/>
    <col min="56" max="56" width="19.42578125" style="1415" customWidth="1"/>
    <col min="57" max="57" width="16.42578125" style="1415" customWidth="1"/>
    <col min="58" max="58" width="8.7109375" style="1415"/>
    <col min="59" max="16384" width="8.7109375" style="57"/>
  </cols>
  <sheetData>
    <row r="1" spans="1:58" s="46" customFormat="1" ht="23.25">
      <c r="A1" s="43" t="s">
        <v>14036</v>
      </c>
      <c r="B1" s="43"/>
      <c r="C1" s="1415"/>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c r="AD1" s="1416"/>
      <c r="AE1" s="1416"/>
      <c r="AF1" s="1416"/>
      <c r="AG1" s="1416"/>
      <c r="AH1" s="1416"/>
      <c r="AI1" s="1416"/>
      <c r="AJ1" s="1416"/>
      <c r="AK1" s="1416"/>
      <c r="AL1" s="1416"/>
      <c r="AM1" s="1416"/>
      <c r="AN1" s="1416"/>
      <c r="AO1" s="1416"/>
      <c r="AP1" s="1416"/>
      <c r="AQ1" s="1416"/>
      <c r="AR1" s="1416"/>
      <c r="AS1" s="1416"/>
      <c r="AT1" s="1416"/>
      <c r="AU1" s="1416"/>
      <c r="AV1" s="1416"/>
      <c r="AW1" s="1416"/>
      <c r="AX1" s="1416"/>
      <c r="AY1" s="1416"/>
      <c r="AZ1" s="1416"/>
      <c r="BA1" s="1416"/>
      <c r="BB1" s="1416"/>
      <c r="BC1" s="1416"/>
      <c r="BD1" s="1416"/>
      <c r="BE1" s="1416"/>
      <c r="BF1" s="1417"/>
    </row>
    <row r="2" spans="1:58">
      <c r="A2" s="47" t="s">
        <v>88</v>
      </c>
      <c r="B2" s="48" t="s">
        <v>89</v>
      </c>
      <c r="C2" s="1418" t="s">
        <v>90</v>
      </c>
      <c r="D2" s="1418" t="s">
        <v>91</v>
      </c>
      <c r="E2" s="1418" t="s">
        <v>92</v>
      </c>
      <c r="F2" s="1418" t="s">
        <v>93</v>
      </c>
      <c r="G2" s="1418" t="s">
        <v>94</v>
      </c>
      <c r="H2" s="1418" t="s">
        <v>95</v>
      </c>
      <c r="I2" s="1418" t="s">
        <v>96</v>
      </c>
      <c r="J2" s="1418" t="s">
        <v>97</v>
      </c>
      <c r="K2" s="1418" t="s">
        <v>98</v>
      </c>
      <c r="L2" s="1418" t="s">
        <v>99</v>
      </c>
      <c r="M2" s="1419" t="s">
        <v>100</v>
      </c>
      <c r="N2" s="1419" t="s">
        <v>97</v>
      </c>
      <c r="O2" s="1419" t="s">
        <v>101</v>
      </c>
      <c r="P2" s="1419" t="s">
        <v>102</v>
      </c>
      <c r="Q2" s="1419" t="s">
        <v>103</v>
      </c>
      <c r="R2" s="1419" t="s">
        <v>104</v>
      </c>
      <c r="S2" s="1419" t="s">
        <v>105</v>
      </c>
      <c r="T2" s="1419" t="s">
        <v>106</v>
      </c>
      <c r="U2" s="1419" t="s">
        <v>107</v>
      </c>
      <c r="V2" s="1419" t="s">
        <v>108</v>
      </c>
      <c r="W2" s="1419" t="s">
        <v>109</v>
      </c>
      <c r="X2" s="1419" t="s">
        <v>110</v>
      </c>
      <c r="Y2" s="1419" t="s">
        <v>111</v>
      </c>
      <c r="Z2" s="1419" t="s">
        <v>112</v>
      </c>
      <c r="AA2" s="1419" t="s">
        <v>113</v>
      </c>
      <c r="AB2" s="1419" t="s">
        <v>114</v>
      </c>
      <c r="AC2" s="1419" t="s">
        <v>112</v>
      </c>
      <c r="AD2" s="1419" t="s">
        <v>115</v>
      </c>
      <c r="AE2" s="1419" t="s">
        <v>116</v>
      </c>
      <c r="AF2" s="1419" t="s">
        <v>117</v>
      </c>
      <c r="AG2" s="1419" t="s">
        <v>118</v>
      </c>
      <c r="AH2" s="1419" t="s">
        <v>119</v>
      </c>
      <c r="AI2" s="1419" t="s">
        <v>119</v>
      </c>
      <c r="AJ2" s="1419" t="s">
        <v>36</v>
      </c>
      <c r="AK2" s="1419" t="s">
        <v>120</v>
      </c>
      <c r="AL2" s="1419" t="s">
        <v>121</v>
      </c>
      <c r="AM2" s="1419" t="s">
        <v>122</v>
      </c>
      <c r="AN2" s="1419" t="s">
        <v>123</v>
      </c>
      <c r="AO2" s="1419" t="s">
        <v>124</v>
      </c>
      <c r="AP2" s="1419" t="s">
        <v>125</v>
      </c>
      <c r="AQ2" s="1419" t="s">
        <v>126</v>
      </c>
      <c r="AR2" s="1419" t="s">
        <v>127</v>
      </c>
      <c r="AS2" s="1419" t="s">
        <v>128</v>
      </c>
      <c r="AT2" s="1419" t="s">
        <v>129</v>
      </c>
      <c r="AU2" s="1419" t="s">
        <v>130</v>
      </c>
      <c r="AV2" s="1419" t="s">
        <v>131</v>
      </c>
      <c r="AW2" s="1419" t="s">
        <v>132</v>
      </c>
      <c r="AX2" s="1419" t="s">
        <v>133</v>
      </c>
      <c r="AY2" s="1419" t="s">
        <v>134</v>
      </c>
      <c r="AZ2" s="1419" t="s">
        <v>135</v>
      </c>
      <c r="BA2" s="1419" t="s">
        <v>136</v>
      </c>
      <c r="BB2" s="1419" t="s">
        <v>137</v>
      </c>
      <c r="BC2" s="1419" t="s">
        <v>36</v>
      </c>
      <c r="BD2" s="1419" t="s">
        <v>22</v>
      </c>
      <c r="BE2" s="1418" t="s">
        <v>23</v>
      </c>
    </row>
    <row r="3" spans="1:58">
      <c r="A3" s="58"/>
      <c r="B3" s="48" t="s">
        <v>2</v>
      </c>
      <c r="C3" s="1418" t="s">
        <v>2</v>
      </c>
      <c r="D3" s="1418" t="s">
        <v>2</v>
      </c>
      <c r="E3" s="1418" t="s">
        <v>2</v>
      </c>
      <c r="F3" s="1418" t="s">
        <v>92</v>
      </c>
      <c r="G3" s="1418"/>
      <c r="H3" s="1418"/>
      <c r="I3" s="1418" t="s">
        <v>138</v>
      </c>
      <c r="J3" s="1418" t="s">
        <v>139</v>
      </c>
      <c r="K3" s="1418"/>
      <c r="L3" s="1418"/>
      <c r="M3" s="1419" t="s">
        <v>140</v>
      </c>
      <c r="N3" s="1419" t="s">
        <v>140</v>
      </c>
      <c r="O3" s="1419" t="s">
        <v>141</v>
      </c>
      <c r="P3" s="1419" t="s">
        <v>141</v>
      </c>
      <c r="Q3" s="1419" t="s">
        <v>142</v>
      </c>
      <c r="R3" s="1419"/>
      <c r="S3" s="1419" t="s">
        <v>143</v>
      </c>
      <c r="T3" s="1419" t="s">
        <v>143</v>
      </c>
      <c r="U3" s="1419"/>
      <c r="V3" s="1419" t="s">
        <v>140</v>
      </c>
      <c r="W3" s="1419" t="s">
        <v>144</v>
      </c>
      <c r="X3" s="1419"/>
      <c r="Y3" s="1419"/>
      <c r="Z3" s="1419" t="s">
        <v>145</v>
      </c>
      <c r="AA3" s="1419"/>
      <c r="AB3" s="1419" t="s">
        <v>146</v>
      </c>
      <c r="AC3" s="1419" t="s">
        <v>140</v>
      </c>
      <c r="AD3" s="1419"/>
      <c r="AE3" s="1419"/>
      <c r="AF3" s="1419" t="s">
        <v>33</v>
      </c>
      <c r="AG3" s="1419" t="s">
        <v>33</v>
      </c>
      <c r="AH3" s="1419" t="s">
        <v>33</v>
      </c>
      <c r="AI3" s="1419" t="s">
        <v>147</v>
      </c>
      <c r="AJ3" s="1419" t="s">
        <v>147</v>
      </c>
      <c r="AK3" s="1419"/>
      <c r="AL3" s="1419" t="s">
        <v>138</v>
      </c>
      <c r="AM3" s="1419"/>
      <c r="AN3" s="1419" t="s">
        <v>148</v>
      </c>
      <c r="AO3" s="1419"/>
      <c r="AP3" s="1419"/>
      <c r="AQ3" s="1419" t="s">
        <v>149</v>
      </c>
      <c r="AR3" s="1419" t="s">
        <v>150</v>
      </c>
      <c r="AS3" s="1419" t="s">
        <v>151</v>
      </c>
      <c r="AT3" s="1419"/>
      <c r="AU3" s="1419"/>
      <c r="AV3" s="1419"/>
      <c r="AW3" s="1419"/>
      <c r="AX3" s="1419"/>
      <c r="AY3" s="1419"/>
      <c r="AZ3" s="1419"/>
      <c r="BA3" s="1419"/>
      <c r="BB3" s="1419"/>
      <c r="BC3" s="1419"/>
      <c r="BD3" s="1419"/>
      <c r="BE3" s="1419"/>
    </row>
    <row r="4" spans="1:58">
      <c r="A4" s="60" t="s">
        <v>152</v>
      </c>
      <c r="B4" s="61"/>
      <c r="C4" s="1420"/>
      <c r="D4" s="1420"/>
      <c r="E4" s="1420"/>
      <c r="F4" s="1420" t="s">
        <v>2</v>
      </c>
      <c r="G4" s="1420"/>
      <c r="H4" s="1420"/>
      <c r="I4" s="1420"/>
      <c r="J4" s="1420"/>
      <c r="K4" s="1420"/>
      <c r="L4" s="1420"/>
      <c r="M4" s="1421"/>
      <c r="N4" s="1421"/>
      <c r="O4" s="1421"/>
      <c r="P4" s="1421"/>
      <c r="Q4" s="1421"/>
      <c r="R4" s="1421"/>
      <c r="S4" s="1421"/>
      <c r="T4" s="1421"/>
      <c r="U4" s="1421"/>
      <c r="V4" s="1421"/>
      <c r="W4" s="1421"/>
      <c r="X4" s="1421"/>
      <c r="Y4" s="1421"/>
      <c r="Z4" s="1421"/>
      <c r="AA4" s="1421"/>
      <c r="AB4" s="1421" t="s">
        <v>153</v>
      </c>
      <c r="AC4" s="1421"/>
      <c r="AD4" s="1421"/>
      <c r="AE4" s="1421"/>
      <c r="AF4" s="1421"/>
      <c r="AG4" s="1421"/>
      <c r="AH4" s="1421"/>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row>
    <row r="5" spans="1:58">
      <c r="A5" s="70">
        <v>1</v>
      </c>
      <c r="B5" s="74" t="s">
        <v>2</v>
      </c>
      <c r="C5" s="1422"/>
      <c r="D5" s="1423" t="s">
        <v>556</v>
      </c>
      <c r="E5" s="1422"/>
      <c r="F5" s="1422"/>
      <c r="G5" s="1422"/>
      <c r="H5" s="1422"/>
      <c r="I5" s="1424"/>
      <c r="J5" s="1424"/>
      <c r="K5" s="1424"/>
      <c r="L5" s="1424"/>
      <c r="M5" s="1424"/>
      <c r="N5" s="1424"/>
      <c r="O5" s="1424"/>
      <c r="P5" s="1424"/>
      <c r="Q5" s="1424"/>
      <c r="R5" s="1424"/>
      <c r="S5" s="1424"/>
      <c r="T5" s="1424"/>
      <c r="U5" s="1424"/>
      <c r="V5" s="1425" t="str">
        <f>NameConv!B26</f>
        <v>Coastal Gas</v>
      </c>
      <c r="W5" s="1424"/>
      <c r="X5" s="1423" t="s">
        <v>553</v>
      </c>
      <c r="Y5" s="1424"/>
      <c r="Z5" s="1424"/>
      <c r="AA5" s="1424"/>
      <c r="AB5" s="1424"/>
      <c r="AC5" s="1424"/>
      <c r="AD5" s="1424"/>
      <c r="AE5" s="1423" t="s">
        <v>550</v>
      </c>
      <c r="AF5" s="1423" t="s">
        <v>546</v>
      </c>
      <c r="AG5" s="1426" t="s">
        <v>557</v>
      </c>
      <c r="AH5" s="1424"/>
      <c r="AI5" s="1423" t="s">
        <v>591</v>
      </c>
      <c r="AJ5" s="1423" t="s">
        <v>591</v>
      </c>
      <c r="AK5" s="1423" t="s">
        <v>554</v>
      </c>
      <c r="AL5" s="1423" t="s">
        <v>548</v>
      </c>
      <c r="AM5" s="1424"/>
      <c r="AN5" s="1424"/>
      <c r="AO5" s="1424"/>
      <c r="AP5" s="1424"/>
      <c r="AQ5" s="1424"/>
      <c r="AR5" s="1424"/>
      <c r="AS5" s="1424"/>
      <c r="AT5" s="1424"/>
      <c r="AU5" s="1423" t="s">
        <v>130</v>
      </c>
      <c r="AV5" s="1424"/>
      <c r="AW5" s="1424"/>
      <c r="AX5" s="1424"/>
      <c r="AY5" s="1424"/>
      <c r="AZ5" s="1424"/>
      <c r="BA5" s="1424"/>
      <c r="BB5" s="1424"/>
      <c r="BC5" s="1424"/>
      <c r="BD5" s="1426" t="s">
        <v>22</v>
      </c>
      <c r="BE5" s="1424"/>
    </row>
    <row r="6" spans="1:58" ht="15">
      <c r="A6" s="73" t="s">
        <v>154</v>
      </c>
      <c r="B6" s="1437">
        <v>6136392.9900000002</v>
      </c>
      <c r="C6" s="1423">
        <v>0</v>
      </c>
      <c r="D6" s="1423">
        <v>49117.144</v>
      </c>
      <c r="E6" s="1433">
        <f>B6-D6</f>
        <v>6087275.8459999999</v>
      </c>
      <c r="F6" s="1423">
        <v>0</v>
      </c>
      <c r="G6" s="1423">
        <v>0</v>
      </c>
      <c r="H6" s="1423">
        <v>0</v>
      </c>
      <c r="I6" s="1427"/>
      <c r="J6" s="1423"/>
      <c r="K6" s="1423"/>
      <c r="L6" s="1423"/>
      <c r="M6" s="1423"/>
      <c r="N6" s="1423"/>
      <c r="O6" s="1423"/>
      <c r="P6" s="1423"/>
      <c r="Q6" s="1423">
        <v>428396</v>
      </c>
      <c r="R6" s="1423">
        <v>0</v>
      </c>
      <c r="S6" s="1423">
        <v>0</v>
      </c>
      <c r="T6" s="1423">
        <v>0</v>
      </c>
      <c r="U6" s="1423">
        <v>0</v>
      </c>
      <c r="V6" s="1437">
        <f>RefineriesData!Y216</f>
        <v>42534.198286413703</v>
      </c>
      <c r="W6" s="1423">
        <v>0</v>
      </c>
      <c r="X6" s="1423">
        <v>0</v>
      </c>
      <c r="Y6" s="1423">
        <v>0</v>
      </c>
      <c r="Z6" s="1423">
        <v>0</v>
      </c>
      <c r="AA6" s="1423">
        <v>0</v>
      </c>
      <c r="AB6" s="1423">
        <v>0</v>
      </c>
      <c r="AC6" s="1427"/>
      <c r="AD6" s="1423"/>
      <c r="AE6" s="1423"/>
      <c r="AF6" s="1423"/>
      <c r="AG6" s="1423"/>
      <c r="AH6" s="1423"/>
      <c r="AI6" s="1423"/>
      <c r="AJ6" s="1423"/>
      <c r="AK6" s="1423"/>
      <c r="AL6" s="1423"/>
      <c r="AM6" s="1423"/>
      <c r="AN6" s="1423"/>
      <c r="AO6" s="1423"/>
      <c r="AP6" s="1423"/>
      <c r="AQ6" s="1423"/>
      <c r="AR6" s="1423"/>
      <c r="AS6" s="1423"/>
      <c r="AT6" s="1423">
        <v>0</v>
      </c>
      <c r="AU6" s="1428"/>
      <c r="AV6" s="1423">
        <v>9894.6540000000005</v>
      </c>
      <c r="AW6" s="1423">
        <v>0</v>
      </c>
      <c r="AX6" s="1423">
        <v>1915.2</v>
      </c>
      <c r="AY6" s="1423">
        <v>0</v>
      </c>
      <c r="AZ6" s="1423">
        <v>116.02079999999999</v>
      </c>
      <c r="BA6" s="1423">
        <v>0</v>
      </c>
      <c r="BB6" s="1423">
        <v>0</v>
      </c>
      <c r="BC6" s="1423">
        <v>0</v>
      </c>
      <c r="BD6" s="74">
        <v>830007.38649024675</v>
      </c>
      <c r="BE6" s="1423">
        <v>0</v>
      </c>
    </row>
    <row r="7" spans="1:58">
      <c r="A7" s="73" t="s">
        <v>155</v>
      </c>
      <c r="B7" s="74">
        <v>0</v>
      </c>
      <c r="C7" s="1423">
        <v>0</v>
      </c>
      <c r="D7" s="1423">
        <v>0</v>
      </c>
      <c r="E7" s="1423">
        <v>0</v>
      </c>
      <c r="F7" s="1423">
        <v>0</v>
      </c>
      <c r="G7" s="1423">
        <v>0</v>
      </c>
      <c r="H7" s="1423">
        <v>0</v>
      </c>
      <c r="I7" s="1423"/>
      <c r="J7" s="1423"/>
      <c r="K7" s="1423"/>
      <c r="L7" s="1423"/>
      <c r="M7" s="1423"/>
      <c r="N7" s="1423"/>
      <c r="O7" s="1423"/>
      <c r="P7" s="1423"/>
      <c r="Q7" s="1423">
        <v>0</v>
      </c>
      <c r="R7" s="1423">
        <v>0</v>
      </c>
      <c r="S7" s="1423">
        <v>0</v>
      </c>
      <c r="T7" s="1423">
        <v>0</v>
      </c>
      <c r="U7" s="1423">
        <v>0</v>
      </c>
      <c r="V7" s="1423">
        <v>35802.400000000001</v>
      </c>
      <c r="W7" s="1423">
        <v>308603.56728538277</v>
      </c>
      <c r="X7" s="1423">
        <v>0</v>
      </c>
      <c r="Y7" s="1423">
        <v>0</v>
      </c>
      <c r="Z7" s="1427"/>
      <c r="AA7" s="1423">
        <v>0</v>
      </c>
      <c r="AB7" s="1423">
        <v>308603.56728538277</v>
      </c>
      <c r="AC7" s="1423"/>
      <c r="AD7" s="1423"/>
      <c r="AE7" s="1423"/>
      <c r="AF7" s="1423"/>
      <c r="AG7" s="1423"/>
      <c r="AH7" s="1423"/>
      <c r="AI7" s="1423"/>
      <c r="AJ7" s="1423"/>
      <c r="AK7" s="1423"/>
      <c r="AL7" s="1423"/>
      <c r="AM7" s="1423"/>
      <c r="AN7" s="1423"/>
      <c r="AO7" s="1423"/>
      <c r="AP7" s="1423"/>
      <c r="AQ7" s="1423"/>
      <c r="AR7" s="1423"/>
      <c r="AS7" s="1423"/>
      <c r="AT7" s="1423">
        <v>0</v>
      </c>
      <c r="AU7" s="1423"/>
      <c r="AV7" s="1423"/>
      <c r="AW7" s="1423"/>
      <c r="AX7" s="1423"/>
      <c r="AY7" s="1423"/>
      <c r="AZ7" s="1423"/>
      <c r="BA7" s="1423">
        <v>0</v>
      </c>
      <c r="BB7" s="1423">
        <v>0</v>
      </c>
      <c r="BC7" s="1423">
        <v>0</v>
      </c>
      <c r="BD7" s="1423">
        <v>0</v>
      </c>
      <c r="BE7" s="1423">
        <v>0</v>
      </c>
    </row>
    <row r="8" spans="1:58" ht="15">
      <c r="A8" s="73" t="s">
        <v>156</v>
      </c>
      <c r="B8" s="74">
        <v>3161.43</v>
      </c>
      <c r="C8" s="1423">
        <v>0</v>
      </c>
      <c r="D8" s="1423">
        <v>57428.12</v>
      </c>
      <c r="E8" s="1423">
        <v>0</v>
      </c>
      <c r="F8" s="1423">
        <v>0</v>
      </c>
      <c r="G8" s="1423">
        <v>0</v>
      </c>
      <c r="H8" s="1423">
        <v>0</v>
      </c>
      <c r="I8" s="1423">
        <v>0</v>
      </c>
      <c r="J8" s="1423">
        <v>0</v>
      </c>
      <c r="K8" s="1423">
        <v>0</v>
      </c>
      <c r="L8" s="1423">
        <v>0</v>
      </c>
      <c r="M8" s="1423">
        <v>0</v>
      </c>
      <c r="N8" s="1423">
        <v>0</v>
      </c>
      <c r="O8" s="1423">
        <v>0</v>
      </c>
      <c r="P8" s="1423">
        <v>0</v>
      </c>
      <c r="Q8" s="1423">
        <v>0</v>
      </c>
      <c r="R8" s="1423">
        <v>0</v>
      </c>
      <c r="S8" s="1423">
        <v>0</v>
      </c>
      <c r="T8" s="1423">
        <v>0</v>
      </c>
      <c r="U8" s="1423">
        <v>0</v>
      </c>
      <c r="V8" s="1437">
        <v>121221.1171875</v>
      </c>
      <c r="W8" s="1423">
        <v>926356.32638568</v>
      </c>
      <c r="X8" s="1437">
        <f>852226.224853516 + (1000*89)</f>
        <v>941226.22485351597</v>
      </c>
      <c r="Y8" s="1423">
        <v>0</v>
      </c>
      <c r="Z8" s="1423">
        <v>0</v>
      </c>
      <c r="AA8" s="1423">
        <v>0</v>
      </c>
      <c r="AB8" s="1423">
        <v>0</v>
      </c>
      <c r="AC8" s="1423">
        <v>0</v>
      </c>
      <c r="AD8" s="1423">
        <v>0</v>
      </c>
      <c r="AE8" s="1649">
        <f>105.131744444444+300</f>
        <v>405.131744444444</v>
      </c>
      <c r="AF8" s="1435">
        <v>63331.96</v>
      </c>
      <c r="AG8" s="1423">
        <v>1394.321535205479</v>
      </c>
      <c r="AH8" s="1423">
        <v>0</v>
      </c>
      <c r="AI8" s="1423">
        <v>9321.3474623456787</v>
      </c>
      <c r="AJ8" s="1423">
        <v>1.8485839506172841</v>
      </c>
      <c r="AK8" s="1435">
        <v>140064.92000000001</v>
      </c>
      <c r="AL8" s="1423">
        <v>4206.3969178947364</v>
      </c>
      <c r="AM8" s="1423">
        <v>0</v>
      </c>
      <c r="AN8" s="1423">
        <v>215.03208296296299</v>
      </c>
      <c r="AO8" s="1423">
        <v>9424.2159353333336</v>
      </c>
      <c r="AP8" s="1423">
        <v>6.1492471153846147</v>
      </c>
      <c r="AQ8" s="1423">
        <v>1466.8191075</v>
      </c>
      <c r="AR8" s="1423">
        <v>0</v>
      </c>
      <c r="AS8" s="1423">
        <v>19291.431292087909</v>
      </c>
      <c r="AT8" s="1423">
        <v>0</v>
      </c>
      <c r="AU8" s="1428">
        <f>109374.545454545 + (1000*61)</f>
        <v>170374.545454545</v>
      </c>
      <c r="AV8" s="1423"/>
      <c r="AW8" s="1423"/>
      <c r="AX8" s="1423"/>
      <c r="AY8" s="1423"/>
      <c r="AZ8" s="1423"/>
      <c r="BA8" s="1423">
        <v>0</v>
      </c>
      <c r="BB8" s="1423">
        <v>0</v>
      </c>
      <c r="BC8" s="1423">
        <v>0</v>
      </c>
      <c r="BD8" s="1438">
        <v>36021.59765625</v>
      </c>
      <c r="BE8" s="1423">
        <v>0</v>
      </c>
    </row>
    <row r="9" spans="1:58">
      <c r="A9" s="73" t="s">
        <v>157</v>
      </c>
      <c r="B9" s="1437">
        <v>-2129996.25</v>
      </c>
      <c r="C9" s="1423">
        <v>0</v>
      </c>
      <c r="D9" s="1423">
        <v>-20834.014999999999</v>
      </c>
      <c r="E9" s="1423">
        <v>-1906107.672</v>
      </c>
      <c r="F9" s="1423">
        <v>0</v>
      </c>
      <c r="G9" s="1423">
        <v>0</v>
      </c>
      <c r="H9" s="1423">
        <v>0</v>
      </c>
      <c r="I9" s="1423">
        <v>0</v>
      </c>
      <c r="J9" s="1423">
        <v>0</v>
      </c>
      <c r="K9" s="1423">
        <v>0</v>
      </c>
      <c r="L9" s="1423">
        <v>0</v>
      </c>
      <c r="M9" s="1423">
        <v>0</v>
      </c>
      <c r="N9" s="1423">
        <v>0</v>
      </c>
      <c r="O9" s="1423">
        <v>0</v>
      </c>
      <c r="P9" s="1423">
        <v>0</v>
      </c>
      <c r="Q9" s="1423">
        <v>0</v>
      </c>
      <c r="R9" s="1423">
        <v>0</v>
      </c>
      <c r="S9" s="1423">
        <v>0</v>
      </c>
      <c r="T9" s="1423">
        <v>0</v>
      </c>
      <c r="U9" s="1423">
        <v>0</v>
      </c>
      <c r="V9" s="1423">
        <v>0</v>
      </c>
      <c r="W9" s="1423">
        <v>-20838.03412968</v>
      </c>
      <c r="X9" s="1423">
        <v>-20838.03412968</v>
      </c>
      <c r="Y9" s="1423">
        <v>0</v>
      </c>
      <c r="Z9" s="1423">
        <v>0</v>
      </c>
      <c r="AA9" s="1423">
        <v>0</v>
      </c>
      <c r="AB9" s="1423">
        <v>0</v>
      </c>
      <c r="AC9" s="1423">
        <v>0</v>
      </c>
      <c r="AD9" s="1423">
        <v>0</v>
      </c>
      <c r="AE9" s="1423">
        <v>-549.93525222222218</v>
      </c>
      <c r="AF9" s="1423">
        <v>-3548.8458656756761</v>
      </c>
      <c r="AG9" s="1423">
        <v>-225.64281164383561</v>
      </c>
      <c r="AH9" s="1423">
        <v>0</v>
      </c>
      <c r="AI9" s="1423">
        <v>-4821.5598079012334</v>
      </c>
      <c r="AJ9" s="1423">
        <v>-205.79623827160489</v>
      </c>
      <c r="AK9" s="1423">
        <v>-28736.592522758619</v>
      </c>
      <c r="AL9" s="1423">
        <v>-61887.355098947359</v>
      </c>
      <c r="AM9" s="1423">
        <v>0</v>
      </c>
      <c r="AN9" s="1423">
        <v>-793.93625259259261</v>
      </c>
      <c r="AO9" s="1423">
        <v>-4708.9429099999988</v>
      </c>
      <c r="AP9" s="1423">
        <v>-8587.6355936538457</v>
      </c>
      <c r="AQ9" s="1423">
        <v>-5299.0486762500004</v>
      </c>
      <c r="AR9" s="1423">
        <v>0</v>
      </c>
      <c r="AS9" s="1423">
        <v>-6507.4773553846162</v>
      </c>
      <c r="AT9" s="1423">
        <v>0</v>
      </c>
      <c r="AU9" s="1423"/>
      <c r="AV9" s="1423"/>
      <c r="AW9" s="1423"/>
      <c r="AX9" s="1423"/>
      <c r="AY9" s="1423"/>
      <c r="AZ9" s="1423"/>
      <c r="BA9" s="1423">
        <v>0</v>
      </c>
      <c r="BB9" s="1423">
        <v>0</v>
      </c>
      <c r="BC9" s="1423">
        <v>0</v>
      </c>
      <c r="BD9" s="74">
        <v>-54126</v>
      </c>
      <c r="BE9" s="1423">
        <v>0</v>
      </c>
    </row>
    <row r="10" spans="1:58">
      <c r="A10" s="73" t="s">
        <v>158</v>
      </c>
      <c r="B10" s="74">
        <v>0</v>
      </c>
      <c r="C10" s="1423">
        <v>0</v>
      </c>
      <c r="D10" s="1423">
        <v>0</v>
      </c>
      <c r="E10" s="1423">
        <v>0</v>
      </c>
      <c r="F10" s="1423">
        <v>0</v>
      </c>
      <c r="G10" s="1423">
        <v>0</v>
      </c>
      <c r="H10" s="1423">
        <v>0</v>
      </c>
      <c r="I10" s="1423">
        <v>0</v>
      </c>
      <c r="J10" s="1423">
        <v>0</v>
      </c>
      <c r="K10" s="1423">
        <v>0</v>
      </c>
      <c r="L10" s="1423">
        <v>0</v>
      </c>
      <c r="M10" s="1423">
        <v>0</v>
      </c>
      <c r="N10" s="1423">
        <v>0</v>
      </c>
      <c r="O10" s="1423">
        <v>0</v>
      </c>
      <c r="P10" s="1423">
        <v>0</v>
      </c>
      <c r="Q10" s="1423">
        <v>0</v>
      </c>
      <c r="R10" s="1423">
        <v>0</v>
      </c>
      <c r="S10" s="1423">
        <v>0</v>
      </c>
      <c r="T10" s="1423">
        <v>0</v>
      </c>
      <c r="U10" s="1423">
        <v>0</v>
      </c>
      <c r="V10" s="1423">
        <v>0</v>
      </c>
      <c r="W10" s="1423">
        <v>0</v>
      </c>
      <c r="X10" s="1423">
        <v>0</v>
      </c>
      <c r="Y10" s="1423">
        <v>0</v>
      </c>
      <c r="Z10" s="1423">
        <v>0</v>
      </c>
      <c r="AA10" s="1423">
        <v>0</v>
      </c>
      <c r="AB10" s="1423">
        <v>0</v>
      </c>
      <c r="AC10" s="1423">
        <v>0</v>
      </c>
      <c r="AD10" s="1423">
        <v>0</v>
      </c>
      <c r="AE10" s="1423">
        <v>0</v>
      </c>
      <c r="AF10" s="1423">
        <v>0</v>
      </c>
      <c r="AG10" s="1423">
        <v>0</v>
      </c>
      <c r="AH10" s="1423">
        <v>0</v>
      </c>
      <c r="AI10" s="1423">
        <v>0</v>
      </c>
      <c r="AJ10" s="1423">
        <v>0</v>
      </c>
      <c r="AK10" s="1423">
        <v>-9921.7739333999998</v>
      </c>
      <c r="AL10" s="1423">
        <v>-97592.864054399994</v>
      </c>
      <c r="AM10" s="1423">
        <v>0</v>
      </c>
      <c r="AN10" s="1423">
        <v>0</v>
      </c>
      <c r="AO10" s="1423">
        <v>0</v>
      </c>
      <c r="AP10" s="1423">
        <v>0</v>
      </c>
      <c r="AQ10" s="1423">
        <v>0</v>
      </c>
      <c r="AR10" s="1423">
        <v>0</v>
      </c>
      <c r="AS10" s="1423">
        <v>0</v>
      </c>
      <c r="AT10" s="1423">
        <v>0</v>
      </c>
      <c r="AU10" s="1423"/>
      <c r="AV10" s="1423"/>
      <c r="AW10" s="1423"/>
      <c r="AX10" s="1423"/>
      <c r="AY10" s="1423"/>
      <c r="AZ10" s="1423"/>
      <c r="BA10" s="1423">
        <v>0</v>
      </c>
      <c r="BB10" s="1423">
        <v>0</v>
      </c>
      <c r="BC10" s="1423">
        <v>0</v>
      </c>
      <c r="BD10" s="1423">
        <v>0</v>
      </c>
      <c r="BE10" s="1423">
        <v>0</v>
      </c>
    </row>
    <row r="11" spans="1:58">
      <c r="A11" s="73" t="s">
        <v>159</v>
      </c>
      <c r="B11" s="74">
        <v>0</v>
      </c>
      <c r="C11" s="1423">
        <v>0</v>
      </c>
      <c r="D11" s="1423">
        <v>0</v>
      </c>
      <c r="E11" s="1423">
        <v>-197740.92600000001</v>
      </c>
      <c r="F11" s="1423">
        <v>0</v>
      </c>
      <c r="G11" s="1423">
        <v>0</v>
      </c>
      <c r="H11" s="1423">
        <v>0</v>
      </c>
      <c r="I11" s="1423">
        <v>0</v>
      </c>
      <c r="J11" s="1423">
        <v>0</v>
      </c>
      <c r="K11" s="1423">
        <v>0</v>
      </c>
      <c r="L11" s="1423">
        <v>0</v>
      </c>
      <c r="M11" s="1423">
        <v>0</v>
      </c>
      <c r="N11" s="1423">
        <v>0</v>
      </c>
      <c r="O11" s="1423">
        <v>0</v>
      </c>
      <c r="P11" s="1423">
        <v>0</v>
      </c>
      <c r="Q11" s="1423">
        <v>0</v>
      </c>
      <c r="R11" s="1423">
        <v>0</v>
      </c>
      <c r="S11" s="1423">
        <v>0</v>
      </c>
      <c r="T11" s="1423">
        <v>0</v>
      </c>
      <c r="U11" s="1423">
        <v>0</v>
      </c>
      <c r="V11" s="1423">
        <v>0</v>
      </c>
      <c r="W11" s="1423">
        <v>0</v>
      </c>
      <c r="X11" s="1423">
        <v>0</v>
      </c>
      <c r="Y11" s="1423">
        <v>0</v>
      </c>
      <c r="Z11" s="1423">
        <v>0</v>
      </c>
      <c r="AA11" s="1423">
        <v>0</v>
      </c>
      <c r="AB11" s="1423">
        <v>0</v>
      </c>
      <c r="AC11" s="1423">
        <v>0</v>
      </c>
      <c r="AD11" s="1423">
        <v>0</v>
      </c>
      <c r="AE11" s="1423">
        <v>0</v>
      </c>
      <c r="AF11" s="1423">
        <v>0</v>
      </c>
      <c r="AG11" s="1423">
        <v>-423.93247116164378</v>
      </c>
      <c r="AH11" s="1423">
        <v>0</v>
      </c>
      <c r="AI11" s="1423">
        <v>0</v>
      </c>
      <c r="AJ11" s="1423">
        <v>0</v>
      </c>
      <c r="AK11" s="1423">
        <v>0</v>
      </c>
      <c r="AL11" s="1423">
        <v>0</v>
      </c>
      <c r="AM11" s="1423">
        <v>0</v>
      </c>
      <c r="AN11" s="1423">
        <v>0</v>
      </c>
      <c r="AO11" s="1423">
        <v>0</v>
      </c>
      <c r="AP11" s="1423">
        <v>0</v>
      </c>
      <c r="AQ11" s="1423">
        <v>0</v>
      </c>
      <c r="AR11" s="1423">
        <v>0</v>
      </c>
      <c r="AS11" s="1423">
        <v>0</v>
      </c>
      <c r="AT11" s="1423">
        <v>0</v>
      </c>
      <c r="AU11" s="1423"/>
      <c r="AV11" s="1423"/>
      <c r="AW11" s="1423"/>
      <c r="AX11" s="1423"/>
      <c r="AY11" s="1423"/>
      <c r="AZ11" s="1423"/>
      <c r="BA11" s="1423">
        <v>0</v>
      </c>
      <c r="BB11" s="1423">
        <v>0</v>
      </c>
      <c r="BC11" s="1423">
        <v>0</v>
      </c>
      <c r="BD11" s="1423">
        <v>0</v>
      </c>
      <c r="BE11" s="1423">
        <v>0</v>
      </c>
    </row>
    <row r="12" spans="1:58">
      <c r="A12" s="77" t="s">
        <v>160</v>
      </c>
      <c r="B12" s="78">
        <f>SUM(B6:B11)</f>
        <v>4009558.17</v>
      </c>
      <c r="C12" s="1429">
        <f t="shared" ref="C12:U12" si="0">SUM(C6:C11)</f>
        <v>0</v>
      </c>
      <c r="D12" s="1429">
        <f t="shared" si="0"/>
        <v>85711.248999999996</v>
      </c>
      <c r="E12" s="1429">
        <f t="shared" si="0"/>
        <v>3983427.2479999997</v>
      </c>
      <c r="F12" s="1429">
        <f t="shared" si="0"/>
        <v>0</v>
      </c>
      <c r="G12" s="1429">
        <f t="shared" si="0"/>
        <v>0</v>
      </c>
      <c r="H12" s="1429">
        <f t="shared" si="0"/>
        <v>0</v>
      </c>
      <c r="I12" s="1429">
        <f t="shared" si="0"/>
        <v>0</v>
      </c>
      <c r="J12" s="1429">
        <f t="shared" si="0"/>
        <v>0</v>
      </c>
      <c r="K12" s="1429">
        <f t="shared" si="0"/>
        <v>0</v>
      </c>
      <c r="L12" s="1429">
        <f t="shared" si="0"/>
        <v>0</v>
      </c>
      <c r="M12" s="1429">
        <f t="shared" si="0"/>
        <v>0</v>
      </c>
      <c r="N12" s="1429">
        <f t="shared" si="0"/>
        <v>0</v>
      </c>
      <c r="O12" s="1429">
        <f t="shared" si="0"/>
        <v>0</v>
      </c>
      <c r="P12" s="1429">
        <f t="shared" si="0"/>
        <v>0</v>
      </c>
      <c r="Q12" s="1429">
        <f t="shared" si="0"/>
        <v>428396</v>
      </c>
      <c r="R12" s="1429">
        <f t="shared" si="0"/>
        <v>0</v>
      </c>
      <c r="S12" s="1429">
        <f t="shared" si="0"/>
        <v>0</v>
      </c>
      <c r="T12" s="1429">
        <f t="shared" si="0"/>
        <v>0</v>
      </c>
      <c r="U12" s="1429">
        <f t="shared" si="0"/>
        <v>0</v>
      </c>
      <c r="V12" s="1429">
        <f>SUM(V6:V11)</f>
        <v>199557.7154739137</v>
      </c>
      <c r="W12" s="1429">
        <f t="shared" ref="W12:X12" si="1">SUM(W6:W11)</f>
        <v>1214121.8595413829</v>
      </c>
      <c r="X12" s="1429">
        <f t="shared" si="1"/>
        <v>920388.19072383596</v>
      </c>
      <c r="Y12" s="1429">
        <v>0</v>
      </c>
      <c r="Z12" s="1429">
        <v>0</v>
      </c>
      <c r="AA12" s="1429">
        <v>0</v>
      </c>
      <c r="AB12" s="1429">
        <f>SUM(AB6:AB11)</f>
        <v>308603.56728538277</v>
      </c>
      <c r="AC12" s="1429">
        <v>0</v>
      </c>
      <c r="AD12" s="1429">
        <v>0</v>
      </c>
      <c r="AE12" s="1429">
        <f>SUM(AE6:AE11)</f>
        <v>-144.80350777777818</v>
      </c>
      <c r="AF12" s="1429">
        <f t="shared" ref="AF12:BD12" si="2">SUM(AF6:AF11)</f>
        <v>59783.114134324322</v>
      </c>
      <c r="AG12" s="1429">
        <f t="shared" si="2"/>
        <v>744.74625239999966</v>
      </c>
      <c r="AH12" s="1429">
        <f t="shared" si="2"/>
        <v>0</v>
      </c>
      <c r="AI12" s="1429">
        <f t="shared" si="2"/>
        <v>4499.7876544444453</v>
      </c>
      <c r="AJ12" s="1429">
        <f t="shared" si="2"/>
        <v>-203.9476543209876</v>
      </c>
      <c r="AK12" s="1429">
        <f t="shared" si="2"/>
        <v>101406.55354384141</v>
      </c>
      <c r="AL12" s="1429">
        <f t="shared" si="2"/>
        <v>-155273.82223545262</v>
      </c>
      <c r="AM12" s="1429">
        <f t="shared" si="2"/>
        <v>0</v>
      </c>
      <c r="AN12" s="1429">
        <f t="shared" si="2"/>
        <v>-578.90416962962968</v>
      </c>
      <c r="AO12" s="1429">
        <f t="shared" si="2"/>
        <v>4715.2730253333348</v>
      </c>
      <c r="AP12" s="1429">
        <f t="shared" si="2"/>
        <v>-8581.4863465384606</v>
      </c>
      <c r="AQ12" s="1429">
        <f t="shared" si="2"/>
        <v>-3832.2295687500005</v>
      </c>
      <c r="AR12" s="1429">
        <f t="shared" si="2"/>
        <v>0</v>
      </c>
      <c r="AS12" s="1429">
        <f t="shared" si="2"/>
        <v>12783.953936703292</v>
      </c>
      <c r="AT12" s="1429">
        <f t="shared" si="2"/>
        <v>0</v>
      </c>
      <c r="AU12" s="1429">
        <f t="shared" si="2"/>
        <v>170374.545454545</v>
      </c>
      <c r="AV12" s="1429">
        <f t="shared" si="2"/>
        <v>9894.6540000000005</v>
      </c>
      <c r="AW12" s="1429">
        <f t="shared" si="2"/>
        <v>0</v>
      </c>
      <c r="AX12" s="1429">
        <f t="shared" si="2"/>
        <v>1915.2</v>
      </c>
      <c r="AY12" s="1429">
        <f t="shared" si="2"/>
        <v>0</v>
      </c>
      <c r="AZ12" s="1429">
        <f t="shared" si="2"/>
        <v>116.02079999999999</v>
      </c>
      <c r="BA12" s="1429">
        <f t="shared" si="2"/>
        <v>0</v>
      </c>
      <c r="BB12" s="1429">
        <f t="shared" si="2"/>
        <v>0</v>
      </c>
      <c r="BC12" s="1429">
        <f t="shared" si="2"/>
        <v>0</v>
      </c>
      <c r="BD12" s="1429">
        <f t="shared" si="2"/>
        <v>811902.98414649675</v>
      </c>
      <c r="BE12" s="1429">
        <v>0</v>
      </c>
    </row>
    <row r="13" spans="1:58">
      <c r="A13" s="73"/>
      <c r="B13" s="74"/>
      <c r="C13" s="1423"/>
      <c r="D13" s="1423"/>
      <c r="E13" s="1423"/>
      <c r="F13" s="1423"/>
      <c r="I13" s="1423"/>
      <c r="J13" s="1423"/>
      <c r="K13" s="1423"/>
      <c r="L13" s="1423"/>
      <c r="M13" s="1423"/>
      <c r="O13" s="1423"/>
      <c r="P13" s="1423"/>
      <c r="Q13" s="1423"/>
      <c r="Z13" s="1423"/>
      <c r="AA13" s="1423"/>
      <c r="AB13" s="1423"/>
      <c r="AC13" s="1423"/>
      <c r="AD13" s="1423"/>
      <c r="AE13" s="1423"/>
      <c r="AF13" s="1423"/>
      <c r="AG13" s="1423"/>
      <c r="AH13" s="1423"/>
      <c r="AI13" s="1423"/>
      <c r="AJ13" s="1423"/>
      <c r="AK13" s="1423"/>
      <c r="AL13" s="1423"/>
      <c r="AM13" s="1423"/>
      <c r="AN13" s="1423"/>
      <c r="AO13" s="1423"/>
      <c r="AP13" s="1423"/>
      <c r="AQ13" s="1423"/>
      <c r="AR13" s="1423"/>
      <c r="AS13" s="1423"/>
      <c r="AT13" s="1423"/>
      <c r="AU13" s="1423"/>
      <c r="AV13" s="1423"/>
      <c r="AW13" s="1423"/>
      <c r="AX13" s="1423"/>
      <c r="AY13" s="1423"/>
      <c r="AZ13" s="1423"/>
      <c r="BA13" s="1423"/>
      <c r="BB13" s="1423"/>
      <c r="BC13" s="1423"/>
      <c r="BD13" s="1423"/>
      <c r="BE13" s="1423"/>
    </row>
    <row r="14" spans="1:58">
      <c r="A14" s="73" t="s">
        <v>161</v>
      </c>
      <c r="B14" s="74">
        <v>0</v>
      </c>
      <c r="C14" s="1423" t="s">
        <v>162</v>
      </c>
      <c r="D14" s="1423">
        <v>0</v>
      </c>
      <c r="E14" s="1423">
        <v>0</v>
      </c>
      <c r="F14" s="1423">
        <v>0</v>
      </c>
      <c r="G14" s="1423">
        <v>0</v>
      </c>
      <c r="H14" s="1423">
        <v>0</v>
      </c>
      <c r="I14" s="1423">
        <v>0</v>
      </c>
      <c r="J14" s="1423">
        <v>0</v>
      </c>
      <c r="K14" s="1423">
        <v>0</v>
      </c>
      <c r="L14" s="1423">
        <v>0</v>
      </c>
      <c r="M14" s="1423">
        <v>0</v>
      </c>
      <c r="N14" s="1423">
        <v>0</v>
      </c>
      <c r="O14" s="1423">
        <v>0</v>
      </c>
      <c r="P14" s="1423">
        <v>0</v>
      </c>
      <c r="Q14" s="1423">
        <v>0</v>
      </c>
      <c r="R14" s="1423">
        <v>0</v>
      </c>
      <c r="S14" s="1423">
        <v>0</v>
      </c>
      <c r="T14" s="1423">
        <v>0</v>
      </c>
      <c r="U14" s="1423">
        <v>0</v>
      </c>
      <c r="V14" s="1423">
        <v>0</v>
      </c>
      <c r="W14" s="1423">
        <v>0</v>
      </c>
      <c r="X14" s="1423">
        <v>0</v>
      </c>
      <c r="Y14" s="1423">
        <v>0</v>
      </c>
      <c r="Z14" s="1423">
        <v>0</v>
      </c>
      <c r="AA14" s="1423">
        <v>0</v>
      </c>
      <c r="AB14" s="1423">
        <v>0</v>
      </c>
      <c r="AC14" s="1423">
        <v>0</v>
      </c>
      <c r="AD14" s="1423">
        <v>0</v>
      </c>
      <c r="AE14" s="1423">
        <v>0</v>
      </c>
      <c r="AF14" s="1423">
        <v>0</v>
      </c>
      <c r="AG14" s="1423">
        <v>0</v>
      </c>
      <c r="AH14" s="1423">
        <v>0</v>
      </c>
      <c r="AI14" s="1423">
        <v>0</v>
      </c>
      <c r="AJ14" s="1423">
        <v>0</v>
      </c>
      <c r="AK14" s="1423">
        <v>0</v>
      </c>
      <c r="AL14" s="1423">
        <v>0</v>
      </c>
      <c r="AM14" s="1423">
        <v>0</v>
      </c>
      <c r="AN14" s="1423">
        <v>0</v>
      </c>
      <c r="AO14" s="1423">
        <v>0</v>
      </c>
      <c r="AP14" s="1423">
        <v>0</v>
      </c>
      <c r="AQ14" s="1423">
        <v>0</v>
      </c>
      <c r="AR14" s="1423">
        <v>0</v>
      </c>
      <c r="AS14" s="1423">
        <v>0</v>
      </c>
      <c r="AT14" s="1423">
        <v>0</v>
      </c>
      <c r="AU14" s="1423"/>
      <c r="AV14" s="1423"/>
      <c r="AW14" s="1423"/>
      <c r="AX14" s="1423"/>
      <c r="AY14" s="1423"/>
      <c r="AZ14" s="1423"/>
      <c r="BA14" s="1423">
        <v>0</v>
      </c>
      <c r="BB14" s="1423">
        <v>0</v>
      </c>
      <c r="BC14" s="1423">
        <v>0</v>
      </c>
      <c r="BD14" s="1423">
        <v>0</v>
      </c>
      <c r="BE14" s="1423">
        <v>0</v>
      </c>
    </row>
    <row r="15" spans="1:58">
      <c r="A15" s="73" t="s">
        <v>163</v>
      </c>
      <c r="B15" s="74">
        <v>164306.04149999889</v>
      </c>
      <c r="C15" s="1423" t="s">
        <v>162</v>
      </c>
      <c r="D15" s="1423">
        <v>7822.0749999999971</v>
      </c>
      <c r="E15" s="1423">
        <v>156483.96649999969</v>
      </c>
      <c r="F15" s="1423">
        <v>0</v>
      </c>
      <c r="G15" s="1423">
        <v>0</v>
      </c>
      <c r="H15" s="1423">
        <v>0</v>
      </c>
      <c r="I15" s="1423">
        <v>0</v>
      </c>
      <c r="J15" s="1423">
        <v>0</v>
      </c>
      <c r="K15" s="1423">
        <v>0</v>
      </c>
      <c r="L15" s="1423">
        <v>0</v>
      </c>
      <c r="M15" s="1423">
        <v>88004.01</v>
      </c>
      <c r="N15" s="1423">
        <v>0</v>
      </c>
      <c r="O15" s="1423">
        <v>-3309</v>
      </c>
      <c r="P15" s="1423">
        <v>0</v>
      </c>
      <c r="Q15" s="1423">
        <v>0</v>
      </c>
      <c r="R15" s="1423">
        <v>0</v>
      </c>
      <c r="S15" s="1423">
        <v>0</v>
      </c>
      <c r="T15" s="1423">
        <v>0</v>
      </c>
      <c r="U15" s="1423">
        <v>0</v>
      </c>
      <c r="V15" s="1423">
        <v>-88004.01</v>
      </c>
      <c r="W15" s="1423">
        <v>-308603.56728538289</v>
      </c>
      <c r="X15" s="1423">
        <v>0</v>
      </c>
      <c r="Y15" s="1423">
        <v>0</v>
      </c>
      <c r="Z15" s="1423">
        <v>0</v>
      </c>
      <c r="AA15" s="1423">
        <v>0</v>
      </c>
      <c r="AB15" s="1423">
        <v>-308603.56728538277</v>
      </c>
      <c r="AC15" s="1423">
        <v>-3.0275800000000002E-3</v>
      </c>
      <c r="AD15" s="1423">
        <v>0</v>
      </c>
      <c r="AE15" s="1423">
        <v>1.8189894035458601E-12</v>
      </c>
      <c r="AF15" s="1423">
        <v>1.16415321826935E-10</v>
      </c>
      <c r="AG15" s="1423">
        <v>-1.13686837721616E-13</v>
      </c>
      <c r="AH15" s="1423">
        <v>0</v>
      </c>
      <c r="AI15" s="1423">
        <v>0</v>
      </c>
      <c r="AJ15" s="1423">
        <v>0</v>
      </c>
      <c r="AK15" s="1423">
        <v>-5.8207660913467401E-11</v>
      </c>
      <c r="AL15" s="1423">
        <v>3.6379788070917101E-12</v>
      </c>
      <c r="AM15" s="1423">
        <v>0</v>
      </c>
      <c r="AN15" s="1423">
        <v>4253.9954766000001</v>
      </c>
      <c r="AO15" s="1423">
        <v>17195.366607600001</v>
      </c>
      <c r="AP15" s="1423">
        <v>-1.8189894035458601E-12</v>
      </c>
      <c r="AQ15" s="1423">
        <v>2.8421709430404002E-13</v>
      </c>
      <c r="AR15" s="1423">
        <v>0</v>
      </c>
      <c r="AS15" s="1423">
        <v>-1.7670329725660801E-4</v>
      </c>
      <c r="AT15" s="1423">
        <v>0</v>
      </c>
      <c r="AU15" s="1423">
        <v>0</v>
      </c>
      <c r="AV15" s="1423">
        <v>0</v>
      </c>
      <c r="AW15" s="1423">
        <v>0</v>
      </c>
      <c r="AX15" s="1423">
        <v>0</v>
      </c>
      <c r="AY15" s="1423">
        <v>0</v>
      </c>
      <c r="AZ15" s="1423">
        <v>0</v>
      </c>
      <c r="BA15" s="1423">
        <v>0</v>
      </c>
      <c r="BB15" s="1423">
        <v>0</v>
      </c>
      <c r="BC15" s="1423">
        <v>0</v>
      </c>
      <c r="BD15" s="1423">
        <v>14760831.3961032</v>
      </c>
      <c r="BE15" s="1423">
        <v>0</v>
      </c>
    </row>
    <row r="16" spans="1:58">
      <c r="A16" s="73"/>
      <c r="B16" s="74"/>
      <c r="C16" s="1423"/>
      <c r="D16" s="1423"/>
      <c r="E16" s="1423"/>
      <c r="F16" s="1423"/>
      <c r="G16" s="1423"/>
      <c r="H16" s="1423"/>
      <c r="I16" s="1423"/>
      <c r="J16" s="1423"/>
      <c r="K16" s="1423"/>
      <c r="L16" s="1423"/>
      <c r="M16" s="1423"/>
      <c r="N16" s="1423"/>
      <c r="O16" s="1423"/>
      <c r="P16" s="1423"/>
      <c r="Q16" s="1423"/>
      <c r="R16" s="1423"/>
      <c r="S16" s="1423"/>
      <c r="T16" s="1423"/>
      <c r="U16" s="1423"/>
      <c r="V16" s="1423"/>
      <c r="W16" s="1423"/>
      <c r="X16" s="1423"/>
      <c r="Y16" s="1423"/>
      <c r="Z16" s="1423"/>
      <c r="AA16" s="1423"/>
      <c r="AB16" s="1423"/>
      <c r="AC16" s="1423"/>
      <c r="AD16" s="1423"/>
      <c r="AE16" s="1423"/>
      <c r="AF16" s="1423"/>
      <c r="AG16" s="1423"/>
      <c r="AH16" s="1423"/>
      <c r="AI16" s="1423"/>
      <c r="AJ16" s="1423"/>
      <c r="AK16" s="1423"/>
      <c r="AL16" s="1423"/>
      <c r="AM16" s="1423"/>
      <c r="AN16" s="1423"/>
      <c r="AO16" s="1423"/>
      <c r="AP16" s="1423"/>
      <c r="AQ16" s="1423"/>
      <c r="AR16" s="1423"/>
      <c r="AS16" s="1423"/>
      <c r="AT16" s="1423"/>
      <c r="AU16" s="1423"/>
      <c r="AV16" s="1423"/>
      <c r="AW16" s="1423"/>
      <c r="AX16" s="1423"/>
      <c r="AY16" s="1423"/>
      <c r="AZ16" s="1423"/>
      <c r="BA16" s="1423"/>
      <c r="BB16" s="1423"/>
      <c r="BC16" s="1423"/>
      <c r="BD16" s="1423"/>
      <c r="BE16" s="1423"/>
    </row>
    <row r="17" spans="1:57">
      <c r="A17" s="77" t="s">
        <v>164</v>
      </c>
      <c r="B17" s="74">
        <v>-3221727.6258999999</v>
      </c>
      <c r="C17" s="1423">
        <v>0</v>
      </c>
      <c r="D17" s="1423">
        <v>-68315.691999999995</v>
      </c>
      <c r="E17" s="1423">
        <v>-3153411.9339000001</v>
      </c>
      <c r="F17" s="1423">
        <v>0</v>
      </c>
      <c r="G17" s="1423">
        <v>0</v>
      </c>
      <c r="H17" s="1423">
        <v>0</v>
      </c>
      <c r="I17" s="1423">
        <v>0</v>
      </c>
      <c r="J17" s="1423">
        <v>50250.383099999992</v>
      </c>
      <c r="K17" s="1423">
        <v>0</v>
      </c>
      <c r="L17" s="1423">
        <v>0</v>
      </c>
      <c r="M17" s="1423">
        <v>17680.580000000002</v>
      </c>
      <c r="N17" s="1423">
        <v>0</v>
      </c>
      <c r="O17" s="1423">
        <v>19054</v>
      </c>
      <c r="P17" s="1423">
        <v>0</v>
      </c>
      <c r="Q17" s="1423">
        <v>-237996</v>
      </c>
      <c r="R17" s="1423">
        <v>0</v>
      </c>
      <c r="S17" s="1423">
        <v>0</v>
      </c>
      <c r="T17" s="1423">
        <v>0</v>
      </c>
      <c r="U17" s="1423">
        <v>0</v>
      </c>
      <c r="V17" s="1423">
        <v>-72313.597500000003</v>
      </c>
      <c r="W17" s="1423">
        <v>-905518.29225599999</v>
      </c>
      <c r="X17" s="1423">
        <v>-905518.29225599999</v>
      </c>
      <c r="Y17" s="1423">
        <v>0</v>
      </c>
      <c r="Z17" s="1423">
        <v>0</v>
      </c>
      <c r="AA17" s="1423">
        <v>0</v>
      </c>
      <c r="AB17" s="1423">
        <v>0</v>
      </c>
      <c r="AC17" s="1423">
        <v>0.02</v>
      </c>
      <c r="AD17" s="1423">
        <v>0</v>
      </c>
      <c r="AE17" s="1423">
        <v>13823.28781537778</v>
      </c>
      <c r="AF17" s="1423">
        <v>374654.65872658382</v>
      </c>
      <c r="AG17" s="1423">
        <v>0</v>
      </c>
      <c r="AH17" s="1423">
        <v>0</v>
      </c>
      <c r="AI17" s="1423">
        <v>73443.15394795555</v>
      </c>
      <c r="AJ17" s="1423">
        <v>27522.878340320989</v>
      </c>
      <c r="AK17" s="1423">
        <v>284146.83222546207</v>
      </c>
      <c r="AL17" s="1423">
        <v>175074.86987065259</v>
      </c>
      <c r="AM17" s="1423">
        <v>0</v>
      </c>
      <c r="AN17" s="1423">
        <v>4832.8996462296291</v>
      </c>
      <c r="AO17" s="1423">
        <v>12480.09358226666</v>
      </c>
      <c r="AP17" s="1423">
        <v>20868.561513738459</v>
      </c>
      <c r="AQ17" s="1423">
        <v>4156.6356091500002</v>
      </c>
      <c r="AR17" s="1423">
        <v>0</v>
      </c>
      <c r="AS17" s="1423">
        <v>0</v>
      </c>
      <c r="AT17" s="1423">
        <v>0</v>
      </c>
      <c r="AU17" s="1423">
        <v>-109374.5454545454</v>
      </c>
      <c r="AV17" s="1423">
        <v>-9894.6540000000005</v>
      </c>
      <c r="AW17" s="1423">
        <v>0</v>
      </c>
      <c r="AX17" s="1423">
        <v>-1915.2</v>
      </c>
      <c r="AY17" s="1423">
        <v>0</v>
      </c>
      <c r="AZ17" s="1423">
        <v>-116.02079999999999</v>
      </c>
      <c r="BA17" s="1423">
        <v>0</v>
      </c>
      <c r="BB17" s="1423">
        <v>0</v>
      </c>
      <c r="BC17" s="1423">
        <v>0</v>
      </c>
      <c r="BD17" s="1423">
        <v>-844563.02400000009</v>
      </c>
      <c r="BE17" s="1423">
        <v>0</v>
      </c>
    </row>
    <row r="18" spans="1:57">
      <c r="A18" s="73" t="s">
        <v>165</v>
      </c>
      <c r="B18" s="74">
        <v>-2155476.5438999999</v>
      </c>
      <c r="C18" s="1423">
        <v>0</v>
      </c>
      <c r="D18" s="1423">
        <v>0</v>
      </c>
      <c r="E18" s="1423">
        <v>-2155476.5438999999</v>
      </c>
      <c r="F18" s="1423">
        <v>0</v>
      </c>
      <c r="G18" s="1423">
        <v>0</v>
      </c>
      <c r="H18" s="1423">
        <v>0</v>
      </c>
      <c r="I18" s="1423">
        <v>0</v>
      </c>
      <c r="J18" s="1423">
        <v>0</v>
      </c>
      <c r="K18" s="1423">
        <v>0</v>
      </c>
      <c r="L18" s="1423">
        <v>0</v>
      </c>
      <c r="M18" s="1423">
        <v>0</v>
      </c>
      <c r="N18" s="1423">
        <v>0</v>
      </c>
      <c r="O18" s="1423">
        <v>0</v>
      </c>
      <c r="P18" s="1423">
        <v>0</v>
      </c>
      <c r="Q18" s="1423">
        <v>0</v>
      </c>
      <c r="R18" s="1423">
        <v>0</v>
      </c>
      <c r="S18" s="1423">
        <v>0</v>
      </c>
      <c r="T18" s="1423">
        <v>0</v>
      </c>
      <c r="U18" s="1423">
        <v>0</v>
      </c>
      <c r="V18" s="1423">
        <v>0</v>
      </c>
      <c r="W18" s="1423">
        <v>0</v>
      </c>
      <c r="X18" s="1423">
        <v>0</v>
      </c>
      <c r="Y18" s="1423">
        <v>0</v>
      </c>
      <c r="Z18" s="1423">
        <v>0</v>
      </c>
      <c r="AA18" s="1423">
        <v>0</v>
      </c>
      <c r="AB18" s="1423">
        <v>0</v>
      </c>
      <c r="AC18" s="1423">
        <v>0</v>
      </c>
      <c r="AD18" s="1423">
        <v>0</v>
      </c>
      <c r="AE18" s="1423">
        <v>0</v>
      </c>
      <c r="AF18" s="1423">
        <v>0</v>
      </c>
      <c r="AG18" s="1423">
        <v>0</v>
      </c>
      <c r="AH18" s="1423">
        <v>0</v>
      </c>
      <c r="AI18" s="1423">
        <v>0</v>
      </c>
      <c r="AJ18" s="1423">
        <v>0</v>
      </c>
      <c r="AK18" s="1423">
        <v>0</v>
      </c>
      <c r="AL18" s="1423">
        <v>0</v>
      </c>
      <c r="AM18" s="1423">
        <v>0</v>
      </c>
      <c r="AN18" s="1423">
        <v>0</v>
      </c>
      <c r="AO18" s="1423">
        <v>0</v>
      </c>
      <c r="AP18" s="1423">
        <v>0</v>
      </c>
      <c r="AQ18" s="1423">
        <v>0</v>
      </c>
      <c r="AR18" s="1423">
        <v>0</v>
      </c>
      <c r="AS18" s="1423">
        <v>0</v>
      </c>
      <c r="AT18" s="1423">
        <v>0</v>
      </c>
      <c r="AU18" s="1423">
        <v>-109374.5454545454</v>
      </c>
      <c r="AV18" s="1423">
        <v>-9255.2219999999998</v>
      </c>
      <c r="AW18" s="1423">
        <v>0</v>
      </c>
      <c r="AX18" s="1423">
        <v>-1915.2</v>
      </c>
      <c r="AY18" s="1423">
        <v>0</v>
      </c>
      <c r="AZ18" s="1423">
        <v>-116.02079999999999</v>
      </c>
      <c r="BA18" s="1423">
        <v>0</v>
      </c>
      <c r="BB18" s="1423">
        <v>0</v>
      </c>
      <c r="BC18" s="1423">
        <v>0</v>
      </c>
      <c r="BD18" s="1423">
        <v>-819169.64280000003</v>
      </c>
      <c r="BE18" s="1423"/>
    </row>
    <row r="19" spans="1:57">
      <c r="A19" s="73" t="s">
        <v>166</v>
      </c>
      <c r="B19" s="74">
        <v>-39627.30599999999</v>
      </c>
      <c r="C19" s="1423">
        <v>0</v>
      </c>
      <c r="D19" s="1423">
        <v>0</v>
      </c>
      <c r="E19" s="1423">
        <v>-39627.30599999999</v>
      </c>
      <c r="F19" s="1423">
        <v>0</v>
      </c>
      <c r="G19" s="1423">
        <v>0</v>
      </c>
      <c r="H19" s="1423">
        <v>0</v>
      </c>
      <c r="I19" s="1423">
        <v>0</v>
      </c>
      <c r="J19" s="1423">
        <v>0</v>
      </c>
      <c r="K19" s="1423">
        <v>0</v>
      </c>
      <c r="L19" s="1423">
        <v>0</v>
      </c>
      <c r="M19" s="1423">
        <v>0</v>
      </c>
      <c r="N19" s="1423">
        <v>0</v>
      </c>
      <c r="O19" s="1423">
        <v>0</v>
      </c>
      <c r="P19" s="1423">
        <v>0</v>
      </c>
      <c r="Q19" s="1423">
        <v>0</v>
      </c>
      <c r="R19" s="1423">
        <v>0</v>
      </c>
      <c r="S19" s="1423">
        <v>0</v>
      </c>
      <c r="T19" s="1423">
        <v>0</v>
      </c>
      <c r="U19" s="1423">
        <v>0</v>
      </c>
      <c r="V19" s="1423">
        <v>0</v>
      </c>
      <c r="W19" s="1423">
        <v>0</v>
      </c>
      <c r="X19" s="1423">
        <v>0</v>
      </c>
      <c r="Y19" s="1423">
        <v>0</v>
      </c>
      <c r="Z19" s="1423">
        <v>0</v>
      </c>
      <c r="AA19" s="1423">
        <v>0</v>
      </c>
      <c r="AB19" s="1423">
        <v>0</v>
      </c>
      <c r="AC19" s="1423">
        <v>0</v>
      </c>
      <c r="AD19" s="1423">
        <v>0</v>
      </c>
      <c r="AE19" s="1423">
        <v>0</v>
      </c>
      <c r="AF19" s="1423">
        <v>0</v>
      </c>
      <c r="AG19" s="1423">
        <v>0</v>
      </c>
      <c r="AH19" s="1423">
        <v>0</v>
      </c>
      <c r="AI19" s="1423">
        <v>0</v>
      </c>
      <c r="AJ19" s="1423">
        <v>0</v>
      </c>
      <c r="AK19" s="1423">
        <v>0</v>
      </c>
      <c r="AL19" s="1423">
        <v>0</v>
      </c>
      <c r="AM19" s="1423">
        <v>0</v>
      </c>
      <c r="AN19" s="1423">
        <v>0</v>
      </c>
      <c r="AO19" s="1423">
        <v>0</v>
      </c>
      <c r="AP19" s="1423">
        <v>0</v>
      </c>
      <c r="AQ19" s="1423">
        <v>0</v>
      </c>
      <c r="AR19" s="1423">
        <v>0</v>
      </c>
      <c r="AS19" s="1423">
        <v>0</v>
      </c>
      <c r="AT19" s="1423">
        <v>0</v>
      </c>
      <c r="AU19" s="1423">
        <v>0</v>
      </c>
      <c r="AV19" s="1423">
        <v>-639.43200000000002</v>
      </c>
      <c r="AW19" s="1423">
        <v>0</v>
      </c>
      <c r="AX19" s="1423">
        <v>0</v>
      </c>
      <c r="AY19" s="1423">
        <v>0</v>
      </c>
      <c r="AZ19" s="1423">
        <v>0</v>
      </c>
      <c r="BA19" s="1423">
        <v>0</v>
      </c>
      <c r="BB19" s="1423">
        <v>0</v>
      </c>
      <c r="BC19" s="1423">
        <v>0</v>
      </c>
      <c r="BD19" s="1423">
        <v>-24659.049599999998</v>
      </c>
      <c r="BE19" s="1423"/>
    </row>
    <row r="20" spans="1:57">
      <c r="A20" s="73" t="s">
        <v>167</v>
      </c>
      <c r="B20" s="74">
        <v>0</v>
      </c>
      <c r="C20" s="1423">
        <v>0</v>
      </c>
      <c r="D20" s="1423">
        <v>0</v>
      </c>
      <c r="E20" s="1423">
        <v>0</v>
      </c>
      <c r="F20" s="1423">
        <v>0</v>
      </c>
      <c r="G20" s="1423">
        <v>0</v>
      </c>
      <c r="H20" s="1423">
        <v>0</v>
      </c>
      <c r="I20" s="1423">
        <v>0</v>
      </c>
      <c r="J20" s="1423">
        <v>0</v>
      </c>
      <c r="K20" s="1423">
        <v>0</v>
      </c>
      <c r="L20" s="1423">
        <v>0</v>
      </c>
      <c r="M20" s="1423">
        <v>0</v>
      </c>
      <c r="N20" s="1423">
        <v>0</v>
      </c>
      <c r="O20" s="1423">
        <v>0</v>
      </c>
      <c r="P20" s="1423">
        <v>0</v>
      </c>
      <c r="Q20" s="1423">
        <v>0</v>
      </c>
      <c r="R20" s="1423">
        <v>0</v>
      </c>
      <c r="S20" s="1423">
        <v>0</v>
      </c>
      <c r="T20" s="1423">
        <v>0</v>
      </c>
      <c r="U20" s="1423">
        <v>0</v>
      </c>
      <c r="V20" s="1423">
        <v>0</v>
      </c>
      <c r="W20" s="1423">
        <v>0</v>
      </c>
      <c r="X20" s="1423">
        <v>0</v>
      </c>
      <c r="Y20" s="1423">
        <v>0</v>
      </c>
      <c r="Z20" s="1423">
        <v>0</v>
      </c>
      <c r="AA20" s="1423">
        <v>0</v>
      </c>
      <c r="AB20" s="1423">
        <v>0</v>
      </c>
      <c r="AC20" s="1423">
        <v>0</v>
      </c>
      <c r="AD20" s="1423">
        <v>0</v>
      </c>
      <c r="AE20" s="1423">
        <v>0</v>
      </c>
      <c r="AF20" s="1423">
        <v>0</v>
      </c>
      <c r="AG20" s="1423">
        <v>0</v>
      </c>
      <c r="AH20" s="1423">
        <v>0</v>
      </c>
      <c r="AI20" s="1423">
        <v>0</v>
      </c>
      <c r="AJ20" s="1423">
        <v>0</v>
      </c>
      <c r="AK20" s="1423">
        <v>0</v>
      </c>
      <c r="AL20" s="1423">
        <v>0</v>
      </c>
      <c r="AM20" s="1423">
        <v>0</v>
      </c>
      <c r="AN20" s="1423">
        <v>0</v>
      </c>
      <c r="AO20" s="1423">
        <v>0</v>
      </c>
      <c r="AP20" s="1423">
        <v>0</v>
      </c>
      <c r="AQ20" s="1423">
        <v>0</v>
      </c>
      <c r="AR20" s="1423">
        <v>0</v>
      </c>
      <c r="AS20" s="1423">
        <v>0</v>
      </c>
      <c r="AT20" s="1423">
        <v>0</v>
      </c>
      <c r="AU20" s="1423">
        <v>0</v>
      </c>
      <c r="AV20" s="1423">
        <v>0</v>
      </c>
      <c r="AW20" s="1423">
        <v>0</v>
      </c>
      <c r="AX20" s="1423">
        <v>0</v>
      </c>
      <c r="AY20" s="1423">
        <v>0</v>
      </c>
      <c r="AZ20" s="1423">
        <v>0</v>
      </c>
      <c r="BA20" s="1423">
        <v>0</v>
      </c>
      <c r="BB20" s="1423">
        <v>0</v>
      </c>
      <c r="BC20" s="1423">
        <v>0</v>
      </c>
      <c r="BD20" s="1423">
        <v>0</v>
      </c>
      <c r="BE20" s="1423">
        <v>0</v>
      </c>
    </row>
    <row r="21" spans="1:57">
      <c r="A21" s="73" t="s">
        <v>168</v>
      </c>
      <c r="B21" s="74">
        <v>0</v>
      </c>
      <c r="C21" s="1423">
        <v>0</v>
      </c>
      <c r="D21" s="1423">
        <v>0</v>
      </c>
      <c r="E21" s="1423">
        <v>0</v>
      </c>
      <c r="F21" s="1423">
        <v>0</v>
      </c>
      <c r="G21" s="1423">
        <v>0</v>
      </c>
      <c r="H21" s="1423">
        <v>0</v>
      </c>
      <c r="I21" s="1423">
        <v>0</v>
      </c>
      <c r="J21" s="1423">
        <v>0</v>
      </c>
      <c r="K21" s="1423">
        <v>0</v>
      </c>
      <c r="L21" s="1423">
        <v>0</v>
      </c>
      <c r="M21" s="1423">
        <v>0</v>
      </c>
      <c r="N21" s="1423">
        <v>0</v>
      </c>
      <c r="O21" s="1423">
        <v>0</v>
      </c>
      <c r="P21" s="1423">
        <v>0</v>
      </c>
      <c r="Q21" s="1423">
        <v>-237996</v>
      </c>
      <c r="R21" s="1423">
        <v>0</v>
      </c>
      <c r="S21" s="1423">
        <v>0</v>
      </c>
      <c r="T21" s="1423">
        <v>0</v>
      </c>
      <c r="U21" s="1423">
        <v>0</v>
      </c>
      <c r="V21" s="1423">
        <v>0</v>
      </c>
      <c r="W21" s="1423">
        <v>0</v>
      </c>
      <c r="X21" s="1423">
        <v>0</v>
      </c>
      <c r="Y21" s="1423">
        <v>0</v>
      </c>
      <c r="Z21" s="1423">
        <v>0</v>
      </c>
      <c r="AA21" s="1423">
        <v>0</v>
      </c>
      <c r="AB21" s="1423">
        <v>0</v>
      </c>
      <c r="AC21" s="1423">
        <v>0</v>
      </c>
      <c r="AD21" s="1423">
        <v>0</v>
      </c>
      <c r="AE21" s="1423">
        <v>0</v>
      </c>
      <c r="AF21" s="1423">
        <v>0</v>
      </c>
      <c r="AG21" s="1423">
        <v>0</v>
      </c>
      <c r="AH21" s="1423">
        <v>0</v>
      </c>
      <c r="AI21" s="1423">
        <v>0</v>
      </c>
      <c r="AJ21" s="1423">
        <v>0</v>
      </c>
      <c r="AK21" s="1423">
        <v>0</v>
      </c>
      <c r="AL21" s="1423">
        <v>0</v>
      </c>
      <c r="AM21" s="1423">
        <v>0</v>
      </c>
      <c r="AN21" s="1423">
        <v>0</v>
      </c>
      <c r="AO21" s="1423">
        <v>0</v>
      </c>
      <c r="AP21" s="1423">
        <v>0</v>
      </c>
      <c r="AQ21" s="1423">
        <v>0</v>
      </c>
      <c r="AR21" s="1423">
        <v>0</v>
      </c>
      <c r="AS21" s="1423">
        <v>0</v>
      </c>
      <c r="AT21" s="1423">
        <v>0</v>
      </c>
      <c r="AU21" s="1423">
        <v>0</v>
      </c>
      <c r="AV21" s="1423">
        <v>0</v>
      </c>
      <c r="AW21" s="1423">
        <v>0</v>
      </c>
      <c r="AX21" s="1423">
        <v>0</v>
      </c>
      <c r="AY21" s="1423">
        <v>0</v>
      </c>
      <c r="AZ21" s="1423">
        <v>0</v>
      </c>
      <c r="BA21" s="1423">
        <v>0</v>
      </c>
      <c r="BB21" s="1423">
        <v>0</v>
      </c>
      <c r="BC21" s="1423">
        <v>0</v>
      </c>
      <c r="BD21" s="1423">
        <v>-734.33159999999998</v>
      </c>
      <c r="BE21" s="1423">
        <v>0</v>
      </c>
    </row>
    <row r="22" spans="1:57">
      <c r="A22" s="73" t="s">
        <v>169</v>
      </c>
      <c r="B22" s="74">
        <v>0</v>
      </c>
      <c r="C22" s="1423">
        <v>0</v>
      </c>
      <c r="D22" s="1423">
        <v>0</v>
      </c>
      <c r="E22" s="1423">
        <v>0</v>
      </c>
      <c r="F22" s="1423">
        <v>0</v>
      </c>
      <c r="G22" s="1423">
        <v>0</v>
      </c>
      <c r="H22" s="1423">
        <v>0</v>
      </c>
      <c r="I22" s="1423">
        <v>0</v>
      </c>
      <c r="J22" s="1423">
        <v>0</v>
      </c>
      <c r="K22" s="1423">
        <v>0</v>
      </c>
      <c r="L22" s="1423">
        <v>0</v>
      </c>
      <c r="M22" s="1423">
        <v>0</v>
      </c>
      <c r="N22" s="1423">
        <v>0</v>
      </c>
      <c r="O22" s="1423">
        <v>0</v>
      </c>
      <c r="P22" s="1423">
        <v>0</v>
      </c>
      <c r="Q22" s="1423">
        <v>0</v>
      </c>
      <c r="R22" s="1423">
        <v>0</v>
      </c>
      <c r="S22" s="1423">
        <v>0</v>
      </c>
      <c r="T22" s="1423">
        <v>0</v>
      </c>
      <c r="U22" s="1423">
        <v>0</v>
      </c>
      <c r="V22" s="1423">
        <v>0</v>
      </c>
      <c r="W22" s="1423">
        <v>0</v>
      </c>
      <c r="X22" s="1423">
        <v>0</v>
      </c>
      <c r="Y22" s="1423">
        <v>0</v>
      </c>
      <c r="Z22" s="1423">
        <v>0</v>
      </c>
      <c r="AA22" s="1423">
        <v>0</v>
      </c>
      <c r="AB22" s="1423">
        <v>0</v>
      </c>
      <c r="AC22" s="1423">
        <v>0</v>
      </c>
      <c r="AD22" s="1423">
        <v>0</v>
      </c>
      <c r="AE22" s="1423">
        <v>0</v>
      </c>
      <c r="AF22" s="1423">
        <v>0</v>
      </c>
      <c r="AG22" s="1423">
        <v>0</v>
      </c>
      <c r="AH22" s="1423">
        <v>0</v>
      </c>
      <c r="AI22" s="1423">
        <v>0</v>
      </c>
      <c r="AJ22" s="1423">
        <v>0</v>
      </c>
      <c r="AK22" s="1423">
        <v>0</v>
      </c>
      <c r="AL22" s="1423">
        <v>0</v>
      </c>
      <c r="AM22" s="1423">
        <v>0</v>
      </c>
      <c r="AN22" s="1423">
        <v>0</v>
      </c>
      <c r="AO22" s="1423">
        <v>0</v>
      </c>
      <c r="AP22" s="1423">
        <v>0</v>
      </c>
      <c r="AQ22" s="1423">
        <v>0</v>
      </c>
      <c r="AR22" s="1423">
        <v>0</v>
      </c>
      <c r="AS22" s="1423">
        <v>0</v>
      </c>
      <c r="AT22" s="1423">
        <v>0</v>
      </c>
      <c r="AU22" s="1423"/>
      <c r="AV22" s="1423"/>
      <c r="AW22" s="1423"/>
      <c r="AX22" s="1423"/>
      <c r="AY22" s="1423"/>
      <c r="AZ22" s="1423"/>
      <c r="BA22" s="1423">
        <v>0</v>
      </c>
      <c r="BB22" s="1423">
        <v>0</v>
      </c>
      <c r="BC22" s="1423">
        <v>0</v>
      </c>
      <c r="BD22" s="1423">
        <v>0</v>
      </c>
      <c r="BE22" s="1423">
        <v>0</v>
      </c>
    </row>
    <row r="23" spans="1:57">
      <c r="A23" s="73" t="s">
        <v>170</v>
      </c>
      <c r="B23" s="74">
        <v>0</v>
      </c>
      <c r="C23" s="1423">
        <v>0</v>
      </c>
      <c r="D23" s="1423">
        <v>0</v>
      </c>
      <c r="E23" s="1423">
        <v>0</v>
      </c>
      <c r="F23" s="1423">
        <v>0</v>
      </c>
      <c r="G23" s="1423">
        <v>0</v>
      </c>
      <c r="H23" s="1423">
        <v>0</v>
      </c>
      <c r="I23" s="1423">
        <v>0</v>
      </c>
      <c r="J23" s="1423">
        <v>0</v>
      </c>
      <c r="K23" s="1423">
        <v>0</v>
      </c>
      <c r="L23" s="1423">
        <v>0</v>
      </c>
      <c r="M23" s="1423">
        <v>0</v>
      </c>
      <c r="N23" s="1423">
        <v>0</v>
      </c>
      <c r="O23" s="1423">
        <v>0</v>
      </c>
      <c r="P23" s="1423">
        <v>0</v>
      </c>
      <c r="Q23" s="1423">
        <v>0</v>
      </c>
      <c r="R23" s="1423">
        <v>0</v>
      </c>
      <c r="S23" s="1423">
        <v>0</v>
      </c>
      <c r="T23" s="1423">
        <v>0</v>
      </c>
      <c r="U23" s="1423">
        <v>0</v>
      </c>
      <c r="V23" s="1423">
        <v>0</v>
      </c>
      <c r="W23" s="1423">
        <v>0</v>
      </c>
      <c r="X23" s="1423">
        <v>0</v>
      </c>
      <c r="Y23" s="1423">
        <v>0</v>
      </c>
      <c r="Z23" s="1423">
        <v>0</v>
      </c>
      <c r="AA23" s="1423">
        <v>0</v>
      </c>
      <c r="AB23" s="1423">
        <v>0</v>
      </c>
      <c r="AC23" s="1423">
        <v>0</v>
      </c>
      <c r="AD23" s="1423">
        <v>0</v>
      </c>
      <c r="AE23" s="1423">
        <v>0</v>
      </c>
      <c r="AF23" s="1423">
        <v>0</v>
      </c>
      <c r="AG23" s="1423">
        <v>0</v>
      </c>
      <c r="AH23" s="1423">
        <v>0</v>
      </c>
      <c r="AI23" s="1423">
        <v>0</v>
      </c>
      <c r="AJ23" s="1423">
        <v>0</v>
      </c>
      <c r="AK23" s="1423">
        <v>0</v>
      </c>
      <c r="AL23" s="1423">
        <v>0</v>
      </c>
      <c r="AM23" s="1423">
        <v>0</v>
      </c>
      <c r="AN23" s="1423">
        <v>0</v>
      </c>
      <c r="AO23" s="1423">
        <v>0</v>
      </c>
      <c r="AP23" s="1423">
        <v>0</v>
      </c>
      <c r="AQ23" s="1423">
        <v>0</v>
      </c>
      <c r="AR23" s="1423">
        <v>0</v>
      </c>
      <c r="AS23" s="1423">
        <v>0</v>
      </c>
      <c r="AT23" s="1423">
        <v>0</v>
      </c>
      <c r="AU23" s="1423"/>
      <c r="AV23" s="1423"/>
      <c r="AW23" s="1423"/>
      <c r="AX23" s="1423"/>
      <c r="AY23" s="1423"/>
      <c r="AZ23" s="1423"/>
      <c r="BA23" s="1423">
        <v>0</v>
      </c>
      <c r="BB23" s="1423">
        <v>0</v>
      </c>
      <c r="BC23" s="1423">
        <v>0</v>
      </c>
      <c r="BD23" s="1423">
        <v>0</v>
      </c>
      <c r="BE23" s="1423">
        <v>0</v>
      </c>
    </row>
    <row r="24" spans="1:57">
      <c r="A24" s="73" t="s">
        <v>171</v>
      </c>
      <c r="B24" s="74">
        <v>0</v>
      </c>
      <c r="C24" s="1423">
        <v>0</v>
      </c>
      <c r="D24" s="1423">
        <v>0</v>
      </c>
      <c r="E24" s="1423">
        <v>0</v>
      </c>
      <c r="F24" s="1423">
        <v>0</v>
      </c>
      <c r="G24" s="1423">
        <v>0</v>
      </c>
      <c r="H24" s="1423">
        <v>0</v>
      </c>
      <c r="I24" s="1423">
        <v>0</v>
      </c>
      <c r="J24" s="1423">
        <v>0</v>
      </c>
      <c r="K24" s="1423">
        <v>0</v>
      </c>
      <c r="L24" s="1423">
        <v>0</v>
      </c>
      <c r="M24" s="1423">
        <v>0</v>
      </c>
      <c r="N24" s="1423">
        <v>0</v>
      </c>
      <c r="O24" s="1423">
        <v>0</v>
      </c>
      <c r="P24" s="1423">
        <v>0</v>
      </c>
      <c r="Q24" s="1423">
        <v>0</v>
      </c>
      <c r="R24" s="1423">
        <v>0</v>
      </c>
      <c r="S24" s="1423">
        <v>0</v>
      </c>
      <c r="T24" s="1423">
        <v>0</v>
      </c>
      <c r="U24" s="1423">
        <v>0</v>
      </c>
      <c r="V24" s="1423">
        <v>0</v>
      </c>
      <c r="W24" s="1423">
        <v>0</v>
      </c>
      <c r="X24" s="1423">
        <v>0</v>
      </c>
      <c r="Y24" s="1423">
        <v>0</v>
      </c>
      <c r="Z24" s="1423">
        <v>0</v>
      </c>
      <c r="AA24" s="1423">
        <v>0</v>
      </c>
      <c r="AB24" s="1423">
        <v>0</v>
      </c>
      <c r="AC24" s="1423">
        <v>0</v>
      </c>
      <c r="AD24" s="1423">
        <v>0</v>
      </c>
      <c r="AE24" s="1423">
        <v>0</v>
      </c>
      <c r="AF24" s="1423">
        <v>0</v>
      </c>
      <c r="AG24" s="1423">
        <v>0</v>
      </c>
      <c r="AH24" s="1423">
        <v>0</v>
      </c>
      <c r="AI24" s="1423">
        <v>0</v>
      </c>
      <c r="AJ24" s="1423">
        <v>0</v>
      </c>
      <c r="AK24" s="1423">
        <v>0</v>
      </c>
      <c r="AL24" s="1423">
        <v>0</v>
      </c>
      <c r="AM24" s="1423">
        <v>0</v>
      </c>
      <c r="AN24" s="1423">
        <v>0</v>
      </c>
      <c r="AO24" s="1423">
        <v>0</v>
      </c>
      <c r="AP24" s="1423">
        <v>0</v>
      </c>
      <c r="AQ24" s="1423">
        <v>0</v>
      </c>
      <c r="AR24" s="1423">
        <v>0</v>
      </c>
      <c r="AS24" s="1423">
        <v>0</v>
      </c>
      <c r="AT24" s="1423">
        <v>0</v>
      </c>
      <c r="AU24" s="1423"/>
      <c r="AV24" s="1423"/>
      <c r="AW24" s="1423"/>
      <c r="AX24" s="1423"/>
      <c r="AY24" s="1423"/>
      <c r="AZ24" s="1423"/>
      <c r="BA24" s="1423">
        <v>0</v>
      </c>
      <c r="BB24" s="1423">
        <v>0</v>
      </c>
      <c r="BC24" s="1423">
        <v>0</v>
      </c>
      <c r="BD24" s="1423">
        <v>0</v>
      </c>
      <c r="BE24" s="1423">
        <v>0</v>
      </c>
    </row>
    <row r="25" spans="1:57">
      <c r="A25" s="73" t="s">
        <v>172</v>
      </c>
      <c r="B25" s="74">
        <v>0</v>
      </c>
      <c r="C25" s="1423">
        <v>0</v>
      </c>
      <c r="D25" s="1423">
        <v>0</v>
      </c>
      <c r="E25" s="1423">
        <v>0</v>
      </c>
      <c r="F25" s="1423">
        <v>0</v>
      </c>
      <c r="G25" s="1423">
        <v>0</v>
      </c>
      <c r="H25" s="1423">
        <v>0</v>
      </c>
      <c r="I25" s="1423">
        <v>0</v>
      </c>
      <c r="J25" s="1423">
        <v>0</v>
      </c>
      <c r="K25" s="1423">
        <v>0</v>
      </c>
      <c r="L25" s="1423">
        <v>0</v>
      </c>
      <c r="M25" s="1423">
        <v>0</v>
      </c>
      <c r="N25" s="1423">
        <v>0</v>
      </c>
      <c r="O25" s="1423">
        <v>0</v>
      </c>
      <c r="P25" s="1423">
        <v>0</v>
      </c>
      <c r="Q25" s="1423">
        <v>0</v>
      </c>
      <c r="R25" s="1423">
        <v>0</v>
      </c>
      <c r="S25" s="1423">
        <v>0</v>
      </c>
      <c r="T25" s="1423">
        <v>0</v>
      </c>
      <c r="U25" s="1423">
        <v>0</v>
      </c>
      <c r="V25" s="1423">
        <v>0</v>
      </c>
      <c r="W25" s="1423">
        <v>0</v>
      </c>
      <c r="X25" s="1423">
        <v>0</v>
      </c>
      <c r="Y25" s="1423">
        <v>0</v>
      </c>
      <c r="Z25" s="1423">
        <v>0</v>
      </c>
      <c r="AA25" s="1423">
        <v>0</v>
      </c>
      <c r="AB25" s="1423">
        <v>0</v>
      </c>
      <c r="AC25" s="1423">
        <v>0</v>
      </c>
      <c r="AD25" s="1423">
        <v>0</v>
      </c>
      <c r="AE25" s="1423">
        <v>0</v>
      </c>
      <c r="AF25" s="1423">
        <v>0</v>
      </c>
      <c r="AG25" s="1423">
        <v>0</v>
      </c>
      <c r="AH25" s="1423">
        <v>0</v>
      </c>
      <c r="AI25" s="1423">
        <v>0</v>
      </c>
      <c r="AJ25" s="1423">
        <v>0</v>
      </c>
      <c r="AK25" s="1423">
        <v>0</v>
      </c>
      <c r="AL25" s="1423">
        <v>0</v>
      </c>
      <c r="AM25" s="1423">
        <v>0</v>
      </c>
      <c r="AN25" s="1423">
        <v>0</v>
      </c>
      <c r="AO25" s="1423">
        <v>0</v>
      </c>
      <c r="AP25" s="1423">
        <v>0</v>
      </c>
      <c r="AQ25" s="1423">
        <v>0</v>
      </c>
      <c r="AR25" s="1423">
        <v>0</v>
      </c>
      <c r="AS25" s="1423">
        <v>0</v>
      </c>
      <c r="AT25" s="1423">
        <v>0</v>
      </c>
      <c r="AU25" s="1423"/>
      <c r="AV25" s="1423"/>
      <c r="AW25" s="1423"/>
      <c r="AX25" s="1423"/>
      <c r="AY25" s="1423"/>
      <c r="AZ25" s="1423"/>
      <c r="BA25" s="1423">
        <v>0</v>
      </c>
      <c r="BB25" s="1423">
        <v>0</v>
      </c>
      <c r="BC25" s="1423">
        <v>0</v>
      </c>
      <c r="BD25" s="1423">
        <v>0</v>
      </c>
      <c r="BE25" s="1423">
        <v>0</v>
      </c>
    </row>
    <row r="26" spans="1:57">
      <c r="A26" s="73" t="s">
        <v>173</v>
      </c>
      <c r="B26" s="74">
        <v>0</v>
      </c>
      <c r="C26" s="1423">
        <v>0</v>
      </c>
      <c r="D26" s="1423">
        <v>0</v>
      </c>
      <c r="E26" s="1423">
        <v>0</v>
      </c>
      <c r="F26" s="1423">
        <v>0</v>
      </c>
      <c r="G26" s="1423">
        <v>0</v>
      </c>
      <c r="H26" s="1423">
        <v>0</v>
      </c>
      <c r="I26" s="1423">
        <v>0</v>
      </c>
      <c r="J26" s="1423">
        <v>0</v>
      </c>
      <c r="K26" s="1423">
        <v>0</v>
      </c>
      <c r="L26" s="1423">
        <v>0</v>
      </c>
      <c r="M26" s="1423">
        <v>0</v>
      </c>
      <c r="N26" s="1423">
        <v>0</v>
      </c>
      <c r="O26" s="1423">
        <v>0</v>
      </c>
      <c r="P26" s="1423">
        <v>0</v>
      </c>
      <c r="Q26" s="1423">
        <v>0</v>
      </c>
      <c r="R26" s="1423">
        <v>0</v>
      </c>
      <c r="S26" s="1423">
        <v>0</v>
      </c>
      <c r="T26" s="1423">
        <v>0</v>
      </c>
      <c r="U26" s="1423">
        <v>0</v>
      </c>
      <c r="V26" s="1423">
        <v>0</v>
      </c>
      <c r="W26" s="1423">
        <v>0</v>
      </c>
      <c r="X26" s="1423">
        <v>0</v>
      </c>
      <c r="Y26" s="1423">
        <v>0</v>
      </c>
      <c r="Z26" s="1423">
        <v>0</v>
      </c>
      <c r="AA26" s="1423">
        <v>0</v>
      </c>
      <c r="AB26" s="1423">
        <v>0</v>
      </c>
      <c r="AC26" s="1423">
        <v>0</v>
      </c>
      <c r="AD26" s="1423">
        <v>0</v>
      </c>
      <c r="AE26" s="1423">
        <v>0</v>
      </c>
      <c r="AF26" s="1423">
        <v>0</v>
      </c>
      <c r="AG26" s="1423">
        <v>0</v>
      </c>
      <c r="AH26" s="1423">
        <v>0</v>
      </c>
      <c r="AI26" s="1423">
        <v>0</v>
      </c>
      <c r="AJ26" s="1423">
        <v>0</v>
      </c>
      <c r="AK26" s="1423">
        <v>0</v>
      </c>
      <c r="AL26" s="1423">
        <v>0</v>
      </c>
      <c r="AM26" s="1423">
        <v>0</v>
      </c>
      <c r="AN26" s="1423">
        <v>0</v>
      </c>
      <c r="AO26" s="1423">
        <v>0</v>
      </c>
      <c r="AP26" s="1423">
        <v>0</v>
      </c>
      <c r="AQ26" s="1423">
        <v>0</v>
      </c>
      <c r="AR26" s="1423">
        <v>0</v>
      </c>
      <c r="AS26" s="1423">
        <v>0</v>
      </c>
      <c r="AT26" s="1423">
        <v>0</v>
      </c>
      <c r="AU26" s="1423"/>
      <c r="AV26" s="1423"/>
      <c r="AW26" s="1423"/>
      <c r="AX26" s="1423"/>
      <c r="AY26" s="1423"/>
      <c r="AZ26" s="1423"/>
      <c r="BA26" s="1423">
        <v>0</v>
      </c>
      <c r="BB26" s="1423">
        <v>0</v>
      </c>
      <c r="BC26" s="1423">
        <v>0</v>
      </c>
      <c r="BD26" s="1423">
        <v>0</v>
      </c>
      <c r="BE26" s="1423">
        <v>0</v>
      </c>
    </row>
    <row r="27" spans="1:57">
      <c r="A27" s="73" t="s">
        <v>174</v>
      </c>
      <c r="B27" s="74">
        <v>-68315.691999999995</v>
      </c>
      <c r="C27" s="1423">
        <v>0</v>
      </c>
      <c r="D27" s="1423">
        <v>-68315.691999999995</v>
      </c>
      <c r="E27" s="1423">
        <v>0</v>
      </c>
      <c r="F27" s="1423">
        <v>0</v>
      </c>
      <c r="G27" s="1423">
        <v>0</v>
      </c>
      <c r="H27" s="1423">
        <v>0</v>
      </c>
      <c r="I27" s="1423">
        <v>0</v>
      </c>
      <c r="J27" s="1423">
        <v>59823.793799999999</v>
      </c>
      <c r="K27" s="1423">
        <v>0</v>
      </c>
      <c r="L27" s="1423">
        <v>0</v>
      </c>
      <c r="M27" s="1423">
        <v>0</v>
      </c>
      <c r="N27" s="1423">
        <v>0</v>
      </c>
      <c r="O27" s="1423">
        <v>0</v>
      </c>
      <c r="P27" s="1423">
        <v>0</v>
      </c>
      <c r="Q27" s="1423">
        <v>0</v>
      </c>
      <c r="R27" s="1423">
        <v>0</v>
      </c>
      <c r="S27" s="1423">
        <v>0</v>
      </c>
      <c r="T27" s="1423">
        <v>0</v>
      </c>
      <c r="U27" s="1423">
        <v>0</v>
      </c>
      <c r="V27" s="1423">
        <v>0</v>
      </c>
      <c r="W27" s="1423">
        <v>0</v>
      </c>
      <c r="X27" s="1423">
        <v>0</v>
      </c>
      <c r="Y27" s="1423">
        <v>0</v>
      </c>
      <c r="Z27" s="1423">
        <v>0</v>
      </c>
      <c r="AA27" s="1423">
        <v>0</v>
      </c>
      <c r="AB27" s="1423">
        <v>0</v>
      </c>
      <c r="AC27" s="1423">
        <v>0</v>
      </c>
      <c r="AD27" s="1423">
        <v>0</v>
      </c>
      <c r="AE27" s="1423">
        <v>0</v>
      </c>
      <c r="AF27" s="1423">
        <v>0</v>
      </c>
      <c r="AG27" s="1423">
        <v>0</v>
      </c>
      <c r="AH27" s="1423">
        <v>0</v>
      </c>
      <c r="AI27" s="1423">
        <v>0</v>
      </c>
      <c r="AJ27" s="1423">
        <v>0</v>
      </c>
      <c r="AK27" s="1423">
        <v>0</v>
      </c>
      <c r="AL27" s="1423">
        <v>0</v>
      </c>
      <c r="AM27" s="1423">
        <v>0</v>
      </c>
      <c r="AN27" s="1423">
        <v>0</v>
      </c>
      <c r="AO27" s="1423">
        <v>0</v>
      </c>
      <c r="AP27" s="1423">
        <v>0</v>
      </c>
      <c r="AQ27" s="1423">
        <v>0</v>
      </c>
      <c r="AR27" s="1423">
        <v>0</v>
      </c>
      <c r="AS27" s="1423">
        <v>0</v>
      </c>
      <c r="AT27" s="1423">
        <v>0</v>
      </c>
      <c r="AU27" s="1423"/>
      <c r="AV27" s="1423"/>
      <c r="AW27" s="1423"/>
      <c r="AX27" s="1423"/>
      <c r="AY27" s="1423"/>
      <c r="AZ27" s="1423"/>
      <c r="BA27" s="1423">
        <v>0</v>
      </c>
      <c r="BB27" s="1423">
        <v>0</v>
      </c>
      <c r="BC27" s="1423">
        <v>0</v>
      </c>
      <c r="BD27" s="1423">
        <v>0</v>
      </c>
      <c r="BE27" s="1423">
        <v>0</v>
      </c>
    </row>
    <row r="28" spans="1:57">
      <c r="A28" s="73" t="s">
        <v>175</v>
      </c>
      <c r="B28" s="74">
        <v>0</v>
      </c>
      <c r="C28" s="1423">
        <v>0</v>
      </c>
      <c r="D28" s="1423">
        <v>0</v>
      </c>
      <c r="E28" s="1423">
        <v>0</v>
      </c>
      <c r="F28" s="1423">
        <v>0</v>
      </c>
      <c r="G28" s="1423">
        <v>0</v>
      </c>
      <c r="H28" s="1423">
        <v>0</v>
      </c>
      <c r="I28" s="1423">
        <v>0</v>
      </c>
      <c r="J28" s="1423">
        <v>0</v>
      </c>
      <c r="K28" s="1423">
        <v>0</v>
      </c>
      <c r="L28" s="1423">
        <v>0</v>
      </c>
      <c r="M28" s="1423">
        <v>17680.580000000002</v>
      </c>
      <c r="N28" s="1423">
        <v>0</v>
      </c>
      <c r="O28" s="1423">
        <v>0</v>
      </c>
      <c r="P28" s="1423">
        <v>0</v>
      </c>
      <c r="Q28" s="1423">
        <v>0</v>
      </c>
      <c r="R28" s="1423">
        <v>0</v>
      </c>
      <c r="S28" s="1423">
        <v>0</v>
      </c>
      <c r="T28" s="1423">
        <v>0</v>
      </c>
      <c r="U28" s="1423">
        <v>0</v>
      </c>
      <c r="V28" s="1423">
        <v>0</v>
      </c>
      <c r="W28" s="1423">
        <v>0</v>
      </c>
      <c r="X28" s="1423">
        <v>0</v>
      </c>
      <c r="Y28" s="1423">
        <v>0</v>
      </c>
      <c r="Z28" s="1423">
        <v>0</v>
      </c>
      <c r="AA28" s="1423">
        <v>0</v>
      </c>
      <c r="AB28" s="1423">
        <v>0</v>
      </c>
      <c r="AC28" s="1423">
        <v>0</v>
      </c>
      <c r="AD28" s="1423">
        <v>0</v>
      </c>
      <c r="AE28" s="1423">
        <v>0</v>
      </c>
      <c r="AF28" s="1423">
        <v>0</v>
      </c>
      <c r="AG28" s="1423">
        <v>0</v>
      </c>
      <c r="AH28" s="1423">
        <v>0</v>
      </c>
      <c r="AI28" s="1423">
        <v>0</v>
      </c>
      <c r="AJ28" s="1423">
        <v>0</v>
      </c>
      <c r="AK28" s="1423">
        <v>0</v>
      </c>
      <c r="AL28" s="1423">
        <v>0</v>
      </c>
      <c r="AM28" s="1423">
        <v>0</v>
      </c>
      <c r="AN28" s="1423">
        <v>0</v>
      </c>
      <c r="AO28" s="1423">
        <v>0</v>
      </c>
      <c r="AP28" s="1423">
        <v>0</v>
      </c>
      <c r="AQ28" s="1423">
        <v>0</v>
      </c>
      <c r="AR28" s="1423">
        <v>0</v>
      </c>
      <c r="AS28" s="1423">
        <v>0</v>
      </c>
      <c r="AT28" s="1423">
        <v>0</v>
      </c>
      <c r="AU28" s="1423"/>
      <c r="AV28" s="1423"/>
      <c r="AW28" s="1423"/>
      <c r="AX28" s="1423"/>
      <c r="AY28" s="1423"/>
      <c r="AZ28" s="1423"/>
      <c r="BA28" s="1423">
        <v>0</v>
      </c>
      <c r="BB28" s="1423">
        <v>0</v>
      </c>
      <c r="BC28" s="1423">
        <v>0</v>
      </c>
      <c r="BD28" s="1423">
        <v>0</v>
      </c>
      <c r="BE28" s="1423">
        <v>0</v>
      </c>
    </row>
    <row r="29" spans="1:57">
      <c r="A29" s="73" t="s">
        <v>176</v>
      </c>
      <c r="B29" s="74">
        <v>0</v>
      </c>
      <c r="C29" s="1423">
        <v>0</v>
      </c>
      <c r="D29" s="1423">
        <v>0</v>
      </c>
      <c r="E29" s="1423">
        <v>0</v>
      </c>
      <c r="F29" s="1423">
        <v>0</v>
      </c>
      <c r="G29" s="1423">
        <v>0</v>
      </c>
      <c r="H29" s="1423">
        <v>0</v>
      </c>
      <c r="I29" s="1423">
        <v>0</v>
      </c>
      <c r="J29" s="1423">
        <v>-9573.4107000000004</v>
      </c>
      <c r="K29" s="1423">
        <v>0</v>
      </c>
      <c r="L29" s="1423">
        <v>0</v>
      </c>
      <c r="M29" s="1423">
        <v>0</v>
      </c>
      <c r="N29" s="1423">
        <v>0</v>
      </c>
      <c r="O29" s="1423">
        <v>19054</v>
      </c>
      <c r="P29" s="1423">
        <v>0</v>
      </c>
      <c r="Q29" s="1423">
        <v>0</v>
      </c>
      <c r="R29" s="1423">
        <v>0</v>
      </c>
      <c r="S29" s="1423">
        <v>0</v>
      </c>
      <c r="T29" s="1423">
        <v>0</v>
      </c>
      <c r="U29" s="1423">
        <v>0</v>
      </c>
      <c r="V29" s="1423">
        <v>0</v>
      </c>
      <c r="W29" s="1423">
        <v>0</v>
      </c>
      <c r="X29" s="1423">
        <v>0</v>
      </c>
      <c r="Y29" s="1423">
        <v>0</v>
      </c>
      <c r="Z29" s="1423">
        <v>0</v>
      </c>
      <c r="AA29" s="1423">
        <v>0</v>
      </c>
      <c r="AB29" s="1423">
        <v>0</v>
      </c>
      <c r="AC29" s="1423">
        <v>0</v>
      </c>
      <c r="AD29" s="1423">
        <v>0</v>
      </c>
      <c r="AE29" s="1423">
        <v>0</v>
      </c>
      <c r="AF29" s="1423">
        <v>0</v>
      </c>
      <c r="AG29" s="1423">
        <v>0</v>
      </c>
      <c r="AH29" s="1423">
        <v>0</v>
      </c>
      <c r="AI29" s="1423">
        <v>0</v>
      </c>
      <c r="AJ29" s="1423">
        <v>0</v>
      </c>
      <c r="AK29" s="1423">
        <v>0</v>
      </c>
      <c r="AL29" s="1423">
        <v>0</v>
      </c>
      <c r="AM29" s="1423">
        <v>0</v>
      </c>
      <c r="AN29" s="1423">
        <v>0</v>
      </c>
      <c r="AO29" s="1423">
        <v>0</v>
      </c>
      <c r="AP29" s="1423">
        <v>0</v>
      </c>
      <c r="AQ29" s="1423">
        <v>0</v>
      </c>
      <c r="AR29" s="1423">
        <v>0</v>
      </c>
      <c r="AS29" s="1423">
        <v>0</v>
      </c>
      <c r="AT29" s="1423">
        <v>0</v>
      </c>
      <c r="AU29" s="1423"/>
      <c r="AV29" s="1423"/>
      <c r="AW29" s="1423"/>
      <c r="AX29" s="1423"/>
      <c r="AY29" s="1423"/>
      <c r="AZ29" s="1423"/>
      <c r="BA29" s="1423">
        <v>0</v>
      </c>
      <c r="BB29" s="1423">
        <v>0</v>
      </c>
      <c r="BC29" s="1423">
        <v>0</v>
      </c>
      <c r="BD29" s="1423">
        <v>0</v>
      </c>
      <c r="BE29" s="1423">
        <v>0</v>
      </c>
    </row>
    <row r="30" spans="1:57">
      <c r="A30" s="73" t="s">
        <v>177</v>
      </c>
      <c r="B30" s="74">
        <v>0</v>
      </c>
      <c r="C30" s="1423">
        <v>0</v>
      </c>
      <c r="D30" s="1423">
        <v>0</v>
      </c>
      <c r="E30" s="1423">
        <v>0</v>
      </c>
      <c r="F30" s="1423">
        <v>0</v>
      </c>
      <c r="G30" s="1423">
        <v>0</v>
      </c>
      <c r="H30" s="1423">
        <v>0</v>
      </c>
      <c r="I30" s="1423">
        <v>0</v>
      </c>
      <c r="J30" s="1423">
        <v>0</v>
      </c>
      <c r="K30" s="1423">
        <v>0</v>
      </c>
      <c r="L30" s="1423">
        <v>0</v>
      </c>
      <c r="M30" s="1423">
        <v>0</v>
      </c>
      <c r="N30" s="1423">
        <v>0</v>
      </c>
      <c r="O30" s="1423">
        <v>0</v>
      </c>
      <c r="P30" s="1423">
        <v>0</v>
      </c>
      <c r="Q30" s="1423">
        <v>0</v>
      </c>
      <c r="R30" s="1423">
        <v>0</v>
      </c>
      <c r="S30" s="1423">
        <v>0</v>
      </c>
      <c r="T30" s="1423">
        <v>0</v>
      </c>
      <c r="U30" s="1423">
        <v>0</v>
      </c>
      <c r="V30" s="1423">
        <v>0</v>
      </c>
      <c r="W30" s="1423">
        <v>0</v>
      </c>
      <c r="X30" s="1423">
        <v>0</v>
      </c>
      <c r="Y30" s="1423">
        <v>0</v>
      </c>
      <c r="Z30" s="1423">
        <v>0</v>
      </c>
      <c r="AA30" s="1423">
        <v>0</v>
      </c>
      <c r="AB30" s="1423">
        <v>0</v>
      </c>
      <c r="AC30" s="1423">
        <v>0</v>
      </c>
      <c r="AD30" s="1423">
        <v>0</v>
      </c>
      <c r="AE30" s="1423">
        <v>0</v>
      </c>
      <c r="AF30" s="1423">
        <v>0</v>
      </c>
      <c r="AG30" s="1423">
        <v>0</v>
      </c>
      <c r="AH30" s="1423">
        <v>0</v>
      </c>
      <c r="AI30" s="1423">
        <v>0</v>
      </c>
      <c r="AJ30" s="1423">
        <v>0</v>
      </c>
      <c r="AK30" s="1423">
        <v>0</v>
      </c>
      <c r="AL30" s="1423">
        <v>0</v>
      </c>
      <c r="AM30" s="1423">
        <v>0</v>
      </c>
      <c r="AN30" s="1423">
        <v>0</v>
      </c>
      <c r="AO30" s="1423">
        <v>0</v>
      </c>
      <c r="AP30" s="1423">
        <v>0</v>
      </c>
      <c r="AQ30" s="1423">
        <v>0</v>
      </c>
      <c r="AR30" s="1423">
        <v>0</v>
      </c>
      <c r="AS30" s="1423">
        <v>0</v>
      </c>
      <c r="AT30" s="1423">
        <v>0</v>
      </c>
      <c r="AU30" s="1423"/>
      <c r="AV30" s="1423"/>
      <c r="AW30" s="1423"/>
      <c r="AX30" s="1423"/>
      <c r="AY30" s="1423"/>
      <c r="AZ30" s="1423"/>
      <c r="BA30" s="1423">
        <v>0</v>
      </c>
      <c r="BB30" s="1423">
        <v>0</v>
      </c>
      <c r="BC30" s="1423">
        <v>0</v>
      </c>
      <c r="BD30" s="1423">
        <v>0</v>
      </c>
      <c r="BE30" s="1423">
        <v>0</v>
      </c>
    </row>
    <row r="31" spans="1:57">
      <c r="A31" s="73" t="s">
        <v>178</v>
      </c>
      <c r="B31" s="74">
        <v>0</v>
      </c>
      <c r="C31" s="1423">
        <v>0</v>
      </c>
      <c r="D31" s="1423">
        <v>0</v>
      </c>
      <c r="E31" s="1423">
        <v>0</v>
      </c>
      <c r="F31" s="1423">
        <v>0</v>
      </c>
      <c r="G31" s="1423">
        <v>0</v>
      </c>
      <c r="H31" s="1423">
        <v>0</v>
      </c>
      <c r="I31" s="1423">
        <v>0</v>
      </c>
      <c r="J31" s="1423">
        <v>0</v>
      </c>
      <c r="K31" s="1423">
        <v>0</v>
      </c>
      <c r="L31" s="1423">
        <v>0</v>
      </c>
      <c r="M31" s="1423">
        <v>0</v>
      </c>
      <c r="N31" s="1423">
        <v>0</v>
      </c>
      <c r="O31" s="1423">
        <v>0</v>
      </c>
      <c r="P31" s="1423">
        <v>0</v>
      </c>
      <c r="Q31" s="1423">
        <v>0</v>
      </c>
      <c r="R31" s="1423">
        <v>0</v>
      </c>
      <c r="S31" s="1423">
        <v>0</v>
      </c>
      <c r="T31" s="1423">
        <v>0</v>
      </c>
      <c r="U31" s="1423">
        <v>0</v>
      </c>
      <c r="V31" s="1423">
        <v>0</v>
      </c>
      <c r="W31" s="1423">
        <v>0</v>
      </c>
      <c r="X31" s="1423">
        <v>0</v>
      </c>
      <c r="Y31" s="1423">
        <v>0</v>
      </c>
      <c r="Z31" s="1423">
        <v>0</v>
      </c>
      <c r="AA31" s="1423">
        <v>0</v>
      </c>
      <c r="AB31" s="1423">
        <v>0</v>
      </c>
      <c r="AC31" s="1423">
        <v>0</v>
      </c>
      <c r="AD31" s="1423">
        <v>0</v>
      </c>
      <c r="AE31" s="1423">
        <v>0</v>
      </c>
      <c r="AF31" s="1423">
        <v>0</v>
      </c>
      <c r="AG31" s="1423">
        <v>0</v>
      </c>
      <c r="AH31" s="1423">
        <v>0</v>
      </c>
      <c r="AI31" s="1423">
        <v>0</v>
      </c>
      <c r="AJ31" s="1423">
        <v>0</v>
      </c>
      <c r="AK31" s="1423">
        <v>0</v>
      </c>
      <c r="AL31" s="1423">
        <v>0</v>
      </c>
      <c r="AM31" s="1423">
        <v>0</v>
      </c>
      <c r="AN31" s="1423">
        <v>0</v>
      </c>
      <c r="AO31" s="1423">
        <v>0</v>
      </c>
      <c r="AP31" s="1423">
        <v>0</v>
      </c>
      <c r="AQ31" s="1423">
        <v>0</v>
      </c>
      <c r="AR31" s="1423">
        <v>0</v>
      </c>
      <c r="AS31" s="1423">
        <v>0</v>
      </c>
      <c r="AT31" s="1423">
        <v>0</v>
      </c>
      <c r="AU31" s="1423"/>
      <c r="AV31" s="1423"/>
      <c r="AW31" s="1423"/>
      <c r="AX31" s="1423"/>
      <c r="AY31" s="1423"/>
      <c r="AZ31" s="1423"/>
      <c r="BA31" s="1423">
        <v>0</v>
      </c>
      <c r="BB31" s="1423">
        <v>0</v>
      </c>
      <c r="BC31" s="1423">
        <v>0</v>
      </c>
      <c r="BD31" s="1423">
        <v>0</v>
      </c>
      <c r="BE31" s="1423">
        <v>0</v>
      </c>
    </row>
    <row r="32" spans="1:57">
      <c r="A32" s="73" t="s">
        <v>179</v>
      </c>
      <c r="B32" s="74">
        <v>0</v>
      </c>
      <c r="C32" s="1423">
        <v>0</v>
      </c>
      <c r="D32" s="1423">
        <v>0</v>
      </c>
      <c r="E32" s="1423">
        <v>0</v>
      </c>
      <c r="F32" s="1423">
        <v>0</v>
      </c>
      <c r="G32" s="1423">
        <v>0</v>
      </c>
      <c r="H32" s="1423">
        <v>0</v>
      </c>
      <c r="I32" s="1423">
        <v>0</v>
      </c>
      <c r="J32" s="1423">
        <v>0</v>
      </c>
      <c r="K32" s="1423">
        <v>0</v>
      </c>
      <c r="L32" s="1423">
        <v>0</v>
      </c>
      <c r="M32" s="1423">
        <v>0</v>
      </c>
      <c r="N32" s="1423">
        <v>0</v>
      </c>
      <c r="O32" s="1423">
        <v>0</v>
      </c>
      <c r="P32" s="1423">
        <v>0</v>
      </c>
      <c r="Q32" s="1423">
        <v>0</v>
      </c>
      <c r="R32" s="1423">
        <v>0</v>
      </c>
      <c r="S32" s="1423">
        <v>0</v>
      </c>
      <c r="T32" s="1423">
        <v>0</v>
      </c>
      <c r="U32" s="1423">
        <v>0</v>
      </c>
      <c r="V32" s="1423">
        <v>0</v>
      </c>
      <c r="W32" s="1423">
        <v>-905518.29225599999</v>
      </c>
      <c r="X32" s="1423">
        <v>-905518.29225599999</v>
      </c>
      <c r="Y32" s="1423">
        <v>0</v>
      </c>
      <c r="Z32" s="1423">
        <v>0</v>
      </c>
      <c r="AA32" s="1423">
        <v>0</v>
      </c>
      <c r="AB32" s="1423">
        <v>0</v>
      </c>
      <c r="AC32" s="1423">
        <v>0.02</v>
      </c>
      <c r="AD32" s="1423">
        <v>0</v>
      </c>
      <c r="AE32" s="1423">
        <v>13823.28781537778</v>
      </c>
      <c r="AF32" s="1423">
        <v>374654.65872658382</v>
      </c>
      <c r="AG32" s="1423">
        <v>0</v>
      </c>
      <c r="AH32" s="1423">
        <v>0</v>
      </c>
      <c r="AI32" s="1423">
        <v>73443.15394795555</v>
      </c>
      <c r="AJ32" s="1423">
        <v>27522.878340320989</v>
      </c>
      <c r="AK32" s="1423">
        <v>284146.83222546207</v>
      </c>
      <c r="AL32" s="1423">
        <v>175074.86987065259</v>
      </c>
      <c r="AM32" s="1423">
        <v>0</v>
      </c>
      <c r="AN32" s="1423">
        <v>4832.8996462296291</v>
      </c>
      <c r="AO32" s="1423">
        <v>12480.09358226666</v>
      </c>
      <c r="AP32" s="1423">
        <v>20868.561513738459</v>
      </c>
      <c r="AQ32" s="1423">
        <v>4156.6356091500002</v>
      </c>
      <c r="AR32" s="1423">
        <v>0</v>
      </c>
      <c r="AS32" s="1423">
        <v>0</v>
      </c>
      <c r="AT32" s="1423">
        <v>0</v>
      </c>
      <c r="AU32" s="1423"/>
      <c r="AV32" s="1423"/>
      <c r="AW32" s="1423"/>
      <c r="AX32" s="1423"/>
      <c r="AY32" s="1423"/>
      <c r="AZ32" s="1423"/>
      <c r="BA32" s="1423">
        <v>0</v>
      </c>
      <c r="BB32" s="1423">
        <v>0</v>
      </c>
      <c r="BC32" s="1423">
        <v>0</v>
      </c>
      <c r="BD32" s="1423">
        <v>0</v>
      </c>
      <c r="BE32" s="1423">
        <v>0</v>
      </c>
    </row>
    <row r="33" spans="1:57">
      <c r="A33" s="73" t="s">
        <v>180</v>
      </c>
      <c r="B33" s="1433">
        <v>-817860</v>
      </c>
      <c r="C33" s="1423">
        <v>0</v>
      </c>
      <c r="D33" s="1423">
        <v>0</v>
      </c>
      <c r="E33" s="1433">
        <v>-817860</v>
      </c>
      <c r="F33" s="1423">
        <v>0</v>
      </c>
      <c r="G33" s="1423">
        <v>0</v>
      </c>
      <c r="H33" s="1423">
        <v>0</v>
      </c>
      <c r="I33" s="1423">
        <v>0</v>
      </c>
      <c r="J33" s="1423">
        <v>0</v>
      </c>
      <c r="K33" s="1423">
        <v>0</v>
      </c>
      <c r="L33" s="1423">
        <v>0</v>
      </c>
      <c r="M33" s="1423">
        <v>0</v>
      </c>
      <c r="N33" s="1423">
        <v>0</v>
      </c>
      <c r="O33" s="1423">
        <v>0</v>
      </c>
      <c r="P33" s="1423">
        <v>0</v>
      </c>
      <c r="Q33" s="1423">
        <v>0</v>
      </c>
      <c r="R33" s="1423">
        <v>0</v>
      </c>
      <c r="S33" s="1423">
        <v>0</v>
      </c>
      <c r="T33" s="1423">
        <v>0</v>
      </c>
      <c r="U33" s="1423">
        <v>0</v>
      </c>
      <c r="V33" s="1437">
        <v>-24000</v>
      </c>
      <c r="W33" s="1423">
        <v>0</v>
      </c>
      <c r="X33" s="1423">
        <v>0</v>
      </c>
      <c r="Y33" s="1423">
        <v>0</v>
      </c>
      <c r="Z33" s="1423">
        <v>0</v>
      </c>
      <c r="AA33" s="1423">
        <v>0</v>
      </c>
      <c r="AB33" s="1423">
        <v>0</v>
      </c>
      <c r="AC33" s="1423">
        <v>0</v>
      </c>
      <c r="AD33" s="1423">
        <v>0</v>
      </c>
      <c r="AE33" s="1423">
        <v>0</v>
      </c>
      <c r="AF33" s="1423">
        <v>0</v>
      </c>
      <c r="AG33" s="1423">
        <v>0</v>
      </c>
      <c r="AH33" s="1423">
        <v>0</v>
      </c>
      <c r="AI33" s="1423">
        <v>0</v>
      </c>
      <c r="AJ33" s="1423">
        <v>0</v>
      </c>
      <c r="AK33" s="1423">
        <v>0</v>
      </c>
      <c r="AL33" s="1423">
        <v>0</v>
      </c>
      <c r="AM33" s="1423">
        <v>0</v>
      </c>
      <c r="AN33" s="1423">
        <v>0</v>
      </c>
      <c r="AO33" s="1423">
        <v>0</v>
      </c>
      <c r="AP33" s="1423">
        <v>0</v>
      </c>
      <c r="AQ33" s="1423">
        <v>0</v>
      </c>
      <c r="AR33" s="1423">
        <v>0</v>
      </c>
      <c r="AS33" s="1423">
        <v>0</v>
      </c>
      <c r="AT33" s="1423">
        <v>0</v>
      </c>
      <c r="AU33" s="1423"/>
      <c r="AV33" s="1423"/>
      <c r="AW33" s="1423"/>
      <c r="AX33" s="1423"/>
      <c r="AY33" s="1423"/>
      <c r="AZ33" s="1423"/>
      <c r="BA33" s="1423">
        <v>0</v>
      </c>
      <c r="BB33" s="1423">
        <v>0</v>
      </c>
      <c r="BC33" s="1423">
        <v>0</v>
      </c>
      <c r="BD33" s="1423">
        <v>0</v>
      </c>
      <c r="BE33" s="1423">
        <v>0</v>
      </c>
    </row>
    <row r="34" spans="1:57">
      <c r="A34" s="73" t="s">
        <v>181</v>
      </c>
      <c r="B34" s="74">
        <v>0</v>
      </c>
      <c r="C34" s="1423">
        <v>0</v>
      </c>
      <c r="D34" s="1423">
        <v>0</v>
      </c>
      <c r="E34" s="1423">
        <v>0</v>
      </c>
      <c r="F34" s="1423">
        <v>0</v>
      </c>
      <c r="G34" s="1423">
        <v>0</v>
      </c>
      <c r="H34" s="1423">
        <v>0</v>
      </c>
      <c r="I34" s="1423">
        <v>0</v>
      </c>
      <c r="J34" s="1423">
        <v>0</v>
      </c>
      <c r="K34" s="1423">
        <v>0</v>
      </c>
      <c r="L34" s="1423">
        <v>0</v>
      </c>
      <c r="M34" s="1423">
        <v>0</v>
      </c>
      <c r="N34" s="1423">
        <v>0</v>
      </c>
      <c r="O34" s="1423">
        <v>0</v>
      </c>
      <c r="P34" s="1423">
        <v>0</v>
      </c>
      <c r="Q34" s="1423">
        <v>0</v>
      </c>
      <c r="R34" s="1423">
        <v>0</v>
      </c>
      <c r="S34" s="1423">
        <v>0</v>
      </c>
      <c r="T34" s="1423">
        <v>0</v>
      </c>
      <c r="U34" s="1423">
        <v>0</v>
      </c>
      <c r="V34" s="1423">
        <v>0</v>
      </c>
      <c r="W34" s="1423">
        <v>0</v>
      </c>
      <c r="X34" s="1423">
        <v>0</v>
      </c>
      <c r="Y34" s="1423">
        <v>0</v>
      </c>
      <c r="Z34" s="1423">
        <v>0</v>
      </c>
      <c r="AA34" s="1423">
        <v>0</v>
      </c>
      <c r="AB34" s="1423">
        <v>0</v>
      </c>
      <c r="AC34" s="1423">
        <v>0</v>
      </c>
      <c r="AD34" s="1423">
        <v>0</v>
      </c>
      <c r="AE34" s="1423">
        <v>0</v>
      </c>
      <c r="AF34" s="1423">
        <v>0</v>
      </c>
      <c r="AG34" s="1423">
        <v>0</v>
      </c>
      <c r="AH34" s="1423">
        <v>0</v>
      </c>
      <c r="AI34" s="1423">
        <v>0</v>
      </c>
      <c r="AJ34" s="1423">
        <v>0</v>
      </c>
      <c r="AK34" s="1423">
        <v>0</v>
      </c>
      <c r="AL34" s="1423">
        <v>0</v>
      </c>
      <c r="AM34" s="1423">
        <v>0</v>
      </c>
      <c r="AN34" s="1423">
        <v>0</v>
      </c>
      <c r="AO34" s="1423">
        <v>0</v>
      </c>
      <c r="AP34" s="1423">
        <v>0</v>
      </c>
      <c r="AQ34" s="1423">
        <v>0</v>
      </c>
      <c r="AR34" s="1423">
        <v>0</v>
      </c>
      <c r="AS34" s="1423">
        <v>0</v>
      </c>
      <c r="AT34" s="1423">
        <v>0</v>
      </c>
      <c r="AU34" s="1423"/>
      <c r="AV34" s="1423"/>
      <c r="AW34" s="1423"/>
      <c r="AX34" s="1423"/>
      <c r="AY34" s="1423"/>
      <c r="AZ34" s="1423"/>
      <c r="BA34" s="1423">
        <v>0</v>
      </c>
      <c r="BB34" s="1423">
        <v>0</v>
      </c>
      <c r="BC34" s="1423">
        <v>0</v>
      </c>
      <c r="BD34" s="1423">
        <v>0</v>
      </c>
      <c r="BE34" s="1423">
        <v>0</v>
      </c>
    </row>
    <row r="35" spans="1:57">
      <c r="A35" s="73"/>
      <c r="B35" s="80">
        <v>-2.1899999999999999E-2</v>
      </c>
      <c r="C35" s="1423"/>
      <c r="D35" s="1423"/>
      <c r="E35" s="1423"/>
      <c r="F35" s="1423"/>
      <c r="G35" s="1423"/>
      <c r="H35" s="1423"/>
      <c r="I35" s="1423"/>
      <c r="J35" s="1423"/>
      <c r="K35" s="1423"/>
      <c r="L35" s="1423"/>
      <c r="M35" s="1423"/>
      <c r="N35" s="1423"/>
      <c r="O35" s="1423"/>
      <c r="P35" s="1423"/>
      <c r="Q35" s="1423"/>
      <c r="R35" s="1423"/>
      <c r="S35" s="1423"/>
      <c r="T35" s="1423"/>
      <c r="U35" s="1423"/>
      <c r="V35" s="1423"/>
      <c r="W35" s="1423"/>
      <c r="X35" s="1423"/>
      <c r="Y35" s="1423"/>
      <c r="Z35" s="1423"/>
      <c r="AA35" s="1423"/>
      <c r="AB35" s="1423"/>
      <c r="AC35" s="1423"/>
      <c r="AD35" s="1423"/>
      <c r="AE35" s="1423"/>
      <c r="AF35" s="1423"/>
      <c r="AG35" s="1423"/>
      <c r="AH35" s="1423"/>
      <c r="AI35" s="1423"/>
      <c r="AJ35" s="1423"/>
      <c r="AK35" s="1423"/>
      <c r="AL35" s="1423"/>
      <c r="AM35" s="1423"/>
      <c r="AN35" s="1423"/>
      <c r="AO35" s="1423"/>
      <c r="AP35" s="1423"/>
      <c r="AQ35" s="1423"/>
      <c r="AR35" s="1423"/>
      <c r="AS35" s="1423"/>
      <c r="AT35" s="1423"/>
      <c r="AU35" s="1423"/>
      <c r="AV35" s="1423"/>
      <c r="AW35" s="1423"/>
      <c r="AX35" s="1423"/>
      <c r="AY35" s="1423"/>
      <c r="AZ35" s="1423"/>
      <c r="BA35" s="1423"/>
      <c r="BB35" s="1423"/>
      <c r="BC35" s="1423"/>
      <c r="BD35" s="1423"/>
      <c r="BE35" s="1423"/>
    </row>
    <row r="36" spans="1:57">
      <c r="A36" s="77" t="s">
        <v>182</v>
      </c>
      <c r="B36" s="81">
        <v>0</v>
      </c>
      <c r="C36" s="1430">
        <v>0</v>
      </c>
      <c r="D36" s="1430">
        <v>0</v>
      </c>
      <c r="E36" s="1430">
        <v>0</v>
      </c>
      <c r="F36" s="1430">
        <v>0</v>
      </c>
      <c r="G36" s="1430">
        <v>0</v>
      </c>
      <c r="H36" s="1430">
        <v>0</v>
      </c>
      <c r="I36" s="1430">
        <v>0</v>
      </c>
      <c r="J36" s="1430">
        <v>0</v>
      </c>
      <c r="K36" s="1430">
        <v>0</v>
      </c>
      <c r="L36" s="1430">
        <v>0</v>
      </c>
      <c r="M36" s="1430">
        <v>0</v>
      </c>
      <c r="N36" s="1430">
        <v>0</v>
      </c>
      <c r="O36" s="1430">
        <v>0</v>
      </c>
      <c r="P36" s="1430">
        <v>0</v>
      </c>
      <c r="Q36" s="1430">
        <v>0</v>
      </c>
      <c r="R36" s="1430">
        <v>0</v>
      </c>
      <c r="S36" s="1430">
        <v>0</v>
      </c>
      <c r="T36" s="1430">
        <v>0</v>
      </c>
      <c r="U36" s="1430">
        <v>0</v>
      </c>
      <c r="V36" s="1430">
        <v>0</v>
      </c>
      <c r="W36" s="1429">
        <v>0</v>
      </c>
      <c r="X36" s="1430">
        <v>0</v>
      </c>
      <c r="Y36" s="1430">
        <v>0</v>
      </c>
      <c r="Z36" s="1430">
        <v>0</v>
      </c>
      <c r="AA36" s="1430">
        <v>0</v>
      </c>
      <c r="AB36" s="1430">
        <v>0</v>
      </c>
      <c r="AC36" s="1430">
        <v>0</v>
      </c>
      <c r="AD36" s="1430">
        <v>0</v>
      </c>
      <c r="AE36" s="1430">
        <v>0</v>
      </c>
      <c r="AF36" s="1430">
        <v>0</v>
      </c>
      <c r="AG36" s="1430">
        <v>0</v>
      </c>
      <c r="AH36" s="1430">
        <v>0</v>
      </c>
      <c r="AI36" s="1430">
        <v>0</v>
      </c>
      <c r="AJ36" s="1430">
        <v>0</v>
      </c>
      <c r="AK36" s="1430">
        <v>0</v>
      </c>
      <c r="AL36" s="1430">
        <v>0</v>
      </c>
      <c r="AM36" s="1430">
        <v>0</v>
      </c>
      <c r="AN36" s="1430">
        <v>0</v>
      </c>
      <c r="AO36" s="1430">
        <v>0</v>
      </c>
      <c r="AP36" s="1430">
        <v>0</v>
      </c>
      <c r="AQ36" s="1430">
        <v>0</v>
      </c>
      <c r="AR36" s="1430">
        <v>0</v>
      </c>
      <c r="AS36" s="1430">
        <v>0</v>
      </c>
      <c r="AT36" s="1430">
        <v>0</v>
      </c>
      <c r="AU36" s="1430"/>
      <c r="AV36" s="1430"/>
      <c r="AW36" s="1430"/>
      <c r="AX36" s="1430"/>
      <c r="AY36" s="1430"/>
      <c r="AZ36" s="1430"/>
      <c r="BA36" s="1430">
        <v>0</v>
      </c>
      <c r="BB36" s="1430">
        <v>0</v>
      </c>
      <c r="BC36" s="1430">
        <v>0</v>
      </c>
      <c r="BD36" s="1430">
        <v>-14784414.0228</v>
      </c>
      <c r="BE36" s="1430">
        <v>0</v>
      </c>
    </row>
    <row r="37" spans="1:57">
      <c r="A37" s="73" t="s">
        <v>183</v>
      </c>
      <c r="B37" s="74">
        <v>0</v>
      </c>
      <c r="C37" s="1423">
        <v>0</v>
      </c>
      <c r="D37" s="1423">
        <v>0</v>
      </c>
      <c r="E37" s="1423">
        <v>0</v>
      </c>
      <c r="F37" s="1423">
        <v>0</v>
      </c>
      <c r="G37" s="1423">
        <v>0</v>
      </c>
      <c r="H37" s="1423">
        <v>0</v>
      </c>
      <c r="I37" s="1423">
        <v>0</v>
      </c>
      <c r="J37" s="1423">
        <v>0</v>
      </c>
      <c r="K37" s="1423">
        <v>0</v>
      </c>
      <c r="L37" s="1423">
        <v>0</v>
      </c>
      <c r="M37" s="1423">
        <v>0</v>
      </c>
      <c r="N37" s="1423">
        <v>0</v>
      </c>
      <c r="O37" s="1423">
        <v>0</v>
      </c>
      <c r="P37" s="1423">
        <v>0</v>
      </c>
      <c r="Q37" s="1423">
        <v>0</v>
      </c>
      <c r="R37" s="1423">
        <v>0</v>
      </c>
      <c r="S37" s="1423">
        <v>0</v>
      </c>
      <c r="T37" s="1423">
        <v>0</v>
      </c>
      <c r="U37" s="1423">
        <v>0</v>
      </c>
      <c r="V37" s="1423">
        <v>0</v>
      </c>
      <c r="W37" s="1423">
        <v>0</v>
      </c>
      <c r="X37" s="1423">
        <v>0</v>
      </c>
      <c r="Y37" s="1423">
        <v>0</v>
      </c>
      <c r="Z37" s="1423">
        <v>0</v>
      </c>
      <c r="AA37" s="1423">
        <v>0</v>
      </c>
      <c r="AB37" s="1423">
        <v>0</v>
      </c>
      <c r="AC37" s="1423">
        <v>0</v>
      </c>
      <c r="AD37" s="1423">
        <v>0</v>
      </c>
      <c r="AE37" s="1423">
        <v>0</v>
      </c>
      <c r="AF37" s="1423">
        <v>0</v>
      </c>
      <c r="AG37" s="1423">
        <v>0</v>
      </c>
      <c r="AH37" s="1423">
        <v>0</v>
      </c>
      <c r="AI37" s="1423">
        <v>0</v>
      </c>
      <c r="AJ37" s="1423">
        <v>0</v>
      </c>
      <c r="AK37" s="1423">
        <v>0</v>
      </c>
      <c r="AL37" s="1423">
        <v>0</v>
      </c>
      <c r="AM37" s="1423">
        <v>0</v>
      </c>
      <c r="AN37" s="1423">
        <v>0</v>
      </c>
      <c r="AO37" s="1423">
        <v>0</v>
      </c>
      <c r="AP37" s="1423">
        <v>0</v>
      </c>
      <c r="AQ37" s="1423">
        <v>0</v>
      </c>
      <c r="AR37" s="1423">
        <v>0</v>
      </c>
      <c r="AS37" s="1423">
        <v>0</v>
      </c>
      <c r="AT37" s="1423">
        <v>0</v>
      </c>
      <c r="AU37" s="1423"/>
      <c r="AV37" s="1423"/>
      <c r="AW37" s="1423"/>
      <c r="AX37" s="1423"/>
      <c r="AY37" s="1423"/>
      <c r="AZ37" s="1423"/>
      <c r="BA37" s="1423">
        <v>0</v>
      </c>
      <c r="BB37" s="1423">
        <v>0</v>
      </c>
      <c r="BC37" s="1423">
        <v>0</v>
      </c>
      <c r="BD37" s="1423">
        <v>0</v>
      </c>
      <c r="BE37" s="1423">
        <v>0</v>
      </c>
    </row>
    <row r="38" spans="1:57">
      <c r="A38" s="73" t="s">
        <v>184</v>
      </c>
      <c r="B38" s="74">
        <v>0</v>
      </c>
      <c r="C38" s="1423">
        <v>0</v>
      </c>
      <c r="D38" s="1423">
        <v>0</v>
      </c>
      <c r="E38" s="1423">
        <v>0</v>
      </c>
      <c r="F38" s="1423">
        <v>0</v>
      </c>
      <c r="G38" s="1423">
        <v>0</v>
      </c>
      <c r="H38" s="1423">
        <v>0</v>
      </c>
      <c r="I38" s="1423">
        <v>0</v>
      </c>
      <c r="J38" s="1423">
        <v>0</v>
      </c>
      <c r="K38" s="1423">
        <v>0</v>
      </c>
      <c r="L38" s="1423">
        <v>0</v>
      </c>
      <c r="M38" s="1423">
        <v>0</v>
      </c>
      <c r="N38" s="1423">
        <v>0</v>
      </c>
      <c r="O38" s="1423">
        <v>0</v>
      </c>
      <c r="P38" s="1423">
        <v>0</v>
      </c>
      <c r="Q38" s="1423">
        <v>0</v>
      </c>
      <c r="R38" s="1423">
        <v>0</v>
      </c>
      <c r="S38" s="1423">
        <v>0</v>
      </c>
      <c r="T38" s="1423">
        <v>0</v>
      </c>
      <c r="U38" s="1423">
        <v>0</v>
      </c>
      <c r="V38" s="1423">
        <v>0</v>
      </c>
      <c r="W38" s="1423">
        <v>0</v>
      </c>
      <c r="X38" s="1423">
        <v>0</v>
      </c>
      <c r="Y38" s="1423">
        <v>0</v>
      </c>
      <c r="Z38" s="1423">
        <v>0</v>
      </c>
      <c r="AA38" s="1423">
        <v>0</v>
      </c>
      <c r="AB38" s="1423">
        <v>0</v>
      </c>
      <c r="AC38" s="1423">
        <v>0</v>
      </c>
      <c r="AD38" s="1423">
        <v>0</v>
      </c>
      <c r="AE38" s="1423">
        <v>0</v>
      </c>
      <c r="AF38" s="1423">
        <v>0</v>
      </c>
      <c r="AG38" s="1423">
        <v>0</v>
      </c>
      <c r="AH38" s="1423">
        <v>0</v>
      </c>
      <c r="AI38" s="1423">
        <v>0</v>
      </c>
      <c r="AJ38" s="1423">
        <v>0</v>
      </c>
      <c r="AK38" s="1423">
        <v>0</v>
      </c>
      <c r="AL38" s="1423">
        <v>0</v>
      </c>
      <c r="AM38" s="1423">
        <v>0</v>
      </c>
      <c r="AN38" s="1423">
        <v>0</v>
      </c>
      <c r="AO38" s="1423">
        <v>0</v>
      </c>
      <c r="AP38" s="1423">
        <v>0</v>
      </c>
      <c r="AQ38" s="1423">
        <v>0</v>
      </c>
      <c r="AR38" s="1423">
        <v>0</v>
      </c>
      <c r="AS38" s="1423">
        <v>0</v>
      </c>
      <c r="AT38" s="1423">
        <v>0</v>
      </c>
      <c r="AU38" s="1423"/>
      <c r="AV38" s="1423"/>
      <c r="AW38" s="1423"/>
      <c r="AX38" s="1423"/>
      <c r="AY38" s="1423"/>
      <c r="AZ38" s="1423"/>
      <c r="BA38" s="1423">
        <v>0</v>
      </c>
      <c r="BB38" s="1423">
        <v>0</v>
      </c>
      <c r="BC38" s="1423">
        <v>0</v>
      </c>
      <c r="BD38" s="1423">
        <v>0</v>
      </c>
      <c r="BE38" s="1423">
        <v>0</v>
      </c>
    </row>
    <row r="39" spans="1:57">
      <c r="A39" s="73" t="s">
        <v>173</v>
      </c>
      <c r="B39" s="74">
        <v>0</v>
      </c>
      <c r="C39" s="1423">
        <v>0</v>
      </c>
      <c r="D39" s="1423">
        <v>0</v>
      </c>
      <c r="E39" s="1423">
        <v>0</v>
      </c>
      <c r="F39" s="1423">
        <v>0</v>
      </c>
      <c r="G39" s="1423">
        <v>0</v>
      </c>
      <c r="H39" s="1423">
        <v>0</v>
      </c>
      <c r="I39" s="1423">
        <v>0</v>
      </c>
      <c r="J39" s="1423">
        <v>0</v>
      </c>
      <c r="K39" s="1423">
        <v>0</v>
      </c>
      <c r="L39" s="1423">
        <v>0</v>
      </c>
      <c r="M39" s="1423">
        <v>0</v>
      </c>
      <c r="N39" s="1423">
        <v>0</v>
      </c>
      <c r="O39" s="1423">
        <v>0</v>
      </c>
      <c r="P39" s="1423">
        <v>0</v>
      </c>
      <c r="Q39" s="1423">
        <v>0</v>
      </c>
      <c r="R39" s="1423">
        <v>0</v>
      </c>
      <c r="S39" s="1423">
        <v>0</v>
      </c>
      <c r="T39" s="1423">
        <v>0</v>
      </c>
      <c r="U39" s="1423">
        <v>0</v>
      </c>
      <c r="V39" s="1423">
        <v>0</v>
      </c>
      <c r="W39" s="1423">
        <v>0</v>
      </c>
      <c r="X39" s="1423">
        <v>0</v>
      </c>
      <c r="Y39" s="1423">
        <v>0</v>
      </c>
      <c r="Z39" s="1423">
        <v>0</v>
      </c>
      <c r="AA39" s="1423">
        <v>0</v>
      </c>
      <c r="AB39" s="1423">
        <v>0</v>
      </c>
      <c r="AC39" s="1423">
        <v>0</v>
      </c>
      <c r="AD39" s="1423">
        <v>0</v>
      </c>
      <c r="AE39" s="1423">
        <v>0</v>
      </c>
      <c r="AF39" s="1423">
        <v>0</v>
      </c>
      <c r="AG39" s="1423">
        <v>0</v>
      </c>
      <c r="AH39" s="1423">
        <v>0</v>
      </c>
      <c r="AI39" s="1423">
        <v>0</v>
      </c>
      <c r="AJ39" s="1423">
        <v>0</v>
      </c>
      <c r="AK39" s="1423">
        <v>0</v>
      </c>
      <c r="AL39" s="1423">
        <v>0</v>
      </c>
      <c r="AM39" s="1423">
        <v>0</v>
      </c>
      <c r="AN39" s="1423">
        <v>0</v>
      </c>
      <c r="AO39" s="1423">
        <v>0</v>
      </c>
      <c r="AP39" s="1423">
        <v>0</v>
      </c>
      <c r="AQ39" s="1423">
        <v>0</v>
      </c>
      <c r="AR39" s="1423">
        <v>0</v>
      </c>
      <c r="AS39" s="1423">
        <v>0</v>
      </c>
      <c r="AT39" s="1423">
        <v>0</v>
      </c>
      <c r="AU39" s="1423"/>
      <c r="AV39" s="1423"/>
      <c r="AW39" s="1423"/>
      <c r="AX39" s="1423"/>
      <c r="AY39" s="1423"/>
      <c r="AZ39" s="1423"/>
      <c r="BA39" s="1423">
        <v>0</v>
      </c>
      <c r="BB39" s="1423">
        <v>0</v>
      </c>
      <c r="BC39" s="1423">
        <v>0</v>
      </c>
      <c r="BD39" s="1423">
        <v>0</v>
      </c>
      <c r="BE39" s="1423">
        <v>0</v>
      </c>
    </row>
    <row r="40" spans="1:57">
      <c r="A40" s="73" t="s">
        <v>174</v>
      </c>
      <c r="B40" s="74">
        <v>0</v>
      </c>
      <c r="C40" s="1423">
        <v>0</v>
      </c>
      <c r="D40" s="1423">
        <v>0</v>
      </c>
      <c r="E40" s="1423">
        <v>0</v>
      </c>
      <c r="F40" s="1423">
        <v>0</v>
      </c>
      <c r="G40" s="1423">
        <v>0</v>
      </c>
      <c r="H40" s="1423">
        <v>0</v>
      </c>
      <c r="I40" s="1423">
        <v>0</v>
      </c>
      <c r="J40" s="1423">
        <v>0</v>
      </c>
      <c r="K40" s="1423">
        <v>0</v>
      </c>
      <c r="L40" s="1423">
        <v>0</v>
      </c>
      <c r="M40" s="1423">
        <v>0</v>
      </c>
      <c r="N40" s="1423">
        <v>0</v>
      </c>
      <c r="O40" s="1423">
        <v>0</v>
      </c>
      <c r="P40" s="1423">
        <v>0</v>
      </c>
      <c r="Q40" s="1423">
        <v>0</v>
      </c>
      <c r="R40" s="1423">
        <v>0</v>
      </c>
      <c r="S40" s="1423">
        <v>0</v>
      </c>
      <c r="T40" s="1423">
        <v>0</v>
      </c>
      <c r="U40" s="1423">
        <v>0</v>
      </c>
      <c r="V40" s="1423">
        <v>0</v>
      </c>
      <c r="W40" s="1423">
        <v>0</v>
      </c>
      <c r="X40" s="1423">
        <v>0</v>
      </c>
      <c r="Y40" s="1423">
        <v>0</v>
      </c>
      <c r="Z40" s="1423">
        <v>0</v>
      </c>
      <c r="AA40" s="1423">
        <v>0</v>
      </c>
      <c r="AB40" s="1423">
        <v>0</v>
      </c>
      <c r="AC40" s="1423">
        <v>0</v>
      </c>
      <c r="AD40" s="1423">
        <v>0</v>
      </c>
      <c r="AE40" s="1423">
        <v>0</v>
      </c>
      <c r="AF40" s="1423">
        <v>0</v>
      </c>
      <c r="AG40" s="1423">
        <v>0</v>
      </c>
      <c r="AH40" s="1423">
        <v>0</v>
      </c>
      <c r="AI40" s="1423">
        <v>0</v>
      </c>
      <c r="AJ40" s="1423">
        <v>0</v>
      </c>
      <c r="AK40" s="1423">
        <v>0</v>
      </c>
      <c r="AL40" s="1423">
        <v>0</v>
      </c>
      <c r="AM40" s="1423">
        <v>0</v>
      </c>
      <c r="AN40" s="1423">
        <v>0</v>
      </c>
      <c r="AO40" s="1423">
        <v>0</v>
      </c>
      <c r="AP40" s="1423">
        <v>0</v>
      </c>
      <c r="AQ40" s="1423">
        <v>0</v>
      </c>
      <c r="AR40" s="1423">
        <v>0</v>
      </c>
      <c r="AS40" s="1423">
        <v>0</v>
      </c>
      <c r="AT40" s="1423">
        <v>0</v>
      </c>
      <c r="AU40" s="1423"/>
      <c r="AV40" s="1423"/>
      <c r="AW40" s="1423"/>
      <c r="AX40" s="1423"/>
      <c r="AY40" s="1423"/>
      <c r="AZ40" s="1423"/>
      <c r="BA40" s="1423">
        <v>0</v>
      </c>
      <c r="BB40" s="1423">
        <v>0</v>
      </c>
      <c r="BC40" s="1423">
        <v>0</v>
      </c>
      <c r="BD40" s="1423">
        <v>0</v>
      </c>
      <c r="BE40" s="1423">
        <v>0</v>
      </c>
    </row>
    <row r="41" spans="1:57">
      <c r="A41" s="73" t="s">
        <v>175</v>
      </c>
      <c r="B41" s="74">
        <v>0</v>
      </c>
      <c r="C41" s="1423">
        <v>0</v>
      </c>
      <c r="D41" s="1423">
        <v>0</v>
      </c>
      <c r="E41" s="1423">
        <v>0</v>
      </c>
      <c r="F41" s="1423">
        <v>0</v>
      </c>
      <c r="G41" s="1423">
        <v>0</v>
      </c>
      <c r="H41" s="1423">
        <v>0</v>
      </c>
      <c r="I41" s="1423">
        <v>0</v>
      </c>
      <c r="J41" s="1423">
        <v>0</v>
      </c>
      <c r="K41" s="1423">
        <v>0</v>
      </c>
      <c r="L41" s="1423">
        <v>0</v>
      </c>
      <c r="M41" s="1423">
        <v>0</v>
      </c>
      <c r="N41" s="1423">
        <v>0</v>
      </c>
      <c r="O41" s="1423">
        <v>0</v>
      </c>
      <c r="P41" s="1423">
        <v>0</v>
      </c>
      <c r="Q41" s="1423">
        <v>0</v>
      </c>
      <c r="R41" s="1423">
        <v>0</v>
      </c>
      <c r="S41" s="1423">
        <v>0</v>
      </c>
      <c r="T41" s="1423">
        <v>0</v>
      </c>
      <c r="U41" s="1423">
        <v>0</v>
      </c>
      <c r="V41" s="1423">
        <v>0</v>
      </c>
      <c r="W41" s="1423">
        <v>0</v>
      </c>
      <c r="X41" s="1423">
        <v>0</v>
      </c>
      <c r="Y41" s="1423">
        <v>0</v>
      </c>
      <c r="Z41" s="1423">
        <v>0</v>
      </c>
      <c r="AA41" s="1423">
        <v>0</v>
      </c>
      <c r="AB41" s="1423">
        <v>0</v>
      </c>
      <c r="AC41" s="1423">
        <v>0</v>
      </c>
      <c r="AD41" s="1423">
        <v>0</v>
      </c>
      <c r="AE41" s="1423">
        <v>0</v>
      </c>
      <c r="AF41" s="1423">
        <v>0</v>
      </c>
      <c r="AG41" s="1423">
        <v>0</v>
      </c>
      <c r="AH41" s="1423">
        <v>0</v>
      </c>
      <c r="AI41" s="1423">
        <v>0</v>
      </c>
      <c r="AJ41" s="1423">
        <v>0</v>
      </c>
      <c r="AK41" s="1423">
        <v>0</v>
      </c>
      <c r="AL41" s="1423">
        <v>0</v>
      </c>
      <c r="AM41" s="1423">
        <v>0</v>
      </c>
      <c r="AN41" s="1423">
        <v>0</v>
      </c>
      <c r="AO41" s="1423">
        <v>0</v>
      </c>
      <c r="AP41" s="1423">
        <v>0</v>
      </c>
      <c r="AQ41" s="1423">
        <v>0</v>
      </c>
      <c r="AR41" s="1423">
        <v>0</v>
      </c>
      <c r="AS41" s="1423">
        <v>0</v>
      </c>
      <c r="AT41" s="1423">
        <v>0</v>
      </c>
      <c r="AU41" s="1423"/>
      <c r="AV41" s="1423"/>
      <c r="AW41" s="1423"/>
      <c r="AX41" s="1423"/>
      <c r="AY41" s="1423"/>
      <c r="AZ41" s="1423"/>
      <c r="BA41" s="1423">
        <v>0</v>
      </c>
      <c r="BB41" s="1423">
        <v>0</v>
      </c>
      <c r="BC41" s="1423">
        <v>0</v>
      </c>
      <c r="BD41" s="1423">
        <v>0</v>
      </c>
      <c r="BE41" s="1423">
        <v>0</v>
      </c>
    </row>
    <row r="42" spans="1:57">
      <c r="A42" s="73" t="s">
        <v>185</v>
      </c>
      <c r="B42" s="74">
        <v>0</v>
      </c>
      <c r="C42" s="1423">
        <v>0</v>
      </c>
      <c r="D42" s="1423">
        <v>0</v>
      </c>
      <c r="E42" s="1423">
        <v>0</v>
      </c>
      <c r="F42" s="1423">
        <v>0</v>
      </c>
      <c r="G42" s="1423">
        <v>0</v>
      </c>
      <c r="H42" s="1423">
        <v>0</v>
      </c>
      <c r="I42" s="1423">
        <v>0</v>
      </c>
      <c r="J42" s="1423">
        <v>0</v>
      </c>
      <c r="K42" s="1423">
        <v>0</v>
      </c>
      <c r="L42" s="1423">
        <v>0</v>
      </c>
      <c r="M42" s="1423">
        <v>0</v>
      </c>
      <c r="N42" s="1423">
        <v>0</v>
      </c>
      <c r="O42" s="1423">
        <v>0</v>
      </c>
      <c r="P42" s="1423">
        <v>0</v>
      </c>
      <c r="Q42" s="1423">
        <v>0</v>
      </c>
      <c r="R42" s="1423">
        <v>0</v>
      </c>
      <c r="S42" s="1423">
        <v>0</v>
      </c>
      <c r="T42" s="1423">
        <v>0</v>
      </c>
      <c r="U42" s="1423">
        <v>0</v>
      </c>
      <c r="V42" s="1423">
        <v>0</v>
      </c>
      <c r="W42" s="1423">
        <v>0</v>
      </c>
      <c r="X42" s="1423">
        <v>0</v>
      </c>
      <c r="Y42" s="1423">
        <v>0</v>
      </c>
      <c r="Z42" s="1423">
        <v>0</v>
      </c>
      <c r="AA42" s="1423">
        <v>0</v>
      </c>
      <c r="AB42" s="1423">
        <v>0</v>
      </c>
      <c r="AC42" s="1423">
        <v>0</v>
      </c>
      <c r="AD42" s="1423">
        <v>0</v>
      </c>
      <c r="AE42" s="1423">
        <v>0</v>
      </c>
      <c r="AF42" s="1423">
        <v>0</v>
      </c>
      <c r="AG42" s="1423">
        <v>0</v>
      </c>
      <c r="AH42" s="1423">
        <v>0</v>
      </c>
      <c r="AI42" s="1423">
        <v>0</v>
      </c>
      <c r="AJ42" s="1423">
        <v>0</v>
      </c>
      <c r="AK42" s="1423">
        <v>0</v>
      </c>
      <c r="AL42" s="1423">
        <v>0</v>
      </c>
      <c r="AM42" s="1423">
        <v>0</v>
      </c>
      <c r="AN42" s="1423">
        <v>0</v>
      </c>
      <c r="AO42" s="1423">
        <v>0</v>
      </c>
      <c r="AP42" s="1423">
        <v>0</v>
      </c>
      <c r="AQ42" s="1423">
        <v>0</v>
      </c>
      <c r="AR42" s="1423">
        <v>0</v>
      </c>
      <c r="AS42" s="1423">
        <v>0</v>
      </c>
      <c r="AT42" s="1423">
        <v>0</v>
      </c>
      <c r="AU42" s="1423"/>
      <c r="AV42" s="1423"/>
      <c r="AW42" s="1423"/>
      <c r="AX42" s="1423"/>
      <c r="AY42" s="1423"/>
      <c r="AZ42" s="1423"/>
      <c r="BA42" s="1423">
        <v>0</v>
      </c>
      <c r="BB42" s="1423">
        <v>0</v>
      </c>
      <c r="BC42" s="1423">
        <v>0</v>
      </c>
      <c r="BD42" s="1423">
        <v>0</v>
      </c>
      <c r="BE42" s="1423">
        <v>0</v>
      </c>
    </row>
    <row r="43" spans="1:57">
      <c r="A43" s="73" t="s">
        <v>179</v>
      </c>
      <c r="B43" s="74">
        <v>0</v>
      </c>
      <c r="C43" s="1423">
        <v>0</v>
      </c>
      <c r="D43" s="1423">
        <v>0</v>
      </c>
      <c r="E43" s="1423">
        <v>0</v>
      </c>
      <c r="F43" s="1423">
        <v>0</v>
      </c>
      <c r="G43" s="1423">
        <v>0</v>
      </c>
      <c r="H43" s="1423">
        <v>0</v>
      </c>
      <c r="I43" s="1423">
        <v>0</v>
      </c>
      <c r="J43" s="1423">
        <v>0</v>
      </c>
      <c r="K43" s="1423">
        <v>0</v>
      </c>
      <c r="L43" s="1423">
        <v>0</v>
      </c>
      <c r="M43" s="1423">
        <v>0</v>
      </c>
      <c r="N43" s="1423">
        <v>0</v>
      </c>
      <c r="O43" s="1423">
        <v>0</v>
      </c>
      <c r="P43" s="1423">
        <v>0</v>
      </c>
      <c r="Q43" s="1423">
        <v>0</v>
      </c>
      <c r="R43" s="1423">
        <v>0</v>
      </c>
      <c r="S43" s="1423">
        <v>0</v>
      </c>
      <c r="T43" s="1423">
        <v>0</v>
      </c>
      <c r="U43" s="1423">
        <v>0</v>
      </c>
      <c r="V43" s="1423">
        <v>0</v>
      </c>
      <c r="W43" s="1423">
        <v>0</v>
      </c>
      <c r="X43" s="1423">
        <v>0</v>
      </c>
      <c r="Y43" s="1423">
        <v>0</v>
      </c>
      <c r="Z43" s="1423">
        <v>0</v>
      </c>
      <c r="AA43" s="1423">
        <v>0</v>
      </c>
      <c r="AB43" s="1423">
        <v>0</v>
      </c>
      <c r="AC43" s="1423">
        <v>0</v>
      </c>
      <c r="AD43" s="1423">
        <v>0</v>
      </c>
      <c r="AE43" s="1423">
        <v>0</v>
      </c>
      <c r="AF43" s="1423">
        <v>0</v>
      </c>
      <c r="AG43" s="1423">
        <v>0</v>
      </c>
      <c r="AH43" s="1423">
        <v>0</v>
      </c>
      <c r="AI43" s="1423">
        <v>0</v>
      </c>
      <c r="AJ43" s="1423">
        <v>0</v>
      </c>
      <c r="AK43" s="1423">
        <v>0</v>
      </c>
      <c r="AL43" s="1423">
        <v>0</v>
      </c>
      <c r="AM43" s="1423">
        <v>0</v>
      </c>
      <c r="AN43" s="1423">
        <v>0</v>
      </c>
      <c r="AO43" s="1423">
        <v>0</v>
      </c>
      <c r="AP43" s="1423">
        <v>0</v>
      </c>
      <c r="AQ43" s="1423">
        <v>0</v>
      </c>
      <c r="AR43" s="1423">
        <v>0</v>
      </c>
      <c r="AS43" s="1423">
        <v>0</v>
      </c>
      <c r="AT43" s="1423">
        <v>0</v>
      </c>
      <c r="AU43" s="1423"/>
      <c r="AV43" s="1423"/>
      <c r="AW43" s="1423"/>
      <c r="AX43" s="1423"/>
      <c r="AY43" s="1423"/>
      <c r="AZ43" s="1423"/>
      <c r="BA43" s="1423">
        <v>0</v>
      </c>
      <c r="BB43" s="1423">
        <v>0</v>
      </c>
      <c r="BC43" s="1423">
        <v>0</v>
      </c>
      <c r="BD43" s="1423">
        <v>-29226.337200000002</v>
      </c>
      <c r="BE43" s="1423">
        <v>0</v>
      </c>
    </row>
    <row r="44" spans="1:57">
      <c r="A44" s="73" t="s">
        <v>186</v>
      </c>
      <c r="B44" s="74">
        <v>0</v>
      </c>
      <c r="C44" s="1423">
        <v>0</v>
      </c>
      <c r="D44" s="1423">
        <v>0</v>
      </c>
      <c r="E44" s="1423">
        <v>0</v>
      </c>
      <c r="F44" s="1423">
        <v>0</v>
      </c>
      <c r="G44" s="1423">
        <v>0</v>
      </c>
      <c r="H44" s="1423">
        <v>0</v>
      </c>
      <c r="I44" s="1423">
        <v>0</v>
      </c>
      <c r="J44" s="1423">
        <v>0</v>
      </c>
      <c r="K44" s="1423">
        <v>0</v>
      </c>
      <c r="L44" s="1423">
        <v>0</v>
      </c>
      <c r="M44" s="1423">
        <v>0</v>
      </c>
      <c r="N44" s="1423">
        <v>0</v>
      </c>
      <c r="O44" s="1423">
        <v>0</v>
      </c>
      <c r="P44" s="1423">
        <v>0</v>
      </c>
      <c r="Q44" s="1423">
        <v>0</v>
      </c>
      <c r="R44" s="1423">
        <v>0</v>
      </c>
      <c r="S44" s="1423">
        <v>0</v>
      </c>
      <c r="T44" s="1423">
        <v>0</v>
      </c>
      <c r="U44" s="1423">
        <v>0</v>
      </c>
      <c r="V44" s="1423">
        <v>0</v>
      </c>
      <c r="W44" s="1423">
        <v>0</v>
      </c>
      <c r="X44" s="1423">
        <v>0</v>
      </c>
      <c r="Y44" s="1423">
        <v>0</v>
      </c>
      <c r="Z44" s="1423">
        <v>0</v>
      </c>
      <c r="AA44" s="1423">
        <v>0</v>
      </c>
      <c r="AB44" s="1423">
        <v>0</v>
      </c>
      <c r="AC44" s="1423">
        <v>0</v>
      </c>
      <c r="AD44" s="1423">
        <v>0</v>
      </c>
      <c r="AE44" s="1423">
        <v>0</v>
      </c>
      <c r="AF44" s="1423">
        <v>0</v>
      </c>
      <c r="AG44" s="1423">
        <v>0</v>
      </c>
      <c r="AH44" s="1423">
        <v>0</v>
      </c>
      <c r="AI44" s="1423">
        <v>0</v>
      </c>
      <c r="AJ44" s="1423">
        <v>0</v>
      </c>
      <c r="AK44" s="1423">
        <v>0</v>
      </c>
      <c r="AL44" s="1423">
        <v>0</v>
      </c>
      <c r="AM44" s="1423">
        <v>0</v>
      </c>
      <c r="AN44" s="1423">
        <v>0</v>
      </c>
      <c r="AO44" s="1423">
        <v>0</v>
      </c>
      <c r="AP44" s="1423">
        <v>0</v>
      </c>
      <c r="AQ44" s="1423">
        <v>0</v>
      </c>
      <c r="AR44" s="1423">
        <v>0</v>
      </c>
      <c r="AS44" s="1423">
        <v>0</v>
      </c>
      <c r="AT44" s="1423">
        <v>0</v>
      </c>
      <c r="AU44" s="1423"/>
      <c r="AV44" s="1423"/>
      <c r="AW44" s="1423"/>
      <c r="AX44" s="1423"/>
      <c r="AY44" s="1423"/>
      <c r="AZ44" s="1423"/>
      <c r="BA44" s="1423">
        <v>0</v>
      </c>
      <c r="BB44" s="1423">
        <v>0</v>
      </c>
      <c r="BC44" s="1423">
        <v>0</v>
      </c>
      <c r="BD44" s="1423">
        <v>-1.2636000000000001</v>
      </c>
      <c r="BE44" s="1423">
        <v>0</v>
      </c>
    </row>
    <row r="45" spans="1:57">
      <c r="A45" s="73" t="s">
        <v>187</v>
      </c>
      <c r="B45" s="74">
        <v>0</v>
      </c>
      <c r="C45" s="1423">
        <v>0</v>
      </c>
      <c r="D45" s="1423">
        <v>0</v>
      </c>
      <c r="E45" s="1423">
        <v>0</v>
      </c>
      <c r="F45" s="1423">
        <v>0</v>
      </c>
      <c r="G45" s="1423">
        <v>0</v>
      </c>
      <c r="H45" s="1423">
        <v>0</v>
      </c>
      <c r="I45" s="1423">
        <v>0</v>
      </c>
      <c r="J45" s="1423">
        <v>0</v>
      </c>
      <c r="K45" s="1423">
        <v>0</v>
      </c>
      <c r="L45" s="1423">
        <v>0</v>
      </c>
      <c r="M45" s="1423">
        <v>0</v>
      </c>
      <c r="N45" s="1423">
        <v>0</v>
      </c>
      <c r="O45" s="1423">
        <v>0</v>
      </c>
      <c r="P45" s="1423">
        <v>0</v>
      </c>
      <c r="Q45" s="1423">
        <v>0</v>
      </c>
      <c r="R45" s="1423">
        <v>0</v>
      </c>
      <c r="S45" s="1423">
        <v>0</v>
      </c>
      <c r="T45" s="1423">
        <v>0</v>
      </c>
      <c r="U45" s="1423">
        <v>0</v>
      </c>
      <c r="V45" s="1423">
        <v>0</v>
      </c>
      <c r="W45" s="1423">
        <v>0</v>
      </c>
      <c r="X45" s="1423">
        <v>0</v>
      </c>
      <c r="Y45" s="1423">
        <v>0</v>
      </c>
      <c r="Z45" s="1423">
        <v>0</v>
      </c>
      <c r="AA45" s="1423">
        <v>0</v>
      </c>
      <c r="AB45" s="1423">
        <v>0</v>
      </c>
      <c r="AC45" s="1423">
        <v>0</v>
      </c>
      <c r="AD45" s="1423">
        <v>0</v>
      </c>
      <c r="AE45" s="1423">
        <v>0</v>
      </c>
      <c r="AF45" s="1423">
        <v>0</v>
      </c>
      <c r="AG45" s="1423">
        <v>0</v>
      </c>
      <c r="AH45" s="1423">
        <v>0</v>
      </c>
      <c r="AI45" s="1423">
        <v>0</v>
      </c>
      <c r="AJ45" s="1423">
        <v>0</v>
      </c>
      <c r="AK45" s="1423">
        <v>0</v>
      </c>
      <c r="AL45" s="1423">
        <v>0</v>
      </c>
      <c r="AM45" s="1423">
        <v>0</v>
      </c>
      <c r="AN45" s="1423">
        <v>0</v>
      </c>
      <c r="AO45" s="1423">
        <v>0</v>
      </c>
      <c r="AP45" s="1423">
        <v>0</v>
      </c>
      <c r="AQ45" s="1423">
        <v>0</v>
      </c>
      <c r="AR45" s="1423">
        <v>0</v>
      </c>
      <c r="AS45" s="1423">
        <v>0</v>
      </c>
      <c r="AT45" s="1423">
        <v>0</v>
      </c>
      <c r="AU45" s="1423"/>
      <c r="AV45" s="1423"/>
      <c r="AW45" s="1423"/>
      <c r="AX45" s="1423"/>
      <c r="AY45" s="1423"/>
      <c r="AZ45" s="1423"/>
      <c r="BA45" s="1423">
        <v>0</v>
      </c>
      <c r="BB45" s="1423">
        <v>0</v>
      </c>
      <c r="BC45" s="1423">
        <v>0</v>
      </c>
      <c r="BD45" s="1423">
        <v>-14755186.422</v>
      </c>
      <c r="BE45" s="1423">
        <v>0</v>
      </c>
    </row>
    <row r="46" spans="1:57">
      <c r="A46" s="73" t="s">
        <v>188</v>
      </c>
      <c r="B46" s="74">
        <v>0</v>
      </c>
      <c r="C46" s="1423">
        <v>0</v>
      </c>
      <c r="D46" s="1423">
        <v>0</v>
      </c>
      <c r="E46" s="1423">
        <v>0</v>
      </c>
      <c r="F46" s="1423">
        <v>0</v>
      </c>
      <c r="G46" s="1423">
        <v>0</v>
      </c>
      <c r="H46" s="1423">
        <v>0</v>
      </c>
      <c r="I46" s="1423">
        <v>0</v>
      </c>
      <c r="J46" s="1423">
        <v>0</v>
      </c>
      <c r="K46" s="1423">
        <v>0</v>
      </c>
      <c r="L46" s="1423">
        <v>0</v>
      </c>
      <c r="M46" s="1423">
        <v>0</v>
      </c>
      <c r="N46" s="1423">
        <v>0</v>
      </c>
      <c r="O46" s="1423">
        <v>0</v>
      </c>
      <c r="P46" s="1423">
        <v>0</v>
      </c>
      <c r="Q46" s="1423">
        <v>0</v>
      </c>
      <c r="R46" s="1423">
        <v>0</v>
      </c>
      <c r="S46" s="1423">
        <v>0</v>
      </c>
      <c r="T46" s="1423">
        <v>0</v>
      </c>
      <c r="U46" s="1423">
        <v>0</v>
      </c>
      <c r="V46" s="1423">
        <v>0</v>
      </c>
      <c r="W46" s="1423">
        <v>0</v>
      </c>
      <c r="X46" s="1423">
        <v>0</v>
      </c>
      <c r="Y46" s="1423">
        <v>0</v>
      </c>
      <c r="Z46" s="1423">
        <v>0</v>
      </c>
      <c r="AA46" s="1423">
        <v>0</v>
      </c>
      <c r="AB46" s="1423">
        <v>0</v>
      </c>
      <c r="AC46" s="1423">
        <v>0</v>
      </c>
      <c r="AD46" s="1423">
        <v>0</v>
      </c>
      <c r="AE46" s="1423">
        <v>0</v>
      </c>
      <c r="AF46" s="1423">
        <v>0</v>
      </c>
      <c r="AG46" s="1423">
        <v>0</v>
      </c>
      <c r="AH46" s="1423">
        <v>0</v>
      </c>
      <c r="AI46" s="1423">
        <v>0</v>
      </c>
      <c r="AJ46" s="1423">
        <v>0</v>
      </c>
      <c r="AK46" s="1423">
        <v>0</v>
      </c>
      <c r="AL46" s="1423">
        <v>0</v>
      </c>
      <c r="AM46" s="1423">
        <v>0</v>
      </c>
      <c r="AN46" s="1423">
        <v>0</v>
      </c>
      <c r="AO46" s="1423">
        <v>0</v>
      </c>
      <c r="AP46" s="1423">
        <v>0</v>
      </c>
      <c r="AQ46" s="1423">
        <v>0</v>
      </c>
      <c r="AR46" s="1423">
        <v>0</v>
      </c>
      <c r="AS46" s="1423">
        <v>0</v>
      </c>
      <c r="AT46" s="1423">
        <v>0</v>
      </c>
      <c r="AU46" s="1423"/>
      <c r="AV46" s="1423"/>
      <c r="AW46" s="1423"/>
      <c r="AX46" s="1423"/>
      <c r="AY46" s="1423"/>
      <c r="AZ46" s="1423"/>
      <c r="BA46" s="1423">
        <v>0</v>
      </c>
      <c r="BB46" s="1423">
        <v>0</v>
      </c>
      <c r="BC46" s="1423">
        <v>0</v>
      </c>
      <c r="BD46" s="1423">
        <v>0</v>
      </c>
      <c r="BE46" s="1423">
        <v>0</v>
      </c>
    </row>
    <row r="47" spans="1:57">
      <c r="A47" s="73" t="s">
        <v>189</v>
      </c>
      <c r="B47" s="74">
        <v>0</v>
      </c>
      <c r="C47" s="1423">
        <v>0</v>
      </c>
      <c r="D47" s="1423">
        <v>0</v>
      </c>
      <c r="E47" s="1423">
        <v>0</v>
      </c>
      <c r="F47" s="1423">
        <v>0</v>
      </c>
      <c r="G47" s="1423">
        <v>0</v>
      </c>
      <c r="H47" s="1423">
        <v>0</v>
      </c>
      <c r="I47" s="1423">
        <v>0</v>
      </c>
      <c r="J47" s="1423">
        <v>0</v>
      </c>
      <c r="K47" s="1423">
        <v>0</v>
      </c>
      <c r="L47" s="1423">
        <v>0</v>
      </c>
      <c r="M47" s="1423">
        <v>0</v>
      </c>
      <c r="N47" s="1423">
        <v>0</v>
      </c>
      <c r="O47" s="1423">
        <v>0</v>
      </c>
      <c r="P47" s="1423">
        <v>0</v>
      </c>
      <c r="Q47" s="1423">
        <v>0</v>
      </c>
      <c r="R47" s="1423">
        <v>0</v>
      </c>
      <c r="S47" s="1423">
        <v>0</v>
      </c>
      <c r="T47" s="1423">
        <v>0</v>
      </c>
      <c r="U47" s="1423">
        <v>0</v>
      </c>
      <c r="V47" s="1423">
        <v>0</v>
      </c>
      <c r="W47" s="1423">
        <v>0</v>
      </c>
      <c r="X47" s="1423">
        <v>0</v>
      </c>
      <c r="Y47" s="1423">
        <v>0</v>
      </c>
      <c r="Z47" s="1423">
        <v>0</v>
      </c>
      <c r="AA47" s="1423">
        <v>0</v>
      </c>
      <c r="AB47" s="1423">
        <v>0</v>
      </c>
      <c r="AC47" s="1423">
        <v>0</v>
      </c>
      <c r="AD47" s="1423">
        <v>0</v>
      </c>
      <c r="AE47" s="1423">
        <v>0</v>
      </c>
      <c r="AF47" s="1423">
        <v>0</v>
      </c>
      <c r="AG47" s="1423">
        <v>0</v>
      </c>
      <c r="AH47" s="1423">
        <v>0</v>
      </c>
      <c r="AI47" s="1423">
        <v>0</v>
      </c>
      <c r="AJ47" s="1423">
        <v>0</v>
      </c>
      <c r="AK47" s="1423">
        <v>0</v>
      </c>
      <c r="AL47" s="1423">
        <v>0</v>
      </c>
      <c r="AM47" s="1423">
        <v>0</v>
      </c>
      <c r="AN47" s="1423">
        <v>0</v>
      </c>
      <c r="AO47" s="1423">
        <v>0</v>
      </c>
      <c r="AP47" s="1423">
        <v>0</v>
      </c>
      <c r="AQ47" s="1423">
        <v>0</v>
      </c>
      <c r="AR47" s="1423">
        <v>0</v>
      </c>
      <c r="AS47" s="1423">
        <v>0</v>
      </c>
      <c r="AT47" s="1423">
        <v>0</v>
      </c>
      <c r="AU47" s="1423"/>
      <c r="AV47" s="1423"/>
      <c r="AW47" s="1423"/>
      <c r="AX47" s="1423"/>
      <c r="AY47" s="1423"/>
      <c r="AZ47" s="1423"/>
      <c r="BA47" s="1423">
        <v>0</v>
      </c>
      <c r="BB47" s="1423">
        <v>0</v>
      </c>
      <c r="BC47" s="1423">
        <v>0</v>
      </c>
      <c r="BD47" s="1423">
        <v>0</v>
      </c>
      <c r="BE47" s="1423">
        <v>0</v>
      </c>
    </row>
    <row r="48" spans="1:57">
      <c r="A48" s="73"/>
      <c r="B48" s="74"/>
      <c r="C48" s="1423"/>
      <c r="D48" s="1423"/>
      <c r="E48" s="1423"/>
      <c r="F48" s="1423"/>
      <c r="G48" s="1423"/>
      <c r="H48" s="1423"/>
      <c r="I48" s="1423"/>
      <c r="J48" s="1423"/>
      <c r="K48" s="1423"/>
      <c r="L48" s="1423"/>
      <c r="M48" s="1423"/>
      <c r="N48" s="1423"/>
      <c r="O48" s="1423"/>
      <c r="P48" s="1423"/>
      <c r="Q48" s="1423"/>
      <c r="R48" s="1423"/>
      <c r="S48" s="1423"/>
      <c r="T48" s="1423"/>
      <c r="U48" s="1423"/>
      <c r="V48" s="1423"/>
      <c r="W48" s="1423"/>
      <c r="X48" s="1423"/>
      <c r="Y48" s="1423"/>
      <c r="Z48" s="1423"/>
      <c r="AA48" s="1423"/>
      <c r="AB48" s="1423"/>
      <c r="AC48" s="1423"/>
      <c r="AD48" s="1423"/>
      <c r="AE48" s="1423"/>
      <c r="AF48" s="1423"/>
      <c r="AG48" s="1423"/>
      <c r="AH48" s="1423"/>
      <c r="AI48" s="1423"/>
      <c r="AJ48" s="1423"/>
      <c r="AK48" s="1423"/>
      <c r="AL48" s="1423"/>
      <c r="AM48" s="1423"/>
      <c r="AN48" s="1423"/>
      <c r="AO48" s="1423"/>
      <c r="AP48" s="1423"/>
      <c r="AQ48" s="1423"/>
      <c r="AR48" s="1423"/>
      <c r="AS48" s="1423"/>
      <c r="AT48" s="1423"/>
      <c r="AU48" s="1423"/>
      <c r="AV48" s="1423"/>
      <c r="AW48" s="1423"/>
      <c r="AX48" s="1423"/>
      <c r="AY48" s="1423"/>
      <c r="AZ48" s="1423"/>
      <c r="BA48" s="1423"/>
      <c r="BB48" s="1423"/>
      <c r="BC48" s="1423"/>
      <c r="BD48" s="1423"/>
      <c r="BE48" s="1423"/>
    </row>
    <row r="49" spans="1:57">
      <c r="A49" s="73" t="s">
        <v>190</v>
      </c>
      <c r="B49" s="74">
        <v>0</v>
      </c>
      <c r="C49" s="1423">
        <v>0</v>
      </c>
      <c r="D49" s="1423">
        <v>0</v>
      </c>
      <c r="E49" s="1423">
        <v>0</v>
      </c>
      <c r="F49" s="1423">
        <v>0</v>
      </c>
      <c r="G49" s="1423">
        <v>0</v>
      </c>
      <c r="H49" s="1423">
        <v>0</v>
      </c>
      <c r="I49" s="1423">
        <v>0</v>
      </c>
      <c r="J49" s="1423">
        <v>0</v>
      </c>
      <c r="K49" s="1423">
        <v>0</v>
      </c>
      <c r="L49" s="1423">
        <v>0</v>
      </c>
      <c r="M49" s="1423">
        <v>0</v>
      </c>
      <c r="N49" s="1423">
        <v>0</v>
      </c>
      <c r="O49" s="1423">
        <v>0</v>
      </c>
      <c r="P49" s="1423">
        <v>0</v>
      </c>
      <c r="Q49" s="1423">
        <v>0</v>
      </c>
      <c r="R49" s="1423">
        <v>0</v>
      </c>
      <c r="S49" s="1423">
        <v>0</v>
      </c>
      <c r="T49" s="1423">
        <v>0</v>
      </c>
      <c r="U49" s="1423">
        <v>0</v>
      </c>
      <c r="V49" s="1423">
        <v>0</v>
      </c>
      <c r="W49" s="1423">
        <v>0</v>
      </c>
      <c r="X49" s="1423">
        <v>0</v>
      </c>
      <c r="Y49" s="1423">
        <v>0</v>
      </c>
      <c r="Z49" s="1423">
        <v>0</v>
      </c>
      <c r="AA49" s="1423">
        <v>0</v>
      </c>
      <c r="AB49" s="1423">
        <v>0</v>
      </c>
      <c r="AC49" s="1423">
        <v>0</v>
      </c>
      <c r="AD49" s="1423">
        <v>0</v>
      </c>
      <c r="AE49" s="1423">
        <v>0</v>
      </c>
      <c r="AF49" s="1423">
        <v>0</v>
      </c>
      <c r="AG49" s="1423">
        <v>0</v>
      </c>
      <c r="AH49" s="1423">
        <v>0</v>
      </c>
      <c r="AI49" s="1423">
        <v>0</v>
      </c>
      <c r="AJ49" s="1423">
        <v>0</v>
      </c>
      <c r="AK49" s="1423">
        <v>0</v>
      </c>
      <c r="AL49" s="1423">
        <v>0</v>
      </c>
      <c r="AM49" s="1423">
        <v>0</v>
      </c>
      <c r="AN49" s="1423">
        <v>0</v>
      </c>
      <c r="AO49" s="1423">
        <v>0</v>
      </c>
      <c r="AP49" s="1423">
        <v>0</v>
      </c>
      <c r="AQ49" s="1423">
        <v>0</v>
      </c>
      <c r="AR49" s="1423">
        <v>0</v>
      </c>
      <c r="AS49" s="1423">
        <v>0</v>
      </c>
      <c r="AT49" s="1423">
        <v>0</v>
      </c>
      <c r="AU49" s="1423"/>
      <c r="AV49" s="1423"/>
      <c r="AW49" s="1423"/>
      <c r="AX49" s="1423"/>
      <c r="AY49" s="1423"/>
      <c r="AZ49" s="1423"/>
      <c r="BA49" s="1423">
        <v>0</v>
      </c>
      <c r="BB49" s="1423">
        <v>0</v>
      </c>
      <c r="BC49" s="1423">
        <v>0</v>
      </c>
      <c r="BD49" s="1423">
        <v>-33645.599999999999</v>
      </c>
      <c r="BE49" s="1423">
        <v>0</v>
      </c>
    </row>
    <row r="50" spans="1:57">
      <c r="A50" s="73"/>
      <c r="B50" s="74"/>
      <c r="C50" s="1423"/>
      <c r="D50" s="1423"/>
      <c r="E50" s="1423"/>
      <c r="F50" s="1423"/>
      <c r="G50" s="1423"/>
      <c r="H50" s="1423"/>
      <c r="I50" s="1423"/>
      <c r="J50" s="1423"/>
      <c r="K50" s="1423"/>
      <c r="L50" s="1423"/>
      <c r="M50" s="1423"/>
      <c r="N50" s="1423"/>
      <c r="O50" s="1423"/>
      <c r="P50" s="1423"/>
      <c r="Q50" s="1423"/>
      <c r="R50" s="1423"/>
      <c r="S50" s="1423"/>
      <c r="T50" s="1423"/>
      <c r="U50" s="1423"/>
      <c r="V50" s="1423"/>
      <c r="W50" s="1423"/>
      <c r="X50" s="1423"/>
      <c r="Y50" s="1423"/>
      <c r="Z50" s="1423"/>
      <c r="AA50" s="1423"/>
      <c r="AB50" s="1423"/>
      <c r="AC50" s="1423"/>
      <c r="AD50" s="1423"/>
      <c r="AE50" s="1423"/>
      <c r="AF50" s="1423"/>
      <c r="AG50" s="1423"/>
      <c r="AH50" s="1423"/>
      <c r="AI50" s="1423"/>
      <c r="AJ50" s="1423"/>
      <c r="AK50" s="1423"/>
      <c r="AL50" s="1423"/>
      <c r="AM50" s="1423"/>
      <c r="AN50" s="1423"/>
      <c r="AO50" s="1423"/>
      <c r="AP50" s="1423"/>
      <c r="AQ50" s="1423"/>
      <c r="AR50" s="1423"/>
      <c r="AS50" s="1423"/>
      <c r="AT50" s="1423"/>
      <c r="AU50" s="1423"/>
      <c r="AV50" s="1423"/>
      <c r="AW50" s="1423"/>
      <c r="AX50" s="1423"/>
      <c r="AY50" s="1423"/>
      <c r="AZ50" s="1423"/>
      <c r="BA50" s="1423"/>
      <c r="BB50" s="1423"/>
      <c r="BC50" s="1423"/>
      <c r="BD50" s="1423"/>
      <c r="BE50" s="1423"/>
    </row>
    <row r="51" spans="1:57">
      <c r="A51" s="77" t="s">
        <v>191</v>
      </c>
      <c r="B51" s="78">
        <v>663734.71900000004</v>
      </c>
      <c r="C51" s="1429">
        <v>0</v>
      </c>
      <c r="D51" s="1429">
        <v>25217.632000000001</v>
      </c>
      <c r="E51" s="1429">
        <v>638517.08699999994</v>
      </c>
      <c r="F51" s="1429">
        <v>0</v>
      </c>
      <c r="G51" s="1429">
        <v>0</v>
      </c>
      <c r="H51" s="1429">
        <v>0</v>
      </c>
      <c r="I51" s="1429">
        <v>0</v>
      </c>
      <c r="J51" s="1429">
        <v>50250.383099999992</v>
      </c>
      <c r="K51" s="1429">
        <v>0</v>
      </c>
      <c r="L51" s="1429">
        <v>0</v>
      </c>
      <c r="M51" s="1429">
        <v>105684.59</v>
      </c>
      <c r="N51" s="1429">
        <v>0</v>
      </c>
      <c r="O51" s="1429">
        <v>15745</v>
      </c>
      <c r="P51" s="1429">
        <v>0</v>
      </c>
      <c r="Q51" s="1429">
        <v>190400</v>
      </c>
      <c r="R51" s="1429">
        <v>0</v>
      </c>
      <c r="S51" s="1429">
        <v>0</v>
      </c>
      <c r="T51" s="1429">
        <v>0</v>
      </c>
      <c r="U51" s="1429">
        <v>0</v>
      </c>
      <c r="V51" s="1429">
        <v>0</v>
      </c>
      <c r="W51" s="1429">
        <v>0</v>
      </c>
      <c r="X51" s="1429">
        <v>0</v>
      </c>
      <c r="Y51" s="1429">
        <v>0</v>
      </c>
      <c r="Z51" s="1429">
        <v>0</v>
      </c>
      <c r="AA51" s="1429">
        <v>0</v>
      </c>
      <c r="AB51" s="1429">
        <v>0</v>
      </c>
      <c r="AC51" s="1429">
        <v>1.6972419999999998E-2</v>
      </c>
      <c r="AD51" s="1429">
        <v>0</v>
      </c>
      <c r="AE51" s="1429">
        <v>13378.4843076</v>
      </c>
      <c r="AF51" s="1429">
        <v>386092.56833280012</v>
      </c>
      <c r="AG51" s="1429">
        <v>744.7462524</v>
      </c>
      <c r="AH51" s="1429">
        <v>0</v>
      </c>
      <c r="AI51" s="1429">
        <v>77942.941602399995</v>
      </c>
      <c r="AJ51" s="1429">
        <v>27318.930686</v>
      </c>
      <c r="AK51" s="1429">
        <v>320332.53568620002</v>
      </c>
      <c r="AL51" s="1429">
        <v>19801.047635200001</v>
      </c>
      <c r="AM51" s="1429">
        <v>0</v>
      </c>
      <c r="AN51" s="1429">
        <v>8507.9909532000001</v>
      </c>
      <c r="AO51" s="1429">
        <v>34390.733215200002</v>
      </c>
      <c r="AP51" s="1429">
        <v>12287.075167200001</v>
      </c>
      <c r="AQ51" s="1429">
        <v>324.40604039999999</v>
      </c>
      <c r="AR51" s="1429">
        <v>0</v>
      </c>
      <c r="AS51" s="1429">
        <v>12783.95376</v>
      </c>
      <c r="AT51" s="1429">
        <v>0</v>
      </c>
      <c r="AU51" s="1429"/>
      <c r="AV51" s="1429"/>
      <c r="AW51" s="1429"/>
      <c r="AX51" s="1429"/>
      <c r="AY51" s="1429"/>
      <c r="AZ51" s="1429"/>
      <c r="BA51" s="1429">
        <v>0</v>
      </c>
      <c r="BB51" s="1429">
        <v>0</v>
      </c>
      <c r="BC51" s="1429">
        <v>0</v>
      </c>
      <c r="BD51" s="1429">
        <v>776660.7973032</v>
      </c>
      <c r="BE51" s="1429">
        <v>0</v>
      </c>
    </row>
    <row r="52" spans="1:57">
      <c r="A52" s="73"/>
      <c r="B52" s="74"/>
      <c r="C52" s="1423"/>
      <c r="D52" s="1423"/>
      <c r="E52" s="1423"/>
      <c r="F52" s="1423"/>
      <c r="G52" s="1423"/>
      <c r="H52" s="1423"/>
      <c r="I52" s="1423"/>
      <c r="J52" s="1423"/>
      <c r="K52" s="1423"/>
      <c r="L52" s="1423"/>
      <c r="M52" s="1423"/>
      <c r="N52" s="1423"/>
      <c r="O52" s="1423"/>
      <c r="P52" s="1423"/>
      <c r="Q52" s="1423"/>
      <c r="R52" s="1423"/>
      <c r="S52" s="1423"/>
      <c r="T52" s="1423"/>
      <c r="U52" s="1423"/>
      <c r="V52" s="1423"/>
      <c r="W52" s="1423"/>
      <c r="X52" s="1423"/>
      <c r="Y52" s="1423"/>
      <c r="Z52" s="1423"/>
      <c r="AA52" s="1423"/>
      <c r="AB52" s="1423"/>
      <c r="AC52" s="1423"/>
      <c r="AD52" s="1423"/>
      <c r="AE52" s="1423"/>
      <c r="AF52" s="1423"/>
      <c r="AG52" s="1423"/>
      <c r="AH52" s="1423"/>
      <c r="AI52" s="1423"/>
      <c r="AJ52" s="1423"/>
      <c r="AK52" s="1423"/>
      <c r="AL52" s="1423"/>
      <c r="AM52" s="1423"/>
      <c r="AN52" s="1423"/>
      <c r="AO52" s="1423"/>
      <c r="AP52" s="1423"/>
      <c r="AQ52" s="1423"/>
      <c r="AR52" s="1423"/>
      <c r="AS52" s="1423"/>
      <c r="AT52" s="1423"/>
      <c r="AU52" s="1423"/>
      <c r="AV52" s="1423"/>
      <c r="AW52" s="1423"/>
      <c r="AX52" s="1423"/>
      <c r="AY52" s="1423"/>
      <c r="AZ52" s="1423"/>
      <c r="BA52" s="1423"/>
      <c r="BB52" s="1423"/>
      <c r="BC52" s="1423"/>
      <c r="BD52" s="1423"/>
      <c r="BE52" s="1423"/>
    </row>
    <row r="53" spans="1:57">
      <c r="A53" s="73" t="s">
        <v>192</v>
      </c>
      <c r="B53" s="74">
        <v>433968.5</v>
      </c>
      <c r="C53" s="1423">
        <v>0</v>
      </c>
      <c r="D53" s="1423">
        <v>20677.960999999999</v>
      </c>
      <c r="E53" s="1423">
        <v>413290.53899999999</v>
      </c>
      <c r="F53" s="1423">
        <v>0</v>
      </c>
      <c r="G53" s="1423">
        <v>0</v>
      </c>
      <c r="H53" s="1423">
        <v>0</v>
      </c>
      <c r="I53" s="1423">
        <v>0</v>
      </c>
      <c r="J53" s="1423">
        <v>50250.383099999992</v>
      </c>
      <c r="K53" s="1423">
        <v>0</v>
      </c>
      <c r="L53" s="1423">
        <v>0</v>
      </c>
      <c r="M53" s="1423">
        <v>104820.36</v>
      </c>
      <c r="N53" s="1423">
        <v>0</v>
      </c>
      <c r="O53" s="1423">
        <v>15745</v>
      </c>
      <c r="P53" s="1423">
        <v>0</v>
      </c>
      <c r="Q53" s="1423">
        <v>0</v>
      </c>
      <c r="R53" s="1423">
        <v>0</v>
      </c>
      <c r="S53" s="1423">
        <v>0</v>
      </c>
      <c r="T53" s="1423">
        <v>0</v>
      </c>
      <c r="U53" s="1423">
        <v>0</v>
      </c>
      <c r="V53" s="1423">
        <v>0</v>
      </c>
      <c r="W53" s="1423">
        <v>0</v>
      </c>
      <c r="X53" s="1423">
        <v>0</v>
      </c>
      <c r="Y53" s="1423">
        <v>0</v>
      </c>
      <c r="Z53" s="1423">
        <v>0</v>
      </c>
      <c r="AA53" s="1423">
        <v>0</v>
      </c>
      <c r="AB53" s="1423">
        <v>0</v>
      </c>
      <c r="AC53" s="1423">
        <v>0</v>
      </c>
      <c r="AD53" s="1423">
        <v>0</v>
      </c>
      <c r="AE53" s="1423">
        <v>3.8634099000000002</v>
      </c>
      <c r="AF53" s="1423">
        <v>529.19315280000001</v>
      </c>
      <c r="AG53" s="1423">
        <v>0</v>
      </c>
      <c r="AH53" s="1423">
        <v>0</v>
      </c>
      <c r="AI53" s="1423">
        <v>0</v>
      </c>
      <c r="AJ53" s="1423">
        <v>598.82638899999995</v>
      </c>
      <c r="AK53" s="1423">
        <v>36014.976280800001</v>
      </c>
      <c r="AL53" s="1423">
        <v>167.0164704</v>
      </c>
      <c r="AM53" s="1423">
        <v>0</v>
      </c>
      <c r="AN53" s="1423">
        <v>27.6729162</v>
      </c>
      <c r="AO53" s="1423">
        <v>3461.8092918000002</v>
      </c>
      <c r="AP53" s="1423">
        <v>7051.7770679999994</v>
      </c>
      <c r="AQ53" s="1423">
        <v>2.6431499999999999</v>
      </c>
      <c r="AR53" s="1423">
        <v>0</v>
      </c>
      <c r="AS53" s="1423">
        <v>0</v>
      </c>
      <c r="AT53" s="1423">
        <v>0</v>
      </c>
      <c r="AU53" s="1423"/>
      <c r="AV53" s="1423"/>
      <c r="AW53" s="1423"/>
      <c r="AX53" s="1423"/>
      <c r="AY53" s="1423"/>
      <c r="AZ53" s="1423"/>
      <c r="BA53" s="1423">
        <v>0</v>
      </c>
      <c r="BB53" s="1423">
        <v>0</v>
      </c>
      <c r="BC53" s="1423">
        <v>0</v>
      </c>
      <c r="BD53" s="1423">
        <v>419871.14640000003</v>
      </c>
      <c r="BE53" s="1423">
        <v>0</v>
      </c>
    </row>
    <row r="54" spans="1:57">
      <c r="A54" s="73" t="s">
        <v>193</v>
      </c>
      <c r="B54" s="74">
        <v>128621.87300000001</v>
      </c>
      <c r="C54" s="1423">
        <v>0</v>
      </c>
      <c r="D54" s="1423">
        <v>11227.115</v>
      </c>
      <c r="E54" s="1423">
        <v>117394.758</v>
      </c>
      <c r="F54" s="1423">
        <v>0</v>
      </c>
      <c r="G54" s="1423">
        <v>0</v>
      </c>
      <c r="H54" s="1423">
        <v>0</v>
      </c>
      <c r="I54" s="1423">
        <v>0</v>
      </c>
      <c r="J54" s="1423">
        <v>50250.383099999992</v>
      </c>
      <c r="K54" s="1423">
        <v>0</v>
      </c>
      <c r="L54" s="1423">
        <v>0</v>
      </c>
      <c r="M54" s="1423">
        <v>21976.1</v>
      </c>
      <c r="N54" s="1423">
        <v>0</v>
      </c>
      <c r="O54" s="1423">
        <v>15745</v>
      </c>
      <c r="P54" s="1423">
        <v>0</v>
      </c>
      <c r="Q54" s="1423">
        <v>0</v>
      </c>
      <c r="R54" s="1423">
        <v>0</v>
      </c>
      <c r="S54" s="1423">
        <v>0</v>
      </c>
      <c r="T54" s="1423">
        <v>0</v>
      </c>
      <c r="U54" s="1423">
        <v>0</v>
      </c>
      <c r="V54" s="1423">
        <v>0</v>
      </c>
      <c r="W54" s="1423">
        <v>0</v>
      </c>
      <c r="X54" s="1423">
        <v>0</v>
      </c>
      <c r="Y54" s="1423">
        <v>0</v>
      </c>
      <c r="Z54" s="1423">
        <v>0</v>
      </c>
      <c r="AA54" s="1423">
        <v>0</v>
      </c>
      <c r="AB54" s="1423">
        <v>0</v>
      </c>
      <c r="AC54" s="1423">
        <v>0</v>
      </c>
      <c r="AD54" s="1423">
        <v>0</v>
      </c>
      <c r="AE54" s="1423">
        <v>0</v>
      </c>
      <c r="AF54" s="1423">
        <v>0</v>
      </c>
      <c r="AG54" s="1423">
        <v>0</v>
      </c>
      <c r="AH54" s="1423">
        <v>0</v>
      </c>
      <c r="AI54" s="1423">
        <v>0</v>
      </c>
      <c r="AJ54" s="1423">
        <v>0</v>
      </c>
      <c r="AK54" s="1423">
        <v>0</v>
      </c>
      <c r="AL54" s="1423">
        <v>0</v>
      </c>
      <c r="AM54" s="1423">
        <v>0</v>
      </c>
      <c r="AN54" s="1423">
        <v>0</v>
      </c>
      <c r="AO54" s="1423">
        <v>0</v>
      </c>
      <c r="AP54" s="1423">
        <v>0</v>
      </c>
      <c r="AQ54" s="1423">
        <v>0</v>
      </c>
      <c r="AR54" s="1423">
        <v>0</v>
      </c>
      <c r="AS54" s="1423">
        <v>0</v>
      </c>
      <c r="AT54" s="1423">
        <v>0</v>
      </c>
      <c r="AU54" s="1423"/>
      <c r="AV54" s="1423"/>
      <c r="AW54" s="1423"/>
      <c r="AX54" s="1423"/>
      <c r="AY54" s="1423"/>
      <c r="AZ54" s="1423"/>
      <c r="BA54" s="1423">
        <v>0</v>
      </c>
      <c r="BB54" s="1423">
        <v>0</v>
      </c>
      <c r="BC54" s="1423">
        <v>0</v>
      </c>
      <c r="BD54" s="1423">
        <v>76832.351999999984</v>
      </c>
      <c r="BE54" s="1423">
        <v>0</v>
      </c>
    </row>
    <row r="55" spans="1:57">
      <c r="A55" s="73" t="s">
        <v>194</v>
      </c>
      <c r="B55" s="74">
        <v>52210.51</v>
      </c>
      <c r="C55" s="1423">
        <v>0</v>
      </c>
      <c r="D55" s="1423">
        <v>1368.6189999999999</v>
      </c>
      <c r="E55" s="1423">
        <v>50841.890999999989</v>
      </c>
      <c r="F55" s="1423">
        <v>0</v>
      </c>
      <c r="G55" s="1423">
        <v>0</v>
      </c>
      <c r="H55" s="1423">
        <v>0</v>
      </c>
      <c r="I55" s="1423">
        <v>0</v>
      </c>
      <c r="J55" s="1423">
        <v>0</v>
      </c>
      <c r="K55" s="1423">
        <v>0</v>
      </c>
      <c r="L55" s="1423">
        <v>0</v>
      </c>
      <c r="M55" s="1423">
        <v>59121.91</v>
      </c>
      <c r="N55" s="1423">
        <v>0</v>
      </c>
      <c r="O55" s="1423">
        <v>0</v>
      </c>
      <c r="P55" s="1423">
        <v>0</v>
      </c>
      <c r="Q55" s="1423">
        <v>0</v>
      </c>
      <c r="R55" s="1423">
        <v>0</v>
      </c>
      <c r="S55" s="1423">
        <v>0</v>
      </c>
      <c r="T55" s="1423">
        <v>0</v>
      </c>
      <c r="U55" s="1423">
        <v>0</v>
      </c>
      <c r="V55" s="1423">
        <v>0</v>
      </c>
      <c r="W55" s="1423">
        <v>0</v>
      </c>
      <c r="X55" s="1423">
        <v>0</v>
      </c>
      <c r="Y55" s="1423">
        <v>0</v>
      </c>
      <c r="Z55" s="1423">
        <v>0</v>
      </c>
      <c r="AA55" s="1423">
        <v>0</v>
      </c>
      <c r="AB55" s="1423">
        <v>0</v>
      </c>
      <c r="AC55" s="1423">
        <v>0</v>
      </c>
      <c r="AD55" s="1423">
        <v>0</v>
      </c>
      <c r="AE55" s="1423">
        <v>0</v>
      </c>
      <c r="AF55" s="1423">
        <v>0</v>
      </c>
      <c r="AG55" s="1423">
        <v>0</v>
      </c>
      <c r="AH55" s="1423">
        <v>0</v>
      </c>
      <c r="AI55" s="1423">
        <v>0</v>
      </c>
      <c r="AJ55" s="1423">
        <v>0</v>
      </c>
      <c r="AK55" s="1423">
        <v>0</v>
      </c>
      <c r="AL55" s="1423">
        <v>0</v>
      </c>
      <c r="AM55" s="1423">
        <v>0</v>
      </c>
      <c r="AN55" s="1423">
        <v>0</v>
      </c>
      <c r="AO55" s="1423">
        <v>0</v>
      </c>
      <c r="AP55" s="1423">
        <v>0</v>
      </c>
      <c r="AQ55" s="1423">
        <v>0</v>
      </c>
      <c r="AR55" s="1423">
        <v>0</v>
      </c>
      <c r="AS55" s="1423">
        <v>0</v>
      </c>
      <c r="AT55" s="1423">
        <v>0</v>
      </c>
      <c r="AU55" s="1423"/>
      <c r="AV55" s="1423"/>
      <c r="AW55" s="1423"/>
      <c r="AX55" s="1423"/>
      <c r="AY55" s="1423"/>
      <c r="AZ55" s="1423"/>
      <c r="BA55" s="1423">
        <v>0</v>
      </c>
      <c r="BB55" s="1423">
        <v>0</v>
      </c>
      <c r="BC55" s="1423">
        <v>0</v>
      </c>
      <c r="BD55" s="1423">
        <v>36292.392</v>
      </c>
      <c r="BE55" s="1423">
        <v>0</v>
      </c>
    </row>
    <row r="56" spans="1:57">
      <c r="A56" s="73" t="s">
        <v>195</v>
      </c>
      <c r="B56" s="74">
        <v>0</v>
      </c>
      <c r="C56" s="1423">
        <v>0</v>
      </c>
      <c r="D56" s="1423">
        <v>0</v>
      </c>
      <c r="E56" s="1423">
        <v>0</v>
      </c>
      <c r="F56" s="1423">
        <v>0</v>
      </c>
      <c r="G56" s="1423">
        <v>0</v>
      </c>
      <c r="H56" s="1423">
        <v>0</v>
      </c>
      <c r="I56" s="1423">
        <v>0</v>
      </c>
      <c r="J56" s="1423">
        <v>0</v>
      </c>
      <c r="K56" s="1423">
        <v>0</v>
      </c>
      <c r="L56" s="1423">
        <v>0</v>
      </c>
      <c r="M56" s="1423">
        <v>0</v>
      </c>
      <c r="N56" s="1423">
        <v>0</v>
      </c>
      <c r="O56" s="1423">
        <v>0</v>
      </c>
      <c r="P56" s="1423">
        <v>0</v>
      </c>
      <c r="Q56" s="1423">
        <v>0</v>
      </c>
      <c r="R56" s="1423">
        <v>0</v>
      </c>
      <c r="S56" s="1423">
        <v>0</v>
      </c>
      <c r="T56" s="1423">
        <v>0</v>
      </c>
      <c r="U56" s="1423">
        <v>0</v>
      </c>
      <c r="V56" s="1423">
        <v>0</v>
      </c>
      <c r="W56" s="1423">
        <v>0</v>
      </c>
      <c r="X56" s="1423">
        <v>0</v>
      </c>
      <c r="Y56" s="1423">
        <v>0</v>
      </c>
      <c r="Z56" s="1423">
        <v>0</v>
      </c>
      <c r="AA56" s="1423">
        <v>0</v>
      </c>
      <c r="AB56" s="1423">
        <v>0</v>
      </c>
      <c r="AC56" s="1423">
        <v>0</v>
      </c>
      <c r="AD56" s="1423">
        <v>0</v>
      </c>
      <c r="AE56" s="1423">
        <v>0</v>
      </c>
      <c r="AF56" s="1423">
        <v>0</v>
      </c>
      <c r="AG56" s="1423">
        <v>0</v>
      </c>
      <c r="AH56" s="1423">
        <v>0</v>
      </c>
      <c r="AI56" s="1423">
        <v>0</v>
      </c>
      <c r="AJ56" s="1423">
        <v>0</v>
      </c>
      <c r="AK56" s="1423">
        <v>0</v>
      </c>
      <c r="AL56" s="1423">
        <v>0</v>
      </c>
      <c r="AM56" s="1423">
        <v>0</v>
      </c>
      <c r="AN56" s="1423">
        <v>0</v>
      </c>
      <c r="AO56" s="1423">
        <v>0</v>
      </c>
      <c r="AP56" s="1423">
        <v>0</v>
      </c>
      <c r="AQ56" s="1423">
        <v>0</v>
      </c>
      <c r="AR56" s="1423">
        <v>0</v>
      </c>
      <c r="AS56" s="1423">
        <v>0</v>
      </c>
      <c r="AT56" s="1423">
        <v>0</v>
      </c>
      <c r="AU56" s="1423"/>
      <c r="AV56" s="1423"/>
      <c r="AW56" s="1423"/>
      <c r="AX56" s="1423"/>
      <c r="AY56" s="1423"/>
      <c r="AZ56" s="1423"/>
      <c r="BA56" s="1423">
        <v>0</v>
      </c>
      <c r="BB56" s="1423">
        <v>0</v>
      </c>
      <c r="BC56" s="1423">
        <v>0</v>
      </c>
      <c r="BD56" s="1423">
        <v>67105.584000000003</v>
      </c>
      <c r="BE56" s="1423">
        <v>0</v>
      </c>
    </row>
    <row r="57" spans="1:57">
      <c r="A57" s="73" t="s">
        <v>196</v>
      </c>
      <c r="B57" s="74">
        <v>27617.46</v>
      </c>
      <c r="C57" s="1423">
        <v>0</v>
      </c>
      <c r="D57" s="1423">
        <v>7354.9049999999997</v>
      </c>
      <c r="E57" s="1423">
        <v>20262.555</v>
      </c>
      <c r="F57" s="1423">
        <v>0</v>
      </c>
      <c r="G57" s="1423">
        <v>0</v>
      </c>
      <c r="H57" s="1423">
        <v>0</v>
      </c>
      <c r="I57" s="1423">
        <v>0</v>
      </c>
      <c r="J57" s="1423">
        <v>0</v>
      </c>
      <c r="K57" s="1423">
        <v>0</v>
      </c>
      <c r="L57" s="1423">
        <v>0</v>
      </c>
      <c r="M57" s="1423">
        <v>7868.5</v>
      </c>
      <c r="N57" s="1423">
        <v>0</v>
      </c>
      <c r="O57" s="1423">
        <v>0</v>
      </c>
      <c r="P57" s="1423">
        <v>0</v>
      </c>
      <c r="Q57" s="1423">
        <v>0</v>
      </c>
      <c r="R57" s="1423">
        <v>0</v>
      </c>
      <c r="S57" s="1423">
        <v>0</v>
      </c>
      <c r="T57" s="1423">
        <v>0</v>
      </c>
      <c r="U57" s="1423">
        <v>0</v>
      </c>
      <c r="V57" s="1423">
        <v>0</v>
      </c>
      <c r="W57" s="1423">
        <v>0</v>
      </c>
      <c r="X57" s="1423">
        <v>0</v>
      </c>
      <c r="Y57" s="1423">
        <v>0</v>
      </c>
      <c r="Z57" s="1423">
        <v>0</v>
      </c>
      <c r="AA57" s="1423">
        <v>0</v>
      </c>
      <c r="AB57" s="1423">
        <v>0</v>
      </c>
      <c r="AC57" s="1423">
        <v>0</v>
      </c>
      <c r="AD57" s="1423">
        <v>0</v>
      </c>
      <c r="AE57" s="1423">
        <v>0</v>
      </c>
      <c r="AF57" s="1423">
        <v>0</v>
      </c>
      <c r="AG57" s="1423">
        <v>0</v>
      </c>
      <c r="AH57" s="1423">
        <v>0</v>
      </c>
      <c r="AI57" s="1423">
        <v>0</v>
      </c>
      <c r="AJ57" s="1423">
        <v>0</v>
      </c>
      <c r="AK57" s="1423">
        <v>0</v>
      </c>
      <c r="AL57" s="1423">
        <v>0</v>
      </c>
      <c r="AM57" s="1423">
        <v>0</v>
      </c>
      <c r="AN57" s="1423">
        <v>0</v>
      </c>
      <c r="AO57" s="1423">
        <v>0</v>
      </c>
      <c r="AP57" s="1423">
        <v>0</v>
      </c>
      <c r="AQ57" s="1423">
        <v>0</v>
      </c>
      <c r="AR57" s="1423">
        <v>0</v>
      </c>
      <c r="AS57" s="1423">
        <v>0</v>
      </c>
      <c r="AT57" s="1423">
        <v>0</v>
      </c>
      <c r="AU57" s="1423"/>
      <c r="AV57" s="1423"/>
      <c r="AW57" s="1423"/>
      <c r="AX57" s="1423"/>
      <c r="AY57" s="1423"/>
      <c r="AZ57" s="1423"/>
      <c r="BA57" s="1423">
        <v>0</v>
      </c>
      <c r="BB57" s="1423">
        <v>0</v>
      </c>
      <c r="BC57" s="1423">
        <v>0</v>
      </c>
      <c r="BD57" s="1423">
        <v>9380.6639999999989</v>
      </c>
      <c r="BE57" s="1423">
        <v>0</v>
      </c>
    </row>
    <row r="58" spans="1:57">
      <c r="A58" s="73" t="s">
        <v>197</v>
      </c>
      <c r="B58" s="74">
        <v>0</v>
      </c>
      <c r="C58" s="1423">
        <v>0</v>
      </c>
      <c r="D58" s="1423">
        <v>0</v>
      </c>
      <c r="E58" s="1423">
        <v>0</v>
      </c>
      <c r="F58" s="1423">
        <v>0</v>
      </c>
      <c r="G58" s="1423">
        <v>0</v>
      </c>
      <c r="H58" s="1423">
        <v>0</v>
      </c>
      <c r="I58" s="1423">
        <v>0</v>
      </c>
      <c r="J58" s="1423">
        <v>0</v>
      </c>
      <c r="K58" s="1423">
        <v>0</v>
      </c>
      <c r="L58" s="1423">
        <v>0</v>
      </c>
      <c r="M58" s="1423">
        <v>0</v>
      </c>
      <c r="N58" s="1423">
        <v>0</v>
      </c>
      <c r="O58" s="1423">
        <v>0</v>
      </c>
      <c r="P58" s="1423">
        <v>0</v>
      </c>
      <c r="Q58" s="1423">
        <v>0</v>
      </c>
      <c r="R58" s="1423">
        <v>0</v>
      </c>
      <c r="S58" s="1423">
        <v>0</v>
      </c>
      <c r="T58" s="1423">
        <v>0</v>
      </c>
      <c r="U58" s="1423">
        <v>0</v>
      </c>
      <c r="V58" s="1423">
        <v>0</v>
      </c>
      <c r="W58" s="1423">
        <v>0</v>
      </c>
      <c r="X58" s="1423">
        <v>0</v>
      </c>
      <c r="Y58" s="1423">
        <v>0</v>
      </c>
      <c r="Z58" s="1423">
        <v>0</v>
      </c>
      <c r="AA58" s="1423">
        <v>0</v>
      </c>
      <c r="AB58" s="1423">
        <v>0</v>
      </c>
      <c r="AC58" s="1423">
        <v>0</v>
      </c>
      <c r="AD58" s="1423">
        <v>0</v>
      </c>
      <c r="AE58" s="1423">
        <v>0</v>
      </c>
      <c r="AF58" s="1423">
        <v>0</v>
      </c>
      <c r="AG58" s="1423">
        <v>0</v>
      </c>
      <c r="AH58" s="1423">
        <v>0</v>
      </c>
      <c r="AI58" s="1423">
        <v>0</v>
      </c>
      <c r="AJ58" s="1423">
        <v>0</v>
      </c>
      <c r="AK58" s="1423">
        <v>0</v>
      </c>
      <c r="AL58" s="1423">
        <v>0</v>
      </c>
      <c r="AM58" s="1423">
        <v>0</v>
      </c>
      <c r="AN58" s="1423">
        <v>0</v>
      </c>
      <c r="AO58" s="1423">
        <v>0</v>
      </c>
      <c r="AP58" s="1423">
        <v>0</v>
      </c>
      <c r="AQ58" s="1423">
        <v>0</v>
      </c>
      <c r="AR58" s="1423">
        <v>0</v>
      </c>
      <c r="AS58" s="1423">
        <v>0</v>
      </c>
      <c r="AT58" s="1423">
        <v>0</v>
      </c>
      <c r="AU58" s="1423"/>
      <c r="AV58" s="1423"/>
      <c r="AW58" s="1423"/>
      <c r="AX58" s="1423"/>
      <c r="AY58" s="1423"/>
      <c r="AZ58" s="1423"/>
      <c r="BA58" s="1423">
        <v>0</v>
      </c>
      <c r="BB58" s="1423">
        <v>0</v>
      </c>
      <c r="BC58" s="1423">
        <v>0</v>
      </c>
      <c r="BD58" s="1423">
        <v>329.36399999999998</v>
      </c>
      <c r="BE58" s="1423">
        <v>0</v>
      </c>
    </row>
    <row r="59" spans="1:57">
      <c r="A59" s="73" t="s">
        <v>198</v>
      </c>
      <c r="B59" s="74">
        <v>0</v>
      </c>
      <c r="C59" s="1423">
        <v>0</v>
      </c>
      <c r="D59" s="1423">
        <v>0</v>
      </c>
      <c r="E59" s="1423">
        <v>0</v>
      </c>
      <c r="F59" s="1423">
        <v>0</v>
      </c>
      <c r="G59" s="1423">
        <v>0</v>
      </c>
      <c r="H59" s="1423">
        <v>0</v>
      </c>
      <c r="I59" s="1423">
        <v>0</v>
      </c>
      <c r="J59" s="1423">
        <v>0</v>
      </c>
      <c r="K59" s="1423">
        <v>0</v>
      </c>
      <c r="L59" s="1423">
        <v>0</v>
      </c>
      <c r="M59" s="1423">
        <v>2328.61</v>
      </c>
      <c r="N59" s="1423">
        <v>0</v>
      </c>
      <c r="O59" s="1423">
        <v>0</v>
      </c>
      <c r="P59" s="1423">
        <v>0</v>
      </c>
      <c r="Q59" s="1423">
        <v>0</v>
      </c>
      <c r="R59" s="1423">
        <v>0</v>
      </c>
      <c r="S59" s="1423">
        <v>0</v>
      </c>
      <c r="T59" s="1423">
        <v>0</v>
      </c>
      <c r="U59" s="1423">
        <v>0</v>
      </c>
      <c r="V59" s="1423">
        <v>0</v>
      </c>
      <c r="W59" s="1423">
        <v>0</v>
      </c>
      <c r="X59" s="1423">
        <v>0</v>
      </c>
      <c r="Y59" s="1423">
        <v>0</v>
      </c>
      <c r="Z59" s="1423">
        <v>0</v>
      </c>
      <c r="AA59" s="1423">
        <v>0</v>
      </c>
      <c r="AB59" s="1423">
        <v>0</v>
      </c>
      <c r="AC59" s="1423">
        <v>0</v>
      </c>
      <c r="AD59" s="1423">
        <v>0</v>
      </c>
      <c r="AE59" s="1423">
        <v>0</v>
      </c>
      <c r="AF59" s="1423">
        <v>0</v>
      </c>
      <c r="AG59" s="1423">
        <v>0</v>
      </c>
      <c r="AH59" s="1423">
        <v>0</v>
      </c>
      <c r="AI59" s="1423">
        <v>0</v>
      </c>
      <c r="AJ59" s="1423">
        <v>0</v>
      </c>
      <c r="AK59" s="1423">
        <v>0</v>
      </c>
      <c r="AL59" s="1423">
        <v>0</v>
      </c>
      <c r="AM59" s="1423">
        <v>0</v>
      </c>
      <c r="AN59" s="1423">
        <v>0</v>
      </c>
      <c r="AO59" s="1423">
        <v>0</v>
      </c>
      <c r="AP59" s="1423">
        <v>0</v>
      </c>
      <c r="AQ59" s="1423">
        <v>0</v>
      </c>
      <c r="AR59" s="1423">
        <v>0</v>
      </c>
      <c r="AS59" s="1423">
        <v>0</v>
      </c>
      <c r="AT59" s="1423">
        <v>0</v>
      </c>
      <c r="AU59" s="1423"/>
      <c r="AV59" s="1423"/>
      <c r="AW59" s="1423"/>
      <c r="AX59" s="1423"/>
      <c r="AY59" s="1423"/>
      <c r="AZ59" s="1423"/>
      <c r="BA59" s="1423">
        <v>0</v>
      </c>
      <c r="BB59" s="1423">
        <v>0</v>
      </c>
      <c r="BC59" s="1423">
        <v>0</v>
      </c>
      <c r="BD59" s="1423">
        <v>150.048</v>
      </c>
      <c r="BE59" s="1423">
        <v>0</v>
      </c>
    </row>
    <row r="60" spans="1:57">
      <c r="A60" s="73" t="s">
        <v>199</v>
      </c>
      <c r="B60" s="74">
        <v>53282.366999999991</v>
      </c>
      <c r="C60" s="1423">
        <v>0</v>
      </c>
      <c r="D60" s="1423">
        <v>0</v>
      </c>
      <c r="E60" s="1423">
        <v>53282.366999999991</v>
      </c>
      <c r="F60" s="1423">
        <v>0</v>
      </c>
      <c r="G60" s="1423">
        <v>0</v>
      </c>
      <c r="H60" s="1423">
        <v>0</v>
      </c>
      <c r="I60" s="1423">
        <v>0</v>
      </c>
      <c r="J60" s="1423">
        <v>0</v>
      </c>
      <c r="K60" s="1423">
        <v>0</v>
      </c>
      <c r="L60" s="1423">
        <v>0</v>
      </c>
      <c r="M60" s="1423">
        <v>2899.94</v>
      </c>
      <c r="N60" s="1423">
        <v>0</v>
      </c>
      <c r="O60" s="1423">
        <v>0</v>
      </c>
      <c r="P60" s="1423">
        <v>0</v>
      </c>
      <c r="Q60" s="1423">
        <v>0</v>
      </c>
      <c r="R60" s="1423">
        <v>0</v>
      </c>
      <c r="S60" s="1423">
        <v>0</v>
      </c>
      <c r="T60" s="1423">
        <v>0</v>
      </c>
      <c r="U60" s="1423">
        <v>0</v>
      </c>
      <c r="V60" s="1423">
        <v>0</v>
      </c>
      <c r="W60" s="1423">
        <v>0</v>
      </c>
      <c r="X60" s="1423">
        <v>0</v>
      </c>
      <c r="Y60" s="1423">
        <v>0</v>
      </c>
      <c r="Z60" s="1423">
        <v>0</v>
      </c>
      <c r="AA60" s="1423">
        <v>0</v>
      </c>
      <c r="AB60" s="1423">
        <v>0</v>
      </c>
      <c r="AC60" s="1423">
        <v>0</v>
      </c>
      <c r="AD60" s="1423">
        <v>0</v>
      </c>
      <c r="AE60" s="1423">
        <v>6.1570199999999999E-2</v>
      </c>
      <c r="AF60" s="1423">
        <v>464.74479179999997</v>
      </c>
      <c r="AG60" s="1423">
        <v>0</v>
      </c>
      <c r="AH60" s="1423">
        <v>0</v>
      </c>
      <c r="AI60" s="1423">
        <v>0</v>
      </c>
      <c r="AJ60" s="1423">
        <v>496.51617199999998</v>
      </c>
      <c r="AK60" s="1423">
        <v>28149.155919000001</v>
      </c>
      <c r="AL60" s="1423">
        <v>77.266924799999984</v>
      </c>
      <c r="AM60" s="1423">
        <v>0</v>
      </c>
      <c r="AN60" s="1423">
        <v>27.250896600000001</v>
      </c>
      <c r="AO60" s="1423">
        <v>3172.5133685999999</v>
      </c>
      <c r="AP60" s="1423">
        <v>0</v>
      </c>
      <c r="AQ60" s="1423">
        <v>0</v>
      </c>
      <c r="AR60" s="1423">
        <v>0</v>
      </c>
      <c r="AS60" s="1423">
        <v>0</v>
      </c>
      <c r="AT60" s="1423">
        <v>0</v>
      </c>
      <c r="AU60" s="1423"/>
      <c r="AV60" s="1423"/>
      <c r="AW60" s="1423"/>
      <c r="AX60" s="1423"/>
      <c r="AY60" s="1423"/>
      <c r="AZ60" s="1423"/>
      <c r="BA60" s="1423">
        <v>0</v>
      </c>
      <c r="BB60" s="1423">
        <v>0</v>
      </c>
      <c r="BC60" s="1423">
        <v>0</v>
      </c>
      <c r="BD60" s="1423">
        <v>113412.492</v>
      </c>
      <c r="BE60" s="1423">
        <v>0</v>
      </c>
    </row>
    <row r="61" spans="1:57">
      <c r="A61" s="73" t="s">
        <v>200</v>
      </c>
      <c r="B61" s="74">
        <v>0</v>
      </c>
      <c r="C61" s="1423">
        <v>0</v>
      </c>
      <c r="D61" s="1423">
        <v>0</v>
      </c>
      <c r="E61" s="1423">
        <v>0</v>
      </c>
      <c r="F61" s="1423">
        <v>0</v>
      </c>
      <c r="G61" s="1423">
        <v>0</v>
      </c>
      <c r="H61" s="1423">
        <v>0</v>
      </c>
      <c r="I61" s="1423">
        <v>0</v>
      </c>
      <c r="J61" s="1423">
        <v>0</v>
      </c>
      <c r="K61" s="1423">
        <v>0</v>
      </c>
      <c r="L61" s="1423">
        <v>0</v>
      </c>
      <c r="M61" s="1423">
        <v>1396.7</v>
      </c>
      <c r="N61" s="1423">
        <v>0</v>
      </c>
      <c r="O61" s="1423">
        <v>0</v>
      </c>
      <c r="P61" s="1423">
        <v>0</v>
      </c>
      <c r="Q61" s="1423">
        <v>0</v>
      </c>
      <c r="R61" s="1423">
        <v>0</v>
      </c>
      <c r="S61" s="1423">
        <v>0</v>
      </c>
      <c r="T61" s="1423">
        <v>0</v>
      </c>
      <c r="U61" s="1423">
        <v>0</v>
      </c>
      <c r="V61" s="1423">
        <v>0</v>
      </c>
      <c r="W61" s="1423">
        <v>0</v>
      </c>
      <c r="X61" s="1423">
        <v>0</v>
      </c>
      <c r="Y61" s="1423">
        <v>0</v>
      </c>
      <c r="Z61" s="1423">
        <v>0</v>
      </c>
      <c r="AA61" s="1423">
        <v>0</v>
      </c>
      <c r="AB61" s="1423">
        <v>0</v>
      </c>
      <c r="AC61" s="1423">
        <v>0</v>
      </c>
      <c r="AD61" s="1423">
        <v>0</v>
      </c>
      <c r="AE61" s="1423">
        <v>0</v>
      </c>
      <c r="AF61" s="1423">
        <v>0</v>
      </c>
      <c r="AG61" s="1423">
        <v>0</v>
      </c>
      <c r="AH61" s="1423">
        <v>0</v>
      </c>
      <c r="AI61" s="1423">
        <v>0</v>
      </c>
      <c r="AJ61" s="1423">
        <v>0</v>
      </c>
      <c r="AK61" s="1423">
        <v>0</v>
      </c>
      <c r="AL61" s="1423">
        <v>0</v>
      </c>
      <c r="AM61" s="1423">
        <v>0</v>
      </c>
      <c r="AN61" s="1423">
        <v>0</v>
      </c>
      <c r="AO61" s="1423">
        <v>0</v>
      </c>
      <c r="AP61" s="1423">
        <v>0</v>
      </c>
      <c r="AQ61" s="1423">
        <v>0</v>
      </c>
      <c r="AR61" s="1423">
        <v>0</v>
      </c>
      <c r="AS61" s="1423">
        <v>0</v>
      </c>
      <c r="AT61" s="1423">
        <v>0</v>
      </c>
      <c r="AU61" s="1423"/>
      <c r="AV61" s="1423"/>
      <c r="AW61" s="1423"/>
      <c r="AX61" s="1423"/>
      <c r="AY61" s="1423"/>
      <c r="AZ61" s="1423"/>
      <c r="BA61" s="1423">
        <v>0</v>
      </c>
      <c r="BB61" s="1423">
        <v>0</v>
      </c>
      <c r="BC61" s="1423">
        <v>0</v>
      </c>
      <c r="BD61" s="1423">
        <v>2738.4119999999998</v>
      </c>
      <c r="BE61" s="1423">
        <v>0</v>
      </c>
    </row>
    <row r="62" spans="1:57">
      <c r="A62" s="73" t="s">
        <v>201</v>
      </c>
      <c r="B62" s="74">
        <v>0</v>
      </c>
      <c r="C62" s="1423">
        <v>0</v>
      </c>
      <c r="D62" s="1423">
        <v>0</v>
      </c>
      <c r="E62" s="1423">
        <v>0</v>
      </c>
      <c r="F62" s="1423">
        <v>0</v>
      </c>
      <c r="G62" s="1423">
        <v>0</v>
      </c>
      <c r="H62" s="1423">
        <v>0</v>
      </c>
      <c r="I62" s="1423">
        <v>0</v>
      </c>
      <c r="J62" s="1423">
        <v>0</v>
      </c>
      <c r="K62" s="1423">
        <v>0</v>
      </c>
      <c r="L62" s="1423">
        <v>0</v>
      </c>
      <c r="M62" s="1423">
        <v>3120.7</v>
      </c>
      <c r="N62" s="1423">
        <v>0</v>
      </c>
      <c r="O62" s="1423">
        <v>0</v>
      </c>
      <c r="P62" s="1423">
        <v>0</v>
      </c>
      <c r="Q62" s="1423">
        <v>0</v>
      </c>
      <c r="R62" s="1423">
        <v>0</v>
      </c>
      <c r="S62" s="1423">
        <v>0</v>
      </c>
      <c r="T62" s="1423">
        <v>0</v>
      </c>
      <c r="U62" s="1423">
        <v>0</v>
      </c>
      <c r="V62" s="1423">
        <v>0</v>
      </c>
      <c r="W62" s="1423">
        <v>0</v>
      </c>
      <c r="X62" s="1423">
        <v>0</v>
      </c>
      <c r="Y62" s="1423">
        <v>0</v>
      </c>
      <c r="Z62" s="1423">
        <v>0</v>
      </c>
      <c r="AA62" s="1423">
        <v>0</v>
      </c>
      <c r="AB62" s="1423">
        <v>0</v>
      </c>
      <c r="AC62" s="1423">
        <v>0</v>
      </c>
      <c r="AD62" s="1423">
        <v>0</v>
      </c>
      <c r="AE62" s="1423">
        <v>0</v>
      </c>
      <c r="AF62" s="1423">
        <v>0</v>
      </c>
      <c r="AG62" s="1423">
        <v>0</v>
      </c>
      <c r="AH62" s="1423">
        <v>0</v>
      </c>
      <c r="AI62" s="1423">
        <v>0</v>
      </c>
      <c r="AJ62" s="1423">
        <v>0</v>
      </c>
      <c r="AK62" s="1423">
        <v>0</v>
      </c>
      <c r="AL62" s="1423">
        <v>0</v>
      </c>
      <c r="AM62" s="1423">
        <v>0</v>
      </c>
      <c r="AN62" s="1423">
        <v>0</v>
      </c>
      <c r="AO62" s="1423">
        <v>0</v>
      </c>
      <c r="AP62" s="1423">
        <v>0</v>
      </c>
      <c r="AQ62" s="1423">
        <v>0</v>
      </c>
      <c r="AR62" s="1423">
        <v>0</v>
      </c>
      <c r="AS62" s="1423">
        <v>0</v>
      </c>
      <c r="AT62" s="1423">
        <v>0</v>
      </c>
      <c r="AU62" s="1423"/>
      <c r="AV62" s="1423"/>
      <c r="AW62" s="1423"/>
      <c r="AX62" s="1423"/>
      <c r="AY62" s="1423"/>
      <c r="AZ62" s="1423"/>
      <c r="BA62" s="1423">
        <v>0</v>
      </c>
      <c r="BB62" s="1423">
        <v>0</v>
      </c>
      <c r="BC62" s="1423">
        <v>0</v>
      </c>
      <c r="BD62" s="1423">
        <v>6320.5559999999987</v>
      </c>
      <c r="BE62" s="1423">
        <v>0</v>
      </c>
    </row>
    <row r="63" spans="1:57">
      <c r="A63" s="73" t="s">
        <v>202</v>
      </c>
      <c r="B63" s="74">
        <v>0</v>
      </c>
      <c r="C63" s="1423">
        <v>0</v>
      </c>
      <c r="D63" s="1423">
        <v>0</v>
      </c>
      <c r="E63" s="1423">
        <v>0</v>
      </c>
      <c r="F63" s="1423">
        <v>0</v>
      </c>
      <c r="G63" s="1423">
        <v>0</v>
      </c>
      <c r="H63" s="1423">
        <v>0</v>
      </c>
      <c r="I63" s="1423">
        <v>0</v>
      </c>
      <c r="J63" s="1423">
        <v>0</v>
      </c>
      <c r="K63" s="1423">
        <v>0</v>
      </c>
      <c r="L63" s="1423">
        <v>0</v>
      </c>
      <c r="M63" s="1423">
        <v>0</v>
      </c>
      <c r="N63" s="1423">
        <v>0</v>
      </c>
      <c r="O63" s="1423">
        <v>0</v>
      </c>
      <c r="P63" s="1423">
        <v>0</v>
      </c>
      <c r="Q63" s="1423">
        <v>0</v>
      </c>
      <c r="R63" s="1423">
        <v>0</v>
      </c>
      <c r="S63" s="1423">
        <v>0</v>
      </c>
      <c r="T63" s="1423">
        <v>0</v>
      </c>
      <c r="U63" s="1423">
        <v>0</v>
      </c>
      <c r="V63" s="1423">
        <v>0</v>
      </c>
      <c r="W63" s="1423">
        <v>0</v>
      </c>
      <c r="X63" s="1423">
        <v>0</v>
      </c>
      <c r="Y63" s="1423">
        <v>0</v>
      </c>
      <c r="Z63" s="1423">
        <v>0</v>
      </c>
      <c r="AA63" s="1423">
        <v>0</v>
      </c>
      <c r="AB63" s="1423">
        <v>0</v>
      </c>
      <c r="AC63" s="1423">
        <v>0</v>
      </c>
      <c r="AD63" s="1423">
        <v>0</v>
      </c>
      <c r="AE63" s="1423">
        <v>0</v>
      </c>
      <c r="AF63" s="1423">
        <v>0</v>
      </c>
      <c r="AG63" s="1423">
        <v>0</v>
      </c>
      <c r="AH63" s="1423">
        <v>0</v>
      </c>
      <c r="AI63" s="1423">
        <v>0</v>
      </c>
      <c r="AJ63" s="1423">
        <v>0</v>
      </c>
      <c r="AK63" s="1423">
        <v>0</v>
      </c>
      <c r="AL63" s="1423">
        <v>0</v>
      </c>
      <c r="AM63" s="1423">
        <v>0</v>
      </c>
      <c r="AN63" s="1423">
        <v>0</v>
      </c>
      <c r="AO63" s="1423">
        <v>0</v>
      </c>
      <c r="AP63" s="1423">
        <v>0</v>
      </c>
      <c r="AQ63" s="1423">
        <v>0</v>
      </c>
      <c r="AR63" s="1423">
        <v>0</v>
      </c>
      <c r="AS63" s="1423">
        <v>0</v>
      </c>
      <c r="AT63" s="1423">
        <v>0</v>
      </c>
      <c r="AU63" s="1423"/>
      <c r="AV63" s="1423"/>
      <c r="AW63" s="1423"/>
      <c r="AX63" s="1423"/>
      <c r="AY63" s="1423"/>
      <c r="AZ63" s="1423"/>
      <c r="BA63" s="1423">
        <v>0</v>
      </c>
      <c r="BB63" s="1423">
        <v>0</v>
      </c>
      <c r="BC63" s="1423">
        <v>0</v>
      </c>
      <c r="BD63" s="1423">
        <v>1068.8040000000001</v>
      </c>
      <c r="BE63" s="1423">
        <v>0</v>
      </c>
    </row>
    <row r="64" spans="1:57">
      <c r="A64" s="73" t="s">
        <v>203</v>
      </c>
      <c r="B64" s="74">
        <v>0</v>
      </c>
      <c r="C64" s="1423">
        <v>0</v>
      </c>
      <c r="D64" s="1423">
        <v>0</v>
      </c>
      <c r="E64" s="1423">
        <v>0</v>
      </c>
      <c r="F64" s="1423">
        <v>0</v>
      </c>
      <c r="G64" s="1423">
        <v>0</v>
      </c>
      <c r="H64" s="1423">
        <v>0</v>
      </c>
      <c r="I64" s="1423">
        <v>0</v>
      </c>
      <c r="J64" s="1423">
        <v>0</v>
      </c>
      <c r="K64" s="1423">
        <v>0</v>
      </c>
      <c r="L64" s="1423">
        <v>0</v>
      </c>
      <c r="M64" s="1423">
        <v>0</v>
      </c>
      <c r="N64" s="1423">
        <v>0</v>
      </c>
      <c r="O64" s="1423">
        <v>0</v>
      </c>
      <c r="P64" s="1423">
        <v>0</v>
      </c>
      <c r="Q64" s="1423">
        <v>0</v>
      </c>
      <c r="R64" s="1423">
        <v>0</v>
      </c>
      <c r="S64" s="1423">
        <v>0</v>
      </c>
      <c r="T64" s="1423">
        <v>0</v>
      </c>
      <c r="U64" s="1423">
        <v>0</v>
      </c>
      <c r="V64" s="1423">
        <v>0</v>
      </c>
      <c r="W64" s="1423">
        <v>0</v>
      </c>
      <c r="X64" s="1423">
        <v>0</v>
      </c>
      <c r="Y64" s="1423">
        <v>0</v>
      </c>
      <c r="Z64" s="1423">
        <v>0</v>
      </c>
      <c r="AA64" s="1423">
        <v>0</v>
      </c>
      <c r="AB64" s="1423">
        <v>0</v>
      </c>
      <c r="AC64" s="1423">
        <v>0</v>
      </c>
      <c r="AD64" s="1423">
        <v>0</v>
      </c>
      <c r="AE64" s="1423">
        <v>3.8018396999999999</v>
      </c>
      <c r="AF64" s="1423">
        <v>64.448361000000006</v>
      </c>
      <c r="AG64" s="1423">
        <v>0</v>
      </c>
      <c r="AH64" s="1423">
        <v>0</v>
      </c>
      <c r="AI64" s="1423">
        <v>0</v>
      </c>
      <c r="AJ64" s="1423">
        <v>102.31021699999999</v>
      </c>
      <c r="AK64" s="1423">
        <v>7865.8203617999998</v>
      </c>
      <c r="AL64" s="1423">
        <v>89.74954559999999</v>
      </c>
      <c r="AM64" s="1423">
        <v>0</v>
      </c>
      <c r="AN64" s="1423">
        <v>0.42201959999999999</v>
      </c>
      <c r="AO64" s="1423">
        <v>289.2959232</v>
      </c>
      <c r="AP64" s="1423">
        <v>7051.7770679999994</v>
      </c>
      <c r="AQ64" s="1423">
        <v>2.6431499999999999</v>
      </c>
      <c r="AR64" s="1423">
        <v>0</v>
      </c>
      <c r="AS64" s="1423">
        <v>0</v>
      </c>
      <c r="AT64" s="1423">
        <v>0</v>
      </c>
      <c r="AU64" s="1423"/>
      <c r="AV64" s="1423"/>
      <c r="AW64" s="1423"/>
      <c r="AX64" s="1423"/>
      <c r="AY64" s="1423"/>
      <c r="AZ64" s="1423"/>
      <c r="BA64" s="1423">
        <v>0</v>
      </c>
      <c r="BB64" s="1423">
        <v>0</v>
      </c>
      <c r="BC64" s="1423">
        <v>0</v>
      </c>
      <c r="BD64" s="1423">
        <v>194.328</v>
      </c>
      <c r="BE64" s="1423">
        <v>0</v>
      </c>
    </row>
    <row r="65" spans="1:57">
      <c r="A65" s="73" t="s">
        <v>204</v>
      </c>
      <c r="B65" s="74">
        <v>0</v>
      </c>
      <c r="C65" s="1423">
        <v>0</v>
      </c>
      <c r="D65" s="1423">
        <v>0</v>
      </c>
      <c r="E65" s="1423">
        <v>0</v>
      </c>
      <c r="F65" s="1423">
        <v>0</v>
      </c>
      <c r="G65" s="1423">
        <v>0</v>
      </c>
      <c r="H65" s="1423">
        <v>0</v>
      </c>
      <c r="I65" s="1423">
        <v>0</v>
      </c>
      <c r="J65" s="1423">
        <v>0</v>
      </c>
      <c r="K65" s="1423">
        <v>0</v>
      </c>
      <c r="L65" s="1423">
        <v>0</v>
      </c>
      <c r="M65" s="1423">
        <v>0</v>
      </c>
      <c r="N65" s="1423">
        <v>0</v>
      </c>
      <c r="O65" s="1423">
        <v>0</v>
      </c>
      <c r="P65" s="1423">
        <v>0</v>
      </c>
      <c r="Q65" s="1423">
        <v>0</v>
      </c>
      <c r="R65" s="1423">
        <v>0</v>
      </c>
      <c r="S65" s="1423">
        <v>0</v>
      </c>
      <c r="T65" s="1423">
        <v>0</v>
      </c>
      <c r="U65" s="1423">
        <v>0</v>
      </c>
      <c r="V65" s="1423">
        <v>0</v>
      </c>
      <c r="W65" s="1423">
        <v>0</v>
      </c>
      <c r="X65" s="1423">
        <v>0</v>
      </c>
      <c r="Y65" s="1423">
        <v>0</v>
      </c>
      <c r="Z65" s="1423">
        <v>0</v>
      </c>
      <c r="AA65" s="1423">
        <v>0</v>
      </c>
      <c r="AB65" s="1423">
        <v>0</v>
      </c>
      <c r="AC65" s="1423">
        <v>0</v>
      </c>
      <c r="AD65" s="1423">
        <v>0</v>
      </c>
      <c r="AE65" s="1423">
        <v>0</v>
      </c>
      <c r="AF65" s="1423">
        <v>0</v>
      </c>
      <c r="AG65" s="1423">
        <v>0</v>
      </c>
      <c r="AH65" s="1423">
        <v>0</v>
      </c>
      <c r="AI65" s="1423">
        <v>0</v>
      </c>
      <c r="AJ65" s="1423">
        <v>0</v>
      </c>
      <c r="AK65" s="1423">
        <v>0</v>
      </c>
      <c r="AL65" s="1423">
        <v>0</v>
      </c>
      <c r="AM65" s="1423">
        <v>0</v>
      </c>
      <c r="AN65" s="1423">
        <v>0</v>
      </c>
      <c r="AO65" s="1423">
        <v>0</v>
      </c>
      <c r="AP65" s="1423">
        <v>0</v>
      </c>
      <c r="AQ65" s="1423">
        <v>0</v>
      </c>
      <c r="AR65" s="1423">
        <v>0</v>
      </c>
      <c r="AS65" s="1423">
        <v>0</v>
      </c>
      <c r="AT65" s="1423">
        <v>0</v>
      </c>
      <c r="AU65" s="1423"/>
      <c r="AV65" s="1423"/>
      <c r="AW65" s="1423"/>
      <c r="AX65" s="1423"/>
      <c r="AY65" s="1423"/>
      <c r="AZ65" s="1423"/>
      <c r="BA65" s="1423">
        <v>0</v>
      </c>
      <c r="BB65" s="1423">
        <v>0</v>
      </c>
      <c r="BC65" s="1423">
        <v>0</v>
      </c>
      <c r="BD65" s="1423">
        <v>1868.22</v>
      </c>
      <c r="BE65" s="1423">
        <v>0</v>
      </c>
    </row>
    <row r="66" spans="1:57">
      <c r="A66" s="73" t="s">
        <v>205</v>
      </c>
      <c r="B66" s="74">
        <v>172236.29</v>
      </c>
      <c r="C66" s="1423">
        <v>0</v>
      </c>
      <c r="D66" s="1423">
        <v>727.322</v>
      </c>
      <c r="E66" s="1423">
        <v>171508.96799999999</v>
      </c>
      <c r="F66" s="1423">
        <v>0</v>
      </c>
      <c r="G66" s="1423">
        <v>0</v>
      </c>
      <c r="H66" s="1423">
        <v>0</v>
      </c>
      <c r="I66" s="1423">
        <v>0</v>
      </c>
      <c r="J66" s="1423">
        <v>0</v>
      </c>
      <c r="K66" s="1423">
        <v>0</v>
      </c>
      <c r="L66" s="1423">
        <v>0</v>
      </c>
      <c r="M66" s="1423">
        <v>6107.8999999999987</v>
      </c>
      <c r="N66" s="1423">
        <v>0</v>
      </c>
      <c r="O66" s="1423">
        <v>0</v>
      </c>
      <c r="P66" s="1423">
        <v>0</v>
      </c>
      <c r="Q66" s="1423">
        <v>0</v>
      </c>
      <c r="R66" s="1423">
        <v>0</v>
      </c>
      <c r="S66" s="1423">
        <v>0</v>
      </c>
      <c r="T66" s="1423">
        <v>0</v>
      </c>
      <c r="U66" s="1423">
        <v>0</v>
      </c>
      <c r="V66" s="1423">
        <v>0</v>
      </c>
      <c r="W66" s="1423">
        <v>0</v>
      </c>
      <c r="X66" s="1423">
        <v>0</v>
      </c>
      <c r="Y66" s="1423">
        <v>0</v>
      </c>
      <c r="Z66" s="1423">
        <v>0</v>
      </c>
      <c r="AA66" s="1423">
        <v>0</v>
      </c>
      <c r="AB66" s="1423">
        <v>0</v>
      </c>
      <c r="AC66" s="1423">
        <v>0</v>
      </c>
      <c r="AD66" s="1423">
        <v>0</v>
      </c>
      <c r="AE66" s="1423">
        <v>0</v>
      </c>
      <c r="AF66" s="1423">
        <v>0</v>
      </c>
      <c r="AG66" s="1423">
        <v>0</v>
      </c>
      <c r="AH66" s="1423">
        <v>0</v>
      </c>
      <c r="AI66" s="1423">
        <v>0</v>
      </c>
      <c r="AJ66" s="1423">
        <v>0</v>
      </c>
      <c r="AK66" s="1423">
        <v>0</v>
      </c>
      <c r="AL66" s="1423">
        <v>0</v>
      </c>
      <c r="AM66" s="1423">
        <v>0</v>
      </c>
      <c r="AN66" s="1423">
        <v>0</v>
      </c>
      <c r="AO66" s="1423">
        <v>0</v>
      </c>
      <c r="AP66" s="1423">
        <v>0</v>
      </c>
      <c r="AQ66" s="1423">
        <v>0</v>
      </c>
      <c r="AR66" s="1423">
        <v>0</v>
      </c>
      <c r="AS66" s="1423">
        <v>0</v>
      </c>
      <c r="AT66" s="1423">
        <v>0</v>
      </c>
      <c r="AU66" s="1423"/>
      <c r="AV66" s="1423"/>
      <c r="AW66" s="1423"/>
      <c r="AX66" s="1423"/>
      <c r="AY66" s="1423"/>
      <c r="AZ66" s="1423"/>
      <c r="BA66" s="1423">
        <v>0</v>
      </c>
      <c r="BB66" s="1423">
        <v>0</v>
      </c>
      <c r="BC66" s="1423">
        <v>0</v>
      </c>
      <c r="BD66" s="1423">
        <v>104177.9304</v>
      </c>
      <c r="BE66" s="1423">
        <v>0</v>
      </c>
    </row>
    <row r="67" spans="1:57">
      <c r="A67" s="73"/>
      <c r="B67" s="83"/>
      <c r="C67" s="1423"/>
      <c r="D67" s="1423"/>
      <c r="E67" s="1423"/>
      <c r="F67" s="1423"/>
      <c r="G67" s="1423"/>
      <c r="H67" s="1423"/>
      <c r="I67" s="1423"/>
      <c r="J67" s="1423"/>
      <c r="K67" s="1423"/>
      <c r="L67" s="1423"/>
      <c r="M67" s="1423"/>
      <c r="N67" s="1423"/>
      <c r="O67" s="1423"/>
      <c r="P67" s="1423"/>
      <c r="Q67" s="1423"/>
      <c r="R67" s="1423"/>
      <c r="S67" s="1423"/>
      <c r="T67" s="1423"/>
      <c r="U67" s="1423"/>
      <c r="V67" s="1423"/>
      <c r="W67" s="1423"/>
      <c r="X67" s="1423"/>
      <c r="Y67" s="1423"/>
      <c r="Z67" s="1423"/>
      <c r="AA67" s="1423"/>
      <c r="AB67" s="1423"/>
      <c r="AC67" s="1423"/>
      <c r="AD67" s="1423"/>
      <c r="AE67" s="1423"/>
      <c r="AF67" s="1423"/>
      <c r="AG67" s="1423"/>
      <c r="AH67" s="1423"/>
      <c r="AI67" s="1423"/>
      <c r="AJ67" s="1423"/>
      <c r="AK67" s="1423"/>
      <c r="AL67" s="1423"/>
      <c r="AM67" s="1423"/>
      <c r="AN67" s="1423"/>
      <c r="AO67" s="1423"/>
      <c r="AP67" s="1423"/>
      <c r="AQ67" s="1423"/>
      <c r="AR67" s="1423"/>
      <c r="AS67" s="1423"/>
      <c r="AT67" s="1423"/>
      <c r="AU67" s="1423"/>
      <c r="AV67" s="1423"/>
      <c r="AW67" s="1423"/>
      <c r="AX67" s="1423"/>
      <c r="AY67" s="1423"/>
      <c r="AZ67" s="1423"/>
      <c r="BA67" s="1423"/>
      <c r="BB67" s="1423"/>
      <c r="BC67" s="1423"/>
      <c r="BD67" s="1423"/>
      <c r="BE67" s="1423"/>
    </row>
    <row r="68" spans="1:57">
      <c r="A68" s="77" t="s">
        <v>206</v>
      </c>
      <c r="B68" s="74">
        <v>0</v>
      </c>
      <c r="C68" s="1423">
        <v>0</v>
      </c>
      <c r="D68" s="1423">
        <v>0</v>
      </c>
      <c r="E68" s="1423">
        <v>0</v>
      </c>
      <c r="F68" s="1423">
        <v>0</v>
      </c>
      <c r="G68" s="1423">
        <v>0</v>
      </c>
      <c r="H68" s="1423">
        <v>0</v>
      </c>
      <c r="I68" s="1423">
        <v>0</v>
      </c>
      <c r="J68" s="1423">
        <v>0</v>
      </c>
      <c r="K68" s="1423">
        <v>0</v>
      </c>
      <c r="L68" s="1423">
        <v>0</v>
      </c>
      <c r="M68" s="1423">
        <v>0</v>
      </c>
      <c r="N68" s="1423">
        <v>0</v>
      </c>
      <c r="O68" s="1423">
        <v>0</v>
      </c>
      <c r="P68" s="1423">
        <v>0</v>
      </c>
      <c r="Q68" s="1423">
        <v>0</v>
      </c>
      <c r="R68" s="1423">
        <v>0</v>
      </c>
      <c r="S68" s="1423">
        <v>0</v>
      </c>
      <c r="T68" s="1423">
        <v>0</v>
      </c>
      <c r="U68" s="1423">
        <v>0</v>
      </c>
      <c r="V68" s="1423">
        <v>0</v>
      </c>
      <c r="W68" s="1423">
        <v>0</v>
      </c>
      <c r="X68" s="1423">
        <v>0</v>
      </c>
      <c r="Y68" s="1423">
        <v>0</v>
      </c>
      <c r="Z68" s="1423">
        <v>0</v>
      </c>
      <c r="AA68" s="1423">
        <v>0</v>
      </c>
      <c r="AB68" s="1423">
        <v>0</v>
      </c>
      <c r="AC68" s="1423">
        <v>0</v>
      </c>
      <c r="AD68" s="1423">
        <v>0</v>
      </c>
      <c r="AE68" s="1423">
        <v>0</v>
      </c>
      <c r="AF68" s="1423">
        <v>379689.11327520013</v>
      </c>
      <c r="AG68" s="1423">
        <v>744.7462524</v>
      </c>
      <c r="AH68" s="1423">
        <v>0</v>
      </c>
      <c r="AI68" s="1423">
        <v>77942.941602399995</v>
      </c>
      <c r="AJ68" s="1423">
        <v>272.05567200000002</v>
      </c>
      <c r="AK68" s="1423">
        <v>242573.10939180001</v>
      </c>
      <c r="AL68" s="1423">
        <v>102.4485696</v>
      </c>
      <c r="AM68" s="1423">
        <v>0</v>
      </c>
      <c r="AN68" s="1423">
        <v>3.2357784000000001</v>
      </c>
      <c r="AO68" s="1423">
        <v>12741.1541466</v>
      </c>
      <c r="AP68" s="1423">
        <v>0</v>
      </c>
      <c r="AQ68" s="1423">
        <v>0</v>
      </c>
      <c r="AR68" s="1423">
        <v>0</v>
      </c>
      <c r="AS68" s="1423">
        <v>0</v>
      </c>
      <c r="AT68" s="1423">
        <v>0</v>
      </c>
      <c r="AU68" s="1423"/>
      <c r="AV68" s="1423"/>
      <c r="AW68" s="1423"/>
      <c r="AX68" s="1423"/>
      <c r="AY68" s="1423"/>
      <c r="AZ68" s="1423"/>
      <c r="BA68" s="1423">
        <v>0</v>
      </c>
      <c r="BB68" s="1423">
        <v>0</v>
      </c>
      <c r="BC68" s="1423">
        <v>0</v>
      </c>
      <c r="BD68" s="1423">
        <v>12526.957303200001</v>
      </c>
      <c r="BE68" s="1423">
        <v>0</v>
      </c>
    </row>
    <row r="69" spans="1:57">
      <c r="A69" s="73" t="s">
        <v>207</v>
      </c>
      <c r="B69" s="74">
        <v>0</v>
      </c>
      <c r="C69" s="1423">
        <v>0</v>
      </c>
      <c r="D69" s="1423">
        <v>0</v>
      </c>
      <c r="E69" s="1423">
        <v>0</v>
      </c>
      <c r="F69" s="1423">
        <v>0</v>
      </c>
      <c r="G69" s="1423">
        <v>0</v>
      </c>
      <c r="H69" s="1423">
        <v>0</v>
      </c>
      <c r="I69" s="1423">
        <v>0</v>
      </c>
      <c r="J69" s="1423">
        <v>0</v>
      </c>
      <c r="K69" s="1423">
        <v>0</v>
      </c>
      <c r="L69" s="1423">
        <v>0</v>
      </c>
      <c r="M69" s="1423">
        <v>0</v>
      </c>
      <c r="N69" s="1423">
        <v>0</v>
      </c>
      <c r="O69" s="1423">
        <v>0</v>
      </c>
      <c r="P69" s="1423">
        <v>0</v>
      </c>
      <c r="Q69" s="1423">
        <v>0</v>
      </c>
      <c r="R69" s="1423">
        <v>0</v>
      </c>
      <c r="S69" s="1423">
        <v>0</v>
      </c>
      <c r="T69" s="1423">
        <v>0</v>
      </c>
      <c r="U69" s="1423">
        <v>0</v>
      </c>
      <c r="V69" s="1423">
        <v>0</v>
      </c>
      <c r="W69" s="1423">
        <v>0</v>
      </c>
      <c r="X69" s="1423">
        <v>0</v>
      </c>
      <c r="Y69" s="1423">
        <v>0</v>
      </c>
      <c r="Z69" s="1423">
        <v>0</v>
      </c>
      <c r="AA69" s="1423">
        <v>0</v>
      </c>
      <c r="AB69" s="1423">
        <v>0</v>
      </c>
      <c r="AC69" s="1423">
        <v>0</v>
      </c>
      <c r="AD69" s="1423">
        <v>0</v>
      </c>
      <c r="AE69" s="1423">
        <v>0</v>
      </c>
      <c r="AF69" s="1423">
        <v>0</v>
      </c>
      <c r="AG69" s="1423">
        <v>0</v>
      </c>
      <c r="AH69" s="1423">
        <v>0</v>
      </c>
      <c r="AI69" s="1423">
        <v>35178.032837499988</v>
      </c>
      <c r="AJ69" s="1423">
        <v>0</v>
      </c>
      <c r="AK69" s="1423">
        <v>0</v>
      </c>
      <c r="AL69" s="1423">
        <v>0</v>
      </c>
      <c r="AM69" s="1423">
        <v>0</v>
      </c>
      <c r="AN69" s="1423">
        <v>0</v>
      </c>
      <c r="AO69" s="1423">
        <v>0</v>
      </c>
      <c r="AP69" s="1423">
        <v>0</v>
      </c>
      <c r="AQ69" s="1423">
        <v>0</v>
      </c>
      <c r="AR69" s="1423">
        <v>0</v>
      </c>
      <c r="AS69" s="1423">
        <v>0</v>
      </c>
      <c r="AT69" s="1423">
        <v>0</v>
      </c>
      <c r="AU69" s="1423"/>
      <c r="AV69" s="1423"/>
      <c r="AW69" s="1423"/>
      <c r="AX69" s="1423"/>
      <c r="AY69" s="1423"/>
      <c r="AZ69" s="1423"/>
      <c r="BA69" s="1423">
        <v>0</v>
      </c>
      <c r="BB69" s="1423">
        <v>0</v>
      </c>
      <c r="BC69" s="1423">
        <v>0</v>
      </c>
      <c r="BD69" s="1423">
        <v>0</v>
      </c>
      <c r="BE69" s="1423">
        <v>0</v>
      </c>
    </row>
    <row r="70" spans="1:57">
      <c r="A70" s="73" t="s">
        <v>208</v>
      </c>
      <c r="B70" s="74">
        <v>0</v>
      </c>
      <c r="C70" s="1423">
        <v>0</v>
      </c>
      <c r="D70" s="1423">
        <v>0</v>
      </c>
      <c r="E70" s="1423">
        <v>0</v>
      </c>
      <c r="F70" s="1423">
        <v>0</v>
      </c>
      <c r="G70" s="1423">
        <v>0</v>
      </c>
      <c r="H70" s="1423">
        <v>0</v>
      </c>
      <c r="I70" s="1423">
        <v>0</v>
      </c>
      <c r="J70" s="1423">
        <v>0</v>
      </c>
      <c r="K70" s="1423">
        <v>0</v>
      </c>
      <c r="L70" s="1423">
        <v>0</v>
      </c>
      <c r="M70" s="1423">
        <v>0</v>
      </c>
      <c r="N70" s="1423">
        <v>0</v>
      </c>
      <c r="O70" s="1423">
        <v>0</v>
      </c>
      <c r="P70" s="1423">
        <v>0</v>
      </c>
      <c r="Q70" s="1423">
        <v>0</v>
      </c>
      <c r="R70" s="1423">
        <v>0</v>
      </c>
      <c r="S70" s="1423">
        <v>0</v>
      </c>
      <c r="T70" s="1423">
        <v>0</v>
      </c>
      <c r="U70" s="1423">
        <v>0</v>
      </c>
      <c r="V70" s="1423">
        <v>0</v>
      </c>
      <c r="W70" s="1423">
        <v>0</v>
      </c>
      <c r="X70" s="1423">
        <v>0</v>
      </c>
      <c r="Y70" s="1423">
        <v>0</v>
      </c>
      <c r="Z70" s="1423">
        <v>0</v>
      </c>
      <c r="AA70" s="1423">
        <v>0</v>
      </c>
      <c r="AB70" s="1423">
        <v>0</v>
      </c>
      <c r="AC70" s="1423">
        <v>0</v>
      </c>
      <c r="AD70" s="1423">
        <v>0</v>
      </c>
      <c r="AE70" s="1423">
        <v>0</v>
      </c>
      <c r="AF70" s="1423">
        <v>0</v>
      </c>
      <c r="AG70" s="1423">
        <v>744.7462524</v>
      </c>
      <c r="AH70" s="1423">
        <v>0</v>
      </c>
      <c r="AI70" s="1423">
        <v>42764.908764899999</v>
      </c>
      <c r="AJ70" s="1423">
        <v>0</v>
      </c>
      <c r="AK70" s="1423">
        <v>0</v>
      </c>
      <c r="AL70" s="1423">
        <v>0</v>
      </c>
      <c r="AM70" s="1423">
        <v>0</v>
      </c>
      <c r="AN70" s="1423">
        <v>0</v>
      </c>
      <c r="AO70" s="1423">
        <v>0</v>
      </c>
      <c r="AP70" s="1423">
        <v>0</v>
      </c>
      <c r="AQ70" s="1423">
        <v>0</v>
      </c>
      <c r="AR70" s="1423">
        <v>0</v>
      </c>
      <c r="AS70" s="1423">
        <v>0</v>
      </c>
      <c r="AT70" s="1423">
        <v>0</v>
      </c>
      <c r="AU70" s="1423"/>
      <c r="AV70" s="1423"/>
      <c r="AW70" s="1423"/>
      <c r="AX70" s="1423"/>
      <c r="AY70" s="1423"/>
      <c r="AZ70" s="1423"/>
      <c r="BA70" s="1423">
        <v>0</v>
      </c>
      <c r="BB70" s="1423">
        <v>0</v>
      </c>
      <c r="BC70" s="1423">
        <v>0</v>
      </c>
      <c r="BD70" s="1423">
        <v>180.18</v>
      </c>
      <c r="BE70" s="1423">
        <v>0</v>
      </c>
    </row>
    <row r="71" spans="1:57">
      <c r="A71" s="73" t="s">
        <v>209</v>
      </c>
      <c r="B71" s="74">
        <v>0</v>
      </c>
      <c r="C71" s="1423">
        <v>0</v>
      </c>
      <c r="D71" s="1423">
        <v>0</v>
      </c>
      <c r="E71" s="1423">
        <v>0</v>
      </c>
      <c r="F71" s="1423">
        <v>0</v>
      </c>
      <c r="G71" s="1423">
        <v>0</v>
      </c>
      <c r="H71" s="1423">
        <v>0</v>
      </c>
      <c r="I71" s="1423">
        <v>0</v>
      </c>
      <c r="J71" s="1423">
        <v>0</v>
      </c>
      <c r="K71" s="1423">
        <v>0</v>
      </c>
      <c r="L71" s="1423">
        <v>0</v>
      </c>
      <c r="M71" s="1423">
        <v>0</v>
      </c>
      <c r="N71" s="1423">
        <v>0</v>
      </c>
      <c r="O71" s="1423">
        <v>0</v>
      </c>
      <c r="P71" s="1423">
        <v>0</v>
      </c>
      <c r="Q71" s="1423">
        <v>0</v>
      </c>
      <c r="R71" s="1423">
        <v>0</v>
      </c>
      <c r="S71" s="1423">
        <v>0</v>
      </c>
      <c r="T71" s="1423">
        <v>0</v>
      </c>
      <c r="U71" s="1423">
        <v>0</v>
      </c>
      <c r="V71" s="1423">
        <v>0</v>
      </c>
      <c r="W71" s="1423">
        <v>0</v>
      </c>
      <c r="X71" s="1423">
        <v>0</v>
      </c>
      <c r="Y71" s="1423">
        <v>0</v>
      </c>
      <c r="Z71" s="1423">
        <v>0</v>
      </c>
      <c r="AA71" s="1423">
        <v>0</v>
      </c>
      <c r="AB71" s="1423">
        <v>0</v>
      </c>
      <c r="AC71" s="1423">
        <v>0</v>
      </c>
      <c r="AD71" s="1423">
        <v>0</v>
      </c>
      <c r="AE71" s="1423">
        <v>0</v>
      </c>
      <c r="AF71" s="1423">
        <v>379688.8396752</v>
      </c>
      <c r="AG71" s="1423">
        <v>0</v>
      </c>
      <c r="AH71" s="1423">
        <v>0</v>
      </c>
      <c r="AI71" s="1423">
        <v>0</v>
      </c>
      <c r="AJ71" s="1423">
        <v>271.16323199999999</v>
      </c>
      <c r="AK71" s="1423">
        <v>239807.8881252</v>
      </c>
      <c r="AL71" s="1423">
        <v>102.4485696</v>
      </c>
      <c r="AM71" s="1423">
        <v>0</v>
      </c>
      <c r="AN71" s="1423">
        <v>2.9455344000000001</v>
      </c>
      <c r="AO71" s="1423">
        <v>12615.6470532</v>
      </c>
      <c r="AP71" s="1423">
        <v>0</v>
      </c>
      <c r="AQ71" s="1423">
        <v>0</v>
      </c>
      <c r="AR71" s="1423">
        <v>0</v>
      </c>
      <c r="AS71" s="1423">
        <v>0</v>
      </c>
      <c r="AT71" s="1423">
        <v>0</v>
      </c>
      <c r="AU71" s="1423"/>
      <c r="AV71" s="1423"/>
      <c r="AW71" s="1423"/>
      <c r="AX71" s="1423"/>
      <c r="AY71" s="1423"/>
      <c r="AZ71" s="1423"/>
      <c r="BA71" s="1423">
        <v>0</v>
      </c>
      <c r="BB71" s="1423">
        <v>0</v>
      </c>
      <c r="BC71" s="1423">
        <v>0</v>
      </c>
      <c r="BD71" s="1423">
        <v>71.063999999999993</v>
      </c>
      <c r="BE71" s="1423">
        <v>0</v>
      </c>
    </row>
    <row r="72" spans="1:57">
      <c r="A72" s="73" t="s">
        <v>210</v>
      </c>
      <c r="B72" s="74">
        <v>0</v>
      </c>
      <c r="C72" s="1423">
        <v>0</v>
      </c>
      <c r="D72" s="1423">
        <v>0</v>
      </c>
      <c r="E72" s="1423">
        <v>0</v>
      </c>
      <c r="F72" s="1423">
        <v>0</v>
      </c>
      <c r="G72" s="1423">
        <v>0</v>
      </c>
      <c r="H72" s="1423">
        <v>0</v>
      </c>
      <c r="I72" s="1423">
        <v>0</v>
      </c>
      <c r="J72" s="1423">
        <v>0</v>
      </c>
      <c r="K72" s="1423">
        <v>0</v>
      </c>
      <c r="L72" s="1423">
        <v>0</v>
      </c>
      <c r="M72" s="1423">
        <v>0</v>
      </c>
      <c r="N72" s="1423">
        <v>0</v>
      </c>
      <c r="O72" s="1423">
        <v>0</v>
      </c>
      <c r="P72" s="1423">
        <v>0</v>
      </c>
      <c r="Q72" s="1423">
        <v>0</v>
      </c>
      <c r="R72" s="1423">
        <v>0</v>
      </c>
      <c r="S72" s="1423">
        <v>0</v>
      </c>
      <c r="T72" s="1423">
        <v>0</v>
      </c>
      <c r="U72" s="1423">
        <v>0</v>
      </c>
      <c r="V72" s="1423">
        <v>0</v>
      </c>
      <c r="W72" s="1423">
        <v>0</v>
      </c>
      <c r="X72" s="1423">
        <v>0</v>
      </c>
      <c r="Y72" s="1423">
        <v>0</v>
      </c>
      <c r="Z72" s="1423">
        <v>0</v>
      </c>
      <c r="AA72" s="1423">
        <v>0</v>
      </c>
      <c r="AB72" s="1423">
        <v>0</v>
      </c>
      <c r="AC72" s="1423">
        <v>0</v>
      </c>
      <c r="AD72" s="1423">
        <v>0</v>
      </c>
      <c r="AE72" s="1423">
        <v>0</v>
      </c>
      <c r="AF72" s="1423">
        <v>0.27360000000000001</v>
      </c>
      <c r="AG72" s="1423">
        <v>0</v>
      </c>
      <c r="AH72" s="1423">
        <v>0</v>
      </c>
      <c r="AI72" s="1423">
        <v>0</v>
      </c>
      <c r="AJ72" s="1423">
        <v>0.89244000000000001</v>
      </c>
      <c r="AK72" s="1423">
        <v>2765.2212666</v>
      </c>
      <c r="AL72" s="1423">
        <v>0</v>
      </c>
      <c r="AM72" s="1423">
        <v>0</v>
      </c>
      <c r="AN72" s="1423">
        <v>0.290244</v>
      </c>
      <c r="AO72" s="1423">
        <v>125.5070934</v>
      </c>
      <c r="AP72" s="1423">
        <v>0</v>
      </c>
      <c r="AQ72" s="1423">
        <v>0</v>
      </c>
      <c r="AR72" s="1423">
        <v>0</v>
      </c>
      <c r="AS72" s="1423">
        <v>0</v>
      </c>
      <c r="AT72" s="1423">
        <v>0</v>
      </c>
      <c r="AU72" s="1423"/>
      <c r="AV72" s="1423"/>
      <c r="AW72" s="1423"/>
      <c r="AX72" s="1423"/>
      <c r="AY72" s="1423"/>
      <c r="AZ72" s="1423"/>
      <c r="BA72" s="1423">
        <v>0</v>
      </c>
      <c r="BB72" s="1423">
        <v>0</v>
      </c>
      <c r="BC72" s="1423">
        <v>0</v>
      </c>
      <c r="BD72" s="1423">
        <v>11809.512000000001</v>
      </c>
      <c r="BE72" s="1423">
        <v>0</v>
      </c>
    </row>
    <row r="73" spans="1:57">
      <c r="A73" s="73" t="s">
        <v>211</v>
      </c>
      <c r="B73" s="74">
        <v>0</v>
      </c>
      <c r="C73" s="1423">
        <v>0</v>
      </c>
      <c r="D73" s="1423">
        <v>0</v>
      </c>
      <c r="E73" s="1423">
        <v>0</v>
      </c>
      <c r="F73" s="1423">
        <v>0</v>
      </c>
      <c r="G73" s="1423">
        <v>0</v>
      </c>
      <c r="H73" s="1423">
        <v>0</v>
      </c>
      <c r="I73" s="1423">
        <v>0</v>
      </c>
      <c r="J73" s="1423">
        <v>0</v>
      </c>
      <c r="K73" s="1423">
        <v>0</v>
      </c>
      <c r="L73" s="1423">
        <v>0</v>
      </c>
      <c r="M73" s="1423">
        <v>0</v>
      </c>
      <c r="N73" s="1423">
        <v>0</v>
      </c>
      <c r="O73" s="1423">
        <v>0</v>
      </c>
      <c r="P73" s="1423">
        <v>0</v>
      </c>
      <c r="Q73" s="1423">
        <v>0</v>
      </c>
      <c r="R73" s="1423">
        <v>0</v>
      </c>
      <c r="S73" s="1423">
        <v>0</v>
      </c>
      <c r="T73" s="1423">
        <v>0</v>
      </c>
      <c r="U73" s="1423">
        <v>0</v>
      </c>
      <c r="V73" s="1423">
        <v>0</v>
      </c>
      <c r="W73" s="1423">
        <v>0</v>
      </c>
      <c r="X73" s="1423">
        <v>0</v>
      </c>
      <c r="Y73" s="1423">
        <v>0</v>
      </c>
      <c r="Z73" s="1423">
        <v>0</v>
      </c>
      <c r="AA73" s="1423">
        <v>0</v>
      </c>
      <c r="AB73" s="1423">
        <v>0</v>
      </c>
      <c r="AC73" s="1423">
        <v>0</v>
      </c>
      <c r="AD73" s="1423">
        <v>0</v>
      </c>
      <c r="AE73" s="1423">
        <v>0</v>
      </c>
      <c r="AF73" s="1423">
        <v>0</v>
      </c>
      <c r="AG73" s="1423">
        <v>0</v>
      </c>
      <c r="AH73" s="1423">
        <v>0</v>
      </c>
      <c r="AI73" s="1423">
        <v>0</v>
      </c>
      <c r="AJ73" s="1423">
        <v>0</v>
      </c>
      <c r="AK73" s="1423">
        <v>0</v>
      </c>
      <c r="AL73" s="1423">
        <v>0</v>
      </c>
      <c r="AM73" s="1423">
        <v>0</v>
      </c>
      <c r="AN73" s="1423">
        <v>0</v>
      </c>
      <c r="AO73" s="1423">
        <v>0</v>
      </c>
      <c r="AP73" s="1423">
        <v>0</v>
      </c>
      <c r="AQ73" s="1423">
        <v>0</v>
      </c>
      <c r="AR73" s="1423">
        <v>0</v>
      </c>
      <c r="AS73" s="1423">
        <v>0</v>
      </c>
      <c r="AT73" s="1423">
        <v>0</v>
      </c>
      <c r="AU73" s="1423"/>
      <c r="AV73" s="1423"/>
      <c r="AW73" s="1423"/>
      <c r="AX73" s="1423"/>
      <c r="AY73" s="1423"/>
      <c r="AZ73" s="1423"/>
      <c r="BA73" s="1423">
        <v>0</v>
      </c>
      <c r="BB73" s="1423">
        <v>0</v>
      </c>
      <c r="BC73" s="1423">
        <v>0</v>
      </c>
      <c r="BD73" s="1423">
        <v>284.00400000000002</v>
      </c>
      <c r="BE73" s="1423">
        <v>0</v>
      </c>
    </row>
    <row r="74" spans="1:57">
      <c r="A74" s="73" t="s">
        <v>212</v>
      </c>
      <c r="B74" s="74">
        <v>0</v>
      </c>
      <c r="C74" s="1423">
        <v>0</v>
      </c>
      <c r="D74" s="1423">
        <v>0</v>
      </c>
      <c r="E74" s="1423">
        <v>0</v>
      </c>
      <c r="F74" s="1423">
        <v>0</v>
      </c>
      <c r="G74" s="1423">
        <v>0</v>
      </c>
      <c r="H74" s="1423">
        <v>0</v>
      </c>
      <c r="I74" s="1423">
        <v>0</v>
      </c>
      <c r="J74" s="1423">
        <v>0</v>
      </c>
      <c r="K74" s="1423">
        <v>0</v>
      </c>
      <c r="L74" s="1423">
        <v>0</v>
      </c>
      <c r="M74" s="1423">
        <v>0</v>
      </c>
      <c r="N74" s="1423">
        <v>0</v>
      </c>
      <c r="O74" s="1423">
        <v>0</v>
      </c>
      <c r="P74" s="1423">
        <v>0</v>
      </c>
      <c r="Q74" s="1423">
        <v>0</v>
      </c>
      <c r="R74" s="1423">
        <v>0</v>
      </c>
      <c r="S74" s="1423">
        <v>0</v>
      </c>
      <c r="T74" s="1423">
        <v>0</v>
      </c>
      <c r="U74" s="1423">
        <v>0</v>
      </c>
      <c r="V74" s="1423">
        <v>0</v>
      </c>
      <c r="W74" s="1423">
        <v>0</v>
      </c>
      <c r="X74" s="1423">
        <v>0</v>
      </c>
      <c r="Y74" s="1423">
        <v>0</v>
      </c>
      <c r="Z74" s="1423">
        <v>0</v>
      </c>
      <c r="AA74" s="1423">
        <v>0</v>
      </c>
      <c r="AB74" s="1423">
        <v>0</v>
      </c>
      <c r="AC74" s="1423">
        <v>0</v>
      </c>
      <c r="AD74" s="1423">
        <v>0</v>
      </c>
      <c r="AE74" s="1423">
        <v>0</v>
      </c>
      <c r="AF74" s="1423">
        <v>0</v>
      </c>
      <c r="AG74" s="1423">
        <v>0</v>
      </c>
      <c r="AH74" s="1423">
        <v>0</v>
      </c>
      <c r="AI74" s="1423">
        <v>0</v>
      </c>
      <c r="AJ74" s="1423">
        <v>0</v>
      </c>
      <c r="AK74" s="1423">
        <v>0</v>
      </c>
      <c r="AL74" s="1423">
        <v>0</v>
      </c>
      <c r="AM74" s="1423">
        <v>0</v>
      </c>
      <c r="AN74" s="1423">
        <v>0</v>
      </c>
      <c r="AO74" s="1423">
        <v>0</v>
      </c>
      <c r="AP74" s="1423">
        <v>0</v>
      </c>
      <c r="AQ74" s="1423">
        <v>0</v>
      </c>
      <c r="AR74" s="1423">
        <v>0</v>
      </c>
      <c r="AS74" s="1423">
        <v>0</v>
      </c>
      <c r="AT74" s="1423">
        <v>0</v>
      </c>
      <c r="AU74" s="1423"/>
      <c r="AV74" s="1423"/>
      <c r="AW74" s="1423"/>
      <c r="AX74" s="1423"/>
      <c r="AY74" s="1423"/>
      <c r="AZ74" s="1423"/>
      <c r="BA74" s="1423">
        <v>0</v>
      </c>
      <c r="BB74" s="1423">
        <v>0</v>
      </c>
      <c r="BC74" s="1423">
        <v>0</v>
      </c>
      <c r="BD74" s="1423">
        <v>181.44</v>
      </c>
      <c r="BE74" s="1423">
        <v>0</v>
      </c>
    </row>
    <row r="75" spans="1:57">
      <c r="A75" s="73" t="s">
        <v>213</v>
      </c>
      <c r="B75" s="74">
        <v>0</v>
      </c>
      <c r="C75" s="1423">
        <v>0</v>
      </c>
      <c r="D75" s="1423">
        <v>0</v>
      </c>
      <c r="E75" s="1423">
        <v>0</v>
      </c>
      <c r="F75" s="1423">
        <v>0</v>
      </c>
      <c r="G75" s="1423">
        <v>0</v>
      </c>
      <c r="H75" s="1423">
        <v>0</v>
      </c>
      <c r="I75" s="1423">
        <v>0</v>
      </c>
      <c r="J75" s="1423">
        <v>0</v>
      </c>
      <c r="K75" s="1423">
        <v>0</v>
      </c>
      <c r="L75" s="1423">
        <v>0</v>
      </c>
      <c r="M75" s="1423">
        <v>0</v>
      </c>
      <c r="N75" s="1423">
        <v>0</v>
      </c>
      <c r="O75" s="1423">
        <v>0</v>
      </c>
      <c r="P75" s="1423">
        <v>0</v>
      </c>
      <c r="Q75" s="1423">
        <v>0</v>
      </c>
      <c r="R75" s="1423">
        <v>0</v>
      </c>
      <c r="S75" s="1423">
        <v>0</v>
      </c>
      <c r="T75" s="1423">
        <v>0</v>
      </c>
      <c r="U75" s="1423">
        <v>0</v>
      </c>
      <c r="V75" s="1423">
        <v>0</v>
      </c>
      <c r="W75" s="1423">
        <v>0</v>
      </c>
      <c r="X75" s="1423">
        <v>0</v>
      </c>
      <c r="Y75" s="1423">
        <v>0</v>
      </c>
      <c r="Z75" s="1423">
        <v>0</v>
      </c>
      <c r="AA75" s="1423">
        <v>0</v>
      </c>
      <c r="AB75" s="1423">
        <v>0</v>
      </c>
      <c r="AC75" s="1423">
        <v>0</v>
      </c>
      <c r="AD75" s="1423">
        <v>0</v>
      </c>
      <c r="AE75" s="1423">
        <v>0</v>
      </c>
      <c r="AF75" s="1423">
        <v>0</v>
      </c>
      <c r="AG75" s="1423">
        <v>0</v>
      </c>
      <c r="AH75" s="1423">
        <v>0</v>
      </c>
      <c r="AI75" s="1423">
        <v>0</v>
      </c>
      <c r="AJ75" s="1423">
        <v>0</v>
      </c>
      <c r="AK75" s="1423">
        <v>0</v>
      </c>
      <c r="AL75" s="1423">
        <v>0</v>
      </c>
      <c r="AM75" s="1423">
        <v>0</v>
      </c>
      <c r="AN75" s="1423">
        <v>0</v>
      </c>
      <c r="AO75" s="1423">
        <v>0</v>
      </c>
      <c r="AP75" s="1423">
        <v>0</v>
      </c>
      <c r="AQ75" s="1423">
        <v>0</v>
      </c>
      <c r="AR75" s="1423">
        <v>0</v>
      </c>
      <c r="AS75" s="1423">
        <v>0</v>
      </c>
      <c r="AT75" s="1423">
        <v>0</v>
      </c>
      <c r="AU75" s="1423"/>
      <c r="AV75" s="1423"/>
      <c r="AW75" s="1423"/>
      <c r="AX75" s="1423"/>
      <c r="AY75" s="1423"/>
      <c r="AZ75" s="1423"/>
      <c r="BA75" s="1423">
        <v>0</v>
      </c>
      <c r="BB75" s="1423">
        <v>0</v>
      </c>
      <c r="BC75" s="1423">
        <v>0</v>
      </c>
      <c r="BD75" s="1423">
        <v>0.75730319999999796</v>
      </c>
      <c r="BE75" s="1423">
        <v>0</v>
      </c>
    </row>
    <row r="76" spans="1:57">
      <c r="A76" s="73"/>
      <c r="B76" s="83"/>
      <c r="C76" s="1423"/>
      <c r="D76" s="1423"/>
      <c r="E76" s="1423"/>
      <c r="F76" s="1423"/>
      <c r="G76" s="1423"/>
      <c r="H76" s="1423"/>
      <c r="I76" s="1423"/>
      <c r="J76" s="1423"/>
      <c r="K76" s="1423"/>
      <c r="L76" s="1423"/>
      <c r="M76" s="1423"/>
      <c r="N76" s="1423"/>
      <c r="O76" s="1423"/>
      <c r="P76" s="1423"/>
      <c r="Q76" s="1423"/>
      <c r="R76" s="1423"/>
      <c r="S76" s="1423"/>
      <c r="T76" s="1423"/>
      <c r="U76" s="1423"/>
      <c r="V76" s="1423"/>
      <c r="W76" s="1423"/>
      <c r="X76" s="1423"/>
      <c r="Y76" s="1423"/>
      <c r="Z76" s="1423"/>
      <c r="AA76" s="1423"/>
      <c r="AB76" s="1423"/>
      <c r="AC76" s="1423"/>
      <c r="AD76" s="1423"/>
      <c r="AE76" s="1423"/>
      <c r="AF76" s="1423"/>
      <c r="AG76" s="1423"/>
      <c r="AH76" s="1423"/>
      <c r="AI76" s="1423"/>
      <c r="AJ76" s="1423"/>
      <c r="AK76" s="1423"/>
      <c r="AL76" s="1423"/>
      <c r="AM76" s="1423"/>
      <c r="AN76" s="1423"/>
      <c r="AO76" s="1423"/>
      <c r="AP76" s="1423"/>
      <c r="AQ76" s="1423"/>
      <c r="AR76" s="1423"/>
      <c r="AS76" s="1423"/>
      <c r="AT76" s="1423"/>
      <c r="AU76" s="1423"/>
      <c r="AV76" s="1423"/>
      <c r="AW76" s="1423"/>
      <c r="AX76" s="1423"/>
      <c r="AY76" s="1423"/>
      <c r="AZ76" s="1423"/>
      <c r="BA76" s="1423"/>
      <c r="BB76" s="1423"/>
      <c r="BC76" s="1423"/>
      <c r="BD76" s="1423"/>
      <c r="BE76" s="1423"/>
    </row>
    <row r="77" spans="1:57">
      <c r="A77" s="77" t="s">
        <v>214</v>
      </c>
      <c r="B77" s="74">
        <v>229766.21900000001</v>
      </c>
      <c r="C77" s="1423">
        <v>0</v>
      </c>
      <c r="D77" s="1423">
        <v>4539.6709999999994</v>
      </c>
      <c r="E77" s="1423">
        <v>225226.54800000001</v>
      </c>
      <c r="F77" s="1423">
        <v>0</v>
      </c>
      <c r="G77" s="1423">
        <v>0</v>
      </c>
      <c r="H77" s="1423">
        <v>0</v>
      </c>
      <c r="I77" s="1423">
        <v>0</v>
      </c>
      <c r="J77" s="1423">
        <v>0</v>
      </c>
      <c r="K77" s="1423">
        <v>0</v>
      </c>
      <c r="L77" s="1423">
        <v>0</v>
      </c>
      <c r="M77" s="1423">
        <v>864.23</v>
      </c>
      <c r="N77" s="1423">
        <v>0</v>
      </c>
      <c r="O77" s="1423">
        <v>0</v>
      </c>
      <c r="P77" s="1423">
        <v>0</v>
      </c>
      <c r="Q77" s="1423">
        <v>190400</v>
      </c>
      <c r="R77" s="1423">
        <v>0</v>
      </c>
      <c r="S77" s="1423">
        <v>0</v>
      </c>
      <c r="T77" s="1423">
        <v>0</v>
      </c>
      <c r="U77" s="1423">
        <v>0</v>
      </c>
      <c r="V77" s="1423">
        <v>0</v>
      </c>
      <c r="W77" s="1423">
        <v>0</v>
      </c>
      <c r="X77" s="1423">
        <v>0</v>
      </c>
      <c r="Y77" s="1423">
        <v>0</v>
      </c>
      <c r="Z77" s="1423">
        <v>0</v>
      </c>
      <c r="AA77" s="1423">
        <v>0</v>
      </c>
      <c r="AB77" s="1423">
        <v>0</v>
      </c>
      <c r="AC77" s="1423">
        <v>1.6972419999999998E-2</v>
      </c>
      <c r="AD77" s="1423">
        <v>0</v>
      </c>
      <c r="AE77" s="1423">
        <v>13374.620897700001</v>
      </c>
      <c r="AF77" s="1423">
        <v>5874.2619047999988</v>
      </c>
      <c r="AG77" s="1423">
        <v>0</v>
      </c>
      <c r="AH77" s="1423">
        <v>0</v>
      </c>
      <c r="AI77" s="1423">
        <v>0</v>
      </c>
      <c r="AJ77" s="1423">
        <v>26448.048624999999</v>
      </c>
      <c r="AK77" s="1423">
        <v>41744.450013599992</v>
      </c>
      <c r="AL77" s="1423">
        <v>19531.582595200001</v>
      </c>
      <c r="AM77" s="1423">
        <v>0</v>
      </c>
      <c r="AN77" s="1423">
        <v>4223.0867820000003</v>
      </c>
      <c r="AO77" s="1423">
        <v>992.40316919999998</v>
      </c>
      <c r="AP77" s="1423">
        <v>5235.2980992000003</v>
      </c>
      <c r="AQ77" s="1423">
        <v>321.7628904</v>
      </c>
      <c r="AR77" s="1423">
        <v>0</v>
      </c>
      <c r="AS77" s="1423">
        <v>12783.95376</v>
      </c>
      <c r="AT77" s="1423">
        <v>0</v>
      </c>
      <c r="AU77" s="1423"/>
      <c r="AV77" s="1423"/>
      <c r="AW77" s="1423"/>
      <c r="AX77" s="1423"/>
      <c r="AY77" s="1423"/>
      <c r="AZ77" s="1423"/>
      <c r="BA77" s="1423">
        <v>0</v>
      </c>
      <c r="BB77" s="1423">
        <v>0</v>
      </c>
      <c r="BC77" s="1423">
        <v>0</v>
      </c>
      <c r="BD77" s="1423">
        <v>344262.6936</v>
      </c>
      <c r="BE77" s="1423">
        <v>0</v>
      </c>
    </row>
    <row r="78" spans="1:57">
      <c r="A78" s="73" t="s">
        <v>215</v>
      </c>
      <c r="B78" s="74">
        <v>763.26300000000003</v>
      </c>
      <c r="C78" s="1423">
        <v>0</v>
      </c>
      <c r="D78" s="1423">
        <v>0</v>
      </c>
      <c r="E78" s="1423">
        <v>763.26300000000003</v>
      </c>
      <c r="F78" s="1423">
        <v>0</v>
      </c>
      <c r="G78" s="1423">
        <v>0</v>
      </c>
      <c r="H78" s="1423">
        <v>0</v>
      </c>
      <c r="I78" s="1423">
        <v>0</v>
      </c>
      <c r="J78" s="1423">
        <v>0</v>
      </c>
      <c r="K78" s="1423">
        <v>0</v>
      </c>
      <c r="L78" s="1423">
        <v>0</v>
      </c>
      <c r="M78" s="1423">
        <v>0</v>
      </c>
      <c r="N78" s="1423">
        <v>0</v>
      </c>
      <c r="O78" s="1423">
        <v>0</v>
      </c>
      <c r="P78" s="1423">
        <v>0</v>
      </c>
      <c r="Q78" s="1423">
        <v>0</v>
      </c>
      <c r="R78" s="1423">
        <v>0</v>
      </c>
      <c r="S78" s="1423">
        <v>0</v>
      </c>
      <c r="T78" s="1423">
        <v>0</v>
      </c>
      <c r="U78" s="1423">
        <v>0</v>
      </c>
      <c r="V78" s="1423">
        <v>0</v>
      </c>
      <c r="W78" s="1423">
        <v>0</v>
      </c>
      <c r="X78" s="1423">
        <v>0</v>
      </c>
      <c r="Y78" s="1423">
        <v>0</v>
      </c>
      <c r="Z78" s="1423">
        <v>0</v>
      </c>
      <c r="AA78" s="1423">
        <v>0</v>
      </c>
      <c r="AB78" s="1423">
        <v>0</v>
      </c>
      <c r="AC78" s="1423">
        <v>1.81336E-3</v>
      </c>
      <c r="AD78" s="1423">
        <v>0</v>
      </c>
      <c r="AE78" s="1423">
        <v>1.3529157000000001</v>
      </c>
      <c r="AF78" s="1423">
        <v>4964.1961086000001</v>
      </c>
      <c r="AG78" s="1423">
        <v>0</v>
      </c>
      <c r="AH78" s="1423">
        <v>0</v>
      </c>
      <c r="AI78" s="1423">
        <v>0</v>
      </c>
      <c r="AJ78" s="1423">
        <v>2509.7758600000002</v>
      </c>
      <c r="AK78" s="1423">
        <v>38226.119077199997</v>
      </c>
      <c r="AL78" s="1423">
        <v>1763.8130432</v>
      </c>
      <c r="AM78" s="1423">
        <v>0</v>
      </c>
      <c r="AN78" s="1423">
        <v>186.533829</v>
      </c>
      <c r="AO78" s="1423">
        <v>940.08893939999984</v>
      </c>
      <c r="AP78" s="1423">
        <v>0</v>
      </c>
      <c r="AQ78" s="1423">
        <v>0</v>
      </c>
      <c r="AR78" s="1423">
        <v>0</v>
      </c>
      <c r="AS78" s="1423">
        <v>0</v>
      </c>
      <c r="AT78" s="1423">
        <v>0</v>
      </c>
      <c r="AU78" s="1423"/>
      <c r="AV78" s="1423"/>
      <c r="AW78" s="1423"/>
      <c r="AX78" s="1423"/>
      <c r="AY78" s="1423"/>
      <c r="AZ78" s="1423"/>
      <c r="BA78" s="1423">
        <v>0</v>
      </c>
      <c r="BB78" s="1423">
        <v>0</v>
      </c>
      <c r="BC78" s="1423">
        <v>0</v>
      </c>
      <c r="BD78" s="1423">
        <v>21029.392800000001</v>
      </c>
      <c r="BE78" s="1423">
        <v>0</v>
      </c>
    </row>
    <row r="79" spans="1:57">
      <c r="A79" s="73" t="s">
        <v>216</v>
      </c>
      <c r="B79" s="74">
        <v>76301.756666666668</v>
      </c>
      <c r="C79" s="1423">
        <v>0</v>
      </c>
      <c r="D79" s="1423">
        <v>1513.223666666667</v>
      </c>
      <c r="E79" s="1423">
        <v>74788.532999999996</v>
      </c>
      <c r="F79" s="1423">
        <v>0</v>
      </c>
      <c r="G79" s="1423">
        <v>0</v>
      </c>
      <c r="H79" s="1423">
        <v>0</v>
      </c>
      <c r="I79" s="1423">
        <v>0</v>
      </c>
      <c r="J79" s="1423">
        <v>0</v>
      </c>
      <c r="K79" s="1423">
        <v>0</v>
      </c>
      <c r="L79" s="1423">
        <v>0</v>
      </c>
      <c r="M79" s="1423">
        <v>864.23</v>
      </c>
      <c r="N79" s="1423">
        <v>0</v>
      </c>
      <c r="O79" s="1423">
        <v>0</v>
      </c>
      <c r="P79" s="1423">
        <v>0</v>
      </c>
      <c r="Q79" s="1423">
        <v>0</v>
      </c>
      <c r="R79" s="1423">
        <v>0</v>
      </c>
      <c r="S79" s="1423">
        <v>0</v>
      </c>
      <c r="T79" s="1423">
        <v>0</v>
      </c>
      <c r="U79" s="1423">
        <v>0</v>
      </c>
      <c r="V79" s="1423">
        <v>0</v>
      </c>
      <c r="W79" s="1423">
        <v>0</v>
      </c>
      <c r="X79" s="1423">
        <v>0</v>
      </c>
      <c r="Y79" s="1423">
        <v>0</v>
      </c>
      <c r="Z79" s="1423">
        <v>0</v>
      </c>
      <c r="AA79" s="1423">
        <v>0</v>
      </c>
      <c r="AB79" s="1423">
        <v>0</v>
      </c>
      <c r="AC79" s="1423">
        <v>1.515906E-2</v>
      </c>
      <c r="AD79" s="1423">
        <v>0</v>
      </c>
      <c r="AE79" s="1423">
        <v>0</v>
      </c>
      <c r="AF79" s="1423">
        <v>237.1015548</v>
      </c>
      <c r="AG79" s="1423">
        <v>0</v>
      </c>
      <c r="AH79" s="1423">
        <v>0</v>
      </c>
      <c r="AI79" s="1423">
        <v>0</v>
      </c>
      <c r="AJ79" s="1423">
        <v>1007.333806</v>
      </c>
      <c r="AK79" s="1423">
        <v>1742.0246592000001</v>
      </c>
      <c r="AL79" s="1423">
        <v>17766.613363199998</v>
      </c>
      <c r="AM79" s="1423">
        <v>0</v>
      </c>
      <c r="AN79" s="1423">
        <v>4036.5529529999999</v>
      </c>
      <c r="AO79" s="1423">
        <v>52.229809799999991</v>
      </c>
      <c r="AP79" s="1423">
        <v>5123.2927386000001</v>
      </c>
      <c r="AQ79" s="1423">
        <v>321.7628904</v>
      </c>
      <c r="AR79" s="1423">
        <v>0</v>
      </c>
      <c r="AS79" s="1423">
        <v>0</v>
      </c>
      <c r="AT79" s="1423">
        <v>0</v>
      </c>
      <c r="AU79" s="1423"/>
      <c r="AV79" s="1423"/>
      <c r="AW79" s="1423"/>
      <c r="AX79" s="1423"/>
      <c r="AY79" s="1423"/>
      <c r="AZ79" s="1423"/>
      <c r="BA79" s="1423">
        <v>0</v>
      </c>
      <c r="BB79" s="1423">
        <v>0</v>
      </c>
      <c r="BC79" s="1423">
        <v>0</v>
      </c>
      <c r="BD79" s="1423">
        <v>103798.06200000001</v>
      </c>
      <c r="BE79" s="1423">
        <v>0</v>
      </c>
    </row>
    <row r="80" spans="1:57">
      <c r="A80" s="73" t="s">
        <v>217</v>
      </c>
      <c r="B80" s="74">
        <v>152603.51333333331</v>
      </c>
      <c r="C80" s="1423">
        <v>0</v>
      </c>
      <c r="D80" s="1423">
        <v>3026.4473333333331</v>
      </c>
      <c r="E80" s="1423">
        <v>149577.06599999999</v>
      </c>
      <c r="F80" s="1423">
        <v>0</v>
      </c>
      <c r="G80" s="1423">
        <v>0</v>
      </c>
      <c r="H80" s="1423">
        <v>0</v>
      </c>
      <c r="I80" s="1423">
        <v>0</v>
      </c>
      <c r="J80" s="1423">
        <v>0</v>
      </c>
      <c r="K80" s="1423">
        <v>0</v>
      </c>
      <c r="L80" s="1423">
        <v>0</v>
      </c>
      <c r="M80" s="1423">
        <v>0</v>
      </c>
      <c r="N80" s="1423">
        <v>0</v>
      </c>
      <c r="O80" s="1423">
        <v>0</v>
      </c>
      <c r="P80" s="1423">
        <v>0</v>
      </c>
      <c r="Q80" s="1423">
        <v>190400</v>
      </c>
      <c r="R80" s="1423">
        <v>0</v>
      </c>
      <c r="S80" s="1423">
        <v>0</v>
      </c>
      <c r="T80" s="1423">
        <v>0</v>
      </c>
      <c r="U80" s="1423">
        <v>0</v>
      </c>
      <c r="V80" s="1423">
        <v>0</v>
      </c>
      <c r="W80" s="1423">
        <v>0</v>
      </c>
      <c r="X80" s="1423">
        <v>0</v>
      </c>
      <c r="Y80" s="1423">
        <v>0</v>
      </c>
      <c r="Z80" s="1423">
        <v>0</v>
      </c>
      <c r="AA80" s="1423">
        <v>0</v>
      </c>
      <c r="AB80" s="1423">
        <v>0</v>
      </c>
      <c r="AC80" s="1423">
        <v>0</v>
      </c>
      <c r="AD80" s="1423">
        <v>0</v>
      </c>
      <c r="AE80" s="1423">
        <v>13373.267981999999</v>
      </c>
      <c r="AF80" s="1423">
        <v>672.96424139999999</v>
      </c>
      <c r="AG80" s="1423">
        <v>0</v>
      </c>
      <c r="AH80" s="1423">
        <v>0</v>
      </c>
      <c r="AI80" s="1423">
        <v>0</v>
      </c>
      <c r="AJ80" s="1423">
        <v>22930.938958999999</v>
      </c>
      <c r="AK80" s="1423">
        <v>1776.3062772000001</v>
      </c>
      <c r="AL80" s="1423">
        <v>1.1561888</v>
      </c>
      <c r="AM80" s="1423">
        <v>0</v>
      </c>
      <c r="AN80" s="1423">
        <v>0</v>
      </c>
      <c r="AO80" s="1423">
        <v>8.4419999999999995E-2</v>
      </c>
      <c r="AP80" s="1423">
        <v>112.0053606</v>
      </c>
      <c r="AQ80" s="1423">
        <v>0</v>
      </c>
      <c r="AR80" s="1423">
        <v>0</v>
      </c>
      <c r="AS80" s="1423">
        <v>0</v>
      </c>
      <c r="AT80" s="1423">
        <v>0</v>
      </c>
      <c r="AU80" s="1423"/>
      <c r="AV80" s="1423"/>
      <c r="AW80" s="1423"/>
      <c r="AX80" s="1423"/>
      <c r="AY80" s="1423"/>
      <c r="AZ80" s="1423"/>
      <c r="BA80" s="1423">
        <v>0</v>
      </c>
      <c r="BB80" s="1423">
        <v>0</v>
      </c>
      <c r="BC80" s="1423">
        <v>0</v>
      </c>
      <c r="BD80" s="1423">
        <v>142815.29399999999</v>
      </c>
      <c r="BE80" s="1423">
        <v>0</v>
      </c>
    </row>
    <row r="81" spans="1:57">
      <c r="A81" s="73" t="s">
        <v>218</v>
      </c>
      <c r="B81" s="74">
        <v>97.685999999999993</v>
      </c>
      <c r="C81" s="1423">
        <v>0</v>
      </c>
      <c r="D81" s="1423">
        <v>0</v>
      </c>
      <c r="E81" s="1423">
        <v>97.685999999999993</v>
      </c>
      <c r="F81" s="1423">
        <v>0</v>
      </c>
      <c r="G81" s="1423">
        <v>0</v>
      </c>
      <c r="H81" s="1423">
        <v>0</v>
      </c>
      <c r="I81" s="1423">
        <v>0</v>
      </c>
      <c r="J81" s="1423">
        <v>0</v>
      </c>
      <c r="K81" s="1423">
        <v>0</v>
      </c>
      <c r="L81" s="1423">
        <v>0</v>
      </c>
      <c r="M81" s="1423">
        <v>0</v>
      </c>
      <c r="N81" s="1423">
        <v>0</v>
      </c>
      <c r="O81" s="1423">
        <v>0</v>
      </c>
      <c r="P81" s="1423">
        <v>0</v>
      </c>
      <c r="Q81" s="1423">
        <v>0</v>
      </c>
      <c r="R81" s="1423">
        <v>0</v>
      </c>
      <c r="S81" s="1423">
        <v>0</v>
      </c>
      <c r="T81" s="1423">
        <v>0</v>
      </c>
      <c r="U81" s="1423">
        <v>0</v>
      </c>
      <c r="V81" s="1423">
        <v>0</v>
      </c>
      <c r="W81" s="1423">
        <v>0</v>
      </c>
      <c r="X81" s="1423">
        <v>0</v>
      </c>
      <c r="Y81" s="1423">
        <v>0</v>
      </c>
      <c r="Z81" s="1423">
        <v>0</v>
      </c>
      <c r="AA81" s="1423">
        <v>0</v>
      </c>
      <c r="AB81" s="1423">
        <v>0</v>
      </c>
      <c r="AC81" s="1423">
        <v>0</v>
      </c>
      <c r="AD81" s="1423">
        <v>0</v>
      </c>
      <c r="AE81" s="1423">
        <v>0</v>
      </c>
      <c r="AF81" s="1423">
        <v>0</v>
      </c>
      <c r="AG81" s="1423">
        <v>0</v>
      </c>
      <c r="AH81" s="1423">
        <v>0</v>
      </c>
      <c r="AI81" s="1423">
        <v>0</v>
      </c>
      <c r="AJ81" s="1423">
        <v>0</v>
      </c>
      <c r="AK81" s="1423">
        <v>0</v>
      </c>
      <c r="AL81" s="1423">
        <v>0</v>
      </c>
      <c r="AM81" s="1423">
        <v>0</v>
      </c>
      <c r="AN81" s="1423">
        <v>0</v>
      </c>
      <c r="AO81" s="1423">
        <v>0</v>
      </c>
      <c r="AP81" s="1423">
        <v>0</v>
      </c>
      <c r="AQ81" s="1423">
        <v>0</v>
      </c>
      <c r="AR81" s="1423">
        <v>0</v>
      </c>
      <c r="AS81" s="1423">
        <v>12783.95376</v>
      </c>
      <c r="AT81" s="1423">
        <v>0</v>
      </c>
      <c r="AU81" s="1423"/>
      <c r="AV81" s="1423"/>
      <c r="AW81" s="1423"/>
      <c r="AX81" s="1423"/>
      <c r="AY81" s="1423"/>
      <c r="AZ81" s="1423"/>
      <c r="BA81" s="1423">
        <v>0</v>
      </c>
      <c r="BB81" s="1423">
        <v>0</v>
      </c>
      <c r="BC81" s="1423">
        <v>0</v>
      </c>
      <c r="BD81" s="1423">
        <v>76619.944799999997</v>
      </c>
      <c r="BE81" s="1423">
        <v>0</v>
      </c>
    </row>
    <row r="82" spans="1:57">
      <c r="A82" s="73"/>
      <c r="B82" s="83"/>
      <c r="C82" s="1423"/>
      <c r="D82" s="1423"/>
      <c r="E82" s="1423"/>
      <c r="F82" s="1423"/>
      <c r="G82" s="1423"/>
      <c r="H82" s="1423"/>
      <c r="I82" s="1423"/>
      <c r="J82" s="1423"/>
      <c r="K82" s="1423"/>
      <c r="L82" s="1423"/>
      <c r="M82" s="1423"/>
      <c r="N82" s="1423"/>
      <c r="O82" s="1423"/>
      <c r="P82" s="1423"/>
      <c r="Q82" s="1423"/>
      <c r="R82" s="1423"/>
      <c r="S82" s="1423"/>
      <c r="T82" s="1423"/>
      <c r="U82" s="1423"/>
      <c r="V82" s="1423"/>
      <c r="W82" s="1423"/>
      <c r="X82" s="1423"/>
      <c r="Y82" s="1423"/>
      <c r="Z82" s="1423"/>
      <c r="AA82" s="1423"/>
      <c r="AB82" s="1423"/>
      <c r="AC82" s="1423"/>
      <c r="AD82" s="1423"/>
      <c r="AE82" s="1423"/>
      <c r="AF82" s="1423"/>
      <c r="AG82" s="1423"/>
      <c r="AH82" s="1423"/>
      <c r="AI82" s="1423"/>
      <c r="AJ82" s="1423"/>
      <c r="AK82" s="1423"/>
      <c r="AL82" s="1423"/>
      <c r="AM82" s="1423"/>
      <c r="AN82" s="1423"/>
      <c r="AO82" s="1423"/>
      <c r="AP82" s="1423"/>
      <c r="AQ82" s="1423"/>
      <c r="AR82" s="1423"/>
      <c r="AS82" s="1423"/>
      <c r="AT82" s="1423"/>
      <c r="AU82" s="1423"/>
      <c r="AV82" s="1423"/>
      <c r="AW82" s="1423"/>
      <c r="AX82" s="1423"/>
      <c r="AY82" s="1423"/>
      <c r="AZ82" s="1423"/>
      <c r="BA82" s="1423"/>
      <c r="BB82" s="1423"/>
      <c r="BC82" s="1423"/>
      <c r="BD82" s="1423"/>
      <c r="BE82" s="1423"/>
    </row>
    <row r="83" spans="1:57">
      <c r="A83" s="77" t="s">
        <v>219</v>
      </c>
      <c r="B83" s="74">
        <v>0</v>
      </c>
      <c r="C83" s="1429">
        <v>0</v>
      </c>
      <c r="D83" s="1429">
        <v>0</v>
      </c>
      <c r="E83" s="1429">
        <v>0</v>
      </c>
      <c r="F83" s="1429">
        <v>0</v>
      </c>
      <c r="G83" s="1429">
        <v>0</v>
      </c>
      <c r="H83" s="1429">
        <v>0</v>
      </c>
      <c r="I83" s="1429">
        <v>0</v>
      </c>
      <c r="J83" s="1429">
        <v>0</v>
      </c>
      <c r="K83" s="1429">
        <v>0</v>
      </c>
      <c r="L83" s="1429">
        <v>0</v>
      </c>
      <c r="M83" s="1429">
        <v>0</v>
      </c>
      <c r="N83" s="1429">
        <v>0</v>
      </c>
      <c r="O83" s="1429">
        <v>0</v>
      </c>
      <c r="P83" s="1429">
        <v>0</v>
      </c>
      <c r="Q83" s="1429">
        <v>0</v>
      </c>
      <c r="R83" s="1429">
        <v>0</v>
      </c>
      <c r="S83" s="1429">
        <v>0</v>
      </c>
      <c r="T83" s="1429">
        <v>0</v>
      </c>
      <c r="U83" s="1429">
        <v>0</v>
      </c>
      <c r="V83" s="1429">
        <v>0</v>
      </c>
      <c r="W83" s="1429">
        <v>0</v>
      </c>
      <c r="X83" s="1429">
        <v>0</v>
      </c>
      <c r="Y83" s="1429">
        <v>0</v>
      </c>
      <c r="Z83" s="1429">
        <v>0</v>
      </c>
      <c r="AA83" s="1429">
        <v>0</v>
      </c>
      <c r="AB83" s="1429">
        <v>0</v>
      </c>
      <c r="AC83" s="1429">
        <v>0</v>
      </c>
      <c r="AD83" s="1429">
        <v>0</v>
      </c>
      <c r="AE83" s="1429">
        <v>0</v>
      </c>
      <c r="AF83" s="1429">
        <v>0</v>
      </c>
      <c r="AG83" s="1429">
        <v>0</v>
      </c>
      <c r="AH83" s="1429">
        <v>0</v>
      </c>
      <c r="AI83" s="1429">
        <v>0</v>
      </c>
      <c r="AJ83" s="1429">
        <v>0</v>
      </c>
      <c r="AK83" s="1429">
        <v>0</v>
      </c>
      <c r="AL83" s="1429">
        <v>0</v>
      </c>
      <c r="AM83" s="1429">
        <v>0</v>
      </c>
      <c r="AN83" s="1429">
        <v>4253.9954766000001</v>
      </c>
      <c r="AO83" s="1429">
        <v>17195.366607600001</v>
      </c>
      <c r="AP83" s="1429">
        <v>0</v>
      </c>
      <c r="AQ83" s="1429">
        <v>0</v>
      </c>
      <c r="AR83" s="1429">
        <v>0</v>
      </c>
      <c r="AS83" s="1429">
        <v>0</v>
      </c>
      <c r="AT83" s="1429">
        <v>0</v>
      </c>
      <c r="AU83" s="1429"/>
      <c r="AV83" s="1429"/>
      <c r="AW83" s="1429"/>
      <c r="AX83" s="1429"/>
      <c r="AY83" s="1429"/>
      <c r="AZ83" s="1429"/>
      <c r="BA83" s="1429">
        <v>0</v>
      </c>
      <c r="BB83" s="1429">
        <v>0</v>
      </c>
      <c r="BC83" s="1429">
        <v>0</v>
      </c>
      <c r="BD83" s="1429">
        <v>0</v>
      </c>
      <c r="BE83" s="1429">
        <v>0</v>
      </c>
    </row>
    <row r="84" spans="1:57">
      <c r="A84" s="73" t="s">
        <v>220</v>
      </c>
      <c r="B84" s="74">
        <v>0</v>
      </c>
      <c r="C84" s="1423">
        <v>0</v>
      </c>
      <c r="D84" s="1423">
        <v>0</v>
      </c>
      <c r="E84" s="1423">
        <v>0</v>
      </c>
      <c r="F84" s="1423">
        <v>0</v>
      </c>
      <c r="G84" s="1423">
        <v>0</v>
      </c>
      <c r="H84" s="1423">
        <v>0</v>
      </c>
      <c r="I84" s="1423">
        <v>0</v>
      </c>
      <c r="J84" s="1423">
        <v>0</v>
      </c>
      <c r="K84" s="1423">
        <v>0</v>
      </c>
      <c r="L84" s="1423">
        <v>0</v>
      </c>
      <c r="M84" s="1423">
        <v>0</v>
      </c>
      <c r="N84" s="1423">
        <v>0</v>
      </c>
      <c r="O84" s="1423">
        <v>0</v>
      </c>
      <c r="P84" s="1423">
        <v>0</v>
      </c>
      <c r="Q84" s="1423">
        <v>0</v>
      </c>
      <c r="R84" s="1423">
        <v>0</v>
      </c>
      <c r="S84" s="1423">
        <v>0</v>
      </c>
      <c r="T84" s="1423">
        <v>0</v>
      </c>
      <c r="U84" s="1423">
        <v>0</v>
      </c>
      <c r="V84" s="1423">
        <v>0</v>
      </c>
      <c r="W84" s="1423">
        <v>0</v>
      </c>
      <c r="X84" s="1423">
        <v>0</v>
      </c>
      <c r="Y84" s="1423">
        <v>0</v>
      </c>
      <c r="Z84" s="1423">
        <v>0</v>
      </c>
      <c r="AA84" s="1423">
        <v>0</v>
      </c>
      <c r="AB84" s="1423">
        <v>0</v>
      </c>
      <c r="AC84" s="1423">
        <v>0</v>
      </c>
      <c r="AD84" s="1423">
        <v>0</v>
      </c>
      <c r="AE84" s="1423">
        <v>0</v>
      </c>
      <c r="AF84" s="1423">
        <v>0</v>
      </c>
      <c r="AG84" s="1423">
        <v>0</v>
      </c>
      <c r="AH84" s="1423">
        <v>0</v>
      </c>
      <c r="AI84" s="1423">
        <v>0</v>
      </c>
      <c r="AJ84" s="1423">
        <v>0</v>
      </c>
      <c r="AK84" s="1423">
        <v>0</v>
      </c>
      <c r="AL84" s="1423">
        <v>0</v>
      </c>
      <c r="AM84" s="1423">
        <v>0</v>
      </c>
      <c r="AN84" s="1423">
        <v>4253.9954766000001</v>
      </c>
      <c r="AO84" s="1423">
        <v>17195.366607600001</v>
      </c>
      <c r="AP84" s="1423">
        <v>0</v>
      </c>
      <c r="AQ84" s="1423">
        <v>0</v>
      </c>
      <c r="AR84" s="1423">
        <v>0</v>
      </c>
      <c r="AS84" s="1423">
        <v>0</v>
      </c>
      <c r="AT84" s="1423">
        <v>0</v>
      </c>
      <c r="AU84" s="1423"/>
      <c r="AV84" s="1423"/>
      <c r="AW84" s="1423"/>
      <c r="AX84" s="1423"/>
      <c r="AY84" s="1423"/>
      <c r="AZ84" s="1423"/>
      <c r="BA84" s="1423">
        <v>0</v>
      </c>
      <c r="BB84" s="1423">
        <v>0</v>
      </c>
      <c r="BC84" s="1423">
        <v>0</v>
      </c>
      <c r="BD84" s="1423">
        <v>0</v>
      </c>
      <c r="BE84" s="1423">
        <v>0</v>
      </c>
    </row>
    <row r="85" spans="1:57">
      <c r="A85" s="73" t="s">
        <v>221</v>
      </c>
      <c r="B85" s="74">
        <v>0</v>
      </c>
      <c r="C85" s="1423">
        <v>0</v>
      </c>
      <c r="D85" s="1423">
        <v>0</v>
      </c>
      <c r="E85" s="1423">
        <v>0</v>
      </c>
      <c r="F85" s="1423">
        <v>0</v>
      </c>
      <c r="G85" s="1423">
        <v>0</v>
      </c>
      <c r="H85" s="1423">
        <v>0</v>
      </c>
      <c r="I85" s="1423">
        <v>0</v>
      </c>
      <c r="J85" s="1423">
        <v>0</v>
      </c>
      <c r="K85" s="1423">
        <v>0</v>
      </c>
      <c r="L85" s="1423">
        <v>0</v>
      </c>
      <c r="M85" s="1423">
        <v>0</v>
      </c>
      <c r="N85" s="1423">
        <v>0</v>
      </c>
      <c r="O85" s="1423">
        <v>0</v>
      </c>
      <c r="P85" s="1423">
        <v>0</v>
      </c>
      <c r="Q85" s="1423">
        <v>0</v>
      </c>
      <c r="R85" s="1423">
        <v>0</v>
      </c>
      <c r="S85" s="1423">
        <v>0</v>
      </c>
      <c r="T85" s="1423">
        <v>0</v>
      </c>
      <c r="U85" s="1423">
        <v>0</v>
      </c>
      <c r="V85" s="1423">
        <v>0</v>
      </c>
      <c r="W85" s="1423">
        <v>0</v>
      </c>
      <c r="X85" s="1423">
        <v>0</v>
      </c>
      <c r="Y85" s="1423">
        <v>0</v>
      </c>
      <c r="Z85" s="1423">
        <v>0</v>
      </c>
      <c r="AA85" s="1423">
        <v>0</v>
      </c>
      <c r="AB85" s="1423">
        <v>0</v>
      </c>
      <c r="AC85" s="1423">
        <v>0</v>
      </c>
      <c r="AD85" s="1423">
        <v>0</v>
      </c>
      <c r="AE85" s="1423">
        <v>0</v>
      </c>
      <c r="AF85" s="1423">
        <v>0</v>
      </c>
      <c r="AG85" s="1423">
        <v>0</v>
      </c>
      <c r="AH85" s="1423">
        <v>0</v>
      </c>
      <c r="AI85" s="1423">
        <v>0</v>
      </c>
      <c r="AJ85" s="1423">
        <v>0</v>
      </c>
      <c r="AK85" s="1423">
        <v>0</v>
      </c>
      <c r="AL85" s="1423">
        <v>0</v>
      </c>
      <c r="AM85" s="1423">
        <v>0</v>
      </c>
      <c r="AN85" s="1423">
        <v>0</v>
      </c>
      <c r="AO85" s="1423">
        <v>0</v>
      </c>
      <c r="AP85" s="1423">
        <v>0</v>
      </c>
      <c r="AQ85" s="1423">
        <v>0</v>
      </c>
      <c r="AR85" s="1423">
        <v>0</v>
      </c>
      <c r="AS85" s="1423">
        <v>0</v>
      </c>
      <c r="AT85" s="1423">
        <v>0</v>
      </c>
      <c r="AU85" s="1423"/>
      <c r="AV85" s="1423"/>
      <c r="AW85" s="1423"/>
      <c r="AX85" s="1423"/>
      <c r="AY85" s="1423"/>
      <c r="AZ85" s="1423"/>
      <c r="BA85" s="1423">
        <v>0</v>
      </c>
      <c r="BB85" s="1423">
        <v>0</v>
      </c>
      <c r="BC85" s="1423">
        <v>0</v>
      </c>
      <c r="BD85" s="1423">
        <v>0</v>
      </c>
      <c r="BE85" s="1423">
        <v>0</v>
      </c>
    </row>
    <row r="86" spans="1:57">
      <c r="A86" s="73" t="s">
        <v>222</v>
      </c>
      <c r="B86" s="74">
        <v>0</v>
      </c>
      <c r="C86" s="1423">
        <v>0</v>
      </c>
      <c r="D86" s="1423">
        <v>0</v>
      </c>
      <c r="E86" s="1423">
        <v>0</v>
      </c>
      <c r="F86" s="1423">
        <v>0</v>
      </c>
      <c r="G86" s="1423">
        <v>0</v>
      </c>
      <c r="H86" s="1423">
        <v>0</v>
      </c>
      <c r="I86" s="1423">
        <v>0</v>
      </c>
      <c r="J86" s="1423">
        <v>0</v>
      </c>
      <c r="K86" s="1423">
        <v>0</v>
      </c>
      <c r="L86" s="1423">
        <v>0</v>
      </c>
      <c r="M86" s="1423">
        <v>0</v>
      </c>
      <c r="N86" s="1423">
        <v>0</v>
      </c>
      <c r="O86" s="1423">
        <v>0</v>
      </c>
      <c r="P86" s="1423">
        <v>0</v>
      </c>
      <c r="Q86" s="1423">
        <v>0</v>
      </c>
      <c r="R86" s="1423">
        <v>0</v>
      </c>
      <c r="S86" s="1423">
        <v>0</v>
      </c>
      <c r="T86" s="1423">
        <v>0</v>
      </c>
      <c r="U86" s="1423">
        <v>0</v>
      </c>
      <c r="V86" s="1423">
        <v>0</v>
      </c>
      <c r="W86" s="1423">
        <v>0</v>
      </c>
      <c r="X86" s="1423">
        <v>0</v>
      </c>
      <c r="Y86" s="1423">
        <v>0</v>
      </c>
      <c r="Z86" s="1423">
        <v>0</v>
      </c>
      <c r="AA86" s="1423">
        <v>0</v>
      </c>
      <c r="AB86" s="1423">
        <v>0</v>
      </c>
      <c r="AC86" s="1423">
        <v>0</v>
      </c>
      <c r="AD86" s="1423">
        <v>0</v>
      </c>
      <c r="AE86" s="1423">
        <v>0</v>
      </c>
      <c r="AF86" s="1423">
        <v>0</v>
      </c>
      <c r="AG86" s="1423">
        <v>0</v>
      </c>
      <c r="AH86" s="1423">
        <v>0</v>
      </c>
      <c r="AI86" s="1423">
        <v>0</v>
      </c>
      <c r="AJ86" s="1423">
        <v>0</v>
      </c>
      <c r="AK86" s="1423">
        <v>0</v>
      </c>
      <c r="AL86" s="1423">
        <v>0</v>
      </c>
      <c r="AM86" s="1423">
        <v>0</v>
      </c>
      <c r="AN86" s="1423">
        <v>0</v>
      </c>
      <c r="AO86" s="1423">
        <v>0</v>
      </c>
      <c r="AP86" s="1423">
        <v>0</v>
      </c>
      <c r="AQ86" s="1423">
        <v>0</v>
      </c>
      <c r="AR86" s="1423">
        <v>0</v>
      </c>
      <c r="AS86" s="1423">
        <v>0</v>
      </c>
      <c r="AT86" s="1423">
        <v>0</v>
      </c>
      <c r="AU86" s="1423"/>
      <c r="AV86" s="1423"/>
      <c r="AW86" s="1423"/>
      <c r="AX86" s="1423"/>
      <c r="AY86" s="1423"/>
      <c r="AZ86" s="1423"/>
      <c r="BA86" s="1423">
        <v>0</v>
      </c>
      <c r="BB86" s="1423">
        <v>0</v>
      </c>
      <c r="BC86" s="1423">
        <v>0</v>
      </c>
      <c r="BD86" s="1423">
        <v>0</v>
      </c>
      <c r="BE86" s="1423">
        <v>0</v>
      </c>
    </row>
    <row r="87" spans="1:57">
      <c r="A87" s="73" t="s">
        <v>223</v>
      </c>
      <c r="B87" s="74">
        <v>52210.51</v>
      </c>
      <c r="C87" s="1423">
        <v>0</v>
      </c>
      <c r="D87" s="1423">
        <v>1368.6189999999999</v>
      </c>
      <c r="E87" s="1423">
        <v>50841.890999999989</v>
      </c>
      <c r="F87" s="1423">
        <v>0</v>
      </c>
      <c r="G87" s="1423">
        <v>0</v>
      </c>
      <c r="H87" s="1423">
        <v>0</v>
      </c>
      <c r="I87" s="1423">
        <v>0</v>
      </c>
      <c r="J87" s="1423">
        <v>0</v>
      </c>
      <c r="K87" s="1423">
        <v>0</v>
      </c>
      <c r="L87" s="1423">
        <v>0</v>
      </c>
      <c r="M87" s="1423">
        <v>0</v>
      </c>
      <c r="N87" s="1423">
        <v>0</v>
      </c>
      <c r="O87" s="1423">
        <v>0</v>
      </c>
      <c r="P87" s="1423">
        <v>0</v>
      </c>
      <c r="Q87" s="1423">
        <v>0</v>
      </c>
      <c r="R87" s="1423">
        <v>0</v>
      </c>
      <c r="S87" s="1423">
        <v>0</v>
      </c>
      <c r="T87" s="1423">
        <v>0</v>
      </c>
      <c r="U87" s="1423">
        <v>0</v>
      </c>
      <c r="V87" s="1423">
        <v>0</v>
      </c>
      <c r="W87" s="1423">
        <v>0</v>
      </c>
      <c r="X87" s="1423">
        <v>0</v>
      </c>
      <c r="Y87" s="1423">
        <v>0</v>
      </c>
      <c r="Z87" s="1423">
        <v>0</v>
      </c>
      <c r="AA87" s="1423">
        <v>0</v>
      </c>
      <c r="AB87" s="1423">
        <v>0</v>
      </c>
      <c r="AC87" s="1423">
        <v>0</v>
      </c>
      <c r="AD87" s="1423">
        <v>0</v>
      </c>
      <c r="AE87" s="1423">
        <v>0</v>
      </c>
      <c r="AF87" s="1423">
        <v>0</v>
      </c>
      <c r="AG87" s="1423">
        <v>0</v>
      </c>
      <c r="AH87" s="1423">
        <v>0</v>
      </c>
      <c r="AI87" s="1423">
        <v>0</v>
      </c>
      <c r="AJ87" s="1423">
        <v>0</v>
      </c>
      <c r="AK87" s="1423">
        <v>0</v>
      </c>
      <c r="AL87" s="1423">
        <v>0</v>
      </c>
      <c r="AM87" s="1423">
        <v>0</v>
      </c>
      <c r="AN87" s="1423">
        <v>0</v>
      </c>
      <c r="AO87" s="1423">
        <v>0</v>
      </c>
      <c r="AP87" s="1423">
        <v>0</v>
      </c>
      <c r="AQ87" s="1423">
        <v>0</v>
      </c>
      <c r="AR87" s="1423">
        <v>0</v>
      </c>
      <c r="AS87" s="1423">
        <v>0</v>
      </c>
      <c r="AT87" s="1423">
        <v>0</v>
      </c>
      <c r="AU87" s="1423"/>
      <c r="AV87" s="1423"/>
      <c r="AW87" s="1423"/>
      <c r="AX87" s="1423"/>
      <c r="AY87" s="1423"/>
      <c r="AZ87" s="1423"/>
      <c r="BA87" s="1423">
        <v>0</v>
      </c>
      <c r="BB87" s="1423">
        <v>0</v>
      </c>
      <c r="BC87" s="1423">
        <v>0</v>
      </c>
      <c r="BD87" s="1423">
        <v>0</v>
      </c>
      <c r="BE87" s="1423">
        <v>0</v>
      </c>
    </row>
    <row r="88" spans="1:57">
      <c r="A88" s="73"/>
      <c r="B88" s="74"/>
      <c r="C88" s="1423"/>
      <c r="D88" s="1423"/>
      <c r="E88" s="1423"/>
      <c r="F88" s="1423"/>
      <c r="G88" s="1423"/>
      <c r="H88" s="1423"/>
      <c r="I88" s="1423"/>
      <c r="J88" s="1423"/>
      <c r="K88" s="1423"/>
      <c r="L88" s="1423"/>
      <c r="M88" s="1423"/>
      <c r="N88" s="1423"/>
      <c r="O88" s="1423"/>
      <c r="P88" s="1423"/>
      <c r="Q88" s="1423"/>
      <c r="R88" s="1423"/>
      <c r="S88" s="1423"/>
      <c r="T88" s="1423"/>
      <c r="U88" s="1423"/>
      <c r="V88" s="1423"/>
      <c r="W88" s="1423"/>
      <c r="X88" s="1423"/>
      <c r="Y88" s="1423"/>
      <c r="Z88" s="1423"/>
      <c r="AA88" s="1423"/>
      <c r="AB88" s="1423"/>
      <c r="AC88" s="1423"/>
      <c r="AD88" s="1423"/>
      <c r="AE88" s="1423"/>
      <c r="AF88" s="1423"/>
      <c r="AG88" s="1423"/>
      <c r="AH88" s="1423"/>
      <c r="AI88" s="1423"/>
      <c r="AJ88" s="1423"/>
      <c r="AK88" s="1423"/>
      <c r="AL88" s="1423"/>
      <c r="AM88" s="1423"/>
      <c r="AN88" s="1423"/>
      <c r="AO88" s="1423"/>
      <c r="AP88" s="1423"/>
      <c r="AQ88" s="1423"/>
      <c r="AR88" s="1423"/>
      <c r="AS88" s="1423"/>
      <c r="AT88" s="1423"/>
      <c r="AU88" s="1423"/>
      <c r="AV88" s="1423"/>
      <c r="AW88" s="1423"/>
      <c r="AX88" s="1423"/>
      <c r="AY88" s="1423"/>
      <c r="AZ88" s="1423"/>
      <c r="BA88" s="1423"/>
      <c r="BB88" s="1423"/>
      <c r="BC88" s="1423"/>
      <c r="BD88" s="1423"/>
      <c r="BE88" s="1423"/>
    </row>
    <row r="89" spans="1:57">
      <c r="A89" s="77" t="s">
        <v>224</v>
      </c>
      <c r="B89" s="74">
        <v>220991.02499999999</v>
      </c>
      <c r="C89" s="1423">
        <v>0</v>
      </c>
      <c r="D89" s="1423">
        <v>0</v>
      </c>
      <c r="E89" s="1423">
        <v>220991.02499999999</v>
      </c>
      <c r="F89" s="1423">
        <v>0</v>
      </c>
      <c r="G89" s="1423">
        <v>0</v>
      </c>
      <c r="H89" s="1423">
        <v>0</v>
      </c>
      <c r="I89" s="1423">
        <v>0</v>
      </c>
      <c r="J89" s="1423">
        <v>0</v>
      </c>
      <c r="K89" s="1423">
        <v>0</v>
      </c>
      <c r="L89" s="1423">
        <v>0</v>
      </c>
      <c r="M89" s="1423">
        <v>0</v>
      </c>
      <c r="N89" s="1423">
        <v>0</v>
      </c>
      <c r="O89" s="1423">
        <v>0</v>
      </c>
      <c r="P89" s="1423">
        <v>0</v>
      </c>
      <c r="Q89" s="1423">
        <v>203.98099999999999</v>
      </c>
      <c r="R89" s="1423">
        <v>0</v>
      </c>
      <c r="S89" s="1423">
        <v>0</v>
      </c>
      <c r="T89" s="1423">
        <v>203.98099999999999</v>
      </c>
      <c r="U89" s="1423">
        <v>0</v>
      </c>
      <c r="V89" s="1423">
        <v>67.090999999999994</v>
      </c>
      <c r="W89" s="1423">
        <v>0</v>
      </c>
      <c r="X89" s="1423">
        <v>0</v>
      </c>
      <c r="Y89" s="1423">
        <v>0</v>
      </c>
      <c r="Z89" s="1423">
        <v>0</v>
      </c>
      <c r="AA89" s="1423">
        <v>0</v>
      </c>
      <c r="AB89" s="1423">
        <v>0</v>
      </c>
      <c r="AC89" s="1423">
        <v>0</v>
      </c>
      <c r="AD89" s="1423">
        <v>0</v>
      </c>
      <c r="AE89" s="1423">
        <v>0</v>
      </c>
      <c r="AF89" s="1423">
        <v>0</v>
      </c>
      <c r="AG89" s="1423">
        <v>0</v>
      </c>
      <c r="AH89" s="1423">
        <v>0</v>
      </c>
      <c r="AI89" s="1423">
        <v>0</v>
      </c>
      <c r="AJ89" s="1423">
        <v>0</v>
      </c>
      <c r="AK89" s="1423">
        <v>0</v>
      </c>
      <c r="AL89" s="1423">
        <v>0</v>
      </c>
      <c r="AM89" s="1423">
        <v>0</v>
      </c>
      <c r="AN89" s="1423">
        <v>0</v>
      </c>
      <c r="AO89" s="1423">
        <v>0</v>
      </c>
      <c r="AP89" s="1423">
        <v>0</v>
      </c>
      <c r="AQ89" s="1423">
        <v>0</v>
      </c>
      <c r="AR89" s="1423">
        <v>0</v>
      </c>
      <c r="AS89" s="1423">
        <v>0</v>
      </c>
      <c r="AT89" s="1423">
        <v>0</v>
      </c>
      <c r="AU89" s="1423">
        <v>10026</v>
      </c>
      <c r="AV89" s="1423">
        <v>2748.5149999999999</v>
      </c>
      <c r="AW89" s="1423">
        <v>0</v>
      </c>
      <c r="AX89" s="1423">
        <v>532</v>
      </c>
      <c r="AY89" s="1423">
        <v>0</v>
      </c>
      <c r="AZ89" s="1423">
        <v>32.228000000000002</v>
      </c>
      <c r="BA89" s="1423">
        <v>0</v>
      </c>
      <c r="BB89" s="1423">
        <v>0</v>
      </c>
      <c r="BC89" s="1423">
        <v>0</v>
      </c>
      <c r="BD89" s="1423">
        <v>234600.84</v>
      </c>
      <c r="BE89" s="1423">
        <v>0</v>
      </c>
    </row>
    <row r="90" spans="1:57">
      <c r="A90" s="73" t="s">
        <v>225</v>
      </c>
      <c r="B90" s="74">
        <v>214328</v>
      </c>
      <c r="C90" s="1423">
        <v>0</v>
      </c>
      <c r="D90" s="1423">
        <v>0</v>
      </c>
      <c r="E90" s="1423">
        <v>214328</v>
      </c>
      <c r="F90" s="1423">
        <v>0</v>
      </c>
      <c r="G90" s="1423">
        <v>0</v>
      </c>
      <c r="H90" s="1423">
        <v>0</v>
      </c>
      <c r="I90" s="1423">
        <v>0</v>
      </c>
      <c r="J90" s="1423">
        <v>0</v>
      </c>
      <c r="K90" s="1423">
        <v>0</v>
      </c>
      <c r="L90" s="1423">
        <v>0</v>
      </c>
      <c r="M90" s="1423">
        <v>0</v>
      </c>
      <c r="N90" s="1423">
        <v>0</v>
      </c>
      <c r="O90" s="1423">
        <v>0</v>
      </c>
      <c r="P90" s="1423">
        <v>0</v>
      </c>
      <c r="Q90" s="1423">
        <v>0</v>
      </c>
      <c r="R90" s="1423">
        <v>0</v>
      </c>
      <c r="S90" s="1423">
        <v>0</v>
      </c>
      <c r="T90" s="1423">
        <v>0</v>
      </c>
      <c r="U90" s="1423">
        <v>0</v>
      </c>
      <c r="V90" s="1423">
        <v>58</v>
      </c>
      <c r="W90" s="1423">
        <v>0</v>
      </c>
      <c r="X90" s="1423">
        <v>0</v>
      </c>
      <c r="Y90" s="1423">
        <v>0</v>
      </c>
      <c r="Z90" s="1423">
        <v>0</v>
      </c>
      <c r="AA90" s="1423">
        <v>0</v>
      </c>
      <c r="AB90" s="1423">
        <v>0</v>
      </c>
      <c r="AC90" s="1423">
        <v>0</v>
      </c>
      <c r="AD90" s="1423">
        <v>0</v>
      </c>
      <c r="AE90" s="1423">
        <v>0</v>
      </c>
      <c r="AF90" s="1423">
        <v>0</v>
      </c>
      <c r="AG90" s="1423">
        <v>0</v>
      </c>
      <c r="AH90" s="1423">
        <v>0</v>
      </c>
      <c r="AI90" s="1423">
        <v>0</v>
      </c>
      <c r="AJ90" s="1423">
        <v>0</v>
      </c>
      <c r="AK90" s="1423">
        <v>0</v>
      </c>
      <c r="AL90" s="1423">
        <v>0</v>
      </c>
      <c r="AM90" s="1423">
        <v>0</v>
      </c>
      <c r="AN90" s="1423">
        <v>0</v>
      </c>
      <c r="AO90" s="1423">
        <v>0</v>
      </c>
      <c r="AP90" s="1423">
        <v>0</v>
      </c>
      <c r="AQ90" s="1423">
        <v>0</v>
      </c>
      <c r="AR90" s="1423">
        <v>0</v>
      </c>
      <c r="AS90" s="1423">
        <v>0</v>
      </c>
      <c r="AT90" s="1423">
        <v>0</v>
      </c>
      <c r="AU90" s="1423">
        <v>10026</v>
      </c>
      <c r="AV90" s="1431">
        <v>2570.895</v>
      </c>
      <c r="AW90" s="1423">
        <v>0</v>
      </c>
      <c r="AX90" s="1423">
        <v>532</v>
      </c>
      <c r="AY90" s="1423">
        <v>0</v>
      </c>
      <c r="AZ90" s="1423">
        <v>32.228000000000002</v>
      </c>
      <c r="BA90" s="1423">
        <v>0</v>
      </c>
      <c r="BB90" s="1423">
        <v>0</v>
      </c>
      <c r="BC90" s="1423">
        <v>0</v>
      </c>
      <c r="BD90" s="1423">
        <v>227547.12299999999</v>
      </c>
      <c r="BE90" s="1423">
        <v>0</v>
      </c>
    </row>
    <row r="91" spans="1:57">
      <c r="A91" s="73" t="s">
        <v>226</v>
      </c>
      <c r="B91" s="74">
        <v>6663.0249999999996</v>
      </c>
      <c r="C91" s="1423">
        <v>0</v>
      </c>
      <c r="D91" s="1423">
        <v>0</v>
      </c>
      <c r="E91" s="1423">
        <v>6663.0249999999996</v>
      </c>
      <c r="F91" s="1423">
        <v>0</v>
      </c>
      <c r="G91" s="1423">
        <v>0</v>
      </c>
      <c r="H91" s="1423">
        <v>0</v>
      </c>
      <c r="I91" s="1423">
        <v>0</v>
      </c>
      <c r="J91" s="1423">
        <v>0</v>
      </c>
      <c r="K91" s="1423">
        <v>0</v>
      </c>
      <c r="L91" s="1423">
        <v>0</v>
      </c>
      <c r="M91" s="1423">
        <v>0</v>
      </c>
      <c r="N91" s="1423">
        <v>0</v>
      </c>
      <c r="O91" s="1423">
        <v>0</v>
      </c>
      <c r="P91" s="1423">
        <v>0</v>
      </c>
      <c r="Q91" s="1423">
        <v>0</v>
      </c>
      <c r="R91" s="1423">
        <v>0</v>
      </c>
      <c r="S91" s="1423">
        <v>0</v>
      </c>
      <c r="T91" s="1423">
        <v>0</v>
      </c>
      <c r="U91" s="1423">
        <v>0</v>
      </c>
      <c r="V91" s="1423">
        <v>9.0909999999999993</v>
      </c>
      <c r="W91" s="1423">
        <v>0</v>
      </c>
      <c r="X91" s="1423">
        <v>0</v>
      </c>
      <c r="Y91" s="1423">
        <v>0</v>
      </c>
      <c r="Z91" s="1423">
        <v>0</v>
      </c>
      <c r="AA91" s="1423">
        <v>0</v>
      </c>
      <c r="AB91" s="1423">
        <v>0</v>
      </c>
      <c r="AC91" s="1423">
        <v>0</v>
      </c>
      <c r="AD91" s="1423">
        <v>0</v>
      </c>
      <c r="AE91" s="1423">
        <v>0</v>
      </c>
      <c r="AF91" s="1423">
        <v>0</v>
      </c>
      <c r="AG91" s="1423">
        <v>0</v>
      </c>
      <c r="AH91" s="1423">
        <v>0</v>
      </c>
      <c r="AI91" s="1423">
        <v>0</v>
      </c>
      <c r="AJ91" s="1423">
        <v>0</v>
      </c>
      <c r="AK91" s="1423">
        <v>0</v>
      </c>
      <c r="AL91" s="1423">
        <v>0</v>
      </c>
      <c r="AM91" s="1423">
        <v>0</v>
      </c>
      <c r="AN91" s="1423">
        <v>0</v>
      </c>
      <c r="AO91" s="1423">
        <v>0</v>
      </c>
      <c r="AP91" s="1423">
        <v>0</v>
      </c>
      <c r="AQ91" s="1423">
        <v>0</v>
      </c>
      <c r="AR91" s="1423">
        <v>0</v>
      </c>
      <c r="AS91" s="1423">
        <v>0</v>
      </c>
      <c r="AT91" s="1423">
        <v>0</v>
      </c>
      <c r="AU91" s="1423">
        <v>0</v>
      </c>
      <c r="AV91" s="1423">
        <v>177.62</v>
      </c>
      <c r="AW91" s="1423">
        <v>0</v>
      </c>
      <c r="AX91" s="1423">
        <v>0</v>
      </c>
      <c r="AY91" s="1423">
        <v>0</v>
      </c>
      <c r="AZ91" s="1423">
        <v>0</v>
      </c>
      <c r="BA91" s="1423">
        <v>0</v>
      </c>
      <c r="BB91" s="1423">
        <v>0</v>
      </c>
      <c r="BC91" s="1423">
        <v>0</v>
      </c>
      <c r="BD91" s="1423">
        <v>6849.7360000000008</v>
      </c>
      <c r="BE91" s="1423">
        <v>0</v>
      </c>
    </row>
    <row r="92" spans="1:57">
      <c r="A92" s="73" t="s">
        <v>227</v>
      </c>
      <c r="B92" s="74">
        <v>0</v>
      </c>
      <c r="C92" s="1423">
        <v>0</v>
      </c>
      <c r="D92" s="1423">
        <v>0</v>
      </c>
      <c r="E92" s="1423">
        <v>0</v>
      </c>
      <c r="F92" s="1423">
        <v>0</v>
      </c>
      <c r="G92" s="1423">
        <v>0</v>
      </c>
      <c r="H92" s="1423">
        <v>0</v>
      </c>
      <c r="I92" s="1423">
        <v>0</v>
      </c>
      <c r="J92" s="1423">
        <v>0</v>
      </c>
      <c r="K92" s="1423">
        <v>0</v>
      </c>
      <c r="L92" s="1423">
        <v>0</v>
      </c>
      <c r="M92" s="1423">
        <v>0</v>
      </c>
      <c r="N92" s="1423">
        <v>0</v>
      </c>
      <c r="O92" s="1423">
        <v>0</v>
      </c>
      <c r="P92" s="1423">
        <v>0</v>
      </c>
      <c r="Q92" s="1423">
        <v>0</v>
      </c>
      <c r="R92" s="1423">
        <v>0</v>
      </c>
      <c r="S92" s="1423">
        <v>0</v>
      </c>
      <c r="T92" s="1423">
        <v>0</v>
      </c>
      <c r="U92" s="1423">
        <v>0</v>
      </c>
      <c r="V92" s="1423">
        <v>0</v>
      </c>
      <c r="W92" s="1423">
        <v>0</v>
      </c>
      <c r="X92" s="1423">
        <v>0</v>
      </c>
      <c r="Y92" s="1423">
        <v>0</v>
      </c>
      <c r="Z92" s="1423">
        <v>0</v>
      </c>
      <c r="AA92" s="1423">
        <v>0</v>
      </c>
      <c r="AB92" s="1423">
        <v>0</v>
      </c>
      <c r="AC92" s="1423">
        <v>0</v>
      </c>
      <c r="AD92" s="1423">
        <v>0</v>
      </c>
      <c r="AE92" s="1423">
        <v>0</v>
      </c>
      <c r="AF92" s="1423">
        <v>0</v>
      </c>
      <c r="AG92" s="1423">
        <v>0</v>
      </c>
      <c r="AH92" s="1423">
        <v>0</v>
      </c>
      <c r="AI92" s="1423">
        <v>0</v>
      </c>
      <c r="AJ92" s="1423">
        <v>0</v>
      </c>
      <c r="AK92" s="1423">
        <v>0</v>
      </c>
      <c r="AL92" s="1423">
        <v>0</v>
      </c>
      <c r="AM92" s="1423">
        <v>0</v>
      </c>
      <c r="AN92" s="1423">
        <v>0</v>
      </c>
      <c r="AO92" s="1423">
        <v>0</v>
      </c>
      <c r="AP92" s="1423">
        <v>0</v>
      </c>
      <c r="AQ92" s="1423">
        <v>0</v>
      </c>
      <c r="AR92" s="1423">
        <v>0</v>
      </c>
      <c r="AS92" s="1423">
        <v>0</v>
      </c>
      <c r="AT92" s="1423">
        <v>0</v>
      </c>
      <c r="AU92" s="1423">
        <v>0</v>
      </c>
      <c r="AV92" s="1423">
        <v>0</v>
      </c>
      <c r="AW92" s="1423">
        <v>0</v>
      </c>
      <c r="AX92" s="1423">
        <v>0</v>
      </c>
      <c r="AY92" s="1423">
        <v>0</v>
      </c>
      <c r="AZ92" s="1423">
        <v>0</v>
      </c>
      <c r="BA92" s="1423">
        <v>0</v>
      </c>
      <c r="BB92" s="1423">
        <v>0</v>
      </c>
      <c r="BC92" s="1423">
        <v>0</v>
      </c>
      <c r="BD92" s="1423">
        <v>0</v>
      </c>
      <c r="BE92" s="1423">
        <v>0</v>
      </c>
    </row>
    <row r="93" spans="1:57">
      <c r="A93" s="73" t="s">
        <v>228</v>
      </c>
      <c r="B93" s="74">
        <v>0</v>
      </c>
      <c r="C93" s="1423">
        <v>0</v>
      </c>
      <c r="D93" s="1423">
        <v>0</v>
      </c>
      <c r="E93" s="1423">
        <v>0</v>
      </c>
      <c r="F93" s="1423">
        <v>0</v>
      </c>
      <c r="G93" s="1423">
        <v>0</v>
      </c>
      <c r="H93" s="1423">
        <v>0</v>
      </c>
      <c r="I93" s="1423">
        <v>0</v>
      </c>
      <c r="J93" s="1423">
        <v>0</v>
      </c>
      <c r="K93" s="1423">
        <v>0</v>
      </c>
      <c r="L93" s="1423">
        <v>0</v>
      </c>
      <c r="M93" s="1423">
        <v>0</v>
      </c>
      <c r="N93" s="1423">
        <v>0</v>
      </c>
      <c r="O93" s="1423">
        <v>0</v>
      </c>
      <c r="P93" s="1423">
        <v>0</v>
      </c>
      <c r="Q93" s="1423">
        <v>203.98099999999999</v>
      </c>
      <c r="R93" s="1423">
        <v>0</v>
      </c>
      <c r="S93" s="1423">
        <v>0</v>
      </c>
      <c r="T93" s="1423">
        <v>203.98099999999999</v>
      </c>
      <c r="U93" s="1423">
        <v>0</v>
      </c>
      <c r="V93" s="1423">
        <v>0</v>
      </c>
      <c r="W93" s="1423">
        <v>0</v>
      </c>
      <c r="X93" s="1423">
        <v>0</v>
      </c>
      <c r="Y93" s="1423">
        <v>0</v>
      </c>
      <c r="Z93" s="1423">
        <v>0</v>
      </c>
      <c r="AA93" s="1423">
        <v>0</v>
      </c>
      <c r="AB93" s="1423">
        <v>0</v>
      </c>
      <c r="AC93" s="1423">
        <v>0</v>
      </c>
      <c r="AD93" s="1423">
        <v>0</v>
      </c>
      <c r="AE93" s="1423">
        <v>0</v>
      </c>
      <c r="AF93" s="1423">
        <v>0</v>
      </c>
      <c r="AG93" s="1423">
        <v>0</v>
      </c>
      <c r="AH93" s="1423">
        <v>0</v>
      </c>
      <c r="AI93" s="1423">
        <v>0</v>
      </c>
      <c r="AJ93" s="1423">
        <v>0</v>
      </c>
      <c r="AK93" s="1423">
        <v>0</v>
      </c>
      <c r="AL93" s="1423">
        <v>0</v>
      </c>
      <c r="AM93" s="1423">
        <v>0</v>
      </c>
      <c r="AN93" s="1423">
        <v>0</v>
      </c>
      <c r="AO93" s="1423">
        <v>0</v>
      </c>
      <c r="AP93" s="1423">
        <v>0</v>
      </c>
      <c r="AQ93" s="1423">
        <v>0</v>
      </c>
      <c r="AR93" s="1423">
        <v>0</v>
      </c>
      <c r="AS93" s="1423">
        <v>0</v>
      </c>
      <c r="AT93" s="1423">
        <v>0</v>
      </c>
      <c r="AU93" s="1423">
        <v>0</v>
      </c>
      <c r="AV93" s="1423">
        <v>0</v>
      </c>
      <c r="AW93" s="1423">
        <v>0</v>
      </c>
      <c r="AX93" s="1423">
        <v>0</v>
      </c>
      <c r="AY93" s="1423">
        <v>0</v>
      </c>
      <c r="AZ93" s="1423">
        <v>0</v>
      </c>
      <c r="BA93" s="1423">
        <v>0</v>
      </c>
      <c r="BB93" s="1423">
        <v>0</v>
      </c>
      <c r="BC93" s="1423">
        <v>0</v>
      </c>
      <c r="BD93" s="1423">
        <v>203.98099999999999</v>
      </c>
      <c r="BE93" s="1423">
        <v>0</v>
      </c>
    </row>
    <row r="94" spans="1:57">
      <c r="A94" s="73"/>
      <c r="B94" s="83"/>
      <c r="C94" s="1423"/>
      <c r="D94" s="1423"/>
      <c r="E94" s="1423"/>
      <c r="F94" s="1423"/>
      <c r="G94" s="1423"/>
      <c r="H94" s="1423"/>
      <c r="I94" s="1423"/>
      <c r="J94" s="1423"/>
      <c r="K94" s="1423"/>
      <c r="L94" s="1423"/>
      <c r="M94" s="1423"/>
      <c r="N94" s="1423"/>
      <c r="O94" s="1423"/>
      <c r="P94" s="1423"/>
      <c r="Q94" s="1423"/>
      <c r="R94" s="1423"/>
      <c r="S94" s="1423"/>
      <c r="T94" s="1423"/>
      <c r="U94" s="1423"/>
      <c r="V94" s="1423"/>
      <c r="W94" s="1423"/>
      <c r="X94" s="1423"/>
      <c r="Y94" s="1423"/>
      <c r="Z94" s="1423"/>
      <c r="AA94" s="1423"/>
      <c r="AB94" s="1423"/>
      <c r="AC94" s="1423"/>
      <c r="AD94" s="1423"/>
      <c r="AE94" s="1423"/>
      <c r="AF94" s="1423"/>
      <c r="AG94" s="1423"/>
      <c r="AH94" s="1423"/>
      <c r="AI94" s="1423"/>
      <c r="AJ94" s="1423"/>
      <c r="AK94" s="1423"/>
      <c r="AL94" s="1423"/>
      <c r="AM94" s="1423"/>
      <c r="AN94" s="1423"/>
      <c r="AO94" s="1423"/>
      <c r="AP94" s="1423"/>
      <c r="AQ94" s="1423"/>
      <c r="AR94" s="1423"/>
      <c r="AS94" s="1423"/>
      <c r="AT94" s="1423"/>
      <c r="AU94" s="1423"/>
      <c r="AV94" s="1423"/>
      <c r="AW94" s="1423"/>
      <c r="AX94" s="1423"/>
      <c r="AY94" s="1423"/>
      <c r="AZ94" s="1423"/>
      <c r="BA94" s="1423"/>
      <c r="BB94" s="1423"/>
      <c r="BC94" s="1423"/>
      <c r="BD94" s="1423">
        <v>0</v>
      </c>
      <c r="BE94" s="1423"/>
    </row>
    <row r="95" spans="1:57">
      <c r="A95" s="73" t="s">
        <v>229</v>
      </c>
      <c r="B95" s="74">
        <v>0</v>
      </c>
      <c r="C95" s="1423">
        <v>0</v>
      </c>
      <c r="D95" s="1423">
        <v>0</v>
      </c>
      <c r="E95" s="1423">
        <v>0</v>
      </c>
      <c r="F95" s="1423">
        <v>0</v>
      </c>
      <c r="G95" s="1423">
        <v>0</v>
      </c>
      <c r="H95" s="1423">
        <v>0</v>
      </c>
      <c r="I95" s="1423">
        <v>0</v>
      </c>
      <c r="J95" s="1423">
        <v>0</v>
      </c>
      <c r="K95" s="1423">
        <v>0</v>
      </c>
      <c r="L95" s="1423">
        <v>0</v>
      </c>
      <c r="M95" s="1423">
        <v>0</v>
      </c>
      <c r="N95" s="1423">
        <v>0</v>
      </c>
      <c r="O95" s="1423">
        <v>0</v>
      </c>
      <c r="P95" s="1423">
        <v>0</v>
      </c>
      <c r="Q95" s="1423">
        <v>0</v>
      </c>
      <c r="R95" s="1423">
        <v>0</v>
      </c>
      <c r="S95" s="1423">
        <v>0</v>
      </c>
      <c r="T95" s="1423">
        <v>0</v>
      </c>
      <c r="U95" s="1423">
        <v>0</v>
      </c>
      <c r="V95" s="1423">
        <v>0</v>
      </c>
      <c r="W95" s="1423">
        <v>0</v>
      </c>
      <c r="X95" s="1423">
        <v>0</v>
      </c>
      <c r="Y95" s="1423">
        <v>0</v>
      </c>
      <c r="Z95" s="1423">
        <v>0</v>
      </c>
      <c r="AA95" s="1423">
        <v>0</v>
      </c>
      <c r="AB95" s="1423">
        <v>0</v>
      </c>
      <c r="AC95" s="1423">
        <v>0</v>
      </c>
      <c r="AD95" s="1423">
        <v>0</v>
      </c>
      <c r="AE95" s="1423">
        <v>0</v>
      </c>
      <c r="AF95" s="1423">
        <v>0</v>
      </c>
      <c r="AG95" s="1423">
        <v>0</v>
      </c>
      <c r="AH95" s="1423">
        <v>0</v>
      </c>
      <c r="AI95" s="1423">
        <v>0</v>
      </c>
      <c r="AJ95" s="1423">
        <v>0</v>
      </c>
      <c r="AK95" s="1423">
        <v>0</v>
      </c>
      <c r="AL95" s="1423">
        <v>0</v>
      </c>
      <c r="AM95" s="1423">
        <v>0</v>
      </c>
      <c r="AN95" s="1423">
        <v>0</v>
      </c>
      <c r="AO95" s="1423">
        <v>0</v>
      </c>
      <c r="AP95" s="1423">
        <v>0</v>
      </c>
      <c r="AQ95" s="1423">
        <v>0</v>
      </c>
      <c r="AR95" s="1423">
        <v>0</v>
      </c>
      <c r="AS95" s="1423">
        <v>0</v>
      </c>
      <c r="AT95" s="1423">
        <v>0</v>
      </c>
      <c r="AU95" s="1423">
        <v>0</v>
      </c>
      <c r="AV95" s="1423">
        <v>0</v>
      </c>
      <c r="AW95" s="1423">
        <v>0</v>
      </c>
      <c r="AX95" s="1423">
        <v>0</v>
      </c>
      <c r="AY95" s="1423">
        <v>0</v>
      </c>
      <c r="AZ95" s="1423">
        <v>0</v>
      </c>
      <c r="BA95" s="1423">
        <v>0</v>
      </c>
      <c r="BB95" s="1423">
        <v>0</v>
      </c>
      <c r="BC95" s="1423">
        <v>0</v>
      </c>
      <c r="BD95" s="1423">
        <v>0</v>
      </c>
      <c r="BE95" s="1423">
        <v>0</v>
      </c>
    </row>
    <row r="96" spans="1:57">
      <c r="A96" s="73" t="s">
        <v>230</v>
      </c>
      <c r="B96" s="74">
        <v>0</v>
      </c>
      <c r="C96" s="1423">
        <v>0</v>
      </c>
      <c r="D96" s="1423">
        <v>0</v>
      </c>
      <c r="E96" s="1423">
        <v>0</v>
      </c>
      <c r="F96" s="1423">
        <v>0</v>
      </c>
      <c r="G96" s="1423">
        <v>0</v>
      </c>
      <c r="H96" s="1423">
        <v>0</v>
      </c>
      <c r="I96" s="1423">
        <v>0</v>
      </c>
      <c r="J96" s="1423">
        <v>0</v>
      </c>
      <c r="K96" s="1423">
        <v>0</v>
      </c>
      <c r="L96" s="1423">
        <v>0</v>
      </c>
      <c r="M96" s="1423">
        <v>0</v>
      </c>
      <c r="N96" s="1423">
        <v>0</v>
      </c>
      <c r="O96" s="1423">
        <v>0</v>
      </c>
      <c r="P96" s="1423">
        <v>0</v>
      </c>
      <c r="Q96" s="1423">
        <v>0</v>
      </c>
      <c r="R96" s="1423">
        <v>0</v>
      </c>
      <c r="S96" s="1423">
        <v>0</v>
      </c>
      <c r="T96" s="1423">
        <v>0</v>
      </c>
      <c r="U96" s="1423">
        <v>0</v>
      </c>
      <c r="V96" s="1423">
        <v>0</v>
      </c>
      <c r="W96" s="1423">
        <v>0</v>
      </c>
      <c r="X96" s="1423">
        <v>0</v>
      </c>
      <c r="Y96" s="1423">
        <v>0</v>
      </c>
      <c r="Z96" s="1423">
        <v>0</v>
      </c>
      <c r="AA96" s="1423">
        <v>0</v>
      </c>
      <c r="AB96" s="1423">
        <v>0</v>
      </c>
      <c r="AC96" s="1423">
        <v>0</v>
      </c>
      <c r="AD96" s="1423">
        <v>0</v>
      </c>
      <c r="AE96" s="1423">
        <v>0</v>
      </c>
      <c r="AF96" s="1423">
        <v>0</v>
      </c>
      <c r="AG96" s="1423">
        <v>0</v>
      </c>
      <c r="AH96" s="1423">
        <v>0</v>
      </c>
      <c r="AI96" s="1423">
        <v>0</v>
      </c>
      <c r="AJ96" s="1423">
        <v>0</v>
      </c>
      <c r="AK96" s="1423">
        <v>0</v>
      </c>
      <c r="AL96" s="1423">
        <v>0</v>
      </c>
      <c r="AM96" s="1423">
        <v>0</v>
      </c>
      <c r="AN96" s="1423">
        <v>0</v>
      </c>
      <c r="AO96" s="1423">
        <v>0</v>
      </c>
      <c r="AP96" s="1423">
        <v>0</v>
      </c>
      <c r="AQ96" s="1423">
        <v>0</v>
      </c>
      <c r="AR96" s="1423">
        <v>0</v>
      </c>
      <c r="AS96" s="1423">
        <v>0</v>
      </c>
      <c r="AT96" s="1423">
        <v>0</v>
      </c>
      <c r="AU96" s="1423">
        <v>0</v>
      </c>
      <c r="AV96" s="1423">
        <v>0</v>
      </c>
      <c r="AW96" s="1423">
        <v>0</v>
      </c>
      <c r="AX96" s="1423">
        <v>0</v>
      </c>
      <c r="AY96" s="1423">
        <v>0</v>
      </c>
      <c r="AZ96" s="1423">
        <v>0</v>
      </c>
      <c r="BA96" s="1423">
        <v>0</v>
      </c>
      <c r="BB96" s="1423">
        <v>0</v>
      </c>
      <c r="BC96" s="1423">
        <v>0</v>
      </c>
      <c r="BD96" s="1423">
        <v>0</v>
      </c>
      <c r="BE96" s="1423">
        <v>0</v>
      </c>
    </row>
    <row r="97" spans="1:57">
      <c r="A97" s="73" t="s">
        <v>231</v>
      </c>
      <c r="B97" s="74">
        <v>0</v>
      </c>
      <c r="C97" s="1423">
        <v>0</v>
      </c>
      <c r="D97" s="1423">
        <v>0</v>
      </c>
      <c r="E97" s="1423">
        <v>0</v>
      </c>
      <c r="F97" s="1423">
        <v>0</v>
      </c>
      <c r="G97" s="1423">
        <v>0</v>
      </c>
      <c r="H97" s="1423">
        <v>0</v>
      </c>
      <c r="I97" s="1423">
        <v>0</v>
      </c>
      <c r="J97" s="1423">
        <v>0</v>
      </c>
      <c r="K97" s="1423">
        <v>0</v>
      </c>
      <c r="L97" s="1423">
        <v>0</v>
      </c>
      <c r="M97" s="1423">
        <v>0</v>
      </c>
      <c r="N97" s="1423">
        <v>0</v>
      </c>
      <c r="O97" s="1423">
        <v>0</v>
      </c>
      <c r="P97" s="1423">
        <v>0</v>
      </c>
      <c r="Q97" s="1423">
        <v>0</v>
      </c>
      <c r="R97" s="1423">
        <v>0</v>
      </c>
      <c r="S97" s="1423">
        <v>0</v>
      </c>
      <c r="T97" s="1423">
        <v>0</v>
      </c>
      <c r="U97" s="1423">
        <v>0</v>
      </c>
      <c r="V97" s="1423">
        <v>0</v>
      </c>
      <c r="W97" s="1423">
        <v>0</v>
      </c>
      <c r="X97" s="1423">
        <v>0</v>
      </c>
      <c r="Y97" s="1423">
        <v>0</v>
      </c>
      <c r="Z97" s="1423">
        <v>0</v>
      </c>
      <c r="AA97" s="1423">
        <v>0</v>
      </c>
      <c r="AB97" s="1423">
        <v>0</v>
      </c>
      <c r="AC97" s="1423">
        <v>0</v>
      </c>
      <c r="AD97" s="1423">
        <v>0</v>
      </c>
      <c r="AE97" s="1423">
        <v>0</v>
      </c>
      <c r="AF97" s="1423">
        <v>0</v>
      </c>
      <c r="AG97" s="1423">
        <v>0</v>
      </c>
      <c r="AH97" s="1423">
        <v>0</v>
      </c>
      <c r="AI97" s="1423">
        <v>0</v>
      </c>
      <c r="AJ97" s="1423">
        <v>0</v>
      </c>
      <c r="AK97" s="1423">
        <v>0</v>
      </c>
      <c r="AL97" s="1423">
        <v>0</v>
      </c>
      <c r="AM97" s="1423">
        <v>0</v>
      </c>
      <c r="AN97" s="1423">
        <v>0</v>
      </c>
      <c r="AO97" s="1423">
        <v>0</v>
      </c>
      <c r="AP97" s="1423">
        <v>0</v>
      </c>
      <c r="AQ97" s="1423">
        <v>0</v>
      </c>
      <c r="AR97" s="1423">
        <v>0</v>
      </c>
      <c r="AS97" s="1423">
        <v>0</v>
      </c>
      <c r="AT97" s="1423">
        <v>0</v>
      </c>
      <c r="AU97" s="1423">
        <v>0</v>
      </c>
      <c r="AV97" s="1423">
        <v>0</v>
      </c>
      <c r="AW97" s="1423">
        <v>0</v>
      </c>
      <c r="AX97" s="1423">
        <v>0</v>
      </c>
      <c r="AY97" s="1423">
        <v>0</v>
      </c>
      <c r="AZ97" s="1423">
        <v>0</v>
      </c>
      <c r="BA97" s="1423">
        <v>0</v>
      </c>
      <c r="BB97" s="1423">
        <v>0</v>
      </c>
      <c r="BC97" s="1423">
        <v>0</v>
      </c>
      <c r="BD97" s="1423">
        <v>0</v>
      </c>
      <c r="BE97" s="1423">
        <v>0</v>
      </c>
    </row>
    <row r="98" spans="1:57">
      <c r="A98" s="73" t="s">
        <v>232</v>
      </c>
      <c r="B98" s="74">
        <v>0</v>
      </c>
      <c r="C98" s="1423">
        <v>0</v>
      </c>
      <c r="D98" s="1423">
        <v>0</v>
      </c>
      <c r="E98" s="1423">
        <v>0</v>
      </c>
      <c r="F98" s="1423">
        <v>0</v>
      </c>
      <c r="G98" s="1423">
        <v>0</v>
      </c>
      <c r="H98" s="1423">
        <v>0</v>
      </c>
      <c r="I98" s="1423">
        <v>0</v>
      </c>
      <c r="J98" s="1423">
        <v>0</v>
      </c>
      <c r="K98" s="1423">
        <v>0</v>
      </c>
      <c r="L98" s="1423">
        <v>0</v>
      </c>
      <c r="M98" s="1423">
        <v>0</v>
      </c>
      <c r="N98" s="1423">
        <v>0</v>
      </c>
      <c r="O98" s="1423">
        <v>0</v>
      </c>
      <c r="P98" s="1423">
        <v>0</v>
      </c>
      <c r="Q98" s="1423">
        <v>0</v>
      </c>
      <c r="R98" s="1423">
        <v>0</v>
      </c>
      <c r="S98" s="1423">
        <v>0</v>
      </c>
      <c r="T98" s="1423">
        <v>0</v>
      </c>
      <c r="U98" s="1423">
        <v>0</v>
      </c>
      <c r="V98" s="1423">
        <v>0</v>
      </c>
      <c r="W98" s="1423">
        <v>0</v>
      </c>
      <c r="X98" s="1423">
        <v>0</v>
      </c>
      <c r="Y98" s="1423">
        <v>0</v>
      </c>
      <c r="Z98" s="1423">
        <v>0</v>
      </c>
      <c r="AA98" s="1423">
        <v>0</v>
      </c>
      <c r="AB98" s="1423">
        <v>0</v>
      </c>
      <c r="AC98" s="1423">
        <v>0</v>
      </c>
      <c r="AD98" s="1423">
        <v>0</v>
      </c>
      <c r="AE98" s="1423">
        <v>0</v>
      </c>
      <c r="AF98" s="1423">
        <v>0</v>
      </c>
      <c r="AG98" s="1423">
        <v>0</v>
      </c>
      <c r="AH98" s="1423">
        <v>0</v>
      </c>
      <c r="AI98" s="1423">
        <v>0</v>
      </c>
      <c r="AJ98" s="1423">
        <v>0</v>
      </c>
      <c r="AK98" s="1423">
        <v>0</v>
      </c>
      <c r="AL98" s="1423">
        <v>0</v>
      </c>
      <c r="AM98" s="1423">
        <v>0</v>
      </c>
      <c r="AN98" s="1423">
        <v>0</v>
      </c>
      <c r="AO98" s="1423">
        <v>0</v>
      </c>
      <c r="AP98" s="1423">
        <v>0</v>
      </c>
      <c r="AQ98" s="1423">
        <v>0</v>
      </c>
      <c r="AR98" s="1423">
        <v>0</v>
      </c>
      <c r="AS98" s="1423">
        <v>0</v>
      </c>
      <c r="AT98" s="1423">
        <v>0</v>
      </c>
      <c r="AU98" s="1423">
        <v>0</v>
      </c>
      <c r="AV98" s="1423">
        <v>0</v>
      </c>
      <c r="AW98" s="1423">
        <v>0</v>
      </c>
      <c r="AX98" s="1423">
        <v>0</v>
      </c>
      <c r="AY98" s="1423">
        <v>0</v>
      </c>
      <c r="AZ98" s="1423">
        <v>0</v>
      </c>
      <c r="BA98" s="1423">
        <v>0</v>
      </c>
      <c r="BB98" s="1423">
        <v>0</v>
      </c>
      <c r="BC98" s="1423">
        <v>0</v>
      </c>
      <c r="BD98" s="1423">
        <v>0</v>
      </c>
      <c r="BE98" s="1423">
        <v>0</v>
      </c>
    </row>
    <row r="99" spans="1:57">
      <c r="A99" s="77" t="s">
        <v>233</v>
      </c>
      <c r="B99" s="78">
        <v>0</v>
      </c>
      <c r="C99" s="1429">
        <v>0</v>
      </c>
      <c r="D99" s="1429">
        <v>0</v>
      </c>
      <c r="E99" s="1429">
        <v>0</v>
      </c>
      <c r="F99" s="1429">
        <v>0</v>
      </c>
      <c r="G99" s="1429">
        <v>0</v>
      </c>
      <c r="H99" s="1429">
        <v>0</v>
      </c>
      <c r="I99" s="1429">
        <v>0</v>
      </c>
      <c r="J99" s="1429">
        <v>0</v>
      </c>
      <c r="K99" s="1429">
        <v>0</v>
      </c>
      <c r="L99" s="1429">
        <v>0</v>
      </c>
      <c r="M99" s="1429">
        <v>0</v>
      </c>
      <c r="N99" s="1429">
        <v>0</v>
      </c>
      <c r="O99" s="1429">
        <v>0</v>
      </c>
      <c r="P99" s="1429">
        <v>0</v>
      </c>
      <c r="Q99" s="1429">
        <v>0</v>
      </c>
      <c r="R99" s="1429">
        <v>0</v>
      </c>
      <c r="S99" s="1429">
        <v>0</v>
      </c>
      <c r="T99" s="1429">
        <v>0</v>
      </c>
      <c r="U99" s="1429">
        <v>0</v>
      </c>
      <c r="V99" s="1429">
        <v>0</v>
      </c>
      <c r="W99" s="1429">
        <v>0</v>
      </c>
      <c r="X99" s="1429">
        <v>0</v>
      </c>
      <c r="Y99" s="1429">
        <v>0</v>
      </c>
      <c r="Z99" s="1429">
        <v>0</v>
      </c>
      <c r="AA99" s="1429">
        <v>0</v>
      </c>
      <c r="AB99" s="1429">
        <v>0</v>
      </c>
      <c r="AC99" s="1429">
        <v>0</v>
      </c>
      <c r="AD99" s="1429">
        <v>0</v>
      </c>
      <c r="AE99" s="1429">
        <v>0</v>
      </c>
      <c r="AF99" s="1429">
        <v>0</v>
      </c>
      <c r="AG99" s="1429">
        <v>0</v>
      </c>
      <c r="AH99" s="1429">
        <v>0</v>
      </c>
      <c r="AI99" s="1429">
        <v>0</v>
      </c>
      <c r="AJ99" s="1429">
        <v>0</v>
      </c>
      <c r="AK99" s="1429">
        <v>0</v>
      </c>
      <c r="AL99" s="1429">
        <v>0</v>
      </c>
      <c r="AM99" s="1429">
        <v>0</v>
      </c>
      <c r="AN99" s="1429">
        <v>0</v>
      </c>
      <c r="AO99" s="1429">
        <v>0</v>
      </c>
      <c r="AP99" s="1429">
        <v>0</v>
      </c>
      <c r="AQ99" s="1429">
        <v>0</v>
      </c>
      <c r="AR99" s="1429">
        <v>0</v>
      </c>
      <c r="AS99" s="1429">
        <v>0</v>
      </c>
      <c r="AT99" s="1429">
        <v>0</v>
      </c>
      <c r="AU99" s="1429">
        <v>0</v>
      </c>
      <c r="AV99" s="1429">
        <v>0</v>
      </c>
      <c r="AW99" s="1429">
        <v>0</v>
      </c>
      <c r="AX99" s="1429">
        <v>0</v>
      </c>
      <c r="AY99" s="1429">
        <v>0</v>
      </c>
      <c r="AZ99" s="1429">
        <v>0</v>
      </c>
      <c r="BA99" s="1429">
        <v>0</v>
      </c>
      <c r="BB99" s="1429">
        <v>0</v>
      </c>
      <c r="BC99" s="1429">
        <v>0</v>
      </c>
      <c r="BD99" s="1429">
        <v>3096.105</v>
      </c>
      <c r="BE99" s="1429">
        <v>0</v>
      </c>
    </row>
    <row r="100" spans="1:57">
      <c r="A100" s="73"/>
      <c r="B100" s="74"/>
      <c r="C100" s="1423"/>
      <c r="D100" s="1423"/>
      <c r="E100" s="1423"/>
      <c r="F100" s="1423"/>
      <c r="G100" s="1423"/>
      <c r="H100" s="1423"/>
      <c r="I100" s="1423"/>
      <c r="J100" s="1423"/>
      <c r="K100" s="1423"/>
      <c r="L100" s="1423"/>
      <c r="M100" s="1423"/>
      <c r="N100" s="1423"/>
      <c r="O100" s="1423"/>
      <c r="P100" s="1423"/>
      <c r="Q100" s="1423"/>
      <c r="R100" s="1423"/>
      <c r="S100" s="1423"/>
      <c r="T100" s="1423"/>
      <c r="U100" s="1423"/>
      <c r="V100" s="1423"/>
      <c r="W100" s="1423"/>
      <c r="X100" s="1423"/>
      <c r="Y100" s="1423"/>
      <c r="Z100" s="1423"/>
      <c r="AA100" s="1423"/>
      <c r="AB100" s="1423"/>
      <c r="AC100" s="1423"/>
      <c r="AD100" s="1423"/>
      <c r="AE100" s="1423"/>
      <c r="AF100" s="1423"/>
      <c r="AG100" s="1423"/>
      <c r="AH100" s="1423"/>
      <c r="AI100" s="1423"/>
      <c r="AJ100" s="1423"/>
      <c r="AK100" s="1423"/>
      <c r="AL100" s="1423"/>
      <c r="AM100" s="1423"/>
      <c r="AN100" s="1423"/>
      <c r="AO100" s="1423"/>
      <c r="AP100" s="1423"/>
      <c r="AQ100" s="1423"/>
      <c r="AR100" s="1423"/>
      <c r="AS100" s="1423"/>
      <c r="AT100" s="1423"/>
      <c r="AU100" s="1423"/>
      <c r="AV100" s="1423"/>
      <c r="AW100" s="1423"/>
      <c r="AX100" s="1423"/>
      <c r="AY100" s="1423"/>
      <c r="AZ100" s="1423"/>
      <c r="BA100" s="1423"/>
      <c r="BB100" s="1423"/>
      <c r="BC100" s="1423"/>
      <c r="BD100" s="1423"/>
      <c r="BE100" s="1423"/>
    </row>
    <row r="101" spans="1:57">
      <c r="A101" s="73" t="s">
        <v>234</v>
      </c>
      <c r="B101" s="74">
        <v>0</v>
      </c>
      <c r="C101" s="1423">
        <v>0</v>
      </c>
      <c r="D101" s="1423">
        <v>0</v>
      </c>
      <c r="E101" s="1423">
        <v>0</v>
      </c>
      <c r="F101" s="1423">
        <v>0</v>
      </c>
      <c r="G101" s="1423">
        <v>0</v>
      </c>
      <c r="H101" s="1423">
        <v>0</v>
      </c>
      <c r="I101" s="1423">
        <v>0</v>
      </c>
      <c r="J101" s="1423">
        <v>0</v>
      </c>
      <c r="K101" s="1423">
        <v>0</v>
      </c>
      <c r="L101" s="1423">
        <v>0</v>
      </c>
      <c r="M101" s="1423">
        <v>0</v>
      </c>
      <c r="N101" s="1423">
        <v>0</v>
      </c>
      <c r="O101" s="1423">
        <v>0</v>
      </c>
      <c r="P101" s="1423">
        <v>0</v>
      </c>
      <c r="Q101" s="1423">
        <v>0</v>
      </c>
      <c r="R101" s="1423">
        <v>0</v>
      </c>
      <c r="S101" s="1423">
        <v>0</v>
      </c>
      <c r="T101" s="1423">
        <v>0</v>
      </c>
      <c r="U101" s="1423">
        <v>0</v>
      </c>
      <c r="V101" s="1423">
        <v>0</v>
      </c>
      <c r="W101" s="1423">
        <v>0</v>
      </c>
      <c r="X101" s="1423">
        <v>0</v>
      </c>
      <c r="Y101" s="1423">
        <v>0</v>
      </c>
      <c r="Z101" s="1423">
        <v>0</v>
      </c>
      <c r="AA101" s="1423">
        <v>0</v>
      </c>
      <c r="AB101" s="1423">
        <v>0</v>
      </c>
      <c r="AC101" s="1423">
        <v>0</v>
      </c>
      <c r="AD101" s="1423">
        <v>0</v>
      </c>
      <c r="AE101" s="1423">
        <v>0</v>
      </c>
      <c r="AF101" s="1423">
        <v>0</v>
      </c>
      <c r="AG101" s="1423">
        <v>0</v>
      </c>
      <c r="AH101" s="1423">
        <v>0</v>
      </c>
      <c r="AI101" s="1423">
        <v>0</v>
      </c>
      <c r="AJ101" s="1423">
        <v>0</v>
      </c>
      <c r="AK101" s="1423">
        <v>0</v>
      </c>
      <c r="AL101" s="1423">
        <v>0</v>
      </c>
      <c r="AM101" s="1423">
        <v>0</v>
      </c>
      <c r="AN101" s="1423">
        <v>0</v>
      </c>
      <c r="AO101" s="1423">
        <v>0</v>
      </c>
      <c r="AP101" s="1423">
        <v>0</v>
      </c>
      <c r="AQ101" s="1423">
        <v>0</v>
      </c>
      <c r="AR101" s="1423">
        <v>0</v>
      </c>
      <c r="AS101" s="1423">
        <v>0</v>
      </c>
      <c r="AT101" s="1423">
        <v>0</v>
      </c>
      <c r="AU101" s="1423">
        <v>0</v>
      </c>
      <c r="AV101" s="1423">
        <v>3096.105</v>
      </c>
      <c r="AW101" s="1423">
        <v>0</v>
      </c>
      <c r="AX101" s="1423">
        <v>0</v>
      </c>
      <c r="AY101" s="1423">
        <v>0</v>
      </c>
      <c r="AZ101" s="1423">
        <v>0</v>
      </c>
      <c r="BA101" s="1423">
        <v>0</v>
      </c>
      <c r="BB101" s="1423">
        <v>0</v>
      </c>
      <c r="BC101" s="1423">
        <v>0</v>
      </c>
      <c r="BD101" s="1423">
        <v>3096.105</v>
      </c>
      <c r="BE101" s="1423">
        <v>0</v>
      </c>
    </row>
    <row r="102" spans="1:57">
      <c r="A102" s="73"/>
      <c r="B102" s="74"/>
      <c r="C102" s="1423"/>
      <c r="D102" s="1423"/>
      <c r="E102" s="1423"/>
      <c r="F102" s="1423"/>
      <c r="G102" s="1423"/>
      <c r="H102" s="1423"/>
      <c r="I102" s="1423"/>
      <c r="J102" s="1423"/>
      <c r="K102" s="1423"/>
      <c r="L102" s="1423"/>
      <c r="M102" s="1423"/>
      <c r="N102" s="1423"/>
      <c r="O102" s="1423"/>
      <c r="P102" s="1423"/>
      <c r="Q102" s="1423"/>
      <c r="R102" s="1423"/>
      <c r="S102" s="1423"/>
      <c r="T102" s="1423"/>
      <c r="U102" s="1423"/>
      <c r="V102" s="1423"/>
      <c r="W102" s="1423"/>
      <c r="X102" s="1423"/>
      <c r="Y102" s="1423"/>
      <c r="Z102" s="1423"/>
      <c r="AA102" s="1423"/>
      <c r="AB102" s="1423"/>
      <c r="AC102" s="1423"/>
      <c r="AD102" s="1423"/>
      <c r="AE102" s="1423"/>
      <c r="AF102" s="1423"/>
      <c r="AG102" s="1423"/>
      <c r="AH102" s="1423"/>
      <c r="AI102" s="1423"/>
      <c r="AJ102" s="1423"/>
      <c r="AK102" s="1423"/>
      <c r="AL102" s="1423"/>
      <c r="AM102" s="1423"/>
      <c r="AN102" s="1423"/>
      <c r="AO102" s="1423"/>
      <c r="AP102" s="1423"/>
      <c r="AQ102" s="1423"/>
      <c r="AR102" s="1423"/>
      <c r="AS102" s="1423"/>
      <c r="AT102" s="1423"/>
      <c r="AU102" s="1423"/>
      <c r="AV102" s="1423"/>
      <c r="AW102" s="1423"/>
      <c r="AX102" s="1423"/>
      <c r="AY102" s="1423"/>
      <c r="AZ102" s="1423"/>
      <c r="BA102" s="1423"/>
      <c r="BB102" s="1423"/>
      <c r="BC102" s="1423"/>
      <c r="BD102" s="1423"/>
      <c r="BE102" s="1423"/>
    </row>
    <row r="103" spans="1:57">
      <c r="A103" s="73" t="s">
        <v>235</v>
      </c>
      <c r="B103" s="74">
        <v>0</v>
      </c>
      <c r="C103" s="1423">
        <v>0</v>
      </c>
      <c r="D103" s="1423">
        <v>0</v>
      </c>
      <c r="E103" s="1423">
        <v>0</v>
      </c>
      <c r="F103" s="1423">
        <v>0</v>
      </c>
      <c r="G103" s="1423">
        <v>0</v>
      </c>
      <c r="H103" s="1423">
        <v>0</v>
      </c>
      <c r="I103" s="1423">
        <v>0</v>
      </c>
      <c r="J103" s="1423">
        <v>0</v>
      </c>
      <c r="K103" s="1423">
        <v>0</v>
      </c>
      <c r="L103" s="1423">
        <v>0</v>
      </c>
      <c r="M103" s="1423">
        <v>0</v>
      </c>
      <c r="N103" s="1423">
        <v>0</v>
      </c>
      <c r="O103" s="1423">
        <v>0</v>
      </c>
      <c r="P103" s="1423">
        <v>0</v>
      </c>
      <c r="Q103" s="1423">
        <v>0</v>
      </c>
      <c r="R103" s="1423">
        <v>0</v>
      </c>
      <c r="S103" s="1423">
        <v>0</v>
      </c>
      <c r="T103" s="1423">
        <v>0</v>
      </c>
      <c r="U103" s="1423">
        <v>0</v>
      </c>
      <c r="V103" s="1423">
        <v>0</v>
      </c>
      <c r="W103" s="1423">
        <v>0</v>
      </c>
      <c r="X103" s="1423">
        <v>0</v>
      </c>
      <c r="Y103" s="1423">
        <v>0</v>
      </c>
      <c r="Z103" s="1423">
        <v>0</v>
      </c>
      <c r="AA103" s="1423">
        <v>0</v>
      </c>
      <c r="AB103" s="1423">
        <v>0</v>
      </c>
      <c r="AC103" s="1423">
        <v>0</v>
      </c>
      <c r="AD103" s="1423">
        <v>0</v>
      </c>
      <c r="AE103" s="1423">
        <v>0</v>
      </c>
      <c r="AF103" s="1423">
        <v>0</v>
      </c>
      <c r="AG103" s="1423">
        <v>0</v>
      </c>
      <c r="AH103" s="1423">
        <v>0</v>
      </c>
      <c r="AI103" s="1423">
        <v>0</v>
      </c>
      <c r="AJ103" s="1423">
        <v>0</v>
      </c>
      <c r="AK103" s="1423">
        <v>0</v>
      </c>
      <c r="AL103" s="1423">
        <v>0</v>
      </c>
      <c r="AM103" s="1423">
        <v>0</v>
      </c>
      <c r="AN103" s="1423">
        <v>0</v>
      </c>
      <c r="AO103" s="1423">
        <v>0</v>
      </c>
      <c r="AP103" s="1423">
        <v>0</v>
      </c>
      <c r="AQ103" s="1423">
        <v>0</v>
      </c>
      <c r="AR103" s="1423">
        <v>0</v>
      </c>
      <c r="AS103" s="1423">
        <v>0</v>
      </c>
      <c r="AT103" s="1423">
        <v>0</v>
      </c>
      <c r="AU103" s="1423">
        <v>0</v>
      </c>
      <c r="AV103" s="1423">
        <v>0</v>
      </c>
      <c r="AW103" s="1423">
        <v>0</v>
      </c>
      <c r="AX103" s="1423">
        <v>0</v>
      </c>
      <c r="AY103" s="1423">
        <v>0</v>
      </c>
      <c r="AZ103" s="1423">
        <v>0</v>
      </c>
      <c r="BA103" s="1423">
        <v>0</v>
      </c>
      <c r="BB103" s="1423">
        <v>0</v>
      </c>
      <c r="BC103" s="1423">
        <v>0</v>
      </c>
      <c r="BD103" s="1423">
        <v>0</v>
      </c>
      <c r="BE103" s="1423">
        <v>0</v>
      </c>
    </row>
    <row r="104" spans="1:57">
      <c r="A104" s="73" t="s">
        <v>236</v>
      </c>
      <c r="B104" s="74">
        <v>0</v>
      </c>
      <c r="C104" s="1423">
        <v>0</v>
      </c>
      <c r="D104" s="1423">
        <v>0</v>
      </c>
      <c r="E104" s="1423">
        <v>0</v>
      </c>
      <c r="F104" s="1423">
        <v>0</v>
      </c>
      <c r="G104" s="1423">
        <v>0</v>
      </c>
      <c r="H104" s="1423">
        <v>0</v>
      </c>
      <c r="I104" s="1423">
        <v>0</v>
      </c>
      <c r="J104" s="1423">
        <v>0</v>
      </c>
      <c r="K104" s="1423">
        <v>0</v>
      </c>
      <c r="L104" s="1423">
        <v>0</v>
      </c>
      <c r="M104" s="1423">
        <v>0</v>
      </c>
      <c r="N104" s="1423">
        <v>0</v>
      </c>
      <c r="O104" s="1423">
        <v>0</v>
      </c>
      <c r="P104" s="1423">
        <v>0</v>
      </c>
      <c r="Q104" s="1423">
        <v>0</v>
      </c>
      <c r="R104" s="1423">
        <v>0</v>
      </c>
      <c r="S104" s="1423">
        <v>0</v>
      </c>
      <c r="T104" s="1423">
        <v>0</v>
      </c>
      <c r="U104" s="1423">
        <v>0</v>
      </c>
      <c r="V104" s="1423">
        <v>0</v>
      </c>
      <c r="W104" s="1423">
        <v>0</v>
      </c>
      <c r="X104" s="1423">
        <v>0</v>
      </c>
      <c r="Y104" s="1423">
        <v>0</v>
      </c>
      <c r="Z104" s="1423">
        <v>0</v>
      </c>
      <c r="AA104" s="1423">
        <v>0</v>
      </c>
      <c r="AB104" s="1423">
        <v>0</v>
      </c>
      <c r="AC104" s="1423">
        <v>0</v>
      </c>
      <c r="AD104" s="1423">
        <v>0</v>
      </c>
      <c r="AE104" s="1423">
        <v>0</v>
      </c>
      <c r="AF104" s="1423">
        <v>0</v>
      </c>
      <c r="AG104" s="1423">
        <v>0</v>
      </c>
      <c r="AH104" s="1423">
        <v>0</v>
      </c>
      <c r="AI104" s="1423">
        <v>0</v>
      </c>
      <c r="AJ104" s="1423">
        <v>0</v>
      </c>
      <c r="AK104" s="1423">
        <v>0</v>
      </c>
      <c r="AL104" s="1423">
        <v>0</v>
      </c>
      <c r="AM104" s="1423">
        <v>0</v>
      </c>
      <c r="AN104" s="1423">
        <v>0</v>
      </c>
      <c r="AO104" s="1423">
        <v>0</v>
      </c>
      <c r="AP104" s="1423">
        <v>0</v>
      </c>
      <c r="AQ104" s="1423">
        <v>0</v>
      </c>
      <c r="AR104" s="1423">
        <v>0</v>
      </c>
      <c r="AS104" s="1423">
        <v>0</v>
      </c>
      <c r="AT104" s="1423">
        <v>0</v>
      </c>
      <c r="AU104" s="1423">
        <v>0</v>
      </c>
      <c r="AV104" s="1423">
        <v>0</v>
      </c>
      <c r="AW104" s="1423">
        <v>0</v>
      </c>
      <c r="AX104" s="1423">
        <v>0</v>
      </c>
      <c r="AY104" s="1423">
        <v>0</v>
      </c>
      <c r="AZ104" s="1423">
        <v>0</v>
      </c>
      <c r="BA104" s="1423">
        <v>0</v>
      </c>
      <c r="BB104" s="1423">
        <v>0</v>
      </c>
      <c r="BC104" s="1423">
        <v>0</v>
      </c>
      <c r="BD104" s="1423">
        <v>0</v>
      </c>
      <c r="BE104" s="1423">
        <v>0</v>
      </c>
    </row>
    <row r="105" spans="1:57">
      <c r="A105" s="85" t="s">
        <v>237</v>
      </c>
      <c r="B105" s="74">
        <v>0</v>
      </c>
      <c r="C105" s="1423">
        <v>0</v>
      </c>
      <c r="D105" s="1423">
        <v>0</v>
      </c>
      <c r="E105" s="1423">
        <v>0</v>
      </c>
      <c r="F105" s="1423">
        <v>0</v>
      </c>
      <c r="G105" s="1423">
        <v>0</v>
      </c>
      <c r="H105" s="1423">
        <v>0</v>
      </c>
      <c r="I105" s="1423">
        <v>0</v>
      </c>
      <c r="J105" s="1423">
        <v>0</v>
      </c>
      <c r="K105" s="1423">
        <v>0</v>
      </c>
      <c r="L105" s="1423">
        <v>0</v>
      </c>
      <c r="M105" s="1423">
        <v>0</v>
      </c>
      <c r="N105" s="1423">
        <v>0</v>
      </c>
      <c r="O105" s="1423">
        <v>0</v>
      </c>
      <c r="P105" s="1423">
        <v>0</v>
      </c>
      <c r="Q105" s="1423">
        <v>0</v>
      </c>
      <c r="R105" s="1423">
        <v>0</v>
      </c>
      <c r="S105" s="1423">
        <v>0</v>
      </c>
      <c r="T105" s="1423">
        <v>0</v>
      </c>
      <c r="U105" s="1423">
        <v>0</v>
      </c>
      <c r="V105" s="1423">
        <v>0</v>
      </c>
      <c r="W105" s="1423">
        <v>0</v>
      </c>
      <c r="X105" s="1423">
        <v>0</v>
      </c>
      <c r="Y105" s="1423">
        <v>0</v>
      </c>
      <c r="Z105" s="1423">
        <v>0</v>
      </c>
      <c r="AA105" s="1423">
        <v>0</v>
      </c>
      <c r="AB105" s="1423">
        <v>0</v>
      </c>
      <c r="AC105" s="1423">
        <v>0</v>
      </c>
      <c r="AD105" s="1423">
        <v>0</v>
      </c>
      <c r="AE105" s="1423">
        <v>0</v>
      </c>
      <c r="AF105" s="1423">
        <v>0</v>
      </c>
      <c r="AG105" s="1423">
        <v>0</v>
      </c>
      <c r="AH105" s="1423">
        <v>0</v>
      </c>
      <c r="AI105" s="1423">
        <v>0</v>
      </c>
      <c r="AJ105" s="1423">
        <v>0</v>
      </c>
      <c r="AK105" s="1423">
        <v>0</v>
      </c>
      <c r="AL105" s="1423">
        <v>0</v>
      </c>
      <c r="AM105" s="1423">
        <v>0</v>
      </c>
      <c r="AN105" s="1423">
        <v>0</v>
      </c>
      <c r="AO105" s="1423">
        <v>0</v>
      </c>
      <c r="AP105" s="1423">
        <v>0</v>
      </c>
      <c r="AQ105" s="1423">
        <v>0</v>
      </c>
      <c r="AR105" s="1423">
        <v>0</v>
      </c>
      <c r="AS105" s="1423">
        <v>0</v>
      </c>
      <c r="AT105" s="1423">
        <v>0</v>
      </c>
      <c r="AU105" s="1423">
        <v>0</v>
      </c>
      <c r="AV105" s="1423">
        <v>0</v>
      </c>
      <c r="AW105" s="1423">
        <v>0</v>
      </c>
      <c r="AX105" s="1423">
        <v>0</v>
      </c>
      <c r="AY105" s="1423">
        <v>0</v>
      </c>
      <c r="AZ105" s="1423">
        <v>0</v>
      </c>
      <c r="BA105" s="1423">
        <v>0</v>
      </c>
      <c r="BB105" s="1423">
        <v>0</v>
      </c>
      <c r="BC105" s="1423">
        <v>0</v>
      </c>
      <c r="BD105" s="1423">
        <v>0</v>
      </c>
      <c r="BE105" s="1423">
        <v>0</v>
      </c>
    </row>
    <row r="106" spans="1:57">
      <c r="A106" s="85" t="s">
        <v>238</v>
      </c>
      <c r="B106" s="74">
        <v>0</v>
      </c>
      <c r="C106" s="1423">
        <v>0</v>
      </c>
      <c r="D106" s="1423">
        <v>0</v>
      </c>
      <c r="E106" s="1423">
        <v>0</v>
      </c>
      <c r="F106" s="1423">
        <v>0</v>
      </c>
      <c r="G106" s="1423">
        <v>0</v>
      </c>
      <c r="H106" s="1423">
        <v>0</v>
      </c>
      <c r="I106" s="1423">
        <v>0</v>
      </c>
      <c r="J106" s="1423">
        <v>0</v>
      </c>
      <c r="K106" s="1423">
        <v>0</v>
      </c>
      <c r="L106" s="1423">
        <v>0</v>
      </c>
      <c r="M106" s="1423">
        <v>0</v>
      </c>
      <c r="N106" s="1423">
        <v>0</v>
      </c>
      <c r="O106" s="1423">
        <v>0</v>
      </c>
      <c r="P106" s="1423">
        <v>0</v>
      </c>
      <c r="Q106" s="1423">
        <v>0</v>
      </c>
      <c r="R106" s="1423">
        <v>0</v>
      </c>
      <c r="S106" s="1423">
        <v>0</v>
      </c>
      <c r="T106" s="1423">
        <v>0</v>
      </c>
      <c r="U106" s="1423">
        <v>0</v>
      </c>
      <c r="V106" s="1423">
        <v>0</v>
      </c>
      <c r="W106" s="1423">
        <v>0</v>
      </c>
      <c r="X106" s="1423">
        <v>0</v>
      </c>
      <c r="Y106" s="1423">
        <v>0</v>
      </c>
      <c r="Z106" s="1423">
        <v>0</v>
      </c>
      <c r="AA106" s="1423">
        <v>0</v>
      </c>
      <c r="AB106" s="1423">
        <v>0</v>
      </c>
      <c r="AC106" s="1423">
        <v>0</v>
      </c>
      <c r="AD106" s="1423">
        <v>0</v>
      </c>
      <c r="AE106" s="1423">
        <v>0</v>
      </c>
      <c r="AF106" s="1423">
        <v>0</v>
      </c>
      <c r="AG106" s="1423">
        <v>0</v>
      </c>
      <c r="AH106" s="1423">
        <v>0</v>
      </c>
      <c r="AI106" s="1423">
        <v>0</v>
      </c>
      <c r="AJ106" s="1423">
        <v>0</v>
      </c>
      <c r="AK106" s="1423">
        <v>0</v>
      </c>
      <c r="AL106" s="1423">
        <v>0</v>
      </c>
      <c r="AM106" s="1423">
        <v>0</v>
      </c>
      <c r="AN106" s="1423">
        <v>0</v>
      </c>
      <c r="AO106" s="1423">
        <v>0</v>
      </c>
      <c r="AP106" s="1423">
        <v>0</v>
      </c>
      <c r="AQ106" s="1423">
        <v>0</v>
      </c>
      <c r="AR106" s="1423">
        <v>0</v>
      </c>
      <c r="AS106" s="1423">
        <v>0</v>
      </c>
      <c r="AT106" s="1423">
        <v>0</v>
      </c>
      <c r="AU106" s="1423">
        <v>0</v>
      </c>
      <c r="AV106" s="1423">
        <v>0</v>
      </c>
      <c r="AW106" s="1423">
        <v>0</v>
      </c>
      <c r="AX106" s="1423">
        <v>0</v>
      </c>
      <c r="AY106" s="1423">
        <v>0</v>
      </c>
      <c r="AZ106" s="1423">
        <v>0</v>
      </c>
      <c r="BA106" s="1423">
        <v>0</v>
      </c>
      <c r="BB106" s="1423">
        <v>0</v>
      </c>
      <c r="BC106" s="1423">
        <v>0</v>
      </c>
      <c r="BD106" s="1423">
        <v>0</v>
      </c>
      <c r="BE106" s="1423">
        <v>0</v>
      </c>
    </row>
  </sheetData>
  <pageMargins left="0.7" right="0.7" top="0.75" bottom="0.75" header="0.3" footer="0.3"/>
  <pageSetup orientation="portrait" horizontalDpi="4294967292" verticalDpi="4294967292"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2"/>
  <dimension ref="C1:AW120"/>
  <sheetViews>
    <sheetView workbookViewId="0"/>
  </sheetViews>
  <sheetFormatPr defaultColWidth="8.7109375" defaultRowHeight="15"/>
  <cols>
    <col min="1" max="9" width="8.7109375" style="430"/>
    <col min="10" max="10" width="9.5703125" style="430" customWidth="1"/>
    <col min="11" max="38" width="8.7109375" style="430"/>
    <col min="39" max="40" width="11.5703125" style="430" bestFit="1" customWidth="1"/>
    <col min="41" max="42" width="8.7109375" style="430"/>
    <col min="43" max="43" width="11.42578125" style="430" customWidth="1"/>
    <col min="44" max="44" width="13.7109375" style="430" customWidth="1"/>
    <col min="45" max="16384" width="8.7109375" style="430"/>
  </cols>
  <sheetData>
    <row r="1" spans="4:49">
      <c r="U1" s="430" t="s">
        <v>1519</v>
      </c>
      <c r="W1" s="963">
        <v>40909</v>
      </c>
      <c r="AS1" s="430" t="s">
        <v>14034</v>
      </c>
      <c r="AU1" s="430" t="s">
        <v>14035</v>
      </c>
      <c r="AV1" s="430" t="s">
        <v>610</v>
      </c>
    </row>
    <row r="2" spans="4:49" ht="18" thickBot="1">
      <c r="D2" s="672" t="s">
        <v>1522</v>
      </c>
      <c r="E2" s="672"/>
      <c r="F2" s="672"/>
      <c r="G2" s="672"/>
      <c r="H2" s="672"/>
      <c r="U2" s="430" t="s">
        <v>1520</v>
      </c>
      <c r="V2" s="430" t="s">
        <v>764</v>
      </c>
      <c r="W2" s="406">
        <f>SUMIF($C$27:$C$110,$W$1,$J$27:$J$110)</f>
        <v>8.2121999999999993</v>
      </c>
      <c r="AS2" s="430" t="s">
        <v>1085</v>
      </c>
      <c r="AT2" s="430" t="s">
        <v>1521</v>
      </c>
      <c r="AU2" s="430">
        <v>661</v>
      </c>
    </row>
    <row r="3" spans="4:49" ht="15.75" thickTop="1">
      <c r="D3" s="964" t="s">
        <v>1526</v>
      </c>
      <c r="V3" s="430" t="s">
        <v>760</v>
      </c>
      <c r="W3" s="430">
        <f>SUMIF($C$27:$C$110,$W$1,$K$27:$K$110)</f>
        <v>107.96</v>
      </c>
      <c r="AS3" s="430" t="s">
        <v>1783</v>
      </c>
      <c r="AT3" s="430" t="s">
        <v>705</v>
      </c>
      <c r="AU3" s="430">
        <f>AU2*W7+W8*1.3</f>
        <v>140.47035923202716</v>
      </c>
      <c r="AV3" s="430">
        <v>152.27714285714299</v>
      </c>
      <c r="AW3" s="430">
        <f>AV3/AU3</f>
        <v>1.0840517792484146</v>
      </c>
    </row>
    <row r="4" spans="4:49">
      <c r="V4" s="430" t="s">
        <v>1521</v>
      </c>
      <c r="W4" s="430">
        <f>W3*W2</f>
        <v>886.58911199999989</v>
      </c>
      <c r="AS4" s="430" t="s">
        <v>32</v>
      </c>
      <c r="AT4" s="1409" t="s">
        <v>705</v>
      </c>
      <c r="AU4" s="430">
        <f>AU2*X7+X8*1.3</f>
        <v>130.60568568627889</v>
      </c>
      <c r="AV4" s="430">
        <v>144.90263157894699</v>
      </c>
      <c r="AW4" s="1409">
        <f>AV4/AU4</f>
        <v>1.1094664892844714</v>
      </c>
    </row>
    <row r="5" spans="4:49" ht="18" thickBot="1">
      <c r="U5" s="964" t="s">
        <v>1523</v>
      </c>
      <c r="AB5" s="672" t="s">
        <v>1524</v>
      </c>
      <c r="AC5" s="672"/>
      <c r="AD5" s="672"/>
      <c r="AF5" s="672" t="s">
        <v>1525</v>
      </c>
      <c r="AG5" s="672"/>
      <c r="AH5" s="672"/>
      <c r="AI5" s="672"/>
      <c r="AJ5" s="672"/>
      <c r="AN5" s="430" t="s">
        <v>1379</v>
      </c>
      <c r="AO5" s="430" t="s">
        <v>13983</v>
      </c>
    </row>
    <row r="6" spans="4:49" ht="16.5" thickTop="1" thickBot="1">
      <c r="D6" s="990" t="s">
        <v>394</v>
      </c>
      <c r="H6" s="990" t="s">
        <v>32</v>
      </c>
      <c r="L6" s="990" t="s">
        <v>1513</v>
      </c>
      <c r="P6" s="990" t="s">
        <v>34</v>
      </c>
      <c r="V6" s="430" t="s">
        <v>153</v>
      </c>
      <c r="W6" s="430" t="s">
        <v>394</v>
      </c>
      <c r="X6" s="430" t="s">
        <v>32</v>
      </c>
      <c r="Y6" s="430" t="s">
        <v>1513</v>
      </c>
      <c r="Z6" s="430" t="s">
        <v>34</v>
      </c>
      <c r="AB6" s="430" t="s">
        <v>110</v>
      </c>
      <c r="AC6" s="430">
        <v>45</v>
      </c>
      <c r="AD6" s="430" t="s">
        <v>649</v>
      </c>
      <c r="AM6" s="430" t="s">
        <v>13984</v>
      </c>
      <c r="AN6" s="430" t="s">
        <v>1527</v>
      </c>
      <c r="AO6" s="430" t="s">
        <v>13985</v>
      </c>
      <c r="AP6" s="430" t="s">
        <v>767</v>
      </c>
    </row>
    <row r="7" spans="4:49">
      <c r="D7" s="430" t="s">
        <v>1579</v>
      </c>
      <c r="E7" s="430">
        <f t="array" ref="E7:F9">LINEST(M75:M110,$L$75:$L$110,TRUE,TRUE)</f>
        <v>0.69131118046539197</v>
      </c>
      <c r="F7" s="430">
        <v>18.039952527622177</v>
      </c>
      <c r="H7" s="430" t="s">
        <v>1579</v>
      </c>
      <c r="I7" s="430">
        <f t="array" ref="I7:J9">LINEST(N75:N110,$L$75:$L$110,TRUE,TRUE)</f>
        <v>0.76576896825557872</v>
      </c>
      <c r="J7" s="430">
        <v>-6.588942732473015</v>
      </c>
      <c r="L7" s="430" t="s">
        <v>1579</v>
      </c>
      <c r="M7" s="430">
        <f t="array" ref="M7:N9">LINEST(H27:H110,$L$27:$L$110,TRUE,TRUE)</f>
        <v>0.71824017800423035</v>
      </c>
      <c r="N7" s="430">
        <v>47.381796282440177</v>
      </c>
      <c r="P7" s="430" t="s">
        <v>1579</v>
      </c>
      <c r="Q7" s="430">
        <f t="array" ref="Q7:R9">LINEST(I101:I110,$L$101:$L$110,TRUE,TRUE)</f>
        <v>0.77267955265970056</v>
      </c>
      <c r="R7" s="430">
        <v>814.37721538925723</v>
      </c>
      <c r="U7" s="430" t="s">
        <v>372</v>
      </c>
      <c r="V7" s="458">
        <f>1/AC7*1/AC14*1000</f>
        <v>0.16533892382948986</v>
      </c>
      <c r="W7" s="666">
        <f>1/AC8/100*E7*1000</f>
        <v>0.20213777206590408</v>
      </c>
      <c r="X7" s="666">
        <f>1/AC9/100*I7*1000</f>
        <v>0.20098923051327525</v>
      </c>
      <c r="Y7" s="666">
        <f>1/AC10/100*M7*1000</f>
        <v>0.19411896702817036</v>
      </c>
      <c r="Z7" s="666">
        <f>1/AC11/100*Q7*1000</f>
        <v>0.16797381579558707</v>
      </c>
      <c r="AB7" s="430" t="s">
        <v>110</v>
      </c>
      <c r="AC7" s="433">
        <f>AC6/AC15*1000</f>
        <v>38.03888419273035</v>
      </c>
      <c r="AD7" s="430" t="s">
        <v>1527</v>
      </c>
      <c r="AF7" s="430" t="s">
        <v>1528</v>
      </c>
      <c r="AI7" s="430">
        <v>200</v>
      </c>
      <c r="AJ7" s="430" t="s">
        <v>705</v>
      </c>
      <c r="AL7" s="430" t="s">
        <v>110</v>
      </c>
      <c r="AM7" s="430">
        <v>1</v>
      </c>
      <c r="AN7" s="430">
        <v>38.5</v>
      </c>
      <c r="AP7" s="430">
        <v>6.15</v>
      </c>
    </row>
    <row r="8" spans="4:49">
      <c r="D8" s="430" t="s">
        <v>1529</v>
      </c>
      <c r="E8" s="430">
        <v>2.1689295799937405E-2</v>
      </c>
      <c r="F8" s="430">
        <v>16.805407207022476</v>
      </c>
      <c r="H8" s="430" t="s">
        <v>1529</v>
      </c>
      <c r="I8" s="430">
        <v>1.88945947014778E-2</v>
      </c>
      <c r="J8" s="430">
        <v>14.640003110239293</v>
      </c>
      <c r="L8" s="430" t="s">
        <v>1529</v>
      </c>
      <c r="M8" s="430">
        <v>2.0929526528181964E-2</v>
      </c>
      <c r="N8" s="430">
        <v>14.002957365912605</v>
      </c>
      <c r="P8" s="430" t="s">
        <v>1529</v>
      </c>
      <c r="Q8" s="430">
        <v>0.17222197251198301</v>
      </c>
      <c r="R8" s="430">
        <v>158.56449471815961</v>
      </c>
      <c r="U8" s="430" t="s">
        <v>1530</v>
      </c>
      <c r="V8" s="430">
        <v>0</v>
      </c>
      <c r="W8" s="458">
        <f>1/AC8/100*1000*F7</f>
        <v>5.274839920357361</v>
      </c>
      <c r="X8" s="458">
        <f>1/AC9/100*1000*J7</f>
        <v>-1.7293812946123399</v>
      </c>
      <c r="Y8" s="458">
        <f>1/AC10/100*1000*N7</f>
        <v>12.805890887145994</v>
      </c>
      <c r="Z8" s="458">
        <f>1/AC11/100*1000*R7</f>
        <v>177.03852508462114</v>
      </c>
      <c r="AB8" s="430" t="s">
        <v>394</v>
      </c>
      <c r="AC8" s="430">
        <v>34.200000000000003</v>
      </c>
      <c r="AD8" s="430" t="s">
        <v>1527</v>
      </c>
      <c r="AI8" s="433">
        <f>AI7/AC9*100</f>
        <v>524.93438320209975</v>
      </c>
      <c r="AJ8" s="430" t="s">
        <v>941</v>
      </c>
      <c r="AL8" s="430" t="s">
        <v>394</v>
      </c>
      <c r="AM8" s="430">
        <v>1</v>
      </c>
      <c r="AN8" s="430">
        <v>32.1</v>
      </c>
      <c r="AO8" s="430">
        <v>0.745</v>
      </c>
    </row>
    <row r="9" spans="4:49">
      <c r="D9" s="430" t="s">
        <v>1531</v>
      </c>
      <c r="E9" s="430">
        <v>0.96761634565975629</v>
      </c>
      <c r="F9" s="430">
        <v>19.266650663456474</v>
      </c>
      <c r="H9" s="430" t="s">
        <v>1531</v>
      </c>
      <c r="I9" s="430">
        <v>0.97972033969162609</v>
      </c>
      <c r="J9" s="430">
        <v>16.784111337631305</v>
      </c>
      <c r="L9" s="430" t="s">
        <v>1531</v>
      </c>
      <c r="M9" s="430">
        <v>0.93490316152328135</v>
      </c>
      <c r="N9" s="430">
        <v>36.92368042685311</v>
      </c>
      <c r="P9" s="430" t="s">
        <v>1531</v>
      </c>
      <c r="Q9" s="430">
        <v>0.71559577988177048</v>
      </c>
      <c r="R9" s="430">
        <v>28.81393096261419</v>
      </c>
      <c r="U9" s="430" t="s">
        <v>610</v>
      </c>
      <c r="V9" s="406">
        <f>W4*V7</f>
        <v>146.58768965702305</v>
      </c>
      <c r="W9" s="433">
        <f>$W$4*W7+W8</f>
        <v>184.48798775792562</v>
      </c>
      <c r="X9" s="433">
        <f>$W$4*X7+X8</f>
        <v>176.46548210771562</v>
      </c>
      <c r="Y9" s="433">
        <f>$W$4*Y7+Y8</f>
        <v>184.90965348700882</v>
      </c>
      <c r="Z9" s="433">
        <f>$W$4*Z7+Z8</f>
        <v>325.96228127008226</v>
      </c>
      <c r="AB9" s="430" t="s">
        <v>32</v>
      </c>
      <c r="AC9" s="430">
        <v>38.1</v>
      </c>
      <c r="AD9" s="430" t="s">
        <v>1527</v>
      </c>
      <c r="AL9" s="430" t="s">
        <v>32</v>
      </c>
      <c r="AM9" s="430">
        <v>1</v>
      </c>
      <c r="AN9" s="430">
        <v>35.799999999999997</v>
      </c>
      <c r="AO9" s="430">
        <v>0.83699999999999997</v>
      </c>
    </row>
    <row r="10" spans="4:49">
      <c r="U10" s="430" t="s">
        <v>1532</v>
      </c>
      <c r="W10" s="406">
        <f>W9*100*AC8/1000</f>
        <v>630.94891813210575</v>
      </c>
      <c r="X10" s="406">
        <f>X9*100*AC9/1000</f>
        <v>672.33348683039662</v>
      </c>
      <c r="Y10" s="406">
        <f>Y9*100*AC10/1000</f>
        <v>684.16571790193268</v>
      </c>
      <c r="Z10" s="406">
        <f>Z9*100*AC11/1000</f>
        <v>1499.4264938423782</v>
      </c>
      <c r="AB10" s="430" t="s">
        <v>1513</v>
      </c>
      <c r="AC10" s="430">
        <v>37</v>
      </c>
      <c r="AD10" s="430" t="s">
        <v>1527</v>
      </c>
    </row>
    <row r="11" spans="4:49">
      <c r="D11" s="964" t="s">
        <v>1533</v>
      </c>
      <c r="U11" s="430" t="s">
        <v>1534</v>
      </c>
      <c r="W11" s="406">
        <f>SUMIF($C$27:$C$110,$W$1,$M$27:$M$110)</f>
        <v>594.54999999999995</v>
      </c>
      <c r="X11" s="406">
        <f>SUMIF($C$27:$C$110,$W$1,$N$27:$N$110)</f>
        <v>678.07899999999995</v>
      </c>
      <c r="Y11" s="406">
        <f>SUMIF($C$27:$C$110,$W$1,$H$27:$H$110)</f>
        <v>669.12800000000004</v>
      </c>
      <c r="Z11" s="406">
        <f>SUMIF($C$27:$C$110,$W$1,$I$27:$I$110)</f>
        <v>0</v>
      </c>
      <c r="AB11" s="430" t="s">
        <v>34</v>
      </c>
      <c r="AC11" s="430">
        <v>46</v>
      </c>
      <c r="AD11" s="430" t="s">
        <v>1045</v>
      </c>
      <c r="AF11" s="965" t="s">
        <v>1536</v>
      </c>
    </row>
    <row r="12" spans="4:49">
      <c r="D12" s="430" t="s">
        <v>1579</v>
      </c>
      <c r="E12" s="430">
        <f t="array" ref="E12:F14">LINEST($Z$75:$Z$110,$L$75:$L$110,1,1)</f>
        <v>0.93691765795315396</v>
      </c>
      <c r="F12" s="430">
        <v>265.34488871773931</v>
      </c>
      <c r="H12" s="430" t="s">
        <v>1579</v>
      </c>
      <c r="I12" s="430">
        <f t="array" ref="I12:J14">LINEST($AA$75:$AA$110,$L$75:$L$110,1,1)</f>
        <v>0.96018863587643721</v>
      </c>
      <c r="J12" s="430">
        <v>173.46397553035843</v>
      </c>
      <c r="L12" s="430" t="s">
        <v>1579</v>
      </c>
      <c r="M12" s="430">
        <f t="array" ref="M12:N14">LINEST($AB$75:$AB$110,$L$75:$L$110,1,1)</f>
        <v>0.80597468921050219</v>
      </c>
      <c r="N12" s="430">
        <v>51.88943126981917</v>
      </c>
      <c r="P12" s="430" t="s">
        <v>1579</v>
      </c>
      <c r="Q12" s="430">
        <f t="array" ref="Q12:R14">LINEST($AC$101:$AC$110,$L$101:$L$110,1,1)</f>
        <v>1.0131044969917056</v>
      </c>
      <c r="R12" s="430">
        <v>1298.0776327747087</v>
      </c>
      <c r="V12" s="430">
        <v>661.9</v>
      </c>
      <c r="W12" s="430">
        <f>W7*V12+W8</f>
        <v>139.06983125077926</v>
      </c>
      <c r="X12" s="430">
        <f>X7*V12+X8</f>
        <v>131.30539038212453</v>
      </c>
      <c r="AF12" s="430" t="s">
        <v>1539</v>
      </c>
      <c r="AJ12" s="430">
        <v>247</v>
      </c>
      <c r="AK12" s="430" t="s">
        <v>1540</v>
      </c>
    </row>
    <row r="13" spans="4:49">
      <c r="D13" s="430" t="s">
        <v>1529</v>
      </c>
      <c r="E13" s="430">
        <v>3.5673569679450304E-2</v>
      </c>
      <c r="F13" s="430">
        <v>27.640771305861513</v>
      </c>
      <c r="H13" s="430" t="s">
        <v>1529</v>
      </c>
      <c r="I13" s="430">
        <v>3.108958023439274E-2</v>
      </c>
      <c r="J13" s="430">
        <v>24.088981982341494</v>
      </c>
      <c r="L13" s="430" t="s">
        <v>1529</v>
      </c>
      <c r="M13" s="430">
        <v>2.1167655434585625E-2</v>
      </c>
      <c r="N13" s="430">
        <v>16.401227244878111</v>
      </c>
      <c r="P13" s="430" t="s">
        <v>1529</v>
      </c>
      <c r="Q13" s="430">
        <v>0.22541092540186744</v>
      </c>
      <c r="R13" s="430">
        <v>207.53547859761611</v>
      </c>
      <c r="U13" s="964" t="s">
        <v>1570</v>
      </c>
      <c r="AB13" s="964" t="s">
        <v>1535</v>
      </c>
      <c r="AF13" s="430" t="s">
        <v>1543</v>
      </c>
      <c r="AJ13" s="430">
        <f>124+107</f>
        <v>231</v>
      </c>
      <c r="AK13" s="430" t="s">
        <v>1510</v>
      </c>
    </row>
    <row r="14" spans="4:49">
      <c r="D14" s="430" t="s">
        <v>1531</v>
      </c>
      <c r="E14" s="430">
        <v>0.95302430812025962</v>
      </c>
      <c r="F14" s="430">
        <v>31.68891287537447</v>
      </c>
      <c r="H14" s="430" t="s">
        <v>1531</v>
      </c>
      <c r="I14" s="430">
        <v>0.96558207335934509</v>
      </c>
      <c r="J14" s="430">
        <v>27.616944652083852</v>
      </c>
      <c r="L14" s="430" t="s">
        <v>1531</v>
      </c>
      <c r="M14" s="430">
        <v>0.977085303672103</v>
      </c>
      <c r="N14" s="430">
        <v>18.803276343520299</v>
      </c>
      <c r="P14" s="430" t="s">
        <v>1531</v>
      </c>
      <c r="Q14" s="430">
        <v>0.71631542231007461</v>
      </c>
      <c r="R14" s="430">
        <v>37.712811832395388</v>
      </c>
      <c r="W14" s="430" t="s">
        <v>394</v>
      </c>
      <c r="X14" s="430" t="s">
        <v>32</v>
      </c>
      <c r="Y14" s="430" t="s">
        <v>1513</v>
      </c>
      <c r="Z14" s="430" t="s">
        <v>34</v>
      </c>
      <c r="AB14" s="430" t="s">
        <v>1537</v>
      </c>
      <c r="AC14" s="430">
        <v>159</v>
      </c>
      <c r="AD14" s="430" t="s">
        <v>1538</v>
      </c>
      <c r="AF14" s="430" t="s">
        <v>1544</v>
      </c>
      <c r="AJ14" s="430">
        <f>350+279</f>
        <v>629</v>
      </c>
      <c r="AK14" s="430" t="s">
        <v>521</v>
      </c>
    </row>
    <row r="15" spans="4:49">
      <c r="U15" s="430" t="s">
        <v>372</v>
      </c>
      <c r="W15" s="458">
        <f>E17</f>
        <v>1.3565756517544196</v>
      </c>
      <c r="X15" s="458">
        <f>I17</f>
        <v>1.2570018926592408</v>
      </c>
      <c r="Y15" s="458">
        <f>M17</f>
        <v>1.0689483180091128</v>
      </c>
      <c r="Z15" s="458">
        <f>Q17</f>
        <v>1.3104939955713899</v>
      </c>
      <c r="AB15" s="430" t="s">
        <v>1541</v>
      </c>
      <c r="AC15" s="430">
        <v>1183</v>
      </c>
      <c r="AD15" s="430" t="s">
        <v>1542</v>
      </c>
      <c r="AF15" s="430" t="s">
        <v>3</v>
      </c>
      <c r="AJ15" s="458">
        <f>AJ13/AJ14</f>
        <v>0.36724960254372019</v>
      </c>
      <c r="AK15" s="430" t="s">
        <v>1545</v>
      </c>
      <c r="AL15" s="966">
        <f>(AJ14*3.6)/(AJ13/AC9)/1000</f>
        <v>0.37347896103896105</v>
      </c>
    </row>
    <row r="16" spans="4:49">
      <c r="D16" s="964" t="s">
        <v>1546</v>
      </c>
      <c r="U16" s="430" t="s">
        <v>1530</v>
      </c>
      <c r="W16" s="458">
        <f>1/AC8/100*1000*F17</f>
        <v>70.230748454632177</v>
      </c>
      <c r="X16" s="458">
        <f>1/AC9/100*1000*J17</f>
        <v>47.226464833505872</v>
      </c>
      <c r="Y16" s="458">
        <f>1/AC10/100*1000*N17</f>
        <v>14.749344752353803</v>
      </c>
      <c r="Z16" s="458">
        <f>1/AC11/100*1000*R17</f>
        <v>50.285290465410377</v>
      </c>
      <c r="AF16" s="430" t="s">
        <v>1547</v>
      </c>
      <c r="AJ16" s="406">
        <f>AJ12/AJ15</f>
        <v>672.5670995670996</v>
      </c>
      <c r="AK16" s="430" t="s">
        <v>941</v>
      </c>
    </row>
    <row r="17" spans="3:37">
      <c r="D17" s="430" t="s">
        <v>1579</v>
      </c>
      <c r="E17" s="430">
        <f t="array" ref="E17:F19">LINEST($Z$75:$Z$110,$M$75:$M$110,1,1)</f>
        <v>1.3565756517544196</v>
      </c>
      <c r="F17" s="430">
        <v>240.18915971484205</v>
      </c>
      <c r="H17" s="430" t="s">
        <v>1579</v>
      </c>
      <c r="I17" s="430">
        <f t="array" ref="I17:J19">LINEST($AA$75:$AA$110,$N$75:$N$110,1,1)</f>
        <v>1.2570018926592408</v>
      </c>
      <c r="J17" s="430">
        <v>179.93283101565737</v>
      </c>
      <c r="L17" s="430" t="s">
        <v>1579</v>
      </c>
      <c r="M17" s="430">
        <f t="array" ref="M17:N19">LINEST($AB$75:$AB$110,$H$75:$H$110,1,1)</f>
        <v>1.0689483180091128</v>
      </c>
      <c r="N17" s="430">
        <v>54.572575583709067</v>
      </c>
      <c r="P17" s="430" t="s">
        <v>1579</v>
      </c>
      <c r="Q17" s="430">
        <f t="array" ref="Q17:R19">LINEST($AC$101:$AC$110,$I$101:$I$110,1,1)</f>
        <v>1.3104939955713899</v>
      </c>
      <c r="R17" s="430">
        <v>231.31233614088774</v>
      </c>
      <c r="U17" s="430" t="s">
        <v>610</v>
      </c>
      <c r="W17" s="406">
        <f>W9*W15+W16</f>
        <v>320.5026606882015</v>
      </c>
      <c r="X17" s="406">
        <f>X9*X15+X16</f>
        <v>269.0439098319298</v>
      </c>
      <c r="Y17" s="406">
        <f>Y9*Y15+Y16</f>
        <v>212.40820783093977</v>
      </c>
      <c r="Z17" s="406">
        <f>Z9*Z15+Z16</f>
        <v>477.45690285260571</v>
      </c>
      <c r="AF17" s="430" t="s">
        <v>1548</v>
      </c>
      <c r="AJ17" s="406">
        <f>AVERAGE(N94:N100)</f>
        <v>647.57899999999984</v>
      </c>
      <c r="AK17" s="430" t="s">
        <v>941</v>
      </c>
    </row>
    <row r="18" spans="3:37">
      <c r="D18" s="430" t="s">
        <v>1529</v>
      </c>
      <c r="E18" s="430">
        <v>2.6898357481685498E-2</v>
      </c>
      <c r="F18" s="430">
        <v>14.893086073456775</v>
      </c>
      <c r="H18" s="430" t="s">
        <v>1529</v>
      </c>
      <c r="I18" s="430">
        <v>2.1145683471638581E-2</v>
      </c>
      <c r="J18" s="430">
        <v>12.414574263894144</v>
      </c>
      <c r="L18" s="430" t="s">
        <v>1529</v>
      </c>
      <c r="M18" s="430">
        <v>4.5274592231916537E-3</v>
      </c>
      <c r="N18" s="430">
        <v>2.6349353504746529</v>
      </c>
      <c r="P18" s="430" t="s">
        <v>1529</v>
      </c>
      <c r="Q18" s="430">
        <v>1.2268570690478447E-3</v>
      </c>
      <c r="R18" s="430">
        <v>1.871413674110501</v>
      </c>
      <c r="U18" s="430" t="s">
        <v>1532</v>
      </c>
      <c r="W18" s="406">
        <f>W17*100*AC8/1000</f>
        <v>1096.1190995536492</v>
      </c>
      <c r="X18" s="406">
        <f>X17*100*AC9/1000</f>
        <v>1025.0572964596524</v>
      </c>
      <c r="Y18" s="406">
        <f>Y17*100*AC10/1000</f>
        <v>785.91036897447725</v>
      </c>
      <c r="Z18" s="406">
        <f>Z17*100*AC11/1000</f>
        <v>2196.3017531219862</v>
      </c>
      <c r="AF18" s="430" t="s">
        <v>1549</v>
      </c>
      <c r="AJ18" s="406">
        <f>AVERAGE(AA94:AA100)</f>
        <v>979.92485714285704</v>
      </c>
      <c r="AK18" s="430" t="s">
        <v>941</v>
      </c>
    </row>
    <row r="19" spans="3:37">
      <c r="D19" s="430" t="s">
        <v>1531</v>
      </c>
      <c r="E19" s="430">
        <v>0.98680906639693522</v>
      </c>
      <c r="F19" s="430">
        <v>16.79223544836556</v>
      </c>
      <c r="H19" s="430" t="s">
        <v>1531</v>
      </c>
      <c r="I19" s="430">
        <v>0.99047002318918431</v>
      </c>
      <c r="J19" s="430">
        <v>14.532127488105694</v>
      </c>
      <c r="L19" s="430" t="s">
        <v>1531</v>
      </c>
      <c r="M19" s="430">
        <v>0.99939044936173471</v>
      </c>
      <c r="N19" s="430">
        <v>3.0667711621812406</v>
      </c>
      <c r="P19" s="430" t="s">
        <v>1531</v>
      </c>
      <c r="Q19" s="430">
        <v>0.99999298859893382</v>
      </c>
      <c r="R19" s="430">
        <v>0.18748799131796864</v>
      </c>
      <c r="U19" s="430" t="s">
        <v>1534</v>
      </c>
      <c r="W19" s="406">
        <f>SUMIF($C$27:$C$110,$W$1,$Z$27:$Z$110)</f>
        <v>1045</v>
      </c>
      <c r="X19" s="406">
        <f>SUMIF($C$27:$C$110,$W$1,$AA$27:$AA$110)</f>
        <v>1017.49</v>
      </c>
      <c r="Y19" s="406">
        <f>SUMIF($C$27:$C$110,$W$1,$AB$27:$AB$110)</f>
        <v>770.47800000000007</v>
      </c>
      <c r="Z19" s="406">
        <f>SUMIF($C$27:$C$110,$W$1,$AC$27:$AC$110)</f>
        <v>0</v>
      </c>
    </row>
    <row r="20" spans="3:37">
      <c r="W20" s="430">
        <f>W9*1.3</f>
        <v>239.83438408530333</v>
      </c>
      <c r="X20" s="1409">
        <f>X9*1.3</f>
        <v>229.40512674003031</v>
      </c>
    </row>
    <row r="21" spans="3:37">
      <c r="W21" s="430">
        <v>152.27714285714299</v>
      </c>
      <c r="X21" s="430">
        <v>144.90263157894736</v>
      </c>
    </row>
    <row r="22" spans="3:37" ht="17.25">
      <c r="D22" s="967" t="s">
        <v>1550</v>
      </c>
      <c r="E22" s="967"/>
      <c r="F22" s="967"/>
      <c r="G22" s="967"/>
      <c r="H22" s="967"/>
      <c r="I22" s="967"/>
      <c r="K22" s="387"/>
      <c r="L22" s="387"/>
      <c r="M22" s="387"/>
      <c r="N22" s="387"/>
      <c r="O22" s="387"/>
      <c r="P22" s="387"/>
      <c r="Q22" s="967" t="s">
        <v>1551</v>
      </c>
      <c r="R22" s="967"/>
      <c r="S22" s="967"/>
      <c r="T22" s="967"/>
      <c r="U22" s="967"/>
    </row>
    <row r="23" spans="3:37">
      <c r="C23" s="582"/>
      <c r="D23" s="968" t="s">
        <v>1552</v>
      </c>
      <c r="E23" s="599"/>
      <c r="F23" s="599"/>
      <c r="G23" s="599"/>
      <c r="H23" s="599"/>
      <c r="I23" s="599"/>
      <c r="J23" s="599"/>
      <c r="K23" s="598"/>
      <c r="L23" s="589"/>
      <c r="M23" s="599"/>
      <c r="N23" s="598"/>
      <c r="O23" s="968"/>
      <c r="P23" s="968"/>
      <c r="Q23" s="968"/>
      <c r="R23" s="968"/>
      <c r="S23" s="971" t="s">
        <v>1553</v>
      </c>
      <c r="T23" s="968"/>
      <c r="U23" s="968"/>
      <c r="V23" s="968"/>
      <c r="W23" s="968"/>
      <c r="X23" s="968"/>
      <c r="Y23" s="970"/>
      <c r="Z23" s="971"/>
      <c r="AA23" s="968"/>
      <c r="AB23" s="968"/>
      <c r="AC23" s="968"/>
      <c r="AD23" s="971" t="s">
        <v>1554</v>
      </c>
      <c r="AE23" s="968"/>
      <c r="AF23" s="968"/>
      <c r="AG23" s="968"/>
      <c r="AH23" s="971"/>
      <c r="AI23" s="968"/>
      <c r="AJ23" s="968"/>
      <c r="AK23" s="598"/>
    </row>
    <row r="24" spans="3:37">
      <c r="C24" s="553"/>
      <c r="D24" s="972" t="s">
        <v>1512</v>
      </c>
      <c r="E24" s="532"/>
      <c r="F24" s="532"/>
      <c r="G24" s="532"/>
      <c r="H24" s="532"/>
      <c r="I24" s="532"/>
      <c r="J24" s="973" t="s">
        <v>1516</v>
      </c>
      <c r="K24" s="886"/>
      <c r="L24" s="886"/>
      <c r="M24" s="974" t="s">
        <v>1555</v>
      </c>
      <c r="N24" s="886"/>
      <c r="O24" s="969" t="s">
        <v>1556</v>
      </c>
      <c r="P24" s="969"/>
      <c r="Q24" s="969"/>
      <c r="R24" s="969"/>
      <c r="S24" s="974" t="s">
        <v>394</v>
      </c>
      <c r="T24" s="969"/>
      <c r="U24" s="969"/>
      <c r="V24" s="969" t="s">
        <v>32</v>
      </c>
      <c r="W24" s="969"/>
      <c r="X24" s="969" t="s">
        <v>1513</v>
      </c>
      <c r="Y24" s="975"/>
      <c r="Z24" s="974"/>
      <c r="AA24" s="969"/>
      <c r="AB24" s="969"/>
      <c r="AC24" s="969"/>
      <c r="AD24" s="974" t="s">
        <v>1557</v>
      </c>
      <c r="AE24" s="969"/>
      <c r="AF24" s="969"/>
      <c r="AG24" s="969"/>
      <c r="AH24" s="974" t="s">
        <v>1558</v>
      </c>
      <c r="AI24" s="969"/>
      <c r="AJ24" s="969"/>
      <c r="AK24" s="886"/>
    </row>
    <row r="25" spans="3:37" ht="60">
      <c r="C25" s="590"/>
      <c r="D25" s="976" t="s">
        <v>934</v>
      </c>
      <c r="E25" s="976" t="s">
        <v>935</v>
      </c>
      <c r="F25" s="976" t="s">
        <v>936</v>
      </c>
      <c r="G25" s="976" t="s">
        <v>937</v>
      </c>
      <c r="H25" s="976" t="s">
        <v>938</v>
      </c>
      <c r="I25" s="976" t="s">
        <v>34</v>
      </c>
      <c r="J25" s="976" t="s">
        <v>939</v>
      </c>
      <c r="K25" s="977" t="s">
        <v>940</v>
      </c>
      <c r="L25" s="977" t="s">
        <v>1559</v>
      </c>
      <c r="M25" s="988" t="s">
        <v>1560</v>
      </c>
      <c r="N25" s="977" t="s">
        <v>1561</v>
      </c>
      <c r="O25" s="988" t="s">
        <v>1562</v>
      </c>
      <c r="P25" s="976" t="s">
        <v>1563</v>
      </c>
      <c r="Q25" s="976" t="s">
        <v>1566</v>
      </c>
      <c r="R25" s="976" t="s">
        <v>1576</v>
      </c>
      <c r="S25" s="988" t="s">
        <v>1517</v>
      </c>
      <c r="T25" s="976" t="s">
        <v>1518</v>
      </c>
      <c r="U25" s="976" t="s">
        <v>1517</v>
      </c>
      <c r="V25" s="976" t="s">
        <v>1515</v>
      </c>
      <c r="W25" s="976" t="s">
        <v>1514</v>
      </c>
      <c r="X25" s="976" t="s">
        <v>1514</v>
      </c>
      <c r="Y25" s="977" t="s">
        <v>1515</v>
      </c>
      <c r="Z25" s="988" t="s">
        <v>1560</v>
      </c>
      <c r="AA25" s="976" t="s">
        <v>1564</v>
      </c>
      <c r="AB25" s="976" t="s">
        <v>1565</v>
      </c>
      <c r="AC25" s="976" t="s">
        <v>1577</v>
      </c>
      <c r="AD25" s="988" t="s">
        <v>1562</v>
      </c>
      <c r="AE25" s="976" t="s">
        <v>1563</v>
      </c>
      <c r="AF25" s="976" t="s">
        <v>1566</v>
      </c>
      <c r="AG25" s="977" t="s">
        <v>1576</v>
      </c>
      <c r="AH25" s="988" t="s">
        <v>1567</v>
      </c>
      <c r="AI25" s="976" t="s">
        <v>1568</v>
      </c>
      <c r="AJ25" s="976" t="s">
        <v>1569</v>
      </c>
      <c r="AK25" s="989" t="s">
        <v>1578</v>
      </c>
    </row>
    <row r="26" spans="3:37">
      <c r="C26" s="590"/>
      <c r="D26" s="988" t="s">
        <v>941</v>
      </c>
      <c r="E26" s="976" t="s">
        <v>941</v>
      </c>
      <c r="F26" s="976" t="s">
        <v>941</v>
      </c>
      <c r="G26" s="976" t="s">
        <v>941</v>
      </c>
      <c r="H26" s="976" t="s">
        <v>941</v>
      </c>
      <c r="I26" s="976" t="s">
        <v>942</v>
      </c>
      <c r="J26" s="976" t="s">
        <v>1574</v>
      </c>
      <c r="K26" s="977" t="s">
        <v>760</v>
      </c>
      <c r="L26" s="977" t="s">
        <v>1521</v>
      </c>
      <c r="M26" s="988" t="s">
        <v>941</v>
      </c>
      <c r="N26" s="977" t="s">
        <v>941</v>
      </c>
      <c r="O26" s="988" t="s">
        <v>941</v>
      </c>
      <c r="P26" s="976" t="s">
        <v>941</v>
      </c>
      <c r="Q26" s="976" t="s">
        <v>941</v>
      </c>
      <c r="R26" s="976" t="s">
        <v>942</v>
      </c>
      <c r="S26" s="988" t="s">
        <v>941</v>
      </c>
      <c r="T26" s="976" t="s">
        <v>941</v>
      </c>
      <c r="U26" s="976" t="s">
        <v>941</v>
      </c>
      <c r="V26" s="976" t="s">
        <v>941</v>
      </c>
      <c r="W26" s="976" t="s">
        <v>941</v>
      </c>
      <c r="X26" s="976" t="s">
        <v>941</v>
      </c>
      <c r="Y26" s="977" t="s">
        <v>941</v>
      </c>
      <c r="Z26" s="988" t="s">
        <v>941</v>
      </c>
      <c r="AA26" s="976" t="s">
        <v>941</v>
      </c>
      <c r="AB26" s="976" t="s">
        <v>941</v>
      </c>
      <c r="AC26" s="976" t="s">
        <v>942</v>
      </c>
      <c r="AD26" s="988" t="s">
        <v>941</v>
      </c>
      <c r="AE26" s="976" t="s">
        <v>941</v>
      </c>
      <c r="AF26" s="976" t="s">
        <v>941</v>
      </c>
      <c r="AG26" s="976" t="s">
        <v>942</v>
      </c>
      <c r="AH26" s="988" t="s">
        <v>941</v>
      </c>
      <c r="AI26" s="976" t="s">
        <v>941</v>
      </c>
      <c r="AJ26" s="976" t="s">
        <v>941</v>
      </c>
      <c r="AK26" s="976" t="s">
        <v>942</v>
      </c>
    </row>
    <row r="27" spans="3:37">
      <c r="C27" s="978">
        <v>38718</v>
      </c>
      <c r="D27" s="553">
        <v>266.23200000000003</v>
      </c>
      <c r="E27" s="532">
        <v>269.01299999999998</v>
      </c>
      <c r="F27" s="532">
        <v>307.63</v>
      </c>
      <c r="G27" s="532">
        <v>315.02999999999997</v>
      </c>
      <c r="H27" s="532">
        <v>307.12799999999999</v>
      </c>
      <c r="I27" s="532"/>
      <c r="J27" s="532">
        <v>6.3761999999999999</v>
      </c>
      <c r="K27" s="886">
        <v>54.46</v>
      </c>
      <c r="L27" s="979">
        <f t="shared" ref="L27:L90" si="0">K27*J27</f>
        <v>347.24785200000002</v>
      </c>
      <c r="M27" s="553">
        <f>AVERAGE(D27:E27)</f>
        <v>267.6225</v>
      </c>
      <c r="N27" s="886">
        <f t="shared" ref="N27:N58" si="1">AVERAGE(G27:H27)</f>
        <v>311.07899999999995</v>
      </c>
      <c r="O27" s="553">
        <f t="shared" ref="O27:O90" si="2">$E$7*L27+$F$7</f>
        <v>258.09627500781392</v>
      </c>
      <c r="P27" s="532">
        <f t="shared" ref="P27:P90" si="3">$I$7*L27+$J$7</f>
        <v>259.3226866225329</v>
      </c>
      <c r="Q27" s="532"/>
      <c r="R27" s="532"/>
      <c r="S27" s="553"/>
      <c r="T27" s="532"/>
      <c r="U27" s="532"/>
      <c r="V27" s="532"/>
      <c r="W27" s="532"/>
      <c r="X27" s="532"/>
      <c r="Y27" s="886"/>
      <c r="Z27" s="553"/>
      <c r="AA27" s="532"/>
      <c r="AB27" s="532"/>
      <c r="AC27" s="532"/>
      <c r="AD27" s="553"/>
      <c r="AE27" s="532"/>
      <c r="AF27" s="532"/>
      <c r="AG27" s="532"/>
      <c r="AH27" s="553"/>
      <c r="AI27" s="532"/>
      <c r="AJ27" s="532"/>
      <c r="AK27" s="886"/>
    </row>
    <row r="28" spans="3:37">
      <c r="C28" s="978">
        <v>38749</v>
      </c>
      <c r="D28" s="553">
        <v>280.23200000000003</v>
      </c>
      <c r="E28" s="532">
        <v>283.01299999999998</v>
      </c>
      <c r="F28" s="532">
        <v>307.63</v>
      </c>
      <c r="G28" s="532">
        <v>314.02999999999997</v>
      </c>
      <c r="H28" s="532">
        <v>311.12799999999999</v>
      </c>
      <c r="I28" s="532"/>
      <c r="J28" s="532">
        <v>6.1407999999999996</v>
      </c>
      <c r="K28" s="886">
        <v>55.49</v>
      </c>
      <c r="L28" s="979">
        <f t="shared" si="0"/>
        <v>340.75299200000001</v>
      </c>
      <c r="M28" s="553">
        <f t="shared" ref="M28:M58" si="4">AVERAGE(D28:E28)</f>
        <v>281.6225</v>
      </c>
      <c r="N28" s="886">
        <f t="shared" si="1"/>
        <v>312.57899999999995</v>
      </c>
      <c r="O28" s="553">
        <f t="shared" si="2"/>
        <v>253.60630567425645</v>
      </c>
      <c r="P28" s="532">
        <f t="shared" si="3"/>
        <v>254.34912438136848</v>
      </c>
      <c r="Q28" s="532"/>
      <c r="R28" s="532"/>
      <c r="S28" s="553"/>
      <c r="T28" s="532"/>
      <c r="U28" s="532"/>
      <c r="V28" s="532"/>
      <c r="W28" s="532"/>
      <c r="X28" s="532"/>
      <c r="Y28" s="886"/>
      <c r="Z28" s="553"/>
      <c r="AA28" s="532"/>
      <c r="AB28" s="532"/>
      <c r="AC28" s="532"/>
      <c r="AD28" s="553"/>
      <c r="AE28" s="532"/>
      <c r="AF28" s="532"/>
      <c r="AG28" s="532"/>
      <c r="AH28" s="553"/>
      <c r="AI28" s="532"/>
      <c r="AJ28" s="532"/>
      <c r="AK28" s="886"/>
    </row>
    <row r="29" spans="3:37">
      <c r="C29" s="978">
        <v>38777</v>
      </c>
      <c r="D29" s="553">
        <v>269.23200000000003</v>
      </c>
      <c r="E29" s="532">
        <v>272.01299999999998</v>
      </c>
      <c r="F29" s="532">
        <v>307.63</v>
      </c>
      <c r="G29" s="532">
        <v>312.02999999999997</v>
      </c>
      <c r="H29" s="532">
        <v>315.12799999999999</v>
      </c>
      <c r="I29" s="532"/>
      <c r="J29" s="532">
        <v>6.1372999999999998</v>
      </c>
      <c r="K29" s="886">
        <v>61.08</v>
      </c>
      <c r="L29" s="979">
        <f t="shared" si="0"/>
        <v>374.86628399999995</v>
      </c>
      <c r="M29" s="553">
        <f t="shared" si="4"/>
        <v>270.6225</v>
      </c>
      <c r="N29" s="886">
        <f t="shared" si="1"/>
        <v>313.57899999999995</v>
      </c>
      <c r="O29" s="553">
        <f t="shared" si="2"/>
        <v>277.18920583633701</v>
      </c>
      <c r="P29" s="532">
        <f t="shared" si="3"/>
        <v>280.47202480000971</v>
      </c>
      <c r="Q29" s="532"/>
      <c r="R29" s="532"/>
      <c r="S29" s="553"/>
      <c r="T29" s="532"/>
      <c r="U29" s="532"/>
      <c r="V29" s="532"/>
      <c r="W29" s="532"/>
      <c r="X29" s="532"/>
      <c r="Y29" s="886"/>
      <c r="Z29" s="553"/>
      <c r="AA29" s="532"/>
      <c r="AB29" s="532"/>
      <c r="AC29" s="532"/>
      <c r="AD29" s="553"/>
      <c r="AE29" s="532"/>
      <c r="AF29" s="532"/>
      <c r="AG29" s="532"/>
      <c r="AH29" s="553"/>
      <c r="AI29" s="532"/>
      <c r="AJ29" s="532"/>
      <c r="AK29" s="886"/>
    </row>
    <row r="30" spans="3:37">
      <c r="C30" s="978">
        <v>38808</v>
      </c>
      <c r="D30" s="553">
        <v>295.63200000000001</v>
      </c>
      <c r="E30" s="532">
        <v>297.41300000000001</v>
      </c>
      <c r="F30" s="532">
        <v>338.63</v>
      </c>
      <c r="G30" s="532">
        <v>342.03</v>
      </c>
      <c r="H30" s="532">
        <v>330.12799999999999</v>
      </c>
      <c r="I30" s="532"/>
      <c r="J30" s="532">
        <v>6.26</v>
      </c>
      <c r="K30" s="886">
        <v>65.66</v>
      </c>
      <c r="L30" s="979">
        <f t="shared" si="0"/>
        <v>411.03159999999997</v>
      </c>
      <c r="M30" s="553">
        <f t="shared" si="4"/>
        <v>296.52250000000004</v>
      </c>
      <c r="N30" s="886">
        <f t="shared" si="1"/>
        <v>336.07899999999995</v>
      </c>
      <c r="O30" s="553">
        <f t="shared" si="2"/>
        <v>302.19069313220098</v>
      </c>
      <c r="P30" s="532">
        <f t="shared" si="3"/>
        <v>308.16630151996668</v>
      </c>
      <c r="Q30" s="532"/>
      <c r="R30" s="532"/>
      <c r="S30" s="553"/>
      <c r="T30" s="532"/>
      <c r="U30" s="532"/>
      <c r="V30" s="532"/>
      <c r="W30" s="532"/>
      <c r="X30" s="532"/>
      <c r="Y30" s="886"/>
      <c r="Z30" s="553"/>
      <c r="AA30" s="532"/>
      <c r="AB30" s="532"/>
      <c r="AC30" s="532"/>
      <c r="AD30" s="553"/>
      <c r="AE30" s="532"/>
      <c r="AF30" s="532"/>
      <c r="AG30" s="532"/>
      <c r="AH30" s="553"/>
      <c r="AI30" s="532"/>
      <c r="AJ30" s="532"/>
      <c r="AK30" s="886"/>
    </row>
    <row r="31" spans="3:37">
      <c r="C31" s="978">
        <v>38838</v>
      </c>
      <c r="D31" s="553">
        <v>334.63200000000001</v>
      </c>
      <c r="E31" s="532">
        <v>336.41300000000001</v>
      </c>
      <c r="F31" s="532">
        <v>365.63</v>
      </c>
      <c r="G31" s="532">
        <v>369.03</v>
      </c>
      <c r="H31" s="532">
        <v>350.12799999999999</v>
      </c>
      <c r="I31" s="532"/>
      <c r="J31" s="532">
        <v>6.0904999999999996</v>
      </c>
      <c r="K31" s="886">
        <v>68.8</v>
      </c>
      <c r="L31" s="979">
        <f t="shared" si="0"/>
        <v>419.02639999999997</v>
      </c>
      <c r="M31" s="553">
        <f t="shared" si="4"/>
        <v>335.52250000000004</v>
      </c>
      <c r="N31" s="886">
        <f t="shared" si="1"/>
        <v>359.57899999999995</v>
      </c>
      <c r="O31" s="553">
        <f t="shared" si="2"/>
        <v>307.71758775778568</v>
      </c>
      <c r="P31" s="532">
        <f t="shared" si="3"/>
        <v>314.28847126737639</v>
      </c>
      <c r="Q31" s="532"/>
      <c r="R31" s="532"/>
      <c r="S31" s="553"/>
      <c r="T31" s="532"/>
      <c r="U31" s="532"/>
      <c r="V31" s="532"/>
      <c r="W31" s="532"/>
      <c r="X31" s="532"/>
      <c r="Y31" s="886"/>
      <c r="Z31" s="553"/>
      <c r="AA31" s="532"/>
      <c r="AB31" s="532"/>
      <c r="AC31" s="532"/>
      <c r="AD31" s="553"/>
      <c r="AE31" s="532"/>
      <c r="AF31" s="532"/>
      <c r="AG31" s="532"/>
      <c r="AH31" s="553"/>
      <c r="AI31" s="532"/>
      <c r="AJ31" s="532"/>
      <c r="AK31" s="886"/>
    </row>
    <row r="32" spans="3:37">
      <c r="C32" s="978">
        <v>38869</v>
      </c>
      <c r="D32" s="553">
        <v>370.63200000000001</v>
      </c>
      <c r="E32" s="532">
        <v>372.41300000000001</v>
      </c>
      <c r="F32" s="532">
        <v>394.63</v>
      </c>
      <c r="G32" s="532">
        <v>401.03</v>
      </c>
      <c r="H32" s="532">
        <v>370.12799999999999</v>
      </c>
      <c r="I32" s="532"/>
      <c r="J32" s="532">
        <v>6.34</v>
      </c>
      <c r="K32" s="886">
        <v>70.11</v>
      </c>
      <c r="L32" s="979">
        <f t="shared" si="0"/>
        <v>444.49739999999997</v>
      </c>
      <c r="M32" s="553">
        <f t="shared" si="4"/>
        <v>371.52250000000004</v>
      </c>
      <c r="N32" s="886">
        <f t="shared" si="1"/>
        <v>385.57899999999995</v>
      </c>
      <c r="O32" s="553">
        <f t="shared" si="2"/>
        <v>325.32597483541969</v>
      </c>
      <c r="P32" s="532">
        <f t="shared" si="3"/>
        <v>333.79337265781425</v>
      </c>
      <c r="Q32" s="532"/>
      <c r="R32" s="532"/>
      <c r="S32" s="553"/>
      <c r="T32" s="532"/>
      <c r="U32" s="532"/>
      <c r="V32" s="532"/>
      <c r="W32" s="532"/>
      <c r="X32" s="532"/>
      <c r="Y32" s="886"/>
      <c r="Z32" s="553"/>
      <c r="AA32" s="532"/>
      <c r="AB32" s="532"/>
      <c r="AC32" s="532"/>
      <c r="AD32" s="553"/>
      <c r="AE32" s="532"/>
      <c r="AF32" s="532"/>
      <c r="AG32" s="532"/>
      <c r="AH32" s="553"/>
      <c r="AI32" s="532"/>
      <c r="AJ32" s="532"/>
      <c r="AK32" s="886"/>
    </row>
    <row r="33" spans="3:37">
      <c r="C33" s="978">
        <v>38899</v>
      </c>
      <c r="D33" s="553">
        <v>395.63200000000001</v>
      </c>
      <c r="E33" s="532">
        <v>397.41300000000001</v>
      </c>
      <c r="F33" s="532">
        <v>426.63</v>
      </c>
      <c r="G33" s="532">
        <v>432.03</v>
      </c>
      <c r="H33" s="532">
        <v>406.12799999999999</v>
      </c>
      <c r="I33" s="532"/>
      <c r="J33" s="532">
        <v>6.9859999999999998</v>
      </c>
      <c r="K33" s="886">
        <v>72.209999999999994</v>
      </c>
      <c r="L33" s="979">
        <f t="shared" si="0"/>
        <v>504.45905999999997</v>
      </c>
      <c r="M33" s="553">
        <f t="shared" si="4"/>
        <v>396.52250000000004</v>
      </c>
      <c r="N33" s="886">
        <f t="shared" si="1"/>
        <v>419.07899999999995</v>
      </c>
      <c r="O33" s="553">
        <f t="shared" si="2"/>
        <v>366.77814079268416</v>
      </c>
      <c r="P33" s="532">
        <f t="shared" si="3"/>
        <v>379.71015117090604</v>
      </c>
      <c r="Q33" s="532"/>
      <c r="R33" s="532"/>
      <c r="S33" s="553"/>
      <c r="T33" s="532"/>
      <c r="U33" s="532"/>
      <c r="V33" s="532"/>
      <c r="W33" s="532"/>
      <c r="X33" s="532"/>
      <c r="Y33" s="886"/>
      <c r="Z33" s="553"/>
      <c r="AA33" s="532"/>
      <c r="AB33" s="532"/>
      <c r="AC33" s="532"/>
      <c r="AD33" s="553"/>
      <c r="AE33" s="532"/>
      <c r="AF33" s="532"/>
      <c r="AG33" s="532"/>
      <c r="AH33" s="553"/>
      <c r="AI33" s="532"/>
      <c r="AJ33" s="532"/>
      <c r="AK33" s="886"/>
    </row>
    <row r="34" spans="3:37">
      <c r="C34" s="978">
        <v>38930</v>
      </c>
      <c r="D34" s="553">
        <v>426.63200000000001</v>
      </c>
      <c r="E34" s="532">
        <v>428.41300000000001</v>
      </c>
      <c r="F34" s="532">
        <v>428.63</v>
      </c>
      <c r="G34" s="532">
        <v>457.03</v>
      </c>
      <c r="H34" s="532">
        <v>427.12799999999999</v>
      </c>
      <c r="I34" s="532"/>
      <c r="J34" s="532">
        <v>7.1276000000000002</v>
      </c>
      <c r="K34" s="886">
        <v>73.7</v>
      </c>
      <c r="L34" s="979">
        <f t="shared" si="0"/>
        <v>525.30412000000001</v>
      </c>
      <c r="M34" s="553">
        <f t="shared" si="4"/>
        <v>427.52250000000004</v>
      </c>
      <c r="N34" s="886">
        <f t="shared" si="1"/>
        <v>442.07899999999995</v>
      </c>
      <c r="O34" s="553">
        <f t="shared" si="2"/>
        <v>381.18856382815608</v>
      </c>
      <c r="P34" s="532">
        <f t="shared" si="3"/>
        <v>395.67265126033169</v>
      </c>
      <c r="Q34" s="532"/>
      <c r="R34" s="532"/>
      <c r="S34" s="553"/>
      <c r="T34" s="532"/>
      <c r="U34" s="532"/>
      <c r="V34" s="532"/>
      <c r="W34" s="532"/>
      <c r="X34" s="532"/>
      <c r="Y34" s="886"/>
      <c r="Z34" s="553"/>
      <c r="AA34" s="532"/>
      <c r="AB34" s="532"/>
      <c r="AC34" s="532"/>
      <c r="AD34" s="553"/>
      <c r="AE34" s="532"/>
      <c r="AF34" s="532"/>
      <c r="AG34" s="532"/>
      <c r="AH34" s="553"/>
      <c r="AI34" s="532"/>
      <c r="AJ34" s="532"/>
      <c r="AK34" s="886"/>
    </row>
    <row r="35" spans="3:37">
      <c r="C35" s="978">
        <v>38961</v>
      </c>
      <c r="D35" s="553">
        <v>390.63200000000001</v>
      </c>
      <c r="E35" s="532">
        <v>392.41300000000001</v>
      </c>
      <c r="F35" s="532">
        <v>423.63</v>
      </c>
      <c r="G35" s="532">
        <v>445.03</v>
      </c>
      <c r="H35" s="532">
        <v>422.12799999999999</v>
      </c>
      <c r="I35" s="532"/>
      <c r="J35" s="532">
        <v>6.9705000000000004</v>
      </c>
      <c r="K35" s="886">
        <v>65.12</v>
      </c>
      <c r="L35" s="979">
        <f t="shared" si="0"/>
        <v>453.91896000000008</v>
      </c>
      <c r="M35" s="553">
        <f t="shared" si="4"/>
        <v>391.52250000000004</v>
      </c>
      <c r="N35" s="886">
        <f t="shared" si="1"/>
        <v>433.57899999999995</v>
      </c>
      <c r="O35" s="553">
        <f t="shared" si="2"/>
        <v>331.83920460084528</v>
      </c>
      <c r="P35" s="532">
        <f t="shared" si="3"/>
        <v>341.00811093837234</v>
      </c>
      <c r="Q35" s="532"/>
      <c r="R35" s="532"/>
      <c r="S35" s="553"/>
      <c r="T35" s="532"/>
      <c r="U35" s="532"/>
      <c r="V35" s="532"/>
      <c r="W35" s="532"/>
      <c r="X35" s="532"/>
      <c r="Y35" s="886"/>
      <c r="Z35" s="553"/>
      <c r="AA35" s="532"/>
      <c r="AB35" s="532"/>
      <c r="AC35" s="532"/>
      <c r="AD35" s="553"/>
      <c r="AE35" s="532"/>
      <c r="AF35" s="532"/>
      <c r="AG35" s="532"/>
      <c r="AH35" s="553"/>
      <c r="AI35" s="532"/>
      <c r="AJ35" s="532"/>
      <c r="AK35" s="886"/>
    </row>
    <row r="36" spans="3:37">
      <c r="C36" s="978">
        <v>38991</v>
      </c>
      <c r="D36" s="553">
        <v>337.63200000000001</v>
      </c>
      <c r="E36" s="532">
        <v>339.63</v>
      </c>
      <c r="F36" s="532">
        <v>389.63</v>
      </c>
      <c r="G36" s="532">
        <v>391.03</v>
      </c>
      <c r="H36" s="532">
        <v>400.12799999999999</v>
      </c>
      <c r="I36" s="532"/>
      <c r="J36" s="532">
        <v>7.4347000000000003</v>
      </c>
      <c r="K36" s="886">
        <v>59.11</v>
      </c>
      <c r="L36" s="979">
        <f t="shared" si="0"/>
        <v>439.46511700000002</v>
      </c>
      <c r="M36" s="553">
        <f t="shared" si="4"/>
        <v>338.63099999999997</v>
      </c>
      <c r="N36" s="886">
        <f t="shared" si="1"/>
        <v>395.57899999999995</v>
      </c>
      <c r="O36" s="553">
        <f t="shared" si="2"/>
        <v>321.84710133425381</v>
      </c>
      <c r="P36" s="532">
        <f t="shared" si="3"/>
        <v>329.93980649693418</v>
      </c>
      <c r="Q36" s="532"/>
      <c r="R36" s="532"/>
      <c r="S36" s="553"/>
      <c r="T36" s="532"/>
      <c r="U36" s="532"/>
      <c r="V36" s="532"/>
      <c r="W36" s="532"/>
      <c r="X36" s="532"/>
      <c r="Y36" s="886"/>
      <c r="Z36" s="553"/>
      <c r="AA36" s="532"/>
      <c r="AB36" s="532"/>
      <c r="AC36" s="532"/>
      <c r="AD36" s="553"/>
      <c r="AE36" s="532"/>
      <c r="AF36" s="532"/>
      <c r="AG36" s="532"/>
      <c r="AH36" s="553"/>
      <c r="AI36" s="532"/>
      <c r="AJ36" s="532"/>
      <c r="AK36" s="886"/>
    </row>
    <row r="37" spans="3:37">
      <c r="C37" s="978">
        <v>39022</v>
      </c>
      <c r="D37" s="553">
        <v>316.63200000000001</v>
      </c>
      <c r="E37" s="532">
        <v>318.41300000000001</v>
      </c>
      <c r="F37" s="532">
        <v>387.63</v>
      </c>
      <c r="G37" s="532">
        <v>390.03</v>
      </c>
      <c r="H37" s="532">
        <v>387.12799999999999</v>
      </c>
      <c r="I37" s="532"/>
      <c r="J37" s="532">
        <v>7.7000999999999999</v>
      </c>
      <c r="K37" s="886">
        <v>63.03</v>
      </c>
      <c r="L37" s="979">
        <f t="shared" si="0"/>
        <v>485.33730300000002</v>
      </c>
      <c r="M37" s="553">
        <f t="shared" si="4"/>
        <v>317.52250000000004</v>
      </c>
      <c r="N37" s="886">
        <f t="shared" si="1"/>
        <v>388.57899999999995</v>
      </c>
      <c r="O37" s="553">
        <f t="shared" si="2"/>
        <v>353.55905638844183</v>
      </c>
      <c r="P37" s="532">
        <f t="shared" si="3"/>
        <v>365.06730304178217</v>
      </c>
      <c r="Q37" s="532"/>
      <c r="R37" s="532"/>
      <c r="S37" s="553"/>
      <c r="T37" s="532"/>
      <c r="U37" s="532"/>
      <c r="V37" s="532"/>
      <c r="W37" s="532"/>
      <c r="X37" s="532"/>
      <c r="Y37" s="886"/>
      <c r="Z37" s="553"/>
      <c r="AA37" s="532"/>
      <c r="AB37" s="532"/>
      <c r="AC37" s="532"/>
      <c r="AD37" s="553"/>
      <c r="AE37" s="532"/>
      <c r="AF37" s="532"/>
      <c r="AG37" s="532"/>
      <c r="AH37" s="553"/>
      <c r="AI37" s="532"/>
      <c r="AJ37" s="532"/>
      <c r="AK37" s="886"/>
    </row>
    <row r="38" spans="3:37">
      <c r="C38" s="978">
        <v>39052</v>
      </c>
      <c r="D38" s="553">
        <v>309.63200000000001</v>
      </c>
      <c r="E38" s="532">
        <v>311.41300000000001</v>
      </c>
      <c r="F38" s="532">
        <v>362.63</v>
      </c>
      <c r="G38" s="532">
        <v>364.03</v>
      </c>
      <c r="H38" s="532">
        <v>362.12799999999999</v>
      </c>
      <c r="I38" s="532"/>
      <c r="J38" s="532">
        <v>7.3083</v>
      </c>
      <c r="K38" s="886">
        <v>58.32</v>
      </c>
      <c r="L38" s="979">
        <f t="shared" si="0"/>
        <v>426.220056</v>
      </c>
      <c r="M38" s="553">
        <f t="shared" si="4"/>
        <v>310.52250000000004</v>
      </c>
      <c r="N38" s="886">
        <f t="shared" si="1"/>
        <v>363.07899999999995</v>
      </c>
      <c r="O38" s="553">
        <f t="shared" si="2"/>
        <v>312.69064257900766</v>
      </c>
      <c r="P38" s="532">
        <f t="shared" si="3"/>
        <v>319.79714980048198</v>
      </c>
      <c r="Q38" s="532"/>
      <c r="R38" s="532"/>
      <c r="S38" s="553"/>
      <c r="T38" s="532"/>
      <c r="U38" s="532"/>
      <c r="V38" s="532"/>
      <c r="W38" s="532"/>
      <c r="X38" s="532"/>
      <c r="Y38" s="886"/>
      <c r="Z38" s="553"/>
      <c r="AA38" s="532"/>
      <c r="AB38" s="532"/>
      <c r="AC38" s="532"/>
      <c r="AD38" s="553"/>
      <c r="AE38" s="532"/>
      <c r="AF38" s="532"/>
      <c r="AG38" s="532"/>
      <c r="AH38" s="553"/>
      <c r="AI38" s="532"/>
      <c r="AJ38" s="532"/>
      <c r="AK38" s="886"/>
    </row>
    <row r="39" spans="3:37">
      <c r="C39" s="978">
        <v>39083</v>
      </c>
      <c r="D39" s="553">
        <v>315.63200000000001</v>
      </c>
      <c r="E39" s="532">
        <v>319.41300000000001</v>
      </c>
      <c r="F39" s="532">
        <v>345.63</v>
      </c>
      <c r="G39" s="532">
        <v>347.03</v>
      </c>
      <c r="H39" s="532">
        <v>365.12799999999999</v>
      </c>
      <c r="I39" s="532"/>
      <c r="J39" s="532">
        <v>7.0609000000000002</v>
      </c>
      <c r="K39" s="886">
        <v>58.02</v>
      </c>
      <c r="L39" s="979">
        <f t="shared" si="0"/>
        <v>409.67341800000003</v>
      </c>
      <c r="M39" s="553">
        <f t="shared" si="4"/>
        <v>317.52250000000004</v>
      </c>
      <c r="N39" s="886">
        <f t="shared" si="1"/>
        <v>356.07899999999995</v>
      </c>
      <c r="O39" s="553">
        <f t="shared" si="2"/>
        <v>301.25176673049418</v>
      </c>
      <c r="P39" s="532">
        <f t="shared" si="3"/>
        <v>307.12624789112346</v>
      </c>
      <c r="Q39" s="532"/>
      <c r="R39" s="532"/>
      <c r="S39" s="553"/>
      <c r="T39" s="532"/>
      <c r="U39" s="532"/>
      <c r="V39" s="532"/>
      <c r="W39" s="532"/>
      <c r="X39" s="532"/>
      <c r="Y39" s="886"/>
      <c r="Z39" s="553"/>
      <c r="AA39" s="532"/>
      <c r="AB39" s="532"/>
      <c r="AC39" s="532"/>
      <c r="AD39" s="553"/>
      <c r="AE39" s="532"/>
      <c r="AF39" s="532"/>
      <c r="AG39" s="532"/>
      <c r="AH39" s="553"/>
      <c r="AI39" s="532"/>
      <c r="AJ39" s="532"/>
      <c r="AK39" s="886"/>
    </row>
    <row r="40" spans="3:37">
      <c r="C40" s="978">
        <v>39114</v>
      </c>
      <c r="D40" s="553">
        <v>292.63200000000001</v>
      </c>
      <c r="E40" s="532">
        <v>296.41300000000001</v>
      </c>
      <c r="F40" s="532">
        <v>336.63</v>
      </c>
      <c r="G40" s="532">
        <v>341.03</v>
      </c>
      <c r="H40" s="532">
        <v>339.12799999999999</v>
      </c>
      <c r="I40" s="532"/>
      <c r="J40" s="532">
        <v>7.1928999999999998</v>
      </c>
      <c r="K40" s="886">
        <v>53.12</v>
      </c>
      <c r="L40" s="979">
        <f t="shared" si="0"/>
        <v>382.08684799999997</v>
      </c>
      <c r="M40" s="553">
        <f t="shared" si="4"/>
        <v>294.52250000000004</v>
      </c>
      <c r="N40" s="886">
        <f t="shared" si="1"/>
        <v>340.07899999999995</v>
      </c>
      <c r="O40" s="553">
        <f t="shared" si="2"/>
        <v>282.18086245880295</v>
      </c>
      <c r="P40" s="532">
        <f t="shared" si="3"/>
        <v>286.00130864451307</v>
      </c>
      <c r="Q40" s="532"/>
      <c r="R40" s="532"/>
      <c r="S40" s="553"/>
      <c r="T40" s="532"/>
      <c r="U40" s="532"/>
      <c r="V40" s="532"/>
      <c r="W40" s="532"/>
      <c r="X40" s="532"/>
      <c r="Y40" s="886"/>
      <c r="Z40" s="553"/>
      <c r="AA40" s="532"/>
      <c r="AB40" s="532"/>
      <c r="AC40" s="532"/>
      <c r="AD40" s="553"/>
      <c r="AE40" s="532"/>
      <c r="AF40" s="532"/>
      <c r="AG40" s="532"/>
      <c r="AH40" s="553"/>
      <c r="AI40" s="532"/>
      <c r="AJ40" s="532"/>
      <c r="AK40" s="886"/>
    </row>
    <row r="41" spans="3:37">
      <c r="C41" s="978">
        <v>39142</v>
      </c>
      <c r="D41" s="553">
        <v>315.53199999999998</v>
      </c>
      <c r="E41" s="532">
        <v>319.31299999999999</v>
      </c>
      <c r="F41" s="532">
        <v>346.63</v>
      </c>
      <c r="G41" s="532">
        <v>349.03</v>
      </c>
      <c r="H41" s="532">
        <v>349.12799999999999</v>
      </c>
      <c r="I41" s="532"/>
      <c r="J41" s="532">
        <v>7.1955999999999998</v>
      </c>
      <c r="K41" s="886">
        <v>57.35</v>
      </c>
      <c r="L41" s="979">
        <f t="shared" si="0"/>
        <v>412.66766000000001</v>
      </c>
      <c r="M41" s="553">
        <f t="shared" si="4"/>
        <v>317.42250000000001</v>
      </c>
      <c r="N41" s="886">
        <f t="shared" si="1"/>
        <v>349.07899999999995</v>
      </c>
      <c r="O41" s="553">
        <f t="shared" si="2"/>
        <v>303.32171970211323</v>
      </c>
      <c r="P41" s="532">
        <f t="shared" si="3"/>
        <v>309.41914549817096</v>
      </c>
      <c r="Q41" s="532"/>
      <c r="R41" s="532"/>
      <c r="S41" s="553"/>
      <c r="T41" s="532"/>
      <c r="U41" s="532"/>
      <c r="V41" s="532"/>
      <c r="W41" s="532"/>
      <c r="X41" s="532"/>
      <c r="Y41" s="886"/>
      <c r="Z41" s="553"/>
      <c r="AA41" s="532"/>
      <c r="AB41" s="532"/>
      <c r="AC41" s="532"/>
      <c r="AD41" s="553"/>
      <c r="AE41" s="532"/>
      <c r="AF41" s="532"/>
      <c r="AG41" s="532"/>
      <c r="AH41" s="553"/>
      <c r="AI41" s="532"/>
      <c r="AJ41" s="532"/>
      <c r="AK41" s="886"/>
    </row>
    <row r="42" spans="3:37">
      <c r="C42" s="978">
        <v>39173</v>
      </c>
      <c r="D42" s="553">
        <v>374.53199999999998</v>
      </c>
      <c r="E42" s="532">
        <v>377.31299999999999</v>
      </c>
      <c r="F42" s="532">
        <v>374.63</v>
      </c>
      <c r="G42" s="532">
        <v>376.03</v>
      </c>
      <c r="H42" s="532">
        <v>379.12799999999999</v>
      </c>
      <c r="I42" s="532"/>
      <c r="J42" s="532">
        <v>7.3841000000000001</v>
      </c>
      <c r="K42" s="886">
        <v>62.1</v>
      </c>
      <c r="L42" s="979">
        <f t="shared" si="0"/>
        <v>458.55261000000002</v>
      </c>
      <c r="M42" s="553">
        <f t="shared" si="4"/>
        <v>375.92250000000001</v>
      </c>
      <c r="N42" s="886">
        <f t="shared" si="1"/>
        <v>377.57899999999995</v>
      </c>
      <c r="O42" s="553">
        <f t="shared" si="2"/>
        <v>335.04249865220868</v>
      </c>
      <c r="P42" s="532">
        <f t="shared" si="3"/>
        <v>344.55641631812978</v>
      </c>
      <c r="Q42" s="532"/>
      <c r="R42" s="532"/>
      <c r="S42" s="553"/>
      <c r="T42" s="532"/>
      <c r="U42" s="532"/>
      <c r="V42" s="532"/>
      <c r="W42" s="532"/>
      <c r="X42" s="532"/>
      <c r="Y42" s="886"/>
      <c r="Z42" s="553"/>
      <c r="AA42" s="532"/>
      <c r="AB42" s="532"/>
      <c r="AC42" s="532"/>
      <c r="AD42" s="553"/>
      <c r="AE42" s="532"/>
      <c r="AF42" s="532"/>
      <c r="AG42" s="532"/>
      <c r="AH42" s="553"/>
      <c r="AI42" s="532"/>
      <c r="AJ42" s="532"/>
      <c r="AK42" s="886"/>
    </row>
    <row r="43" spans="3:37">
      <c r="C43" s="978">
        <v>39203</v>
      </c>
      <c r="D43" s="553">
        <v>408.53199999999998</v>
      </c>
      <c r="E43" s="532">
        <v>411.31299999999999</v>
      </c>
      <c r="F43" s="532">
        <v>404.63</v>
      </c>
      <c r="G43" s="532">
        <v>406.03</v>
      </c>
      <c r="H43" s="532">
        <v>397.12799999999999</v>
      </c>
      <c r="I43" s="532"/>
      <c r="J43" s="532">
        <v>7.1680000000000001</v>
      </c>
      <c r="K43" s="886">
        <v>64.13</v>
      </c>
      <c r="L43" s="979">
        <f t="shared" si="0"/>
        <v>459.68383999999998</v>
      </c>
      <c r="M43" s="553">
        <f t="shared" si="4"/>
        <v>409.92250000000001</v>
      </c>
      <c r="N43" s="886">
        <f t="shared" si="1"/>
        <v>401.57899999999995</v>
      </c>
      <c r="O43" s="553">
        <f t="shared" si="2"/>
        <v>335.82453059888655</v>
      </c>
      <c r="P43" s="532">
        <f t="shared" si="3"/>
        <v>345.42267714808952</v>
      </c>
      <c r="Q43" s="532"/>
      <c r="R43" s="532"/>
      <c r="S43" s="553"/>
      <c r="T43" s="532"/>
      <c r="U43" s="532"/>
      <c r="V43" s="532"/>
      <c r="W43" s="532"/>
      <c r="X43" s="532"/>
      <c r="Y43" s="886"/>
      <c r="Z43" s="553"/>
      <c r="AA43" s="532"/>
      <c r="AB43" s="532"/>
      <c r="AC43" s="532"/>
      <c r="AD43" s="553"/>
      <c r="AE43" s="532"/>
      <c r="AF43" s="532"/>
      <c r="AG43" s="532"/>
      <c r="AH43" s="553"/>
      <c r="AI43" s="532"/>
      <c r="AJ43" s="532"/>
      <c r="AK43" s="886"/>
    </row>
    <row r="44" spans="3:37">
      <c r="C44" s="978">
        <v>39234</v>
      </c>
      <c r="D44" s="553">
        <v>431.53199999999998</v>
      </c>
      <c r="E44" s="532">
        <v>434.31299999999999</v>
      </c>
      <c r="F44" s="532">
        <v>409.63</v>
      </c>
      <c r="G44" s="532">
        <v>413.03</v>
      </c>
      <c r="H44" s="532">
        <v>399.12799999999999</v>
      </c>
      <c r="I44" s="532"/>
      <c r="J44" s="532">
        <v>7.0457000000000001</v>
      </c>
      <c r="K44" s="886">
        <v>66.45</v>
      </c>
      <c r="L44" s="979">
        <f t="shared" si="0"/>
        <v>468.18676500000004</v>
      </c>
      <c r="M44" s="553">
        <f t="shared" si="4"/>
        <v>432.92250000000001</v>
      </c>
      <c r="N44" s="886">
        <f t="shared" si="1"/>
        <v>406.07899999999995</v>
      </c>
      <c r="O44" s="553">
        <f t="shared" si="2"/>
        <v>341.70269771804527</v>
      </c>
      <c r="P44" s="532">
        <f t="shared" si="3"/>
        <v>351.93395325249412</v>
      </c>
      <c r="Q44" s="532"/>
      <c r="R44" s="532"/>
      <c r="S44" s="553"/>
      <c r="T44" s="532"/>
      <c r="U44" s="532"/>
      <c r="V44" s="532"/>
      <c r="W44" s="532"/>
      <c r="X44" s="532"/>
      <c r="Y44" s="886"/>
      <c r="Z44" s="553"/>
      <c r="AA44" s="532"/>
      <c r="AB44" s="532"/>
      <c r="AC44" s="532"/>
      <c r="AD44" s="553"/>
      <c r="AE44" s="532"/>
      <c r="AF44" s="532"/>
      <c r="AG44" s="532"/>
      <c r="AH44" s="553"/>
      <c r="AI44" s="532"/>
      <c r="AJ44" s="532"/>
      <c r="AK44" s="886"/>
    </row>
    <row r="45" spans="3:37">
      <c r="C45" s="978">
        <v>39264</v>
      </c>
      <c r="D45" s="553">
        <v>423.33199999999999</v>
      </c>
      <c r="E45" s="532">
        <v>426.113</v>
      </c>
      <c r="F45" s="532">
        <v>420.63</v>
      </c>
      <c r="G45" s="532">
        <v>424.03</v>
      </c>
      <c r="H45" s="532">
        <v>416.12799999999999</v>
      </c>
      <c r="I45" s="532"/>
      <c r="J45" s="532">
        <v>7.1947999999999999</v>
      </c>
      <c r="K45" s="886">
        <v>63.33</v>
      </c>
      <c r="L45" s="979">
        <f t="shared" si="0"/>
        <v>455.64668399999999</v>
      </c>
      <c r="M45" s="553">
        <f t="shared" si="4"/>
        <v>424.72249999999997</v>
      </c>
      <c r="N45" s="886">
        <f t="shared" si="1"/>
        <v>420.07899999999995</v>
      </c>
      <c r="O45" s="553">
        <f t="shared" si="2"/>
        <v>333.03359951880361</v>
      </c>
      <c r="P45" s="532">
        <f t="shared" si="3"/>
        <v>342.33114836328269</v>
      </c>
      <c r="Q45" s="532"/>
      <c r="R45" s="532"/>
      <c r="S45" s="553"/>
      <c r="T45" s="532"/>
      <c r="U45" s="532"/>
      <c r="V45" s="532"/>
      <c r="W45" s="532"/>
      <c r="X45" s="532"/>
      <c r="Y45" s="886"/>
      <c r="Z45" s="553"/>
      <c r="AA45" s="532"/>
      <c r="AB45" s="532"/>
      <c r="AC45" s="532"/>
      <c r="AD45" s="553"/>
      <c r="AE45" s="532"/>
      <c r="AF45" s="532"/>
      <c r="AG45" s="532"/>
      <c r="AH45" s="553"/>
      <c r="AI45" s="532"/>
      <c r="AJ45" s="532"/>
      <c r="AK45" s="886"/>
    </row>
    <row r="46" spans="3:37">
      <c r="C46" s="978">
        <v>39295</v>
      </c>
      <c r="D46" s="553">
        <v>408.33199999999999</v>
      </c>
      <c r="E46" s="532">
        <v>411.113</v>
      </c>
      <c r="F46" s="532">
        <v>435.63</v>
      </c>
      <c r="G46" s="532">
        <v>439.03</v>
      </c>
      <c r="H46" s="532">
        <v>423.12799999999999</v>
      </c>
      <c r="I46" s="532"/>
      <c r="J46" s="532">
        <v>6.9782000000000002</v>
      </c>
      <c r="K46" s="886">
        <v>60.48</v>
      </c>
      <c r="L46" s="979">
        <f t="shared" si="0"/>
        <v>422.04153600000001</v>
      </c>
      <c r="M46" s="553">
        <f t="shared" si="4"/>
        <v>409.72249999999997</v>
      </c>
      <c r="N46" s="886">
        <f t="shared" si="1"/>
        <v>431.07899999999995</v>
      </c>
      <c r="O46" s="553">
        <f t="shared" si="2"/>
        <v>309.8019849852094</v>
      </c>
      <c r="P46" s="532">
        <f t="shared" si="3"/>
        <v>316.5973688512467</v>
      </c>
      <c r="Q46" s="532"/>
      <c r="R46" s="532"/>
      <c r="S46" s="553"/>
      <c r="T46" s="532"/>
      <c r="U46" s="532"/>
      <c r="V46" s="532"/>
      <c r="W46" s="532"/>
      <c r="X46" s="532"/>
      <c r="Y46" s="886"/>
      <c r="Z46" s="553"/>
      <c r="AA46" s="532"/>
      <c r="AB46" s="532"/>
      <c r="AC46" s="532"/>
      <c r="AD46" s="553"/>
      <c r="AE46" s="532"/>
      <c r="AF46" s="532"/>
      <c r="AG46" s="532"/>
      <c r="AH46" s="553"/>
      <c r="AI46" s="532"/>
      <c r="AJ46" s="532"/>
      <c r="AK46" s="886"/>
    </row>
    <row r="47" spans="3:37">
      <c r="C47" s="978">
        <v>39326</v>
      </c>
      <c r="D47" s="553">
        <v>386.63200000000001</v>
      </c>
      <c r="E47" s="532">
        <v>389.41300000000001</v>
      </c>
      <c r="F47" s="532">
        <v>440.63</v>
      </c>
      <c r="G47" s="532">
        <v>444.03</v>
      </c>
      <c r="H47" s="532">
        <v>423.12799999999999</v>
      </c>
      <c r="I47" s="532"/>
      <c r="J47" s="532">
        <v>7.2355999999999998</v>
      </c>
      <c r="K47" s="886">
        <v>71.790000000000006</v>
      </c>
      <c r="L47" s="979">
        <f t="shared" si="0"/>
        <v>519.44372400000009</v>
      </c>
      <c r="M47" s="553">
        <f t="shared" si="4"/>
        <v>388.02250000000004</v>
      </c>
      <c r="N47" s="886">
        <f t="shared" si="1"/>
        <v>433.57899999999995</v>
      </c>
      <c r="O47" s="553">
        <f t="shared" si="2"/>
        <v>377.1372065514015</v>
      </c>
      <c r="P47" s="532">
        <f t="shared" si="3"/>
        <v>391.18494186184267</v>
      </c>
      <c r="Q47" s="532"/>
      <c r="R47" s="532"/>
      <c r="S47" s="553"/>
      <c r="T47" s="532"/>
      <c r="U47" s="532"/>
      <c r="V47" s="532"/>
      <c r="W47" s="532"/>
      <c r="X47" s="532"/>
      <c r="Y47" s="886"/>
      <c r="Z47" s="553"/>
      <c r="AA47" s="532"/>
      <c r="AB47" s="532"/>
      <c r="AC47" s="532"/>
      <c r="AD47" s="553"/>
      <c r="AE47" s="532"/>
      <c r="AF47" s="532"/>
      <c r="AG47" s="532"/>
      <c r="AH47" s="553"/>
      <c r="AI47" s="532"/>
      <c r="AJ47" s="532"/>
      <c r="AK47" s="886"/>
    </row>
    <row r="48" spans="3:37">
      <c r="C48" s="978">
        <v>39356</v>
      </c>
      <c r="D48" s="553">
        <v>395.63200000000001</v>
      </c>
      <c r="E48" s="532">
        <v>399.41300000000001</v>
      </c>
      <c r="F48" s="532">
        <v>463.63</v>
      </c>
      <c r="G48" s="532">
        <v>467.03</v>
      </c>
      <c r="H48" s="532">
        <v>441.12799999999999</v>
      </c>
      <c r="I48" s="532"/>
      <c r="J48" s="532">
        <v>7.1580000000000004</v>
      </c>
      <c r="K48" s="886">
        <v>76.432000000000002</v>
      </c>
      <c r="L48" s="979">
        <f t="shared" si="0"/>
        <v>547.10025600000006</v>
      </c>
      <c r="M48" s="553">
        <f t="shared" si="4"/>
        <v>397.52250000000004</v>
      </c>
      <c r="N48" s="886">
        <f t="shared" si="1"/>
        <v>454.07899999999995</v>
      </c>
      <c r="O48" s="553">
        <f t="shared" si="2"/>
        <v>396.25647633590035</v>
      </c>
      <c r="P48" s="532">
        <f t="shared" si="3"/>
        <v>412.36345583701001</v>
      </c>
      <c r="Q48" s="532"/>
      <c r="R48" s="532"/>
      <c r="S48" s="553"/>
      <c r="T48" s="532"/>
      <c r="U48" s="532"/>
      <c r="V48" s="532"/>
      <c r="W48" s="532"/>
      <c r="X48" s="532"/>
      <c r="Y48" s="886"/>
      <c r="Z48" s="553"/>
      <c r="AA48" s="532"/>
      <c r="AB48" s="532"/>
      <c r="AC48" s="532"/>
      <c r="AD48" s="553"/>
      <c r="AE48" s="532"/>
      <c r="AF48" s="532"/>
      <c r="AG48" s="532"/>
      <c r="AH48" s="553"/>
      <c r="AI48" s="532"/>
      <c r="AJ48" s="532"/>
      <c r="AK48" s="886"/>
    </row>
    <row r="49" spans="3:37">
      <c r="C49" s="978">
        <v>39387</v>
      </c>
      <c r="D49" s="553">
        <v>398.63200000000001</v>
      </c>
      <c r="E49" s="532">
        <v>402.41300000000001</v>
      </c>
      <c r="F49" s="532">
        <v>457.63</v>
      </c>
      <c r="G49" s="532">
        <v>461.03</v>
      </c>
      <c r="H49" s="532">
        <v>451.12799999999999</v>
      </c>
      <c r="I49" s="532"/>
      <c r="J49" s="532">
        <v>6.7877000000000001</v>
      </c>
      <c r="K49" s="886">
        <v>82.78</v>
      </c>
      <c r="L49" s="979">
        <f t="shared" si="0"/>
        <v>561.885806</v>
      </c>
      <c r="M49" s="553">
        <f t="shared" si="4"/>
        <v>400.52250000000004</v>
      </c>
      <c r="N49" s="886">
        <f t="shared" si="1"/>
        <v>456.07899999999995</v>
      </c>
      <c r="O49" s="553">
        <f t="shared" si="2"/>
        <v>406.47789236023038</v>
      </c>
      <c r="P49" s="532">
        <f t="shared" si="3"/>
        <v>423.68577120560127</v>
      </c>
      <c r="Q49" s="532"/>
      <c r="R49" s="532"/>
      <c r="S49" s="553"/>
      <c r="T49" s="532"/>
      <c r="U49" s="532"/>
      <c r="V49" s="532"/>
      <c r="W49" s="532"/>
      <c r="X49" s="532"/>
      <c r="Y49" s="886"/>
      <c r="Z49" s="553"/>
      <c r="AA49" s="532"/>
      <c r="AB49" s="532"/>
      <c r="AC49" s="532"/>
      <c r="AD49" s="553"/>
      <c r="AE49" s="532"/>
      <c r="AF49" s="532"/>
      <c r="AG49" s="532"/>
      <c r="AH49" s="553"/>
      <c r="AI49" s="532"/>
      <c r="AJ49" s="532"/>
      <c r="AK49" s="886"/>
    </row>
    <row r="50" spans="3:37">
      <c r="C50" s="978">
        <v>39417</v>
      </c>
      <c r="D50" s="553">
        <v>441.63</v>
      </c>
      <c r="E50" s="532">
        <v>445.41300000000001</v>
      </c>
      <c r="F50" s="532">
        <v>508.63</v>
      </c>
      <c r="G50" s="532">
        <v>513.03</v>
      </c>
      <c r="H50" s="532">
        <v>509.12799999999999</v>
      </c>
      <c r="I50" s="532"/>
      <c r="J50" s="532">
        <v>6.7243000000000004</v>
      </c>
      <c r="K50" s="886">
        <v>92.91</v>
      </c>
      <c r="L50" s="979">
        <f t="shared" si="0"/>
        <v>624.75471300000004</v>
      </c>
      <c r="M50" s="553">
        <f t="shared" si="4"/>
        <v>443.5215</v>
      </c>
      <c r="N50" s="886">
        <f t="shared" si="1"/>
        <v>511.07899999999995</v>
      </c>
      <c r="O50" s="553">
        <f t="shared" si="2"/>
        <v>449.93987067296939</v>
      </c>
      <c r="P50" s="532">
        <f t="shared" si="3"/>
        <v>471.82882925434723</v>
      </c>
      <c r="Q50" s="532"/>
      <c r="R50" s="532"/>
      <c r="S50" s="553"/>
      <c r="T50" s="532"/>
      <c r="U50" s="532"/>
      <c r="V50" s="532"/>
      <c r="W50" s="532"/>
      <c r="X50" s="532"/>
      <c r="Y50" s="886"/>
      <c r="Z50" s="553"/>
      <c r="AA50" s="532"/>
      <c r="AB50" s="532"/>
      <c r="AC50" s="532"/>
      <c r="AD50" s="553"/>
      <c r="AE50" s="532"/>
      <c r="AF50" s="532"/>
      <c r="AG50" s="532"/>
      <c r="AH50" s="553"/>
      <c r="AI50" s="532"/>
      <c r="AJ50" s="532"/>
      <c r="AK50" s="886"/>
    </row>
    <row r="51" spans="3:37">
      <c r="C51" s="978">
        <v>39448</v>
      </c>
      <c r="D51" s="553">
        <v>441.63200000000001</v>
      </c>
      <c r="E51" s="532">
        <v>445.41300000000001</v>
      </c>
      <c r="F51" s="532">
        <v>509.63</v>
      </c>
      <c r="G51" s="532">
        <v>513.03</v>
      </c>
      <c r="H51" s="532">
        <v>500.12799999999999</v>
      </c>
      <c r="I51" s="532"/>
      <c r="J51" s="532">
        <v>6.8433000000000002</v>
      </c>
      <c r="K51" s="886">
        <v>90.37</v>
      </c>
      <c r="L51" s="979">
        <f t="shared" si="0"/>
        <v>618.42902100000003</v>
      </c>
      <c r="M51" s="553">
        <f t="shared" si="4"/>
        <v>443.52250000000004</v>
      </c>
      <c r="N51" s="886">
        <f t="shared" si="1"/>
        <v>506.57899999999995</v>
      </c>
      <c r="O51" s="553">
        <f t="shared" si="2"/>
        <v>445.56684906918889</v>
      </c>
      <c r="P51" s="532">
        <f t="shared" si="3"/>
        <v>466.98481061800464</v>
      </c>
      <c r="Q51" s="532"/>
      <c r="R51" s="532"/>
      <c r="S51" s="553"/>
      <c r="T51" s="532"/>
      <c r="U51" s="532"/>
      <c r="V51" s="532"/>
      <c r="W51" s="532"/>
      <c r="X51" s="532"/>
      <c r="Y51" s="886"/>
      <c r="Z51" s="553"/>
      <c r="AA51" s="532"/>
      <c r="AB51" s="532"/>
      <c r="AC51" s="532"/>
      <c r="AD51" s="553"/>
      <c r="AE51" s="532"/>
      <c r="AF51" s="532"/>
      <c r="AG51" s="532"/>
      <c r="AH51" s="553"/>
      <c r="AI51" s="532"/>
      <c r="AJ51" s="532"/>
      <c r="AK51" s="886"/>
    </row>
    <row r="52" spans="3:37">
      <c r="C52" s="978">
        <v>39479</v>
      </c>
      <c r="D52" s="553">
        <v>458.63200000000001</v>
      </c>
      <c r="E52" s="532">
        <v>462.41300000000001</v>
      </c>
      <c r="F52" s="532">
        <v>516.63</v>
      </c>
      <c r="G52" s="532">
        <v>520.29999999999995</v>
      </c>
      <c r="H52" s="532">
        <v>502.12799999999999</v>
      </c>
      <c r="I52" s="532"/>
      <c r="J52" s="532">
        <v>6.9837999999999996</v>
      </c>
      <c r="K52" s="886">
        <v>92.16</v>
      </c>
      <c r="L52" s="979">
        <f t="shared" si="0"/>
        <v>643.62700799999993</v>
      </c>
      <c r="M52" s="553">
        <f t="shared" si="4"/>
        <v>460.52250000000004</v>
      </c>
      <c r="N52" s="886">
        <f t="shared" si="1"/>
        <v>511.21399999999994</v>
      </c>
      <c r="O52" s="553">
        <f t="shared" si="2"/>
        <v>462.98649920751041</v>
      </c>
      <c r="P52" s="532">
        <f t="shared" si="3"/>
        <v>486.28064712511207</v>
      </c>
      <c r="Q52" s="532"/>
      <c r="R52" s="532"/>
      <c r="S52" s="553"/>
      <c r="T52" s="532"/>
      <c r="U52" s="532"/>
      <c r="V52" s="532"/>
      <c r="W52" s="532"/>
      <c r="X52" s="532"/>
      <c r="Y52" s="886"/>
      <c r="Z52" s="553"/>
      <c r="AA52" s="532"/>
      <c r="AB52" s="532"/>
      <c r="AC52" s="532"/>
      <c r="AD52" s="553"/>
      <c r="AE52" s="532"/>
      <c r="AF52" s="532"/>
      <c r="AG52" s="532"/>
      <c r="AH52" s="553"/>
      <c r="AI52" s="532"/>
      <c r="AJ52" s="532"/>
      <c r="AK52" s="886"/>
    </row>
    <row r="53" spans="3:37">
      <c r="C53" s="978">
        <v>39508</v>
      </c>
      <c r="D53" s="553">
        <v>519.63199999999995</v>
      </c>
      <c r="E53" s="532">
        <v>523.41300000000001</v>
      </c>
      <c r="F53" s="532">
        <v>594.63</v>
      </c>
      <c r="G53" s="532">
        <v>598.29999999999995</v>
      </c>
      <c r="H53" s="532">
        <v>578.12800000000004</v>
      </c>
      <c r="I53" s="532"/>
      <c r="J53" s="532">
        <v>7.6645000000000003</v>
      </c>
      <c r="K53" s="886">
        <v>94.74</v>
      </c>
      <c r="L53" s="979">
        <f t="shared" si="0"/>
        <v>726.13472999999999</v>
      </c>
      <c r="M53" s="553">
        <f t="shared" si="4"/>
        <v>521.52250000000004</v>
      </c>
      <c r="N53" s="886">
        <f t="shared" si="1"/>
        <v>588.21399999999994</v>
      </c>
      <c r="O53" s="553">
        <f t="shared" si="2"/>
        <v>520.02500990084081</v>
      </c>
      <c r="P53" s="532">
        <f t="shared" si="3"/>
        <v>549.46250027417022</v>
      </c>
      <c r="Q53" s="532"/>
      <c r="R53" s="532"/>
      <c r="S53" s="553"/>
      <c r="T53" s="532"/>
      <c r="U53" s="532"/>
      <c r="V53" s="532"/>
      <c r="W53" s="532"/>
      <c r="X53" s="532"/>
      <c r="Y53" s="886"/>
      <c r="Z53" s="553"/>
      <c r="AA53" s="532"/>
      <c r="AB53" s="532"/>
      <c r="AC53" s="532"/>
      <c r="AD53" s="553"/>
      <c r="AE53" s="532"/>
      <c r="AF53" s="532"/>
      <c r="AG53" s="532"/>
      <c r="AH53" s="553"/>
      <c r="AI53" s="532"/>
      <c r="AJ53" s="532"/>
      <c r="AK53" s="886"/>
    </row>
    <row r="54" spans="3:37">
      <c r="C54" s="978">
        <v>39539</v>
      </c>
      <c r="D54" s="553">
        <v>575.63199999999995</v>
      </c>
      <c r="E54" s="532">
        <v>578.41300000000001</v>
      </c>
      <c r="F54" s="532">
        <v>711.63</v>
      </c>
      <c r="G54" s="532">
        <v>717.03</v>
      </c>
      <c r="H54" s="532">
        <v>696.12800000000004</v>
      </c>
      <c r="I54" s="532"/>
      <c r="J54" s="532">
        <v>7.9884000000000004</v>
      </c>
      <c r="K54" s="886">
        <v>102.4</v>
      </c>
      <c r="L54" s="979">
        <f t="shared" si="0"/>
        <v>818.01216000000011</v>
      </c>
      <c r="M54" s="553">
        <f t="shared" si="4"/>
        <v>577.02250000000004</v>
      </c>
      <c r="N54" s="886">
        <f t="shared" si="1"/>
        <v>706.57899999999995</v>
      </c>
      <c r="O54" s="553">
        <f t="shared" si="2"/>
        <v>583.54090449226737</v>
      </c>
      <c r="P54" s="532">
        <f t="shared" si="3"/>
        <v>619.81938505124447</v>
      </c>
      <c r="Q54" s="532"/>
      <c r="R54" s="532"/>
      <c r="S54" s="553"/>
      <c r="T54" s="532"/>
      <c r="U54" s="532"/>
      <c r="V54" s="532"/>
      <c r="W54" s="532"/>
      <c r="X54" s="532"/>
      <c r="Y54" s="886"/>
      <c r="Z54" s="553"/>
      <c r="AA54" s="532"/>
      <c r="AB54" s="532"/>
      <c r="AC54" s="532"/>
      <c r="AD54" s="553"/>
      <c r="AE54" s="532"/>
      <c r="AF54" s="532"/>
      <c r="AG54" s="532"/>
      <c r="AH54" s="553"/>
      <c r="AI54" s="532"/>
      <c r="AJ54" s="532"/>
      <c r="AK54" s="886"/>
    </row>
    <row r="55" spans="3:37">
      <c r="C55" s="978">
        <v>39569</v>
      </c>
      <c r="D55" s="553">
        <v>606.63199999999995</v>
      </c>
      <c r="E55" s="532">
        <v>609.41300000000001</v>
      </c>
      <c r="F55" s="532">
        <v>758.63</v>
      </c>
      <c r="G55" s="532">
        <v>765.03</v>
      </c>
      <c r="H55" s="532">
        <v>749.12800000000004</v>
      </c>
      <c r="I55" s="532"/>
      <c r="J55" s="532">
        <v>7.8445999999999998</v>
      </c>
      <c r="K55" s="886">
        <v>108.37</v>
      </c>
      <c r="L55" s="979">
        <f t="shared" si="0"/>
        <v>850.11930200000006</v>
      </c>
      <c r="M55" s="553">
        <f t="shared" si="4"/>
        <v>608.02250000000004</v>
      </c>
      <c r="N55" s="886">
        <f t="shared" si="1"/>
        <v>757.07899999999995</v>
      </c>
      <c r="O55" s="553">
        <f t="shared" si="2"/>
        <v>605.73693072965727</v>
      </c>
      <c r="P55" s="532">
        <f t="shared" si="3"/>
        <v>644.40603805421972</v>
      </c>
      <c r="Q55" s="532"/>
      <c r="R55" s="532"/>
      <c r="S55" s="553"/>
      <c r="T55" s="532"/>
      <c r="U55" s="532"/>
      <c r="V55" s="532"/>
      <c r="W55" s="532"/>
      <c r="X55" s="532"/>
      <c r="Y55" s="886"/>
      <c r="Z55" s="553"/>
      <c r="AA55" s="532"/>
      <c r="AB55" s="532"/>
      <c r="AC55" s="532"/>
      <c r="AD55" s="553"/>
      <c r="AE55" s="532"/>
      <c r="AF55" s="532"/>
      <c r="AG55" s="532"/>
      <c r="AH55" s="553"/>
      <c r="AI55" s="532"/>
      <c r="AJ55" s="532"/>
      <c r="AK55" s="886"/>
    </row>
    <row r="56" spans="3:37">
      <c r="C56" s="978">
        <v>39600</v>
      </c>
      <c r="D56" s="553">
        <v>651.63199999999995</v>
      </c>
      <c r="E56" s="532">
        <v>654.41300000000001</v>
      </c>
      <c r="F56" s="532">
        <v>829.63</v>
      </c>
      <c r="G56" s="532">
        <v>835.03</v>
      </c>
      <c r="H56" s="532">
        <v>820.12800000000004</v>
      </c>
      <c r="I56" s="532"/>
      <c r="J56" s="532">
        <v>7.6433999999999997</v>
      </c>
      <c r="K56" s="886">
        <v>122.25</v>
      </c>
      <c r="L56" s="979">
        <f t="shared" si="0"/>
        <v>934.40564999999992</v>
      </c>
      <c r="M56" s="553">
        <f t="shared" si="4"/>
        <v>653.02250000000004</v>
      </c>
      <c r="N56" s="886">
        <f t="shared" si="1"/>
        <v>827.57899999999995</v>
      </c>
      <c r="O56" s="553">
        <f t="shared" si="2"/>
        <v>664.00502546265398</v>
      </c>
      <c r="P56" s="532">
        <f t="shared" si="3"/>
        <v>708.94990780021033</v>
      </c>
      <c r="Q56" s="532"/>
      <c r="R56" s="532"/>
      <c r="S56" s="553"/>
      <c r="T56" s="532"/>
      <c r="U56" s="532"/>
      <c r="V56" s="532"/>
      <c r="W56" s="532"/>
      <c r="X56" s="532"/>
      <c r="Y56" s="886"/>
      <c r="Z56" s="553"/>
      <c r="AA56" s="532"/>
      <c r="AB56" s="532"/>
      <c r="AC56" s="532"/>
      <c r="AD56" s="553"/>
      <c r="AE56" s="532"/>
      <c r="AF56" s="532"/>
      <c r="AG56" s="532"/>
      <c r="AH56" s="553"/>
      <c r="AI56" s="532"/>
      <c r="AJ56" s="532"/>
      <c r="AK56" s="886"/>
    </row>
    <row r="57" spans="3:37">
      <c r="C57" s="978">
        <v>39630</v>
      </c>
      <c r="D57" s="553">
        <v>723.23199999999997</v>
      </c>
      <c r="E57" s="532">
        <v>730.01300000000003</v>
      </c>
      <c r="F57" s="532">
        <v>892.63</v>
      </c>
      <c r="G57" s="532">
        <v>898.03</v>
      </c>
      <c r="H57" s="532">
        <v>869.12800000000004</v>
      </c>
      <c r="I57" s="532"/>
      <c r="J57" s="532">
        <v>7.9352</v>
      </c>
      <c r="K57" s="886">
        <v>131.54</v>
      </c>
      <c r="L57" s="979">
        <f t="shared" si="0"/>
        <v>1043.796208</v>
      </c>
      <c r="M57" s="553">
        <f t="shared" si="4"/>
        <v>726.62249999999995</v>
      </c>
      <c r="N57" s="886">
        <f t="shared" si="1"/>
        <v>883.57899999999995</v>
      </c>
      <c r="O57" s="553">
        <f t="shared" si="2"/>
        <v>739.62794124540198</v>
      </c>
      <c r="P57" s="532">
        <f t="shared" si="3"/>
        <v>792.71780253677241</v>
      </c>
      <c r="Q57" s="532"/>
      <c r="R57" s="532"/>
      <c r="S57" s="553"/>
      <c r="T57" s="532"/>
      <c r="U57" s="532"/>
      <c r="V57" s="532"/>
      <c r="W57" s="532"/>
      <c r="X57" s="532"/>
      <c r="Y57" s="886"/>
      <c r="Z57" s="553"/>
      <c r="AA57" s="532"/>
      <c r="AB57" s="532"/>
      <c r="AC57" s="532"/>
      <c r="AD57" s="553"/>
      <c r="AE57" s="532"/>
      <c r="AF57" s="532"/>
      <c r="AG57" s="532"/>
      <c r="AH57" s="553"/>
      <c r="AI57" s="532"/>
      <c r="AJ57" s="532"/>
      <c r="AK57" s="886"/>
    </row>
    <row r="58" spans="3:37">
      <c r="C58" s="978">
        <v>39661</v>
      </c>
      <c r="D58" s="553">
        <v>682.63199999999995</v>
      </c>
      <c r="E58" s="532">
        <v>692.41300000000001</v>
      </c>
      <c r="F58" s="532">
        <v>870.63</v>
      </c>
      <c r="G58" s="532">
        <v>875.03</v>
      </c>
      <c r="H58" s="532">
        <v>867.12800000000004</v>
      </c>
      <c r="I58" s="532"/>
      <c r="J58" s="532">
        <v>7.6814</v>
      </c>
      <c r="K58" s="886">
        <v>133.63999999999999</v>
      </c>
      <c r="L58" s="979">
        <f t="shared" si="0"/>
        <v>1026.5422959999999</v>
      </c>
      <c r="M58" s="553">
        <f t="shared" si="4"/>
        <v>687.52250000000004</v>
      </c>
      <c r="N58" s="886">
        <f t="shared" si="1"/>
        <v>871.07899999999995</v>
      </c>
      <c r="O58" s="553">
        <f t="shared" si="2"/>
        <v>727.70011897303584</v>
      </c>
      <c r="P58" s="532">
        <f t="shared" si="3"/>
        <v>779.50529214615972</v>
      </c>
      <c r="Q58" s="532"/>
      <c r="R58" s="532"/>
      <c r="S58" s="553"/>
      <c r="T58" s="532"/>
      <c r="U58" s="532"/>
      <c r="V58" s="532"/>
      <c r="W58" s="532"/>
      <c r="X58" s="532"/>
      <c r="Y58" s="886"/>
      <c r="Z58" s="553"/>
      <c r="AA58" s="532"/>
      <c r="AB58" s="532"/>
      <c r="AC58" s="532"/>
      <c r="AD58" s="553"/>
      <c r="AE58" s="532"/>
      <c r="AF58" s="532"/>
      <c r="AG58" s="532"/>
      <c r="AH58" s="553"/>
      <c r="AI58" s="532"/>
      <c r="AJ58" s="532"/>
      <c r="AK58" s="886"/>
    </row>
    <row r="59" spans="3:37">
      <c r="C59" s="978">
        <v>39692</v>
      </c>
      <c r="D59" s="553">
        <v>593.63199999999995</v>
      </c>
      <c r="E59" s="532">
        <v>598.41300000000001</v>
      </c>
      <c r="F59" s="532">
        <v>706.63</v>
      </c>
      <c r="G59" s="532">
        <v>709.03</v>
      </c>
      <c r="H59" s="532">
        <v>721.12800000000004</v>
      </c>
      <c r="I59" s="532"/>
      <c r="J59" s="532">
        <v>7.6844999999999999</v>
      </c>
      <c r="K59" s="886">
        <v>113</v>
      </c>
      <c r="L59" s="979">
        <f t="shared" si="0"/>
        <v>868.34849999999994</v>
      </c>
      <c r="M59" s="553">
        <f t="shared" ref="M59:M90" si="5">AVERAGE(D59:E59)</f>
        <v>596.02250000000004</v>
      </c>
      <c r="N59" s="886">
        <f t="shared" ref="N59:N90" si="6">AVERAGE(G59:H59)</f>
        <v>715.07899999999995</v>
      </c>
      <c r="O59" s="553">
        <f t="shared" si="2"/>
        <v>618.33897911797453</v>
      </c>
      <c r="P59" s="532">
        <f t="shared" si="3"/>
        <v>658.36539219880638</v>
      </c>
      <c r="Q59" s="532"/>
      <c r="R59" s="532"/>
      <c r="S59" s="553"/>
      <c r="T59" s="532"/>
      <c r="U59" s="532"/>
      <c r="V59" s="532"/>
      <c r="W59" s="532"/>
      <c r="X59" s="532"/>
      <c r="Y59" s="886"/>
      <c r="Z59" s="553"/>
      <c r="AA59" s="532"/>
      <c r="AB59" s="532"/>
      <c r="AC59" s="532"/>
      <c r="AD59" s="553"/>
      <c r="AE59" s="532"/>
      <c r="AF59" s="532"/>
      <c r="AG59" s="532"/>
      <c r="AH59" s="553"/>
      <c r="AI59" s="532"/>
      <c r="AJ59" s="532"/>
      <c r="AK59" s="886"/>
    </row>
    <row r="60" spans="3:37">
      <c r="C60" s="978">
        <v>39722</v>
      </c>
      <c r="D60" s="553">
        <v>564.03200000000004</v>
      </c>
      <c r="E60" s="532">
        <v>570.81299999999999</v>
      </c>
      <c r="F60" s="532">
        <v>650.63</v>
      </c>
      <c r="G60" s="532">
        <v>654.03</v>
      </c>
      <c r="H60" s="532">
        <v>656.12800000000004</v>
      </c>
      <c r="I60" s="532"/>
      <c r="J60" s="532">
        <v>8.0182000000000002</v>
      </c>
      <c r="K60" s="886">
        <v>99.08</v>
      </c>
      <c r="L60" s="979">
        <f t="shared" si="0"/>
        <v>794.44325600000002</v>
      </c>
      <c r="M60" s="553">
        <f t="shared" si="5"/>
        <v>567.42250000000001</v>
      </c>
      <c r="N60" s="886">
        <f t="shared" si="6"/>
        <v>655.07899999999995</v>
      </c>
      <c r="O60" s="553">
        <f t="shared" si="2"/>
        <v>567.24745764575175</v>
      </c>
      <c r="P60" s="532">
        <f t="shared" si="3"/>
        <v>601.77104975224961</v>
      </c>
      <c r="Q60" s="532"/>
      <c r="R60" s="532"/>
      <c r="S60" s="553"/>
      <c r="T60" s="532"/>
      <c r="U60" s="532"/>
      <c r="V60" s="532"/>
      <c r="W60" s="532"/>
      <c r="X60" s="532"/>
      <c r="Y60" s="886"/>
      <c r="Z60" s="553"/>
      <c r="AA60" s="532"/>
      <c r="AB60" s="532"/>
      <c r="AC60" s="532"/>
      <c r="AD60" s="553"/>
      <c r="AE60" s="532"/>
      <c r="AF60" s="532"/>
      <c r="AG60" s="532"/>
      <c r="AH60" s="553"/>
      <c r="AI60" s="532"/>
      <c r="AJ60" s="532"/>
      <c r="AK60" s="886"/>
    </row>
    <row r="61" spans="3:37">
      <c r="C61" s="978">
        <v>39753</v>
      </c>
      <c r="D61" s="553">
        <v>519.03200000000004</v>
      </c>
      <c r="E61" s="532">
        <v>525.81299999999999</v>
      </c>
      <c r="F61" s="532">
        <v>626.63</v>
      </c>
      <c r="G61" s="532">
        <v>633.03</v>
      </c>
      <c r="H61" s="532">
        <v>617.12800000000004</v>
      </c>
      <c r="I61" s="532"/>
      <c r="J61" s="532">
        <v>9.5900999999999996</v>
      </c>
      <c r="K61" s="886">
        <v>75.33</v>
      </c>
      <c r="L61" s="979">
        <f t="shared" si="0"/>
        <v>722.42223300000001</v>
      </c>
      <c r="M61" s="553">
        <f t="shared" si="5"/>
        <v>522.42250000000001</v>
      </c>
      <c r="N61" s="886">
        <f t="shared" si="6"/>
        <v>625.07899999999995</v>
      </c>
      <c r="O61" s="553">
        <f t="shared" si="2"/>
        <v>517.45851921729661</v>
      </c>
      <c r="P61" s="532">
        <f t="shared" si="3"/>
        <v>546.61958527682827</v>
      </c>
      <c r="Q61" s="532"/>
      <c r="R61" s="532"/>
      <c r="S61" s="553"/>
      <c r="T61" s="532"/>
      <c r="U61" s="532"/>
      <c r="V61" s="532"/>
      <c r="W61" s="532"/>
      <c r="X61" s="532"/>
      <c r="Y61" s="886"/>
      <c r="Z61" s="553"/>
      <c r="AA61" s="532"/>
      <c r="AB61" s="532"/>
      <c r="AC61" s="532"/>
      <c r="AD61" s="553"/>
      <c r="AE61" s="532"/>
      <c r="AF61" s="532"/>
      <c r="AG61" s="532"/>
      <c r="AH61" s="553"/>
      <c r="AI61" s="532"/>
      <c r="AJ61" s="532"/>
      <c r="AK61" s="886"/>
    </row>
    <row r="62" spans="3:37">
      <c r="C62" s="978">
        <v>39783</v>
      </c>
      <c r="D62" s="553">
        <v>358.03199999999998</v>
      </c>
      <c r="E62" s="532">
        <v>364.81299999999999</v>
      </c>
      <c r="F62" s="532">
        <v>545.63</v>
      </c>
      <c r="G62" s="532">
        <v>553.03</v>
      </c>
      <c r="H62" s="532">
        <v>542.12800000000004</v>
      </c>
      <c r="I62" s="532"/>
      <c r="J62" s="532">
        <v>10.1823</v>
      </c>
      <c r="K62" s="886">
        <v>53.11</v>
      </c>
      <c r="L62" s="979">
        <f t="shared" si="0"/>
        <v>540.78195299999993</v>
      </c>
      <c r="M62" s="553">
        <f t="shared" si="5"/>
        <v>361.42250000000001</v>
      </c>
      <c r="N62" s="886">
        <f t="shared" si="6"/>
        <v>547.57899999999995</v>
      </c>
      <c r="O62" s="553">
        <f t="shared" si="2"/>
        <v>391.88856283043225</v>
      </c>
      <c r="P62" s="532">
        <f t="shared" si="3"/>
        <v>407.52509546757381</v>
      </c>
      <c r="Q62" s="532"/>
      <c r="R62" s="532"/>
      <c r="S62" s="553"/>
      <c r="T62" s="532"/>
      <c r="U62" s="532"/>
      <c r="V62" s="532"/>
      <c r="W62" s="532"/>
      <c r="X62" s="532"/>
      <c r="Y62" s="886"/>
      <c r="Z62" s="553"/>
      <c r="AA62" s="532"/>
      <c r="AB62" s="532"/>
      <c r="AC62" s="532"/>
      <c r="AD62" s="553"/>
      <c r="AE62" s="532"/>
      <c r="AF62" s="532"/>
      <c r="AG62" s="532"/>
      <c r="AH62" s="553"/>
      <c r="AI62" s="532"/>
      <c r="AJ62" s="532"/>
      <c r="AK62" s="886"/>
    </row>
    <row r="63" spans="3:37">
      <c r="C63" s="978">
        <v>39814</v>
      </c>
      <c r="D63" s="553">
        <v>265.98200000000003</v>
      </c>
      <c r="E63" s="532">
        <v>274.76299999999998</v>
      </c>
      <c r="F63" s="532">
        <v>421.63</v>
      </c>
      <c r="G63" s="532">
        <v>431.03</v>
      </c>
      <c r="H63" s="532">
        <v>405.12799999999999</v>
      </c>
      <c r="I63" s="532"/>
      <c r="J63" s="532">
        <v>9.9518000000000004</v>
      </c>
      <c r="K63" s="886">
        <v>39.988999999999997</v>
      </c>
      <c r="L63" s="979">
        <f t="shared" si="0"/>
        <v>397.9625302</v>
      </c>
      <c r="M63" s="553">
        <f t="shared" si="5"/>
        <v>270.3725</v>
      </c>
      <c r="N63" s="886">
        <f t="shared" si="6"/>
        <v>418.07899999999995</v>
      </c>
      <c r="O63" s="553">
        <f t="shared" si="2"/>
        <v>293.15589906117839</v>
      </c>
      <c r="P63" s="532">
        <f t="shared" si="3"/>
        <v>298.1584134231606</v>
      </c>
      <c r="Q63" s="532"/>
      <c r="R63" s="532"/>
      <c r="S63" s="553"/>
      <c r="T63" s="532"/>
      <c r="U63" s="532"/>
      <c r="V63" s="532"/>
      <c r="W63" s="532"/>
      <c r="X63" s="532"/>
      <c r="Y63" s="886"/>
      <c r="Z63" s="553"/>
      <c r="AA63" s="532"/>
      <c r="AB63" s="532"/>
      <c r="AC63" s="532"/>
      <c r="AD63" s="553"/>
      <c r="AE63" s="532"/>
      <c r="AF63" s="532"/>
      <c r="AG63" s="532"/>
      <c r="AH63" s="553"/>
      <c r="AI63" s="532"/>
      <c r="AJ63" s="532"/>
      <c r="AK63" s="886"/>
    </row>
    <row r="64" spans="3:37">
      <c r="C64" s="978">
        <v>39845</v>
      </c>
      <c r="D64" s="553">
        <v>326.98200000000003</v>
      </c>
      <c r="E64" s="532">
        <v>335.76299999999998</v>
      </c>
      <c r="F64" s="532">
        <v>416.63</v>
      </c>
      <c r="G64" s="532">
        <v>424.03</v>
      </c>
      <c r="H64" s="532">
        <v>391.12799999999999</v>
      </c>
      <c r="I64" s="532"/>
      <c r="J64" s="532">
        <v>9.9331999999999994</v>
      </c>
      <c r="K64" s="886">
        <v>43.548000000000002</v>
      </c>
      <c r="L64" s="979">
        <f t="shared" si="0"/>
        <v>432.57099360000001</v>
      </c>
      <c r="M64" s="553">
        <f t="shared" si="5"/>
        <v>331.3725</v>
      </c>
      <c r="N64" s="886">
        <f t="shared" si="6"/>
        <v>407.57899999999995</v>
      </c>
      <c r="O64" s="553">
        <f t="shared" si="2"/>
        <v>317.08111674832571</v>
      </c>
      <c r="P64" s="532">
        <f t="shared" si="3"/>
        <v>324.66050073388953</v>
      </c>
      <c r="Q64" s="532"/>
      <c r="R64" s="532"/>
      <c r="S64" s="553"/>
      <c r="T64" s="532"/>
      <c r="U64" s="532"/>
      <c r="V64" s="532"/>
      <c r="W64" s="532"/>
      <c r="X64" s="532"/>
      <c r="Y64" s="886"/>
      <c r="Z64" s="553"/>
      <c r="AA64" s="532"/>
      <c r="AB64" s="532"/>
      <c r="AC64" s="532"/>
      <c r="AD64" s="553"/>
      <c r="AE64" s="532"/>
      <c r="AF64" s="532"/>
      <c r="AG64" s="532"/>
      <c r="AH64" s="553"/>
      <c r="AI64" s="532"/>
      <c r="AJ64" s="532"/>
      <c r="AK64" s="886"/>
    </row>
    <row r="65" spans="3:47">
      <c r="C65" s="978">
        <v>39873</v>
      </c>
      <c r="D65" s="553">
        <v>371.98200000000003</v>
      </c>
      <c r="E65" s="532">
        <v>380.76299999999998</v>
      </c>
      <c r="F65" s="532">
        <v>378.63</v>
      </c>
      <c r="G65" s="532">
        <v>386.03</v>
      </c>
      <c r="H65" s="532">
        <v>365.12799999999999</v>
      </c>
      <c r="I65" s="532"/>
      <c r="J65" s="532">
        <v>10.0602</v>
      </c>
      <c r="K65" s="886">
        <v>43.07</v>
      </c>
      <c r="L65" s="979">
        <f t="shared" si="0"/>
        <v>433.29281400000002</v>
      </c>
      <c r="M65" s="553">
        <f t="shared" si="5"/>
        <v>376.3725</v>
      </c>
      <c r="N65" s="886">
        <f t="shared" si="6"/>
        <v>375.57899999999995</v>
      </c>
      <c r="O65" s="553">
        <f t="shared" si="2"/>
        <v>317.58011926113369</v>
      </c>
      <c r="P65" s="532">
        <f t="shared" si="3"/>
        <v>325.21324839686338</v>
      </c>
      <c r="Q65" s="532"/>
      <c r="R65" s="532"/>
      <c r="S65" s="553"/>
      <c r="T65" s="532"/>
      <c r="U65" s="532"/>
      <c r="V65" s="532"/>
      <c r="W65" s="532"/>
      <c r="X65" s="532"/>
      <c r="Y65" s="886"/>
      <c r="Z65" s="553"/>
      <c r="AA65" s="532"/>
      <c r="AB65" s="532"/>
      <c r="AC65" s="532"/>
      <c r="AD65" s="553"/>
      <c r="AE65" s="532"/>
      <c r="AF65" s="532"/>
      <c r="AG65" s="532"/>
      <c r="AH65" s="553"/>
      <c r="AI65" s="532"/>
      <c r="AJ65" s="532"/>
      <c r="AK65" s="886"/>
    </row>
    <row r="66" spans="3:47">
      <c r="C66" s="978">
        <v>39904</v>
      </c>
      <c r="D66" s="553">
        <v>367.48200000000003</v>
      </c>
      <c r="E66" s="532">
        <v>371.26299999999998</v>
      </c>
      <c r="F66" s="532">
        <v>376.63</v>
      </c>
      <c r="G66" s="532">
        <v>384.03</v>
      </c>
      <c r="H66" s="532">
        <v>360.12799999999999</v>
      </c>
      <c r="I66" s="532"/>
      <c r="J66" s="532">
        <v>10.0655</v>
      </c>
      <c r="K66" s="886">
        <v>46.543999999999997</v>
      </c>
      <c r="L66" s="979">
        <f t="shared" si="0"/>
        <v>468.488632</v>
      </c>
      <c r="M66" s="553">
        <f t="shared" si="5"/>
        <v>369.3725</v>
      </c>
      <c r="N66" s="886">
        <f t="shared" si="6"/>
        <v>372.07899999999995</v>
      </c>
      <c r="O66" s="553">
        <f t="shared" si="2"/>
        <v>341.9113817501588</v>
      </c>
      <c r="P66" s="532">
        <f t="shared" si="3"/>
        <v>352.16511363363446</v>
      </c>
      <c r="Q66" s="532"/>
      <c r="R66" s="532"/>
      <c r="S66" s="553"/>
      <c r="T66" s="532"/>
      <c r="U66" s="532"/>
      <c r="V66" s="532"/>
      <c r="W66" s="532"/>
      <c r="X66" s="532"/>
      <c r="Y66" s="886"/>
      <c r="Z66" s="553"/>
      <c r="AA66" s="532"/>
      <c r="AB66" s="532"/>
      <c r="AC66" s="532"/>
      <c r="AD66" s="553"/>
      <c r="AE66" s="532"/>
      <c r="AF66" s="532"/>
      <c r="AG66" s="532"/>
      <c r="AH66" s="553"/>
      <c r="AI66" s="532"/>
      <c r="AJ66" s="532"/>
      <c r="AK66" s="886"/>
    </row>
    <row r="67" spans="3:47">
      <c r="C67" s="978">
        <v>39934</v>
      </c>
      <c r="D67" s="553">
        <v>364.48200000000003</v>
      </c>
      <c r="E67" s="532">
        <v>368.26299999999998</v>
      </c>
      <c r="F67" s="532">
        <v>384.63</v>
      </c>
      <c r="G67" s="532">
        <v>390.03</v>
      </c>
      <c r="H67" s="532">
        <v>373.12799999999999</v>
      </c>
      <c r="I67" s="532"/>
      <c r="J67" s="532">
        <v>9.1531000000000002</v>
      </c>
      <c r="K67" s="886">
        <v>50.274000000000001</v>
      </c>
      <c r="L67" s="979">
        <f t="shared" si="0"/>
        <v>460.1629494</v>
      </c>
      <c r="M67" s="553">
        <f t="shared" si="5"/>
        <v>366.3725</v>
      </c>
      <c r="N67" s="886">
        <f t="shared" si="6"/>
        <v>381.57899999999995</v>
      </c>
      <c r="O67" s="553">
        <f t="shared" si="2"/>
        <v>336.15574428377261</v>
      </c>
      <c r="P67" s="532">
        <f t="shared" si="3"/>
        <v>345.78956425900907</v>
      </c>
      <c r="Q67" s="532"/>
      <c r="R67" s="532"/>
      <c r="S67" s="553"/>
      <c r="T67" s="532"/>
      <c r="U67" s="532"/>
      <c r="V67" s="532"/>
      <c r="W67" s="532"/>
      <c r="X67" s="532"/>
      <c r="Y67" s="886"/>
      <c r="Z67" s="553"/>
      <c r="AA67" s="532"/>
      <c r="AB67" s="532"/>
      <c r="AC67" s="532"/>
      <c r="AD67" s="553"/>
      <c r="AE67" s="532"/>
      <c r="AF67" s="532"/>
      <c r="AG67" s="532"/>
      <c r="AH67" s="553"/>
      <c r="AI67" s="532"/>
      <c r="AJ67" s="532"/>
      <c r="AK67" s="886"/>
      <c r="AR67" s="430" t="s">
        <v>14038</v>
      </c>
    </row>
    <row r="68" spans="3:47">
      <c r="C68" s="978">
        <v>39965</v>
      </c>
      <c r="D68" s="553">
        <v>379.38200000000001</v>
      </c>
      <c r="E68" s="532">
        <v>383.16300000000001</v>
      </c>
      <c r="F68" s="532">
        <v>371.63</v>
      </c>
      <c r="G68" s="532">
        <v>376.03</v>
      </c>
      <c r="H68" s="532">
        <v>364.12799999999999</v>
      </c>
      <c r="I68" s="532"/>
      <c r="J68" s="532">
        <v>8.4370999999999992</v>
      </c>
      <c r="K68" s="886">
        <v>56.576999999999998</v>
      </c>
      <c r="L68" s="979">
        <f t="shared" si="0"/>
        <v>477.34580669999991</v>
      </c>
      <c r="M68" s="553">
        <f t="shared" si="5"/>
        <v>381.27250000000004</v>
      </c>
      <c r="N68" s="886">
        <f t="shared" si="6"/>
        <v>370.07899999999995</v>
      </c>
      <c r="O68" s="553">
        <f t="shared" si="2"/>
        <v>348.03444564760395</v>
      </c>
      <c r="P68" s="532">
        <f t="shared" si="3"/>
        <v>358.94766316531286</v>
      </c>
      <c r="Q68" s="532"/>
      <c r="R68" s="532"/>
      <c r="S68" s="553"/>
      <c r="T68" s="532"/>
      <c r="U68" s="532"/>
      <c r="V68" s="532"/>
      <c r="W68" s="532"/>
      <c r="X68" s="532"/>
      <c r="Y68" s="886"/>
      <c r="Z68" s="553"/>
      <c r="AA68" s="532"/>
      <c r="AB68" s="532"/>
      <c r="AC68" s="532"/>
      <c r="AD68" s="553"/>
      <c r="AE68" s="532"/>
      <c r="AF68" s="532"/>
      <c r="AG68" s="532"/>
      <c r="AH68" s="553"/>
      <c r="AI68" s="532"/>
      <c r="AJ68" s="532"/>
      <c r="AK68" s="886"/>
    </row>
    <row r="69" spans="3:47">
      <c r="C69" s="978">
        <v>39995</v>
      </c>
      <c r="D69" s="553">
        <v>416.38200000000001</v>
      </c>
      <c r="E69" s="532">
        <v>423.16300000000001</v>
      </c>
      <c r="F69" s="532">
        <v>411.63</v>
      </c>
      <c r="G69" s="532">
        <v>416.03</v>
      </c>
      <c r="H69" s="532">
        <v>410.12799999999999</v>
      </c>
      <c r="I69" s="532"/>
      <c r="J69" s="532">
        <v>8.1092999999999993</v>
      </c>
      <c r="K69" s="886">
        <v>68.34</v>
      </c>
      <c r="L69" s="979">
        <f t="shared" si="0"/>
        <v>554.18956200000002</v>
      </c>
      <c r="M69" s="553">
        <f t="shared" si="5"/>
        <v>419.77250000000004</v>
      </c>
      <c r="N69" s="886">
        <f t="shared" si="6"/>
        <v>413.07899999999995</v>
      </c>
      <c r="O69" s="553">
        <f t="shared" si="2"/>
        <v>401.1573928354407</v>
      </c>
      <c r="P69" s="532">
        <f t="shared" si="3"/>
        <v>417.79222637827809</v>
      </c>
      <c r="Q69" s="532"/>
      <c r="R69" s="532"/>
      <c r="S69" s="553"/>
      <c r="T69" s="532"/>
      <c r="U69" s="532"/>
      <c r="V69" s="532"/>
      <c r="W69" s="532"/>
      <c r="X69" s="532"/>
      <c r="Y69" s="886"/>
      <c r="Z69" s="553"/>
      <c r="AA69" s="532"/>
      <c r="AB69" s="532"/>
      <c r="AC69" s="532"/>
      <c r="AD69" s="553"/>
      <c r="AE69" s="532"/>
      <c r="AF69" s="532"/>
      <c r="AG69" s="532"/>
      <c r="AH69" s="553"/>
      <c r="AI69" s="532"/>
      <c r="AJ69" s="532"/>
      <c r="AK69" s="886"/>
    </row>
    <row r="70" spans="3:47">
      <c r="C70" s="978">
        <v>40026</v>
      </c>
      <c r="D70" s="553">
        <v>389.98099999999999</v>
      </c>
      <c r="E70" s="532">
        <v>396.76299999999998</v>
      </c>
      <c r="F70" s="532">
        <v>391.63</v>
      </c>
      <c r="G70" s="532">
        <v>395.03</v>
      </c>
      <c r="H70" s="532">
        <v>396.12799999999999</v>
      </c>
      <c r="I70" s="532"/>
      <c r="J70" s="532">
        <v>7.984</v>
      </c>
      <c r="K70" s="886">
        <v>64.89</v>
      </c>
      <c r="L70" s="979">
        <f t="shared" si="0"/>
        <v>518.08176000000003</v>
      </c>
      <c r="M70" s="553">
        <f t="shared" si="5"/>
        <v>393.37199999999996</v>
      </c>
      <c r="N70" s="886">
        <f t="shared" si="6"/>
        <v>395.57899999999995</v>
      </c>
      <c r="O70" s="553">
        <f t="shared" si="2"/>
        <v>376.19566561081007</v>
      </c>
      <c r="P70" s="532">
        <f t="shared" si="3"/>
        <v>390.14199209476135</v>
      </c>
      <c r="Q70" s="532"/>
      <c r="R70" s="532"/>
      <c r="S70" s="553"/>
      <c r="T70" s="532"/>
      <c r="U70" s="532"/>
      <c r="V70" s="532"/>
      <c r="W70" s="532"/>
      <c r="X70" s="532"/>
      <c r="Y70" s="886"/>
      <c r="Z70" s="553"/>
      <c r="AA70" s="532"/>
      <c r="AB70" s="532"/>
      <c r="AC70" s="532"/>
      <c r="AD70" s="553"/>
      <c r="AE70" s="532"/>
      <c r="AF70" s="532"/>
      <c r="AG70" s="532"/>
      <c r="AH70" s="553"/>
      <c r="AI70" s="532"/>
      <c r="AJ70" s="532"/>
      <c r="AK70" s="886"/>
      <c r="AQ70" s="1374">
        <v>100</v>
      </c>
      <c r="AR70" s="1375">
        <v>100</v>
      </c>
    </row>
    <row r="71" spans="3:47">
      <c r="C71" s="978">
        <v>40057</v>
      </c>
      <c r="D71" s="553">
        <v>425.928</v>
      </c>
      <c r="E71" s="532">
        <v>432.76299999999998</v>
      </c>
      <c r="F71" s="532">
        <v>426.63</v>
      </c>
      <c r="G71" s="532">
        <v>431.03</v>
      </c>
      <c r="H71" s="532">
        <v>417.12799999999999</v>
      </c>
      <c r="I71" s="532"/>
      <c r="J71" s="532">
        <v>7.9912999999999998</v>
      </c>
      <c r="K71" s="886">
        <v>72.66</v>
      </c>
      <c r="L71" s="979">
        <f t="shared" si="0"/>
        <v>580.64785799999993</v>
      </c>
      <c r="M71" s="553">
        <f t="shared" si="5"/>
        <v>429.34550000000002</v>
      </c>
      <c r="N71" s="886">
        <f t="shared" si="6"/>
        <v>424.07899999999995</v>
      </c>
      <c r="O71" s="553">
        <f t="shared" si="2"/>
        <v>419.44830867630344</v>
      </c>
      <c r="P71" s="532">
        <f t="shared" si="3"/>
        <v>438.05316840799873</v>
      </c>
      <c r="Q71" s="532"/>
      <c r="R71" s="532"/>
      <c r="S71" s="553"/>
      <c r="T71" s="532"/>
      <c r="U71" s="532"/>
      <c r="V71" s="532"/>
      <c r="W71" s="532"/>
      <c r="X71" s="532"/>
      <c r="Y71" s="886"/>
      <c r="Z71" s="553"/>
      <c r="AA71" s="532"/>
      <c r="AB71" s="532"/>
      <c r="AC71" s="532"/>
      <c r="AD71" s="553"/>
      <c r="AE71" s="532"/>
      <c r="AF71" s="532"/>
      <c r="AG71" s="532"/>
      <c r="AH71" s="553"/>
      <c r="AI71" s="532"/>
      <c r="AJ71" s="532"/>
      <c r="AK71" s="886"/>
      <c r="AQ71" s="1372">
        <f>0.4706</f>
        <v>0.47060000000000002</v>
      </c>
      <c r="AR71" s="1373">
        <v>0.33400000000000002</v>
      </c>
    </row>
    <row r="72" spans="3:47">
      <c r="C72" s="978">
        <v>40087</v>
      </c>
      <c r="D72" s="553">
        <v>379.48200000000003</v>
      </c>
      <c r="E72" s="532">
        <v>385.26299999999998</v>
      </c>
      <c r="F72" s="532">
        <v>386.63</v>
      </c>
      <c r="G72" s="532">
        <v>390.03</v>
      </c>
      <c r="H72" s="532">
        <v>382.12799999999999</v>
      </c>
      <c r="I72" s="532"/>
      <c r="J72" s="532">
        <v>7.5763999999999996</v>
      </c>
      <c r="K72" s="886">
        <v>67.84</v>
      </c>
      <c r="L72" s="979">
        <f t="shared" si="0"/>
        <v>513.98297600000001</v>
      </c>
      <c r="M72" s="553">
        <f t="shared" si="5"/>
        <v>382.3725</v>
      </c>
      <c r="N72" s="886">
        <f t="shared" si="6"/>
        <v>386.07899999999995</v>
      </c>
      <c r="O72" s="553">
        <f t="shared" si="2"/>
        <v>373.36213040529742</v>
      </c>
      <c r="P72" s="532">
        <f t="shared" si="3"/>
        <v>387.0032704999789</v>
      </c>
      <c r="Q72" s="532"/>
      <c r="R72" s="532"/>
      <c r="S72" s="553"/>
      <c r="T72" s="532"/>
      <c r="U72" s="532"/>
      <c r="V72" s="532"/>
      <c r="W72" s="532"/>
      <c r="X72" s="532"/>
      <c r="Y72" s="886"/>
      <c r="Z72" s="553"/>
      <c r="AA72" s="532"/>
      <c r="AB72" s="532"/>
      <c r="AC72" s="532"/>
      <c r="AD72" s="553"/>
      <c r="AE72" s="532"/>
      <c r="AF72" s="532"/>
      <c r="AG72" s="532"/>
      <c r="AH72" s="553"/>
      <c r="AI72" s="532"/>
      <c r="AJ72" s="532"/>
      <c r="AK72" s="886"/>
      <c r="AQ72" s="1372">
        <v>77.042000000000002</v>
      </c>
      <c r="AR72" s="1373">
        <v>50.293999999999997</v>
      </c>
    </row>
    <row r="73" spans="3:47">
      <c r="C73" s="978">
        <v>40118</v>
      </c>
      <c r="D73" s="553">
        <v>379.48200000000003</v>
      </c>
      <c r="E73" s="532">
        <v>385.26299999999998</v>
      </c>
      <c r="F73" s="532">
        <v>396.63</v>
      </c>
      <c r="G73" s="532">
        <v>398.03</v>
      </c>
      <c r="H73" s="532">
        <v>396.12799999999999</v>
      </c>
      <c r="I73" s="532"/>
      <c r="J73" s="532">
        <v>7.4988000000000001</v>
      </c>
      <c r="K73" s="886">
        <v>72.92</v>
      </c>
      <c r="L73" s="979">
        <f t="shared" si="0"/>
        <v>546.81249600000001</v>
      </c>
      <c r="M73" s="553">
        <f t="shared" si="5"/>
        <v>382.3725</v>
      </c>
      <c r="N73" s="886">
        <f t="shared" si="6"/>
        <v>397.07899999999995</v>
      </c>
      <c r="O73" s="553">
        <f t="shared" si="2"/>
        <v>396.05754463060958</v>
      </c>
      <c r="P73" s="532">
        <f t="shared" si="3"/>
        <v>412.14309815870473</v>
      </c>
      <c r="Q73" s="532"/>
      <c r="R73" s="532"/>
      <c r="S73" s="553"/>
      <c r="T73" s="532"/>
      <c r="U73" s="532"/>
      <c r="V73" s="532"/>
      <c r="W73" s="532"/>
      <c r="X73" s="532"/>
      <c r="Y73" s="886"/>
      <c r="Z73" s="553"/>
      <c r="AA73" s="532"/>
      <c r="AB73" s="532"/>
      <c r="AC73" s="532"/>
      <c r="AD73" s="553"/>
      <c r="AE73" s="532"/>
      <c r="AF73" s="532"/>
      <c r="AG73" s="532"/>
      <c r="AH73" s="553"/>
      <c r="AI73" s="532"/>
      <c r="AJ73" s="532"/>
      <c r="AK73" s="886"/>
      <c r="AL73" s="430" t="str">
        <f>L25</f>
        <v>Crude in Rands</v>
      </c>
      <c r="AP73" s="430" t="s">
        <v>13977</v>
      </c>
      <c r="AQ73" s="607">
        <f>AQ70*AQ$71+AQ$72</f>
        <v>124.102</v>
      </c>
      <c r="AR73" s="607">
        <f>AR70*AR$71+AR$72</f>
        <v>83.693999999999988</v>
      </c>
    </row>
    <row r="74" spans="3:47">
      <c r="C74" s="978">
        <v>40148</v>
      </c>
      <c r="D74" s="553">
        <v>406.48200000000003</v>
      </c>
      <c r="E74" s="532">
        <v>412.26299999999998</v>
      </c>
      <c r="F74" s="532">
        <v>421.63</v>
      </c>
      <c r="G74" s="532">
        <v>424.03</v>
      </c>
      <c r="H74" s="532">
        <v>425.12799999999999</v>
      </c>
      <c r="I74" s="532"/>
      <c r="J74" s="532">
        <v>7.5721999999999996</v>
      </c>
      <c r="K74" s="886">
        <v>76.599999999999994</v>
      </c>
      <c r="L74" s="979">
        <f t="shared" si="0"/>
        <v>580.03051999999991</v>
      </c>
      <c r="M74" s="553">
        <f t="shared" si="5"/>
        <v>409.3725</v>
      </c>
      <c r="N74" s="886">
        <f t="shared" si="6"/>
        <v>424.57899999999995</v>
      </c>
      <c r="O74" s="553">
        <f t="shared" si="2"/>
        <v>419.02153601477727</v>
      </c>
      <c r="P74" s="532">
        <f t="shared" si="3"/>
        <v>437.58043012467374</v>
      </c>
      <c r="Q74" s="532"/>
      <c r="R74" s="532"/>
      <c r="S74" s="553"/>
      <c r="T74" s="532"/>
      <c r="U74" s="532"/>
      <c r="V74" s="532"/>
      <c r="W74" s="532"/>
      <c r="X74" s="532"/>
      <c r="Y74" s="886"/>
      <c r="Z74" s="553"/>
      <c r="AA74" s="532"/>
      <c r="AB74" s="532"/>
      <c r="AC74" s="532"/>
      <c r="AD74" s="553"/>
      <c r="AE74" s="532"/>
      <c r="AF74" s="532"/>
      <c r="AG74" s="532"/>
      <c r="AH74" s="553"/>
      <c r="AI74" s="532"/>
      <c r="AJ74" s="532"/>
      <c r="AK74" s="886"/>
      <c r="AL74" s="430" t="s">
        <v>13986</v>
      </c>
      <c r="AQ74" s="430" t="s">
        <v>13987</v>
      </c>
      <c r="AR74" s="430" t="s">
        <v>13988</v>
      </c>
      <c r="AT74" s="430" t="s">
        <v>13989</v>
      </c>
      <c r="AU74" s="430" t="s">
        <v>13990</v>
      </c>
    </row>
    <row r="75" spans="3:47">
      <c r="C75" s="978">
        <v>40179</v>
      </c>
      <c r="D75" s="553">
        <v>397.48200000000003</v>
      </c>
      <c r="E75" s="532">
        <v>406.26299999999998</v>
      </c>
      <c r="F75" s="532">
        <v>407.63</v>
      </c>
      <c r="G75" s="532">
        <v>410.03</v>
      </c>
      <c r="H75" s="532">
        <v>413.12799999999999</v>
      </c>
      <c r="I75" s="532"/>
      <c r="J75" s="532">
        <v>7.5246000000000004</v>
      </c>
      <c r="K75" s="886">
        <v>74.31</v>
      </c>
      <c r="L75" s="979">
        <f t="shared" si="0"/>
        <v>559.15302600000007</v>
      </c>
      <c r="M75" s="553">
        <f t="shared" si="5"/>
        <v>401.8725</v>
      </c>
      <c r="N75" s="886">
        <f t="shared" si="6"/>
        <v>411.57899999999995</v>
      </c>
      <c r="O75" s="553">
        <f t="shared" si="2"/>
        <v>404.58869099247823</v>
      </c>
      <c r="P75" s="532">
        <f t="shared" si="3"/>
        <v>421.5930930845318</v>
      </c>
      <c r="Q75" s="532"/>
      <c r="R75" s="532"/>
      <c r="S75" s="553">
        <v>767</v>
      </c>
      <c r="T75" s="532">
        <v>763</v>
      </c>
      <c r="U75" s="532">
        <v>786</v>
      </c>
      <c r="V75" s="532">
        <v>689.45</v>
      </c>
      <c r="W75" s="532">
        <v>676.15</v>
      </c>
      <c r="X75" s="532">
        <v>483.1</v>
      </c>
      <c r="Y75" s="886">
        <v>512.20000000000005</v>
      </c>
      <c r="Z75" s="980">
        <f>AVERAGE(S75:U75)</f>
        <v>772</v>
      </c>
      <c r="AA75" s="546">
        <f t="shared" ref="AA75:AA98" si="7">AVERAGE(V75:W75)</f>
        <v>682.8</v>
      </c>
      <c r="AB75" s="546">
        <f t="shared" ref="AB75:AB98" si="8">AVERAGE(X75:Y75)</f>
        <v>497.65000000000003</v>
      </c>
      <c r="AC75" s="546"/>
      <c r="AD75" s="553">
        <f>L75*$E$12+$F$12</f>
        <v>789.22523227507838</v>
      </c>
      <c r="AE75" s="532">
        <f t="shared" ref="AE75:AE110" si="9">L75*$I$12+$J$12</f>
        <v>710.35635681148051</v>
      </c>
      <c r="AF75" s="532">
        <f t="shared" ref="AF75:AF110" si="10">L75*$M$12+$N$12</f>
        <v>502.55261762128106</v>
      </c>
      <c r="AG75" s="532"/>
      <c r="AH75" s="980">
        <f>M75*$E$17+$F$17</f>
        <v>785.35960832452008</v>
      </c>
      <c r="AI75" s="546">
        <f t="shared" ref="AI75:AI110" si="11">N75*$I$17+$J$17</f>
        <v>697.28841299445492</v>
      </c>
      <c r="AJ75" s="546">
        <f t="shared" ref="AJ75:AJ110" si="12">H75*$M$17+$N$17</f>
        <v>496.18505630617784</v>
      </c>
      <c r="AK75" s="886"/>
      <c r="AL75" s="430">
        <f>L75/$AP$7</f>
        <v>90.9191912195122</v>
      </c>
      <c r="AQ75" s="1371">
        <f>(Z75-M75)/$AN$8 *10</f>
        <v>115.30451713395638</v>
      </c>
      <c r="AR75" s="1371">
        <f>(AA75-N75)/$AN$9*10</f>
        <v>75.7600558659218</v>
      </c>
      <c r="AT75" s="430">
        <f>AQ75*$AN$8/1000</f>
        <v>3.7012749999999999</v>
      </c>
      <c r="AU75" s="430">
        <f>AR75*$AN$9/1000</f>
        <v>2.7122100000000002</v>
      </c>
    </row>
    <row r="76" spans="3:47">
      <c r="C76" s="978">
        <v>40210</v>
      </c>
      <c r="D76" s="553">
        <v>415.48200000000003</v>
      </c>
      <c r="E76" s="532">
        <v>424.26299999999998</v>
      </c>
      <c r="F76" s="532">
        <v>417.63</v>
      </c>
      <c r="G76" s="532">
        <v>420.03</v>
      </c>
      <c r="H76" s="532">
        <v>418.12799999999999</v>
      </c>
      <c r="I76" s="532"/>
      <c r="J76" s="532">
        <v>7.4734999999999996</v>
      </c>
      <c r="K76" s="886">
        <v>76.84</v>
      </c>
      <c r="L76" s="979">
        <f t="shared" si="0"/>
        <v>574.26373999999998</v>
      </c>
      <c r="M76" s="553">
        <f t="shared" si="5"/>
        <v>419.8725</v>
      </c>
      <c r="N76" s="886">
        <f t="shared" si="6"/>
        <v>419.07899999999995</v>
      </c>
      <c r="O76" s="553">
        <f t="shared" si="2"/>
        <v>415.03489652549308</v>
      </c>
      <c r="P76" s="532">
        <f t="shared" si="3"/>
        <v>433.1644089539169</v>
      </c>
      <c r="Q76" s="532"/>
      <c r="R76" s="532"/>
      <c r="S76" s="553">
        <v>785</v>
      </c>
      <c r="T76" s="532">
        <v>781</v>
      </c>
      <c r="U76" s="532">
        <v>804</v>
      </c>
      <c r="V76" s="532">
        <v>699.45</v>
      </c>
      <c r="W76" s="532">
        <v>686.15</v>
      </c>
      <c r="X76" s="532">
        <v>488.1</v>
      </c>
      <c r="Y76" s="886">
        <v>517.20000000000005</v>
      </c>
      <c r="Z76" s="980">
        <f t="shared" ref="Z76:Z98" si="13">AVERAGE(S76:U76)</f>
        <v>790</v>
      </c>
      <c r="AA76" s="546">
        <f t="shared" si="7"/>
        <v>692.8</v>
      </c>
      <c r="AB76" s="546">
        <f t="shared" si="8"/>
        <v>502.65000000000003</v>
      </c>
      <c r="AC76" s="546"/>
      <c r="AD76" s="553">
        <f t="shared" ref="AD76:AD110" si="14">L76*$E$12+$F$12</f>
        <v>803.38272704595818</v>
      </c>
      <c r="AE76" s="532">
        <f t="shared" si="9"/>
        <v>724.86549267425937</v>
      </c>
      <c r="AF76" s="532">
        <f t="shared" si="10"/>
        <v>514.73147064117984</v>
      </c>
      <c r="AG76" s="532"/>
      <c r="AH76" s="980">
        <f t="shared" ref="AH76:AH110" si="15">M76*$E$17+$F$17</f>
        <v>809.77797005609966</v>
      </c>
      <c r="AI76" s="546">
        <f t="shared" si="11"/>
        <v>706.71592718939928</v>
      </c>
      <c r="AJ76" s="546">
        <f t="shared" si="12"/>
        <v>501.52979789622339</v>
      </c>
      <c r="AK76" s="886"/>
      <c r="AL76" s="430">
        <f t="shared" ref="AL76:AL110" si="16">L76/$AP$7</f>
        <v>93.37621788617885</v>
      </c>
      <c r="AQ76" s="1371">
        <f t="shared" ref="AQ76:AQ110" si="17">(Z76-M76)/$AN$8 *10</f>
        <v>115.30451713395638</v>
      </c>
      <c r="AR76" s="1371">
        <f t="shared" ref="AR76:AR110" si="18">(AA76-N76)/$AN$9*10</f>
        <v>76.458379888268155</v>
      </c>
      <c r="AT76" s="430">
        <f t="shared" ref="AT76:AT110" si="19">AQ76*$AN$8/1000</f>
        <v>3.7012749999999999</v>
      </c>
      <c r="AU76" s="430">
        <f t="shared" ref="AU76:AU110" si="20">AR76*$AN$9/1000</f>
        <v>2.7372099999999997</v>
      </c>
    </row>
    <row r="77" spans="3:47">
      <c r="C77" s="978">
        <v>40238</v>
      </c>
      <c r="D77" s="553">
        <v>421.78199999999998</v>
      </c>
      <c r="E77" s="532">
        <v>430.56299999999999</v>
      </c>
      <c r="F77" s="532">
        <v>421.63</v>
      </c>
      <c r="G77" s="532">
        <v>424.03</v>
      </c>
      <c r="H77" s="532">
        <v>416.12799999999999</v>
      </c>
      <c r="I77" s="532"/>
      <c r="J77" s="532">
        <v>7.6901999999999999</v>
      </c>
      <c r="K77" s="886">
        <v>73.17</v>
      </c>
      <c r="L77" s="979">
        <f t="shared" si="0"/>
        <v>562.69193400000006</v>
      </c>
      <c r="M77" s="553">
        <f t="shared" si="5"/>
        <v>426.17250000000001</v>
      </c>
      <c r="N77" s="886">
        <f t="shared" si="6"/>
        <v>420.07899999999995</v>
      </c>
      <c r="O77" s="553">
        <f t="shared" si="2"/>
        <v>407.03517765951665</v>
      </c>
      <c r="P77" s="532">
        <f t="shared" si="3"/>
        <v>424.30307901244322</v>
      </c>
      <c r="Q77" s="532"/>
      <c r="R77" s="532"/>
      <c r="S77" s="553">
        <v>791</v>
      </c>
      <c r="T77" s="532">
        <v>787</v>
      </c>
      <c r="U77" s="532">
        <v>810</v>
      </c>
      <c r="V77" s="532">
        <v>703.45</v>
      </c>
      <c r="W77" s="532">
        <v>690.15</v>
      </c>
      <c r="X77" s="532">
        <v>486.1</v>
      </c>
      <c r="Y77" s="886">
        <v>515.20000000000005</v>
      </c>
      <c r="Z77" s="980">
        <f t="shared" si="13"/>
        <v>796</v>
      </c>
      <c r="AA77" s="546">
        <f t="shared" si="7"/>
        <v>696.8</v>
      </c>
      <c r="AB77" s="546">
        <f t="shared" si="8"/>
        <v>500.65000000000003</v>
      </c>
      <c r="AC77" s="546"/>
      <c r="AD77" s="553">
        <f t="shared" si="14"/>
        <v>792.54089767015</v>
      </c>
      <c r="AE77" s="532">
        <f t="shared" si="9"/>
        <v>713.75437605649267</v>
      </c>
      <c r="AF77" s="532">
        <f t="shared" si="10"/>
        <v>505.40488789672565</v>
      </c>
      <c r="AG77" s="532"/>
      <c r="AH77" s="980">
        <f t="shared" si="15"/>
        <v>818.32439666215248</v>
      </c>
      <c r="AI77" s="546">
        <f t="shared" si="11"/>
        <v>707.9729290820585</v>
      </c>
      <c r="AJ77" s="546">
        <f t="shared" si="12"/>
        <v>499.39190126020515</v>
      </c>
      <c r="AK77" s="886"/>
      <c r="AL77" s="430">
        <f t="shared" si="16"/>
        <v>91.494623414634148</v>
      </c>
      <c r="AQ77" s="1371">
        <f t="shared" si="17"/>
        <v>115.21105919003114</v>
      </c>
      <c r="AR77" s="1371">
        <f>(AA77-N77)/$AN$9*10</f>
        <v>77.296368715083801</v>
      </c>
      <c r="AT77" s="430">
        <f t="shared" si="19"/>
        <v>3.6982749999999998</v>
      </c>
      <c r="AU77" s="430">
        <f t="shared" si="20"/>
        <v>2.7672099999999999</v>
      </c>
    </row>
    <row r="78" spans="3:47">
      <c r="C78" s="978">
        <v>40269</v>
      </c>
      <c r="D78" s="553">
        <v>445.28199999999998</v>
      </c>
      <c r="E78" s="532">
        <v>453.06299999999999</v>
      </c>
      <c r="F78" s="532">
        <v>444.63</v>
      </c>
      <c r="G78" s="532">
        <v>447.03</v>
      </c>
      <c r="H78" s="532">
        <v>437.12799999999999</v>
      </c>
      <c r="I78" s="532"/>
      <c r="J78" s="532">
        <v>7.4752999999999998</v>
      </c>
      <c r="K78" s="886">
        <v>78.89</v>
      </c>
      <c r="L78" s="979">
        <f t="shared" si="0"/>
        <v>589.72641699999997</v>
      </c>
      <c r="M78" s="553">
        <f t="shared" si="5"/>
        <v>449.17250000000001</v>
      </c>
      <c r="N78" s="886">
        <f t="shared" si="6"/>
        <v>442.07899999999995</v>
      </c>
      <c r="O78" s="553">
        <f t="shared" si="2"/>
        <v>425.72441801551815</v>
      </c>
      <c r="P78" s="532">
        <f t="shared" si="3"/>
        <v>445.00524716667616</v>
      </c>
      <c r="Q78" s="532"/>
      <c r="R78" s="532"/>
      <c r="S78" s="553">
        <v>840</v>
      </c>
      <c r="T78" s="532">
        <v>835</v>
      </c>
      <c r="U78" s="532">
        <v>858</v>
      </c>
      <c r="V78" s="532">
        <v>751.95</v>
      </c>
      <c r="W78" s="532">
        <v>738.65</v>
      </c>
      <c r="X78" s="532">
        <v>507.1</v>
      </c>
      <c r="Y78" s="886">
        <v>536.20000000000005</v>
      </c>
      <c r="Z78" s="980">
        <f t="shared" si="13"/>
        <v>844.33333333333337</v>
      </c>
      <c r="AA78" s="546">
        <f t="shared" si="7"/>
        <v>745.3</v>
      </c>
      <c r="AB78" s="546">
        <f t="shared" si="8"/>
        <v>521.65000000000009</v>
      </c>
      <c r="AC78" s="546"/>
      <c r="AD78" s="553">
        <f t="shared" si="14"/>
        <v>817.86998216648431</v>
      </c>
      <c r="AE78" s="532">
        <f t="shared" si="9"/>
        <v>739.71257940988733</v>
      </c>
      <c r="AF78" s="532">
        <f t="shared" si="10"/>
        <v>527.19399693061723</v>
      </c>
      <c r="AG78" s="532"/>
      <c r="AH78" s="980">
        <f t="shared" si="15"/>
        <v>849.52563665250409</v>
      </c>
      <c r="AI78" s="546">
        <f t="shared" si="11"/>
        <v>735.62697072056187</v>
      </c>
      <c r="AJ78" s="546">
        <f t="shared" si="12"/>
        <v>521.83981593839644</v>
      </c>
      <c r="AK78" s="886"/>
      <c r="AL78" s="430">
        <f t="shared" si="16"/>
        <v>95.890474308943084</v>
      </c>
      <c r="AQ78" s="1371">
        <f t="shared" si="17"/>
        <v>123.10306334371757</v>
      </c>
      <c r="AR78" s="1371">
        <f t="shared" si="18"/>
        <v>84.698603351955327</v>
      </c>
      <c r="AT78" s="430">
        <f t="shared" si="19"/>
        <v>3.9516083333333341</v>
      </c>
      <c r="AU78" s="430">
        <f t="shared" si="20"/>
        <v>3.0322100000000005</v>
      </c>
    </row>
    <row r="79" spans="3:47">
      <c r="C79" s="978">
        <v>40299</v>
      </c>
      <c r="D79" s="553">
        <v>457.28199999999998</v>
      </c>
      <c r="E79" s="532">
        <v>465.06299999999999</v>
      </c>
      <c r="F79" s="532">
        <v>472.63</v>
      </c>
      <c r="G79" s="532">
        <v>475.03</v>
      </c>
      <c r="H79" s="532">
        <v>467.12880000000001</v>
      </c>
      <c r="I79" s="532"/>
      <c r="J79" s="532">
        <v>7.3749000000000002</v>
      </c>
      <c r="K79" s="886">
        <v>85.75</v>
      </c>
      <c r="L79" s="979">
        <f t="shared" si="0"/>
        <v>632.39767500000005</v>
      </c>
      <c r="M79" s="553">
        <f t="shared" si="5"/>
        <v>461.17250000000001</v>
      </c>
      <c r="N79" s="886">
        <f t="shared" si="6"/>
        <v>471.07939999999996</v>
      </c>
      <c r="O79" s="553">
        <f t="shared" si="2"/>
        <v>455.2235357554415</v>
      </c>
      <c r="P79" s="532">
        <f t="shared" si="3"/>
        <v>477.68157237950379</v>
      </c>
      <c r="Q79" s="532"/>
      <c r="R79" s="532"/>
      <c r="S79" s="553">
        <v>854</v>
      </c>
      <c r="T79" s="532">
        <v>848</v>
      </c>
      <c r="U79" s="532">
        <v>872</v>
      </c>
      <c r="V79" s="532">
        <v>781.45</v>
      </c>
      <c r="W79" s="532">
        <v>767.65</v>
      </c>
      <c r="X79" s="532">
        <v>566.20000000000005</v>
      </c>
      <c r="Y79" s="886">
        <v>538.1</v>
      </c>
      <c r="Z79" s="980">
        <f t="shared" si="13"/>
        <v>858</v>
      </c>
      <c r="AA79" s="546">
        <f t="shared" si="7"/>
        <v>774.55</v>
      </c>
      <c r="AB79" s="546">
        <f t="shared" si="8"/>
        <v>552.15000000000009</v>
      </c>
      <c r="AC79" s="546"/>
      <c r="AD79" s="553">
        <f t="shared" si="14"/>
        <v>857.84943727375912</v>
      </c>
      <c r="AE79" s="532">
        <f t="shared" si="9"/>
        <v>780.68503642003895</v>
      </c>
      <c r="AF79" s="532">
        <f t="shared" si="10"/>
        <v>561.5859508353883</v>
      </c>
      <c r="AG79" s="532"/>
      <c r="AH79" s="980">
        <f t="shared" si="15"/>
        <v>865.80454447355714</v>
      </c>
      <c r="AI79" s="546">
        <f t="shared" si="11"/>
        <v>772.08052840843686</v>
      </c>
      <c r="AJ79" s="546">
        <f t="shared" si="12"/>
        <v>553.90912063732435</v>
      </c>
      <c r="AK79" s="886"/>
      <c r="AL79" s="430">
        <f t="shared" si="16"/>
        <v>102.82889024390244</v>
      </c>
      <c r="AQ79" s="1371">
        <f t="shared" si="17"/>
        <v>123.62227414330218</v>
      </c>
      <c r="AR79" s="1371">
        <f t="shared" si="18"/>
        <v>84.768324022346363</v>
      </c>
      <c r="AT79" s="430">
        <f t="shared" si="19"/>
        <v>3.9682750000000002</v>
      </c>
      <c r="AU79" s="430">
        <f t="shared" si="20"/>
        <v>3.0347059999999995</v>
      </c>
    </row>
    <row r="80" spans="3:47">
      <c r="C80" s="978">
        <v>40330</v>
      </c>
      <c r="D80" s="553">
        <v>430.28199999999998</v>
      </c>
      <c r="E80" s="532">
        <v>438.06299999999999</v>
      </c>
      <c r="F80" s="532">
        <v>457.63</v>
      </c>
      <c r="G80" s="532">
        <v>460.03</v>
      </c>
      <c r="H80" s="532">
        <v>454.12799999999999</v>
      </c>
      <c r="I80" s="532"/>
      <c r="J80" s="532">
        <v>7.6574999999999998</v>
      </c>
      <c r="K80" s="886">
        <v>76.3</v>
      </c>
      <c r="L80" s="979">
        <f t="shared" si="0"/>
        <v>584.26724999999999</v>
      </c>
      <c r="M80" s="553">
        <f t="shared" si="5"/>
        <v>434.17250000000001</v>
      </c>
      <c r="N80" s="886">
        <f t="shared" si="6"/>
        <v>457.07899999999995</v>
      </c>
      <c r="O80" s="553">
        <f t="shared" si="2"/>
        <v>421.95043483239044</v>
      </c>
      <c r="P80" s="532">
        <f t="shared" si="3"/>
        <v>440.82478648555127</v>
      </c>
      <c r="Q80" s="532"/>
      <c r="R80" s="532"/>
      <c r="S80" s="553">
        <v>827</v>
      </c>
      <c r="T80" s="532">
        <v>821</v>
      </c>
      <c r="U80" s="532">
        <v>845</v>
      </c>
      <c r="V80" s="532">
        <v>766.45</v>
      </c>
      <c r="W80" s="532">
        <v>752.65</v>
      </c>
      <c r="X80" s="532">
        <v>553.20000000000005</v>
      </c>
      <c r="Y80" s="886">
        <v>525.1</v>
      </c>
      <c r="Z80" s="980">
        <f t="shared" si="13"/>
        <v>831</v>
      </c>
      <c r="AA80" s="546">
        <f t="shared" si="7"/>
        <v>759.55</v>
      </c>
      <c r="AB80" s="546">
        <f t="shared" si="8"/>
        <v>539.15000000000009</v>
      </c>
      <c r="AC80" s="546"/>
      <c r="AD80" s="553">
        <f t="shared" si="14"/>
        <v>812.75519220646925</v>
      </c>
      <c r="AE80" s="532">
        <f t="shared" si="9"/>
        <v>734.47074929513576</v>
      </c>
      <c r="AF80" s="532">
        <f t="shared" si="10"/>
        <v>522.79404650444394</v>
      </c>
      <c r="AG80" s="532"/>
      <c r="AH80" s="980">
        <f t="shared" si="15"/>
        <v>829.17700187618777</v>
      </c>
      <c r="AI80" s="546">
        <f t="shared" si="11"/>
        <v>754.48199911045037</v>
      </c>
      <c r="AJ80" s="546">
        <f t="shared" si="12"/>
        <v>540.01193734455137</v>
      </c>
      <c r="AK80" s="886"/>
      <c r="AL80" s="430">
        <f t="shared" si="16"/>
        <v>95.002804878048778</v>
      </c>
      <c r="AQ80" s="1371">
        <f t="shared" si="17"/>
        <v>123.62227414330218</v>
      </c>
      <c r="AR80" s="1371">
        <f t="shared" si="18"/>
        <v>84.489106145251398</v>
      </c>
      <c r="AT80" s="430">
        <f t="shared" si="19"/>
        <v>3.9682750000000002</v>
      </c>
      <c r="AU80" s="430">
        <f t="shared" si="20"/>
        <v>3.0247100000000002</v>
      </c>
    </row>
    <row r="81" spans="3:47">
      <c r="C81" s="978">
        <v>40360</v>
      </c>
      <c r="D81" s="553">
        <v>415.28199999999998</v>
      </c>
      <c r="E81" s="532">
        <v>420.06299999999999</v>
      </c>
      <c r="F81" s="532">
        <v>442.63</v>
      </c>
      <c r="G81" s="532">
        <v>444.03</v>
      </c>
      <c r="H81" s="532">
        <v>442.12799999999999</v>
      </c>
      <c r="I81" s="532"/>
      <c r="J81" s="532">
        <v>7.6707999999999998</v>
      </c>
      <c r="K81" s="886">
        <v>74.61</v>
      </c>
      <c r="L81" s="979">
        <f t="shared" si="0"/>
        <v>572.31838800000003</v>
      </c>
      <c r="M81" s="553">
        <f t="shared" si="5"/>
        <v>417.67250000000001</v>
      </c>
      <c r="N81" s="886">
        <f t="shared" si="6"/>
        <v>443.07899999999995</v>
      </c>
      <c r="O81" s="553">
        <f t="shared" si="2"/>
        <v>413.69005293795243</v>
      </c>
      <c r="P81" s="532">
        <f t="shared" si="3"/>
        <v>431.67471875998297</v>
      </c>
      <c r="Q81" s="532"/>
      <c r="R81" s="532"/>
      <c r="S81" s="553">
        <v>812</v>
      </c>
      <c r="T81" s="532">
        <v>803</v>
      </c>
      <c r="U81" s="532">
        <v>827</v>
      </c>
      <c r="V81" s="532">
        <v>751.45</v>
      </c>
      <c r="W81" s="532">
        <v>737.65</v>
      </c>
      <c r="X81" s="532">
        <v>513.1</v>
      </c>
      <c r="Y81" s="886">
        <v>541.20000000000005</v>
      </c>
      <c r="Z81" s="980">
        <f t="shared" si="13"/>
        <v>814</v>
      </c>
      <c r="AA81" s="546">
        <f t="shared" si="7"/>
        <v>744.55</v>
      </c>
      <c r="AB81" s="546">
        <f t="shared" si="8"/>
        <v>527.15000000000009</v>
      </c>
      <c r="AC81" s="546"/>
      <c r="AD81" s="553">
        <f t="shared" si="14"/>
        <v>801.56009240622382</v>
      </c>
      <c r="AE81" s="532">
        <f t="shared" si="9"/>
        <v>722.99758779107992</v>
      </c>
      <c r="AF81" s="532">
        <f t="shared" si="10"/>
        <v>513.1635661675748</v>
      </c>
      <c r="AG81" s="532"/>
      <c r="AH81" s="980">
        <f t="shared" si="15"/>
        <v>806.79350362223988</v>
      </c>
      <c r="AI81" s="546">
        <f t="shared" si="11"/>
        <v>736.88397261322109</v>
      </c>
      <c r="AJ81" s="546">
        <f t="shared" si="12"/>
        <v>527.18455752844216</v>
      </c>
      <c r="AK81" s="886"/>
      <c r="AL81" s="430">
        <f t="shared" si="16"/>
        <v>93.059900487804882</v>
      </c>
      <c r="AQ81" s="1371">
        <f t="shared" si="17"/>
        <v>123.46651090342678</v>
      </c>
      <c r="AR81" s="1371">
        <f t="shared" si="18"/>
        <v>84.209776536312845</v>
      </c>
      <c r="AT81" s="430">
        <f t="shared" si="19"/>
        <v>3.9632749999999994</v>
      </c>
      <c r="AU81" s="430">
        <f t="shared" si="20"/>
        <v>3.0147099999999996</v>
      </c>
    </row>
    <row r="82" spans="3:47">
      <c r="C82" s="978">
        <v>40391</v>
      </c>
      <c r="D82" s="553">
        <v>405.28199999999998</v>
      </c>
      <c r="E82" s="532">
        <v>410.06299999999999</v>
      </c>
      <c r="F82" s="532">
        <v>429.63</v>
      </c>
      <c r="G82" s="532">
        <v>431.03</v>
      </c>
      <c r="H82" s="532">
        <v>427.18200000000002</v>
      </c>
      <c r="I82" s="532"/>
      <c r="J82" s="532">
        <v>7.5757000000000003</v>
      </c>
      <c r="K82" s="886">
        <v>78.680000000000007</v>
      </c>
      <c r="L82" s="979">
        <f t="shared" si="0"/>
        <v>596.05607600000008</v>
      </c>
      <c r="M82" s="553">
        <f t="shared" si="5"/>
        <v>407.67250000000001</v>
      </c>
      <c r="N82" s="886">
        <f t="shared" si="6"/>
        <v>429.10599999999999</v>
      </c>
      <c r="O82" s="553">
        <f t="shared" si="2"/>
        <v>430.10018205075164</v>
      </c>
      <c r="P82" s="532">
        <f t="shared" si="3"/>
        <v>449.85230360851585</v>
      </c>
      <c r="Q82" s="532"/>
      <c r="R82" s="532"/>
      <c r="S82" s="553">
        <v>802</v>
      </c>
      <c r="T82" s="532">
        <v>793</v>
      </c>
      <c r="U82" s="532">
        <v>817</v>
      </c>
      <c r="V82" s="532">
        <v>738.45</v>
      </c>
      <c r="W82" s="532">
        <v>724.65</v>
      </c>
      <c r="X82" s="532">
        <v>498.1</v>
      </c>
      <c r="Y82" s="886">
        <v>526.20000000000005</v>
      </c>
      <c r="Z82" s="980">
        <f t="shared" si="13"/>
        <v>804</v>
      </c>
      <c r="AA82" s="546">
        <f t="shared" si="7"/>
        <v>731.55</v>
      </c>
      <c r="AB82" s="546">
        <f t="shared" si="8"/>
        <v>512.15000000000009</v>
      </c>
      <c r="AC82" s="546"/>
      <c r="AD82" s="553">
        <f t="shared" si="14"/>
        <v>823.80035145240652</v>
      </c>
      <c r="AE82" s="532">
        <f t="shared" si="9"/>
        <v>745.79024605066047</v>
      </c>
      <c r="AF82" s="532">
        <f t="shared" si="10"/>
        <v>532.29554187595068</v>
      </c>
      <c r="AG82" s="532"/>
      <c r="AH82" s="980">
        <f t="shared" si="15"/>
        <v>793.22774710469571</v>
      </c>
      <c r="AI82" s="546">
        <f t="shared" si="11"/>
        <v>719.3198851670935</v>
      </c>
      <c r="AJ82" s="546">
        <f t="shared" si="12"/>
        <v>511.20805596747795</v>
      </c>
      <c r="AK82" s="886"/>
      <c r="AL82" s="430">
        <f t="shared" si="16"/>
        <v>96.919687154471546</v>
      </c>
      <c r="AQ82" s="1371">
        <f t="shared" si="17"/>
        <v>123.46651090342678</v>
      </c>
      <c r="AR82" s="1371">
        <f t="shared" si="18"/>
        <v>84.481564245810063</v>
      </c>
      <c r="AT82" s="430">
        <f t="shared" si="19"/>
        <v>3.9632749999999994</v>
      </c>
      <c r="AU82" s="430">
        <f t="shared" si="20"/>
        <v>3.0244400000000002</v>
      </c>
    </row>
    <row r="83" spans="3:47">
      <c r="C83" s="978">
        <v>40422</v>
      </c>
      <c r="D83" s="553">
        <v>395.28199999999998</v>
      </c>
      <c r="E83" s="532">
        <v>400.06299999999999</v>
      </c>
      <c r="F83" s="532">
        <v>429.63</v>
      </c>
      <c r="G83" s="532">
        <v>433.03</v>
      </c>
      <c r="H83" s="532">
        <v>422.12799999999999</v>
      </c>
      <c r="I83" s="532"/>
      <c r="J83" s="532">
        <v>7.3178000000000001</v>
      </c>
      <c r="K83" s="886">
        <v>77.39</v>
      </c>
      <c r="L83" s="979">
        <f t="shared" si="0"/>
        <v>566.32454200000006</v>
      </c>
      <c r="M83" s="553">
        <f t="shared" si="5"/>
        <v>397.67250000000001</v>
      </c>
      <c r="N83" s="886">
        <f t="shared" si="6"/>
        <v>427.57899999999995</v>
      </c>
      <c r="O83" s="553">
        <f t="shared" si="2"/>
        <v>409.54644018416468</v>
      </c>
      <c r="P83" s="532">
        <f t="shared" si="3"/>
        <v>427.0848174926802</v>
      </c>
      <c r="Q83" s="532"/>
      <c r="R83" s="532"/>
      <c r="S83" s="553">
        <v>792</v>
      </c>
      <c r="T83" s="532">
        <v>783</v>
      </c>
      <c r="U83" s="532">
        <v>807</v>
      </c>
      <c r="V83" s="532">
        <v>738.45</v>
      </c>
      <c r="W83" s="532">
        <v>724.65</v>
      </c>
      <c r="X83" s="532">
        <v>493.1</v>
      </c>
      <c r="Y83" s="886">
        <v>521.20000000000005</v>
      </c>
      <c r="Z83" s="980">
        <f t="shared" si="13"/>
        <v>794</v>
      </c>
      <c r="AA83" s="546">
        <f t="shared" si="7"/>
        <v>731.55</v>
      </c>
      <c r="AB83" s="546">
        <f t="shared" si="8"/>
        <v>507.15000000000003</v>
      </c>
      <c r="AC83" s="546"/>
      <c r="AD83" s="553">
        <f t="shared" si="14"/>
        <v>795.9443522497719</v>
      </c>
      <c r="AE83" s="532">
        <f t="shared" si="9"/>
        <v>717.24236497668653</v>
      </c>
      <c r="AF83" s="532">
        <f t="shared" si="10"/>
        <v>508.33267800054921</v>
      </c>
      <c r="AG83" s="532"/>
      <c r="AH83" s="980">
        <f t="shared" si="15"/>
        <v>779.66199058715154</v>
      </c>
      <c r="AI83" s="546">
        <f t="shared" si="11"/>
        <v>717.40044327700286</v>
      </c>
      <c r="AJ83" s="546">
        <f t="shared" si="12"/>
        <v>505.80559116825981</v>
      </c>
      <c r="AK83" s="886"/>
      <c r="AL83" s="430">
        <f t="shared" si="16"/>
        <v>92.085291382113823</v>
      </c>
      <c r="AQ83" s="1371">
        <f t="shared" si="17"/>
        <v>123.46651090342678</v>
      </c>
      <c r="AR83" s="1371">
        <f t="shared" si="18"/>
        <v>84.908100558659228</v>
      </c>
      <c r="AT83" s="430">
        <f t="shared" si="19"/>
        <v>3.9632749999999994</v>
      </c>
      <c r="AU83" s="430">
        <f t="shared" si="20"/>
        <v>3.0397099999999999</v>
      </c>
    </row>
    <row r="84" spans="3:47">
      <c r="C84" s="978">
        <v>40452</v>
      </c>
      <c r="D84" s="553">
        <v>390.78199999999998</v>
      </c>
      <c r="E84" s="532">
        <v>396.56299999999999</v>
      </c>
      <c r="F84" s="532">
        <v>426.63</v>
      </c>
      <c r="G84" s="532">
        <v>430.03</v>
      </c>
      <c r="H84" s="532">
        <v>421.12799999999999</v>
      </c>
      <c r="I84" s="532"/>
      <c r="J84" s="532">
        <v>7.1859000000000002</v>
      </c>
      <c r="K84" s="886">
        <v>77.37</v>
      </c>
      <c r="L84" s="979">
        <f t="shared" si="0"/>
        <v>555.97308300000009</v>
      </c>
      <c r="M84" s="553">
        <f t="shared" si="5"/>
        <v>393.67250000000001</v>
      </c>
      <c r="N84" s="886">
        <f t="shared" si="6"/>
        <v>425.57899999999995</v>
      </c>
      <c r="O84" s="553">
        <f t="shared" si="2"/>
        <v>402.3903608433356</v>
      </c>
      <c r="P84" s="532">
        <f t="shared" si="3"/>
        <v>419.15799141431029</v>
      </c>
      <c r="Q84" s="532"/>
      <c r="R84" s="532"/>
      <c r="S84" s="553">
        <v>796</v>
      </c>
      <c r="T84" s="532">
        <v>788</v>
      </c>
      <c r="U84" s="532">
        <v>812</v>
      </c>
      <c r="V84" s="532">
        <v>735.45</v>
      </c>
      <c r="W84" s="532">
        <v>721.65</v>
      </c>
      <c r="X84" s="532">
        <v>492.1</v>
      </c>
      <c r="Y84" s="886">
        <v>520.20000000000005</v>
      </c>
      <c r="Z84" s="980">
        <f t="shared" si="13"/>
        <v>798.66666666666663</v>
      </c>
      <c r="AA84" s="546">
        <f t="shared" si="7"/>
        <v>728.55</v>
      </c>
      <c r="AB84" s="546">
        <f t="shared" si="8"/>
        <v>506.15000000000003</v>
      </c>
      <c r="AC84" s="546"/>
      <c r="AD84" s="553">
        <f t="shared" si="14"/>
        <v>786.24588752709383</v>
      </c>
      <c r="AE84" s="532">
        <f t="shared" si="9"/>
        <v>707.30301168014569</v>
      </c>
      <c r="AF84" s="532">
        <f t="shared" si="10"/>
        <v>499.98966405014897</v>
      </c>
      <c r="AG84" s="532"/>
      <c r="AH84" s="980">
        <f t="shared" si="15"/>
        <v>774.23568798013378</v>
      </c>
      <c r="AI84" s="546">
        <f t="shared" si="11"/>
        <v>714.88643949168431</v>
      </c>
      <c r="AJ84" s="546">
        <f t="shared" si="12"/>
        <v>504.73664285025075</v>
      </c>
      <c r="AK84" s="886"/>
      <c r="AL84" s="430">
        <f t="shared" si="16"/>
        <v>90.40212731707318</v>
      </c>
      <c r="AQ84" s="1371">
        <f t="shared" si="17"/>
        <v>126.16640706126685</v>
      </c>
      <c r="AR84" s="1371">
        <f t="shared" si="18"/>
        <v>84.628770949720689</v>
      </c>
      <c r="AT84" s="430">
        <f t="shared" si="19"/>
        <v>4.0499416666666663</v>
      </c>
      <c r="AU84" s="430">
        <f t="shared" si="20"/>
        <v>3.0297100000000006</v>
      </c>
    </row>
    <row r="85" spans="3:47">
      <c r="C85" s="978">
        <v>40483</v>
      </c>
      <c r="D85" s="553">
        <v>410.78199999999998</v>
      </c>
      <c r="E85" s="532">
        <v>416.56299999999999</v>
      </c>
      <c r="F85" s="532">
        <v>437.63</v>
      </c>
      <c r="G85" s="532">
        <v>442.03</v>
      </c>
      <c r="H85" s="532">
        <v>435.12799999999999</v>
      </c>
      <c r="I85" s="532"/>
      <c r="J85" s="532">
        <v>6.9374000000000002</v>
      </c>
      <c r="K85" s="886">
        <v>82.73</v>
      </c>
      <c r="L85" s="979">
        <f t="shared" si="0"/>
        <v>573.93110200000001</v>
      </c>
      <c r="M85" s="553">
        <f t="shared" si="5"/>
        <v>413.67250000000001</v>
      </c>
      <c r="N85" s="886">
        <f t="shared" si="6"/>
        <v>438.57899999999995</v>
      </c>
      <c r="O85" s="553">
        <f t="shared" si="2"/>
        <v>414.80494015704545</v>
      </c>
      <c r="P85" s="532">
        <f t="shared" si="3"/>
        <v>432.90968509585429</v>
      </c>
      <c r="Q85" s="532"/>
      <c r="R85" s="532"/>
      <c r="S85" s="553">
        <v>816</v>
      </c>
      <c r="T85" s="532">
        <v>808</v>
      </c>
      <c r="U85" s="532">
        <v>832</v>
      </c>
      <c r="V85" s="532">
        <v>746.45</v>
      </c>
      <c r="W85" s="532">
        <v>732.65</v>
      </c>
      <c r="X85" s="532">
        <v>506.1</v>
      </c>
      <c r="Y85" s="886">
        <v>534.20000000000005</v>
      </c>
      <c r="Z85" s="980">
        <f t="shared" si="13"/>
        <v>818.66666666666663</v>
      </c>
      <c r="AA85" s="546">
        <f t="shared" si="7"/>
        <v>739.55</v>
      </c>
      <c r="AB85" s="546">
        <f t="shared" si="8"/>
        <v>520.15000000000009</v>
      </c>
      <c r="AC85" s="546"/>
      <c r="AD85" s="553">
        <f t="shared" si="14"/>
        <v>803.07107263005207</v>
      </c>
      <c r="AE85" s="532">
        <f t="shared" si="9"/>
        <v>724.54609744679874</v>
      </c>
      <c r="AF85" s="532">
        <f t="shared" si="10"/>
        <v>514.46337283251023</v>
      </c>
      <c r="AG85" s="532"/>
      <c r="AH85" s="980">
        <f t="shared" si="15"/>
        <v>801.36720101522224</v>
      </c>
      <c r="AI85" s="546">
        <f t="shared" si="11"/>
        <v>731.22746409625449</v>
      </c>
      <c r="AJ85" s="546">
        <f t="shared" si="12"/>
        <v>519.70191930237831</v>
      </c>
      <c r="AK85" s="886"/>
      <c r="AL85" s="430">
        <f t="shared" si="16"/>
        <v>93.322130406504058</v>
      </c>
      <c r="AQ85" s="1371">
        <f t="shared" si="17"/>
        <v>126.16640706126685</v>
      </c>
      <c r="AR85" s="1371">
        <f t="shared" si="18"/>
        <v>84.070111731843582</v>
      </c>
      <c r="AT85" s="430">
        <f t="shared" si="19"/>
        <v>4.0499416666666663</v>
      </c>
      <c r="AU85" s="430">
        <f t="shared" si="20"/>
        <v>3.0097100000000001</v>
      </c>
    </row>
    <row r="86" spans="3:47">
      <c r="C86" s="978">
        <v>40513</v>
      </c>
      <c r="D86" s="553">
        <v>423.78199999999998</v>
      </c>
      <c r="E86" s="532">
        <v>429.56299999999999</v>
      </c>
      <c r="F86" s="532">
        <v>451.63</v>
      </c>
      <c r="G86" s="532">
        <v>457.03</v>
      </c>
      <c r="H86" s="532">
        <v>449.12799999999999</v>
      </c>
      <c r="I86" s="532"/>
      <c r="J86" s="532">
        <v>6.9767000000000001</v>
      </c>
      <c r="K86" s="886">
        <v>85.15</v>
      </c>
      <c r="L86" s="979">
        <f t="shared" si="0"/>
        <v>594.06600500000002</v>
      </c>
      <c r="M86" s="553">
        <f t="shared" si="5"/>
        <v>426.67250000000001</v>
      </c>
      <c r="N86" s="886">
        <f t="shared" si="6"/>
        <v>453.07899999999995</v>
      </c>
      <c r="O86" s="553">
        <f t="shared" si="2"/>
        <v>428.72442371853163</v>
      </c>
      <c r="P86" s="532">
        <f t="shared" si="3"/>
        <v>448.32836899209047</v>
      </c>
      <c r="Q86" s="532"/>
      <c r="R86" s="532"/>
      <c r="S86" s="553">
        <v>829</v>
      </c>
      <c r="T86" s="532">
        <v>821</v>
      </c>
      <c r="U86" s="532">
        <v>845</v>
      </c>
      <c r="V86" s="532">
        <v>760.45</v>
      </c>
      <c r="W86" s="532">
        <v>746.65</v>
      </c>
      <c r="X86" s="532">
        <v>520.1</v>
      </c>
      <c r="Y86" s="886">
        <v>548.20000000000005</v>
      </c>
      <c r="Z86" s="980">
        <f t="shared" si="13"/>
        <v>831.66666666666663</v>
      </c>
      <c r="AA86" s="546">
        <f t="shared" si="7"/>
        <v>753.55</v>
      </c>
      <c r="AB86" s="546">
        <f t="shared" si="8"/>
        <v>534.15000000000009</v>
      </c>
      <c r="AC86" s="546"/>
      <c r="AD86" s="553">
        <f t="shared" si="14"/>
        <v>821.93581879192595</v>
      </c>
      <c r="AE86" s="532">
        <f t="shared" si="9"/>
        <v>743.87940249187318</v>
      </c>
      <c r="AF86" s="532">
        <f t="shared" si="10"/>
        <v>530.69159502021876</v>
      </c>
      <c r="AG86" s="532"/>
      <c r="AH86" s="980">
        <f t="shared" si="15"/>
        <v>819.00268448802967</v>
      </c>
      <c r="AI86" s="546">
        <f t="shared" si="11"/>
        <v>749.4539915398135</v>
      </c>
      <c r="AJ86" s="546">
        <f t="shared" si="12"/>
        <v>534.66719575450588</v>
      </c>
      <c r="AK86" s="886"/>
      <c r="AL86" s="430">
        <f t="shared" si="16"/>
        <v>96.596098373983736</v>
      </c>
      <c r="AQ86" s="1371">
        <f t="shared" si="17"/>
        <v>126.16640706126685</v>
      </c>
      <c r="AR86" s="1371">
        <f t="shared" si="18"/>
        <v>83.930446927374319</v>
      </c>
      <c r="AT86" s="430">
        <f t="shared" si="19"/>
        <v>4.0499416666666663</v>
      </c>
      <c r="AU86" s="430">
        <f t="shared" si="20"/>
        <v>3.0047100000000007</v>
      </c>
    </row>
    <row r="87" spans="3:47">
      <c r="C87" s="978">
        <v>40544</v>
      </c>
      <c r="D87" s="553">
        <v>449.18099999999998</v>
      </c>
      <c r="E87" s="532">
        <v>453.94900000000001</v>
      </c>
      <c r="F87" s="532">
        <v>471.63</v>
      </c>
      <c r="G87" s="532">
        <v>477.03</v>
      </c>
      <c r="H87" s="532">
        <v>467.12799999999999</v>
      </c>
      <c r="I87" s="532"/>
      <c r="J87" s="532">
        <v>6.9009999999999998</v>
      </c>
      <c r="K87" s="886">
        <v>90.77</v>
      </c>
      <c r="L87" s="979">
        <f t="shared" si="0"/>
        <v>626.40377000000001</v>
      </c>
      <c r="M87" s="553">
        <f t="shared" si="5"/>
        <v>451.565</v>
      </c>
      <c r="N87" s="886">
        <f t="shared" si="6"/>
        <v>472.07899999999995</v>
      </c>
      <c r="O87" s="553">
        <f t="shared" si="2"/>
        <v>451.07988221429406</v>
      </c>
      <c r="P87" s="532">
        <f t="shared" si="3"/>
        <v>473.0916259318318</v>
      </c>
      <c r="Q87" s="532"/>
      <c r="R87" s="532"/>
      <c r="S87" s="553">
        <v>858</v>
      </c>
      <c r="T87" s="532">
        <v>849</v>
      </c>
      <c r="U87" s="532">
        <v>858</v>
      </c>
      <c r="V87" s="532">
        <v>784.05100000000004</v>
      </c>
      <c r="W87" s="532">
        <v>770.25099999999998</v>
      </c>
      <c r="X87" s="532">
        <v>541.71299999999997</v>
      </c>
      <c r="Y87" s="886">
        <v>569.81299999999999</v>
      </c>
      <c r="Z87" s="980">
        <f t="shared" si="13"/>
        <v>855</v>
      </c>
      <c r="AA87" s="546">
        <f t="shared" si="7"/>
        <v>777.15100000000007</v>
      </c>
      <c r="AB87" s="546">
        <f t="shared" si="8"/>
        <v>555.76299999999992</v>
      </c>
      <c r="AC87" s="546"/>
      <c r="AD87" s="553">
        <f t="shared" si="14"/>
        <v>852.23364183916544</v>
      </c>
      <c r="AE87" s="532">
        <f t="shared" si="9"/>
        <v>774.92975695451594</v>
      </c>
      <c r="AF87" s="532">
        <f t="shared" si="10"/>
        <v>556.75501511585605</v>
      </c>
      <c r="AG87" s="532"/>
      <c r="AH87" s="980">
        <f t="shared" si="15"/>
        <v>852.77124389932658</v>
      </c>
      <c r="AI87" s="546">
        <f t="shared" si="11"/>
        <v>773.33702750033899</v>
      </c>
      <c r="AJ87" s="546">
        <f t="shared" si="12"/>
        <v>553.90826547866993</v>
      </c>
      <c r="AK87" s="886"/>
      <c r="AL87" s="430">
        <f t="shared" si="16"/>
        <v>101.85427154471544</v>
      </c>
      <c r="AQ87" s="1371">
        <f t="shared" si="17"/>
        <v>125.68068535825545</v>
      </c>
      <c r="AR87" s="1371">
        <f t="shared" si="18"/>
        <v>85.215642458100604</v>
      </c>
      <c r="AT87" s="430">
        <f t="shared" si="19"/>
        <v>4.0343499999999999</v>
      </c>
      <c r="AU87" s="430">
        <f t="shared" si="20"/>
        <v>3.050720000000001</v>
      </c>
    </row>
    <row r="88" spans="3:47">
      <c r="C88" s="978">
        <v>40575</v>
      </c>
      <c r="D88" s="553">
        <v>475.18099999999998</v>
      </c>
      <c r="E88" s="532">
        <v>479.94900000000001</v>
      </c>
      <c r="F88" s="532">
        <v>501.63</v>
      </c>
      <c r="G88" s="532">
        <v>509.03</v>
      </c>
      <c r="H88" s="532">
        <v>499.12799999999999</v>
      </c>
      <c r="I88" s="532"/>
      <c r="J88" s="532">
        <v>6.8982999999999999</v>
      </c>
      <c r="K88" s="886">
        <v>95.97</v>
      </c>
      <c r="L88" s="979">
        <f t="shared" si="0"/>
        <v>662.02985100000001</v>
      </c>
      <c r="M88" s="553">
        <f t="shared" si="5"/>
        <v>477.565</v>
      </c>
      <c r="N88" s="886">
        <f t="shared" si="6"/>
        <v>504.07899999999995</v>
      </c>
      <c r="O88" s="553">
        <f t="shared" si="2"/>
        <v>475.70859032575976</v>
      </c>
      <c r="P88" s="532">
        <f t="shared" si="3"/>
        <v>500.37297322219149</v>
      </c>
      <c r="Q88" s="532"/>
      <c r="R88" s="532"/>
      <c r="S88" s="553">
        <v>884</v>
      </c>
      <c r="T88" s="532">
        <v>875</v>
      </c>
      <c r="U88" s="532">
        <v>899</v>
      </c>
      <c r="V88" s="532">
        <v>814.05100000000004</v>
      </c>
      <c r="W88" s="532">
        <v>800.25099999999998</v>
      </c>
      <c r="X88" s="532">
        <v>573.71299999999997</v>
      </c>
      <c r="Y88" s="886">
        <v>601.81299999999999</v>
      </c>
      <c r="Z88" s="980">
        <f t="shared" si="13"/>
        <v>886</v>
      </c>
      <c r="AA88" s="546">
        <f t="shared" si="7"/>
        <v>807.15100000000007</v>
      </c>
      <c r="AB88" s="546">
        <f t="shared" si="8"/>
        <v>587.76299999999992</v>
      </c>
      <c r="AC88" s="546"/>
      <c r="AD88" s="553">
        <f t="shared" si="14"/>
        <v>885.6123462117348</v>
      </c>
      <c r="AE88" s="532">
        <f t="shared" si="9"/>
        <v>809.13751507152938</v>
      </c>
      <c r="AF88" s="532">
        <f t="shared" si="10"/>
        <v>585.4687346776193</v>
      </c>
      <c r="AG88" s="532"/>
      <c r="AH88" s="980">
        <f t="shared" si="15"/>
        <v>888.04221084494145</v>
      </c>
      <c r="AI88" s="546">
        <f t="shared" si="11"/>
        <v>813.56108806543477</v>
      </c>
      <c r="AJ88" s="546">
        <f t="shared" si="12"/>
        <v>588.11461165496155</v>
      </c>
      <c r="AK88" s="886"/>
      <c r="AL88" s="430">
        <f t="shared" si="16"/>
        <v>107.64713024390244</v>
      </c>
      <c r="AQ88" s="1371">
        <f t="shared" si="17"/>
        <v>127.23831775700933</v>
      </c>
      <c r="AR88" s="1371">
        <f t="shared" si="18"/>
        <v>84.656983240223497</v>
      </c>
      <c r="AT88" s="430">
        <f t="shared" si="19"/>
        <v>4.0843499999999997</v>
      </c>
      <c r="AU88" s="430">
        <f t="shared" si="20"/>
        <v>3.0307200000000005</v>
      </c>
    </row>
    <row r="89" spans="3:47">
      <c r="C89" s="978">
        <v>40603</v>
      </c>
      <c r="D89" s="553">
        <v>518.18100000000004</v>
      </c>
      <c r="E89" s="532">
        <v>522.94899999999996</v>
      </c>
      <c r="F89" s="532">
        <v>565.63</v>
      </c>
      <c r="G89" s="532">
        <v>572.03</v>
      </c>
      <c r="H89" s="532">
        <v>569.12800000000004</v>
      </c>
      <c r="I89" s="532"/>
      <c r="J89" s="532">
        <v>7.2333999999999996</v>
      </c>
      <c r="K89" s="886">
        <v>102.37</v>
      </c>
      <c r="L89" s="979">
        <f t="shared" si="0"/>
        <v>740.483158</v>
      </c>
      <c r="M89" s="553">
        <f t="shared" si="5"/>
        <v>520.56500000000005</v>
      </c>
      <c r="N89" s="886">
        <f t="shared" si="6"/>
        <v>570.57899999999995</v>
      </c>
      <c r="O89" s="553">
        <f t="shared" si="2"/>
        <v>529.94423859934352</v>
      </c>
      <c r="P89" s="532">
        <f t="shared" si="3"/>
        <v>560.45008117981968</v>
      </c>
      <c r="Q89" s="532"/>
      <c r="R89" s="532"/>
      <c r="S89" s="553">
        <v>927</v>
      </c>
      <c r="T89" s="532">
        <v>918</v>
      </c>
      <c r="U89" s="532">
        <v>942</v>
      </c>
      <c r="V89" s="532">
        <v>878.05100000000004</v>
      </c>
      <c r="W89" s="532">
        <v>864.25099999999998</v>
      </c>
      <c r="X89" s="532">
        <v>643.71299999999997</v>
      </c>
      <c r="Y89" s="886">
        <v>671.81299999999999</v>
      </c>
      <c r="Z89" s="980">
        <f t="shared" si="13"/>
        <v>929</v>
      </c>
      <c r="AA89" s="546">
        <f t="shared" si="7"/>
        <v>871.15100000000007</v>
      </c>
      <c r="AB89" s="546">
        <f t="shared" si="8"/>
        <v>657.76299999999992</v>
      </c>
      <c r="AC89" s="546"/>
      <c r="AD89" s="553">
        <f t="shared" si="14"/>
        <v>959.11663486485452</v>
      </c>
      <c r="AE89" s="532">
        <f t="shared" si="9"/>
        <v>884.46748889985474</v>
      </c>
      <c r="AF89" s="532">
        <f t="shared" si="10"/>
        <v>648.70011440448036</v>
      </c>
      <c r="AG89" s="532"/>
      <c r="AH89" s="980">
        <f t="shared" si="15"/>
        <v>946.37496387038163</v>
      </c>
      <c r="AI89" s="546">
        <f t="shared" si="11"/>
        <v>897.15171392727427</v>
      </c>
      <c r="AJ89" s="546">
        <f t="shared" si="12"/>
        <v>662.94099391559951</v>
      </c>
      <c r="AK89" s="886"/>
      <c r="AL89" s="430">
        <f t="shared" si="16"/>
        <v>120.40376552845528</v>
      </c>
      <c r="AQ89" s="1371">
        <f t="shared" si="17"/>
        <v>127.23831775700931</v>
      </c>
      <c r="AR89" s="1371">
        <f t="shared" si="18"/>
        <v>83.958659217877141</v>
      </c>
      <c r="AT89" s="430">
        <f t="shared" si="19"/>
        <v>4.0843499999999988</v>
      </c>
      <c r="AU89" s="430">
        <f t="shared" si="20"/>
        <v>3.0057200000000015</v>
      </c>
    </row>
    <row r="90" spans="3:47">
      <c r="C90" s="978">
        <v>40634</v>
      </c>
      <c r="D90" s="553">
        <v>546.38099999999997</v>
      </c>
      <c r="E90" s="532">
        <v>552.149</v>
      </c>
      <c r="F90" s="532">
        <v>610.63</v>
      </c>
      <c r="G90" s="532">
        <v>616.03</v>
      </c>
      <c r="H90" s="532">
        <v>609.12800000000004</v>
      </c>
      <c r="I90" s="532"/>
      <c r="J90" s="532">
        <v>6.9512</v>
      </c>
      <c r="K90" s="886">
        <v>114.41</v>
      </c>
      <c r="L90" s="979">
        <f t="shared" si="0"/>
        <v>795.28679199999999</v>
      </c>
      <c r="M90" s="553">
        <f t="shared" si="5"/>
        <v>549.26499999999999</v>
      </c>
      <c r="N90" s="886">
        <f t="shared" si="6"/>
        <v>612.57899999999995</v>
      </c>
      <c r="O90" s="553">
        <f t="shared" si="2"/>
        <v>567.83060351367681</v>
      </c>
      <c r="P90" s="532">
        <f t="shared" si="3"/>
        <v>602.41700344465596</v>
      </c>
      <c r="Q90" s="532"/>
      <c r="R90" s="532"/>
      <c r="S90" s="553">
        <v>980</v>
      </c>
      <c r="T90" s="532">
        <v>966</v>
      </c>
      <c r="U90" s="532">
        <v>996</v>
      </c>
      <c r="V90" s="532">
        <v>948.45100000000002</v>
      </c>
      <c r="W90" s="532">
        <v>928.05100000000004</v>
      </c>
      <c r="X90" s="532">
        <v>684.51300000000003</v>
      </c>
      <c r="Y90" s="886">
        <v>720.41300000000001</v>
      </c>
      <c r="Z90" s="980">
        <f t="shared" si="13"/>
        <v>980.66666666666663</v>
      </c>
      <c r="AA90" s="546">
        <f t="shared" si="7"/>
        <v>938.25099999999998</v>
      </c>
      <c r="AB90" s="546">
        <f t="shared" si="8"/>
        <v>702.46299999999997</v>
      </c>
      <c r="AC90" s="546"/>
      <c r="AD90" s="553">
        <f t="shared" si="14"/>
        <v>1010.4631272794564</v>
      </c>
      <c r="AE90" s="532">
        <f t="shared" si="9"/>
        <v>937.08931547138627</v>
      </c>
      <c r="AF90" s="532">
        <f t="shared" si="10"/>
        <v>692.87045628523651</v>
      </c>
      <c r="AG90" s="532"/>
      <c r="AH90" s="980">
        <f t="shared" si="15"/>
        <v>985.30868507573337</v>
      </c>
      <c r="AI90" s="546">
        <f t="shared" si="11"/>
        <v>949.94579341896235</v>
      </c>
      <c r="AJ90" s="546">
        <f t="shared" si="12"/>
        <v>705.69892663596397</v>
      </c>
      <c r="AK90" s="886"/>
      <c r="AL90" s="430">
        <f t="shared" si="16"/>
        <v>129.31492552845526</v>
      </c>
      <c r="AQ90" s="1371">
        <f t="shared" si="17"/>
        <v>134.39304257528556</v>
      </c>
      <c r="AR90" s="1371">
        <f t="shared" si="18"/>
        <v>90.969832402234658</v>
      </c>
      <c r="AT90" s="430">
        <f t="shared" si="19"/>
        <v>4.3140166666666664</v>
      </c>
      <c r="AU90" s="430">
        <f t="shared" si="20"/>
        <v>3.2567200000000005</v>
      </c>
    </row>
    <row r="91" spans="3:47">
      <c r="C91" s="978">
        <v>40664</v>
      </c>
      <c r="D91" s="553">
        <v>575.38099999999997</v>
      </c>
      <c r="E91" s="532">
        <v>581.149</v>
      </c>
      <c r="F91" s="532">
        <v>626.63</v>
      </c>
      <c r="G91" s="532">
        <v>632.03</v>
      </c>
      <c r="H91" s="532">
        <v>624.12800000000004</v>
      </c>
      <c r="I91" s="532"/>
      <c r="J91" s="532">
        <v>6.7701000000000002</v>
      </c>
      <c r="K91" s="886">
        <v>123.49</v>
      </c>
      <c r="L91" s="979">
        <f t="shared" ref="L91:L110" si="21">K91*J91</f>
        <v>836.03964899999994</v>
      </c>
      <c r="M91" s="553">
        <f t="shared" ref="M91:M110" si="22">AVERAGE(D91:E91)</f>
        <v>578.26499999999999</v>
      </c>
      <c r="N91" s="886">
        <f t="shared" ref="N91:N110" si="23">AVERAGE(G91:H91)</f>
        <v>628.07899999999995</v>
      </c>
      <c r="O91" s="553">
        <f t="shared" ref="O91:O110" si="24">$E$7*L91+$F$7</f>
        <v>596.00350919368407</v>
      </c>
      <c r="P91" s="532">
        <f t="shared" ref="P91:P110" si="25">$I$7*L91+$J$7</f>
        <v>633.62427670301315</v>
      </c>
      <c r="Q91" s="532"/>
      <c r="R91" s="532"/>
      <c r="S91" s="553">
        <v>1009</v>
      </c>
      <c r="T91" s="532">
        <v>995</v>
      </c>
      <c r="U91" s="532">
        <v>1025</v>
      </c>
      <c r="V91" s="532">
        <v>964.45100000000002</v>
      </c>
      <c r="W91" s="532">
        <v>944.05100000000004</v>
      </c>
      <c r="X91" s="532">
        <v>699.51300000000003</v>
      </c>
      <c r="Y91" s="886">
        <v>735.41300000000001</v>
      </c>
      <c r="Z91" s="980">
        <f t="shared" si="13"/>
        <v>1009.6666666666666</v>
      </c>
      <c r="AA91" s="546">
        <f t="shared" si="7"/>
        <v>954.25099999999998</v>
      </c>
      <c r="AB91" s="546">
        <f t="shared" si="8"/>
        <v>717.46299999999997</v>
      </c>
      <c r="AC91" s="546"/>
      <c r="AD91" s="553">
        <f t="shared" si="14"/>
        <v>1048.6451986147963</v>
      </c>
      <c r="AE91" s="532">
        <f t="shared" si="9"/>
        <v>976.21974564228378</v>
      </c>
      <c r="AF91" s="532">
        <f t="shared" si="10"/>
        <v>725.71622754025145</v>
      </c>
      <c r="AG91" s="532"/>
      <c r="AH91" s="980">
        <f t="shared" si="15"/>
        <v>1024.6493789766114</v>
      </c>
      <c r="AI91" s="546">
        <f t="shared" si="11"/>
        <v>969.42932275518058</v>
      </c>
      <c r="AJ91" s="546">
        <f t="shared" si="12"/>
        <v>721.73315140610066</v>
      </c>
      <c r="AK91" s="886"/>
      <c r="AL91" s="430">
        <f t="shared" si="16"/>
        <v>135.94140634146339</v>
      </c>
      <c r="AQ91" s="1371">
        <f t="shared" si="17"/>
        <v>134.39304257528556</v>
      </c>
      <c r="AR91" s="1371">
        <f t="shared" si="18"/>
        <v>91.109497206703921</v>
      </c>
      <c r="AT91" s="430">
        <f t="shared" si="19"/>
        <v>4.3140166666666664</v>
      </c>
      <c r="AU91" s="430">
        <f t="shared" si="20"/>
        <v>3.2617200000000004</v>
      </c>
    </row>
    <row r="92" spans="3:47">
      <c r="C92" s="978">
        <v>40695</v>
      </c>
      <c r="D92" s="553">
        <v>573.38099999999997</v>
      </c>
      <c r="E92" s="532">
        <v>579.149</v>
      </c>
      <c r="F92" s="532">
        <v>588.63</v>
      </c>
      <c r="G92" s="532">
        <v>595.03</v>
      </c>
      <c r="H92" s="532">
        <v>592.12800000000004</v>
      </c>
      <c r="I92" s="532"/>
      <c r="J92" s="532">
        <v>6.8516000000000004</v>
      </c>
      <c r="K92" s="886">
        <v>116.15</v>
      </c>
      <c r="L92" s="979">
        <f t="shared" si="21"/>
        <v>795.81334000000004</v>
      </c>
      <c r="M92" s="553">
        <f t="shared" si="22"/>
        <v>576.26499999999999</v>
      </c>
      <c r="N92" s="886">
        <f t="shared" si="23"/>
        <v>593.57899999999995</v>
      </c>
      <c r="O92" s="553">
        <f t="shared" si="24"/>
        <v>568.19461203312858</v>
      </c>
      <c r="P92" s="532">
        <f t="shared" si="25"/>
        <v>602.82021756335314</v>
      </c>
      <c r="Q92" s="532"/>
      <c r="R92" s="532"/>
      <c r="S92" s="553">
        <v>1007</v>
      </c>
      <c r="T92" s="532">
        <v>993</v>
      </c>
      <c r="U92" s="532">
        <v>1023</v>
      </c>
      <c r="V92" s="532">
        <v>926.45100000000002</v>
      </c>
      <c r="W92" s="532">
        <v>906.05100000000004</v>
      </c>
      <c r="X92" s="532">
        <v>667.51300000000003</v>
      </c>
      <c r="Y92" s="886">
        <v>703.41300000000001</v>
      </c>
      <c r="Z92" s="980">
        <f t="shared" si="13"/>
        <v>1007.6666666666666</v>
      </c>
      <c r="AA92" s="546">
        <f t="shared" si="7"/>
        <v>916.25099999999998</v>
      </c>
      <c r="AB92" s="546">
        <f t="shared" si="8"/>
        <v>685.46299999999997</v>
      </c>
      <c r="AC92" s="546"/>
      <c r="AD92" s="553">
        <f t="shared" si="14"/>
        <v>1010.9564593984163</v>
      </c>
      <c r="AE92" s="532">
        <f t="shared" si="9"/>
        <v>937.59490087722975</v>
      </c>
      <c r="AF92" s="532">
        <f t="shared" si="10"/>
        <v>693.29484064589087</v>
      </c>
      <c r="AG92" s="532"/>
      <c r="AH92" s="980">
        <f t="shared" si="15"/>
        <v>1021.9362276731026</v>
      </c>
      <c r="AI92" s="546">
        <f t="shared" si="11"/>
        <v>926.06275745843675</v>
      </c>
      <c r="AJ92" s="546">
        <f t="shared" si="12"/>
        <v>687.52680522980904</v>
      </c>
      <c r="AK92" s="886"/>
      <c r="AL92" s="430">
        <f t="shared" si="16"/>
        <v>129.4005430894309</v>
      </c>
      <c r="AQ92" s="1371">
        <f t="shared" si="17"/>
        <v>134.39304257528556</v>
      </c>
      <c r="AR92" s="1371">
        <f t="shared" si="18"/>
        <v>90.131843575419012</v>
      </c>
      <c r="AT92" s="430">
        <f t="shared" si="19"/>
        <v>4.3140166666666664</v>
      </c>
      <c r="AU92" s="430">
        <f t="shared" si="20"/>
        <v>3.2267200000000003</v>
      </c>
    </row>
    <row r="93" spans="3:47">
      <c r="C93" s="978">
        <v>40725</v>
      </c>
      <c r="D93" s="553">
        <v>540.38099999999997</v>
      </c>
      <c r="E93" s="532">
        <v>548.149</v>
      </c>
      <c r="F93" s="532">
        <v>577.63</v>
      </c>
      <c r="G93" s="532">
        <v>583.03</v>
      </c>
      <c r="H93" s="532">
        <v>580.12800000000004</v>
      </c>
      <c r="I93" s="532"/>
      <c r="J93" s="532">
        <v>6.8353000000000002</v>
      </c>
      <c r="K93" s="886">
        <v>114.19</v>
      </c>
      <c r="L93" s="979">
        <f t="shared" si="21"/>
        <v>780.52290700000003</v>
      </c>
      <c r="M93" s="553">
        <f t="shared" si="22"/>
        <v>544.26499999999999</v>
      </c>
      <c r="N93" s="886">
        <f t="shared" si="23"/>
        <v>581.57899999999995</v>
      </c>
      <c r="O93" s="553">
        <f t="shared" si="24"/>
        <v>557.62416474607153</v>
      </c>
      <c r="P93" s="532">
        <f t="shared" si="25"/>
        <v>591.11127846076204</v>
      </c>
      <c r="Q93" s="532"/>
      <c r="R93" s="532"/>
      <c r="S93" s="553">
        <v>974</v>
      </c>
      <c r="T93" s="532">
        <v>962</v>
      </c>
      <c r="U93" s="532">
        <v>992</v>
      </c>
      <c r="V93" s="532">
        <v>915.45100000000002</v>
      </c>
      <c r="W93" s="532">
        <v>895.05100000000004</v>
      </c>
      <c r="X93" s="532">
        <v>655.51300000000003</v>
      </c>
      <c r="Y93" s="886">
        <v>691.41300000000001</v>
      </c>
      <c r="Z93" s="980">
        <f t="shared" si="13"/>
        <v>976</v>
      </c>
      <c r="AA93" s="546">
        <f t="shared" si="7"/>
        <v>905.25099999999998</v>
      </c>
      <c r="AB93" s="546">
        <f t="shared" si="8"/>
        <v>673.46299999999997</v>
      </c>
      <c r="AC93" s="546"/>
      <c r="AD93" s="553">
        <f t="shared" si="14"/>
        <v>996.63058272296678</v>
      </c>
      <c r="AE93" s="532">
        <f t="shared" si="9"/>
        <v>922.91320087299971</v>
      </c>
      <c r="AF93" s="532">
        <f t="shared" si="10"/>
        <v>680.97113866082191</v>
      </c>
      <c r="AG93" s="532"/>
      <c r="AH93" s="980">
        <f t="shared" si="15"/>
        <v>978.52580681696122</v>
      </c>
      <c r="AI93" s="546">
        <f t="shared" si="11"/>
        <v>910.9787347465259</v>
      </c>
      <c r="AJ93" s="546">
        <f t="shared" si="12"/>
        <v>674.69942541369971</v>
      </c>
      <c r="AK93" s="886"/>
      <c r="AL93" s="430">
        <f t="shared" si="16"/>
        <v>126.91429382113822</v>
      </c>
      <c r="AQ93" s="1371">
        <f t="shared" si="17"/>
        <v>134.49688473520249</v>
      </c>
      <c r="AR93" s="1371">
        <f t="shared" si="18"/>
        <v>90.411173184357551</v>
      </c>
      <c r="AT93" s="430">
        <f t="shared" si="19"/>
        <v>4.3173500000000002</v>
      </c>
      <c r="AU93" s="430">
        <f t="shared" si="20"/>
        <v>3.23672</v>
      </c>
    </row>
    <row r="94" spans="3:47">
      <c r="C94" s="978">
        <v>40756</v>
      </c>
      <c r="D94" s="553">
        <v>557.38099999999997</v>
      </c>
      <c r="E94" s="532">
        <v>565.149</v>
      </c>
      <c r="F94" s="532">
        <v>592.63</v>
      </c>
      <c r="G94" s="532">
        <v>598.03</v>
      </c>
      <c r="H94" s="532">
        <v>590.12800000000004</v>
      </c>
      <c r="I94" s="532"/>
      <c r="J94" s="532">
        <v>6.8133999999999997</v>
      </c>
      <c r="K94" s="886">
        <v>116.88</v>
      </c>
      <c r="L94" s="979">
        <f t="shared" si="21"/>
        <v>796.35019199999988</v>
      </c>
      <c r="M94" s="553">
        <f t="shared" si="22"/>
        <v>561.26499999999999</v>
      </c>
      <c r="N94" s="886">
        <f t="shared" si="23"/>
        <v>594.07899999999995</v>
      </c>
      <c r="O94" s="553">
        <f t="shared" si="24"/>
        <v>568.56574382298368</v>
      </c>
      <c r="P94" s="532">
        <f t="shared" si="25"/>
        <v>603.23132216549891</v>
      </c>
      <c r="Q94" s="532"/>
      <c r="R94" s="532"/>
      <c r="S94" s="553">
        <v>991</v>
      </c>
      <c r="T94" s="532">
        <v>979</v>
      </c>
      <c r="U94" s="532">
        <v>1009</v>
      </c>
      <c r="V94" s="532">
        <v>930.45100000000002</v>
      </c>
      <c r="W94" s="532">
        <v>910.05100000000004</v>
      </c>
      <c r="X94" s="532">
        <v>665.51300000000003</v>
      </c>
      <c r="Y94" s="886">
        <v>701.41300000000001</v>
      </c>
      <c r="Z94" s="980">
        <f t="shared" si="13"/>
        <v>993</v>
      </c>
      <c r="AA94" s="546">
        <f t="shared" si="7"/>
        <v>920.25099999999998</v>
      </c>
      <c r="AB94" s="546">
        <f t="shared" si="8"/>
        <v>683.46299999999997</v>
      </c>
      <c r="AC94" s="546"/>
      <c r="AD94" s="553">
        <f t="shared" si="14"/>
        <v>1011.4594455169237</v>
      </c>
      <c r="AE94" s="532">
        <f t="shared" si="9"/>
        <v>938.11038006677722</v>
      </c>
      <c r="AF94" s="532">
        <f t="shared" si="10"/>
        <v>693.72752976974277</v>
      </c>
      <c r="AG94" s="532"/>
      <c r="AH94" s="980">
        <f t="shared" si="15"/>
        <v>1001.5875928967864</v>
      </c>
      <c r="AI94" s="546">
        <f t="shared" si="11"/>
        <v>926.69125840476636</v>
      </c>
      <c r="AJ94" s="546">
        <f t="shared" si="12"/>
        <v>685.3889085937908</v>
      </c>
      <c r="AK94" s="886"/>
      <c r="AL94" s="430">
        <f t="shared" si="16"/>
        <v>129.48783609756094</v>
      </c>
      <c r="AQ94" s="1371">
        <f t="shared" si="17"/>
        <v>134.49688473520249</v>
      </c>
      <c r="AR94" s="1371">
        <f t="shared" si="18"/>
        <v>91.109497206703921</v>
      </c>
      <c r="AT94" s="430">
        <f t="shared" si="19"/>
        <v>4.3173500000000002</v>
      </c>
      <c r="AU94" s="430">
        <f t="shared" si="20"/>
        <v>3.2617200000000004</v>
      </c>
    </row>
    <row r="95" spans="3:47">
      <c r="C95" s="978">
        <v>40787</v>
      </c>
      <c r="D95" s="553">
        <v>566.38099999999997</v>
      </c>
      <c r="E95" s="532">
        <v>574.149</v>
      </c>
      <c r="F95" s="532">
        <v>592.63</v>
      </c>
      <c r="G95" s="532">
        <v>598.03</v>
      </c>
      <c r="H95" s="532">
        <v>588.12800000000004</v>
      </c>
      <c r="I95" s="532"/>
      <c r="J95" s="532">
        <v>7.0590000000000002</v>
      </c>
      <c r="K95" s="886">
        <v>110.67</v>
      </c>
      <c r="L95" s="979">
        <f t="shared" si="21"/>
        <v>781.21953000000008</v>
      </c>
      <c r="M95" s="553">
        <f t="shared" si="22"/>
        <v>570.26499999999999</v>
      </c>
      <c r="N95" s="886">
        <f t="shared" si="23"/>
        <v>593.07899999999995</v>
      </c>
      <c r="O95" s="553">
        <f t="shared" si="24"/>
        <v>558.10574801454095</v>
      </c>
      <c r="P95" s="532">
        <f t="shared" si="25"/>
        <v>591.64473073673514</v>
      </c>
      <c r="Q95" s="532"/>
      <c r="R95" s="532"/>
      <c r="S95" s="981">
        <v>1000</v>
      </c>
      <c r="T95" s="532">
        <v>988</v>
      </c>
      <c r="U95" s="532">
        <v>1018</v>
      </c>
      <c r="V95" s="532">
        <v>930.45100000000002</v>
      </c>
      <c r="W95" s="532">
        <v>910.05100000000004</v>
      </c>
      <c r="X95" s="532">
        <v>663.51300000000003</v>
      </c>
      <c r="Y95" s="886">
        <v>699.41300000000001</v>
      </c>
      <c r="Z95" s="980">
        <f t="shared" si="13"/>
        <v>1002</v>
      </c>
      <c r="AA95" s="546">
        <f t="shared" si="7"/>
        <v>920.25099999999998</v>
      </c>
      <c r="AB95" s="546">
        <f t="shared" si="8"/>
        <v>681.46299999999997</v>
      </c>
      <c r="AC95" s="546"/>
      <c r="AD95" s="553">
        <f t="shared" si="14"/>
        <v>997.2832611126031</v>
      </c>
      <c r="AE95" s="532">
        <f t="shared" si="9"/>
        <v>923.58209036108997</v>
      </c>
      <c r="AF95" s="532">
        <f t="shared" si="10"/>
        <v>681.53259916674381</v>
      </c>
      <c r="AG95" s="532"/>
      <c r="AH95" s="980">
        <f t="shared" si="15"/>
        <v>1013.7967737625761</v>
      </c>
      <c r="AI95" s="546">
        <f t="shared" si="11"/>
        <v>925.43425651210714</v>
      </c>
      <c r="AJ95" s="546">
        <f t="shared" si="12"/>
        <v>683.25101195777268</v>
      </c>
      <c r="AK95" s="886"/>
      <c r="AL95" s="430">
        <f t="shared" si="16"/>
        <v>127.02756585365854</v>
      </c>
      <c r="AQ95" s="1371">
        <f t="shared" si="17"/>
        <v>134.49688473520249</v>
      </c>
      <c r="AR95" s="1371">
        <f t="shared" si="18"/>
        <v>91.388826815642474</v>
      </c>
      <c r="AT95" s="430">
        <f t="shared" si="19"/>
        <v>4.3173500000000002</v>
      </c>
      <c r="AU95" s="430">
        <f t="shared" si="20"/>
        <v>3.2717200000000002</v>
      </c>
    </row>
    <row r="96" spans="3:47">
      <c r="C96" s="978">
        <v>40817</v>
      </c>
      <c r="D96" s="553">
        <v>599.38099999999997</v>
      </c>
      <c r="E96" s="532">
        <v>606.149</v>
      </c>
      <c r="F96" s="532">
        <v>627.63</v>
      </c>
      <c r="G96" s="532">
        <v>635.03</v>
      </c>
      <c r="H96" s="532">
        <v>618.12800000000004</v>
      </c>
      <c r="I96" s="532"/>
      <c r="J96" s="532">
        <v>7.5656999999999996</v>
      </c>
      <c r="K96" s="886">
        <v>113.61</v>
      </c>
      <c r="L96" s="979">
        <f t="shared" si="21"/>
        <v>859.539177</v>
      </c>
      <c r="M96" s="553">
        <f t="shared" si="22"/>
        <v>602.76499999999999</v>
      </c>
      <c r="N96" s="886">
        <f t="shared" si="23"/>
        <v>626.57899999999995</v>
      </c>
      <c r="O96" s="553">
        <f t="shared" si="24"/>
        <v>612.24899563574365</v>
      </c>
      <c r="P96" s="532">
        <f t="shared" si="25"/>
        <v>651.61948601406618</v>
      </c>
      <c r="Q96" s="532"/>
      <c r="R96" s="532"/>
      <c r="S96" s="553">
        <v>1037</v>
      </c>
      <c r="T96" s="532">
        <v>1024</v>
      </c>
      <c r="U96" s="532">
        <v>1054</v>
      </c>
      <c r="V96" s="532">
        <v>965.45100000000002</v>
      </c>
      <c r="W96" s="532">
        <v>945.05100000000004</v>
      </c>
      <c r="X96" s="532">
        <v>693.51300000000003</v>
      </c>
      <c r="Y96" s="886">
        <v>729.41300000000001</v>
      </c>
      <c r="Z96" s="980">
        <f t="shared" si="13"/>
        <v>1038.3333333333333</v>
      </c>
      <c r="AA96" s="546">
        <f t="shared" si="7"/>
        <v>955.25099999999998</v>
      </c>
      <c r="AB96" s="546">
        <f t="shared" si="8"/>
        <v>711.46299999999997</v>
      </c>
      <c r="AC96" s="546"/>
      <c r="AD96" s="553">
        <f t="shared" si="14"/>
        <v>1070.6623213515609</v>
      </c>
      <c r="AE96" s="532">
        <f t="shared" si="9"/>
        <v>998.78372537634391</v>
      </c>
      <c r="AF96" s="532">
        <f t="shared" si="10"/>
        <v>744.65625231664501</v>
      </c>
      <c r="AG96" s="532"/>
      <c r="AH96" s="980">
        <f t="shared" si="15"/>
        <v>1057.8854824445948</v>
      </c>
      <c r="AI96" s="546">
        <f t="shared" si="11"/>
        <v>967.54381991619175</v>
      </c>
      <c r="AJ96" s="546">
        <f t="shared" si="12"/>
        <v>715.31946149804605</v>
      </c>
      <c r="AK96" s="886"/>
      <c r="AL96" s="430">
        <f t="shared" si="16"/>
        <v>139.76246780487804</v>
      </c>
      <c r="AQ96" s="1371">
        <f t="shared" si="17"/>
        <v>135.69106957424711</v>
      </c>
      <c r="AR96" s="1371">
        <f t="shared" si="18"/>
        <v>91.80782122905029</v>
      </c>
      <c r="AT96" s="430">
        <f t="shared" si="19"/>
        <v>4.3556833333333325</v>
      </c>
      <c r="AU96" s="430">
        <f t="shared" si="20"/>
        <v>3.2867200000000003</v>
      </c>
    </row>
    <row r="97" spans="3:47">
      <c r="C97" s="978">
        <v>40848</v>
      </c>
      <c r="D97" s="553">
        <v>622.38099999999997</v>
      </c>
      <c r="E97" s="532">
        <v>629.149</v>
      </c>
      <c r="F97" s="532">
        <v>663.63</v>
      </c>
      <c r="G97" s="532">
        <v>671.03</v>
      </c>
      <c r="H97" s="532">
        <v>659.12800000000004</v>
      </c>
      <c r="I97" s="532"/>
      <c r="J97" s="532">
        <v>8.0012000000000008</v>
      </c>
      <c r="K97" s="886">
        <v>109.28</v>
      </c>
      <c r="L97" s="979">
        <f t="shared" si="21"/>
        <v>874.37113600000009</v>
      </c>
      <c r="M97" s="553">
        <f t="shared" si="22"/>
        <v>625.76499999999999</v>
      </c>
      <c r="N97" s="886">
        <f t="shared" si="23"/>
        <v>665.07899999999995</v>
      </c>
      <c r="O97" s="553">
        <f t="shared" si="24"/>
        <v>622.50249472064797</v>
      </c>
      <c r="P97" s="532">
        <f t="shared" si="25"/>
        <v>662.97733995470537</v>
      </c>
      <c r="Q97" s="532"/>
      <c r="R97" s="532"/>
      <c r="S97" s="553">
        <v>1060</v>
      </c>
      <c r="T97" s="532">
        <v>1047</v>
      </c>
      <c r="U97" s="532">
        <v>1077</v>
      </c>
      <c r="V97" s="532">
        <v>1001.451</v>
      </c>
      <c r="W97" s="532">
        <v>981.05100000000004</v>
      </c>
      <c r="X97" s="532">
        <v>734.53099999999995</v>
      </c>
      <c r="Y97" s="886">
        <v>770.41300000000001</v>
      </c>
      <c r="Z97" s="980">
        <f t="shared" si="13"/>
        <v>1061.3333333333333</v>
      </c>
      <c r="AA97" s="546">
        <f t="shared" si="7"/>
        <v>991.25099999999998</v>
      </c>
      <c r="AB97" s="546">
        <f t="shared" si="8"/>
        <v>752.47199999999998</v>
      </c>
      <c r="AC97" s="546"/>
      <c r="AD97" s="553">
        <f t="shared" si="14"/>
        <v>1084.5586456406982</v>
      </c>
      <c r="AE97" s="532">
        <f t="shared" si="9"/>
        <v>1013.0252038559292</v>
      </c>
      <c r="AF97" s="532">
        <f t="shared" si="10"/>
        <v>756.61043586205301</v>
      </c>
      <c r="AG97" s="532"/>
      <c r="AH97" s="980">
        <f t="shared" si="15"/>
        <v>1089.0867224349463</v>
      </c>
      <c r="AI97" s="546">
        <f t="shared" si="11"/>
        <v>1015.9383927835725</v>
      </c>
      <c r="AJ97" s="546">
        <f t="shared" si="12"/>
        <v>759.14634253641964</v>
      </c>
      <c r="AK97" s="886"/>
      <c r="AL97" s="430">
        <f t="shared" si="16"/>
        <v>142.17416845528456</v>
      </c>
      <c r="AQ97" s="1371">
        <f t="shared" si="17"/>
        <v>135.69106957424711</v>
      </c>
      <c r="AR97" s="1371">
        <f t="shared" si="18"/>
        <v>91.109497206703921</v>
      </c>
      <c r="AT97" s="430">
        <f t="shared" si="19"/>
        <v>4.3556833333333325</v>
      </c>
      <c r="AU97" s="430">
        <f t="shared" si="20"/>
        <v>3.2617200000000004</v>
      </c>
    </row>
    <row r="98" spans="3:47">
      <c r="C98" s="978">
        <v>40878</v>
      </c>
      <c r="D98" s="553">
        <v>596.54999999999995</v>
      </c>
      <c r="E98" s="532">
        <v>603.54999999999995</v>
      </c>
      <c r="F98" s="532">
        <v>702.63</v>
      </c>
      <c r="G98" s="532">
        <v>707.03</v>
      </c>
      <c r="H98" s="532">
        <v>694.12800000000004</v>
      </c>
      <c r="I98" s="532"/>
      <c r="J98" s="532">
        <v>8.1397999999999993</v>
      </c>
      <c r="K98" s="886">
        <v>110.51</v>
      </c>
      <c r="L98" s="979">
        <f t="shared" si="21"/>
        <v>899.52929799999993</v>
      </c>
      <c r="M98" s="553">
        <f t="shared" si="22"/>
        <v>600.04999999999995</v>
      </c>
      <c r="N98" s="886">
        <f t="shared" si="23"/>
        <v>700.57899999999995</v>
      </c>
      <c r="O98" s="553">
        <f t="shared" si="24"/>
        <v>639.89461339120749</v>
      </c>
      <c r="P98" s="532">
        <f t="shared" si="25"/>
        <v>682.24267971265192</v>
      </c>
      <c r="Q98" s="532"/>
      <c r="R98" s="532"/>
      <c r="S98" s="553">
        <v>1049</v>
      </c>
      <c r="T98" s="532">
        <v>1036</v>
      </c>
      <c r="U98" s="532">
        <v>1066</v>
      </c>
      <c r="V98" s="532">
        <v>1048.69</v>
      </c>
      <c r="W98" s="532">
        <v>1028.29</v>
      </c>
      <c r="X98" s="532">
        <v>777.52800000000002</v>
      </c>
      <c r="Y98" s="886">
        <v>813.428</v>
      </c>
      <c r="Z98" s="980">
        <f t="shared" si="13"/>
        <v>1050.3333333333333</v>
      </c>
      <c r="AA98" s="546">
        <f t="shared" si="7"/>
        <v>1038.49</v>
      </c>
      <c r="AB98" s="546">
        <f t="shared" si="8"/>
        <v>795.47800000000007</v>
      </c>
      <c r="AC98" s="546">
        <v>2121</v>
      </c>
      <c r="AD98" s="553">
        <f t="shared" si="14"/>
        <v>1108.129771860144</v>
      </c>
      <c r="AE98" s="532">
        <f t="shared" si="9"/>
        <v>1037.1817851078677</v>
      </c>
      <c r="AF98" s="532">
        <f t="shared" si="10"/>
        <v>776.88727766111037</v>
      </c>
      <c r="AG98" s="532"/>
      <c r="AH98" s="980">
        <f t="shared" si="15"/>
        <v>1054.2023795500813</v>
      </c>
      <c r="AI98" s="546">
        <f t="shared" si="11"/>
        <v>1060.5619599729755</v>
      </c>
      <c r="AJ98" s="546">
        <f t="shared" si="12"/>
        <v>796.55953366673862</v>
      </c>
      <c r="AK98" s="886"/>
      <c r="AL98" s="430">
        <f t="shared" si="16"/>
        <v>146.26492650406502</v>
      </c>
      <c r="AQ98" s="1371">
        <f t="shared" si="17"/>
        <v>140.27518172377984</v>
      </c>
      <c r="AR98" s="1371">
        <f t="shared" si="18"/>
        <v>94.388547486033545</v>
      </c>
      <c r="AT98" s="430">
        <f t="shared" si="19"/>
        <v>4.5028333333333332</v>
      </c>
      <c r="AU98" s="430">
        <f t="shared" si="20"/>
        <v>3.3791100000000007</v>
      </c>
    </row>
    <row r="99" spans="3:47">
      <c r="C99" s="978">
        <v>40909</v>
      </c>
      <c r="D99" s="553">
        <v>590.54999999999995</v>
      </c>
      <c r="E99" s="532">
        <v>598.54999999999995</v>
      </c>
      <c r="F99" s="532">
        <v>681.63</v>
      </c>
      <c r="G99" s="532">
        <v>687.03</v>
      </c>
      <c r="H99" s="532">
        <v>669.12800000000004</v>
      </c>
      <c r="I99" s="532"/>
      <c r="J99" s="532">
        <v>8.2121999999999993</v>
      </c>
      <c r="K99" s="886">
        <v>107.96</v>
      </c>
      <c r="L99" s="979">
        <f t="shared" si="21"/>
        <v>886.58911199999989</v>
      </c>
      <c r="M99" s="553">
        <f t="shared" si="22"/>
        <v>594.54999999999995</v>
      </c>
      <c r="N99" s="886">
        <f t="shared" si="23"/>
        <v>678.07899999999995</v>
      </c>
      <c r="O99" s="553">
        <f t="shared" si="24"/>
        <v>630.94891813210575</v>
      </c>
      <c r="P99" s="532">
        <f t="shared" si="25"/>
        <v>672.33348683039662</v>
      </c>
      <c r="Q99" s="532"/>
      <c r="R99" s="532"/>
      <c r="S99" s="553">
        <v>1043</v>
      </c>
      <c r="T99" s="532">
        <v>1031</v>
      </c>
      <c r="U99" s="532">
        <v>1061</v>
      </c>
      <c r="V99" s="532">
        <v>1027.69</v>
      </c>
      <c r="W99" s="532">
        <v>1007.29</v>
      </c>
      <c r="X99" s="532">
        <v>752.52800000000002</v>
      </c>
      <c r="Y99" s="886">
        <v>788.428</v>
      </c>
      <c r="Z99" s="980">
        <f>AVERAGE(S99:U99)</f>
        <v>1045</v>
      </c>
      <c r="AA99" s="546">
        <f>AVERAGE(V99:W99)</f>
        <v>1017.49</v>
      </c>
      <c r="AB99" s="546">
        <f>AVERAGE(X99:Y99)</f>
        <v>770.47800000000007</v>
      </c>
      <c r="AC99" s="546"/>
      <c r="AD99" s="553">
        <f t="shared" si="14"/>
        <v>1096.0058830995458</v>
      </c>
      <c r="AE99" s="532">
        <f t="shared" si="9"/>
        <v>1024.7567655645403</v>
      </c>
      <c r="AF99" s="532">
        <f t="shared" si="10"/>
        <v>766.45781527143424</v>
      </c>
      <c r="AG99" s="532"/>
      <c r="AH99" s="980">
        <f t="shared" si="15"/>
        <v>1046.7412134654323</v>
      </c>
      <c r="AI99" s="546">
        <f t="shared" si="11"/>
        <v>1032.2794173881425</v>
      </c>
      <c r="AJ99" s="546">
        <f t="shared" si="12"/>
        <v>769.83582571651073</v>
      </c>
      <c r="AK99" s="886"/>
      <c r="AL99" s="430">
        <f t="shared" si="16"/>
        <v>144.16083121951218</v>
      </c>
      <c r="AQ99" s="1371">
        <f t="shared" si="17"/>
        <v>140.32710280373831</v>
      </c>
      <c r="AR99" s="1371">
        <f t="shared" si="18"/>
        <v>94.807541899441361</v>
      </c>
      <c r="AT99" s="430">
        <f t="shared" si="19"/>
        <v>4.5045000000000002</v>
      </c>
      <c r="AU99" s="430">
        <f t="shared" si="20"/>
        <v>3.3941100000000004</v>
      </c>
    </row>
    <row r="100" spans="3:47">
      <c r="C100" s="978">
        <v>40940</v>
      </c>
      <c r="D100" s="553">
        <v>624.54999999999995</v>
      </c>
      <c r="E100" s="532">
        <v>632.54999999999995</v>
      </c>
      <c r="F100" s="532">
        <v>680.63</v>
      </c>
      <c r="G100" s="532">
        <v>685.03</v>
      </c>
      <c r="H100" s="532">
        <v>666.12800000000004</v>
      </c>
      <c r="I100" s="532"/>
      <c r="J100" s="532">
        <v>8.0840999999999994</v>
      </c>
      <c r="K100" s="886">
        <v>110.42</v>
      </c>
      <c r="L100" s="979">
        <f t="shared" si="21"/>
        <v>892.64632199999994</v>
      </c>
      <c r="M100" s="553">
        <f t="shared" si="22"/>
        <v>628.54999999999995</v>
      </c>
      <c r="N100" s="886">
        <f t="shared" si="23"/>
        <v>675.57899999999995</v>
      </c>
      <c r="O100" s="553">
        <f t="shared" si="24"/>
        <v>635.13633512753256</v>
      </c>
      <c r="P100" s="532">
        <f t="shared" si="25"/>
        <v>676.97191028260409</v>
      </c>
      <c r="Q100" s="532"/>
      <c r="R100" s="532"/>
      <c r="S100" s="553">
        <v>1077</v>
      </c>
      <c r="T100" s="532">
        <v>1065</v>
      </c>
      <c r="U100" s="532">
        <v>1095</v>
      </c>
      <c r="V100" s="532">
        <v>1026.69</v>
      </c>
      <c r="W100" s="532">
        <v>1006.29</v>
      </c>
      <c r="X100" s="532">
        <v>749.52800000000002</v>
      </c>
      <c r="Y100" s="886">
        <v>785.428</v>
      </c>
      <c r="Z100" s="553">
        <f t="shared" ref="Z100:Z110" si="26">AVERAGE(S100:U100)</f>
        <v>1079</v>
      </c>
      <c r="AA100" s="532">
        <f t="shared" ref="AA100:AA110" si="27">AVERAGE(V100:W100)</f>
        <v>1016.49</v>
      </c>
      <c r="AB100" s="532">
        <f t="shared" ref="AB100:AB110" si="28">AVERAGE(X100:Y100)</f>
        <v>767.47800000000007</v>
      </c>
      <c r="AC100" s="532"/>
      <c r="AD100" s="553">
        <f t="shared" si="14"/>
        <v>1101.6809901064762</v>
      </c>
      <c r="AE100" s="532">
        <f t="shared" si="9"/>
        <v>1030.5728297716573</v>
      </c>
      <c r="AF100" s="532">
        <f t="shared" si="10"/>
        <v>771.33977321866701</v>
      </c>
      <c r="AG100" s="532"/>
      <c r="AH100" s="980">
        <f t="shared" si="15"/>
        <v>1092.8647856250823</v>
      </c>
      <c r="AI100" s="546">
        <f t="shared" si="11"/>
        <v>1029.1369126564946</v>
      </c>
      <c r="AJ100" s="546">
        <f t="shared" si="12"/>
        <v>766.62898076248348</v>
      </c>
      <c r="AK100" s="886"/>
      <c r="AL100" s="430">
        <f t="shared" si="16"/>
        <v>145.14574341463413</v>
      </c>
      <c r="AQ100" s="1371">
        <f t="shared" si="17"/>
        <v>140.32710280373831</v>
      </c>
      <c r="AR100" s="1371">
        <f t="shared" si="18"/>
        <v>95.226536312849177</v>
      </c>
      <c r="AT100" s="430">
        <f t="shared" si="19"/>
        <v>4.5045000000000002</v>
      </c>
      <c r="AU100" s="430">
        <f t="shared" si="20"/>
        <v>3.4091100000000001</v>
      </c>
    </row>
    <row r="101" spans="3:47">
      <c r="C101" s="978">
        <v>40969</v>
      </c>
      <c r="D101" s="553">
        <v>648.16999999999996</v>
      </c>
      <c r="E101" s="532">
        <v>656.17</v>
      </c>
      <c r="F101" s="532">
        <v>686.63</v>
      </c>
      <c r="G101" s="532">
        <v>690.03</v>
      </c>
      <c r="H101" s="532">
        <v>670.12800000000004</v>
      </c>
      <c r="I101" s="532">
        <v>1507.415</v>
      </c>
      <c r="J101" s="532">
        <v>7.6790000000000003</v>
      </c>
      <c r="K101" s="886">
        <v>126.39</v>
      </c>
      <c r="L101" s="979">
        <f t="shared" si="21"/>
        <v>970.54881</v>
      </c>
      <c r="M101" s="553">
        <f t="shared" si="22"/>
        <v>652.16999999999996</v>
      </c>
      <c r="N101" s="886">
        <f t="shared" si="23"/>
        <v>680.07899999999995</v>
      </c>
      <c r="O101" s="553">
        <f t="shared" si="24"/>
        <v>688.99119606800366</v>
      </c>
      <c r="P101" s="532">
        <f t="shared" si="25"/>
        <v>736.62721814290671</v>
      </c>
      <c r="Q101" s="532"/>
      <c r="R101" s="532"/>
      <c r="S101" s="553">
        <v>1105</v>
      </c>
      <c r="T101" s="532">
        <v>1093</v>
      </c>
      <c r="U101" s="532">
        <v>1123</v>
      </c>
      <c r="V101" s="532">
        <v>1037.07</v>
      </c>
      <c r="W101" s="532">
        <v>1016.67</v>
      </c>
      <c r="X101" s="532">
        <v>753.52800000000002</v>
      </c>
      <c r="Y101" s="886">
        <v>789.428</v>
      </c>
      <c r="Z101" s="553">
        <f t="shared" si="26"/>
        <v>1107</v>
      </c>
      <c r="AA101" s="532">
        <f t="shared" si="27"/>
        <v>1026.8699999999999</v>
      </c>
      <c r="AB101" s="532">
        <f t="shared" si="28"/>
        <v>771.47800000000007</v>
      </c>
      <c r="AC101" s="532">
        <v>2207</v>
      </c>
      <c r="AD101" s="553">
        <f t="shared" si="14"/>
        <v>1174.6692067121598</v>
      </c>
      <c r="AE101" s="532">
        <f t="shared" si="9"/>
        <v>1105.3739134557579</v>
      </c>
      <c r="AF101" s="532">
        <f t="shared" si="10"/>
        <v>834.12720677319192</v>
      </c>
      <c r="AG101" s="532"/>
      <c r="AH101" s="980">
        <f t="shared" si="15"/>
        <v>1124.9071025195217</v>
      </c>
      <c r="AI101" s="546">
        <f t="shared" si="11"/>
        <v>1034.793421173461</v>
      </c>
      <c r="AJ101" s="546">
        <f t="shared" si="12"/>
        <v>770.90477403451985</v>
      </c>
      <c r="AK101" s="886"/>
      <c r="AL101" s="430">
        <f t="shared" si="16"/>
        <v>157.81281463414632</v>
      </c>
      <c r="AQ101" s="1371">
        <f t="shared" si="17"/>
        <v>141.69158878504672</v>
      </c>
      <c r="AR101" s="1371">
        <f t="shared" si="18"/>
        <v>96.868994413407819</v>
      </c>
      <c r="AT101" s="430">
        <f t="shared" si="19"/>
        <v>4.5483000000000002</v>
      </c>
      <c r="AU101" s="430">
        <f t="shared" si="20"/>
        <v>3.4679099999999998</v>
      </c>
    </row>
    <row r="102" spans="3:47">
      <c r="C102" s="978">
        <v>41000</v>
      </c>
      <c r="D102" s="553">
        <v>687.57</v>
      </c>
      <c r="E102" s="532">
        <v>694.57</v>
      </c>
      <c r="F102" s="532">
        <v>706.63</v>
      </c>
      <c r="G102" s="532">
        <v>712.03</v>
      </c>
      <c r="H102" s="532">
        <v>691.12800000000004</v>
      </c>
      <c r="I102" s="532">
        <v>1559.3980000000001</v>
      </c>
      <c r="J102" s="532">
        <v>7.6193</v>
      </c>
      <c r="K102" s="886">
        <v>125.42</v>
      </c>
      <c r="L102" s="979">
        <f t="shared" si="21"/>
        <v>955.61260600000003</v>
      </c>
      <c r="M102" s="553">
        <f t="shared" si="22"/>
        <v>691.07</v>
      </c>
      <c r="N102" s="886">
        <f t="shared" si="23"/>
        <v>701.57899999999995</v>
      </c>
      <c r="O102" s="553">
        <f t="shared" si="24"/>
        <v>678.66563124909169</v>
      </c>
      <c r="P102" s="532">
        <f t="shared" si="25"/>
        <v>725.18953661617184</v>
      </c>
      <c r="Q102" s="532"/>
      <c r="R102" s="532"/>
      <c r="S102" s="553">
        <v>1177</v>
      </c>
      <c r="T102" s="532">
        <v>1164</v>
      </c>
      <c r="U102" s="532">
        <v>1194</v>
      </c>
      <c r="V102" s="532">
        <v>1088.97</v>
      </c>
      <c r="W102" s="532">
        <v>1064.27</v>
      </c>
      <c r="X102" s="532">
        <v>774.12800000000004</v>
      </c>
      <c r="Y102" s="886">
        <v>816.02800000000002</v>
      </c>
      <c r="Z102" s="553">
        <f t="shared" si="26"/>
        <v>1178.3333333333333</v>
      </c>
      <c r="AA102" s="532">
        <f t="shared" si="27"/>
        <v>1076.6199999999999</v>
      </c>
      <c r="AB102" s="532">
        <f t="shared" si="28"/>
        <v>795.07799999999997</v>
      </c>
      <c r="AC102" s="532">
        <v>2275</v>
      </c>
      <c r="AD102" s="553">
        <f t="shared" si="14"/>
        <v>1160.6752134417693</v>
      </c>
      <c r="AE102" s="532">
        <f t="shared" si="9"/>
        <v>1091.0323401118258</v>
      </c>
      <c r="AF102" s="532">
        <f t="shared" si="10"/>
        <v>822.08900439630725</v>
      </c>
      <c r="AG102" s="532"/>
      <c r="AH102" s="980">
        <f t="shared" si="15"/>
        <v>1177.6778953727689</v>
      </c>
      <c r="AI102" s="546">
        <f t="shared" si="11"/>
        <v>1061.8189618656347</v>
      </c>
      <c r="AJ102" s="546">
        <f t="shared" si="12"/>
        <v>793.35268871271126</v>
      </c>
      <c r="AK102" s="886"/>
      <c r="AL102" s="430">
        <f t="shared" si="16"/>
        <v>155.38416357723577</v>
      </c>
      <c r="AQ102" s="1371">
        <f t="shared" si="17"/>
        <v>151.79543094496361</v>
      </c>
      <c r="AR102" s="1371">
        <f t="shared" si="18"/>
        <v>104.76005586592179</v>
      </c>
      <c r="AT102" s="430">
        <f t="shared" si="19"/>
        <v>4.872633333333332</v>
      </c>
      <c r="AU102" s="430">
        <f t="shared" si="20"/>
        <v>3.7504099999999996</v>
      </c>
    </row>
    <row r="103" spans="3:47">
      <c r="C103" s="978">
        <v>41030</v>
      </c>
      <c r="D103" s="553">
        <v>711.17</v>
      </c>
      <c r="E103" s="532">
        <v>718.17</v>
      </c>
      <c r="F103" s="532">
        <v>711.63</v>
      </c>
      <c r="G103" s="532">
        <v>716.03</v>
      </c>
      <c r="H103" s="532">
        <v>700.12800000000004</v>
      </c>
      <c r="I103" s="532">
        <v>1583.268</v>
      </c>
      <c r="J103" s="532">
        <v>7.8536000000000001</v>
      </c>
      <c r="K103" s="886">
        <v>120.18</v>
      </c>
      <c r="L103" s="979">
        <f t="shared" si="21"/>
        <v>943.8456480000001</v>
      </c>
      <c r="M103" s="553">
        <f t="shared" si="22"/>
        <v>714.67</v>
      </c>
      <c r="N103" s="886">
        <f t="shared" si="23"/>
        <v>708.07899999999995</v>
      </c>
      <c r="O103" s="553">
        <f t="shared" si="24"/>
        <v>670.53100162362512</v>
      </c>
      <c r="P103" s="532">
        <f t="shared" si="25"/>
        <v>716.17876532900516</v>
      </c>
      <c r="Q103" s="532"/>
      <c r="R103" s="532"/>
      <c r="S103" s="553">
        <v>1205</v>
      </c>
      <c r="T103" s="532">
        <v>1187</v>
      </c>
      <c r="U103" s="532">
        <v>1222</v>
      </c>
      <c r="V103" s="532">
        <v>1098.3699999999999</v>
      </c>
      <c r="W103" s="532">
        <v>1073.67</v>
      </c>
      <c r="X103" s="532">
        <v>783.12800000000004</v>
      </c>
      <c r="Y103" s="886">
        <v>825.02800000000002</v>
      </c>
      <c r="Z103" s="553">
        <f t="shared" si="26"/>
        <v>1204.6666666666667</v>
      </c>
      <c r="AA103" s="532">
        <f t="shared" si="27"/>
        <v>1086.02</v>
      </c>
      <c r="AB103" s="532">
        <f t="shared" si="28"/>
        <v>804.07799999999997</v>
      </c>
      <c r="AC103" s="532">
        <v>2306</v>
      </c>
      <c r="AD103" s="553">
        <f t="shared" si="14"/>
        <v>1149.6505427111765</v>
      </c>
      <c r="AE103" s="532">
        <f t="shared" si="9"/>
        <v>1079.7338407613904</v>
      </c>
      <c r="AF103" s="532">
        <f t="shared" si="10"/>
        <v>812.60513407930432</v>
      </c>
      <c r="AG103" s="532"/>
      <c r="AH103" s="980">
        <f t="shared" si="15"/>
        <v>1209.693080754173</v>
      </c>
      <c r="AI103" s="546">
        <f t="shared" si="11"/>
        <v>1069.98947416792</v>
      </c>
      <c r="AJ103" s="546">
        <f t="shared" si="12"/>
        <v>802.97322357479322</v>
      </c>
      <c r="AK103" s="886"/>
      <c r="AL103" s="430">
        <f t="shared" si="16"/>
        <v>153.47083707317074</v>
      </c>
      <c r="AQ103" s="1371">
        <f t="shared" si="17"/>
        <v>152.64693665628249</v>
      </c>
      <c r="AR103" s="1371">
        <f t="shared" si="18"/>
        <v>105.57011173184358</v>
      </c>
      <c r="AT103" s="430">
        <f t="shared" si="19"/>
        <v>4.8999666666666677</v>
      </c>
      <c r="AU103" s="430">
        <f t="shared" si="20"/>
        <v>3.7794099999999999</v>
      </c>
    </row>
    <row r="104" spans="3:47">
      <c r="C104" s="978">
        <v>41061</v>
      </c>
      <c r="D104" s="553">
        <v>653.99</v>
      </c>
      <c r="E104" s="532">
        <v>660.99</v>
      </c>
      <c r="F104" s="532">
        <v>684.63</v>
      </c>
      <c r="G104" s="532">
        <v>689.03</v>
      </c>
      <c r="H104" s="532">
        <v>679.12800000000004</v>
      </c>
      <c r="I104" s="532">
        <v>1507.4009999999998</v>
      </c>
      <c r="J104" s="532">
        <v>8.1030999999999995</v>
      </c>
      <c r="K104" s="886">
        <v>110.27</v>
      </c>
      <c r="L104" s="979">
        <f t="shared" si="21"/>
        <v>893.52883699999995</v>
      </c>
      <c r="M104" s="553">
        <f t="shared" si="22"/>
        <v>657.49</v>
      </c>
      <c r="N104" s="886">
        <f t="shared" si="23"/>
        <v>684.07899999999995</v>
      </c>
      <c r="O104" s="553">
        <f t="shared" si="24"/>
        <v>635.74642761396092</v>
      </c>
      <c r="P104" s="532">
        <f t="shared" si="25"/>
        <v>677.64771288362408</v>
      </c>
      <c r="Q104" s="532"/>
      <c r="R104" s="532"/>
      <c r="S104" s="553">
        <v>1150</v>
      </c>
      <c r="T104" s="532">
        <v>1132</v>
      </c>
      <c r="U104" s="532">
        <v>1167</v>
      </c>
      <c r="V104" s="532">
        <v>1073.55</v>
      </c>
      <c r="W104" s="532">
        <v>1048.8499999999999</v>
      </c>
      <c r="X104" s="532">
        <v>762.12800000000004</v>
      </c>
      <c r="Y104" s="886">
        <v>804.02800000000002</v>
      </c>
      <c r="Z104" s="553">
        <f t="shared" si="26"/>
        <v>1149.6666666666667</v>
      </c>
      <c r="AA104" s="532">
        <f t="shared" si="27"/>
        <v>1061.1999999999998</v>
      </c>
      <c r="AB104" s="532">
        <f t="shared" si="28"/>
        <v>783.07799999999997</v>
      </c>
      <c r="AC104" s="532">
        <v>2207</v>
      </c>
      <c r="AD104" s="553">
        <f t="shared" si="14"/>
        <v>1102.5078339933848</v>
      </c>
      <c r="AE104" s="532">
        <f t="shared" si="9"/>
        <v>1031.4202106456478</v>
      </c>
      <c r="AF104" s="532">
        <f t="shared" si="10"/>
        <v>772.05105797151566</v>
      </c>
      <c r="AG104" s="532"/>
      <c r="AH104" s="980">
        <f t="shared" si="15"/>
        <v>1132.1240849868555</v>
      </c>
      <c r="AI104" s="546">
        <f t="shared" si="11"/>
        <v>1039.8214287440981</v>
      </c>
      <c r="AJ104" s="546">
        <f t="shared" si="12"/>
        <v>780.52530889660193</v>
      </c>
      <c r="AK104" s="886"/>
      <c r="AL104" s="430">
        <f t="shared" si="16"/>
        <v>145.28924178861786</v>
      </c>
      <c r="AQ104" s="1371">
        <f t="shared" si="17"/>
        <v>153.32606438213918</v>
      </c>
      <c r="AR104" s="1371">
        <f t="shared" si="18"/>
        <v>105.34106145251394</v>
      </c>
      <c r="AT104" s="430">
        <f t="shared" si="19"/>
        <v>4.9217666666666684</v>
      </c>
      <c r="AU104" s="430">
        <f t="shared" si="20"/>
        <v>3.7712099999999986</v>
      </c>
    </row>
    <row r="105" spans="3:47">
      <c r="C105" s="978">
        <v>41091</v>
      </c>
      <c r="D105" s="553">
        <v>571.57000000000005</v>
      </c>
      <c r="E105" s="532">
        <v>582.57000000000005</v>
      </c>
      <c r="F105" s="532">
        <v>628.63</v>
      </c>
      <c r="G105" s="532">
        <v>634.03</v>
      </c>
      <c r="H105" s="532">
        <v>621.12800000000004</v>
      </c>
      <c r="I105" s="532">
        <v>1421.42</v>
      </c>
      <c r="J105" s="532">
        <v>8.4189000000000007</v>
      </c>
      <c r="K105" s="886">
        <v>95.22</v>
      </c>
      <c r="L105" s="979">
        <f t="shared" si="21"/>
        <v>801.64765800000009</v>
      </c>
      <c r="M105" s="553">
        <f t="shared" si="22"/>
        <v>577.07000000000005</v>
      </c>
      <c r="N105" s="886">
        <f t="shared" si="23"/>
        <v>627.57899999999995</v>
      </c>
      <c r="O105" s="553">
        <f t="shared" si="24"/>
        <v>572.22794129691908</v>
      </c>
      <c r="P105" s="532">
        <f t="shared" si="25"/>
        <v>607.28795723868814</v>
      </c>
      <c r="Q105" s="532"/>
      <c r="R105" s="532"/>
      <c r="S105" s="553">
        <v>1061</v>
      </c>
      <c r="T105" s="532">
        <v>1047</v>
      </c>
      <c r="U105" s="532">
        <v>1082</v>
      </c>
      <c r="V105" s="532">
        <v>1010.97</v>
      </c>
      <c r="W105" s="532">
        <v>986.27</v>
      </c>
      <c r="X105" s="532">
        <v>704.12800000000004</v>
      </c>
      <c r="Y105" s="886">
        <v>746.02800000000002</v>
      </c>
      <c r="Z105" s="553">
        <f t="shared" si="26"/>
        <v>1063.3333333333333</v>
      </c>
      <c r="AA105" s="532">
        <f t="shared" si="27"/>
        <v>998.62</v>
      </c>
      <c r="AB105" s="532">
        <f t="shared" si="28"/>
        <v>725.07799999999997</v>
      </c>
      <c r="AC105" s="532">
        <v>2094</v>
      </c>
      <c r="AD105" s="553">
        <f t="shared" si="14"/>
        <v>1016.4227349547303</v>
      </c>
      <c r="AE105" s="532">
        <f t="shared" si="9"/>
        <v>943.19694671891921</v>
      </c>
      <c r="AF105" s="532">
        <f t="shared" si="10"/>
        <v>697.99715328269622</v>
      </c>
      <c r="AG105" s="532"/>
      <c r="AH105" s="980">
        <f t="shared" si="15"/>
        <v>1023.0282710727651</v>
      </c>
      <c r="AI105" s="546">
        <f t="shared" si="11"/>
        <v>968.80082180885097</v>
      </c>
      <c r="AJ105" s="546">
        <f t="shared" si="12"/>
        <v>718.5263064520733</v>
      </c>
      <c r="AK105" s="886"/>
      <c r="AL105" s="430">
        <f t="shared" si="16"/>
        <v>130.34921268292683</v>
      </c>
      <c r="AQ105" s="1371">
        <f t="shared" si="17"/>
        <v>151.48390446521285</v>
      </c>
      <c r="AR105" s="1371">
        <f t="shared" si="18"/>
        <v>103.64273743016761</v>
      </c>
      <c r="AT105" s="430">
        <f t="shared" si="19"/>
        <v>4.8626333333333323</v>
      </c>
      <c r="AU105" s="430">
        <f t="shared" si="20"/>
        <v>3.7104100000000004</v>
      </c>
    </row>
    <row r="106" spans="3:47">
      <c r="C106" s="978">
        <v>41122</v>
      </c>
      <c r="D106" s="553">
        <v>597.95000000000005</v>
      </c>
      <c r="E106" s="532">
        <v>608.95000000000005</v>
      </c>
      <c r="F106" s="532">
        <v>647.63</v>
      </c>
      <c r="G106" s="532">
        <v>654.03</v>
      </c>
      <c r="H106" s="532">
        <v>636.12800000000004</v>
      </c>
      <c r="I106" s="532">
        <v>1461.1410000000001</v>
      </c>
      <c r="J106" s="532">
        <v>8.2657000000000007</v>
      </c>
      <c r="K106" s="886">
        <v>102.04</v>
      </c>
      <c r="L106" s="979">
        <f t="shared" si="21"/>
        <v>843.43202800000017</v>
      </c>
      <c r="M106" s="553">
        <f t="shared" si="22"/>
        <v>603.45000000000005</v>
      </c>
      <c r="N106" s="886">
        <f t="shared" si="23"/>
        <v>645.07899999999995</v>
      </c>
      <c r="O106" s="553">
        <f t="shared" si="24"/>
        <v>601.11394344662187</v>
      </c>
      <c r="P106" s="532">
        <f t="shared" si="25"/>
        <v>639.28513114279747</v>
      </c>
      <c r="Q106" s="532"/>
      <c r="R106" s="532"/>
      <c r="S106" s="553">
        <v>1083</v>
      </c>
      <c r="T106" s="532">
        <v>1069</v>
      </c>
      <c r="U106" s="532">
        <v>1104</v>
      </c>
      <c r="V106" s="532">
        <v>1025.5899999999999</v>
      </c>
      <c r="W106" s="532">
        <v>1000.89</v>
      </c>
      <c r="X106" s="532">
        <v>719.12800000000004</v>
      </c>
      <c r="Y106" s="886">
        <v>761.02800000000002</v>
      </c>
      <c r="Z106" s="553">
        <f t="shared" si="26"/>
        <v>1085.3333333333333</v>
      </c>
      <c r="AA106" s="532">
        <f t="shared" si="27"/>
        <v>1013.24</v>
      </c>
      <c r="AB106" s="532">
        <f t="shared" si="28"/>
        <v>740.07799999999997</v>
      </c>
      <c r="AC106" s="532">
        <v>2146</v>
      </c>
      <c r="AD106" s="553">
        <f t="shared" si="14"/>
        <v>1055.5712490341784</v>
      </c>
      <c r="AE106" s="532">
        <f t="shared" si="9"/>
        <v>983.31782395017558</v>
      </c>
      <c r="AF106" s="532">
        <f t="shared" si="10"/>
        <v>731.67429790730284</v>
      </c>
      <c r="AG106" s="532"/>
      <c r="AH106" s="980">
        <f t="shared" si="15"/>
        <v>1058.8147367660467</v>
      </c>
      <c r="AI106" s="546">
        <f t="shared" si="11"/>
        <v>990.79835493038775</v>
      </c>
      <c r="AJ106" s="546">
        <f t="shared" si="12"/>
        <v>734.56053122220999</v>
      </c>
      <c r="AK106" s="886"/>
      <c r="AL106" s="430">
        <f t="shared" si="16"/>
        <v>137.14341918699188</v>
      </c>
      <c r="AQ106" s="1371">
        <f t="shared" si="17"/>
        <v>150.11941848390444</v>
      </c>
      <c r="AR106" s="1371">
        <f t="shared" si="18"/>
        <v>102.83826815642459</v>
      </c>
      <c r="AT106" s="430">
        <f t="shared" si="19"/>
        <v>4.8188333333333331</v>
      </c>
      <c r="AU106" s="430">
        <f t="shared" si="20"/>
        <v>3.68161</v>
      </c>
    </row>
    <row r="107" spans="3:47">
      <c r="C107" s="978">
        <v>41153</v>
      </c>
      <c r="D107" s="553">
        <v>687.45</v>
      </c>
      <c r="E107" s="532">
        <v>698.45</v>
      </c>
      <c r="F107" s="532">
        <v>716.63</v>
      </c>
      <c r="G107" s="532">
        <v>723.03</v>
      </c>
      <c r="H107" s="532">
        <v>709.12800000000004</v>
      </c>
      <c r="I107" s="430">
        <v>1559.6109999999999</v>
      </c>
      <c r="J107" s="532">
        <v>8.2758000000000003</v>
      </c>
      <c r="K107" s="886">
        <v>113.51</v>
      </c>
      <c r="L107" s="979">
        <f t="shared" si="21"/>
        <v>939.38605800000005</v>
      </c>
      <c r="M107" s="553">
        <f t="shared" si="22"/>
        <v>692.95</v>
      </c>
      <c r="N107" s="886">
        <f t="shared" si="23"/>
        <v>716.07899999999995</v>
      </c>
      <c r="O107" s="553">
        <f t="shared" si="24"/>
        <v>667.44803719633342</v>
      </c>
      <c r="P107" s="532">
        <f t="shared" si="25"/>
        <v>712.7637496958622</v>
      </c>
      <c r="Q107" s="532"/>
      <c r="R107" s="532"/>
      <c r="S107" s="553">
        <v>1176</v>
      </c>
      <c r="T107" s="532">
        <v>1162</v>
      </c>
      <c r="U107" s="532">
        <v>1197</v>
      </c>
      <c r="V107" s="532">
        <v>1094.5899999999999</v>
      </c>
      <c r="W107" s="532">
        <v>1069.8900000000001</v>
      </c>
      <c r="X107" s="532">
        <v>792.12800000000004</v>
      </c>
      <c r="Y107" s="886">
        <v>834.02800000000002</v>
      </c>
      <c r="Z107" s="553">
        <f t="shared" si="26"/>
        <v>1178.3333333333333</v>
      </c>
      <c r="AA107" s="532">
        <f t="shared" si="27"/>
        <v>1082.24</v>
      </c>
      <c r="AB107" s="532">
        <f t="shared" si="28"/>
        <v>813.07799999999997</v>
      </c>
      <c r="AC107" s="430">
        <v>2275</v>
      </c>
      <c r="AD107" s="553">
        <f t="shared" si="14"/>
        <v>1145.4722740929451</v>
      </c>
      <c r="AE107" s="532">
        <f t="shared" si="9"/>
        <v>1075.4517931227222</v>
      </c>
      <c r="AF107" s="532">
        <f t="shared" si="10"/>
        <v>809.010817415048</v>
      </c>
      <c r="AG107" s="532"/>
      <c r="AH107" s="980">
        <f t="shared" si="15"/>
        <v>1180.2282575980671</v>
      </c>
      <c r="AI107" s="546">
        <f t="shared" si="11"/>
        <v>1080.0454893091937</v>
      </c>
      <c r="AJ107" s="546">
        <f t="shared" si="12"/>
        <v>812.59375843687531</v>
      </c>
      <c r="AK107" s="886"/>
      <c r="AL107" s="430">
        <f t="shared" si="16"/>
        <v>152.74570048780487</v>
      </c>
      <c r="AQ107" s="1371">
        <f t="shared" si="17"/>
        <v>151.20976116303214</v>
      </c>
      <c r="AR107" s="1371">
        <f t="shared" si="18"/>
        <v>102.27960893854751</v>
      </c>
      <c r="AT107" s="430">
        <f t="shared" si="19"/>
        <v>4.8538333333333323</v>
      </c>
      <c r="AU107" s="430">
        <f t="shared" si="20"/>
        <v>3.6616100000000005</v>
      </c>
    </row>
    <row r="108" spans="3:47">
      <c r="C108" s="978">
        <v>41183</v>
      </c>
      <c r="D108" s="553">
        <v>695.29</v>
      </c>
      <c r="E108" s="532">
        <v>708.29</v>
      </c>
      <c r="F108" s="532">
        <v>742.63</v>
      </c>
      <c r="G108" s="532">
        <v>750.03</v>
      </c>
      <c r="H108" s="532">
        <v>742.12800000000004</v>
      </c>
      <c r="I108" s="532">
        <v>1557.1100000000001</v>
      </c>
      <c r="J108" s="532">
        <v>8.3074999999999992</v>
      </c>
      <c r="K108" s="886">
        <v>112.96</v>
      </c>
      <c r="L108" s="979">
        <f t="shared" si="21"/>
        <v>938.41519999999991</v>
      </c>
      <c r="M108" s="553">
        <f t="shared" si="22"/>
        <v>701.79</v>
      </c>
      <c r="N108" s="886">
        <f t="shared" si="23"/>
        <v>746.07899999999995</v>
      </c>
      <c r="O108" s="553">
        <f t="shared" si="24"/>
        <v>666.776872206289</v>
      </c>
      <c r="P108" s="532">
        <f t="shared" si="25"/>
        <v>712.02029676687948</v>
      </c>
      <c r="Q108" s="532"/>
      <c r="R108" s="532"/>
      <c r="S108" s="553">
        <v>1197</v>
      </c>
      <c r="T108" s="532">
        <v>1185</v>
      </c>
      <c r="U108" s="532">
        <v>1220</v>
      </c>
      <c r="V108" s="532">
        <v>1133.75</v>
      </c>
      <c r="W108" s="532">
        <v>1109.05</v>
      </c>
      <c r="X108" s="532">
        <v>825.12800000000004</v>
      </c>
      <c r="Y108" s="886">
        <v>867.02800000000002</v>
      </c>
      <c r="Z108" s="553">
        <f t="shared" si="26"/>
        <v>1200.6666666666667</v>
      </c>
      <c r="AA108" s="532">
        <f t="shared" si="27"/>
        <v>1121.4000000000001</v>
      </c>
      <c r="AB108" s="532">
        <f t="shared" si="28"/>
        <v>846.07799999999997</v>
      </c>
      <c r="AC108" s="532">
        <v>2272</v>
      </c>
      <c r="AD108" s="553">
        <f t="shared" si="14"/>
        <v>1144.5626600893797</v>
      </c>
      <c r="AE108" s="532">
        <f t="shared" si="9"/>
        <v>1074.5195863040724</v>
      </c>
      <c r="AF108" s="532">
        <f t="shared" si="10"/>
        <v>808.22833044023037</v>
      </c>
      <c r="AG108" s="532"/>
      <c r="AH108" s="980">
        <f t="shared" si="15"/>
        <v>1192.2203863595762</v>
      </c>
      <c r="AI108" s="546">
        <f t="shared" si="11"/>
        <v>1117.755546088971</v>
      </c>
      <c r="AJ108" s="546">
        <f t="shared" si="12"/>
        <v>847.86905293117604</v>
      </c>
      <c r="AK108" s="886"/>
      <c r="AL108" s="430">
        <f t="shared" si="16"/>
        <v>152.58783739837395</v>
      </c>
      <c r="AQ108" s="1371">
        <f t="shared" si="17"/>
        <v>155.41329179646939</v>
      </c>
      <c r="AR108" s="1371">
        <f t="shared" si="18"/>
        <v>104.83826815642462</v>
      </c>
      <c r="AT108" s="430">
        <f t="shared" si="19"/>
        <v>4.9887666666666677</v>
      </c>
      <c r="AU108" s="430">
        <f t="shared" si="20"/>
        <v>3.753210000000001</v>
      </c>
    </row>
    <row r="109" spans="3:47">
      <c r="C109" s="978">
        <v>41214</v>
      </c>
      <c r="D109" s="553">
        <v>683.09</v>
      </c>
      <c r="E109" s="532">
        <v>696.09</v>
      </c>
      <c r="F109" s="532">
        <v>750.63</v>
      </c>
      <c r="G109" s="532">
        <v>757.03</v>
      </c>
      <c r="H109" s="532">
        <v>745.12800000000004</v>
      </c>
      <c r="I109" s="532">
        <v>1557.88</v>
      </c>
      <c r="J109" s="532">
        <v>8.6478999999999999</v>
      </c>
      <c r="K109" s="886">
        <v>109.05</v>
      </c>
      <c r="L109" s="979">
        <f t="shared" si="21"/>
        <v>943.053495</v>
      </c>
      <c r="M109" s="553">
        <f t="shared" si="22"/>
        <v>689.59</v>
      </c>
      <c r="N109" s="886">
        <f t="shared" si="23"/>
        <v>751.07899999999995</v>
      </c>
      <c r="O109" s="553">
        <f t="shared" si="24"/>
        <v>669.98337739808585</v>
      </c>
      <c r="P109" s="532">
        <f t="shared" si="25"/>
        <v>715.57215914349456</v>
      </c>
      <c r="Q109" s="532"/>
      <c r="R109" s="532"/>
      <c r="S109" s="553">
        <v>1187</v>
      </c>
      <c r="T109" s="532">
        <v>1175</v>
      </c>
      <c r="U109" s="532">
        <v>1210</v>
      </c>
      <c r="V109" s="532">
        <v>1143.95</v>
      </c>
      <c r="W109" s="532">
        <v>1119.25</v>
      </c>
      <c r="X109" s="532">
        <v>828.12800000000004</v>
      </c>
      <c r="Y109" s="886">
        <v>870.02800000000002</v>
      </c>
      <c r="Z109" s="553">
        <f t="shared" si="26"/>
        <v>1190.6666666666667</v>
      </c>
      <c r="AA109" s="532">
        <f t="shared" si="27"/>
        <v>1131.5999999999999</v>
      </c>
      <c r="AB109" s="532">
        <f t="shared" si="28"/>
        <v>849.07799999999997</v>
      </c>
      <c r="AC109" s="532">
        <v>2273</v>
      </c>
      <c r="AD109" s="553">
        <f t="shared" si="14"/>
        <v>1148.9083605776757</v>
      </c>
      <c r="AE109" s="532">
        <f t="shared" si="9"/>
        <v>1078.973224452915</v>
      </c>
      <c r="AF109" s="532">
        <f t="shared" si="10"/>
        <v>811.96667881132203</v>
      </c>
      <c r="AG109" s="532"/>
      <c r="AH109" s="980">
        <f t="shared" si="15"/>
        <v>1175.6701634081724</v>
      </c>
      <c r="AI109" s="546">
        <f t="shared" si="11"/>
        <v>1124.0405555522671</v>
      </c>
      <c r="AJ109" s="546">
        <f t="shared" si="12"/>
        <v>851.07589788520329</v>
      </c>
      <c r="AK109" s="886"/>
      <c r="AL109" s="430">
        <f t="shared" si="16"/>
        <v>153.34203170731706</v>
      </c>
      <c r="AQ109" s="1371">
        <f t="shared" si="17"/>
        <v>156.09865005192108</v>
      </c>
      <c r="AR109" s="1371">
        <f t="shared" si="18"/>
        <v>106.29078212290503</v>
      </c>
      <c r="AT109" s="430">
        <f t="shared" si="19"/>
        <v>5.010766666666667</v>
      </c>
      <c r="AU109" s="430">
        <f t="shared" si="20"/>
        <v>3.8052099999999998</v>
      </c>
    </row>
    <row r="110" spans="3:47">
      <c r="C110" s="982">
        <v>41244</v>
      </c>
      <c r="D110" s="590">
        <v>660.19</v>
      </c>
      <c r="E110" s="387">
        <v>673.19</v>
      </c>
      <c r="F110" s="387">
        <v>735.63</v>
      </c>
      <c r="G110" s="387">
        <v>741.03</v>
      </c>
      <c r="H110" s="387">
        <v>731.12800000000004</v>
      </c>
      <c r="I110" s="387">
        <v>1531.421</v>
      </c>
      <c r="J110" s="387">
        <v>8.8252000000000006</v>
      </c>
      <c r="K110" s="600">
        <v>109.04</v>
      </c>
      <c r="L110" s="983">
        <f t="shared" si="21"/>
        <v>962.2998080000001</v>
      </c>
      <c r="M110" s="590">
        <f t="shared" si="22"/>
        <v>666.69</v>
      </c>
      <c r="N110" s="600">
        <f t="shared" si="23"/>
        <v>736.07899999999995</v>
      </c>
      <c r="O110" s="590">
        <f t="shared" si="24"/>
        <v>683.28856875772226</v>
      </c>
      <c r="P110" s="387">
        <f t="shared" si="25"/>
        <v>730.31038839222856</v>
      </c>
      <c r="Q110" s="387"/>
      <c r="R110" s="387"/>
      <c r="S110" s="590">
        <v>1178</v>
      </c>
      <c r="T110" s="387">
        <v>1166</v>
      </c>
      <c r="U110" s="387">
        <v>1201</v>
      </c>
      <c r="V110" s="387">
        <v>1138.95</v>
      </c>
      <c r="W110" s="387">
        <v>1114.25</v>
      </c>
      <c r="X110" s="387">
        <v>824.12800000000004</v>
      </c>
      <c r="Y110" s="600">
        <v>866.02800000000002</v>
      </c>
      <c r="Z110" s="590">
        <f t="shared" si="26"/>
        <v>1181.6666666666667</v>
      </c>
      <c r="AA110" s="387">
        <f t="shared" si="27"/>
        <v>1126.5999999999999</v>
      </c>
      <c r="AB110" s="387">
        <f t="shared" si="28"/>
        <v>845.07799999999997</v>
      </c>
      <c r="AC110" s="387">
        <v>2238</v>
      </c>
      <c r="AD110" s="590">
        <f t="shared" si="14"/>
        <v>1166.9405710778692</v>
      </c>
      <c r="AE110" s="387">
        <f t="shared" si="9"/>
        <v>1097.4533154780361</v>
      </c>
      <c r="AF110" s="387">
        <f t="shared" si="10"/>
        <v>827.47871994994523</v>
      </c>
      <c r="AG110" s="387"/>
      <c r="AH110" s="984">
        <f t="shared" si="15"/>
        <v>1144.6045809829961</v>
      </c>
      <c r="AI110" s="985">
        <f t="shared" si="11"/>
        <v>1105.1855271623785</v>
      </c>
      <c r="AJ110" s="985">
        <f t="shared" si="12"/>
        <v>836.11062143307572</v>
      </c>
      <c r="AK110" s="600"/>
      <c r="AL110" s="430">
        <f t="shared" si="16"/>
        <v>156.47151349593497</v>
      </c>
      <c r="AQ110" s="1371">
        <f t="shared" si="17"/>
        <v>160.42886812045691</v>
      </c>
      <c r="AR110" s="1371">
        <f t="shared" si="18"/>
        <v>109.08407821229049</v>
      </c>
      <c r="AT110" s="430">
        <f t="shared" si="19"/>
        <v>5.1497666666666673</v>
      </c>
      <c r="AU110" s="430">
        <f t="shared" si="20"/>
        <v>3.905209999999999</v>
      </c>
    </row>
    <row r="111" spans="3:47">
      <c r="E111" s="1413">
        <v>884.85</v>
      </c>
      <c r="F111" s="1413">
        <v>769</v>
      </c>
    </row>
    <row r="112" spans="3:47">
      <c r="AM112" s="430" t="s">
        <v>394</v>
      </c>
      <c r="AN112" s="430" t="s">
        <v>32</v>
      </c>
      <c r="AO112" s="430">
        <v>0.82</v>
      </c>
    </row>
    <row r="113" spans="3:41">
      <c r="AM113" s="430" t="s">
        <v>705</v>
      </c>
      <c r="AN113" s="430" t="s">
        <v>705</v>
      </c>
    </row>
    <row r="114" spans="3:41">
      <c r="C114" s="1302">
        <v>44197</v>
      </c>
      <c r="D114" s="430">
        <v>512.16999999999996</v>
      </c>
      <c r="E114" s="430">
        <v>519.16999999999996</v>
      </c>
      <c r="F114" s="430">
        <v>541.63</v>
      </c>
      <c r="G114" s="430">
        <v>543.03</v>
      </c>
      <c r="H114" s="430">
        <v>527.12800000000004</v>
      </c>
      <c r="I114" s="430">
        <v>926.43899999999996</v>
      </c>
      <c r="J114" s="430">
        <v>14.939</v>
      </c>
      <c r="K114" s="430">
        <v>49.2</v>
      </c>
      <c r="L114" s="983">
        <f t="shared" ref="L114:L116" si="29">K114*J114</f>
        <v>734.99880000000007</v>
      </c>
      <c r="M114" s="590">
        <f t="shared" ref="M114:M116" si="30">AVERAGE(D114:E114)</f>
        <v>515.66999999999996</v>
      </c>
      <c r="N114" s="600">
        <f t="shared" ref="N114:N116" si="31">AVERAGE(G114:H114)</f>
        <v>535.07899999999995</v>
      </c>
      <c r="AM114" s="1397">
        <f>1/$AC$8/100*M114*1000</f>
        <v>150.78070175438597</v>
      </c>
      <c r="AN114" s="1397">
        <f>1/$AC$9/100*N114*1000</f>
        <v>140.44068241469816</v>
      </c>
      <c r="AO114" s="430">
        <f>AM114*AO$112</f>
        <v>123.64017543859649</v>
      </c>
    </row>
    <row r="115" spans="3:41">
      <c r="C115" s="1302">
        <v>44228</v>
      </c>
      <c r="D115" s="430">
        <v>593.16999999999996</v>
      </c>
      <c r="E115" s="430">
        <v>600.16999999999996</v>
      </c>
      <c r="F115" s="430">
        <v>599.63</v>
      </c>
      <c r="G115" s="430">
        <v>602.03</v>
      </c>
      <c r="H115" s="430">
        <v>586.12800000000004</v>
      </c>
      <c r="I115" s="430">
        <v>1008</v>
      </c>
      <c r="J115" s="430">
        <v>15.087</v>
      </c>
      <c r="K115" s="430">
        <v>53.1</v>
      </c>
      <c r="L115" s="983">
        <f t="shared" si="29"/>
        <v>801.11969999999997</v>
      </c>
      <c r="M115" s="590">
        <f t="shared" si="30"/>
        <v>596.66999999999996</v>
      </c>
      <c r="N115" s="600">
        <f t="shared" si="31"/>
        <v>594.07899999999995</v>
      </c>
      <c r="AM115" s="1397">
        <f t="shared" ref="AM115:AM116" si="32">1/$AC$8/100*M115*1000</f>
        <v>174.46491228070175</v>
      </c>
      <c r="AN115" s="1397">
        <f t="shared" ref="AN115:AN116" si="33">1/$AC$9/100*N115*1000</f>
        <v>155.92624671916008</v>
      </c>
      <c r="AO115" s="1409">
        <f t="shared" ref="AO115:AO116" si="34">AM115*AO$112</f>
        <v>143.06122807017542</v>
      </c>
    </row>
    <row r="116" spans="3:41">
      <c r="C116" s="1302">
        <v>44256</v>
      </c>
      <c r="D116" s="430">
        <v>658.17</v>
      </c>
      <c r="E116" s="430">
        <v>665.17</v>
      </c>
      <c r="F116" s="430">
        <v>653.63</v>
      </c>
      <c r="G116" s="430">
        <v>658.03</v>
      </c>
      <c r="H116" s="430">
        <v>633.12800000000004</v>
      </c>
      <c r="I116" s="430">
        <v>1071</v>
      </c>
      <c r="J116" s="430">
        <v>14.763</v>
      </c>
      <c r="K116" s="430">
        <v>60</v>
      </c>
      <c r="L116" s="983">
        <f t="shared" si="29"/>
        <v>885.78</v>
      </c>
      <c r="M116" s="590">
        <f t="shared" si="30"/>
        <v>661.67</v>
      </c>
      <c r="N116" s="600">
        <f t="shared" si="31"/>
        <v>645.57899999999995</v>
      </c>
      <c r="AM116" s="1397">
        <f t="shared" si="32"/>
        <v>193.47076023391813</v>
      </c>
      <c r="AN116" s="1397">
        <f t="shared" si="33"/>
        <v>169.44330708661414</v>
      </c>
      <c r="AO116" s="1409">
        <f t="shared" si="34"/>
        <v>158.64602339181286</v>
      </c>
    </row>
    <row r="118" spans="3:41">
      <c r="M118" s="1409">
        <f t="array" ref="M118:N120">LINEST(M114:M116,$L$114:$L$116,TRUE,TRUE)</f>
        <v>0.95910807590847547</v>
      </c>
      <c r="N118" s="1409">
        <v>-182.95080346020779</v>
      </c>
    </row>
    <row r="119" spans="3:41">
      <c r="M119" s="1409">
        <v>0.12935058131866148</v>
      </c>
      <c r="N119" s="1409">
        <v>104.72930660320328</v>
      </c>
    </row>
    <row r="120" spans="3:41">
      <c r="M120" s="1409">
        <v>0.98213621838584708</v>
      </c>
      <c r="N120" s="1409">
        <v>13.825858832607096</v>
      </c>
    </row>
  </sheetData>
  <hyperlinks>
    <hyperlink ref="AF11" r:id="rId1" xr:uid="{00000000-0004-0000-0600-000000000000}"/>
    <hyperlink ref="D24" r:id="rId2" xr:uid="{00000000-0004-0000-0600-000001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2:AG84"/>
  <sheetViews>
    <sheetView workbookViewId="0"/>
  </sheetViews>
  <sheetFormatPr defaultColWidth="8.7109375" defaultRowHeight="15"/>
  <cols>
    <col min="1" max="1" width="20.42578125" style="430" customWidth="1"/>
    <col min="2" max="2" width="27.28515625" style="430" customWidth="1"/>
    <col min="3" max="3" width="11.28515625" style="430" customWidth="1"/>
    <col min="4" max="7" width="8.7109375" style="430"/>
    <col min="8" max="24" width="9.28515625" style="430" bestFit="1" customWidth="1"/>
    <col min="25" max="25" width="9.42578125" style="430" bestFit="1" customWidth="1"/>
    <col min="26" max="27" width="9.28515625" style="430" bestFit="1" customWidth="1"/>
    <col min="28" max="29" width="8.7109375" style="430"/>
    <col min="30" max="30" width="10.28515625" style="430" bestFit="1" customWidth="1"/>
    <col min="31" max="31" width="9.28515625" style="430" bestFit="1" customWidth="1"/>
    <col min="32" max="37" width="8.7109375" style="430"/>
    <col min="38" max="38" width="15.7109375" style="430" customWidth="1"/>
    <col min="39" max="41" width="8.7109375" style="430"/>
    <col min="42" max="42" width="24.28515625" style="430" customWidth="1"/>
    <col min="43" max="16384" width="8.7109375" style="430"/>
  </cols>
  <sheetData>
    <row r="2" spans="2:19" s="571" customFormat="1"/>
    <row r="3" spans="2:19" s="571" customFormat="1"/>
    <row r="4" spans="2:19">
      <c r="R4" s="614" t="s">
        <v>162</v>
      </c>
    </row>
    <row r="5" spans="2:19" ht="18" thickBot="1">
      <c r="B5" s="672" t="s">
        <v>1581</v>
      </c>
      <c r="R5" s="614"/>
    </row>
    <row r="6" spans="2:19" ht="15.75" thickTop="1">
      <c r="G6" s="430" t="s">
        <v>1582</v>
      </c>
      <c r="R6" s="614"/>
    </row>
    <row r="7" spans="2:19">
      <c r="B7" s="430" t="s">
        <v>2</v>
      </c>
      <c r="C7" s="430" t="s">
        <v>705</v>
      </c>
      <c r="D7" s="430">
        <v>15</v>
      </c>
      <c r="G7" s="430" t="s">
        <v>1583</v>
      </c>
      <c r="R7" s="614"/>
    </row>
    <row r="8" spans="2:19">
      <c r="B8" s="430" t="s">
        <v>1585</v>
      </c>
      <c r="C8" s="430" t="s">
        <v>705</v>
      </c>
      <c r="D8" s="430">
        <v>7.5</v>
      </c>
      <c r="G8" s="430" t="s">
        <v>1584</v>
      </c>
      <c r="R8" s="614"/>
    </row>
    <row r="9" spans="2:19">
      <c r="G9" s="430" t="s">
        <v>1586</v>
      </c>
      <c r="R9" s="614"/>
    </row>
    <row r="10" spans="2:19">
      <c r="R10" s="614"/>
    </row>
    <row r="11" spans="2:19">
      <c r="R11" s="614"/>
    </row>
    <row r="12" spans="2:19">
      <c r="R12" s="614"/>
    </row>
    <row r="13" spans="2:19">
      <c r="R13" s="614"/>
    </row>
    <row r="14" spans="2:19">
      <c r="R14" s="614"/>
    </row>
    <row r="15" spans="2:19" ht="18" thickBot="1">
      <c r="B15" s="672" t="s">
        <v>1609</v>
      </c>
      <c r="R15" s="614" t="s">
        <v>162</v>
      </c>
      <c r="S15" s="615" t="s">
        <v>162</v>
      </c>
    </row>
    <row r="16" spans="2:19" ht="15.75" thickTop="1"/>
    <row r="17" spans="2:14" ht="15.75">
      <c r="B17" s="668" t="s">
        <v>1050</v>
      </c>
    </row>
    <row r="18" spans="2:14">
      <c r="B18" s="655" t="s">
        <v>1051</v>
      </c>
      <c r="C18" s="669"/>
      <c r="D18" s="655" t="s">
        <v>1033</v>
      </c>
      <c r="E18" s="655" t="s">
        <v>1034</v>
      </c>
      <c r="F18" s="655" t="s">
        <v>1035</v>
      </c>
      <c r="G18" s="655" t="s">
        <v>1036</v>
      </c>
      <c r="H18" s="655" t="s">
        <v>1037</v>
      </c>
    </row>
    <row r="19" spans="2:14">
      <c r="B19" s="669" t="s">
        <v>1052</v>
      </c>
      <c r="C19" s="669" t="s">
        <v>296</v>
      </c>
      <c r="D19" s="670">
        <v>4</v>
      </c>
      <c r="E19" s="670">
        <v>4</v>
      </c>
      <c r="F19" s="670">
        <v>4</v>
      </c>
      <c r="G19" s="670">
        <v>4</v>
      </c>
      <c r="H19" s="670">
        <v>4</v>
      </c>
    </row>
    <row r="20" spans="2:14">
      <c r="B20" s="669" t="s">
        <v>1053</v>
      </c>
      <c r="C20" s="669" t="s">
        <v>296</v>
      </c>
      <c r="D20" s="670" t="s">
        <v>1054</v>
      </c>
      <c r="E20" s="670">
        <v>6</v>
      </c>
      <c r="F20" s="670">
        <v>6</v>
      </c>
      <c r="G20" s="670">
        <v>6</v>
      </c>
      <c r="H20" s="670">
        <v>6</v>
      </c>
    </row>
    <row r="21" spans="2:14">
      <c r="B21" s="669" t="s">
        <v>1055</v>
      </c>
      <c r="C21" s="669" t="s">
        <v>296</v>
      </c>
      <c r="D21" s="670" t="s">
        <v>1056</v>
      </c>
      <c r="E21" s="670">
        <v>6</v>
      </c>
      <c r="F21" s="670">
        <v>6</v>
      </c>
      <c r="G21" s="670">
        <v>6</v>
      </c>
      <c r="H21" s="670">
        <v>6</v>
      </c>
      <c r="N21" s="430">
        <f>914/922</f>
        <v>0.99132321041214755</v>
      </c>
    </row>
    <row r="22" spans="2:14">
      <c r="B22" s="660" t="s">
        <v>1057</v>
      </c>
      <c r="C22" s="669"/>
      <c r="D22" s="671"/>
      <c r="E22" s="671"/>
      <c r="F22" s="671"/>
      <c r="G22" s="671"/>
      <c r="H22" s="671"/>
    </row>
    <row r="24" spans="2:14">
      <c r="D24" s="615"/>
    </row>
    <row r="26" spans="2:14" ht="15.75">
      <c r="B26" s="655" t="s">
        <v>1031</v>
      </c>
      <c r="C26" s="656"/>
      <c r="D26" s="655" t="s">
        <v>1032</v>
      </c>
      <c r="E26" s="655" t="s">
        <v>1033</v>
      </c>
      <c r="F26" s="655" t="s">
        <v>1034</v>
      </c>
      <c r="G26" s="655" t="s">
        <v>1035</v>
      </c>
      <c r="H26" s="655" t="s">
        <v>1036</v>
      </c>
      <c r="I26" s="655" t="s">
        <v>1037</v>
      </c>
      <c r="J26" s="430">
        <v>2019</v>
      </c>
      <c r="K26" s="430">
        <v>2020</v>
      </c>
      <c r="L26" s="430">
        <v>2030</v>
      </c>
      <c r="M26" s="430">
        <v>2050</v>
      </c>
    </row>
    <row r="27" spans="2:14">
      <c r="B27" s="657" t="s">
        <v>245</v>
      </c>
      <c r="C27" s="658" t="s">
        <v>1038</v>
      </c>
      <c r="D27" s="659">
        <v>128</v>
      </c>
      <c r="E27" s="659">
        <v>131</v>
      </c>
      <c r="F27" s="659">
        <v>133</v>
      </c>
      <c r="G27" s="659">
        <v>136</v>
      </c>
      <c r="H27" s="659">
        <v>141</v>
      </c>
      <c r="I27" s="659">
        <v>141</v>
      </c>
    </row>
    <row r="28" spans="2:14">
      <c r="B28" s="660" t="s">
        <v>1039</v>
      </c>
      <c r="C28" s="661" t="s">
        <v>1040</v>
      </c>
      <c r="D28" s="526">
        <v>271</v>
      </c>
      <c r="E28" s="526">
        <v>299</v>
      </c>
      <c r="F28" s="526">
        <v>334</v>
      </c>
      <c r="G28" s="526">
        <v>355</v>
      </c>
      <c r="H28" s="526">
        <v>397</v>
      </c>
      <c r="I28" s="526">
        <v>438</v>
      </c>
    </row>
    <row r="29" spans="2:14">
      <c r="B29" s="660" t="s">
        <v>1041</v>
      </c>
      <c r="C29" s="658" t="s">
        <v>1042</v>
      </c>
      <c r="D29" s="659">
        <v>34805</v>
      </c>
      <c r="E29" s="659">
        <v>39197</v>
      </c>
      <c r="F29" s="659">
        <v>44331</v>
      </c>
      <c r="G29" s="659">
        <v>48270</v>
      </c>
      <c r="H29" s="659">
        <v>56003</v>
      </c>
      <c r="I29" s="659">
        <v>61760</v>
      </c>
    </row>
    <row r="30" spans="2:14">
      <c r="B30" s="660" t="s">
        <v>1043</v>
      </c>
      <c r="C30" s="658" t="s">
        <v>747</v>
      </c>
      <c r="D30" s="659">
        <f>D28</f>
        <v>271</v>
      </c>
      <c r="E30" s="662">
        <f>E28/(1+D21/100)</f>
        <v>281.54425612052728</v>
      </c>
      <c r="F30" s="662">
        <f>F28/(1+E21/100)</f>
        <v>315.09433962264148</v>
      </c>
      <c r="G30" s="662">
        <f>G28/(1+F21/100)</f>
        <v>334.90566037735846</v>
      </c>
      <c r="H30" s="662">
        <f>H28/(1+G21/100)</f>
        <v>374.52830188679241</v>
      </c>
      <c r="I30" s="662">
        <f>I28/(1+H21/100)</f>
        <v>413.20754716981128</v>
      </c>
      <c r="J30" s="662"/>
    </row>
    <row r="31" spans="2:14">
      <c r="B31" s="660"/>
      <c r="C31" s="658"/>
      <c r="D31" s="659"/>
      <c r="E31" s="663">
        <f>E30/D30-1</f>
        <v>3.8908694171687408E-2</v>
      </c>
      <c r="F31" s="663">
        <f>F30/E30-1</f>
        <v>0.11916451063292732</v>
      </c>
      <c r="G31" s="663">
        <f>G30/F30-1</f>
        <v>6.2874251497005984E-2</v>
      </c>
      <c r="H31" s="663">
        <f>H30/G30-1</f>
        <v>0.11830985915492964</v>
      </c>
      <c r="I31" s="663">
        <f>I30/H30-1</f>
        <v>0.10327455919395478</v>
      </c>
      <c r="J31" s="663"/>
    </row>
    <row r="32" spans="2:14">
      <c r="B32" s="660" t="s">
        <v>1044</v>
      </c>
      <c r="C32" s="658" t="s">
        <v>1045</v>
      </c>
      <c r="D32" s="659">
        <v>19.22</v>
      </c>
      <c r="E32" s="659">
        <v>19.22</v>
      </c>
      <c r="F32" s="659">
        <v>19.22</v>
      </c>
      <c r="G32" s="659">
        <v>19.22</v>
      </c>
      <c r="H32" s="659">
        <v>19.22</v>
      </c>
      <c r="I32" s="659">
        <v>19.22</v>
      </c>
      <c r="J32" s="663"/>
    </row>
    <row r="33" spans="2:32">
      <c r="B33" s="660"/>
      <c r="C33" s="660" t="s">
        <v>1046</v>
      </c>
      <c r="D33" s="664">
        <f t="shared" ref="D33:I33" si="0">D30/D32</f>
        <v>14.099895941727368</v>
      </c>
      <c r="E33" s="664">
        <f t="shared" si="0"/>
        <v>14.648504480776655</v>
      </c>
      <c r="F33" s="664">
        <f t="shared" si="0"/>
        <v>16.39408634873265</v>
      </c>
      <c r="G33" s="664">
        <f t="shared" si="0"/>
        <v>17.424852256886496</v>
      </c>
      <c r="H33" s="664">
        <f t="shared" si="0"/>
        <v>19.486384073194195</v>
      </c>
      <c r="I33" s="664">
        <f t="shared" si="0"/>
        <v>21.498831798637426</v>
      </c>
      <c r="J33" s="663"/>
    </row>
    <row r="34" spans="2:32">
      <c r="B34" s="660"/>
      <c r="C34" s="658" t="s">
        <v>1047</v>
      </c>
      <c r="D34" s="664">
        <f t="shared" ref="D34:I34" si="1">D33/$C$37</f>
        <v>12.087130813001155</v>
      </c>
      <c r="E34" s="664">
        <f t="shared" si="1"/>
        <v>12.557425289217395</v>
      </c>
      <c r="F34" s="664">
        <f t="shared" si="1"/>
        <v>14.053824728616535</v>
      </c>
      <c r="G34" s="664">
        <f t="shared" si="1"/>
        <v>14.937448439098409</v>
      </c>
      <c r="H34" s="664">
        <f t="shared" si="1"/>
        <v>16.704695860062166</v>
      </c>
      <c r="I34" s="664">
        <f t="shared" si="1"/>
        <v>18.429865961479166</v>
      </c>
      <c r="J34" s="673">
        <f>I34*(1+J35)</f>
        <v>19.38153410306688</v>
      </c>
      <c r="K34" s="673">
        <f>J34*(1+K35)</f>
        <v>19.881938950816085</v>
      </c>
      <c r="L34" s="673">
        <f>K34*(1+L35)^(L26-K26)</f>
        <v>22.602912686999161</v>
      </c>
      <c r="M34" s="673">
        <f>L34*(1+M35)^(M26-L26)</f>
        <v>25.706840780837954</v>
      </c>
    </row>
    <row r="35" spans="2:32">
      <c r="B35" s="660" t="s">
        <v>1048</v>
      </c>
      <c r="E35" s="665">
        <f>E34/D34-1</f>
        <v>3.8908694171687408E-2</v>
      </c>
      <c r="F35" s="665">
        <f>F34/E34-1</f>
        <v>0.11916451063292754</v>
      </c>
      <c r="G35" s="665">
        <f>G34/F34-1</f>
        <v>6.2874251497005762E-2</v>
      </c>
      <c r="H35" s="665">
        <f>H34/G34-1</f>
        <v>0.11830985915492964</v>
      </c>
      <c r="I35" s="665">
        <f>I34/H34-1</f>
        <v>0.10327455919395456</v>
      </c>
      <c r="J35" s="665">
        <f>I35/2</f>
        <v>5.1637279596977281E-2</v>
      </c>
      <c r="K35" s="665">
        <f>J35/2</f>
        <v>2.5818639798488641E-2</v>
      </c>
      <c r="L35" s="665">
        <f>K35/2</f>
        <v>1.290931989924432E-2</v>
      </c>
      <c r="M35" s="665">
        <f>L35/2</f>
        <v>6.4546599496221602E-3</v>
      </c>
    </row>
    <row r="37" spans="2:32">
      <c r="B37" s="430" t="s">
        <v>1049</v>
      </c>
      <c r="C37" s="666">
        <v>1.1665213324705019</v>
      </c>
    </row>
    <row r="38" spans="2:32">
      <c r="B38" s="430" t="s">
        <v>1066</v>
      </c>
      <c r="C38" s="430">
        <v>0.55000000000000004</v>
      </c>
      <c r="D38" s="430" t="s">
        <v>1058</v>
      </c>
    </row>
    <row r="39" spans="2:32">
      <c r="B39" s="430" t="s">
        <v>1065</v>
      </c>
      <c r="C39" s="430">
        <v>0.56999999999999995</v>
      </c>
      <c r="D39" s="430" t="s">
        <v>1058</v>
      </c>
    </row>
    <row r="40" spans="2:32">
      <c r="J40" s="615"/>
    </row>
    <row r="41" spans="2:32">
      <c r="B41" s="430" t="s">
        <v>1059</v>
      </c>
    </row>
    <row r="42" spans="2:32">
      <c r="B42" s="430" t="s">
        <v>2</v>
      </c>
      <c r="C42" s="430" t="s">
        <v>248</v>
      </c>
      <c r="D42" s="124">
        <v>2668.8440105319023</v>
      </c>
    </row>
    <row r="43" spans="2:32">
      <c r="B43" s="430" t="s">
        <v>1060</v>
      </c>
      <c r="C43" s="430" t="s">
        <v>1062</v>
      </c>
      <c r="D43" s="430">
        <f>D42/D32</f>
        <v>138.8576488310043</v>
      </c>
    </row>
    <row r="44" spans="2:32">
      <c r="B44" s="430" t="s">
        <v>1061</v>
      </c>
      <c r="C44" s="430" t="s">
        <v>248</v>
      </c>
      <c r="D44" s="124">
        <v>912.9342069029808</v>
      </c>
    </row>
    <row r="45" spans="2:32">
      <c r="B45" s="430" t="s">
        <v>1061</v>
      </c>
      <c r="C45" s="430" t="s">
        <v>1063</v>
      </c>
      <c r="D45" s="430">
        <f>D44/3.6</f>
        <v>253.59283525082799</v>
      </c>
      <c r="E45" s="430">
        <v>222</v>
      </c>
      <c r="F45" s="430">
        <f>D45/E45-1</f>
        <v>0.14231006869742346</v>
      </c>
    </row>
    <row r="46" spans="2:32">
      <c r="B46" s="430" t="s">
        <v>1064</v>
      </c>
      <c r="C46" s="430" t="s">
        <v>1058</v>
      </c>
      <c r="D46" s="430">
        <f>D43/D45</f>
        <v>0.54756140367160044</v>
      </c>
      <c r="Q46" s="999"/>
      <c r="R46" s="999"/>
      <c r="S46" s="999"/>
      <c r="T46" s="999"/>
      <c r="U46" s="999"/>
      <c r="V46" s="999"/>
      <c r="W46" s="999"/>
      <c r="X46" s="999"/>
      <c r="Y46" s="999"/>
      <c r="Z46" s="999"/>
      <c r="AA46" s="999"/>
      <c r="AB46" s="999"/>
      <c r="AC46" s="999"/>
      <c r="AD46" s="999"/>
      <c r="AE46" s="999"/>
      <c r="AF46" s="999"/>
    </row>
    <row r="47" spans="2:32">
      <c r="Q47" s="999"/>
      <c r="S47" s="999"/>
      <c r="T47" s="999"/>
      <c r="U47" s="999"/>
      <c r="V47" s="999"/>
      <c r="W47" s="999"/>
      <c r="X47" s="999"/>
      <c r="Y47" s="999"/>
      <c r="Z47" s="999"/>
      <c r="AA47" s="999"/>
      <c r="AB47" s="999"/>
      <c r="AC47" s="999"/>
      <c r="AD47" s="999"/>
      <c r="AE47" s="999"/>
      <c r="AF47" s="999"/>
    </row>
    <row r="48" spans="2:32" ht="18" thickBot="1">
      <c r="B48" s="672" t="s">
        <v>1610</v>
      </c>
      <c r="Q48" s="999"/>
      <c r="R48" s="999"/>
      <c r="S48" s="999"/>
      <c r="T48" s="999"/>
      <c r="U48" s="999"/>
      <c r="V48" s="999"/>
      <c r="W48" s="999"/>
      <c r="X48" s="999"/>
      <c r="Y48" s="999"/>
      <c r="Z48" s="999"/>
      <c r="AA48" s="999"/>
      <c r="AB48" s="999"/>
      <c r="AC48" s="999"/>
      <c r="AD48" s="999"/>
      <c r="AE48" s="999"/>
      <c r="AF48" s="999"/>
    </row>
    <row r="49" spans="2:33" ht="15.75" thickTop="1">
      <c r="B49" s="1014" t="s">
        <v>1608</v>
      </c>
      <c r="R49" s="999"/>
      <c r="S49" s="999"/>
      <c r="T49" s="999"/>
      <c r="U49" s="999"/>
      <c r="V49" s="999"/>
      <c r="W49" s="999"/>
      <c r="X49" s="999"/>
      <c r="Y49" s="999"/>
      <c r="Z49" s="999"/>
      <c r="AA49" s="999"/>
      <c r="AB49" s="999"/>
      <c r="AC49" s="999"/>
      <c r="AD49" s="999"/>
      <c r="AE49" s="999"/>
      <c r="AF49" s="999"/>
      <c r="AG49" s="999"/>
    </row>
    <row r="50" spans="2:33">
      <c r="R50" s="999"/>
      <c r="S50" s="999"/>
      <c r="T50" s="999"/>
      <c r="U50" s="999"/>
      <c r="V50" s="999"/>
      <c r="W50" s="999"/>
      <c r="X50" s="999"/>
      <c r="Y50" s="999"/>
      <c r="Z50" s="999"/>
      <c r="AA50" s="999"/>
      <c r="AB50" s="999"/>
      <c r="AC50" s="999"/>
      <c r="AD50" s="999"/>
      <c r="AE50" s="999"/>
      <c r="AF50" s="999"/>
      <c r="AG50" s="999"/>
    </row>
    <row r="52" spans="2:33">
      <c r="B52" s="999" t="s">
        <v>1049</v>
      </c>
      <c r="C52" s="999"/>
      <c r="D52" s="999"/>
      <c r="E52" s="999"/>
      <c r="F52" s="1000">
        <f>Deflator!W3/Deflator!U3</f>
        <v>1.1253067059033726</v>
      </c>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999"/>
    </row>
    <row r="53" spans="2:33">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999"/>
    </row>
    <row r="54" spans="2:33" ht="15.75" thickBot="1">
      <c r="B54" s="1001" t="s">
        <v>1589</v>
      </c>
      <c r="C54" s="999"/>
      <c r="D54" s="999"/>
      <c r="E54" s="999"/>
      <c r="F54" s="999"/>
      <c r="G54" s="999"/>
      <c r="H54" s="999"/>
      <c r="I54" s="999" t="s">
        <v>1590</v>
      </c>
      <c r="J54" s="999"/>
      <c r="K54" s="999"/>
      <c r="L54" s="999"/>
      <c r="M54" s="999"/>
      <c r="N54" s="999"/>
      <c r="O54" s="999"/>
      <c r="P54" s="999"/>
      <c r="Q54" s="999"/>
      <c r="R54" s="999"/>
      <c r="S54" s="999"/>
      <c r="T54" s="999"/>
      <c r="U54" s="999"/>
      <c r="V54" s="999"/>
      <c r="W54" s="999"/>
      <c r="X54" s="999"/>
      <c r="Y54" s="999"/>
      <c r="Z54" s="999"/>
      <c r="AA54" s="999"/>
      <c r="AB54" s="999"/>
      <c r="AC54" s="999"/>
      <c r="AD54" s="999"/>
      <c r="AE54" s="999"/>
      <c r="AF54" s="999"/>
    </row>
    <row r="55" spans="2:33" ht="15.75" thickTop="1">
      <c r="B55" s="999" t="s">
        <v>1591</v>
      </c>
      <c r="C55" s="999" t="s">
        <v>1592</v>
      </c>
      <c r="D55" s="999">
        <v>0.10019400000000001</v>
      </c>
      <c r="E55" s="999">
        <f>D55*1000</f>
        <v>100.194</v>
      </c>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999"/>
    </row>
    <row r="56" spans="2:33">
      <c r="B56" s="999"/>
      <c r="C56" s="999" t="s">
        <v>1593</v>
      </c>
      <c r="D56" s="999">
        <v>0.48832999999999999</v>
      </c>
      <c r="E56" s="999">
        <f>D56*1000</f>
        <v>488.33</v>
      </c>
      <c r="F56" s="999"/>
      <c r="G56" s="999"/>
      <c r="H56" s="999"/>
      <c r="I56" s="999" t="s">
        <v>1594</v>
      </c>
      <c r="J56" s="1002">
        <v>0.02</v>
      </c>
      <c r="K56" s="999"/>
      <c r="L56" s="999"/>
      <c r="M56" s="999"/>
      <c r="N56" s="999"/>
      <c r="O56" s="999"/>
      <c r="P56" s="999"/>
      <c r="Q56" s="999"/>
      <c r="R56" s="999"/>
      <c r="S56" s="999"/>
      <c r="T56" s="999"/>
      <c r="U56" s="999"/>
      <c r="V56" s="999"/>
      <c r="W56" s="999"/>
      <c r="X56" s="999"/>
      <c r="Y56" s="999"/>
      <c r="Z56" s="999"/>
      <c r="AA56" s="999"/>
      <c r="AB56" s="999"/>
      <c r="AC56" s="999"/>
      <c r="AD56" s="999"/>
      <c r="AE56" s="999"/>
      <c r="AF56" s="999"/>
    </row>
    <row r="57" spans="2:33">
      <c r="B57" s="1003" t="s">
        <v>1039</v>
      </c>
      <c r="C57" s="1004" t="s">
        <v>1595</v>
      </c>
      <c r="D57" s="999">
        <f>E55</f>
        <v>100.194</v>
      </c>
      <c r="E57" s="999"/>
      <c r="F57" s="999"/>
      <c r="G57" s="999"/>
      <c r="H57" s="999"/>
      <c r="I57" s="999" t="s">
        <v>1596</v>
      </c>
      <c r="J57" s="1002">
        <v>0.02</v>
      </c>
      <c r="K57" s="999"/>
      <c r="L57" s="999"/>
      <c r="M57" s="999"/>
      <c r="N57" s="999"/>
      <c r="O57" s="999"/>
      <c r="P57" s="999"/>
      <c r="Q57" s="999"/>
      <c r="R57" s="999"/>
      <c r="S57" s="999"/>
      <c r="T57" s="999"/>
      <c r="U57" s="999"/>
      <c r="V57" s="999"/>
      <c r="W57" s="999"/>
      <c r="X57" s="999"/>
      <c r="Y57" s="999"/>
      <c r="Z57" s="999"/>
      <c r="AA57" s="999"/>
      <c r="AB57" s="999"/>
      <c r="AC57" s="999"/>
      <c r="AD57" s="999"/>
      <c r="AE57" s="999"/>
      <c r="AF57" s="999"/>
    </row>
    <row r="58" spans="2:33">
      <c r="B58" s="1003" t="s">
        <v>1043</v>
      </c>
      <c r="C58" s="669" t="s">
        <v>747</v>
      </c>
      <c r="D58" s="1005">
        <f>D57*Deflator!R4/Deflator!W4</f>
        <v>140.2929632857539</v>
      </c>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999"/>
    </row>
    <row r="59" spans="2:33">
      <c r="B59" s="1003" t="s">
        <v>1044</v>
      </c>
      <c r="C59" s="669" t="s">
        <v>1045</v>
      </c>
      <c r="D59" s="671">
        <v>19.22</v>
      </c>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999"/>
    </row>
    <row r="60" spans="2:33">
      <c r="B60" s="1003" t="s">
        <v>1597</v>
      </c>
      <c r="C60" s="1003" t="s">
        <v>1046</v>
      </c>
      <c r="D60" s="1006">
        <f>D58/D59</f>
        <v>7.2993217110173729</v>
      </c>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999"/>
    </row>
    <row r="61" spans="2:33">
      <c r="B61" s="1007" t="s">
        <v>1597</v>
      </c>
      <c r="C61" s="1008" t="s">
        <v>1047</v>
      </c>
      <c r="D61" s="1009">
        <f>D60/$F$52</f>
        <v>6.4865175624787828</v>
      </c>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999"/>
    </row>
    <row r="62" spans="2:33">
      <c r="B62" s="1003" t="s">
        <v>1598</v>
      </c>
      <c r="C62" s="999"/>
      <c r="D62" s="1010">
        <v>0.14040553380660969</v>
      </c>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999"/>
    </row>
    <row r="63" spans="2:33">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999"/>
    </row>
    <row r="64" spans="2:33">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999"/>
    </row>
    <row r="65" spans="2:33">
      <c r="B65" s="999" t="s">
        <v>14006</v>
      </c>
      <c r="C65" s="999"/>
      <c r="D65" s="1389">
        <f>SUP!E51</f>
        <v>11.914999999999999</v>
      </c>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999"/>
    </row>
    <row r="66" spans="2:33">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999"/>
    </row>
    <row r="67" spans="2:33">
      <c r="B67" s="999" t="s">
        <v>1599</v>
      </c>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999"/>
    </row>
    <row r="68" spans="2:33">
      <c r="B68" s="999"/>
      <c r="C68" s="999">
        <v>2010</v>
      </c>
      <c r="D68" s="999">
        <v>2012</v>
      </c>
      <c r="E68" s="999">
        <v>2015</v>
      </c>
      <c r="F68" s="999">
        <v>2020</v>
      </c>
      <c r="G68" s="999">
        <v>2025</v>
      </c>
      <c r="H68" s="999">
        <v>2030</v>
      </c>
      <c r="I68" s="999">
        <v>2035</v>
      </c>
      <c r="J68" s="999">
        <v>2040</v>
      </c>
      <c r="K68" s="999"/>
      <c r="L68" s="999"/>
      <c r="M68" s="999"/>
      <c r="N68" s="999"/>
      <c r="O68" s="999"/>
      <c r="P68" s="999"/>
      <c r="Q68" s="999"/>
      <c r="R68" s="999"/>
      <c r="S68" s="999"/>
      <c r="T68" s="999"/>
      <c r="U68" s="999"/>
      <c r="V68" s="999"/>
      <c r="W68" s="999"/>
      <c r="X68" s="999"/>
      <c r="Y68" s="999"/>
      <c r="Z68" s="999"/>
      <c r="AA68" s="999"/>
      <c r="AB68" s="999"/>
      <c r="AC68" s="999"/>
      <c r="AD68" s="999"/>
      <c r="AE68" s="999"/>
      <c r="AF68" s="999"/>
      <c r="AG68" s="999"/>
    </row>
    <row r="69" spans="2:33">
      <c r="B69" s="999" t="s">
        <v>1600</v>
      </c>
      <c r="C69" s="999">
        <v>100</v>
      </c>
      <c r="D69" s="999">
        <f>C69+((E69-C69)/(E68-C68)*(D68-C68))</f>
        <v>102</v>
      </c>
      <c r="E69" s="999">
        <v>105</v>
      </c>
      <c r="F69" s="999">
        <v>110</v>
      </c>
      <c r="G69" s="999">
        <v>115</v>
      </c>
      <c r="H69" s="999">
        <v>120</v>
      </c>
      <c r="I69" s="999">
        <v>120</v>
      </c>
      <c r="J69" s="999">
        <v>120</v>
      </c>
      <c r="K69" s="999"/>
      <c r="L69" s="999"/>
      <c r="M69" s="999"/>
      <c r="N69" s="999"/>
      <c r="O69" s="999"/>
      <c r="P69" s="999"/>
      <c r="Q69" s="999"/>
      <c r="R69" s="999"/>
      <c r="S69" s="999"/>
      <c r="T69" s="999"/>
      <c r="U69" s="999"/>
      <c r="V69" s="999"/>
      <c r="W69" s="999"/>
      <c r="X69" s="999"/>
      <c r="Y69" s="999"/>
      <c r="Z69" s="999"/>
      <c r="AA69" s="999"/>
      <c r="AB69" s="999"/>
      <c r="AC69" s="999"/>
      <c r="AD69" s="999"/>
      <c r="AE69" s="999"/>
      <c r="AF69" s="999"/>
      <c r="AG69" s="999"/>
    </row>
    <row r="70" spans="2:33">
      <c r="B70" s="999" t="s">
        <v>1601</v>
      </c>
      <c r="C70" s="999">
        <f t="shared" ref="C70:J70" si="2">C69*$D$65</f>
        <v>1191.5</v>
      </c>
      <c r="D70" s="999">
        <f t="shared" ref="D70" si="3">D69*$D$65</f>
        <v>1215.33</v>
      </c>
      <c r="E70" s="999">
        <f t="shared" si="2"/>
        <v>1251.0749999999998</v>
      </c>
      <c r="F70" s="999">
        <f t="shared" si="2"/>
        <v>1310.6499999999999</v>
      </c>
      <c r="G70" s="999">
        <f t="shared" si="2"/>
        <v>1370.2249999999999</v>
      </c>
      <c r="H70" s="999">
        <f t="shared" si="2"/>
        <v>1429.8</v>
      </c>
      <c r="I70" s="999">
        <f t="shared" si="2"/>
        <v>1429.8</v>
      </c>
      <c r="J70" s="999">
        <f t="shared" si="2"/>
        <v>1429.8</v>
      </c>
      <c r="K70" s="999"/>
      <c r="L70" s="999"/>
      <c r="M70" s="999"/>
      <c r="N70" s="999"/>
      <c r="O70" s="999"/>
      <c r="P70" s="999"/>
      <c r="Q70" s="999"/>
      <c r="R70" s="999"/>
      <c r="S70" s="999"/>
      <c r="T70" s="999"/>
      <c r="U70" s="999"/>
      <c r="V70" s="999"/>
      <c r="W70" s="999"/>
      <c r="X70" s="999"/>
      <c r="Y70" s="999"/>
      <c r="Z70" s="999"/>
      <c r="AA70" s="999"/>
      <c r="AB70" s="999"/>
      <c r="AC70" s="999"/>
      <c r="AD70" s="999"/>
      <c r="AE70" s="999"/>
      <c r="AF70" s="999"/>
      <c r="AG70" s="999"/>
    </row>
    <row r="71" spans="2:33">
      <c r="B71" s="999" t="s">
        <v>1602</v>
      </c>
      <c r="C71" s="999">
        <v>27</v>
      </c>
      <c r="D71" s="999">
        <v>27</v>
      </c>
      <c r="E71" s="999">
        <f>C71</f>
        <v>27</v>
      </c>
      <c r="F71" s="999">
        <f t="shared" ref="F71:J71" si="4">E71</f>
        <v>27</v>
      </c>
      <c r="G71" s="999">
        <f t="shared" si="4"/>
        <v>27</v>
      </c>
      <c r="H71" s="999">
        <f t="shared" si="4"/>
        <v>27</v>
      </c>
      <c r="I71" s="999">
        <f t="shared" si="4"/>
        <v>27</v>
      </c>
      <c r="J71" s="999">
        <f t="shared" si="4"/>
        <v>27</v>
      </c>
      <c r="K71" s="999"/>
      <c r="L71" s="999"/>
      <c r="M71" s="999"/>
      <c r="N71" s="999"/>
      <c r="O71" s="999"/>
      <c r="P71" s="999"/>
      <c r="Q71" s="999"/>
      <c r="R71" s="999"/>
      <c r="S71" s="999"/>
      <c r="T71" s="999"/>
      <c r="U71" s="999"/>
      <c r="V71" s="999"/>
      <c r="W71" s="999"/>
      <c r="X71" s="999"/>
      <c r="Y71" s="999"/>
      <c r="Z71" s="999"/>
      <c r="AA71" s="999"/>
      <c r="AB71" s="999"/>
      <c r="AC71" s="999"/>
      <c r="AD71" s="999"/>
      <c r="AE71" s="999"/>
      <c r="AF71" s="999"/>
      <c r="AG71" s="999"/>
    </row>
    <row r="72" spans="2:33">
      <c r="B72" s="999" t="s">
        <v>1047</v>
      </c>
      <c r="C72" s="1011">
        <f t="shared" ref="C72:J72" si="5">C70/C71</f>
        <v>44.129629629629626</v>
      </c>
      <c r="D72" s="1011">
        <f t="shared" si="5"/>
        <v>45.012222222222221</v>
      </c>
      <c r="E72" s="1011">
        <f t="shared" si="5"/>
        <v>46.336111111111101</v>
      </c>
      <c r="F72" s="1011">
        <f t="shared" si="5"/>
        <v>48.542592592592591</v>
      </c>
      <c r="G72" s="1011">
        <f t="shared" si="5"/>
        <v>50.749074074074073</v>
      </c>
      <c r="H72" s="1011">
        <f t="shared" si="5"/>
        <v>52.955555555555556</v>
      </c>
      <c r="I72" s="1011">
        <f t="shared" si="5"/>
        <v>52.955555555555556</v>
      </c>
      <c r="J72" s="1011">
        <f t="shared" si="5"/>
        <v>52.955555555555556</v>
      </c>
      <c r="K72" s="999"/>
      <c r="L72" s="999"/>
      <c r="M72" s="999"/>
      <c r="N72" s="999"/>
      <c r="O72" s="999"/>
      <c r="P72" s="999"/>
      <c r="Q72" s="999"/>
      <c r="R72" s="999"/>
      <c r="S72" s="999"/>
      <c r="T72" s="999"/>
      <c r="U72" s="999"/>
      <c r="V72" s="999"/>
      <c r="W72" s="999"/>
      <c r="X72" s="999"/>
      <c r="Y72" s="999"/>
      <c r="Z72" s="999"/>
      <c r="AA72" s="999"/>
      <c r="AB72" s="999"/>
      <c r="AC72" s="999"/>
      <c r="AD72" s="999"/>
      <c r="AE72" s="999"/>
      <c r="AF72" s="999"/>
      <c r="AG72" s="999"/>
    </row>
    <row r="73" spans="2:33">
      <c r="B73" s="1012" t="s">
        <v>1603</v>
      </c>
      <c r="C73" s="1012"/>
      <c r="D73" s="1010">
        <f>(D72/C72)^(1/(D68-C68))-1</f>
        <v>9.9504938362078299E-3</v>
      </c>
      <c r="E73" s="1010">
        <f>(E72/C72)^(1/(E68-C68))-1</f>
        <v>9.805797673485328E-3</v>
      </c>
      <c r="F73" s="1010">
        <f t="shared" ref="F73:J73" si="6">(F72/E72)^(1/(F68-E68))-1</f>
        <v>9.3474199095691102E-3</v>
      </c>
      <c r="G73" s="1010">
        <f t="shared" si="6"/>
        <v>8.9299890719962693E-3</v>
      </c>
      <c r="H73" s="1010">
        <f t="shared" si="6"/>
        <v>8.5482523039324132E-3</v>
      </c>
      <c r="I73" s="1010">
        <f t="shared" si="6"/>
        <v>0</v>
      </c>
      <c r="J73" s="1010">
        <f t="shared" si="6"/>
        <v>0</v>
      </c>
      <c r="K73" s="999"/>
      <c r="L73" s="999"/>
      <c r="M73" s="999"/>
      <c r="N73" s="999"/>
      <c r="O73" s="999"/>
      <c r="P73" s="999"/>
      <c r="Q73" s="999"/>
      <c r="R73" s="999"/>
      <c r="S73" s="999"/>
      <c r="T73" s="999"/>
      <c r="U73" s="999"/>
      <c r="V73" s="999"/>
      <c r="W73" s="999"/>
      <c r="X73" s="999"/>
      <c r="Y73" s="999"/>
      <c r="Z73" s="999"/>
      <c r="AA73" s="999"/>
      <c r="AB73" s="999"/>
      <c r="AC73" s="999"/>
      <c r="AD73" s="999"/>
      <c r="AE73" s="999"/>
      <c r="AF73" s="999"/>
      <c r="AG73" s="999"/>
    </row>
    <row r="74" spans="2:33">
      <c r="B74" s="1012" t="s">
        <v>1604</v>
      </c>
      <c r="C74" s="1016">
        <v>450.686864437022</v>
      </c>
      <c r="D74" s="1016"/>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999"/>
      <c r="AG74" s="999"/>
    </row>
    <row r="75" spans="2:33">
      <c r="B75" s="1012" t="s">
        <v>1605</v>
      </c>
      <c r="C75" s="1016">
        <v>565.12928853182439</v>
      </c>
      <c r="D75" s="1016"/>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999"/>
      <c r="AG75" s="999"/>
    </row>
    <row r="76" spans="2:33">
      <c r="B76" s="1003" t="s">
        <v>1598</v>
      </c>
      <c r="C76" s="1010">
        <f>(C70/C75)^(1/(2012-2007))-1</f>
        <v>0.16088512443894731</v>
      </c>
      <c r="D76" s="1010"/>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999"/>
      <c r="AG76" s="999"/>
    </row>
    <row r="77" spans="2:33">
      <c r="B77" s="999" t="s">
        <v>1606</v>
      </c>
      <c r="C77" s="999"/>
      <c r="D77" s="999"/>
      <c r="E77" s="999"/>
      <c r="F77" s="999"/>
      <c r="G77" s="999"/>
      <c r="H77" s="999"/>
      <c r="I77" s="999"/>
      <c r="J77" s="999">
        <v>0.71</v>
      </c>
      <c r="K77" s="999"/>
      <c r="L77" s="999"/>
      <c r="M77" s="999"/>
      <c r="N77" s="999"/>
      <c r="O77" s="999"/>
      <c r="P77" s="999"/>
      <c r="Q77" s="999"/>
      <c r="R77" s="999"/>
      <c r="S77" s="999"/>
      <c r="T77" s="999"/>
      <c r="U77" s="999"/>
      <c r="V77" s="999"/>
      <c r="W77" s="999"/>
      <c r="X77" s="999"/>
      <c r="Y77" s="999"/>
      <c r="Z77" s="999"/>
      <c r="AA77" s="999"/>
      <c r="AB77" s="999"/>
      <c r="AC77" s="999"/>
      <c r="AD77" s="999"/>
      <c r="AE77" s="999"/>
      <c r="AF77" s="999"/>
      <c r="AG77" s="999"/>
    </row>
    <row r="78" spans="2:33">
      <c r="B78" s="999" t="s">
        <v>1607</v>
      </c>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999"/>
      <c r="AG78" s="999"/>
    </row>
    <row r="79" spans="2:33">
      <c r="B79" s="999" t="str">
        <f>B70</f>
        <v>2010 R/ton</v>
      </c>
      <c r="C79" s="999">
        <f t="shared" ref="C79:J79" si="7">C70*0.71</f>
        <v>845.96499999999992</v>
      </c>
      <c r="D79" s="999">
        <f t="shared" ref="D79" si="8">D70*0.71</f>
        <v>862.88429999999994</v>
      </c>
      <c r="E79" s="999">
        <f t="shared" si="7"/>
        <v>888.26324999999986</v>
      </c>
      <c r="F79" s="999">
        <f t="shared" si="7"/>
        <v>930.56149999999991</v>
      </c>
      <c r="G79" s="999">
        <f t="shared" si="7"/>
        <v>972.85974999999985</v>
      </c>
      <c r="H79" s="999">
        <f t="shared" si="7"/>
        <v>1015.1579999999999</v>
      </c>
      <c r="I79" s="999">
        <f t="shared" si="7"/>
        <v>1015.1579999999999</v>
      </c>
      <c r="J79" s="999">
        <f t="shared" si="7"/>
        <v>1015.1579999999999</v>
      </c>
      <c r="K79" s="999"/>
      <c r="L79" s="999"/>
      <c r="M79" s="999"/>
      <c r="N79" s="999"/>
      <c r="O79" s="999"/>
      <c r="P79" s="999"/>
      <c r="Q79" s="999"/>
      <c r="R79" s="999"/>
      <c r="S79" s="999"/>
      <c r="T79" s="999"/>
      <c r="U79" s="999"/>
      <c r="V79" s="999"/>
      <c r="W79" s="999"/>
      <c r="X79" s="999"/>
      <c r="Y79" s="999"/>
      <c r="Z79" s="999"/>
      <c r="AA79" s="999"/>
      <c r="AB79" s="999"/>
      <c r="AC79" s="999"/>
      <c r="AD79" s="999"/>
      <c r="AE79" s="999"/>
      <c r="AF79" s="999"/>
      <c r="AG79" s="999"/>
    </row>
    <row r="80" spans="2:33">
      <c r="B80" s="999" t="s">
        <v>1602</v>
      </c>
      <c r="C80" s="999">
        <v>23.5</v>
      </c>
      <c r="D80" s="999">
        <v>24.5</v>
      </c>
      <c r="E80" s="999">
        <f>C80</f>
        <v>23.5</v>
      </c>
      <c r="F80" s="999">
        <f t="shared" ref="F80:J80" si="9">E80</f>
        <v>23.5</v>
      </c>
      <c r="G80" s="999">
        <f t="shared" si="9"/>
        <v>23.5</v>
      </c>
      <c r="H80" s="999">
        <f t="shared" si="9"/>
        <v>23.5</v>
      </c>
      <c r="I80" s="999">
        <f t="shared" si="9"/>
        <v>23.5</v>
      </c>
      <c r="J80" s="999">
        <f t="shared" si="9"/>
        <v>23.5</v>
      </c>
      <c r="K80" s="999"/>
      <c r="L80" s="999"/>
      <c r="M80" s="999"/>
      <c r="N80" s="999"/>
      <c r="O80" s="999"/>
      <c r="P80" s="999"/>
      <c r="Q80" s="999"/>
      <c r="R80" s="999"/>
      <c r="S80" s="999"/>
      <c r="T80" s="999"/>
      <c r="U80" s="999"/>
      <c r="V80" s="999"/>
      <c r="W80" s="999"/>
      <c r="X80" s="999"/>
      <c r="Y80" s="999"/>
      <c r="Z80" s="999"/>
      <c r="AA80" s="999"/>
      <c r="AB80" s="999"/>
      <c r="AC80" s="999"/>
      <c r="AD80" s="999"/>
      <c r="AE80" s="999"/>
      <c r="AF80" s="999"/>
      <c r="AG80" s="999"/>
    </row>
    <row r="81" spans="1:33">
      <c r="B81" s="999" t="s">
        <v>1047</v>
      </c>
      <c r="C81" s="1013">
        <f t="shared" ref="C81:J81" si="10">C79/C80</f>
        <v>35.998510638297866</v>
      </c>
      <c r="D81" s="1013">
        <f t="shared" ref="D81" si="11">D79/D80</f>
        <v>35.219767346938774</v>
      </c>
      <c r="E81" s="1013">
        <f t="shared" si="10"/>
        <v>37.79843617021276</v>
      </c>
      <c r="F81" s="1013">
        <f t="shared" si="10"/>
        <v>39.598361702127654</v>
      </c>
      <c r="G81" s="1013">
        <f t="shared" si="10"/>
        <v>41.398287234042549</v>
      </c>
      <c r="H81" s="1013">
        <f t="shared" si="10"/>
        <v>43.198212765957443</v>
      </c>
      <c r="I81" s="1013">
        <f t="shared" si="10"/>
        <v>43.198212765957443</v>
      </c>
      <c r="J81" s="1013">
        <f t="shared" si="10"/>
        <v>43.198212765957443</v>
      </c>
      <c r="K81" s="999"/>
      <c r="L81" s="999"/>
      <c r="M81" s="999"/>
      <c r="N81" s="999"/>
      <c r="O81" s="999"/>
      <c r="P81" s="999"/>
      <c r="Q81" s="999"/>
      <c r="R81" s="999"/>
      <c r="S81" s="999"/>
      <c r="T81" s="999"/>
      <c r="U81" s="999"/>
      <c r="V81" s="999"/>
      <c r="W81" s="999"/>
      <c r="X81" s="999"/>
      <c r="Y81" s="999"/>
      <c r="Z81" s="999"/>
      <c r="AA81" s="999"/>
      <c r="AB81" s="999"/>
      <c r="AC81" s="999"/>
      <c r="AD81" s="999"/>
      <c r="AE81" s="999"/>
      <c r="AF81" s="999"/>
      <c r="AG81" s="999"/>
    </row>
    <row r="82" spans="1:33">
      <c r="A82" s="999"/>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row>
    <row r="83" spans="1:33">
      <c r="A83" s="999"/>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row>
    <row r="84" spans="1:33">
      <c r="A84" s="1014"/>
      <c r="B84" s="1012"/>
      <c r="C84" s="999"/>
      <c r="D84" s="999"/>
      <c r="E84" s="1015"/>
      <c r="F84" s="1015"/>
      <c r="G84" s="1015"/>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row>
  </sheetData>
  <pageMargins left="0.7" right="0.7" top="0.75" bottom="0.75" header="0.3" footer="0.3"/>
  <pageSetup paperSize="9" orientation="portrait" horizontalDpi="4294967292" verticalDpi="4294967292"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7"/>
  <dimension ref="A1:CU130"/>
  <sheetViews>
    <sheetView topLeftCell="CH51" workbookViewId="0">
      <selection activeCell="CU61" sqref="CU61"/>
    </sheetView>
  </sheetViews>
  <sheetFormatPr defaultColWidth="11.42578125" defaultRowHeight="15"/>
  <cols>
    <col min="1" max="2" width="10.7109375" style="430" customWidth="1"/>
    <col min="4" max="40" width="8" customWidth="1"/>
    <col min="41" max="49" width="8" style="430" customWidth="1"/>
    <col min="50" max="54" width="8" customWidth="1"/>
    <col min="61" max="61" width="19.42578125" customWidth="1"/>
  </cols>
  <sheetData>
    <row r="1" spans="2:68">
      <c r="F1" s="430"/>
      <c r="G1" s="430" t="s">
        <v>1089</v>
      </c>
      <c r="H1" s="430" t="s">
        <v>1071</v>
      </c>
      <c r="I1" s="430" t="s">
        <v>1072</v>
      </c>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row>
    <row r="2" spans="2:68">
      <c r="B2" s="430" t="s">
        <v>1073</v>
      </c>
      <c r="E2" s="430"/>
      <c r="F2" s="430"/>
      <c r="G2" s="430">
        <v>2009</v>
      </c>
      <c r="H2" s="430">
        <v>60.4</v>
      </c>
      <c r="I2" s="666">
        <f>H2*Deflator!U20/Deflator!T20</f>
        <v>61.096005114485806</v>
      </c>
      <c r="J2" s="430"/>
      <c r="K2" s="430"/>
      <c r="L2" s="430"/>
      <c r="M2" s="430"/>
      <c r="N2" s="430"/>
      <c r="O2" s="430"/>
      <c r="P2" s="430"/>
      <c r="Q2" s="430"/>
      <c r="R2" s="430"/>
      <c r="S2" s="430"/>
      <c r="T2" s="430"/>
      <c r="U2" s="430"/>
      <c r="V2" s="430" t="s">
        <v>1074</v>
      </c>
      <c r="W2" s="430"/>
      <c r="X2" s="430"/>
      <c r="Y2" s="430"/>
      <c r="Z2" s="430"/>
      <c r="AA2" s="430"/>
      <c r="AB2" s="430"/>
      <c r="AC2" s="430"/>
      <c r="AD2" s="430"/>
      <c r="AE2" s="430"/>
      <c r="AF2" s="430"/>
      <c r="AG2" s="430"/>
      <c r="AH2" s="430"/>
      <c r="AI2" s="430"/>
      <c r="AJ2" s="430"/>
      <c r="AM2" s="430"/>
      <c r="AN2" s="430"/>
      <c r="AO2" s="430" t="s">
        <v>1613</v>
      </c>
      <c r="AX2" s="430"/>
      <c r="AY2" s="430"/>
      <c r="AZ2" s="430"/>
      <c r="BA2" s="430"/>
      <c r="BB2" s="430"/>
      <c r="BC2" s="430"/>
    </row>
    <row r="3" spans="2:68" s="430" customFormat="1"/>
    <row r="4" spans="2:68" s="430" customFormat="1" ht="15.75" thickBot="1">
      <c r="B4" s="430" t="s">
        <v>1075</v>
      </c>
      <c r="D4" s="430" t="s">
        <v>1076</v>
      </c>
      <c r="I4" s="430" t="s">
        <v>1077</v>
      </c>
      <c r="N4" s="430">
        <v>450</v>
      </c>
      <c r="T4" s="430" t="s">
        <v>1092</v>
      </c>
      <c r="V4" s="430" t="s">
        <v>1076</v>
      </c>
      <c r="AA4" s="430" t="s">
        <v>1077</v>
      </c>
      <c r="AF4" s="430">
        <v>450</v>
      </c>
      <c r="AM4" s="430" t="s">
        <v>1612</v>
      </c>
      <c r="AO4" s="430" t="s">
        <v>1076</v>
      </c>
      <c r="AT4" s="430" t="s">
        <v>1077</v>
      </c>
      <c r="AY4" s="430">
        <v>450</v>
      </c>
    </row>
    <row r="5" spans="2:68" s="430" customFormat="1">
      <c r="C5" s="430">
        <v>2010</v>
      </c>
      <c r="D5" s="691">
        <v>2015</v>
      </c>
      <c r="E5" s="705">
        <v>2020</v>
      </c>
      <c r="F5" s="705">
        <v>2025</v>
      </c>
      <c r="G5" s="705">
        <v>2030</v>
      </c>
      <c r="H5" s="706">
        <v>2035</v>
      </c>
      <c r="I5" s="691">
        <v>2015</v>
      </c>
      <c r="J5" s="705">
        <v>2020</v>
      </c>
      <c r="K5" s="705">
        <v>2025</v>
      </c>
      <c r="L5" s="705">
        <v>2030</v>
      </c>
      <c r="M5" s="706">
        <v>2035</v>
      </c>
      <c r="N5" s="691">
        <v>2015</v>
      </c>
      <c r="O5" s="705">
        <v>2020</v>
      </c>
      <c r="P5" s="705">
        <v>2025</v>
      </c>
      <c r="Q5" s="705">
        <v>2030</v>
      </c>
      <c r="R5" s="706">
        <v>2035</v>
      </c>
      <c r="U5" s="430">
        <v>2011</v>
      </c>
      <c r="V5" s="691">
        <v>2015</v>
      </c>
      <c r="W5" s="705">
        <v>2020</v>
      </c>
      <c r="X5" s="705">
        <v>2025</v>
      </c>
      <c r="Y5" s="705">
        <v>2030</v>
      </c>
      <c r="Z5" s="706">
        <v>2035</v>
      </c>
      <c r="AA5" s="691">
        <v>2015</v>
      </c>
      <c r="AB5" s="705">
        <v>2020</v>
      </c>
      <c r="AC5" s="705">
        <v>2025</v>
      </c>
      <c r="AD5" s="705">
        <v>2030</v>
      </c>
      <c r="AE5" s="706">
        <v>2035</v>
      </c>
      <c r="AF5" s="691">
        <v>2015</v>
      </c>
      <c r="AG5" s="705">
        <v>2020</v>
      </c>
      <c r="AH5" s="705">
        <v>2025</v>
      </c>
      <c r="AI5" s="705">
        <v>2030</v>
      </c>
      <c r="AJ5" s="706">
        <v>2035</v>
      </c>
      <c r="AN5" s="430">
        <v>2012</v>
      </c>
      <c r="AO5" s="691">
        <v>2015</v>
      </c>
      <c r="AP5" s="705">
        <v>2020</v>
      </c>
      <c r="AQ5" s="705">
        <v>2025</v>
      </c>
      <c r="AR5" s="705">
        <v>2030</v>
      </c>
      <c r="AS5" s="706">
        <v>2035</v>
      </c>
      <c r="AT5" s="691">
        <v>2015</v>
      </c>
      <c r="AU5" s="705">
        <v>2020</v>
      </c>
      <c r="AV5" s="705">
        <v>2025</v>
      </c>
      <c r="AW5" s="705">
        <v>2030</v>
      </c>
      <c r="AX5" s="706">
        <v>2035</v>
      </c>
      <c r="AY5" s="691">
        <v>2015</v>
      </c>
      <c r="AZ5" s="705">
        <v>2020</v>
      </c>
      <c r="BA5" s="705">
        <v>2025</v>
      </c>
      <c r="BB5" s="705">
        <v>2030</v>
      </c>
      <c r="BC5" s="706">
        <v>2035</v>
      </c>
    </row>
    <row r="6" spans="2:68" s="430" customFormat="1">
      <c r="B6" s="430" t="s">
        <v>1078</v>
      </c>
      <c r="C6" s="430">
        <v>78.099999999999994</v>
      </c>
      <c r="D6" s="538">
        <v>102</v>
      </c>
      <c r="E6" s="532">
        <v>108.6</v>
      </c>
      <c r="F6" s="532">
        <v>113.6</v>
      </c>
      <c r="G6" s="532">
        <v>117.3</v>
      </c>
      <c r="H6" s="707">
        <v>120</v>
      </c>
      <c r="I6" s="538">
        <v>106.3</v>
      </c>
      <c r="J6" s="532">
        <v>118.1</v>
      </c>
      <c r="K6" s="532">
        <v>127.3</v>
      </c>
      <c r="L6" s="532">
        <v>134.5</v>
      </c>
      <c r="M6" s="707">
        <v>140</v>
      </c>
      <c r="N6" s="538">
        <v>97</v>
      </c>
      <c r="O6" s="532">
        <v>97</v>
      </c>
      <c r="P6" s="532">
        <v>97</v>
      </c>
      <c r="Q6" s="532">
        <v>97</v>
      </c>
      <c r="R6" s="707">
        <v>97</v>
      </c>
      <c r="T6" s="430" t="s">
        <v>1078</v>
      </c>
      <c r="U6" s="430">
        <v>107.6</v>
      </c>
      <c r="V6" s="538">
        <v>116</v>
      </c>
      <c r="W6" s="532">
        <v>119.5</v>
      </c>
      <c r="X6" s="532">
        <v>121.9</v>
      </c>
      <c r="Y6" s="532">
        <v>123.6</v>
      </c>
      <c r="Z6" s="707">
        <v>125</v>
      </c>
      <c r="AA6" s="538">
        <v>118.4</v>
      </c>
      <c r="AB6" s="532">
        <v>128.30000000000001</v>
      </c>
      <c r="AC6" s="532">
        <v>135.6</v>
      </c>
      <c r="AD6" s="532">
        <v>141.1</v>
      </c>
      <c r="AE6" s="707">
        <v>145</v>
      </c>
      <c r="AF6" s="538">
        <v>115.3</v>
      </c>
      <c r="AG6" s="532">
        <v>113.3</v>
      </c>
      <c r="AH6" s="532">
        <v>109.1</v>
      </c>
      <c r="AI6" s="532">
        <v>104.7</v>
      </c>
      <c r="AJ6" s="707">
        <v>100</v>
      </c>
      <c r="AM6" s="430" t="s">
        <v>1078</v>
      </c>
      <c r="AN6" s="430">
        <v>109</v>
      </c>
      <c r="AO6" s="538">
        <f>(AN6*5+AP6*3)/8</f>
        <v>110.5</v>
      </c>
      <c r="AP6" s="538">
        <v>113</v>
      </c>
      <c r="AQ6" s="532">
        <v>116</v>
      </c>
      <c r="AR6" s="532">
        <v>121</v>
      </c>
      <c r="AS6" s="707">
        <v>128</v>
      </c>
      <c r="AT6" s="1018">
        <f>(AN6*5+AU6*3)/8</f>
        <v>113.125</v>
      </c>
      <c r="AU6" s="532">
        <v>120</v>
      </c>
      <c r="AV6" s="532">
        <v>127</v>
      </c>
      <c r="AW6" s="532">
        <v>136</v>
      </c>
      <c r="AX6" s="707">
        <v>145</v>
      </c>
      <c r="AY6" s="1018">
        <f>(AN6*5+AZ6*3)/8</f>
        <v>109.375</v>
      </c>
      <c r="AZ6" s="532">
        <v>110</v>
      </c>
      <c r="BA6" s="532">
        <v>107</v>
      </c>
      <c r="BB6" s="532">
        <v>104</v>
      </c>
      <c r="BC6" s="707">
        <v>100</v>
      </c>
    </row>
    <row r="7" spans="2:68" s="430" customFormat="1">
      <c r="B7" s="430" t="s">
        <v>1079</v>
      </c>
      <c r="D7" s="538"/>
      <c r="E7" s="532"/>
      <c r="F7" s="532"/>
      <c r="G7" s="532"/>
      <c r="H7" s="707"/>
      <c r="I7" s="538"/>
      <c r="J7" s="532"/>
      <c r="K7" s="532"/>
      <c r="L7" s="532"/>
      <c r="M7" s="707"/>
      <c r="N7" s="538"/>
      <c r="O7" s="532"/>
      <c r="P7" s="532"/>
      <c r="Q7" s="532"/>
      <c r="R7" s="707"/>
      <c r="T7" s="430" t="s">
        <v>1079</v>
      </c>
      <c r="V7" s="538"/>
      <c r="W7" s="532"/>
      <c r="X7" s="532"/>
      <c r="Y7" s="532"/>
      <c r="Z7" s="707"/>
      <c r="AA7" s="538"/>
      <c r="AB7" s="532"/>
      <c r="AC7" s="532"/>
      <c r="AD7" s="532"/>
      <c r="AE7" s="707"/>
      <c r="AF7" s="538"/>
      <c r="AG7" s="532"/>
      <c r="AH7" s="532"/>
      <c r="AI7" s="532"/>
      <c r="AJ7" s="707"/>
      <c r="AM7" s="430" t="s">
        <v>1079</v>
      </c>
      <c r="AO7" s="538"/>
      <c r="AP7" s="538"/>
      <c r="AQ7" s="532"/>
      <c r="AR7" s="532"/>
      <c r="AS7" s="707"/>
      <c r="AT7" s="538"/>
      <c r="AU7" s="532"/>
      <c r="AV7" s="532"/>
      <c r="AW7" s="532"/>
      <c r="AX7" s="707"/>
      <c r="AY7" s="538"/>
      <c r="AZ7" s="532"/>
      <c r="BA7" s="532"/>
      <c r="BB7" s="532"/>
      <c r="BC7" s="707"/>
    </row>
    <row r="8" spans="2:68" s="430" customFormat="1">
      <c r="B8" s="430" t="s">
        <v>1080</v>
      </c>
      <c r="C8" s="430">
        <v>4.4000000000000004</v>
      </c>
      <c r="D8" s="538">
        <v>6</v>
      </c>
      <c r="E8" s="532">
        <v>6.7</v>
      </c>
      <c r="F8" s="532">
        <v>7.3</v>
      </c>
      <c r="G8" s="532">
        <v>7.9</v>
      </c>
      <c r="H8" s="707">
        <v>8.6</v>
      </c>
      <c r="I8" s="538">
        <v>6.1</v>
      </c>
      <c r="J8" s="532">
        <v>7</v>
      </c>
      <c r="K8" s="532">
        <v>7.7</v>
      </c>
      <c r="L8" s="532">
        <v>8.4</v>
      </c>
      <c r="M8" s="707">
        <v>9</v>
      </c>
      <c r="N8" s="538">
        <v>5.9</v>
      </c>
      <c r="O8" s="532">
        <v>6.5</v>
      </c>
      <c r="P8" s="532">
        <v>8</v>
      </c>
      <c r="Q8" s="532">
        <v>8.4</v>
      </c>
      <c r="R8" s="707">
        <v>7.8</v>
      </c>
      <c r="T8" s="430" t="s">
        <v>1080</v>
      </c>
      <c r="U8" s="430">
        <v>4.0999999999999996</v>
      </c>
      <c r="V8" s="538">
        <v>4.5999999999999996</v>
      </c>
      <c r="W8" s="532">
        <v>5.4</v>
      </c>
      <c r="X8" s="532">
        <v>6.3</v>
      </c>
      <c r="Y8" s="532">
        <v>7.1</v>
      </c>
      <c r="Z8" s="707">
        <v>8</v>
      </c>
      <c r="AA8" s="538">
        <v>4.5999999999999996</v>
      </c>
      <c r="AB8" s="532">
        <v>5.5</v>
      </c>
      <c r="AC8" s="532">
        <v>6.4</v>
      </c>
      <c r="AD8" s="532">
        <v>7.2</v>
      </c>
      <c r="AE8" s="707">
        <v>8</v>
      </c>
      <c r="AF8" s="538">
        <v>4.4000000000000004</v>
      </c>
      <c r="AG8" s="532">
        <v>5.5</v>
      </c>
      <c r="AH8" s="532">
        <v>6.9</v>
      </c>
      <c r="AI8" s="532">
        <v>7.6</v>
      </c>
      <c r="AJ8" s="707">
        <v>7.6</v>
      </c>
      <c r="AM8" s="430" t="s">
        <v>1080</v>
      </c>
      <c r="AN8" s="430">
        <v>2.7</v>
      </c>
      <c r="AO8" s="1019">
        <f>(AN8*5+AP8*3)/8</f>
        <v>3.5999999999999996</v>
      </c>
      <c r="AP8" s="538">
        <v>5.0999999999999996</v>
      </c>
      <c r="AQ8" s="532">
        <v>5.6</v>
      </c>
      <c r="AR8" s="532">
        <v>6</v>
      </c>
      <c r="AS8" s="707">
        <v>6.8</v>
      </c>
      <c r="AT8" s="1018">
        <f>(AN8*5+AU8*3)/8</f>
        <v>3.6375000000000002</v>
      </c>
      <c r="AU8" s="532">
        <v>5.2</v>
      </c>
      <c r="AV8" s="532">
        <v>5.8</v>
      </c>
      <c r="AW8" s="532">
        <v>6.2</v>
      </c>
      <c r="AX8" s="707">
        <v>6.9</v>
      </c>
      <c r="AY8" s="1018">
        <f>(AN8*5+AZ8*3)/8</f>
        <v>3.4874999999999998</v>
      </c>
      <c r="AZ8" s="532">
        <v>4.8</v>
      </c>
      <c r="BA8" s="532">
        <v>5.4</v>
      </c>
      <c r="BB8" s="532">
        <v>5.7</v>
      </c>
      <c r="BC8" s="707">
        <v>5.9</v>
      </c>
    </row>
    <row r="9" spans="2:68" s="430" customFormat="1">
      <c r="B9" s="430" t="s">
        <v>1081</v>
      </c>
      <c r="C9" s="430">
        <v>7.5</v>
      </c>
      <c r="D9" s="538">
        <v>9.6</v>
      </c>
      <c r="E9" s="532">
        <v>10.4</v>
      </c>
      <c r="F9" s="532">
        <v>11.1</v>
      </c>
      <c r="G9" s="532">
        <v>11.7</v>
      </c>
      <c r="H9" s="707">
        <v>12.1</v>
      </c>
      <c r="I9" s="538">
        <v>9.8000000000000007</v>
      </c>
      <c r="J9" s="532">
        <v>11</v>
      </c>
      <c r="K9" s="532">
        <v>11.9</v>
      </c>
      <c r="L9" s="532">
        <v>12.6</v>
      </c>
      <c r="M9" s="707">
        <v>13</v>
      </c>
      <c r="N9" s="538">
        <v>9.4</v>
      </c>
      <c r="O9" s="532">
        <v>9.8000000000000007</v>
      </c>
      <c r="P9" s="532">
        <v>9.8000000000000007</v>
      </c>
      <c r="Q9" s="532">
        <v>9.6999999999999993</v>
      </c>
      <c r="R9" s="707">
        <v>9.4</v>
      </c>
      <c r="T9" s="430" t="s">
        <v>1081</v>
      </c>
      <c r="U9" s="430">
        <v>9.6</v>
      </c>
      <c r="V9" s="538">
        <v>11</v>
      </c>
      <c r="W9" s="532">
        <v>11.5</v>
      </c>
      <c r="X9" s="532">
        <v>11.9</v>
      </c>
      <c r="Y9" s="532">
        <v>12.2</v>
      </c>
      <c r="Z9" s="707">
        <v>12.5</v>
      </c>
      <c r="AA9" s="538">
        <v>11.1</v>
      </c>
      <c r="AB9" s="532">
        <v>12.1</v>
      </c>
      <c r="AC9" s="532">
        <v>12.9</v>
      </c>
      <c r="AD9" s="532">
        <v>13.4</v>
      </c>
      <c r="AE9" s="707">
        <v>13.7</v>
      </c>
      <c r="AF9" s="538">
        <v>10.9</v>
      </c>
      <c r="AG9" s="532">
        <v>10.8</v>
      </c>
      <c r="AH9" s="532">
        <v>10.4</v>
      </c>
      <c r="AI9" s="532">
        <v>10</v>
      </c>
      <c r="AJ9" s="707">
        <v>9.6</v>
      </c>
      <c r="AM9" s="430" t="s">
        <v>1081</v>
      </c>
      <c r="AN9" s="430">
        <v>11.7</v>
      </c>
      <c r="AO9" s="1019">
        <f>(AN9*5+AP9*3)/8</f>
        <v>11.775</v>
      </c>
      <c r="AP9" s="538">
        <v>11.9</v>
      </c>
      <c r="AQ9" s="532">
        <v>12</v>
      </c>
      <c r="AR9" s="532">
        <v>12.3</v>
      </c>
      <c r="AS9" s="707">
        <v>12.7</v>
      </c>
      <c r="AT9" s="1018">
        <f>(AN9*5+AU9*3)/8</f>
        <v>11.9625</v>
      </c>
      <c r="AU9" s="532">
        <v>12.4</v>
      </c>
      <c r="AV9" s="532">
        <v>12.9</v>
      </c>
      <c r="AW9" s="532">
        <v>13.4</v>
      </c>
      <c r="AX9" s="707">
        <v>14</v>
      </c>
      <c r="AY9" s="1018">
        <f>(AN9*5+AZ9*3)/8</f>
        <v>11.625</v>
      </c>
      <c r="AZ9" s="532">
        <v>11.5</v>
      </c>
      <c r="BA9" s="532">
        <v>11</v>
      </c>
      <c r="BB9" s="532">
        <v>10.199999999999999</v>
      </c>
      <c r="BC9" s="707">
        <v>9.5</v>
      </c>
      <c r="BJ9" s="430">
        <v>2010</v>
      </c>
      <c r="BK9" s="430">
        <f>BJ9+5</f>
        <v>2015</v>
      </c>
      <c r="BL9" s="430">
        <v>2020</v>
      </c>
      <c r="BM9" s="430">
        <v>2025</v>
      </c>
      <c r="BN9" s="430">
        <v>2030</v>
      </c>
      <c r="BO9" s="430">
        <v>2035</v>
      </c>
      <c r="BP9" s="430">
        <v>2040</v>
      </c>
    </row>
    <row r="10" spans="2:68" s="430" customFormat="1">
      <c r="B10" s="430" t="s">
        <v>1082</v>
      </c>
      <c r="C10" s="430">
        <v>11</v>
      </c>
      <c r="D10" s="538">
        <v>12.2</v>
      </c>
      <c r="E10" s="532">
        <v>12.9</v>
      </c>
      <c r="F10" s="532">
        <v>13.4</v>
      </c>
      <c r="G10" s="532">
        <v>13.9</v>
      </c>
      <c r="H10" s="707">
        <v>14.3</v>
      </c>
      <c r="I10" s="538">
        <v>12.7</v>
      </c>
      <c r="J10" s="532">
        <v>13.5</v>
      </c>
      <c r="K10" s="532">
        <v>14.2</v>
      </c>
      <c r="L10" s="532">
        <v>14.8</v>
      </c>
      <c r="M10" s="707">
        <v>15.2</v>
      </c>
      <c r="N10" s="538">
        <v>11.9</v>
      </c>
      <c r="O10" s="532">
        <v>12</v>
      </c>
      <c r="P10" s="532">
        <v>12</v>
      </c>
      <c r="Q10" s="532">
        <v>12.1</v>
      </c>
      <c r="R10" s="707">
        <v>12.1</v>
      </c>
      <c r="T10" s="430" t="s">
        <v>1082</v>
      </c>
      <c r="U10" s="430">
        <v>14.8</v>
      </c>
      <c r="V10" s="538">
        <v>15</v>
      </c>
      <c r="W10" s="532">
        <v>14.3</v>
      </c>
      <c r="X10" s="532">
        <v>14.5</v>
      </c>
      <c r="Y10" s="532">
        <v>14.7</v>
      </c>
      <c r="Z10" s="707">
        <v>14.8</v>
      </c>
      <c r="AA10" s="538">
        <v>15.3</v>
      </c>
      <c r="AB10" s="532">
        <v>14.7</v>
      </c>
      <c r="AC10" s="532">
        <v>15.2</v>
      </c>
      <c r="AD10" s="532">
        <v>15.6</v>
      </c>
      <c r="AE10" s="707">
        <v>16</v>
      </c>
      <c r="AF10" s="538">
        <v>14.9</v>
      </c>
      <c r="AG10" s="532">
        <v>13.5</v>
      </c>
      <c r="AH10" s="532">
        <v>12.9</v>
      </c>
      <c r="AI10" s="532">
        <v>12.5</v>
      </c>
      <c r="AJ10" s="707">
        <v>12.2</v>
      </c>
      <c r="AM10" s="430" t="s">
        <v>1082</v>
      </c>
      <c r="AN10" s="430">
        <v>16.899999999999999</v>
      </c>
      <c r="AO10" s="1019">
        <f>(AN10*5+AP10*3)/8</f>
        <v>15.887499999999999</v>
      </c>
      <c r="AP10" s="538">
        <v>14.2</v>
      </c>
      <c r="AQ10" s="532">
        <v>14.2</v>
      </c>
      <c r="AR10" s="532">
        <v>14.4</v>
      </c>
      <c r="AS10" s="707">
        <v>14.9</v>
      </c>
      <c r="AT10" s="1018">
        <f>(AN10*5+AU10*3)/8</f>
        <v>16.074999999999999</v>
      </c>
      <c r="AU10" s="532">
        <v>14.7</v>
      </c>
      <c r="AV10" s="532">
        <v>15.2</v>
      </c>
      <c r="AW10" s="532">
        <v>15.9</v>
      </c>
      <c r="AX10" s="707">
        <v>16.7</v>
      </c>
      <c r="AY10" s="1018">
        <f>(AN10*5+AZ10*3)/8</f>
        <v>15.5875</v>
      </c>
      <c r="AZ10" s="532">
        <v>13.4</v>
      </c>
      <c r="BA10" s="532">
        <v>12.8</v>
      </c>
      <c r="BB10" s="532">
        <v>12.2</v>
      </c>
      <c r="BC10" s="707">
        <v>11.7</v>
      </c>
      <c r="BI10" s="430" t="s">
        <v>2</v>
      </c>
      <c r="BJ10" s="430">
        <v>12.09</v>
      </c>
      <c r="BK10" s="430">
        <v>15.98453488</v>
      </c>
      <c r="BL10" s="430">
        <v>19.88</v>
      </c>
      <c r="BM10" s="430">
        <v>21.242425820000001</v>
      </c>
      <c r="BN10" s="430">
        <v>22.6</v>
      </c>
      <c r="BO10" s="430">
        <v>23.378894710000001</v>
      </c>
      <c r="BP10" s="430">
        <v>24.154876730000002</v>
      </c>
    </row>
    <row r="11" spans="2:68" s="430" customFormat="1" ht="15.75" thickBot="1">
      <c r="B11" s="430" t="s">
        <v>1083</v>
      </c>
      <c r="C11" s="430">
        <v>99.2</v>
      </c>
      <c r="D11" s="708">
        <v>103.7</v>
      </c>
      <c r="E11" s="548">
        <v>106.3</v>
      </c>
      <c r="F11" s="548">
        <v>108.1</v>
      </c>
      <c r="G11" s="548">
        <v>109.3</v>
      </c>
      <c r="H11" s="687">
        <v>110</v>
      </c>
      <c r="I11" s="708">
        <v>104.6</v>
      </c>
      <c r="J11" s="548">
        <v>109</v>
      </c>
      <c r="K11" s="548">
        <v>112.8</v>
      </c>
      <c r="L11" s="548">
        <v>115.9</v>
      </c>
      <c r="M11" s="687">
        <v>118.4</v>
      </c>
      <c r="N11" s="708">
        <v>100.3</v>
      </c>
      <c r="O11" s="548">
        <v>93.3</v>
      </c>
      <c r="P11" s="548">
        <v>83.2</v>
      </c>
      <c r="Q11" s="548">
        <v>73.7</v>
      </c>
      <c r="R11" s="687">
        <v>67.7</v>
      </c>
      <c r="T11" s="430" t="s">
        <v>1083</v>
      </c>
      <c r="U11" s="430">
        <v>123.4</v>
      </c>
      <c r="V11" s="708">
        <v>108.5</v>
      </c>
      <c r="W11" s="548">
        <v>112</v>
      </c>
      <c r="X11" s="548">
        <v>113</v>
      </c>
      <c r="Y11" s="548">
        <v>114</v>
      </c>
      <c r="Z11" s="687">
        <v>115</v>
      </c>
      <c r="AA11" s="708">
        <v>110</v>
      </c>
      <c r="AB11" s="548">
        <v>115</v>
      </c>
      <c r="AC11" s="548">
        <v>119.2</v>
      </c>
      <c r="AD11" s="548">
        <v>122.5</v>
      </c>
      <c r="AE11" s="687">
        <v>125</v>
      </c>
      <c r="AF11" s="708">
        <v>105.3</v>
      </c>
      <c r="AG11" s="548">
        <v>97.5</v>
      </c>
      <c r="AH11" s="548">
        <v>89</v>
      </c>
      <c r="AI11" s="548">
        <v>78</v>
      </c>
      <c r="AJ11" s="687">
        <v>70</v>
      </c>
      <c r="AM11" s="430" t="s">
        <v>1083</v>
      </c>
      <c r="AN11" s="430">
        <v>99</v>
      </c>
      <c r="AO11" s="1020">
        <f>(AN11*5+AP11*3)/8</f>
        <v>101.625</v>
      </c>
      <c r="AP11" s="708">
        <v>106</v>
      </c>
      <c r="AQ11" s="548">
        <v>109</v>
      </c>
      <c r="AR11" s="548">
        <v>110</v>
      </c>
      <c r="AS11" s="687">
        <v>110</v>
      </c>
      <c r="AT11" s="708">
        <f>(AN11*5+AU11*3)/8</f>
        <v>103.875</v>
      </c>
      <c r="AU11" s="548">
        <v>112</v>
      </c>
      <c r="AV11" s="548">
        <v>116</v>
      </c>
      <c r="AW11" s="687">
        <v>118</v>
      </c>
      <c r="AX11" s="708">
        <v>120</v>
      </c>
      <c r="AY11" s="548">
        <f>(AN11*5+AZ11*3)/8</f>
        <v>99.75</v>
      </c>
      <c r="AZ11" s="548">
        <v>101</v>
      </c>
      <c r="BA11" s="548">
        <v>95</v>
      </c>
      <c r="BB11" s="548">
        <v>86</v>
      </c>
      <c r="BC11" s="687">
        <v>75</v>
      </c>
      <c r="BI11" s="430" t="s">
        <v>542</v>
      </c>
      <c r="BJ11" s="430">
        <v>6.05</v>
      </c>
      <c r="BK11" s="430">
        <v>7.99</v>
      </c>
      <c r="BL11" s="430">
        <v>9.94</v>
      </c>
      <c r="BM11" s="430">
        <v>10.62</v>
      </c>
      <c r="BN11" s="430">
        <v>11.3</v>
      </c>
      <c r="BO11" s="430">
        <v>11.69</v>
      </c>
      <c r="BP11" s="430">
        <v>12.08</v>
      </c>
    </row>
    <row r="12" spans="2:68" s="430" customFormat="1">
      <c r="D12" s="406">
        <f>(D11/C11)/(D6/C6)</f>
        <v>0.80042002688172043</v>
      </c>
      <c r="E12" s="406">
        <f>(E11/D11)/(E6/D6)</f>
        <v>0.96277511095009505</v>
      </c>
      <c r="F12" s="406">
        <f t="shared" ref="F12:R12" si="0">(F11/E11)/(F6/E6)</f>
        <v>0.97217382375154016</v>
      </c>
      <c r="G12" s="406">
        <f t="shared" si="0"/>
        <v>0.97920762642023396</v>
      </c>
      <c r="H12" s="406">
        <f t="shared" si="0"/>
        <v>0.98376029277218657</v>
      </c>
      <c r="I12" s="406">
        <f>(I11/C11)/(I6/C6)</f>
        <v>0.77470753800867898</v>
      </c>
      <c r="J12" s="406">
        <f t="shared" si="0"/>
        <v>0.93794674442212023</v>
      </c>
      <c r="K12" s="406">
        <f t="shared" si="0"/>
        <v>0.96007264498367662</v>
      </c>
      <c r="L12" s="406">
        <f t="shared" si="0"/>
        <v>0.97247950117324478</v>
      </c>
      <c r="M12" s="406">
        <f t="shared" si="0"/>
        <v>0.98143719955626774</v>
      </c>
      <c r="N12" s="406">
        <f>(N11/C11)/(N6/C6)</f>
        <v>0.81408276521449929</v>
      </c>
      <c r="O12" s="406">
        <f t="shared" si="0"/>
        <v>0.93020937188434694</v>
      </c>
      <c r="P12" s="406">
        <f t="shared" si="0"/>
        <v>0.89174705251875674</v>
      </c>
      <c r="Q12" s="406">
        <f t="shared" si="0"/>
        <v>0.88581730769230771</v>
      </c>
      <c r="R12" s="406">
        <f t="shared" si="0"/>
        <v>0.91858887381275445</v>
      </c>
      <c r="V12" s="406">
        <f>(V11/U11)/(V6/U6)</f>
        <v>0.8155843067121219</v>
      </c>
      <c r="W12" s="406">
        <f>(W11/V11)/(W6/V6)</f>
        <v>1.0020245647185855</v>
      </c>
      <c r="X12" s="406">
        <f>(X11/W11)/(X6/W6)</f>
        <v>0.98906451423883734</v>
      </c>
      <c r="Y12" s="406">
        <f>(Y11/X11)/(Y6/X6)</f>
        <v>0.99497379499957062</v>
      </c>
      <c r="Z12" s="406">
        <f>(Z11/Y11)/(Z6/Y6)</f>
        <v>0.99747368421052618</v>
      </c>
      <c r="AA12" s="406">
        <f>(AA11/U11)/(AA6/U6)</f>
        <v>0.8100989968899206</v>
      </c>
      <c r="AB12" s="406">
        <f>(AB11/AA11)/(AB6/AA6)</f>
        <v>0.96478424147948694</v>
      </c>
      <c r="AC12" s="406">
        <f>(AC11/AB11)/(AC6/AB6)</f>
        <v>0.98072079004745438</v>
      </c>
      <c r="AD12" s="406">
        <f>(AD11/AC11)/(AD6/AC6)</f>
        <v>0.98762598756653142</v>
      </c>
      <c r="AE12" s="406">
        <f>(AE11/AD11)/(AE6/AD6)</f>
        <v>0.99296270232230821</v>
      </c>
      <c r="AF12" s="406">
        <f>(AF11/U11)/(AF6/U6)</f>
        <v>0.79633568128242704</v>
      </c>
      <c r="AG12" s="406">
        <f>(AG11/AF11)/(AG6/AF6)</f>
        <v>0.94227060246477723</v>
      </c>
      <c r="AH12" s="406">
        <f>(AH11/AG11)/(AH6/AG6)</f>
        <v>0.94796117417565628</v>
      </c>
      <c r="AI12" s="406">
        <f>(AI11/AH11)/(AI6/AH6)</f>
        <v>0.91323524677247991</v>
      </c>
      <c r="AJ12" s="406">
        <f>(AJ11/AI11)/(AJ6/AI6)</f>
        <v>0.93961538461538463</v>
      </c>
      <c r="AM12" s="430" t="s">
        <v>1853</v>
      </c>
      <c r="AO12" s="406">
        <f>(AO11/AN11)/(AO6/AN6)</f>
        <v>1.0125805566982038</v>
      </c>
      <c r="AP12" s="406">
        <f>(AP11/AO11)/(AP6/AO6)</f>
        <v>1.0199740935462454</v>
      </c>
      <c r="AQ12" s="406">
        <f>(AQ11/AP11)/(AQ6/AP6)</f>
        <v>1.0017078724788551</v>
      </c>
      <c r="AR12" s="406">
        <f>(AR11/AQ11)/(AR6/AQ6)</f>
        <v>0.96747289407839854</v>
      </c>
      <c r="AS12" s="406">
        <f>(AS11/AR11)/(AS6/AR6)</f>
        <v>0.9453125</v>
      </c>
      <c r="AT12" s="406">
        <f>(AT11/AN11)/(AT6/AN6)</f>
        <v>1.0109827557341371</v>
      </c>
      <c r="AU12" s="406">
        <f>(AU11/AT11)/(AU6/AT6)</f>
        <v>1.0164460489370237</v>
      </c>
      <c r="AV12" s="406">
        <f>(AV11/AU11)/(AV6/AU6)</f>
        <v>0.97862767154105745</v>
      </c>
      <c r="AW12" s="406">
        <f>(AW11/AV11)/(AW6/AV6)</f>
        <v>0.9499239350912777</v>
      </c>
      <c r="AX12" s="406">
        <f>(AX11/AW11)/(AX6/AW6)</f>
        <v>0.95382817066043246</v>
      </c>
      <c r="AY12" s="406">
        <f>(AY11/AN11)/(AY6/AN6)</f>
        <v>1.0041212121212122</v>
      </c>
      <c r="AZ12" s="406">
        <f>(AZ11/AY11)/(AZ6/AY6)</f>
        <v>1.0067783094098883</v>
      </c>
      <c r="BA12" s="406">
        <f>(BA11/AZ11)/(BA6/AZ6)</f>
        <v>0.96696585546405101</v>
      </c>
      <c r="BB12" s="406">
        <f>(BB11/BA11)/(BB6/BA6)</f>
        <v>0.93137651821862355</v>
      </c>
      <c r="BC12" s="406">
        <f>(BC11/BB11)/(BC6/BB6)</f>
        <v>0.90697674418604646</v>
      </c>
      <c r="BI12" s="430" t="s">
        <v>554</v>
      </c>
      <c r="BJ12" s="430">
        <v>133.65790498578201</v>
      </c>
      <c r="BK12" s="430">
        <v>144.66341308052401</v>
      </c>
      <c r="BL12" s="430">
        <v>165.92115951130501</v>
      </c>
      <c r="BM12" s="430">
        <v>184.993407949881</v>
      </c>
      <c r="BN12" s="430">
        <v>206.056227652074</v>
      </c>
      <c r="BO12" s="430">
        <v>229.741908114235</v>
      </c>
      <c r="BP12" s="430">
        <v>257.405837873981</v>
      </c>
    </row>
    <row r="13" spans="2:68" s="430" customFormat="1">
      <c r="AM13" s="430" t="s">
        <v>1854</v>
      </c>
      <c r="AO13" s="406">
        <f>(AO9/AN9)/(AO6/AN6)</f>
        <v>0.99274857872142952</v>
      </c>
      <c r="AP13" s="406">
        <f t="shared" ref="AP13:BC13" si="1">(AP9/AO9)/(AP6/AO6)</f>
        <v>0.98825695657892276</v>
      </c>
      <c r="AQ13" s="406">
        <f t="shared" si="1"/>
        <v>0.98232396406838596</v>
      </c>
      <c r="AR13" s="406">
        <f t="shared" si="1"/>
        <v>0.98264462809917363</v>
      </c>
      <c r="AS13" s="406">
        <f t="shared" si="1"/>
        <v>0.97605436991869909</v>
      </c>
      <c r="AT13" s="406">
        <f>(AT9/AN9)/(AT6/AN6)</f>
        <v>0.98515370449072126</v>
      </c>
      <c r="AU13" s="406">
        <f t="shared" si="1"/>
        <v>0.97718564959944276</v>
      </c>
      <c r="AV13" s="406">
        <f t="shared" si="1"/>
        <v>0.98298196596393184</v>
      </c>
      <c r="AW13" s="406">
        <f t="shared" si="1"/>
        <v>0.9700182398540812</v>
      </c>
      <c r="AX13" s="406">
        <f t="shared" si="1"/>
        <v>0.97992794647452386</v>
      </c>
      <c r="AY13" s="406">
        <f>(AY9/AN9)/(AY6/AN6)</f>
        <v>0.99018315018315028</v>
      </c>
      <c r="AZ13" s="406">
        <f t="shared" si="1"/>
        <v>0.98362658846529805</v>
      </c>
      <c r="BA13" s="406">
        <f t="shared" si="1"/>
        <v>0.98334010564811047</v>
      </c>
      <c r="BB13" s="406">
        <f t="shared" si="1"/>
        <v>0.95402097902097904</v>
      </c>
      <c r="BC13" s="406">
        <f t="shared" si="1"/>
        <v>0.96862745098039216</v>
      </c>
      <c r="BI13" s="430" t="s">
        <v>130</v>
      </c>
      <c r="BJ13" s="430">
        <v>6.25</v>
      </c>
      <c r="BK13" s="430">
        <v>6.25</v>
      </c>
      <c r="BL13" s="430">
        <v>6.25</v>
      </c>
      <c r="BM13" s="430">
        <v>6.25</v>
      </c>
      <c r="BN13" s="430">
        <v>6.25</v>
      </c>
      <c r="BO13" s="430">
        <v>6.25</v>
      </c>
      <c r="BP13" s="430">
        <v>6.25</v>
      </c>
    </row>
    <row r="14" spans="2:68" s="430" customFormat="1">
      <c r="T14" s="430" t="s">
        <v>1091</v>
      </c>
      <c r="U14" s="430" t="s">
        <v>1090</v>
      </c>
      <c r="AM14" s="430" t="s">
        <v>1091</v>
      </c>
      <c r="AN14" s="430" t="s">
        <v>1090</v>
      </c>
      <c r="BI14" s="430" t="s">
        <v>1172</v>
      </c>
      <c r="BJ14" s="430">
        <v>55.690793744075798</v>
      </c>
      <c r="BK14" s="430">
        <v>60.276422116885101</v>
      </c>
      <c r="BL14" s="430">
        <v>69.133816463043999</v>
      </c>
      <c r="BM14" s="430">
        <v>77.080586645783796</v>
      </c>
      <c r="BN14" s="430">
        <v>85.856761521697706</v>
      </c>
      <c r="BO14" s="430">
        <v>95.725795047598098</v>
      </c>
      <c r="BP14" s="430">
        <v>107.252432447492</v>
      </c>
    </row>
    <row r="15" spans="2:68" s="430" customFormat="1">
      <c r="B15" s="430" t="s">
        <v>1084</v>
      </c>
      <c r="D15" s="709">
        <f>(D6/C6)^(1/(D5-C5))-1</f>
        <v>5.4847863469976943E-2</v>
      </c>
      <c r="E15" s="709">
        <f>(E6/D6)^(1/(E5-D5))-1</f>
        <v>1.2618670784016128E-2</v>
      </c>
      <c r="F15" s="709">
        <f>(F6/E6)^(1/(F5-E5))-1</f>
        <v>9.0430634103768615E-3</v>
      </c>
      <c r="G15" s="709">
        <f>(G6/F6)^(1/(G5-F5))-1</f>
        <v>6.4308394975671757E-3</v>
      </c>
      <c r="H15" s="709">
        <f>(H6/G6)^(1/(H5-G5))-1</f>
        <v>4.5617707655429829E-3</v>
      </c>
      <c r="I15" s="709">
        <f>(I6/C6)^(1/(I5-C5))-1</f>
        <v>6.3595389637669753E-2</v>
      </c>
      <c r="J15" s="709">
        <f>(J6/I6)^(1/(J5-I5))-1</f>
        <v>2.1276471530135677E-2</v>
      </c>
      <c r="K15" s="709">
        <f>(K6/J6)^(1/(K5-J5))-1</f>
        <v>1.5116065773516763E-2</v>
      </c>
      <c r="L15" s="709">
        <f>(L6/K6)^(1/(L5-K5))-1</f>
        <v>1.1064300287287665E-2</v>
      </c>
      <c r="M15" s="709">
        <f>(M6/L6)^(1/(M5-L5))-1</f>
        <v>8.0478560007939404E-3</v>
      </c>
      <c r="N15" s="709">
        <f>(N6/C6)^(1/(N5-C5))-1</f>
        <v>4.4297263758155792E-2</v>
      </c>
      <c r="O15" s="709">
        <f>(O6/N6)^(1/(O5-N5))-1</f>
        <v>0</v>
      </c>
      <c r="P15" s="709">
        <f>(P6/O6)^(1/(P5-O5))-1</f>
        <v>0</v>
      </c>
      <c r="Q15" s="709">
        <f>(Q6/P6)^(1/(Q5-P5))-1</f>
        <v>0</v>
      </c>
      <c r="R15" s="709">
        <f>(R6/Q6)^(1/(R5-Q5))-1</f>
        <v>0</v>
      </c>
      <c r="T15" s="712">
        <f>C6/I2-1</f>
        <v>0.27831598569580707</v>
      </c>
      <c r="U15" s="712">
        <f>U6*Deflator!U20/Deflator!V20/C6-1</f>
        <v>0.34109185113451201</v>
      </c>
      <c r="V15" s="709">
        <f>(V6/U6)^(1/(V5-U5))-1</f>
        <v>1.8970074044000862E-2</v>
      </c>
      <c r="W15" s="709">
        <f>(W6/V6)^(1/(W5-V5))-1</f>
        <v>5.962944044239471E-3</v>
      </c>
      <c r="X15" s="709">
        <f>(X6/W6)^(1/(X5-W5))-1</f>
        <v>3.9848515148914743E-3</v>
      </c>
      <c r="Y15" s="709">
        <f>(Y6/X6)^(1/(Y5-X5))-1</f>
        <v>2.773741429406007E-3</v>
      </c>
      <c r="Z15" s="709">
        <f>(Z6/Y6)^(1/(Z5-Y5))-1</f>
        <v>2.2551775519457085E-3</v>
      </c>
      <c r="AA15" s="709">
        <f>(AA6/U6)^(1/(AA5-U5))-1</f>
        <v>2.4200203441211432E-2</v>
      </c>
      <c r="AB15" s="709">
        <f>(AB6/AA6)^(1/(AB5-AA5))-1</f>
        <v>1.6190173044798639E-2</v>
      </c>
      <c r="AC15" s="709">
        <f>(AC6/AB6)^(1/(AC5-AB5))-1</f>
        <v>1.1129093467930451E-2</v>
      </c>
      <c r="AD15" s="709">
        <f>(AD6/AC6)^(1/(AD5-AC5))-1</f>
        <v>7.9835969709516341E-3</v>
      </c>
      <c r="AE15" s="709">
        <f>(AE6/AD6)^(1/(AE5-AD5))-1</f>
        <v>5.4678712507574279E-3</v>
      </c>
      <c r="AF15" s="709">
        <f>(AF6/U6)^(1/(AF5-U5))-1</f>
        <v>1.7429343745218651E-2</v>
      </c>
      <c r="AG15" s="709">
        <f>(AG6/AF6)^(1/(AG5-AF5))-1</f>
        <v>-3.4935352041365331E-3</v>
      </c>
      <c r="AH15" s="709">
        <f>(AH6/AG6)^(1/(AH5-AG5))-1</f>
        <v>-7.5263888527359324E-3</v>
      </c>
      <c r="AI15" s="709">
        <f>(AI6/AH6)^(1/(AI5-AH5))-1</f>
        <v>-8.1993553946574371E-3</v>
      </c>
      <c r="AJ15" s="709">
        <f>(AJ6/AI6)^(1/(AJ5-AI5))-1</f>
        <v>-9.1437259266209381E-3</v>
      </c>
      <c r="AM15" s="712" t="e">
        <f>V6/AB2-1</f>
        <v>#DIV/0!</v>
      </c>
      <c r="AN15" s="712" t="e">
        <f>AN6*Deflator!AN20/Deflator!AO20/V6-1</f>
        <v>#DIV/0!</v>
      </c>
      <c r="AO15" s="737">
        <f>(AO6/AN6)^(1/(AO5-AN5))-1</f>
        <v>4.5662733738802697E-3</v>
      </c>
      <c r="AP15" s="737">
        <f>(AP6/AO6)^(1/(AP5-AO5))-1</f>
        <v>4.4844848921270497E-3</v>
      </c>
      <c r="AQ15" s="737">
        <f>(AQ6/AP6)^(1/(AQ5-AP5))-1</f>
        <v>5.2542297827959938E-3</v>
      </c>
      <c r="AR15" s="737">
        <f>(AR6/AQ6)^(1/(AR5-AQ5))-1</f>
        <v>8.4757887127040465E-3</v>
      </c>
      <c r="AS15" s="737">
        <f>(AS6/AR6)^(1/(AS5-AR5))-1</f>
        <v>1.1311439625934394E-2</v>
      </c>
      <c r="AT15" s="737">
        <f>(AT6/AN6)^(1/(AT5-AN5))-1</f>
        <v>1.2458812268670849E-2</v>
      </c>
      <c r="AU15" s="737">
        <f>(AU6/AT6)^(1/(AU5-AT5))-1</f>
        <v>1.1869558861851592E-2</v>
      </c>
      <c r="AV15" s="737">
        <f>(AV6/AU6)^(1/(AV5-AU5))-1</f>
        <v>1.1403599651385044E-2</v>
      </c>
      <c r="AW15" s="737">
        <f>(AW6/AV6)^(1/(AW5-AV5))-1</f>
        <v>1.3787746070069717E-2</v>
      </c>
      <c r="AX15" s="737">
        <f>(AX6/AW6)^(1/(AX5-AW5))-1</f>
        <v>1.2898245280189125E-2</v>
      </c>
      <c r="AY15" s="737">
        <f>(AY6/AN6)^(1/(AY5-AN5))-1</f>
        <v>1.1454763737035467E-3</v>
      </c>
      <c r="AZ15" s="737">
        <f>(AZ6/AY6)^(1/(AZ5-AY5))-1</f>
        <v>1.140253818557202E-3</v>
      </c>
      <c r="BA15" s="737">
        <f>(BA6/AZ6)^(1/(BA5-AZ5))-1</f>
        <v>-5.5150422735510407E-3</v>
      </c>
      <c r="BB15" s="737">
        <f>(BB6/BA6)^(1/(BB5-BA5))-1</f>
        <v>-5.6714433615395743E-3</v>
      </c>
      <c r="BC15" s="737">
        <f>(BC6/BB6)^(1/(BC5-BB5))-1</f>
        <v>-7.8134576287804958E-3</v>
      </c>
      <c r="BI15" s="430" t="s">
        <v>1179</v>
      </c>
      <c r="BJ15" s="430">
        <f>SUMIF($BJ$53:$CO$53,BJ$9,$BJ54:$CO54)</f>
        <v>68.779678025794695</v>
      </c>
      <c r="BK15" s="430">
        <f t="shared" ref="BK15:BP15" si="2">SUMIF($BJ$53:$CO$53,BK$9,$BJ54:$CO54)</f>
        <v>73.365306398604005</v>
      </c>
      <c r="BL15" s="430">
        <f t="shared" si="2"/>
        <v>82.222700744763003</v>
      </c>
      <c r="BM15" s="430">
        <f t="shared" si="2"/>
        <v>90.169470927502701</v>
      </c>
      <c r="BN15" s="430">
        <f t="shared" si="2"/>
        <v>98.945645803416596</v>
      </c>
      <c r="BO15" s="430">
        <f t="shared" si="2"/>
        <v>108.814679329317</v>
      </c>
      <c r="BP15" s="430">
        <f t="shared" si="2"/>
        <v>120.341316729211</v>
      </c>
    </row>
    <row r="16" spans="2:68" s="430" customFormat="1">
      <c r="D16" s="710">
        <f>AVERAGE(D15:H15)</f>
        <v>1.7500441585496018E-2</v>
      </c>
      <c r="I16" s="710">
        <f>AVERAGE(I15:M15)</f>
        <v>2.3820016645880758E-2</v>
      </c>
      <c r="N16" s="710">
        <f>AVERAGE(N15:R15)</f>
        <v>8.8594527516311587E-3</v>
      </c>
      <c r="V16" s="710">
        <f>AVERAGE(V15:Z15)</f>
        <v>6.7893577168967045E-3</v>
      </c>
      <c r="AA16" s="710">
        <f>AVERAGE(AA15:AE15)</f>
        <v>1.2994187635129916E-2</v>
      </c>
      <c r="AF16" s="710">
        <f>AVERAGE(AF15:AJ15)</f>
        <v>-2.1867323265864378E-3</v>
      </c>
      <c r="AO16" s="710">
        <f>AVERAGE(AO15:AS15)</f>
        <v>6.8184432774883504E-3</v>
      </c>
      <c r="AT16" s="710">
        <f>AVERAGE(AT15:AX15)</f>
        <v>1.2483592426433265E-2</v>
      </c>
      <c r="AY16" s="710">
        <f>AVERAGE(AY15:BC15)</f>
        <v>-3.3428426143220723E-3</v>
      </c>
      <c r="BI16" s="430" t="s">
        <v>1181</v>
      </c>
      <c r="BJ16" s="430">
        <f t="shared" ref="BJ16:BP16" si="3">SUMIF($BJ$53:$CO$53,BJ$9,$BJ55:$CO55)</f>
        <v>57.641519276979601</v>
      </c>
      <c r="BK16" s="430">
        <f t="shared" si="3"/>
        <v>61.310021975227002</v>
      </c>
      <c r="BL16" s="430">
        <f t="shared" si="3"/>
        <v>68.395937452154101</v>
      </c>
      <c r="BM16" s="430">
        <f t="shared" si="3"/>
        <v>74.753353598345996</v>
      </c>
      <c r="BN16" s="430">
        <f t="shared" si="3"/>
        <v>81.774293499077103</v>
      </c>
      <c r="BO16" s="430">
        <f t="shared" si="3"/>
        <v>89.6695203197974</v>
      </c>
      <c r="BP16" s="430">
        <f t="shared" si="3"/>
        <v>98.890830239712699</v>
      </c>
    </row>
    <row r="17" spans="2:68" s="430" customFormat="1">
      <c r="I17" s="710">
        <f>I16-D16</f>
        <v>6.3195750603847398E-3</v>
      </c>
      <c r="N17" s="710">
        <f>D16-N16</f>
        <v>8.6409888338648596E-3</v>
      </c>
      <c r="AA17" s="710">
        <f>AA16-V16</f>
        <v>6.2048299182332119E-3</v>
      </c>
      <c r="AF17" s="710">
        <f>V16-AF16</f>
        <v>8.9760900434831432E-3</v>
      </c>
      <c r="AT17" s="710">
        <f>AT16-AO16</f>
        <v>5.665149148944915E-3</v>
      </c>
      <c r="AY17" s="710">
        <f>AO16-AY16</f>
        <v>1.0161285891810423E-2</v>
      </c>
      <c r="BI17" s="430" t="s">
        <v>1177</v>
      </c>
      <c r="BJ17" s="430">
        <f t="shared" ref="BJ17:BP17" si="4">SUMIF($BJ$53:$CO$53,BJ$9,$BJ56:$CO56)</f>
        <v>98.858897655040195</v>
      </c>
      <c r="BK17" s="430">
        <f t="shared" si="4"/>
        <v>101.61027467872501</v>
      </c>
      <c r="BL17" s="430">
        <f t="shared" si="4"/>
        <v>106.924711286421</v>
      </c>
      <c r="BM17" s="430">
        <f t="shared" si="4"/>
        <v>111.69277339606499</v>
      </c>
      <c r="BN17" s="430">
        <f t="shared" si="4"/>
        <v>116.958478321613</v>
      </c>
      <c r="BO17" s="430">
        <f t="shared" si="4"/>
        <v>122.879898437153</v>
      </c>
      <c r="BP17" s="430">
        <f t="shared" si="4"/>
        <v>129.79588087709001</v>
      </c>
    </row>
    <row r="18" spans="2:68" s="430" customFormat="1">
      <c r="B18" s="430" t="s">
        <v>1080</v>
      </c>
      <c r="D18" s="711">
        <f t="shared" ref="D18:H21" si="5">D8/C8-1</f>
        <v>0.36363636363636354</v>
      </c>
      <c r="E18" s="711">
        <f t="shared" si="5"/>
        <v>0.1166666666666667</v>
      </c>
      <c r="F18" s="711">
        <f t="shared" si="5"/>
        <v>8.9552238805970186E-2</v>
      </c>
      <c r="G18" s="711">
        <f t="shared" si="5"/>
        <v>8.2191780821917915E-2</v>
      </c>
      <c r="H18" s="711">
        <f t="shared" si="5"/>
        <v>8.8607594936708667E-2</v>
      </c>
      <c r="I18" s="711">
        <f>I8/C8-1</f>
        <v>0.38636363636363624</v>
      </c>
      <c r="J18" s="711">
        <f t="shared" ref="J18:M21" si="6">J8/I8-1</f>
        <v>0.14754098360655754</v>
      </c>
      <c r="K18" s="711">
        <f t="shared" si="6"/>
        <v>0.10000000000000009</v>
      </c>
      <c r="L18" s="711">
        <f t="shared" si="6"/>
        <v>9.0909090909090828E-2</v>
      </c>
      <c r="M18" s="711">
        <f t="shared" si="6"/>
        <v>7.1428571428571397E-2</v>
      </c>
      <c r="N18" s="711">
        <f>N8/C8-1</f>
        <v>0.34090909090909083</v>
      </c>
      <c r="O18" s="711">
        <f t="shared" ref="O18:R21" si="7">O8/N8-1</f>
        <v>0.10169491525423724</v>
      </c>
      <c r="P18" s="711">
        <f t="shared" si="7"/>
        <v>0.23076923076923084</v>
      </c>
      <c r="Q18" s="711">
        <f t="shared" si="7"/>
        <v>5.0000000000000044E-2</v>
      </c>
      <c r="R18" s="711">
        <f t="shared" si="7"/>
        <v>-7.1428571428571508E-2</v>
      </c>
      <c r="V18" s="711">
        <f t="shared" ref="V18:Z21" si="8">V8/U8-1</f>
        <v>0.12195121951219523</v>
      </c>
      <c r="W18" s="711">
        <f t="shared" si="8"/>
        <v>0.17391304347826098</v>
      </c>
      <c r="X18" s="711">
        <f t="shared" si="8"/>
        <v>0.16666666666666652</v>
      </c>
      <c r="Y18" s="711">
        <f t="shared" si="8"/>
        <v>0.12698412698412698</v>
      </c>
      <c r="Z18" s="711">
        <f t="shared" si="8"/>
        <v>0.12676056338028174</v>
      </c>
      <c r="AA18" s="711">
        <f>AA8/U8-1</f>
        <v>0.12195121951219523</v>
      </c>
      <c r="AB18" s="711">
        <f t="shared" ref="AB18:AE21" si="9">AB8/AA8-1</f>
        <v>0.19565217391304368</v>
      </c>
      <c r="AC18" s="711">
        <f t="shared" si="9"/>
        <v>0.1636363636363638</v>
      </c>
      <c r="AD18" s="711">
        <f t="shared" si="9"/>
        <v>0.125</v>
      </c>
      <c r="AE18" s="711">
        <f t="shared" si="9"/>
        <v>0.11111111111111116</v>
      </c>
      <c r="AF18" s="711">
        <f>AF8/U8-1</f>
        <v>7.317073170731736E-2</v>
      </c>
      <c r="AG18" s="711">
        <f t="shared" ref="AG18:AJ21" si="10">AG8/AF8-1</f>
        <v>0.25</v>
      </c>
      <c r="AH18" s="711">
        <f t="shared" si="10"/>
        <v>0.25454545454545463</v>
      </c>
      <c r="AI18" s="711">
        <f t="shared" si="10"/>
        <v>0.10144927536231862</v>
      </c>
      <c r="AJ18" s="711">
        <f t="shared" si="10"/>
        <v>0</v>
      </c>
      <c r="AO18" s="711">
        <f t="shared" ref="AO18:AS21" si="11">AO8/AN8-1</f>
        <v>0.33333333333333304</v>
      </c>
      <c r="AP18" s="711">
        <f t="shared" si="11"/>
        <v>0.41666666666666674</v>
      </c>
      <c r="AQ18" s="711">
        <f t="shared" si="11"/>
        <v>9.8039215686274606E-2</v>
      </c>
      <c r="AR18" s="711">
        <f t="shared" si="11"/>
        <v>7.1428571428571397E-2</v>
      </c>
      <c r="AS18" s="711">
        <f t="shared" si="11"/>
        <v>0.1333333333333333</v>
      </c>
      <c r="AT18" s="711">
        <f>AT8/AN8-1</f>
        <v>0.3472222222222221</v>
      </c>
      <c r="AU18" s="711">
        <f t="shared" ref="AU18:AX21" si="12">AU8/AT8-1</f>
        <v>0.42955326460481102</v>
      </c>
      <c r="AV18" s="711">
        <f t="shared" si="12"/>
        <v>0.11538461538461542</v>
      </c>
      <c r="AW18" s="711">
        <f t="shared" si="12"/>
        <v>6.8965517241379448E-2</v>
      </c>
      <c r="AX18" s="711">
        <f t="shared" si="12"/>
        <v>0.11290322580645173</v>
      </c>
      <c r="AY18" s="711">
        <f>AY8/AN8-1</f>
        <v>0.29166666666666652</v>
      </c>
      <c r="AZ18" s="711">
        <f t="shared" ref="AZ18:BC21" si="13">AZ8/AY8-1</f>
        <v>0.37634408602150549</v>
      </c>
      <c r="BA18" s="711">
        <f t="shared" si="13"/>
        <v>0.12500000000000022</v>
      </c>
      <c r="BB18" s="711">
        <f t="shared" si="13"/>
        <v>5.555555555555558E-2</v>
      </c>
      <c r="BC18" s="711">
        <f t="shared" si="13"/>
        <v>3.5087719298245723E-2</v>
      </c>
      <c r="BI18" s="430" t="s">
        <v>1175</v>
      </c>
      <c r="BJ18" s="430">
        <f t="shared" ref="BJ18:BP18" si="14">SUMIF($BJ$53:$CO$53,BJ$9,$BJ57:$CO57)</f>
        <v>69.726846827097404</v>
      </c>
      <c r="BK18" s="430">
        <f t="shared" si="14"/>
        <v>74.862750604643693</v>
      </c>
      <c r="BL18" s="430">
        <f t="shared" si="14"/>
        <v>84.783032272341799</v>
      </c>
      <c r="BM18" s="430">
        <f t="shared" si="14"/>
        <v>93.683414877010307</v>
      </c>
      <c r="BN18" s="430">
        <f t="shared" si="14"/>
        <v>103.512730738033</v>
      </c>
      <c r="BO18" s="430">
        <f t="shared" si="14"/>
        <v>114.56604828704199</v>
      </c>
      <c r="BP18" s="430">
        <f t="shared" si="14"/>
        <v>127.475882174923</v>
      </c>
    </row>
    <row r="19" spans="2:68" s="430" customFormat="1">
      <c r="B19" s="430" t="s">
        <v>1081</v>
      </c>
      <c r="D19" s="711">
        <f t="shared" si="5"/>
        <v>0.28000000000000003</v>
      </c>
      <c r="E19" s="711">
        <f t="shared" si="5"/>
        <v>8.3333333333333481E-2</v>
      </c>
      <c r="F19" s="711">
        <f t="shared" si="5"/>
        <v>6.7307692307692291E-2</v>
      </c>
      <c r="G19" s="711">
        <f t="shared" si="5"/>
        <v>5.4054054054053946E-2</v>
      </c>
      <c r="H19" s="711">
        <f t="shared" si="5"/>
        <v>3.4188034188034289E-2</v>
      </c>
      <c r="I19" s="711">
        <f>I9/C9-1</f>
        <v>0.30666666666666687</v>
      </c>
      <c r="J19" s="711">
        <f t="shared" si="6"/>
        <v>0.12244897959183665</v>
      </c>
      <c r="K19" s="711">
        <f t="shared" si="6"/>
        <v>8.181818181818179E-2</v>
      </c>
      <c r="L19" s="711">
        <f t="shared" si="6"/>
        <v>5.8823529411764719E-2</v>
      </c>
      <c r="M19" s="711">
        <f t="shared" si="6"/>
        <v>3.1746031746031855E-2</v>
      </c>
      <c r="N19" s="711">
        <f>N9/C9-1</f>
        <v>0.25333333333333341</v>
      </c>
      <c r="O19" s="711">
        <f t="shared" si="7"/>
        <v>4.2553191489361764E-2</v>
      </c>
      <c r="P19" s="711">
        <f t="shared" si="7"/>
        <v>0</v>
      </c>
      <c r="Q19" s="711">
        <f t="shared" si="7"/>
        <v>-1.0204081632653184E-2</v>
      </c>
      <c r="R19" s="711">
        <f t="shared" si="7"/>
        <v>-3.0927835051546282E-2</v>
      </c>
      <c r="V19" s="711">
        <f t="shared" si="8"/>
        <v>0.14583333333333348</v>
      </c>
      <c r="W19" s="711">
        <f t="shared" si="8"/>
        <v>4.5454545454545414E-2</v>
      </c>
      <c r="X19" s="711">
        <f t="shared" si="8"/>
        <v>3.4782608695652195E-2</v>
      </c>
      <c r="Y19" s="711">
        <f t="shared" si="8"/>
        <v>2.5210084033613356E-2</v>
      </c>
      <c r="Z19" s="711">
        <f t="shared" si="8"/>
        <v>2.4590163934426368E-2</v>
      </c>
      <c r="AA19" s="711">
        <f>AA9/U9-1</f>
        <v>0.15625</v>
      </c>
      <c r="AB19" s="711">
        <f t="shared" si="9"/>
        <v>9.0090090090090058E-2</v>
      </c>
      <c r="AC19" s="711">
        <f t="shared" si="9"/>
        <v>6.6115702479338845E-2</v>
      </c>
      <c r="AD19" s="711">
        <f t="shared" si="9"/>
        <v>3.8759689922480689E-2</v>
      </c>
      <c r="AE19" s="711">
        <f t="shared" si="9"/>
        <v>2.2388059701492491E-2</v>
      </c>
      <c r="AF19" s="711">
        <f>AF9/U9-1</f>
        <v>0.13541666666666674</v>
      </c>
      <c r="AG19" s="711">
        <f t="shared" si="10"/>
        <v>-9.1743119266054496E-3</v>
      </c>
      <c r="AH19" s="711">
        <f t="shared" si="10"/>
        <v>-3.703703703703709E-2</v>
      </c>
      <c r="AI19" s="711">
        <f t="shared" si="10"/>
        <v>-3.8461538461538547E-2</v>
      </c>
      <c r="AJ19" s="711">
        <f t="shared" si="10"/>
        <v>-4.0000000000000036E-2</v>
      </c>
      <c r="AO19" s="711">
        <f t="shared" si="11"/>
        <v>6.4102564102566095E-3</v>
      </c>
      <c r="AP19" s="711">
        <f t="shared" si="11"/>
        <v>1.0615711252653925E-2</v>
      </c>
      <c r="AQ19" s="711">
        <f t="shared" si="11"/>
        <v>8.4033613445377853E-3</v>
      </c>
      <c r="AR19" s="711">
        <f t="shared" si="11"/>
        <v>2.5000000000000133E-2</v>
      </c>
      <c r="AS19" s="711">
        <f t="shared" si="11"/>
        <v>3.2520325203251987E-2</v>
      </c>
      <c r="AT19" s="711">
        <f>AT9/AN9-1</f>
        <v>2.2435897435897578E-2</v>
      </c>
      <c r="AU19" s="711">
        <f t="shared" si="12"/>
        <v>3.6572622779519337E-2</v>
      </c>
      <c r="AV19" s="711">
        <f t="shared" si="12"/>
        <v>4.0322580645161255E-2</v>
      </c>
      <c r="AW19" s="711">
        <f t="shared" si="12"/>
        <v>3.8759689922480689E-2</v>
      </c>
      <c r="AX19" s="711">
        <f t="shared" si="12"/>
        <v>4.4776119402984982E-2</v>
      </c>
      <c r="AY19" s="711">
        <f>AY9/AN9-1</f>
        <v>-6.4102564102563875E-3</v>
      </c>
      <c r="AZ19" s="711">
        <f t="shared" si="13"/>
        <v>-1.0752688172043001E-2</v>
      </c>
      <c r="BA19" s="711">
        <f t="shared" si="13"/>
        <v>-4.3478260869565188E-2</v>
      </c>
      <c r="BB19" s="711">
        <f t="shared" si="13"/>
        <v>-7.2727272727272751E-2</v>
      </c>
      <c r="BC19" s="711">
        <f t="shared" si="13"/>
        <v>-6.8627450980392135E-2</v>
      </c>
      <c r="BI19" s="430" t="s">
        <v>967</v>
      </c>
      <c r="BJ19" s="430">
        <f t="shared" ref="BJ19:BP19" si="15">SUMIF($BJ$53:$CO$53,BJ$9,$BJ58:$CO58)</f>
        <v>72.5910425278975</v>
      </c>
      <c r="BK19" s="430">
        <f t="shared" si="15"/>
        <v>77.726946305443803</v>
      </c>
      <c r="BL19" s="430">
        <f t="shared" si="15"/>
        <v>87.647227973141895</v>
      </c>
      <c r="BM19" s="430">
        <f t="shared" si="15"/>
        <v>96.547610577810403</v>
      </c>
      <c r="BN19" s="430">
        <f t="shared" si="15"/>
        <v>106.376926438834</v>
      </c>
      <c r="BO19" s="430">
        <f t="shared" si="15"/>
        <v>117.430243987842</v>
      </c>
      <c r="BP19" s="430">
        <f t="shared" si="15"/>
        <v>130.34007787572301</v>
      </c>
    </row>
    <row r="20" spans="2:68" s="430" customFormat="1">
      <c r="B20" s="430" t="s">
        <v>1082</v>
      </c>
      <c r="D20" s="711">
        <f t="shared" si="5"/>
        <v>0.10909090909090913</v>
      </c>
      <c r="E20" s="711">
        <f t="shared" si="5"/>
        <v>5.7377049180328044E-2</v>
      </c>
      <c r="F20" s="711">
        <f t="shared" si="5"/>
        <v>3.8759689922480689E-2</v>
      </c>
      <c r="G20" s="711">
        <f t="shared" si="5"/>
        <v>3.7313432835820892E-2</v>
      </c>
      <c r="H20" s="711">
        <f t="shared" si="5"/>
        <v>2.877697841726623E-2</v>
      </c>
      <c r="I20" s="711">
        <f>I10/C10-1</f>
        <v>0.15454545454545454</v>
      </c>
      <c r="J20" s="711">
        <f t="shared" si="6"/>
        <v>6.2992125984252079E-2</v>
      </c>
      <c r="K20" s="711">
        <f t="shared" si="6"/>
        <v>5.1851851851851816E-2</v>
      </c>
      <c r="L20" s="711">
        <f t="shared" si="6"/>
        <v>4.2253521126760729E-2</v>
      </c>
      <c r="M20" s="711">
        <f t="shared" si="6"/>
        <v>2.7027027027026973E-2</v>
      </c>
      <c r="N20" s="711">
        <f>N10/C10-1</f>
        <v>8.181818181818179E-2</v>
      </c>
      <c r="O20" s="711">
        <f t="shared" si="7"/>
        <v>8.4033613445377853E-3</v>
      </c>
      <c r="P20" s="711">
        <f t="shared" si="7"/>
        <v>0</v>
      </c>
      <c r="Q20" s="711">
        <f t="shared" si="7"/>
        <v>8.3333333333333037E-3</v>
      </c>
      <c r="R20" s="711">
        <f t="shared" si="7"/>
        <v>0</v>
      </c>
      <c r="V20" s="711">
        <f t="shared" si="8"/>
        <v>1.3513513513513375E-2</v>
      </c>
      <c r="W20" s="711">
        <f t="shared" si="8"/>
        <v>-4.6666666666666634E-2</v>
      </c>
      <c r="X20" s="711">
        <f t="shared" si="8"/>
        <v>1.3986013986013957E-2</v>
      </c>
      <c r="Y20" s="711">
        <f t="shared" si="8"/>
        <v>1.379310344827589E-2</v>
      </c>
      <c r="Z20" s="711">
        <f t="shared" si="8"/>
        <v>6.8027210884353817E-3</v>
      </c>
      <c r="AA20" s="711">
        <f>AA10/U10-1</f>
        <v>3.3783783783783772E-2</v>
      </c>
      <c r="AB20" s="711">
        <f t="shared" si="9"/>
        <v>-3.9215686274509887E-2</v>
      </c>
      <c r="AC20" s="711">
        <f t="shared" si="9"/>
        <v>3.4013605442176909E-2</v>
      </c>
      <c r="AD20" s="711">
        <f t="shared" si="9"/>
        <v>2.6315789473684292E-2</v>
      </c>
      <c r="AE20" s="711">
        <f t="shared" si="9"/>
        <v>2.5641025641025772E-2</v>
      </c>
      <c r="AF20" s="711">
        <f>AF10/U10-1</f>
        <v>6.7567567567567988E-3</v>
      </c>
      <c r="AG20" s="711">
        <f t="shared" si="10"/>
        <v>-9.3959731543624136E-2</v>
      </c>
      <c r="AH20" s="711">
        <f t="shared" si="10"/>
        <v>-4.4444444444444398E-2</v>
      </c>
      <c r="AI20" s="711">
        <f t="shared" si="10"/>
        <v>-3.1007751937984551E-2</v>
      </c>
      <c r="AJ20" s="711">
        <f t="shared" si="10"/>
        <v>-2.4000000000000021E-2</v>
      </c>
      <c r="AO20" s="711">
        <f t="shared" si="11"/>
        <v>-5.9911242603550297E-2</v>
      </c>
      <c r="AP20" s="711">
        <f t="shared" si="11"/>
        <v>-0.10621557828481509</v>
      </c>
      <c r="AQ20" s="711">
        <f t="shared" si="11"/>
        <v>0</v>
      </c>
      <c r="AR20" s="711">
        <f t="shared" si="11"/>
        <v>1.4084507042253502E-2</v>
      </c>
      <c r="AS20" s="711">
        <f t="shared" si="11"/>
        <v>3.4722222222222321E-2</v>
      </c>
      <c r="AT20" s="711">
        <f>AT10/AN10-1</f>
        <v>-4.881656804733725E-2</v>
      </c>
      <c r="AU20" s="711">
        <f t="shared" si="12"/>
        <v>-8.5536547433903598E-2</v>
      </c>
      <c r="AV20" s="711">
        <f t="shared" si="12"/>
        <v>3.4013605442176909E-2</v>
      </c>
      <c r="AW20" s="711">
        <f t="shared" si="12"/>
        <v>4.6052631578947345E-2</v>
      </c>
      <c r="AX20" s="711">
        <f t="shared" si="12"/>
        <v>5.031446540880502E-2</v>
      </c>
      <c r="AY20" s="711">
        <f>AY10/AN10-1</f>
        <v>-7.7662721893490994E-2</v>
      </c>
      <c r="AZ20" s="711">
        <f t="shared" si="13"/>
        <v>-0.14033680834001605</v>
      </c>
      <c r="BA20" s="711">
        <f t="shared" si="13"/>
        <v>-4.4776119402985093E-2</v>
      </c>
      <c r="BB20" s="711">
        <f t="shared" si="13"/>
        <v>-4.6875000000000111E-2</v>
      </c>
      <c r="BC20" s="711">
        <f t="shared" si="13"/>
        <v>-4.0983606557377095E-2</v>
      </c>
      <c r="BI20" s="430" t="s">
        <v>1196</v>
      </c>
      <c r="BJ20" s="430">
        <v>80</v>
      </c>
      <c r="BK20" s="430">
        <f t="shared" ref="BK20:BP20" si="16">BJ20</f>
        <v>80</v>
      </c>
      <c r="BL20" s="430">
        <f t="shared" si="16"/>
        <v>80</v>
      </c>
      <c r="BM20" s="430">
        <f t="shared" si="16"/>
        <v>80</v>
      </c>
      <c r="BN20" s="430">
        <f t="shared" si="16"/>
        <v>80</v>
      </c>
      <c r="BO20" s="430">
        <f t="shared" si="16"/>
        <v>80</v>
      </c>
      <c r="BP20" s="430">
        <f t="shared" si="16"/>
        <v>80</v>
      </c>
    </row>
    <row r="21" spans="2:68" s="430" customFormat="1">
      <c r="D21" s="711">
        <f t="shared" si="5"/>
        <v>4.5362903225806495E-2</v>
      </c>
      <c r="E21" s="711">
        <f t="shared" si="5"/>
        <v>2.5072324011571778E-2</v>
      </c>
      <c r="F21" s="711">
        <f t="shared" si="5"/>
        <v>1.6933207902163572E-2</v>
      </c>
      <c r="G21" s="711">
        <f t="shared" si="5"/>
        <v>1.1100832562442209E-2</v>
      </c>
      <c r="H21" s="711">
        <f t="shared" si="5"/>
        <v>6.4043915827995956E-3</v>
      </c>
      <c r="I21" s="711">
        <f>I11/C11-1</f>
        <v>5.4435483870967749E-2</v>
      </c>
      <c r="J21" s="711">
        <f t="shared" si="6"/>
        <v>4.2065009560229516E-2</v>
      </c>
      <c r="K21" s="711">
        <f t="shared" si="6"/>
        <v>3.4862385321100975E-2</v>
      </c>
      <c r="L21" s="711">
        <f t="shared" si="6"/>
        <v>2.7482269503546153E-2</v>
      </c>
      <c r="M21" s="711">
        <f t="shared" si="6"/>
        <v>2.1570319240724833E-2</v>
      </c>
      <c r="N21" s="711">
        <f>N11/C11-1</f>
        <v>1.1088709677419262E-2</v>
      </c>
      <c r="O21" s="711">
        <f t="shared" si="7"/>
        <v>-6.9790628115653064E-2</v>
      </c>
      <c r="P21" s="711">
        <f t="shared" si="7"/>
        <v>-0.10825294748124326</v>
      </c>
      <c r="Q21" s="711">
        <f t="shared" si="7"/>
        <v>-0.11418269230769229</v>
      </c>
      <c r="R21" s="711">
        <f t="shared" si="7"/>
        <v>-8.1411126187245553E-2</v>
      </c>
      <c r="V21" s="711">
        <f t="shared" si="8"/>
        <v>-0.12074554294975692</v>
      </c>
      <c r="W21" s="711">
        <f t="shared" si="8"/>
        <v>3.2258064516129004E-2</v>
      </c>
      <c r="X21" s="711">
        <f t="shared" si="8"/>
        <v>8.9285714285713969E-3</v>
      </c>
      <c r="Y21" s="711">
        <f t="shared" si="8"/>
        <v>8.8495575221239076E-3</v>
      </c>
      <c r="Z21" s="711">
        <f t="shared" si="8"/>
        <v>8.7719298245614308E-3</v>
      </c>
      <c r="AA21" s="711">
        <f>AA11/U11-1</f>
        <v>-0.10858995137763372</v>
      </c>
      <c r="AB21" s="711">
        <f t="shared" si="9"/>
        <v>4.5454545454545414E-2</v>
      </c>
      <c r="AC21" s="711">
        <f t="shared" si="9"/>
        <v>3.6521739130434883E-2</v>
      </c>
      <c r="AD21" s="711">
        <f t="shared" si="9"/>
        <v>2.7684563758389347E-2</v>
      </c>
      <c r="AE21" s="711">
        <f t="shared" si="9"/>
        <v>2.0408163265306145E-2</v>
      </c>
      <c r="AF21" s="711">
        <f>AF11/U11-1</f>
        <v>-0.14667747163695311</v>
      </c>
      <c r="AG21" s="711">
        <f t="shared" si="10"/>
        <v>-7.407407407407407E-2</v>
      </c>
      <c r="AH21" s="711">
        <f t="shared" si="10"/>
        <v>-8.7179487179487203E-2</v>
      </c>
      <c r="AI21" s="711">
        <f t="shared" si="10"/>
        <v>-0.1235955056179775</v>
      </c>
      <c r="AJ21" s="711">
        <f t="shared" si="10"/>
        <v>-0.10256410256410253</v>
      </c>
      <c r="AO21" s="711">
        <f t="shared" si="11"/>
        <v>2.6515151515151603E-2</v>
      </c>
      <c r="AP21" s="711">
        <f t="shared" si="11"/>
        <v>4.3050430504305126E-2</v>
      </c>
      <c r="AQ21" s="711">
        <f t="shared" si="11"/>
        <v>2.8301886792452935E-2</v>
      </c>
      <c r="AR21" s="711">
        <f t="shared" si="11"/>
        <v>9.1743119266054496E-3</v>
      </c>
      <c r="AS21" s="711">
        <f t="shared" si="11"/>
        <v>0</v>
      </c>
      <c r="AT21" s="711">
        <f>AT11/AN11-1</f>
        <v>4.924242424242431E-2</v>
      </c>
      <c r="AU21" s="711">
        <f t="shared" si="12"/>
        <v>7.8219013237063706E-2</v>
      </c>
      <c r="AV21" s="711">
        <f t="shared" si="12"/>
        <v>3.5714285714285809E-2</v>
      </c>
      <c r="AW21" s="711">
        <f t="shared" si="12"/>
        <v>1.7241379310344751E-2</v>
      </c>
      <c r="AX21" s="711">
        <f t="shared" si="12"/>
        <v>1.6949152542372836E-2</v>
      </c>
      <c r="AY21" s="711">
        <f>AY11/AN11-1</f>
        <v>7.575757575757569E-3</v>
      </c>
      <c r="AZ21" s="711">
        <f t="shared" si="13"/>
        <v>1.2531328320801949E-2</v>
      </c>
      <c r="BA21" s="711">
        <f t="shared" si="13"/>
        <v>-5.9405940594059459E-2</v>
      </c>
      <c r="BB21" s="711">
        <f t="shared" si="13"/>
        <v>-9.4736842105263119E-2</v>
      </c>
      <c r="BC21" s="711">
        <f t="shared" si="13"/>
        <v>-0.12790697674418605</v>
      </c>
    </row>
    <row r="22" spans="2:68" s="430" customFormat="1">
      <c r="C22" s="406">
        <f t="shared" ref="C22:R22" si="17">C9/C6</f>
        <v>9.6030729833546741E-2</v>
      </c>
      <c r="D22" s="406">
        <f t="shared" si="17"/>
        <v>9.4117647058823528E-2</v>
      </c>
      <c r="E22" s="406">
        <f t="shared" si="17"/>
        <v>9.5764272559852676E-2</v>
      </c>
      <c r="F22" s="406">
        <f t="shared" si="17"/>
        <v>9.7711267605633811E-2</v>
      </c>
      <c r="G22" s="406">
        <f t="shared" si="17"/>
        <v>9.9744245524296671E-2</v>
      </c>
      <c r="H22" s="406">
        <f t="shared" si="17"/>
        <v>0.10083333333333333</v>
      </c>
      <c r="I22" s="406">
        <f t="shared" si="17"/>
        <v>9.2191909689557858E-2</v>
      </c>
      <c r="J22" s="406">
        <f t="shared" si="17"/>
        <v>9.3141405588484341E-2</v>
      </c>
      <c r="K22" s="406">
        <f t="shared" si="17"/>
        <v>9.3479968578161821E-2</v>
      </c>
      <c r="L22" s="406">
        <f t="shared" si="17"/>
        <v>9.3680297397769507E-2</v>
      </c>
      <c r="M22" s="406">
        <f t="shared" si="17"/>
        <v>9.285714285714286E-2</v>
      </c>
      <c r="N22" s="406">
        <f t="shared" si="17"/>
        <v>9.6907216494845363E-2</v>
      </c>
      <c r="O22" s="406">
        <f t="shared" si="17"/>
        <v>0.10103092783505155</v>
      </c>
      <c r="P22" s="406">
        <f t="shared" si="17"/>
        <v>0.10103092783505155</v>
      </c>
      <c r="Q22" s="406">
        <f t="shared" si="17"/>
        <v>9.9999999999999992E-2</v>
      </c>
      <c r="R22" s="406">
        <f t="shared" si="17"/>
        <v>9.6907216494845363E-2</v>
      </c>
    </row>
    <row r="23" spans="2:68" s="430" customFormat="1" ht="15.75" thickBot="1">
      <c r="C23" s="406">
        <f t="shared" ref="C23:R23" si="18">C10/C6</f>
        <v>0.14084507042253522</v>
      </c>
      <c r="D23" s="406">
        <f t="shared" si="18"/>
        <v>0.11960784313725489</v>
      </c>
      <c r="E23" s="406">
        <f t="shared" si="18"/>
        <v>0.11878453038674035</v>
      </c>
      <c r="F23" s="406">
        <f t="shared" si="18"/>
        <v>0.11795774647887325</v>
      </c>
      <c r="G23" s="406">
        <f t="shared" si="18"/>
        <v>0.1184995737425405</v>
      </c>
      <c r="H23" s="406">
        <f t="shared" si="18"/>
        <v>0.11916666666666667</v>
      </c>
      <c r="I23" s="406">
        <f t="shared" si="18"/>
        <v>0.11947318908748823</v>
      </c>
      <c r="J23" s="406">
        <f t="shared" si="18"/>
        <v>0.11430990685859442</v>
      </c>
      <c r="K23" s="406">
        <f t="shared" si="18"/>
        <v>0.11154752553024351</v>
      </c>
      <c r="L23" s="406">
        <f t="shared" si="18"/>
        <v>0.1100371747211896</v>
      </c>
      <c r="M23" s="406">
        <f t="shared" si="18"/>
        <v>0.10857142857142857</v>
      </c>
      <c r="N23" s="406">
        <f t="shared" si="18"/>
        <v>0.12268041237113403</v>
      </c>
      <c r="O23" s="406">
        <f t="shared" si="18"/>
        <v>0.12371134020618557</v>
      </c>
      <c r="P23" s="406">
        <f t="shared" si="18"/>
        <v>0.12371134020618557</v>
      </c>
      <c r="Q23" s="406">
        <f t="shared" si="18"/>
        <v>0.12474226804123711</v>
      </c>
      <c r="R23" s="406">
        <f t="shared" si="18"/>
        <v>0.12474226804123711</v>
      </c>
      <c r="T23" s="430" t="s">
        <v>1075</v>
      </c>
      <c r="AM23" s="430" t="s">
        <v>1075</v>
      </c>
    </row>
    <row r="24" spans="2:68" s="430" customFormat="1">
      <c r="U24" s="430">
        <v>2011</v>
      </c>
      <c r="V24" s="691">
        <v>2015</v>
      </c>
      <c r="W24" s="705">
        <v>2020</v>
      </c>
      <c r="X24" s="705">
        <v>2025</v>
      </c>
      <c r="Y24" s="705">
        <v>2030</v>
      </c>
      <c r="Z24" s="706">
        <v>2035</v>
      </c>
      <c r="AA24" s="691">
        <v>2015</v>
      </c>
      <c r="AB24" s="705">
        <v>2020</v>
      </c>
      <c r="AC24" s="705">
        <v>2025</v>
      </c>
      <c r="AD24" s="705">
        <v>2030</v>
      </c>
      <c r="AE24" s="706">
        <v>2035</v>
      </c>
      <c r="AF24" s="691">
        <v>2015</v>
      </c>
      <c r="AG24" s="705">
        <v>2020</v>
      </c>
      <c r="AH24" s="705">
        <v>2025</v>
      </c>
      <c r="AI24" s="705">
        <v>2030</v>
      </c>
      <c r="AJ24" s="706">
        <v>2035</v>
      </c>
      <c r="AN24" s="430">
        <v>2011</v>
      </c>
      <c r="AO24" s="691">
        <v>2015</v>
      </c>
      <c r="AP24" s="705">
        <v>2020</v>
      </c>
      <c r="AQ24" s="705">
        <v>2025</v>
      </c>
      <c r="AR24" s="705">
        <v>2030</v>
      </c>
      <c r="AS24" s="706">
        <v>2035</v>
      </c>
      <c r="AT24" s="691">
        <v>2015</v>
      </c>
      <c r="AU24" s="705">
        <v>2020</v>
      </c>
      <c r="AV24" s="705">
        <v>2025</v>
      </c>
      <c r="AW24" s="705">
        <v>2030</v>
      </c>
      <c r="AX24" s="706">
        <v>2035</v>
      </c>
      <c r="AY24" s="691">
        <v>2015</v>
      </c>
      <c r="AZ24" s="705">
        <v>2020</v>
      </c>
      <c r="BA24" s="705">
        <v>2025</v>
      </c>
      <c r="BB24" s="705">
        <v>2030</v>
      </c>
      <c r="BC24" s="706">
        <v>2035</v>
      </c>
    </row>
    <row r="25" spans="2:68" s="430" customFormat="1">
      <c r="T25" s="430" t="str">
        <f>T6</f>
        <v>IEA crude oil imports</v>
      </c>
      <c r="U25" s="406">
        <f>U6*Deflator!$U$20/Deflator!$V$20</f>
        <v>104.73927357360537</v>
      </c>
      <c r="V25" s="406">
        <f>V6*Deflator!$U$20/Deflator!$V$20</f>
        <v>112.91594548827347</v>
      </c>
      <c r="W25" s="406">
        <f>W6*Deflator!$U$20/Deflator!$V$20</f>
        <v>116.32289211938516</v>
      </c>
      <c r="X25" s="406">
        <f>X6*Deflator!$U$20/Deflator!$V$20</f>
        <v>118.65908409500462</v>
      </c>
      <c r="Y25" s="406">
        <f>Y6*Deflator!$U$20/Deflator!$V$20</f>
        <v>120.31388674440171</v>
      </c>
      <c r="Z25" s="406">
        <f>Z6*Deflator!$U$20/Deflator!$V$20</f>
        <v>121.6766653968464</v>
      </c>
      <c r="AA25" s="406">
        <f>AA6*Deflator!$U$20/Deflator!$V$20</f>
        <v>115.25213746389292</v>
      </c>
      <c r="AB25" s="406">
        <f>AB6*Deflator!$U$20/Deflator!$V$20</f>
        <v>124.88892936332316</v>
      </c>
      <c r="AC25" s="406">
        <f>AC6*Deflator!$U$20/Deflator!$V$20</f>
        <v>131.99484662249898</v>
      </c>
      <c r="AD25" s="406">
        <f>AD6*Deflator!$U$20/Deflator!$V$20</f>
        <v>137.34861989996023</v>
      </c>
      <c r="AE25" s="406">
        <f>AE6*Deflator!$U$20/Deflator!$V$20</f>
        <v>141.14493186034184</v>
      </c>
      <c r="AF25" s="406">
        <f>AF6*Deflator!$U$20/Deflator!$V$20</f>
        <v>112.23455616205112</v>
      </c>
      <c r="AG25" s="406">
        <f>AG6*Deflator!$U$20/Deflator!$V$20</f>
        <v>110.28772951570159</v>
      </c>
      <c r="AH25" s="406">
        <f>AH6*Deflator!$U$20/Deflator!$V$20</f>
        <v>106.19939355836753</v>
      </c>
      <c r="AI25" s="406">
        <f>AI6*Deflator!$U$20/Deflator!$V$20</f>
        <v>101.91637493639855</v>
      </c>
      <c r="AJ25" s="406">
        <f>AJ6*Deflator!$U$20/Deflator!$V$20</f>
        <v>97.341332317477125</v>
      </c>
      <c r="AM25" s="430" t="str">
        <f>AM6</f>
        <v>IEA crude oil imports</v>
      </c>
      <c r="AN25" s="406">
        <f>AN6*Deflator!$U$20/Deflator!$V$20</f>
        <v>106.10205222605006</v>
      </c>
      <c r="AO25" s="406">
        <f>AO6*Deflator!$U$20/Deflator!$V$20</f>
        <v>107.56217221081222</v>
      </c>
      <c r="AP25" s="406">
        <f>AP6*Deflator!$U$20/Deflator!$V$20</f>
        <v>109.99570551874915</v>
      </c>
      <c r="AQ25" s="406">
        <f>AQ6*Deflator!$U$20/Deflator!$V$20</f>
        <v>112.91594548827347</v>
      </c>
      <c r="AR25" s="406">
        <f>AR6*Deflator!$U$20/Deflator!$V$20</f>
        <v>117.78301210414732</v>
      </c>
      <c r="AS25" s="406">
        <f>AS6*Deflator!$U$20/Deflator!$V$20</f>
        <v>124.59690536637072</v>
      </c>
      <c r="AT25" s="406">
        <f>AT6*Deflator!$U$20/Deflator!$V$20</f>
        <v>110.117382184146</v>
      </c>
      <c r="AU25" s="406">
        <f>AU6*Deflator!$U$20/Deflator!$V$20</f>
        <v>116.80959878097255</v>
      </c>
      <c r="AV25" s="406">
        <f>AV6*Deflator!$U$20/Deflator!$V$20</f>
        <v>123.62349204319595</v>
      </c>
      <c r="AW25" s="406">
        <f>AW6*Deflator!$U$20/Deflator!$V$20</f>
        <v>132.38421195176889</v>
      </c>
      <c r="AX25" s="406">
        <f>AX6*Deflator!$U$20/Deflator!$V$20</f>
        <v>141.14493186034184</v>
      </c>
      <c r="AY25" s="406">
        <f>AY6*Deflator!$U$20/Deflator!$V$20</f>
        <v>106.46708222224061</v>
      </c>
      <c r="AZ25" s="406">
        <f>AZ6*Deflator!$U$20/Deflator!$V$20</f>
        <v>107.07546554922483</v>
      </c>
      <c r="BA25" s="406">
        <f>BA6*Deflator!$U$20/Deflator!$V$20</f>
        <v>104.15522557970053</v>
      </c>
      <c r="BB25" s="406">
        <f>BB6*Deflator!$U$20/Deflator!$V$20</f>
        <v>101.23498561017621</v>
      </c>
      <c r="BC25" s="406">
        <f>BC6*Deflator!$U$20/Deflator!$V$20</f>
        <v>97.341332317477125</v>
      </c>
    </row>
    <row r="26" spans="2:68" s="430" customFormat="1">
      <c r="B26" s="430" t="s">
        <v>1101</v>
      </c>
    </row>
    <row r="27" spans="2:68" s="430" customFormat="1">
      <c r="C27" s="430" t="s">
        <v>1085</v>
      </c>
      <c r="D27" s="430" t="s">
        <v>1086</v>
      </c>
      <c r="E27" s="430" t="s">
        <v>1087</v>
      </c>
      <c r="F27" s="430" t="s">
        <v>1088</v>
      </c>
      <c r="T27" s="430" t="str">
        <f>T8</f>
        <v>United States Mbtu</v>
      </c>
      <c r="U27" s="406">
        <f>U8*Deflator!$U$20/Deflator!$V$20</f>
        <v>3.9909946250165618</v>
      </c>
      <c r="V27" s="406">
        <f>V8*Deflator!$U$20/Deflator!$V$20</f>
        <v>4.4777012866039474</v>
      </c>
      <c r="W27" s="406">
        <f>W8*Deflator!$U$20/Deflator!$V$20</f>
        <v>5.2564319451437651</v>
      </c>
      <c r="X27" s="406">
        <f>X8*Deflator!$U$20/Deflator!$V$20</f>
        <v>6.1325039360010587</v>
      </c>
      <c r="Y27" s="406">
        <f>Y8*Deflator!$U$20/Deflator!$V$20</f>
        <v>6.9112345945408755</v>
      </c>
      <c r="Z27" s="406">
        <f>Z8*Deflator!$U$20/Deflator!$V$20</f>
        <v>7.78730658539817</v>
      </c>
      <c r="AA27" s="406">
        <f>AA8*Deflator!$U$20/Deflator!$V$20</f>
        <v>4.4777012866039474</v>
      </c>
      <c r="AB27" s="406">
        <f>AB8*Deflator!$U$20/Deflator!$V$20</f>
        <v>5.3537732774612419</v>
      </c>
      <c r="AC27" s="406">
        <f>AC8*Deflator!$U$20/Deflator!$V$20</f>
        <v>6.2298452683185364</v>
      </c>
      <c r="AD27" s="406">
        <f>AD8*Deflator!$U$20/Deflator!$V$20</f>
        <v>7.0085759268583532</v>
      </c>
      <c r="AE27" s="406">
        <f>AE8*Deflator!$U$20/Deflator!$V$20</f>
        <v>7.78730658539817</v>
      </c>
      <c r="AF27" s="406">
        <f>AF8*Deflator!$U$20/Deflator!$V$20</f>
        <v>4.2830186219689939</v>
      </c>
      <c r="AG27" s="406">
        <f>AG8*Deflator!$U$20/Deflator!$V$20</f>
        <v>5.3537732774612419</v>
      </c>
      <c r="AH27" s="406">
        <f>AH8*Deflator!$U$20/Deflator!$V$20</f>
        <v>6.716551929905922</v>
      </c>
      <c r="AI27" s="406">
        <f>AI8*Deflator!$U$20/Deflator!$V$20</f>
        <v>7.3979412561282611</v>
      </c>
      <c r="AJ27" s="406">
        <f>AJ8*Deflator!$U$20/Deflator!$V$20</f>
        <v>7.3979412561282611</v>
      </c>
      <c r="AM27" s="430" t="str">
        <f>AM8</f>
        <v>United States Mbtu</v>
      </c>
      <c r="AN27" s="406">
        <f>AN8*Deflator!$U$20/Deflator!$V$20</f>
        <v>2.6282159725718826</v>
      </c>
      <c r="AO27" s="406">
        <f>AO8*Deflator!$U$20/Deflator!$V$20</f>
        <v>3.5042879634291761</v>
      </c>
      <c r="AP27" s="406">
        <f>AP8*Deflator!$U$20/Deflator!$V$20</f>
        <v>4.964407948191333</v>
      </c>
      <c r="AQ27" s="406">
        <f>AQ8*Deflator!$U$20/Deflator!$V$20</f>
        <v>5.4511146097787186</v>
      </c>
      <c r="AR27" s="406">
        <f>AR8*Deflator!$U$20/Deflator!$V$20</f>
        <v>5.8404799390486275</v>
      </c>
      <c r="AS27" s="406">
        <f>AS8*Deflator!$U$20/Deflator!$V$20</f>
        <v>6.6192105975884443</v>
      </c>
      <c r="AT27" s="406">
        <f>AT8*Deflator!$U$20/Deflator!$V$20</f>
        <v>3.5407909630482304</v>
      </c>
      <c r="AU27" s="406">
        <f>AU8*Deflator!$U$20/Deflator!$V$20</f>
        <v>5.0617492805088107</v>
      </c>
      <c r="AV27" s="406">
        <f>AV8*Deflator!$U$20/Deflator!$V$20</f>
        <v>5.6457972744136731</v>
      </c>
      <c r="AW27" s="406">
        <f>AW8*Deflator!$U$20/Deflator!$V$20</f>
        <v>6.0351626036835819</v>
      </c>
      <c r="AX27" s="406">
        <f>AX8*Deflator!$U$20/Deflator!$V$20</f>
        <v>6.716551929905922</v>
      </c>
      <c r="AY27" s="406">
        <f>AY8*Deflator!$U$20/Deflator!$V$20</f>
        <v>3.3947789645720143</v>
      </c>
      <c r="AZ27" s="406">
        <f>AZ8*Deflator!$U$20/Deflator!$V$20</f>
        <v>4.6723839512389018</v>
      </c>
      <c r="BA27" s="406">
        <f>BA8*Deflator!$U$20/Deflator!$V$20</f>
        <v>5.2564319451437651</v>
      </c>
      <c r="BB27" s="406">
        <f>BB8*Deflator!$U$20/Deflator!$V$20</f>
        <v>5.5484559420961963</v>
      </c>
      <c r="BC27" s="406">
        <f>BC8*Deflator!$U$20/Deflator!$V$20</f>
        <v>5.7431386067311507</v>
      </c>
    </row>
    <row r="28" spans="2:68" s="430" customFormat="1">
      <c r="B28" s="430" t="s">
        <v>1074</v>
      </c>
      <c r="C28" s="430">
        <v>2035</v>
      </c>
      <c r="T28" s="430" t="str">
        <f>T9</f>
        <v>Europe Mbtu</v>
      </c>
      <c r="U28" s="406">
        <f>U9*Deflator!$U$20/Deflator!$V$20</f>
        <v>9.3447679024778036</v>
      </c>
      <c r="V28" s="406">
        <f>V9*Deflator!$U$20/Deflator!$V$20</f>
        <v>10.707546554922484</v>
      </c>
      <c r="W28" s="406">
        <f>W9*Deflator!$U$20/Deflator!$V$20</f>
        <v>11.194253216509869</v>
      </c>
      <c r="X28" s="406">
        <f>X9*Deflator!$U$20/Deflator!$V$20</f>
        <v>11.583618545779778</v>
      </c>
      <c r="Y28" s="406">
        <f>Y9*Deflator!$U$20/Deflator!$V$20</f>
        <v>11.875642542732209</v>
      </c>
      <c r="Z28" s="406">
        <f>Z9*Deflator!$U$20/Deflator!$V$20</f>
        <v>12.167666539684641</v>
      </c>
      <c r="AA28" s="406">
        <f>AA9*Deflator!$U$20/Deflator!$V$20</f>
        <v>10.804887887239961</v>
      </c>
      <c r="AB28" s="406">
        <f>AB9*Deflator!$U$20/Deflator!$V$20</f>
        <v>11.778301210414732</v>
      </c>
      <c r="AC28" s="406">
        <f>AC9*Deflator!$U$20/Deflator!$V$20</f>
        <v>12.557031868954549</v>
      </c>
      <c r="AD28" s="406">
        <f>AD9*Deflator!$U$20/Deflator!$V$20</f>
        <v>13.043738530541935</v>
      </c>
      <c r="AE28" s="406">
        <f>AE9*Deflator!$U$20/Deflator!$V$20</f>
        <v>13.335762527494365</v>
      </c>
      <c r="AF28" s="406">
        <f>AF9*Deflator!$U$20/Deflator!$V$20</f>
        <v>10.610205222605007</v>
      </c>
      <c r="AG28" s="406">
        <f>AG9*Deflator!$U$20/Deflator!$V$20</f>
        <v>10.51286389028753</v>
      </c>
      <c r="AH28" s="406">
        <f>AH9*Deflator!$U$20/Deflator!$V$20</f>
        <v>10.123498561017621</v>
      </c>
      <c r="AI28" s="406">
        <f>AI9*Deflator!$U$20/Deflator!$V$20</f>
        <v>9.7341332317477125</v>
      </c>
      <c r="AJ28" s="406">
        <f>AJ9*Deflator!$U$20/Deflator!$V$20</f>
        <v>9.3447679024778036</v>
      </c>
      <c r="AM28" s="430" t="str">
        <f>AM9</f>
        <v>Europe Mbtu</v>
      </c>
      <c r="AN28" s="406">
        <f>AN9*Deflator!$U$20/Deflator!$V$20</f>
        <v>11.388935881144823</v>
      </c>
      <c r="AO28" s="406">
        <f>AO9*Deflator!$U$20/Deflator!$V$20</f>
        <v>11.461941880382932</v>
      </c>
      <c r="AP28" s="406">
        <f>AP9*Deflator!$U$20/Deflator!$V$20</f>
        <v>11.583618545779778</v>
      </c>
      <c r="AQ28" s="406">
        <f>AQ9*Deflator!$U$20/Deflator!$V$20</f>
        <v>11.680959878097255</v>
      </c>
      <c r="AR28" s="406">
        <f>AR9*Deflator!$U$20/Deflator!$V$20</f>
        <v>11.972983875049687</v>
      </c>
      <c r="AS28" s="406">
        <f>AS9*Deflator!$U$20/Deflator!$V$20</f>
        <v>12.362349204319594</v>
      </c>
      <c r="AT28" s="406">
        <f>AT9*Deflator!$U$20/Deflator!$V$20</f>
        <v>11.644456878478202</v>
      </c>
      <c r="AU28" s="406">
        <f>AU9*Deflator!$U$20/Deflator!$V$20</f>
        <v>12.070325207367164</v>
      </c>
      <c r="AV28" s="406">
        <f>AV9*Deflator!$U$20/Deflator!$V$20</f>
        <v>12.557031868954549</v>
      </c>
      <c r="AW28" s="406">
        <f>AW9*Deflator!$U$20/Deflator!$V$20</f>
        <v>13.043738530541935</v>
      </c>
      <c r="AX28" s="406">
        <f>AX9*Deflator!$U$20/Deflator!$V$20</f>
        <v>13.627786524446798</v>
      </c>
      <c r="AY28" s="406">
        <f>AY9*Deflator!$U$20/Deflator!$V$20</f>
        <v>11.315929881906715</v>
      </c>
      <c r="AZ28" s="406">
        <f>AZ9*Deflator!$U$20/Deflator!$V$20</f>
        <v>11.194253216509869</v>
      </c>
      <c r="BA28" s="406">
        <f>BA9*Deflator!$U$20/Deflator!$V$20</f>
        <v>10.707546554922484</v>
      </c>
      <c r="BB28" s="406">
        <f>BB9*Deflator!$U$20/Deflator!$V$20</f>
        <v>9.928815896382666</v>
      </c>
      <c r="BC28" s="406">
        <f>BC9*Deflator!$U$20/Deflator!$V$20</f>
        <v>9.2474265701603269</v>
      </c>
    </row>
    <row r="29" spans="2:68" s="430" customFormat="1">
      <c r="T29" s="430" t="str">
        <f>T10</f>
        <v>Japan Mbtu</v>
      </c>
      <c r="U29" s="406">
        <f>U10*Deflator!$U$20/Deflator!$V$20</f>
        <v>14.406517182986615</v>
      </c>
      <c r="V29" s="406">
        <f>V10*Deflator!$U$20/Deflator!$V$20</f>
        <v>14.601199847621569</v>
      </c>
      <c r="W29" s="406">
        <f>W10*Deflator!$U$20/Deflator!$V$20</f>
        <v>13.91981052139923</v>
      </c>
      <c r="X29" s="406">
        <f>X10*Deflator!$U$20/Deflator!$V$20</f>
        <v>14.114493186034183</v>
      </c>
      <c r="Y29" s="406">
        <f>Y10*Deflator!$U$20/Deflator!$V$20</f>
        <v>14.309175850669137</v>
      </c>
      <c r="Z29" s="406">
        <f>Z10*Deflator!$U$20/Deflator!$V$20</f>
        <v>14.406517182986615</v>
      </c>
      <c r="AA29" s="406">
        <f>AA10*Deflator!$U$20/Deflator!$V$20</f>
        <v>14.893223844574001</v>
      </c>
      <c r="AB29" s="406">
        <f>AB10*Deflator!$U$20/Deflator!$V$20</f>
        <v>14.309175850669137</v>
      </c>
      <c r="AC29" s="406">
        <f>AC10*Deflator!$U$20/Deflator!$V$20</f>
        <v>14.795882512256522</v>
      </c>
      <c r="AD29" s="406">
        <f>AD10*Deflator!$U$20/Deflator!$V$20</f>
        <v>15.185247841526431</v>
      </c>
      <c r="AE29" s="406">
        <f>AE10*Deflator!$U$20/Deflator!$V$20</f>
        <v>15.57461317079634</v>
      </c>
      <c r="AF29" s="406">
        <f>AF10*Deflator!$U$20/Deflator!$V$20</f>
        <v>14.503858515304092</v>
      </c>
      <c r="AG29" s="406">
        <f>AG10*Deflator!$U$20/Deflator!$V$20</f>
        <v>13.141079862859412</v>
      </c>
      <c r="AH29" s="406">
        <f>AH10*Deflator!$U$20/Deflator!$V$20</f>
        <v>12.557031868954549</v>
      </c>
      <c r="AI29" s="406">
        <f>AI10*Deflator!$U$20/Deflator!$V$20</f>
        <v>12.167666539684641</v>
      </c>
      <c r="AJ29" s="406">
        <f>AJ10*Deflator!$U$20/Deflator!$V$20</f>
        <v>11.875642542732209</v>
      </c>
      <c r="AM29" s="430" t="str">
        <f>AM10</f>
        <v>Japan Mbtu</v>
      </c>
      <c r="AN29" s="406">
        <f>AN10*Deflator!$U$20/Deflator!$V$20</f>
        <v>16.450685161653631</v>
      </c>
      <c r="AO29" s="406">
        <f>AO10*Deflator!$U$20/Deflator!$V$20</f>
        <v>15.465104171939178</v>
      </c>
      <c r="AP29" s="406">
        <f>AP10*Deflator!$U$20/Deflator!$V$20</f>
        <v>13.822469189081751</v>
      </c>
      <c r="AQ29" s="406">
        <f>AQ10*Deflator!$U$20/Deflator!$V$20</f>
        <v>13.822469189081751</v>
      </c>
      <c r="AR29" s="406">
        <f>AR10*Deflator!$U$20/Deflator!$V$20</f>
        <v>14.017151853716706</v>
      </c>
      <c r="AS29" s="406">
        <f>AS10*Deflator!$U$20/Deflator!$V$20</f>
        <v>14.503858515304092</v>
      </c>
      <c r="AT29" s="406">
        <f>AT10*Deflator!$U$20/Deflator!$V$20</f>
        <v>15.647619170034448</v>
      </c>
      <c r="AU29" s="406">
        <f>AU10*Deflator!$U$20/Deflator!$V$20</f>
        <v>14.309175850669137</v>
      </c>
      <c r="AV29" s="406">
        <f>AV10*Deflator!$U$20/Deflator!$V$20</f>
        <v>14.795882512256522</v>
      </c>
      <c r="AW29" s="406">
        <f>AW10*Deflator!$U$20/Deflator!$V$20</f>
        <v>15.477271838478863</v>
      </c>
      <c r="AX29" s="406">
        <f>AX10*Deflator!$U$20/Deflator!$V$20</f>
        <v>16.256002497018677</v>
      </c>
      <c r="AY29" s="406">
        <f>AY10*Deflator!$U$20/Deflator!$V$20</f>
        <v>15.173080174986747</v>
      </c>
      <c r="AZ29" s="406">
        <f>AZ10*Deflator!$U$20/Deflator!$V$20</f>
        <v>13.043738530541935</v>
      </c>
      <c r="BA29" s="406">
        <f>BA10*Deflator!$U$20/Deflator!$V$20</f>
        <v>12.459690536637073</v>
      </c>
      <c r="BB29" s="406">
        <f>BB10*Deflator!$U$20/Deflator!$V$20</f>
        <v>11.875642542732209</v>
      </c>
      <c r="BC29" s="406">
        <f>BC10*Deflator!$U$20/Deflator!$V$20</f>
        <v>11.388935881144823</v>
      </c>
    </row>
    <row r="30" spans="2:68" s="430" customFormat="1">
      <c r="B30" s="430" t="s">
        <v>1076</v>
      </c>
      <c r="C30" s="430">
        <v>125</v>
      </c>
      <c r="T30" s="430" t="str">
        <f>T11</f>
        <v>OECD steam coal imports</v>
      </c>
      <c r="U30" s="406">
        <f>U11*Deflator!$U$20/Deflator!$V$20</f>
        <v>120.11920407976677</v>
      </c>
      <c r="V30" s="406">
        <f>V11*Deflator!$U$20/Deflator!$V$20</f>
        <v>105.61534556446269</v>
      </c>
      <c r="W30" s="406">
        <f>W11*Deflator!$U$20/Deflator!$V$20</f>
        <v>109.02229219557438</v>
      </c>
      <c r="X30" s="406">
        <f>X11*Deflator!$U$20/Deflator!$V$20</f>
        <v>109.99570551874915</v>
      </c>
      <c r="Y30" s="406">
        <f>Y11*Deflator!$U$20/Deflator!$V$20</f>
        <v>110.96911884192392</v>
      </c>
      <c r="Z30" s="406">
        <f>Z11*Deflator!$U$20/Deflator!$V$20</f>
        <v>111.9425321650987</v>
      </c>
      <c r="AA30" s="406">
        <f>AA11*Deflator!$U$20/Deflator!$V$20</f>
        <v>107.07546554922483</v>
      </c>
      <c r="AB30" s="406">
        <f>AB11*Deflator!$U$20/Deflator!$V$20</f>
        <v>111.9425321650987</v>
      </c>
      <c r="AC30" s="406">
        <f>AC11*Deflator!$U$20/Deflator!$V$20</f>
        <v>116.03086812243274</v>
      </c>
      <c r="AD30" s="406">
        <f>AD11*Deflator!$U$20/Deflator!$V$20</f>
        <v>119.24313208890948</v>
      </c>
      <c r="AE30" s="406">
        <f>AE11*Deflator!$U$20/Deflator!$V$20</f>
        <v>121.6766653968464</v>
      </c>
      <c r="AF30" s="406">
        <f>AF11*Deflator!$U$20/Deflator!$V$20</f>
        <v>102.50042293030342</v>
      </c>
      <c r="AG30" s="406">
        <f>AG11*Deflator!$U$20/Deflator!$V$20</f>
        <v>94.907799009540199</v>
      </c>
      <c r="AH30" s="406">
        <f>AH11*Deflator!$U$20/Deflator!$V$20</f>
        <v>86.633785762554638</v>
      </c>
      <c r="AI30" s="406">
        <f>AI11*Deflator!$U$20/Deflator!$V$20</f>
        <v>75.92623920763215</v>
      </c>
      <c r="AJ30" s="406">
        <f>AJ11*Deflator!$U$20/Deflator!$V$20</f>
        <v>68.13893262223398</v>
      </c>
      <c r="AM30" s="430" t="str">
        <f>AM11</f>
        <v>OECD steam coal imports</v>
      </c>
      <c r="AN30" s="406">
        <f>AN11*Deflator!$U$20/Deflator!$V$20</f>
        <v>96.367918994302357</v>
      </c>
      <c r="AO30" s="406">
        <f>AO11*Deflator!$U$20/Deflator!$V$20</f>
        <v>98.923128967636131</v>
      </c>
      <c r="AP30" s="406">
        <f>AP11*Deflator!$U$20/Deflator!$V$20</f>
        <v>103.18181225652575</v>
      </c>
      <c r="AQ30" s="406">
        <f>AQ11*Deflator!$U$20/Deflator!$V$20</f>
        <v>106.10205222605006</v>
      </c>
      <c r="AR30" s="406">
        <f>AR11*Deflator!$U$20/Deflator!$V$20</f>
        <v>107.07546554922483</v>
      </c>
      <c r="AS30" s="406">
        <f>AS11*Deflator!$U$20/Deflator!$V$20</f>
        <v>107.07546554922483</v>
      </c>
      <c r="AT30" s="406">
        <f>AT11*Deflator!$U$20/Deflator!$V$20</f>
        <v>101.11330894477936</v>
      </c>
      <c r="AU30" s="406">
        <f>AU11*Deflator!$U$20/Deflator!$V$20</f>
        <v>109.02229219557438</v>
      </c>
      <c r="AV30" s="406">
        <f>AV11*Deflator!$U$20/Deflator!$V$20</f>
        <v>112.91594548827347</v>
      </c>
      <c r="AW30" s="406">
        <f>AW11*Deflator!$U$20/Deflator!$V$20</f>
        <v>114.862772134623</v>
      </c>
      <c r="AX30" s="406">
        <f>AX11*Deflator!$U$20/Deflator!$V$20</f>
        <v>116.80959878097255</v>
      </c>
      <c r="AY30" s="406">
        <f>AY11*Deflator!$U$20/Deflator!$V$20</f>
        <v>97.09797898668343</v>
      </c>
      <c r="AZ30" s="406">
        <f>AZ11*Deflator!$U$20/Deflator!$V$20</f>
        <v>98.314745640651893</v>
      </c>
      <c r="BA30" s="406">
        <f>BA11*Deflator!$U$20/Deflator!$V$20</f>
        <v>92.474265701603272</v>
      </c>
      <c r="BB30" s="406">
        <f>BB11*Deflator!$U$20/Deflator!$V$20</f>
        <v>83.71354579303032</v>
      </c>
      <c r="BC30" s="406">
        <f>BC11*Deflator!$U$20/Deflator!$V$20</f>
        <v>73.005999238107847</v>
      </c>
    </row>
    <row r="31" spans="2:68" s="430" customFormat="1">
      <c r="B31" s="430" t="s">
        <v>1077</v>
      </c>
      <c r="C31" s="430">
        <v>145</v>
      </c>
      <c r="D31" s="430">
        <v>8</v>
      </c>
      <c r="E31" s="430">
        <v>14.8</v>
      </c>
      <c r="F31" s="430">
        <v>12.5</v>
      </c>
    </row>
    <row r="32" spans="2:68" s="430" customFormat="1">
      <c r="B32" s="573">
        <v>450</v>
      </c>
      <c r="C32" s="430">
        <v>100</v>
      </c>
    </row>
    <row r="33" spans="2:55" s="430" customFormat="1">
      <c r="D33" s="430">
        <f>D31/$C$31</f>
        <v>5.5172413793103448E-2</v>
      </c>
      <c r="E33" s="430">
        <f>E31/$C$31</f>
        <v>0.10206896551724139</v>
      </c>
      <c r="F33" s="430">
        <f>F31/$C$31</f>
        <v>8.6206896551724144E-2</v>
      </c>
    </row>
    <row r="34" spans="2:55" s="430" customFormat="1">
      <c r="V34" s="714">
        <f>(V25/U25)^(1/(V24-U24))-1</f>
        <v>1.8970074044000862E-2</v>
      </c>
      <c r="W34" s="714">
        <f>(W25/V25)^(1/(W24-V24))-1</f>
        <v>5.962944044239471E-3</v>
      </c>
      <c r="X34" s="714">
        <f>(X25/W25)^(1/(X24-W24))-1</f>
        <v>3.9848515148914743E-3</v>
      </c>
      <c r="Y34" s="714">
        <f>(Y25/X25)^(1/(Y24-X24))-1</f>
        <v>2.773741429406007E-3</v>
      </c>
      <c r="Z34" s="714">
        <f>(Z25/Y25)^(1/(Z24-Y24))-1</f>
        <v>2.2551775519457085E-3</v>
      </c>
      <c r="AA34" s="714">
        <f>(AA25/U25)^(1/(AA24-U24))-1</f>
        <v>2.4200203441211432E-2</v>
      </c>
      <c r="AB34" s="714">
        <f>(AB25/AA25)^(1/(AB24-AA24))-1</f>
        <v>1.6190173044798639E-2</v>
      </c>
      <c r="AC34" s="714">
        <f>(AC25/AB25)^(1/(AC24-AB24))-1</f>
        <v>1.1129093467930451E-2</v>
      </c>
      <c r="AD34" s="714">
        <f>(AD25/AC25)^(1/(AD24-AC24))-1</f>
        <v>7.9835969709516341E-3</v>
      </c>
      <c r="AE34" s="714">
        <f>(AE25/AD25)^(1/(AE24-AD24))-1</f>
        <v>5.4678712507574279E-3</v>
      </c>
      <c r="AF34" s="714">
        <f>(AF25/U25)^(1/(AF24-U24))-1</f>
        <v>1.7429343745218651E-2</v>
      </c>
      <c r="AG34" s="714">
        <f>(AG25/AF25)^(1/(AG24-AF24))-1</f>
        <v>-3.4935352041365331E-3</v>
      </c>
      <c r="AH34" s="714">
        <f>(AH25/AG25)^(1/(AH24-AG24))-1</f>
        <v>-7.5263888527359324E-3</v>
      </c>
      <c r="AI34" s="714">
        <f>(AI25/AH25)^(1/(AI24-AH24))-1</f>
        <v>-8.1993553946574371E-3</v>
      </c>
      <c r="AJ34" s="714">
        <f>(AJ25/AI25)^(1/(AJ24-AI24))-1</f>
        <v>-9.1437259266209381E-3</v>
      </c>
      <c r="AO34" s="714">
        <f>(AO25/AN25)^(1/(AO24-AN24))-1</f>
        <v>3.4227539726290335E-3</v>
      </c>
      <c r="AP34" s="714">
        <f>(AP25/AO25)^(1/(AP24-AO24))-1</f>
        <v>4.4844848921270497E-3</v>
      </c>
      <c r="AQ34" s="714">
        <f>(AQ25/AP25)^(1/(AQ24-AP24))-1</f>
        <v>5.2542297827959938E-3</v>
      </c>
      <c r="AR34" s="714">
        <f>(AR25/AQ25)^(1/(AR24-AQ24))-1</f>
        <v>8.4757887127040465E-3</v>
      </c>
      <c r="AS34" s="714">
        <f>(AS25/AR25)^(1/(AS24-AR24))-1</f>
        <v>1.1311439625934394E-2</v>
      </c>
      <c r="AT34" s="714">
        <f>(AT25/AN25)^(1/(AT24-AN24))-1</f>
        <v>9.3296321558093975E-3</v>
      </c>
      <c r="AU34" s="714">
        <f>(AU25/AT25)^(1/(AU24-AT24))-1</f>
        <v>1.1869558861851592E-2</v>
      </c>
      <c r="AV34" s="714">
        <f>(AV25/AU25)^(1/(AV24-AU24))-1</f>
        <v>1.1403599651385044E-2</v>
      </c>
      <c r="AW34" s="714">
        <f>(AW25/AV25)^(1/(AW24-AV24))-1</f>
        <v>1.3787746070069717E-2</v>
      </c>
      <c r="AX34" s="714">
        <f>(AX25/AW25)^(1/(AX24-AW24))-1</f>
        <v>1.2898245280189125E-2</v>
      </c>
      <c r="AY34" s="714">
        <f>(AY25/AN25)^(1/(AY24-AN24))-1</f>
        <v>8.5898432806441605E-4</v>
      </c>
      <c r="AZ34" s="714">
        <f>(AZ25/AY25)^(1/(AZ24-AY24))-1</f>
        <v>1.140253818557202E-3</v>
      </c>
      <c r="BA34" s="714">
        <f>(BA25/AZ25)^(1/(BA24-AZ24))-1</f>
        <v>-5.5150422735510407E-3</v>
      </c>
      <c r="BB34" s="714">
        <f>(BB25/BA25)^(1/(BB24-BA24))-1</f>
        <v>-5.6714433615395743E-3</v>
      </c>
      <c r="BC34" s="714">
        <f>(BC25/BB25)^(1/(BC24-BB24))-1</f>
        <v>-7.8134576287804958E-3</v>
      </c>
    </row>
    <row r="35" spans="2:55" s="430" customFormat="1">
      <c r="B35" s="430" t="s">
        <v>1077</v>
      </c>
      <c r="D35" s="430">
        <v>2011</v>
      </c>
      <c r="E35" s="430">
        <v>2015</v>
      </c>
      <c r="F35" s="430">
        <v>2020</v>
      </c>
      <c r="G35" s="430">
        <v>2025</v>
      </c>
      <c r="H35" s="430">
        <v>2030</v>
      </c>
      <c r="I35" s="430">
        <v>2035</v>
      </c>
      <c r="V35" s="713">
        <f>AVERAGE(V34:Z34)</f>
        <v>6.7893577168967045E-3</v>
      </c>
      <c r="W35" s="713"/>
      <c r="X35" s="713"/>
      <c r="Y35" s="713"/>
      <c r="Z35" s="713"/>
      <c r="AA35" s="713">
        <f>AVERAGE(AA34:AE34)</f>
        <v>1.2994187635129916E-2</v>
      </c>
      <c r="AB35" s="713"/>
      <c r="AC35" s="713"/>
      <c r="AD35" s="713"/>
      <c r="AE35" s="713"/>
      <c r="AF35" s="713">
        <f>AVERAGE(AF34:AJ34)</f>
        <v>-2.1867323265864378E-3</v>
      </c>
      <c r="AG35" s="713"/>
      <c r="AH35" s="713"/>
      <c r="AI35" s="713"/>
      <c r="AJ35" s="713"/>
      <c r="AO35" s="713">
        <f>AVERAGE(AO34:AS34)</f>
        <v>6.5897393972381034E-3</v>
      </c>
      <c r="AP35" s="713"/>
      <c r="AQ35" s="713"/>
      <c r="AR35" s="713"/>
      <c r="AS35" s="713"/>
      <c r="AT35" s="713">
        <f>AVERAGE(AT34:AX34)</f>
        <v>1.1857756403860975E-2</v>
      </c>
      <c r="AU35" s="713"/>
      <c r="AV35" s="713"/>
      <c r="AW35" s="713"/>
      <c r="AX35" s="713"/>
      <c r="AY35" s="713">
        <f>AVERAGE(AY34:BC34)</f>
        <v>-3.4001410234498985E-3</v>
      </c>
      <c r="AZ35" s="713"/>
      <c r="BA35" s="713"/>
      <c r="BB35" s="713"/>
      <c r="BC35" s="713"/>
    </row>
    <row r="36" spans="2:55" s="430" customFormat="1">
      <c r="B36" s="430" t="s">
        <v>1102</v>
      </c>
      <c r="C36" s="430" t="s">
        <v>760</v>
      </c>
      <c r="D36" s="430">
        <v>107.6</v>
      </c>
      <c r="E36" s="430">
        <v>118.4</v>
      </c>
      <c r="F36" s="430">
        <v>128.30000000000001</v>
      </c>
      <c r="G36" s="430">
        <v>135.69999999999999</v>
      </c>
      <c r="H36" s="430">
        <v>141.1</v>
      </c>
      <c r="I36" s="430">
        <v>145</v>
      </c>
      <c r="V36" s="713"/>
      <c r="W36" s="713"/>
      <c r="X36" s="713"/>
      <c r="Y36" s="713"/>
      <c r="Z36" s="713"/>
      <c r="AA36" s="713">
        <f>AA35-V35</f>
        <v>6.2048299182332119E-3</v>
      </c>
      <c r="AB36" s="713"/>
      <c r="AC36" s="713"/>
      <c r="AD36" s="713"/>
      <c r="AE36" s="713"/>
      <c r="AF36" s="713">
        <f>V35-AF35</f>
        <v>8.9760900434831432E-3</v>
      </c>
      <c r="AG36" s="713"/>
      <c r="AH36" s="713"/>
      <c r="AI36" s="713"/>
      <c r="AJ36" s="713"/>
      <c r="AO36" s="713"/>
      <c r="AP36" s="713"/>
      <c r="AQ36" s="713"/>
      <c r="AR36" s="713"/>
      <c r="AS36" s="713"/>
      <c r="AT36" s="713">
        <f>AT35-AO35</f>
        <v>5.2680170066228714E-3</v>
      </c>
      <c r="AU36" s="713"/>
      <c r="AV36" s="713"/>
      <c r="AW36" s="713"/>
      <c r="AX36" s="713"/>
      <c r="AY36" s="713">
        <f>AO35-AY35</f>
        <v>9.9898804206880014E-3</v>
      </c>
      <c r="AZ36" s="713"/>
      <c r="BA36" s="713"/>
      <c r="BB36" s="713"/>
      <c r="BC36" s="713"/>
    </row>
    <row r="37" spans="2:55" s="430" customFormat="1">
      <c r="B37" s="430" t="s">
        <v>1103</v>
      </c>
      <c r="C37" s="430" t="s">
        <v>1104</v>
      </c>
      <c r="D37" s="430">
        <v>14.8</v>
      </c>
      <c r="E37" s="430">
        <v>15.3</v>
      </c>
      <c r="F37" s="430">
        <v>14.7</v>
      </c>
      <c r="G37" s="430">
        <v>15.2</v>
      </c>
      <c r="H37" s="430">
        <v>15.6</v>
      </c>
      <c r="I37" s="430">
        <v>16</v>
      </c>
      <c r="V37" s="712">
        <f t="shared" ref="V37:Z40" si="19">V27/U27-1</f>
        <v>0.12195121951219523</v>
      </c>
      <c r="W37" s="712">
        <f t="shared" si="19"/>
        <v>0.17391304347826098</v>
      </c>
      <c r="X37" s="712">
        <f t="shared" si="19"/>
        <v>0.16666666666666652</v>
      </c>
      <c r="Y37" s="712">
        <f t="shared" si="19"/>
        <v>0.12698412698412698</v>
      </c>
      <c r="Z37" s="712">
        <f t="shared" si="19"/>
        <v>0.12676056338028174</v>
      </c>
      <c r="AA37" s="712">
        <f>AA27/U27-1</f>
        <v>0.12195121951219523</v>
      </c>
      <c r="AB37" s="712">
        <f t="shared" ref="AB37:AE40" si="20">AB27/AA27-1</f>
        <v>0.19565217391304368</v>
      </c>
      <c r="AC37" s="712">
        <f t="shared" si="20"/>
        <v>0.1636363636363638</v>
      </c>
      <c r="AD37" s="712">
        <f t="shared" si="20"/>
        <v>0.125</v>
      </c>
      <c r="AE37" s="712">
        <f t="shared" si="20"/>
        <v>0.11111111111111116</v>
      </c>
      <c r="AF37" s="712">
        <f>AF27/U27-1</f>
        <v>7.317073170731736E-2</v>
      </c>
      <c r="AG37" s="712">
        <f t="shared" ref="AG37:AJ40" si="21">AG27/AF27-1</f>
        <v>0.25</v>
      </c>
      <c r="AH37" s="712">
        <f t="shared" si="21"/>
        <v>0.25454545454545463</v>
      </c>
      <c r="AI37" s="712">
        <f t="shared" si="21"/>
        <v>0.10144927536231862</v>
      </c>
      <c r="AJ37" s="712">
        <f t="shared" si="21"/>
        <v>0</v>
      </c>
      <c r="AO37" s="712">
        <f t="shared" ref="AO37:AS40" si="22">AO27/AN27-1</f>
        <v>0.33333333333333304</v>
      </c>
      <c r="AP37" s="712">
        <f t="shared" si="22"/>
        <v>0.41666666666666674</v>
      </c>
      <c r="AQ37" s="712">
        <f t="shared" si="22"/>
        <v>9.8039215686274606E-2</v>
      </c>
      <c r="AR37" s="712">
        <f t="shared" si="22"/>
        <v>7.1428571428571397E-2</v>
      </c>
      <c r="AS37" s="712">
        <f t="shared" si="22"/>
        <v>0.1333333333333333</v>
      </c>
      <c r="AT37" s="712">
        <f>AT27/AN27-1</f>
        <v>0.3472222222222221</v>
      </c>
      <c r="AU37" s="712">
        <f t="shared" ref="AU37:AX40" si="23">AU27/AT27-1</f>
        <v>0.42955326460481102</v>
      </c>
      <c r="AV37" s="712">
        <f t="shared" si="23"/>
        <v>0.11538461538461542</v>
      </c>
      <c r="AW37" s="712">
        <f t="shared" si="23"/>
        <v>6.8965517241379448E-2</v>
      </c>
      <c r="AX37" s="712">
        <f t="shared" si="23"/>
        <v>0.11290322580645173</v>
      </c>
      <c r="AY37" s="712">
        <f>AY27/AN27-1</f>
        <v>0.29166666666666652</v>
      </c>
      <c r="AZ37" s="712">
        <f t="shared" ref="AZ37:BC40" si="24">AZ27/AY27-1</f>
        <v>0.37634408602150549</v>
      </c>
      <c r="BA37" s="712">
        <f t="shared" si="24"/>
        <v>0.12500000000000022</v>
      </c>
      <c r="BB37" s="712">
        <f t="shared" si="24"/>
        <v>5.555555555555558E-2</v>
      </c>
      <c r="BC37" s="712">
        <f t="shared" si="24"/>
        <v>3.5087719298245723E-2</v>
      </c>
    </row>
    <row r="38" spans="2:55" s="430" customFormat="1">
      <c r="V38" s="712">
        <f t="shared" si="19"/>
        <v>0.14583333333333348</v>
      </c>
      <c r="W38" s="712">
        <f t="shared" si="19"/>
        <v>4.5454545454545414E-2</v>
      </c>
      <c r="X38" s="712">
        <f t="shared" si="19"/>
        <v>3.4782608695652195E-2</v>
      </c>
      <c r="Y38" s="712">
        <f t="shared" si="19"/>
        <v>2.5210084033613356E-2</v>
      </c>
      <c r="Z38" s="712">
        <f t="shared" si="19"/>
        <v>2.4590163934426368E-2</v>
      </c>
      <c r="AA38" s="712">
        <f>AA28/U28-1</f>
        <v>0.15625</v>
      </c>
      <c r="AB38" s="712">
        <f t="shared" si="20"/>
        <v>9.0090090090090058E-2</v>
      </c>
      <c r="AC38" s="712">
        <f t="shared" si="20"/>
        <v>6.6115702479338845E-2</v>
      </c>
      <c r="AD38" s="712">
        <f t="shared" si="20"/>
        <v>3.8759689922480689E-2</v>
      </c>
      <c r="AE38" s="712">
        <f t="shared" si="20"/>
        <v>2.2388059701492491E-2</v>
      </c>
      <c r="AF38" s="712">
        <f>AF28/U28-1</f>
        <v>0.13541666666666674</v>
      </c>
      <c r="AG38" s="712">
        <f t="shared" si="21"/>
        <v>-9.1743119266054496E-3</v>
      </c>
      <c r="AH38" s="712">
        <f t="shared" si="21"/>
        <v>-3.703703703703709E-2</v>
      </c>
      <c r="AI38" s="712">
        <f t="shared" si="21"/>
        <v>-3.8461538461538547E-2</v>
      </c>
      <c r="AJ38" s="712">
        <f t="shared" si="21"/>
        <v>-4.0000000000000036E-2</v>
      </c>
      <c r="AO38" s="712">
        <f t="shared" si="22"/>
        <v>6.4102564102566095E-3</v>
      </c>
      <c r="AP38" s="712">
        <f t="shared" si="22"/>
        <v>1.0615711252653925E-2</v>
      </c>
      <c r="AQ38" s="712">
        <f t="shared" si="22"/>
        <v>8.4033613445377853E-3</v>
      </c>
      <c r="AR38" s="712">
        <f t="shared" si="22"/>
        <v>2.5000000000000133E-2</v>
      </c>
      <c r="AS38" s="712">
        <f t="shared" si="22"/>
        <v>3.2520325203251987E-2</v>
      </c>
      <c r="AT38" s="712">
        <f>AT28/AN28-1</f>
        <v>2.2435897435897578E-2</v>
      </c>
      <c r="AU38" s="712">
        <f t="shared" si="23"/>
        <v>3.6572622779519337E-2</v>
      </c>
      <c r="AV38" s="712">
        <f t="shared" si="23"/>
        <v>4.0322580645161255E-2</v>
      </c>
      <c r="AW38" s="712">
        <f t="shared" si="23"/>
        <v>3.8759689922480689E-2</v>
      </c>
      <c r="AX38" s="712">
        <f t="shared" si="23"/>
        <v>4.4776119402984982E-2</v>
      </c>
      <c r="AY38" s="712">
        <f>AY28/AN28-1</f>
        <v>-6.4102564102563875E-3</v>
      </c>
      <c r="AZ38" s="712">
        <f t="shared" si="24"/>
        <v>-1.0752688172043001E-2</v>
      </c>
      <c r="BA38" s="712">
        <f t="shared" si="24"/>
        <v>-4.3478260869565188E-2</v>
      </c>
      <c r="BB38" s="712">
        <f t="shared" si="24"/>
        <v>-7.2727272727272751E-2</v>
      </c>
      <c r="BC38" s="712">
        <f t="shared" si="24"/>
        <v>-6.8627450980392135E-2</v>
      </c>
    </row>
    <row r="39" spans="2:55" s="430" customFormat="1">
      <c r="B39" s="430" t="s">
        <v>1105</v>
      </c>
      <c r="D39" s="458">
        <f t="shared" ref="D39:I39" si="25">D37/D36</f>
        <v>0.13754646840148702</v>
      </c>
      <c r="E39" s="458">
        <f t="shared" si="25"/>
        <v>0.12922297297297297</v>
      </c>
      <c r="F39" s="458">
        <f t="shared" si="25"/>
        <v>0.11457521434138736</v>
      </c>
      <c r="G39" s="458">
        <f t="shared" si="25"/>
        <v>0.11201179071481208</v>
      </c>
      <c r="H39" s="458">
        <f t="shared" si="25"/>
        <v>0.1105598866052445</v>
      </c>
      <c r="I39" s="458">
        <f t="shared" si="25"/>
        <v>0.1103448275862069</v>
      </c>
      <c r="V39" s="712">
        <f t="shared" si="19"/>
        <v>1.3513513513513375E-2</v>
      </c>
      <c r="W39" s="712">
        <f t="shared" si="19"/>
        <v>-4.6666666666666634E-2</v>
      </c>
      <c r="X39" s="712">
        <f t="shared" si="19"/>
        <v>1.3986013986013957E-2</v>
      </c>
      <c r="Y39" s="712">
        <f t="shared" si="19"/>
        <v>1.379310344827589E-2</v>
      </c>
      <c r="Z39" s="712">
        <f t="shared" si="19"/>
        <v>6.8027210884353817E-3</v>
      </c>
      <c r="AA39" s="712">
        <f>AA29/U29-1</f>
        <v>3.3783783783783772E-2</v>
      </c>
      <c r="AB39" s="712">
        <f t="shared" si="20"/>
        <v>-3.9215686274509887E-2</v>
      </c>
      <c r="AC39" s="712">
        <f t="shared" si="20"/>
        <v>3.4013605442176909E-2</v>
      </c>
      <c r="AD39" s="712">
        <f t="shared" si="20"/>
        <v>2.6315789473684292E-2</v>
      </c>
      <c r="AE39" s="712">
        <f t="shared" si="20"/>
        <v>2.5641025641025772E-2</v>
      </c>
      <c r="AF39" s="712">
        <f>AF29/U29-1</f>
        <v>6.7567567567567988E-3</v>
      </c>
      <c r="AG39" s="712">
        <f t="shared" si="21"/>
        <v>-9.3959731543624136E-2</v>
      </c>
      <c r="AH39" s="712">
        <f t="shared" si="21"/>
        <v>-4.4444444444444398E-2</v>
      </c>
      <c r="AI39" s="712">
        <f t="shared" si="21"/>
        <v>-3.1007751937984551E-2</v>
      </c>
      <c r="AJ39" s="712">
        <f t="shared" si="21"/>
        <v>-2.4000000000000021E-2</v>
      </c>
      <c r="AO39" s="712">
        <f t="shared" si="22"/>
        <v>-5.9911242603550185E-2</v>
      </c>
      <c r="AP39" s="712">
        <f t="shared" si="22"/>
        <v>-0.10621557828481509</v>
      </c>
      <c r="AQ39" s="712">
        <f t="shared" si="22"/>
        <v>0</v>
      </c>
      <c r="AR39" s="712">
        <f t="shared" si="22"/>
        <v>1.4084507042253502E-2</v>
      </c>
      <c r="AS39" s="712">
        <f t="shared" si="22"/>
        <v>3.4722222222222321E-2</v>
      </c>
      <c r="AT39" s="712">
        <f>AT29/AN29-1</f>
        <v>-4.8816568047337139E-2</v>
      </c>
      <c r="AU39" s="712">
        <f t="shared" si="23"/>
        <v>-8.5536547433903598E-2</v>
      </c>
      <c r="AV39" s="712">
        <f t="shared" si="23"/>
        <v>3.4013605442176909E-2</v>
      </c>
      <c r="AW39" s="712">
        <f t="shared" si="23"/>
        <v>4.6052631578947345E-2</v>
      </c>
      <c r="AX39" s="712">
        <f t="shared" si="23"/>
        <v>5.0314465408804798E-2</v>
      </c>
      <c r="AY39" s="712">
        <f>AY29/AN29-1</f>
        <v>-7.7662721893490883E-2</v>
      </c>
      <c r="AZ39" s="712">
        <f t="shared" si="24"/>
        <v>-0.14033680834001605</v>
      </c>
      <c r="BA39" s="712">
        <f t="shared" si="24"/>
        <v>-4.4776119402985093E-2</v>
      </c>
      <c r="BB39" s="712">
        <f t="shared" si="24"/>
        <v>-4.6875000000000111E-2</v>
      </c>
      <c r="BC39" s="712">
        <f t="shared" si="24"/>
        <v>-4.0983606557377095E-2</v>
      </c>
    </row>
    <row r="40" spans="2:55" s="430" customFormat="1">
      <c r="B40" s="430" t="s">
        <v>1013</v>
      </c>
      <c r="D40" s="742">
        <f>AVERAGE(D39:I39)</f>
        <v>0.11904352677035181</v>
      </c>
      <c r="V40" s="712">
        <f t="shared" si="19"/>
        <v>-0.12074554294975681</v>
      </c>
      <c r="W40" s="712">
        <f t="shared" si="19"/>
        <v>3.2258064516129004E-2</v>
      </c>
      <c r="X40" s="712">
        <f t="shared" si="19"/>
        <v>8.9285714285713969E-3</v>
      </c>
      <c r="Y40" s="712">
        <f t="shared" si="19"/>
        <v>8.8495575221239076E-3</v>
      </c>
      <c r="Z40" s="712">
        <f t="shared" si="19"/>
        <v>8.7719298245614308E-3</v>
      </c>
      <c r="AA40" s="712">
        <f>AA30/U30-1</f>
        <v>-0.10858995137763383</v>
      </c>
      <c r="AB40" s="712">
        <f t="shared" si="20"/>
        <v>4.5454545454545636E-2</v>
      </c>
      <c r="AC40" s="712">
        <f t="shared" si="20"/>
        <v>3.6521739130434883E-2</v>
      </c>
      <c r="AD40" s="712">
        <f t="shared" si="20"/>
        <v>2.7684563758389125E-2</v>
      </c>
      <c r="AE40" s="712">
        <f t="shared" si="20"/>
        <v>2.0408163265306145E-2</v>
      </c>
      <c r="AF40" s="712">
        <f>AF30/U30-1</f>
        <v>-0.14667747163695299</v>
      </c>
      <c r="AG40" s="712">
        <f t="shared" si="21"/>
        <v>-7.407407407407407E-2</v>
      </c>
      <c r="AH40" s="712">
        <f t="shared" si="21"/>
        <v>-8.7179487179487203E-2</v>
      </c>
      <c r="AI40" s="712">
        <f t="shared" si="21"/>
        <v>-0.12359550561797761</v>
      </c>
      <c r="AJ40" s="712">
        <f t="shared" si="21"/>
        <v>-0.10256410256410253</v>
      </c>
      <c r="AO40" s="712">
        <f t="shared" si="22"/>
        <v>2.6515151515151603E-2</v>
      </c>
      <c r="AP40" s="712">
        <f t="shared" si="22"/>
        <v>4.3050430504304904E-2</v>
      </c>
      <c r="AQ40" s="712">
        <f t="shared" si="22"/>
        <v>2.8301886792452935E-2</v>
      </c>
      <c r="AR40" s="712">
        <f t="shared" si="22"/>
        <v>9.1743119266054496E-3</v>
      </c>
      <c r="AS40" s="712">
        <f t="shared" si="22"/>
        <v>0</v>
      </c>
      <c r="AT40" s="712">
        <f>AT30/AN30-1</f>
        <v>4.9242424242424088E-2</v>
      </c>
      <c r="AU40" s="712">
        <f t="shared" si="23"/>
        <v>7.8219013237063706E-2</v>
      </c>
      <c r="AV40" s="712">
        <f t="shared" si="23"/>
        <v>3.5714285714285809E-2</v>
      </c>
      <c r="AW40" s="712">
        <f t="shared" si="23"/>
        <v>1.7241379310344751E-2</v>
      </c>
      <c r="AX40" s="712">
        <f t="shared" si="23"/>
        <v>1.6949152542372836E-2</v>
      </c>
      <c r="AY40" s="712">
        <f>AY30/AN30-1</f>
        <v>7.575757575757569E-3</v>
      </c>
      <c r="AZ40" s="712">
        <f t="shared" si="24"/>
        <v>1.2531328320801949E-2</v>
      </c>
      <c r="BA40" s="712">
        <f t="shared" si="24"/>
        <v>-5.9405940594059348E-2</v>
      </c>
      <c r="BB40" s="712">
        <f t="shared" si="24"/>
        <v>-9.473684210526323E-2</v>
      </c>
      <c r="BC40" s="712">
        <f t="shared" si="24"/>
        <v>-0.12790697674418594</v>
      </c>
    </row>
    <row r="41" spans="2:55" s="430" customFormat="1"/>
    <row r="42" spans="2:55" s="430" customFormat="1"/>
    <row r="43" spans="2:55" s="430" customFormat="1"/>
    <row r="44" spans="2:55" s="430" customFormat="1">
      <c r="AN44" s="430" t="s">
        <v>13452</v>
      </c>
      <c r="AY44" s="430" t="s">
        <v>13562</v>
      </c>
    </row>
    <row r="45" spans="2:55" s="430" customFormat="1"/>
    <row r="46" spans="2:55" s="430" customFormat="1"/>
    <row r="47" spans="2:55" s="430" customFormat="1"/>
    <row r="48" spans="2:55" s="430" customFormat="1"/>
    <row r="49" spans="3:99" s="430" customFormat="1"/>
    <row r="50" spans="3:99" s="430" customFormat="1"/>
    <row r="51" spans="3:99" s="430" customFormat="1"/>
    <row r="52" spans="3:99" s="430" customFormat="1"/>
    <row r="53" spans="3:99" s="430" customFormat="1">
      <c r="BJ53" s="430">
        <v>2009</v>
      </c>
      <c r="BK53" s="430">
        <f>BJ53+1</f>
        <v>2010</v>
      </c>
      <c r="BL53" s="430">
        <f t="shared" ref="BL53:CO53" si="26">BK53+1</f>
        <v>2011</v>
      </c>
      <c r="BM53" s="430">
        <f t="shared" si="26"/>
        <v>2012</v>
      </c>
      <c r="BN53" s="430">
        <f t="shared" si="26"/>
        <v>2013</v>
      </c>
      <c r="BO53" s="430">
        <f t="shared" si="26"/>
        <v>2014</v>
      </c>
      <c r="BP53" s="430">
        <f t="shared" si="26"/>
        <v>2015</v>
      </c>
      <c r="BQ53" s="430">
        <f t="shared" si="26"/>
        <v>2016</v>
      </c>
      <c r="BR53" s="430">
        <f t="shared" si="26"/>
        <v>2017</v>
      </c>
      <c r="BS53" s="430">
        <f t="shared" si="26"/>
        <v>2018</v>
      </c>
      <c r="BT53" s="430">
        <f t="shared" si="26"/>
        <v>2019</v>
      </c>
      <c r="BU53" s="430">
        <f t="shared" si="26"/>
        <v>2020</v>
      </c>
      <c r="BV53" s="430">
        <f t="shared" si="26"/>
        <v>2021</v>
      </c>
      <c r="BW53" s="430">
        <f t="shared" si="26"/>
        <v>2022</v>
      </c>
      <c r="BX53" s="430">
        <f t="shared" si="26"/>
        <v>2023</v>
      </c>
      <c r="BY53" s="430">
        <f t="shared" si="26"/>
        <v>2024</v>
      </c>
      <c r="BZ53" s="430">
        <f t="shared" si="26"/>
        <v>2025</v>
      </c>
      <c r="CA53" s="430">
        <f t="shared" si="26"/>
        <v>2026</v>
      </c>
      <c r="CB53" s="430">
        <f t="shared" si="26"/>
        <v>2027</v>
      </c>
      <c r="CC53" s="430">
        <f t="shared" si="26"/>
        <v>2028</v>
      </c>
      <c r="CD53" s="430">
        <f t="shared" si="26"/>
        <v>2029</v>
      </c>
      <c r="CE53" s="430">
        <f t="shared" si="26"/>
        <v>2030</v>
      </c>
      <c r="CF53" s="430">
        <f t="shared" si="26"/>
        <v>2031</v>
      </c>
      <c r="CG53" s="430">
        <f t="shared" si="26"/>
        <v>2032</v>
      </c>
      <c r="CH53" s="430">
        <f t="shared" si="26"/>
        <v>2033</v>
      </c>
      <c r="CI53" s="430">
        <f t="shared" si="26"/>
        <v>2034</v>
      </c>
      <c r="CJ53" s="430">
        <f t="shared" si="26"/>
        <v>2035</v>
      </c>
      <c r="CK53" s="430">
        <f t="shared" si="26"/>
        <v>2036</v>
      </c>
      <c r="CL53" s="430">
        <f t="shared" si="26"/>
        <v>2037</v>
      </c>
      <c r="CM53" s="430">
        <f t="shared" si="26"/>
        <v>2038</v>
      </c>
      <c r="CN53" s="430">
        <f t="shared" si="26"/>
        <v>2039</v>
      </c>
      <c r="CO53" s="430">
        <f t="shared" si="26"/>
        <v>2040</v>
      </c>
    </row>
    <row r="54" spans="3:99" s="430" customFormat="1">
      <c r="BI54" s="430" t="s">
        <v>1179</v>
      </c>
      <c r="BJ54" s="430">
        <v>56.836562006837397</v>
      </c>
      <c r="BK54" s="430">
        <v>68.779678025794695</v>
      </c>
      <c r="BL54" s="430">
        <v>79.639382805889497</v>
      </c>
      <c r="BM54" s="430">
        <v>77.842519345736903</v>
      </c>
      <c r="BN54" s="430">
        <v>76.314333558226096</v>
      </c>
      <c r="BO54" s="430">
        <v>74.8222129553005</v>
      </c>
      <c r="BP54" s="430">
        <v>73.365306398604005</v>
      </c>
      <c r="BQ54" s="430">
        <v>75.040990933453401</v>
      </c>
      <c r="BR54" s="430">
        <v>76.763259498371596</v>
      </c>
      <c r="BS54" s="430">
        <v>78.533407129394604</v>
      </c>
      <c r="BT54" s="430">
        <v>80.352764864560001</v>
      </c>
      <c r="BU54" s="430">
        <v>82.222700744763003</v>
      </c>
      <c r="BV54" s="430">
        <v>83.743644706949894</v>
      </c>
      <c r="BW54" s="430">
        <v>85.298049436305007</v>
      </c>
      <c r="BX54" s="430">
        <v>86.886651069705906</v>
      </c>
      <c r="BY54" s="430">
        <v>88.510201939041593</v>
      </c>
      <c r="BZ54" s="430">
        <v>90.169470927502701</v>
      </c>
      <c r="CA54" s="430">
        <v>91.849827716380801</v>
      </c>
      <c r="CB54" s="430">
        <v>93.566816283256401</v>
      </c>
      <c r="CC54" s="430">
        <v>95.321235200890001</v>
      </c>
      <c r="CD54" s="430">
        <v>97.1139004509279</v>
      </c>
      <c r="CE54" s="430">
        <v>98.945645803416596</v>
      </c>
      <c r="CF54" s="430">
        <v>100.834494556894</v>
      </c>
      <c r="CG54" s="430">
        <v>102.76489798294701</v>
      </c>
      <c r="CH54" s="430">
        <v>104.73777028437399</v>
      </c>
      <c r="CI54" s="430">
        <v>106.754045776433</v>
      </c>
      <c r="CJ54" s="430">
        <v>108.814679329317</v>
      </c>
      <c r="CK54" s="430">
        <v>111.016372615411</v>
      </c>
      <c r="CL54" s="430">
        <v>113.268704847086</v>
      </c>
      <c r="CM54" s="430">
        <v>115.57284072009</v>
      </c>
      <c r="CN54" s="430">
        <v>117.929971718172</v>
      </c>
      <c r="CO54" s="430">
        <v>120.341316729211</v>
      </c>
    </row>
    <row r="55" spans="3:99" s="430" customFormat="1">
      <c r="BI55" s="430" t="s">
        <v>1181</v>
      </c>
      <c r="BJ55" s="430">
        <v>48.0870264618137</v>
      </c>
      <c r="BK55" s="430">
        <v>57.641519276979601</v>
      </c>
      <c r="BL55" s="430">
        <v>66.329283101055395</v>
      </c>
      <c r="BM55" s="430">
        <v>64.891792332933306</v>
      </c>
      <c r="BN55" s="430">
        <v>63.669243702924703</v>
      </c>
      <c r="BO55" s="430">
        <v>62.475547220584197</v>
      </c>
      <c r="BP55" s="430">
        <v>61.310021975227002</v>
      </c>
      <c r="BQ55" s="430">
        <v>62.650569603106497</v>
      </c>
      <c r="BR55" s="430">
        <v>64.028384455041106</v>
      </c>
      <c r="BS55" s="430">
        <v>65.444502559859501</v>
      </c>
      <c r="BT55" s="430">
        <v>66.899988747991799</v>
      </c>
      <c r="BU55" s="430">
        <v>68.395937452154101</v>
      </c>
      <c r="BV55" s="430">
        <v>69.612692621903705</v>
      </c>
      <c r="BW55" s="430">
        <v>70.856216405387798</v>
      </c>
      <c r="BX55" s="430">
        <v>72.127097712108494</v>
      </c>
      <c r="BY55" s="430">
        <v>73.425938407577107</v>
      </c>
      <c r="BZ55" s="430">
        <v>74.753353598345996</v>
      </c>
      <c r="CA55" s="430">
        <v>76.097639029448402</v>
      </c>
      <c r="CB55" s="430">
        <v>77.471229882948904</v>
      </c>
      <c r="CC55" s="430">
        <v>78.874765017055694</v>
      </c>
      <c r="CD55" s="430">
        <v>80.308897217086098</v>
      </c>
      <c r="CE55" s="430">
        <v>81.774293499077103</v>
      </c>
      <c r="CF55" s="430">
        <v>83.285372501859001</v>
      </c>
      <c r="CG55" s="430">
        <v>84.829695242702101</v>
      </c>
      <c r="CH55" s="430">
        <v>86.407993083843706</v>
      </c>
      <c r="CI55" s="430">
        <v>88.021013477490399</v>
      </c>
      <c r="CJ55" s="430">
        <v>89.6695203197974</v>
      </c>
      <c r="CK55" s="430">
        <v>91.430874948673207</v>
      </c>
      <c r="CL55" s="430">
        <v>93.232740734013106</v>
      </c>
      <c r="CM55" s="430">
        <v>95.0760494324159</v>
      </c>
      <c r="CN55" s="430">
        <v>96.961754230881894</v>
      </c>
      <c r="CO55" s="430">
        <v>98.890830239712699</v>
      </c>
    </row>
    <row r="56" spans="3:99" s="430" customFormat="1">
      <c r="BI56" t="s">
        <v>1177</v>
      </c>
      <c r="BJ56">
        <v>91.693028043665805</v>
      </c>
      <c r="BK56">
        <v>98.858897655040195</v>
      </c>
      <c r="BL56">
        <v>105.374720523097</v>
      </c>
      <c r="BM56">
        <v>104.296602447005</v>
      </c>
      <c r="BN56">
        <v>103.379690974499</v>
      </c>
      <c r="BO56">
        <v>102.484418612743</v>
      </c>
      <c r="BP56">
        <v>101.61027467872501</v>
      </c>
      <c r="BQ56" s="430">
        <v>102.615685399635</v>
      </c>
      <c r="BR56" s="430">
        <v>103.64904653858601</v>
      </c>
      <c r="BS56" s="430">
        <v>104.7111351172</v>
      </c>
      <c r="BT56" s="430">
        <v>105.802749758299</v>
      </c>
      <c r="BU56" s="430">
        <v>106.924711286421</v>
      </c>
      <c r="BV56" s="430">
        <v>107.837277663733</v>
      </c>
      <c r="BW56" s="430">
        <v>108.76992050134599</v>
      </c>
      <c r="BX56" s="430">
        <v>109.723081481386</v>
      </c>
      <c r="BY56" s="430">
        <v>110.697212002988</v>
      </c>
      <c r="BZ56" s="430">
        <v>111.69277339606499</v>
      </c>
      <c r="CA56" s="430">
        <v>112.70098746939099</v>
      </c>
      <c r="CB56" s="430">
        <v>113.731180609517</v>
      </c>
      <c r="CC56" s="430">
        <v>114.783831960097</v>
      </c>
      <c r="CD56" s="430">
        <v>115.85943111012</v>
      </c>
      <c r="CE56" s="430">
        <v>116.958478321613</v>
      </c>
      <c r="CF56" s="430">
        <v>118.09178757369899</v>
      </c>
      <c r="CG56" s="430">
        <v>119.250029629332</v>
      </c>
      <c r="CH56" s="430">
        <v>120.433753010188</v>
      </c>
      <c r="CI56" s="430">
        <v>121.643518305423</v>
      </c>
      <c r="CJ56" s="430">
        <v>122.879898437153</v>
      </c>
      <c r="CK56" s="430">
        <v>124.20091440880999</v>
      </c>
      <c r="CL56" s="430">
        <v>125.55231374781501</v>
      </c>
      <c r="CM56" s="430">
        <v>126.93479527161701</v>
      </c>
      <c r="CN56" s="430">
        <v>128.34907387046701</v>
      </c>
      <c r="CO56" s="430">
        <v>129.79588087709001</v>
      </c>
    </row>
    <row r="57" spans="3:99" s="430" customFormat="1">
      <c r="C57" s="430" t="s">
        <v>1148</v>
      </c>
      <c r="BI57" t="s">
        <v>1175</v>
      </c>
      <c r="BJ57">
        <v>56.350556885865103</v>
      </c>
      <c r="BK57">
        <v>69.726846827097404</v>
      </c>
      <c r="BL57">
        <v>81.889716180803504</v>
      </c>
      <c r="BM57">
        <v>79.877229105432605</v>
      </c>
      <c r="BN57">
        <v>78.165661023420498</v>
      </c>
      <c r="BO57">
        <v>76.494485948143804</v>
      </c>
      <c r="BP57">
        <v>74.862750604643693</v>
      </c>
      <c r="BQ57" s="430">
        <v>76.739517283675099</v>
      </c>
      <c r="BR57" s="430">
        <v>78.668458076383502</v>
      </c>
      <c r="BS57" s="430">
        <v>80.651023423129203</v>
      </c>
      <c r="BT57" s="430">
        <v>82.688704086514406</v>
      </c>
      <c r="BU57" s="430">
        <v>84.783032272341799</v>
      </c>
      <c r="BV57" s="430">
        <v>86.486489509991202</v>
      </c>
      <c r="BW57" s="430">
        <v>88.227422806868901</v>
      </c>
      <c r="BX57" s="430">
        <v>90.006656636277896</v>
      </c>
      <c r="BY57" s="430">
        <v>91.825033609933797</v>
      </c>
      <c r="BZ57" s="430">
        <v>93.683414877010307</v>
      </c>
      <c r="CA57" s="430">
        <v>95.565414480553699</v>
      </c>
      <c r="CB57" s="430">
        <v>97.488441675454496</v>
      </c>
      <c r="CC57" s="430">
        <v>99.453390863204007</v>
      </c>
      <c r="CD57" s="430">
        <v>101.461175943246</v>
      </c>
      <c r="CE57" s="430">
        <v>103.512730738033</v>
      </c>
      <c r="CF57" s="430">
        <v>105.628241341928</v>
      </c>
      <c r="CG57" s="430">
        <v>107.79029317910801</v>
      </c>
      <c r="CH57" s="430">
        <v>109.999910156707</v>
      </c>
      <c r="CI57" s="430">
        <v>112.25813870781199</v>
      </c>
      <c r="CJ57" s="430">
        <v>114.56604828704199</v>
      </c>
      <c r="CK57" s="430">
        <v>117.031944767468</v>
      </c>
      <c r="CL57" s="430">
        <v>119.554556866944</v>
      </c>
      <c r="CM57" s="430">
        <v>122.135189044708</v>
      </c>
      <c r="CN57" s="430">
        <v>124.77517576256</v>
      </c>
      <c r="CO57" s="430">
        <v>127.475882174923</v>
      </c>
    </row>
    <row r="58" spans="3:99" s="430" customFormat="1">
      <c r="E58" s="731">
        <v>2010</v>
      </c>
      <c r="F58" s="731">
        <v>2011</v>
      </c>
      <c r="G58" s="731">
        <v>2012</v>
      </c>
      <c r="H58" s="731">
        <v>2013</v>
      </c>
      <c r="I58" s="731">
        <v>2014</v>
      </c>
      <c r="J58" s="731">
        <v>2015</v>
      </c>
      <c r="K58" s="731">
        <v>2016</v>
      </c>
      <c r="L58" s="731">
        <v>2017</v>
      </c>
      <c r="M58" s="731">
        <v>2018</v>
      </c>
      <c r="N58" s="731">
        <v>2019</v>
      </c>
      <c r="O58" s="731">
        <v>2020</v>
      </c>
      <c r="P58" s="731">
        <v>2021</v>
      </c>
      <c r="Q58" s="731">
        <v>2022</v>
      </c>
      <c r="R58" s="731">
        <v>2023</v>
      </c>
      <c r="S58" s="731">
        <v>2024</v>
      </c>
      <c r="T58" s="731">
        <v>2025</v>
      </c>
      <c r="U58" s="731">
        <v>2026</v>
      </c>
      <c r="V58" s="731">
        <v>2027</v>
      </c>
      <c r="W58" s="731">
        <v>2028</v>
      </c>
      <c r="X58" s="731">
        <v>2029</v>
      </c>
      <c r="Y58" s="731">
        <v>2030</v>
      </c>
      <c r="Z58" s="731">
        <v>2031</v>
      </c>
      <c r="AA58" s="731">
        <v>2032</v>
      </c>
      <c r="AB58" s="731">
        <v>2033</v>
      </c>
      <c r="AC58" s="731">
        <v>2034</v>
      </c>
      <c r="AD58" s="731">
        <v>2035</v>
      </c>
      <c r="AE58" s="731">
        <v>2036</v>
      </c>
      <c r="AF58" s="731">
        <v>2037</v>
      </c>
      <c r="AG58" s="731">
        <v>2038</v>
      </c>
      <c r="AH58" s="731">
        <v>2039</v>
      </c>
      <c r="AI58" s="731">
        <v>2040</v>
      </c>
      <c r="AJ58" s="732">
        <v>2040</v>
      </c>
      <c r="BI58" s="430" t="s">
        <v>967</v>
      </c>
      <c r="BJ58" s="430">
        <v>59.214752586665199</v>
      </c>
      <c r="BK58" s="430">
        <v>72.5910425278975</v>
      </c>
      <c r="BL58" s="430">
        <v>84.753911881603599</v>
      </c>
      <c r="BM58" s="430">
        <v>82.7414248062327</v>
      </c>
      <c r="BN58" s="430">
        <v>81.029856724220593</v>
      </c>
      <c r="BO58" s="430">
        <v>79.358681648944</v>
      </c>
      <c r="BP58" s="430">
        <v>77.726946305443803</v>
      </c>
      <c r="BQ58" s="430">
        <v>79.603712984475195</v>
      </c>
      <c r="BR58" s="430">
        <v>81.532653777183597</v>
      </c>
      <c r="BS58" s="430">
        <v>83.515219123929299</v>
      </c>
      <c r="BT58" s="430">
        <v>85.552899787314502</v>
      </c>
      <c r="BU58" s="430">
        <v>87.647227973141895</v>
      </c>
      <c r="BV58" s="430">
        <v>89.350685210791298</v>
      </c>
      <c r="BW58" s="430">
        <v>91.091618507668997</v>
      </c>
      <c r="BX58" s="430">
        <v>92.870852337078006</v>
      </c>
      <c r="BY58" s="430">
        <v>94.689229310734007</v>
      </c>
      <c r="BZ58" s="430">
        <v>96.547610577810403</v>
      </c>
      <c r="CA58" s="430">
        <v>98.429610181353894</v>
      </c>
      <c r="CB58" s="430">
        <v>100.35263737625399</v>
      </c>
      <c r="CC58" s="430">
        <v>102.317586564004</v>
      </c>
      <c r="CD58" s="430">
        <v>104.325371644046</v>
      </c>
      <c r="CE58" s="430">
        <v>106.376926438834</v>
      </c>
      <c r="CF58" s="430">
        <v>108.492437042728</v>
      </c>
      <c r="CG58" s="430">
        <v>110.654488879909</v>
      </c>
      <c r="CH58" s="430">
        <v>112.864105857507</v>
      </c>
      <c r="CI58" s="430">
        <v>115.12233440861201</v>
      </c>
      <c r="CJ58" s="430">
        <v>117.430243987842</v>
      </c>
      <c r="CK58" s="430">
        <v>119.896140468268</v>
      </c>
      <c r="CL58" s="430">
        <v>122.41875256774399</v>
      </c>
      <c r="CM58" s="430">
        <v>124.999384745508</v>
      </c>
      <c r="CN58" s="430">
        <v>127.63937146336001</v>
      </c>
      <c r="CO58" s="430">
        <v>130.34007787572301</v>
      </c>
    </row>
    <row r="59" spans="3:99" s="430" customFormat="1">
      <c r="C59" s="430" t="s">
        <v>1150</v>
      </c>
      <c r="E59" s="406">
        <v>79.389076000000003</v>
      </c>
      <c r="F59" s="406">
        <v>94.859168999999994</v>
      </c>
      <c r="G59" s="406">
        <v>94.859168999999994</v>
      </c>
      <c r="H59" s="406">
        <v>92.487885000000006</v>
      </c>
      <c r="I59" s="406">
        <v>87.805297999999993</v>
      </c>
      <c r="J59" s="406">
        <v>88.300728000000007</v>
      </c>
      <c r="K59" s="406">
        <v>88.208190999999999</v>
      </c>
      <c r="L59" s="406">
        <v>91.330726999999996</v>
      </c>
      <c r="M59" s="406">
        <v>96.076545999999993</v>
      </c>
      <c r="N59" s="406">
        <v>98.696785000000006</v>
      </c>
      <c r="O59" s="406">
        <v>101.262398</v>
      </c>
      <c r="P59" s="406">
        <v>103.574341</v>
      </c>
      <c r="Q59" s="406">
        <v>105.833641</v>
      </c>
      <c r="R59" s="406">
        <v>108.141273</v>
      </c>
      <c r="S59" s="406">
        <v>110.498299</v>
      </c>
      <c r="T59" s="406">
        <v>112.905762</v>
      </c>
      <c r="U59" s="406">
        <v>115.364754</v>
      </c>
      <c r="V59" s="406">
        <v>117.876358</v>
      </c>
      <c r="W59" s="406">
        <v>120.441711</v>
      </c>
      <c r="X59" s="406">
        <v>123.061966</v>
      </c>
      <c r="Y59" s="406">
        <v>125.738281</v>
      </c>
      <c r="Z59" s="406">
        <v>128.47189299999999</v>
      </c>
      <c r="AA59" s="406">
        <v>131.263992</v>
      </c>
      <c r="AB59" s="406">
        <v>134.11582899999999</v>
      </c>
      <c r="AC59" s="406">
        <v>137.028717</v>
      </c>
      <c r="AD59" s="406">
        <v>140.184662</v>
      </c>
      <c r="AE59" s="406">
        <v>143.41224700000001</v>
      </c>
      <c r="AF59" s="406">
        <v>146.71312</v>
      </c>
      <c r="AG59" s="406">
        <v>150.088898</v>
      </c>
      <c r="AH59" s="406">
        <v>153.54132100000001</v>
      </c>
      <c r="AI59" s="406">
        <v>157.07212799999999</v>
      </c>
      <c r="AJ59" s="430">
        <v>160.683044</v>
      </c>
      <c r="BI59"/>
      <c r="BJ59"/>
      <c r="BK59"/>
      <c r="BL59"/>
      <c r="BM59"/>
      <c r="BN59"/>
      <c r="BO59"/>
      <c r="BP59"/>
    </row>
    <row r="60" spans="3:99" s="430" customFormat="1">
      <c r="BI60"/>
      <c r="BJ60"/>
      <c r="BK60" t="s">
        <v>14371</v>
      </c>
      <c r="BL60"/>
      <c r="BM60"/>
      <c r="BN60"/>
      <c r="BO60"/>
      <c r="BP60"/>
      <c r="BX60" s="430" t="s">
        <v>14372</v>
      </c>
      <c r="CJ60" s="430" t="s">
        <v>14380</v>
      </c>
      <c r="CU60" s="430" t="s">
        <v>14817</v>
      </c>
    </row>
    <row r="61" spans="3:99" s="430" customFormat="1">
      <c r="BI61"/>
      <c r="BJ61"/>
      <c r="BK61"/>
      <c r="BL61"/>
      <c r="BM61"/>
      <c r="BN61"/>
      <c r="BO61"/>
      <c r="BP61"/>
    </row>
    <row r="62" spans="3:99" s="430" customFormat="1">
      <c r="F62" s="406">
        <f>U25</f>
        <v>104.73927357360537</v>
      </c>
      <c r="BI62"/>
      <c r="BJ62"/>
      <c r="BK62"/>
      <c r="BL62"/>
      <c r="BM62"/>
      <c r="BN62"/>
      <c r="BO62"/>
      <c r="BP62"/>
    </row>
    <row r="63" spans="3:99" s="430" customFormat="1">
      <c r="BI63"/>
      <c r="BJ63"/>
      <c r="BK63"/>
      <c r="BL63"/>
      <c r="BM63"/>
      <c r="BN63"/>
      <c r="BO63"/>
      <c r="BP63"/>
    </row>
    <row r="64" spans="3:99" s="430" customFormat="1"/>
    <row r="65" spans="1:68" s="430" customFormat="1">
      <c r="E65" s="737">
        <f>E69/D69-1</f>
        <v>0.27288760622093955</v>
      </c>
      <c r="F65" s="737">
        <f>F68/E68-1</f>
        <v>0.194850346391233</v>
      </c>
      <c r="G65" s="737">
        <f>G69/F69-1</f>
        <v>-2.6586676825228861E-2</v>
      </c>
      <c r="J65" s="712">
        <f>(J68/G68)^(1/(J67-G67))-1</f>
        <v>-2.3598758847122037E-2</v>
      </c>
      <c r="O65" s="712">
        <f>(O68/J68)^(1/(O67-J67))-1</f>
        <v>2.7772006767478707E-2</v>
      </c>
      <c r="T65" s="712">
        <f>(T68/O68)^(1/(T67-O67))-1</f>
        <v>2.2006315854426139E-2</v>
      </c>
      <c r="Y65" s="712">
        <f>(Y68/T68)^(1/(Y67-T67))-1</f>
        <v>2.1763260013069941E-2</v>
      </c>
      <c r="AD65" s="712">
        <f>(AD68/Y68)^(1/(AD67-Y67))-1</f>
        <v>2.198988164876714E-2</v>
      </c>
      <c r="AI65" s="712">
        <f>(AI68/AD68)^(1/(AI67-AD67))-1</f>
        <v>2.3009639008272131E-2</v>
      </c>
    </row>
    <row r="66" spans="1:68">
      <c r="C66" s="430" t="s">
        <v>1149</v>
      </c>
      <c r="BI66" s="430"/>
      <c r="BJ66" s="430"/>
      <c r="BK66" s="430"/>
      <c r="BL66" s="430"/>
      <c r="BM66" s="430"/>
      <c r="BN66" s="430"/>
      <c r="BO66" s="430"/>
      <c r="BP66" s="430"/>
    </row>
    <row r="67" spans="1:68">
      <c r="C67" t="s">
        <v>162</v>
      </c>
      <c r="D67">
        <v>2009</v>
      </c>
      <c r="E67">
        <v>2010</v>
      </c>
      <c r="F67">
        <f>+E67+1</f>
        <v>2011</v>
      </c>
      <c r="G67" s="430">
        <f t="shared" ref="G67:AD67" si="27">+F67+1</f>
        <v>2012</v>
      </c>
      <c r="H67" s="430">
        <f t="shared" si="27"/>
        <v>2013</v>
      </c>
      <c r="I67" s="430">
        <f t="shared" si="27"/>
        <v>2014</v>
      </c>
      <c r="J67" s="430">
        <f t="shared" si="27"/>
        <v>2015</v>
      </c>
      <c r="K67" s="430">
        <f t="shared" si="27"/>
        <v>2016</v>
      </c>
      <c r="L67" s="430">
        <f t="shared" si="27"/>
        <v>2017</v>
      </c>
      <c r="M67" s="430">
        <f t="shared" si="27"/>
        <v>2018</v>
      </c>
      <c r="N67" s="430">
        <f t="shared" si="27"/>
        <v>2019</v>
      </c>
      <c r="O67" s="430">
        <f t="shared" si="27"/>
        <v>2020</v>
      </c>
      <c r="P67" s="430">
        <f t="shared" si="27"/>
        <v>2021</v>
      </c>
      <c r="Q67" s="430">
        <f t="shared" si="27"/>
        <v>2022</v>
      </c>
      <c r="R67" s="430">
        <f t="shared" si="27"/>
        <v>2023</v>
      </c>
      <c r="S67" s="430">
        <f t="shared" si="27"/>
        <v>2024</v>
      </c>
      <c r="T67" s="430">
        <f t="shared" si="27"/>
        <v>2025</v>
      </c>
      <c r="U67" s="430">
        <f t="shared" si="27"/>
        <v>2026</v>
      </c>
      <c r="V67" s="430">
        <f t="shared" si="27"/>
        <v>2027</v>
      </c>
      <c r="W67" s="430">
        <f t="shared" si="27"/>
        <v>2028</v>
      </c>
      <c r="X67" s="430">
        <f t="shared" si="27"/>
        <v>2029</v>
      </c>
      <c r="Y67" s="430">
        <f t="shared" si="27"/>
        <v>2030</v>
      </c>
      <c r="Z67" s="430">
        <f t="shared" si="27"/>
        <v>2031</v>
      </c>
      <c r="AA67" s="430">
        <f t="shared" si="27"/>
        <v>2032</v>
      </c>
      <c r="AB67" s="430">
        <f t="shared" si="27"/>
        <v>2033</v>
      </c>
      <c r="AC67" s="430">
        <f t="shared" si="27"/>
        <v>2034</v>
      </c>
      <c r="AD67" s="430">
        <f t="shared" si="27"/>
        <v>2035</v>
      </c>
      <c r="AE67" s="430">
        <f t="shared" ref="AE67:BB67" si="28">+AD67+1</f>
        <v>2036</v>
      </c>
      <c r="AF67" s="430">
        <f t="shared" si="28"/>
        <v>2037</v>
      </c>
      <c r="AG67" s="430">
        <f t="shared" si="28"/>
        <v>2038</v>
      </c>
      <c r="AH67" s="430">
        <f t="shared" si="28"/>
        <v>2039</v>
      </c>
      <c r="AI67" s="430">
        <f t="shared" si="28"/>
        <v>2040</v>
      </c>
      <c r="AJ67" s="430">
        <f t="shared" si="28"/>
        <v>2041</v>
      </c>
      <c r="AK67" s="430">
        <f t="shared" si="28"/>
        <v>2042</v>
      </c>
      <c r="AL67" s="430">
        <f t="shared" si="28"/>
        <v>2043</v>
      </c>
      <c r="AM67" s="430">
        <f t="shared" si="28"/>
        <v>2044</v>
      </c>
      <c r="AN67" s="430">
        <f t="shared" si="28"/>
        <v>2045</v>
      </c>
      <c r="AX67" s="430">
        <f>+AN67+1</f>
        <v>2046</v>
      </c>
      <c r="AY67" s="430">
        <f t="shared" si="28"/>
        <v>2047</v>
      </c>
      <c r="AZ67" s="430">
        <f t="shared" si="28"/>
        <v>2048</v>
      </c>
      <c r="BA67" s="430">
        <f t="shared" si="28"/>
        <v>2049</v>
      </c>
      <c r="BB67" s="430">
        <f t="shared" si="28"/>
        <v>2050</v>
      </c>
      <c r="BC67" s="430" t="s">
        <v>162</v>
      </c>
      <c r="BD67" s="430" t="s">
        <v>162</v>
      </c>
      <c r="BE67" s="430" t="s">
        <v>1013</v>
      </c>
      <c r="BI67" s="430"/>
      <c r="BJ67" s="430"/>
      <c r="BK67" s="430"/>
      <c r="BL67" s="430"/>
      <c r="BM67" s="430"/>
      <c r="BN67" s="430"/>
      <c r="BO67" s="430"/>
      <c r="BP67" s="430"/>
    </row>
    <row r="68" spans="1:68" s="430" customFormat="1" ht="51.75">
      <c r="A68" s="430">
        <v>1</v>
      </c>
      <c r="B68" s="430" t="s">
        <v>1014</v>
      </c>
      <c r="C68" s="646" t="s">
        <v>1067</v>
      </c>
      <c r="D68" s="647">
        <v>62.37</v>
      </c>
      <c r="E68" s="647">
        <v>79.39</v>
      </c>
      <c r="F68" s="733">
        <v>94.859168999999994</v>
      </c>
      <c r="G68" s="733">
        <f>G59/Deflator!$V$17</f>
        <v>92.33717892988723</v>
      </c>
      <c r="H68" s="733">
        <f>H59/Deflator!$V$17</f>
        <v>90.028939491256082</v>
      </c>
      <c r="I68" s="733">
        <f>I59/Deflator!$V$17</f>
        <v>85.470846918531095</v>
      </c>
      <c r="J68" s="733">
        <f>J59/Deflator!$V$17</f>
        <v>85.953105081231584</v>
      </c>
      <c r="K68" s="733">
        <f>K59/Deflator!$V$17</f>
        <v>85.863028332544943</v>
      </c>
      <c r="L68" s="733">
        <f>L59/Deflator!$V$17</f>
        <v>88.902546477037802</v>
      </c>
      <c r="M68" s="733">
        <f>M59/Deflator!$V$17</f>
        <v>93.522189921013762</v>
      </c>
      <c r="N68" s="733">
        <f>N59/Deflator!$V$17</f>
        <v>96.072765473515915</v>
      </c>
      <c r="O68" s="733">
        <f>O59/Deflator!$V$17</f>
        <v>98.57016734982632</v>
      </c>
      <c r="P68" s="733">
        <f>P59/Deflator!$V$17</f>
        <v>100.82064346844696</v>
      </c>
      <c r="Q68" s="733">
        <f>Q59/Deflator!$V$17</f>
        <v>103.01987618949572</v>
      </c>
      <c r="R68" s="733">
        <f>R59/Deflator!$V$17</f>
        <v>105.26615592328017</v>
      </c>
      <c r="S68" s="733">
        <f>S59/Deflator!$V$17</f>
        <v>107.5605164347495</v>
      </c>
      <c r="T68" s="733">
        <f>T59/Deflator!$V$17</f>
        <v>109.9039729939998</v>
      </c>
      <c r="U68" s="733">
        <f>U59/Deflator!$V$17</f>
        <v>112.29758856837999</v>
      </c>
      <c r="V68" s="733">
        <f>V59/Deflator!$V$17</f>
        <v>114.74241736451903</v>
      </c>
      <c r="W68" s="733">
        <f>W59/Deflator!$V$17</f>
        <v>117.2395661533654</v>
      </c>
      <c r="X68" s="733">
        <f>X59/Deflator!$V$17</f>
        <v>119.79015728048071</v>
      </c>
      <c r="Y68" s="733">
        <f>Y59/Deflator!$V$17</f>
        <v>122.39531795849319</v>
      </c>
      <c r="Z68" s="733">
        <f>Z59/Deflator!$V$17</f>
        <v>125.05625229968362</v>
      </c>
      <c r="AA68" s="733">
        <f>AA59/Deflator!$V$17</f>
        <v>127.77411866590658</v>
      </c>
      <c r="AB68" s="733">
        <f>AB59/Deflator!$V$17</f>
        <v>130.55013479722936</v>
      </c>
      <c r="AC68" s="733">
        <f>AC59/Deflator!$V$17</f>
        <v>133.38557878534527</v>
      </c>
      <c r="AD68" s="733">
        <f>AD59/Deflator!$V$17</f>
        <v>136.45761769555207</v>
      </c>
      <c r="AE68" s="733">
        <f>AE59/Deflator!$V$17</f>
        <v>139.59939193623111</v>
      </c>
      <c r="AF68" s="733">
        <f>AF59/Deflator!$V$17</f>
        <v>142.81250569253899</v>
      </c>
      <c r="AG68" s="733">
        <f>AG59/Deflator!$V$17</f>
        <v>146.09853297381929</v>
      </c>
      <c r="AH68" s="733">
        <f>AH59/Deflator!$V$17</f>
        <v>149.45916751925429</v>
      </c>
      <c r="AI68" s="733">
        <f>AI59/Deflator!$V$17</f>
        <v>152.89610209461301</v>
      </c>
      <c r="AJ68" s="430">
        <f t="shared" ref="AJ68:AN69" si="29">FORECAST(AJ$67,Y68:AI68,Y$67:AI$67)</f>
        <v>155.27101346119434</v>
      </c>
      <c r="AK68" s="430">
        <f t="shared" si="29"/>
        <v>158.49110875989118</v>
      </c>
      <c r="AL68" s="430">
        <f t="shared" si="29"/>
        <v>161.71787616588426</v>
      </c>
      <c r="AM68" s="430">
        <f t="shared" si="29"/>
        <v>164.93669887188025</v>
      </c>
      <c r="AN68" s="430">
        <f t="shared" si="29"/>
        <v>168.1306741474591</v>
      </c>
      <c r="AX68" s="430">
        <f>FORECAST(AX$67,AD68:AN68,AD$67:AN$67)</f>
        <v>171.28066006182507</v>
      </c>
      <c r="AY68" s="430">
        <f t="shared" ref="AY68:BB69" si="30">FORECAST(AY$67,AE68:AX68,AE$67:AX$67)</f>
        <v>174.40702666770994</v>
      </c>
      <c r="AZ68" s="430">
        <f t="shared" si="30"/>
        <v>177.51341636719098</v>
      </c>
      <c r="BA68" s="430">
        <f t="shared" si="30"/>
        <v>180.61026731443872</v>
      </c>
      <c r="BB68" s="430">
        <f t="shared" si="30"/>
        <v>183.71716629037019</v>
      </c>
      <c r="BE68" s="648">
        <v>2.4E-2</v>
      </c>
    </row>
    <row r="69" spans="1:68">
      <c r="A69" s="430">
        <v>2</v>
      </c>
      <c r="B69" s="430" t="s">
        <v>1016</v>
      </c>
      <c r="C69" t="s">
        <v>1016</v>
      </c>
      <c r="D69">
        <f>+D68</f>
        <v>62.37</v>
      </c>
      <c r="E69" s="430">
        <f>+E68</f>
        <v>79.39</v>
      </c>
      <c r="F69" s="430">
        <f>+F68</f>
        <v>94.859168999999994</v>
      </c>
      <c r="G69" s="736">
        <f>G68</f>
        <v>92.33717892988723</v>
      </c>
      <c r="H69" s="734">
        <f>($O$69/$G$69)^(1/($O$67-$G$67))*G69</f>
        <v>98.513554427606991</v>
      </c>
      <c r="I69" s="734">
        <f t="shared" ref="I69:N69" si="31">($O$69/$G$69)^(1/($O$67-$G$67))*H69</f>
        <v>105.10306377596994</v>
      </c>
      <c r="J69" s="734">
        <f t="shared" si="31"/>
        <v>112.13334123694902</v>
      </c>
      <c r="K69" s="734">
        <f t="shared" si="31"/>
        <v>119.63386951082258</v>
      </c>
      <c r="L69" s="734">
        <f t="shared" si="31"/>
        <v>127.63610337704354</v>
      </c>
      <c r="M69" s="734">
        <f t="shared" si="31"/>
        <v>136.17360160536808</v>
      </c>
      <c r="N69" s="734">
        <f t="shared" si="31"/>
        <v>145.28216769043632</v>
      </c>
      <c r="O69" s="735">
        <v>155</v>
      </c>
      <c r="P69" s="734">
        <f>($Y$69/$O$69)^(1/($Y$67-$O$67))*O69</f>
        <v>159.00161221441482</v>
      </c>
      <c r="Q69" s="734">
        <f t="shared" ref="Q69:X69" si="32">($Y$69/$O$69)^(1/($Y$67-$O$67))*P69</f>
        <v>163.10653346311707</v>
      </c>
      <c r="R69" s="734">
        <f t="shared" si="32"/>
        <v>167.31743086025816</v>
      </c>
      <c r="S69" s="734">
        <f t="shared" si="32"/>
        <v>171.63704037648341</v>
      </c>
      <c r="T69" s="734">
        <f t="shared" si="32"/>
        <v>176.06816861659016</v>
      </c>
      <c r="U69" s="734">
        <f t="shared" si="32"/>
        <v>180.61369464307916</v>
      </c>
      <c r="V69" s="734">
        <f t="shared" si="32"/>
        <v>185.27657184678452</v>
      </c>
      <c r="W69" s="734">
        <f t="shared" si="32"/>
        <v>190.05982986579741</v>
      </c>
      <c r="X69" s="734">
        <f t="shared" si="32"/>
        <v>194.96657655393017</v>
      </c>
      <c r="Y69" s="735">
        <v>200</v>
      </c>
      <c r="Z69" s="734">
        <f>($AI$69/$Y$69)^(1/($AI$67-$Y$67))*Y69</f>
        <v>204.1002818892168</v>
      </c>
      <c r="AA69" s="734">
        <f t="shared" ref="AA69:AH69" si="33">($AI$69/$Y$69)^(1/($AI$67-$Y$67))*Z69</f>
        <v>208.2846253362888</v>
      </c>
      <c r="AB69" s="734">
        <f t="shared" si="33"/>
        <v>212.55475372163227</v>
      </c>
      <c r="AC69" s="734">
        <f t="shared" si="33"/>
        <v>216.91242575739099</v>
      </c>
      <c r="AD69" s="734">
        <f t="shared" si="33"/>
        <v>221.35943621178657</v>
      </c>
      <c r="AE69" s="734">
        <f t="shared" si="33"/>
        <v>225.89761664831872</v>
      </c>
      <c r="AF69" s="734">
        <f t="shared" si="33"/>
        <v>230.52883618012044</v>
      </c>
      <c r="AG69" s="734">
        <f t="shared" si="33"/>
        <v>235.25500223977832</v>
      </c>
      <c r="AH69" s="734">
        <f t="shared" si="33"/>
        <v>240.07806136493542</v>
      </c>
      <c r="AI69" s="735">
        <v>245</v>
      </c>
      <c r="AJ69" s="430">
        <f t="shared" si="29"/>
        <v>248.8022183638368</v>
      </c>
      <c r="AK69" s="430">
        <f t="shared" si="29"/>
        <v>253.45915016798972</v>
      </c>
      <c r="AL69" s="430">
        <f t="shared" si="29"/>
        <v>258.116730073074</v>
      </c>
      <c r="AM69" s="430">
        <f t="shared" si="29"/>
        <v>262.76470012501886</v>
      </c>
      <c r="AN69" s="430">
        <f t="shared" si="29"/>
        <v>267.39402937401974</v>
      </c>
      <c r="AX69" s="430">
        <f>FORECAST(AX$67,AD69:AN69,AD$67:AN$67)</f>
        <v>271.99802193637879</v>
      </c>
      <c r="AY69" s="430">
        <f t="shared" si="30"/>
        <v>276.57376315881811</v>
      </c>
      <c r="AZ69" s="430">
        <f t="shared" si="30"/>
        <v>281.12396643489228</v>
      </c>
      <c r="BA69" s="430">
        <f t="shared" si="30"/>
        <v>285.65928752739273</v>
      </c>
      <c r="BB69" s="430">
        <f t="shared" si="30"/>
        <v>290.20117570827824</v>
      </c>
    </row>
    <row r="70" spans="1:68">
      <c r="A70" s="430">
        <v>3</v>
      </c>
      <c r="B70" s="430" t="s">
        <v>1015</v>
      </c>
    </row>
    <row r="72" spans="1:68">
      <c r="AF72" t="s">
        <v>162</v>
      </c>
    </row>
    <row r="74" spans="1:68" s="430" customFormat="1">
      <c r="C74" s="430" t="s">
        <v>1093</v>
      </c>
      <c r="BI74"/>
      <c r="BJ74"/>
      <c r="BK74"/>
      <c r="BL74"/>
      <c r="BM74"/>
      <c r="BN74"/>
      <c r="BO74"/>
      <c r="BP74"/>
    </row>
    <row r="75" spans="1:68" s="430" customFormat="1">
      <c r="C75" s="430" t="s">
        <v>162</v>
      </c>
      <c r="D75" s="430">
        <v>2009</v>
      </c>
      <c r="E75" s="430">
        <v>2010</v>
      </c>
      <c r="F75" s="430">
        <f t="shared" ref="F75:BB75" si="34">+E75+1</f>
        <v>2011</v>
      </c>
      <c r="G75" s="430">
        <f t="shared" si="34"/>
        <v>2012</v>
      </c>
      <c r="H75" s="430">
        <f t="shared" si="34"/>
        <v>2013</v>
      </c>
      <c r="I75" s="430">
        <f t="shared" si="34"/>
        <v>2014</v>
      </c>
      <c r="J75" s="430">
        <f t="shared" si="34"/>
        <v>2015</v>
      </c>
      <c r="K75" s="430">
        <f t="shared" si="34"/>
        <v>2016</v>
      </c>
      <c r="L75" s="430">
        <f t="shared" si="34"/>
        <v>2017</v>
      </c>
      <c r="M75" s="430">
        <f t="shared" si="34"/>
        <v>2018</v>
      </c>
      <c r="N75" s="430">
        <f t="shared" si="34"/>
        <v>2019</v>
      </c>
      <c r="O75" s="430">
        <f t="shared" si="34"/>
        <v>2020</v>
      </c>
      <c r="P75" s="430">
        <f t="shared" si="34"/>
        <v>2021</v>
      </c>
      <c r="Q75" s="430">
        <f t="shared" si="34"/>
        <v>2022</v>
      </c>
      <c r="R75" s="430">
        <f t="shared" si="34"/>
        <v>2023</v>
      </c>
      <c r="S75" s="430">
        <f t="shared" si="34"/>
        <v>2024</v>
      </c>
      <c r="T75" s="430">
        <f t="shared" si="34"/>
        <v>2025</v>
      </c>
      <c r="U75" s="430">
        <f t="shared" si="34"/>
        <v>2026</v>
      </c>
      <c r="V75" s="430">
        <f t="shared" si="34"/>
        <v>2027</v>
      </c>
      <c r="W75" s="430">
        <f t="shared" si="34"/>
        <v>2028</v>
      </c>
      <c r="X75" s="430">
        <f t="shared" si="34"/>
        <v>2029</v>
      </c>
      <c r="Y75" s="430">
        <f t="shared" si="34"/>
        <v>2030</v>
      </c>
      <c r="Z75" s="430">
        <f t="shared" si="34"/>
        <v>2031</v>
      </c>
      <c r="AA75" s="430">
        <f t="shared" si="34"/>
        <v>2032</v>
      </c>
      <c r="AB75" s="430">
        <f t="shared" si="34"/>
        <v>2033</v>
      </c>
      <c r="AC75" s="430">
        <f t="shared" si="34"/>
        <v>2034</v>
      </c>
      <c r="AD75" s="430">
        <f t="shared" si="34"/>
        <v>2035</v>
      </c>
      <c r="AE75" s="430">
        <f t="shared" si="34"/>
        <v>2036</v>
      </c>
      <c r="AF75" s="430">
        <f t="shared" si="34"/>
        <v>2037</v>
      </c>
      <c r="AG75" s="430">
        <f t="shared" si="34"/>
        <v>2038</v>
      </c>
      <c r="AH75" s="430">
        <f t="shared" si="34"/>
        <v>2039</v>
      </c>
      <c r="AI75" s="430">
        <f t="shared" si="34"/>
        <v>2040</v>
      </c>
      <c r="AJ75" s="430">
        <f t="shared" si="34"/>
        <v>2041</v>
      </c>
      <c r="AK75" s="430">
        <f t="shared" si="34"/>
        <v>2042</v>
      </c>
      <c r="AL75" s="430">
        <f t="shared" si="34"/>
        <v>2043</v>
      </c>
      <c r="AM75" s="430">
        <f t="shared" si="34"/>
        <v>2044</v>
      </c>
      <c r="AN75" s="430">
        <f t="shared" si="34"/>
        <v>2045</v>
      </c>
      <c r="AX75" s="430">
        <f>+AN75+1</f>
        <v>2046</v>
      </c>
      <c r="AY75" s="430">
        <f t="shared" si="34"/>
        <v>2047</v>
      </c>
      <c r="AZ75" s="430">
        <f t="shared" si="34"/>
        <v>2048</v>
      </c>
      <c r="BA75" s="430">
        <f t="shared" si="34"/>
        <v>2049</v>
      </c>
      <c r="BB75" s="430">
        <f t="shared" si="34"/>
        <v>2050</v>
      </c>
      <c r="BC75" s="430" t="s">
        <v>162</v>
      </c>
      <c r="BD75" s="430" t="s">
        <v>162</v>
      </c>
      <c r="BE75" s="430" t="s">
        <v>1013</v>
      </c>
      <c r="BI75"/>
      <c r="BJ75"/>
      <c r="BK75"/>
      <c r="BL75"/>
      <c r="BM75"/>
      <c r="BN75"/>
      <c r="BO75"/>
      <c r="BP75"/>
    </row>
    <row r="76" spans="1:68" s="430" customFormat="1" ht="51.75">
      <c r="A76" s="430">
        <v>1</v>
      </c>
      <c r="B76" s="430" t="s">
        <v>1014</v>
      </c>
      <c r="C76" s="646" t="s">
        <v>1067</v>
      </c>
      <c r="D76" s="647">
        <v>62.37</v>
      </c>
      <c r="E76" s="647">
        <v>79.39</v>
      </c>
      <c r="F76" s="647">
        <v>92.86</v>
      </c>
      <c r="G76" s="647">
        <v>94.73</v>
      </c>
      <c r="H76" s="647">
        <v>103.71</v>
      </c>
      <c r="I76" s="647">
        <v>110.9</v>
      </c>
      <c r="J76" s="647">
        <v>116.91</v>
      </c>
      <c r="K76" s="647">
        <v>119.92</v>
      </c>
      <c r="L76" s="647">
        <v>122.89</v>
      </c>
      <c r="M76" s="647">
        <v>124</v>
      </c>
      <c r="N76" s="647">
        <v>125.22</v>
      </c>
      <c r="O76" s="647">
        <v>126.68</v>
      </c>
      <c r="P76" s="647">
        <v>127.99</v>
      </c>
      <c r="Q76" s="647">
        <v>129.41999999999999</v>
      </c>
      <c r="R76" s="647">
        <v>130.47999999999999</v>
      </c>
      <c r="S76" s="647">
        <v>131.54</v>
      </c>
      <c r="T76" s="647">
        <v>132.56</v>
      </c>
      <c r="U76" s="647">
        <v>133.47999999999999</v>
      </c>
      <c r="V76" s="647">
        <v>134.34</v>
      </c>
      <c r="W76" s="647">
        <v>135.38</v>
      </c>
      <c r="X76" s="647">
        <v>137.03</v>
      </c>
      <c r="Y76" s="647">
        <v>138.49</v>
      </c>
      <c r="Z76" s="647">
        <v>139.84</v>
      </c>
      <c r="AA76" s="647">
        <v>141.13999999999999</v>
      </c>
      <c r="AB76" s="647">
        <v>142.35</v>
      </c>
      <c r="AC76" s="647">
        <v>143.79</v>
      </c>
      <c r="AD76" s="646">
        <v>144.97999999999999</v>
      </c>
      <c r="AE76" s="430">
        <f t="shared" ref="AE76:BB76" si="35">(($AD$68-$I$68)/21)+AD76</f>
        <v>147.40794146557241</v>
      </c>
      <c r="AF76" s="430">
        <f t="shared" si="35"/>
        <v>149.83588293114482</v>
      </c>
      <c r="AG76" s="430">
        <f t="shared" si="35"/>
        <v>152.26382439671724</v>
      </c>
      <c r="AH76" s="430">
        <f t="shared" si="35"/>
        <v>154.69176586228966</v>
      </c>
      <c r="AI76" s="430">
        <f t="shared" si="35"/>
        <v>157.11970732786207</v>
      </c>
      <c r="AJ76" s="430">
        <f t="shared" si="35"/>
        <v>159.54764879343449</v>
      </c>
      <c r="AK76" s="430">
        <f t="shared" si="35"/>
        <v>161.97559025900691</v>
      </c>
      <c r="AL76" s="430">
        <f t="shared" si="35"/>
        <v>164.40353172457932</v>
      </c>
      <c r="AM76" s="430">
        <f t="shared" si="35"/>
        <v>166.83147319015174</v>
      </c>
      <c r="AN76" s="430">
        <f t="shared" si="35"/>
        <v>169.25941465572416</v>
      </c>
      <c r="AX76" s="430">
        <f>(($AD$68-$I$68)/21)+AN76</f>
        <v>171.68735612129657</v>
      </c>
      <c r="AY76" s="430">
        <f t="shared" si="35"/>
        <v>174.11529758686899</v>
      </c>
      <c r="AZ76" s="430">
        <f t="shared" si="35"/>
        <v>176.54323905244141</v>
      </c>
      <c r="BA76" s="430">
        <f t="shared" si="35"/>
        <v>178.97118051801382</v>
      </c>
      <c r="BB76" s="430">
        <f t="shared" si="35"/>
        <v>181.39912198358624</v>
      </c>
      <c r="BE76" s="648">
        <v>2.4E-2</v>
      </c>
      <c r="BI76"/>
      <c r="BJ76"/>
      <c r="BK76"/>
      <c r="BL76"/>
      <c r="BM76"/>
      <c r="BN76"/>
      <c r="BO76"/>
      <c r="BP76"/>
    </row>
    <row r="77" spans="1:68" s="430" customFormat="1">
      <c r="A77" s="430">
        <v>2</v>
      </c>
      <c r="B77" s="430" t="s">
        <v>1016</v>
      </c>
      <c r="C77" s="430" t="s">
        <v>1016</v>
      </c>
      <c r="D77" s="430">
        <f>+D76</f>
        <v>62.37</v>
      </c>
      <c r="E77" s="430">
        <f>+E76</f>
        <v>79.39</v>
      </c>
      <c r="F77" s="430">
        <f>+F76</f>
        <v>92.86</v>
      </c>
      <c r="G77" s="646">
        <v>139.22</v>
      </c>
      <c r="H77" s="646">
        <v>173.04</v>
      </c>
      <c r="I77" s="646">
        <v>178.88</v>
      </c>
      <c r="J77" s="646">
        <v>182.1</v>
      </c>
      <c r="K77" s="646">
        <v>184.27</v>
      </c>
      <c r="L77" s="646">
        <v>185.75</v>
      </c>
      <c r="M77" s="646">
        <v>187.38</v>
      </c>
      <c r="N77" s="646">
        <v>188.86</v>
      </c>
      <c r="O77" s="646">
        <v>189.93</v>
      </c>
      <c r="P77" s="646">
        <v>191.04</v>
      </c>
      <c r="Q77" s="646">
        <v>191.91</v>
      </c>
      <c r="R77" s="646">
        <v>192.47</v>
      </c>
      <c r="S77" s="646">
        <v>192.85</v>
      </c>
      <c r="T77" s="646">
        <v>193.48</v>
      </c>
      <c r="U77" s="646">
        <v>194.18</v>
      </c>
      <c r="V77" s="646">
        <v>195.14</v>
      </c>
      <c r="W77" s="646">
        <v>195.82</v>
      </c>
      <c r="X77" s="646">
        <v>196.98</v>
      </c>
      <c r="Y77" s="646">
        <v>198.24</v>
      </c>
      <c r="Z77" s="646">
        <v>198.88</v>
      </c>
      <c r="AA77" s="646">
        <v>199.24</v>
      </c>
      <c r="AB77" s="646">
        <v>199.55</v>
      </c>
      <c r="AC77" s="646">
        <v>200.3</v>
      </c>
      <c r="AD77" s="646">
        <v>200.36</v>
      </c>
      <c r="AE77" s="430">
        <f t="shared" ref="AE77:BB77" si="36">(($AD$69-$I$69)/21)+AD77</f>
        <v>205.8960177350389</v>
      </c>
      <c r="AF77" s="430">
        <f t="shared" si="36"/>
        <v>211.43203547007778</v>
      </c>
      <c r="AG77" s="430">
        <f t="shared" si="36"/>
        <v>216.96805320511666</v>
      </c>
      <c r="AH77" s="430">
        <f t="shared" si="36"/>
        <v>222.50407094015554</v>
      </c>
      <c r="AI77" s="430">
        <f t="shared" si="36"/>
        <v>228.04008867519443</v>
      </c>
      <c r="AJ77" s="430">
        <f t="shared" si="36"/>
        <v>233.57610641023331</v>
      </c>
      <c r="AK77" s="430">
        <f t="shared" si="36"/>
        <v>239.11212414527219</v>
      </c>
      <c r="AL77" s="430">
        <f t="shared" si="36"/>
        <v>244.64814188031107</v>
      </c>
      <c r="AM77" s="430">
        <f t="shared" si="36"/>
        <v>250.18415961534996</v>
      </c>
      <c r="AN77" s="430">
        <f t="shared" si="36"/>
        <v>255.72017735038884</v>
      </c>
      <c r="AX77" s="430">
        <f>(($AD$69-$I$69)/21)+AN77</f>
        <v>261.25619508542775</v>
      </c>
      <c r="AY77" s="430">
        <f t="shared" si="36"/>
        <v>266.79221282046666</v>
      </c>
      <c r="AZ77" s="430">
        <f t="shared" si="36"/>
        <v>272.32823055550557</v>
      </c>
      <c r="BA77" s="430">
        <f t="shared" si="36"/>
        <v>277.86424829054448</v>
      </c>
      <c r="BB77" s="430">
        <f t="shared" si="36"/>
        <v>283.40026602558339</v>
      </c>
      <c r="BI77"/>
      <c r="BJ77"/>
      <c r="BK77"/>
      <c r="BL77"/>
      <c r="BM77"/>
      <c r="BN77"/>
      <c r="BO77"/>
      <c r="BP77"/>
    </row>
    <row r="78" spans="1:68" s="430" customFormat="1">
      <c r="A78" s="430">
        <v>3</v>
      </c>
      <c r="B78" s="430" t="s">
        <v>1015</v>
      </c>
      <c r="BI78"/>
      <c r="BJ78"/>
      <c r="BK78"/>
      <c r="BL78"/>
      <c r="BM78"/>
      <c r="BN78"/>
      <c r="BO78"/>
      <c r="BP78"/>
    </row>
    <row r="79" spans="1:68">
      <c r="F79" s="430"/>
    </row>
    <row r="84" spans="63:96">
      <c r="CJ84" t="s">
        <v>1102</v>
      </c>
    </row>
    <row r="85" spans="63:96">
      <c r="BK85" s="430"/>
      <c r="BL85" s="430"/>
      <c r="BM85" s="430"/>
      <c r="BN85" s="430" t="s">
        <v>1076</v>
      </c>
      <c r="BO85" s="430"/>
      <c r="BP85" s="430"/>
      <c r="BQ85" s="430" t="s">
        <v>1077</v>
      </c>
      <c r="BR85" s="430"/>
      <c r="BS85" s="430"/>
      <c r="BT85" s="430" t="s">
        <v>13995</v>
      </c>
      <c r="BU85" s="430"/>
      <c r="BV85" s="430"/>
      <c r="BZ85">
        <v>2020</v>
      </c>
      <c r="CA85">
        <v>2030</v>
      </c>
      <c r="CB85">
        <v>2040</v>
      </c>
      <c r="CC85">
        <v>2050</v>
      </c>
      <c r="CK85">
        <v>2019</v>
      </c>
      <c r="CL85">
        <v>2020</v>
      </c>
      <c r="CM85">
        <v>2021</v>
      </c>
      <c r="CN85">
        <v>2025</v>
      </c>
      <c r="CO85">
        <v>2030</v>
      </c>
      <c r="CP85">
        <v>2035</v>
      </c>
      <c r="CQ85">
        <v>2040</v>
      </c>
      <c r="CR85">
        <v>2050</v>
      </c>
    </row>
    <row r="86" spans="63:96">
      <c r="BK86" s="430" t="s">
        <v>13996</v>
      </c>
      <c r="BL86" s="430"/>
      <c r="BM86" s="430">
        <v>2015</v>
      </c>
      <c r="BN86" s="430">
        <v>2020</v>
      </c>
      <c r="BO86" s="430">
        <v>2030</v>
      </c>
      <c r="BP86" s="430">
        <v>2040</v>
      </c>
      <c r="BQ86" s="430">
        <v>2020</v>
      </c>
      <c r="BR86" s="430">
        <v>2030</v>
      </c>
      <c r="BS86" s="430">
        <v>2040</v>
      </c>
      <c r="BT86" s="430">
        <v>2020</v>
      </c>
      <c r="BU86" s="430">
        <v>2030</v>
      </c>
      <c r="BV86" s="430">
        <v>2040</v>
      </c>
      <c r="BY86" t="s">
        <v>1077</v>
      </c>
      <c r="BZ86">
        <v>62</v>
      </c>
      <c r="CA86">
        <v>105</v>
      </c>
      <c r="CB86">
        <v>127</v>
      </c>
      <c r="CC86">
        <v>140</v>
      </c>
      <c r="CJ86" t="s">
        <v>14373</v>
      </c>
      <c r="CK86">
        <v>63</v>
      </c>
      <c r="CL86">
        <v>40</v>
      </c>
      <c r="CM86">
        <f>(62+54)/2</f>
        <v>58</v>
      </c>
      <c r="CN86">
        <v>71</v>
      </c>
      <c r="CO86">
        <v>76</v>
      </c>
      <c r="CP86">
        <v>81</v>
      </c>
      <c r="CQ86">
        <v>85</v>
      </c>
      <c r="CR86">
        <f>FORECAST(CR85,CP86:CQ86,CP85:CQ85)</f>
        <v>93</v>
      </c>
    </row>
    <row r="87" spans="63:96">
      <c r="BK87" s="430" t="s">
        <v>13997</v>
      </c>
      <c r="BL87" s="430" t="s">
        <v>13998</v>
      </c>
      <c r="BM87" s="430">
        <v>51</v>
      </c>
      <c r="BN87" s="430">
        <v>79</v>
      </c>
      <c r="BO87" s="430">
        <v>111</v>
      </c>
      <c r="BP87" s="430">
        <v>124</v>
      </c>
      <c r="BQ87" s="430">
        <v>82</v>
      </c>
      <c r="BR87" s="430">
        <v>127</v>
      </c>
      <c r="BS87" s="430">
        <v>146</v>
      </c>
      <c r="BT87" s="430">
        <v>73</v>
      </c>
      <c r="BU87" s="430">
        <v>85</v>
      </c>
      <c r="BV87" s="430">
        <v>78</v>
      </c>
      <c r="BY87" t="s">
        <v>14373</v>
      </c>
      <c r="BZ87">
        <v>62</v>
      </c>
      <c r="CA87">
        <v>84</v>
      </c>
      <c r="CB87">
        <v>96</v>
      </c>
      <c r="CC87">
        <v>100</v>
      </c>
      <c r="CJ87" t="s">
        <v>14381</v>
      </c>
      <c r="CK87">
        <f>CK86</f>
        <v>63</v>
      </c>
      <c r="CL87">
        <v>40</v>
      </c>
      <c r="CM87">
        <f>CM86</f>
        <v>58</v>
      </c>
      <c r="CN87">
        <v>57</v>
      </c>
      <c r="CO87" s="1397">
        <f>($CQ87-$CN87)/($CQ$85-$CN$85)*(CO$85-$CN$85)+$CN87</f>
        <v>55.666666666666664</v>
      </c>
      <c r="CP87" s="1397">
        <f>($CQ87-$CN87)/($CQ$85-$CN$85)*(CP$85-$CN$85)+$CN87</f>
        <v>54.333333333333336</v>
      </c>
      <c r="CQ87">
        <v>53</v>
      </c>
      <c r="CR87" s="1397">
        <f t="shared" ref="CR87:CR88" si="37">FORECAST(CR86,CP87:CQ87,CP86:CQ86)</f>
        <v>50.333333333333329</v>
      </c>
    </row>
    <row r="88" spans="63:96">
      <c r="BK88" s="430" t="s">
        <v>1764</v>
      </c>
      <c r="BL88" s="430" t="s">
        <v>13999</v>
      </c>
      <c r="BM88" s="430"/>
      <c r="BN88" s="430"/>
      <c r="BO88" s="430"/>
      <c r="BP88" s="430"/>
      <c r="BQ88" s="430"/>
      <c r="BR88" s="430"/>
      <c r="BS88" s="430"/>
      <c r="BT88" s="430"/>
      <c r="BU88" s="430"/>
      <c r="BV88" s="430"/>
      <c r="BY88" t="s">
        <v>14374</v>
      </c>
      <c r="BZ88">
        <v>62</v>
      </c>
      <c r="CA88">
        <v>60</v>
      </c>
      <c r="CB88">
        <v>58</v>
      </c>
      <c r="CC88">
        <v>58</v>
      </c>
      <c r="CJ88" t="s">
        <v>14382</v>
      </c>
      <c r="CK88">
        <f>CK87</f>
        <v>63</v>
      </c>
      <c r="CL88">
        <v>40</v>
      </c>
      <c r="CM88">
        <f>CM87</f>
        <v>58</v>
      </c>
      <c r="CN88">
        <v>59</v>
      </c>
      <c r="CO88" s="1397">
        <f>($CQ88-$CN88)/($CQ$85-$CN$85)*(CO$85-$CN$85)+$CN88</f>
        <v>63.333333333333336</v>
      </c>
      <c r="CP88" s="1397">
        <f>($CQ88-$CN88)/($CQ$85-$CN$85)*(CP$85-$CN$85)+$CN88</f>
        <v>67.666666666666671</v>
      </c>
      <c r="CQ88">
        <v>72</v>
      </c>
      <c r="CR88" s="1397">
        <f t="shared" si="37"/>
        <v>80.666666666666657</v>
      </c>
    </row>
    <row r="89" spans="63:96">
      <c r="BK89" s="430" t="s">
        <v>382</v>
      </c>
      <c r="BL89" s="430"/>
      <c r="BM89" s="430">
        <v>2.6</v>
      </c>
      <c r="BN89" s="430">
        <v>4.0999999999999996</v>
      </c>
      <c r="BO89" s="430">
        <v>5.4</v>
      </c>
      <c r="BP89" s="430">
        <v>6.9</v>
      </c>
      <c r="BQ89" s="430">
        <v>4.3</v>
      </c>
      <c r="BR89" s="430">
        <v>5.9</v>
      </c>
      <c r="BS89" s="430">
        <v>7.9</v>
      </c>
      <c r="BT89" s="430">
        <v>3.9</v>
      </c>
      <c r="BU89" s="430">
        <v>4.8</v>
      </c>
      <c r="BV89" s="430">
        <v>5.4</v>
      </c>
    </row>
    <row r="90" spans="63:96">
      <c r="BK90" s="430" t="s">
        <v>14000</v>
      </c>
      <c r="BL90" s="430"/>
      <c r="BM90" s="430">
        <v>7</v>
      </c>
      <c r="BN90" s="430">
        <v>7.1</v>
      </c>
      <c r="BO90" s="430">
        <v>10.3</v>
      </c>
      <c r="BP90" s="430">
        <v>11.5</v>
      </c>
      <c r="BQ90" s="430">
        <v>7.3</v>
      </c>
      <c r="BR90" s="430">
        <v>11.1</v>
      </c>
      <c r="BS90" s="430">
        <v>13</v>
      </c>
      <c r="BT90" s="430">
        <v>6.9</v>
      </c>
      <c r="BU90" s="430">
        <v>9.4</v>
      </c>
      <c r="BV90" s="430">
        <v>9.9</v>
      </c>
      <c r="CJ90" t="s">
        <v>14386</v>
      </c>
      <c r="CL90">
        <v>1</v>
      </c>
    </row>
    <row r="91" spans="63:96">
      <c r="BK91" s="430" t="s">
        <v>14001</v>
      </c>
      <c r="BL91" s="430"/>
      <c r="BM91" s="430">
        <v>9.6999999999999993</v>
      </c>
      <c r="BN91" s="430">
        <v>9.1999999999999993</v>
      </c>
      <c r="BO91" s="430">
        <v>11.6</v>
      </c>
      <c r="BP91" s="430">
        <v>12.1</v>
      </c>
      <c r="BQ91" s="430">
        <v>9.5</v>
      </c>
      <c r="BR91" s="430">
        <v>12.5</v>
      </c>
      <c r="BS91" s="430">
        <v>13.9</v>
      </c>
      <c r="BT91" s="430">
        <v>8.6</v>
      </c>
      <c r="BU91" s="430">
        <v>10.4</v>
      </c>
      <c r="BV91" s="430">
        <v>10.5</v>
      </c>
      <c r="CK91" s="39">
        <v>2021</v>
      </c>
      <c r="CL91">
        <v>2030</v>
      </c>
      <c r="CM91">
        <v>2050</v>
      </c>
    </row>
    <row r="92" spans="63:96">
      <c r="BK92" s="430" t="s">
        <v>1087</v>
      </c>
      <c r="BL92" s="430"/>
      <c r="BM92" s="430">
        <v>10.3</v>
      </c>
      <c r="BN92" s="430">
        <v>9.6</v>
      </c>
      <c r="BO92" s="430">
        <v>11.9</v>
      </c>
      <c r="BP92" s="430">
        <v>12.4</v>
      </c>
      <c r="BQ92" s="430">
        <v>9.9</v>
      </c>
      <c r="BR92" s="430">
        <v>13</v>
      </c>
      <c r="BS92" s="430">
        <v>14.4</v>
      </c>
      <c r="BT92" s="430">
        <v>9</v>
      </c>
      <c r="BU92" s="430">
        <v>10.8</v>
      </c>
      <c r="BV92" s="430">
        <v>10.9</v>
      </c>
      <c r="CJ92" t="str">
        <f>CJ86</f>
        <v>Stated Policies</v>
      </c>
      <c r="CK92">
        <f>CM86*$CL$90</f>
        <v>58</v>
      </c>
      <c r="CL92">
        <f>CO86*$CL$90</f>
        <v>76</v>
      </c>
      <c r="CM92">
        <f>CR86*$CL$90</f>
        <v>93</v>
      </c>
    </row>
    <row r="93" spans="63:96">
      <c r="BK93" s="430" t="s">
        <v>14002</v>
      </c>
      <c r="BL93" s="430" t="s">
        <v>14003</v>
      </c>
      <c r="BM93" s="430"/>
      <c r="BN93" s="430"/>
      <c r="BO93" s="430"/>
      <c r="BP93" s="430"/>
      <c r="BQ93" s="430"/>
      <c r="BR93" s="430"/>
      <c r="BS93" s="430"/>
      <c r="BT93" s="430"/>
      <c r="BU93" s="430"/>
      <c r="BV93" s="430"/>
      <c r="CJ93" s="1409" t="str">
        <f t="shared" ref="CJ93:CJ94" si="38">CJ87</f>
        <v>Sustainable Development</v>
      </c>
      <c r="CK93" s="1409">
        <f t="shared" ref="CK93:CK94" si="39">CM87*$CL$90</f>
        <v>58</v>
      </c>
      <c r="CL93" s="433">
        <f t="shared" ref="CL93:CL94" si="40">CO87*$CL$90</f>
        <v>55.666666666666664</v>
      </c>
      <c r="CM93" s="433">
        <f t="shared" ref="CM93:CM94" si="41">CR87*$CL$90</f>
        <v>50.333333333333329</v>
      </c>
    </row>
    <row r="94" spans="63:96">
      <c r="BK94" s="430" t="s">
        <v>14004</v>
      </c>
      <c r="BL94" s="430"/>
      <c r="BM94" s="430">
        <v>64</v>
      </c>
      <c r="BN94" s="430">
        <v>72</v>
      </c>
      <c r="BO94" s="430">
        <v>83</v>
      </c>
      <c r="BP94" s="430">
        <v>87</v>
      </c>
      <c r="BQ94" s="430">
        <v>74</v>
      </c>
      <c r="BR94" s="430">
        <v>91</v>
      </c>
      <c r="BS94" s="430">
        <v>100</v>
      </c>
      <c r="BT94" s="430">
        <v>66</v>
      </c>
      <c r="BU94" s="430">
        <v>64</v>
      </c>
      <c r="BV94" s="430">
        <v>57</v>
      </c>
      <c r="CJ94" s="1409" t="str">
        <f t="shared" si="38"/>
        <v>Delayed Recovery</v>
      </c>
      <c r="CK94" s="1409">
        <f t="shared" si="39"/>
        <v>58</v>
      </c>
      <c r="CL94" s="433">
        <f t="shared" si="40"/>
        <v>63.333333333333336</v>
      </c>
      <c r="CM94" s="433">
        <f t="shared" si="41"/>
        <v>80.666666666666657</v>
      </c>
    </row>
    <row r="95" spans="63:96">
      <c r="BK95" s="430" t="s">
        <v>382</v>
      </c>
      <c r="BL95" s="430"/>
      <c r="BM95" s="430">
        <v>51</v>
      </c>
      <c r="BN95" s="430">
        <v>55</v>
      </c>
      <c r="BO95" s="430">
        <v>58</v>
      </c>
      <c r="BP95" s="430">
        <v>60</v>
      </c>
      <c r="BQ95" s="430">
        <v>56</v>
      </c>
      <c r="BR95" s="430">
        <v>61</v>
      </c>
      <c r="BS95" s="430">
        <v>64</v>
      </c>
      <c r="BT95" s="430">
        <v>53</v>
      </c>
      <c r="BU95" s="430">
        <v>52</v>
      </c>
      <c r="BV95" s="430">
        <v>49</v>
      </c>
    </row>
    <row r="96" spans="63:96">
      <c r="BK96" s="430" t="s">
        <v>14000</v>
      </c>
      <c r="BL96" s="430"/>
      <c r="BM96" s="430">
        <v>57</v>
      </c>
      <c r="BN96" s="430">
        <v>63</v>
      </c>
      <c r="BO96" s="430">
        <v>74</v>
      </c>
      <c r="BP96" s="430">
        <v>77</v>
      </c>
      <c r="BQ96" s="430">
        <v>65</v>
      </c>
      <c r="BR96" s="430">
        <v>80</v>
      </c>
      <c r="BS96" s="430">
        <v>88</v>
      </c>
      <c r="BT96" s="430">
        <v>58</v>
      </c>
      <c r="BU96" s="430">
        <v>57</v>
      </c>
      <c r="BV96" s="430">
        <v>51</v>
      </c>
      <c r="CJ96" t="s">
        <v>1007</v>
      </c>
      <c r="CL96" t="s">
        <v>14401</v>
      </c>
      <c r="CO96" t="s">
        <v>1088</v>
      </c>
      <c r="CR96" t="s">
        <v>14001</v>
      </c>
    </row>
    <row r="97" spans="63:98">
      <c r="BK97" s="430" t="s">
        <v>14005</v>
      </c>
      <c r="BL97" s="430"/>
      <c r="BM97" s="430">
        <v>72</v>
      </c>
      <c r="BN97" s="430">
        <v>78</v>
      </c>
      <c r="BO97" s="430">
        <v>86</v>
      </c>
      <c r="BP97" s="430">
        <v>89</v>
      </c>
      <c r="BQ97" s="430">
        <v>79</v>
      </c>
      <c r="BR97" s="430">
        <v>92</v>
      </c>
      <c r="BS97" s="430">
        <v>98</v>
      </c>
      <c r="BT97" s="430">
        <v>73</v>
      </c>
      <c r="BU97" s="430">
        <v>72</v>
      </c>
      <c r="BV97" s="430">
        <v>67</v>
      </c>
      <c r="CL97">
        <v>2025</v>
      </c>
      <c r="CM97">
        <v>2040</v>
      </c>
      <c r="CN97" t="s">
        <v>14402</v>
      </c>
      <c r="CO97">
        <f>CL97</f>
        <v>2025</v>
      </c>
      <c r="CP97" s="1409">
        <f>CM97</f>
        <v>2040</v>
      </c>
      <c r="CQ97" s="1409" t="s">
        <v>14402</v>
      </c>
      <c r="CR97" s="1409">
        <f>CO97</f>
        <v>2025</v>
      </c>
      <c r="CS97" s="1409">
        <f>CP97</f>
        <v>2040</v>
      </c>
      <c r="CT97" s="1409" t="s">
        <v>14402</v>
      </c>
    </row>
    <row r="98" spans="63:98">
      <c r="BK98" s="430" t="s">
        <v>1087</v>
      </c>
      <c r="BL98" s="430"/>
      <c r="BM98" s="430">
        <v>59</v>
      </c>
      <c r="BN98" s="430">
        <v>66</v>
      </c>
      <c r="BO98" s="430">
        <v>77</v>
      </c>
      <c r="BP98" s="430">
        <v>80</v>
      </c>
      <c r="BQ98" s="430">
        <v>68</v>
      </c>
      <c r="BR98" s="430">
        <v>84</v>
      </c>
      <c r="BS98" s="430">
        <v>92</v>
      </c>
      <c r="BT98" s="430">
        <v>61</v>
      </c>
      <c r="BU98" s="430">
        <v>59</v>
      </c>
      <c r="BV98" s="430">
        <v>53</v>
      </c>
      <c r="CJ98" t="str">
        <f>CJ86</f>
        <v>Stated Policies</v>
      </c>
      <c r="CL98">
        <v>3.5</v>
      </c>
      <c r="CM98">
        <v>4.2</v>
      </c>
      <c r="CN98" s="1397">
        <f>(CM98/CL98-1)/($CQ86/$CN86-1)</f>
        <v>1.0142857142857142</v>
      </c>
      <c r="CO98">
        <v>6.7</v>
      </c>
      <c r="CP98">
        <v>8.3000000000000007</v>
      </c>
      <c r="CQ98" s="1397">
        <f>(CP98/CO98-1)/($CQ86/$CN86-1)</f>
        <v>1.2110874200426442</v>
      </c>
      <c r="CR98">
        <v>8.4</v>
      </c>
      <c r="CS98">
        <v>8.8000000000000007</v>
      </c>
      <c r="CT98" s="1397">
        <f>(CS98/CR98-1)/($CQ86/$CN86-1)</f>
        <v>0.24149659863945611</v>
      </c>
    </row>
    <row r="99" spans="63:98">
      <c r="CJ99" s="1409" t="str">
        <f t="shared" ref="CJ99:CJ100" si="42">CJ87</f>
        <v>Sustainable Development</v>
      </c>
      <c r="CL99">
        <v>2.1</v>
      </c>
      <c r="CM99">
        <v>2</v>
      </c>
      <c r="CN99" s="1397">
        <f t="shared" ref="CN99:CN100" si="43">(CM99/CL99-1)/($CQ87/$CN87-1)</f>
        <v>0.67857142857142938</v>
      </c>
      <c r="CO99">
        <v>4.8</v>
      </c>
      <c r="CP99">
        <v>4.9000000000000004</v>
      </c>
      <c r="CQ99" s="1397">
        <f t="shared" ref="CQ99:CQ100" si="44">(CP99/CO99-1)/($CQ87/$CN87-1)</f>
        <v>-0.29687500000000211</v>
      </c>
      <c r="CR99">
        <v>6</v>
      </c>
      <c r="CS99">
        <v>6.4</v>
      </c>
      <c r="CT99" s="1397">
        <f t="shared" ref="CT99:CT100" si="45">(CS99/CR99-1)/($CQ87/$CN87-1)</f>
        <v>-0.94999999999999984</v>
      </c>
    </row>
    <row r="100" spans="63:98">
      <c r="CJ100" s="1409" t="str">
        <f t="shared" si="42"/>
        <v>Delayed Recovery</v>
      </c>
      <c r="CL100">
        <v>3.2</v>
      </c>
      <c r="CM100">
        <v>3.7</v>
      </c>
      <c r="CN100" s="1397">
        <f t="shared" si="43"/>
        <v>0.70913461538461509</v>
      </c>
      <c r="CO100">
        <v>6.3</v>
      </c>
      <c r="CP100">
        <v>7.6</v>
      </c>
      <c r="CQ100" s="1397">
        <f t="shared" si="44"/>
        <v>0.93650793650793585</v>
      </c>
      <c r="CR100">
        <v>7.9</v>
      </c>
      <c r="CS100">
        <v>8.1999999999999993</v>
      </c>
      <c r="CT100" s="1397">
        <f t="shared" si="45"/>
        <v>0.17234664070106992</v>
      </c>
    </row>
    <row r="102" spans="63:98">
      <c r="CJ102" t="s">
        <v>14394</v>
      </c>
    </row>
    <row r="103" spans="63:98">
      <c r="CK103">
        <f t="shared" ref="CK103:CR103" si="46">CK85</f>
        <v>2019</v>
      </c>
      <c r="CL103" s="1409">
        <f t="shared" si="46"/>
        <v>2020</v>
      </c>
      <c r="CM103" s="1409">
        <f t="shared" si="46"/>
        <v>2021</v>
      </c>
      <c r="CN103" s="1409">
        <f t="shared" si="46"/>
        <v>2025</v>
      </c>
      <c r="CO103" s="1409">
        <f t="shared" si="46"/>
        <v>2030</v>
      </c>
      <c r="CP103" s="1409">
        <f t="shared" si="46"/>
        <v>2035</v>
      </c>
      <c r="CQ103" s="1409">
        <f t="shared" si="46"/>
        <v>2040</v>
      </c>
      <c r="CR103" s="1409">
        <f t="shared" si="46"/>
        <v>2050</v>
      </c>
    </row>
    <row r="104" spans="63:98">
      <c r="CJ104" t="str">
        <f>CJ86</f>
        <v>Stated Policies</v>
      </c>
      <c r="CK104">
        <v>46</v>
      </c>
      <c r="CN104">
        <v>53</v>
      </c>
      <c r="CO104">
        <v>44</v>
      </c>
      <c r="CP104">
        <v>47</v>
      </c>
      <c r="CQ104">
        <v>50</v>
      </c>
    </row>
    <row r="105" spans="63:98">
      <c r="CJ105" s="1409" t="str">
        <f>CJ87</f>
        <v>Sustainable Development</v>
      </c>
      <c r="CK105" s="1409">
        <v>46</v>
      </c>
      <c r="CN105">
        <v>37</v>
      </c>
      <c r="CQ105">
        <v>32</v>
      </c>
    </row>
    <row r="106" spans="63:98">
      <c r="CJ106" s="1409" t="str">
        <f>CJ88</f>
        <v>Delayed Recovery</v>
      </c>
      <c r="CK106" s="1409">
        <v>46</v>
      </c>
      <c r="CN106">
        <v>48</v>
      </c>
      <c r="CQ106">
        <v>44</v>
      </c>
    </row>
    <row r="108" spans="63:98">
      <c r="CJ108" s="1409" t="s">
        <v>14389</v>
      </c>
      <c r="CK108" s="1409"/>
      <c r="CL108" s="1409"/>
      <c r="CM108" s="1409"/>
      <c r="CN108" s="1409"/>
      <c r="CO108" s="1409"/>
      <c r="CP108" s="1409"/>
      <c r="CQ108" s="1409"/>
      <c r="CR108" s="1409"/>
    </row>
    <row r="109" spans="63:98">
      <c r="CJ109" s="1409"/>
      <c r="CK109" s="1409">
        <f>CK103</f>
        <v>2019</v>
      </c>
      <c r="CL109" s="1409">
        <f t="shared" ref="CL109:CR109" si="47">CL103</f>
        <v>2020</v>
      </c>
      <c r="CM109" s="1409">
        <f t="shared" si="47"/>
        <v>2021</v>
      </c>
      <c r="CN109" s="1409">
        <f t="shared" si="47"/>
        <v>2025</v>
      </c>
      <c r="CO109" s="1409">
        <f t="shared" si="47"/>
        <v>2030</v>
      </c>
      <c r="CP109" s="1409">
        <f t="shared" si="47"/>
        <v>2035</v>
      </c>
      <c r="CQ109" s="1409">
        <f t="shared" si="47"/>
        <v>2040</v>
      </c>
      <c r="CR109" s="1409">
        <f t="shared" si="47"/>
        <v>2050</v>
      </c>
    </row>
    <row r="110" spans="63:98">
      <c r="CJ110" s="1409" t="str">
        <f>CJ92</f>
        <v>Stated Policies</v>
      </c>
      <c r="CK110" s="1409">
        <v>61</v>
      </c>
      <c r="CL110" s="1409"/>
      <c r="CM110" s="1409"/>
      <c r="CN110" s="1409">
        <v>66</v>
      </c>
      <c r="CO110" s="1409">
        <v>71</v>
      </c>
      <c r="CP110" s="1409">
        <v>70</v>
      </c>
      <c r="CQ110" s="1409">
        <v>69</v>
      </c>
      <c r="CR110" s="1409"/>
    </row>
    <row r="111" spans="63:98">
      <c r="CJ111" s="1409" t="str">
        <f>CJ93</f>
        <v>Sustainable Development</v>
      </c>
      <c r="CK111" s="1409">
        <v>61</v>
      </c>
      <c r="CL111" s="1409"/>
      <c r="CM111" s="1409"/>
      <c r="CN111" s="1409">
        <v>57</v>
      </c>
      <c r="CO111" s="1409"/>
      <c r="CP111" s="1409"/>
      <c r="CQ111" s="1409">
        <v>55</v>
      </c>
      <c r="CR111" s="1409"/>
    </row>
    <row r="112" spans="63:98">
      <c r="CJ112" s="1409" t="str">
        <f>CJ94</f>
        <v>Delayed Recovery</v>
      </c>
      <c r="CK112" s="1409">
        <v>61</v>
      </c>
      <c r="CL112" s="1409"/>
      <c r="CM112" s="1409"/>
      <c r="CN112" s="1409">
        <v>60</v>
      </c>
      <c r="CO112" s="1409"/>
      <c r="CP112" s="1409"/>
      <c r="CQ112" s="1409">
        <v>64</v>
      </c>
      <c r="CR112" s="1409"/>
    </row>
    <row r="114" spans="88:96">
      <c r="CJ114" s="1409" t="s">
        <v>14396</v>
      </c>
      <c r="CK114" s="1409"/>
      <c r="CL114" s="1409"/>
      <c r="CM114" s="1409"/>
      <c r="CN114" s="1409"/>
      <c r="CO114" s="1409"/>
      <c r="CP114" s="1409"/>
      <c r="CQ114" s="1409"/>
      <c r="CR114" s="1409"/>
    </row>
    <row r="115" spans="88:96">
      <c r="CJ115" s="1409"/>
      <c r="CK115" s="1409">
        <f>CK109</f>
        <v>2019</v>
      </c>
      <c r="CL115" s="1409">
        <f t="shared" ref="CL115:CR115" si="48">CL109</f>
        <v>2020</v>
      </c>
      <c r="CM115" s="1409">
        <f t="shared" si="48"/>
        <v>2021</v>
      </c>
      <c r="CN115" s="1409">
        <f t="shared" si="48"/>
        <v>2025</v>
      </c>
      <c r="CO115" s="1409">
        <f t="shared" si="48"/>
        <v>2030</v>
      </c>
      <c r="CP115" s="1409">
        <f t="shared" si="48"/>
        <v>2035</v>
      </c>
      <c r="CQ115" s="1409">
        <f t="shared" si="48"/>
        <v>2040</v>
      </c>
      <c r="CR115" s="1409">
        <f t="shared" si="48"/>
        <v>2050</v>
      </c>
    </row>
    <row r="116" spans="88:96">
      <c r="CJ116" s="1409" t="str">
        <f>CJ104</f>
        <v>Stated Policies</v>
      </c>
      <c r="CK116" s="1409">
        <v>92</v>
      </c>
      <c r="CL116" s="1409"/>
      <c r="CM116" s="1409"/>
      <c r="CN116" s="1409">
        <v>83</v>
      </c>
      <c r="CO116" s="1409">
        <v>83</v>
      </c>
      <c r="CP116" s="1409">
        <v>82</v>
      </c>
      <c r="CQ116" s="1409">
        <v>79</v>
      </c>
      <c r="CR116" s="1409"/>
    </row>
    <row r="117" spans="88:96">
      <c r="CJ117" s="1409" t="str">
        <f t="shared" ref="CJ117:CJ118" si="49">CJ105</f>
        <v>Sustainable Development</v>
      </c>
      <c r="CK117" s="1409">
        <v>92</v>
      </c>
      <c r="CL117" s="1409"/>
      <c r="CM117" s="1409"/>
      <c r="CN117" s="1409">
        <v>73</v>
      </c>
      <c r="CO117" s="1409"/>
      <c r="CP117" s="1409"/>
      <c r="CQ117" s="1409">
        <v>67</v>
      </c>
      <c r="CR117" s="1409"/>
    </row>
    <row r="118" spans="88:96">
      <c r="CJ118" s="1409" t="str">
        <f t="shared" si="49"/>
        <v>Delayed Recovery</v>
      </c>
      <c r="CK118" s="1409">
        <v>92</v>
      </c>
      <c r="CL118" s="1409"/>
      <c r="CM118" s="1409"/>
      <c r="CN118" s="1409">
        <v>76</v>
      </c>
      <c r="CO118" s="1409"/>
      <c r="CP118" s="1409"/>
      <c r="CQ118" s="1409">
        <v>73</v>
      </c>
      <c r="CR118" s="1409"/>
    </row>
    <row r="120" spans="88:96">
      <c r="CJ120" s="1409" t="s">
        <v>14400</v>
      </c>
      <c r="CK120" s="1409"/>
      <c r="CL120" s="1409"/>
      <c r="CM120" s="1409"/>
      <c r="CN120" s="1409"/>
      <c r="CO120" s="1409"/>
      <c r="CP120" s="1409"/>
      <c r="CQ120" s="1409"/>
    </row>
    <row r="121" spans="88:96">
      <c r="CJ121" s="1409"/>
      <c r="CK121" s="1409" t="s">
        <v>14391</v>
      </c>
      <c r="CL121" s="1409" t="s">
        <v>14393</v>
      </c>
      <c r="CM121" s="1409" t="s">
        <v>14395</v>
      </c>
      <c r="CN121" s="1409" t="s">
        <v>14392</v>
      </c>
      <c r="CO121" s="1409" t="s">
        <v>14399</v>
      </c>
      <c r="CP121" s="1409" t="s">
        <v>14397</v>
      </c>
      <c r="CQ121" s="1409" t="s">
        <v>14398</v>
      </c>
    </row>
    <row r="122" spans="88:96">
      <c r="CJ122" s="1409" t="str">
        <f>CJ92</f>
        <v>Stated Policies</v>
      </c>
      <c r="CK122" s="1397">
        <f>CQ86/CN86-1</f>
        <v>0.19718309859154926</v>
      </c>
      <c r="CL122" s="1397">
        <f>CQ104/CN104-1</f>
        <v>-5.6603773584905648E-2</v>
      </c>
      <c r="CM122" s="1397">
        <f>CL122/CK122</f>
        <v>-0.28706199460916443</v>
      </c>
      <c r="CN122" s="1397">
        <f>CQ110/CN110-1</f>
        <v>4.5454545454545414E-2</v>
      </c>
      <c r="CO122" s="1401">
        <f>CN122/CK122</f>
        <v>0.23051948051948037</v>
      </c>
      <c r="CP122" s="1397">
        <f>CQ116/CN116-1</f>
        <v>-4.8192771084337394E-2</v>
      </c>
      <c r="CQ122" s="1397">
        <f>CP122/CK122</f>
        <v>-0.24440619621342541</v>
      </c>
    </row>
    <row r="123" spans="88:96">
      <c r="CJ123" s="1409" t="str">
        <f>CJ93</f>
        <v>Sustainable Development</v>
      </c>
      <c r="CK123" s="1397">
        <f>CQ87/CN87-1</f>
        <v>-7.0175438596491224E-2</v>
      </c>
      <c r="CL123" s="1397">
        <f t="shared" ref="CL123:CL124" si="50">CQ105/CN105-1</f>
        <v>-0.13513513513513509</v>
      </c>
      <c r="CM123" s="1397">
        <f t="shared" ref="CM123:CM124" si="51">CL123/CK123</f>
        <v>1.925675675675675</v>
      </c>
      <c r="CN123" s="1397">
        <f t="shared" ref="CN123:CN124" si="52">CQ111/CN111-1</f>
        <v>-3.5087719298245612E-2</v>
      </c>
      <c r="CO123" s="1401">
        <f>CN123/CK123</f>
        <v>0.5</v>
      </c>
      <c r="CP123" s="1397">
        <f t="shared" ref="CP123:CP124" si="53">CQ117/CN117-1</f>
        <v>-8.2191780821917804E-2</v>
      </c>
      <c r="CQ123" s="1397">
        <f t="shared" ref="CQ123:CQ124" si="54">CP123/CK123</f>
        <v>1.1712328767123288</v>
      </c>
    </row>
    <row r="124" spans="88:96">
      <c r="CJ124" s="1409" t="str">
        <f>CJ94</f>
        <v>Delayed Recovery</v>
      </c>
      <c r="CK124" s="1397">
        <f>CQ88/CN88-1</f>
        <v>0.22033898305084754</v>
      </c>
      <c r="CL124" s="1397">
        <f t="shared" si="50"/>
        <v>-8.333333333333337E-2</v>
      </c>
      <c r="CM124" s="1397">
        <f t="shared" si="51"/>
        <v>-0.37820512820512825</v>
      </c>
      <c r="CN124" s="1397">
        <f t="shared" si="52"/>
        <v>6.6666666666666652E-2</v>
      </c>
      <c r="CO124" s="1401">
        <f>CN124/CK124</f>
        <v>0.30256410256410238</v>
      </c>
      <c r="CP124" s="1397">
        <f t="shared" si="53"/>
        <v>-3.9473684210526327E-2</v>
      </c>
      <c r="CQ124" s="1397">
        <f t="shared" si="54"/>
        <v>-0.1791497975708502</v>
      </c>
    </row>
    <row r="126" spans="88:96">
      <c r="CJ126" t="s">
        <v>14390</v>
      </c>
    </row>
    <row r="127" spans="88:96">
      <c r="CK127" t="s">
        <v>14391</v>
      </c>
      <c r="CL127" t="s">
        <v>14393</v>
      </c>
      <c r="CM127" t="s">
        <v>14395</v>
      </c>
      <c r="CN127" t="s">
        <v>14392</v>
      </c>
      <c r="CO127" t="s">
        <v>14399</v>
      </c>
      <c r="CP127" t="s">
        <v>14397</v>
      </c>
      <c r="CQ127" t="s">
        <v>14398</v>
      </c>
    </row>
    <row r="128" spans="88:96">
      <c r="CJ128" t="str">
        <f>CJ104</f>
        <v>Stated Policies</v>
      </c>
      <c r="CK128" s="1397">
        <f>CQ86/CK86-1</f>
        <v>0.3492063492063493</v>
      </c>
      <c r="CL128" s="1397">
        <f>CQ104/CK104-1</f>
        <v>8.6956521739130377E-2</v>
      </c>
      <c r="CM128" s="1397">
        <f>CL128/CK128</f>
        <v>0.24901185770750964</v>
      </c>
      <c r="CN128" s="1397">
        <f>CQ110/CK110-1</f>
        <v>0.13114754098360648</v>
      </c>
      <c r="CO128" s="1401">
        <f>CN128/CK128</f>
        <v>0.37555886736214572</v>
      </c>
      <c r="CP128" s="1397">
        <f>CQ116/CK116-1</f>
        <v>-0.14130434782608692</v>
      </c>
      <c r="CQ128" s="1397">
        <f t="shared" ref="CQ128:CQ130" si="55">CP128/CK128</f>
        <v>-0.40464426877470333</v>
      </c>
    </row>
    <row r="129" spans="88:95">
      <c r="CJ129" s="1409" t="str">
        <f>CJ105</f>
        <v>Sustainable Development</v>
      </c>
      <c r="CK129" s="1397">
        <f>CQ87/CK87-1</f>
        <v>-0.15873015873015872</v>
      </c>
      <c r="CL129" s="1397">
        <f>CQ105/CK105-1</f>
        <v>-0.30434782608695654</v>
      </c>
      <c r="CM129" s="1397">
        <f t="shared" ref="CM129:CM130" si="56">CL129/CK129</f>
        <v>1.9173913043478263</v>
      </c>
      <c r="CN129" s="1397">
        <f>CQ111/CK111-1</f>
        <v>-9.8360655737704916E-2</v>
      </c>
      <c r="CO129" s="1401">
        <f>CN129/CK129</f>
        <v>0.61967213114754105</v>
      </c>
      <c r="CP129" s="1397">
        <f>CQ117/CK117-1</f>
        <v>-0.27173913043478259</v>
      </c>
      <c r="CQ129" s="1397">
        <f t="shared" si="55"/>
        <v>1.7119565217391304</v>
      </c>
    </row>
    <row r="130" spans="88:95">
      <c r="CJ130" s="1409" t="str">
        <f>CJ106</f>
        <v>Delayed Recovery</v>
      </c>
      <c r="CK130" s="1397">
        <f>CQ88/CK88-1</f>
        <v>0.14285714285714279</v>
      </c>
      <c r="CL130" s="1397">
        <f>CQ106/CK106-1</f>
        <v>-4.3478260869565188E-2</v>
      </c>
      <c r="CM130" s="1397">
        <f t="shared" si="56"/>
        <v>-0.30434782608695643</v>
      </c>
      <c r="CN130" s="1397">
        <f>CQ112/CK112-1</f>
        <v>4.9180327868852514E-2</v>
      </c>
      <c r="CO130" s="1401">
        <f>CN130/CK130</f>
        <v>0.34426229508196776</v>
      </c>
      <c r="CP130" s="1397">
        <f>CQ118/CK118-1</f>
        <v>-0.20652173913043481</v>
      </c>
      <c r="CQ130" s="1397">
        <f t="shared" si="55"/>
        <v>-1.4456521739130443</v>
      </c>
    </row>
  </sheetData>
  <pageMargins left="0.75" right="0.75" top="1" bottom="1" header="0.5" footer="0.5"/>
  <pageSetup paperSize="9" orientation="portrait" horizontalDpi="4294967292" verticalDpi="4294967292"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dimension ref="A1:AB147"/>
  <sheetViews>
    <sheetView workbookViewId="0"/>
  </sheetViews>
  <sheetFormatPr defaultColWidth="11.42578125" defaultRowHeight="15"/>
  <cols>
    <col min="1" max="1" width="11.42578125" style="430"/>
    <col min="2" max="2" width="22.28515625" customWidth="1"/>
    <col min="4" max="4" width="14.42578125" customWidth="1"/>
    <col min="5" max="5" width="14.28515625" customWidth="1"/>
    <col min="6" max="6" width="15.28515625" customWidth="1"/>
    <col min="7" max="7" width="13.7109375" customWidth="1"/>
  </cols>
  <sheetData>
    <row r="1" spans="1:10" s="430" customFormat="1"/>
    <row r="2" spans="1:10" s="430" customFormat="1"/>
    <row r="3" spans="1:10" s="430" customFormat="1"/>
    <row r="4" spans="1:10" s="430" customFormat="1">
      <c r="A4" s="388" t="s">
        <v>958</v>
      </c>
    </row>
    <row r="5" spans="1:10" s="430" customFormat="1">
      <c r="D5" s="388">
        <v>2010</v>
      </c>
      <c r="E5" s="388">
        <v>2020</v>
      </c>
      <c r="F5" s="388">
        <v>2030</v>
      </c>
      <c r="G5" s="388">
        <v>2050</v>
      </c>
      <c r="J5" s="430" t="s">
        <v>1000</v>
      </c>
    </row>
    <row r="6" spans="1:10" s="430" customFormat="1">
      <c r="B6" s="430" t="s">
        <v>959</v>
      </c>
      <c r="C6" s="6" t="s">
        <v>933</v>
      </c>
      <c r="D6" s="572">
        <v>79.61</v>
      </c>
      <c r="E6" s="6">
        <f>+SUP!J14</f>
        <v>58</v>
      </c>
      <c r="F6" s="6">
        <f>+SUP!K14</f>
        <v>55.666666666666664</v>
      </c>
      <c r="G6" s="6">
        <f>+SUP!L14</f>
        <v>50.333333333333329</v>
      </c>
      <c r="H6" s="6" t="s">
        <v>162</v>
      </c>
      <c r="I6" s="6"/>
    </row>
    <row r="7" spans="1:10" s="430" customFormat="1">
      <c r="B7" s="430" t="s">
        <v>960</v>
      </c>
      <c r="C7" s="6" t="s">
        <v>296</v>
      </c>
      <c r="D7" s="574">
        <v>0.14899999999999999</v>
      </c>
      <c r="E7" s="574">
        <v>0.14899999999999999</v>
      </c>
      <c r="F7" s="574">
        <v>0.14899999999999999</v>
      </c>
      <c r="G7" s="574">
        <v>0.14899999999999999</v>
      </c>
      <c r="H7" s="6"/>
      <c r="I7" s="6" t="str">
        <f>J39</f>
        <v>GRL</v>
      </c>
    </row>
    <row r="8" spans="1:10" s="430" customFormat="1">
      <c r="B8" s="430" t="s">
        <v>961</v>
      </c>
      <c r="C8" s="6" t="s">
        <v>296</v>
      </c>
      <c r="D8" s="574">
        <v>0.1</v>
      </c>
      <c r="E8" s="574">
        <v>0.1</v>
      </c>
      <c r="F8" s="574">
        <v>0.1</v>
      </c>
      <c r="G8" s="574">
        <v>0.1</v>
      </c>
      <c r="H8" s="6"/>
      <c r="I8" s="6" t="str">
        <f>J27</f>
        <v>GIB</v>
      </c>
    </row>
    <row r="9" spans="1:10" s="430" customFormat="1">
      <c r="B9" s="430" t="s">
        <v>962</v>
      </c>
      <c r="C9" s="6" t="s">
        <v>296</v>
      </c>
      <c r="D9" s="574">
        <v>0.06</v>
      </c>
      <c r="E9" s="574">
        <v>0.06</v>
      </c>
      <c r="F9" s="574">
        <v>0.06</v>
      </c>
      <c r="G9" s="574">
        <v>0.06</v>
      </c>
      <c r="H9" s="6"/>
      <c r="I9" s="6" t="str">
        <f>J30</f>
        <v>GRM</v>
      </c>
    </row>
    <row r="10" spans="1:10" s="430" customFormat="1">
      <c r="B10" s="430" t="s">
        <v>963</v>
      </c>
      <c r="C10" s="6" t="s">
        <v>296</v>
      </c>
      <c r="D10" s="574">
        <v>0.08</v>
      </c>
      <c r="E10" s="574">
        <v>0.08</v>
      </c>
      <c r="F10" s="574">
        <v>0.08</v>
      </c>
      <c r="G10" s="574">
        <v>0.08</v>
      </c>
      <c r="H10" s="6"/>
      <c r="I10" s="6" t="str">
        <f>J33</f>
        <v>GIH</v>
      </c>
    </row>
    <row r="11" spans="1:10" s="430" customFormat="1">
      <c r="B11" s="430" t="s">
        <v>964</v>
      </c>
      <c r="C11" s="6" t="s">
        <v>965</v>
      </c>
      <c r="D11" s="575">
        <v>0.4</v>
      </c>
      <c r="E11" s="575">
        <v>0.4</v>
      </c>
      <c r="F11" s="575">
        <v>0.4</v>
      </c>
      <c r="G11" s="575">
        <v>0.4</v>
      </c>
      <c r="H11" s="6"/>
      <c r="I11" s="6"/>
    </row>
    <row r="12" spans="1:10" s="430" customFormat="1">
      <c r="B12" s="430" t="s">
        <v>966</v>
      </c>
      <c r="C12" s="6" t="s">
        <v>965</v>
      </c>
      <c r="D12" s="575">
        <v>0.8</v>
      </c>
      <c r="E12" s="575">
        <v>0.8</v>
      </c>
      <c r="F12" s="575">
        <v>0.8</v>
      </c>
      <c r="G12" s="575">
        <v>0.8</v>
      </c>
      <c r="H12" s="6"/>
      <c r="I12" s="6"/>
    </row>
    <row r="13" spans="1:10" s="430" customFormat="1">
      <c r="B13" s="430" t="s">
        <v>967</v>
      </c>
      <c r="C13" s="6" t="s">
        <v>965</v>
      </c>
      <c r="D13" s="575">
        <v>3.22</v>
      </c>
      <c r="E13" s="573" t="s">
        <v>968</v>
      </c>
      <c r="F13" s="6"/>
      <c r="G13" s="6"/>
      <c r="H13" s="6"/>
      <c r="I13" s="6"/>
    </row>
    <row r="14" spans="1:10" s="430" customFormat="1">
      <c r="B14" s="430" t="s">
        <v>969</v>
      </c>
      <c r="C14" s="6" t="s">
        <v>965</v>
      </c>
      <c r="D14" s="575">
        <v>3.95</v>
      </c>
      <c r="E14" s="573" t="s">
        <v>970</v>
      </c>
      <c r="F14" s="6"/>
      <c r="G14" s="6"/>
      <c r="H14" s="6"/>
      <c r="I14" s="6"/>
    </row>
    <row r="15" spans="1:10" s="430" customFormat="1">
      <c r="B15" s="430" t="s">
        <v>971</v>
      </c>
      <c r="C15" s="6" t="s">
        <v>965</v>
      </c>
      <c r="D15" s="575">
        <v>1.75</v>
      </c>
      <c r="E15" s="573" t="s">
        <v>968</v>
      </c>
      <c r="F15" s="6"/>
      <c r="G15" s="6"/>
      <c r="H15" s="6"/>
      <c r="I15" s="6"/>
    </row>
    <row r="16" spans="1:10" s="430" customFormat="1">
      <c r="B16" s="430" t="s">
        <v>1095</v>
      </c>
      <c r="C16" s="6" t="s">
        <v>965</v>
      </c>
      <c r="D16" s="575">
        <v>7.04</v>
      </c>
      <c r="E16" s="573" t="s">
        <v>970</v>
      </c>
      <c r="F16" s="6"/>
      <c r="G16" s="6"/>
      <c r="H16" s="6"/>
      <c r="I16" s="6"/>
    </row>
    <row r="17" spans="2:27" s="430" customFormat="1">
      <c r="B17" s="430" t="s">
        <v>1096</v>
      </c>
      <c r="C17" s="6" t="s">
        <v>965</v>
      </c>
      <c r="D17" s="575">
        <v>3.46</v>
      </c>
      <c r="E17" s="573" t="s">
        <v>968</v>
      </c>
      <c r="F17" s="6"/>
      <c r="G17" s="6"/>
      <c r="H17" s="6"/>
      <c r="I17" s="6"/>
    </row>
    <row r="18" spans="2:27" s="430" customFormat="1">
      <c r="B18" s="430" t="s">
        <v>972</v>
      </c>
      <c r="C18" s="6" t="s">
        <v>965</v>
      </c>
      <c r="D18" s="575">
        <v>3.48</v>
      </c>
      <c r="E18" s="573" t="s">
        <v>970</v>
      </c>
      <c r="F18" s="6"/>
      <c r="G18" s="6"/>
      <c r="H18" s="6"/>
      <c r="I18" s="6"/>
    </row>
    <row r="19" spans="2:27" s="430" customFormat="1">
      <c r="B19" s="430" t="s">
        <v>973</v>
      </c>
      <c r="C19" s="6" t="s">
        <v>965</v>
      </c>
      <c r="D19" s="575">
        <v>1.95</v>
      </c>
      <c r="E19" s="573" t="s">
        <v>968</v>
      </c>
      <c r="F19" s="6"/>
      <c r="G19" s="6"/>
      <c r="H19" s="6"/>
      <c r="I19" s="6"/>
    </row>
    <row r="20" spans="2:27" s="430" customFormat="1">
      <c r="B20" s="430" t="s">
        <v>974</v>
      </c>
      <c r="C20" s="6" t="s">
        <v>965</v>
      </c>
      <c r="D20" s="576">
        <v>0.56999999999999995</v>
      </c>
      <c r="E20" s="573" t="s">
        <v>975</v>
      </c>
      <c r="F20" s="6"/>
      <c r="G20" s="6"/>
      <c r="H20" s="6"/>
      <c r="I20" s="6"/>
    </row>
    <row r="21" spans="2:27" s="430" customFormat="1">
      <c r="B21" s="430" t="s">
        <v>976</v>
      </c>
      <c r="C21" s="6" t="s">
        <v>977</v>
      </c>
      <c r="D21" s="575">
        <f>SUP!F13</f>
        <v>11.914999999999999</v>
      </c>
      <c r="E21" s="573"/>
      <c r="F21" s="6"/>
      <c r="G21" s="6"/>
      <c r="H21" s="6"/>
      <c r="I21" s="6"/>
      <c r="K21" s="1436" t="s">
        <v>14037</v>
      </c>
      <c r="L21" s="1434">
        <v>5</v>
      </c>
    </row>
    <row r="22" spans="2:27" s="430" customFormat="1">
      <c r="E22" s="573"/>
      <c r="F22" s="6"/>
      <c r="G22" s="6"/>
      <c r="H22" s="6"/>
      <c r="I22" s="6"/>
      <c r="M22" s="1801">
        <v>2010</v>
      </c>
      <c r="N22" s="1801"/>
      <c r="O22" s="1801"/>
      <c r="P22" s="1801"/>
      <c r="R22" s="1801">
        <v>2010</v>
      </c>
      <c r="S22" s="1801"/>
      <c r="T22" s="1801"/>
      <c r="U22" s="1801"/>
      <c r="X22" s="430" t="s">
        <v>1007</v>
      </c>
    </row>
    <row r="23" spans="2:27" s="430" customFormat="1">
      <c r="C23" s="6"/>
      <c r="D23" s="6"/>
      <c r="E23" s="6"/>
      <c r="F23" s="6"/>
      <c r="G23" s="6"/>
      <c r="H23" s="6"/>
      <c r="I23" s="6"/>
      <c r="J23" s="430">
        <v>1</v>
      </c>
      <c r="K23" s="430">
        <f>J23+1</f>
        <v>2</v>
      </c>
      <c r="M23" s="1799" t="s">
        <v>978</v>
      </c>
      <c r="N23" s="1800"/>
      <c r="O23" s="1799" t="s">
        <v>965</v>
      </c>
      <c r="P23" s="1800"/>
      <c r="R23" s="1799" t="s">
        <v>978</v>
      </c>
      <c r="S23" s="1800"/>
      <c r="T23" s="1799" t="s">
        <v>965</v>
      </c>
      <c r="U23" s="1800"/>
    </row>
    <row r="24" spans="2:27" s="430" customFormat="1" ht="15.75" thickBot="1">
      <c r="C24" s="6"/>
      <c r="D24" s="6"/>
      <c r="E24" s="6"/>
      <c r="F24" s="6"/>
      <c r="G24" s="6"/>
      <c r="H24" s="6"/>
      <c r="I24" s="6"/>
      <c r="K24" s="6">
        <v>2012</v>
      </c>
      <c r="L24" s="6"/>
      <c r="M24" s="1799" t="s">
        <v>345</v>
      </c>
      <c r="N24" s="1800"/>
      <c r="O24" s="1799" t="s">
        <v>345</v>
      </c>
      <c r="P24" s="1800"/>
      <c r="R24" s="1799" t="s">
        <v>979</v>
      </c>
      <c r="S24" s="1800"/>
      <c r="T24" s="1799" t="s">
        <v>979</v>
      </c>
      <c r="U24" s="1800"/>
    </row>
    <row r="25" spans="2:27" s="430" customFormat="1">
      <c r="C25" s="577" t="s">
        <v>980</v>
      </c>
      <c r="D25" s="578" t="s">
        <v>981</v>
      </c>
      <c r="E25" s="579" t="s">
        <v>982</v>
      </c>
      <c r="F25" s="577" t="s">
        <v>983</v>
      </c>
      <c r="G25" s="578" t="s">
        <v>984</v>
      </c>
      <c r="H25" s="578" t="s">
        <v>967</v>
      </c>
      <c r="I25" s="579" t="s">
        <v>985</v>
      </c>
      <c r="K25" s="580" t="s">
        <v>986</v>
      </c>
      <c r="L25" s="580"/>
      <c r="M25" s="581" t="s">
        <v>987</v>
      </c>
      <c r="N25" s="581" t="s">
        <v>988</v>
      </c>
      <c r="O25" s="581" t="s">
        <v>987</v>
      </c>
      <c r="P25" s="581" t="s">
        <v>988</v>
      </c>
      <c r="R25" s="581" t="s">
        <v>987</v>
      </c>
      <c r="S25" s="581" t="s">
        <v>988</v>
      </c>
      <c r="T25" s="581" t="s">
        <v>987</v>
      </c>
      <c r="U25" s="581" t="s">
        <v>988</v>
      </c>
      <c r="X25" s="530">
        <v>2010</v>
      </c>
      <c r="Y25" s="530">
        <v>2020</v>
      </c>
      <c r="Z25" s="530">
        <v>2030</v>
      </c>
      <c r="AA25" s="531">
        <v>2050</v>
      </c>
    </row>
    <row r="26" spans="2:27" s="430" customFormat="1"/>
    <row r="27" spans="2:27" s="430" customFormat="1">
      <c r="B27" s="616" t="s">
        <v>989</v>
      </c>
      <c r="C27" s="583"/>
      <c r="D27" s="584">
        <f>D6*D8</f>
        <v>7.9610000000000003</v>
      </c>
      <c r="E27" s="585"/>
      <c r="F27" s="583"/>
      <c r="G27" s="586"/>
      <c r="H27" s="586"/>
      <c r="I27" s="587">
        <f>D14</f>
        <v>3.95</v>
      </c>
      <c r="J27" s="430" t="str">
        <f>+Q27</f>
        <v>GIB</v>
      </c>
      <c r="K27" s="6">
        <f>2017+$L$21</f>
        <v>2022</v>
      </c>
      <c r="L27" s="430">
        <f>+I27*$D$21</f>
        <v>47.064250000000001</v>
      </c>
      <c r="M27" s="588">
        <f>O27*D21/1.055</f>
        <v>89.910251184834124</v>
      </c>
      <c r="N27" s="589"/>
      <c r="O27" s="588">
        <f>SUM($C27:$F27)</f>
        <v>7.9610000000000003</v>
      </c>
      <c r="P27" s="589"/>
      <c r="Q27" s="430" t="str">
        <f>+E49</f>
        <v>GIB</v>
      </c>
      <c r="R27" s="588">
        <f>T27*D21/1.055</f>
        <v>134.52091469194315</v>
      </c>
      <c r="S27" s="589"/>
      <c r="T27" s="588">
        <f>SUM(C27:I27)</f>
        <v>11.911000000000001</v>
      </c>
      <c r="U27" s="589"/>
      <c r="W27" s="430" t="str">
        <f>+Q27</f>
        <v>GIB</v>
      </c>
      <c r="X27" s="615">
        <f>+D6*D8</f>
        <v>7.9610000000000003</v>
      </c>
      <c r="Y27" s="615">
        <f>+E6*E8</f>
        <v>5.8000000000000007</v>
      </c>
      <c r="Z27" s="615">
        <f>+F6*F8</f>
        <v>5.5666666666666664</v>
      </c>
      <c r="AA27" s="615">
        <f>+G6*G8</f>
        <v>5.0333333333333332</v>
      </c>
    </row>
    <row r="28" spans="2:27" s="430" customFormat="1">
      <c r="B28" s="617" t="s">
        <v>990</v>
      </c>
      <c r="C28" s="591"/>
      <c r="D28" s="592">
        <f>D27</f>
        <v>7.9610000000000003</v>
      </c>
      <c r="E28" s="593"/>
      <c r="F28" s="591"/>
      <c r="G28" s="594"/>
      <c r="H28" s="594"/>
      <c r="I28" s="595">
        <f>D15</f>
        <v>1.75</v>
      </c>
      <c r="K28" s="6">
        <f>2017+$L$21</f>
        <v>2022</v>
      </c>
      <c r="L28" s="430">
        <f>+I28*$D$21</f>
        <v>20.85125</v>
      </c>
      <c r="M28" s="596"/>
      <c r="N28" s="597">
        <f>P28*D21/1.055</f>
        <v>89.910251184834124</v>
      </c>
      <c r="O28" s="596"/>
      <c r="P28" s="597">
        <f>SUM($C28:$F28)</f>
        <v>7.9610000000000003</v>
      </c>
      <c r="Q28" s="430" t="s">
        <v>162</v>
      </c>
      <c r="R28" s="596"/>
      <c r="S28" s="597">
        <f>U28*D21/1.055</f>
        <v>109.67446919431281</v>
      </c>
      <c r="T28" s="596"/>
      <c r="U28" s="597">
        <f>SUM(C28:I28)</f>
        <v>9.7110000000000003</v>
      </c>
      <c r="W28" s="430" t="s">
        <v>162</v>
      </c>
    </row>
    <row r="29" spans="2:27" s="430" customFormat="1">
      <c r="B29" s="618"/>
      <c r="K29" s="6"/>
    </row>
    <row r="30" spans="2:27" s="430" customFormat="1">
      <c r="B30" s="616" t="s">
        <v>1094</v>
      </c>
      <c r="C30" s="582"/>
      <c r="D30" s="584">
        <f>D6*D9</f>
        <v>4.7766000000000002</v>
      </c>
      <c r="E30" s="598"/>
      <c r="F30" s="582"/>
      <c r="G30" s="599"/>
      <c r="H30" s="599"/>
      <c r="I30" s="587">
        <f>D16</f>
        <v>7.04</v>
      </c>
      <c r="J30" s="430" t="str">
        <f>+Q30</f>
        <v>GRM</v>
      </c>
      <c r="K30" s="6">
        <f>2019+$L$21</f>
        <v>2024</v>
      </c>
      <c r="L30" s="430">
        <f>+I30*$D$21</f>
        <v>83.881599999999992</v>
      </c>
      <c r="M30" s="588">
        <f>O30*D21/1.055</f>
        <v>53.946150710900476</v>
      </c>
      <c r="N30" s="589"/>
      <c r="O30" s="588">
        <f>SUM($C30:$F30)</f>
        <v>4.7766000000000002</v>
      </c>
      <c r="P30" s="589"/>
      <c r="Q30" s="430" t="str">
        <f>+E52</f>
        <v>GRM</v>
      </c>
      <c r="R30" s="588">
        <f>T30*D21/1.055</f>
        <v>133.45477630331754</v>
      </c>
      <c r="S30" s="589"/>
      <c r="T30" s="588">
        <f>SUM(C30:I30)</f>
        <v>11.816600000000001</v>
      </c>
      <c r="U30" s="589"/>
      <c r="W30" s="430" t="str">
        <f>+Q30</f>
        <v>GRM</v>
      </c>
      <c r="X30" s="615">
        <f>D6*D9</f>
        <v>4.7766000000000002</v>
      </c>
      <c r="Y30" s="615">
        <f>E6*E9</f>
        <v>3.48</v>
      </c>
      <c r="Z30" s="615">
        <f>F6*F9</f>
        <v>3.34</v>
      </c>
      <c r="AA30" s="615">
        <f>G6*G9</f>
        <v>3.0199999999999996</v>
      </c>
    </row>
    <row r="31" spans="2:27" s="430" customFormat="1">
      <c r="B31" s="617" t="s">
        <v>1097</v>
      </c>
      <c r="C31" s="590"/>
      <c r="D31" s="592">
        <f>D30</f>
        <v>4.7766000000000002</v>
      </c>
      <c r="E31" s="600"/>
      <c r="F31" s="590"/>
      <c r="G31" s="387"/>
      <c r="H31" s="387"/>
      <c r="I31" s="595">
        <f>D17</f>
        <v>3.46</v>
      </c>
      <c r="K31" s="6">
        <f>2019+$L$21</f>
        <v>2024</v>
      </c>
      <c r="L31" s="430">
        <f>+I31*$D$21</f>
        <v>41.225899999999996</v>
      </c>
      <c r="M31" s="596"/>
      <c r="N31" s="597">
        <f>P31*D21/1.055</f>
        <v>53.946150710900476</v>
      </c>
      <c r="O31" s="596"/>
      <c r="P31" s="597">
        <f>SUM($C31:$F31)</f>
        <v>4.7766000000000002</v>
      </c>
      <c r="Q31" s="430" t="s">
        <v>162</v>
      </c>
      <c r="R31" s="596"/>
      <c r="S31" s="597">
        <f>U31*D21/1.055</f>
        <v>93.022833175355444</v>
      </c>
      <c r="T31" s="596"/>
      <c r="U31" s="597">
        <f>SUM(C31:I31)</f>
        <v>8.2365999999999993</v>
      </c>
      <c r="W31" s="430" t="s">
        <v>162</v>
      </c>
    </row>
    <row r="32" spans="2:27" s="430" customFormat="1">
      <c r="K32" s="6"/>
    </row>
    <row r="33" spans="1:27" s="430" customFormat="1">
      <c r="B33" s="582" t="s">
        <v>991</v>
      </c>
      <c r="C33" s="583"/>
      <c r="D33" s="586"/>
      <c r="E33" s="601">
        <f>D6*D10</f>
        <v>6.3688000000000002</v>
      </c>
      <c r="F33" s="583"/>
      <c r="G33" s="586"/>
      <c r="H33" s="586"/>
      <c r="I33" s="587">
        <f>D14</f>
        <v>3.95</v>
      </c>
      <c r="J33" s="430" t="str">
        <f>+Q33</f>
        <v>GIH</v>
      </c>
      <c r="K33" s="6">
        <f>2022+L21</f>
        <v>2027</v>
      </c>
      <c r="L33" s="430">
        <f>+I33*$D$21</f>
        <v>47.064250000000001</v>
      </c>
      <c r="M33" s="588">
        <f>O33*D21/1.055</f>
        <v>71.92820094786731</v>
      </c>
      <c r="N33" s="589"/>
      <c r="O33" s="588">
        <f>SUM($C33:$F33)</f>
        <v>6.3688000000000002</v>
      </c>
      <c r="P33" s="589"/>
      <c r="Q33" s="430" t="str">
        <f>+E55</f>
        <v>GIH</v>
      </c>
      <c r="R33" s="588">
        <f>T33*D21/1.055</f>
        <v>116.53886445497631</v>
      </c>
      <c r="S33" s="589"/>
      <c r="T33" s="588">
        <f>SUM(C33:I33)</f>
        <v>10.3188</v>
      </c>
      <c r="U33" s="589"/>
      <c r="W33" s="430" t="str">
        <f>+Q33</f>
        <v>GIH</v>
      </c>
      <c r="X33" s="615">
        <f>D6*D10</f>
        <v>6.3688000000000002</v>
      </c>
      <c r="Y33" s="615">
        <f>E6*E10</f>
        <v>4.6399999999999997</v>
      </c>
      <c r="Z33" s="615">
        <f>F6*F10</f>
        <v>4.4533333333333331</v>
      </c>
      <c r="AA33" s="615">
        <f>G6*G10</f>
        <v>4.0266666666666664</v>
      </c>
    </row>
    <row r="34" spans="1:27" s="430" customFormat="1">
      <c r="B34" s="590" t="s">
        <v>992</v>
      </c>
      <c r="C34" s="591"/>
      <c r="D34" s="594"/>
      <c r="E34" s="602">
        <f>E33</f>
        <v>6.3688000000000002</v>
      </c>
      <c r="F34" s="591"/>
      <c r="G34" s="594"/>
      <c r="H34" s="594"/>
      <c r="I34" s="595">
        <f>D15</f>
        <v>1.75</v>
      </c>
      <c r="K34" s="6">
        <f>2022+L21</f>
        <v>2027</v>
      </c>
      <c r="L34" s="430">
        <f>+I34*$D$21</f>
        <v>20.85125</v>
      </c>
      <c r="M34" s="596"/>
      <c r="N34" s="597">
        <f>P34*D21/1.055</f>
        <v>71.92820094786731</v>
      </c>
      <c r="O34" s="596"/>
      <c r="P34" s="597">
        <f>SUM($C34:$F34)</f>
        <v>6.3688000000000002</v>
      </c>
      <c r="Q34" s="430" t="s">
        <v>162</v>
      </c>
      <c r="R34" s="596"/>
      <c r="S34" s="597">
        <f>U34*D21/1.055</f>
        <v>91.692418957345978</v>
      </c>
      <c r="T34" s="596"/>
      <c r="U34" s="597">
        <f>SUM(C34:I34)</f>
        <v>8.1188000000000002</v>
      </c>
      <c r="W34" s="430" t="s">
        <v>162</v>
      </c>
    </row>
    <row r="35" spans="1:27" s="430" customFormat="1">
      <c r="K35" s="6"/>
    </row>
    <row r="36" spans="1:27" s="430" customFormat="1">
      <c r="B36" s="582" t="s">
        <v>993</v>
      </c>
      <c r="C36" s="603">
        <f>D6*D7</f>
        <v>11.861889999999999</v>
      </c>
      <c r="D36" s="586"/>
      <c r="E36" s="585"/>
      <c r="F36" s="603">
        <f>D11</f>
        <v>0.4</v>
      </c>
      <c r="G36" s="604">
        <f>D18</f>
        <v>3.48</v>
      </c>
      <c r="H36" s="586"/>
      <c r="I36" s="585"/>
      <c r="J36" s="430" t="str">
        <f>+Q36</f>
        <v>GRL</v>
      </c>
      <c r="K36" s="6">
        <f>2020+$L$21</f>
        <v>2025</v>
      </c>
      <c r="L36" s="430">
        <f>+G36*$D$21</f>
        <v>41.464199999999998</v>
      </c>
      <c r="M36" s="588">
        <f>O36*D21/1.055</f>
        <v>138.48380981042652</v>
      </c>
      <c r="N36" s="589"/>
      <c r="O36" s="588">
        <f>SUM($C36:$F36)</f>
        <v>12.261889999999999</v>
      </c>
      <c r="P36" s="589"/>
      <c r="Q36" s="430" t="str">
        <f>+E58</f>
        <v>GRL</v>
      </c>
      <c r="R36" s="588">
        <f>T36*D21/1.055</f>
        <v>177.7863690521327</v>
      </c>
      <c r="S36" s="589"/>
      <c r="T36" s="588">
        <f>SUM(C36:I36)</f>
        <v>15.74189</v>
      </c>
      <c r="U36" s="589"/>
      <c r="W36" s="430" t="str">
        <f>+Q36</f>
        <v>GRL</v>
      </c>
      <c r="X36" s="615">
        <f>D6*D7+D11</f>
        <v>12.261889999999999</v>
      </c>
      <c r="Y36" s="615">
        <f>E6*E7+E11</f>
        <v>9.0419999999999998</v>
      </c>
      <c r="Z36" s="615">
        <f>F6*F7+F11</f>
        <v>8.6943333333333328</v>
      </c>
      <c r="AA36" s="615">
        <f>G6*G7+G11</f>
        <v>7.8996666666666657</v>
      </c>
    </row>
    <row r="37" spans="1:27" s="430" customFormat="1">
      <c r="B37" s="590" t="s">
        <v>994</v>
      </c>
      <c r="C37" s="605">
        <f>C36</f>
        <v>11.861889999999999</v>
      </c>
      <c r="D37" s="594"/>
      <c r="E37" s="593"/>
      <c r="F37" s="605">
        <f>F36</f>
        <v>0.4</v>
      </c>
      <c r="G37" s="606">
        <f>D19</f>
        <v>1.95</v>
      </c>
      <c r="H37" s="594"/>
      <c r="I37" s="593"/>
      <c r="K37" s="6">
        <f>2020+L21</f>
        <v>2025</v>
      </c>
      <c r="L37" s="430">
        <f>+G37*$D$21</f>
        <v>23.234249999999999</v>
      </c>
      <c r="M37" s="596"/>
      <c r="N37" s="597">
        <f>P37*D21/1.055</f>
        <v>138.48380981042652</v>
      </c>
      <c r="O37" s="596"/>
      <c r="P37" s="597">
        <f>SUM($C37:$F37)</f>
        <v>12.261889999999999</v>
      </c>
      <c r="Q37" s="430" t="s">
        <v>162</v>
      </c>
      <c r="R37" s="596"/>
      <c r="S37" s="597">
        <f>U37*D21/1.055</f>
        <v>160.50679559241706</v>
      </c>
      <c r="T37" s="596"/>
      <c r="U37" s="597">
        <f>SUM(C37:I37)</f>
        <v>14.211889999999999</v>
      </c>
      <c r="W37" s="430" t="s">
        <v>162</v>
      </c>
    </row>
    <row r="38" spans="1:27" s="430" customFormat="1">
      <c r="K38" s="6"/>
    </row>
    <row r="39" spans="1:27" s="430" customFormat="1">
      <c r="B39" s="607" t="s">
        <v>995</v>
      </c>
      <c r="C39" s="608">
        <f>C37</f>
        <v>11.861889999999999</v>
      </c>
      <c r="D39" s="578"/>
      <c r="E39" s="579"/>
      <c r="F39" s="639">
        <f>D11</f>
        <v>0.4</v>
      </c>
      <c r="G39" s="578"/>
      <c r="H39" s="609">
        <f>D13</f>
        <v>3.22</v>
      </c>
      <c r="I39" s="579"/>
      <c r="J39" s="430" t="str">
        <f>+Q39</f>
        <v>GRL</v>
      </c>
      <c r="K39" s="6">
        <f>2016+L21</f>
        <v>2021</v>
      </c>
      <c r="L39" s="430" t="s">
        <v>162</v>
      </c>
      <c r="M39" s="610"/>
      <c r="N39" s="611">
        <f>P39*D21/1.055</f>
        <v>138.48380981042652</v>
      </c>
      <c r="O39" s="610"/>
      <c r="P39" s="611">
        <f>SUM($C39:$F39)</f>
        <v>12.261889999999999</v>
      </c>
      <c r="Q39" s="430" t="str">
        <f>+E60</f>
        <v>GRL</v>
      </c>
      <c r="R39" s="610"/>
      <c r="S39" s="611">
        <f>U39*D21/1.055</f>
        <v>174.84997094786729</v>
      </c>
      <c r="T39" s="610"/>
      <c r="U39" s="611">
        <f>SUM(C39:I39)</f>
        <v>15.48189</v>
      </c>
      <c r="W39" s="430" t="str">
        <f>+Q39</f>
        <v>GRL</v>
      </c>
      <c r="X39" s="615">
        <f>+U39</f>
        <v>15.48189</v>
      </c>
      <c r="Y39" s="615">
        <f>E6*E7+E12+$H$39</f>
        <v>12.662000000000001</v>
      </c>
      <c r="Z39" s="615">
        <f>F6*F7+F12+$H$39</f>
        <v>12.314333333333334</v>
      </c>
      <c r="AA39" s="615">
        <f>G6*G7+G12+$H$39</f>
        <v>11.519666666666666</v>
      </c>
    </row>
    <row r="40" spans="1:27" s="430" customFormat="1">
      <c r="A40" s="532"/>
      <c r="B40" s="532"/>
      <c r="C40" s="532"/>
      <c r="D40" s="532"/>
      <c r="E40" s="532"/>
      <c r="F40" s="532"/>
      <c r="G40" s="532"/>
      <c r="H40" s="532"/>
      <c r="I40" s="532"/>
      <c r="K40" s="612"/>
      <c r="L40" s="532"/>
      <c r="M40" s="532"/>
      <c r="N40" s="532"/>
      <c r="O40" s="532"/>
      <c r="P40" s="532"/>
      <c r="Q40" s="532"/>
      <c r="R40" s="532"/>
      <c r="S40" s="532"/>
      <c r="T40" s="532"/>
      <c r="U40" s="532"/>
    </row>
    <row r="41" spans="1:27" s="430" customFormat="1">
      <c r="B41" s="624" t="s">
        <v>996</v>
      </c>
      <c r="C41" s="625">
        <f>D6*D7</f>
        <v>11.861889999999999</v>
      </c>
      <c r="D41" s="626"/>
      <c r="E41" s="627"/>
      <c r="F41" s="625">
        <f>D12</f>
        <v>0.8</v>
      </c>
      <c r="G41" s="628">
        <f>D18</f>
        <v>3.48</v>
      </c>
      <c r="H41" s="626"/>
      <c r="I41" s="627"/>
      <c r="K41" s="580">
        <f>2020+$L$21</f>
        <v>2025</v>
      </c>
      <c r="L41" s="430" t="s">
        <v>162</v>
      </c>
      <c r="M41" s="588">
        <f>O41*D21/1.055</f>
        <v>143.00134535545021</v>
      </c>
      <c r="N41" s="589"/>
      <c r="O41" s="588">
        <f>SUM($C41:$F41)</f>
        <v>12.66189</v>
      </c>
      <c r="P41" s="589"/>
      <c r="Q41" s="430" t="s">
        <v>162</v>
      </c>
      <c r="R41" s="588">
        <f>T41*D21/1.055</f>
        <v>182.30390459715639</v>
      </c>
      <c r="S41" s="589"/>
      <c r="T41" s="588">
        <f>SUM(C41:I41)</f>
        <v>16.14189</v>
      </c>
      <c r="U41" s="589"/>
    </row>
    <row r="42" spans="1:27" s="430" customFormat="1">
      <c r="B42" s="629" t="s">
        <v>997</v>
      </c>
      <c r="C42" s="630">
        <f>C41</f>
        <v>11.861889999999999</v>
      </c>
      <c r="D42" s="631"/>
      <c r="E42" s="632"/>
      <c r="F42" s="630">
        <f>F41</f>
        <v>0.8</v>
      </c>
      <c r="G42" s="633">
        <f>D19</f>
        <v>1.95</v>
      </c>
      <c r="H42" s="631"/>
      <c r="I42" s="632"/>
      <c r="K42" s="580">
        <f>2020+$L$21</f>
        <v>2025</v>
      </c>
      <c r="L42" s="430" t="s">
        <v>162</v>
      </c>
      <c r="M42" s="596"/>
      <c r="N42" s="597">
        <f>P42*D21/1.055</f>
        <v>143.00134535545021</v>
      </c>
      <c r="O42" s="596"/>
      <c r="P42" s="597">
        <f>SUM($C42:$F42)</f>
        <v>12.66189</v>
      </c>
      <c r="Q42" s="430" t="s">
        <v>162</v>
      </c>
      <c r="R42" s="596"/>
      <c r="S42" s="597">
        <f>U42*D21/1.055</f>
        <v>165.02433113744075</v>
      </c>
      <c r="T42" s="596"/>
      <c r="U42" s="597">
        <f>SUM(C42:I42)</f>
        <v>14.611889999999999</v>
      </c>
    </row>
    <row r="43" spans="1:27" s="430" customFormat="1">
      <c r="K43" s="6"/>
    </row>
    <row r="44" spans="1:27" s="430" customFormat="1">
      <c r="B44" s="634" t="s">
        <v>998</v>
      </c>
      <c r="C44" s="635">
        <f>C42</f>
        <v>11.861889999999999</v>
      </c>
      <c r="D44" s="636"/>
      <c r="E44" s="637"/>
      <c r="F44" s="635">
        <f>D12</f>
        <v>0.8</v>
      </c>
      <c r="G44" s="636"/>
      <c r="H44" s="638">
        <f>D13</f>
        <v>3.22</v>
      </c>
      <c r="I44" s="637"/>
      <c r="K44" s="6">
        <f>2015+$L$21</f>
        <v>2020</v>
      </c>
      <c r="L44" s="430" t="s">
        <v>162</v>
      </c>
      <c r="M44" s="610"/>
      <c r="N44" s="611">
        <f>P44*D21/1.055</f>
        <v>143.00134535545021</v>
      </c>
      <c r="O44" s="610"/>
      <c r="P44" s="611">
        <f>SUM($C44:$F44)</f>
        <v>12.66189</v>
      </c>
      <c r="Q44" s="430" t="s">
        <v>162</v>
      </c>
      <c r="R44" s="610"/>
      <c r="S44" s="611">
        <f>U44*D21/1.055</f>
        <v>179.36750649289101</v>
      </c>
      <c r="T44" s="610"/>
      <c r="U44" s="611">
        <f>SUM(C44:I44)</f>
        <v>15.88189</v>
      </c>
    </row>
    <row r="45" spans="1:27" s="430" customFormat="1"/>
    <row r="46" spans="1:27" s="430" customFormat="1"/>
    <row r="47" spans="1:27" s="430" customFormat="1"/>
    <row r="48" spans="1:27" s="430" customFormat="1" ht="15.75" thickBot="1">
      <c r="C48"/>
      <c r="D48"/>
      <c r="E48"/>
      <c r="F48"/>
      <c r="G48"/>
      <c r="H48"/>
    </row>
    <row r="49" spans="2:19" s="430" customFormat="1" ht="15.75" thickBot="1">
      <c r="C49"/>
      <c r="D49" s="640" t="str">
        <f>"MIN"&amp;E49</f>
        <v>MINGIB</v>
      </c>
      <c r="E49" t="str">
        <f>NameConv!C24</f>
        <v>GIB</v>
      </c>
      <c r="F49" s="640" t="str">
        <f>"UGAS"&amp;G49</f>
        <v>UGASGAS</v>
      </c>
      <c r="G49" t="str">
        <f>NameConv!C18</f>
        <v>GAS</v>
      </c>
      <c r="H49"/>
    </row>
    <row r="50" spans="2:19" s="430" customFormat="1">
      <c r="C50"/>
      <c r="D50"/>
      <c r="E50"/>
      <c r="F50"/>
      <c r="G50"/>
      <c r="H50"/>
      <c r="R50" s="430">
        <v>50</v>
      </c>
      <c r="S50" s="430">
        <v>90</v>
      </c>
    </row>
    <row r="51" spans="2:19" s="430" customFormat="1" ht="15.75" thickBot="1">
      <c r="C51"/>
      <c r="D51"/>
      <c r="E51"/>
      <c r="F51"/>
      <c r="G51"/>
      <c r="H51"/>
      <c r="L51" s="650" t="s">
        <v>162</v>
      </c>
      <c r="Q51" s="430" t="str">
        <f>+Q28</f>
        <v xml:space="preserve"> </v>
      </c>
      <c r="R51" s="614">
        <f>R27</f>
        <v>134.52091469194315</v>
      </c>
      <c r="S51" s="615">
        <f>+S28</f>
        <v>109.67446919431281</v>
      </c>
    </row>
    <row r="52" spans="2:19" s="430" customFormat="1" ht="15.75" thickBot="1">
      <c r="C52"/>
      <c r="D52" s="640" t="str">
        <f>"IMP"&amp;E52</f>
        <v>IMPGRM</v>
      </c>
      <c r="E52" t="str">
        <f>NameConv!C23</f>
        <v>GRM</v>
      </c>
      <c r="F52" s="640" t="e">
        <f>"UGAS"&amp;G52</f>
        <v>#REF!</v>
      </c>
      <c r="G52" t="e">
        <f>NameConv!#REF!</f>
        <v>#REF!</v>
      </c>
      <c r="H52"/>
      <c r="Q52" s="430" t="str">
        <f>+Q31</f>
        <v xml:space="preserve"> </v>
      </c>
      <c r="R52" s="614">
        <f>R30</f>
        <v>133.45477630331754</v>
      </c>
      <c r="S52" s="615">
        <f>+S31</f>
        <v>93.022833175355444</v>
      </c>
    </row>
    <row r="53" spans="2:19" s="430" customFormat="1">
      <c r="C53"/>
      <c r="D53"/>
      <c r="E53"/>
      <c r="F53"/>
      <c r="G53"/>
      <c r="H53"/>
      <c r="Q53" s="430" t="str">
        <f>+Q34</f>
        <v xml:space="preserve"> </v>
      </c>
      <c r="R53" s="614">
        <f>R33</f>
        <v>116.53886445497631</v>
      </c>
      <c r="S53" s="615">
        <f>+S34</f>
        <v>91.692418957345978</v>
      </c>
    </row>
    <row r="54" spans="2:19" s="430" customFormat="1" ht="15.75" thickBot="1">
      <c r="C54"/>
      <c r="D54"/>
      <c r="E54"/>
      <c r="F54"/>
      <c r="G54"/>
      <c r="H54"/>
      <c r="Q54" s="430" t="str">
        <f>+Q37</f>
        <v xml:space="preserve"> </v>
      </c>
      <c r="R54" s="614">
        <f>R36</f>
        <v>177.7863690521327</v>
      </c>
      <c r="S54" s="615">
        <f>+S37</f>
        <v>160.50679559241706</v>
      </c>
    </row>
    <row r="55" spans="2:19" s="430" customFormat="1" ht="15.75" thickBot="1">
      <c r="C55"/>
      <c r="D55" s="640" t="str">
        <f>"MIN"&amp;E55</f>
        <v>MINGIH</v>
      </c>
      <c r="E55" t="str">
        <f>NameConv!C25</f>
        <v>GIH</v>
      </c>
      <c r="F55" s="640" t="e">
        <f>"UGAS"&amp;G55</f>
        <v>#REF!</v>
      </c>
      <c r="G55" t="e">
        <f>NameConv!#REF!</f>
        <v>#REF!</v>
      </c>
      <c r="H55"/>
      <c r="Q55" s="430" t="str">
        <f>+Q39</f>
        <v>GRL</v>
      </c>
      <c r="S55" s="615">
        <f>+S39</f>
        <v>174.84997094786729</v>
      </c>
    </row>
    <row r="56" spans="2:19" s="430" customFormat="1">
      <c r="C56"/>
      <c r="D56"/>
      <c r="E56"/>
      <c r="F56"/>
      <c r="G56"/>
      <c r="H56"/>
      <c r="Q56" s="430" t="str">
        <f>+Q42</f>
        <v xml:space="preserve"> </v>
      </c>
      <c r="R56" s="614">
        <f>R41</f>
        <v>182.30390459715639</v>
      </c>
      <c r="S56" s="615">
        <f>+S42</f>
        <v>165.02433113744075</v>
      </c>
    </row>
    <row r="57" spans="2:19" s="430" customFormat="1" ht="15.75" thickBot="1">
      <c r="C57"/>
      <c r="D57"/>
      <c r="E57"/>
      <c r="F57"/>
      <c r="G57"/>
      <c r="H57"/>
      <c r="Q57" s="430" t="str">
        <f>+Q44</f>
        <v xml:space="preserve"> </v>
      </c>
      <c r="S57" s="615">
        <f>+S44</f>
        <v>179.36750649289101</v>
      </c>
    </row>
    <row r="58" spans="2:19" s="430" customFormat="1" ht="15.75" thickBot="1">
      <c r="C58"/>
      <c r="D58" s="640" t="str">
        <f>"IMP"&amp;E58</f>
        <v>IMPGRL</v>
      </c>
      <c r="E58" t="str">
        <f>NameConv!C21</f>
        <v>GRL</v>
      </c>
      <c r="F58" s="640" t="e">
        <f>"UGAS"&amp;G58</f>
        <v>#REF!</v>
      </c>
      <c r="G58" t="e">
        <f>NameConv!#REF!</f>
        <v>#REF!</v>
      </c>
      <c r="H58"/>
    </row>
    <row r="59" spans="2:19" s="430" customFormat="1" ht="15.75" thickBot="1">
      <c r="C59"/>
      <c r="D59"/>
      <c r="E59"/>
      <c r="F59"/>
      <c r="G59"/>
      <c r="H59"/>
    </row>
    <row r="60" spans="2:19" s="430" customFormat="1" ht="15.75" thickBot="1">
      <c r="C60"/>
      <c r="D60" s="640" t="str">
        <f>"IMPGLI"</f>
        <v>IMPGLI</v>
      </c>
      <c r="E60" t="str">
        <f>E58</f>
        <v>GRL</v>
      </c>
      <c r="F60" s="640" t="e">
        <f>"UGAS"&amp;G60</f>
        <v>#REF!</v>
      </c>
      <c r="G60" s="392" t="e">
        <f>NameConv!#REF!</f>
        <v>#REF!</v>
      </c>
      <c r="H60"/>
    </row>
    <row r="61" spans="2:19" s="430" customFormat="1"/>
    <row r="62" spans="2:19" s="430" customFormat="1"/>
    <row r="63" spans="2:19" s="430" customFormat="1"/>
    <row r="64" spans="2:19">
      <c r="B64" t="s">
        <v>1005</v>
      </c>
      <c r="D64" t="s">
        <v>1012</v>
      </c>
    </row>
    <row r="65" spans="1:25">
      <c r="G65" t="s">
        <v>1129</v>
      </c>
      <c r="H65">
        <f>SUP!F13</f>
        <v>11.914999999999999</v>
      </c>
      <c r="K65" t="s">
        <v>1018</v>
      </c>
    </row>
    <row r="66" spans="1:25">
      <c r="B66" s="388" t="s">
        <v>1003</v>
      </c>
      <c r="C66" s="388" t="s">
        <v>1002</v>
      </c>
      <c r="D66" s="430"/>
      <c r="E66" s="430"/>
    </row>
    <row r="67" spans="1:25" s="430" customFormat="1">
      <c r="A67" s="430">
        <v>1</v>
      </c>
      <c r="B67" s="388"/>
      <c r="C67" s="388" t="str">
        <f>UPS!B128</f>
        <v>UGASGIB-N</v>
      </c>
      <c r="D67" s="388" t="str">
        <f>UPS!B131</f>
        <v>UGASGRM-N</v>
      </c>
      <c r="E67" s="388" t="str">
        <f>UPS!B137</f>
        <v>UGASGIH-N</v>
      </c>
      <c r="F67" s="388" t="str">
        <f>UPS!B140</f>
        <v>ULGTGRL-N</v>
      </c>
      <c r="G67" s="388" t="str">
        <f>UPS!B143</f>
        <v>ULGTGRLFSRU-N</v>
      </c>
      <c r="U67" s="430" t="s">
        <v>1143</v>
      </c>
      <c r="V67" s="430">
        <v>0.65</v>
      </c>
      <c r="W67" s="430" t="s">
        <v>1144</v>
      </c>
      <c r="X67" s="430">
        <f>38.1*V67</f>
        <v>24.765000000000001</v>
      </c>
      <c r="Y67" s="430" t="s">
        <v>1145</v>
      </c>
    </row>
    <row r="68" spans="1:25">
      <c r="A68" s="430">
        <f>A67+1</f>
        <v>2</v>
      </c>
      <c r="B68" t="s">
        <v>1139</v>
      </c>
      <c r="C68" s="433">
        <f>1.6*31.536*0.9</f>
        <v>45.411840000000005</v>
      </c>
      <c r="D68" s="433">
        <f>1.6*31.536*0.9</f>
        <v>45.411840000000005</v>
      </c>
      <c r="E68" s="433">
        <f>1.6*31.536*0.9</f>
        <v>45.411840000000005</v>
      </c>
      <c r="F68" s="430">
        <f>+F84</f>
        <v>172.8</v>
      </c>
      <c r="G68" s="433">
        <f>G84</f>
        <v>48</v>
      </c>
    </row>
    <row r="69" spans="1:25" s="430" customFormat="1">
      <c r="A69" s="430">
        <f t="shared" ref="A69:A77" si="0">A68+1</f>
        <v>3</v>
      </c>
      <c r="B69" s="430" t="s">
        <v>1025</v>
      </c>
      <c r="C69" s="430">
        <v>53</v>
      </c>
      <c r="D69" s="430">
        <v>53</v>
      </c>
      <c r="E69" s="430">
        <v>53</v>
      </c>
      <c r="U69" s="430" t="s">
        <v>1143</v>
      </c>
      <c r="V69" s="430">
        <v>450</v>
      </c>
      <c r="W69" s="430" t="s">
        <v>1146</v>
      </c>
      <c r="X69" s="430">
        <f>54.4*V69/1000</f>
        <v>24.48</v>
      </c>
      <c r="Y69" s="430" t="s">
        <v>1145</v>
      </c>
    </row>
    <row r="70" spans="1:25" s="430" customFormat="1">
      <c r="A70" s="430">
        <f t="shared" si="0"/>
        <v>4</v>
      </c>
      <c r="B70" s="430" t="s">
        <v>1024</v>
      </c>
      <c r="C70" s="430">
        <v>22</v>
      </c>
      <c r="D70" s="430">
        <v>22</v>
      </c>
      <c r="E70" s="430">
        <v>22</v>
      </c>
    </row>
    <row r="71" spans="1:25">
      <c r="A71" s="430">
        <f t="shared" si="0"/>
        <v>5</v>
      </c>
      <c r="B71" s="430" t="s">
        <v>1001</v>
      </c>
      <c r="C71" s="430">
        <f>70000*X93</f>
        <v>73500</v>
      </c>
      <c r="D71" s="430">
        <f>C71</f>
        <v>73500</v>
      </c>
      <c r="E71" s="430">
        <f>D71</f>
        <v>73500</v>
      </c>
      <c r="F71" s="430"/>
    </row>
    <row r="72" spans="1:25">
      <c r="A72" s="430">
        <f t="shared" si="0"/>
        <v>6</v>
      </c>
      <c r="B72" t="s">
        <v>1132</v>
      </c>
      <c r="C72">
        <f>+C71*SUP!F13*C70/1000000</f>
        <v>19.266554999999997</v>
      </c>
      <c r="D72" s="430">
        <f>+D71*SUP!G13*D70/1000000</f>
        <v>19.266554999999997</v>
      </c>
      <c r="E72" s="430">
        <f>+E71*SUP!J13*E70/1000000</f>
        <v>19.266554999999997</v>
      </c>
    </row>
    <row r="73" spans="1:25">
      <c r="A73" s="430">
        <f t="shared" si="0"/>
        <v>7</v>
      </c>
      <c r="B73" t="s">
        <v>1026</v>
      </c>
      <c r="C73" s="430">
        <v>500</v>
      </c>
      <c r="D73" s="430">
        <v>2500</v>
      </c>
      <c r="E73" s="430">
        <v>500</v>
      </c>
      <c r="F73" s="430"/>
    </row>
    <row r="74" spans="1:25" s="430" customFormat="1">
      <c r="A74" s="430">
        <f t="shared" si="0"/>
        <v>8</v>
      </c>
      <c r="B74" s="430" t="s">
        <v>1134</v>
      </c>
      <c r="C74" s="430">
        <f>+C72*C73</f>
        <v>9633.2774999999983</v>
      </c>
      <c r="D74" s="430">
        <f>+D72*D73</f>
        <v>48166.38749999999</v>
      </c>
      <c r="E74" s="430">
        <f>+E72*E73</f>
        <v>9633.2774999999983</v>
      </c>
      <c r="F74" s="430">
        <f>Y104*H65*X93</f>
        <v>10571.58375</v>
      </c>
    </row>
    <row r="75" spans="1:25">
      <c r="A75" s="430">
        <f t="shared" si="0"/>
        <v>9</v>
      </c>
      <c r="B75" t="s">
        <v>1130</v>
      </c>
      <c r="C75" s="431">
        <f>SUM(S102:S103)*H65*X93</f>
        <v>1252.3260749999999</v>
      </c>
      <c r="D75" s="431">
        <f>SUM(W102:W103)*H65*X93</f>
        <v>6261.6303749999997</v>
      </c>
      <c r="E75" s="431">
        <f>C75</f>
        <v>1252.3260749999999</v>
      </c>
      <c r="F75" s="443">
        <f>SUM(Y102:Y103)*H65*X93</f>
        <v>1374.9314249999998</v>
      </c>
    </row>
    <row r="76" spans="1:25" s="430" customFormat="1">
      <c r="A76" s="430">
        <f t="shared" si="0"/>
        <v>10</v>
      </c>
      <c r="B76" s="430" t="s">
        <v>1133</v>
      </c>
      <c r="C76" s="443">
        <f>SUM(C74:C75)</f>
        <v>10885.603574999997</v>
      </c>
      <c r="D76" s="443">
        <f>SUM(D74:D75)</f>
        <v>54428.01787499999</v>
      </c>
      <c r="E76" s="443">
        <f>SUM(E74:E75)</f>
        <v>10885.603574999997</v>
      </c>
      <c r="F76" s="443">
        <f>SUM(F74:F75)</f>
        <v>11946.515175</v>
      </c>
      <c r="G76" s="443">
        <f>AA105*H65*X93</f>
        <v>4455.3952991452961</v>
      </c>
      <c r="H76"/>
      <c r="T76" t="s">
        <v>1019</v>
      </c>
    </row>
    <row r="77" spans="1:25" s="430" customFormat="1">
      <c r="A77" s="430">
        <f t="shared" si="0"/>
        <v>11</v>
      </c>
      <c r="B77" s="430" t="s">
        <v>1131</v>
      </c>
      <c r="C77" s="433">
        <f>+C76/C68</f>
        <v>239.70848957012083</v>
      </c>
      <c r="D77" s="433">
        <f>+D76/D68</f>
        <v>1198.5424478506043</v>
      </c>
      <c r="E77" s="433">
        <f>+E76/E68</f>
        <v>239.70848957012083</v>
      </c>
      <c r="F77" s="433">
        <f>+F76/F68</f>
        <v>69.134925781250004</v>
      </c>
      <c r="G77" s="433">
        <f>+G76/G68</f>
        <v>92.820735398860336</v>
      </c>
    </row>
    <row r="78" spans="1:25" s="430" customFormat="1">
      <c r="A78" s="430">
        <f t="shared" ref="A78:A89" si="1">A77+1</f>
        <v>12</v>
      </c>
      <c r="B78" s="430" t="s">
        <v>1017</v>
      </c>
      <c r="C78" s="1067">
        <v>80</v>
      </c>
      <c r="D78" s="1067">
        <v>80</v>
      </c>
      <c r="E78" s="1067">
        <v>80</v>
      </c>
      <c r="F78" s="433">
        <v>30</v>
      </c>
      <c r="G78" s="433">
        <v>15</v>
      </c>
    </row>
    <row r="79" spans="1:25">
      <c r="A79" s="430">
        <f t="shared" si="1"/>
        <v>13</v>
      </c>
      <c r="B79" t="s">
        <v>1135</v>
      </c>
      <c r="C79">
        <v>4</v>
      </c>
      <c r="D79">
        <v>4</v>
      </c>
      <c r="E79">
        <v>4</v>
      </c>
      <c r="F79">
        <v>4</v>
      </c>
      <c r="G79">
        <v>2</v>
      </c>
      <c r="H79" s="430"/>
    </row>
    <row r="80" spans="1:25">
      <c r="A80" s="430">
        <f t="shared" si="1"/>
        <v>14</v>
      </c>
      <c r="B80" s="430"/>
      <c r="C80" s="433"/>
      <c r="D80" s="433"/>
      <c r="E80" s="433"/>
      <c r="F80" s="433"/>
      <c r="G80" s="430"/>
    </row>
    <row r="81" spans="1:27">
      <c r="A81" s="430">
        <f t="shared" si="1"/>
        <v>15</v>
      </c>
      <c r="B81" s="430"/>
      <c r="C81" s="433"/>
      <c r="D81" s="433"/>
      <c r="E81" s="433"/>
      <c r="F81" s="433"/>
    </row>
    <row r="82" spans="1:27">
      <c r="A82" s="430">
        <f t="shared" si="1"/>
        <v>16</v>
      </c>
      <c r="B82" s="430"/>
      <c r="D82" s="430" t="s">
        <v>162</v>
      </c>
      <c r="E82" s="430" t="s">
        <v>162</v>
      </c>
      <c r="F82" s="430"/>
      <c r="G82" t="s">
        <v>1021</v>
      </c>
    </row>
    <row r="83" spans="1:27">
      <c r="A83" s="430">
        <f t="shared" si="1"/>
        <v>17</v>
      </c>
      <c r="B83" s="388" t="s">
        <v>1004</v>
      </c>
      <c r="G83">
        <v>48</v>
      </c>
    </row>
    <row r="84" spans="1:27">
      <c r="A84" s="430">
        <f t="shared" si="1"/>
        <v>18</v>
      </c>
      <c r="B84" t="s">
        <v>1020</v>
      </c>
      <c r="F84">
        <f>+F85*$G$83</f>
        <v>172.8</v>
      </c>
      <c r="G84" s="430">
        <f>+G85*$G$83</f>
        <v>48</v>
      </c>
    </row>
    <row r="85" spans="1:27">
      <c r="A85" s="430">
        <f t="shared" si="1"/>
        <v>19</v>
      </c>
      <c r="B85" t="s">
        <v>1022</v>
      </c>
      <c r="F85">
        <v>3.6</v>
      </c>
      <c r="G85">
        <v>1</v>
      </c>
    </row>
    <row r="86" spans="1:27">
      <c r="A86" s="430">
        <f t="shared" si="1"/>
        <v>20</v>
      </c>
      <c r="B86" t="s">
        <v>578</v>
      </c>
      <c r="F86">
        <v>50</v>
      </c>
    </row>
    <row r="87" spans="1:27">
      <c r="A87" s="430">
        <f t="shared" si="1"/>
        <v>21</v>
      </c>
      <c r="B87" t="s">
        <v>1023</v>
      </c>
      <c r="F87" s="443">
        <f>+F74*-PMT(0.08,F86,1)</f>
        <v>864.15147101988987</v>
      </c>
    </row>
    <row r="88" spans="1:27">
      <c r="A88" s="430">
        <f t="shared" si="1"/>
        <v>22</v>
      </c>
      <c r="F88" s="443">
        <f>+F74/F68</f>
        <v>61.178146701388883</v>
      </c>
    </row>
    <row r="89" spans="1:27">
      <c r="A89" s="430">
        <f t="shared" si="1"/>
        <v>23</v>
      </c>
      <c r="B89" s="388" t="s">
        <v>1006</v>
      </c>
      <c r="C89" t="s">
        <v>1010</v>
      </c>
    </row>
    <row r="90" spans="1:27">
      <c r="C90" s="430"/>
      <c r="D90" t="s">
        <v>162</v>
      </c>
    </row>
    <row r="91" spans="1:27">
      <c r="J91" t="s">
        <v>1098</v>
      </c>
    </row>
    <row r="92" spans="1:27">
      <c r="B92" s="382"/>
      <c r="F92" t="s">
        <v>1197</v>
      </c>
    </row>
    <row r="93" spans="1:27">
      <c r="Q93" s="388" t="s">
        <v>14007</v>
      </c>
      <c r="U93" t="s">
        <v>14008</v>
      </c>
      <c r="X93">
        <v>1.05</v>
      </c>
    </row>
    <row r="94" spans="1:27">
      <c r="AA94" t="s">
        <v>1137</v>
      </c>
    </row>
    <row r="95" spans="1:27">
      <c r="Q95" s="6" t="s">
        <v>1106</v>
      </c>
      <c r="R95" s="6"/>
      <c r="S95" s="6" t="s">
        <v>1107</v>
      </c>
      <c r="T95" s="6" t="s">
        <v>1107</v>
      </c>
      <c r="U95" s="6" t="s">
        <v>1108</v>
      </c>
      <c r="V95" s="6" t="s">
        <v>1108</v>
      </c>
      <c r="W95" s="6" t="s">
        <v>1126</v>
      </c>
      <c r="X95" s="6" t="s">
        <v>1126</v>
      </c>
      <c r="Y95" s="6" t="s">
        <v>984</v>
      </c>
      <c r="Z95" s="6" t="s">
        <v>967</v>
      </c>
      <c r="AA95" s="573" t="s">
        <v>1138</v>
      </c>
    </row>
    <row r="96" spans="1:27">
      <c r="Q96" s="6"/>
      <c r="R96" s="6"/>
      <c r="S96" s="6"/>
      <c r="T96" s="6"/>
      <c r="U96" s="6"/>
      <c r="V96" s="6"/>
      <c r="W96" s="6"/>
      <c r="X96" s="6"/>
      <c r="Y96" s="6"/>
      <c r="Z96" s="6"/>
    </row>
    <row r="97" spans="17:28" ht="75">
      <c r="Q97" s="719" t="s">
        <v>1109</v>
      </c>
      <c r="R97" s="719"/>
      <c r="S97" s="720" t="s">
        <v>1110</v>
      </c>
      <c r="T97" s="720" t="s">
        <v>1111</v>
      </c>
      <c r="U97" s="720" t="s">
        <v>1112</v>
      </c>
      <c r="V97" s="720" t="s">
        <v>1113</v>
      </c>
      <c r="W97" s="720" t="s">
        <v>1127</v>
      </c>
      <c r="X97" s="720" t="s">
        <v>1128</v>
      </c>
      <c r="Y97" s="720" t="s">
        <v>1114</v>
      </c>
      <c r="Z97" s="720" t="s">
        <v>1115</v>
      </c>
    </row>
    <row r="98" spans="17:28">
      <c r="Q98" s="6"/>
      <c r="R98" s="6"/>
      <c r="S98" s="6"/>
      <c r="T98" s="6"/>
      <c r="U98" s="6"/>
      <c r="V98" s="6"/>
      <c r="W98" s="6"/>
      <c r="X98" s="6"/>
      <c r="Y98" s="6"/>
      <c r="Z98" s="6"/>
    </row>
    <row r="99" spans="17:28">
      <c r="Q99" s="6" t="s">
        <v>1116</v>
      </c>
      <c r="R99" s="6" t="s">
        <v>296</v>
      </c>
      <c r="S99" s="721">
        <v>0.5</v>
      </c>
      <c r="T99" s="721">
        <v>0.9</v>
      </c>
      <c r="U99" s="721">
        <v>0.5</v>
      </c>
      <c r="V99" s="721">
        <v>0.9</v>
      </c>
      <c r="W99" s="721">
        <v>0.5</v>
      </c>
      <c r="X99" s="721">
        <v>0.9</v>
      </c>
      <c r="Y99" s="6" t="s">
        <v>1117</v>
      </c>
      <c r="Z99" s="721">
        <v>0.9</v>
      </c>
    </row>
    <row r="100" spans="17:28">
      <c r="Q100" s="6" t="s">
        <v>1118</v>
      </c>
      <c r="R100" s="6" t="s">
        <v>520</v>
      </c>
      <c r="S100" s="722">
        <v>1600</v>
      </c>
      <c r="T100" s="722">
        <v>1600</v>
      </c>
      <c r="U100" s="722">
        <v>1600</v>
      </c>
      <c r="V100" s="722">
        <v>1600</v>
      </c>
      <c r="W100" s="722">
        <v>1600</v>
      </c>
      <c r="X100" s="722">
        <v>1600</v>
      </c>
      <c r="Y100" s="722">
        <v>1600</v>
      </c>
      <c r="Z100" s="722">
        <v>1600</v>
      </c>
    </row>
    <row r="101" spans="17:28">
      <c r="Q101" s="6"/>
      <c r="R101" s="6"/>
      <c r="S101" s="6"/>
      <c r="T101" s="6"/>
      <c r="U101" s="6"/>
      <c r="V101" s="6"/>
      <c r="W101" s="6"/>
      <c r="X101" s="6"/>
      <c r="Y101" s="6"/>
      <c r="Z101" s="6"/>
    </row>
    <row r="102" spans="17:28">
      <c r="Q102" s="6" t="s">
        <v>1119</v>
      </c>
      <c r="R102" s="6" t="s">
        <v>1120</v>
      </c>
      <c r="S102" s="723">
        <v>38.5</v>
      </c>
      <c r="T102" s="723">
        <v>38.5</v>
      </c>
      <c r="U102" s="723">
        <v>77</v>
      </c>
      <c r="V102" s="723">
        <v>77</v>
      </c>
      <c r="W102" s="723">
        <f>U102*2.5</f>
        <v>192.5</v>
      </c>
      <c r="X102" s="723">
        <f>V102*2</f>
        <v>154</v>
      </c>
      <c r="Y102" s="723">
        <v>42.3</v>
      </c>
      <c r="Z102" s="723">
        <v>36.5</v>
      </c>
    </row>
    <row r="103" spans="17:28">
      <c r="Q103" s="6" t="s">
        <v>1121</v>
      </c>
      <c r="R103" s="6" t="s">
        <v>1120</v>
      </c>
      <c r="S103" s="723">
        <v>61.6</v>
      </c>
      <c r="T103" s="723">
        <v>61.6</v>
      </c>
      <c r="U103" s="723">
        <v>123.2</v>
      </c>
      <c r="V103" s="723">
        <v>123.2</v>
      </c>
      <c r="W103" s="723">
        <f>U103*2.5</f>
        <v>308</v>
      </c>
      <c r="X103" s="723">
        <f>V103*2</f>
        <v>246.4</v>
      </c>
      <c r="Y103" s="723">
        <v>67.599999999999994</v>
      </c>
      <c r="Z103" s="723">
        <v>58.4</v>
      </c>
    </row>
    <row r="104" spans="17:28">
      <c r="Q104" s="6" t="s">
        <v>1122</v>
      </c>
      <c r="R104" s="6" t="s">
        <v>1120</v>
      </c>
      <c r="S104" s="723">
        <f>770+266.7</f>
        <v>1036.7</v>
      </c>
      <c r="T104" s="723">
        <v>770</v>
      </c>
      <c r="U104" s="723">
        <f>1540+266.7</f>
        <v>1806.7</v>
      </c>
      <c r="V104" s="723">
        <f>1540</f>
        <v>1540</v>
      </c>
      <c r="W104" s="723">
        <f>U104*2.5</f>
        <v>4516.75</v>
      </c>
      <c r="X104" s="723">
        <f>V104*2</f>
        <v>3080</v>
      </c>
      <c r="Y104" s="723">
        <v>845</v>
      </c>
      <c r="Z104" s="723">
        <v>730</v>
      </c>
    </row>
    <row r="105" spans="17:28">
      <c r="Q105" s="6" t="s">
        <v>1123</v>
      </c>
      <c r="R105" s="6" t="s">
        <v>1120</v>
      </c>
      <c r="S105" s="724">
        <f t="shared" ref="S105:Z105" si="2">SUM(S102:S104)</f>
        <v>1136.8</v>
      </c>
      <c r="T105" s="724">
        <f t="shared" si="2"/>
        <v>870.1</v>
      </c>
      <c r="U105" s="724">
        <f t="shared" si="2"/>
        <v>2006.9</v>
      </c>
      <c r="V105" s="724">
        <f t="shared" si="2"/>
        <v>1740.2</v>
      </c>
      <c r="W105" s="724">
        <f t="shared" si="2"/>
        <v>5017.25</v>
      </c>
      <c r="X105" s="724">
        <f t="shared" si="2"/>
        <v>3480.4</v>
      </c>
      <c r="Y105" s="724">
        <f t="shared" si="2"/>
        <v>954.9</v>
      </c>
      <c r="Z105" s="724">
        <f t="shared" si="2"/>
        <v>824.9</v>
      </c>
      <c r="AA105" s="433">
        <f>400/AB117</f>
        <v>356.12535612535584</v>
      </c>
      <c r="AB105" s="727">
        <f>Z105/3</f>
        <v>274.96666666666664</v>
      </c>
    </row>
    <row r="106" spans="17:28">
      <c r="Q106" s="6"/>
      <c r="R106" s="6"/>
      <c r="S106" s="6"/>
    </row>
    <row r="107" spans="17:28">
      <c r="Q107" s="6" t="s">
        <v>1124</v>
      </c>
      <c r="R107" s="6"/>
      <c r="S107" s="6"/>
      <c r="T107" s="6"/>
      <c r="U107" s="6"/>
      <c r="V107" s="6"/>
      <c r="W107" s="6"/>
      <c r="X107" s="6"/>
      <c r="Y107" s="6"/>
      <c r="Z107" s="6"/>
      <c r="AA107" s="6"/>
      <c r="AB107" s="6"/>
    </row>
    <row r="108" spans="17:28">
      <c r="Q108" s="6">
        <v>2011</v>
      </c>
      <c r="R108" s="6" t="s">
        <v>296</v>
      </c>
      <c r="S108" s="725">
        <v>0.1</v>
      </c>
      <c r="T108" s="725">
        <v>0.1</v>
      </c>
      <c r="U108" s="725">
        <v>0.1</v>
      </c>
      <c r="V108" s="725">
        <v>0.1</v>
      </c>
      <c r="W108" s="725">
        <v>0.1</v>
      </c>
      <c r="X108" s="725">
        <v>0.1</v>
      </c>
      <c r="Y108" s="725">
        <v>0.1</v>
      </c>
      <c r="Z108" s="725">
        <v>0.5</v>
      </c>
    </row>
    <row r="109" spans="17:28">
      <c r="Q109" s="6">
        <v>2012</v>
      </c>
      <c r="R109" s="6" t="s">
        <v>296</v>
      </c>
      <c r="S109" s="725">
        <v>0.3</v>
      </c>
      <c r="T109" s="725">
        <v>0.3</v>
      </c>
      <c r="U109" s="725">
        <v>0.3</v>
      </c>
      <c r="V109" s="725">
        <v>0.3</v>
      </c>
      <c r="W109" s="725">
        <v>0.3</v>
      </c>
      <c r="X109" s="725">
        <v>0.3</v>
      </c>
      <c r="Y109" s="725">
        <v>0.25</v>
      </c>
      <c r="Z109" s="725">
        <v>0.5</v>
      </c>
    </row>
    <row r="110" spans="17:28">
      <c r="Q110" s="6">
        <v>2013</v>
      </c>
      <c r="R110" s="6" t="s">
        <v>296</v>
      </c>
      <c r="S110" s="725">
        <v>0.3</v>
      </c>
      <c r="T110" s="725">
        <v>0.3</v>
      </c>
      <c r="U110" s="725">
        <v>0.3</v>
      </c>
      <c r="V110" s="725">
        <v>0.3</v>
      </c>
      <c r="W110" s="725">
        <v>0.3</v>
      </c>
      <c r="X110" s="725">
        <v>0.3</v>
      </c>
      <c r="Y110" s="725">
        <v>0.6</v>
      </c>
      <c r="Z110" s="725"/>
    </row>
    <row r="111" spans="17:28">
      <c r="Q111" s="6">
        <v>2014</v>
      </c>
      <c r="R111" s="6" t="s">
        <v>296</v>
      </c>
      <c r="S111" s="725">
        <v>0.3</v>
      </c>
      <c r="T111" s="725">
        <v>0.3</v>
      </c>
      <c r="U111" s="725">
        <v>0.3</v>
      </c>
      <c r="V111" s="725">
        <v>0.3</v>
      </c>
      <c r="W111" s="725">
        <v>0.3</v>
      </c>
      <c r="X111" s="725">
        <v>0.3</v>
      </c>
      <c r="Y111" s="725">
        <v>0.05</v>
      </c>
      <c r="Z111" s="725"/>
    </row>
    <row r="112" spans="17:28">
      <c r="Q112" s="6"/>
      <c r="R112" s="6"/>
      <c r="S112" s="726">
        <f t="shared" ref="S112:Z112" si="3">SUM(S108:S111)</f>
        <v>1</v>
      </c>
      <c r="T112" s="726">
        <f t="shared" si="3"/>
        <v>1</v>
      </c>
      <c r="U112" s="726">
        <f t="shared" si="3"/>
        <v>1</v>
      </c>
      <c r="V112" s="726">
        <f t="shared" si="3"/>
        <v>1</v>
      </c>
      <c r="W112" s="726">
        <f t="shared" si="3"/>
        <v>1</v>
      </c>
      <c r="X112" s="726">
        <f t="shared" si="3"/>
        <v>1</v>
      </c>
      <c r="Y112" s="726">
        <f t="shared" si="3"/>
        <v>1</v>
      </c>
      <c r="Z112" s="726">
        <f t="shared" si="3"/>
        <v>1</v>
      </c>
    </row>
    <row r="113" spans="10:28">
      <c r="Q113" s="6"/>
      <c r="R113" s="6"/>
      <c r="S113" s="6"/>
      <c r="T113" s="6"/>
      <c r="U113" s="6"/>
      <c r="V113" s="6"/>
      <c r="W113" s="6"/>
      <c r="X113" s="6"/>
      <c r="Y113" s="6"/>
      <c r="Z113" s="6"/>
    </row>
    <row r="114" spans="10:28">
      <c r="Q114" s="6" t="s">
        <v>1125</v>
      </c>
      <c r="R114" s="6" t="s">
        <v>580</v>
      </c>
      <c r="S114" s="572">
        <v>20</v>
      </c>
      <c r="T114" s="572">
        <v>20</v>
      </c>
      <c r="U114" s="572">
        <v>20</v>
      </c>
      <c r="V114" s="572">
        <v>20</v>
      </c>
      <c r="W114" s="572">
        <v>20</v>
      </c>
      <c r="X114" s="572">
        <v>20</v>
      </c>
      <c r="Y114" s="572">
        <v>20</v>
      </c>
      <c r="Z114" s="572">
        <v>10</v>
      </c>
    </row>
    <row r="115" spans="10:28">
      <c r="AA115" t="s">
        <v>1191</v>
      </c>
      <c r="AB115" s="382">
        <v>0.08</v>
      </c>
    </row>
    <row r="116" spans="10:28">
      <c r="AA116" t="s">
        <v>1192</v>
      </c>
      <c r="AB116">
        <v>2</v>
      </c>
    </row>
    <row r="117" spans="10:28">
      <c r="AA117" t="s">
        <v>1193</v>
      </c>
      <c r="AB117">
        <f>-FV($AB$115,AB116,1/AB116)*(1+$AB$115)</f>
        <v>1.1232000000000009</v>
      </c>
    </row>
    <row r="118" spans="10:28">
      <c r="W118" t="s">
        <v>1147</v>
      </c>
    </row>
    <row r="119" spans="10:28">
      <c r="W119" t="s">
        <v>1140</v>
      </c>
      <c r="X119" s="728" t="s">
        <v>1141</v>
      </c>
      <c r="Y119">
        <f>165*2</f>
        <v>330</v>
      </c>
      <c r="Z119" s="729">
        <f>Y119*450</f>
        <v>148500</v>
      </c>
    </row>
    <row r="120" spans="10:28">
      <c r="X120" t="s">
        <v>248</v>
      </c>
      <c r="Y120">
        <f>Y119*X69*1000/1000000</f>
        <v>8.0784000000000002</v>
      </c>
      <c r="AA120" s="730">
        <f>3600000/Z119</f>
        <v>24.242424242424242</v>
      </c>
    </row>
    <row r="121" spans="10:28">
      <c r="W121" t="s">
        <v>1142</v>
      </c>
      <c r="X121">
        <v>24</v>
      </c>
      <c r="Y121">
        <f>Y120*X121</f>
        <v>193.88159999999999</v>
      </c>
    </row>
    <row r="128" spans="10:28">
      <c r="J128" t="s">
        <v>1195</v>
      </c>
    </row>
    <row r="135" spans="2:6">
      <c r="B135" t="s">
        <v>1151</v>
      </c>
    </row>
    <row r="138" spans="2:6">
      <c r="B138" t="s">
        <v>1152</v>
      </c>
      <c r="D138" t="s">
        <v>1154</v>
      </c>
      <c r="F138" t="s">
        <v>1162</v>
      </c>
    </row>
    <row r="139" spans="2:6">
      <c r="B139" t="s">
        <v>1164</v>
      </c>
      <c r="F139" s="430" t="s">
        <v>1159</v>
      </c>
    </row>
    <row r="140" spans="2:6">
      <c r="D140" t="s">
        <v>1153</v>
      </c>
    </row>
    <row r="141" spans="2:6">
      <c r="B141" t="s">
        <v>1165</v>
      </c>
      <c r="F141" t="s">
        <v>1163</v>
      </c>
    </row>
    <row r="142" spans="2:6">
      <c r="D142" t="s">
        <v>1004</v>
      </c>
      <c r="F142" s="430" t="s">
        <v>1158</v>
      </c>
    </row>
    <row r="144" spans="2:6">
      <c r="B144" t="s">
        <v>1155</v>
      </c>
      <c r="D144" t="s">
        <v>1156</v>
      </c>
      <c r="F144" t="s">
        <v>1189</v>
      </c>
    </row>
    <row r="145" spans="2:6">
      <c r="F145" t="s">
        <v>1190</v>
      </c>
    </row>
    <row r="146" spans="2:6">
      <c r="B146" t="s">
        <v>1157</v>
      </c>
      <c r="D146" t="s">
        <v>1156</v>
      </c>
      <c r="F146" t="s">
        <v>1161</v>
      </c>
    </row>
    <row r="147" spans="2:6">
      <c r="F147" s="430" t="s">
        <v>1160</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AE139"/>
  <sheetViews>
    <sheetView workbookViewId="0"/>
  </sheetViews>
  <sheetFormatPr defaultColWidth="9.28515625" defaultRowHeight="15"/>
  <cols>
    <col min="1" max="1" width="22.28515625" style="430" customWidth="1"/>
    <col min="2" max="2" width="25.7109375" style="430" customWidth="1"/>
    <col min="3" max="3" width="12.5703125" style="430" customWidth="1"/>
    <col min="4" max="4" width="18" style="430" customWidth="1"/>
    <col min="5" max="5" width="13.7109375" style="430" customWidth="1"/>
    <col min="6" max="7" width="25.28515625" style="430" customWidth="1"/>
    <col min="8" max="8" width="10.7109375" style="430" customWidth="1"/>
    <col min="9" max="9" width="13.28515625" style="430" customWidth="1"/>
    <col min="10" max="11" width="18.28515625" style="430" customWidth="1"/>
    <col min="12" max="12" width="17" style="430" customWidth="1"/>
    <col min="13" max="13" width="22.5703125" style="430" customWidth="1"/>
    <col min="14" max="14" width="15.28515625" style="430" customWidth="1"/>
    <col min="15" max="15" width="13.42578125" style="430" customWidth="1"/>
    <col min="16" max="16" width="11.28515625" style="430" customWidth="1"/>
    <col min="17" max="17" width="13.28515625" style="430" customWidth="1"/>
    <col min="18" max="18" width="23" style="430" customWidth="1"/>
    <col min="19" max="19" width="7.7109375" style="430" customWidth="1"/>
    <col min="20" max="20" width="6" style="430" customWidth="1"/>
    <col min="21" max="21" width="10.28515625" style="430" customWidth="1"/>
    <col min="22" max="22" width="15.5703125" style="430" customWidth="1"/>
    <col min="23" max="23" width="10" style="430" customWidth="1"/>
    <col min="24" max="16384" width="9.28515625" style="430"/>
  </cols>
  <sheetData>
    <row r="1" spans="1:31" ht="15" customHeight="1">
      <c r="A1" s="430" t="s">
        <v>1722</v>
      </c>
      <c r="U1" s="1149" t="s">
        <v>1932</v>
      </c>
      <c r="V1" s="1133">
        <v>15.3</v>
      </c>
      <c r="W1" s="1164" t="s">
        <v>1936</v>
      </c>
      <c r="AC1" s="1830" t="s">
        <v>1905</v>
      </c>
      <c r="AD1" s="1830"/>
      <c r="AE1" s="1830"/>
    </row>
    <row r="2" spans="1:31" ht="15.75" customHeight="1">
      <c r="A2" s="1816" t="s">
        <v>1723</v>
      </c>
      <c r="B2" s="1818" t="s">
        <v>1724</v>
      </c>
      <c r="C2" s="1820" t="s">
        <v>1725</v>
      </c>
      <c r="D2" s="1821"/>
      <c r="E2" s="1822"/>
      <c r="F2" s="1825" t="s">
        <v>1726</v>
      </c>
      <c r="G2" s="1155"/>
      <c r="H2" s="1155"/>
      <c r="I2" s="1155"/>
      <c r="J2" s="1155"/>
      <c r="U2" s="1149" t="s">
        <v>1930</v>
      </c>
      <c r="V2" s="1133">
        <v>18.235131074122162</v>
      </c>
      <c r="W2" s="1164" t="s">
        <v>1931</v>
      </c>
      <c r="AC2" s="1141" t="s">
        <v>1906</v>
      </c>
      <c r="AD2" s="1142">
        <f>AD3*AD4/10^3</f>
        <v>5.4839199999999998E-2</v>
      </c>
      <c r="AE2" s="1048" t="s">
        <v>248</v>
      </c>
    </row>
    <row r="3" spans="1:31">
      <c r="A3" s="1817"/>
      <c r="B3" s="1819"/>
      <c r="C3" s="1823"/>
      <c r="D3" s="1824"/>
      <c r="E3" s="1824"/>
      <c r="F3" s="1826"/>
      <c r="G3" s="1155"/>
      <c r="H3" s="1155"/>
      <c r="I3" s="1155"/>
      <c r="J3" s="1155"/>
      <c r="N3" s="503"/>
      <c r="V3" s="430" t="s">
        <v>256</v>
      </c>
      <c r="W3" s="430" t="s">
        <v>256</v>
      </c>
      <c r="X3" s="430" t="s">
        <v>256</v>
      </c>
      <c r="Y3" s="430" t="s">
        <v>254</v>
      </c>
      <c r="Z3" s="430" t="s">
        <v>254</v>
      </c>
      <c r="AA3" s="430" t="s">
        <v>254</v>
      </c>
      <c r="AC3" s="1143" t="s">
        <v>1907</v>
      </c>
      <c r="AD3" s="1142">
        <v>52</v>
      </c>
      <c r="AE3" s="1048" t="s">
        <v>1908</v>
      </c>
    </row>
    <row r="4" spans="1:31">
      <c r="A4" s="1069"/>
      <c r="B4" s="1070"/>
      <c r="C4" s="1071" t="s">
        <v>1728</v>
      </c>
      <c r="D4" s="1072" t="s">
        <v>1729</v>
      </c>
      <c r="E4" s="1072" t="s">
        <v>1730</v>
      </c>
      <c r="F4" s="1157"/>
      <c r="G4" s="430" t="s">
        <v>1727</v>
      </c>
      <c r="H4" s="1181" t="s">
        <v>1978</v>
      </c>
      <c r="I4" s="1155"/>
      <c r="J4" s="1155"/>
      <c r="O4" s="430" t="s">
        <v>2180</v>
      </c>
      <c r="R4" s="834" t="s">
        <v>1943</v>
      </c>
      <c r="S4" s="430" t="s">
        <v>1944</v>
      </c>
      <c r="T4" s="430" t="s">
        <v>1945</v>
      </c>
      <c r="U4" s="430" t="s">
        <v>1946</v>
      </c>
      <c r="V4" s="1200">
        <v>7.0000000000000001E-3</v>
      </c>
      <c r="W4" s="1200">
        <v>0.02</v>
      </c>
      <c r="X4" s="1161">
        <v>0.05</v>
      </c>
      <c r="Y4" s="1160">
        <v>0.02</v>
      </c>
      <c r="Z4" s="1160">
        <v>0.04</v>
      </c>
      <c r="AA4" s="1160">
        <v>0.05</v>
      </c>
      <c r="AC4" s="1143" t="s">
        <v>1909</v>
      </c>
      <c r="AD4" s="1142">
        <v>1.0546</v>
      </c>
      <c r="AE4" s="1048" t="s">
        <v>248</v>
      </c>
    </row>
    <row r="5" spans="1:31">
      <c r="A5" s="1073" t="s">
        <v>1732</v>
      </c>
      <c r="B5" s="589" t="s">
        <v>1733</v>
      </c>
      <c r="C5" s="1074">
        <v>7</v>
      </c>
      <c r="D5" s="1075">
        <v>9</v>
      </c>
      <c r="E5" s="1075">
        <f>(C5+D5)/2</f>
        <v>8</v>
      </c>
      <c r="F5" s="1076"/>
      <c r="G5" s="430" t="s">
        <v>1731</v>
      </c>
      <c r="H5" s="1181" t="s">
        <v>1978</v>
      </c>
      <c r="I5" s="1156"/>
      <c r="J5" s="1156"/>
      <c r="O5" s="1291" t="s">
        <v>3</v>
      </c>
      <c r="Q5" s="1189" t="s">
        <v>266</v>
      </c>
      <c r="R5" s="1038" t="s">
        <v>1937</v>
      </c>
      <c r="S5" s="1192">
        <v>1</v>
      </c>
      <c r="T5" s="1193">
        <v>0</v>
      </c>
      <c r="U5" s="1194">
        <v>0</v>
      </c>
      <c r="V5" s="1163">
        <f>$V$2*V$4*$S$5+0.001*$V$2</f>
        <v>0.14588104859297729</v>
      </c>
      <c r="W5" s="1163">
        <f>$V$2*W$4*$S$5+0.001*$V$2</f>
        <v>0.38293775255656542</v>
      </c>
      <c r="X5" s="1163">
        <f>$V$2*X$4*$S$5+0.001*$V$2</f>
        <v>0.9299916847802302</v>
      </c>
      <c r="Y5" s="1162">
        <f>(1-$S$5)*$V$1*Y$4</f>
        <v>0</v>
      </c>
      <c r="Z5" s="1162">
        <f>(1-$S$5)*$V$1*Z$4</f>
        <v>0</v>
      </c>
      <c r="AA5" s="1162">
        <f>(1-$S$5)*$V$1*AA$4</f>
        <v>0</v>
      </c>
      <c r="AC5" s="1143" t="s">
        <v>1907</v>
      </c>
      <c r="AD5" s="1142">
        <v>5.7272999999999996</v>
      </c>
      <c r="AE5" s="1047" t="s">
        <v>1910</v>
      </c>
    </row>
    <row r="6" spans="1:31">
      <c r="A6" s="553" t="s">
        <v>1735</v>
      </c>
      <c r="B6" s="589" t="s">
        <v>1733</v>
      </c>
      <c r="C6" s="980">
        <v>4.8</v>
      </c>
      <c r="D6" s="546">
        <v>13.9</v>
      </c>
      <c r="E6" s="546">
        <f>(C6+D6)/2</f>
        <v>9.35</v>
      </c>
      <c r="F6" s="1077">
        <v>65.3</v>
      </c>
      <c r="G6" s="430" t="s">
        <v>1734</v>
      </c>
      <c r="H6" s="1181" t="s">
        <v>1978</v>
      </c>
      <c r="I6" s="1156"/>
      <c r="J6" s="1156"/>
      <c r="O6" s="1289">
        <f>Index!C5</f>
        <v>1</v>
      </c>
      <c r="Q6" s="1190" t="s">
        <v>266</v>
      </c>
      <c r="R6" s="886" t="s">
        <v>1947</v>
      </c>
      <c r="S6" s="1225">
        <v>0.5</v>
      </c>
      <c r="T6" s="1226">
        <v>0.5</v>
      </c>
      <c r="U6" s="1227">
        <v>0</v>
      </c>
      <c r="V6" s="1163">
        <f>$V$2*V$4*$S$6+0.001*$V$2</f>
        <v>8.205808983354973E-2</v>
      </c>
      <c r="W6" s="1163">
        <f>$V$2*W$4*$S$6+0.001*$V$2</f>
        <v>0.2005864418153438</v>
      </c>
      <c r="X6" s="1163">
        <f>$V$2*X$4*$S$6+0.001*$V$2</f>
        <v>0.47411340792717621</v>
      </c>
      <c r="Y6" s="1162">
        <f>($T$6)*$V$1*Y$4</f>
        <v>0.153</v>
      </c>
      <c r="Z6" s="1162">
        <f>($T$6)*$V$1*Z$4</f>
        <v>0.30599999999999999</v>
      </c>
      <c r="AA6" s="1162">
        <f>($T$6)*$V$1*AA$4</f>
        <v>0.38250000000000006</v>
      </c>
      <c r="AC6" s="1143" t="s">
        <v>1911</v>
      </c>
      <c r="AD6" s="1142">
        <v>11</v>
      </c>
      <c r="AE6" s="1047" t="s">
        <v>248</v>
      </c>
    </row>
    <row r="7" spans="1:31">
      <c r="A7" s="553" t="s">
        <v>1737</v>
      </c>
      <c r="B7" s="589" t="s">
        <v>1733</v>
      </c>
      <c r="C7" s="980">
        <v>9.4</v>
      </c>
      <c r="D7" s="546">
        <v>9.4</v>
      </c>
      <c r="E7" s="546">
        <f>(C7+D7)/2</f>
        <v>9.4</v>
      </c>
      <c r="F7" s="1077"/>
      <c r="G7" s="430" t="s">
        <v>1736</v>
      </c>
      <c r="H7" s="1181" t="s">
        <v>1978</v>
      </c>
      <c r="I7" s="1156"/>
      <c r="J7" s="1156"/>
      <c r="N7" s="430" t="s">
        <v>1982</v>
      </c>
      <c r="O7" s="581">
        <f>IF($O$6=1,(1-V14),IF($O$6=2,(1-W14),1))</f>
        <v>0.999</v>
      </c>
      <c r="Q7" s="1190" t="s">
        <v>266</v>
      </c>
      <c r="R7" s="886" t="s">
        <v>1948</v>
      </c>
      <c r="S7" s="1187">
        <v>0</v>
      </c>
      <c r="T7" s="1195">
        <v>0.1</v>
      </c>
      <c r="U7" s="1196">
        <v>0.9</v>
      </c>
      <c r="V7" s="1163">
        <f>$V$2*V$4*$S$7+0.001*$V$2</f>
        <v>1.8235131074122161E-2</v>
      </c>
      <c r="W7" s="1163">
        <f>$V$2*W$4*$S$7+0.001*$V$2</f>
        <v>1.8235131074122161E-2</v>
      </c>
      <c r="X7" s="1163">
        <f>$V$2*X$4*$S$7+0.001*$V$2</f>
        <v>1.8235131074122161E-2</v>
      </c>
      <c r="Y7" s="1162">
        <f>($T$7)*$V$1*Y$4</f>
        <v>3.0600000000000006E-2</v>
      </c>
      <c r="Z7" s="1162">
        <f>($T$7)*$V$1*Z$4</f>
        <v>6.1200000000000011E-2</v>
      </c>
      <c r="AA7" s="1162">
        <f>($T$7)*$V$1*AA$4</f>
        <v>7.6500000000000012E-2</v>
      </c>
      <c r="AC7" s="1143" t="s">
        <v>1912</v>
      </c>
      <c r="AD7" s="1142">
        <v>37</v>
      </c>
      <c r="AE7" s="1047" t="s">
        <v>1913</v>
      </c>
    </row>
    <row r="8" spans="1:31">
      <c r="A8" s="553" t="s">
        <v>1739</v>
      </c>
      <c r="B8" s="589" t="s">
        <v>1733</v>
      </c>
      <c r="C8" s="980">
        <v>13</v>
      </c>
      <c r="D8" s="546">
        <v>15</v>
      </c>
      <c r="E8" s="546">
        <f>(C8+D8)/2</f>
        <v>14</v>
      </c>
      <c r="F8" s="1077">
        <v>71.7</v>
      </c>
      <c r="G8" s="430" t="s">
        <v>1738</v>
      </c>
      <c r="H8" s="1181" t="s">
        <v>1978</v>
      </c>
      <c r="I8" s="1156"/>
      <c r="J8" s="1156"/>
      <c r="N8" s="430" t="s">
        <v>2184</v>
      </c>
      <c r="O8" s="581">
        <f>IF($O$6=1,(0.96-V14),IF($O$6=2,(0.96-W14),0.96))</f>
        <v>0.95899999999999996</v>
      </c>
      <c r="Q8" s="1191" t="s">
        <v>266</v>
      </c>
      <c r="R8" s="600" t="s">
        <v>1949</v>
      </c>
      <c r="S8" s="1225">
        <v>0</v>
      </c>
      <c r="T8" s="1226">
        <v>0</v>
      </c>
      <c r="U8" s="1227">
        <v>1</v>
      </c>
      <c r="V8" s="1163">
        <f>$V$2*V$4*$S$8+0.001*$V$2</f>
        <v>1.8235131074122161E-2</v>
      </c>
      <c r="W8" s="1163">
        <f>$V$2*W$4*$S$8+0.001*$V$2</f>
        <v>1.8235131074122161E-2</v>
      </c>
      <c r="X8" s="1163">
        <f>$V$2*X$4*$S$8+0.001*$V$2</f>
        <v>1.8235131074122161E-2</v>
      </c>
      <c r="Y8" s="1162">
        <f>($T$8)*$V$1*Y$4</f>
        <v>0</v>
      </c>
      <c r="Z8" s="1162">
        <f>($T$8)*$V$1*Z$4</f>
        <v>0</v>
      </c>
      <c r="AA8" s="1162">
        <f>($T$8)*$V$1*AA$4</f>
        <v>0</v>
      </c>
      <c r="AC8" s="1143" t="s">
        <v>1914</v>
      </c>
      <c r="AD8" s="1144">
        <f>AD5/AD3/AD4</f>
        <v>0.10443806620081986</v>
      </c>
      <c r="AE8" s="1047" t="s">
        <v>1915</v>
      </c>
    </row>
    <row r="9" spans="1:31" ht="15" customHeight="1">
      <c r="A9" s="553" t="s">
        <v>1741</v>
      </c>
      <c r="B9" s="589" t="s">
        <v>1733</v>
      </c>
      <c r="C9" s="980">
        <v>41.7</v>
      </c>
      <c r="D9" s="546">
        <v>41.7</v>
      </c>
      <c r="E9" s="546">
        <f>(C9+D9)/2</f>
        <v>41.7</v>
      </c>
      <c r="F9" s="1077">
        <v>99.6</v>
      </c>
      <c r="G9" s="430" t="s">
        <v>1740</v>
      </c>
      <c r="H9" s="1181" t="s">
        <v>1978</v>
      </c>
      <c r="I9" s="1156"/>
      <c r="J9" s="1156"/>
      <c r="V9" s="1200">
        <v>2E-3</v>
      </c>
      <c r="W9" s="1200">
        <v>7.0000000000000001E-3</v>
      </c>
      <c r="X9" s="1161">
        <v>0.02</v>
      </c>
      <c r="Y9" s="1160">
        <v>5.0000000000000001E-3</v>
      </c>
      <c r="Z9" s="1160">
        <v>0.01</v>
      </c>
      <c r="AA9" s="1160">
        <v>0.02</v>
      </c>
      <c r="AC9" s="1143" t="s">
        <v>1916</v>
      </c>
      <c r="AD9" s="1142">
        <v>21</v>
      </c>
      <c r="AE9" s="1047" t="s">
        <v>1917</v>
      </c>
    </row>
    <row r="10" spans="1:31">
      <c r="A10" s="553" t="s">
        <v>1743</v>
      </c>
      <c r="B10" s="589" t="s">
        <v>1733</v>
      </c>
      <c r="C10" s="980"/>
      <c r="D10" s="546"/>
      <c r="E10" s="532"/>
      <c r="F10" s="1077">
        <v>72</v>
      </c>
      <c r="G10" s="430" t="s">
        <v>1742</v>
      </c>
      <c r="H10" s="1181" t="s">
        <v>1978</v>
      </c>
      <c r="I10" s="1156"/>
      <c r="J10" s="1156"/>
      <c r="Q10" s="1189" t="s">
        <v>1980</v>
      </c>
      <c r="R10" s="589" t="s">
        <v>1937</v>
      </c>
      <c r="S10" s="1187">
        <v>1</v>
      </c>
      <c r="T10" s="1195">
        <v>0</v>
      </c>
      <c r="U10" s="1196">
        <v>0</v>
      </c>
      <c r="V10" s="1163">
        <f>$V$2*V$9*$S$10+0.001*$V$2</f>
        <v>5.4705393222366484E-2</v>
      </c>
      <c r="W10" s="1163">
        <f>$V$2*W$9*$S$10+0.001*$V$2</f>
        <v>0.14588104859297729</v>
      </c>
      <c r="X10" s="1163">
        <f>$V$2*X$9*$S$10+0.001*$V$2</f>
        <v>0.38293775255656542</v>
      </c>
      <c r="Y10" s="430">
        <v>0</v>
      </c>
      <c r="Z10" s="430">
        <v>0</v>
      </c>
      <c r="AA10" s="430">
        <v>0</v>
      </c>
      <c r="AC10" s="1143" t="s">
        <v>1918</v>
      </c>
      <c r="AD10" s="1142"/>
      <c r="AE10" s="1048" t="s">
        <v>1919</v>
      </c>
    </row>
    <row r="11" spans="1:31">
      <c r="A11" s="553" t="s">
        <v>1745</v>
      </c>
      <c r="B11" s="589" t="s">
        <v>1733</v>
      </c>
      <c r="C11" s="980"/>
      <c r="D11" s="546"/>
      <c r="E11" s="532"/>
      <c r="F11" s="1077">
        <v>66</v>
      </c>
      <c r="G11" s="430" t="s">
        <v>1744</v>
      </c>
      <c r="H11" s="1181" t="s">
        <v>1978</v>
      </c>
      <c r="I11" s="1156"/>
      <c r="J11" s="1156"/>
      <c r="Q11" s="1190"/>
      <c r="R11" s="1188" t="s">
        <v>1947</v>
      </c>
      <c r="S11" s="1187">
        <v>0.5</v>
      </c>
      <c r="T11" s="1195">
        <v>0.5</v>
      </c>
      <c r="U11" s="1196">
        <v>0</v>
      </c>
      <c r="V11" s="1163">
        <f>$V$2*V$9*$S$11+0.001*$V$2</f>
        <v>3.6470262148244323E-2</v>
      </c>
      <c r="W11" s="1163">
        <f>$V$2*W$9*$S$11+0.001*$V$2</f>
        <v>8.205808983354973E-2</v>
      </c>
      <c r="X11" s="1163">
        <f>$V$2*X$9*$S$11+0.001*$V$2</f>
        <v>0.2005864418153438</v>
      </c>
      <c r="Y11" s="1162">
        <f>($T$11)*$V$1*Y$9</f>
        <v>3.8249999999999999E-2</v>
      </c>
      <c r="Z11" s="1162">
        <f>($T$11)*$V$1*Z$9</f>
        <v>7.6499999999999999E-2</v>
      </c>
      <c r="AA11" s="1162">
        <f>($T$11)*$V$1*AA$9</f>
        <v>0.153</v>
      </c>
      <c r="AC11" s="1145" t="s">
        <v>1920</v>
      </c>
      <c r="AD11" s="1146">
        <v>20</v>
      </c>
      <c r="AE11" s="1047" t="s">
        <v>1921</v>
      </c>
    </row>
    <row r="12" spans="1:31">
      <c r="A12" s="590" t="s">
        <v>1747</v>
      </c>
      <c r="B12" s="610" t="s">
        <v>1733</v>
      </c>
      <c r="C12" s="984"/>
      <c r="D12" s="985"/>
      <c r="E12" s="387"/>
      <c r="F12" s="1078">
        <v>61</v>
      </c>
      <c r="G12" s="430" t="s">
        <v>1746</v>
      </c>
      <c r="H12" s="1181" t="s">
        <v>1978</v>
      </c>
      <c r="I12" s="546"/>
      <c r="J12" s="546"/>
      <c r="Q12" s="1190"/>
      <c r="R12" s="1188" t="s">
        <v>1948</v>
      </c>
      <c r="S12" s="1187">
        <v>0</v>
      </c>
      <c r="T12" s="1195">
        <v>0.1</v>
      </c>
      <c r="U12" s="1196">
        <v>0.9</v>
      </c>
      <c r="V12" s="1163">
        <f>$V$2*V$9*$S$12+0.001*$V$2</f>
        <v>1.8235131074122161E-2</v>
      </c>
      <c r="W12" s="1163">
        <f>$V$2*W$9*$S$12+0.001*$V$2</f>
        <v>1.8235131074122161E-2</v>
      </c>
      <c r="X12" s="1163">
        <f>$V$2*X$9*$S$12+0.001*$V$2</f>
        <v>1.8235131074122161E-2</v>
      </c>
      <c r="Y12" s="1162">
        <f>($T$12)*$V$1*Y$9</f>
        <v>7.6500000000000014E-3</v>
      </c>
      <c r="Z12" s="1162">
        <f>($T$12)*$V$1*Z$9</f>
        <v>1.5300000000000003E-2</v>
      </c>
      <c r="AA12" s="1162">
        <f>($T$12)*$V$1*AA$9</f>
        <v>3.0600000000000006E-2</v>
      </c>
      <c r="AC12" s="1145" t="s">
        <v>1922</v>
      </c>
      <c r="AD12" s="1147">
        <f>AD11*1055*10^-3</f>
        <v>21.1</v>
      </c>
      <c r="AE12" s="1047" t="s">
        <v>248</v>
      </c>
    </row>
    <row r="13" spans="1:31">
      <c r="A13" s="532"/>
      <c r="B13" s="532"/>
      <c r="C13" s="546"/>
      <c r="D13" s="546"/>
      <c r="E13" s="532"/>
      <c r="F13" s="546"/>
      <c r="H13" s="1181"/>
      <c r="I13" s="546"/>
      <c r="J13" s="546"/>
      <c r="P13" s="532"/>
      <c r="Q13" s="1191"/>
      <c r="R13" s="596" t="s">
        <v>1949</v>
      </c>
      <c r="S13" s="1197">
        <v>0</v>
      </c>
      <c r="T13" s="1198">
        <v>0</v>
      </c>
      <c r="U13" s="1199">
        <v>1</v>
      </c>
      <c r="V13" s="1163">
        <f>$V$2*V$9*$S$13+0.001*$V$2</f>
        <v>1.8235131074122161E-2</v>
      </c>
      <c r="W13" s="1163">
        <f>$V$2*W$9*$S$13+0.001*$V$2</f>
        <v>1.8235131074122161E-2</v>
      </c>
      <c r="X13" s="1163">
        <f>$V$2*X$9*$S$13+0.001*$V$2</f>
        <v>1.8235131074122161E-2</v>
      </c>
      <c r="Y13" s="430">
        <v>0</v>
      </c>
      <c r="Z13" s="430">
        <v>0</v>
      </c>
      <c r="AA13" s="430">
        <v>0</v>
      </c>
      <c r="AC13" s="1145" t="s">
        <v>1923</v>
      </c>
      <c r="AD13" s="1147">
        <f>1/(AD3*AD12)</f>
        <v>9.1141086401749902E-4</v>
      </c>
      <c r="AE13" s="1047" t="s">
        <v>252</v>
      </c>
    </row>
    <row r="14" spans="1:31">
      <c r="A14" s="532"/>
      <c r="B14" s="532"/>
      <c r="C14" s="546"/>
      <c r="D14" s="546"/>
      <c r="E14" s="532"/>
      <c r="F14" s="546"/>
      <c r="H14" s="1181"/>
      <c r="I14" s="546"/>
      <c r="J14" s="546"/>
      <c r="P14" s="532"/>
      <c r="V14" s="1200">
        <v>1E-3</v>
      </c>
      <c r="W14" s="1200">
        <v>3.0000000000000001E-3</v>
      </c>
      <c r="X14" s="1200">
        <v>5.0000000000000001E-3</v>
      </c>
      <c r="AC14" s="1145" t="s">
        <v>1912</v>
      </c>
      <c r="AD14" s="1147">
        <v>0.66200000000000003</v>
      </c>
      <c r="AE14" s="1047" t="s">
        <v>1924</v>
      </c>
    </row>
    <row r="15" spans="1:31">
      <c r="A15" s="532"/>
      <c r="B15" s="532"/>
      <c r="C15" s="546"/>
      <c r="D15" s="546"/>
      <c r="E15" s="532"/>
      <c r="F15" s="546"/>
      <c r="H15" s="1181"/>
      <c r="I15" s="546"/>
      <c r="J15" s="546"/>
      <c r="P15" s="532"/>
      <c r="Q15" s="1201" t="s">
        <v>1983</v>
      </c>
      <c r="R15" s="532"/>
      <c r="S15" s="532"/>
      <c r="V15" s="430">
        <f>R42</f>
        <v>6.9986433062480854E-2</v>
      </c>
      <c r="W15" s="430">
        <f>R43</f>
        <v>9.9454404878262279E-2</v>
      </c>
      <c r="X15" s="430">
        <f>W15</f>
        <v>9.9454404878262279E-2</v>
      </c>
      <c r="AC15" s="1145" t="s">
        <v>1925</v>
      </c>
      <c r="AD15" s="1147">
        <v>31.536000000000001</v>
      </c>
      <c r="AE15" s="1047" t="s">
        <v>1926</v>
      </c>
    </row>
    <row r="16" spans="1:31">
      <c r="A16" s="532"/>
      <c r="B16" s="532"/>
      <c r="C16" s="546"/>
      <c r="D16" s="546"/>
      <c r="E16" s="532"/>
      <c r="F16" s="546"/>
      <c r="H16" s="1181"/>
      <c r="I16" s="546"/>
      <c r="J16" s="546"/>
      <c r="P16" s="532"/>
      <c r="Q16" s="532" t="s">
        <v>1982</v>
      </c>
      <c r="R16" s="532"/>
      <c r="S16" s="532"/>
      <c r="V16" s="430">
        <f>V15</f>
        <v>6.9986433062480854E-2</v>
      </c>
      <c r="W16" s="430">
        <f>W15</f>
        <v>9.9454404878262279E-2</v>
      </c>
      <c r="X16" s="430">
        <f>W16</f>
        <v>9.9454404878262279E-2</v>
      </c>
      <c r="AC16" s="1145" t="s">
        <v>1927</v>
      </c>
      <c r="AD16" s="1147">
        <f>AD6/'[9]MSW Source'!E62</f>
        <v>66.094195755779722</v>
      </c>
      <c r="AE16" s="1047" t="s">
        <v>1928</v>
      </c>
    </row>
    <row r="17" spans="1:31">
      <c r="A17" s="532"/>
      <c r="B17" s="532"/>
      <c r="C17" s="546"/>
      <c r="D17" s="546"/>
      <c r="E17" s="532"/>
      <c r="F17" s="546"/>
      <c r="H17" s="1181"/>
      <c r="I17" s="546"/>
      <c r="J17" s="546"/>
      <c r="Q17" s="532"/>
      <c r="R17" s="532"/>
      <c r="S17" s="532"/>
      <c r="AC17" s="1145" t="s">
        <v>1929</v>
      </c>
      <c r="AD17" s="1147">
        <v>5.8</v>
      </c>
      <c r="AE17" s="1047" t="s">
        <v>248</v>
      </c>
    </row>
    <row r="18" spans="1:31">
      <c r="A18" s="532"/>
      <c r="B18" s="532"/>
      <c r="C18" s="546"/>
      <c r="D18" s="546"/>
      <c r="E18" s="532"/>
      <c r="F18" s="546"/>
      <c r="H18" s="1181"/>
      <c r="I18" s="546"/>
      <c r="J18" s="546"/>
      <c r="AC18" s="1145"/>
      <c r="AD18" s="1147"/>
      <c r="AE18" s="1047"/>
    </row>
    <row r="19" spans="1:31">
      <c r="A19" s="532"/>
      <c r="B19" s="532"/>
      <c r="C19" s="546"/>
      <c r="D19" s="546"/>
      <c r="E19" s="532"/>
      <c r="F19" s="546"/>
      <c r="H19" s="1181"/>
      <c r="I19" s="546"/>
      <c r="J19" s="546"/>
    </row>
    <row r="20" spans="1:31">
      <c r="A20" s="532"/>
      <c r="B20" s="532"/>
      <c r="C20" s="546"/>
      <c r="D20" s="546"/>
      <c r="E20" s="532"/>
      <c r="F20" s="546"/>
      <c r="H20" s="1181"/>
      <c r="I20" s="546"/>
      <c r="J20" s="546"/>
      <c r="V20" s="1203"/>
      <c r="AC20" s="1831" t="s">
        <v>251</v>
      </c>
      <c r="AD20" s="1831"/>
      <c r="AE20" s="1831"/>
    </row>
    <row r="21" spans="1:31">
      <c r="A21" s="532"/>
      <c r="B21" s="532"/>
      <c r="C21" s="546"/>
      <c r="D21" s="546"/>
      <c r="E21" s="532"/>
      <c r="F21" s="546"/>
      <c r="H21" s="1181"/>
      <c r="I21" s="546"/>
      <c r="J21" s="546"/>
      <c r="AC21" s="1149" t="s">
        <v>1930</v>
      </c>
      <c r="AD21" s="1133">
        <f>1/AD2</f>
        <v>18.235131074122162</v>
      </c>
      <c r="AE21" s="1148" t="s">
        <v>1931</v>
      </c>
    </row>
    <row r="22" spans="1:31">
      <c r="A22" s="532"/>
      <c r="B22" s="532"/>
      <c r="C22" s="546"/>
      <c r="D22" s="546"/>
      <c r="E22" s="532"/>
      <c r="F22" s="546"/>
      <c r="H22" s="1181"/>
      <c r="I22" s="546"/>
      <c r="J22" s="546"/>
      <c r="AC22" s="1149" t="s">
        <v>1932</v>
      </c>
      <c r="AD22" s="1148">
        <f>15.3*0.001*1000</f>
        <v>15.3</v>
      </c>
      <c r="AE22" s="1148" t="s">
        <v>1936</v>
      </c>
    </row>
    <row r="23" spans="1:31">
      <c r="A23" s="532"/>
      <c r="B23" s="532"/>
      <c r="C23" s="546"/>
      <c r="D23" s="546"/>
      <c r="E23" s="532"/>
      <c r="F23" s="546"/>
      <c r="H23" s="1181"/>
      <c r="I23" s="546"/>
      <c r="J23" s="546"/>
      <c r="AC23" s="1149" t="s">
        <v>1934</v>
      </c>
      <c r="AD23" s="1150">
        <f>20*0.001</f>
        <v>0.02</v>
      </c>
      <c r="AE23" s="1148" t="s">
        <v>1933</v>
      </c>
    </row>
    <row r="24" spans="1:31">
      <c r="A24" s="532"/>
      <c r="B24" s="532"/>
      <c r="C24" s="546"/>
      <c r="D24" s="546"/>
      <c r="E24" s="532"/>
      <c r="F24" s="546"/>
      <c r="H24" s="1181"/>
      <c r="I24" s="546"/>
      <c r="J24" s="546"/>
      <c r="AC24" s="1149" t="s">
        <v>1935</v>
      </c>
      <c r="AD24" s="1151">
        <f>12/16</f>
        <v>0.75</v>
      </c>
      <c r="AE24" s="1152" t="s">
        <v>1936</v>
      </c>
    </row>
    <row r="25" spans="1:31">
      <c r="C25" s="546"/>
      <c r="D25" s="546"/>
      <c r="E25" s="532"/>
      <c r="F25" s="532"/>
      <c r="G25" s="532"/>
      <c r="H25" s="532"/>
      <c r="I25" s="532"/>
      <c r="J25" s="532"/>
      <c r="K25" s="532"/>
      <c r="W25" s="532"/>
      <c r="X25" s="532"/>
      <c r="Y25" s="532"/>
      <c r="Z25" s="532"/>
      <c r="AA25" s="532"/>
    </row>
    <row r="26" spans="1:31" ht="18.75" customHeight="1" thickBot="1">
      <c r="C26" s="532"/>
      <c r="D26" s="532"/>
      <c r="E26" s="532"/>
      <c r="F26" s="532"/>
      <c r="G26" s="532"/>
      <c r="H26" s="1828"/>
      <c r="I26" s="1828"/>
      <c r="J26" s="532"/>
      <c r="K26" s="532"/>
      <c r="R26" s="430" t="s">
        <v>256</v>
      </c>
      <c r="S26" s="430" t="s">
        <v>256</v>
      </c>
      <c r="T26" s="430" t="s">
        <v>256</v>
      </c>
      <c r="U26" s="430" t="s">
        <v>254</v>
      </c>
      <c r="V26" s="430" t="s">
        <v>254</v>
      </c>
      <c r="W26" s="532" t="s">
        <v>254</v>
      </c>
      <c r="X26" s="1153"/>
      <c r="Y26" s="1153"/>
      <c r="Z26" s="1153"/>
      <c r="AA26" s="1153"/>
    </row>
    <row r="27" spans="1:31" ht="17.25" customHeight="1">
      <c r="H27" s="532"/>
      <c r="I27" s="532"/>
      <c r="L27" s="1810" t="s">
        <v>1897</v>
      </c>
      <c r="M27" s="1807" t="s">
        <v>1401</v>
      </c>
      <c r="N27" s="1129" t="s">
        <v>1898</v>
      </c>
      <c r="O27" s="1135" t="s">
        <v>1899</v>
      </c>
      <c r="P27" s="1127" t="s">
        <v>1898</v>
      </c>
      <c r="Q27" s="1140" t="s">
        <v>1899</v>
      </c>
      <c r="R27" s="1810" t="s">
        <v>1937</v>
      </c>
      <c r="S27" s="1810" t="s">
        <v>1947</v>
      </c>
      <c r="T27" s="1810" t="s">
        <v>1981</v>
      </c>
      <c r="U27" s="1810" t="s">
        <v>1937</v>
      </c>
      <c r="V27" s="1810" t="s">
        <v>1947</v>
      </c>
      <c r="W27" s="1810" t="s">
        <v>1981</v>
      </c>
      <c r="X27" s="1153"/>
      <c r="Y27" s="1153"/>
      <c r="Z27" s="1153"/>
      <c r="AA27" s="1153"/>
    </row>
    <row r="28" spans="1:31">
      <c r="A28" s="430" t="s">
        <v>1748</v>
      </c>
      <c r="C28" s="430" t="s">
        <v>1900</v>
      </c>
      <c r="D28" s="430" t="s">
        <v>1900</v>
      </c>
      <c r="E28" s="430" t="s">
        <v>1900</v>
      </c>
      <c r="F28" s="6" t="s">
        <v>1901</v>
      </c>
      <c r="G28" s="6" t="s">
        <v>1938</v>
      </c>
      <c r="H28" s="1829" t="s">
        <v>1940</v>
      </c>
      <c r="I28" s="1829"/>
      <c r="J28" s="6" t="s">
        <v>1901</v>
      </c>
      <c r="K28" s="430" t="s">
        <v>1938</v>
      </c>
      <c r="L28" s="1811"/>
      <c r="M28" s="1808"/>
      <c r="N28" s="877"/>
      <c r="O28" s="1136"/>
      <c r="P28" s="1136"/>
      <c r="Q28" s="1131"/>
      <c r="R28" s="1811"/>
      <c r="S28" s="1811"/>
      <c r="T28" s="1811"/>
      <c r="U28" s="1811"/>
      <c r="V28" s="1811"/>
      <c r="W28" s="1811"/>
      <c r="X28" s="532"/>
      <c r="Y28" s="532"/>
      <c r="Z28" s="532"/>
      <c r="AA28" s="532"/>
    </row>
    <row r="29" spans="1:31" ht="15.75" thickBot="1">
      <c r="A29" s="392" t="s">
        <v>1902</v>
      </c>
      <c r="F29" s="6" t="s">
        <v>1903</v>
      </c>
      <c r="G29" s="6" t="s">
        <v>1939</v>
      </c>
      <c r="H29" s="612"/>
      <c r="I29" s="612"/>
      <c r="J29" s="6" t="s">
        <v>1903</v>
      </c>
      <c r="K29" s="430" t="s">
        <v>1903</v>
      </c>
      <c r="L29" s="1812"/>
      <c r="M29" s="1809"/>
      <c r="N29" s="1130" t="s">
        <v>1100</v>
      </c>
      <c r="O29" s="1137" t="s">
        <v>1100</v>
      </c>
      <c r="P29" s="548" t="s">
        <v>1100</v>
      </c>
      <c r="Q29" s="687" t="s">
        <v>1100</v>
      </c>
      <c r="R29" s="1812"/>
      <c r="S29" s="1812"/>
      <c r="T29" s="1812"/>
      <c r="U29" s="1812"/>
      <c r="V29" s="1812"/>
      <c r="W29" s="1812"/>
      <c r="Y29" s="532"/>
      <c r="Z29" s="532"/>
      <c r="AA29" s="532"/>
    </row>
    <row r="30" spans="1:31" ht="15.75" thickBot="1">
      <c r="A30" s="1079" t="s">
        <v>1749</v>
      </c>
      <c r="B30" s="1080" t="s">
        <v>617</v>
      </c>
      <c r="C30" s="1081" t="s">
        <v>1728</v>
      </c>
      <c r="D30" s="1082" t="s">
        <v>1729</v>
      </c>
      <c r="E30" s="610" t="s">
        <v>1730</v>
      </c>
      <c r="F30" s="1158">
        <v>0.9</v>
      </c>
      <c r="G30" s="1158">
        <v>0.1</v>
      </c>
      <c r="H30" s="6"/>
      <c r="I30" s="6"/>
      <c r="J30" s="6"/>
      <c r="L30" s="1154"/>
      <c r="M30" s="1155"/>
      <c r="N30" s="532"/>
      <c r="O30" s="532"/>
      <c r="P30" s="532"/>
      <c r="Q30" s="532"/>
      <c r="R30" s="1159"/>
      <c r="S30" s="1185"/>
      <c r="T30" s="1186"/>
      <c r="U30" s="1154"/>
      <c r="V30" s="1154"/>
      <c r="W30" s="1154"/>
      <c r="Y30" s="532"/>
      <c r="Z30" s="532"/>
      <c r="AA30" s="532"/>
    </row>
    <row r="31" spans="1:31">
      <c r="A31" s="1073" t="s">
        <v>1750</v>
      </c>
      <c r="B31" s="1083" t="s">
        <v>1732</v>
      </c>
      <c r="C31" s="1083">
        <v>0.9</v>
      </c>
      <c r="D31" s="1038">
        <v>2.9</v>
      </c>
      <c r="E31" s="610">
        <f>AVERAGE(C31:D31)</f>
        <v>1.9</v>
      </c>
      <c r="F31" s="430">
        <f>D31*$F$30/25</f>
        <v>0.10439999999999999</v>
      </c>
      <c r="G31" s="430">
        <f>D31*$G$30</f>
        <v>0.28999999999999998</v>
      </c>
      <c r="H31" s="650">
        <f>F31*25+G31</f>
        <v>2.9</v>
      </c>
      <c r="I31" s="650"/>
      <c r="L31" s="1813" t="str">
        <f>A31</f>
        <v>Well completion</v>
      </c>
      <c r="M31" s="705" t="str">
        <f>B31</f>
        <v>Stephenson et al. (2011)</v>
      </c>
      <c r="N31" s="705">
        <f>C31/25</f>
        <v>3.6000000000000004E-2</v>
      </c>
      <c r="O31" s="705">
        <f>(D31*90%)/25</f>
        <v>0.10439999999999999</v>
      </c>
      <c r="P31" s="1138">
        <f>N31/18</f>
        <v>2E-3</v>
      </c>
      <c r="Q31" s="1138">
        <f>O31/18</f>
        <v>5.7999999999999996E-3</v>
      </c>
      <c r="R31" s="705">
        <f t="shared" ref="R31:R36" si="0">$V$2*Q31*$S$5+1%*$V$2*Q31</f>
        <v>0.10682139783220762</v>
      </c>
      <c r="S31" s="1183">
        <f t="shared" ref="S31:S36" si="1">Q31*$V$2*$S$6+1%*$V$2*Q31</f>
        <v>5.3939517717253353E-2</v>
      </c>
      <c r="T31" s="705">
        <f>Q31*$V$2*1%</f>
        <v>1.0576376022990853E-3</v>
      </c>
      <c r="U31" s="705">
        <f>Q31*$V$1*$T$5</f>
        <v>0</v>
      </c>
      <c r="V31" s="705">
        <f>$V$1*Q31*$T$6</f>
        <v>4.437E-2</v>
      </c>
      <c r="W31" s="706">
        <f>$T$8*Q31*$V$1</f>
        <v>0</v>
      </c>
      <c r="X31" s="1153" t="s">
        <v>1979</v>
      </c>
    </row>
    <row r="32" spans="1:31" ht="15" customHeight="1">
      <c r="A32" s="553"/>
      <c r="B32" s="532" t="s">
        <v>1751</v>
      </c>
      <c r="C32" s="532">
        <v>0.1</v>
      </c>
      <c r="D32" s="886">
        <v>9.1999999999999993</v>
      </c>
      <c r="E32" s="610">
        <f t="shared" ref="E32:E44" si="2">AVERAGE(C32:D32)</f>
        <v>4.6499999999999995</v>
      </c>
      <c r="F32" s="430">
        <f t="shared" ref="F32:F44" si="3">D32*90%/25</f>
        <v>0.33119999999999999</v>
      </c>
      <c r="G32" s="430">
        <f t="shared" ref="G32:G44" si="4">D32*10%</f>
        <v>0.91999999999999993</v>
      </c>
      <c r="H32" s="650">
        <f>F32*25+G32</f>
        <v>9.1999999999999993</v>
      </c>
      <c r="I32" s="650"/>
      <c r="L32" s="1814"/>
      <c r="M32" s="532" t="str">
        <f t="shared" ref="M32:M40" si="5">B32</f>
        <v>Jiang et al. (2011)</v>
      </c>
      <c r="N32" s="532">
        <f t="shared" ref="N32:N40" si="6">C32/25</f>
        <v>4.0000000000000001E-3</v>
      </c>
      <c r="O32" s="532">
        <f t="shared" ref="O32:O43" si="7">(D32*90%)/25</f>
        <v>0.33119999999999999</v>
      </c>
      <c r="P32" s="1134">
        <f t="shared" ref="P32:P43" si="8">N32/18</f>
        <v>2.2222222222222223E-4</v>
      </c>
      <c r="Q32" s="1134">
        <f>O32/18</f>
        <v>1.84E-2</v>
      </c>
      <c r="R32" s="532">
        <f t="shared" si="0"/>
        <v>0.33888167588148627</v>
      </c>
      <c r="S32" s="1182">
        <f t="shared" si="1"/>
        <v>0.17111846999956237</v>
      </c>
      <c r="T32" s="532">
        <f t="shared" ref="T32:T40" si="9">Q32*$V$2*1%</f>
        <v>3.3552641176384781E-3</v>
      </c>
      <c r="U32" s="532">
        <f>Q32*$V$1*$T$5</f>
        <v>0</v>
      </c>
      <c r="V32" s="532">
        <f t="shared" ref="V32:V43" si="10">$AD$22*Q32*9%</f>
        <v>2.53368E-2</v>
      </c>
      <c r="W32" s="707">
        <f t="shared" ref="W32:W43" si="11">$T$8*Q32*$V$1</f>
        <v>0</v>
      </c>
    </row>
    <row r="33" spans="1:23">
      <c r="A33" s="553"/>
      <c r="B33" s="532" t="s">
        <v>1737</v>
      </c>
      <c r="C33" s="532"/>
      <c r="D33" s="886">
        <v>7.8</v>
      </c>
      <c r="E33" s="610">
        <f t="shared" si="2"/>
        <v>7.8</v>
      </c>
      <c r="F33" s="430">
        <f>D33*90%/25</f>
        <v>0.28079999999999999</v>
      </c>
      <c r="G33" s="430">
        <f t="shared" si="4"/>
        <v>0.78</v>
      </c>
      <c r="H33" s="650">
        <f t="shared" ref="H33:H44" si="12">F33*25+G33</f>
        <v>7.8</v>
      </c>
      <c r="I33" s="650"/>
      <c r="L33" s="1814"/>
      <c r="M33" s="532" t="str">
        <f t="shared" si="5"/>
        <v>Skone et al. (2011)</v>
      </c>
      <c r="N33" s="532">
        <f t="shared" si="6"/>
        <v>0</v>
      </c>
      <c r="O33" s="532">
        <f t="shared" si="7"/>
        <v>0.28079999999999999</v>
      </c>
      <c r="P33" s="1134">
        <f t="shared" si="8"/>
        <v>0</v>
      </c>
      <c r="Q33" s="1134">
        <f>O33/18</f>
        <v>1.5599999999999999E-2</v>
      </c>
      <c r="R33" s="532">
        <f t="shared" si="0"/>
        <v>0.28731272520386875</v>
      </c>
      <c r="S33" s="1182">
        <f t="shared" si="1"/>
        <v>0.14507870282571592</v>
      </c>
      <c r="T33" s="532">
        <f t="shared" si="9"/>
        <v>2.8446804475630574E-3</v>
      </c>
      <c r="U33" s="532">
        <f t="shared" ref="U33:U43" si="13">Q33*$V$1*$T$5</f>
        <v>0</v>
      </c>
      <c r="V33" s="532">
        <f t="shared" si="10"/>
        <v>2.1481199999999999E-2</v>
      </c>
      <c r="W33" s="707">
        <f t="shared" si="11"/>
        <v>0</v>
      </c>
    </row>
    <row r="34" spans="1:23">
      <c r="A34" s="1107" t="s">
        <v>1776</v>
      </c>
      <c r="B34" s="1084" t="s">
        <v>1741</v>
      </c>
      <c r="C34" s="1085"/>
      <c r="D34" s="1086">
        <v>23.4</v>
      </c>
      <c r="E34" s="1087">
        <f t="shared" si="2"/>
        <v>23.4</v>
      </c>
      <c r="F34" s="430">
        <f t="shared" si="3"/>
        <v>0.84239999999999993</v>
      </c>
      <c r="G34" s="430">
        <f t="shared" si="4"/>
        <v>2.34</v>
      </c>
      <c r="H34" s="650">
        <f t="shared" si="12"/>
        <v>23.4</v>
      </c>
      <c r="I34" s="650"/>
      <c r="K34" s="650"/>
      <c r="L34" s="1814"/>
      <c r="M34" s="532" t="str">
        <f t="shared" si="5"/>
        <v>Howarth et al. (2011)</v>
      </c>
      <c r="N34" s="532">
        <f t="shared" si="6"/>
        <v>0</v>
      </c>
      <c r="O34" s="532">
        <f t="shared" si="7"/>
        <v>0.84239999999999993</v>
      </c>
      <c r="P34" s="1134">
        <f t="shared" si="8"/>
        <v>0</v>
      </c>
      <c r="Q34" s="1134">
        <f>O34/18</f>
        <v>4.6799999999999994E-2</v>
      </c>
      <c r="R34" s="532">
        <f t="shared" si="0"/>
        <v>0.86193817561160624</v>
      </c>
      <c r="S34" s="1182">
        <f t="shared" si="1"/>
        <v>0.43523610847714767</v>
      </c>
      <c r="T34" s="532">
        <f t="shared" si="9"/>
        <v>8.5340413426891713E-3</v>
      </c>
      <c r="U34" s="532">
        <f t="shared" si="13"/>
        <v>0</v>
      </c>
      <c r="V34" s="532">
        <f t="shared" si="10"/>
        <v>6.444359999999999E-2</v>
      </c>
      <c r="W34" s="707">
        <f t="shared" si="11"/>
        <v>0</v>
      </c>
    </row>
    <row r="35" spans="1:23">
      <c r="A35" s="553"/>
      <c r="B35" s="532" t="s">
        <v>1752</v>
      </c>
      <c r="C35" s="392"/>
      <c r="D35" s="886">
        <v>17.899999999999999</v>
      </c>
      <c r="E35" s="610">
        <f t="shared" si="2"/>
        <v>17.899999999999999</v>
      </c>
      <c r="F35" s="430">
        <f t="shared" si="3"/>
        <v>0.64439999999999997</v>
      </c>
      <c r="G35" s="430">
        <f t="shared" si="4"/>
        <v>1.79</v>
      </c>
      <c r="H35" s="650">
        <f t="shared" si="12"/>
        <v>17.899999999999999</v>
      </c>
      <c r="I35" s="650"/>
      <c r="L35" s="1814"/>
      <c r="M35" s="532" t="str">
        <f t="shared" si="5"/>
        <v>Lechtenbohmer et al. (2005)</v>
      </c>
      <c r="N35" s="532">
        <f t="shared" si="6"/>
        <v>0</v>
      </c>
      <c r="O35" s="532">
        <f t="shared" si="7"/>
        <v>0.64439999999999997</v>
      </c>
      <c r="P35" s="1134">
        <f t="shared" si="8"/>
        <v>0</v>
      </c>
      <c r="Q35" s="1134">
        <f>O35/18</f>
        <v>3.5799999999999998E-2</v>
      </c>
      <c r="R35" s="532">
        <f t="shared" si="0"/>
        <v>0.65934586937810913</v>
      </c>
      <c r="S35" s="1182">
        <f t="shared" si="1"/>
        <v>0.3329370231513224</v>
      </c>
      <c r="T35" s="532">
        <f t="shared" si="9"/>
        <v>6.5281769245357337E-3</v>
      </c>
      <c r="U35" s="532">
        <f t="shared" si="13"/>
        <v>0</v>
      </c>
      <c r="V35" s="532">
        <f t="shared" si="10"/>
        <v>4.9296599999999996E-2</v>
      </c>
      <c r="W35" s="707">
        <f t="shared" si="11"/>
        <v>0</v>
      </c>
    </row>
    <row r="36" spans="1:23" ht="15.75" thickBot="1">
      <c r="A36" s="590"/>
      <c r="B36" s="387" t="s">
        <v>1753</v>
      </c>
      <c r="C36" s="387">
        <v>3</v>
      </c>
      <c r="D36" s="600">
        <v>16.899999999999999</v>
      </c>
      <c r="E36" s="610">
        <f t="shared" si="2"/>
        <v>9.9499999999999993</v>
      </c>
      <c r="F36" s="430">
        <f>D36*90%/25</f>
        <v>0.60839999999999994</v>
      </c>
      <c r="G36" s="430">
        <f t="shared" si="4"/>
        <v>1.69</v>
      </c>
      <c r="H36" s="650">
        <f t="shared" si="12"/>
        <v>16.899999999999999</v>
      </c>
      <c r="I36" s="650"/>
      <c r="L36" s="1815"/>
      <c r="M36" s="548" t="str">
        <f t="shared" si="5"/>
        <v>Broderick et al. (2011)</v>
      </c>
      <c r="N36" s="548">
        <f t="shared" si="6"/>
        <v>0.12</v>
      </c>
      <c r="O36" s="548">
        <f t="shared" si="7"/>
        <v>0.60839999999999994</v>
      </c>
      <c r="P36" s="1139">
        <f t="shared" si="8"/>
        <v>6.6666666666666662E-3</v>
      </c>
      <c r="Q36" s="1139">
        <f>O36/18</f>
        <v>3.3799999999999997E-2</v>
      </c>
      <c r="R36" s="548">
        <f t="shared" si="0"/>
        <v>0.62251090460838232</v>
      </c>
      <c r="S36" s="1184">
        <f t="shared" si="1"/>
        <v>0.31433718945571781</v>
      </c>
      <c r="T36" s="548">
        <f t="shared" si="9"/>
        <v>6.1634743030532903E-3</v>
      </c>
      <c r="U36" s="548">
        <f t="shared" si="13"/>
        <v>0</v>
      </c>
      <c r="V36" s="548">
        <f t="shared" si="10"/>
        <v>4.654259999999999E-2</v>
      </c>
      <c r="W36" s="687">
        <f t="shared" si="11"/>
        <v>0</v>
      </c>
    </row>
    <row r="37" spans="1:23">
      <c r="A37" s="1073" t="s">
        <v>1754</v>
      </c>
      <c r="B37" s="1083" t="s">
        <v>1732</v>
      </c>
      <c r="C37" s="1083"/>
      <c r="D37" s="1088">
        <v>4.2</v>
      </c>
      <c r="E37" s="610">
        <f t="shared" si="2"/>
        <v>4.2</v>
      </c>
      <c r="F37" s="430">
        <f t="shared" si="3"/>
        <v>0.1512</v>
      </c>
      <c r="G37" s="430">
        <f t="shared" si="4"/>
        <v>0.42000000000000004</v>
      </c>
      <c r="H37" s="650">
        <f t="shared" si="12"/>
        <v>4.2</v>
      </c>
      <c r="I37" s="650"/>
      <c r="L37" s="1813" t="s">
        <v>1980</v>
      </c>
      <c r="M37" s="705" t="str">
        <f t="shared" si="5"/>
        <v>Stephenson et al. (2011)</v>
      </c>
      <c r="N37" s="705">
        <f t="shared" si="6"/>
        <v>0</v>
      </c>
      <c r="O37" s="705">
        <f t="shared" si="7"/>
        <v>0.1512</v>
      </c>
      <c r="P37" s="1138">
        <f t="shared" si="8"/>
        <v>0</v>
      </c>
      <c r="Q37" s="1138">
        <f t="shared" ref="Q37:Q43" si="14">O37/18</f>
        <v>8.3999999999999995E-3</v>
      </c>
      <c r="R37" s="705">
        <f t="shared" ref="R37:R43" si="15">$V$2*Q37+1%*$V$2*Q37</f>
        <v>0.15470685203285242</v>
      </c>
      <c r="S37" s="1183">
        <f>Q37*$V$2+1%*$V$2*Q37</f>
        <v>0.15470685203285242</v>
      </c>
      <c r="T37" s="705">
        <f>Q37*$V$2*1%</f>
        <v>1.5317510102262617E-3</v>
      </c>
      <c r="U37" s="705">
        <f t="shared" si="13"/>
        <v>0</v>
      </c>
      <c r="V37" s="705">
        <f t="shared" si="10"/>
        <v>1.1566799999999999E-2</v>
      </c>
      <c r="W37" s="706">
        <f t="shared" si="11"/>
        <v>0</v>
      </c>
    </row>
    <row r="38" spans="1:23">
      <c r="A38" s="553"/>
      <c r="B38" s="392" t="s">
        <v>1737</v>
      </c>
      <c r="C38" s="532"/>
      <c r="D38" s="889">
        <v>3.5</v>
      </c>
      <c r="E38" s="610">
        <f t="shared" si="2"/>
        <v>3.5</v>
      </c>
      <c r="F38" s="430">
        <f t="shared" si="3"/>
        <v>0.126</v>
      </c>
      <c r="G38" s="430">
        <f t="shared" si="4"/>
        <v>0.35000000000000003</v>
      </c>
      <c r="H38" s="650">
        <f t="shared" si="12"/>
        <v>3.5</v>
      </c>
      <c r="I38" s="650"/>
      <c r="L38" s="1814"/>
      <c r="M38" s="532" t="str">
        <f t="shared" si="5"/>
        <v>Skone et al. (2011)</v>
      </c>
      <c r="N38" s="532">
        <f t="shared" si="6"/>
        <v>0</v>
      </c>
      <c r="O38" s="532">
        <f t="shared" si="7"/>
        <v>0.126</v>
      </c>
      <c r="P38" s="1134">
        <f t="shared" si="8"/>
        <v>0</v>
      </c>
      <c r="Q38" s="1134">
        <f t="shared" si="14"/>
        <v>7.0000000000000001E-3</v>
      </c>
      <c r="R38" s="532">
        <f t="shared" si="15"/>
        <v>0.12892237669404366</v>
      </c>
      <c r="S38" s="1182">
        <f>Q38*$V$2+1%*$V$2*Q38</f>
        <v>0.12892237669404366</v>
      </c>
      <c r="T38" s="532">
        <f t="shared" si="9"/>
        <v>1.2764591751885514E-3</v>
      </c>
      <c r="U38" s="532">
        <f t="shared" si="13"/>
        <v>0</v>
      </c>
      <c r="V38" s="532">
        <f t="shared" si="10"/>
        <v>9.639E-3</v>
      </c>
      <c r="W38" s="707">
        <f t="shared" si="11"/>
        <v>0</v>
      </c>
    </row>
    <row r="39" spans="1:23">
      <c r="A39" s="1107" t="str">
        <f>A34</f>
        <v>to high ignored</v>
      </c>
      <c r="B39" s="1085" t="s">
        <v>1741</v>
      </c>
      <c r="C39" s="1084"/>
      <c r="D39" s="1089">
        <v>2.2000000000000002</v>
      </c>
      <c r="E39" s="1087">
        <f t="shared" si="2"/>
        <v>2.2000000000000002</v>
      </c>
      <c r="F39" s="430">
        <f t="shared" si="3"/>
        <v>7.9200000000000007E-2</v>
      </c>
      <c r="G39" s="430">
        <f t="shared" si="4"/>
        <v>0.22000000000000003</v>
      </c>
      <c r="H39" s="650">
        <f t="shared" si="12"/>
        <v>2.2000000000000002</v>
      </c>
      <c r="I39" s="650"/>
      <c r="K39" s="650"/>
      <c r="L39" s="1814"/>
      <c r="M39" s="532" t="str">
        <f t="shared" si="5"/>
        <v>Howarth et al. (2011)</v>
      </c>
      <c r="N39" s="532">
        <f t="shared" si="6"/>
        <v>0</v>
      </c>
      <c r="O39" s="532">
        <f t="shared" si="7"/>
        <v>7.9200000000000007E-2</v>
      </c>
      <c r="P39" s="1134">
        <f t="shared" si="8"/>
        <v>0</v>
      </c>
      <c r="Q39" s="1134">
        <f t="shared" si="14"/>
        <v>4.4000000000000003E-3</v>
      </c>
      <c r="R39" s="532">
        <f t="shared" si="15"/>
        <v>8.1036922493398889E-2</v>
      </c>
      <c r="S39" s="1182">
        <f>Q39*$V$2+1%*$V$2*Q39</f>
        <v>8.1036922493398889E-2</v>
      </c>
      <c r="T39" s="532">
        <f t="shared" si="9"/>
        <v>8.0234576726137519E-4</v>
      </c>
      <c r="U39" s="532">
        <f t="shared" si="13"/>
        <v>0</v>
      </c>
      <c r="V39" s="532">
        <f t="shared" si="10"/>
        <v>6.0588000000000005E-3</v>
      </c>
      <c r="W39" s="707">
        <f t="shared" si="11"/>
        <v>0</v>
      </c>
    </row>
    <row r="40" spans="1:23" ht="15.75" thickBot="1">
      <c r="A40" s="590"/>
      <c r="B40" s="1090" t="s">
        <v>1752</v>
      </c>
      <c r="C40" s="387"/>
      <c r="D40" s="1091">
        <v>8.9</v>
      </c>
      <c r="E40" s="610">
        <f t="shared" si="2"/>
        <v>8.9</v>
      </c>
      <c r="F40" s="430">
        <f t="shared" si="3"/>
        <v>0.32040000000000002</v>
      </c>
      <c r="G40" s="430">
        <f t="shared" si="4"/>
        <v>0.89000000000000012</v>
      </c>
      <c r="H40" s="650">
        <f t="shared" si="12"/>
        <v>8.9</v>
      </c>
      <c r="I40" s="650"/>
      <c r="L40" s="1815"/>
      <c r="M40" s="548" t="str">
        <f t="shared" si="5"/>
        <v>Lechtenbohmer et al. (2005)</v>
      </c>
      <c r="N40" s="548">
        <f t="shared" si="6"/>
        <v>0</v>
      </c>
      <c r="O40" s="548">
        <f t="shared" si="7"/>
        <v>0.32040000000000002</v>
      </c>
      <c r="P40" s="1139">
        <f t="shared" si="8"/>
        <v>0</v>
      </c>
      <c r="Q40" s="1139">
        <f t="shared" si="14"/>
        <v>1.78E-2</v>
      </c>
      <c r="R40" s="532">
        <f t="shared" si="15"/>
        <v>0.32783118645056825</v>
      </c>
      <c r="S40" s="1182">
        <f>Q40*$V$2+1%*$V$2*Q40</f>
        <v>0.32783118645056825</v>
      </c>
      <c r="T40" s="548">
        <f t="shared" si="9"/>
        <v>3.2458533311937451E-3</v>
      </c>
      <c r="U40" s="548">
        <f>Q40*$V$1*$T$5</f>
        <v>0</v>
      </c>
      <c r="V40" s="548">
        <f t="shared" si="10"/>
        <v>2.45106E-2</v>
      </c>
      <c r="W40" s="687">
        <f t="shared" si="11"/>
        <v>0</v>
      </c>
    </row>
    <row r="41" spans="1:23" ht="15.75" thickBot="1">
      <c r="A41" s="607" t="s">
        <v>1755</v>
      </c>
      <c r="B41" s="1092" t="s">
        <v>1756</v>
      </c>
      <c r="C41" s="1092"/>
      <c r="D41" s="1093"/>
      <c r="E41" s="610"/>
      <c r="F41" s="430">
        <f t="shared" si="3"/>
        <v>0</v>
      </c>
      <c r="G41" s="430">
        <f t="shared" si="4"/>
        <v>0</v>
      </c>
      <c r="H41" s="650">
        <f t="shared" si="12"/>
        <v>0</v>
      </c>
      <c r="I41" s="650"/>
      <c r="L41" s="1813" t="str">
        <f>A42</f>
        <v>Transport, storage and distribution</v>
      </c>
      <c r="M41" s="1127" t="str">
        <f>B42</f>
        <v>Stephenson et al. (2011)</v>
      </c>
      <c r="N41" s="705">
        <f>C42/25</f>
        <v>0</v>
      </c>
      <c r="O41" s="705">
        <f t="shared" si="7"/>
        <v>0</v>
      </c>
      <c r="P41" s="1138">
        <f t="shared" si="8"/>
        <v>0</v>
      </c>
      <c r="Q41" s="1138">
        <f t="shared" si="14"/>
        <v>0</v>
      </c>
      <c r="R41" s="705">
        <f t="shared" si="15"/>
        <v>0</v>
      </c>
      <c r="S41" s="705">
        <f>$V$2*Q41+1%*$V$2*Q41</f>
        <v>0</v>
      </c>
      <c r="T41" s="705">
        <f>$V$2*Q41+1%*$V$2*Q41</f>
        <v>0</v>
      </c>
      <c r="U41" s="705">
        <f t="shared" si="13"/>
        <v>0</v>
      </c>
      <c r="V41" s="705">
        <f t="shared" si="10"/>
        <v>0</v>
      </c>
      <c r="W41" s="706">
        <f t="shared" si="11"/>
        <v>0</v>
      </c>
    </row>
    <row r="42" spans="1:23" ht="15.75" thickBot="1">
      <c r="A42" s="553" t="s">
        <v>1757</v>
      </c>
      <c r="B42" s="392" t="s">
        <v>1732</v>
      </c>
      <c r="C42" s="392"/>
      <c r="D42" s="889">
        <v>1.9</v>
      </c>
      <c r="E42" s="610">
        <f t="shared" si="2"/>
        <v>1.9</v>
      </c>
      <c r="F42" s="430">
        <f t="shared" si="3"/>
        <v>6.8400000000000002E-2</v>
      </c>
      <c r="G42" s="430">
        <f t="shared" si="4"/>
        <v>0.19</v>
      </c>
      <c r="H42" s="650">
        <f t="shared" si="12"/>
        <v>1.9</v>
      </c>
      <c r="I42" s="650"/>
      <c r="L42" s="1814"/>
      <c r="M42" s="392" t="str">
        <f>B43</f>
        <v>Skone et al. (2011)</v>
      </c>
      <c r="N42" s="532">
        <f>C43/25</f>
        <v>0</v>
      </c>
      <c r="O42" s="532">
        <f t="shared" si="7"/>
        <v>6.8400000000000002E-2</v>
      </c>
      <c r="P42" s="1134">
        <f t="shared" si="8"/>
        <v>0</v>
      </c>
      <c r="Q42" s="1134">
        <f t="shared" si="14"/>
        <v>3.8E-3</v>
      </c>
      <c r="R42" s="532">
        <f t="shared" si="15"/>
        <v>6.9986433062480854E-2</v>
      </c>
      <c r="S42" s="705">
        <f>$V$2*Q42+1%*$V$2*Q42</f>
        <v>6.9986433062480854E-2</v>
      </c>
      <c r="T42" s="705">
        <f>$V$2*Q42+1%*$V$2*Q42</f>
        <v>6.9986433062480854E-2</v>
      </c>
      <c r="U42" s="532">
        <f t="shared" si="13"/>
        <v>0</v>
      </c>
      <c r="V42" s="532">
        <f t="shared" si="10"/>
        <v>5.2326000000000004E-3</v>
      </c>
      <c r="W42" s="707">
        <f t="shared" si="11"/>
        <v>0</v>
      </c>
    </row>
    <row r="43" spans="1:23" ht="15.75" thickBot="1">
      <c r="A43" s="553"/>
      <c r="B43" s="392" t="s">
        <v>1737</v>
      </c>
      <c r="C43" s="392"/>
      <c r="D43" s="889">
        <v>2.7</v>
      </c>
      <c r="E43" s="610">
        <f t="shared" si="2"/>
        <v>2.7</v>
      </c>
      <c r="F43" s="430">
        <f t="shared" si="3"/>
        <v>9.7200000000000009E-2</v>
      </c>
      <c r="G43" s="430">
        <f t="shared" si="4"/>
        <v>0.27</v>
      </c>
      <c r="H43" s="650">
        <f t="shared" si="12"/>
        <v>2.7</v>
      </c>
      <c r="I43" s="650"/>
      <c r="L43" s="1815"/>
      <c r="M43" s="1128" t="str">
        <f>B44</f>
        <v>Howarth et al. (2011)</v>
      </c>
      <c r="N43" s="548">
        <f>C44/25</f>
        <v>0</v>
      </c>
      <c r="O43" s="548">
        <f t="shared" si="7"/>
        <v>9.7200000000000009E-2</v>
      </c>
      <c r="P43" s="1139">
        <f t="shared" si="8"/>
        <v>0</v>
      </c>
      <c r="Q43" s="1139">
        <f t="shared" si="14"/>
        <v>5.4000000000000003E-3</v>
      </c>
      <c r="R43" s="532">
        <f t="shared" si="15"/>
        <v>9.9454404878262279E-2</v>
      </c>
      <c r="S43" s="705">
        <f>$V$2*Q43+1%*$V$2*Q43</f>
        <v>9.9454404878262279E-2</v>
      </c>
      <c r="T43" s="705">
        <f>$V$2*Q43+1%*$V$2*Q43</f>
        <v>9.9454404878262279E-2</v>
      </c>
      <c r="U43" s="548">
        <f t="shared" si="13"/>
        <v>0</v>
      </c>
      <c r="V43" s="548">
        <f t="shared" si="10"/>
        <v>7.4358000000000011E-3</v>
      </c>
      <c r="W43" s="687">
        <f t="shared" si="11"/>
        <v>0</v>
      </c>
    </row>
    <row r="44" spans="1:23">
      <c r="A44" s="1108" t="s">
        <v>1776</v>
      </c>
      <c r="B44" s="1105" t="s">
        <v>1741</v>
      </c>
      <c r="C44" s="1105"/>
      <c r="D44" s="1106">
        <v>16.2</v>
      </c>
      <c r="E44" s="1087">
        <f t="shared" si="2"/>
        <v>16.2</v>
      </c>
      <c r="F44" s="430">
        <f t="shared" si="3"/>
        <v>0.58320000000000005</v>
      </c>
      <c r="G44" s="430">
        <f t="shared" si="4"/>
        <v>1.62</v>
      </c>
      <c r="H44" s="650">
        <f t="shared" si="12"/>
        <v>16.200000000000003</v>
      </c>
      <c r="I44" s="650"/>
      <c r="K44" s="650"/>
    </row>
    <row r="45" spans="1:23">
      <c r="A45" s="430" t="s">
        <v>1904</v>
      </c>
      <c r="O45" s="650"/>
      <c r="P45" s="650"/>
      <c r="R45" s="650"/>
    </row>
    <row r="47" spans="1:23">
      <c r="A47" s="430" t="s">
        <v>1758</v>
      </c>
    </row>
    <row r="48" spans="1:23">
      <c r="A48" s="430" t="s">
        <v>1759</v>
      </c>
      <c r="F48" s="430" t="s">
        <v>1760</v>
      </c>
      <c r="G48" s="430" t="s">
        <v>1761</v>
      </c>
      <c r="H48" s="430" t="s">
        <v>1762</v>
      </c>
    </row>
    <row r="49" spans="1:8">
      <c r="A49" s="430" t="s">
        <v>255</v>
      </c>
      <c r="B49" s="430" t="s">
        <v>1763</v>
      </c>
      <c r="C49" s="382">
        <v>0.8</v>
      </c>
      <c r="F49" s="430" t="s">
        <v>1764</v>
      </c>
      <c r="G49" s="430">
        <v>56</v>
      </c>
      <c r="H49" s="430">
        <f t="shared" ref="H49:H54" si="16">G49*10^9/10^9</f>
        <v>56</v>
      </c>
    </row>
    <row r="50" spans="1:8">
      <c r="A50" s="430" t="s">
        <v>253</v>
      </c>
      <c r="B50" s="430" t="s">
        <v>254</v>
      </c>
      <c r="F50" s="430" t="s">
        <v>1765</v>
      </c>
      <c r="G50" s="430">
        <v>77</v>
      </c>
      <c r="H50" s="430">
        <f t="shared" si="16"/>
        <v>77</v>
      </c>
    </row>
    <row r="51" spans="1:8">
      <c r="A51" s="430" t="s">
        <v>102</v>
      </c>
      <c r="B51" s="430" t="s">
        <v>1766</v>
      </c>
      <c r="F51" s="430" t="s">
        <v>394</v>
      </c>
      <c r="G51" s="430">
        <v>69</v>
      </c>
      <c r="H51" s="430">
        <f t="shared" si="16"/>
        <v>69</v>
      </c>
    </row>
    <row r="52" spans="1:8">
      <c r="A52" s="430" t="s">
        <v>1767</v>
      </c>
      <c r="B52" s="430" t="s">
        <v>1768</v>
      </c>
      <c r="F52" s="430" t="s">
        <v>32</v>
      </c>
      <c r="G52" s="430">
        <v>74</v>
      </c>
      <c r="H52" s="430">
        <f t="shared" si="16"/>
        <v>74</v>
      </c>
    </row>
    <row r="53" spans="1:8">
      <c r="A53" s="430" t="s">
        <v>1769</v>
      </c>
      <c r="B53" s="430" t="s">
        <v>1770</v>
      </c>
      <c r="F53" s="430" t="s">
        <v>34</v>
      </c>
      <c r="G53" s="430">
        <v>63</v>
      </c>
      <c r="H53" s="430">
        <f t="shared" si="16"/>
        <v>63</v>
      </c>
    </row>
    <row r="54" spans="1:8">
      <c r="A54" s="430" t="s">
        <v>115</v>
      </c>
      <c r="B54" s="430" t="s">
        <v>1771</v>
      </c>
      <c r="F54" s="430" t="s">
        <v>2</v>
      </c>
      <c r="G54" s="430">
        <v>96</v>
      </c>
      <c r="H54" s="430">
        <f t="shared" si="16"/>
        <v>96</v>
      </c>
    </row>
    <row r="55" spans="1:8">
      <c r="A55" s="430" t="s">
        <v>1772</v>
      </c>
      <c r="B55" s="430" t="s">
        <v>1773</v>
      </c>
    </row>
    <row r="58" spans="1:8">
      <c r="A58" s="430" t="s">
        <v>1774</v>
      </c>
    </row>
    <row r="61" spans="1:8">
      <c r="A61" s="1122" t="s">
        <v>1835</v>
      </c>
    </row>
    <row r="62" spans="1:8">
      <c r="A62" s="1123" t="s">
        <v>1836</v>
      </c>
      <c r="D62" s="430" t="str">
        <f>AC7</f>
        <v>1 m3 CH4 =</v>
      </c>
      <c r="E62" s="458">
        <f>AD14</f>
        <v>0.66200000000000003</v>
      </c>
      <c r="F62" s="458" t="str">
        <f>AE14</f>
        <v>kg CH4</v>
      </c>
    </row>
    <row r="63" spans="1:8">
      <c r="A63" s="1121" t="s">
        <v>1837</v>
      </c>
      <c r="B63" s="433">
        <v>1333</v>
      </c>
      <c r="C63" s="430" t="s">
        <v>1838</v>
      </c>
      <c r="D63" s="430" t="s">
        <v>2017</v>
      </c>
      <c r="E63" s="430">
        <f>0.77*0.662</f>
        <v>0.50974000000000008</v>
      </c>
      <c r="F63" s="458" t="s">
        <v>2030</v>
      </c>
    </row>
    <row r="64" spans="1:8">
      <c r="A64" s="430">
        <f>B64/$B$63</f>
        <v>5.7764441110277572E-4</v>
      </c>
      <c r="B64" s="430">
        <v>0.77</v>
      </c>
      <c r="C64" s="430" t="s">
        <v>1838</v>
      </c>
      <c r="D64" s="430" t="str">
        <f>D62</f>
        <v>1 m3 CH4 =</v>
      </c>
      <c r="E64" s="458">
        <f>AD7</f>
        <v>37</v>
      </c>
      <c r="F64" s="430" t="s">
        <v>1913</v>
      </c>
      <c r="G64" s="430">
        <f>1/37</f>
        <v>2.7027027027027029E-2</v>
      </c>
    </row>
    <row r="65" spans="1:7">
      <c r="A65" s="430">
        <f>B65/$B$63</f>
        <v>1.350337584396099E-4</v>
      </c>
      <c r="B65" s="430">
        <v>0.18</v>
      </c>
      <c r="C65" s="430" t="s">
        <v>1838</v>
      </c>
      <c r="D65" s="430" t="str">
        <f>D63</f>
        <v xml:space="preserve">0.77 m3 CH4 = </v>
      </c>
      <c r="E65" s="430">
        <f>E63/(1000*1000)</f>
        <v>5.0974000000000012E-7</v>
      </c>
      <c r="F65" s="430" t="s">
        <v>2031</v>
      </c>
    </row>
    <row r="66" spans="1:7">
      <c r="D66" s="430" t="str">
        <f>D64</f>
        <v>1 m3 CH4 =</v>
      </c>
      <c r="E66" s="430">
        <f>E65/(0.0243/1000)</f>
        <v>2.0976954732510295E-2</v>
      </c>
      <c r="G66" s="430">
        <f>E65/(0.0243/1000)</f>
        <v>2.0976954732510295E-2</v>
      </c>
    </row>
    <row r="67" spans="1:7">
      <c r="A67" s="430" t="s">
        <v>1839</v>
      </c>
    </row>
    <row r="68" spans="1:7">
      <c r="A68" s="430">
        <f>A64*1000/(0.0243*1000)</f>
        <v>2.3771374942501061E-2</v>
      </c>
      <c r="B68" s="430" t="s">
        <v>1100</v>
      </c>
      <c r="F68" s="430">
        <v>24.3</v>
      </c>
      <c r="G68" s="430" t="s">
        <v>1145</v>
      </c>
    </row>
    <row r="73" spans="1:7">
      <c r="A73" s="388" t="s">
        <v>1840</v>
      </c>
    </row>
    <row r="74" spans="1:7">
      <c r="A74" s="610" t="s">
        <v>1711</v>
      </c>
      <c r="B74" s="610" t="s">
        <v>1841</v>
      </c>
      <c r="C74" s="610" t="s">
        <v>1842</v>
      </c>
      <c r="D74" s="1827" t="s">
        <v>1843</v>
      </c>
      <c r="E74" s="1827"/>
    </row>
    <row r="75" spans="1:7">
      <c r="A75" s="610">
        <v>2000</v>
      </c>
      <c r="B75" s="610">
        <v>152430357</v>
      </c>
      <c r="C75" s="610">
        <v>135174090</v>
      </c>
      <c r="D75" s="1124">
        <f>B75/(SUM($B$75:$C$75))</f>
        <v>0.53000000031292982</v>
      </c>
      <c r="E75" s="1124">
        <f>C75/(SUM($B$75:$C$75))</f>
        <v>0.46999999968707018</v>
      </c>
    </row>
    <row r="76" spans="1:7">
      <c r="A76" s="610">
        <v>2001</v>
      </c>
      <c r="B76" s="610">
        <v>151473376</v>
      </c>
      <c r="C76" s="610">
        <v>134325446</v>
      </c>
      <c r="D76" s="1124">
        <f>B76/(SUM($B$76:$C$76))</f>
        <v>0.53000000118964796</v>
      </c>
      <c r="E76" s="1124">
        <f>C76/(SUM($B$76:$C$76))</f>
        <v>0.46999999881035198</v>
      </c>
    </row>
    <row r="77" spans="1:7">
      <c r="A77" s="610">
        <v>2002</v>
      </c>
      <c r="B77" s="610">
        <v>149287553</v>
      </c>
      <c r="C77" s="610">
        <v>132387075</v>
      </c>
      <c r="D77" s="1124">
        <f>B77/(SUM($B$77:$C$77))</f>
        <v>0.53000000056803132</v>
      </c>
      <c r="E77" s="1124">
        <f>C77/(SUM($B$77:$C$77))</f>
        <v>0.46999999943196874</v>
      </c>
    </row>
    <row r="93" spans="1:6">
      <c r="A93" s="1165" t="s">
        <v>251</v>
      </c>
      <c r="B93" s="761" t="s">
        <v>1950</v>
      </c>
    </row>
    <row r="94" spans="1:6">
      <c r="A94" s="1166" t="s">
        <v>1951</v>
      </c>
      <c r="C94" s="761"/>
    </row>
    <row r="95" spans="1:6">
      <c r="A95" s="761"/>
    </row>
    <row r="96" spans="1:6" ht="15.75" thickBot="1">
      <c r="A96" s="1167" t="s">
        <v>1952</v>
      </c>
      <c r="F96" s="430" t="s">
        <v>1953</v>
      </c>
    </row>
    <row r="97" spans="1:18" ht="36" thickBot="1">
      <c r="A97" s="1168" t="s">
        <v>1954</v>
      </c>
      <c r="B97" s="1169" t="s">
        <v>1955</v>
      </c>
      <c r="C97" s="1169" t="s">
        <v>1956</v>
      </c>
      <c r="D97" s="1169" t="s">
        <v>1964</v>
      </c>
      <c r="E97" s="1169" t="s">
        <v>1965</v>
      </c>
    </row>
    <row r="98" spans="1:18" ht="15.75" thickBot="1">
      <c r="A98" s="1802" t="s">
        <v>1957</v>
      </c>
      <c r="B98" s="1170" t="s">
        <v>42</v>
      </c>
      <c r="C98" s="1804" t="s">
        <v>1966</v>
      </c>
      <c r="D98" s="1170">
        <v>0.77</v>
      </c>
      <c r="E98" s="1170">
        <v>18</v>
      </c>
    </row>
    <row r="99" spans="1:18" ht="23.25" thickBot="1">
      <c r="A99" s="1803"/>
      <c r="B99" s="1170" t="s">
        <v>1958</v>
      </c>
      <c r="C99" s="1805"/>
      <c r="D99" s="1170">
        <v>0.18</v>
      </c>
      <c r="E99" s="1170">
        <v>2.5</v>
      </c>
      <c r="K99" s="430">
        <f>0.77/0.0243</f>
        <v>31.68724279835391</v>
      </c>
    </row>
    <row r="100" spans="1:18" ht="15.75" thickBot="1">
      <c r="A100" s="1802" t="s">
        <v>1959</v>
      </c>
      <c r="B100" s="1170" t="s">
        <v>1960</v>
      </c>
      <c r="C100" s="1805"/>
      <c r="D100" s="1170">
        <v>0</v>
      </c>
      <c r="E100" s="1170">
        <v>1.2</v>
      </c>
    </row>
    <row r="101" spans="1:18" ht="15.75" thickBot="1">
      <c r="A101" s="1803"/>
      <c r="B101" s="1170" t="s">
        <v>1961</v>
      </c>
      <c r="C101" s="1806"/>
      <c r="D101" s="1170">
        <v>0</v>
      </c>
      <c r="E101" s="1170">
        <v>0.1</v>
      </c>
    </row>
    <row r="102" spans="1:18" ht="15.75" thickBot="1">
      <c r="A102" s="1802" t="s">
        <v>1957</v>
      </c>
      <c r="B102" s="1170" t="s">
        <v>1960</v>
      </c>
      <c r="C102" s="1804" t="s">
        <v>1967</v>
      </c>
      <c r="D102" s="1170">
        <v>7.6999999999999999E-2</v>
      </c>
      <c r="E102" s="1170" t="s">
        <v>1962</v>
      </c>
    </row>
    <row r="103" spans="1:18" ht="15.75" thickBot="1">
      <c r="A103" s="1803"/>
      <c r="B103" s="1170" t="s">
        <v>1961</v>
      </c>
      <c r="C103" s="1805"/>
      <c r="D103" s="1170">
        <v>1.7999999999999999E-2</v>
      </c>
      <c r="E103" s="1170" t="s">
        <v>1962</v>
      </c>
    </row>
    <row r="104" spans="1:18" ht="15.75" thickBot="1">
      <c r="A104" s="1802" t="s">
        <v>1959</v>
      </c>
      <c r="B104" s="1170" t="s">
        <v>1960</v>
      </c>
      <c r="C104" s="1805"/>
      <c r="D104" s="1170">
        <v>0</v>
      </c>
      <c r="E104" s="1170" t="s">
        <v>1962</v>
      </c>
    </row>
    <row r="105" spans="1:18" ht="15.75" thickBot="1">
      <c r="A105" s="1803"/>
      <c r="B105" s="1170" t="s">
        <v>1961</v>
      </c>
      <c r="C105" s="1806"/>
      <c r="D105" s="1170">
        <v>0</v>
      </c>
      <c r="E105" s="1170" t="s">
        <v>1962</v>
      </c>
    </row>
    <row r="107" spans="1:18">
      <c r="A107" s="1166" t="s">
        <v>1951</v>
      </c>
    </row>
    <row r="108" spans="1:18">
      <c r="A108" s="761" t="s">
        <v>1963</v>
      </c>
    </row>
    <row r="111" spans="1:18">
      <c r="A111" s="761" t="s">
        <v>1950</v>
      </c>
      <c r="R111" s="761" t="s">
        <v>14356</v>
      </c>
    </row>
    <row r="112" spans="1:18" ht="15.75" thickBot="1">
      <c r="A112" s="430" t="s">
        <v>1968</v>
      </c>
      <c r="H112" s="430" t="s">
        <v>2023</v>
      </c>
      <c r="N112" s="430">
        <f>0.0243/1000</f>
        <v>2.4299999999999998E-5</v>
      </c>
    </row>
    <row r="113" spans="1:22">
      <c r="A113" s="1171" t="s">
        <v>1969</v>
      </c>
      <c r="B113" s="1172" t="s">
        <v>1970</v>
      </c>
      <c r="C113" s="1172" t="s">
        <v>1971</v>
      </c>
      <c r="D113" s="1172" t="s">
        <v>1972</v>
      </c>
      <c r="E113" s="1172" t="s">
        <v>1973</v>
      </c>
      <c r="F113" s="1171" t="s">
        <v>1974</v>
      </c>
      <c r="G113" s="1172" t="s">
        <v>1975</v>
      </c>
      <c r="H113" s="1206" t="s">
        <v>2022</v>
      </c>
      <c r="I113" s="1206" t="s">
        <v>2025</v>
      </c>
      <c r="J113" s="1206" t="s">
        <v>2026</v>
      </c>
      <c r="K113" s="1206" t="s">
        <v>2024</v>
      </c>
      <c r="L113" s="1206" t="s">
        <v>2027</v>
      </c>
      <c r="M113" s="1206" t="s">
        <v>2028</v>
      </c>
      <c r="N113" s="1206" t="s">
        <v>2029</v>
      </c>
      <c r="O113" s="1206" t="s">
        <v>2032</v>
      </c>
      <c r="Q113" s="430">
        <f>0.77*10%</f>
        <v>7.7000000000000013E-2</v>
      </c>
      <c r="R113" s="1410" t="s">
        <v>14340</v>
      </c>
      <c r="S113" s="1410" t="s">
        <v>14341</v>
      </c>
      <c r="T113" s="1410" t="s">
        <v>140</v>
      </c>
      <c r="U113" s="1410" t="s">
        <v>616</v>
      </c>
      <c r="V113" s="1410">
        <v>2017</v>
      </c>
    </row>
    <row r="114" spans="1:22">
      <c r="A114" s="1173">
        <v>2000</v>
      </c>
      <c r="B114" s="1174">
        <v>152430357</v>
      </c>
      <c r="C114" s="1174">
        <v>135174090</v>
      </c>
      <c r="D114" s="1175">
        <f t="shared" ref="D114:E124" si="17">B114/$F114</f>
        <v>0.53000000031292982</v>
      </c>
      <c r="E114" s="1175">
        <f t="shared" si="17"/>
        <v>0.46999999968707018</v>
      </c>
      <c r="F114" s="1176">
        <f t="shared" ref="F114:F124" si="18">B114+C114</f>
        <v>287604447</v>
      </c>
      <c r="G114" s="1175" t="s">
        <v>1976</v>
      </c>
      <c r="H114" s="430">
        <v>24</v>
      </c>
      <c r="I114" s="430">
        <f>1979</f>
        <v>1979</v>
      </c>
      <c r="J114" s="430">
        <f>H114+I114</f>
        <v>2003</v>
      </c>
      <c r="K114" s="430">
        <f>I114/25</f>
        <v>79.16</v>
      </c>
      <c r="L114" s="430">
        <f>H114/F114</f>
        <v>8.3447944739185486E-8</v>
      </c>
      <c r="M114" s="430">
        <f>L114/0.0000243</f>
        <v>3.4340717999664806E-3</v>
      </c>
      <c r="N114" s="430">
        <f>(K114/F114)/$N$112</f>
        <v>1.1326713486889442E-2</v>
      </c>
      <c r="R114" s="1409" t="s">
        <v>14342</v>
      </c>
      <c r="S114" s="1409" t="s">
        <v>14343</v>
      </c>
      <c r="T114" s="1409"/>
      <c r="U114" s="1409" t="s">
        <v>14344</v>
      </c>
      <c r="V114" s="1631">
        <v>118761000</v>
      </c>
    </row>
    <row r="115" spans="1:22">
      <c r="A115" s="1173">
        <v>2001</v>
      </c>
      <c r="B115" s="1174">
        <v>151473376</v>
      </c>
      <c r="C115" s="1174">
        <v>134325446</v>
      </c>
      <c r="D115" s="1175">
        <f t="shared" si="17"/>
        <v>0.53000000118964796</v>
      </c>
      <c r="E115" s="1175">
        <f t="shared" si="17"/>
        <v>0.46999999881035198</v>
      </c>
      <c r="F115" s="1176">
        <f t="shared" si="18"/>
        <v>285798822</v>
      </c>
      <c r="G115" s="1175">
        <f t="shared" ref="G115:G124" si="19">(F115/F114)-1</f>
        <v>-6.27815396748721E-3</v>
      </c>
      <c r="H115" s="430">
        <v>23</v>
      </c>
      <c r="I115" s="430">
        <v>1966</v>
      </c>
      <c r="J115" s="430">
        <f t="shared" ref="J115:J124" si="20">H115+I115</f>
        <v>1989</v>
      </c>
      <c r="K115" s="430">
        <f t="shared" ref="K115:K124" si="21">I115/25</f>
        <v>78.64</v>
      </c>
      <c r="L115" s="430">
        <f t="shared" ref="L115:L124" si="22">H115/F115</f>
        <v>8.0476188946643035E-8</v>
      </c>
      <c r="M115" s="430">
        <f t="shared" ref="M115:M124" si="23">L115/0.0000243</f>
        <v>3.3117773229071204E-3</v>
      </c>
      <c r="N115" s="430">
        <f t="shared" ref="N115:N124" si="24">(K115/F115)/$N$112</f>
        <v>1.1323398637974607E-2</v>
      </c>
      <c r="R115" s="1409" t="s">
        <v>14345</v>
      </c>
      <c r="S115" s="1409" t="s">
        <v>14343</v>
      </c>
      <c r="T115" s="1409"/>
      <c r="U115" s="1409" t="s">
        <v>14344</v>
      </c>
      <c r="V115" s="1631">
        <v>134699500</v>
      </c>
    </row>
    <row r="116" spans="1:22">
      <c r="A116" s="1173">
        <v>2002</v>
      </c>
      <c r="B116" s="1174">
        <v>149287553</v>
      </c>
      <c r="C116" s="1174">
        <v>132387075</v>
      </c>
      <c r="D116" s="1175">
        <f t="shared" si="17"/>
        <v>0.53000000056803132</v>
      </c>
      <c r="E116" s="1175">
        <f t="shared" si="17"/>
        <v>0.46999999943196874</v>
      </c>
      <c r="F116" s="1176">
        <f t="shared" si="18"/>
        <v>281674628</v>
      </c>
      <c r="G116" s="1175">
        <f t="shared" si="19"/>
        <v>-1.4430409373765718E-2</v>
      </c>
      <c r="H116" s="430">
        <v>23</v>
      </c>
      <c r="I116" s="430">
        <v>1938</v>
      </c>
      <c r="J116" s="430">
        <f t="shared" si="20"/>
        <v>1961</v>
      </c>
      <c r="K116" s="430">
        <f t="shared" si="21"/>
        <v>77.52</v>
      </c>
      <c r="L116" s="430">
        <f t="shared" si="22"/>
        <v>8.1654496762129393E-8</v>
      </c>
      <c r="M116" s="430">
        <f t="shared" si="23"/>
        <v>3.3602673564662299E-3</v>
      </c>
      <c r="N116" s="430">
        <f t="shared" si="24"/>
        <v>1.1325561977098355E-2</v>
      </c>
      <c r="R116" s="430" t="s">
        <v>245</v>
      </c>
      <c r="U116" s="430" t="s">
        <v>620</v>
      </c>
      <c r="V116" s="1633">
        <f>SUM(V114:V115)/1000000</f>
        <v>253.4605</v>
      </c>
    </row>
    <row r="117" spans="1:22">
      <c r="A117" s="1173">
        <v>2003</v>
      </c>
      <c r="B117" s="1174">
        <v>161217666</v>
      </c>
      <c r="C117" s="1174">
        <v>142966609</v>
      </c>
      <c r="D117" s="1175">
        <f t="shared" si="17"/>
        <v>0.53000000082187027</v>
      </c>
      <c r="E117" s="1175">
        <f t="shared" si="17"/>
        <v>0.46999999917812979</v>
      </c>
      <c r="F117" s="1176">
        <f t="shared" si="18"/>
        <v>304184275</v>
      </c>
      <c r="G117" s="1175">
        <f t="shared" si="19"/>
        <v>7.9913647742529292E-2</v>
      </c>
      <c r="H117" s="392">
        <v>25</v>
      </c>
      <c r="I117" s="430">
        <v>2093</v>
      </c>
      <c r="J117" s="430">
        <f t="shared" si="20"/>
        <v>2118</v>
      </c>
      <c r="K117" s="430">
        <f t="shared" si="21"/>
        <v>83.72</v>
      </c>
      <c r="L117" s="430">
        <f t="shared" si="22"/>
        <v>8.2187022981381922E-8</v>
      </c>
      <c r="M117" s="430">
        <f t="shared" si="23"/>
        <v>3.382182015694729E-3</v>
      </c>
      <c r="N117" s="430">
        <f t="shared" si="24"/>
        <v>1.1326251134158511E-2</v>
      </c>
      <c r="R117" s="1409" t="s">
        <v>14346</v>
      </c>
      <c r="S117" s="1409" t="s">
        <v>14347</v>
      </c>
      <c r="T117" s="1409" t="s">
        <v>254</v>
      </c>
      <c r="U117" s="1409" t="s">
        <v>14348</v>
      </c>
      <c r="V117" s="1632">
        <v>16.853492271</v>
      </c>
    </row>
    <row r="118" spans="1:22">
      <c r="A118" s="1173">
        <v>2004</v>
      </c>
      <c r="B118" s="1174">
        <v>164944899</v>
      </c>
      <c r="C118" s="1174">
        <v>146271891</v>
      </c>
      <c r="D118" s="1175">
        <f t="shared" si="17"/>
        <v>0.53000000096395827</v>
      </c>
      <c r="E118" s="1175">
        <f t="shared" si="17"/>
        <v>0.46999999903604173</v>
      </c>
      <c r="F118" s="1176">
        <f t="shared" si="18"/>
        <v>311216790</v>
      </c>
      <c r="G118" s="1175">
        <f t="shared" si="19"/>
        <v>2.3119258876876492E-2</v>
      </c>
      <c r="H118" s="392">
        <v>25</v>
      </c>
      <c r="I118" s="392">
        <v>2141</v>
      </c>
      <c r="J118" s="430">
        <f t="shared" si="20"/>
        <v>2166</v>
      </c>
      <c r="K118" s="430">
        <f t="shared" si="21"/>
        <v>85.64</v>
      </c>
      <c r="L118" s="430">
        <f t="shared" si="22"/>
        <v>8.032985623944004E-8</v>
      </c>
      <c r="M118" s="430">
        <f t="shared" si="23"/>
        <v>3.3057554008000013E-3</v>
      </c>
      <c r="N118" s="430">
        <f t="shared" si="24"/>
        <v>1.1324195700980486E-2</v>
      </c>
      <c r="R118" s="1409" t="s">
        <v>14349</v>
      </c>
      <c r="S118" s="1409" t="s">
        <v>14347</v>
      </c>
      <c r="T118" s="1409" t="s">
        <v>254</v>
      </c>
      <c r="U118" s="1409" t="s">
        <v>14348</v>
      </c>
      <c r="V118" s="1632">
        <v>3.9397774139999999</v>
      </c>
    </row>
    <row r="119" spans="1:22">
      <c r="A119" s="1173">
        <v>2005</v>
      </c>
      <c r="B119" s="1174">
        <v>166040627</v>
      </c>
      <c r="C119" s="1174">
        <v>147243575</v>
      </c>
      <c r="D119" s="1175">
        <f t="shared" si="17"/>
        <v>0.52999999980848056</v>
      </c>
      <c r="E119" s="1175">
        <f t="shared" si="17"/>
        <v>0.47000000019151938</v>
      </c>
      <c r="F119" s="1176">
        <f t="shared" si="18"/>
        <v>313284202</v>
      </c>
      <c r="G119" s="1175">
        <f t="shared" si="19"/>
        <v>6.642996349907726E-3</v>
      </c>
      <c r="H119" s="392">
        <v>26</v>
      </c>
      <c r="I119" s="392">
        <v>2156</v>
      </c>
      <c r="J119" s="430">
        <f t="shared" si="20"/>
        <v>2182</v>
      </c>
      <c r="K119" s="430">
        <f t="shared" si="21"/>
        <v>86.24</v>
      </c>
      <c r="L119" s="430">
        <f t="shared" si="22"/>
        <v>8.2991736685145709E-8</v>
      </c>
      <c r="M119" s="430">
        <f t="shared" si="23"/>
        <v>3.4152978059730742E-3</v>
      </c>
      <c r="N119" s="430">
        <f t="shared" si="24"/>
        <v>1.1328280107196845E-2</v>
      </c>
      <c r="R119" s="1409" t="s">
        <v>14346</v>
      </c>
      <c r="S119" s="1409" t="s">
        <v>14350</v>
      </c>
      <c r="T119" s="1409" t="s">
        <v>256</v>
      </c>
      <c r="U119" s="1409" t="s">
        <v>14351</v>
      </c>
      <c r="V119" s="1632">
        <v>61.268799900000005</v>
      </c>
    </row>
    <row r="120" spans="1:22">
      <c r="A120" s="1173">
        <v>2006</v>
      </c>
      <c r="B120" s="1174">
        <v>165935025</v>
      </c>
      <c r="C120" s="1174">
        <v>147149928</v>
      </c>
      <c r="D120" s="1175">
        <f t="shared" si="17"/>
        <v>0.52999999971253808</v>
      </c>
      <c r="E120" s="1175">
        <f t="shared" si="17"/>
        <v>0.47000000028746192</v>
      </c>
      <c r="F120" s="1176">
        <f t="shared" si="18"/>
        <v>313084953</v>
      </c>
      <c r="G120" s="1175">
        <f t="shared" si="19"/>
        <v>-6.3600079010683874E-4</v>
      </c>
      <c r="H120" s="392">
        <v>26</v>
      </c>
      <c r="I120" s="392">
        <v>2154</v>
      </c>
      <c r="J120" s="430">
        <f t="shared" si="20"/>
        <v>2180</v>
      </c>
      <c r="K120" s="430">
        <f t="shared" si="21"/>
        <v>86.16</v>
      </c>
      <c r="L120" s="430">
        <f t="shared" si="22"/>
        <v>8.3044553086522807E-8</v>
      </c>
      <c r="M120" s="430">
        <f t="shared" si="23"/>
        <v>3.4174713204330374E-3</v>
      </c>
      <c r="N120" s="430">
        <f t="shared" si="24"/>
        <v>1.1324974191096559E-2</v>
      </c>
      <c r="R120" s="1409" t="s">
        <v>14349</v>
      </c>
      <c r="S120" s="1409" t="s">
        <v>14350</v>
      </c>
      <c r="T120" s="1409" t="s">
        <v>256</v>
      </c>
      <c r="U120" s="1409" t="s">
        <v>14351</v>
      </c>
      <c r="V120" s="1632">
        <v>14.322576600000001</v>
      </c>
    </row>
    <row r="121" spans="1:22">
      <c r="A121" s="1173">
        <v>2007</v>
      </c>
      <c r="B121" s="1174">
        <v>167855716</v>
      </c>
      <c r="C121" s="1174">
        <v>148853182</v>
      </c>
      <c r="D121" s="1175">
        <f t="shared" si="17"/>
        <v>0.53000000018944837</v>
      </c>
      <c r="E121" s="1175">
        <f t="shared" si="17"/>
        <v>0.46999999981055157</v>
      </c>
      <c r="F121" s="1176">
        <f t="shared" si="18"/>
        <v>316708898</v>
      </c>
      <c r="G121" s="1175">
        <f t="shared" si="19"/>
        <v>1.1574957420582344E-2</v>
      </c>
      <c r="H121" s="392">
        <v>26</v>
      </c>
      <c r="I121" s="392">
        <v>2179</v>
      </c>
      <c r="J121" s="430">
        <f t="shared" si="20"/>
        <v>2205</v>
      </c>
      <c r="K121" s="430">
        <f t="shared" si="21"/>
        <v>87.16</v>
      </c>
      <c r="L121" s="430">
        <f t="shared" si="22"/>
        <v>8.2094314887231233E-8</v>
      </c>
      <c r="M121" s="430">
        <f t="shared" si="23"/>
        <v>3.3783668677872932E-3</v>
      </c>
      <c r="N121" s="430">
        <f t="shared" si="24"/>
        <v>1.1325325238320791E-2</v>
      </c>
    </row>
    <row r="122" spans="1:22">
      <c r="A122" s="1173">
        <v>2008</v>
      </c>
      <c r="B122" s="1174">
        <v>170937442</v>
      </c>
      <c r="C122" s="1174">
        <v>151586034</v>
      </c>
      <c r="D122" s="1175">
        <f t="shared" si="17"/>
        <v>0.52999999913184614</v>
      </c>
      <c r="E122" s="1175">
        <f t="shared" si="17"/>
        <v>0.47000000086815386</v>
      </c>
      <c r="F122" s="1176">
        <f t="shared" si="18"/>
        <v>322523476</v>
      </c>
      <c r="G122" s="1175">
        <f t="shared" si="19"/>
        <v>1.8359376818014139E-2</v>
      </c>
      <c r="H122" s="392">
        <v>26</v>
      </c>
      <c r="I122" s="392">
        <v>2219</v>
      </c>
      <c r="J122" s="430">
        <f t="shared" si="20"/>
        <v>2245</v>
      </c>
      <c r="K122" s="430">
        <f t="shared" si="21"/>
        <v>88.76</v>
      </c>
      <c r="L122" s="430">
        <f t="shared" si="22"/>
        <v>8.0614286818612863E-8</v>
      </c>
      <c r="M122" s="430">
        <f t="shared" si="23"/>
        <v>3.3174603629058789E-3</v>
      </c>
      <c r="N122" s="430">
        <f t="shared" si="24"/>
        <v>1.1325299300443303E-2</v>
      </c>
      <c r="R122" s="430" t="s">
        <v>14352</v>
      </c>
      <c r="U122" s="430" t="s">
        <v>14354</v>
      </c>
      <c r="V122" s="430">
        <f>SUM(V117:V118)</f>
        <v>20.793269684999999</v>
      </c>
    </row>
    <row r="123" spans="1:22">
      <c r="A123" s="1173">
        <v>2009</v>
      </c>
      <c r="B123" s="1174">
        <v>169791125</v>
      </c>
      <c r="C123" s="1174">
        <v>150569488</v>
      </c>
      <c r="D123" s="1175">
        <f t="shared" si="17"/>
        <v>0.53000000034336303</v>
      </c>
      <c r="E123" s="1175">
        <f t="shared" si="17"/>
        <v>0.46999999965663697</v>
      </c>
      <c r="F123" s="1176">
        <f t="shared" si="18"/>
        <v>320360613</v>
      </c>
      <c r="G123" s="1175">
        <f t="shared" si="19"/>
        <v>-6.7060637781294341E-3</v>
      </c>
      <c r="H123" s="392">
        <v>26</v>
      </c>
      <c r="I123" s="392">
        <v>2204</v>
      </c>
      <c r="J123" s="430">
        <f t="shared" si="20"/>
        <v>2230</v>
      </c>
      <c r="K123" s="430">
        <f t="shared" si="21"/>
        <v>88.16</v>
      </c>
      <c r="L123" s="430">
        <f t="shared" si="22"/>
        <v>8.1158541171851241E-8</v>
      </c>
      <c r="M123" s="430">
        <f t="shared" si="23"/>
        <v>3.3398576613930548E-3</v>
      </c>
      <c r="N123" s="430">
        <f t="shared" si="24"/>
        <v>1.1324686593400453E-2</v>
      </c>
      <c r="R123" s="430" t="s">
        <v>14353</v>
      </c>
      <c r="U123" s="430" t="s">
        <v>14354</v>
      </c>
      <c r="V123" s="1409">
        <f>SUM(V118:V119)</f>
        <v>65.20857731400001</v>
      </c>
    </row>
    <row r="124" spans="1:22" ht="15.75" thickBot="1">
      <c r="A124" s="1177">
        <v>2010</v>
      </c>
      <c r="B124" s="1178">
        <v>172502123</v>
      </c>
      <c r="C124" s="1178">
        <v>152973581</v>
      </c>
      <c r="D124" s="1179">
        <f t="shared" si="17"/>
        <v>0.52999999963130884</v>
      </c>
      <c r="E124" s="1179">
        <f t="shared" si="17"/>
        <v>0.47000000036869111</v>
      </c>
      <c r="F124" s="1180">
        <f t="shared" si="18"/>
        <v>325475704</v>
      </c>
      <c r="G124" s="1179">
        <f t="shared" si="19"/>
        <v>1.5966666289279452E-2</v>
      </c>
      <c r="H124" s="392">
        <v>27</v>
      </c>
      <c r="I124" s="392">
        <v>2239</v>
      </c>
      <c r="J124" s="430">
        <f t="shared" si="20"/>
        <v>2266</v>
      </c>
      <c r="K124" s="430">
        <f t="shared" si="21"/>
        <v>89.56</v>
      </c>
      <c r="L124" s="430">
        <f t="shared" si="22"/>
        <v>8.2955500727636498E-8</v>
      </c>
      <c r="M124" s="430">
        <f t="shared" si="23"/>
        <v>3.4138066143060285E-3</v>
      </c>
      <c r="N124" s="430">
        <f t="shared" si="24"/>
        <v>1.1323722976935111E-2</v>
      </c>
    </row>
    <row r="125" spans="1:22">
      <c r="A125" s="430" t="s">
        <v>1977</v>
      </c>
      <c r="M125" s="39">
        <f>SUM(M114:M124)/11</f>
        <v>3.3705740480575387E-3</v>
      </c>
      <c r="N125" s="39">
        <f>SUM(N114:N124)/11</f>
        <v>1.1325309940408588E-2</v>
      </c>
      <c r="P125" s="1243">
        <f>M125*0.1</f>
        <v>3.3705740480575389E-4</v>
      </c>
      <c r="Q125" s="430">
        <f>N125*0.1</f>
        <v>1.1325309940408588E-3</v>
      </c>
      <c r="R125" s="430" t="s">
        <v>254</v>
      </c>
      <c r="U125" s="430" t="s">
        <v>14355</v>
      </c>
      <c r="V125" s="1634">
        <f>V122/V116</f>
        <v>8.2037515451125517E-2</v>
      </c>
    </row>
    <row r="126" spans="1:22">
      <c r="C126" s="430" t="s">
        <v>2035</v>
      </c>
      <c r="D126" s="430" t="s">
        <v>2035</v>
      </c>
      <c r="R126" s="430" t="s">
        <v>256</v>
      </c>
      <c r="U126" s="1409" t="s">
        <v>14355</v>
      </c>
      <c r="V126" s="1634">
        <f>V123/V116</f>
        <v>0.25727313452786532</v>
      </c>
    </row>
    <row r="127" spans="1:22">
      <c r="C127" s="1209" t="s">
        <v>2019</v>
      </c>
      <c r="D127" s="430" t="s">
        <v>2034</v>
      </c>
      <c r="E127" s="1207" t="s">
        <v>2036</v>
      </c>
      <c r="F127" s="1211" t="s">
        <v>2033</v>
      </c>
      <c r="G127" s="430" t="s">
        <v>2020</v>
      </c>
      <c r="H127" s="430" t="s">
        <v>2021</v>
      </c>
      <c r="I127" s="430" t="s">
        <v>2028</v>
      </c>
      <c r="J127" s="430" t="s">
        <v>2037</v>
      </c>
      <c r="K127" s="1211" t="s">
        <v>2038</v>
      </c>
      <c r="L127" s="430" t="s">
        <v>2039</v>
      </c>
    </row>
    <row r="128" spans="1:22">
      <c r="B128" s="1204">
        <v>2000</v>
      </c>
      <c r="C128" s="1209">
        <v>325</v>
      </c>
      <c r="D128" s="430">
        <f>C128</f>
        <v>325</v>
      </c>
      <c r="E128" s="1208">
        <f>[10]Waste!C27/1000</f>
        <v>10.54681185447652</v>
      </c>
      <c r="F128" s="1211">
        <v>39532</v>
      </c>
      <c r="G128" s="430">
        <f>F128/1000</f>
        <v>39.531999999999996</v>
      </c>
      <c r="H128" s="430">
        <f t="shared" ref="H128:H138" si="25">D128/G128</f>
        <v>8.2211878984114151</v>
      </c>
      <c r="I128" s="430">
        <f>E128/G128</f>
        <v>0.2667917599533674</v>
      </c>
      <c r="J128" s="406">
        <f>C128-E128</f>
        <v>314.45318814552348</v>
      </c>
      <c r="K128" s="1211">
        <f>(J128/25)/G128</f>
        <v>0.31817584553832184</v>
      </c>
      <c r="L128" s="1114">
        <f>K128/$V$2</f>
        <v>1.744850882864514E-2</v>
      </c>
      <c r="R128" s="430" t="s">
        <v>14357</v>
      </c>
    </row>
    <row r="129" spans="2:22">
      <c r="B129" s="1205">
        <v>2001</v>
      </c>
      <c r="C129" s="1210">
        <v>250</v>
      </c>
      <c r="D129" s="430">
        <f t="shared" ref="D129:D138" si="26">C129</f>
        <v>250</v>
      </c>
      <c r="E129" s="1208">
        <f>[10]Waste!D27/1000</f>
        <v>16.645231075663826</v>
      </c>
      <c r="F129" s="1211">
        <v>41241</v>
      </c>
      <c r="G129" s="430">
        <f t="shared" ref="G129:G138" si="27">F129/1000</f>
        <v>41.241</v>
      </c>
      <c r="H129" s="430">
        <f t="shared" si="25"/>
        <v>6.0619286632234912</v>
      </c>
      <c r="I129" s="430">
        <f t="shared" ref="I129:I137" si="28">E129/G129</f>
        <v>0.40360881345417976</v>
      </c>
      <c r="J129" s="406">
        <f t="shared" ref="J129:J138" si="29">C129-E129</f>
        <v>233.35476892433618</v>
      </c>
      <c r="K129" s="1211">
        <f t="shared" ref="K129:K137" si="30">(J129/25)/G129</f>
        <v>0.22633279399077247</v>
      </c>
      <c r="L129" s="1114">
        <f t="shared" ref="L129:L138" si="31">K129/$V$2</f>
        <v>1.2411909356218769E-2</v>
      </c>
      <c r="P129" s="430">
        <f>N125*0.18/0.77</f>
        <v>2.6474750510046049E-3</v>
      </c>
      <c r="Q129" s="430">
        <f>0.1*P129</f>
        <v>2.647475051004605E-4</v>
      </c>
      <c r="R129" s="430" t="s">
        <v>14358</v>
      </c>
      <c r="U129" s="430" t="s">
        <v>14360</v>
      </c>
      <c r="V129" s="430">
        <v>21</v>
      </c>
    </row>
    <row r="130" spans="2:22">
      <c r="B130" s="1204">
        <v>2002</v>
      </c>
      <c r="C130" s="1210">
        <v>196</v>
      </c>
      <c r="D130" s="430">
        <f t="shared" si="26"/>
        <v>196</v>
      </c>
      <c r="E130" s="1208">
        <f>[10]Waste!E27/1000</f>
        <v>12.310313736182735</v>
      </c>
      <c r="F130" s="1211">
        <v>43048</v>
      </c>
      <c r="G130" s="430">
        <f t="shared" si="27"/>
        <v>43.048000000000002</v>
      </c>
      <c r="H130" s="430">
        <f t="shared" si="25"/>
        <v>4.5530570525924547</v>
      </c>
      <c r="I130" s="430">
        <f t="shared" si="28"/>
        <v>0.28596714681710494</v>
      </c>
      <c r="J130" s="406">
        <f t="shared" si="29"/>
        <v>183.68968626381726</v>
      </c>
      <c r="K130" s="1211">
        <f t="shared" si="30"/>
        <v>0.17068359623101401</v>
      </c>
      <c r="L130" s="1114">
        <f t="shared" si="31"/>
        <v>9.3601518704318227E-3</v>
      </c>
      <c r="R130" s="430" t="s">
        <v>254</v>
      </c>
      <c r="U130" s="430" t="s">
        <v>1100</v>
      </c>
      <c r="V130" s="1634">
        <f>V125/$V$129</f>
        <v>3.9065483548155009E-3</v>
      </c>
    </row>
    <row r="131" spans="2:22">
      <c r="B131" s="1205">
        <v>2003</v>
      </c>
      <c r="C131" s="1210">
        <v>1065</v>
      </c>
      <c r="D131" s="430">
        <f t="shared" si="26"/>
        <v>1065</v>
      </c>
      <c r="E131" s="1208">
        <f>[10]Waste!F27/1000</f>
        <v>15.548949778252988</v>
      </c>
      <c r="F131" s="1211">
        <v>48749</v>
      </c>
      <c r="G131" s="430">
        <f t="shared" si="27"/>
        <v>48.749000000000002</v>
      </c>
      <c r="H131" s="430">
        <f t="shared" si="25"/>
        <v>21.846601981579109</v>
      </c>
      <c r="I131" s="430">
        <f t="shared" si="28"/>
        <v>0.31895935872024017</v>
      </c>
      <c r="J131" s="406">
        <f t="shared" si="29"/>
        <v>1049.451050221747</v>
      </c>
      <c r="K131" s="1211">
        <f t="shared" si="30"/>
        <v>0.86110570491435467</v>
      </c>
      <c r="L131" s="1114">
        <f t="shared" si="31"/>
        <v>4.7222347972939276E-2</v>
      </c>
      <c r="R131" s="430" t="s">
        <v>256</v>
      </c>
      <c r="U131" s="430" t="s">
        <v>1100</v>
      </c>
      <c r="V131" s="1634">
        <f>V126/$V$129</f>
        <v>1.2251101644184062E-2</v>
      </c>
    </row>
    <row r="132" spans="2:22">
      <c r="B132" s="1204">
        <v>2004</v>
      </c>
      <c r="C132" s="1210">
        <v>254</v>
      </c>
      <c r="D132" s="430">
        <f t="shared" si="26"/>
        <v>254</v>
      </c>
      <c r="E132" s="1208">
        <f>[10]Waste!G27/1000</f>
        <v>18.187467351589461</v>
      </c>
      <c r="F132" s="1211">
        <v>50361</v>
      </c>
      <c r="G132" s="430">
        <f t="shared" si="27"/>
        <v>50.360999999999997</v>
      </c>
      <c r="H132" s="430">
        <f t="shared" si="25"/>
        <v>5.0435853140326845</v>
      </c>
      <c r="I132" s="430">
        <f t="shared" si="28"/>
        <v>0.36114190249576977</v>
      </c>
      <c r="J132" s="406">
        <f t="shared" si="29"/>
        <v>235.81253264841052</v>
      </c>
      <c r="K132" s="1211">
        <f t="shared" si="30"/>
        <v>0.18729773646147657</v>
      </c>
      <c r="L132" s="1114">
        <f t="shared" si="31"/>
        <v>1.0271258029358205E-2</v>
      </c>
    </row>
    <row r="133" spans="2:22">
      <c r="B133" s="1205">
        <v>2005</v>
      </c>
      <c r="C133" s="1210">
        <v>266</v>
      </c>
      <c r="D133" s="430">
        <f t="shared" si="26"/>
        <v>266</v>
      </c>
      <c r="E133" s="1208">
        <f>[10]Waste!H27/1000</f>
        <v>16.549473367982134</v>
      </c>
      <c r="F133" s="1211">
        <v>53165.84</v>
      </c>
      <c r="G133" s="430">
        <f t="shared" si="27"/>
        <v>53.165839999999996</v>
      </c>
      <c r="H133" s="430">
        <f t="shared" si="25"/>
        <v>5.0032125891361829</v>
      </c>
      <c r="I133" s="430">
        <f t="shared" si="28"/>
        <v>0.31128020112128646</v>
      </c>
      <c r="J133" s="406">
        <f t="shared" si="29"/>
        <v>249.45052663201787</v>
      </c>
      <c r="K133" s="1211">
        <f t="shared" si="30"/>
        <v>0.18767729552059584</v>
      </c>
      <c r="L133" s="1114">
        <f t="shared" si="31"/>
        <v>1.0292072744513058E-2</v>
      </c>
      <c r="R133" s="430" t="s">
        <v>14359</v>
      </c>
    </row>
    <row r="134" spans="2:22">
      <c r="B134" s="1204">
        <v>2006</v>
      </c>
      <c r="C134" s="1210">
        <v>291</v>
      </c>
      <c r="D134" s="430">
        <f t="shared" si="26"/>
        <v>291</v>
      </c>
      <c r="E134" s="1208">
        <f>[10]Waste!I27/1000</f>
        <v>16.669792311073191</v>
      </c>
      <c r="F134" s="1211">
        <v>56037.84</v>
      </c>
      <c r="G134" s="39">
        <f t="shared" si="27"/>
        <v>56.037839999999996</v>
      </c>
      <c r="H134" s="430">
        <f t="shared" si="25"/>
        <v>5.1929196414422831</v>
      </c>
      <c r="I134" s="430">
        <f t="shared" si="28"/>
        <v>0.29747385536403959</v>
      </c>
      <c r="J134" s="406">
        <f t="shared" si="29"/>
        <v>274.33020768892681</v>
      </c>
      <c r="K134" s="1211">
        <f t="shared" si="30"/>
        <v>0.19581783144312975</v>
      </c>
      <c r="L134" s="1114">
        <f t="shared" si="31"/>
        <v>1.073849322207608E-2</v>
      </c>
      <c r="R134" s="1409" t="s">
        <v>14358</v>
      </c>
      <c r="S134" s="1409"/>
      <c r="T134" s="1409"/>
      <c r="U134" s="1409" t="s">
        <v>14360</v>
      </c>
      <c r="V134" s="1409">
        <v>24</v>
      </c>
    </row>
    <row r="135" spans="2:22">
      <c r="B135" s="1205">
        <v>2007</v>
      </c>
      <c r="C135" s="1210">
        <v>325</v>
      </c>
      <c r="D135" s="430">
        <f t="shared" si="26"/>
        <v>325</v>
      </c>
      <c r="E135" s="1208">
        <f>[10]Waste!J27/1000</f>
        <v>17.474810903103542</v>
      </c>
      <c r="F135" s="1211">
        <v>58908.41</v>
      </c>
      <c r="G135" s="430">
        <f t="shared" si="27"/>
        <v>58.908410000000003</v>
      </c>
      <c r="H135" s="430">
        <f t="shared" si="25"/>
        <v>5.5170390781214431</v>
      </c>
      <c r="I135" s="430">
        <f t="shared" si="28"/>
        <v>0.296643737339092</v>
      </c>
      <c r="J135" s="406">
        <f t="shared" si="29"/>
        <v>307.52518909689644</v>
      </c>
      <c r="K135" s="1211">
        <f t="shared" si="30"/>
        <v>0.20881581363129403</v>
      </c>
      <c r="L135" s="1114">
        <f t="shared" si="31"/>
        <v>1.1451292166889259E-2</v>
      </c>
      <c r="R135" s="430" t="s">
        <v>254</v>
      </c>
      <c r="U135" s="430" t="s">
        <v>1100</v>
      </c>
      <c r="V135" s="1634">
        <f>V125/$V$134</f>
        <v>3.4182298104635631E-3</v>
      </c>
    </row>
    <row r="136" spans="2:22">
      <c r="B136" s="1204">
        <v>2008</v>
      </c>
      <c r="C136" s="1210">
        <v>228</v>
      </c>
      <c r="D136" s="430">
        <f t="shared" si="26"/>
        <v>228</v>
      </c>
      <c r="E136" s="1208">
        <f>[10]Waste!K27/1000</f>
        <v>19.423791484319981</v>
      </c>
      <c r="F136" s="1211">
        <v>61777.55</v>
      </c>
      <c r="G136" s="430">
        <f t="shared" si="27"/>
        <v>61.777550000000005</v>
      </c>
      <c r="H136" s="430">
        <f t="shared" si="25"/>
        <v>3.6906610896676866</v>
      </c>
      <c r="I136" s="430">
        <f t="shared" si="28"/>
        <v>0.31441505019736099</v>
      </c>
      <c r="J136" s="406">
        <f t="shared" si="29"/>
        <v>208.57620851568001</v>
      </c>
      <c r="K136" s="1211">
        <f t="shared" si="30"/>
        <v>0.13504984157881303</v>
      </c>
      <c r="L136" s="1114">
        <f t="shared" si="31"/>
        <v>7.4060252723088431E-3</v>
      </c>
      <c r="R136" s="430" t="s">
        <v>1763</v>
      </c>
      <c r="U136" s="1409" t="s">
        <v>1100</v>
      </c>
      <c r="V136" s="1634">
        <f>V126/$V$134</f>
        <v>1.0719713938661056E-2</v>
      </c>
    </row>
    <row r="137" spans="2:22">
      <c r="B137" s="1205">
        <v>2009</v>
      </c>
      <c r="C137" s="1210">
        <v>237</v>
      </c>
      <c r="D137" s="430">
        <f t="shared" si="26"/>
        <v>237</v>
      </c>
      <c r="E137" s="1208">
        <f>[10]Waste!L27/1000</f>
        <v>43.946996690999761</v>
      </c>
      <c r="F137" s="1211">
        <v>64645.26</v>
      </c>
      <c r="G137" s="430">
        <f t="shared" si="27"/>
        <v>64.645260000000007</v>
      </c>
      <c r="H137" s="430">
        <f t="shared" si="25"/>
        <v>3.6661620666387602</v>
      </c>
      <c r="I137" s="430">
        <f t="shared" si="28"/>
        <v>0.679817773043217</v>
      </c>
      <c r="J137" s="406">
        <f t="shared" si="29"/>
        <v>193.05300330900025</v>
      </c>
      <c r="K137" s="1211">
        <f t="shared" si="30"/>
        <v>0.11945377174382173</v>
      </c>
      <c r="L137" s="1114">
        <f t="shared" si="31"/>
        <v>6.5507492794137879E-3</v>
      </c>
    </row>
    <row r="138" spans="2:22">
      <c r="B138" s="1204">
        <v>2010</v>
      </c>
      <c r="C138" s="1210">
        <v>619</v>
      </c>
      <c r="D138" s="430">
        <f t="shared" si="26"/>
        <v>619</v>
      </c>
      <c r="E138" s="1209"/>
      <c r="F138" s="1211">
        <v>68405.919656963932</v>
      </c>
      <c r="G138" s="430">
        <f t="shared" si="27"/>
        <v>68.405919656963931</v>
      </c>
      <c r="H138" s="430">
        <f t="shared" si="25"/>
        <v>9.0489244659542258</v>
      </c>
      <c r="J138" s="406">
        <f t="shared" si="29"/>
        <v>619</v>
      </c>
      <c r="K138" s="1211">
        <f>(J138/25)/G138</f>
        <v>0.36195697863816906</v>
      </c>
      <c r="L138" s="1114">
        <f t="shared" si="31"/>
        <v>1.984943114293428E-2</v>
      </c>
    </row>
    <row r="139" spans="2:22">
      <c r="B139" s="573" t="s">
        <v>2018</v>
      </c>
      <c r="C139" s="458">
        <f t="shared" ref="C139:K139" si="32">AVERAGE(C128:C138)</f>
        <v>368.72727272727275</v>
      </c>
      <c r="D139" s="458">
        <f t="shared" si="32"/>
        <v>368.72727272727275</v>
      </c>
      <c r="E139" s="458">
        <f t="shared" si="32"/>
        <v>18.730363855364413</v>
      </c>
      <c r="F139" s="458">
        <f t="shared" si="32"/>
        <v>53261.07451426945</v>
      </c>
      <c r="G139" s="458">
        <f t="shared" si="32"/>
        <v>53.261074514269446</v>
      </c>
      <c r="H139" s="458">
        <f t="shared" si="32"/>
        <v>7.0768436218908848</v>
      </c>
      <c r="I139" s="742">
        <f t="shared" si="32"/>
        <v>0.35360995985056581</v>
      </c>
      <c r="J139" s="458">
        <f t="shared" si="32"/>
        <v>351.69966922239598</v>
      </c>
      <c r="K139" s="742">
        <f t="shared" si="32"/>
        <v>0.27021520088106932</v>
      </c>
    </row>
  </sheetData>
  <mergeCells count="26">
    <mergeCell ref="H26:I26"/>
    <mergeCell ref="H28:I28"/>
    <mergeCell ref="AC1:AE1"/>
    <mergeCell ref="AC20:AE20"/>
    <mergeCell ref="R27:R29"/>
    <mergeCell ref="S27:S29"/>
    <mergeCell ref="T27:T29"/>
    <mergeCell ref="U27:U29"/>
    <mergeCell ref="V27:V29"/>
    <mergeCell ref="W27:W29"/>
    <mergeCell ref="A2:A3"/>
    <mergeCell ref="B2:B3"/>
    <mergeCell ref="C2:E3"/>
    <mergeCell ref="F2:F3"/>
    <mergeCell ref="D74:E74"/>
    <mergeCell ref="A102:A103"/>
    <mergeCell ref="C102:C105"/>
    <mergeCell ref="A104:A105"/>
    <mergeCell ref="M27:M29"/>
    <mergeCell ref="L27:L29"/>
    <mergeCell ref="L37:L40"/>
    <mergeCell ref="L41:L43"/>
    <mergeCell ref="A98:A99"/>
    <mergeCell ref="C98:C101"/>
    <mergeCell ref="A100:A101"/>
    <mergeCell ref="L31:L36"/>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N114"/>
  <sheetViews>
    <sheetView workbookViewId="0"/>
  </sheetViews>
  <sheetFormatPr defaultColWidth="9.28515625" defaultRowHeight="15"/>
  <cols>
    <col min="1" max="1" width="13.7109375" style="430" customWidth="1"/>
    <col min="2" max="2" width="9.28515625" style="430"/>
    <col min="3" max="3" width="20.28515625" style="430" customWidth="1"/>
    <col min="4" max="4" width="16.28515625" style="430" customWidth="1"/>
    <col min="5" max="5" width="26.42578125" style="430" customWidth="1"/>
    <col min="6" max="6" width="15.5703125" style="430" customWidth="1"/>
    <col min="7" max="7" width="15.28515625" style="430" customWidth="1"/>
    <col min="8" max="8" width="20.7109375" style="430" customWidth="1"/>
    <col min="9" max="9" width="17.28515625" style="430" customWidth="1"/>
    <col min="10" max="16384" width="9.28515625" style="430"/>
  </cols>
  <sheetData>
    <row r="1" spans="2:39">
      <c r="B1" s="430" t="s">
        <v>1615</v>
      </c>
      <c r="E1" s="430">
        <v>2013</v>
      </c>
      <c r="F1" s="430">
        <v>2013</v>
      </c>
      <c r="G1" s="430" t="s">
        <v>1616</v>
      </c>
      <c r="H1" s="430">
        <v>2006</v>
      </c>
    </row>
    <row r="2" spans="2:39" ht="30">
      <c r="B2" s="430" t="s">
        <v>1617</v>
      </c>
      <c r="C2" s="430" t="s">
        <v>1618</v>
      </c>
      <c r="D2" s="430" t="s">
        <v>1619</v>
      </c>
      <c r="E2" s="1021" t="s">
        <v>1620</v>
      </c>
      <c r="F2" s="1021" t="s">
        <v>1621</v>
      </c>
      <c r="G2" s="1021" t="s">
        <v>1621</v>
      </c>
      <c r="R2" s="1055" t="s">
        <v>371</v>
      </c>
      <c r="S2" s="179">
        <v>1991</v>
      </c>
      <c r="T2" s="179">
        <v>1992</v>
      </c>
      <c r="U2" s="179">
        <v>1993</v>
      </c>
      <c r="V2" s="179">
        <v>1994</v>
      </c>
      <c r="W2" s="179">
        <v>1995</v>
      </c>
      <c r="X2" s="179">
        <v>1996</v>
      </c>
      <c r="Y2" s="179">
        <v>1997</v>
      </c>
      <c r="Z2" s="179">
        <v>1998</v>
      </c>
      <c r="AA2" s="179">
        <v>1999</v>
      </c>
      <c r="AB2" s="179">
        <v>2000</v>
      </c>
      <c r="AC2" s="179">
        <v>2001</v>
      </c>
      <c r="AD2" s="179">
        <v>2002</v>
      </c>
      <c r="AE2" s="179">
        <v>2003</v>
      </c>
      <c r="AF2" s="179">
        <v>2004</v>
      </c>
      <c r="AG2" s="179">
        <v>2005</v>
      </c>
      <c r="AH2" s="179">
        <v>2006</v>
      </c>
      <c r="AI2" s="179">
        <v>2007</v>
      </c>
      <c r="AJ2" s="179">
        <v>2008</v>
      </c>
      <c r="AK2" s="179">
        <v>2009</v>
      </c>
      <c r="AL2" s="179">
        <v>2010</v>
      </c>
      <c r="AM2" s="1054"/>
    </row>
    <row r="3" spans="2:39" ht="24">
      <c r="B3" s="430" t="s">
        <v>1622</v>
      </c>
      <c r="C3" s="430" t="s">
        <v>1623</v>
      </c>
      <c r="D3" s="430">
        <v>590</v>
      </c>
      <c r="E3" s="430">
        <v>826</v>
      </c>
      <c r="F3" s="430">
        <f>E3*Deflator!$F$33</f>
        <v>9841.7899999999991</v>
      </c>
      <c r="G3" s="1022">
        <f>D3*(AVERAGE(D$22:$D$28)*Distribution!$AB$3*Distribution!$AE$37/Distribution!$S$37)/1000</f>
        <v>266.11872910346432</v>
      </c>
      <c r="H3" s="430">
        <f>F3*Distribution!$AE$37/Distribution!$Y$37</f>
        <v>11758.410991636796</v>
      </c>
      <c r="R3" s="1053" t="s">
        <v>239</v>
      </c>
      <c r="S3" s="181">
        <v>15.727008694067001</v>
      </c>
      <c r="T3" s="181">
        <v>14.5711517216375</v>
      </c>
      <c r="U3" s="181">
        <v>13.0875688743451</v>
      </c>
      <c r="V3" s="181">
        <v>9.5940101543789797</v>
      </c>
      <c r="W3" s="181">
        <v>10.250325952765699</v>
      </c>
      <c r="X3" s="181">
        <v>8.0896615070995495</v>
      </c>
      <c r="Y3" s="181">
        <v>8.1064754482185197</v>
      </c>
      <c r="Z3" s="181">
        <v>7.7104128133594703</v>
      </c>
      <c r="AA3" s="181">
        <v>7.0732294482553897</v>
      </c>
      <c r="AB3" s="181">
        <v>8.8095447928848092</v>
      </c>
      <c r="AC3" s="181">
        <v>7.6669259373051499</v>
      </c>
      <c r="AD3" s="181">
        <v>10.749452406287</v>
      </c>
      <c r="AE3" s="181">
        <v>5.5502297825584197</v>
      </c>
      <c r="AF3" s="181">
        <v>6.3718942256896698</v>
      </c>
      <c r="AG3" s="181">
        <v>5.4446739251013696</v>
      </c>
      <c r="AH3" s="181">
        <v>6.5276131156196397</v>
      </c>
      <c r="AI3" s="181">
        <v>8.1914947793359403</v>
      </c>
      <c r="AJ3" s="181">
        <v>9.2056545564224894</v>
      </c>
      <c r="AK3" s="181">
        <v>7.3317962461641599</v>
      </c>
      <c r="AL3" s="1065">
        <f>(145.2/134.3-1)*100</f>
        <v>8.116157855547268</v>
      </c>
      <c r="AM3" s="93"/>
    </row>
    <row r="4" spans="2:39" ht="36" customHeight="1">
      <c r="B4" s="430" t="s">
        <v>1622</v>
      </c>
      <c r="C4" s="430" t="s">
        <v>1624</v>
      </c>
      <c r="D4" s="430">
        <v>240</v>
      </c>
      <c r="E4" s="430">
        <v>336</v>
      </c>
      <c r="F4" s="430">
        <f>E4*AVERAGE([11]Deflator!$LD$77:$LD$332)</f>
        <v>3242.0356415999986</v>
      </c>
      <c r="G4" s="1022">
        <f>D4*(AVERAGE(D$22:$D$28)*Distribution!$AB$3*Distribution!$AE$37/Distribution!$S$37)/1000</f>
        <v>108.25168641496855</v>
      </c>
      <c r="H4" s="430">
        <f>F4*Distribution!$AE$37/Distribution!$Y$37</f>
        <v>3873.3998107526859</v>
      </c>
      <c r="R4" s="1058">
        <f>S13</f>
        <v>2006</v>
      </c>
      <c r="S4" s="183">
        <f t="shared" ref="S4:AL4" si="0">IF(S2=$R$4,1,IF(S2&lt;$R4,T4/(1+T3/100),R4*(S3/100+1)))</f>
        <v>0.28967090786437666</v>
      </c>
      <c r="T4" s="183">
        <f t="shared" si="0"/>
        <v>0.33187929534273974</v>
      </c>
      <c r="U4" s="183">
        <f t="shared" si="0"/>
        <v>0.37531422670041198</v>
      </c>
      <c r="V4" s="183">
        <f t="shared" si="0"/>
        <v>0.4113219117208784</v>
      </c>
      <c r="W4" s="183">
        <f t="shared" si="0"/>
        <v>0.45348374838741562</v>
      </c>
      <c r="X4" s="183">
        <f t="shared" si="0"/>
        <v>0.49016904862166455</v>
      </c>
      <c r="Y4" s="183">
        <f t="shared" si="0"/>
        <v>0.52990448220294606</v>
      </c>
      <c r="Z4" s="183">
        <f t="shared" si="0"/>
        <v>0.57076230529728811</v>
      </c>
      <c r="AA4" s="183">
        <f t="shared" si="0"/>
        <v>0.61113363275511723</v>
      </c>
      <c r="AB4" s="183">
        <f t="shared" si="0"/>
        <v>0.66497172387706338</v>
      </c>
      <c r="AC4" s="183">
        <f t="shared" si="0"/>
        <v>0.71595461345073919</v>
      </c>
      <c r="AD4" s="183">
        <f t="shared" si="0"/>
        <v>0.79291581387424248</v>
      </c>
      <c r="AE4" s="183">
        <f t="shared" si="0"/>
        <v>0.83692446352650607</v>
      </c>
      <c r="AF4" s="183">
        <f t="shared" si="0"/>
        <v>0.89025240509133574</v>
      </c>
      <c r="AG4" s="183">
        <f t="shared" si="0"/>
        <v>0.93872374565893157</v>
      </c>
      <c r="AH4" s="183">
        <f t="shared" si="0"/>
        <v>1</v>
      </c>
      <c r="AI4" s="183">
        <f t="shared" si="0"/>
        <v>1.0819149477933594</v>
      </c>
      <c r="AJ4" s="183">
        <f t="shared" si="0"/>
        <v>1.1815123004815147</v>
      </c>
      <c r="AK4" s="183">
        <f t="shared" si="0"/>
        <v>1.2681383749761861</v>
      </c>
      <c r="AL4" s="183">
        <f t="shared" si="0"/>
        <v>1.3710624873160253</v>
      </c>
      <c r="AM4" s="93"/>
    </row>
    <row r="5" spans="2:39">
      <c r="B5" s="430" t="s">
        <v>1622</v>
      </c>
      <c r="C5" s="430" t="s">
        <v>1625</v>
      </c>
      <c r="D5" s="430">
        <v>210</v>
      </c>
      <c r="E5" s="430">
        <v>294</v>
      </c>
      <c r="F5" s="430">
        <f>E5*AVERAGE([11]Deflator!$LD$77:$LD$332)</f>
        <v>2836.7811863999987</v>
      </c>
      <c r="G5" s="1022">
        <f>D5*(AVERAGE(D$22:$D$28)*Distribution!$AB$3*Distribution!$AE$37/Distribution!$S$37)/1000</f>
        <v>94.720225613097469</v>
      </c>
      <c r="H5" s="430">
        <f>F5*Distribution!$AE$37/Distribution!$Y$37</f>
        <v>3389.2248344086006</v>
      </c>
      <c r="R5" s="1058" t="s">
        <v>372</v>
      </c>
      <c r="S5" s="183">
        <f t="shared" ref="S5:AL5" si="1">1/S4</f>
        <v>3.452193412768251</v>
      </c>
      <c r="T5" s="183">
        <f t="shared" si="1"/>
        <v>3.0131436761286237</v>
      </c>
      <c r="U5" s="183">
        <f t="shared" si="1"/>
        <v>2.6644340364913277</v>
      </c>
      <c r="V5" s="183">
        <f t="shared" si="1"/>
        <v>2.4311858218693598</v>
      </c>
      <c r="W5" s="183">
        <f t="shared" si="1"/>
        <v>2.2051506885439478</v>
      </c>
      <c r="X5" s="183">
        <f t="shared" si="1"/>
        <v>2.0401124934590613</v>
      </c>
      <c r="Y5" s="183">
        <f t="shared" si="1"/>
        <v>1.887132556121716</v>
      </c>
      <c r="Z5" s="183">
        <f t="shared" si="1"/>
        <v>1.7520428218873678</v>
      </c>
      <c r="AA5" s="183">
        <f t="shared" si="1"/>
        <v>1.6363033326963081</v>
      </c>
      <c r="AB5" s="183">
        <f t="shared" si="1"/>
        <v>1.5038233417950189</v>
      </c>
      <c r="AC5" s="183">
        <f t="shared" si="1"/>
        <v>1.3967365824772415</v>
      </c>
      <c r="AD5" s="183">
        <f t="shared" si="1"/>
        <v>1.2611679354885479</v>
      </c>
      <c r="AE5" s="183">
        <f t="shared" si="1"/>
        <v>1.1948509615627088</v>
      </c>
      <c r="AF5" s="183">
        <f t="shared" si="1"/>
        <v>1.1232769428995866</v>
      </c>
      <c r="AG5" s="183">
        <f t="shared" si="1"/>
        <v>1.0652761311561965</v>
      </c>
      <c r="AH5" s="183">
        <f t="shared" si="1"/>
        <v>1</v>
      </c>
      <c r="AI5" s="183">
        <f t="shared" si="1"/>
        <v>0.92428707269417931</v>
      </c>
      <c r="AJ5" s="183">
        <f t="shared" si="1"/>
        <v>0.84637290664892695</v>
      </c>
      <c r="AK5" s="183">
        <f t="shared" si="1"/>
        <v>0.78855747900443329</v>
      </c>
      <c r="AL5" s="183">
        <f t="shared" si="1"/>
        <v>0.72936135971277827</v>
      </c>
      <c r="AM5" s="93"/>
    </row>
    <row r="6" spans="2:39">
      <c r="B6" s="430" t="s">
        <v>1622</v>
      </c>
      <c r="C6" s="430" t="s">
        <v>1626</v>
      </c>
      <c r="D6" s="430">
        <v>690</v>
      </c>
      <c r="E6" s="430">
        <v>966</v>
      </c>
      <c r="F6" s="430">
        <f>E6*AVERAGE([11]Deflator!$LD$77:$LD$332)</f>
        <v>9320.8524695999949</v>
      </c>
      <c r="G6" s="1022">
        <f>D6*(AVERAGE(D$22:$D$28)*Distribution!$AB$3*Distribution!$AE$37/Distribution!$S$37)/1000</f>
        <v>311.22359844303452</v>
      </c>
      <c r="H6" s="430">
        <f>F6*Distribution!$AE$37/Distribution!$Y$37</f>
        <v>11136.024455913972</v>
      </c>
      <c r="R6" s="98" t="s">
        <v>373</v>
      </c>
      <c r="S6" s="93"/>
      <c r="T6" s="93"/>
      <c r="U6" s="93"/>
      <c r="V6" s="93"/>
      <c r="W6" s="93"/>
      <c r="X6" s="93"/>
      <c r="Y6" s="93"/>
      <c r="Z6" s="93"/>
      <c r="AA6" s="93"/>
      <c r="AB6" s="93"/>
      <c r="AC6" s="93"/>
      <c r="AD6" s="93"/>
      <c r="AE6" s="93"/>
      <c r="AF6" s="93"/>
      <c r="AG6" s="93"/>
      <c r="AH6" s="93"/>
      <c r="AI6" s="93"/>
      <c r="AJ6" s="93"/>
      <c r="AK6" s="93"/>
      <c r="AL6" s="93"/>
      <c r="AM6" s="93"/>
    </row>
    <row r="7" spans="2:39">
      <c r="B7" s="430" t="s">
        <v>1622</v>
      </c>
      <c r="C7" s="430" t="s">
        <v>1627</v>
      </c>
      <c r="D7" s="430">
        <v>750</v>
      </c>
      <c r="E7" s="430">
        <v>1050</v>
      </c>
      <c r="F7" s="430">
        <f>E7*AVERAGE([11]Deflator!$LD$77:$LD$332)</f>
        <v>10131.361379999995</v>
      </c>
      <c r="G7" s="1022">
        <f>D7*(AVERAGE(D$22:$D$28)*Distribution!$AB$3*Distribution!$AE$37/Distribution!$S$37)/1000</f>
        <v>338.28652004677667</v>
      </c>
      <c r="H7" s="430">
        <f>F7*Distribution!$AE$37/Distribution!$Y$37</f>
        <v>12104.374408602143</v>
      </c>
      <c r="R7" s="1064" t="s">
        <v>374</v>
      </c>
      <c r="S7" s="93"/>
      <c r="T7" s="93"/>
      <c r="U7" s="93"/>
      <c r="V7" s="93"/>
      <c r="W7" s="93"/>
      <c r="X7" s="93"/>
      <c r="Y7" s="93"/>
      <c r="Z7" s="93"/>
      <c r="AA7" s="93"/>
      <c r="AB7" s="93"/>
      <c r="AC7" s="93"/>
      <c r="AD7" s="93"/>
      <c r="AE7" s="93"/>
      <c r="AF7" s="93"/>
      <c r="AG7" s="93"/>
      <c r="AH7" s="93"/>
      <c r="AI7" s="93"/>
      <c r="AJ7" s="93"/>
      <c r="AK7" s="93"/>
      <c r="AL7" s="93"/>
      <c r="AM7" s="93"/>
    </row>
    <row r="8" spans="2:39">
      <c r="B8" s="430" t="s">
        <v>245</v>
      </c>
      <c r="D8" s="430">
        <f>SUM(D3:D7)</f>
        <v>2480</v>
      </c>
      <c r="F8" s="1023">
        <f>SUM(F3:F7)</f>
        <v>35372.820677599986</v>
      </c>
      <c r="G8" s="1023">
        <f>SUM(G3:G7)</f>
        <v>1118.6007596213417</v>
      </c>
      <c r="R8" s="98" t="s">
        <v>1712</v>
      </c>
      <c r="S8" s="93"/>
      <c r="T8" s="93"/>
      <c r="U8" s="93"/>
      <c r="V8" s="93"/>
      <c r="W8" s="93"/>
      <c r="X8" s="93"/>
      <c r="Y8" s="93"/>
      <c r="Z8" s="93"/>
      <c r="AA8" s="93"/>
      <c r="AB8" s="93"/>
      <c r="AC8" s="93"/>
      <c r="AD8" s="93"/>
      <c r="AE8" s="93"/>
      <c r="AF8" s="93"/>
      <c r="AG8" s="93"/>
      <c r="AH8" s="93"/>
      <c r="AI8" s="93"/>
      <c r="AJ8" s="93"/>
      <c r="AK8" s="93"/>
      <c r="AL8" s="93"/>
      <c r="AM8" s="93"/>
    </row>
    <row r="9" spans="2:39">
      <c r="B9" s="430" t="s">
        <v>1628</v>
      </c>
      <c r="R9" s="93"/>
      <c r="S9" s="93"/>
      <c r="T9" s="93"/>
      <c r="U9" s="93"/>
      <c r="V9" s="93"/>
      <c r="W9" s="93"/>
      <c r="X9" s="93"/>
      <c r="Y9" s="93"/>
      <c r="Z9" s="93"/>
      <c r="AA9" s="93"/>
      <c r="AB9" s="93"/>
      <c r="AC9" s="93"/>
      <c r="AD9" s="93"/>
      <c r="AE9" s="93"/>
      <c r="AF9" s="93"/>
      <c r="AG9" s="93"/>
      <c r="AH9" s="93"/>
      <c r="AI9" s="93"/>
      <c r="AJ9" s="93"/>
      <c r="AK9" s="93"/>
      <c r="AL9" s="93"/>
      <c r="AM9" s="93"/>
    </row>
    <row r="10" spans="2:39">
      <c r="R10" s="98" t="s">
        <v>375</v>
      </c>
      <c r="S10" s="93"/>
      <c r="T10" s="93"/>
      <c r="U10" s="93"/>
      <c r="V10" s="93"/>
      <c r="W10" s="93"/>
      <c r="X10" s="93"/>
      <c r="Y10" s="93"/>
      <c r="Z10" s="93"/>
      <c r="AA10" s="93"/>
      <c r="AB10" s="93"/>
      <c r="AC10" s="93"/>
      <c r="AD10" s="93"/>
      <c r="AE10" s="93"/>
      <c r="AF10" s="93"/>
      <c r="AG10" s="93"/>
      <c r="AH10" s="93"/>
      <c r="AI10" s="93"/>
      <c r="AJ10" s="93"/>
      <c r="AK10" s="93"/>
      <c r="AL10" s="93"/>
      <c r="AM10" s="93"/>
    </row>
    <row r="11" spans="2:39">
      <c r="R11" s="1054"/>
      <c r="S11" s="1063">
        <v>2000</v>
      </c>
      <c r="T11" s="1062" t="s">
        <v>376</v>
      </c>
      <c r="U11" s="1054"/>
      <c r="V11" s="1054"/>
      <c r="W11" s="1054"/>
      <c r="X11" s="1054"/>
      <c r="Y11" s="1054"/>
      <c r="Z11" s="1054"/>
      <c r="AA11" s="1054"/>
      <c r="AB11" s="1054"/>
      <c r="AC11" s="1054"/>
      <c r="AD11" s="1054"/>
      <c r="AE11" s="1054"/>
      <c r="AF11" s="1054"/>
      <c r="AG11" s="1054"/>
      <c r="AH11" s="1054"/>
      <c r="AI11" s="1054"/>
      <c r="AJ11" s="1054"/>
      <c r="AK11" s="1054"/>
      <c r="AL11" s="1054"/>
      <c r="AM11" s="1054"/>
    </row>
    <row r="12" spans="2:39">
      <c r="B12" s="430" t="s">
        <v>1629</v>
      </c>
      <c r="R12" s="98" t="s">
        <v>377</v>
      </c>
      <c r="S12" s="93"/>
      <c r="T12" s="93"/>
      <c r="U12" s="93"/>
      <c r="V12" s="93"/>
      <c r="W12" s="93"/>
      <c r="X12" s="93"/>
      <c r="Y12" s="93"/>
      <c r="Z12" s="93"/>
      <c r="AA12" s="93"/>
      <c r="AB12" s="93"/>
      <c r="AC12" s="93"/>
      <c r="AD12" s="93"/>
      <c r="AE12" s="93"/>
      <c r="AF12" s="93"/>
      <c r="AG12" s="93"/>
      <c r="AH12" s="93"/>
      <c r="AI12" s="93"/>
      <c r="AJ12" s="93"/>
      <c r="AK12" s="93"/>
      <c r="AL12" s="93"/>
      <c r="AM12" s="93"/>
    </row>
    <row r="13" spans="2:39">
      <c r="B13" s="430" t="s">
        <v>1630</v>
      </c>
      <c r="R13" s="1054"/>
      <c r="S13" s="1063">
        <v>2006</v>
      </c>
      <c r="T13" s="1062" t="s">
        <v>376</v>
      </c>
      <c r="U13" s="1054"/>
      <c r="V13" s="1054"/>
      <c r="W13" s="1054"/>
      <c r="X13" s="1054"/>
      <c r="Y13" s="1054"/>
      <c r="Z13" s="1054"/>
      <c r="AA13" s="1054"/>
      <c r="AB13" s="1054"/>
      <c r="AC13" s="1054"/>
      <c r="AD13" s="1054"/>
      <c r="AE13" s="1054"/>
      <c r="AF13" s="1054"/>
      <c r="AG13" s="1054"/>
      <c r="AH13" s="1054"/>
      <c r="AI13" s="1054"/>
      <c r="AJ13" s="1054"/>
      <c r="AK13" s="1054"/>
      <c r="AL13" s="1054"/>
      <c r="AM13" s="1054"/>
    </row>
    <row r="14" spans="2:39">
      <c r="B14" s="430" t="s">
        <v>1631</v>
      </c>
      <c r="R14" s="98" t="s">
        <v>378</v>
      </c>
      <c r="S14" s="93"/>
      <c r="T14" s="93"/>
      <c r="U14" s="93"/>
      <c r="V14" s="93"/>
      <c r="W14" s="93"/>
      <c r="X14" s="93"/>
      <c r="Y14" s="93"/>
      <c r="Z14" s="93"/>
      <c r="AA14" s="93"/>
      <c r="AB14" s="93"/>
      <c r="AC14" s="93"/>
      <c r="AD14" s="93"/>
      <c r="AE14" s="93"/>
      <c r="AF14" s="93"/>
      <c r="AG14" s="93"/>
      <c r="AH14" s="93"/>
      <c r="AI14" s="93"/>
      <c r="AJ14" s="93"/>
      <c r="AK14" s="93"/>
      <c r="AL14" s="93"/>
      <c r="AM14" s="93"/>
    </row>
    <row r="15" spans="2:39">
      <c r="B15" s="430" t="s">
        <v>1632</v>
      </c>
      <c r="R15" s="98" t="s">
        <v>379</v>
      </c>
      <c r="S15" s="1061">
        <f>1/S16</f>
        <v>1.5038233417950189</v>
      </c>
      <c r="T15" s="93"/>
      <c r="U15" s="93"/>
      <c r="V15" s="93"/>
      <c r="W15" s="93"/>
      <c r="X15" s="93"/>
      <c r="Y15" s="93"/>
      <c r="Z15" s="93"/>
      <c r="AA15" s="93"/>
      <c r="AB15" s="93"/>
      <c r="AC15" s="93"/>
      <c r="AD15" s="93"/>
      <c r="AE15" s="93"/>
      <c r="AF15" s="93"/>
      <c r="AG15" s="93"/>
      <c r="AH15" s="93"/>
      <c r="AI15" s="93"/>
      <c r="AJ15" s="93"/>
      <c r="AK15" s="93"/>
      <c r="AL15" s="93"/>
      <c r="AM15" s="93"/>
    </row>
    <row r="16" spans="2:39">
      <c r="R16" s="98" t="s">
        <v>380</v>
      </c>
      <c r="S16" s="1060">
        <f>SUMIF($S$2:$AL$2,S11,$S$4:$AL$4)</f>
        <v>0.66497172387706338</v>
      </c>
      <c r="T16" s="93"/>
      <c r="U16" s="93"/>
      <c r="V16" s="93"/>
      <c r="W16" s="93"/>
      <c r="X16" s="93"/>
      <c r="Y16" s="93"/>
      <c r="Z16" s="93"/>
      <c r="AA16" s="93"/>
      <c r="AB16" s="93"/>
      <c r="AC16" s="93"/>
      <c r="AD16" s="93"/>
      <c r="AE16" s="93"/>
      <c r="AF16" s="93"/>
      <c r="AG16" s="93"/>
      <c r="AH16" s="93"/>
      <c r="AI16" s="93"/>
      <c r="AJ16" s="93"/>
      <c r="AK16" s="93"/>
      <c r="AL16" s="93"/>
      <c r="AM16" s="93"/>
    </row>
    <row r="17" spans="1:40">
      <c r="A17" s="1213">
        <v>2.54</v>
      </c>
      <c r="R17" s="93"/>
      <c r="S17" s="93"/>
      <c r="T17" s="93"/>
      <c r="U17" s="93"/>
      <c r="V17" s="93"/>
      <c r="W17" s="93"/>
      <c r="X17" s="93"/>
      <c r="Y17" s="93"/>
      <c r="Z17" s="93"/>
      <c r="AA17" s="93"/>
      <c r="AB17" s="93"/>
      <c r="AC17" s="93"/>
      <c r="AD17" s="93"/>
      <c r="AE17" s="93"/>
      <c r="AF17" s="93"/>
      <c r="AG17" s="93"/>
      <c r="AH17" s="93"/>
      <c r="AI17" s="93"/>
      <c r="AJ17" s="93"/>
      <c r="AK17" s="93"/>
      <c r="AL17" s="93"/>
      <c r="AM17" s="93"/>
    </row>
    <row r="18" spans="1:40">
      <c r="R18" s="98" t="s">
        <v>381</v>
      </c>
      <c r="S18" s="93"/>
      <c r="T18" s="93"/>
      <c r="U18" s="93"/>
      <c r="V18" s="93"/>
      <c r="W18" s="93"/>
      <c r="X18" s="93"/>
      <c r="Y18" s="93"/>
      <c r="Z18" s="93"/>
      <c r="AA18" s="93"/>
      <c r="AB18" s="93"/>
      <c r="AC18" s="93"/>
      <c r="AD18" s="93"/>
      <c r="AE18" s="93"/>
      <c r="AF18" s="93"/>
      <c r="AG18" s="93"/>
      <c r="AH18" s="93"/>
      <c r="AI18" s="93"/>
      <c r="AJ18" s="93"/>
      <c r="AK18" s="93"/>
      <c r="AL18" s="93"/>
      <c r="AM18" s="93"/>
    </row>
    <row r="19" spans="1:40" ht="24">
      <c r="C19" s="610" t="s">
        <v>1633</v>
      </c>
      <c r="E19" s="610"/>
      <c r="F19" s="610"/>
      <c r="G19" s="610"/>
      <c r="H19" s="610"/>
      <c r="R19" s="1055" t="s">
        <v>371</v>
      </c>
      <c r="S19" s="179">
        <v>1991</v>
      </c>
      <c r="T19" s="179">
        <v>1992</v>
      </c>
      <c r="U19" s="179">
        <v>1993</v>
      </c>
      <c r="V19" s="179">
        <v>1994</v>
      </c>
      <c r="W19" s="179">
        <v>1995</v>
      </c>
      <c r="X19" s="179">
        <v>1996</v>
      </c>
      <c r="Y19" s="179">
        <v>1997</v>
      </c>
      <c r="Z19" s="179">
        <v>1998</v>
      </c>
      <c r="AA19" s="179">
        <v>1999</v>
      </c>
      <c r="AB19" s="179">
        <v>2000</v>
      </c>
      <c r="AC19" s="179">
        <v>2001</v>
      </c>
      <c r="AD19" s="179">
        <v>2002</v>
      </c>
      <c r="AE19" s="179">
        <v>2003</v>
      </c>
      <c r="AF19" s="179">
        <v>2004</v>
      </c>
      <c r="AG19" s="179">
        <v>2005</v>
      </c>
      <c r="AH19" s="179">
        <v>2006</v>
      </c>
      <c r="AI19" s="179">
        <v>2007</v>
      </c>
      <c r="AJ19" s="179">
        <v>2008</v>
      </c>
      <c r="AK19" s="179">
        <v>2009</v>
      </c>
      <c r="AL19" s="179">
        <v>2010</v>
      </c>
      <c r="AM19" s="1054"/>
    </row>
    <row r="20" spans="1:40" ht="24">
      <c r="C20" s="1024" t="s">
        <v>1634</v>
      </c>
      <c r="D20" s="581" t="s">
        <v>1635</v>
      </c>
      <c r="E20" s="581" t="s">
        <v>1636</v>
      </c>
      <c r="F20" s="581" t="s">
        <v>733</v>
      </c>
      <c r="G20" s="581" t="s">
        <v>1777</v>
      </c>
      <c r="H20" s="610" t="s">
        <v>1637</v>
      </c>
      <c r="I20" s="6" t="s">
        <v>1638</v>
      </c>
      <c r="J20" s="6">
        <v>38.520000000000003</v>
      </c>
      <c r="R20" s="1053" t="s">
        <v>382</v>
      </c>
      <c r="S20" s="1059">
        <v>3.3994252378249699</v>
      </c>
      <c r="T20" s="1059">
        <v>2.1054788150436798</v>
      </c>
      <c r="U20" s="1059">
        <v>2.1924332890308</v>
      </c>
      <c r="V20" s="1059">
        <v>2.0360309460728101</v>
      </c>
      <c r="W20" s="1059">
        <v>2.3263787079223999</v>
      </c>
      <c r="X20" s="1059">
        <v>1.7717629484628601</v>
      </c>
      <c r="Y20" s="1059">
        <v>1.9273567571815799</v>
      </c>
      <c r="Z20" s="1059">
        <v>1.4055393887866201</v>
      </c>
      <c r="AA20" s="1059">
        <v>1.46557115641922</v>
      </c>
      <c r="AB20" s="1059">
        <v>2.1635805504784602</v>
      </c>
      <c r="AC20" s="1059">
        <v>2.2671398465768702</v>
      </c>
      <c r="AD20" s="1059">
        <v>1.6245670393856999</v>
      </c>
      <c r="AE20" s="1059">
        <v>2.1553754412521502</v>
      </c>
      <c r="AF20" s="1059">
        <v>2.8345692622040302</v>
      </c>
      <c r="AG20" s="1059">
        <v>3.33465966170388</v>
      </c>
      <c r="AH20" s="1059">
        <v>3.2525297973129899</v>
      </c>
      <c r="AI20" s="1059">
        <v>2.9410667446596199</v>
      </c>
      <c r="AJ20" s="1059">
        <v>2.1781516163835</v>
      </c>
      <c r="AK20" s="1059">
        <v>0.92363494772816102</v>
      </c>
      <c r="AL20" s="1059">
        <v>0.95304869092815603</v>
      </c>
      <c r="AM20" s="93"/>
    </row>
    <row r="21" spans="1:40">
      <c r="C21" s="581" t="s">
        <v>1639</v>
      </c>
      <c r="D21" s="581" t="s">
        <v>1640</v>
      </c>
      <c r="E21" s="581" t="s">
        <v>1641</v>
      </c>
      <c r="F21" s="581" t="s">
        <v>700</v>
      </c>
      <c r="G21" s="581">
        <v>1</v>
      </c>
      <c r="H21" s="580" t="s">
        <v>1642</v>
      </c>
      <c r="I21" s="6"/>
      <c r="R21" s="1058">
        <v>2005</v>
      </c>
      <c r="S21" s="187">
        <f t="shared" ref="S21:AL21" si="2">IF(S19=$R$21,1,IF(S19&lt;$R21,T21/(1+T20/100),R21*(S20/100+1)))</f>
        <v>0.74613139409322993</v>
      </c>
      <c r="T21" s="187">
        <f t="shared" si="2"/>
        <v>0.76184103252825297</v>
      </c>
      <c r="U21" s="187">
        <f t="shared" si="2"/>
        <v>0.77854388893489834</v>
      </c>
      <c r="V21" s="187">
        <f t="shared" si="2"/>
        <v>0.79439528344237154</v>
      </c>
      <c r="W21" s="187">
        <f t="shared" si="2"/>
        <v>0.81287592617311466</v>
      </c>
      <c r="X21" s="187">
        <f t="shared" si="2"/>
        <v>0.82727816065002424</v>
      </c>
      <c r="Y21" s="187">
        <f t="shared" si="2"/>
        <v>0.84322276218000003</v>
      </c>
      <c r="Z21" s="187">
        <f t="shared" si="2"/>
        <v>0.85507459023765453</v>
      </c>
      <c r="AA21" s="187">
        <f t="shared" si="2"/>
        <v>0.86760631679804734</v>
      </c>
      <c r="AB21" s="187">
        <f t="shared" si="2"/>
        <v>0.88637767832301229</v>
      </c>
      <c r="AC21" s="187">
        <f t="shared" si="2"/>
        <v>0.90647309985943625</v>
      </c>
      <c r="AD21" s="187">
        <f t="shared" si="2"/>
        <v>0.92119936306065042</v>
      </c>
      <c r="AE21" s="187">
        <f t="shared" si="2"/>
        <v>0.94105466789703096</v>
      </c>
      <c r="AF21" s="187">
        <f t="shared" si="2"/>
        <v>0.9677295142537764</v>
      </c>
      <c r="AG21" s="187">
        <f t="shared" si="2"/>
        <v>1</v>
      </c>
      <c r="AH21" s="187">
        <f t="shared" si="2"/>
        <v>1.0325252979731299</v>
      </c>
      <c r="AI21" s="187">
        <f t="shared" si="2"/>
        <v>1.0628925561420153</v>
      </c>
      <c r="AJ21" s="187">
        <f t="shared" si="2"/>
        <v>1.0860439675340425</v>
      </c>
      <c r="AK21" s="187">
        <f t="shared" si="2"/>
        <v>1.0960750491658804</v>
      </c>
      <c r="AL21" s="187">
        <f t="shared" si="2"/>
        <v>1.106521178073546</v>
      </c>
      <c r="AM21" s="93"/>
    </row>
    <row r="22" spans="1:40">
      <c r="C22" s="581">
        <f t="shared" ref="C22:C28" si="3">D22*inchtocentimetre</f>
        <v>50.8</v>
      </c>
      <c r="D22" s="1025">
        <v>20</v>
      </c>
      <c r="E22" s="1025">
        <v>2</v>
      </c>
      <c r="F22" s="1026">
        <f t="shared" ref="F22:F28" si="4">E22*$J$20</f>
        <v>77.040000000000006</v>
      </c>
      <c r="G22" s="1026">
        <v>1</v>
      </c>
      <c r="H22" s="1027">
        <f t="shared" ref="H22:H28" si="5">$F$8/(F22*G22)</f>
        <v>459.14876268951173</v>
      </c>
      <c r="R22" s="1058" t="s">
        <v>372</v>
      </c>
      <c r="S22" s="187">
        <f t="shared" ref="S22:AL22" si="6">1/S21</f>
        <v>1.3402465141080082</v>
      </c>
      <c r="T22" s="187">
        <f t="shared" si="6"/>
        <v>1.3126097929923652</v>
      </c>
      <c r="U22" s="187">
        <f t="shared" si="6"/>
        <v>1.2844491032715817</v>
      </c>
      <c r="V22" s="187">
        <f t="shared" si="6"/>
        <v>1.2588191557063089</v>
      </c>
      <c r="W22" s="187">
        <f t="shared" si="6"/>
        <v>1.2302000438219822</v>
      </c>
      <c r="X22" s="187">
        <f t="shared" si="6"/>
        <v>1.2087832697218328</v>
      </c>
      <c r="Y22" s="187">
        <f t="shared" si="6"/>
        <v>1.1859262401962214</v>
      </c>
      <c r="Z22" s="187">
        <f t="shared" si="6"/>
        <v>1.1694886170363987</v>
      </c>
      <c r="AA22" s="187">
        <f t="shared" si="6"/>
        <v>1.1525964952520855</v>
      </c>
      <c r="AB22" s="187">
        <f t="shared" si="6"/>
        <v>1.1281872552250596</v>
      </c>
      <c r="AC22" s="187">
        <f t="shared" si="6"/>
        <v>1.1031766967547814</v>
      </c>
      <c r="AD22" s="187">
        <f t="shared" si="6"/>
        <v>1.0855413497872355</v>
      </c>
      <c r="AE22" s="187">
        <f t="shared" si="6"/>
        <v>1.0626375216167769</v>
      </c>
      <c r="AF22" s="187">
        <f t="shared" si="6"/>
        <v>1.0333465966170388</v>
      </c>
      <c r="AG22" s="187">
        <f t="shared" si="6"/>
        <v>1</v>
      </c>
      <c r="AH22" s="187">
        <f t="shared" si="6"/>
        <v>0.96849927257280988</v>
      </c>
      <c r="AI22" s="187">
        <f t="shared" si="6"/>
        <v>0.94082886762299234</v>
      </c>
      <c r="AJ22" s="187">
        <f t="shared" si="6"/>
        <v>0.92077303488051887</v>
      </c>
      <c r="AK22" s="187">
        <f t="shared" si="6"/>
        <v>0.91234628574111409</v>
      </c>
      <c r="AL22" s="187">
        <f t="shared" si="6"/>
        <v>0.90373326766415851</v>
      </c>
      <c r="AM22" s="93"/>
    </row>
    <row r="23" spans="1:40">
      <c r="C23" s="581">
        <f t="shared" si="3"/>
        <v>60.96</v>
      </c>
      <c r="D23" s="1025">
        <v>24</v>
      </c>
      <c r="E23" s="1025">
        <v>3.2</v>
      </c>
      <c r="F23" s="1026">
        <f t="shared" si="4"/>
        <v>123.26400000000001</v>
      </c>
      <c r="G23" s="1026">
        <v>1</v>
      </c>
      <c r="H23" s="1027">
        <f t="shared" si="5"/>
        <v>286.96797668094484</v>
      </c>
      <c r="R23" s="93"/>
      <c r="S23" s="1056"/>
      <c r="T23" s="1056"/>
      <c r="U23" s="1056"/>
      <c r="V23" s="1056"/>
      <c r="W23" s="1056"/>
      <c r="X23" s="1056"/>
      <c r="Y23" s="1056"/>
      <c r="Z23" s="1056"/>
      <c r="AA23" s="1056"/>
      <c r="AB23" s="1056"/>
      <c r="AC23" s="1056"/>
      <c r="AD23" s="1056"/>
      <c r="AE23" s="1056"/>
      <c r="AF23" s="1056"/>
      <c r="AG23" s="1056"/>
      <c r="AH23" s="1056"/>
      <c r="AI23" s="1056"/>
      <c r="AJ23" s="1056"/>
      <c r="AK23" s="1056"/>
      <c r="AL23" s="1056"/>
      <c r="AM23" s="93"/>
    </row>
    <row r="24" spans="1:40">
      <c r="C24" s="581">
        <f t="shared" si="3"/>
        <v>71.12</v>
      </c>
      <c r="D24" s="1025">
        <v>28</v>
      </c>
      <c r="E24" s="1025">
        <v>4.7</v>
      </c>
      <c r="F24" s="1026">
        <f t="shared" si="4"/>
        <v>181.04400000000001</v>
      </c>
      <c r="G24" s="1026">
        <v>1</v>
      </c>
      <c r="H24" s="1027">
        <f t="shared" si="5"/>
        <v>195.38245220830285</v>
      </c>
      <c r="R24" s="1057" t="s">
        <v>383</v>
      </c>
      <c r="S24" s="1056"/>
      <c r="T24" s="1056"/>
      <c r="U24" s="1056"/>
      <c r="V24" s="1056"/>
      <c r="W24" s="1056"/>
      <c r="X24" s="1056"/>
      <c r="Y24" s="1056"/>
      <c r="Z24" s="1056"/>
      <c r="AA24" s="1056"/>
      <c r="AB24" s="1056"/>
      <c r="AC24" s="1056"/>
      <c r="AD24" s="1056"/>
      <c r="AE24" s="1056"/>
      <c r="AF24" s="1056"/>
      <c r="AG24" s="1056"/>
      <c r="AH24" s="1056"/>
      <c r="AI24" s="1056"/>
      <c r="AJ24" s="1056"/>
      <c r="AK24" s="1056"/>
      <c r="AL24" s="1056"/>
      <c r="AM24" s="93"/>
    </row>
    <row r="25" spans="1:40" ht="24">
      <c r="C25" s="581">
        <f t="shared" si="3"/>
        <v>81.28</v>
      </c>
      <c r="D25" s="1025">
        <v>32</v>
      </c>
      <c r="E25" s="1025">
        <v>6.6</v>
      </c>
      <c r="F25" s="1026">
        <f t="shared" si="4"/>
        <v>254.232</v>
      </c>
      <c r="G25" s="1026">
        <v>1</v>
      </c>
      <c r="H25" s="1027">
        <f t="shared" si="5"/>
        <v>139.13598869379143</v>
      </c>
      <c r="R25" s="1055" t="s">
        <v>371</v>
      </c>
      <c r="S25" s="179">
        <v>1991</v>
      </c>
      <c r="T25" s="179">
        <v>1992</v>
      </c>
      <c r="U25" s="179">
        <v>1993</v>
      </c>
      <c r="V25" s="179">
        <v>1994</v>
      </c>
      <c r="W25" s="179">
        <v>1995</v>
      </c>
      <c r="X25" s="179">
        <v>1996</v>
      </c>
      <c r="Y25" s="179">
        <v>1997</v>
      </c>
      <c r="Z25" s="179">
        <v>1998</v>
      </c>
      <c r="AA25" s="179">
        <v>1999</v>
      </c>
      <c r="AB25" s="179">
        <v>2000</v>
      </c>
      <c r="AC25" s="179">
        <v>2001</v>
      </c>
      <c r="AD25" s="179">
        <v>2002</v>
      </c>
      <c r="AE25" s="179">
        <v>2003</v>
      </c>
      <c r="AF25" s="179">
        <v>2004</v>
      </c>
      <c r="AG25" s="179">
        <v>2005</v>
      </c>
      <c r="AH25" s="179">
        <v>2006</v>
      </c>
      <c r="AI25" s="179">
        <v>2007</v>
      </c>
      <c r="AJ25" s="179">
        <v>2008</v>
      </c>
      <c r="AK25" s="179">
        <v>2009</v>
      </c>
      <c r="AL25" s="179">
        <v>2010</v>
      </c>
      <c r="AM25" s="179">
        <v>2011</v>
      </c>
      <c r="AN25" s="179">
        <v>2012</v>
      </c>
    </row>
    <row r="26" spans="1:40" ht="24">
      <c r="C26" s="581">
        <f t="shared" si="3"/>
        <v>91.44</v>
      </c>
      <c r="D26" s="1025">
        <v>36</v>
      </c>
      <c r="E26" s="1025">
        <v>9</v>
      </c>
      <c r="F26" s="1026">
        <f t="shared" si="4"/>
        <v>346.68</v>
      </c>
      <c r="G26" s="1026">
        <v>1</v>
      </c>
      <c r="H26" s="1027">
        <f t="shared" si="5"/>
        <v>102.03305837544706</v>
      </c>
      <c r="R26" s="1053" t="s">
        <v>239</v>
      </c>
      <c r="S26" s="1059">
        <v>2.7613150000000002</v>
      </c>
      <c r="T26" s="1059">
        <v>2.8520141666666698</v>
      </c>
      <c r="U26" s="1059">
        <v>3.2677415833333301</v>
      </c>
      <c r="V26" s="1059">
        <v>3.5507983333333302</v>
      </c>
      <c r="W26" s="1059">
        <v>3.6270850000000001</v>
      </c>
      <c r="X26" s="1059">
        <v>4.2993491666666701</v>
      </c>
      <c r="Y26" s="1059">
        <v>4.6079616666666698</v>
      </c>
      <c r="Z26" s="1059">
        <v>5.52828416666667</v>
      </c>
      <c r="AA26" s="1059">
        <v>6.1094841666666699</v>
      </c>
      <c r="AB26" s="1059">
        <v>6.9398283333333302</v>
      </c>
      <c r="AC26" s="1059">
        <v>8.6091808333333297</v>
      </c>
      <c r="AD26" s="1059">
        <v>10.540746666666699</v>
      </c>
      <c r="AE26" s="1059">
        <v>7.5647491666666697</v>
      </c>
      <c r="AF26" s="1059">
        <v>6.4596925000000001</v>
      </c>
      <c r="AG26" s="1059">
        <v>6.3593283333333304</v>
      </c>
      <c r="AH26" s="1059">
        <v>6.7715491666666701</v>
      </c>
      <c r="AI26" s="1059">
        <v>7.0453650000000003</v>
      </c>
      <c r="AJ26" s="1059">
        <v>8.26122333333333</v>
      </c>
      <c r="AK26" s="1059">
        <v>8.4736741582488797</v>
      </c>
      <c r="AL26" s="1059">
        <v>7.3212219611528804</v>
      </c>
      <c r="AM26" s="1059">
        <v>7.2087538461538481</v>
      </c>
      <c r="AN26" s="1059">
        <v>8.1955830188679251</v>
      </c>
    </row>
    <row r="27" spans="1:40">
      <c r="C27" s="581">
        <f t="shared" si="3"/>
        <v>101.6</v>
      </c>
      <c r="D27" s="1025">
        <v>40</v>
      </c>
      <c r="E27" s="1025">
        <v>11.7</v>
      </c>
      <c r="F27" s="1026">
        <f t="shared" si="4"/>
        <v>450.68400000000003</v>
      </c>
      <c r="G27" s="1026">
        <v>1</v>
      </c>
      <c r="H27" s="1027">
        <f t="shared" si="5"/>
        <v>78.486967981113111</v>
      </c>
      <c r="R27" s="1058">
        <v>2005</v>
      </c>
      <c r="S27" s="187">
        <f t="shared" ref="S27:AL27" si="7">IF(S25=$R$27,1,IF(S25&lt;$R27,T27/(1+T26/100),R27*(S26/100+1)))</f>
        <v>0.45926906270745477</v>
      </c>
      <c r="T27" s="187">
        <f t="shared" si="7"/>
        <v>0.4723674814389886</v>
      </c>
      <c r="U27" s="187">
        <f t="shared" si="7"/>
        <v>0.48780323005611481</v>
      </c>
      <c r="V27" s="187">
        <f t="shared" si="7"/>
        <v>0.50512413901889353</v>
      </c>
      <c r="W27" s="187">
        <f t="shared" si="7"/>
        <v>0.52344542089662693</v>
      </c>
      <c r="X27" s="187">
        <f t="shared" si="7"/>
        <v>0.54595016723790091</v>
      </c>
      <c r="Y27" s="187">
        <f t="shared" si="7"/>
        <v>0.57110734166332588</v>
      </c>
      <c r="Z27" s="187">
        <f t="shared" si="7"/>
        <v>0.60267977840717046</v>
      </c>
      <c r="AA27" s="187">
        <f t="shared" si="7"/>
        <v>0.63950040404465835</v>
      </c>
      <c r="AB27" s="187">
        <f t="shared" si="7"/>
        <v>0.68388063427633072</v>
      </c>
      <c r="AC27" s="187">
        <f t="shared" si="7"/>
        <v>0.742757154765327</v>
      </c>
      <c r="AD27" s="187">
        <f t="shared" si="7"/>
        <v>0.82104930479768157</v>
      </c>
      <c r="AE27" s="187">
        <f t="shared" si="7"/>
        <v>0.88315962524028668</v>
      </c>
      <c r="AF27" s="187">
        <f t="shared" si="7"/>
        <v>0.94020902131496165</v>
      </c>
      <c r="AG27" s="187">
        <f t="shared" si="7"/>
        <v>1</v>
      </c>
      <c r="AH27" s="187">
        <f t="shared" si="7"/>
        <v>1.0677154916666667</v>
      </c>
      <c r="AI27" s="187">
        <f t="shared" si="7"/>
        <v>1.142939945216128</v>
      </c>
      <c r="AJ27" s="187">
        <f t="shared" si="7"/>
        <v>1.2373607666563098</v>
      </c>
      <c r="AK27" s="187">
        <f t="shared" si="7"/>
        <v>1.3422106861847758</v>
      </c>
      <c r="AL27" s="187">
        <f t="shared" si="7"/>
        <v>1.4404769097066763</v>
      </c>
      <c r="AM27" s="93"/>
    </row>
    <row r="28" spans="1:40">
      <c r="C28" s="581">
        <f t="shared" si="3"/>
        <v>111.76</v>
      </c>
      <c r="D28" s="1025">
        <v>44</v>
      </c>
      <c r="E28" s="1025">
        <v>14.9</v>
      </c>
      <c r="F28" s="1026">
        <f t="shared" si="4"/>
        <v>573.94800000000009</v>
      </c>
      <c r="G28" s="1026">
        <v>1</v>
      </c>
      <c r="H28" s="1027">
        <f t="shared" si="5"/>
        <v>61.63070640127674</v>
      </c>
      <c r="R28" s="1058" t="s">
        <v>372</v>
      </c>
      <c r="S28" s="187">
        <f t="shared" ref="S28:AL28" si="8">1/S27</f>
        <v>2.1773728761629654</v>
      </c>
      <c r="T28" s="187">
        <f t="shared" si="8"/>
        <v>2.1169958544852983</v>
      </c>
      <c r="U28" s="187">
        <f t="shared" si="8"/>
        <v>2.0500069257125753</v>
      </c>
      <c r="V28" s="187">
        <f t="shared" si="8"/>
        <v>1.9797113674715836</v>
      </c>
      <c r="W28" s="187">
        <f t="shared" si="8"/>
        <v>1.9104188518586465</v>
      </c>
      <c r="X28" s="187">
        <f t="shared" si="8"/>
        <v>1.8316690057249205</v>
      </c>
      <c r="Y28" s="187">
        <f t="shared" si="8"/>
        <v>1.7509843194933241</v>
      </c>
      <c r="Z28" s="187">
        <f t="shared" si="8"/>
        <v>1.6592559362832977</v>
      </c>
      <c r="AA28" s="187">
        <f t="shared" si="8"/>
        <v>1.563720669565311</v>
      </c>
      <c r="AB28" s="187">
        <f t="shared" si="8"/>
        <v>1.4622434820927204</v>
      </c>
      <c r="AC28" s="187">
        <f t="shared" si="8"/>
        <v>1.3463350619839516</v>
      </c>
      <c r="AD28" s="187">
        <f t="shared" si="8"/>
        <v>1.2179536529129813</v>
      </c>
      <c r="AE28" s="187">
        <f t="shared" si="8"/>
        <v>1.1322981388873203</v>
      </c>
      <c r="AF28" s="187">
        <f t="shared" si="8"/>
        <v>1.0635932833333333</v>
      </c>
      <c r="AG28" s="187">
        <f t="shared" si="8"/>
        <v>1</v>
      </c>
      <c r="AH28" s="187">
        <f t="shared" si="8"/>
        <v>0.93657908666196721</v>
      </c>
      <c r="AI28" s="187">
        <f t="shared" si="8"/>
        <v>0.87493660903670811</v>
      </c>
      <c r="AJ28" s="187">
        <f t="shared" si="8"/>
        <v>0.80817173693188604</v>
      </c>
      <c r="AK28" s="187">
        <f t="shared" si="8"/>
        <v>0.74503951599617557</v>
      </c>
      <c r="AL28" s="187">
        <f t="shared" si="8"/>
        <v>0.69421452941139439</v>
      </c>
      <c r="AM28" s="93"/>
    </row>
    <row r="29" spans="1:40">
      <c r="C29" s="610"/>
      <c r="D29" s="1832" t="s">
        <v>1013</v>
      </c>
      <c r="E29" s="1832"/>
      <c r="F29" s="1028">
        <f>AVERAGE(F22:F28)</f>
        <v>286.69885714285715</v>
      </c>
      <c r="G29" s="1028">
        <v>1</v>
      </c>
      <c r="H29" s="1029">
        <f>G8/F29</f>
        <v>3.9016575467685315</v>
      </c>
      <c r="I29" s="1030">
        <f>AVERAGE(H22:H28)</f>
        <v>188.96941614719825</v>
      </c>
      <c r="K29" s="430" t="s">
        <v>1643</v>
      </c>
      <c r="R29" s="93"/>
      <c r="S29" s="1056"/>
      <c r="T29" s="1056"/>
      <c r="U29" s="1056"/>
      <c r="V29" s="1056"/>
      <c r="W29" s="1056"/>
      <c r="X29" s="1056"/>
      <c r="Y29" s="1056"/>
      <c r="Z29" s="1056"/>
      <c r="AA29" s="1056"/>
      <c r="AB29" s="1056"/>
      <c r="AC29" s="1056"/>
      <c r="AD29" s="1056"/>
      <c r="AE29" s="1056"/>
      <c r="AF29" s="1056"/>
      <c r="AG29" s="1056"/>
      <c r="AH29" s="1056"/>
      <c r="AI29" s="1056"/>
      <c r="AJ29" s="1056"/>
      <c r="AK29" s="1056"/>
      <c r="AL29" s="1056"/>
      <c r="AM29" s="93"/>
    </row>
    <row r="30" spans="1:40">
      <c r="R30" s="1057" t="s">
        <v>384</v>
      </c>
      <c r="S30" s="1056"/>
      <c r="T30" s="1056"/>
      <c r="U30" s="1056"/>
      <c r="V30" s="1056"/>
      <c r="W30" s="1056"/>
      <c r="X30" s="1056"/>
      <c r="Y30" s="1056"/>
      <c r="Z30" s="1056"/>
      <c r="AA30" s="1056"/>
      <c r="AB30" s="1056"/>
      <c r="AC30" s="1056"/>
      <c r="AD30" s="1056"/>
      <c r="AE30" s="1056"/>
      <c r="AF30" s="1056"/>
      <c r="AG30" s="1056"/>
      <c r="AH30" s="1056"/>
      <c r="AI30" s="1056"/>
      <c r="AJ30" s="1056"/>
      <c r="AK30" s="1056"/>
      <c r="AL30" s="1056"/>
      <c r="AM30" s="93"/>
    </row>
    <row r="31" spans="1:40" ht="24">
      <c r="R31" s="1055" t="s">
        <v>371</v>
      </c>
      <c r="S31" s="179">
        <v>1991</v>
      </c>
      <c r="T31" s="179">
        <v>1992</v>
      </c>
      <c r="U31" s="179">
        <v>1993</v>
      </c>
      <c r="V31" s="179">
        <v>1994</v>
      </c>
      <c r="W31" s="179">
        <v>1995</v>
      </c>
      <c r="X31" s="179">
        <v>1996</v>
      </c>
      <c r="Y31" s="179">
        <v>1997</v>
      </c>
      <c r="Z31" s="179">
        <v>1998</v>
      </c>
      <c r="AA31" s="179">
        <v>1999</v>
      </c>
      <c r="AB31" s="179">
        <v>2000</v>
      </c>
      <c r="AC31" s="179">
        <v>2001</v>
      </c>
      <c r="AD31" s="179">
        <v>2002</v>
      </c>
      <c r="AE31" s="179">
        <v>2003</v>
      </c>
      <c r="AF31" s="179">
        <v>2004</v>
      </c>
      <c r="AG31" s="179">
        <v>2005</v>
      </c>
      <c r="AH31" s="179">
        <v>2006</v>
      </c>
      <c r="AI31" s="179">
        <v>2007</v>
      </c>
      <c r="AJ31" s="179">
        <v>2008</v>
      </c>
      <c r="AK31" s="179">
        <v>2009</v>
      </c>
      <c r="AL31" s="179">
        <v>2010</v>
      </c>
      <c r="AM31" s="1054"/>
    </row>
    <row r="32" spans="1:40" ht="24">
      <c r="A32" s="430" t="s">
        <v>1644</v>
      </c>
      <c r="R32" s="1053" t="s">
        <v>239</v>
      </c>
      <c r="S32" s="181">
        <v>120.919166666666</v>
      </c>
      <c r="T32" s="181">
        <v>124.9175</v>
      </c>
      <c r="U32" s="181">
        <v>122.595</v>
      </c>
      <c r="V32" s="181">
        <v>117.354166666667</v>
      </c>
      <c r="W32" s="181">
        <v>114.07250000000001</v>
      </c>
      <c r="X32" s="181">
        <v>105.07</v>
      </c>
      <c r="Y32" s="181">
        <v>110.886666666667</v>
      </c>
      <c r="Z32" s="181">
        <v>101.948333333333</v>
      </c>
      <c r="AA32" s="181">
        <v>96.432500000000005</v>
      </c>
      <c r="AB32" s="181">
        <v>93.360833333333304</v>
      </c>
      <c r="AC32" s="181">
        <v>82.358333333333306</v>
      </c>
      <c r="AD32" s="181">
        <v>70.561666666666696</v>
      </c>
      <c r="AE32" s="181">
        <v>91.406666666666695</v>
      </c>
      <c r="AF32" s="181">
        <v>99.689166666666793</v>
      </c>
      <c r="AG32" s="181">
        <v>100</v>
      </c>
      <c r="AH32" s="181">
        <v>96.115833333333299</v>
      </c>
      <c r="AI32" s="181">
        <v>90.378333333333302</v>
      </c>
      <c r="AJ32" s="181">
        <v>80.405000000000001</v>
      </c>
      <c r="AK32" s="181">
        <v>87.792500000000004</v>
      </c>
      <c r="AL32" s="181"/>
      <c r="AM32" s="93"/>
    </row>
    <row r="33" spans="1:39">
      <c r="A33" s="430" t="s">
        <v>1645</v>
      </c>
      <c r="R33" s="93"/>
      <c r="S33" s="93"/>
      <c r="T33" s="93"/>
      <c r="U33" s="93"/>
      <c r="V33" s="93"/>
      <c r="W33" s="93"/>
      <c r="X33" s="93"/>
      <c r="Y33" s="93"/>
      <c r="Z33" s="93"/>
      <c r="AA33" s="93"/>
      <c r="AB33" s="93"/>
      <c r="AC33" s="93"/>
      <c r="AD33" s="93"/>
      <c r="AE33" s="93"/>
      <c r="AF33" s="93"/>
      <c r="AG33" s="93"/>
      <c r="AH33" s="93"/>
      <c r="AI33" s="93"/>
      <c r="AJ33" s="93"/>
      <c r="AK33" s="93"/>
      <c r="AL33" s="93"/>
      <c r="AM33" s="93"/>
    </row>
    <row r="34" spans="1:39" ht="29.25" customHeight="1">
      <c r="B34" s="388" t="s">
        <v>1646</v>
      </c>
      <c r="C34" s="388" t="s">
        <v>1647</v>
      </c>
      <c r="D34" s="388" t="s">
        <v>248</v>
      </c>
      <c r="E34" s="388" t="s">
        <v>1648</v>
      </c>
      <c r="F34" s="388" t="s">
        <v>1649</v>
      </c>
      <c r="G34" s="1031" t="s">
        <v>1650</v>
      </c>
      <c r="H34" s="388" t="s">
        <v>1651</v>
      </c>
      <c r="R34" s="93"/>
      <c r="S34" s="93"/>
      <c r="T34" s="93"/>
      <c r="U34" s="93"/>
      <c r="V34" s="93"/>
      <c r="W34" s="93"/>
      <c r="X34" s="93"/>
      <c r="Y34" s="93"/>
      <c r="Z34" s="93"/>
      <c r="AA34" s="93"/>
      <c r="AB34" s="93"/>
      <c r="AC34" s="93"/>
      <c r="AD34" s="93"/>
      <c r="AE34" s="93"/>
      <c r="AF34" s="93"/>
      <c r="AG34" s="93"/>
      <c r="AH34" s="93"/>
      <c r="AI34" s="93"/>
      <c r="AJ34" s="93"/>
      <c r="AK34" s="93"/>
      <c r="AL34" s="93"/>
      <c r="AM34" s="93"/>
    </row>
    <row r="35" spans="1:39">
      <c r="B35" s="430" t="s">
        <v>1652</v>
      </c>
      <c r="C35" s="430">
        <f>0.5*inchtocentimetre</f>
        <v>1.27</v>
      </c>
      <c r="D35" s="430">
        <f>C35*$F$22/$C$22</f>
        <v>1.9260000000000004</v>
      </c>
      <c r="E35" s="430">
        <v>2000</v>
      </c>
      <c r="F35" s="430">
        <f>J20*Distribution!E35/10^6</f>
        <v>7.7039999999999997E-2</v>
      </c>
      <c r="G35" s="430">
        <f>F35/D35</f>
        <v>3.9999999999999994E-2</v>
      </c>
      <c r="H35" s="430">
        <f>'[11]Piping costs'!E73*1000</f>
        <v>700000</v>
      </c>
      <c r="R35" s="93"/>
      <c r="S35" s="93"/>
      <c r="T35" s="93"/>
      <c r="U35" s="93"/>
      <c r="V35" s="93"/>
      <c r="W35" s="93"/>
      <c r="X35" s="93"/>
      <c r="Y35" s="93"/>
      <c r="Z35" s="93"/>
      <c r="AA35" s="93"/>
      <c r="AB35" s="93"/>
      <c r="AC35" s="93"/>
      <c r="AD35" s="93"/>
      <c r="AE35" s="93"/>
      <c r="AF35" s="93"/>
      <c r="AG35" s="93"/>
      <c r="AH35" s="93"/>
      <c r="AI35" s="93"/>
      <c r="AJ35" s="93"/>
      <c r="AK35" s="93"/>
      <c r="AL35" s="93"/>
      <c r="AM35" s="93"/>
    </row>
    <row r="36" spans="1:39">
      <c r="B36" s="430" t="s">
        <v>1652</v>
      </c>
      <c r="C36" s="430">
        <f>0.75*inchtocentimetre</f>
        <v>1.905</v>
      </c>
      <c r="D36" s="430">
        <f>C36*$F$22/$C$22</f>
        <v>2.8890000000000002</v>
      </c>
      <c r="E36" s="430">
        <v>2000</v>
      </c>
      <c r="F36" s="430">
        <f>J21*Distribution!E36/10^6</f>
        <v>0</v>
      </c>
      <c r="G36" s="430">
        <f>F36/D36</f>
        <v>0</v>
      </c>
      <c r="R36" s="560" t="s">
        <v>1711</v>
      </c>
      <c r="S36" s="1051">
        <v>2000</v>
      </c>
      <c r="T36" s="1051">
        <v>2001</v>
      </c>
      <c r="U36" s="1051">
        <v>2002</v>
      </c>
      <c r="V36" s="1052">
        <v>2003</v>
      </c>
      <c r="W36" s="1051">
        <v>2004</v>
      </c>
      <c r="X36" s="1051">
        <v>2005</v>
      </c>
      <c r="Y36" s="1051">
        <v>2006</v>
      </c>
      <c r="Z36" s="1051">
        <v>2007</v>
      </c>
      <c r="AA36" s="1051">
        <v>2008</v>
      </c>
      <c r="AB36" s="1051">
        <v>2010</v>
      </c>
      <c r="AC36" s="1051">
        <v>2011</v>
      </c>
      <c r="AD36" s="1051">
        <v>2012</v>
      </c>
      <c r="AE36" s="1051">
        <v>2013</v>
      </c>
      <c r="AF36" s="1050" t="s">
        <v>1710</v>
      </c>
      <c r="AG36" s="93"/>
      <c r="AH36" s="93"/>
      <c r="AI36" s="93"/>
      <c r="AJ36" s="93"/>
      <c r="AK36" s="93"/>
      <c r="AL36" s="93"/>
      <c r="AM36" s="93"/>
    </row>
    <row r="37" spans="1:39">
      <c r="B37" s="430" t="s">
        <v>1653</v>
      </c>
      <c r="C37" s="430">
        <v>4.4000000000000004</v>
      </c>
      <c r="D37" s="430">
        <f>C37*$F$22/$C$22</f>
        <v>6.6727559055118126</v>
      </c>
      <c r="E37" s="430">
        <v>2000</v>
      </c>
      <c r="F37" s="430">
        <f>J22*Distribution!E37/10^6</f>
        <v>0</v>
      </c>
      <c r="G37" s="430">
        <f>F37/D37</f>
        <v>0</v>
      </c>
      <c r="R37" s="560" t="s">
        <v>1709</v>
      </c>
      <c r="S37" s="560">
        <v>62.5</v>
      </c>
      <c r="T37" s="560">
        <v>66.099999999999994</v>
      </c>
      <c r="U37" s="560">
        <v>72.099999999999994</v>
      </c>
      <c r="V37" s="1049">
        <v>76.3</v>
      </c>
      <c r="W37" s="560">
        <v>77.400000000000006</v>
      </c>
      <c r="X37" s="1048">
        <v>80</v>
      </c>
      <c r="Y37" s="1048">
        <v>83.7</v>
      </c>
      <c r="Z37" s="1048">
        <v>89.7</v>
      </c>
      <c r="AA37" s="1048">
        <v>100</v>
      </c>
      <c r="AB37" s="1048">
        <v>111.7</v>
      </c>
      <c r="AC37" s="1048">
        <v>118.1</v>
      </c>
      <c r="AD37" s="1047">
        <v>100</v>
      </c>
      <c r="AE37" s="1047">
        <v>100</v>
      </c>
      <c r="AF37" s="1046">
        <v>2</v>
      </c>
      <c r="AG37" s="93" t="s">
        <v>1708</v>
      </c>
      <c r="AH37" s="93"/>
      <c r="AI37" s="93"/>
      <c r="AJ37" s="93"/>
      <c r="AK37" s="93"/>
      <c r="AL37" s="93"/>
      <c r="AM37" s="93"/>
    </row>
    <row r="38" spans="1:39">
      <c r="B38" s="430" t="s">
        <v>1653</v>
      </c>
      <c r="C38" s="430">
        <v>15</v>
      </c>
      <c r="D38" s="430">
        <f>C38*$F$22/$C$22</f>
        <v>22.748031496062996</v>
      </c>
      <c r="E38" s="430">
        <v>2000</v>
      </c>
      <c r="F38" s="430">
        <f>J23*Distribution!E38/10^6</f>
        <v>0</v>
      </c>
      <c r="G38" s="430">
        <f>F38/D38</f>
        <v>0</v>
      </c>
      <c r="H38" s="388" t="s">
        <v>774</v>
      </c>
      <c r="R38" s="93"/>
      <c r="S38" s="93"/>
      <c r="T38" s="93"/>
      <c r="U38" s="93"/>
      <c r="V38" s="93"/>
      <c r="W38" s="93"/>
      <c r="X38" s="93"/>
      <c r="Y38" s="93"/>
      <c r="Z38" s="93"/>
      <c r="AA38" s="93"/>
      <c r="AB38" s="93"/>
      <c r="AC38" s="93"/>
      <c r="AD38" s="93"/>
      <c r="AE38" s="93"/>
      <c r="AF38" s="93"/>
      <c r="AG38" s="93"/>
      <c r="AH38" s="93"/>
      <c r="AI38" s="93"/>
      <c r="AJ38" s="93"/>
      <c r="AK38" s="93"/>
      <c r="AL38" s="93"/>
      <c r="AM38" s="93"/>
    </row>
    <row r="39" spans="1:39">
      <c r="B39" s="1032" t="s">
        <v>1013</v>
      </c>
      <c r="C39" s="1032">
        <f>AVERAGE(C35:C38)</f>
        <v>5.6437499999999998</v>
      </c>
      <c r="D39" s="1032">
        <f>AVERAGE(D35:D38)</f>
        <v>8.5589468503937027</v>
      </c>
      <c r="E39" s="1032">
        <f>AVERAGE(E35:E38)</f>
        <v>2000</v>
      </c>
      <c r="F39" s="1032">
        <f>AVERAGE(F35:F38)</f>
        <v>1.9259999999999999E-2</v>
      </c>
      <c r="G39" s="1032">
        <f>AVERAGE(G35:G38)</f>
        <v>9.9999999999999985E-3</v>
      </c>
      <c r="H39" s="1033">
        <f>H35*Distribution!$AN$26*Distribution!$AD$37/Distribution!$S$37/10^6</f>
        <v>9.1790529811320773</v>
      </c>
      <c r="R39" s="93"/>
      <c r="S39" s="93"/>
      <c r="T39" s="93"/>
      <c r="U39" s="93"/>
      <c r="V39" s="93"/>
      <c r="W39" s="93"/>
      <c r="X39" s="93"/>
      <c r="Y39" s="93"/>
      <c r="Z39" s="93"/>
      <c r="AA39" s="93">
        <f>Y37/S37</f>
        <v>1.3391999999999999</v>
      </c>
      <c r="AB39" s="93"/>
      <c r="AC39" s="93"/>
      <c r="AD39" s="93"/>
      <c r="AE39" s="93"/>
      <c r="AF39" s="93"/>
      <c r="AG39" s="93"/>
      <c r="AH39" s="93"/>
      <c r="AI39" s="93"/>
      <c r="AJ39" s="93"/>
      <c r="AK39" s="93"/>
      <c r="AL39" s="93"/>
      <c r="AM39" s="93"/>
    </row>
    <row r="40" spans="1:39">
      <c r="B40" s="430" t="s">
        <v>1654</v>
      </c>
      <c r="R40" s="93"/>
      <c r="S40" s="93"/>
      <c r="T40" s="93"/>
      <c r="U40" s="93"/>
      <c r="V40" s="93"/>
      <c r="W40" s="93"/>
      <c r="X40" s="93"/>
      <c r="Y40" s="93"/>
      <c r="Z40" s="93"/>
      <c r="AA40" s="93"/>
      <c r="AB40" s="93"/>
      <c r="AC40" s="93"/>
      <c r="AD40" s="93"/>
      <c r="AE40" s="93"/>
      <c r="AF40" s="93"/>
      <c r="AG40" s="93"/>
      <c r="AH40" s="93"/>
      <c r="AI40" s="93"/>
      <c r="AJ40" s="93"/>
      <c r="AK40" s="93"/>
      <c r="AL40" s="93"/>
      <c r="AM40" s="93"/>
    </row>
    <row r="42" spans="1:39">
      <c r="A42" s="430" t="s">
        <v>33</v>
      </c>
      <c r="B42" s="430" t="s">
        <v>445</v>
      </c>
    </row>
    <row r="44" spans="1:39">
      <c r="C44" s="6" t="s">
        <v>1655</v>
      </c>
    </row>
    <row r="45" spans="1:39">
      <c r="A45" s="388" t="s">
        <v>1656</v>
      </c>
      <c r="C45" s="6" t="s">
        <v>774</v>
      </c>
      <c r="D45" s="430" t="s">
        <v>1657</v>
      </c>
    </row>
    <row r="46" spans="1:39">
      <c r="A46" s="430" t="s">
        <v>1658</v>
      </c>
      <c r="C46" s="6">
        <f>200</f>
        <v>200</v>
      </c>
    </row>
    <row r="47" spans="1:39">
      <c r="C47" s="6"/>
    </row>
    <row r="48" spans="1:39">
      <c r="I48" s="6" t="s">
        <v>547</v>
      </c>
      <c r="J48" s="6" t="s">
        <v>555</v>
      </c>
    </row>
    <row r="49" spans="1:18">
      <c r="A49" s="1036">
        <f>[8]LossesCalib!V6</f>
        <v>0</v>
      </c>
      <c r="B49" s="1037"/>
      <c r="C49" s="1037"/>
      <c r="D49" s="1037" t="s">
        <v>1696</v>
      </c>
      <c r="E49" s="1037"/>
      <c r="F49" s="1038"/>
      <c r="H49" s="430" t="s">
        <v>1713</v>
      </c>
      <c r="I49" s="430" t="s">
        <v>1716</v>
      </c>
      <c r="J49" s="430" t="s">
        <v>1716</v>
      </c>
      <c r="K49" s="392" t="s">
        <v>1717</v>
      </c>
      <c r="L49" s="392" t="s">
        <v>1718</v>
      </c>
    </row>
    <row r="50" spans="1:18">
      <c r="A50" s="1042" t="str">
        <f>[8]LossesCalib!X7</f>
        <v xml:space="preserve">Industry </v>
      </c>
      <c r="B50" s="1042" t="str">
        <f>[8]LossesCalib!Y7</f>
        <v>INDODS</v>
      </c>
      <c r="C50" s="1042" t="str">
        <f>[8]LossesCalib!Z7</f>
        <v>IND</v>
      </c>
      <c r="D50" s="1042">
        <f>[8]LossesCalib!AA7</f>
        <v>36.014976280799999</v>
      </c>
      <c r="E50" s="1040"/>
      <c r="F50" s="886"/>
      <c r="H50" s="430" t="s">
        <v>1715</v>
      </c>
      <c r="I50" s="406">
        <v>11.7</v>
      </c>
      <c r="J50" s="406">
        <v>11.7</v>
      </c>
    </row>
    <row r="51" spans="1:18">
      <c r="A51" s="1042" t="str">
        <f>[8]LossesCalib!X8</f>
        <v xml:space="preserve">Industry </v>
      </c>
      <c r="B51" s="1042" t="str">
        <f>[8]LossesCalib!Y8</f>
        <v>INDGAS</v>
      </c>
      <c r="C51" s="1042"/>
      <c r="D51" s="1042">
        <f>[8]LossesCalib!AA8</f>
        <v>104.82035999999999</v>
      </c>
      <c r="E51" s="1040"/>
      <c r="F51" s="886"/>
      <c r="H51" s="430" t="s">
        <v>1714</v>
      </c>
      <c r="I51" s="406">
        <v>17.100000000000001</v>
      </c>
      <c r="J51" s="406">
        <v>17.100000000000001</v>
      </c>
    </row>
    <row r="52" spans="1:18">
      <c r="A52" s="1042" t="str">
        <f>[8]LossesCalib!X9</f>
        <v xml:space="preserve">Agriculture </v>
      </c>
      <c r="B52" s="1042" t="str">
        <f>[8]LossesCalib!Y9</f>
        <v>AGRODS</v>
      </c>
      <c r="C52" s="1042"/>
      <c r="D52" s="1042">
        <f>[8]LossesCalib!AA9</f>
        <v>38.226119077199996</v>
      </c>
      <c r="E52" s="1040"/>
      <c r="F52" s="886"/>
      <c r="H52" s="430" t="s">
        <v>1719</v>
      </c>
      <c r="I52" s="406">
        <f>(SUM(I50,I51)/I59)</f>
        <v>0.65454545454545454</v>
      </c>
      <c r="J52" s="406">
        <f>(SUM(J50,J51)/J59)</f>
        <v>0.67764705882352938</v>
      </c>
    </row>
    <row r="53" spans="1:18">
      <c r="A53" s="1042" t="str">
        <f>[8]LossesCalib!X10</f>
        <v xml:space="preserve">Agriculture </v>
      </c>
      <c r="B53" s="1042" t="str">
        <f>[8]LossesCalib!Y10</f>
        <v>AGROGS</v>
      </c>
      <c r="C53" s="1042"/>
      <c r="D53" s="1042">
        <f>[8]LossesCalib!AA10</f>
        <v>4.9641961086000004</v>
      </c>
      <c r="E53" s="1040"/>
      <c r="F53" s="886"/>
      <c r="H53" s="430" t="s">
        <v>705</v>
      </c>
      <c r="I53" s="406">
        <f>I52*100/1000</f>
        <v>6.545454545454546E-2</v>
      </c>
      <c r="J53" s="406">
        <f>J52*100/1000</f>
        <v>6.7764705882352935E-2</v>
      </c>
    </row>
    <row r="54" spans="1:18">
      <c r="A54" s="1042" t="str">
        <f>[8]LossesCalib!X11</f>
        <v>Transport</v>
      </c>
      <c r="B54" s="1042" t="str">
        <f>[8]LossesCalib!Y11</f>
        <v>TRAODS</v>
      </c>
      <c r="C54" s="1042"/>
      <c r="D54" s="1042">
        <f>[8]LossesCalib!AA11</f>
        <v>250.61541389748552</v>
      </c>
      <c r="E54" s="1040"/>
      <c r="F54" s="886"/>
      <c r="H54" s="772" t="s">
        <v>702</v>
      </c>
      <c r="I54" s="1068">
        <f>I53*D58</f>
        <v>25.463596835812123</v>
      </c>
      <c r="J54" s="1068">
        <f>J53*D59</f>
        <v>25.827936915797132</v>
      </c>
    </row>
    <row r="55" spans="1:18">
      <c r="A55" s="1042" t="str">
        <f>[8]LossesCalib!X12</f>
        <v>Transport</v>
      </c>
      <c r="B55" s="1042" t="str">
        <f>[8]LossesCalib!Y12</f>
        <v>TRAOGS</v>
      </c>
      <c r="C55" s="1042"/>
      <c r="D55" s="1042">
        <f>[8]LossesCalib!AA12</f>
        <v>384.06297777186296</v>
      </c>
      <c r="E55" s="1040"/>
      <c r="F55" s="886"/>
      <c r="J55" s="1034"/>
      <c r="K55" s="1034"/>
      <c r="L55" s="388"/>
    </row>
    <row r="56" spans="1:18">
      <c r="A56" s="1042" t="str">
        <f>[8]LossesCalib!X13</f>
        <v>Power</v>
      </c>
      <c r="B56" s="1042" t="str">
        <f>[8]LossesCalib!Y13</f>
        <v>PWRODS</v>
      </c>
      <c r="C56" s="1042"/>
      <c r="D56" s="1042">
        <f>[8]LossesCalib!AA13</f>
        <v>21.6357</v>
      </c>
      <c r="E56" s="1040"/>
      <c r="F56" s="886"/>
      <c r="J56" s="1034"/>
      <c r="K56" s="1034"/>
      <c r="L56" s="388"/>
      <c r="P56" s="430" t="s">
        <v>1813</v>
      </c>
    </row>
    <row r="57" spans="1:18">
      <c r="A57" s="1039"/>
      <c r="B57" s="1040"/>
      <c r="C57" s="1040"/>
      <c r="D57" s="1042" t="str">
        <f>[8]LossesCalib!AA14</f>
        <v>SATIM</v>
      </c>
      <c r="E57" s="1040"/>
      <c r="F57" s="886"/>
      <c r="J57" s="1034"/>
      <c r="K57" s="1034"/>
      <c r="L57" s="388"/>
    </row>
    <row r="58" spans="1:18">
      <c r="A58" s="1042" t="str">
        <f>[8]LossesCalib!X15</f>
        <v>OGS</v>
      </c>
      <c r="B58" s="1042">
        <f>[8]LossesCalib!Y15</f>
        <v>0</v>
      </c>
      <c r="C58" s="1042">
        <f>[8]LossesCalib!Z15</f>
        <v>0</v>
      </c>
      <c r="D58" s="1042">
        <f>[8]LossesCalib!AA15</f>
        <v>389.02717388046295</v>
      </c>
      <c r="E58" s="532" t="s">
        <v>1697</v>
      </c>
      <c r="F58" s="886" t="s">
        <v>1698</v>
      </c>
      <c r="H58" s="610"/>
      <c r="I58" s="610" t="s">
        <v>1699</v>
      </c>
      <c r="J58" s="1035" t="s">
        <v>1700</v>
      </c>
      <c r="K58" s="1034"/>
      <c r="L58" s="388"/>
      <c r="P58" s="430" t="s">
        <v>1814</v>
      </c>
      <c r="Q58" s="430">
        <v>30</v>
      </c>
      <c r="R58" s="430" t="s">
        <v>1815</v>
      </c>
    </row>
    <row r="59" spans="1:18">
      <c r="A59" s="1042" t="str">
        <f>[8]LossesCalib!X16</f>
        <v>ODS</v>
      </c>
      <c r="B59" s="1042">
        <f>[8]LossesCalib!Y16</f>
        <v>0</v>
      </c>
      <c r="C59" s="1042">
        <f>[8]LossesCalib!Z16</f>
        <v>0</v>
      </c>
      <c r="D59" s="1042">
        <f>[8]LossesCalib!AA16</f>
        <v>381.14143018103408</v>
      </c>
      <c r="E59" s="532"/>
      <c r="F59" s="886"/>
      <c r="H59" s="610" t="s">
        <v>1044</v>
      </c>
      <c r="I59" s="610">
        <v>44</v>
      </c>
      <c r="J59" s="1035">
        <v>42.5</v>
      </c>
      <c r="K59" s="1034"/>
      <c r="L59" s="388">
        <f>I50*D62/(I59*10^9)</f>
        <v>0</v>
      </c>
      <c r="P59" s="430" t="s">
        <v>1816</v>
      </c>
      <c r="Q59" s="430">
        <v>850</v>
      </c>
      <c r="R59" s="430" t="s">
        <v>1817</v>
      </c>
    </row>
    <row r="60" spans="1:18">
      <c r="A60" s="1042">
        <f>[8]LossesCalib!X17</f>
        <v>0</v>
      </c>
      <c r="B60" s="1042">
        <f>[8]LossesCalib!Y17</f>
        <v>0</v>
      </c>
      <c r="C60" s="1042">
        <f>[8]LossesCalib!Z17</f>
        <v>0</v>
      </c>
      <c r="D60" s="1042">
        <f>[8]LossesCalib!AA17</f>
        <v>0</v>
      </c>
      <c r="E60" s="532"/>
      <c r="F60" s="886"/>
      <c r="H60" s="610" t="s">
        <v>1701</v>
      </c>
      <c r="I60" s="610">
        <v>0.745</v>
      </c>
      <c r="J60" s="1035">
        <v>0.85</v>
      </c>
      <c r="K60" s="1034"/>
      <c r="L60" s="388"/>
    </row>
    <row r="61" spans="1:18">
      <c r="A61" s="590"/>
      <c r="B61" s="387"/>
      <c r="C61" s="387"/>
      <c r="D61" s="387"/>
      <c r="E61" s="387"/>
      <c r="F61" s="600"/>
      <c r="J61" s="1034"/>
      <c r="K61" s="1034"/>
      <c r="L61" s="388"/>
      <c r="P61" s="430" t="s">
        <v>1818</v>
      </c>
      <c r="Q61" s="430">
        <f>Q59/Q58</f>
        <v>28.333333333333332</v>
      </c>
      <c r="R61" s="430" t="s">
        <v>1819</v>
      </c>
    </row>
    <row r="62" spans="1:18">
      <c r="J62" s="1034"/>
      <c r="K62" s="1034"/>
      <c r="L62" s="388"/>
      <c r="Q62" s="430">
        <f>0.25%*Q61</f>
        <v>7.0833333333333331E-2</v>
      </c>
    </row>
    <row r="63" spans="1:18">
      <c r="J63" s="1034"/>
      <c r="K63" s="1034"/>
      <c r="L63" s="388"/>
    </row>
    <row r="66" spans="1:26">
      <c r="E66" s="430" t="s">
        <v>1659</v>
      </c>
      <c r="F66" s="430" t="s">
        <v>1660</v>
      </c>
      <c r="G66" s="430" t="s">
        <v>1661</v>
      </c>
      <c r="P66" s="430" t="s">
        <v>1820</v>
      </c>
      <c r="Z66" s="430" t="s">
        <v>1821</v>
      </c>
    </row>
    <row r="67" spans="1:26">
      <c r="A67" s="388" t="s">
        <v>1662</v>
      </c>
      <c r="E67" s="430" t="s">
        <v>1663</v>
      </c>
      <c r="F67" s="430" t="s">
        <v>1664</v>
      </c>
      <c r="G67" s="430" t="str">
        <f>E67</f>
        <v>USA$ million</v>
      </c>
      <c r="Y67" s="430">
        <v>2000</v>
      </c>
      <c r="Z67" s="430">
        <v>93.1</v>
      </c>
    </row>
    <row r="68" spans="1:26">
      <c r="C68" s="430" t="s">
        <v>1665</v>
      </c>
      <c r="E68" s="430">
        <v>380</v>
      </c>
      <c r="F68" s="430">
        <v>116</v>
      </c>
      <c r="G68" s="430">
        <v>122</v>
      </c>
      <c r="P68" s="382" t="s">
        <v>1822</v>
      </c>
      <c r="Y68" s="430">
        <v>2010</v>
      </c>
      <c r="Z68" s="430">
        <v>114.5</v>
      </c>
    </row>
    <row r="69" spans="1:26">
      <c r="C69" s="430" t="s">
        <v>967</v>
      </c>
      <c r="E69" s="430">
        <v>135</v>
      </c>
      <c r="F69" s="430">
        <v>116</v>
      </c>
      <c r="G69" s="430">
        <v>122</v>
      </c>
      <c r="P69" s="610" t="s">
        <v>1823</v>
      </c>
      <c r="Q69" s="610"/>
      <c r="R69" s="610"/>
      <c r="S69" s="581">
        <v>7.98</v>
      </c>
      <c r="T69" s="581">
        <v>2.77</v>
      </c>
    </row>
    <row r="70" spans="1:26">
      <c r="P70" s="610" t="s">
        <v>1824</v>
      </c>
      <c r="Q70" s="610"/>
      <c r="R70" s="610"/>
      <c r="S70" s="1833">
        <v>1.59</v>
      </c>
      <c r="T70" s="1120">
        <v>19.5</v>
      </c>
      <c r="Y70" s="430" t="s">
        <v>1825</v>
      </c>
      <c r="Z70" s="430">
        <f>Z68/Z67</f>
        <v>1.2298603651987112</v>
      </c>
    </row>
    <row r="71" spans="1:26">
      <c r="C71" s="388" t="s">
        <v>1666</v>
      </c>
      <c r="E71" s="388" t="s">
        <v>1667</v>
      </c>
      <c r="F71" s="388" t="s">
        <v>1668</v>
      </c>
      <c r="G71" s="388" t="s">
        <v>1669</v>
      </c>
      <c r="H71" s="388" t="s">
        <v>1646</v>
      </c>
      <c r="I71" s="388" t="s">
        <v>1670</v>
      </c>
      <c r="P71" s="610" t="s">
        <v>1826</v>
      </c>
      <c r="Q71" s="610"/>
      <c r="R71" s="610"/>
      <c r="S71" s="1833"/>
      <c r="T71" s="581">
        <v>11.1</v>
      </c>
    </row>
    <row r="72" spans="1:26">
      <c r="A72" s="1228" t="s">
        <v>1671</v>
      </c>
      <c r="B72" s="1228"/>
      <c r="C72" s="1228" t="s">
        <v>1672</v>
      </c>
      <c r="D72" s="1228" t="s">
        <v>1673</v>
      </c>
      <c r="E72" s="1228" t="s">
        <v>1664</v>
      </c>
      <c r="F72" s="1228" t="s">
        <v>1674</v>
      </c>
      <c r="G72" s="1228" t="s">
        <v>1639</v>
      </c>
      <c r="H72" s="1228" t="s">
        <v>248</v>
      </c>
      <c r="I72" s="1228" t="s">
        <v>1642</v>
      </c>
      <c r="J72" s="1228" t="s">
        <v>1675</v>
      </c>
      <c r="P72" s="430" t="s">
        <v>1827</v>
      </c>
      <c r="Y72" s="430">
        <v>11.3</v>
      </c>
      <c r="Z72" s="430" t="s">
        <v>1828</v>
      </c>
    </row>
    <row r="73" spans="1:26">
      <c r="A73" s="610" t="s">
        <v>884</v>
      </c>
      <c r="B73" s="610" t="s">
        <v>1676</v>
      </c>
      <c r="C73" s="610" t="s">
        <v>1677</v>
      </c>
      <c r="D73" s="610" t="s">
        <v>1678</v>
      </c>
      <c r="E73" s="610">
        <f>8+61</f>
        <v>69</v>
      </c>
      <c r="F73" s="610">
        <v>62</v>
      </c>
      <c r="G73" s="1026">
        <f>D22</f>
        <v>20</v>
      </c>
      <c r="H73" s="1026">
        <f>F22</f>
        <v>77.040000000000006</v>
      </c>
      <c r="I73" s="610">
        <f>(F73*$AN$26/H73)*(AE37/Y37)</f>
        <v>7.8800652079419287</v>
      </c>
      <c r="J73" s="610">
        <v>2018</v>
      </c>
    </row>
    <row r="74" spans="1:26">
      <c r="A74" s="610" t="s">
        <v>884</v>
      </c>
      <c r="B74" s="610" t="s">
        <v>1679</v>
      </c>
      <c r="C74" s="610" t="s">
        <v>1677</v>
      </c>
      <c r="D74" s="610" t="s">
        <v>1680</v>
      </c>
      <c r="E74" s="610">
        <v>62</v>
      </c>
      <c r="F74" s="610">
        <v>71</v>
      </c>
      <c r="G74" s="1026">
        <f>G73</f>
        <v>20</v>
      </c>
      <c r="H74" s="1026">
        <f>H73</f>
        <v>77.040000000000006</v>
      </c>
      <c r="I74" s="610">
        <f>(F74*Distribution!$AN$26/H74)*(AE37/Y37)</f>
        <v>9.0239456413528547</v>
      </c>
      <c r="J74" s="610">
        <v>2018</v>
      </c>
      <c r="P74" s="382" t="s">
        <v>1822</v>
      </c>
    </row>
    <row r="75" spans="1:26">
      <c r="A75" s="610" t="s">
        <v>1681</v>
      </c>
      <c r="B75" s="610"/>
      <c r="C75" s="610" t="s">
        <v>1677</v>
      </c>
      <c r="D75" s="610" t="s">
        <v>1682</v>
      </c>
      <c r="E75" s="610"/>
      <c r="F75" s="610"/>
      <c r="G75" s="610"/>
      <c r="H75" s="610"/>
      <c r="I75" s="610"/>
      <c r="J75" s="610"/>
      <c r="P75" s="610" t="s">
        <v>1823</v>
      </c>
      <c r="Q75" s="610"/>
      <c r="R75" s="610"/>
      <c r="S75" s="1120">
        <f>S69*$Z$70</f>
        <v>9.8142857142857167</v>
      </c>
      <c r="T75" s="1120">
        <f>T69*$Z$70</f>
        <v>3.4067132116004299</v>
      </c>
    </row>
    <row r="76" spans="1:26">
      <c r="A76" s="610" t="s">
        <v>1681</v>
      </c>
      <c r="B76" s="610"/>
      <c r="C76" s="610" t="s">
        <v>1677</v>
      </c>
      <c r="D76" s="610" t="s">
        <v>1683</v>
      </c>
      <c r="E76" s="610"/>
      <c r="F76" s="610"/>
      <c r="G76" s="610"/>
      <c r="H76" s="610"/>
      <c r="I76" s="610"/>
      <c r="J76" s="610"/>
      <c r="P76" s="610" t="s">
        <v>1824</v>
      </c>
      <c r="Q76" s="610"/>
      <c r="R76" s="610"/>
      <c r="S76" s="1834">
        <f>S70*Z70</f>
        <v>1.955477980665951</v>
      </c>
      <c r="T76" s="1120">
        <f>T70*$Z$70</f>
        <v>23.982277121374867</v>
      </c>
    </row>
    <row r="77" spans="1:26">
      <c r="A77" s="610" t="s">
        <v>1681</v>
      </c>
      <c r="B77" s="610"/>
      <c r="C77" s="610" t="s">
        <v>1684</v>
      </c>
      <c r="D77" s="610"/>
      <c r="E77" s="610">
        <v>105</v>
      </c>
      <c r="F77" s="610">
        <v>75</v>
      </c>
      <c r="G77" s="1027">
        <f>C39</f>
        <v>5.6437499999999998</v>
      </c>
      <c r="H77" s="1027">
        <f>D39</f>
        <v>8.5589468503937027</v>
      </c>
      <c r="I77" s="1027">
        <f>F77*Distribution!$AN$26/H77+$H$39</f>
        <v>80.994982809790869</v>
      </c>
      <c r="J77" s="610">
        <v>2020</v>
      </c>
      <c r="P77" s="610" t="s">
        <v>1826</v>
      </c>
      <c r="Q77" s="610"/>
      <c r="R77" s="610"/>
      <c r="S77" s="1835"/>
      <c r="T77" s="1120">
        <f>T71*$Z$70</f>
        <v>13.651450053705695</v>
      </c>
    </row>
    <row r="78" spans="1:26">
      <c r="A78" s="610" t="s">
        <v>1681</v>
      </c>
      <c r="B78" s="610"/>
      <c r="C78" s="610" t="s">
        <v>1685</v>
      </c>
      <c r="D78" s="610"/>
      <c r="E78" s="610">
        <v>8</v>
      </c>
      <c r="F78" s="610">
        <v>5.5</v>
      </c>
      <c r="G78" s="1027">
        <f>G77</f>
        <v>5.6437499999999998</v>
      </c>
      <c r="H78" s="1027">
        <f>H77</f>
        <v>8.5589468503937027</v>
      </c>
      <c r="I78" s="1027">
        <f>F78*Distribution!$AN$26/H78+$H$39</f>
        <v>14.445554501900389</v>
      </c>
      <c r="J78" s="610">
        <v>2020</v>
      </c>
      <c r="P78" s="430" t="s">
        <v>1829</v>
      </c>
    </row>
    <row r="79" spans="1:26">
      <c r="A79" s="610"/>
      <c r="B79" s="610"/>
      <c r="C79" s="610" t="s">
        <v>1686</v>
      </c>
      <c r="D79" s="610"/>
      <c r="E79" s="610">
        <v>13</v>
      </c>
      <c r="F79" s="610">
        <f>8.5</f>
        <v>8.5</v>
      </c>
      <c r="G79" s="1027">
        <f>G78</f>
        <v>5.6437499999999998</v>
      </c>
      <c r="H79" s="1027">
        <f>H78</f>
        <v>8.5589468503937027</v>
      </c>
      <c r="I79" s="1027">
        <f>F79*Distribution!$AN$26/H79+$H$39</f>
        <v>17.318191695046742</v>
      </c>
      <c r="J79" s="610">
        <v>2020</v>
      </c>
    </row>
    <row r="80" spans="1:26">
      <c r="P80" s="382" t="s">
        <v>1822</v>
      </c>
      <c r="U80" s="430" t="s">
        <v>1830</v>
      </c>
    </row>
    <row r="81" spans="1:21">
      <c r="D81" s="430" t="s">
        <v>1687</v>
      </c>
      <c r="E81" s="430" t="s">
        <v>1688</v>
      </c>
      <c r="F81" s="430" t="s">
        <v>1689</v>
      </c>
      <c r="G81" s="430" t="s">
        <v>578</v>
      </c>
      <c r="H81" s="650" t="s">
        <v>1834</v>
      </c>
      <c r="P81" s="610" t="s">
        <v>1823</v>
      </c>
      <c r="Q81" s="610"/>
      <c r="R81" s="610"/>
      <c r="S81" s="1120">
        <f>S75*$Y$72*zar.2010</f>
        <v>145.21547375596757</v>
      </c>
      <c r="T81" s="1120">
        <f>T75*$Y$72*zar.2010</f>
        <v>50.406874975442364</v>
      </c>
    </row>
    <row r="82" spans="1:21">
      <c r="D82" s="430" t="s">
        <v>1642</v>
      </c>
      <c r="H82" s="650" t="s">
        <v>1642</v>
      </c>
      <c r="P82" s="610" t="s">
        <v>1824</v>
      </c>
      <c r="Q82" s="610"/>
      <c r="R82" s="610"/>
      <c r="S82" s="1834">
        <f>S76*Y72*zar.2010</f>
        <v>28.933910184459698</v>
      </c>
      <c r="T82" s="1120">
        <f>T76*$Y$72*zar.2010</f>
        <v>354.84984188488301</v>
      </c>
    </row>
    <row r="83" spans="1:21">
      <c r="C83" s="430" t="s">
        <v>1690</v>
      </c>
      <c r="D83" s="730">
        <f>AVERAGE(I77:I79)</f>
        <v>37.586243002246</v>
      </c>
      <c r="F83" s="730">
        <f>D83*10%</f>
        <v>3.7586243002246</v>
      </c>
      <c r="G83" s="430">
        <v>60</v>
      </c>
      <c r="H83" s="406">
        <f>$T$86</f>
        <v>556.84129034243188</v>
      </c>
      <c r="P83" s="610" t="s">
        <v>1826</v>
      </c>
      <c r="Q83" s="610"/>
      <c r="R83" s="610"/>
      <c r="S83" s="1835"/>
      <c r="T83" s="1120">
        <f>T77*$Y$72*zar.2010</f>
        <v>201.99144845754884</v>
      </c>
    </row>
    <row r="84" spans="1:21">
      <c r="C84" s="430" t="s">
        <v>1691</v>
      </c>
      <c r="D84" s="730">
        <f>D83</f>
        <v>37.586243002246</v>
      </c>
      <c r="F84" s="730">
        <f>D84*10%</f>
        <v>3.7586243002246</v>
      </c>
      <c r="G84" s="430">
        <v>60</v>
      </c>
      <c r="H84" s="406">
        <f>H83*0.95</f>
        <v>528.9992258253103</v>
      </c>
      <c r="P84" s="430" t="s">
        <v>1831</v>
      </c>
    </row>
    <row r="85" spans="1:21">
      <c r="C85" s="430" t="s">
        <v>1692</v>
      </c>
      <c r="D85" s="730">
        <f>D84</f>
        <v>37.586243002246</v>
      </c>
      <c r="F85" s="730">
        <f>D85*10%</f>
        <v>3.7586243002246</v>
      </c>
      <c r="G85" s="430">
        <v>60</v>
      </c>
      <c r="H85" s="406">
        <f>H83</f>
        <v>556.84129034243188</v>
      </c>
    </row>
    <row r="86" spans="1:21">
      <c r="C86" s="430" t="s">
        <v>1693</v>
      </c>
      <c r="D86" s="730">
        <f>D85</f>
        <v>37.586243002246</v>
      </c>
      <c r="F86" s="730">
        <f>D86*10%</f>
        <v>3.7586243002246</v>
      </c>
      <c r="G86" s="430">
        <v>60</v>
      </c>
      <c r="H86" s="406">
        <f>H84</f>
        <v>528.9992258253103</v>
      </c>
      <c r="P86" s="382"/>
      <c r="S86" s="1121" t="s">
        <v>1832</v>
      </c>
      <c r="T86" s="406">
        <f>T83+T82</f>
        <v>556.84129034243188</v>
      </c>
      <c r="U86" s="430" t="s">
        <v>1819</v>
      </c>
    </row>
    <row r="87" spans="1:21">
      <c r="S87" s="1121" t="s">
        <v>1833</v>
      </c>
      <c r="T87" s="430">
        <v>0.7</v>
      </c>
    </row>
    <row r="88" spans="1:21">
      <c r="C88" s="430" t="s">
        <v>1694</v>
      </c>
      <c r="D88" s="406">
        <f>I54</f>
        <v>25.463596835812123</v>
      </c>
      <c r="G88" s="430">
        <v>60</v>
      </c>
      <c r="T88" s="430">
        <f>T87*T86</f>
        <v>389.78890323970228</v>
      </c>
      <c r="U88" s="430" t="s">
        <v>1819</v>
      </c>
    </row>
    <row r="89" spans="1:21">
      <c r="C89" s="430" t="s">
        <v>1695</v>
      </c>
      <c r="D89" s="406">
        <f>J54</f>
        <v>25.827936915797132</v>
      </c>
      <c r="G89" s="430">
        <v>60</v>
      </c>
    </row>
    <row r="91" spans="1:21">
      <c r="A91" s="388" t="s">
        <v>1720</v>
      </c>
    </row>
    <row r="92" spans="1:21">
      <c r="B92" s="430" t="s">
        <v>881</v>
      </c>
      <c r="C92" s="430" t="s">
        <v>882</v>
      </c>
      <c r="D92" s="430" t="s">
        <v>883</v>
      </c>
      <c r="E92" s="430" t="s">
        <v>884</v>
      </c>
      <c r="F92" s="430" t="s">
        <v>885</v>
      </c>
      <c r="G92" s="430" t="s">
        <v>873</v>
      </c>
      <c r="H92" s="430" t="s">
        <v>887</v>
      </c>
    </row>
    <row r="93" spans="1:21">
      <c r="A93" s="430" t="s">
        <v>366</v>
      </c>
      <c r="B93" s="430">
        <v>0</v>
      </c>
      <c r="C93" s="730">
        <f>H85</f>
        <v>556.84129034243188</v>
      </c>
      <c r="D93" s="730">
        <f>H84-D84*5%</f>
        <v>527.11991367519795</v>
      </c>
      <c r="E93" s="730">
        <f>H83</f>
        <v>556.84129034243188</v>
      </c>
      <c r="F93" s="730">
        <f>H86</f>
        <v>528.9992258253103</v>
      </c>
      <c r="G93" s="406">
        <f>C93/20</f>
        <v>27.842064517121592</v>
      </c>
      <c r="H93" s="406">
        <f>G93</f>
        <v>27.842064517121592</v>
      </c>
    </row>
    <row r="94" spans="1:21">
      <c r="A94" s="430" t="s">
        <v>547</v>
      </c>
      <c r="E94" s="406">
        <f>I54</f>
        <v>25.463596835812123</v>
      </c>
    </row>
    <row r="95" spans="1:21">
      <c r="A95" s="430" t="s">
        <v>555</v>
      </c>
      <c r="E95" s="406">
        <f>J54</f>
        <v>25.827936915797132</v>
      </c>
      <c r="O95" s="430">
        <f>zar.2010</f>
        <v>1.3094103081137336</v>
      </c>
    </row>
    <row r="98" spans="1:7">
      <c r="A98" s="430" t="s">
        <v>2122</v>
      </c>
      <c r="C98" s="433">
        <f>-PMT($B$99,$B$100,C93,0,1)</f>
        <v>41.658920413490883</v>
      </c>
      <c r="D98" s="433">
        <f>-PMT($B$99,$B$100,D93,0,1)</f>
        <v>39.435377571690708</v>
      </c>
      <c r="E98" s="433">
        <f>-PMT($B$99,$B$100,E93,0,1)</f>
        <v>41.658920413490883</v>
      </c>
      <c r="F98" s="433">
        <f>-PMT($B$99,$B$100,F93,0,1)</f>
        <v>39.575974392816327</v>
      </c>
      <c r="G98" s="433">
        <f>-PMT($B$99,$B$100,G93,0,1)</f>
        <v>2.0829460206745436</v>
      </c>
    </row>
    <row r="99" spans="1:7">
      <c r="A99" s="430" t="s">
        <v>2123</v>
      </c>
      <c r="B99" s="382">
        <v>0.08</v>
      </c>
    </row>
    <row r="100" spans="1:7">
      <c r="A100" s="430" t="s">
        <v>578</v>
      </c>
      <c r="B100" s="430">
        <v>60</v>
      </c>
    </row>
    <row r="103" spans="1:7">
      <c r="A103" s="430" t="s">
        <v>2103</v>
      </c>
      <c r="B103" s="430" t="s">
        <v>9</v>
      </c>
      <c r="C103" s="430" t="s">
        <v>2103</v>
      </c>
      <c r="D103" s="430" t="s">
        <v>9</v>
      </c>
    </row>
    <row r="104" spans="1:7">
      <c r="A104" s="1122" t="s">
        <v>2104</v>
      </c>
      <c r="B104" s="1222" t="s">
        <v>2104</v>
      </c>
      <c r="C104" s="1122" t="s">
        <v>2105</v>
      </c>
      <c r="D104" s="1222" t="s">
        <v>733</v>
      </c>
    </row>
    <row r="105" spans="1:7">
      <c r="A105" s="388" t="s">
        <v>1640</v>
      </c>
      <c r="B105" s="1223" t="s">
        <v>1639</v>
      </c>
      <c r="C105" s="388" t="s">
        <v>2106</v>
      </c>
      <c r="D105" s="1223" t="s">
        <v>2107</v>
      </c>
    </row>
    <row r="106" spans="1:7">
      <c r="B106" s="1223"/>
      <c r="D106" s="1223"/>
    </row>
    <row r="107" spans="1:7">
      <c r="A107" s="430">
        <v>20</v>
      </c>
      <c r="B107" s="1223">
        <f t="shared" ref="B107:B113" si="9">A107*inchtocentimetre</f>
        <v>50.8</v>
      </c>
      <c r="C107" s="430">
        <v>2</v>
      </c>
      <c r="D107" s="1223">
        <f>C107*J20</f>
        <v>77.040000000000006</v>
      </c>
    </row>
    <row r="108" spans="1:7">
      <c r="A108" s="430">
        <v>24</v>
      </c>
      <c r="B108" s="1223">
        <f t="shared" si="9"/>
        <v>60.96</v>
      </c>
      <c r="C108" s="430">
        <v>3.2</v>
      </c>
      <c r="D108" s="1223">
        <f t="shared" ref="D108:D113" si="10">C108*K137</f>
        <v>0</v>
      </c>
    </row>
    <row r="109" spans="1:7">
      <c r="A109" s="430">
        <v>28</v>
      </c>
      <c r="B109" s="1223">
        <f t="shared" si="9"/>
        <v>71.12</v>
      </c>
      <c r="C109" s="430">
        <v>4.7</v>
      </c>
      <c r="D109" s="1223">
        <f t="shared" si="10"/>
        <v>0</v>
      </c>
    </row>
    <row r="110" spans="1:7">
      <c r="A110" s="430">
        <v>32</v>
      </c>
      <c r="B110" s="1223">
        <f t="shared" si="9"/>
        <v>81.28</v>
      </c>
      <c r="C110" s="430">
        <v>6.6</v>
      </c>
      <c r="D110" s="1223">
        <f t="shared" si="10"/>
        <v>0</v>
      </c>
    </row>
    <row r="111" spans="1:7">
      <c r="A111" s="430">
        <v>36</v>
      </c>
      <c r="B111" s="1223">
        <f t="shared" si="9"/>
        <v>91.44</v>
      </c>
      <c r="C111" s="430">
        <v>9</v>
      </c>
      <c r="D111" s="1223">
        <f t="shared" si="10"/>
        <v>0</v>
      </c>
    </row>
    <row r="112" spans="1:7">
      <c r="A112" s="430">
        <v>40</v>
      </c>
      <c r="B112" s="1223">
        <f t="shared" si="9"/>
        <v>101.6</v>
      </c>
      <c r="C112" s="430">
        <v>11.7</v>
      </c>
      <c r="D112" s="1223">
        <f t="shared" si="10"/>
        <v>0</v>
      </c>
    </row>
    <row r="113" spans="1:4">
      <c r="A113" s="430">
        <v>44</v>
      </c>
      <c r="B113" s="1223">
        <f t="shared" si="9"/>
        <v>111.76</v>
      </c>
      <c r="C113" s="430">
        <v>14.9</v>
      </c>
      <c r="D113" s="1223">
        <f t="shared" si="10"/>
        <v>0</v>
      </c>
    </row>
    <row r="114" spans="1:4">
      <c r="A114" s="430" t="s">
        <v>2108</v>
      </c>
      <c r="B114" s="1224" t="s">
        <v>2109</v>
      </c>
    </row>
  </sheetData>
  <mergeCells count="4">
    <mergeCell ref="D29:E29"/>
    <mergeCell ref="S70:S71"/>
    <mergeCell ref="S76:S77"/>
    <mergeCell ref="S82:S83"/>
  </mergeCells>
  <hyperlinks>
    <hyperlink ref="R7" r:id="rId1" xr:uid="{00000000-0004-0000-0B00-000000000000}"/>
    <hyperlink ref="AF37" location="References!A1" display="References!A1" xr:uid="{00000000-0004-0000-0B00-000001000000}"/>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5"/>
  </sheetPr>
  <dimension ref="A1:BC149"/>
  <sheetViews>
    <sheetView topLeftCell="A51" workbookViewId="0">
      <selection activeCell="O62" sqref="O62"/>
    </sheetView>
  </sheetViews>
  <sheetFormatPr defaultColWidth="11.42578125" defaultRowHeight="12.75"/>
  <cols>
    <col min="1" max="1" width="43" style="93" customWidth="1"/>
    <col min="2" max="2" width="11" style="93" customWidth="1"/>
    <col min="3" max="3" width="12" style="93" customWidth="1"/>
    <col min="4" max="5" width="10" style="93" customWidth="1"/>
    <col min="6" max="6" width="19.28515625" style="93" customWidth="1"/>
    <col min="7" max="7" width="11.28515625" style="93" customWidth="1"/>
    <col min="8" max="8" width="10" style="93" customWidth="1"/>
    <col min="9" max="9" width="13.42578125" style="93" customWidth="1"/>
    <col min="10" max="10" width="10" style="93" customWidth="1"/>
    <col min="11" max="11" width="10.7109375" style="93" customWidth="1"/>
    <col min="12" max="13" width="10" style="93" customWidth="1"/>
    <col min="14" max="14" width="7.28515625" style="93" customWidth="1"/>
    <col min="15" max="15" width="9.42578125" style="93" customWidth="1"/>
    <col min="16" max="22" width="9" style="93" customWidth="1"/>
    <col min="23" max="25" width="9.7109375" style="93" customWidth="1"/>
    <col min="26" max="43" width="7.28515625" style="93" customWidth="1"/>
    <col min="44" max="16384" width="11.42578125" style="93"/>
  </cols>
  <sheetData>
    <row r="1" spans="1:53" s="89" customFormat="1" ht="15.75">
      <c r="A1" s="86" t="s">
        <v>239</v>
      </c>
      <c r="B1" s="1836" t="s">
        <v>240</v>
      </c>
      <c r="C1" s="1836"/>
      <c r="D1" s="1836"/>
      <c r="E1" s="87" t="s">
        <v>241</v>
      </c>
      <c r="F1" s="87"/>
      <c r="G1" s="88"/>
      <c r="H1" s="86"/>
      <c r="I1" s="88"/>
      <c r="J1" s="86"/>
      <c r="S1" s="98"/>
    </row>
    <row r="2" spans="1:53">
      <c r="A2" s="90"/>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row>
    <row r="3" spans="1:53">
      <c r="A3" s="90"/>
      <c r="B3" s="90"/>
      <c r="C3" s="94" t="s">
        <v>242</v>
      </c>
      <c r="D3" s="94"/>
      <c r="AH3" s="89"/>
    </row>
    <row r="4" spans="1:53">
      <c r="A4" s="96" t="s">
        <v>243</v>
      </c>
      <c r="B4" s="90">
        <f>COUNT(C4:BA4)</f>
        <v>48</v>
      </c>
      <c r="C4" s="90">
        <v>1</v>
      </c>
      <c r="D4" s="90">
        <f>C4+1</f>
        <v>2</v>
      </c>
      <c r="E4" s="90">
        <f>D4+1</f>
        <v>3</v>
      </c>
      <c r="F4" s="90">
        <f>E4+1</f>
        <v>4</v>
      </c>
      <c r="G4" s="90">
        <f>F4+1</f>
        <v>5</v>
      </c>
      <c r="H4" s="90">
        <f>G4+1</f>
        <v>6</v>
      </c>
      <c r="I4" s="90">
        <f t="shared" ref="I4:O4" si="0">H4+1</f>
        <v>7</v>
      </c>
      <c r="J4" s="90">
        <f t="shared" si="0"/>
        <v>8</v>
      </c>
      <c r="K4" s="90">
        <f t="shared" si="0"/>
        <v>9</v>
      </c>
      <c r="L4" s="90">
        <f t="shared" si="0"/>
        <v>10</v>
      </c>
      <c r="M4" s="90">
        <f t="shared" si="0"/>
        <v>11</v>
      </c>
      <c r="N4" s="90">
        <f t="shared" si="0"/>
        <v>12</v>
      </c>
      <c r="O4" s="90">
        <f t="shared" si="0"/>
        <v>13</v>
      </c>
      <c r="P4" s="90">
        <f t="shared" ref="P4:AF4" si="1">O4+1</f>
        <v>14</v>
      </c>
      <c r="Q4" s="90">
        <f t="shared" si="1"/>
        <v>15</v>
      </c>
      <c r="R4" s="90">
        <f t="shared" si="1"/>
        <v>16</v>
      </c>
      <c r="S4" s="90">
        <f t="shared" si="1"/>
        <v>17</v>
      </c>
      <c r="T4" s="90">
        <f t="shared" si="1"/>
        <v>18</v>
      </c>
      <c r="U4" s="90">
        <f t="shared" si="1"/>
        <v>19</v>
      </c>
      <c r="V4" s="90">
        <f t="shared" si="1"/>
        <v>20</v>
      </c>
      <c r="W4" s="90">
        <f t="shared" si="1"/>
        <v>21</v>
      </c>
      <c r="X4" s="90">
        <f t="shared" si="1"/>
        <v>22</v>
      </c>
      <c r="Y4" s="90">
        <f t="shared" si="1"/>
        <v>23</v>
      </c>
      <c r="Z4" s="90">
        <f t="shared" si="1"/>
        <v>24</v>
      </c>
      <c r="AA4" s="90">
        <f t="shared" si="1"/>
        <v>25</v>
      </c>
      <c r="AB4" s="90">
        <f t="shared" si="1"/>
        <v>26</v>
      </c>
      <c r="AC4" s="90">
        <f t="shared" si="1"/>
        <v>27</v>
      </c>
      <c r="AD4" s="90">
        <f t="shared" si="1"/>
        <v>28</v>
      </c>
      <c r="AE4" s="90">
        <f t="shared" si="1"/>
        <v>29</v>
      </c>
      <c r="AF4" s="90">
        <f t="shared" si="1"/>
        <v>30</v>
      </c>
      <c r="AG4" s="90"/>
      <c r="AH4" s="90">
        <f>AF4+1</f>
        <v>31</v>
      </c>
      <c r="AI4" s="90">
        <f t="shared" ref="AI4:AY4" si="2">AH4+1</f>
        <v>32</v>
      </c>
      <c r="AJ4" s="90">
        <f t="shared" si="2"/>
        <v>33</v>
      </c>
      <c r="AK4" s="90">
        <f t="shared" si="2"/>
        <v>34</v>
      </c>
      <c r="AL4" s="90">
        <f t="shared" si="2"/>
        <v>35</v>
      </c>
      <c r="AM4" s="90">
        <f t="shared" si="2"/>
        <v>36</v>
      </c>
      <c r="AN4" s="90">
        <f t="shared" si="2"/>
        <v>37</v>
      </c>
      <c r="AO4" s="90">
        <f t="shared" si="2"/>
        <v>38</v>
      </c>
      <c r="AP4" s="90">
        <f t="shared" si="2"/>
        <v>39</v>
      </c>
      <c r="AQ4" s="90">
        <f t="shared" si="2"/>
        <v>40</v>
      </c>
      <c r="AR4" s="90">
        <f t="shared" si="2"/>
        <v>41</v>
      </c>
      <c r="AS4" s="90">
        <f t="shared" si="2"/>
        <v>42</v>
      </c>
      <c r="AT4" s="90">
        <f t="shared" si="2"/>
        <v>43</v>
      </c>
      <c r="AU4" s="90">
        <f t="shared" si="2"/>
        <v>44</v>
      </c>
      <c r="AV4" s="90">
        <f t="shared" si="2"/>
        <v>45</v>
      </c>
      <c r="AW4" s="90">
        <f t="shared" si="2"/>
        <v>46</v>
      </c>
      <c r="AX4" s="90">
        <f t="shared" si="2"/>
        <v>47</v>
      </c>
      <c r="AY4" s="90">
        <f t="shared" si="2"/>
        <v>48</v>
      </c>
      <c r="AZ4" s="90"/>
      <c r="BA4" s="90"/>
    </row>
    <row r="5" spans="1:53" s="245" customFormat="1" ht="63.75">
      <c r="A5" s="496" t="s">
        <v>244</v>
      </c>
      <c r="B5" s="497"/>
      <c r="C5" s="190" t="str">
        <f>NameConv!$B$5</f>
        <v>Biogas</v>
      </c>
      <c r="D5" s="190" t="str">
        <f>NameConv!$B$6</f>
        <v>Bioethanol</v>
      </c>
      <c r="E5" s="190" t="str">
        <f>NameConv!$B$7</f>
        <v>Biodiesel</v>
      </c>
      <c r="F5" s="190" t="str">
        <f>NameConv!$B$8</f>
        <v>Biomass bagasse</v>
      </c>
      <c r="G5" s="190" t="str">
        <f>NameConv!$B$9</f>
        <v>Biomass Other</v>
      </c>
      <c r="H5" s="190" t="str">
        <f>NameConv!$B$10</f>
        <v>Biomass Wood</v>
      </c>
      <c r="I5" s="190" t="str">
        <f>NameConv!$B$11</f>
        <v>Coal</v>
      </c>
      <c r="J5" s="190" t="str">
        <f>NameConv!$B$12</f>
        <v>Coal Coking</v>
      </c>
      <c r="K5" s="190" t="str">
        <f>NameConv!$B$13</f>
        <v>Coal Discard</v>
      </c>
      <c r="L5" s="190" t="str">
        <f>NameConv!$B$14</f>
        <v>Coal low grade</v>
      </c>
      <c r="M5" s="190" t="str">
        <f>NameConv!$B$15</f>
        <v>Coal for plants in Botswana</v>
      </c>
      <c r="N5" s="190"/>
      <c r="O5" s="498"/>
      <c r="P5" s="498"/>
      <c r="Q5" s="498" t="str">
        <f>NameConv!$B$16</f>
        <v>Electricity</v>
      </c>
      <c r="R5" s="498" t="str">
        <f>NameConv!$B$17</f>
        <v>Electricity Upstream Transmission</v>
      </c>
      <c r="T5" s="190"/>
      <c r="U5" s="841" t="str">
        <f>NameConv!B26</f>
        <v>Coastal Gas</v>
      </c>
      <c r="V5" s="841" t="str">
        <f>NameConv!$B$19</f>
        <v>Gas Southern Mozambique</v>
      </c>
      <c r="W5" s="190" t="str">
        <f>NameConv!$B$20</f>
        <v>Gas Namibia</v>
      </c>
      <c r="X5" s="842" t="str">
        <f>NameConv!$B$21</f>
        <v>Gas Regional LNG</v>
      </c>
      <c r="Y5" s="842" t="str">
        <f>NameConv!$B$22</f>
        <v>Gas International LNG</v>
      </c>
      <c r="AA5" s="843" t="str">
        <f>NameConv!$B$23</f>
        <v>Gas Northern Mozambique</v>
      </c>
      <c r="AC5" s="844" t="str">
        <f>NameConv!$B$24</f>
        <v>Gas Indigenous Ibhubezi</v>
      </c>
      <c r="AE5" s="844" t="str">
        <f>NameConv!$B$25</f>
        <v>Gas Indigenous Shale</v>
      </c>
      <c r="AH5" s="190" t="str">
        <f>NameConv!$B$27</f>
        <v>Gas Methane Rich</v>
      </c>
      <c r="AJ5" s="245" t="str">
        <f>NameConv!$B$28</f>
        <v>Heat-Steam</v>
      </c>
      <c r="AK5" s="245" t="str">
        <f>NameConv!$B$29</f>
        <v>Heat-Steam Existing</v>
      </c>
      <c r="AL5" s="245" t="str">
        <f>NameConv!$B$30</f>
        <v>Heat-Steam New</v>
      </c>
      <c r="AM5" s="245" t="str">
        <f>NameConv!$B$31</f>
        <v>Hydro</v>
      </c>
      <c r="AN5" s="245" t="str">
        <f>NameConv!$B$32</f>
        <v>Hydrogen</v>
      </c>
      <c r="AO5" s="245" t="str">
        <f>NameConv!$B$33</f>
        <v>Nuclear</v>
      </c>
      <c r="AP5" s="245" t="str">
        <f>NameConv!$B$34</f>
        <v>Oil Av Gasoline</v>
      </c>
      <c r="AQ5" s="245" t="str">
        <f>NameConv!$B$35</f>
        <v>Oil Crude</v>
      </c>
      <c r="AR5" s="245" t="str">
        <f>NameConv!$B$36</f>
        <v>Oil Diesel</v>
      </c>
      <c r="AS5" s="245" t="str">
        <f>NameConv!$B$37</f>
        <v>Oil Gasoline</v>
      </c>
      <c r="AT5" s="245" t="str">
        <f>NameConv!$B$38</f>
        <v>Oil HFO</v>
      </c>
      <c r="AU5" s="245" t="str">
        <f>NameConv!$B$39</f>
        <v>Oil Kerosene</v>
      </c>
      <c r="AV5" s="245" t="str">
        <f>NameConv!$B$40</f>
        <v>Oil LPG</v>
      </c>
      <c r="AW5" s="245" t="str">
        <f>NameConv!$B$41</f>
        <v>Oil Other</v>
      </c>
      <c r="AX5" s="245" t="str">
        <f>NameConv!$B$42</f>
        <v>Solar</v>
      </c>
      <c r="AY5" s="245" t="str">
        <f>NameConv!$B$43</f>
        <v>Wind</v>
      </c>
    </row>
    <row r="6" spans="1:53">
      <c r="A6" s="88" t="s">
        <v>246</v>
      </c>
      <c r="B6" s="92"/>
      <c r="C6" s="91" t="str">
        <f t="shared" ref="C6:L6" si="3">$B$6&amp;VLOOKUP(C5,FuelNames,2,FALSE)</f>
        <v>BIG</v>
      </c>
      <c r="D6" s="91" t="str">
        <f t="shared" si="3"/>
        <v>BIE</v>
      </c>
      <c r="E6" s="91" t="str">
        <f t="shared" si="3"/>
        <v>BID</v>
      </c>
      <c r="F6" s="91" t="str">
        <f t="shared" si="3"/>
        <v>BIB</v>
      </c>
      <c r="G6" s="91" t="str">
        <f t="shared" si="3"/>
        <v>BIO</v>
      </c>
      <c r="H6" s="91" t="str">
        <f t="shared" si="3"/>
        <v>BIW</v>
      </c>
      <c r="I6" s="91" t="str">
        <f t="shared" si="3"/>
        <v>COA</v>
      </c>
      <c r="J6" s="91" t="str">
        <f t="shared" si="3"/>
        <v>COK</v>
      </c>
      <c r="K6" s="91" t="str">
        <f t="shared" si="3"/>
        <v>CLD</v>
      </c>
      <c r="L6" s="91" t="str">
        <f t="shared" si="3"/>
        <v>CLE</v>
      </c>
      <c r="M6" s="91" t="str">
        <f t="shared" ref="M6:AH6" si="4">$B$6&amp;VLOOKUP(M5,FuelNames,2,FALSE)</f>
        <v>CRB</v>
      </c>
      <c r="N6" s="91"/>
      <c r="O6" s="91"/>
      <c r="P6" s="91"/>
      <c r="Q6" s="91" t="str">
        <f t="shared" si="4"/>
        <v>ELC</v>
      </c>
      <c r="R6" s="91" t="str">
        <f t="shared" si="4"/>
        <v>ELCC</v>
      </c>
      <c r="S6" s="91"/>
      <c r="T6" s="91"/>
      <c r="U6" s="91" t="str">
        <f t="shared" si="4"/>
        <v>GIC</v>
      </c>
      <c r="V6" s="91" t="str">
        <f t="shared" si="4"/>
        <v>GRS</v>
      </c>
      <c r="W6" s="91" t="str">
        <f t="shared" si="4"/>
        <v>GRN</v>
      </c>
      <c r="X6" s="91" t="str">
        <f t="shared" si="4"/>
        <v>GRL</v>
      </c>
      <c r="Y6" s="91" t="str">
        <f t="shared" si="4"/>
        <v>GWL</v>
      </c>
      <c r="Z6" s="91"/>
      <c r="AA6" s="91" t="str">
        <f t="shared" si="4"/>
        <v>GRM</v>
      </c>
      <c r="AB6" s="676"/>
      <c r="AC6" s="91" t="str">
        <f t="shared" si="4"/>
        <v>GIB</v>
      </c>
      <c r="AD6" s="91"/>
      <c r="AE6" s="91" t="str">
        <f t="shared" si="4"/>
        <v>GIH</v>
      </c>
      <c r="AF6" s="91"/>
      <c r="AG6" s="91"/>
      <c r="AH6" s="91" t="str">
        <f t="shared" si="4"/>
        <v>GIM</v>
      </c>
      <c r="AI6" s="91"/>
      <c r="AJ6" s="91" t="str">
        <f t="shared" ref="AJ6:AY6" si="5">$B$6&amp;VLOOKUP(AJ5,FuelNames,2,FALSE)</f>
        <v>HET</v>
      </c>
      <c r="AK6" s="91" t="str">
        <f t="shared" si="5"/>
        <v>HEE</v>
      </c>
      <c r="AL6" s="91" t="str">
        <f t="shared" si="5"/>
        <v>HEN</v>
      </c>
      <c r="AM6" s="91" t="str">
        <f t="shared" si="5"/>
        <v>HYD</v>
      </c>
      <c r="AN6" s="91" t="str">
        <f t="shared" si="5"/>
        <v>HGN</v>
      </c>
      <c r="AO6" s="91" t="str">
        <f t="shared" si="5"/>
        <v>NUC</v>
      </c>
      <c r="AP6" s="91" t="str">
        <f t="shared" si="5"/>
        <v>OAG</v>
      </c>
      <c r="AQ6" s="91" t="str">
        <f t="shared" si="5"/>
        <v>OCR</v>
      </c>
      <c r="AR6" s="91" t="str">
        <f t="shared" si="5"/>
        <v>ODS</v>
      </c>
      <c r="AS6" s="91" t="str">
        <f t="shared" si="5"/>
        <v>OGS</v>
      </c>
      <c r="AT6" s="91" t="str">
        <f t="shared" si="5"/>
        <v>OHF</v>
      </c>
      <c r="AU6" s="91" t="str">
        <f t="shared" si="5"/>
        <v>OKE</v>
      </c>
      <c r="AV6" s="91" t="str">
        <f t="shared" si="5"/>
        <v>OLP</v>
      </c>
      <c r="AW6" s="91" t="str">
        <f t="shared" si="5"/>
        <v>OTH</v>
      </c>
      <c r="AX6" s="91" t="str">
        <f t="shared" si="5"/>
        <v>SOL</v>
      </c>
      <c r="AY6" s="91" t="str">
        <f t="shared" si="5"/>
        <v>WND</v>
      </c>
      <c r="AZ6" s="91"/>
      <c r="BA6" s="91"/>
    </row>
    <row r="7" spans="1:53">
      <c r="A7" s="394" t="s">
        <v>561</v>
      </c>
      <c r="B7" s="92"/>
      <c r="C7" s="91"/>
      <c r="D7" s="91"/>
      <c r="E7" s="91"/>
      <c r="F7" s="91"/>
      <c r="G7" s="91"/>
      <c r="H7" s="91"/>
      <c r="I7" s="91"/>
      <c r="J7" s="91"/>
      <c r="K7" s="91"/>
      <c r="L7" s="91"/>
      <c r="M7" s="91"/>
      <c r="N7" s="91"/>
      <c r="O7" s="91"/>
      <c r="P7" s="91"/>
      <c r="Q7" s="91"/>
      <c r="R7" s="91"/>
      <c r="S7" s="91"/>
      <c r="T7" s="91"/>
      <c r="U7" s="91"/>
      <c r="V7" s="91"/>
      <c r="W7" s="91"/>
      <c r="Y7" s="91"/>
      <c r="Z7" s="91"/>
      <c r="AA7" s="91"/>
      <c r="AB7" s="91"/>
      <c r="AC7" s="91"/>
      <c r="AD7" s="91"/>
      <c r="AE7" s="91"/>
      <c r="AF7" s="91"/>
      <c r="AG7" s="91"/>
      <c r="AH7" s="91"/>
      <c r="AI7" s="91"/>
      <c r="AJ7" s="91"/>
      <c r="AK7" s="91"/>
      <c r="AM7" s="91"/>
      <c r="AN7" s="91"/>
    </row>
    <row r="8" spans="1:53">
      <c r="A8" s="103" t="s">
        <v>247</v>
      </c>
      <c r="B8" s="99" t="s">
        <v>248</v>
      </c>
      <c r="C8" s="100">
        <f>SUMIF('2012EB'!$B$5:$BE$5,C$5,'2012EB'!$B$6:$BE$6)/1000</f>
        <v>0</v>
      </c>
      <c r="D8" s="100">
        <f>SUMIF('2012EB'!$B$5:$BE$5,D$5,'2012EB'!$B$6:$BE$6)/1000</f>
        <v>0</v>
      </c>
      <c r="E8" s="100">
        <f>SUMIF('2012EB'!$B$5:$BE$5,E$5,'2012EB'!$B$6:$BE$6)/1000</f>
        <v>0</v>
      </c>
      <c r="F8" s="100">
        <f>SUMIF('2012EB'!$B$5:$BE$5,F$5,'2012EB'!$B$6:$BE$6)/1000</f>
        <v>0</v>
      </c>
      <c r="G8" s="100">
        <f>SUMIF('2012EB'!$B$5:$BE$5,G$5,'2012EB'!$B$6:$BE$6)/1000</f>
        <v>0</v>
      </c>
      <c r="H8" s="100">
        <f>SUMIF('2012EB'!$B$5:$BE$5,H$5,'2012EB'!$B$6:$BE$6)/1000</f>
        <v>0</v>
      </c>
      <c r="I8" s="100">
        <f>SUMIF('2012EB'!$B$5:$BE$5,I$5,'2012EB'!$B$6:$BE$6)/1000</f>
        <v>6136.3929900000003</v>
      </c>
      <c r="J8" s="100">
        <f>SUMIF('2012EB'!$B$5:$BE$5,J$5,'2012EB'!$B$6:$BE$6)/1000</f>
        <v>49.117144000000003</v>
      </c>
      <c r="K8" s="100">
        <f>SUMIF('2012EB'!$B$5:$BE$5,K$5,'2012EB'!$B$6:$BE$6)/1000</f>
        <v>0</v>
      </c>
      <c r="L8" s="100">
        <f>SUMIF('2012EB'!$B$5:$BE$5,L$5,'2012EB'!$B$6:$BE$6)/1000</f>
        <v>0</v>
      </c>
      <c r="M8" s="100">
        <f>SUMIF('2012EB'!$B$5:$BE$5,M$5,'2012EB'!$B$6:$BE$6)/1000</f>
        <v>0</v>
      </c>
      <c r="N8" s="100"/>
      <c r="O8" s="100"/>
      <c r="P8" s="100"/>
      <c r="Q8" s="100">
        <f>SUMIF('2012EB'!$B$5:$BE$5,Q$5,'2012EB'!$B$6:$BE$6)/1000</f>
        <v>830.00738649024674</v>
      </c>
      <c r="R8" s="100">
        <f>SUMIF('2012EB'!$B$5:$BE$5,R$5,'2012EB'!$B$6:$BE$6)/1000</f>
        <v>0</v>
      </c>
      <c r="S8" s="100"/>
      <c r="T8" s="100"/>
      <c r="U8" s="100">
        <f>SUMIF('2012EB'!$B$5:$BE$5,U$5,'2012EB'!$B$6:$BE$6)/1000</f>
        <v>42.534198286413705</v>
      </c>
      <c r="V8" s="100">
        <f>SUMIF('2012EB'!$B$5:$BE$5,V$5,'2012EB'!$B$6:$BE$6)/1000</f>
        <v>0</v>
      </c>
      <c r="W8" s="100">
        <f>SUMIF('2012EB'!$B$5:$BE$5,W$5,'2012EB'!$B$6:$BE$6)/1000</f>
        <v>0</v>
      </c>
      <c r="X8" s="100">
        <f>SUMIF('2012EB'!$B$5:$BE$5,X$5,'2012EB'!$B$6:$BE$6)/1000</f>
        <v>0</v>
      </c>
      <c r="Y8" s="100">
        <f>SUMIF('2012EB'!$B$5:$BE$5,Y$5,'2012EB'!$B$6:$BE$6)/1000</f>
        <v>0</v>
      </c>
      <c r="Z8" s="100"/>
      <c r="AA8" s="100">
        <f>SUMIF('2012EB'!$B$5:$BE$5,AA$5,'2012EB'!$B$6:$BE$6)/1000</f>
        <v>0</v>
      </c>
      <c r="AB8" s="100"/>
      <c r="AC8" s="100">
        <f>SUMIF('2012EB'!$B$5:$BE$5,AC$5,'2012EB'!$B$6:$BE$6)/1000</f>
        <v>0</v>
      </c>
      <c r="AD8" s="100"/>
      <c r="AE8" s="100">
        <f>SUMIF('2012EB'!$B$5:$BE$5,AE$5,'2012EB'!$B$6:$BE$6)/1000</f>
        <v>0</v>
      </c>
      <c r="AF8" s="100">
        <f>SUMIF('2012EB'!$B$5:$BE$5,AF$5,'2012EB'!$B$6:$BE$6)/1000</f>
        <v>0</v>
      </c>
      <c r="AG8" s="100"/>
      <c r="AH8" s="100">
        <f>SUMIF('2012EB'!$B$5:$BE$5,AH$5,'2012EB'!$B$6:$BE$6)/1000</f>
        <v>0</v>
      </c>
      <c r="AI8" s="100"/>
      <c r="AJ8" s="100">
        <f>SUMIF('2012EB'!$B$5:$BE$5,AJ$5,'2012EB'!$B$6:$BE$6)/1000</f>
        <v>0</v>
      </c>
      <c r="AK8" s="100">
        <f>SUMIF('2012EB'!$B$5:$BE$5,AK$5,'2012EB'!$B$6:$BE$6)/1000</f>
        <v>0</v>
      </c>
      <c r="AL8" s="100">
        <f>SUMIF('2012EB'!$B$5:$BE$5,AL$5,'2012EB'!$B$6:$BE$6)/1000</f>
        <v>0</v>
      </c>
      <c r="AM8" s="100">
        <f>SUMIF('2012EB'!$B$5:$BE$5,AM$5,'2012EB'!$B$6:$BE$6)/1000</f>
        <v>0</v>
      </c>
      <c r="AN8" s="100">
        <f>SUMIF('2012EB'!$B$5:$BE$5,AN$5,'2012EB'!$B$6:$BE$6)/1000</f>
        <v>0</v>
      </c>
      <c r="AO8" s="100">
        <f>SUMIF('2012EB'!$B$5:$BE$5,AO$5,'2012EB'!$B$6:$BE$6)/1000</f>
        <v>0</v>
      </c>
      <c r="AP8" s="100">
        <f>SUMIF('2012EB'!$B$5:$BE$5,AP$5,'2012EB'!$B$6:$BE$6)/1000</f>
        <v>0</v>
      </c>
      <c r="AQ8" s="100">
        <f>SUMIF('2012EB'!$B$5:$BE$5,AQ$5,'2012EB'!$B$6:$BE$6)/1000</f>
        <v>0</v>
      </c>
      <c r="AR8" s="100">
        <f>SUMIF('2012EB'!$B$5:$BE$5,AR$5,'2012EB'!$B$6:$BE$6)/1000</f>
        <v>0</v>
      </c>
      <c r="AS8" s="100">
        <f>SUMIF('2012EB'!$B$5:$BE$5,AS$5,'2012EB'!$B$6:$BE$6)/1000</f>
        <v>0</v>
      </c>
      <c r="AT8" s="100">
        <f>SUMIF('2012EB'!$B$5:$BE$5,AT$5,'2012EB'!$B$6:$BE$6)/1000</f>
        <v>0</v>
      </c>
      <c r="AU8" s="100">
        <f>SUMIF('2012EB'!$B$5:$BE$5,AU$5,'2012EB'!$B$6:$BE$6)/1000</f>
        <v>0</v>
      </c>
      <c r="AV8" s="100">
        <f>SUMIF('2012EB'!$B$5:$BE$5,AV$5,'2012EB'!$B$6:$BE$6)/1000</f>
        <v>0</v>
      </c>
      <c r="AW8" s="100">
        <f>SUMIF('2012EB'!$B$5:$BE$5,AW$5,'2012EB'!$B$6:$BE$6)/1000</f>
        <v>0</v>
      </c>
      <c r="AX8" s="100">
        <f>SUMIF('2012EB'!$B$5:$BE$5,AX$5,'2012EB'!$B$6:$BE$6)/1000</f>
        <v>0</v>
      </c>
      <c r="AY8" s="100">
        <f>SUMIF('2012EB'!$B$5:$BE$5,AY$5,'2012EB'!$B$6:$BE$6)/1000</f>
        <v>0</v>
      </c>
      <c r="AZ8" s="100"/>
      <c r="BA8" s="100"/>
    </row>
    <row r="9" spans="1:53">
      <c r="A9" s="103" t="s">
        <v>249</v>
      </c>
      <c r="B9" s="99" t="s">
        <v>248</v>
      </c>
      <c r="C9" s="100">
        <f>SUMIF('2012EB'!$B$5:$BE$5,C$5,'2012EB'!$B$8:$BE$8)/1000</f>
        <v>0</v>
      </c>
      <c r="D9" s="100">
        <f>SUMIF('2012EB'!$B$5:$BE$5,D$5,'2012EB'!$B$8:$BE$8)/1000</f>
        <v>0</v>
      </c>
      <c r="E9" s="100">
        <f>SUMIF('2012EB'!$B$5:$BE$5,E$5,'2012EB'!$B$8:$BE$8)/1000</f>
        <v>0</v>
      </c>
      <c r="F9" s="100">
        <f>SUMIF('2012EB'!$B$5:$BE$5,F$5,'2012EB'!$B$8:$BE$8)/1000</f>
        <v>0</v>
      </c>
      <c r="G9" s="100">
        <f>SUMIF('2012EB'!$B$5:$BE$5,G$5,'2012EB'!$B$8:$BE$8)/1000</f>
        <v>0</v>
      </c>
      <c r="H9" s="100">
        <f>SUMIF('2012EB'!$B$5:$BE$5,H$5,'2012EB'!$B$8:$BE$8)/1000</f>
        <v>0</v>
      </c>
      <c r="I9" s="100">
        <f>SUMIF('2012EB'!$B$5:$BE$5,I$5,'2012EB'!$B$8:$BE$8)/1000</f>
        <v>3.1614299999999997</v>
      </c>
      <c r="J9" s="100">
        <f>SUMIF('2012EB'!$B$5:$BE$5,J$5,'2012EB'!$B$8:$BE$8)/1000</f>
        <v>57.42812</v>
      </c>
      <c r="K9" s="100">
        <f>SUMIF('2012EB'!$B$5:$BE$5,K$5,'2012EB'!$B$8:$BE$8)/1000</f>
        <v>0</v>
      </c>
      <c r="L9" s="100">
        <f>SUMIF('2012EB'!$B$5:$BE$5,L$5,'2012EB'!$B$8:$BE$8)/1000</f>
        <v>0</v>
      </c>
      <c r="M9" s="100">
        <f>SUMIF('2012EB'!$B$5:$BE$5,M$5,'2012EB'!$B$8:$BE$8)/1000</f>
        <v>0</v>
      </c>
      <c r="N9" s="100"/>
      <c r="O9" s="100"/>
      <c r="P9" s="100"/>
      <c r="Q9" s="100">
        <f>SUMIF('2012EB'!$B$5:$BE$5,Q$5,'2012EB'!$B$8:$BE$8)/1000</f>
        <v>36.021597656250002</v>
      </c>
      <c r="R9" s="100">
        <f>SUMIF('2012EB'!$B$5:$BE$5,R$5,'2012EB'!$B$8:$BE$8)/1000</f>
        <v>0</v>
      </c>
      <c r="S9" s="100"/>
      <c r="T9" s="100"/>
      <c r="U9" s="100">
        <f>SUMIF('2012EB'!$B$5:$BE$5,U$5,'2012EB'!$B$8:$BE$8)/1000</f>
        <v>121.2211171875</v>
      </c>
      <c r="V9" s="100">
        <f>SUMIF('2012EB'!$B$5:$BE$5,V$5,'2012EB'!$B$8:$BE$8)/1000</f>
        <v>0</v>
      </c>
      <c r="W9" s="100">
        <f>SUMIF('2012EB'!$B$5:$BE$5,W$5,'2012EB'!$B$8:$BE$8)/1000</f>
        <v>0</v>
      </c>
      <c r="X9" s="100">
        <f>SUMIF('2012EB'!$B$5:$BE$5,X$5,'2012EB'!$B$8:$BE$8)/1000</f>
        <v>0</v>
      </c>
      <c r="Y9" s="100">
        <f>SUMIF('2012EB'!$B$5:$BE$5,Y$5,'2012EB'!$B$8:$BE$8)/1000</f>
        <v>0</v>
      </c>
      <c r="Z9" s="100"/>
      <c r="AA9" s="100">
        <f>SUMIF('2012EB'!$B$5:$BE$5,AA$5,'2012EB'!$B$8:$BE$8)/1000</f>
        <v>0</v>
      </c>
      <c r="AB9" s="100"/>
      <c r="AC9" s="100">
        <f>SUMIF('2012EB'!$B$5:$BE$5,AC$5,'2012EB'!$B$8:$BE$8)/1000</f>
        <v>0</v>
      </c>
      <c r="AD9" s="100"/>
      <c r="AE9" s="100">
        <f>SUMIF('2012EB'!$B$5:$BE$5,AE$5,'2012EB'!$B$8:$BE$8)/1000</f>
        <v>0</v>
      </c>
      <c r="AF9" s="100">
        <f>SUMIF('2012EB'!$B$5:$BE$5,AF$5,'2012EB'!$B$8:$BE$8)/1000</f>
        <v>0</v>
      </c>
      <c r="AG9" s="100"/>
      <c r="AH9" s="100">
        <f>SUMIF('2012EB'!$B$5:$BE$5,AH$5,'2012EB'!$B$8:$BE$8)/1000</f>
        <v>0</v>
      </c>
      <c r="AI9" s="100"/>
      <c r="AJ9" s="100">
        <f>SUMIF('2012EB'!$B$5:$BE$5,AJ$5,'2012EB'!$B$8:$BE$8)/1000</f>
        <v>0</v>
      </c>
      <c r="AK9" s="100">
        <f>SUMIF('2012EB'!$B$5:$BE$5,AK$5,'2012EB'!$B$8:$BE$8)/1000</f>
        <v>0</v>
      </c>
      <c r="AL9" s="100">
        <f>SUMIF('2012EB'!$B$5:$BE$5,AL$5,'2012EB'!$B$8:$BE$8)/1000</f>
        <v>0</v>
      </c>
      <c r="AM9" s="100">
        <f>SUMIF('2012EB'!$B$5:$BE$5,AM$5,'2012EB'!$B$8:$BE$8)/1000</f>
        <v>0</v>
      </c>
      <c r="AN9" s="100">
        <f>SUMIF('2012EB'!$B$5:$BE$5,AN$5,'2012EB'!$B$8:$BE$8)/1000</f>
        <v>0</v>
      </c>
      <c r="AO9" s="100">
        <f>SUMIF('2012EB'!$B$5:$BE$5,AO$5,'2012EB'!$B$8:$BE$8)/1000</f>
        <v>170.374545454545</v>
      </c>
      <c r="AP9" s="100">
        <f>SUMIF('2012EB'!$B$5:$BE$5,AP$5,'2012EB'!$B$8:$BE$8)/1000</f>
        <v>1.394321535205479</v>
      </c>
      <c r="AQ9" s="100">
        <f>SUMIF('2012EB'!$B$5:$BE$5,AQ$5,'2012EB'!$B$8:$BE$8)/1000</f>
        <v>941.22622485351599</v>
      </c>
      <c r="AR9" s="100">
        <f>SUMIF('2012EB'!$B$5:$BE$5,AR$5,'2012EB'!$B$8:$BE$8)/1000</f>
        <v>140.06492</v>
      </c>
      <c r="AS9" s="100">
        <f>SUMIF('2012EB'!$B$5:$BE$5,AS$5,'2012EB'!$B$8:$BE$8)/1000</f>
        <v>63.331960000000002</v>
      </c>
      <c r="AT9" s="100">
        <f>SUMIF('2012EB'!$B$5:$BE$5,AT$5,'2012EB'!$B$8:$BE$8)/1000</f>
        <v>4.206396917894736</v>
      </c>
      <c r="AU9" s="100">
        <f>SUMIF('2012EB'!$B$5:$BE$5,AU$5,'2012EB'!$B$8:$BE$8)/1000</f>
        <v>9.3231960462962959</v>
      </c>
      <c r="AV9" s="100">
        <f>SUMIF('2012EB'!$B$5:$BE$5,AV$5,'2012EB'!$B$8:$BE$8)/1000</f>
        <v>0.405131744444444</v>
      </c>
      <c r="AW9" s="100">
        <f>SUMIF('2012EB'!$B$5:$BE$5,AW$5,'2012EB'!$B$8:$BE$8)/1000</f>
        <v>0</v>
      </c>
      <c r="AX9" s="100">
        <f>SUMIF('2012EB'!$B$5:$BE$5,AX$5,'2012EB'!$B$8:$BE$8)/1000</f>
        <v>0</v>
      </c>
      <c r="AY9" s="100">
        <f>SUMIF('2012EB'!$B$5:$BE$5,AY$5,'2012EB'!$B$8:$BE$8)/1000</f>
        <v>0</v>
      </c>
      <c r="AZ9" s="100"/>
      <c r="BA9" s="100"/>
    </row>
    <row r="10" spans="1:53" ht="13.5" thickBot="1">
      <c r="A10" s="103" t="s">
        <v>250</v>
      </c>
      <c r="B10" s="99" t="s">
        <v>248</v>
      </c>
      <c r="C10" s="100">
        <f>-SUMIF('2012EB'!$B$5:$BE$5,C$5,'2012EB'!$B$9:$BE$9)/1000</f>
        <v>0</v>
      </c>
      <c r="D10" s="100">
        <f>-SUMIF('2012EB'!$B$5:$BE$5,D$5,'2012EB'!$B$9:$BE$9)/1000</f>
        <v>0</v>
      </c>
      <c r="E10" s="100">
        <f>-SUMIF('2012EB'!$B$5:$BE$5,E$5,'2012EB'!$B$9:$BE$9)/1000</f>
        <v>0</v>
      </c>
      <c r="F10" s="100">
        <f>-SUMIF('2012EB'!$B$5:$BE$5,F$5,'2012EB'!$B$9:$BE$9)/1000</f>
        <v>0</v>
      </c>
      <c r="G10" s="100">
        <f>-SUMIF('2012EB'!$B$5:$BE$5,G$5,'2012EB'!$B$9:$BE$9)/1000</f>
        <v>0</v>
      </c>
      <c r="H10" s="100">
        <f>-SUMIF('2012EB'!$B$5:$BE$5,H$5,'2012EB'!$B$9:$BE$9)/1000</f>
        <v>0</v>
      </c>
      <c r="I10" s="100">
        <f>-SUMIF('2012EB'!$B$5:$BE$5,I$5,'2012EB'!$B$9:$BE$9)/1000</f>
        <v>2129.9962500000001</v>
      </c>
      <c r="J10" s="100">
        <f>-SUMIF('2012EB'!$B$5:$BE$5,J$5,'2012EB'!$B$9:$BE$9)/1000</f>
        <v>20.834015000000001</v>
      </c>
      <c r="K10" s="100">
        <f>-SUMIF('2012EB'!$B$5:$BE$5,K$5,'2012EB'!$B$9:$BE$9)/1000</f>
        <v>0</v>
      </c>
      <c r="L10" s="100">
        <f>-SUMIF('2012EB'!$B$5:$BE$5,L$5,'2012EB'!$B$9:$BE$9)/1000</f>
        <v>0</v>
      </c>
      <c r="M10" s="100">
        <f>-SUMIF('2012EB'!$B$5:$BE$5,M$5,'2012EB'!$B$9:$BE$9)/1000</f>
        <v>0</v>
      </c>
      <c r="N10" s="100"/>
      <c r="O10" s="100"/>
      <c r="P10" s="100"/>
      <c r="Q10" s="100">
        <f>-SUMIF('2012EB'!$B$5:$BE$5,Q$5,'2012EB'!$B$9:$BE$9)/1000</f>
        <v>54.125999999999998</v>
      </c>
      <c r="R10" s="100">
        <f>-SUMIF('2012EB'!$B$5:$BE$5,R$5,'2012EB'!$B$9:$BE$9)/1000</f>
        <v>0</v>
      </c>
      <c r="S10" s="100"/>
      <c r="T10" s="100"/>
      <c r="U10" s="100">
        <f>-SUMIF('2012EB'!$B$5:$BE$5,U$5,'2012EB'!$B$9:$BE$9)/1000</f>
        <v>0</v>
      </c>
      <c r="V10" s="100">
        <f>-SUMIF('2012EB'!$B$5:$BE$5,V$5,'2012EB'!$B$9:$BE$9)/1000</f>
        <v>0</v>
      </c>
      <c r="W10" s="100">
        <f>-SUMIF('2012EB'!$B$5:$BE$5,W$5,'2012EB'!$B$9:$BE$9)/1000</f>
        <v>0</v>
      </c>
      <c r="X10" s="100">
        <f>-SUMIF('2012EB'!$B$5:$BE$5,X$5,'2012EB'!$B$9:$BE$9)/1000</f>
        <v>0</v>
      </c>
      <c r="Y10" s="100">
        <f>-SUMIF('2012EB'!$B$5:$BE$5,Y$5,'2012EB'!$B$9:$BE$9)/1000</f>
        <v>0</v>
      </c>
      <c r="Z10" s="100"/>
      <c r="AA10" s="100">
        <f>-SUMIF('2012EB'!$B$5:$BE$5,AA$5,'2012EB'!$B$9:$BE$9)/1000</f>
        <v>0</v>
      </c>
      <c r="AB10" s="100"/>
      <c r="AC10" s="100">
        <f>-SUMIF('2012EB'!$B$5:$BE$5,AC$5,'2012EB'!$B$9:$BE$9)/1000</f>
        <v>0</v>
      </c>
      <c r="AD10" s="100"/>
      <c r="AE10" s="100">
        <f>-SUMIF('2012EB'!$B$5:$BE$5,AE$5,'2012EB'!$B$9:$BE$9)/1000</f>
        <v>0</v>
      </c>
      <c r="AF10" s="100">
        <f>-SUMIF('2012EB'!$B$5:$BE$5,AF$5,'2012EB'!$B$9:$BE$9)/1000</f>
        <v>0</v>
      </c>
      <c r="AG10" s="100"/>
      <c r="AH10" s="100">
        <f>-SUMIF('2012EB'!$B$5:$BE$5,AH$5,'2012EB'!$B$9:$BE$9)/1000</f>
        <v>0</v>
      </c>
      <c r="AI10" s="100"/>
      <c r="AJ10" s="100">
        <f>-SUMIF('2012EB'!$B$5:$BE$5,AJ$5,'2012EB'!$B$9:$BE$9)/1000</f>
        <v>0</v>
      </c>
      <c r="AK10" s="100">
        <f>-SUMIF('2012EB'!$B$5:$BE$5,AK$5,'2012EB'!$B$9:$BE$9)/1000</f>
        <v>0</v>
      </c>
      <c r="AL10" s="100">
        <f>-SUMIF('2012EB'!$B$5:$BE$5,AL$5,'2012EB'!$B$9:$BE$9)/1000</f>
        <v>0</v>
      </c>
      <c r="AM10" s="100">
        <f>-SUMIF('2012EB'!$B$5:$BE$5,AM$5,'2012EB'!$B$9:$BE$9)/1000</f>
        <v>0</v>
      </c>
      <c r="AN10" s="100">
        <f>-SUMIF('2012EB'!$B$5:$BE$5,AN$5,'2012EB'!$B$9:$BE$9)/1000</f>
        <v>0</v>
      </c>
      <c r="AO10" s="100">
        <f>-SUMIF('2012EB'!$B$5:$BE$5,AO$5,'2012EB'!$B$9:$BE$9)/1000</f>
        <v>0</v>
      </c>
      <c r="AP10" s="100">
        <f>-SUMIF('2012EB'!$B$5:$BE$5,AP$5,'2012EB'!$B$9:$BE$9)/1000</f>
        <v>0.22564281164383562</v>
      </c>
      <c r="AQ10" s="100">
        <f>-SUMIF('2012EB'!$B$5:$BE$5,AQ$5,'2012EB'!$B$9:$BE$9)/1000</f>
        <v>20.83803412968</v>
      </c>
      <c r="AR10" s="100">
        <f>-SUMIF('2012EB'!$B$5:$BE$5,AR$5,'2012EB'!$B$9:$BE$9)/1000</f>
        <v>28.73659252275862</v>
      </c>
      <c r="AS10" s="100">
        <f>-SUMIF('2012EB'!$B$5:$BE$5,AS$5,'2012EB'!$B$9:$BE$9)/1000</f>
        <v>3.5488458656756761</v>
      </c>
      <c r="AT10" s="100">
        <f>-SUMIF('2012EB'!$B$5:$BE$5,AT$5,'2012EB'!$B$9:$BE$9)/1000</f>
        <v>61.88735509894736</v>
      </c>
      <c r="AU10" s="100">
        <f>-SUMIF('2012EB'!$B$5:$BE$5,AU$5,'2012EB'!$B$9:$BE$9)/1000</f>
        <v>5.0273560461728382</v>
      </c>
      <c r="AV10" s="100">
        <f>-SUMIF('2012EB'!$B$5:$BE$5,AV$5,'2012EB'!$B$9:$BE$9)/1000</f>
        <v>0.54993525222222217</v>
      </c>
      <c r="AW10" s="100">
        <f>-SUMIF('2012EB'!$B$5:$BE$5,AW$5,'2012EB'!$B$9:$BE$9)/1000</f>
        <v>0</v>
      </c>
      <c r="AX10" s="100">
        <f>-SUMIF('2012EB'!$B$5:$BE$5,AX$5,'2012EB'!$B$9:$BE$9)/1000</f>
        <v>0</v>
      </c>
      <c r="AY10" s="100">
        <f>-SUMIF('2012EB'!$B$5:$BE$5,AY$5,'2012EB'!$B$9:$BE$9)/1000</f>
        <v>0</v>
      </c>
      <c r="AZ10" s="100"/>
      <c r="BA10" s="100"/>
    </row>
    <row r="11" spans="1:53" ht="15.75" thickBot="1">
      <c r="A11" s="88"/>
      <c r="B11" s="99"/>
      <c r="C11" s="102"/>
      <c r="D11" s="102"/>
      <c r="L11" s="688"/>
      <c r="M11" s="716" t="s">
        <v>14774</v>
      </c>
      <c r="N11" s="717"/>
      <c r="O11" s="717"/>
      <c r="P11" s="718"/>
      <c r="Q11" s="102"/>
      <c r="R11" s="102"/>
      <c r="S11" s="102"/>
      <c r="T11" s="102"/>
      <c r="U11" s="102"/>
      <c r="V11" s="102"/>
      <c r="W11" s="102"/>
      <c r="X11" s="102"/>
      <c r="Y11" s="102"/>
      <c r="Z11" s="102"/>
      <c r="AA11" s="102"/>
      <c r="AB11" s="101"/>
    </row>
    <row r="12" spans="1:53">
      <c r="A12" s="528" t="s">
        <v>874</v>
      </c>
      <c r="B12" s="529"/>
      <c r="C12" s="529"/>
      <c r="D12" s="529"/>
      <c r="E12" s="529"/>
      <c r="F12" s="552">
        <v>2006</v>
      </c>
      <c r="G12" s="530">
        <v>2010</v>
      </c>
      <c r="H12" s="530">
        <v>2012</v>
      </c>
      <c r="I12" s="530">
        <v>2015</v>
      </c>
      <c r="J12" s="530">
        <v>2020</v>
      </c>
      <c r="K12" s="530">
        <v>2030</v>
      </c>
      <c r="L12" s="530">
        <v>2050</v>
      </c>
      <c r="M12" s="689"/>
      <c r="N12" s="391"/>
      <c r="O12" s="91">
        <f>J12</f>
        <v>2020</v>
      </c>
      <c r="P12" s="91">
        <v>2030</v>
      </c>
      <c r="Q12" s="684">
        <f>L12</f>
        <v>2050</v>
      </c>
      <c r="R12" s="97"/>
      <c r="S12" s="102"/>
      <c r="T12" s="102"/>
      <c r="U12" s="102"/>
      <c r="V12" s="102"/>
      <c r="W12" s="97"/>
      <c r="X12" s="97"/>
    </row>
    <row r="13" spans="1:53" ht="15">
      <c r="A13" s="329" t="s">
        <v>944</v>
      </c>
      <c r="B13" s="391" t="s">
        <v>764</v>
      </c>
      <c r="C13" s="391"/>
      <c r="D13" s="391"/>
      <c r="E13" s="391"/>
      <c r="F13" s="1335">
        <v>11.914999999999999</v>
      </c>
      <c r="G13" s="546">
        <f>F13</f>
        <v>11.914999999999999</v>
      </c>
      <c r="H13" s="546">
        <f>G13</f>
        <v>11.914999999999999</v>
      </c>
      <c r="I13" s="546">
        <f>G13</f>
        <v>11.914999999999999</v>
      </c>
      <c r="J13" s="546">
        <f>I13</f>
        <v>11.914999999999999</v>
      </c>
      <c r="K13" s="546">
        <f>J13</f>
        <v>11.914999999999999</v>
      </c>
      <c r="L13" s="546">
        <f>K13</f>
        <v>11.914999999999999</v>
      </c>
      <c r="M13" s="329"/>
      <c r="N13" s="391"/>
      <c r="O13" s="690"/>
      <c r="P13" s="690"/>
      <c r="Q13" s="998"/>
      <c r="R13" s="97"/>
      <c r="S13" s="102"/>
      <c r="T13" s="102"/>
      <c r="U13" s="102"/>
      <c r="V13" s="102"/>
      <c r="W13" s="97"/>
      <c r="X13" s="97"/>
    </row>
    <row r="14" spans="1:53" ht="15">
      <c r="A14" s="961" t="s">
        <v>1508</v>
      </c>
      <c r="B14" s="391" t="s">
        <v>1509</v>
      </c>
      <c r="C14" s="185" t="s">
        <v>1069</v>
      </c>
      <c r="D14" s="29" t="s">
        <v>14384</v>
      </c>
      <c r="F14" s="980">
        <f>G14</f>
        <v>84.76347793442072</v>
      </c>
      <c r="G14" s="546">
        <f>AA21</f>
        <v>84.76347793442072</v>
      </c>
      <c r="H14" s="1432">
        <f>G14+((I14-G14)/(I12-G12)*(H12-G12))</f>
        <v>71.258086760652432</v>
      </c>
      <c r="I14" s="1337">
        <f>AB21</f>
        <v>51</v>
      </c>
      <c r="J14" s="1536">
        <f>SUMIF($M$13:$M$22,$D$14,O$13:O$22)</f>
        <v>58</v>
      </c>
      <c r="K14" s="1536">
        <f t="shared" ref="K14:L14" si="6">SUMIF($M$13:$M$22,$D$14,P$13:P$22)</f>
        <v>55.666666666666664</v>
      </c>
      <c r="L14" s="1536">
        <f t="shared" si="6"/>
        <v>50.333333333333329</v>
      </c>
      <c r="M14" s="685" t="s">
        <v>14383</v>
      </c>
      <c r="N14" s="391"/>
      <c r="O14" s="683">
        <f>'Oil price'!CK92</f>
        <v>58</v>
      </c>
      <c r="P14" s="683">
        <f>'Oil price'!CL92</f>
        <v>76</v>
      </c>
      <c r="Q14" s="683">
        <f>'Oil price'!CM92</f>
        <v>93</v>
      </c>
      <c r="S14" s="102"/>
      <c r="T14" s="102"/>
      <c r="U14" s="102"/>
      <c r="V14" s="102"/>
      <c r="W14" s="97"/>
      <c r="X14" s="97"/>
    </row>
    <row r="15" spans="1:53" ht="15">
      <c r="A15" s="533" t="s">
        <v>875</v>
      </c>
      <c r="B15" s="391" t="s">
        <v>945</v>
      </c>
      <c r="C15" s="391"/>
      <c r="D15" s="391"/>
      <c r="E15" s="391"/>
      <c r="F15" s="554"/>
      <c r="G15" s="122"/>
      <c r="H15" s="122"/>
      <c r="I15" s="122"/>
      <c r="J15" s="122"/>
      <c r="K15" s="547"/>
      <c r="L15" s="122"/>
      <c r="M15" s="329" t="s">
        <v>14384</v>
      </c>
      <c r="N15" s="391"/>
      <c r="O15" s="683">
        <f>'Oil price'!CK93</f>
        <v>58</v>
      </c>
      <c r="P15" s="683">
        <f>'Oil price'!CL93</f>
        <v>55.666666666666664</v>
      </c>
      <c r="Q15" s="683">
        <f>'Oil price'!CM93</f>
        <v>50.333333333333329</v>
      </c>
      <c r="S15" s="102"/>
      <c r="T15" s="102"/>
      <c r="U15" s="102"/>
      <c r="V15" s="102"/>
      <c r="W15" s="430"/>
      <c r="X15" s="430"/>
    </row>
    <row r="16" spans="1:53" ht="15.75" thickBot="1">
      <c r="A16" s="534" t="s">
        <v>2</v>
      </c>
      <c r="B16" s="137" t="s">
        <v>946</v>
      </c>
      <c r="C16" s="137"/>
      <c r="D16" s="137"/>
      <c r="E16" s="137"/>
      <c r="F16" s="555"/>
      <c r="G16" s="535"/>
      <c r="H16" s="535"/>
      <c r="I16" s="535"/>
      <c r="J16" s="535"/>
      <c r="K16" s="137"/>
      <c r="L16" s="137"/>
      <c r="M16" s="686" t="s">
        <v>14385</v>
      </c>
      <c r="N16" s="137"/>
      <c r="O16" s="683">
        <f>'Oil price'!CK94</f>
        <v>58</v>
      </c>
      <c r="P16" s="683">
        <f>'Oil price'!CL94</f>
        <v>63.333333333333336</v>
      </c>
      <c r="Q16" s="683">
        <f>'Oil price'!CM94</f>
        <v>80.666666666666657</v>
      </c>
      <c r="S16" s="102"/>
      <c r="T16" s="102"/>
      <c r="U16" s="102"/>
      <c r="V16" s="102"/>
      <c r="W16" s="430"/>
      <c r="X16" s="430"/>
      <c r="Z16" s="501" t="s">
        <v>13453</v>
      </c>
      <c r="AA16" s="430"/>
      <c r="AB16" s="430"/>
      <c r="AH16" s="90"/>
      <c r="AI16" s="90"/>
    </row>
    <row r="17" spans="1:36" ht="15">
      <c r="A17" s="536" t="s">
        <v>947</v>
      </c>
      <c r="B17" s="529"/>
      <c r="C17" s="529"/>
      <c r="D17" s="529"/>
      <c r="E17" s="529"/>
      <c r="F17" s="556"/>
      <c r="G17" s="537"/>
      <c r="H17" s="537"/>
      <c r="I17" s="537"/>
      <c r="J17" s="537"/>
      <c r="K17" s="529"/>
      <c r="L17" s="529"/>
      <c r="S17" s="102"/>
      <c r="T17" s="102"/>
      <c r="U17" s="102"/>
      <c r="V17" s="102"/>
      <c r="W17" s="430"/>
      <c r="X17" s="430"/>
      <c r="AA17" s="93" t="str">
        <f>[12]Export!D5</f>
        <v>Oil Price (2015$/bbl)</v>
      </c>
      <c r="AH17" s="90"/>
      <c r="AI17" s="90"/>
    </row>
    <row r="18" spans="1:36" ht="15">
      <c r="A18" s="538"/>
      <c r="C18" s="962"/>
      <c r="D18" s="391"/>
      <c r="E18" s="391"/>
      <c r="F18" s="553"/>
      <c r="G18" s="532"/>
      <c r="H18" s="532"/>
      <c r="I18" s="547" t="s">
        <v>162</v>
      </c>
      <c r="J18" s="547" t="s">
        <v>162</v>
      </c>
      <c r="K18" s="391"/>
      <c r="L18" s="330"/>
      <c r="O18" s="1341"/>
      <c r="P18" s="1341"/>
      <c r="Q18" s="1341"/>
      <c r="R18" s="430"/>
      <c r="S18" s="430"/>
      <c r="T18" s="430"/>
      <c r="U18" s="430"/>
      <c r="V18" s="430"/>
      <c r="W18" s="430"/>
      <c r="X18" s="430"/>
      <c r="AA18" s="93">
        <f>[12]Export!D6</f>
        <v>2010</v>
      </c>
      <c r="AB18" s="93">
        <f>[12]Export!E6</f>
        <v>2015</v>
      </c>
      <c r="AC18" s="93">
        <f>[12]Export!F6</f>
        <v>2020</v>
      </c>
      <c r="AD18" s="93">
        <f>[12]Export!G6</f>
        <v>2030</v>
      </c>
      <c r="AE18" s="93">
        <f>[12]Export!H6</f>
        <v>2050</v>
      </c>
      <c r="AH18" s="90"/>
      <c r="AI18" s="90"/>
    </row>
    <row r="19" spans="1:36" ht="15">
      <c r="A19" s="538" t="s">
        <v>14387</v>
      </c>
      <c r="B19" s="539" t="s">
        <v>14388</v>
      </c>
      <c r="C19" s="391"/>
      <c r="D19" s="391"/>
      <c r="E19" s="391"/>
      <c r="F19" s="557">
        <f t="shared" ref="F19:L19" si="7">F13*F14</f>
        <v>1009.9568395886228</v>
      </c>
      <c r="G19" s="540">
        <f t="shared" si="7"/>
        <v>1009.9568395886228</v>
      </c>
      <c r="H19" s="540">
        <f t="shared" ref="H19" si="8">H13*H14</f>
        <v>849.04010375317364</v>
      </c>
      <c r="I19" s="540">
        <f t="shared" si="7"/>
        <v>607.66499999999996</v>
      </c>
      <c r="J19" s="540">
        <f t="shared" si="7"/>
        <v>691.06999999999994</v>
      </c>
      <c r="K19" s="540">
        <f t="shared" si="7"/>
        <v>663.2683333333332</v>
      </c>
      <c r="L19" s="541">
        <f t="shared" si="7"/>
        <v>599.72166666666658</v>
      </c>
      <c r="O19" s="1341"/>
      <c r="P19" s="1341"/>
      <c r="Q19" s="1341"/>
      <c r="R19" s="430"/>
      <c r="S19" s="430"/>
      <c r="T19" s="430"/>
      <c r="U19" s="430"/>
      <c r="V19" s="430"/>
      <c r="W19" s="430"/>
      <c r="X19" s="430"/>
      <c r="Z19" s="1340">
        <f>[12]Export!C7</f>
        <v>0.05</v>
      </c>
      <c r="AA19" s="1341">
        <f>[12]Export!D7</f>
        <v>84.76347793442072</v>
      </c>
      <c r="AB19" s="1341">
        <f>[12]Export!E7</f>
        <v>51</v>
      </c>
      <c r="AC19" s="1341">
        <f>[12]Export!F7</f>
        <v>73.317017874156548</v>
      </c>
      <c r="AD19" s="1341">
        <f>[12]Export!G7</f>
        <v>98.605353881111654</v>
      </c>
      <c r="AE19" s="1341">
        <f>[12]Export!H7</f>
        <v>107.66021241145609</v>
      </c>
      <c r="AH19" s="90"/>
      <c r="AI19" s="90"/>
    </row>
    <row r="20" spans="1:36" ht="15">
      <c r="A20" s="329" t="s">
        <v>553</v>
      </c>
      <c r="B20" s="546" t="s">
        <v>705</v>
      </c>
      <c r="C20" s="546"/>
      <c r="D20" s="532"/>
      <c r="E20" s="547" t="str">
        <f>VLOOKUP(A20,FuelNames,2,FALSE)</f>
        <v>OCR</v>
      </c>
      <c r="F20" s="557">
        <f>F19*'Liq Fuel Prices'!$V$7</f>
        <v>166.9851769718156</v>
      </c>
      <c r="G20" s="540">
        <f>G19*'Liq Fuel Prices'!$V$7</f>
        <v>166.9851769718156</v>
      </c>
      <c r="H20" s="540">
        <f>H19*'Liq Fuel Prices'!$V$7</f>
        <v>140.37937704262814</v>
      </c>
      <c r="I20" s="540">
        <f>I19*'Liq Fuel Prices'!$V$7</f>
        <v>100.47067714884695</v>
      </c>
      <c r="J20" s="540">
        <f>J19*'Liq Fuel Prices'!$V$7</f>
        <v>114.26077009084555</v>
      </c>
      <c r="K20" s="540">
        <f>K19*'Liq Fuel Prices'!$V$7</f>
        <v>109.66407244351267</v>
      </c>
      <c r="L20" s="541">
        <f>L19*'Liq Fuel Prices'!$V$7</f>
        <v>99.157334963894698</v>
      </c>
      <c r="N20" s="430"/>
      <c r="O20" s="1341"/>
      <c r="P20" s="1341"/>
      <c r="Q20" s="1341"/>
      <c r="R20" s="430"/>
      <c r="S20" s="430"/>
      <c r="T20" s="430"/>
      <c r="U20" s="430"/>
      <c r="V20" s="430"/>
      <c r="W20" s="430"/>
      <c r="X20" s="430"/>
      <c r="Z20" s="1340">
        <f>[12]Export!C8</f>
        <v>0.25</v>
      </c>
      <c r="AA20" s="1341">
        <f>[12]Export!D8</f>
        <v>84.76347793442072</v>
      </c>
      <c r="AB20" s="1341">
        <f>[12]Export!E8</f>
        <v>51</v>
      </c>
      <c r="AC20" s="1341">
        <f>[12]Export!F8</f>
        <v>75.881960716452127</v>
      </c>
      <c r="AD20" s="1341">
        <f>[12]Export!G8</f>
        <v>103.77027513658234</v>
      </c>
      <c r="AE20" s="1341">
        <f>[12]Export!H8</f>
        <v>116.71930911569734</v>
      </c>
      <c r="AH20" s="90"/>
      <c r="AI20" s="90"/>
    </row>
    <row r="21" spans="1:36" ht="14.65" customHeight="1">
      <c r="A21" s="987" t="s">
        <v>1575</v>
      </c>
      <c r="B21" s="542"/>
      <c r="C21" s="543"/>
      <c r="D21" s="543"/>
      <c r="F21" s="558"/>
      <c r="G21" s="544"/>
      <c r="H21" s="544"/>
      <c r="I21" s="544"/>
      <c r="J21" s="544"/>
      <c r="K21" s="544"/>
      <c r="L21" s="545"/>
      <c r="O21" s="1341"/>
      <c r="P21" s="1341"/>
      <c r="Q21" s="1341"/>
      <c r="R21" s="430"/>
      <c r="S21" s="430"/>
      <c r="T21" s="430"/>
      <c r="U21" s="430"/>
      <c r="V21" s="430"/>
      <c r="W21" s="430"/>
      <c r="X21" s="430"/>
      <c r="Y21" s="430"/>
      <c r="Z21" s="1340">
        <f>[12]Export!C9</f>
        <v>0.5</v>
      </c>
      <c r="AA21" s="1341">
        <f>[12]Export!D9</f>
        <v>84.76347793442072</v>
      </c>
      <c r="AB21" s="1341">
        <f>[12]Export!E9</f>
        <v>51</v>
      </c>
      <c r="AC21" s="1341">
        <f>[12]Export!F9</f>
        <v>78.619821053733901</v>
      </c>
      <c r="AD21" s="1341">
        <f>[12]Export!G9</f>
        <v>107.433752652908</v>
      </c>
      <c r="AE21" s="1341">
        <f>[12]Export!H9</f>
        <v>125.49232908190987</v>
      </c>
      <c r="AH21" s="90"/>
      <c r="AI21" s="90"/>
    </row>
    <row r="22" spans="1:36" ht="15">
      <c r="A22" s="329" t="s">
        <v>554</v>
      </c>
      <c r="B22" s="546" t="s">
        <v>705</v>
      </c>
      <c r="C22" s="543"/>
      <c r="D22" s="543"/>
      <c r="E22" s="547" t="str">
        <f>VLOOKUP(A22,FuelNames,2,FALSE)</f>
        <v>ODS</v>
      </c>
      <c r="F22" s="557">
        <f>F19*'Liq Fuel Prices'!$X$7+'Liq Fuel Prices'!$X$8</f>
        <v>201.2610667459243</v>
      </c>
      <c r="G22" s="540">
        <f>G19*'Liq Fuel Prices'!$X$7+'Liq Fuel Prices'!$X$8</f>
        <v>201.2610667459243</v>
      </c>
      <c r="H22" s="540">
        <f>H19*'Liq Fuel Prices'!$X$7+'Liq Fuel Prices'!$X$8</f>
        <v>168.9185358336494</v>
      </c>
      <c r="I22" s="540">
        <f>(I19*'Liq Fuel Prices'!$X$7)+('Liq Fuel Prices'!$X$8*1.3)</f>
        <v>119.88592507685335</v>
      </c>
      <c r="J22" s="540">
        <f>J19*'Liq Fuel Prices'!$X$7+'Liq Fuel Prices'!$X$8</f>
        <v>137.16824623619675</v>
      </c>
      <c r="K22" s="540">
        <f>K19*'Liq Fuel Prices'!$X$7+'Liq Fuel Prices'!$X$8</f>
        <v>131.58041064587684</v>
      </c>
      <c r="L22" s="541">
        <f>L19*'Liq Fuel Prices'!$X$7+'Liq Fuel Prices'!$X$8</f>
        <v>118.80821501085993</v>
      </c>
      <c r="N22" s="430"/>
      <c r="O22" s="1341"/>
      <c r="P22" s="1341"/>
      <c r="Q22" s="1341"/>
      <c r="Y22" s="388"/>
      <c r="Z22" s="1340">
        <f>[12]Export!C10</f>
        <v>0.75</v>
      </c>
      <c r="AA22" s="1341">
        <f>[12]Export!D10</f>
        <v>84.76347793442072</v>
      </c>
      <c r="AB22" s="1341">
        <f>[12]Export!E10</f>
        <v>51</v>
      </c>
      <c r="AC22" s="1341">
        <f>[12]Export!F10</f>
        <v>81.098305148536369</v>
      </c>
      <c r="AD22" s="1341">
        <f>[12]Export!G10</f>
        <v>114.76296804497092</v>
      </c>
      <c r="AE22" s="1341">
        <f>[12]Export!H10</f>
        <v>132.35817079459795</v>
      </c>
      <c r="AH22" s="90"/>
      <c r="AI22" s="90"/>
    </row>
    <row r="23" spans="1:36" ht="15">
      <c r="A23" s="329" t="s">
        <v>591</v>
      </c>
      <c r="B23" s="546" t="s">
        <v>705</v>
      </c>
      <c r="C23" s="543"/>
      <c r="D23" s="543"/>
      <c r="E23" s="547" t="str">
        <f>VLOOKUP(A23,FuelNames,2,FALSE)</f>
        <v>OKE</v>
      </c>
      <c r="F23" s="557">
        <f>F19*'Liq Fuel Prices'!$Y$7+'Liq Fuel Prices'!$Y$8</f>
        <v>208.85766933112501</v>
      </c>
      <c r="G23" s="540">
        <f>G19*'Liq Fuel Prices'!$Y$7+'Liq Fuel Prices'!$Y$8</f>
        <v>208.85766933112501</v>
      </c>
      <c r="H23" s="540">
        <f>H19*'Liq Fuel Prices'!$Y$7+'Liq Fuel Prices'!$Y$8</f>
        <v>177.62067879320267</v>
      </c>
      <c r="I23" s="540">
        <f>I19*'Liq Fuel Prices'!$Y$7+'Liq Fuel Prices'!$Y$8</f>
        <v>130.76519298631914</v>
      </c>
      <c r="J23" s="540">
        <f>J19*'Liq Fuel Prices'!$Y$7+'Liq Fuel Prices'!$Y$8</f>
        <v>146.95568543130369</v>
      </c>
      <c r="K23" s="540">
        <f>K19*'Liq Fuel Prices'!$Y$7+'Liq Fuel Prices'!$Y$8</f>
        <v>141.55885461630882</v>
      </c>
      <c r="L23" s="541">
        <f>L19*'Liq Fuel Prices'!$Y$7+'Liq Fuel Prices'!$Y$8</f>
        <v>129.22324132489203</v>
      </c>
      <c r="N23" s="430"/>
      <c r="O23" s="443"/>
      <c r="Z23" s="1340">
        <f>[12]Export!C11</f>
        <v>0.95</v>
      </c>
      <c r="AA23" s="1341">
        <f>[12]Export!D11</f>
        <v>84.76347793442072</v>
      </c>
      <c r="AB23" s="1341">
        <f>[12]Export!E11</f>
        <v>51</v>
      </c>
      <c r="AC23" s="1341">
        <f>[12]Export!F11</f>
        <v>84.210820058288292</v>
      </c>
      <c r="AD23" s="1341">
        <f>[12]Export!G11</f>
        <v>126.81972514636294</v>
      </c>
      <c r="AE23" s="1341">
        <f>[12]Export!H11</f>
        <v>141.25833597771214</v>
      </c>
      <c r="AH23" s="90"/>
      <c r="AI23" s="90"/>
    </row>
    <row r="24" spans="1:36" ht="15">
      <c r="A24" s="329" t="s">
        <v>546</v>
      </c>
      <c r="B24" s="546" t="s">
        <v>705</v>
      </c>
      <c r="C24" s="543"/>
      <c r="D24" s="543"/>
      <c r="E24" s="547" t="str">
        <f>VLOOKUP(A24,FuelNames,2,FALSE)</f>
        <v>OGS</v>
      </c>
      <c r="F24" s="557">
        <f>F19*'Liq Fuel Prices'!$W$7+'Liq Fuel Prices'!$W$8</f>
        <v>209.42526535752322</v>
      </c>
      <c r="G24" s="540">
        <f>G19*'Liq Fuel Prices'!$W$7+'Liq Fuel Prices'!$W$8</f>
        <v>209.42526535752322</v>
      </c>
      <c r="H24" s="540">
        <f>H19*'Liq Fuel Prices'!$W$7+'Liq Fuel Prices'!$W$8</f>
        <v>176.89791488762791</v>
      </c>
      <c r="I24" s="540">
        <f>I19*'Liq Fuel Prices'!$W$7+'Liq Fuel Prices'!$W$8*1.3</f>
        <v>129.68934115889218</v>
      </c>
      <c r="J24" s="540">
        <f>J19*'Liq Fuel Prices'!$W$7+'Liq Fuel Prices'!$W$8</f>
        <v>144.96619006194166</v>
      </c>
      <c r="K24" s="540">
        <f>K19*'Liq Fuel Prices'!$W$7+'Liq Fuel Prices'!$W$8</f>
        <v>139.34642310222276</v>
      </c>
      <c r="L24" s="541">
        <f>L19*'Liq Fuel Prices'!$W$7+'Liq Fuel Prices'!$W$8</f>
        <v>126.50124148000812</v>
      </c>
      <c r="N24" s="430"/>
      <c r="O24" s="443"/>
      <c r="Z24" s="1340"/>
      <c r="AA24" s="93" t="str">
        <f>[12]Export!D12</f>
        <v>LNG (2015$/MMBTU)</v>
      </c>
      <c r="AH24" s="90"/>
      <c r="AI24" s="90"/>
    </row>
    <row r="25" spans="1:36" ht="15.75" thickBot="1">
      <c r="A25" s="329" t="s">
        <v>550</v>
      </c>
      <c r="B25" s="546" t="s">
        <v>705</v>
      </c>
      <c r="C25" s="543"/>
      <c r="D25" s="543"/>
      <c r="E25" s="547" t="str">
        <f>VLOOKUP(A25,FuelNames,2,FALSE)</f>
        <v>OLP</v>
      </c>
      <c r="F25" s="557">
        <f>F19*'Liq Fuel Prices'!$Z$7+'Liq Fuel Prices'!$Z$8</f>
        <v>346.68482921917371</v>
      </c>
      <c r="G25" s="540">
        <f>G19*'Liq Fuel Prices'!$Z$7+'Liq Fuel Prices'!$Z$8</f>
        <v>346.68482921917371</v>
      </c>
      <c r="H25" s="540">
        <f>H19*'Liq Fuel Prices'!$Z$7+'Liq Fuel Prices'!$Z$8</f>
        <v>319.65503107552286</v>
      </c>
      <c r="I25" s="540">
        <f>I19*'Liq Fuel Prices'!$Z$7+'Liq Fuel Prices'!$Z$8</f>
        <v>279.11033386004658</v>
      </c>
      <c r="J25" s="540">
        <f>J19*'Liq Fuel Prices'!$Z$7+'Liq Fuel Prices'!$Z$8</f>
        <v>293.12018996647748</v>
      </c>
      <c r="K25" s="540">
        <f>K19*'Liq Fuel Prices'!$Z$7+'Liq Fuel Prices'!$Z$8</f>
        <v>288.45023793100052</v>
      </c>
      <c r="L25" s="541">
        <f>L19*'Liq Fuel Prices'!$Z$7+'Liq Fuel Prices'!$Z$8</f>
        <v>277.77606184991026</v>
      </c>
      <c r="N25" s="430"/>
      <c r="O25" s="93" t="s">
        <v>2150</v>
      </c>
      <c r="Z25" s="1340"/>
      <c r="AA25" s="93">
        <f>[12]Export!D13</f>
        <v>2010</v>
      </c>
      <c r="AB25" s="93">
        <f>[12]Export!E13</f>
        <v>2015</v>
      </c>
      <c r="AC25" s="93">
        <f>[12]Export!F13</f>
        <v>2020</v>
      </c>
      <c r="AD25" s="93">
        <f>[12]Export!G13</f>
        <v>2030</v>
      </c>
      <c r="AE25" s="93">
        <f>[12]Export!H13</f>
        <v>2050</v>
      </c>
      <c r="AF25" s="93">
        <f>AA25</f>
        <v>2010</v>
      </c>
      <c r="AG25" s="93">
        <f>AB25</f>
        <v>2015</v>
      </c>
      <c r="AH25" s="93">
        <f>AC25</f>
        <v>2020</v>
      </c>
      <c r="AI25" s="93">
        <f>AD25</f>
        <v>2030</v>
      </c>
      <c r="AJ25" s="93">
        <f>AE25</f>
        <v>2050</v>
      </c>
    </row>
    <row r="26" spans="1:36" ht="16.5" thickBot="1">
      <c r="A26" s="329" t="s">
        <v>548</v>
      </c>
      <c r="B26" s="546" t="s">
        <v>705</v>
      </c>
      <c r="C26" s="543"/>
      <c r="D26" s="543"/>
      <c r="E26" s="547" t="str">
        <f>VLOOKUP(A26,FuelNames,2,FALSE)</f>
        <v>OHF</v>
      </c>
      <c r="F26" s="557">
        <f t="shared" ref="F26:L26" si="9">F20</f>
        <v>166.9851769718156</v>
      </c>
      <c r="G26" s="540">
        <f t="shared" si="9"/>
        <v>166.9851769718156</v>
      </c>
      <c r="H26" s="540">
        <f t="shared" ref="H26" si="10">H20</f>
        <v>140.37937704262814</v>
      </c>
      <c r="I26" s="540">
        <f t="shared" si="9"/>
        <v>100.47067714884695</v>
      </c>
      <c r="J26" s="540">
        <f t="shared" si="9"/>
        <v>114.26077009084555</v>
      </c>
      <c r="K26" s="540">
        <f t="shared" si="9"/>
        <v>109.66407244351267</v>
      </c>
      <c r="L26" s="541">
        <f t="shared" si="9"/>
        <v>99.157334963894698</v>
      </c>
      <c r="N26" s="430"/>
      <c r="O26" s="1246"/>
      <c r="P26" s="1251" t="s">
        <v>2137</v>
      </c>
      <c r="Q26" s="1252"/>
      <c r="S26" s="1255" t="s">
        <v>2138</v>
      </c>
      <c r="T26" s="1247"/>
      <c r="U26" s="1252"/>
      <c r="V26" s="1251" t="s">
        <v>2139</v>
      </c>
      <c r="W26" s="1252"/>
      <c r="Z26" s="1340">
        <f>[12]Export!C14</f>
        <v>0.05</v>
      </c>
      <c r="AA26" s="1341">
        <f>[12]Export!D14</f>
        <v>8.1503344167712228</v>
      </c>
      <c r="AB26" s="1341">
        <f>[12]Export!E14</f>
        <v>8.1503344167712228</v>
      </c>
      <c r="AC26" s="1341">
        <f>[12]Export!F14</f>
        <v>8.3428147519412956</v>
      </c>
      <c r="AD26" s="1341">
        <f>[12]Export!G14</f>
        <v>9.8008280757574973</v>
      </c>
      <c r="AE26" s="1341">
        <f>[12]Export!H14</f>
        <v>10.64026158109483</v>
      </c>
      <c r="AF26" s="1257">
        <f t="shared" ref="AF26:AJ30" si="11">AA26/AA19</f>
        <v>9.6153846153846145E-2</v>
      </c>
      <c r="AG26" s="1257">
        <f t="shared" si="11"/>
        <v>0.15981047876022006</v>
      </c>
      <c r="AH26" s="1257">
        <f t="shared" si="11"/>
        <v>0.11379097232597682</v>
      </c>
      <c r="AI26" s="1257">
        <f t="shared" si="11"/>
        <v>9.9394482043787827E-2</v>
      </c>
      <c r="AJ26" s="1257">
        <f t="shared" si="11"/>
        <v>9.883188359716262E-2</v>
      </c>
    </row>
    <row r="27" spans="1:36" ht="15.75" thickBot="1">
      <c r="A27" s="987" t="s">
        <v>1580</v>
      </c>
      <c r="B27" s="532"/>
      <c r="C27" s="546"/>
      <c r="D27" s="532"/>
      <c r="E27" s="547"/>
      <c r="F27" s="557"/>
      <c r="G27" s="540"/>
      <c r="H27" s="540"/>
      <c r="I27" s="540"/>
      <c r="J27" s="540"/>
      <c r="K27" s="540"/>
      <c r="L27" s="541"/>
      <c r="N27" s="430"/>
      <c r="O27" s="1248" t="s">
        <v>162</v>
      </c>
      <c r="P27" s="1249" t="s">
        <v>982</v>
      </c>
      <c r="Q27" s="1250" t="s">
        <v>2140</v>
      </c>
      <c r="R27" s="1250" t="s">
        <v>146</v>
      </c>
      <c r="S27" s="1250" t="s">
        <v>1003</v>
      </c>
      <c r="T27" s="1250" t="s">
        <v>984</v>
      </c>
      <c r="U27" s="1250" t="s">
        <v>967</v>
      </c>
      <c r="V27" s="1250" t="s">
        <v>984</v>
      </c>
      <c r="W27" s="1250" t="s">
        <v>967</v>
      </c>
      <c r="Z27" s="1340">
        <f>[12]Export!C15</f>
        <v>0.25</v>
      </c>
      <c r="AA27" s="1341">
        <f>[12]Export!D15</f>
        <v>8.1503344167712228</v>
      </c>
      <c r="AB27" s="1341">
        <f>[12]Export!E15</f>
        <v>8.1503344167712228</v>
      </c>
      <c r="AC27" s="1341">
        <f>[12]Export!F15</f>
        <v>8.6297778388377875</v>
      </c>
      <c r="AD27" s="1341">
        <f>[12]Export!G15</f>
        <v>10.297404179962657</v>
      </c>
      <c r="AE27" s="1341">
        <f>[12]Export!H15</f>
        <v>11.434919186730026</v>
      </c>
      <c r="AF27" s="1257">
        <f t="shared" si="11"/>
        <v>9.6153846153846145E-2</v>
      </c>
      <c r="AG27" s="1257">
        <f t="shared" si="11"/>
        <v>0.15981047876022006</v>
      </c>
      <c r="AH27" s="1257">
        <f t="shared" si="11"/>
        <v>0.1137263423000448</v>
      </c>
      <c r="AI27" s="1257">
        <f t="shared" si="11"/>
        <v>9.9232696130074072E-2</v>
      </c>
      <c r="AJ27" s="1257">
        <f t="shared" si="11"/>
        <v>9.7969387185073448E-2</v>
      </c>
    </row>
    <row r="28" spans="1:36" ht="15.75" thickBot="1">
      <c r="A28" s="329" t="str">
        <f>A22</f>
        <v>Oil Diesel</v>
      </c>
      <c r="B28" s="532" t="s">
        <v>705</v>
      </c>
      <c r="C28" s="546"/>
      <c r="D28" s="532"/>
      <c r="E28" s="122" t="str">
        <f>"xxx"&amp;E22</f>
        <v>xxxODS</v>
      </c>
      <c r="F28" s="557">
        <f>F22*'Liq Fuel Prices'!$X$15+'Liq Fuel Prices'!$X$16</f>
        <v>300.21200665175047</v>
      </c>
      <c r="G28" s="540">
        <f>G22*'Liq Fuel Prices'!$X$15+'Liq Fuel Prices'!$X$16</f>
        <v>300.21200665175047</v>
      </c>
      <c r="H28" s="540">
        <f>H22*'Liq Fuel Prices'!$X$15+'Liq Fuel Prices'!$X$16</f>
        <v>259.55738408163097</v>
      </c>
      <c r="I28" s="540">
        <f>I22*'Liq Fuel Prices'!$X$15+'Liq Fuel Prices'!$X$16</f>
        <v>197.92329955831448</v>
      </c>
      <c r="J28" s="540">
        <f>J22*'Liq Fuel Prices'!$X$15+'Liq Fuel Prices'!$X$16</f>
        <v>219.64720996515396</v>
      </c>
      <c r="K28" s="540">
        <f>K22*'Liq Fuel Prices'!$X$15+'Liq Fuel Prices'!$X$16</f>
        <v>212.62329005225317</v>
      </c>
      <c r="L28" s="541">
        <f>L22*'Liq Fuel Prices'!$X$15+'Liq Fuel Prices'!$X$16</f>
        <v>196.56861596562283</v>
      </c>
      <c r="N28" s="430"/>
      <c r="O28" s="1248" t="s">
        <v>2141</v>
      </c>
      <c r="P28" s="1253" t="s">
        <v>2151</v>
      </c>
      <c r="Q28" s="1254" t="s">
        <v>2152</v>
      </c>
      <c r="R28" s="1254" t="s">
        <v>2153</v>
      </c>
      <c r="S28" s="1254" t="s">
        <v>2154</v>
      </c>
      <c r="T28" s="1254" t="s">
        <v>2155</v>
      </c>
      <c r="U28" s="1254" t="s">
        <v>2155</v>
      </c>
      <c r="V28" s="1254" t="s">
        <v>2156</v>
      </c>
      <c r="W28" s="1254" t="s">
        <v>2156</v>
      </c>
      <c r="Z28" s="1340">
        <f>[12]Export!C16</f>
        <v>0.5</v>
      </c>
      <c r="AA28" s="1341">
        <f>[12]Export!D16</f>
        <v>8.1503344167712228</v>
      </c>
      <c r="AB28" s="1341">
        <f>[12]Export!E16</f>
        <v>8.1503344167712228</v>
      </c>
      <c r="AC28" s="1341">
        <f>[12]Export!F16</f>
        <v>9.0140661065885528</v>
      </c>
      <c r="AD28" s="1341">
        <f>[12]Export!G16</f>
        <v>10.959143415150999</v>
      </c>
      <c r="AE28" s="1341">
        <f>[12]Export!H16</f>
        <v>12.559665336244453</v>
      </c>
      <c r="AF28" s="1257">
        <f t="shared" si="11"/>
        <v>9.6153846153846145E-2</v>
      </c>
      <c r="AG28" s="1257">
        <f t="shared" si="11"/>
        <v>0.15981047876022006</v>
      </c>
      <c r="AH28" s="1257">
        <f t="shared" si="11"/>
        <v>0.11465386191133345</v>
      </c>
      <c r="AI28" s="1257">
        <f t="shared" si="11"/>
        <v>0.10200838325509576</v>
      </c>
      <c r="AJ28" s="1257">
        <f t="shared" si="11"/>
        <v>0.10008313199802561</v>
      </c>
    </row>
    <row r="29" spans="1:36" ht="15.75" thickBot="1">
      <c r="A29" s="329" t="str">
        <f>A23</f>
        <v>Oil Kerosene</v>
      </c>
      <c r="B29" s="532" t="s">
        <v>705</v>
      </c>
      <c r="C29" s="546"/>
      <c r="D29" s="532"/>
      <c r="E29" s="122" t="str">
        <f>"xxx"&amp;E23</f>
        <v>xxxOKE</v>
      </c>
      <c r="F29" s="557">
        <f>F23*'Liq Fuel Prices'!$Y$15+'Liq Fuel Prices'!$Y$16</f>
        <v>238.00739908716335</v>
      </c>
      <c r="G29" s="540">
        <f>G23*'Liq Fuel Prices'!$Y$15+'Liq Fuel Prices'!$Y$16</f>
        <v>238.00739908716335</v>
      </c>
      <c r="H29" s="540">
        <f>H23*'Liq Fuel Prices'!$Y$15+'Liq Fuel Prices'!$Y$16</f>
        <v>204.6166705919847</v>
      </c>
      <c r="I29" s="540">
        <f>I23*'Liq Fuel Prices'!$Y$15+'Liq Fuel Prices'!$Y$16</f>
        <v>154.53057784921668</v>
      </c>
      <c r="J29" s="540">
        <f>J23*'Liq Fuel Prices'!$Y$15+'Liq Fuel Prices'!$Y$16</f>
        <v>171.83737751602217</v>
      </c>
      <c r="K29" s="540">
        <f>K23*'Liq Fuel Prices'!$Y$15+'Liq Fuel Prices'!$Y$16</f>
        <v>166.06844429375366</v>
      </c>
      <c r="L29" s="541">
        <f>L23*'Liq Fuel Prices'!$Y$15+'Liq Fuel Prices'!$Y$16</f>
        <v>152.88231121428282</v>
      </c>
      <c r="N29" s="430"/>
      <c r="O29" s="1248" t="s">
        <v>2142</v>
      </c>
      <c r="P29" s="1253" t="s">
        <v>2157</v>
      </c>
      <c r="Q29" s="1254" t="s">
        <v>2157</v>
      </c>
      <c r="R29" s="1254" t="s">
        <v>2157</v>
      </c>
      <c r="S29" s="1254" t="s">
        <v>2157</v>
      </c>
      <c r="T29" s="1254" t="s">
        <v>2158</v>
      </c>
      <c r="U29" s="1254" t="s">
        <v>2158</v>
      </c>
      <c r="V29" s="1254" t="s">
        <v>2159</v>
      </c>
      <c r="W29" s="1254" t="s">
        <v>2159</v>
      </c>
      <c r="Z29" s="1340">
        <f>[12]Export!C17</f>
        <v>0.75</v>
      </c>
      <c r="AA29" s="1341">
        <f>[12]Export!D17</f>
        <v>8.1503344167712228</v>
      </c>
      <c r="AB29" s="1341">
        <f>[12]Export!E17</f>
        <v>8.1503344167712228</v>
      </c>
      <c r="AC29" s="1341">
        <f>[12]Export!F17</f>
        <v>9.7554918405642095</v>
      </c>
      <c r="AD29" s="1341">
        <f>[12]Export!G17</f>
        <v>11.953450254270349</v>
      </c>
      <c r="AE29" s="1341">
        <f>[12]Export!H17</f>
        <v>14.283461065391567</v>
      </c>
      <c r="AF29" s="1257">
        <f t="shared" si="11"/>
        <v>9.6153846153846145E-2</v>
      </c>
      <c r="AG29" s="1257">
        <f t="shared" si="11"/>
        <v>0.15981047876022006</v>
      </c>
      <c r="AH29" s="1257">
        <f t="shared" si="11"/>
        <v>0.1202921790128221</v>
      </c>
      <c r="AI29" s="1257">
        <f t="shared" si="11"/>
        <v>0.104157730127599</v>
      </c>
      <c r="AJ29" s="1257">
        <f t="shared" si="11"/>
        <v>0.10791521958668931</v>
      </c>
    </row>
    <row r="30" spans="1:36" ht="15.75" thickBot="1">
      <c r="A30" s="329" t="str">
        <f>A24</f>
        <v>Oil Gasoline</v>
      </c>
      <c r="B30" s="532" t="s">
        <v>705</v>
      </c>
      <c r="C30" s="546"/>
      <c r="D30" s="532"/>
      <c r="E30" s="122" t="str">
        <f>"xxx"&amp;E24</f>
        <v>xxxOGS</v>
      </c>
      <c r="F30" s="557">
        <f>F24*'Liq Fuel Prices'!$W$15+'Liq Fuel Prices'!$W$16</f>
        <v>354.33196430085655</v>
      </c>
      <c r="G30" s="540">
        <f>G24*'Liq Fuel Prices'!$W$15+'Liq Fuel Prices'!$W$16</f>
        <v>354.33196430085655</v>
      </c>
      <c r="H30" s="540">
        <f>H24*'Liq Fuel Prices'!$W$15+'Liq Fuel Prices'!$W$16</f>
        <v>310.20615263731383</v>
      </c>
      <c r="I30" s="540">
        <f>I24*'Liq Fuel Prices'!$W$15+'Liq Fuel Prices'!$W$16</f>
        <v>246.1641509628576</v>
      </c>
      <c r="J30" s="540">
        <f>J24*'Liq Fuel Prices'!$W$15+'Liq Fuel Prices'!$W$16</f>
        <v>266.88835222026574</v>
      </c>
      <c r="K30" s="540">
        <f>K24*'Liq Fuel Prices'!$W$15+'Liq Fuel Prices'!$W$16</f>
        <v>259.26471319417715</v>
      </c>
      <c r="L30" s="541">
        <f>L24*'Liq Fuel Prices'!$W$15+'Liq Fuel Prices'!$W$16</f>
        <v>241.83925256311744</v>
      </c>
      <c r="N30" s="430"/>
      <c r="O30" s="1248" t="s">
        <v>2143</v>
      </c>
      <c r="P30" s="1253" t="s">
        <v>2160</v>
      </c>
      <c r="Q30" s="1254" t="s">
        <v>2161</v>
      </c>
      <c r="R30" s="1254" t="s">
        <v>2162</v>
      </c>
      <c r="S30" s="1254" t="s">
        <v>2154</v>
      </c>
      <c r="T30" s="1254" t="s">
        <v>2144</v>
      </c>
      <c r="U30" s="1254" t="s">
        <v>2145</v>
      </c>
      <c r="V30" s="1254" t="s">
        <v>2144</v>
      </c>
      <c r="W30" s="1254" t="s">
        <v>2145</v>
      </c>
      <c r="Z30" s="1340">
        <f>[12]Export!C18</f>
        <v>0.95</v>
      </c>
      <c r="AA30" s="1341">
        <f>[12]Export!D18</f>
        <v>8.1503344167712228</v>
      </c>
      <c r="AB30" s="1341">
        <f>[12]Export!E18</f>
        <v>8.1503344167712228</v>
      </c>
      <c r="AC30" s="1341">
        <f>[12]Export!F18</f>
        <v>10.091744074846128</v>
      </c>
      <c r="AD30" s="1341">
        <f>[12]Export!G18</f>
        <v>12.855473233969482</v>
      </c>
      <c r="AE30" s="1341">
        <f>[12]Export!H18</f>
        <v>15.974655456871597</v>
      </c>
      <c r="AF30" s="1257">
        <f t="shared" si="11"/>
        <v>9.6153846153846145E-2</v>
      </c>
      <c r="AG30" s="1257">
        <f t="shared" si="11"/>
        <v>0.15981047876022006</v>
      </c>
      <c r="AH30" s="1257">
        <f t="shared" si="11"/>
        <v>0.11983904286718636</v>
      </c>
      <c r="AI30" s="1257">
        <f t="shared" si="11"/>
        <v>0.10136808938146609</v>
      </c>
      <c r="AJ30" s="1257">
        <f t="shared" si="11"/>
        <v>0.11308823190011308</v>
      </c>
    </row>
    <row r="31" spans="1:36" ht="15.75" thickBot="1">
      <c r="A31" s="329" t="str">
        <f>A25</f>
        <v>Oil LPG</v>
      </c>
      <c r="B31" s="532" t="s">
        <v>705</v>
      </c>
      <c r="C31" s="546"/>
      <c r="D31" s="532"/>
      <c r="E31" s="122" t="str">
        <f>"xxx"&amp;E25</f>
        <v>xxxOLP</v>
      </c>
      <c r="F31" s="557">
        <f>F25*'Liq Fuel Prices'!$Z$15+'Liq Fuel Prices'!$Z$16</f>
        <v>504.61367751283024</v>
      </c>
      <c r="G31" s="540">
        <f>G25*'Liq Fuel Prices'!$Z$15+'Liq Fuel Prices'!$Z$16</f>
        <v>504.61367751283024</v>
      </c>
      <c r="H31" s="540">
        <f>H25*'Liq Fuel Prices'!$Z$15+'Liq Fuel Prices'!$Z$16</f>
        <v>469.19128934406911</v>
      </c>
      <c r="I31" s="540">
        <f>I25*'Liq Fuel Prices'!$Z$15+'Liq Fuel Prices'!$Z$16</f>
        <v>416.05770709092741</v>
      </c>
      <c r="J31" s="540">
        <f>J25*'Liq Fuel Prices'!$Z$15+'Liq Fuel Prices'!$Z$16</f>
        <v>434.41753939722429</v>
      </c>
      <c r="K31" s="540">
        <f>K25*'Liq Fuel Prices'!$Z$15+'Liq Fuel Prices'!$Z$16</f>
        <v>428.29759529512529</v>
      </c>
      <c r="L31" s="541">
        <f>L25*'Liq Fuel Prices'!$Z$15+'Liq Fuel Prices'!$Z$16</f>
        <v>414.3091516331848</v>
      </c>
      <c r="N31" s="430"/>
      <c r="O31" s="1248" t="s">
        <v>2146</v>
      </c>
      <c r="P31" s="1253" t="s">
        <v>2163</v>
      </c>
      <c r="Q31" s="1254" t="s">
        <v>2164</v>
      </c>
      <c r="R31" s="1254" t="s">
        <v>2165</v>
      </c>
      <c r="S31" s="1254" t="s">
        <v>2166</v>
      </c>
      <c r="T31" s="1254" t="s">
        <v>2147</v>
      </c>
      <c r="U31" s="1254" t="s">
        <v>2167</v>
      </c>
      <c r="V31" s="1254" t="s">
        <v>2148</v>
      </c>
      <c r="W31" s="1254" t="s">
        <v>2149</v>
      </c>
      <c r="Z31" s="1340"/>
      <c r="AA31" s="93" t="str">
        <f>[12]Export!D19</f>
        <v>Shale(2015$/MMBTU)</v>
      </c>
      <c r="AH31" s="90"/>
      <c r="AI31" s="90"/>
    </row>
    <row r="32" spans="1:36" ht="13.5" customHeight="1" thickBot="1">
      <c r="A32" s="534" t="str">
        <f>A26</f>
        <v>Oil HFO</v>
      </c>
      <c r="B32" s="548" t="s">
        <v>705</v>
      </c>
      <c r="C32" s="551"/>
      <c r="D32" s="548"/>
      <c r="E32" s="535" t="str">
        <f>"xxx"&amp;E26</f>
        <v>xxxOHF</v>
      </c>
      <c r="F32" s="559">
        <f t="shared" ref="F32:L32" si="12">F20</f>
        <v>166.9851769718156</v>
      </c>
      <c r="G32" s="549">
        <f t="shared" si="12"/>
        <v>166.9851769718156</v>
      </c>
      <c r="H32" s="549">
        <f t="shared" ref="H32" si="13">H20</f>
        <v>140.37937704262814</v>
      </c>
      <c r="I32" s="549">
        <f t="shared" si="12"/>
        <v>100.47067714884695</v>
      </c>
      <c r="J32" s="549">
        <f t="shared" si="12"/>
        <v>114.26077009084555</v>
      </c>
      <c r="K32" s="549">
        <f t="shared" si="12"/>
        <v>109.66407244351267</v>
      </c>
      <c r="L32" s="550">
        <f t="shared" si="12"/>
        <v>99.157334963894698</v>
      </c>
      <c r="O32" s="430"/>
      <c r="Q32" s="430"/>
      <c r="Z32" s="1340"/>
      <c r="AA32" s="93">
        <f>[12]Export!D20</f>
        <v>2010</v>
      </c>
      <c r="AB32" s="93">
        <f>[12]Export!E20</f>
        <v>2015</v>
      </c>
      <c r="AC32" s="93">
        <f>[12]Export!F20</f>
        <v>2020</v>
      </c>
      <c r="AD32" s="93">
        <f>[12]Export!G20</f>
        <v>2030</v>
      </c>
      <c r="AE32" s="93">
        <f>[12]Export!H20</f>
        <v>2050</v>
      </c>
      <c r="AF32" s="93">
        <f>AA32</f>
        <v>2010</v>
      </c>
      <c r="AG32" s="93">
        <f>AB32</f>
        <v>2015</v>
      </c>
      <c r="AH32" s="93">
        <f>AC32</f>
        <v>2020</v>
      </c>
      <c r="AI32" s="93">
        <f>AD32</f>
        <v>2030</v>
      </c>
      <c r="AJ32" s="93">
        <f>AE32</f>
        <v>2050</v>
      </c>
    </row>
    <row r="33" spans="1:43" ht="13.5" customHeight="1" thickBot="1">
      <c r="A33" s="98"/>
      <c r="C33" s="90"/>
      <c r="D33" s="90"/>
      <c r="E33" s="698" t="s">
        <v>1070</v>
      </c>
      <c r="O33" s="701" t="s">
        <v>1068</v>
      </c>
      <c r="P33" s="701"/>
      <c r="Q33" s="701"/>
      <c r="R33" s="701"/>
      <c r="S33" s="701"/>
      <c r="T33" s="704"/>
      <c r="V33" s="694" t="s">
        <v>927</v>
      </c>
      <c r="Z33" s="1340">
        <f>[12]Export!C21</f>
        <v>0.05</v>
      </c>
      <c r="AA33" s="1341">
        <f>[12]Export!D21</f>
        <v>8.0869454986247469</v>
      </c>
      <c r="AB33" s="1341">
        <f>[12]Export!E21</f>
        <v>6.7049296712283812</v>
      </c>
      <c r="AC33" s="1341">
        <f>[12]Export!F21</f>
        <v>4.7692975220111435</v>
      </c>
      <c r="AD33" s="1341">
        <f>[12]Export!G21</f>
        <v>4.9613919398112687</v>
      </c>
      <c r="AE33" s="1341">
        <f>[12]Export!H21</f>
        <v>4.5057574706483354</v>
      </c>
      <c r="AF33" s="1339">
        <f>AA33/AA19</f>
        <v>9.5406013246429139E-2</v>
      </c>
      <c r="AG33" s="1339">
        <f t="shared" ref="AG33:AJ37" si="14">AB33/AB19</f>
        <v>0.13146920923977218</v>
      </c>
      <c r="AH33" s="1339">
        <f t="shared" si="14"/>
        <v>6.5050347931462568E-2</v>
      </c>
      <c r="AI33" s="1339">
        <f t="shared" si="14"/>
        <v>5.0315644582475838E-2</v>
      </c>
      <c r="AJ33" s="1339">
        <f t="shared" si="14"/>
        <v>4.1851649460138717E-2</v>
      </c>
    </row>
    <row r="34" spans="1:43" ht="13.5" customHeight="1">
      <c r="A34" s="501" t="s">
        <v>999</v>
      </c>
      <c r="C34" s="90"/>
      <c r="D34" s="90"/>
      <c r="E34" s="29" t="s">
        <v>13454</v>
      </c>
      <c r="G34" s="90"/>
      <c r="H34" s="90"/>
      <c r="I34" s="90"/>
      <c r="J34" s="90"/>
      <c r="M34" s="93" t="s">
        <v>2121</v>
      </c>
      <c r="O34" s="691" t="s">
        <v>2170</v>
      </c>
      <c r="P34" s="529" t="s">
        <v>2169</v>
      </c>
      <c r="Q34" s="529" t="s">
        <v>2168</v>
      </c>
      <c r="R34" s="1260" t="str">
        <f>M14</f>
        <v>WEO2020 Stated Policies</v>
      </c>
      <c r="S34" s="529" t="str">
        <f>M15</f>
        <v>WEO 2020 Sust. Dev.</v>
      </c>
      <c r="T34" s="529" t="str">
        <f>M16</f>
        <v>WEO 2020 Delayed Recovery</v>
      </c>
      <c r="U34" s="93" t="s">
        <v>13454</v>
      </c>
      <c r="V34" s="695"/>
      <c r="Z34" s="1340">
        <f>[12]Export!C22</f>
        <v>0.25</v>
      </c>
      <c r="AA34" s="1341">
        <f>[12]Export!D22</f>
        <v>8.1465330338997113</v>
      </c>
      <c r="AB34" s="1341">
        <f>[12]Export!E22</f>
        <v>8.2025938686525883</v>
      </c>
      <c r="AC34" s="1341">
        <f>[12]Export!F22</f>
        <v>7.3517748968881653</v>
      </c>
      <c r="AD34" s="1341">
        <f>[12]Export!G22</f>
        <v>8.120572408201209</v>
      </c>
      <c r="AE34" s="1341">
        <f>[12]Export!H22</f>
        <v>7.4201738278995295</v>
      </c>
      <c r="AF34" s="1339">
        <f>AA34/AA20</f>
        <v>9.6108999210750529E-2</v>
      </c>
      <c r="AG34" s="1339">
        <f t="shared" si="14"/>
        <v>0.16083517389514879</v>
      </c>
      <c r="AH34" s="1339">
        <f t="shared" si="14"/>
        <v>9.6884356011299161E-2</v>
      </c>
      <c r="AI34" s="1339">
        <f t="shared" si="14"/>
        <v>7.8255284545722933E-2</v>
      </c>
      <c r="AJ34" s="1339">
        <f t="shared" si="14"/>
        <v>6.3572804569502081E-2</v>
      </c>
    </row>
    <row r="35" spans="1:43" ht="13.5" customHeight="1">
      <c r="A35" s="699" t="str">
        <f>NameConv!B24</f>
        <v>Gas Indigenous Ibhubezi</v>
      </c>
      <c r="C35" s="90"/>
      <c r="D35" s="90" t="str">
        <f>B63</f>
        <v>MINGIB</v>
      </c>
      <c r="E35" s="547" t="str">
        <f>VLOOKUP(A35,FuelNames,2,FALSE)</f>
        <v>GIB</v>
      </c>
      <c r="F35" s="682">
        <f t="shared" ref="F35:F40" si="15">SUMIF($O$34:$U$34,$E$34,O35:U35)</f>
        <v>0.10454194041570421</v>
      </c>
      <c r="G35" s="675">
        <f t="shared" ref="G35:I40" si="16">($F35*G$14+$V35)*G$13/1.055</f>
        <v>100.07852866986421</v>
      </c>
      <c r="H35" s="675">
        <f t="shared" si="16"/>
        <v>84.132985722376887</v>
      </c>
      <c r="I35" s="675">
        <f t="shared" si="16"/>
        <v>60.21467130114587</v>
      </c>
      <c r="J35" s="675">
        <f t="shared" ref="J35:L40" si="17">IF($M35,($F35*J$14+$V35)*J$13/1.055,I35)</f>
        <v>68.479430107185507</v>
      </c>
      <c r="K35" s="675">
        <f t="shared" si="17"/>
        <v>65.72451050517229</v>
      </c>
      <c r="L35" s="675">
        <f t="shared" si="17"/>
        <v>59.427551414856381</v>
      </c>
      <c r="M35" s="667">
        <v>1</v>
      </c>
      <c r="O35" s="692">
        <v>7.0000000000000007E-2</v>
      </c>
      <c r="P35" s="1257">
        <f>(O35+Q35)/2</f>
        <v>9.5000000000000001E-2</v>
      </c>
      <c r="Q35" s="1258">
        <v>0.12</v>
      </c>
      <c r="R35" s="1261">
        <f t="shared" ref="R35:T38" si="18">$U35</f>
        <v>0.10454194041570421</v>
      </c>
      <c r="S35" s="1261">
        <f t="shared" si="18"/>
        <v>0.10454194041570421</v>
      </c>
      <c r="T35" s="1261">
        <f t="shared" si="18"/>
        <v>0.10454194041570421</v>
      </c>
      <c r="U35" s="1257">
        <f>$U$39-1%</f>
        <v>0.10454194041570421</v>
      </c>
      <c r="V35" s="695"/>
      <c r="Z35" s="1340">
        <f>[12]Export!C23</f>
        <v>0.5</v>
      </c>
      <c r="AA35" s="1341">
        <f>[12]Export!D23</f>
        <v>8.1881379396328526</v>
      </c>
      <c r="AB35" s="1341">
        <f>[12]Export!E23</f>
        <v>9.39276444788484</v>
      </c>
      <c r="AC35" s="1341">
        <f>[12]Export!F23</f>
        <v>10.773557760174372</v>
      </c>
      <c r="AD35" s="1341">
        <f>[12]Export!G23</f>
        <v>10.8172157152895</v>
      </c>
      <c r="AE35" s="1341">
        <f>[12]Export!H23</f>
        <v>10.88496798036755</v>
      </c>
      <c r="AF35" s="1339">
        <f>AA35/AA21</f>
        <v>9.659983449437741E-2</v>
      </c>
      <c r="AG35" s="1339">
        <f t="shared" si="14"/>
        <v>0.1841718519193106</v>
      </c>
      <c r="AH35" s="1339">
        <f t="shared" si="14"/>
        <v>0.13703360826541466</v>
      </c>
      <c r="AI35" s="1257">
        <f t="shared" si="14"/>
        <v>0.10068731146567374</v>
      </c>
      <c r="AJ35" s="1339">
        <f t="shared" si="14"/>
        <v>8.673811427360506E-2</v>
      </c>
    </row>
    <row r="36" spans="1:43" ht="13.5" customHeight="1">
      <c r="A36" s="392" t="s">
        <v>2120</v>
      </c>
      <c r="C36" s="90"/>
      <c r="D36" s="90" t="str">
        <f>B64</f>
        <v>MINGAS</v>
      </c>
      <c r="E36" s="547" t="s">
        <v>366</v>
      </c>
      <c r="F36" s="682">
        <f t="shared" si="15"/>
        <v>9.4541940415704198E-2</v>
      </c>
      <c r="G36" s="675">
        <f t="shared" si="16"/>
        <v>90.505478057649768</v>
      </c>
      <c r="H36" s="675">
        <f t="shared" si="16"/>
        <v>76.085212227086132</v>
      </c>
      <c r="I36" s="675">
        <f t="shared" si="16"/>
        <v>54.454813481240663</v>
      </c>
      <c r="J36" s="675">
        <f t="shared" si="17"/>
        <v>54.454813481240663</v>
      </c>
      <c r="K36" s="675">
        <f t="shared" si="17"/>
        <v>54.454813481240663</v>
      </c>
      <c r="L36" s="675">
        <f t="shared" si="17"/>
        <v>54.454813481240663</v>
      </c>
      <c r="M36" s="667">
        <v>0</v>
      </c>
      <c r="O36" s="692">
        <v>7.0000000000000007E-2</v>
      </c>
      <c r="P36" s="1257">
        <f>(O36+Q36)/2</f>
        <v>8.5000000000000006E-2</v>
      </c>
      <c r="Q36" s="1256">
        <v>0.1</v>
      </c>
      <c r="R36" s="1261">
        <f t="shared" si="18"/>
        <v>9.4541940415704198E-2</v>
      </c>
      <c r="S36" s="1261">
        <f t="shared" si="18"/>
        <v>9.4541940415704198E-2</v>
      </c>
      <c r="T36" s="1261">
        <f t="shared" si="18"/>
        <v>9.4541940415704198E-2</v>
      </c>
      <c r="U36" s="1257">
        <f>U39-2%</f>
        <v>9.4541940415704198E-2</v>
      </c>
      <c r="V36" s="695"/>
      <c r="Z36" s="1340">
        <f>[12]Export!C24</f>
        <v>0.75</v>
      </c>
      <c r="AA36" s="1341">
        <f>[12]Export!D24</f>
        <v>8.2301326312875958</v>
      </c>
      <c r="AB36" s="1341">
        <f>[12]Export!E24</f>
        <v>10.507400823250775</v>
      </c>
      <c r="AC36" s="1341">
        <f>[12]Export!F24</f>
        <v>14.3817212159371</v>
      </c>
      <c r="AD36" s="1341">
        <f>[12]Export!G24</f>
        <v>13.406527739419724</v>
      </c>
      <c r="AE36" s="1341">
        <f>[12]Export!H24</f>
        <v>13.997003925763375</v>
      </c>
      <c r="AF36" s="1339">
        <f>AA36/AA22</f>
        <v>9.7095268290607814E-2</v>
      </c>
      <c r="AG36" s="1339">
        <f t="shared" si="14"/>
        <v>0.2060274671225642</v>
      </c>
      <c r="AH36" s="1339">
        <f t="shared" si="14"/>
        <v>0.17733688995837979</v>
      </c>
      <c r="AI36" s="1339">
        <f t="shared" si="14"/>
        <v>0.11681928384917907</v>
      </c>
      <c r="AJ36" s="1339">
        <f t="shared" si="14"/>
        <v>0.10575096226952878</v>
      </c>
    </row>
    <row r="37" spans="1:43" ht="13.5" customHeight="1">
      <c r="A37" s="392" t="str">
        <f>NameConv!B25</f>
        <v>Gas Indigenous Shale</v>
      </c>
      <c r="C37" s="90"/>
      <c r="D37" s="90" t="str">
        <f>B65</f>
        <v>MINGIH</v>
      </c>
      <c r="E37" s="547" t="str">
        <f>VLOOKUP(A37,FuelNames,2,FALSE)</f>
        <v>GIH</v>
      </c>
      <c r="F37" s="682">
        <f t="shared" si="15"/>
        <v>0.10068731146567374</v>
      </c>
      <c r="G37" s="675">
        <f t="shared" si="16"/>
        <v>96.38847286686935</v>
      </c>
      <c r="H37" s="675">
        <f t="shared" si="16"/>
        <v>81.030867652553312</v>
      </c>
      <c r="I37" s="675">
        <f t="shared" si="16"/>
        <v>57.994459831079268</v>
      </c>
      <c r="J37" s="675">
        <f t="shared" si="17"/>
        <v>57.994459831079268</v>
      </c>
      <c r="K37" s="675">
        <f t="shared" si="17"/>
        <v>57.994459831079268</v>
      </c>
      <c r="L37" s="675">
        <f t="shared" si="17"/>
        <v>57.994459831079268</v>
      </c>
      <c r="M37" s="667">
        <v>0</v>
      </c>
      <c r="O37" s="692">
        <v>0.06</v>
      </c>
      <c r="P37" s="1257">
        <f>(O37+Q37)/2</f>
        <v>0.08</v>
      </c>
      <c r="Q37" s="1256">
        <v>0.1</v>
      </c>
      <c r="R37" s="1261">
        <f t="shared" si="18"/>
        <v>0.10068731146567374</v>
      </c>
      <c r="S37" s="1261">
        <f t="shared" si="18"/>
        <v>0.10068731146567374</v>
      </c>
      <c r="T37" s="1261">
        <f t="shared" si="18"/>
        <v>0.10068731146567374</v>
      </c>
      <c r="U37" s="1342">
        <f>AI35</f>
        <v>0.10068731146567374</v>
      </c>
      <c r="V37" s="695"/>
      <c r="Z37" s="1340">
        <f>[12]Export!C25</f>
        <v>0.95</v>
      </c>
      <c r="AA37" s="1341">
        <f>[12]Export!D25</f>
        <v>8.2818014980867112</v>
      </c>
      <c r="AB37" s="1341">
        <f>[12]Export!E25</f>
        <v>12.017743499367629</v>
      </c>
      <c r="AC37" s="1341">
        <f>[12]Export!F25</f>
        <v>16.91401912191181</v>
      </c>
      <c r="AD37" s="1341">
        <f>[12]Export!G25</f>
        <v>16.545164815873392</v>
      </c>
      <c r="AE37" s="1341">
        <f>[12]Export!H25</f>
        <v>16.813949721541967</v>
      </c>
      <c r="AF37" s="1339">
        <f>AA37/AA23</f>
        <v>9.770483349555481E-2</v>
      </c>
      <c r="AG37" s="1339">
        <f t="shared" si="14"/>
        <v>0.23564202939936529</v>
      </c>
      <c r="AH37" s="1339">
        <f t="shared" si="14"/>
        <v>0.20085327645787579</v>
      </c>
      <c r="AI37" s="1339">
        <f t="shared" si="14"/>
        <v>0.13046207754179073</v>
      </c>
      <c r="AJ37" s="1339">
        <f t="shared" si="14"/>
        <v>0.11902978755317412</v>
      </c>
    </row>
    <row r="38" spans="1:43" ht="13.5" customHeight="1">
      <c r="A38" s="700" t="str">
        <f>NameConv!B23</f>
        <v>Gas Northern Mozambique</v>
      </c>
      <c r="D38" s="93" t="str">
        <f>B93</f>
        <v>MIRGRM</v>
      </c>
      <c r="E38" s="547" t="str">
        <f>VLOOKUP(A38,FuelNames,2,FALSE)</f>
        <v>GRM</v>
      </c>
      <c r="F38" s="682">
        <f t="shared" si="15"/>
        <v>0.10454194041570421</v>
      </c>
      <c r="G38" s="675">
        <f t="shared" si="16"/>
        <v>100.07852866986421</v>
      </c>
      <c r="H38" s="675">
        <f t="shared" si="16"/>
        <v>84.132985722376887</v>
      </c>
      <c r="I38" s="675">
        <f t="shared" si="16"/>
        <v>60.21467130114587</v>
      </c>
      <c r="J38" s="675">
        <f t="shared" si="17"/>
        <v>60.21467130114587</v>
      </c>
      <c r="K38" s="675">
        <f t="shared" si="17"/>
        <v>60.21467130114587</v>
      </c>
      <c r="L38" s="675">
        <f t="shared" si="17"/>
        <v>60.21467130114587</v>
      </c>
      <c r="M38" s="667">
        <v>0</v>
      </c>
      <c r="O38" s="692">
        <v>0.03</v>
      </c>
      <c r="P38" s="1257">
        <f>(O38+Q38)/2</f>
        <v>5.5E-2</v>
      </c>
      <c r="Q38" s="1256">
        <v>0.08</v>
      </c>
      <c r="R38" s="1261">
        <f t="shared" si="18"/>
        <v>0.10454194041570421</v>
      </c>
      <c r="S38" s="1261">
        <f t="shared" si="18"/>
        <v>0.10454194041570421</v>
      </c>
      <c r="T38" s="1261">
        <f t="shared" si="18"/>
        <v>0.10454194041570421</v>
      </c>
      <c r="U38" s="1257">
        <f>$U$39-1%</f>
        <v>0.10454194041570421</v>
      </c>
      <c r="V38" s="695"/>
    </row>
    <row r="39" spans="1:43" ht="13.5" customHeight="1">
      <c r="A39" s="392" t="str">
        <f>NameConv!B21</f>
        <v>Gas Regional LNG</v>
      </c>
      <c r="C39" s="90"/>
      <c r="D39" s="90" t="str">
        <f>B77</f>
        <v>IMPGRL</v>
      </c>
      <c r="E39" s="547" t="str">
        <f>VLOOKUP(A39,FuelNames,2,FALSE)</f>
        <v>GRL</v>
      </c>
      <c r="F39" s="682">
        <f t="shared" si="15"/>
        <v>0.1145419404157042</v>
      </c>
      <c r="G39" s="675">
        <f t="shared" si="16"/>
        <v>114.16911482710232</v>
      </c>
      <c r="H39" s="675">
        <f t="shared" si="16"/>
        <v>96.698294762691319</v>
      </c>
      <c r="I39" s="675">
        <f t="shared" si="16"/>
        <v>70.492064666074782</v>
      </c>
      <c r="J39" s="675">
        <f t="shared" si="17"/>
        <v>79.547392192493575</v>
      </c>
      <c r="K39" s="675">
        <f t="shared" si="17"/>
        <v>76.528949683687301</v>
      </c>
      <c r="L39" s="675">
        <f t="shared" si="17"/>
        <v>69.629652520701569</v>
      </c>
      <c r="M39" s="667">
        <v>1</v>
      </c>
      <c r="O39" s="692">
        <v>0.1</v>
      </c>
      <c r="P39" s="1263">
        <f>R39</f>
        <v>0.10723528636931384</v>
      </c>
      <c r="Q39" s="1256">
        <v>0.16</v>
      </c>
      <c r="R39" s="1261">
        <f>AVERAGE(AJ54:AQ54)</f>
        <v>0.10723528636931384</v>
      </c>
      <c r="S39" s="702">
        <f>AVERAGE(AJ52:AQ52)</f>
        <v>0.10368370003853078</v>
      </c>
      <c r="T39" s="702">
        <f>AVERAGE(AJ53:AQ53)</f>
        <v>0.11244045140941189</v>
      </c>
      <c r="U39" s="1342">
        <f>AVERAGE(AF28:AJ28)</f>
        <v>0.1145419404157042</v>
      </c>
      <c r="V39" s="696">
        <f>'Gas Price'!D11</f>
        <v>0.4</v>
      </c>
    </row>
    <row r="40" spans="1:43" ht="13.5" customHeight="1" thickBot="1">
      <c r="A40" s="392" t="str">
        <f>NameConv!B22</f>
        <v>Gas International LNG</v>
      </c>
      <c r="C40" s="90"/>
      <c r="D40" s="90" t="str">
        <f>B78</f>
        <v>IMPGWL</v>
      </c>
      <c r="E40" s="547" t="str">
        <f>VLOOKUP(A40,FuelNames,2,FALSE)</f>
        <v>GWL</v>
      </c>
      <c r="F40" s="682">
        <f t="shared" si="15"/>
        <v>0.1145419404157042</v>
      </c>
      <c r="G40" s="675">
        <f t="shared" si="16"/>
        <v>118.68665037212602</v>
      </c>
      <c r="H40" s="675">
        <f t="shared" si="16"/>
        <v>101.21583030771501</v>
      </c>
      <c r="I40" s="675">
        <f t="shared" si="16"/>
        <v>75.009600211098473</v>
      </c>
      <c r="J40" s="675">
        <f t="shared" si="17"/>
        <v>84.064927737517252</v>
      </c>
      <c r="K40" s="675">
        <f t="shared" si="17"/>
        <v>81.046485228710992</v>
      </c>
      <c r="L40" s="675">
        <f t="shared" si="17"/>
        <v>74.147188065725246</v>
      </c>
      <c r="M40" s="667">
        <v>1</v>
      </c>
      <c r="O40" s="693">
        <f>O39</f>
        <v>0.1</v>
      </c>
      <c r="P40" s="1264">
        <f>R40</f>
        <v>0.10723528636931384</v>
      </c>
      <c r="Q40" s="1259">
        <v>0.16</v>
      </c>
      <c r="R40" s="1262">
        <f>R39</f>
        <v>0.10723528636931384</v>
      </c>
      <c r="S40" s="703">
        <f>S39</f>
        <v>0.10368370003853078</v>
      </c>
      <c r="T40" s="703">
        <f>T39</f>
        <v>0.11244045140941189</v>
      </c>
      <c r="U40" s="1342">
        <f>U39</f>
        <v>0.1145419404157042</v>
      </c>
      <c r="V40" s="697">
        <f>'Gas Price'!D12</f>
        <v>0.8</v>
      </c>
      <c r="Z40" s="93" t="s">
        <v>13455</v>
      </c>
    </row>
    <row r="41" spans="1:43" ht="13.5" customHeight="1">
      <c r="A41" s="103"/>
      <c r="C41" s="90"/>
      <c r="D41" s="90"/>
      <c r="E41" s="547"/>
      <c r="F41" s="90"/>
      <c r="G41" s="90"/>
      <c r="H41" s="90"/>
      <c r="I41" s="90"/>
      <c r="J41" s="753"/>
      <c r="K41" s="753"/>
      <c r="L41" s="753"/>
      <c r="N41" s="430"/>
      <c r="Y41" s="573"/>
      <c r="Z41" s="1343"/>
      <c r="AA41" s="1343" t="s">
        <v>13456</v>
      </c>
      <c r="AB41" s="1343">
        <v>2010</v>
      </c>
      <c r="AC41" s="1343">
        <v>2020</v>
      </c>
      <c r="AD41" s="1343">
        <v>2025</v>
      </c>
      <c r="AE41" s="1343">
        <v>2030</v>
      </c>
      <c r="AF41" s="1343">
        <v>2035</v>
      </c>
      <c r="AG41" s="1343">
        <v>2040</v>
      </c>
      <c r="AH41" s="1343">
        <v>2045</v>
      </c>
      <c r="AI41" s="1343">
        <v>2050</v>
      </c>
      <c r="AJ41" s="93">
        <f>AB41</f>
        <v>2010</v>
      </c>
      <c r="AK41" s="93">
        <f t="shared" ref="AK41:AQ41" si="19">AC41</f>
        <v>2020</v>
      </c>
      <c r="AL41" s="93">
        <f t="shared" si="19"/>
        <v>2025</v>
      </c>
      <c r="AM41" s="93">
        <f t="shared" si="19"/>
        <v>2030</v>
      </c>
      <c r="AN41" s="93">
        <f t="shared" si="19"/>
        <v>2035</v>
      </c>
      <c r="AO41" s="93">
        <f t="shared" si="19"/>
        <v>2040</v>
      </c>
      <c r="AP41" s="93">
        <f t="shared" si="19"/>
        <v>2045</v>
      </c>
      <c r="AQ41" s="93">
        <f t="shared" si="19"/>
        <v>2050</v>
      </c>
    </row>
    <row r="42" spans="1:43" ht="13.5" customHeight="1">
      <c r="A42" s="98"/>
      <c r="C42" s="90"/>
      <c r="D42" s="90"/>
      <c r="E42" s="90"/>
      <c r="F42" s="90"/>
      <c r="G42" s="90"/>
      <c r="H42" s="90"/>
      <c r="I42" s="90"/>
      <c r="J42" s="753"/>
      <c r="K42" s="753"/>
      <c r="L42" s="753"/>
      <c r="N42" s="430"/>
      <c r="Y42" s="1344" t="s">
        <v>13457</v>
      </c>
      <c r="AA42" s="719" t="s">
        <v>13459</v>
      </c>
      <c r="AB42" s="1345">
        <v>78</v>
      </c>
      <c r="AC42" s="1345">
        <v>118</v>
      </c>
      <c r="AD42" s="1345">
        <v>127</v>
      </c>
      <c r="AE42" s="1345">
        <v>134</v>
      </c>
      <c r="AF42" s="1345">
        <v>140</v>
      </c>
      <c r="AG42" s="1345">
        <v>143</v>
      </c>
      <c r="AH42" s="1345">
        <v>146</v>
      </c>
      <c r="AI42" s="1345">
        <v>149</v>
      </c>
    </row>
    <row r="43" spans="1:43" ht="15">
      <c r="A43" s="106" t="s">
        <v>263</v>
      </c>
      <c r="B43" s="107" t="s">
        <v>264</v>
      </c>
      <c r="C43" s="108"/>
      <c r="D43" s="109" t="s">
        <v>265</v>
      </c>
      <c r="E43" s="110"/>
      <c r="F43" s="110"/>
      <c r="G43" s="110"/>
      <c r="H43" s="110"/>
      <c r="I43" s="110"/>
      <c r="N43" s="430"/>
      <c r="P43" s="430"/>
      <c r="Y43" s="430"/>
      <c r="Z43" s="1343" t="s">
        <v>13458</v>
      </c>
      <c r="AA43" s="1343" t="s">
        <v>13460</v>
      </c>
      <c r="AB43" s="1346">
        <v>78</v>
      </c>
      <c r="AC43" s="1346">
        <v>97</v>
      </c>
      <c r="AD43" s="1346">
        <v>97</v>
      </c>
      <c r="AE43" s="1346">
        <v>97</v>
      </c>
      <c r="AF43" s="1346">
        <v>97</v>
      </c>
      <c r="AG43" s="1346">
        <v>92</v>
      </c>
      <c r="AH43" s="1346">
        <v>89</v>
      </c>
      <c r="AI43" s="1346">
        <v>87</v>
      </c>
    </row>
    <row r="44" spans="1:43" ht="15">
      <c r="A44" s="112" t="s">
        <v>247</v>
      </c>
      <c r="B44" s="92" t="s">
        <v>266</v>
      </c>
      <c r="C44" s="113" t="s">
        <v>267</v>
      </c>
      <c r="D44" s="113" t="s">
        <v>268</v>
      </c>
      <c r="E44" s="113" t="s">
        <v>269</v>
      </c>
      <c r="F44" s="113" t="s">
        <v>270</v>
      </c>
      <c r="G44" s="113"/>
      <c r="H44" s="113"/>
      <c r="I44" s="113"/>
      <c r="K44" s="111"/>
      <c r="L44" s="111"/>
      <c r="M44" s="91"/>
      <c r="N44" s="430"/>
      <c r="P44" s="430"/>
      <c r="T44" s="97"/>
      <c r="U44" s="97"/>
      <c r="V44" s="97"/>
      <c r="W44" s="97"/>
      <c r="Y44" s="1344" t="s">
        <v>13461</v>
      </c>
      <c r="AA44" s="719" t="s">
        <v>13459</v>
      </c>
      <c r="AB44" s="1345">
        <v>99</v>
      </c>
      <c r="AC44" s="1345">
        <v>109</v>
      </c>
      <c r="AD44" s="1345">
        <v>113</v>
      </c>
      <c r="AE44" s="1345">
        <v>116</v>
      </c>
      <c r="AF44" s="1345">
        <v>118</v>
      </c>
      <c r="AG44" s="1345">
        <v>121</v>
      </c>
      <c r="AH44" s="1345">
        <v>123</v>
      </c>
      <c r="AI44" s="1345">
        <v>126</v>
      </c>
    </row>
    <row r="45" spans="1:43" ht="15">
      <c r="A45" s="114" t="s">
        <v>249</v>
      </c>
      <c r="B45" s="92" t="s">
        <v>271</v>
      </c>
      <c r="C45" s="113"/>
      <c r="D45" s="113"/>
      <c r="E45" s="113"/>
      <c r="F45" s="113"/>
      <c r="G45" s="113"/>
      <c r="H45" s="111"/>
      <c r="I45" s="111"/>
      <c r="K45" s="111"/>
      <c r="L45" s="111"/>
      <c r="M45" s="91"/>
      <c r="N45" s="430"/>
      <c r="P45" s="430"/>
      <c r="T45" s="97"/>
      <c r="U45" s="97"/>
      <c r="V45" s="97"/>
      <c r="W45" s="97"/>
      <c r="Y45" s="430"/>
      <c r="Z45" s="1343" t="s">
        <v>13462</v>
      </c>
      <c r="AA45" s="1343" t="s">
        <v>13460</v>
      </c>
      <c r="AB45" s="1346">
        <v>99</v>
      </c>
      <c r="AC45" s="1346">
        <v>93</v>
      </c>
      <c r="AD45" s="1346">
        <v>83</v>
      </c>
      <c r="AE45" s="1346">
        <v>74</v>
      </c>
      <c r="AF45" s="1346">
        <v>68</v>
      </c>
      <c r="AG45" s="1346">
        <v>64</v>
      </c>
      <c r="AH45" s="1346">
        <v>62</v>
      </c>
      <c r="AI45" s="1346">
        <v>60</v>
      </c>
    </row>
    <row r="46" spans="1:43" ht="15">
      <c r="A46" s="114" t="s">
        <v>250</v>
      </c>
      <c r="B46" s="92" t="s">
        <v>272</v>
      </c>
      <c r="C46" s="113"/>
      <c r="D46" s="113"/>
      <c r="E46" s="113"/>
      <c r="F46" s="113"/>
      <c r="G46" s="113"/>
      <c r="H46" s="111"/>
      <c r="I46" s="111"/>
      <c r="K46" s="111"/>
      <c r="L46" s="111"/>
      <c r="M46" s="91"/>
      <c r="N46" s="430"/>
      <c r="P46" s="430"/>
      <c r="T46" s="97"/>
      <c r="U46" s="97"/>
      <c r="V46" s="97"/>
      <c r="W46" s="97"/>
      <c r="Y46" s="1343" t="s">
        <v>13463</v>
      </c>
      <c r="Z46" s="430"/>
      <c r="AA46" s="719" t="s">
        <v>13459</v>
      </c>
      <c r="AB46" s="1345">
        <v>4</v>
      </c>
      <c r="AC46" s="1345">
        <v>7</v>
      </c>
      <c r="AD46" s="1345">
        <v>8</v>
      </c>
      <c r="AE46" s="1345">
        <v>8</v>
      </c>
      <c r="AF46" s="1345">
        <v>9</v>
      </c>
      <c r="AG46" s="1345">
        <v>9</v>
      </c>
      <c r="AH46" s="1345">
        <v>9</v>
      </c>
      <c r="AI46" s="1345">
        <v>10</v>
      </c>
    </row>
    <row r="47" spans="1:43" ht="15">
      <c r="A47" s="1118" t="s">
        <v>2192</v>
      </c>
      <c r="B47" s="619" t="s">
        <v>2193</v>
      </c>
      <c r="C47" s="113"/>
      <c r="D47" s="113"/>
      <c r="E47" s="113"/>
      <c r="F47" s="113"/>
      <c r="G47" s="113"/>
      <c r="H47" s="111"/>
      <c r="I47" s="111"/>
      <c r="K47" s="111"/>
      <c r="L47" s="111"/>
      <c r="M47" s="91"/>
      <c r="N47" s="430"/>
      <c r="P47" s="430"/>
      <c r="T47" s="97"/>
      <c r="U47" s="97"/>
      <c r="V47" s="97"/>
      <c r="W47" s="97"/>
      <c r="Y47" s="430"/>
      <c r="Z47" s="1343" t="s">
        <v>13464</v>
      </c>
      <c r="AA47" s="1343" t="s">
        <v>13460</v>
      </c>
      <c r="AB47" s="1346">
        <v>4</v>
      </c>
      <c r="AC47" s="1346">
        <v>7</v>
      </c>
      <c r="AD47" s="1346">
        <v>8</v>
      </c>
      <c r="AE47" s="1346">
        <v>8</v>
      </c>
      <c r="AF47" s="1346">
        <v>8</v>
      </c>
      <c r="AG47" s="1346">
        <v>7</v>
      </c>
      <c r="AH47" s="1346">
        <v>7</v>
      </c>
      <c r="AI47" s="1346">
        <v>7</v>
      </c>
    </row>
    <row r="48" spans="1:43" ht="15">
      <c r="A48" s="106" t="s">
        <v>273</v>
      </c>
      <c r="B48" s="107" t="s">
        <v>264</v>
      </c>
      <c r="C48" s="113"/>
      <c r="D48" s="113"/>
      <c r="E48" s="113"/>
      <c r="F48" s="113"/>
      <c r="G48" s="113"/>
      <c r="H48" s="111"/>
      <c r="I48" s="111"/>
      <c r="K48" s="111"/>
      <c r="L48" s="111"/>
      <c r="M48" s="91"/>
      <c r="N48" s="91"/>
      <c r="O48" s="97"/>
      <c r="P48" s="97"/>
      <c r="Q48" s="97"/>
      <c r="R48" s="97"/>
      <c r="S48" s="97"/>
      <c r="T48" s="97"/>
      <c r="U48" s="97"/>
      <c r="V48" s="97"/>
      <c r="W48" s="97"/>
      <c r="Y48" s="1343" t="s">
        <v>13465</v>
      </c>
      <c r="Z48" s="430"/>
      <c r="AA48" s="719" t="s">
        <v>13459</v>
      </c>
      <c r="AB48" s="1345">
        <v>7</v>
      </c>
      <c r="AC48" s="1345">
        <v>11</v>
      </c>
      <c r="AD48" s="1345">
        <v>12</v>
      </c>
      <c r="AE48" s="1345">
        <v>13</v>
      </c>
      <c r="AF48" s="1345">
        <v>13</v>
      </c>
      <c r="AG48" s="1345">
        <v>13</v>
      </c>
      <c r="AH48" s="1345">
        <v>14</v>
      </c>
      <c r="AI48" s="1345">
        <v>14</v>
      </c>
    </row>
    <row r="49" spans="1:55" ht="15">
      <c r="A49" s="96" t="s">
        <v>274</v>
      </c>
      <c r="B49" s="90" t="s">
        <v>275</v>
      </c>
      <c r="C49" s="113"/>
      <c r="D49" s="113"/>
      <c r="E49" s="113"/>
      <c r="F49" s="113"/>
      <c r="G49" s="113"/>
      <c r="H49" s="111"/>
      <c r="I49" s="111"/>
      <c r="K49" s="111"/>
      <c r="L49" s="111"/>
      <c r="M49" s="91"/>
      <c r="N49" s="91"/>
      <c r="O49" s="97"/>
      <c r="P49" s="97"/>
      <c r="Q49" s="97"/>
      <c r="R49" s="97"/>
      <c r="S49" s="97"/>
      <c r="T49" s="97"/>
      <c r="U49" s="97"/>
      <c r="V49" s="97"/>
      <c r="W49" s="430" t="s">
        <v>13467</v>
      </c>
      <c r="X49" s="430">
        <v>0.5</v>
      </c>
      <c r="Z49" s="1343" t="s">
        <v>13464</v>
      </c>
      <c r="AA49" s="1343" t="s">
        <v>13460</v>
      </c>
      <c r="AB49" s="1346">
        <v>7</v>
      </c>
      <c r="AC49" s="1346">
        <v>10</v>
      </c>
      <c r="AD49" s="1346">
        <v>10</v>
      </c>
      <c r="AE49" s="1346">
        <v>10</v>
      </c>
      <c r="AF49" s="1346">
        <v>9</v>
      </c>
      <c r="AG49" s="1346">
        <v>9</v>
      </c>
      <c r="AH49" s="1346">
        <v>9</v>
      </c>
      <c r="AI49" s="1346">
        <v>8</v>
      </c>
    </row>
    <row r="50" spans="1:55" ht="15">
      <c r="A50" s="96" t="s">
        <v>276</v>
      </c>
      <c r="B50" s="90" t="s">
        <v>277</v>
      </c>
      <c r="C50" s="113"/>
      <c r="D50" s="113"/>
      <c r="E50" s="113" t="s">
        <v>334</v>
      </c>
      <c r="F50" s="621"/>
      <c r="G50" s="113"/>
      <c r="H50" s="111"/>
      <c r="I50" s="111"/>
      <c r="K50" s="111"/>
      <c r="L50" s="111"/>
      <c r="M50" s="91"/>
      <c r="N50" s="91"/>
      <c r="O50" s="97"/>
      <c r="P50" s="97"/>
      <c r="Q50" s="97"/>
      <c r="R50" s="97"/>
      <c r="S50" s="97"/>
      <c r="T50" s="97"/>
      <c r="U50" s="97"/>
      <c r="V50" s="97"/>
      <c r="W50" s="97"/>
      <c r="Y50" s="1343" t="s">
        <v>13466</v>
      </c>
      <c r="AA50" s="719" t="s">
        <v>13459</v>
      </c>
      <c r="AB50" s="1345">
        <v>11</v>
      </c>
      <c r="AC50" s="1345">
        <v>14</v>
      </c>
      <c r="AD50" s="1345">
        <v>14</v>
      </c>
      <c r="AE50" s="1345">
        <v>15</v>
      </c>
      <c r="AF50" s="1345">
        <v>15</v>
      </c>
      <c r="AG50" s="1345">
        <v>15</v>
      </c>
      <c r="AH50" s="1345">
        <v>16</v>
      </c>
      <c r="AI50" s="1345">
        <v>16</v>
      </c>
    </row>
    <row r="51" spans="1:55" ht="15.75" thickBot="1">
      <c r="A51" s="115"/>
      <c r="B51" s="116"/>
      <c r="C51" s="116"/>
      <c r="D51" s="117" t="s">
        <v>568</v>
      </c>
      <c r="E51" s="118">
        <f>F13</f>
        <v>11.914999999999999</v>
      </c>
      <c r="F51" s="621"/>
      <c r="G51" s="116"/>
      <c r="H51" s="116"/>
      <c r="I51" s="116"/>
      <c r="K51" s="116"/>
      <c r="L51" s="116"/>
      <c r="M51" s="91"/>
      <c r="N51" s="91"/>
      <c r="O51" s="97"/>
      <c r="P51" s="97"/>
      <c r="Q51" s="97"/>
      <c r="R51" s="97"/>
      <c r="S51" s="97"/>
      <c r="T51" s="97"/>
      <c r="U51" s="97"/>
      <c r="V51" s="97"/>
      <c r="W51" s="430" t="str">
        <f>W49</f>
        <v>weighting</v>
      </c>
      <c r="X51" s="430">
        <v>0.5</v>
      </c>
      <c r="Z51" s="1343" t="s">
        <v>13464</v>
      </c>
      <c r="AA51" s="1343" t="s">
        <v>13460</v>
      </c>
      <c r="AB51" s="1346">
        <v>11</v>
      </c>
      <c r="AC51" s="1346">
        <v>12</v>
      </c>
      <c r="AD51" s="1346">
        <v>12</v>
      </c>
      <c r="AE51" s="1346">
        <v>12</v>
      </c>
      <c r="AF51" s="1346">
        <v>12</v>
      </c>
      <c r="AG51" s="1346">
        <v>12</v>
      </c>
      <c r="AH51" s="1346">
        <v>11</v>
      </c>
      <c r="AI51" s="1346">
        <v>11</v>
      </c>
    </row>
    <row r="52" spans="1:55" ht="15">
      <c r="A52" s="89"/>
      <c r="B52" s="97"/>
      <c r="C52" s="94"/>
      <c r="D52" s="117" t="s">
        <v>14403</v>
      </c>
      <c r="E52" s="620">
        <v>1</v>
      </c>
      <c r="H52" s="94"/>
      <c r="I52" s="94"/>
      <c r="J52" s="94"/>
      <c r="K52" s="91"/>
      <c r="L52" s="97"/>
      <c r="M52" s="97"/>
      <c r="N52" s="97"/>
      <c r="O52" s="97"/>
      <c r="Y52" s="430" t="s">
        <v>239</v>
      </c>
      <c r="AA52" s="6" t="str">
        <f>AA50</f>
        <v>6DS</v>
      </c>
      <c r="AB52" s="430">
        <f t="shared" ref="AB52:AI53" si="20">AB48*$X$49+AB50*$X$51</f>
        <v>9</v>
      </c>
      <c r="AC52" s="430">
        <f t="shared" si="20"/>
        <v>12.5</v>
      </c>
      <c r="AD52" s="430">
        <f t="shared" si="20"/>
        <v>13</v>
      </c>
      <c r="AE52" s="430">
        <f t="shared" si="20"/>
        <v>14</v>
      </c>
      <c r="AF52" s="430">
        <f t="shared" si="20"/>
        <v>14</v>
      </c>
      <c r="AG52" s="430">
        <f t="shared" si="20"/>
        <v>14</v>
      </c>
      <c r="AH52" s="430">
        <f t="shared" si="20"/>
        <v>15</v>
      </c>
      <c r="AI52" s="430">
        <f t="shared" si="20"/>
        <v>15</v>
      </c>
      <c r="AJ52" s="1257">
        <f>AB52/AB42</f>
        <v>0.11538461538461539</v>
      </c>
      <c r="AK52" s="1257">
        <f t="shared" ref="AK52:AQ52" si="21">AC52/AC42</f>
        <v>0.1059322033898305</v>
      </c>
      <c r="AL52" s="1257">
        <f t="shared" si="21"/>
        <v>0.10236220472440945</v>
      </c>
      <c r="AM52" s="1257">
        <f t="shared" si="21"/>
        <v>0.1044776119402985</v>
      </c>
      <c r="AN52" s="1257">
        <f t="shared" si="21"/>
        <v>0.1</v>
      </c>
      <c r="AO52" s="1257">
        <f t="shared" si="21"/>
        <v>9.7902097902097904E-2</v>
      </c>
      <c r="AP52" s="1257">
        <f t="shared" si="21"/>
        <v>0.10273972602739725</v>
      </c>
      <c r="AQ52" s="1257">
        <f t="shared" si="21"/>
        <v>0.10067114093959731</v>
      </c>
    </row>
    <row r="53" spans="1:55" ht="18">
      <c r="A53" s="119" t="s">
        <v>871</v>
      </c>
      <c r="B53" s="89"/>
      <c r="C53" s="89"/>
      <c r="D53" s="89" t="s">
        <v>278</v>
      </c>
      <c r="E53" s="89"/>
      <c r="F53" s="89"/>
      <c r="G53" s="89"/>
      <c r="H53" s="89"/>
      <c r="I53" s="89"/>
      <c r="J53" s="89"/>
      <c r="K53" s="120"/>
      <c r="M53" s="89"/>
      <c r="N53" s="89"/>
      <c r="O53" s="89"/>
      <c r="P53" s="89"/>
      <c r="Q53" s="89"/>
      <c r="R53" s="89"/>
      <c r="S53" s="89"/>
      <c r="T53" s="89"/>
      <c r="U53" s="89"/>
      <c r="V53" s="89"/>
      <c r="W53" s="89"/>
      <c r="X53" s="97"/>
      <c r="Y53" s="430"/>
      <c r="Z53" s="430" t="str">
        <f>Z51</f>
        <v>(2010 US$/Mbtu)</v>
      </c>
      <c r="AA53" s="6" t="str">
        <f>AA51</f>
        <v>2DS</v>
      </c>
      <c r="AB53" s="430">
        <f t="shared" si="20"/>
        <v>9</v>
      </c>
      <c r="AC53" s="430">
        <f t="shared" si="20"/>
        <v>11</v>
      </c>
      <c r="AD53" s="430">
        <f t="shared" si="20"/>
        <v>11</v>
      </c>
      <c r="AE53" s="430">
        <f t="shared" si="20"/>
        <v>11</v>
      </c>
      <c r="AF53" s="430">
        <f t="shared" si="20"/>
        <v>10.5</v>
      </c>
      <c r="AG53" s="430">
        <f t="shared" si="20"/>
        <v>10.5</v>
      </c>
      <c r="AH53" s="430">
        <f t="shared" si="20"/>
        <v>10</v>
      </c>
      <c r="AI53" s="430">
        <f t="shared" si="20"/>
        <v>9.5</v>
      </c>
      <c r="AJ53" s="1257">
        <f>AB53/AB43</f>
        <v>0.11538461538461539</v>
      </c>
      <c r="AK53" s="1257">
        <f t="shared" ref="AK53:AQ53" si="22">AC53/AC43</f>
        <v>0.1134020618556701</v>
      </c>
      <c r="AL53" s="1257">
        <f t="shared" si="22"/>
        <v>0.1134020618556701</v>
      </c>
      <c r="AM53" s="1257">
        <f t="shared" si="22"/>
        <v>0.1134020618556701</v>
      </c>
      <c r="AN53" s="1257">
        <f t="shared" si="22"/>
        <v>0.10824742268041238</v>
      </c>
      <c r="AO53" s="1257">
        <f t="shared" si="22"/>
        <v>0.11413043478260869</v>
      </c>
      <c r="AP53" s="1257">
        <f t="shared" si="22"/>
        <v>0.11235955056179775</v>
      </c>
      <c r="AQ53" s="1257">
        <f t="shared" si="22"/>
        <v>0.10919540229885058</v>
      </c>
      <c r="AR53" s="122"/>
      <c r="AS53" s="121"/>
      <c r="AT53" s="121"/>
      <c r="AU53" s="121"/>
      <c r="AV53" s="121"/>
      <c r="AW53" s="121"/>
      <c r="AX53" s="121"/>
      <c r="AY53" s="121"/>
      <c r="AZ53" s="121"/>
      <c r="BA53" s="121"/>
    </row>
    <row r="54" spans="1:55" s="124" customFormat="1" ht="26.25" customHeight="1">
      <c r="A54" s="123" t="s">
        <v>279</v>
      </c>
      <c r="B54" s="120" t="s">
        <v>280</v>
      </c>
      <c r="C54" s="120" t="s">
        <v>281</v>
      </c>
      <c r="D54" s="120" t="s">
        <v>282</v>
      </c>
      <c r="E54" s="120" t="str">
        <f t="shared" ref="E54:K54" si="23">"ACT_COST"&amp;$E$50&amp;E55</f>
        <v>ACT_COST-0</v>
      </c>
      <c r="F54" s="120" t="str">
        <f t="shared" si="23"/>
        <v>ACT_COST-2006</v>
      </c>
      <c r="G54" s="120" t="str">
        <f t="shared" si="23"/>
        <v>ACT_COST-2012</v>
      </c>
      <c r="H54" s="1221" t="str">
        <f t="shared" si="23"/>
        <v>ACT_COST-2015</v>
      </c>
      <c r="I54" s="120" t="str">
        <f t="shared" si="23"/>
        <v>ACT_COST-2020</v>
      </c>
      <c r="J54" s="120" t="str">
        <f t="shared" si="23"/>
        <v>ACT_COST-2030</v>
      </c>
      <c r="K54" s="120" t="str">
        <f t="shared" si="23"/>
        <v>ACT_COST-2050</v>
      </c>
      <c r="L54" s="120" t="str">
        <f t="shared" ref="L54:Q54" si="24">"ACT_BND"&amp;$E$50&amp;L55</f>
        <v>ACT_BND-0</v>
      </c>
      <c r="M54" s="120" t="str">
        <f t="shared" si="24"/>
        <v>ACT_BND-2012</v>
      </c>
      <c r="N54" s="120" t="str">
        <f t="shared" si="24"/>
        <v>ACT_BND-2015</v>
      </c>
      <c r="O54" s="120" t="str">
        <f t="shared" si="24"/>
        <v>ACT_BND-2020</v>
      </c>
      <c r="P54" s="120" t="str">
        <f t="shared" si="24"/>
        <v>ACT_BND-2030</v>
      </c>
      <c r="Q54" s="120" t="str">
        <f t="shared" si="24"/>
        <v>ACT_BND-2050</v>
      </c>
      <c r="R54" s="120" t="s">
        <v>1167</v>
      </c>
      <c r="S54" s="120" t="s">
        <v>2116</v>
      </c>
      <c r="T54" s="120" t="s">
        <v>14778</v>
      </c>
      <c r="U54" s="120" t="s">
        <v>14777</v>
      </c>
      <c r="V54" s="120"/>
      <c r="W54" s="120"/>
      <c r="X54" s="120"/>
      <c r="Y54" s="120"/>
      <c r="Z54" s="120"/>
      <c r="AA54" s="120" t="s">
        <v>13468</v>
      </c>
      <c r="AB54" s="120">
        <f>AVERAGE(AB52:AB53)</f>
        <v>9</v>
      </c>
      <c r="AC54" s="1338">
        <f t="shared" ref="AC54:AI54" si="25">AVERAGE(AC52:AC53)</f>
        <v>11.75</v>
      </c>
      <c r="AD54" s="1338">
        <f t="shared" si="25"/>
        <v>12</v>
      </c>
      <c r="AE54" s="1338">
        <f t="shared" si="25"/>
        <v>12.5</v>
      </c>
      <c r="AF54" s="1338">
        <f t="shared" si="25"/>
        <v>12.25</v>
      </c>
      <c r="AG54" s="1338">
        <f t="shared" si="25"/>
        <v>12.25</v>
      </c>
      <c r="AH54" s="1338">
        <f t="shared" si="25"/>
        <v>12.5</v>
      </c>
      <c r="AI54" s="1338">
        <f t="shared" si="25"/>
        <v>12.25</v>
      </c>
      <c r="AJ54" s="1347">
        <f t="shared" ref="AJ54:AQ54" si="26">AB54/AVERAGE(AB42:AB43)</f>
        <v>0.11538461538461539</v>
      </c>
      <c r="AK54" s="1347">
        <f t="shared" si="26"/>
        <v>0.10930232558139535</v>
      </c>
      <c r="AL54" s="1347">
        <f t="shared" si="26"/>
        <v>0.10714285714285714</v>
      </c>
      <c r="AM54" s="1347">
        <f t="shared" si="26"/>
        <v>0.10822510822510822</v>
      </c>
      <c r="AN54" s="1347">
        <f t="shared" si="26"/>
        <v>0.10337552742616034</v>
      </c>
      <c r="AO54" s="1347">
        <f t="shared" si="26"/>
        <v>0.10425531914893617</v>
      </c>
      <c r="AP54" s="1347">
        <f t="shared" si="26"/>
        <v>0.10638297872340426</v>
      </c>
      <c r="AQ54" s="1347">
        <f t="shared" si="26"/>
        <v>0.1038135593220339</v>
      </c>
      <c r="AR54" s="120"/>
      <c r="AS54" s="114"/>
      <c r="AT54" s="1837"/>
      <c r="AU54" s="1837"/>
      <c r="AV54" s="1837"/>
      <c r="AW54" s="1837"/>
      <c r="AX54" s="1837"/>
      <c r="AY54" s="1837"/>
      <c r="AZ54" s="1837"/>
      <c r="BA54" s="114"/>
      <c r="BB54" s="114"/>
      <c r="BC54" s="114"/>
    </row>
    <row r="55" spans="1:55" s="124" customFormat="1" ht="25.5">
      <c r="A55" s="125" t="s">
        <v>283</v>
      </c>
      <c r="B55" s="125" t="s">
        <v>284</v>
      </c>
      <c r="C55" s="125" t="s">
        <v>285</v>
      </c>
      <c r="D55" s="120" t="s">
        <v>286</v>
      </c>
      <c r="E55" s="120">
        <v>0</v>
      </c>
      <c r="F55" s="396">
        <v>2006</v>
      </c>
      <c r="G55" s="396">
        <v>2012</v>
      </c>
      <c r="H55" s="397">
        <v>2015</v>
      </c>
      <c r="I55" s="397">
        <v>2020</v>
      </c>
      <c r="J55" s="396">
        <v>2030</v>
      </c>
      <c r="K55" s="396">
        <v>2050</v>
      </c>
      <c r="L55" s="396">
        <v>0</v>
      </c>
      <c r="M55" s="127">
        <f>G55</f>
        <v>2012</v>
      </c>
      <c r="N55" s="127">
        <v>2015</v>
      </c>
      <c r="O55" s="127">
        <f>I55</f>
        <v>2020</v>
      </c>
      <c r="P55" s="127">
        <f>J55</f>
        <v>2030</v>
      </c>
      <c r="Q55" s="127">
        <f>K55</f>
        <v>2050</v>
      </c>
      <c r="R55" s="127"/>
      <c r="S55" s="127" t="s">
        <v>248</v>
      </c>
      <c r="T55" s="127"/>
      <c r="U55" s="127"/>
      <c r="V55" s="127"/>
      <c r="W55" s="127"/>
      <c r="X55" s="127"/>
      <c r="Y55" s="127"/>
      <c r="Z55" s="128"/>
      <c r="AA55" s="128"/>
      <c r="AB55" s="128"/>
      <c r="AC55" s="128"/>
      <c r="AD55" s="128"/>
      <c r="AE55" s="128"/>
      <c r="AF55" s="128"/>
      <c r="AG55" s="128"/>
      <c r="AH55" s="128"/>
      <c r="AI55" s="128"/>
      <c r="AJ55" s="128"/>
      <c r="AK55" s="128"/>
      <c r="AL55" s="128"/>
      <c r="AM55" s="128"/>
      <c r="AN55" s="128"/>
      <c r="AO55" s="128"/>
      <c r="AP55" s="128"/>
      <c r="AQ55" s="128"/>
      <c r="AR55" s="128"/>
      <c r="AS55" s="114"/>
      <c r="AT55" s="114"/>
      <c r="AU55" s="1838"/>
      <c r="AV55" s="1837"/>
      <c r="AW55" s="1837"/>
      <c r="AX55" s="1837"/>
      <c r="AY55" s="1837"/>
      <c r="AZ55" s="1837"/>
      <c r="BA55" s="114"/>
      <c r="BB55" s="129"/>
      <c r="BC55" s="129"/>
    </row>
    <row r="56" spans="1:55" s="137" customFormat="1" ht="13.5" thickBot="1">
      <c r="A56" s="130" t="s">
        <v>287</v>
      </c>
      <c r="B56" s="131"/>
      <c r="C56" s="131"/>
      <c r="D56" s="131"/>
      <c r="E56" s="131"/>
      <c r="F56" s="715" t="s">
        <v>705</v>
      </c>
      <c r="G56" s="118"/>
      <c r="H56" s="398"/>
      <c r="I56" s="398"/>
      <c r="J56" s="118"/>
      <c r="K56" s="118"/>
      <c r="L56" s="118"/>
      <c r="M56" s="132"/>
      <c r="N56" s="132"/>
      <c r="O56" s="132"/>
      <c r="P56" s="132"/>
      <c r="Q56" s="132"/>
      <c r="R56" s="132"/>
      <c r="S56" s="132"/>
      <c r="T56" s="132"/>
      <c r="U56" s="132"/>
      <c r="V56" s="132"/>
      <c r="W56" s="132"/>
      <c r="X56" s="132"/>
      <c r="Y56" s="132"/>
      <c r="Z56" s="132"/>
      <c r="AA56" s="132"/>
      <c r="AB56" s="132"/>
      <c r="AC56" s="132"/>
      <c r="AD56" s="132"/>
      <c r="AE56" s="132"/>
      <c r="AF56" s="132"/>
      <c r="AG56" s="132"/>
      <c r="AH56" s="132"/>
      <c r="AI56" s="132"/>
      <c r="AJ56" s="132"/>
      <c r="AK56" s="132"/>
      <c r="AL56" s="132"/>
      <c r="AM56" s="132"/>
      <c r="AN56" s="132"/>
      <c r="AO56" s="132"/>
      <c r="AP56" s="132"/>
      <c r="AQ56" s="132"/>
      <c r="AR56" s="132"/>
      <c r="AS56" s="133"/>
      <c r="AT56" s="133"/>
      <c r="AU56" s="134"/>
      <c r="AV56" s="135"/>
      <c r="AW56" s="135"/>
      <c r="AX56" s="135"/>
      <c r="AY56" s="135"/>
      <c r="AZ56" s="135"/>
      <c r="BA56" s="136"/>
      <c r="BB56" s="136"/>
      <c r="BC56" s="133"/>
    </row>
    <row r="57" spans="1:55">
      <c r="A57" s="138" t="s">
        <v>288</v>
      </c>
      <c r="B57" s="139">
        <f>ROW()</f>
        <v>57</v>
      </c>
      <c r="C57" s="140"/>
      <c r="D57" s="141">
        <v>2</v>
      </c>
      <c r="E57" s="141">
        <f t="shared" ref="E57:S57" si="27">D57+1</f>
        <v>3</v>
      </c>
      <c r="F57" s="141">
        <f t="shared" si="27"/>
        <v>4</v>
      </c>
      <c r="G57" s="141">
        <f t="shared" si="27"/>
        <v>5</v>
      </c>
      <c r="H57" s="141">
        <f t="shared" si="27"/>
        <v>6</v>
      </c>
      <c r="I57" s="141">
        <f t="shared" si="27"/>
        <v>7</v>
      </c>
      <c r="J57" s="141">
        <f t="shared" si="27"/>
        <v>8</v>
      </c>
      <c r="K57" s="141">
        <f t="shared" si="27"/>
        <v>9</v>
      </c>
      <c r="L57" s="141">
        <f t="shared" si="27"/>
        <v>10</v>
      </c>
      <c r="M57" s="141">
        <f t="shared" si="27"/>
        <v>11</v>
      </c>
      <c r="N57" s="141">
        <f t="shared" si="27"/>
        <v>12</v>
      </c>
      <c r="O57" s="141">
        <f t="shared" si="27"/>
        <v>13</v>
      </c>
      <c r="P57" s="141">
        <f t="shared" si="27"/>
        <v>14</v>
      </c>
      <c r="Q57" s="141">
        <f t="shared" si="27"/>
        <v>15</v>
      </c>
      <c r="R57" s="141">
        <f t="shared" si="27"/>
        <v>16</v>
      </c>
      <c r="S57" s="141">
        <f t="shared" si="27"/>
        <v>17</v>
      </c>
      <c r="T57" s="141"/>
      <c r="U57" s="141"/>
      <c r="V57" s="141"/>
      <c r="W57" s="141"/>
      <c r="X57" s="141"/>
      <c r="Y57" s="141"/>
      <c r="Z57" s="140"/>
      <c r="AA57" s="140"/>
      <c r="AB57" s="140"/>
      <c r="AC57" s="140"/>
      <c r="AD57" s="140"/>
      <c r="AE57" s="140"/>
      <c r="AF57" s="140"/>
      <c r="AG57" s="140"/>
      <c r="AH57" s="435"/>
      <c r="AI57" s="140"/>
      <c r="AJ57" s="140"/>
      <c r="AK57" s="140"/>
      <c r="AL57" s="140"/>
      <c r="AM57" s="140"/>
      <c r="AN57" s="140"/>
      <c r="AO57" s="140"/>
      <c r="AP57" s="140"/>
      <c r="AQ57" s="140"/>
      <c r="AR57" s="140"/>
      <c r="AS57" s="140"/>
      <c r="AT57" s="140"/>
    </row>
    <row r="58" spans="1:55" ht="15">
      <c r="A58" s="436" t="str">
        <f>"Extraction of "&amp;VLOOKUP(D58,NameConv!$C$5:$D$44,2,FALSE)</f>
        <v>Extraction of Coal</v>
      </c>
      <c r="B58" s="435" t="str">
        <f>$B$44&amp;D58</f>
        <v>MINCOA</v>
      </c>
      <c r="C58" s="435"/>
      <c r="D58" s="1119" t="str">
        <f>NameConv!C11</f>
        <v>COA</v>
      </c>
      <c r="E58" s="563">
        <v>0</v>
      </c>
      <c r="F58" s="993">
        <f>G58</f>
        <v>45.012222222222221</v>
      </c>
      <c r="G58" s="993">
        <f>'Coal price'!D72</f>
        <v>45.012222222222221</v>
      </c>
      <c r="H58" s="993">
        <f>(G58+I58)/2</f>
        <v>45.306111111111107</v>
      </c>
      <c r="I58" s="993">
        <v>45.6</v>
      </c>
      <c r="J58" s="993">
        <f>I58</f>
        <v>45.6</v>
      </c>
      <c r="K58" s="993">
        <f>J58</f>
        <v>45.6</v>
      </c>
      <c r="L58" s="565"/>
      <c r="M58" s="141"/>
      <c r="N58" s="141"/>
      <c r="O58" s="141"/>
      <c r="P58" s="141"/>
      <c r="Q58" s="141"/>
      <c r="R58" s="141">
        <v>2012</v>
      </c>
      <c r="S58" s="1245" t="str">
        <f>""</f>
        <v/>
      </c>
      <c r="T58" s="1784" t="s">
        <v>14779</v>
      </c>
      <c r="U58" s="1784"/>
      <c r="V58" s="141"/>
      <c r="W58" s="141"/>
      <c r="X58" s="141"/>
      <c r="Y58" s="141"/>
      <c r="Z58" s="435"/>
      <c r="AA58" s="435"/>
      <c r="AB58" s="435"/>
      <c r="AC58" s="435"/>
      <c r="AD58" s="435"/>
      <c r="AE58" s="435"/>
      <c r="AF58" s="435"/>
      <c r="AG58" s="435"/>
      <c r="AH58" s="435"/>
      <c r="AI58" s="435"/>
      <c r="AJ58" s="435"/>
      <c r="AK58" s="435"/>
      <c r="AL58" s="435"/>
      <c r="AM58" s="435"/>
      <c r="AN58" s="435"/>
      <c r="AO58" s="435"/>
      <c r="AP58" s="435"/>
      <c r="AQ58" s="435"/>
      <c r="AR58" s="435"/>
      <c r="AS58" s="435"/>
      <c r="AT58" s="435"/>
    </row>
    <row r="59" spans="1:55" ht="15">
      <c r="A59" s="142" t="str">
        <f>"Extraction of "&amp;VLOOKUP(D59,NameConv!$C$5:$D$44,2,FALSE)</f>
        <v>Extraction of Coal low grade</v>
      </c>
      <c r="B59" s="435" t="str">
        <f t="shared" ref="B59:B65" si="28">$B$44&amp;D59</f>
        <v>MINCLE</v>
      </c>
      <c r="C59" s="124"/>
      <c r="D59" s="1119" t="str">
        <f>NameConv!C14</f>
        <v>CLE</v>
      </c>
      <c r="E59" s="563">
        <v>0</v>
      </c>
      <c r="F59" s="993">
        <f>G59</f>
        <v>15</v>
      </c>
      <c r="G59" s="993">
        <f>'Coal price'!$D$7</f>
        <v>15</v>
      </c>
      <c r="H59" s="993">
        <f t="shared" ref="H59:H60" si="29">(G59+I59)/2</f>
        <v>16.714848757138416</v>
      </c>
      <c r="I59" s="993">
        <f>392/19*Deflator!AB4</f>
        <v>18.429697514276832</v>
      </c>
      <c r="J59" s="993">
        <f>I59</f>
        <v>18.429697514276832</v>
      </c>
      <c r="K59" s="993">
        <f>J59</f>
        <v>18.429697514276832</v>
      </c>
      <c r="L59" s="564"/>
      <c r="M59" s="991" t="str">
        <f>""</f>
        <v/>
      </c>
      <c r="N59" s="992"/>
      <c r="O59" s="992"/>
      <c r="P59" s="992"/>
      <c r="Q59" s="992"/>
      <c r="R59" s="141">
        <v>2012</v>
      </c>
      <c r="S59" s="1245" t="str">
        <f>$S$58</f>
        <v/>
      </c>
      <c r="T59" s="1784" t="s">
        <v>14782</v>
      </c>
      <c r="U59" s="1785"/>
      <c r="V59" s="654" t="s">
        <v>1030</v>
      </c>
      <c r="W59" s="148"/>
      <c r="X59" s="144"/>
      <c r="Y59" s="144"/>
      <c r="Z59" s="145"/>
      <c r="AA59" s="145"/>
      <c r="AB59" s="145"/>
      <c r="AC59" s="145"/>
      <c r="AD59" s="145"/>
      <c r="AE59" s="145"/>
      <c r="AF59" s="145"/>
      <c r="AG59" s="145"/>
      <c r="AH59" s="145"/>
      <c r="AI59" s="145"/>
      <c r="AJ59" s="145"/>
      <c r="AK59" s="145"/>
      <c r="AL59" s="145"/>
      <c r="AM59" s="145"/>
      <c r="AN59" s="145"/>
      <c r="AO59" s="145"/>
      <c r="AP59" s="145"/>
      <c r="AQ59" s="145"/>
      <c r="AR59" s="145"/>
      <c r="AT59" s="140"/>
    </row>
    <row r="60" spans="1:55" ht="15">
      <c r="A60" s="142" t="str">
        <f>"Extraction of "&amp;VLOOKUP(D60,NameConv!$C$5:$D$44,2,FALSE)</f>
        <v>Extraction of Coal Discard</v>
      </c>
      <c r="B60" s="435" t="str">
        <f t="shared" si="28"/>
        <v>MINCLD</v>
      </c>
      <c r="C60" s="124"/>
      <c r="D60" s="1119" t="str">
        <f>NameConv!C13</f>
        <v>CLD</v>
      </c>
      <c r="E60" s="563">
        <v>0</v>
      </c>
      <c r="F60" s="993">
        <f t="shared" ref="F60:G60" si="30">F59/2</f>
        <v>7.5</v>
      </c>
      <c r="G60" s="993">
        <f t="shared" si="30"/>
        <v>7.5</v>
      </c>
      <c r="H60" s="993">
        <f t="shared" si="29"/>
        <v>8.3574243785692079</v>
      </c>
      <c r="I60" s="993">
        <f>F60/F59*I59</f>
        <v>9.2148487571384159</v>
      </c>
      <c r="J60" s="993"/>
      <c r="K60" s="993"/>
      <c r="L60" s="564"/>
      <c r="M60" s="991" t="str">
        <f>""</f>
        <v/>
      </c>
      <c r="N60" s="992"/>
      <c r="O60" s="992"/>
      <c r="P60" s="992"/>
      <c r="Q60" s="992"/>
      <c r="R60" s="141">
        <v>2012</v>
      </c>
      <c r="S60" s="1245" t="str">
        <f>$S$58</f>
        <v/>
      </c>
      <c r="T60" s="1785"/>
      <c r="U60" s="1785"/>
      <c r="V60" s="148"/>
      <c r="W60" s="148"/>
      <c r="X60" s="144"/>
      <c r="Y60" s="144"/>
      <c r="Z60" s="145"/>
      <c r="AA60" s="145"/>
      <c r="AB60" s="145"/>
      <c r="AC60" s="145"/>
      <c r="AD60" s="145"/>
      <c r="AE60" s="145"/>
      <c r="AF60" s="145"/>
      <c r="AG60" s="145"/>
      <c r="AH60" s="145"/>
      <c r="AI60" s="145"/>
      <c r="AJ60" s="145"/>
      <c r="AK60" s="145"/>
      <c r="AL60" s="145"/>
      <c r="AM60" s="145"/>
      <c r="AN60" s="145"/>
      <c r="AO60" s="145"/>
      <c r="AP60" s="145"/>
      <c r="AQ60" s="145"/>
      <c r="AR60" s="145"/>
      <c r="AT60" s="140"/>
    </row>
    <row r="61" spans="1:55" ht="15">
      <c r="A61" s="142" t="str">
        <f>"Extraction of "&amp;VLOOKUP(D61,NameConv!$C$5:$D$44,2,FALSE)</f>
        <v>Extraction of Oil Crude</v>
      </c>
      <c r="B61" s="435" t="str">
        <f t="shared" si="28"/>
        <v>MINOCR</v>
      </c>
      <c r="C61" s="124"/>
      <c r="D61" s="1119" t="str">
        <f>NameConv!C35</f>
        <v>OCR</v>
      </c>
      <c r="E61" s="563">
        <v>0</v>
      </c>
      <c r="F61" s="993">
        <f t="shared" ref="F61" si="31">SUMIF($E$20:$E$32,$D61,F$20:F$32)*0.9</f>
        <v>150.28665927463405</v>
      </c>
      <c r="G61" s="993">
        <f>SUMIF($E$20:$E$32,$D61,H$20:H$32)*0.9</f>
        <v>126.34143933836532</v>
      </c>
      <c r="H61" s="993">
        <f>SUMIF($E$20:$E$32,$D61,I$20:I$32)*0.9</f>
        <v>90.423609433962255</v>
      </c>
      <c r="I61" s="993">
        <f>SUMIF($E$20:$E$32,$D61,J$20:J$32)*0.9</f>
        <v>102.834693081761</v>
      </c>
      <c r="J61" s="993">
        <f>SUMIF($E$20:$E$32,$D61,K$20:K$32)*0.9</f>
        <v>98.697665199161406</v>
      </c>
      <c r="K61" s="993">
        <f>SUMIF($E$20:$E$32,$D61,L$20:L$32)*0.9</f>
        <v>89.241601467505234</v>
      </c>
      <c r="L61" s="564">
        <v>3</v>
      </c>
      <c r="M61" s="674">
        <f>SUMIF($C$6:$AZ$6,D61,$C$8:$AZ$8)</f>
        <v>0</v>
      </c>
      <c r="N61" s="991">
        <f>M61</f>
        <v>0</v>
      </c>
      <c r="O61" s="991">
        <f t="shared" ref="O61:Q61" si="32">N61</f>
        <v>0</v>
      </c>
      <c r="P61" s="991">
        <f t="shared" si="32"/>
        <v>0</v>
      </c>
      <c r="Q61" s="991">
        <f t="shared" si="32"/>
        <v>0</v>
      </c>
      <c r="R61" s="141">
        <v>2012</v>
      </c>
      <c r="S61" s="1245" t="str">
        <f>$S$58</f>
        <v/>
      </c>
      <c r="T61" s="1785" t="s">
        <v>14780</v>
      </c>
      <c r="U61" s="1785"/>
      <c r="V61" s="148"/>
      <c r="W61" s="148"/>
      <c r="X61" s="144"/>
      <c r="Y61" s="144"/>
      <c r="Z61" s="145"/>
      <c r="AA61" s="145"/>
      <c r="AB61" s="145"/>
      <c r="AC61" s="145"/>
      <c r="AD61" s="145"/>
      <c r="AE61" s="145"/>
      <c r="AF61" s="145"/>
      <c r="AG61" s="145"/>
      <c r="AH61" s="145"/>
      <c r="AI61" s="145"/>
      <c r="AJ61" s="145"/>
      <c r="AK61" s="145"/>
      <c r="AL61" s="145"/>
      <c r="AM61" s="145"/>
      <c r="AN61" s="145"/>
      <c r="AO61" s="145"/>
      <c r="AP61" s="145"/>
      <c r="AQ61" s="145"/>
      <c r="AR61" s="145"/>
      <c r="AT61" s="140"/>
    </row>
    <row r="62" spans="1:55" ht="15">
      <c r="A62" s="436" t="str">
        <f>"Extraction of "&amp;VLOOKUP(D62,NameConv!$C$5:$D$44,2,FALSE)</f>
        <v>Extraction of Coastal Gas</v>
      </c>
      <c r="B62" s="435" t="str">
        <f t="shared" si="28"/>
        <v>MINGIC</v>
      </c>
      <c r="C62" s="124"/>
      <c r="D62" s="1119" t="str">
        <f>NameConv!C26</f>
        <v>GIC</v>
      </c>
      <c r="E62" s="563">
        <v>0</v>
      </c>
      <c r="F62" s="993">
        <f t="shared" ref="F62:K62" ca="1" si="33">F92</f>
        <v>100.07852866986421</v>
      </c>
      <c r="G62" s="993">
        <f t="shared" ca="1" si="33"/>
        <v>84.132985722376887</v>
      </c>
      <c r="H62" s="993">
        <f t="shared" ca="1" si="33"/>
        <v>100.07852866986421</v>
      </c>
      <c r="I62" s="993">
        <f t="shared" ca="1" si="33"/>
        <v>100.07852866986421</v>
      </c>
      <c r="J62" s="993">
        <f t="shared" ca="1" si="33"/>
        <v>100.07852866986421</v>
      </c>
      <c r="K62" s="993">
        <f t="shared" ca="1" si="33"/>
        <v>100.07852866986421</v>
      </c>
      <c r="L62" s="564">
        <v>3</v>
      </c>
      <c r="M62" s="674">
        <f>SUMIF($C$6:$AQ$6,D62,$C$8:$AQ$8)</f>
        <v>42.534198286413705</v>
      </c>
      <c r="N62" s="991">
        <f>M62</f>
        <v>42.534198286413705</v>
      </c>
      <c r="O62" s="991">
        <f>N62</f>
        <v>42.534198286413705</v>
      </c>
      <c r="P62" s="992">
        <v>0</v>
      </c>
      <c r="Q62" s="992">
        <v>0</v>
      </c>
      <c r="R62" s="141">
        <v>2012</v>
      </c>
      <c r="S62" s="148">
        <v>700</v>
      </c>
      <c r="T62" s="1785"/>
      <c r="U62" s="1785"/>
      <c r="V62" s="148"/>
      <c r="W62" s="148"/>
      <c r="X62" s="144"/>
      <c r="Y62" s="144"/>
      <c r="Z62" s="145"/>
      <c r="AA62" s="145"/>
      <c r="AB62" s="145"/>
      <c r="AC62" s="145"/>
      <c r="AD62" s="145"/>
      <c r="AE62" s="145"/>
      <c r="AF62" s="145"/>
      <c r="AG62" s="145"/>
      <c r="AH62" s="145"/>
      <c r="AI62" s="145"/>
      <c r="AJ62" s="145"/>
      <c r="AK62" s="145"/>
      <c r="AL62" s="145"/>
      <c r="AM62" s="145"/>
      <c r="AN62" s="145"/>
      <c r="AO62" s="145"/>
      <c r="AP62" s="145"/>
      <c r="AQ62" s="145"/>
      <c r="AR62" s="145"/>
      <c r="AT62" s="435"/>
    </row>
    <row r="63" spans="1:55" ht="15">
      <c r="A63" s="436" t="str">
        <f>"Extraction of "&amp;VLOOKUP(RIGHT(B63,3),NameConv!$C$5:$D$44,2,FALSE)</f>
        <v>Extraction of Gas Indigenous Ibhubezi</v>
      </c>
      <c r="B63" s="435" t="str">
        <f t="shared" si="28"/>
        <v>MINGIB</v>
      </c>
      <c r="C63" s="124"/>
      <c r="D63" s="1119" t="str">
        <f>NameConv!C24</f>
        <v>GIB</v>
      </c>
      <c r="E63" s="563">
        <v>0</v>
      </c>
      <c r="F63" s="993">
        <f ca="1">SUMIF($E$35:$G$40,D63,$G$35:$G$40)*$E$52</f>
        <v>100.07852866986421</v>
      </c>
      <c r="G63" s="993">
        <f t="shared" ref="G63:K64" si="34">SUMIF($E$35:$E$40,$D63,H$35:H$40)*$E$52</f>
        <v>84.132985722376887</v>
      </c>
      <c r="H63" s="993">
        <f t="shared" si="34"/>
        <v>60.21467130114587</v>
      </c>
      <c r="I63" s="993">
        <f t="shared" si="34"/>
        <v>68.479430107185507</v>
      </c>
      <c r="J63" s="993">
        <f t="shared" si="34"/>
        <v>65.72451050517229</v>
      </c>
      <c r="K63" s="993">
        <f t="shared" si="34"/>
        <v>59.427551414856381</v>
      </c>
      <c r="L63" s="564">
        <v>3</v>
      </c>
      <c r="M63" s="991"/>
      <c r="N63" s="991"/>
      <c r="O63" s="992"/>
      <c r="P63" s="992"/>
      <c r="Q63" s="992"/>
      <c r="R63" s="992">
        <v>2018</v>
      </c>
      <c r="S63" s="148">
        <f>15*30</f>
        <v>450</v>
      </c>
      <c r="T63" s="1785"/>
      <c r="U63" s="1785"/>
      <c r="V63" s="148"/>
      <c r="W63" s="148"/>
      <c r="X63" s="144"/>
      <c r="Y63" s="144"/>
      <c r="Z63" s="145"/>
      <c r="AA63" s="145"/>
      <c r="AB63" s="145"/>
      <c r="AC63" s="145"/>
      <c r="AD63" s="145"/>
      <c r="AE63" s="145"/>
      <c r="AF63" s="145"/>
      <c r="AG63" s="145"/>
      <c r="AH63" s="145"/>
      <c r="AI63" s="145"/>
      <c r="AJ63" s="145"/>
      <c r="AK63" s="145"/>
      <c r="AL63" s="145"/>
      <c r="AM63" s="145"/>
      <c r="AN63" s="145"/>
      <c r="AO63" s="145"/>
      <c r="AP63" s="145"/>
      <c r="AQ63" s="145"/>
      <c r="AR63" s="145"/>
      <c r="AT63" s="435"/>
    </row>
    <row r="64" spans="1:55" ht="15">
      <c r="A64" s="436" t="s">
        <v>2118</v>
      </c>
      <c r="B64" s="435" t="str">
        <f>$B$44&amp;D64</f>
        <v>MINGAS</v>
      </c>
      <c r="C64" s="124"/>
      <c r="D64" s="1119" t="str">
        <f>NameConv!C18</f>
        <v>GAS</v>
      </c>
      <c r="E64" s="563">
        <v>0</v>
      </c>
      <c r="F64" s="993">
        <f ca="1">SUMIF($E$35:$G$40,D64,$G$35:$G$40)*$E$52</f>
        <v>90.505478057649768</v>
      </c>
      <c r="G64" s="993">
        <f t="shared" si="34"/>
        <v>76.085212227086132</v>
      </c>
      <c r="H64" s="993">
        <f t="shared" si="34"/>
        <v>54.454813481240663</v>
      </c>
      <c r="I64" s="993">
        <f t="shared" si="34"/>
        <v>54.454813481240663</v>
      </c>
      <c r="J64" s="993">
        <f t="shared" si="34"/>
        <v>54.454813481240663</v>
      </c>
      <c r="K64" s="993">
        <f t="shared" si="34"/>
        <v>54.454813481240663</v>
      </c>
      <c r="L64" s="564">
        <v>3</v>
      </c>
      <c r="M64" s="991">
        <v>0</v>
      </c>
      <c r="N64" s="991">
        <v>0</v>
      </c>
      <c r="O64" s="992"/>
      <c r="P64" s="992"/>
      <c r="Q64" s="992"/>
      <c r="R64" s="992">
        <v>2020</v>
      </c>
      <c r="S64" s="148">
        <v>6100</v>
      </c>
      <c r="T64" s="1785"/>
      <c r="U64" s="1785"/>
      <c r="V64" s="148"/>
      <c r="W64" s="148"/>
      <c r="X64" s="144"/>
      <c r="Y64" s="144"/>
      <c r="Z64" s="145"/>
      <c r="AA64" s="145"/>
      <c r="AB64" s="145"/>
      <c r="AC64" s="145"/>
      <c r="AD64" s="145"/>
      <c r="AE64" s="145"/>
      <c r="AF64" s="145"/>
      <c r="AG64" s="145"/>
      <c r="AH64" s="145"/>
      <c r="AI64" s="145"/>
      <c r="AJ64" s="145"/>
      <c r="AK64" s="145"/>
      <c r="AL64" s="145"/>
      <c r="AM64" s="145"/>
      <c r="AN64" s="145"/>
      <c r="AO64" s="145"/>
      <c r="AP64" s="145"/>
      <c r="AQ64" s="145"/>
      <c r="AR64" s="145"/>
      <c r="AT64" s="435"/>
    </row>
    <row r="65" spans="1:53" ht="15">
      <c r="A65" s="436" t="str">
        <f>"Extraction of "&amp;VLOOKUP(D65,NameConv!$C$5:$D$44,2,FALSE)</f>
        <v>Extraction of Gas Indigenous Shale</v>
      </c>
      <c r="B65" s="435" t="str">
        <f t="shared" si="28"/>
        <v>MINGIH</v>
      </c>
      <c r="C65" s="124"/>
      <c r="D65" s="1119" t="str">
        <f>NameConv!C25</f>
        <v>GIH</v>
      </c>
      <c r="E65" s="563">
        <v>0</v>
      </c>
      <c r="F65" s="993">
        <f ca="1">SUMIF($E$35:$G$40,D65,$G$35:$G$40)*$E$52</f>
        <v>96.38847286686935</v>
      </c>
      <c r="G65" s="993">
        <f>SUMIF($E$20:$E$40,$D65,H$20:H$40)</f>
        <v>81.030867652553312</v>
      </c>
      <c r="H65" s="993">
        <f>SUMIF($E$20:$E$40,$D65,I$20:I$40)</f>
        <v>57.994459831079268</v>
      </c>
      <c r="I65" s="993">
        <f>SUMIF($E$20:$E$40,$D65,J$20:J$40)</f>
        <v>57.994459831079268</v>
      </c>
      <c r="J65" s="993">
        <f>SUMIF($E$20:$E$40,$D65,K$20:K$40)</f>
        <v>57.994459831079268</v>
      </c>
      <c r="K65" s="993">
        <f>SUMIF($E$20:$E$40,$D65,L$20:L$40)</f>
        <v>57.994459831079268</v>
      </c>
      <c r="L65" s="564">
        <v>3</v>
      </c>
      <c r="M65" s="991">
        <v>0</v>
      </c>
      <c r="N65" s="991">
        <v>0</v>
      </c>
      <c r="O65" s="992"/>
      <c r="P65" s="992"/>
      <c r="Q65" s="992"/>
      <c r="R65" s="992">
        <f>'Gas Price'!K33</f>
        <v>2027</v>
      </c>
      <c r="S65" s="148">
        <v>40000</v>
      </c>
      <c r="T65" s="1785"/>
      <c r="U65" s="1785"/>
      <c r="V65" s="148"/>
      <c r="W65" s="148"/>
      <c r="X65" s="144"/>
      <c r="Y65" s="144"/>
      <c r="Z65" s="145"/>
      <c r="AA65" s="145"/>
      <c r="AB65" s="145"/>
      <c r="AC65" s="145"/>
      <c r="AD65" s="145"/>
      <c r="AE65" s="145"/>
      <c r="AF65" s="145"/>
      <c r="AG65" s="145"/>
      <c r="AH65" s="145"/>
      <c r="AI65" s="145"/>
      <c r="AJ65" s="145"/>
      <c r="AK65" s="145"/>
      <c r="AL65" s="145"/>
      <c r="AM65" s="145"/>
      <c r="AN65" s="145"/>
      <c r="AO65" s="145"/>
      <c r="AP65" s="145"/>
      <c r="AQ65" s="145"/>
      <c r="AR65" s="145"/>
      <c r="AT65" s="435"/>
    </row>
    <row r="66" spans="1:53" ht="15">
      <c r="A66" s="138" t="s">
        <v>289</v>
      </c>
      <c r="B66" s="140"/>
      <c r="C66" s="124"/>
      <c r="D66" s="1119"/>
      <c r="E66" s="561"/>
      <c r="F66" s="1390"/>
      <c r="G66" s="1390"/>
      <c r="H66" s="1390"/>
      <c r="I66" s="1390"/>
      <c r="J66" s="1390"/>
      <c r="K66" s="1390"/>
      <c r="L66" s="564"/>
      <c r="M66" s="991" t="str">
        <f>""</f>
        <v/>
      </c>
      <c r="N66" s="564"/>
      <c r="O66" s="564"/>
      <c r="P66" s="564"/>
      <c r="Q66" s="992"/>
      <c r="R66" s="141">
        <v>2012</v>
      </c>
      <c r="S66" s="148"/>
      <c r="T66" s="1785"/>
      <c r="U66" s="1785"/>
      <c r="V66" s="148"/>
      <c r="W66" s="148"/>
      <c r="X66" s="144"/>
      <c r="Y66" s="144"/>
      <c r="Z66" s="144"/>
      <c r="AA66" s="144"/>
      <c r="AB66" s="144"/>
      <c r="AC66" s="144"/>
      <c r="AD66" s="144"/>
      <c r="AE66" s="144"/>
      <c r="AF66" s="145"/>
      <c r="AG66" s="145"/>
      <c r="AH66" s="145"/>
      <c r="AI66" s="145"/>
      <c r="AJ66" s="145"/>
      <c r="AK66" s="145"/>
      <c r="AL66" s="145"/>
      <c r="AM66" s="145"/>
      <c r="AN66" s="145"/>
      <c r="AO66" s="145"/>
      <c r="AP66" s="145"/>
      <c r="AQ66" s="145"/>
      <c r="AR66" s="145"/>
      <c r="AS66" s="145"/>
      <c r="AT66" s="145"/>
      <c r="AU66" s="145"/>
      <c r="AV66" s="145"/>
      <c r="AW66" s="145"/>
      <c r="AX66" s="145"/>
      <c r="AY66" s="145"/>
      <c r="BA66" s="140"/>
    </row>
    <row r="67" spans="1:53" ht="15">
      <c r="A67" s="142" t="str">
        <f>"Renewable Resource: "&amp;VLOOKUP(D67,NameConv!$C$5:$D$44,2,FALSE)</f>
        <v>Renewable Resource: Biogas</v>
      </c>
      <c r="B67" s="140" t="str">
        <f t="shared" ref="B67:B73" si="35">$B$44&amp;D67</f>
        <v>MINBIG</v>
      </c>
      <c r="C67" s="124"/>
      <c r="D67" s="1119" t="str">
        <f>NameConv!C5</f>
        <v>BIG</v>
      </c>
      <c r="E67" s="563">
        <v>0</v>
      </c>
      <c r="F67" s="1390"/>
      <c r="G67" s="1390"/>
      <c r="H67" s="1390"/>
      <c r="I67" s="1390"/>
      <c r="J67" s="1390"/>
      <c r="K67" s="1390"/>
      <c r="L67" s="564"/>
      <c r="M67" s="991" t="str">
        <f>""</f>
        <v/>
      </c>
      <c r="N67" s="564"/>
      <c r="O67" s="564"/>
      <c r="P67" s="564"/>
      <c r="Q67" s="992"/>
      <c r="R67" s="141">
        <v>2012</v>
      </c>
      <c r="S67" s="1245" t="str">
        <f t="shared" ref="S67:S74" si="36">$S$58</f>
        <v/>
      </c>
      <c r="T67" s="1785"/>
      <c r="U67" s="1785"/>
      <c r="V67" s="148"/>
      <c r="W67" s="148"/>
      <c r="X67" s="144"/>
      <c r="Y67" s="144"/>
      <c r="Z67" s="144"/>
      <c r="AA67" s="144"/>
      <c r="AB67" s="144"/>
      <c r="AC67" s="144"/>
      <c r="AD67" s="144"/>
      <c r="AE67" s="144"/>
      <c r="AF67" s="145"/>
      <c r="AG67" s="145"/>
      <c r="AH67" s="145"/>
      <c r="AI67" s="145"/>
      <c r="AJ67" s="145"/>
      <c r="AK67" s="145"/>
      <c r="AL67" s="145"/>
      <c r="AM67" s="145"/>
      <c r="AN67" s="145"/>
      <c r="AO67" s="145"/>
      <c r="AP67" s="145"/>
      <c r="AQ67" s="145"/>
      <c r="AR67" s="145"/>
      <c r="AS67" s="145"/>
      <c r="AT67" s="145"/>
      <c r="AU67" s="145"/>
      <c r="AV67" s="145"/>
      <c r="AW67" s="145"/>
      <c r="AX67" s="145"/>
      <c r="AY67" s="145"/>
      <c r="BA67" s="140"/>
    </row>
    <row r="68" spans="1:53" ht="15">
      <c r="A68" s="142" t="str">
        <f>"Renewable Resource: "&amp;VLOOKUP(D68,NameConv!$C$5:$D$44,2,FALSE)</f>
        <v>Renewable Resource: Biomass bagasse</v>
      </c>
      <c r="B68" s="140" t="str">
        <f t="shared" si="35"/>
        <v>MINBIB</v>
      </c>
      <c r="C68" s="124"/>
      <c r="D68" s="1119" t="str">
        <f>NameConv!C8</f>
        <v>BIB</v>
      </c>
      <c r="E68" s="563">
        <v>0</v>
      </c>
      <c r="F68" s="993">
        <f>19.5</f>
        <v>19.5</v>
      </c>
      <c r="G68" s="993">
        <f>F68</f>
        <v>19.5</v>
      </c>
      <c r="H68" s="1390">
        <f>F68</f>
        <v>19.5</v>
      </c>
      <c r="I68" s="1390">
        <f>G68</f>
        <v>19.5</v>
      </c>
      <c r="J68" s="1390">
        <f>I68</f>
        <v>19.5</v>
      </c>
      <c r="K68" s="1390">
        <f>J68</f>
        <v>19.5</v>
      </c>
      <c r="L68" s="564"/>
      <c r="M68" s="991" t="str">
        <f>""</f>
        <v/>
      </c>
      <c r="N68" s="564"/>
      <c r="O68" s="564"/>
      <c r="P68" s="564"/>
      <c r="Q68" s="992"/>
      <c r="R68" s="141">
        <v>2012</v>
      </c>
      <c r="S68" s="1245" t="str">
        <f t="shared" si="36"/>
        <v/>
      </c>
      <c r="T68" s="1785"/>
      <c r="U68" s="1785"/>
      <c r="V68" s="148"/>
      <c r="W68" s="148"/>
      <c r="X68" s="144"/>
      <c r="Y68" s="144"/>
      <c r="Z68" s="144"/>
      <c r="AA68" s="144"/>
      <c r="AB68" s="144"/>
      <c r="AC68" s="144"/>
      <c r="AD68" s="144"/>
      <c r="AE68" s="144"/>
      <c r="AF68" s="145"/>
      <c r="AG68" s="145"/>
      <c r="AH68" s="145"/>
      <c r="AI68" s="145"/>
      <c r="AJ68" s="145"/>
      <c r="AK68" s="145"/>
      <c r="AL68" s="145"/>
      <c r="AM68" s="145"/>
      <c r="AN68" s="145"/>
      <c r="AO68" s="145"/>
      <c r="AP68" s="145"/>
      <c r="AQ68" s="145"/>
      <c r="AR68" s="145"/>
      <c r="AS68" s="145"/>
      <c r="AT68" s="145"/>
      <c r="AU68" s="145"/>
      <c r="AV68" s="145"/>
      <c r="AW68" s="145"/>
      <c r="AX68" s="145"/>
      <c r="AY68" s="145"/>
      <c r="BA68" s="140"/>
    </row>
    <row r="69" spans="1:53" ht="15">
      <c r="A69" s="142" t="str">
        <f>"Renewable Resource: "&amp;VLOOKUP(D69,NameConv!$C$5:$D$44,2,FALSE)</f>
        <v>Renewable Resource: Biomass Other</v>
      </c>
      <c r="B69" s="140" t="str">
        <f t="shared" si="35"/>
        <v>MINBIO</v>
      </c>
      <c r="C69" s="124"/>
      <c r="D69" s="1119" t="str">
        <f>NameConv!C9</f>
        <v>BIO</v>
      </c>
      <c r="E69" s="563">
        <v>0</v>
      </c>
      <c r="F69" s="1390"/>
      <c r="G69" s="993">
        <f>G58*1.05</f>
        <v>47.262833333333333</v>
      </c>
      <c r="H69" s="993">
        <f t="shared" ref="H69:K69" si="37">H58*1.05</f>
        <v>47.571416666666664</v>
      </c>
      <c r="I69" s="993">
        <f t="shared" si="37"/>
        <v>47.88</v>
      </c>
      <c r="J69" s="993">
        <f t="shared" si="37"/>
        <v>47.88</v>
      </c>
      <c r="K69" s="993">
        <f t="shared" si="37"/>
        <v>47.88</v>
      </c>
      <c r="M69" s="1298"/>
      <c r="N69" s="564"/>
      <c r="O69" s="564"/>
      <c r="P69" s="564"/>
      <c r="Q69" s="992"/>
      <c r="R69" s="141">
        <v>2012</v>
      </c>
      <c r="S69" s="1245" t="str">
        <f t="shared" si="36"/>
        <v/>
      </c>
      <c r="T69" s="1785"/>
      <c r="U69" s="1785"/>
      <c r="V69" s="148"/>
      <c r="W69" s="148"/>
      <c r="X69" s="144"/>
      <c r="Y69" s="144"/>
      <c r="Z69" s="144"/>
      <c r="AA69" s="144"/>
      <c r="AB69" s="144"/>
      <c r="AC69" s="144"/>
      <c r="AD69" s="144"/>
      <c r="AE69" s="144"/>
      <c r="AF69" s="145"/>
      <c r="AG69" s="145"/>
      <c r="AH69" s="145"/>
      <c r="AI69" s="145"/>
      <c r="AJ69" s="145"/>
      <c r="AK69" s="145"/>
      <c r="AL69" s="145"/>
      <c r="AM69" s="145"/>
      <c r="AN69" s="145"/>
      <c r="AO69" s="145"/>
      <c r="AP69" s="145"/>
      <c r="AQ69" s="145"/>
      <c r="AR69" s="145"/>
      <c r="AS69" s="145"/>
      <c r="AT69" s="145"/>
      <c r="AU69" s="145"/>
      <c r="AV69" s="145"/>
      <c r="AW69" s="145"/>
      <c r="AX69" s="145"/>
      <c r="AY69" s="145"/>
      <c r="BA69" s="140"/>
    </row>
    <row r="70" spans="1:53" ht="15">
      <c r="A70" s="142" t="str">
        <f>"Renewable Resource: "&amp;VLOOKUP(D70,NameConv!$C$5:$D$44,2,FALSE)</f>
        <v>Renewable Resource: Biomass Wood</v>
      </c>
      <c r="B70" s="140" t="str">
        <f t="shared" si="35"/>
        <v>MINBIW</v>
      </c>
      <c r="C70" s="124"/>
      <c r="D70" s="1119" t="str">
        <f>NameConv!C10</f>
        <v>BIW</v>
      </c>
      <c r="E70" s="563">
        <v>0</v>
      </c>
      <c r="F70" s="993">
        <f>19.5</f>
        <v>19.5</v>
      </c>
      <c r="G70" s="993">
        <f>F70</f>
        <v>19.5</v>
      </c>
      <c r="H70" s="1390">
        <f>F70</f>
        <v>19.5</v>
      </c>
      <c r="I70" s="1390">
        <f>G70</f>
        <v>19.5</v>
      </c>
      <c r="J70" s="1390">
        <f>I70</f>
        <v>19.5</v>
      </c>
      <c r="K70" s="1390">
        <f>J70</f>
        <v>19.5</v>
      </c>
      <c r="L70" s="564"/>
      <c r="M70" s="991" t="str">
        <f>""</f>
        <v/>
      </c>
      <c r="N70" s="564"/>
      <c r="O70" s="564"/>
      <c r="P70" s="564"/>
      <c r="Q70" s="992"/>
      <c r="R70" s="141">
        <v>2012</v>
      </c>
      <c r="S70" s="1245" t="str">
        <f t="shared" si="36"/>
        <v/>
      </c>
      <c r="T70" s="1785"/>
      <c r="U70" s="1785"/>
      <c r="V70" s="148"/>
      <c r="W70" s="148"/>
      <c r="X70" s="144"/>
      <c r="Y70" s="144"/>
      <c r="Z70" s="144"/>
      <c r="AA70" s="144"/>
      <c r="AB70" s="144"/>
      <c r="AC70" s="144"/>
      <c r="AD70" s="144"/>
      <c r="AE70" s="144"/>
      <c r="AF70" s="145"/>
      <c r="AG70" s="145"/>
      <c r="AH70" s="145"/>
      <c r="AI70" s="145"/>
      <c r="AJ70" s="145"/>
      <c r="AK70" s="145"/>
      <c r="AL70" s="145"/>
      <c r="AM70" s="145"/>
      <c r="AN70" s="145"/>
      <c r="AO70" s="145"/>
      <c r="AP70" s="145"/>
      <c r="AQ70" s="145"/>
      <c r="AR70" s="145"/>
      <c r="AS70" s="145"/>
      <c r="AT70" s="145"/>
      <c r="AU70" s="145"/>
      <c r="AV70" s="145"/>
      <c r="AW70" s="145"/>
      <c r="AX70" s="145"/>
      <c r="AY70" s="145"/>
      <c r="BA70" s="140"/>
    </row>
    <row r="71" spans="1:53" ht="15">
      <c r="A71" s="436" t="str">
        <f>"Renewable Resource: "&amp;VLOOKUP(D71,NameConv!$C$5:$D$44,2,FALSE)</f>
        <v>Renewable Resource: Waste</v>
      </c>
      <c r="B71" s="435" t="str">
        <f>$B$44&amp;D71</f>
        <v>MINWAS</v>
      </c>
      <c r="C71" s="124"/>
      <c r="D71" s="1119" t="str">
        <f>NameConv!C44</f>
        <v>WAS</v>
      </c>
      <c r="E71" s="563">
        <v>0</v>
      </c>
      <c r="F71" s="993">
        <v>0</v>
      </c>
      <c r="G71" s="993">
        <f>F71</f>
        <v>0</v>
      </c>
      <c r="H71" s="1390">
        <f>F71</f>
        <v>0</v>
      </c>
      <c r="I71" s="1390">
        <f>G71</f>
        <v>0</v>
      </c>
      <c r="J71" s="1390">
        <f>I71</f>
        <v>0</v>
      </c>
      <c r="K71" s="1390">
        <f>J71</f>
        <v>0</v>
      </c>
      <c r="L71" s="564">
        <v>3</v>
      </c>
      <c r="M71" s="1298">
        <v>25</v>
      </c>
      <c r="N71" s="564"/>
      <c r="O71" s="564"/>
      <c r="P71" s="564"/>
      <c r="Q71" s="992"/>
      <c r="R71" s="141">
        <v>2012</v>
      </c>
      <c r="S71" s="1245" t="str">
        <f t="shared" si="36"/>
        <v/>
      </c>
      <c r="T71" s="1785"/>
      <c r="U71" s="1785"/>
      <c r="V71" s="148"/>
      <c r="W71" s="148"/>
      <c r="X71" s="144"/>
      <c r="Y71" s="144"/>
      <c r="Z71" s="144"/>
      <c r="AA71" s="144"/>
      <c r="AB71" s="144"/>
      <c r="AC71" s="144"/>
      <c r="AD71" s="144"/>
      <c r="AE71" s="144"/>
      <c r="AF71" s="145"/>
      <c r="AG71" s="145"/>
      <c r="AH71" s="145"/>
      <c r="AI71" s="145"/>
      <c r="AJ71" s="145"/>
      <c r="AK71" s="145"/>
      <c r="AL71" s="145"/>
      <c r="AM71" s="145"/>
      <c r="AN71" s="145"/>
      <c r="AO71" s="145"/>
      <c r="AP71" s="145"/>
      <c r="AQ71" s="145"/>
      <c r="AR71" s="145"/>
      <c r="AS71" s="145"/>
      <c r="AT71" s="145"/>
      <c r="AU71" s="145"/>
      <c r="AV71" s="145"/>
      <c r="AW71" s="145"/>
      <c r="AX71" s="145"/>
      <c r="AY71" s="145"/>
      <c r="BA71" s="435"/>
    </row>
    <row r="72" spans="1:53" ht="15">
      <c r="A72" s="142" t="str">
        <f>"Renewable Resource: "&amp;VLOOKUP(D72,NameConv!$C$5:$D$44,2,FALSE)</f>
        <v>Renewable Resource: Hydro</v>
      </c>
      <c r="B72" s="140" t="str">
        <f>$B$44&amp;D72</f>
        <v>MINHYD</v>
      </c>
      <c r="C72" s="124"/>
      <c r="D72" s="1119" t="str">
        <f>NameConv!C31</f>
        <v>HYD</v>
      </c>
      <c r="E72" s="563">
        <v>0</v>
      </c>
      <c r="F72" s="1390"/>
      <c r="G72" s="1390"/>
      <c r="H72" s="1390"/>
      <c r="I72" s="1390"/>
      <c r="J72" s="1390"/>
      <c r="K72" s="1390"/>
      <c r="L72" s="564"/>
      <c r="M72" s="991" t="str">
        <f>""</f>
        <v/>
      </c>
      <c r="N72" s="564"/>
      <c r="O72" s="564"/>
      <c r="P72" s="564"/>
      <c r="Q72" s="992"/>
      <c r="R72" s="141">
        <v>2012</v>
      </c>
      <c r="S72" s="1245" t="str">
        <f t="shared" si="36"/>
        <v/>
      </c>
      <c r="T72" s="1785"/>
      <c r="U72" s="1785"/>
      <c r="V72" s="148"/>
      <c r="W72" s="148"/>
      <c r="X72" s="144"/>
      <c r="Y72" s="144"/>
      <c r="Z72" s="144"/>
      <c r="AA72" s="144"/>
      <c r="AB72" s="144"/>
      <c r="AC72" s="144"/>
      <c r="AD72" s="144"/>
      <c r="AE72" s="144"/>
      <c r="AF72" s="145"/>
      <c r="AG72" s="145"/>
      <c r="AH72" s="145"/>
      <c r="AI72" s="145"/>
      <c r="AJ72" s="145"/>
      <c r="AK72" s="145"/>
      <c r="AL72" s="145"/>
      <c r="AM72" s="145"/>
      <c r="AN72" s="145"/>
      <c r="AO72" s="145"/>
      <c r="AP72" s="145"/>
      <c r="AQ72" s="145"/>
      <c r="AR72" s="145"/>
      <c r="AS72" s="145"/>
      <c r="AT72" s="145"/>
      <c r="AU72" s="145"/>
      <c r="AV72" s="145"/>
      <c r="AW72" s="145"/>
      <c r="AX72" s="145"/>
      <c r="AY72" s="145"/>
      <c r="BA72" s="140"/>
    </row>
    <row r="73" spans="1:53" ht="15">
      <c r="A73" s="142" t="str">
        <f>"Renewable Resource: "&amp;VLOOKUP(D73,NameConv!$C$5:$D$44,2,FALSE)</f>
        <v>Renewable Resource: Solar</v>
      </c>
      <c r="B73" s="140" t="str">
        <f t="shared" si="35"/>
        <v>MINSOL</v>
      </c>
      <c r="C73" s="124"/>
      <c r="D73" s="1119" t="str">
        <f>NameConv!C42</f>
        <v>SOL</v>
      </c>
      <c r="E73" s="563">
        <v>0</v>
      </c>
      <c r="F73" s="1390"/>
      <c r="G73" s="1390"/>
      <c r="H73" s="1390"/>
      <c r="I73" s="1390"/>
      <c r="J73" s="1390"/>
      <c r="K73" s="1390"/>
      <c r="L73" s="564"/>
      <c r="M73" s="991" t="str">
        <f>""</f>
        <v/>
      </c>
      <c r="N73" s="564"/>
      <c r="O73" s="564"/>
      <c r="P73" s="564"/>
      <c r="Q73" s="992"/>
      <c r="R73" s="141">
        <v>2012</v>
      </c>
      <c r="S73" s="1245" t="str">
        <f t="shared" si="36"/>
        <v/>
      </c>
      <c r="T73" s="1785"/>
      <c r="U73" s="1785"/>
      <c r="V73" s="148"/>
      <c r="W73" s="148"/>
      <c r="X73" s="144"/>
      <c r="Y73" s="144"/>
      <c r="Z73" s="144"/>
      <c r="AA73" s="144"/>
      <c r="AB73" s="144"/>
      <c r="AC73" s="144"/>
      <c r="AD73" s="144"/>
      <c r="AE73" s="144"/>
      <c r="AF73" s="145"/>
      <c r="AG73" s="145"/>
      <c r="AH73" s="145"/>
      <c r="AI73" s="145"/>
      <c r="AJ73" s="145"/>
      <c r="AK73" s="145"/>
      <c r="AL73" s="145"/>
      <c r="AM73" s="145"/>
      <c r="AN73" s="145"/>
      <c r="AO73" s="145"/>
      <c r="AP73" s="145"/>
      <c r="AQ73" s="145"/>
      <c r="AR73" s="145"/>
      <c r="AS73" s="145"/>
      <c r="AT73" s="145"/>
      <c r="AU73" s="145"/>
      <c r="AV73" s="145"/>
      <c r="AW73" s="145"/>
      <c r="AX73" s="145"/>
      <c r="AY73" s="145"/>
      <c r="BA73" s="140"/>
    </row>
    <row r="74" spans="1:53" ht="15">
      <c r="A74" s="436" t="str">
        <f>"Renewable Resource: "&amp;VLOOKUP(D74,NameConv!$C$5:$D$44,2,FALSE)</f>
        <v>Renewable Resource: Wind</v>
      </c>
      <c r="B74" s="435" t="str">
        <f>$B$44&amp;D74</f>
        <v>MINWND</v>
      </c>
      <c r="C74" s="124"/>
      <c r="D74" s="1119" t="str">
        <f>NameConv!C43</f>
        <v>WND</v>
      </c>
      <c r="E74" s="563">
        <v>0</v>
      </c>
      <c r="F74" s="1390"/>
      <c r="G74" s="1390"/>
      <c r="H74" s="1390"/>
      <c r="I74" s="1390"/>
      <c r="J74" s="1390"/>
      <c r="K74" s="1390"/>
      <c r="L74" s="564"/>
      <c r="M74" s="991" t="str">
        <f>""</f>
        <v/>
      </c>
      <c r="N74" s="564"/>
      <c r="O74" s="564"/>
      <c r="P74" s="564"/>
      <c r="Q74" s="992"/>
      <c r="R74" s="141">
        <v>2012</v>
      </c>
      <c r="S74" s="1245" t="str">
        <f t="shared" si="36"/>
        <v/>
      </c>
      <c r="T74" s="1785"/>
      <c r="U74" s="1785"/>
      <c r="V74" s="148"/>
      <c r="W74" s="148"/>
      <c r="X74" s="144"/>
      <c r="Y74" s="144"/>
      <c r="Z74" s="144"/>
      <c r="AA74" s="144"/>
      <c r="AB74" s="144"/>
      <c r="AC74" s="144"/>
      <c r="AD74" s="144"/>
      <c r="AE74" s="144"/>
      <c r="AF74" s="145"/>
      <c r="AG74" s="145"/>
      <c r="AH74" s="145"/>
      <c r="AI74" s="145"/>
      <c r="AJ74" s="145"/>
      <c r="AK74" s="145"/>
      <c r="AL74" s="145"/>
      <c r="AM74" s="145"/>
      <c r="AN74" s="145"/>
      <c r="AO74" s="145"/>
      <c r="AP74" s="145"/>
      <c r="AQ74" s="145"/>
      <c r="AR74" s="145"/>
      <c r="AS74" s="145"/>
      <c r="AT74" s="145"/>
      <c r="AU74" s="145"/>
      <c r="AV74" s="145"/>
      <c r="AW74" s="145"/>
      <c r="AX74" s="145"/>
      <c r="AY74" s="145"/>
      <c r="BA74" s="140"/>
    </row>
    <row r="75" spans="1:53" ht="15">
      <c r="A75" s="138" t="s">
        <v>290</v>
      </c>
      <c r="B75" s="139"/>
      <c r="C75" s="124"/>
      <c r="D75" s="1119"/>
      <c r="E75" s="561"/>
      <c r="F75" s="1390"/>
      <c r="G75" s="1390"/>
      <c r="H75" s="1390"/>
      <c r="I75" s="1390"/>
      <c r="J75" s="1390"/>
      <c r="K75" s="1390"/>
      <c r="L75" s="564"/>
      <c r="M75" s="564"/>
      <c r="N75" s="564"/>
      <c r="O75" s="564"/>
      <c r="P75" s="564"/>
      <c r="Q75" s="992"/>
      <c r="R75" s="141">
        <v>2012</v>
      </c>
      <c r="S75" s="148"/>
      <c r="T75" s="1785"/>
      <c r="U75" s="1785"/>
      <c r="V75" s="148"/>
      <c r="W75" s="148"/>
      <c r="X75" s="144"/>
      <c r="Y75" s="144"/>
      <c r="Z75" s="144"/>
      <c r="AA75" s="144"/>
      <c r="AB75" s="144"/>
      <c r="AC75" s="144"/>
      <c r="AD75" s="144"/>
      <c r="AE75" s="144"/>
      <c r="AF75" s="145"/>
      <c r="AG75" s="145"/>
      <c r="AH75" s="145"/>
      <c r="AI75" s="145"/>
      <c r="AJ75" s="145"/>
      <c r="AK75" s="145"/>
      <c r="AL75" s="145"/>
      <c r="AM75" s="145"/>
      <c r="AN75" s="145"/>
      <c r="AO75" s="145"/>
      <c r="AP75" s="145"/>
      <c r="AQ75" s="145"/>
      <c r="AR75" s="145"/>
      <c r="AS75" s="145"/>
      <c r="AT75" s="145"/>
      <c r="AU75" s="145"/>
      <c r="AV75" s="145"/>
      <c r="AW75" s="145"/>
      <c r="AX75" s="145"/>
      <c r="AY75" s="145"/>
      <c r="BA75" s="140"/>
    </row>
    <row r="76" spans="1:53" ht="15">
      <c r="A76" s="142" t="str">
        <f>"Imports of "&amp;VLOOKUP(D76,NameConv!$C$5:$D$44,2,FALSE)</f>
        <v>Imports of Coal Coking</v>
      </c>
      <c r="B76" s="140" t="str">
        <f>"IMP"&amp;D76</f>
        <v>IMPCOK</v>
      </c>
      <c r="C76" s="124"/>
      <c r="D76" s="1119" t="str">
        <f>NameConv!C12</f>
        <v>COK</v>
      </c>
      <c r="E76" s="563">
        <v>0</v>
      </c>
      <c r="F76" s="993">
        <f t="shared" ref="F76:H76" si="38">F58*1.5</f>
        <v>67.518333333333331</v>
      </c>
      <c r="G76" s="993">
        <f t="shared" si="38"/>
        <v>67.518333333333331</v>
      </c>
      <c r="H76" s="993">
        <f t="shared" si="38"/>
        <v>67.959166666666661</v>
      </c>
      <c r="I76" s="993">
        <f>I58*1.5</f>
        <v>68.400000000000006</v>
      </c>
      <c r="J76" s="993">
        <f t="shared" ref="J76:K76" si="39">J58*1.5</f>
        <v>68.400000000000006</v>
      </c>
      <c r="K76" s="993">
        <f t="shared" si="39"/>
        <v>68.400000000000006</v>
      </c>
      <c r="L76" s="566">
        <v>3</v>
      </c>
      <c r="M76" s="674"/>
      <c r="N76" s="564"/>
      <c r="O76" s="564"/>
      <c r="P76" s="564"/>
      <c r="Q76" s="992"/>
      <c r="R76" s="141">
        <v>2012</v>
      </c>
      <c r="S76" s="1245" t="str">
        <f t="shared" ref="S76:S88" si="40">$S$58</f>
        <v/>
      </c>
      <c r="T76" s="1785"/>
      <c r="U76" s="1785"/>
      <c r="V76" s="148"/>
      <c r="W76" s="148"/>
      <c r="X76" s="144"/>
      <c r="Y76" s="144"/>
      <c r="Z76" s="144"/>
      <c r="AA76" s="144"/>
      <c r="AB76" s="144"/>
      <c r="AC76" s="144"/>
      <c r="AD76" s="144"/>
      <c r="AE76" s="144"/>
      <c r="AF76" s="145"/>
      <c r="AG76" s="145"/>
      <c r="AH76" s="145"/>
      <c r="AI76" s="145"/>
      <c r="AJ76" s="145"/>
      <c r="AK76" s="145"/>
      <c r="AL76" s="145"/>
      <c r="AM76" s="145"/>
      <c r="AN76" s="145"/>
      <c r="AO76" s="145"/>
      <c r="AP76" s="145"/>
      <c r="AQ76" s="145"/>
      <c r="AR76" s="145"/>
      <c r="AS76" s="145"/>
      <c r="AT76" s="145"/>
      <c r="AU76" s="145"/>
      <c r="AV76" s="145"/>
      <c r="AW76" s="145"/>
      <c r="AX76" s="145"/>
      <c r="AY76" s="145"/>
      <c r="BA76" s="140"/>
    </row>
    <row r="77" spans="1:53" ht="15">
      <c r="A77" s="436" t="str">
        <f>"Imports of "&amp;VLOOKUP(D77,NameConv!$C$5:$D$44,2,FALSE)</f>
        <v>Imports of Gas Regional LNG</v>
      </c>
      <c r="B77" s="435" t="str">
        <f>"IMP"&amp;D77</f>
        <v>IMPGRL</v>
      </c>
      <c r="C77" s="124"/>
      <c r="D77" s="1119" t="str">
        <f>NameConv!C21</f>
        <v>GRL</v>
      </c>
      <c r="E77" s="563">
        <v>0</v>
      </c>
      <c r="F77" s="993">
        <f>G77</f>
        <v>96.698294762691319</v>
      </c>
      <c r="G77" s="993">
        <f t="shared" ref="G77:K78" si="41">SUMIF($D$35:$D$40,$B77,H$35:H$40)*$E$52</f>
        <v>96.698294762691319</v>
      </c>
      <c r="H77" s="993">
        <f t="shared" si="41"/>
        <v>70.492064666074782</v>
      </c>
      <c r="I77" s="993">
        <f t="shared" si="41"/>
        <v>79.547392192493575</v>
      </c>
      <c r="J77" s="993">
        <f t="shared" si="41"/>
        <v>76.528949683687301</v>
      </c>
      <c r="K77" s="993">
        <f t="shared" si="41"/>
        <v>69.629652520701569</v>
      </c>
      <c r="L77" s="622"/>
      <c r="M77" s="996"/>
      <c r="N77" s="623"/>
      <c r="O77" s="623"/>
      <c r="P77" s="623"/>
      <c r="Q77" s="997"/>
      <c r="R77" s="992">
        <f>'Gas Price'!K39</f>
        <v>2021</v>
      </c>
      <c r="S77" s="1245" t="str">
        <f t="shared" si="40"/>
        <v/>
      </c>
      <c r="T77" s="1785"/>
      <c r="U77" s="1785"/>
      <c r="V77" s="148"/>
      <c r="W77" s="148"/>
      <c r="X77" s="144"/>
      <c r="Y77" s="144"/>
      <c r="Z77" s="144"/>
      <c r="AA77" s="144"/>
      <c r="AB77" s="144"/>
      <c r="AC77" s="144"/>
      <c r="AD77" s="144"/>
      <c r="AE77" s="144"/>
      <c r="AF77" s="145"/>
      <c r="AG77" s="145"/>
      <c r="AH77" s="145"/>
      <c r="AI77" s="145"/>
      <c r="AJ77" s="145"/>
      <c r="AK77" s="145"/>
      <c r="AL77" s="145"/>
      <c r="AM77" s="145"/>
      <c r="AN77" s="145"/>
      <c r="AO77" s="145"/>
      <c r="AP77" s="145"/>
      <c r="AQ77" s="145"/>
      <c r="AR77" s="145"/>
      <c r="AS77" s="145"/>
      <c r="AT77" s="145"/>
      <c r="AU77" s="145"/>
      <c r="AV77" s="145"/>
      <c r="AW77" s="145"/>
      <c r="AX77" s="145"/>
      <c r="AY77" s="145"/>
      <c r="BA77" s="435"/>
    </row>
    <row r="78" spans="1:53" ht="15">
      <c r="A78" s="436" t="str">
        <f>"Imports of "&amp;VLOOKUP(RIGHT(B78,3),NameConv!$C$5:$D$44,2,FALSE)</f>
        <v>Imports of Gas International LNG</v>
      </c>
      <c r="B78" s="435" t="str">
        <f>"IMP"&amp;NameConv!C22</f>
        <v>IMPGWL</v>
      </c>
      <c r="C78" s="124"/>
      <c r="D78" s="1119" t="str">
        <f>D77</f>
        <v>GRL</v>
      </c>
      <c r="E78" s="563">
        <v>0</v>
      </c>
      <c r="F78" s="993">
        <f>G78</f>
        <v>101.21583030771501</v>
      </c>
      <c r="G78" s="993">
        <f t="shared" si="41"/>
        <v>101.21583030771501</v>
      </c>
      <c r="H78" s="993">
        <f t="shared" si="41"/>
        <v>75.009600211098473</v>
      </c>
      <c r="I78" s="993">
        <f t="shared" si="41"/>
        <v>84.064927737517252</v>
      </c>
      <c r="J78" s="993">
        <f t="shared" si="41"/>
        <v>81.046485228710992</v>
      </c>
      <c r="K78" s="993">
        <f t="shared" si="41"/>
        <v>74.147188065725246</v>
      </c>
      <c r="L78" s="623" t="s">
        <v>162</v>
      </c>
      <c r="M78" s="996" t="s">
        <v>162</v>
      </c>
      <c r="N78" s="623" t="s">
        <v>162</v>
      </c>
      <c r="O78" s="623" t="s">
        <v>162</v>
      </c>
      <c r="P78" s="623" t="s">
        <v>162</v>
      </c>
      <c r="Q78" s="623" t="s">
        <v>162</v>
      </c>
      <c r="R78" s="564">
        <f>'Gas Price'!K44</f>
        <v>2020</v>
      </c>
      <c r="S78" s="1245" t="str">
        <f t="shared" si="40"/>
        <v/>
      </c>
      <c r="U78" s="1786"/>
      <c r="V78" s="147"/>
      <c r="W78" s="147"/>
      <c r="X78" s="144"/>
      <c r="Y78" s="144"/>
      <c r="Z78" s="144"/>
      <c r="AA78" s="144"/>
      <c r="AB78" s="144"/>
      <c r="AC78" s="144"/>
      <c r="AD78" s="144"/>
      <c r="AE78" s="144"/>
      <c r="AF78" s="145"/>
      <c r="AG78" s="145"/>
      <c r="AH78" s="145"/>
      <c r="AI78" s="145"/>
      <c r="AJ78" s="145"/>
      <c r="AK78" s="145"/>
      <c r="AL78" s="145"/>
      <c r="AM78" s="145"/>
      <c r="AN78" s="145"/>
      <c r="AO78" s="145"/>
      <c r="AP78" s="145"/>
      <c r="AQ78" s="145"/>
      <c r="AR78" s="145"/>
      <c r="AS78" s="145"/>
      <c r="AT78" s="145"/>
      <c r="AU78" s="145"/>
      <c r="AV78" s="145"/>
      <c r="AW78" s="145"/>
      <c r="AX78" s="145"/>
      <c r="AY78" s="145"/>
      <c r="BA78" s="140"/>
    </row>
    <row r="79" spans="1:53" ht="15">
      <c r="A79" s="142" t="str">
        <f>"Imports of "&amp;VLOOKUP(D79,NameConv!$C$5:$D$44,2,FALSE)</f>
        <v>Imports of Nuclear</v>
      </c>
      <c r="B79" s="140" t="str">
        <f t="shared" ref="B79:B87" si="42">"IMP"&amp;D79</f>
        <v>IMPNUC</v>
      </c>
      <c r="C79" s="124"/>
      <c r="D79" s="1119" t="str">
        <f>NameConv!C33</f>
        <v>NUC</v>
      </c>
      <c r="E79" s="563">
        <v>0</v>
      </c>
      <c r="F79" s="993">
        <f>9.1*Deflator!AB4</f>
        <v>8.1288130107613874</v>
      </c>
      <c r="G79" s="993">
        <f>F79</f>
        <v>8.1288130107613874</v>
      </c>
      <c r="H79" s="993">
        <f>F79</f>
        <v>8.1288130107613874</v>
      </c>
      <c r="I79" s="993">
        <f>G79</f>
        <v>8.1288130107613874</v>
      </c>
      <c r="J79" s="993">
        <f>I79</f>
        <v>8.1288130107613874</v>
      </c>
      <c r="K79" s="993">
        <f>J79</f>
        <v>8.1288130107613874</v>
      </c>
      <c r="L79" s="564">
        <v>0</v>
      </c>
      <c r="M79" s="674">
        <f t="shared" ref="M79:M86" si="43">SUMIF($C$6:$AZ$6,D79,$C$9:$AZ$9)</f>
        <v>170.374545454545</v>
      </c>
      <c r="N79" s="564"/>
      <c r="O79" s="564"/>
      <c r="P79" s="564"/>
      <c r="Q79" s="992"/>
      <c r="R79" s="141">
        <v>2012</v>
      </c>
      <c r="S79" s="1245" t="str">
        <f t="shared" si="40"/>
        <v/>
      </c>
      <c r="T79" s="1786" t="s">
        <v>14781</v>
      </c>
      <c r="U79" s="1785"/>
      <c r="V79" s="148"/>
      <c r="W79" s="148"/>
      <c r="X79" s="144"/>
      <c r="Y79" s="144"/>
      <c r="Z79" s="144"/>
      <c r="AA79" s="144"/>
      <c r="AB79" s="144"/>
      <c r="AC79" s="144"/>
      <c r="AD79" s="144"/>
      <c r="AE79" s="144"/>
      <c r="AF79" s="145"/>
      <c r="AG79" s="145"/>
      <c r="AH79" s="145"/>
      <c r="AI79" s="145"/>
      <c r="AJ79" s="145"/>
      <c r="AK79" s="145"/>
      <c r="AL79" s="145"/>
      <c r="AM79" s="145"/>
      <c r="AN79" s="145"/>
      <c r="AO79" s="145"/>
      <c r="AP79" s="145"/>
      <c r="AQ79" s="145"/>
      <c r="AR79" s="145"/>
      <c r="AS79" s="145"/>
      <c r="AT79" s="145"/>
      <c r="AU79" s="145"/>
      <c r="AV79" s="145"/>
      <c r="AW79" s="145"/>
      <c r="AX79" s="145"/>
      <c r="AY79" s="145"/>
      <c r="BA79" s="140"/>
    </row>
    <row r="80" spans="1:53" ht="15">
      <c r="A80" s="142" t="str">
        <f>"Imports of "&amp;VLOOKUP(D80,NameConv!$C$5:$D$44,2,FALSE)</f>
        <v>Imports of Oil Av Gasoline</v>
      </c>
      <c r="B80" s="140" t="str">
        <f t="shared" si="42"/>
        <v>IMPOAG</v>
      </c>
      <c r="C80" s="124"/>
      <c r="D80" s="1119" t="str">
        <f>NameConv!C34</f>
        <v>OAG</v>
      </c>
      <c r="E80" s="563">
        <v>0</v>
      </c>
      <c r="F80" s="993">
        <f t="shared" ref="F80:K80" si="44">F83</f>
        <v>209.42526535752322</v>
      </c>
      <c r="G80" s="993">
        <f t="shared" si="44"/>
        <v>176.89791488762791</v>
      </c>
      <c r="H80" s="993">
        <f t="shared" si="44"/>
        <v>129.68934115889218</v>
      </c>
      <c r="I80" s="993">
        <f t="shared" si="44"/>
        <v>144.96619006194166</v>
      </c>
      <c r="J80" s="993">
        <f t="shared" si="44"/>
        <v>139.34642310222276</v>
      </c>
      <c r="K80" s="993">
        <f t="shared" si="44"/>
        <v>126.50124148000812</v>
      </c>
      <c r="L80" s="564">
        <v>0</v>
      </c>
      <c r="M80" s="674">
        <f t="shared" si="43"/>
        <v>1.394321535205479</v>
      </c>
      <c r="N80" s="564"/>
      <c r="O80" s="564"/>
      <c r="P80" s="564"/>
      <c r="Q80" s="992"/>
      <c r="R80" s="141">
        <v>2012</v>
      </c>
      <c r="S80" s="1245" t="str">
        <f t="shared" si="40"/>
        <v/>
      </c>
      <c r="T80" s="1785"/>
      <c r="U80" s="1785"/>
      <c r="V80" s="148"/>
      <c r="W80" s="148"/>
      <c r="X80" s="144"/>
      <c r="Y80" s="144"/>
      <c r="Z80" s="144"/>
      <c r="AA80" s="144"/>
      <c r="AB80" s="144"/>
      <c r="AC80" s="144"/>
      <c r="AD80" s="144"/>
      <c r="AE80" s="144"/>
      <c r="AF80" s="145"/>
      <c r="AG80" s="145"/>
      <c r="AH80" s="145"/>
      <c r="AI80" s="145"/>
      <c r="AJ80" s="145"/>
      <c r="AK80" s="145"/>
      <c r="AL80" s="145"/>
      <c r="AM80" s="145"/>
      <c r="AN80" s="145"/>
      <c r="AO80" s="145"/>
      <c r="AP80" s="145"/>
      <c r="AQ80" s="145"/>
      <c r="AR80" s="145"/>
      <c r="AS80" s="145"/>
      <c r="AT80" s="145"/>
      <c r="AU80" s="145"/>
      <c r="AV80" s="145"/>
      <c r="AW80" s="145"/>
      <c r="AX80" s="145"/>
      <c r="AY80" s="145"/>
      <c r="BA80" s="140"/>
    </row>
    <row r="81" spans="1:53" ht="15">
      <c r="A81" s="142" t="str">
        <f>"Imports of "&amp;VLOOKUP(D81,NameConv!$C$5:$D$44,2,FALSE)</f>
        <v>Imports of Oil Crude</v>
      </c>
      <c r="B81" s="140" t="str">
        <f t="shared" si="42"/>
        <v>IMPOCR</v>
      </c>
      <c r="C81" s="124"/>
      <c r="D81" s="1119" t="str">
        <f>NameConv!C35</f>
        <v>OCR</v>
      </c>
      <c r="E81" s="563">
        <v>0</v>
      </c>
      <c r="F81" s="993">
        <f t="shared" ref="F81:F86" si="45">SUMIF($E$20:$E$32,$D81,F$20:F$32)</f>
        <v>166.9851769718156</v>
      </c>
      <c r="G81" s="993">
        <f t="shared" ref="G81:K86" si="46">SUMIF($E$20:$E$32,$D81,H$20:H$32)</f>
        <v>140.37937704262814</v>
      </c>
      <c r="H81" s="993">
        <f t="shared" si="46"/>
        <v>100.47067714884695</v>
      </c>
      <c r="I81" s="993">
        <f t="shared" si="46"/>
        <v>114.26077009084555</v>
      </c>
      <c r="J81" s="993">
        <f t="shared" si="46"/>
        <v>109.66407244351267</v>
      </c>
      <c r="K81" s="993">
        <f t="shared" si="46"/>
        <v>99.157334963894698</v>
      </c>
      <c r="L81" s="564">
        <v>0</v>
      </c>
      <c r="M81" s="674">
        <f t="shared" si="43"/>
        <v>941.22622485351599</v>
      </c>
      <c r="N81" s="564"/>
      <c r="O81" s="564"/>
      <c r="P81" s="564"/>
      <c r="Q81" s="992"/>
      <c r="R81" s="141">
        <v>2012</v>
      </c>
      <c r="S81" s="1245" t="str">
        <f t="shared" si="40"/>
        <v/>
      </c>
      <c r="T81" s="1785"/>
      <c r="U81" s="1785"/>
      <c r="V81" s="148"/>
      <c r="W81" s="148"/>
      <c r="X81" s="144"/>
      <c r="Y81" s="144"/>
      <c r="Z81" s="144"/>
      <c r="AA81" s="144"/>
      <c r="AB81" s="144"/>
      <c r="AC81" s="144"/>
      <c r="AD81" s="144"/>
      <c r="AE81" s="144"/>
      <c r="AF81" s="145"/>
      <c r="AG81" s="145"/>
      <c r="AH81" s="145"/>
      <c r="AI81" s="145"/>
      <c r="AJ81" s="145"/>
      <c r="AK81" s="145"/>
      <c r="AL81" s="145"/>
      <c r="AM81" s="145"/>
      <c r="AN81" s="145"/>
      <c r="AO81" s="145"/>
      <c r="AP81" s="145"/>
      <c r="AQ81" s="145"/>
      <c r="AR81" s="145"/>
      <c r="AS81" s="145"/>
      <c r="AT81" s="145"/>
      <c r="AU81" s="145"/>
      <c r="AV81" s="145"/>
      <c r="AW81" s="145"/>
      <c r="AX81" s="145"/>
      <c r="AY81" s="145"/>
      <c r="BA81" s="140"/>
    </row>
    <row r="82" spans="1:53" ht="15">
      <c r="A82" s="142" t="str">
        <f>"Imports of "&amp;VLOOKUP(D82,NameConv!$C$5:$D$44,2,FALSE)</f>
        <v>Imports of Oil Diesel</v>
      </c>
      <c r="B82" s="140" t="str">
        <f t="shared" si="42"/>
        <v>IMPODS</v>
      </c>
      <c r="C82" s="124"/>
      <c r="D82" s="1119" t="str">
        <f>NameConv!C36</f>
        <v>ODS</v>
      </c>
      <c r="E82" s="563">
        <v>0</v>
      </c>
      <c r="F82" s="993">
        <f t="shared" si="45"/>
        <v>201.2610667459243</v>
      </c>
      <c r="G82" s="993">
        <f t="shared" si="46"/>
        <v>168.9185358336494</v>
      </c>
      <c r="H82" s="993">
        <f t="shared" si="46"/>
        <v>119.88592507685335</v>
      </c>
      <c r="I82" s="993">
        <f t="shared" si="46"/>
        <v>137.16824623619675</v>
      </c>
      <c r="J82" s="993">
        <f t="shared" si="46"/>
        <v>131.58041064587684</v>
      </c>
      <c r="K82" s="993">
        <f t="shared" si="46"/>
        <v>118.80821501085993</v>
      </c>
      <c r="L82" s="564">
        <v>0</v>
      </c>
      <c r="M82" s="674">
        <f t="shared" si="43"/>
        <v>140.06492</v>
      </c>
      <c r="N82" s="564"/>
      <c r="O82" s="564"/>
      <c r="P82" s="564"/>
      <c r="Q82" s="992"/>
      <c r="R82" s="141">
        <v>2012</v>
      </c>
      <c r="S82" s="1245" t="str">
        <f t="shared" si="40"/>
        <v/>
      </c>
      <c r="T82" s="1785"/>
      <c r="U82" s="1785"/>
      <c r="V82" s="148"/>
      <c r="W82" s="148"/>
      <c r="X82" s="144"/>
      <c r="Y82" s="144"/>
      <c r="Z82" s="144"/>
      <c r="AA82" s="144"/>
      <c r="AB82" s="144"/>
      <c r="AC82" s="144"/>
      <c r="AD82" s="144"/>
      <c r="AE82" s="144"/>
      <c r="AF82" s="145"/>
      <c r="AG82" s="145"/>
      <c r="AH82" s="145"/>
      <c r="AI82" s="145"/>
      <c r="AJ82" s="145"/>
      <c r="AK82" s="145"/>
      <c r="AL82" s="145"/>
      <c r="AM82" s="145"/>
      <c r="AN82" s="145"/>
      <c r="AO82" s="145"/>
      <c r="AP82" s="145"/>
      <c r="AQ82" s="145"/>
      <c r="AR82" s="145"/>
      <c r="AS82" s="145"/>
      <c r="AT82" s="145"/>
      <c r="AU82" s="145"/>
      <c r="AV82" s="145"/>
      <c r="AW82" s="145"/>
      <c r="AX82" s="145"/>
      <c r="AY82" s="145"/>
      <c r="BA82" s="140"/>
    </row>
    <row r="83" spans="1:53" ht="15">
      <c r="A83" s="142" t="str">
        <f>"Imports of "&amp;VLOOKUP(D83,NameConv!$C$5:$D$44,2,FALSE)</f>
        <v>Imports of Oil Gasoline</v>
      </c>
      <c r="B83" s="140" t="str">
        <f t="shared" si="42"/>
        <v>IMPOGS</v>
      </c>
      <c r="C83" s="124"/>
      <c r="D83" s="1119" t="str">
        <f>NameConv!C37</f>
        <v>OGS</v>
      </c>
      <c r="E83" s="563">
        <v>0</v>
      </c>
      <c r="F83" s="993">
        <f t="shared" si="45"/>
        <v>209.42526535752322</v>
      </c>
      <c r="G83" s="993">
        <f t="shared" si="46"/>
        <v>176.89791488762791</v>
      </c>
      <c r="H83" s="993">
        <f t="shared" si="46"/>
        <v>129.68934115889218</v>
      </c>
      <c r="I83" s="993">
        <f t="shared" si="46"/>
        <v>144.96619006194166</v>
      </c>
      <c r="J83" s="993">
        <f t="shared" si="46"/>
        <v>139.34642310222276</v>
      </c>
      <c r="K83" s="993">
        <f t="shared" si="46"/>
        <v>126.50124148000812</v>
      </c>
      <c r="L83" s="566">
        <v>0</v>
      </c>
      <c r="M83" s="674">
        <f t="shared" si="43"/>
        <v>63.331960000000002</v>
      </c>
      <c r="N83" s="564"/>
      <c r="O83" s="564"/>
      <c r="P83" s="564"/>
      <c r="Q83" s="992"/>
      <c r="R83" s="141">
        <v>2012</v>
      </c>
      <c r="S83" s="1245" t="str">
        <f t="shared" si="40"/>
        <v/>
      </c>
      <c r="T83" s="1785"/>
      <c r="U83" s="1785"/>
      <c r="V83" s="148"/>
      <c r="W83" s="148"/>
      <c r="X83" s="144"/>
      <c r="Y83" s="144"/>
      <c r="Z83" s="144"/>
      <c r="AA83" s="144"/>
      <c r="AB83" s="144"/>
      <c r="AC83" s="144"/>
      <c r="AD83" s="144"/>
      <c r="AE83" s="144"/>
      <c r="AF83" s="145"/>
      <c r="AG83" s="145"/>
      <c r="AH83" s="145"/>
      <c r="AI83" s="145"/>
      <c r="AJ83" s="145"/>
      <c r="AK83" s="145"/>
      <c r="AL83" s="145"/>
      <c r="AM83" s="145"/>
      <c r="AN83" s="145"/>
      <c r="AO83" s="145"/>
      <c r="AP83" s="145"/>
      <c r="AQ83" s="145"/>
      <c r="AR83" s="145"/>
      <c r="AS83" s="145"/>
      <c r="AT83" s="145"/>
      <c r="AU83" s="145"/>
      <c r="AV83" s="145"/>
      <c r="AW83" s="145"/>
      <c r="AX83" s="145"/>
      <c r="AY83" s="145"/>
      <c r="BA83" s="140"/>
    </row>
    <row r="84" spans="1:53" ht="15">
      <c r="A84" s="142" t="str">
        <f>"Imports of "&amp;VLOOKUP(D84,NameConv!$C$5:$D$44,2,FALSE)</f>
        <v>Imports of Oil HFO</v>
      </c>
      <c r="B84" s="140" t="str">
        <f t="shared" si="42"/>
        <v>IMPOHF</v>
      </c>
      <c r="C84" s="124"/>
      <c r="D84" s="1119" t="str">
        <f>NameConv!C38</f>
        <v>OHF</v>
      </c>
      <c r="E84" s="563">
        <v>0</v>
      </c>
      <c r="F84" s="993">
        <f t="shared" si="45"/>
        <v>166.9851769718156</v>
      </c>
      <c r="G84" s="993">
        <f t="shared" si="46"/>
        <v>140.37937704262814</v>
      </c>
      <c r="H84" s="993">
        <f t="shared" si="46"/>
        <v>100.47067714884695</v>
      </c>
      <c r="I84" s="993">
        <f t="shared" si="46"/>
        <v>114.26077009084555</v>
      </c>
      <c r="J84" s="993">
        <f t="shared" si="46"/>
        <v>109.66407244351267</v>
      </c>
      <c r="K84" s="993">
        <f t="shared" si="46"/>
        <v>99.157334963894698</v>
      </c>
      <c r="L84" s="564">
        <v>0</v>
      </c>
      <c r="M84" s="674">
        <f t="shared" si="43"/>
        <v>4.206396917894736</v>
      </c>
      <c r="N84" s="564"/>
      <c r="O84" s="564"/>
      <c r="P84" s="564"/>
      <c r="Q84" s="992"/>
      <c r="R84" s="141">
        <v>2012</v>
      </c>
      <c r="S84" s="1245" t="str">
        <f t="shared" si="40"/>
        <v/>
      </c>
      <c r="T84" s="1785"/>
      <c r="U84" s="1785"/>
      <c r="V84" s="148"/>
      <c r="W84" s="148"/>
      <c r="X84" s="144"/>
      <c r="Y84" s="144"/>
      <c r="Z84" s="144"/>
      <c r="AA84" s="144"/>
      <c r="AB84" s="144"/>
      <c r="AC84" s="144"/>
      <c r="AD84" s="144"/>
      <c r="AE84" s="144"/>
      <c r="AF84" s="145"/>
      <c r="AG84" s="145"/>
      <c r="AH84" s="145"/>
      <c r="AI84" s="145"/>
      <c r="AJ84" s="145"/>
      <c r="AK84" s="145"/>
      <c r="AL84" s="145"/>
      <c r="AM84" s="145"/>
      <c r="AN84" s="145"/>
      <c r="AO84" s="145"/>
      <c r="AP84" s="145"/>
      <c r="AQ84" s="145"/>
      <c r="AR84" s="145"/>
      <c r="AS84" s="145"/>
      <c r="AT84" s="145"/>
      <c r="AU84" s="145"/>
      <c r="AV84" s="145"/>
      <c r="AW84" s="145"/>
      <c r="AX84" s="145"/>
      <c r="AY84" s="145"/>
      <c r="BA84" s="140"/>
    </row>
    <row r="85" spans="1:53" ht="15">
      <c r="A85" s="142" t="str">
        <f>"Imports of "&amp;VLOOKUP(D85,NameConv!$C$5:$D$44,2,FALSE)</f>
        <v>Imports of Oil LPG</v>
      </c>
      <c r="B85" s="140" t="str">
        <f t="shared" si="42"/>
        <v>IMPOLP</v>
      </c>
      <c r="C85" s="124"/>
      <c r="D85" s="1119" t="str">
        <f>NameConv!C40</f>
        <v>OLP</v>
      </c>
      <c r="E85" s="563">
        <v>0</v>
      </c>
      <c r="F85" s="993">
        <f t="shared" si="45"/>
        <v>346.68482921917371</v>
      </c>
      <c r="G85" s="993">
        <f t="shared" si="46"/>
        <v>319.65503107552286</v>
      </c>
      <c r="H85" s="993">
        <f t="shared" si="46"/>
        <v>279.11033386004658</v>
      </c>
      <c r="I85" s="993">
        <f t="shared" si="46"/>
        <v>293.12018996647748</v>
      </c>
      <c r="J85" s="993">
        <f t="shared" si="46"/>
        <v>288.45023793100052</v>
      </c>
      <c r="K85" s="993">
        <f t="shared" si="46"/>
        <v>277.77606184991026</v>
      </c>
      <c r="L85" s="564">
        <v>0</v>
      </c>
      <c r="M85" s="674">
        <f>0.66+0.56+1.22/0.79+0.57/0.65</f>
        <v>3.6412268743914313</v>
      </c>
      <c r="N85" s="564"/>
      <c r="O85" s="564"/>
      <c r="P85" s="564"/>
      <c r="Q85" s="992"/>
      <c r="R85" s="141">
        <v>2012</v>
      </c>
      <c r="S85" s="1245" t="str">
        <f t="shared" si="40"/>
        <v/>
      </c>
      <c r="T85" s="1785"/>
      <c r="U85" s="1785"/>
      <c r="V85" s="148"/>
      <c r="W85" s="148"/>
      <c r="X85" s="144"/>
      <c r="Y85" s="144"/>
      <c r="Z85" s="144"/>
      <c r="AA85" s="144"/>
      <c r="AB85" s="144"/>
      <c r="AC85" s="144"/>
      <c r="AD85" s="144"/>
      <c r="AE85" s="144"/>
      <c r="AF85" s="145"/>
      <c r="AG85" s="145"/>
      <c r="AH85" s="145"/>
      <c r="AI85" s="145"/>
      <c r="AJ85" s="145"/>
      <c r="AK85" s="145"/>
      <c r="AL85" s="145"/>
      <c r="AM85" s="145"/>
      <c r="AN85" s="145"/>
      <c r="AO85" s="145"/>
      <c r="AP85" s="145"/>
      <c r="AQ85" s="145"/>
      <c r="AR85" s="145"/>
      <c r="AS85" s="145"/>
      <c r="AT85" s="145"/>
      <c r="AU85" s="145"/>
      <c r="AV85" s="145"/>
      <c r="AW85" s="145"/>
      <c r="AX85" s="145"/>
      <c r="AY85" s="145"/>
      <c r="BA85" s="140"/>
    </row>
    <row r="86" spans="1:53" ht="15">
      <c r="A86" s="142" t="str">
        <f>"Imports of "&amp;VLOOKUP(D86,NameConv!$C$5:$D$44,2,FALSE)</f>
        <v>Imports of Oil Kerosene</v>
      </c>
      <c r="B86" s="140" t="str">
        <f t="shared" si="42"/>
        <v>IMPOKE</v>
      </c>
      <c r="C86" s="124"/>
      <c r="D86" s="1119" t="str">
        <f>NameConv!C39</f>
        <v>OKE</v>
      </c>
      <c r="E86" s="563">
        <v>0</v>
      </c>
      <c r="F86" s="993">
        <f t="shared" si="45"/>
        <v>208.85766933112501</v>
      </c>
      <c r="G86" s="993">
        <f t="shared" si="46"/>
        <v>177.62067879320267</v>
      </c>
      <c r="H86" s="993">
        <f t="shared" si="46"/>
        <v>130.76519298631914</v>
      </c>
      <c r="I86" s="993">
        <f t="shared" si="46"/>
        <v>146.95568543130369</v>
      </c>
      <c r="J86" s="993">
        <f t="shared" si="46"/>
        <v>141.55885461630882</v>
      </c>
      <c r="K86" s="993">
        <f t="shared" si="46"/>
        <v>129.22324132489203</v>
      </c>
      <c r="L86" s="564">
        <v>0</v>
      </c>
      <c r="M86" s="674">
        <f t="shared" si="43"/>
        <v>9.3231960462962959</v>
      </c>
      <c r="N86" s="564"/>
      <c r="O86" s="564"/>
      <c r="P86" s="564"/>
      <c r="Q86" s="992"/>
      <c r="R86" s="141">
        <v>2012</v>
      </c>
      <c r="S86" s="1245" t="str">
        <f t="shared" si="40"/>
        <v/>
      </c>
      <c r="T86" s="1785"/>
      <c r="U86" s="1785"/>
      <c r="V86" s="148"/>
      <c r="W86" s="148"/>
      <c r="X86" s="144"/>
      <c r="Y86" s="144"/>
      <c r="Z86" s="144"/>
      <c r="AA86" s="144"/>
      <c r="AB86" s="144"/>
      <c r="AC86" s="144"/>
      <c r="AD86" s="144"/>
      <c r="AE86" s="144"/>
      <c r="AF86" s="145"/>
      <c r="AG86" s="145"/>
      <c r="AH86" s="145"/>
      <c r="AI86" s="145"/>
      <c r="AJ86" s="145"/>
      <c r="AK86" s="145"/>
      <c r="AL86" s="145"/>
      <c r="AM86" s="145"/>
      <c r="AN86" s="145"/>
      <c r="AO86" s="145"/>
      <c r="AP86" s="145"/>
      <c r="AQ86" s="145"/>
      <c r="AR86" s="145"/>
      <c r="AS86" s="145"/>
      <c r="AT86" s="145"/>
      <c r="AU86" s="145"/>
      <c r="AV86" s="145"/>
      <c r="AW86" s="145"/>
      <c r="AX86" s="145"/>
      <c r="AY86" s="145"/>
      <c r="BA86" s="140"/>
    </row>
    <row r="87" spans="1:53" ht="15">
      <c r="A87" s="436" t="str">
        <f>"Imports of "&amp;VLOOKUP(D87,NameConv!$C$5:$D$44,2,FALSE)</f>
        <v>Imports of Biodiesel</v>
      </c>
      <c r="B87" s="435" t="str">
        <f t="shared" si="42"/>
        <v>IMPBID</v>
      </c>
      <c r="C87" s="124"/>
      <c r="D87" s="1119" t="str">
        <f>NameConv!C7</f>
        <v>BID</v>
      </c>
      <c r="E87" s="563">
        <v>0</v>
      </c>
      <c r="F87" s="993">
        <f t="shared" ref="F87:K88" si="47">F82*1.05</f>
        <v>211.32412008322052</v>
      </c>
      <c r="G87" s="993">
        <f t="shared" si="47"/>
        <v>177.36446262533187</v>
      </c>
      <c r="H87" s="993">
        <f>H82*1.05</f>
        <v>125.88022133069603</v>
      </c>
      <c r="I87" s="993">
        <f t="shared" si="47"/>
        <v>144.02665854800659</v>
      </c>
      <c r="J87" s="993">
        <f t="shared" si="47"/>
        <v>138.15943117817068</v>
      </c>
      <c r="K87" s="993">
        <f t="shared" si="47"/>
        <v>124.74862576140292</v>
      </c>
      <c r="L87" s="564">
        <v>0</v>
      </c>
      <c r="M87" s="674"/>
      <c r="N87" s="564"/>
      <c r="O87" s="564"/>
      <c r="P87" s="564"/>
      <c r="Q87" s="992"/>
      <c r="R87" s="141">
        <v>2012</v>
      </c>
      <c r="S87" s="1245" t="str">
        <f t="shared" si="40"/>
        <v/>
      </c>
      <c r="T87" s="1785"/>
      <c r="U87" s="1785"/>
      <c r="V87" s="148"/>
      <c r="W87" s="148"/>
      <c r="X87" s="144"/>
      <c r="Y87" s="144"/>
      <c r="Z87" s="144"/>
      <c r="AA87" s="144"/>
      <c r="AB87" s="144"/>
      <c r="AC87" s="144"/>
      <c r="AD87" s="144"/>
      <c r="AE87" s="144"/>
      <c r="AF87" s="145"/>
      <c r="AG87" s="145"/>
      <c r="AH87" s="145"/>
      <c r="AI87" s="145"/>
      <c r="AJ87" s="145"/>
      <c r="AK87" s="145"/>
      <c r="AL87" s="145"/>
      <c r="AM87" s="145"/>
      <c r="AN87" s="145"/>
      <c r="AO87" s="145"/>
      <c r="AP87" s="145"/>
      <c r="AQ87" s="145"/>
      <c r="AR87" s="145"/>
      <c r="AS87" s="145"/>
      <c r="AT87" s="145"/>
      <c r="AU87" s="145"/>
      <c r="AV87" s="145"/>
      <c r="AW87" s="145"/>
      <c r="AX87" s="145"/>
      <c r="AY87" s="145"/>
      <c r="BA87" s="435"/>
    </row>
    <row r="88" spans="1:53" ht="15">
      <c r="A88" s="436" t="str">
        <f>"Imports of "&amp;VLOOKUP(D88,NameConv!$C$5:$D$44,2,FALSE)</f>
        <v>Imports of Bioethanol</v>
      </c>
      <c r="B88" s="435" t="str">
        <f>"IMP"&amp;D88</f>
        <v>IMPBIE</v>
      </c>
      <c r="C88" s="124"/>
      <c r="D88" s="1119" t="str">
        <f>NameConv!C6</f>
        <v>BIE</v>
      </c>
      <c r="E88" s="563">
        <v>0</v>
      </c>
      <c r="F88" s="993">
        <f t="shared" si="47"/>
        <v>219.89652862539938</v>
      </c>
      <c r="G88" s="993">
        <f t="shared" si="47"/>
        <v>185.74281063200931</v>
      </c>
      <c r="H88" s="993">
        <f>H83*1.05</f>
        <v>136.17380821683679</v>
      </c>
      <c r="I88" s="993">
        <f t="shared" si="47"/>
        <v>152.21449956503875</v>
      </c>
      <c r="J88" s="993">
        <f t="shared" si="47"/>
        <v>146.31374425733389</v>
      </c>
      <c r="K88" s="993">
        <f t="shared" si="47"/>
        <v>132.82630355400852</v>
      </c>
      <c r="L88" s="564">
        <v>0</v>
      </c>
      <c r="M88" s="674"/>
      <c r="N88" s="564"/>
      <c r="O88" s="564"/>
      <c r="P88" s="564"/>
      <c r="Q88" s="992"/>
      <c r="R88" s="141">
        <v>2012</v>
      </c>
      <c r="S88" s="1245" t="str">
        <f t="shared" si="40"/>
        <v/>
      </c>
      <c r="T88" s="1785"/>
      <c r="U88" s="1785"/>
      <c r="V88" s="148"/>
      <c r="W88" s="148"/>
      <c r="X88" s="144"/>
      <c r="Y88" s="144"/>
      <c r="Z88" s="144"/>
      <c r="AA88" s="144"/>
      <c r="AB88" s="144"/>
      <c r="AC88" s="144"/>
      <c r="AD88" s="144"/>
      <c r="AE88" s="144"/>
      <c r="AF88" s="145"/>
      <c r="AG88" s="145"/>
      <c r="AH88" s="145"/>
      <c r="AI88" s="145"/>
      <c r="AJ88" s="145"/>
      <c r="AK88" s="145"/>
      <c r="AL88" s="145"/>
      <c r="AM88" s="145"/>
      <c r="AN88" s="145"/>
      <c r="AO88" s="145"/>
      <c r="AP88" s="145"/>
      <c r="AQ88" s="145"/>
      <c r="AR88" s="145"/>
      <c r="AS88" s="145"/>
      <c r="AT88" s="145"/>
      <c r="AU88" s="145"/>
      <c r="AV88" s="145"/>
      <c r="AW88" s="145"/>
      <c r="AX88" s="145"/>
      <c r="AY88" s="145"/>
      <c r="BA88" s="435"/>
    </row>
    <row r="89" spans="1:53" ht="15">
      <c r="A89" s="138" t="s">
        <v>560</v>
      </c>
      <c r="B89" s="139"/>
      <c r="C89" s="124"/>
      <c r="D89" s="1119"/>
      <c r="E89" s="561"/>
      <c r="F89" s="1390"/>
      <c r="G89" s="1390"/>
      <c r="H89" s="1390"/>
      <c r="I89" s="1390"/>
      <c r="J89" s="1390"/>
      <c r="K89" s="1390"/>
      <c r="L89" s="564"/>
      <c r="M89" s="564"/>
      <c r="N89" s="564"/>
      <c r="O89" s="564"/>
      <c r="P89" s="564"/>
      <c r="Q89" s="992"/>
      <c r="R89" s="141">
        <v>2012</v>
      </c>
      <c r="S89" s="148"/>
      <c r="T89" s="1785"/>
      <c r="U89" s="1785"/>
      <c r="V89" s="148"/>
      <c r="W89" s="148"/>
      <c r="X89" s="144"/>
      <c r="Y89" s="144"/>
      <c r="Z89" s="144"/>
      <c r="AA89" s="144"/>
      <c r="AB89" s="144"/>
      <c r="AC89" s="144"/>
      <c r="AD89" s="144"/>
      <c r="AE89" s="144"/>
      <c r="AF89" s="145"/>
      <c r="AG89" s="145"/>
      <c r="AH89" s="145"/>
      <c r="AI89" s="145"/>
      <c r="AJ89" s="145"/>
      <c r="AK89" s="145"/>
      <c r="AL89" s="145"/>
      <c r="AM89" s="145"/>
      <c r="AN89" s="145"/>
      <c r="AO89" s="145"/>
      <c r="AP89" s="145"/>
      <c r="AQ89" s="145"/>
      <c r="AR89" s="145"/>
      <c r="AS89" s="145"/>
      <c r="AT89" s="145"/>
      <c r="AU89" s="145"/>
      <c r="AV89" s="145"/>
      <c r="AW89" s="145"/>
      <c r="AX89" s="145"/>
      <c r="AY89" s="145"/>
      <c r="BA89" s="140"/>
    </row>
    <row r="90" spans="1:53" ht="15">
      <c r="A90" s="142" t="str">
        <f>"Extraction of "&amp;VLOOKUP(D90,NameConv!$C$5:$D$44,2,FALSE)</f>
        <v>Extraction of Coal for plants in Botswana</v>
      </c>
      <c r="B90" s="140" t="str">
        <f>$B$47&amp;D90</f>
        <v>MIRCRB</v>
      </c>
      <c r="C90" s="124"/>
      <c r="D90" s="1119" t="str">
        <f>NameConv!C15</f>
        <v>CRB</v>
      </c>
      <c r="E90" s="563">
        <v>0</v>
      </c>
      <c r="F90" s="993">
        <f t="shared" ref="F90:K90" si="48">F59</f>
        <v>15</v>
      </c>
      <c r="G90" s="993">
        <f t="shared" si="48"/>
        <v>15</v>
      </c>
      <c r="H90" s="993">
        <f t="shared" si="48"/>
        <v>16.714848757138416</v>
      </c>
      <c r="I90" s="993">
        <f t="shared" si="48"/>
        <v>18.429697514276832</v>
      </c>
      <c r="J90" s="993">
        <f t="shared" si="48"/>
        <v>18.429697514276832</v>
      </c>
      <c r="K90" s="993">
        <f t="shared" si="48"/>
        <v>18.429697514276832</v>
      </c>
      <c r="L90" s="564"/>
      <c r="M90" s="991" t="str">
        <f>""</f>
        <v/>
      </c>
      <c r="N90" s="564"/>
      <c r="O90" s="564"/>
      <c r="P90" s="564"/>
      <c r="Q90" s="992"/>
      <c r="R90" s="141">
        <v>2012</v>
      </c>
      <c r="S90" s="1245" t="str">
        <f>$S$58</f>
        <v/>
      </c>
      <c r="T90" s="1785"/>
      <c r="U90" s="1785"/>
      <c r="V90" s="148"/>
      <c r="W90" s="148"/>
      <c r="X90" s="144"/>
      <c r="Y90" s="144"/>
      <c r="Z90" s="144"/>
      <c r="AA90" s="144"/>
      <c r="AB90" s="144"/>
      <c r="AC90" s="144"/>
      <c r="AD90" s="144"/>
      <c r="AE90" s="144"/>
      <c r="AF90" s="145"/>
      <c r="AG90" s="145"/>
      <c r="AH90" s="145"/>
      <c r="AI90" s="145"/>
      <c r="AJ90" s="145"/>
      <c r="AK90" s="145"/>
      <c r="AL90" s="145"/>
      <c r="AM90" s="145"/>
      <c r="AN90" s="145"/>
      <c r="AO90" s="145"/>
      <c r="AP90" s="145"/>
      <c r="AQ90" s="145"/>
      <c r="AR90" s="145"/>
      <c r="AS90" s="145"/>
      <c r="AT90" s="145"/>
      <c r="AU90" s="145"/>
      <c r="AV90" s="145"/>
      <c r="AW90" s="145"/>
      <c r="AX90" s="145"/>
      <c r="AY90" s="145"/>
      <c r="BA90" s="140"/>
    </row>
    <row r="91" spans="1:53" ht="15">
      <c r="A91" s="436" t="str">
        <f>"Extraction of "&amp;VLOOKUP(D91,NameConv!$C$5:$D$44,2,FALSE)</f>
        <v>Extraction of Gas Namibia</v>
      </c>
      <c r="B91" s="435" t="str">
        <f>$B$47&amp;RIGHT($D91,3)</f>
        <v>MIRGRN</v>
      </c>
      <c r="C91" s="124"/>
      <c r="D91" s="1119" t="str">
        <f>NameConv!C20</f>
        <v>GRN</v>
      </c>
      <c r="E91" s="563"/>
      <c r="F91" s="993">
        <f t="shared" ref="F91:K91" ca="1" si="49">F92</f>
        <v>100.07852866986421</v>
      </c>
      <c r="G91" s="993">
        <f t="shared" ca="1" si="49"/>
        <v>84.132985722376887</v>
      </c>
      <c r="H91" s="993">
        <f t="shared" ca="1" si="49"/>
        <v>100.07852866986421</v>
      </c>
      <c r="I91" s="993">
        <f t="shared" ca="1" si="49"/>
        <v>100.07852866986421</v>
      </c>
      <c r="J91" s="993">
        <f t="shared" ca="1" si="49"/>
        <v>100.07852866986421</v>
      </c>
      <c r="K91" s="993">
        <f t="shared" ca="1" si="49"/>
        <v>100.07852866986421</v>
      </c>
      <c r="L91" s="564"/>
      <c r="M91" s="674"/>
      <c r="N91" s="991"/>
      <c r="O91" s="992"/>
      <c r="P91" s="992"/>
      <c r="Q91" s="992"/>
      <c r="R91" s="141">
        <v>2012</v>
      </c>
      <c r="S91" s="1245" t="str">
        <f>$S$58</f>
        <v/>
      </c>
      <c r="T91" s="1785"/>
      <c r="U91" s="1785"/>
      <c r="V91" s="148"/>
      <c r="W91" s="148"/>
      <c r="X91" s="144"/>
      <c r="Y91" s="144"/>
      <c r="Z91" s="145"/>
      <c r="AA91" s="145"/>
      <c r="AB91" s="145"/>
      <c r="AC91" s="145"/>
      <c r="AD91" s="145"/>
      <c r="AE91" s="145"/>
      <c r="AF91" s="145"/>
      <c r="AG91" s="145"/>
      <c r="AH91" s="145"/>
      <c r="AI91" s="145"/>
      <c r="AJ91" s="145"/>
      <c r="AK91" s="145"/>
      <c r="AL91" s="145"/>
      <c r="AM91" s="145"/>
      <c r="AN91" s="145"/>
      <c r="AO91" s="145"/>
      <c r="AP91" s="145"/>
      <c r="AQ91" s="145"/>
      <c r="AR91" s="145"/>
      <c r="AT91" s="435"/>
    </row>
    <row r="92" spans="1:53" ht="15">
      <c r="A92" s="436" t="str">
        <f>"Extraction of "&amp;VLOOKUP(RIGHT(B92,3),NameConv!$C$5:$D$44,2,FALSE)</f>
        <v>Extraction of Gas Southern Mozambique</v>
      </c>
      <c r="B92" s="435" t="str">
        <f>$B$47&amp;RIGHT($D92,3)</f>
        <v>MIRGRS</v>
      </c>
      <c r="C92" s="124"/>
      <c r="D92" s="1119" t="str">
        <f>NameConv!C19</f>
        <v>GRS</v>
      </c>
      <c r="E92" s="563">
        <v>0</v>
      </c>
      <c r="F92" s="993">
        <f ca="1">F93</f>
        <v>100.07852866986421</v>
      </c>
      <c r="G92" s="993">
        <f ca="1">G93/F93*F92</f>
        <v>84.132985722376887</v>
      </c>
      <c r="H92" s="993">
        <f ca="1">H93/F93*F92</f>
        <v>100.07852866986421</v>
      </c>
      <c r="I92" s="993">
        <f ca="1">I93/G93*G92</f>
        <v>100.07852866986421</v>
      </c>
      <c r="J92" s="993">
        <f ca="1">J93/I93*I92</f>
        <v>100.07852866986421</v>
      </c>
      <c r="K92" s="993">
        <f ca="1">K93/J93*J92</f>
        <v>100.07852866986421</v>
      </c>
      <c r="L92" s="613">
        <v>3</v>
      </c>
      <c r="M92" s="994">
        <f>118+22+14</f>
        <v>154</v>
      </c>
      <c r="N92" s="613">
        <v>116</v>
      </c>
      <c r="O92" s="613">
        <v>156</v>
      </c>
      <c r="P92" s="613"/>
      <c r="Q92" s="995"/>
      <c r="R92" s="141">
        <v>2012</v>
      </c>
      <c r="S92" s="148">
        <v>4500</v>
      </c>
      <c r="T92" s="1785"/>
      <c r="U92" s="1785"/>
      <c r="V92" s="148"/>
      <c r="W92" s="148"/>
      <c r="X92" s="144"/>
      <c r="Y92" s="144"/>
      <c r="Z92" s="144"/>
      <c r="AA92" s="144"/>
      <c r="AB92" s="144"/>
      <c r="AC92" s="144"/>
      <c r="AD92" s="144"/>
      <c r="AE92" s="144"/>
      <c r="AF92" s="145"/>
      <c r="AG92" s="145"/>
      <c r="AH92" s="145"/>
      <c r="AI92" s="145"/>
      <c r="AJ92" s="145"/>
      <c r="AK92" s="145"/>
      <c r="AL92" s="145"/>
      <c r="AM92" s="145"/>
      <c r="AN92" s="145"/>
      <c r="AO92" s="145"/>
      <c r="AP92" s="145"/>
      <c r="AQ92" s="145"/>
      <c r="AR92" s="145"/>
      <c r="AS92" s="145"/>
      <c r="AT92" s="145"/>
      <c r="AU92" s="145"/>
      <c r="AV92" s="145"/>
      <c r="AW92" s="145"/>
      <c r="AX92" s="145"/>
      <c r="AY92" s="145"/>
      <c r="BA92" s="435"/>
    </row>
    <row r="93" spans="1:53" ht="15">
      <c r="A93" s="436" t="str">
        <f>"Extraction of "&amp;VLOOKUP(RIGHT(B93,3),NameConv!$C$5:$D$44,2,FALSE)</f>
        <v>Extraction of Gas Northern Mozambique</v>
      </c>
      <c r="B93" s="435" t="str">
        <f>$B$47&amp;RIGHT($D93,3)</f>
        <v>MIRGRM</v>
      </c>
      <c r="D93" s="1119" t="str">
        <f>NameConv!C23</f>
        <v>GRM</v>
      </c>
      <c r="E93" s="563">
        <v>0</v>
      </c>
      <c r="F93" s="993">
        <f ca="1">SUMIF($E$35:$G$40,$D93,$G$35:$G$40)*$E$52</f>
        <v>100.07852866986421</v>
      </c>
      <c r="G93" s="993">
        <f ca="1">SUMIF($E$35:$H$40,$D93,$H$35:$H$40)*$E$52</f>
        <v>84.132985722376887</v>
      </c>
      <c r="H93" s="993">
        <f ca="1">SUMIF($E$35:$G$40,$D93,$G$35:$G$40)*$E$52</f>
        <v>100.07852866986421</v>
      </c>
      <c r="I93" s="993">
        <f ca="1">SUMIF($E$35:$G$40,$D93,$G$35:$G$40)*$E$52</f>
        <v>100.07852866986421</v>
      </c>
      <c r="J93" s="993">
        <f ca="1">SUMIF($E$35:$G$40,$D93,$G$35:$G$40)*$E$52</f>
        <v>100.07852866986421</v>
      </c>
      <c r="K93" s="993">
        <f ca="1">SUMIF($E$35:$G$40,$D93,$G$35:$G$40)*$E$52</f>
        <v>100.07852866986421</v>
      </c>
      <c r="L93" s="622"/>
      <c r="M93" s="996"/>
      <c r="N93" s="623"/>
      <c r="O93" s="623"/>
      <c r="P93" s="623"/>
      <c r="Q93" s="997"/>
      <c r="R93" s="992">
        <f>'Gas Price'!K30</f>
        <v>2024</v>
      </c>
      <c r="S93" s="148">
        <v>170000</v>
      </c>
      <c r="T93" s="1785"/>
      <c r="U93" s="1785"/>
      <c r="V93" s="148"/>
      <c r="W93" s="148"/>
      <c r="X93" s="144"/>
      <c r="Y93" s="144"/>
      <c r="Z93" s="144"/>
      <c r="AA93" s="144"/>
      <c r="AB93" s="144"/>
      <c r="AC93" s="144"/>
      <c r="AD93" s="144"/>
      <c r="AE93" s="144"/>
      <c r="AF93" s="145"/>
      <c r="AG93" s="145"/>
      <c r="AH93" s="145"/>
      <c r="AI93" s="145"/>
      <c r="AJ93" s="145"/>
      <c r="AK93" s="145"/>
      <c r="AL93" s="145"/>
      <c r="AM93" s="145"/>
      <c r="AN93" s="145"/>
      <c r="AO93" s="145"/>
      <c r="AP93" s="145"/>
      <c r="AQ93" s="145"/>
      <c r="AR93" s="145"/>
      <c r="AS93" s="145"/>
      <c r="AT93" s="145"/>
      <c r="AU93" s="145"/>
      <c r="AV93" s="145"/>
      <c r="AW93" s="145"/>
      <c r="AX93" s="145"/>
      <c r="AY93" s="145"/>
      <c r="BA93" s="435"/>
    </row>
    <row r="94" spans="1:53" ht="15">
      <c r="A94" s="138" t="s">
        <v>291</v>
      </c>
      <c r="B94" s="139">
        <v>-0.95</v>
      </c>
      <c r="C94" s="124"/>
      <c r="D94" s="1119"/>
      <c r="E94" s="561"/>
      <c r="F94" s="1390"/>
      <c r="G94" s="1390"/>
      <c r="H94" s="1390"/>
      <c r="I94" s="1390"/>
      <c r="J94" s="1390"/>
      <c r="K94" s="1390"/>
      <c r="L94" s="564"/>
      <c r="M94" s="564"/>
      <c r="N94" s="564"/>
      <c r="O94" s="564"/>
      <c r="P94" s="564"/>
      <c r="Q94" s="992"/>
      <c r="R94" s="141">
        <v>2012</v>
      </c>
      <c r="S94" s="148"/>
      <c r="T94" s="1785"/>
      <c r="U94" s="1785"/>
      <c r="V94" s="148"/>
      <c r="W94" s="148"/>
      <c r="X94" s="144"/>
      <c r="Y94" s="144"/>
      <c r="Z94" s="144"/>
      <c r="AA94" s="144"/>
      <c r="AB94" s="144"/>
      <c r="AC94" s="144"/>
      <c r="AD94" s="144"/>
      <c r="AE94" s="144"/>
      <c r="AF94" s="145"/>
      <c r="AG94" s="145"/>
      <c r="AH94" s="145"/>
      <c r="AI94" s="145"/>
      <c r="AJ94" s="145"/>
      <c r="AK94" s="145"/>
      <c r="AL94" s="145"/>
      <c r="AM94" s="145"/>
      <c r="AN94" s="145"/>
      <c r="AO94" s="145"/>
      <c r="AP94" s="145"/>
      <c r="AQ94" s="145"/>
      <c r="AR94" s="145"/>
      <c r="AS94" s="145"/>
      <c r="AT94" s="145"/>
      <c r="AU94" s="145"/>
      <c r="AV94" s="145"/>
      <c r="AW94" s="145"/>
      <c r="AX94" s="145"/>
      <c r="AY94" s="145"/>
      <c r="BA94" s="140"/>
    </row>
    <row r="95" spans="1:53" ht="15">
      <c r="A95" s="142" t="str">
        <f>"Exports of "&amp;VLOOKUP(D95,NameConv!$C$5:$D$44,2,FALSE)</f>
        <v>Exports of Electricity</v>
      </c>
      <c r="B95" s="140" t="str">
        <f>"PEX"&amp;D95</f>
        <v>PEXELC</v>
      </c>
      <c r="C95" s="124"/>
      <c r="D95" s="1119" t="s">
        <v>277</v>
      </c>
      <c r="E95" s="563">
        <v>3</v>
      </c>
      <c r="F95" s="993">
        <f t="shared" ref="F95:K95" si="50">-70*3.6/7.4</f>
        <v>-34.054054054054049</v>
      </c>
      <c r="G95" s="993">
        <f t="shared" si="50"/>
        <v>-34.054054054054049</v>
      </c>
      <c r="H95" s="993">
        <f t="shared" si="50"/>
        <v>-34.054054054054049</v>
      </c>
      <c r="I95" s="993">
        <f t="shared" si="50"/>
        <v>-34.054054054054049</v>
      </c>
      <c r="J95" s="993">
        <f t="shared" si="50"/>
        <v>-34.054054054054049</v>
      </c>
      <c r="K95" s="993">
        <f t="shared" si="50"/>
        <v>-34.054054054054049</v>
      </c>
      <c r="L95" s="564">
        <v>0</v>
      </c>
      <c r="M95" s="674">
        <f>SUMIF($C$6:$AZ$6,D95,$C$10:$AZ$10)</f>
        <v>54.125999999999998</v>
      </c>
      <c r="N95" s="564"/>
      <c r="O95" s="564"/>
      <c r="P95" s="564"/>
      <c r="Q95" s="992"/>
      <c r="R95" s="141">
        <v>2012</v>
      </c>
      <c r="S95" s="1245" t="str">
        <f t="shared" ref="S95:S103" si="51">$S$58</f>
        <v/>
      </c>
      <c r="T95" s="1785"/>
      <c r="U95" s="1785"/>
      <c r="V95" s="148"/>
      <c r="W95" s="148"/>
      <c r="X95" s="144"/>
      <c r="Y95" s="144"/>
      <c r="Z95" s="144"/>
      <c r="AA95" s="144"/>
      <c r="AB95" s="144"/>
      <c r="AC95" s="144"/>
      <c r="AD95" s="144"/>
      <c r="AE95" s="144"/>
      <c r="AF95" s="145"/>
      <c r="AG95" s="145"/>
      <c r="AH95" s="145"/>
      <c r="AI95" s="145"/>
      <c r="AJ95" s="145"/>
      <c r="AK95" s="145"/>
      <c r="AL95" s="145"/>
      <c r="AM95" s="145"/>
      <c r="AN95" s="145"/>
      <c r="AO95" s="145"/>
      <c r="AP95" s="145"/>
      <c r="AQ95" s="145"/>
      <c r="AR95" s="145"/>
      <c r="AS95" s="145"/>
      <c r="AT95" s="145"/>
      <c r="AU95" s="145"/>
      <c r="AV95" s="145"/>
      <c r="AW95" s="145"/>
      <c r="AX95" s="145"/>
      <c r="AY95" s="145"/>
      <c r="BA95" s="140"/>
    </row>
    <row r="96" spans="1:53" ht="15">
      <c r="A96" s="142" t="str">
        <f>"Exports of "&amp;VLOOKUP(D96,NameConv!$C$5:$D$44,2,FALSE)</f>
        <v>Exports of Coal</v>
      </c>
      <c r="B96" s="435" t="str">
        <f t="shared" ref="B96:B103" si="52">"PEX"&amp;D96</f>
        <v>PEXCOA</v>
      </c>
      <c r="C96" s="124"/>
      <c r="D96" s="1119" t="str">
        <f>NameConv!C11</f>
        <v>COA</v>
      </c>
      <c r="E96" s="563">
        <v>3</v>
      </c>
      <c r="F96" s="993">
        <f t="shared" ref="F96:K96" si="53">F58*$B$94</f>
        <v>-42.761611111111108</v>
      </c>
      <c r="G96" s="993">
        <f t="shared" si="53"/>
        <v>-42.761611111111108</v>
      </c>
      <c r="H96" s="993">
        <f t="shared" si="53"/>
        <v>-43.040805555555551</v>
      </c>
      <c r="I96" s="993">
        <f t="shared" si="53"/>
        <v>-43.32</v>
      </c>
      <c r="J96" s="993">
        <f t="shared" si="53"/>
        <v>-43.32</v>
      </c>
      <c r="K96" s="993">
        <f t="shared" si="53"/>
        <v>-43.32</v>
      </c>
      <c r="L96" s="564">
        <v>3</v>
      </c>
      <c r="M96" s="674">
        <f t="shared" ref="M96:M103" si="54">SUMIF($C$6:$AZ$6,D96,$C$10:$AZ$10)</f>
        <v>2129.9962500000001</v>
      </c>
      <c r="N96" s="564">
        <v>1727</v>
      </c>
      <c r="O96" s="564">
        <v>1727</v>
      </c>
      <c r="P96" s="564">
        <v>1000</v>
      </c>
      <c r="Q96" s="992">
        <v>500</v>
      </c>
      <c r="R96" s="141">
        <v>2012</v>
      </c>
      <c r="S96" s="1245" t="str">
        <f t="shared" si="51"/>
        <v/>
      </c>
      <c r="T96" s="1785"/>
      <c r="U96" s="1785"/>
      <c r="V96" s="148"/>
      <c r="W96" s="148"/>
      <c r="X96" s="144"/>
      <c r="Y96" s="144"/>
      <c r="Z96" s="144"/>
      <c r="AA96" s="144"/>
      <c r="AB96" s="144"/>
      <c r="AC96" s="144"/>
      <c r="AD96" s="144"/>
      <c r="AE96" s="144"/>
      <c r="AF96" s="145"/>
      <c r="AG96" s="145"/>
      <c r="AH96" s="145"/>
      <c r="AI96" s="145"/>
      <c r="AJ96" s="145"/>
      <c r="AK96" s="145"/>
      <c r="AL96" s="145"/>
      <c r="AM96" s="145"/>
      <c r="AN96" s="145"/>
      <c r="AO96" s="145"/>
      <c r="AP96" s="145"/>
      <c r="AQ96" s="145"/>
      <c r="AR96" s="145"/>
      <c r="AS96" s="145"/>
      <c r="AT96" s="145"/>
      <c r="AU96" s="145"/>
      <c r="AV96" s="145"/>
      <c r="AW96" s="145"/>
      <c r="AX96" s="145"/>
      <c r="AY96" s="145"/>
      <c r="BA96" s="140"/>
    </row>
    <row r="97" spans="1:53" ht="15">
      <c r="A97" s="142" t="str">
        <f>"Exports of "&amp;VLOOKUP(D97,NameConv!$C$5:$D$44,2,FALSE)</f>
        <v>Exports of Coal Coking</v>
      </c>
      <c r="B97" s="435" t="str">
        <f t="shared" si="52"/>
        <v>PEXCOK</v>
      </c>
      <c r="C97" s="124"/>
      <c r="D97" s="1119" t="str">
        <f>NameConv!C12</f>
        <v>COK</v>
      </c>
      <c r="E97" s="563">
        <v>0</v>
      </c>
      <c r="F97" s="993">
        <f t="shared" ref="F97:K97" si="55">F76*$B$94</f>
        <v>-64.142416666666662</v>
      </c>
      <c r="G97" s="993">
        <f t="shared" si="55"/>
        <v>-64.142416666666662</v>
      </c>
      <c r="H97" s="993">
        <f t="shared" si="55"/>
        <v>-64.561208333333326</v>
      </c>
      <c r="I97" s="993">
        <f t="shared" si="55"/>
        <v>-64.98</v>
      </c>
      <c r="J97" s="993">
        <f t="shared" si="55"/>
        <v>-64.98</v>
      </c>
      <c r="K97" s="993">
        <f t="shared" si="55"/>
        <v>-64.98</v>
      </c>
      <c r="L97" s="564">
        <v>0</v>
      </c>
      <c r="M97" s="674">
        <f t="shared" si="54"/>
        <v>20.834015000000001</v>
      </c>
      <c r="N97" s="564"/>
      <c r="O97" s="564"/>
      <c r="P97" s="564"/>
      <c r="Q97" s="992"/>
      <c r="R97" s="141">
        <v>2012</v>
      </c>
      <c r="S97" s="1245" t="str">
        <f t="shared" si="51"/>
        <v/>
      </c>
      <c r="T97" s="1785"/>
      <c r="U97" s="1785"/>
      <c r="V97" s="148"/>
      <c r="W97" s="148"/>
      <c r="X97" s="144"/>
      <c r="Y97" s="144"/>
      <c r="Z97" s="144"/>
      <c r="AA97" s="144"/>
      <c r="AB97" s="144"/>
      <c r="AC97" s="144"/>
      <c r="AD97" s="144"/>
      <c r="AE97" s="144"/>
      <c r="AF97" s="145"/>
      <c r="AG97" s="145"/>
      <c r="AH97" s="145"/>
      <c r="AI97" s="145"/>
      <c r="AJ97" s="145"/>
      <c r="AK97" s="145"/>
      <c r="AL97" s="145"/>
      <c r="AM97" s="145"/>
      <c r="AN97" s="145"/>
      <c r="AO97" s="145"/>
      <c r="AP97" s="145"/>
      <c r="AQ97" s="145"/>
      <c r="AR97" s="145"/>
      <c r="AS97" s="145"/>
      <c r="AT97" s="145"/>
      <c r="AU97" s="145"/>
      <c r="AV97" s="145"/>
      <c r="AW97" s="145"/>
      <c r="AX97" s="145"/>
      <c r="AY97" s="145"/>
      <c r="BA97" s="140"/>
    </row>
    <row r="98" spans="1:53" ht="15">
      <c r="A98" s="142" t="str">
        <f>"Exports of "&amp;VLOOKUP(D98,NameConv!$C$5:$D$44,2,FALSE)</f>
        <v>Exports of Oil Av Gasoline</v>
      </c>
      <c r="B98" s="435" t="str">
        <f t="shared" si="52"/>
        <v>PEXOAG</v>
      </c>
      <c r="C98" s="124"/>
      <c r="D98" s="1119" t="str">
        <f>NameConv!C34</f>
        <v>OAG</v>
      </c>
      <c r="E98" s="563">
        <v>0</v>
      </c>
      <c r="F98" s="993">
        <f t="shared" ref="F98:K98" si="56">F101</f>
        <v>-198.95400208964705</v>
      </c>
      <c r="G98" s="993">
        <f t="shared" si="56"/>
        <v>-168.0530191432465</v>
      </c>
      <c r="H98" s="993">
        <f t="shared" si="56"/>
        <v>-123.20487410094756</v>
      </c>
      <c r="I98" s="993">
        <f t="shared" si="56"/>
        <v>-137.71788055884457</v>
      </c>
      <c r="J98" s="993">
        <f t="shared" si="56"/>
        <v>-132.37910194711162</v>
      </c>
      <c r="K98" s="993">
        <f t="shared" si="56"/>
        <v>-120.17617940600771</v>
      </c>
      <c r="L98" s="564">
        <v>0</v>
      </c>
      <c r="M98" s="674">
        <f t="shared" si="54"/>
        <v>0.22564281164383562</v>
      </c>
      <c r="N98" s="564"/>
      <c r="O98" s="564"/>
      <c r="P98" s="564"/>
      <c r="Q98" s="992"/>
      <c r="R98" s="141">
        <v>2012</v>
      </c>
      <c r="S98" s="1245" t="str">
        <f t="shared" si="51"/>
        <v/>
      </c>
      <c r="T98" s="1785"/>
      <c r="U98" s="1785"/>
      <c r="V98" s="148"/>
      <c r="W98" s="148"/>
      <c r="X98" s="144"/>
      <c r="Y98" s="144"/>
      <c r="Z98" s="144"/>
      <c r="AA98" s="144"/>
      <c r="AB98" s="144"/>
      <c r="AC98" s="144"/>
      <c r="AD98" s="144"/>
      <c r="AE98" s="144"/>
      <c r="AF98" s="145"/>
      <c r="AG98" s="145"/>
      <c r="AH98" s="145"/>
      <c r="AI98" s="145"/>
      <c r="AJ98" s="145"/>
      <c r="AK98" s="145"/>
      <c r="AL98" s="145"/>
      <c r="AM98" s="145"/>
      <c r="AN98" s="145"/>
      <c r="AO98" s="145"/>
      <c r="AP98" s="145"/>
      <c r="AQ98" s="145"/>
      <c r="AR98" s="145"/>
      <c r="AS98" s="145"/>
      <c r="AT98" s="145"/>
      <c r="AU98" s="145"/>
      <c r="AV98" s="145"/>
      <c r="AW98" s="145"/>
      <c r="AX98" s="145"/>
      <c r="AY98" s="145"/>
      <c r="BA98" s="140"/>
    </row>
    <row r="99" spans="1:53" ht="15">
      <c r="A99" s="142" t="str">
        <f>"Exports of "&amp;VLOOKUP(D99,NameConv!$C$5:$D$44,2,FALSE)</f>
        <v>Exports of Oil Crude</v>
      </c>
      <c r="B99" s="435" t="str">
        <f t="shared" si="52"/>
        <v>PEXOCR</v>
      </c>
      <c r="C99" s="124"/>
      <c r="D99" s="1119" t="str">
        <f>NameConv!C35</f>
        <v>OCR</v>
      </c>
      <c r="E99" s="563">
        <v>0</v>
      </c>
      <c r="F99" s="993">
        <f t="shared" ref="F99:F103" si="57">SUMIF($E$20:$E$32,$D99,F$20:F$32)*$B$94</f>
        <v>-158.63591812322483</v>
      </c>
      <c r="G99" s="993">
        <f t="shared" ref="G99:K103" si="58">SUMIF($E$20:$E$32,$D99,H$20:H$32)*$B$94</f>
        <v>-133.36040819049671</v>
      </c>
      <c r="H99" s="993">
        <f t="shared" si="58"/>
        <v>-95.447143291404601</v>
      </c>
      <c r="I99" s="993">
        <f t="shared" si="58"/>
        <v>-108.54773158630327</v>
      </c>
      <c r="J99" s="993">
        <f t="shared" si="58"/>
        <v>-104.18086882133703</v>
      </c>
      <c r="K99" s="993">
        <f t="shared" si="58"/>
        <v>-94.199468215699952</v>
      </c>
      <c r="L99" s="564">
        <v>0</v>
      </c>
      <c r="M99" s="674">
        <f t="shared" si="54"/>
        <v>20.83803412968</v>
      </c>
      <c r="N99" s="564"/>
      <c r="O99" s="564"/>
      <c r="P99" s="564"/>
      <c r="Q99" s="992"/>
      <c r="R99" s="141">
        <v>2012</v>
      </c>
      <c r="S99" s="1245" t="str">
        <f t="shared" si="51"/>
        <v/>
      </c>
      <c r="T99" s="1785"/>
      <c r="U99" s="1785"/>
      <c r="V99" s="148"/>
      <c r="W99" s="148"/>
      <c r="X99" s="144"/>
      <c r="Y99" s="144"/>
      <c r="Z99" s="144"/>
      <c r="AA99" s="144"/>
      <c r="AB99" s="144"/>
      <c r="AC99" s="144"/>
      <c r="AD99" s="144"/>
      <c r="AE99" s="144"/>
      <c r="AF99" s="145"/>
      <c r="AG99" s="145"/>
      <c r="AH99" s="145"/>
      <c r="AI99" s="145"/>
      <c r="AJ99" s="145"/>
      <c r="AK99" s="145"/>
      <c r="AL99" s="145"/>
      <c r="AM99" s="145"/>
      <c r="AN99" s="145"/>
      <c r="AO99" s="145"/>
      <c r="AP99" s="145"/>
      <c r="AQ99" s="145"/>
      <c r="AR99" s="145"/>
      <c r="AS99" s="145"/>
      <c r="AT99" s="145"/>
      <c r="AU99" s="145"/>
      <c r="AV99" s="145"/>
      <c r="AW99" s="145"/>
      <c r="AX99" s="145"/>
      <c r="AY99" s="145"/>
      <c r="BA99" s="140"/>
    </row>
    <row r="100" spans="1:53" ht="15">
      <c r="A100" s="142" t="str">
        <f>"Exports of "&amp;VLOOKUP(D100,NameConv!$C$5:$D$44,2,FALSE)</f>
        <v>Exports of Oil Diesel</v>
      </c>
      <c r="B100" s="435" t="str">
        <f t="shared" si="52"/>
        <v>PEXODS</v>
      </c>
      <c r="C100" s="124"/>
      <c r="D100" s="1119" t="str">
        <f>NameConv!C36</f>
        <v>ODS</v>
      </c>
      <c r="E100" s="563">
        <v>0</v>
      </c>
      <c r="F100" s="993">
        <f t="shared" si="57"/>
        <v>-191.19801340862807</v>
      </c>
      <c r="G100" s="993">
        <f t="shared" si="58"/>
        <v>-160.47260904196693</v>
      </c>
      <c r="H100" s="993">
        <f t="shared" si="58"/>
        <v>-113.89162882301068</v>
      </c>
      <c r="I100" s="993">
        <f t="shared" si="58"/>
        <v>-130.30983392438691</v>
      </c>
      <c r="J100" s="993">
        <f t="shared" si="58"/>
        <v>-125.00139011358299</v>
      </c>
      <c r="K100" s="993">
        <f t="shared" si="58"/>
        <v>-112.86780426031693</v>
      </c>
      <c r="L100" s="564">
        <v>0</v>
      </c>
      <c r="M100" s="674">
        <f t="shared" si="54"/>
        <v>28.73659252275862</v>
      </c>
      <c r="N100" s="564"/>
      <c r="O100" s="564"/>
      <c r="P100" s="564"/>
      <c r="Q100" s="992"/>
      <c r="R100" s="141">
        <v>2012</v>
      </c>
      <c r="S100" s="1245" t="str">
        <f t="shared" si="51"/>
        <v/>
      </c>
      <c r="T100" s="1785"/>
      <c r="U100" s="1785"/>
      <c r="V100" s="148"/>
      <c r="W100" s="148"/>
      <c r="X100" s="144"/>
      <c r="Y100" s="144"/>
      <c r="Z100" s="144"/>
      <c r="AA100" s="144"/>
      <c r="AB100" s="144"/>
      <c r="AC100" s="144"/>
      <c r="AD100" s="144"/>
      <c r="AE100" s="144"/>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BA100" s="140"/>
    </row>
    <row r="101" spans="1:53" ht="15">
      <c r="A101" s="142" t="str">
        <f>"Exports of "&amp;VLOOKUP(D101,NameConv!$C$5:$D$44,2,FALSE)</f>
        <v>Exports of Oil Gasoline</v>
      </c>
      <c r="B101" s="435" t="str">
        <f t="shared" si="52"/>
        <v>PEXOGS</v>
      </c>
      <c r="C101" s="124"/>
      <c r="D101" s="1119" t="str">
        <f>NameConv!C37</f>
        <v>OGS</v>
      </c>
      <c r="E101" s="563">
        <v>0</v>
      </c>
      <c r="F101" s="993">
        <f t="shared" si="57"/>
        <v>-198.95400208964705</v>
      </c>
      <c r="G101" s="993">
        <f t="shared" si="58"/>
        <v>-168.0530191432465</v>
      </c>
      <c r="H101" s="993">
        <f t="shared" si="58"/>
        <v>-123.20487410094756</v>
      </c>
      <c r="I101" s="993">
        <f t="shared" si="58"/>
        <v>-137.71788055884457</v>
      </c>
      <c r="J101" s="993">
        <f t="shared" si="58"/>
        <v>-132.37910194711162</v>
      </c>
      <c r="K101" s="993">
        <f t="shared" si="58"/>
        <v>-120.17617940600771</v>
      </c>
      <c r="L101" s="564">
        <v>0</v>
      </c>
      <c r="M101" s="674">
        <f t="shared" si="54"/>
        <v>3.5488458656756761</v>
      </c>
      <c r="N101" s="564"/>
      <c r="O101" s="564"/>
      <c r="P101" s="564"/>
      <c r="Q101" s="992"/>
      <c r="R101" s="141">
        <v>2012</v>
      </c>
      <c r="S101" s="1245" t="str">
        <f t="shared" si="51"/>
        <v/>
      </c>
      <c r="T101" s="1785"/>
      <c r="U101" s="1785"/>
      <c r="V101" s="148"/>
      <c r="W101" s="148"/>
      <c r="X101" s="144"/>
      <c r="Y101" s="144"/>
      <c r="Z101" s="144"/>
      <c r="AA101" s="144"/>
      <c r="AB101" s="144"/>
      <c r="AC101" s="144"/>
      <c r="AD101" s="144"/>
      <c r="AE101" s="144"/>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BA101" s="140"/>
    </row>
    <row r="102" spans="1:53" ht="15">
      <c r="A102" s="142" t="str">
        <f>"Exports of "&amp;VLOOKUP(D102,NameConv!$C$5:$D$44,2,FALSE)</f>
        <v>Exports of Oil HFO</v>
      </c>
      <c r="B102" s="435" t="str">
        <f t="shared" si="52"/>
        <v>PEXOHF</v>
      </c>
      <c r="C102" s="124"/>
      <c r="D102" s="1119" t="str">
        <f>NameConv!C38</f>
        <v>OHF</v>
      </c>
      <c r="E102" s="563">
        <v>0</v>
      </c>
      <c r="F102" s="993">
        <f t="shared" si="57"/>
        <v>-158.63591812322483</v>
      </c>
      <c r="G102" s="993">
        <f t="shared" si="58"/>
        <v>-133.36040819049671</v>
      </c>
      <c r="H102" s="993">
        <f t="shared" si="58"/>
        <v>-95.447143291404601</v>
      </c>
      <c r="I102" s="993">
        <f t="shared" si="58"/>
        <v>-108.54773158630327</v>
      </c>
      <c r="J102" s="993">
        <f t="shared" si="58"/>
        <v>-104.18086882133703</v>
      </c>
      <c r="K102" s="993">
        <f t="shared" si="58"/>
        <v>-94.199468215699952</v>
      </c>
      <c r="L102" s="564">
        <v>0</v>
      </c>
      <c r="M102" s="674"/>
      <c r="N102" s="564"/>
      <c r="O102" s="564"/>
      <c r="P102" s="564"/>
      <c r="Q102" s="992"/>
      <c r="R102" s="141">
        <v>2012</v>
      </c>
      <c r="S102" s="1245" t="str">
        <f t="shared" si="51"/>
        <v/>
      </c>
      <c r="T102" s="1785"/>
      <c r="U102" s="1785"/>
      <c r="V102" s="148"/>
      <c r="W102" s="148"/>
      <c r="X102" s="144"/>
      <c r="Y102" s="144"/>
      <c r="Z102" s="144"/>
      <c r="AA102" s="144"/>
      <c r="AB102" s="144"/>
      <c r="AC102" s="144"/>
      <c r="AD102" s="144"/>
      <c r="AE102" s="144"/>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BA102" s="140"/>
    </row>
    <row r="103" spans="1:53" ht="15">
      <c r="A103" s="142" t="str">
        <f>"Exports of "&amp;VLOOKUP(D103,NameConv!$C$5:$D$44,2,FALSE)</f>
        <v>Exports of Oil Kerosene</v>
      </c>
      <c r="B103" s="435" t="str">
        <f t="shared" si="52"/>
        <v>PEXOKE</v>
      </c>
      <c r="C103" s="124"/>
      <c r="D103" s="1119" t="str">
        <f>NameConv!C39</f>
        <v>OKE</v>
      </c>
      <c r="E103" s="563">
        <v>0</v>
      </c>
      <c r="F103" s="993">
        <f t="shared" si="57"/>
        <v>-198.41478586456876</v>
      </c>
      <c r="G103" s="993">
        <f t="shared" si="58"/>
        <v>-168.73964485354253</v>
      </c>
      <c r="H103" s="993">
        <f t="shared" si="58"/>
        <v>-124.22693333700317</v>
      </c>
      <c r="I103" s="993">
        <f t="shared" si="58"/>
        <v>-139.6079011597385</v>
      </c>
      <c r="J103" s="993">
        <f t="shared" si="58"/>
        <v>-134.48091188549338</v>
      </c>
      <c r="K103" s="993">
        <f t="shared" si="58"/>
        <v>-122.76207925864742</v>
      </c>
      <c r="L103" s="564">
        <v>0</v>
      </c>
      <c r="M103" s="674">
        <f t="shared" si="54"/>
        <v>5.0273560461728382</v>
      </c>
      <c r="N103" s="564"/>
      <c r="O103" s="564"/>
      <c r="P103" s="564"/>
      <c r="Q103" s="992"/>
      <c r="R103" s="141">
        <v>2012</v>
      </c>
      <c r="S103" s="1245" t="str">
        <f t="shared" si="51"/>
        <v/>
      </c>
      <c r="T103" s="1785"/>
      <c r="U103" s="1785"/>
      <c r="V103" s="148"/>
      <c r="W103" s="148"/>
      <c r="X103" s="144"/>
      <c r="Y103" s="144"/>
      <c r="Z103" s="144"/>
      <c r="AA103" s="144"/>
      <c r="AB103" s="144"/>
      <c r="AC103" s="144"/>
      <c r="AD103" s="144"/>
      <c r="AE103" s="144"/>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BA103" s="140"/>
    </row>
    <row r="104" spans="1:53" s="150" customFormat="1">
      <c r="A104" s="149" t="s">
        <v>292</v>
      </c>
      <c r="B104" s="150">
        <f>ROW()-B57</f>
        <v>47</v>
      </c>
      <c r="D104" s="151"/>
      <c r="E104" s="151"/>
      <c r="F104" s="151"/>
      <c r="G104" s="151"/>
      <c r="H104" s="562"/>
      <c r="I104" s="562"/>
      <c r="J104" s="151"/>
      <c r="K104" s="151"/>
      <c r="L104" s="567"/>
      <c r="M104" s="151"/>
      <c r="N104" s="151"/>
      <c r="O104" s="151"/>
      <c r="P104" s="151"/>
      <c r="Q104" s="151"/>
      <c r="R104" s="151"/>
      <c r="S104" s="151"/>
      <c r="T104" s="151"/>
      <c r="U104" s="151"/>
      <c r="V104" s="151"/>
      <c r="W104" s="151"/>
      <c r="X104" s="437"/>
      <c r="Y104" s="437"/>
      <c r="AH104" s="437"/>
    </row>
    <row r="105" spans="1:53">
      <c r="A105" s="142"/>
      <c r="B105" s="140"/>
      <c r="C105" s="124"/>
      <c r="D105" s="124"/>
      <c r="E105" s="152"/>
      <c r="F105" s="152"/>
      <c r="G105" s="152"/>
      <c r="H105" s="152"/>
      <c r="I105" s="152"/>
      <c r="J105" s="152"/>
      <c r="K105" s="153"/>
      <c r="L105" s="153"/>
      <c r="M105" s="154"/>
      <c r="N105" s="154"/>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W105" s="140"/>
    </row>
    <row r="106" spans="1:53">
      <c r="A106" s="142"/>
      <c r="B106" s="140"/>
      <c r="C106" s="124"/>
      <c r="D106" s="124"/>
      <c r="E106" s="152"/>
      <c r="F106" s="152"/>
      <c r="G106" s="152"/>
      <c r="H106" s="146"/>
      <c r="I106" s="143"/>
      <c r="J106" s="153"/>
      <c r="K106" s="153"/>
      <c r="L106" s="154"/>
      <c r="M106" s="154"/>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V106" s="140"/>
    </row>
    <row r="107" spans="1:53">
      <c r="A107" s="142"/>
      <c r="B107" s="140"/>
      <c r="C107" s="124"/>
      <c r="D107" s="124"/>
      <c r="E107" s="152"/>
      <c r="F107" s="152"/>
      <c r="G107" s="152"/>
      <c r="H107" s="152"/>
      <c r="I107" s="152"/>
      <c r="J107" s="153"/>
      <c r="K107" s="153"/>
      <c r="L107" s="154"/>
      <c r="M107" s="154"/>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row>
    <row r="108" spans="1:53">
      <c r="A108" s="142"/>
      <c r="B108" s="140"/>
      <c r="C108" s="124"/>
      <c r="D108" s="124"/>
      <c r="E108" s="152"/>
      <c r="F108" s="152"/>
      <c r="G108" s="152"/>
      <c r="H108" s="146"/>
      <c r="I108" s="152"/>
      <c r="J108" s="153"/>
      <c r="K108" s="153"/>
      <c r="L108" s="154"/>
      <c r="M108" s="154"/>
      <c r="N108" s="145"/>
      <c r="O108" s="145"/>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V108" s="140"/>
    </row>
    <row r="109" spans="1:53">
      <c r="A109" s="142"/>
      <c r="B109" s="140"/>
      <c r="C109" s="124"/>
      <c r="D109" s="124"/>
      <c r="E109" s="152"/>
      <c r="F109" s="152"/>
      <c r="G109" s="152"/>
      <c r="H109" s="143"/>
      <c r="I109" s="143"/>
      <c r="J109" s="145"/>
      <c r="K109" s="145"/>
      <c r="L109" s="145"/>
      <c r="M109" s="145"/>
      <c r="N109" s="145"/>
      <c r="O109" s="145"/>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21" spans="9:14">
      <c r="I121" s="93" t="s">
        <v>953</v>
      </c>
      <c r="N121" s="93">
        <v>0.7</v>
      </c>
    </row>
    <row r="122" spans="9:14">
      <c r="I122" s="93" t="s">
        <v>954</v>
      </c>
      <c r="K122" s="93">
        <f>2/3</f>
        <v>0.66666666666666663</v>
      </c>
    </row>
    <row r="123" spans="9:14">
      <c r="I123" s="93" t="s">
        <v>955</v>
      </c>
      <c r="N123" s="93">
        <f>N121/K122</f>
        <v>1.05</v>
      </c>
    </row>
    <row r="149" spans="8:8">
      <c r="H149" s="184" t="s">
        <v>957</v>
      </c>
    </row>
  </sheetData>
  <mergeCells count="3">
    <mergeCell ref="B1:D1"/>
    <mergeCell ref="AT54:AZ54"/>
    <mergeCell ref="AU55:AZ55"/>
  </mergeCells>
  <phoneticPr fontId="204" type="noConversion"/>
  <dataValidations count="2">
    <dataValidation type="list" allowBlank="1" showInputMessage="1" showErrorMessage="1" sqref="E34" xr:uid="{00000000-0002-0000-0C00-000001000000}">
      <formula1>$O$34:$U$34</formula1>
    </dataValidation>
    <dataValidation type="list" allowBlank="1" showInputMessage="1" showErrorMessage="1" sqref="D14" xr:uid="{00000000-0002-0000-0C00-000000000000}">
      <formula1>$M$13:$M$22</formula1>
    </dataValidation>
  </dataValidations>
  <hyperlinks>
    <hyperlink ref="H149" r:id="rId1" xr:uid="{00000000-0004-0000-0C00-000000000000}"/>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theme="9" tint="-0.249977111117893"/>
  </sheetPr>
  <dimension ref="A1:I62"/>
  <sheetViews>
    <sheetView topLeftCell="A21" workbookViewId="0">
      <selection activeCell="F52" sqref="F52"/>
    </sheetView>
  </sheetViews>
  <sheetFormatPr defaultColWidth="11.42578125" defaultRowHeight="11.25"/>
  <cols>
    <col min="1" max="1" width="12.42578125" style="42" customWidth="1"/>
    <col min="2" max="2" width="11.42578125" style="42" customWidth="1"/>
    <col min="3" max="3" width="14.28515625" style="42" customWidth="1"/>
    <col min="4" max="4" width="27.42578125" style="42" customWidth="1"/>
    <col min="5" max="5" width="10.28515625" style="42" customWidth="1"/>
    <col min="6" max="6" width="28.7109375" style="42" customWidth="1"/>
    <col min="7" max="16384" width="11.42578125" style="42"/>
  </cols>
  <sheetData>
    <row r="1" spans="1:9">
      <c r="A1" s="41" t="str">
        <f>IF(Index!B8=0,"ITEMS","")</f>
        <v>ITEMS</v>
      </c>
      <c r="B1" s="42" t="s">
        <v>308</v>
      </c>
      <c r="I1" s="42" t="s">
        <v>309</v>
      </c>
    </row>
    <row r="2" spans="1:9">
      <c r="A2" s="42" t="s">
        <v>310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41" t="s">
        <v>317</v>
      </c>
      <c r="C8" s="161"/>
      <c r="D8" s="41"/>
      <c r="E8" s="41"/>
      <c r="F8" s="41"/>
      <c r="G8" s="41"/>
    </row>
    <row r="9" spans="1:9" s="163" customFormat="1">
      <c r="B9" s="438" t="str">
        <f>IF(A9="*","","T")</f>
        <v>T</v>
      </c>
      <c r="C9" s="163" t="s">
        <v>13419</v>
      </c>
      <c r="D9" s="163" t="s">
        <v>1027</v>
      </c>
      <c r="E9" s="438" t="s">
        <v>13420</v>
      </c>
      <c r="F9" s="438" t="s">
        <v>1028</v>
      </c>
      <c r="G9" s="845"/>
    </row>
    <row r="10" spans="1:9" s="163" customFormat="1">
      <c r="A10" s="163" t="s">
        <v>310</v>
      </c>
      <c r="B10" s="845" t="s">
        <v>317</v>
      </c>
      <c r="C10" s="846"/>
      <c r="D10" s="845"/>
      <c r="E10" s="845"/>
      <c r="F10" s="845"/>
      <c r="G10" s="845"/>
    </row>
    <row r="11" spans="1:9" s="163" customFormat="1">
      <c r="B11" s="438" t="str">
        <f>IF(A11="*","","T")</f>
        <v>T</v>
      </c>
      <c r="C11" s="163" t="s">
        <v>13418</v>
      </c>
      <c r="D11" s="163" t="s">
        <v>13417</v>
      </c>
      <c r="E11" s="438" t="s">
        <v>318</v>
      </c>
      <c r="F11" s="438" t="s">
        <v>565</v>
      </c>
      <c r="G11" s="845"/>
      <c r="I11" s="163">
        <v>1</v>
      </c>
    </row>
    <row r="12" spans="1:9">
      <c r="A12" s="42" t="s">
        <v>310</v>
      </c>
      <c r="B12" s="41" t="str">
        <f>SUP!A57</f>
        <v>\I: Indegenous Production of Primary Energy - Fossil</v>
      </c>
      <c r="C12" s="161"/>
      <c r="D12" s="41"/>
      <c r="E12" s="41"/>
      <c r="F12" s="41"/>
      <c r="G12" s="41"/>
      <c r="I12" s="163">
        <v>1</v>
      </c>
    </row>
    <row r="13" spans="1:9">
      <c r="B13" s="162" t="str">
        <f>IF(A13="*","","T")</f>
        <v>T</v>
      </c>
      <c r="C13" s="163" t="s">
        <v>1171</v>
      </c>
      <c r="D13" s="163" t="s">
        <v>566</v>
      </c>
      <c r="E13" s="162" t="s">
        <v>318</v>
      </c>
      <c r="F13" s="162" t="s">
        <v>319</v>
      </c>
      <c r="G13" s="41"/>
      <c r="I13" s="163">
        <f>I12+1</f>
        <v>2</v>
      </c>
    </row>
    <row r="14" spans="1:9">
      <c r="B14" s="438" t="s">
        <v>1868</v>
      </c>
      <c r="C14" s="163" t="s">
        <v>13449</v>
      </c>
      <c r="D14" s="163" t="s">
        <v>13446</v>
      </c>
      <c r="E14" s="438" t="s">
        <v>13447</v>
      </c>
      <c r="F14" s="438" t="s">
        <v>13448</v>
      </c>
      <c r="G14" s="41"/>
      <c r="I14" s="163">
        <f>I13+1</f>
        <v>3</v>
      </c>
    </row>
    <row r="15" spans="1:9">
      <c r="A15" s="42" t="str">
        <f>IF(LEFT(SUP!A58,2)="\I","*","")</f>
        <v/>
      </c>
      <c r="B15" s="438" t="str">
        <f>IF(A15="*","","T")</f>
        <v>T</v>
      </c>
      <c r="C15" s="163" t="str">
        <f>IF(A15="*","",SUP!B58)</f>
        <v>MINCOA</v>
      </c>
      <c r="D15" s="163" t="str">
        <f>IF(A15="*","",SUP!A58)</f>
        <v>Extraction of Coal</v>
      </c>
      <c r="E15" s="438" t="s">
        <v>318</v>
      </c>
      <c r="F15" s="438" t="s">
        <v>319</v>
      </c>
      <c r="G15" s="41"/>
      <c r="I15" s="163">
        <f>I13+1</f>
        <v>3</v>
      </c>
    </row>
    <row r="16" spans="1:9">
      <c r="A16" s="42" t="str">
        <f>IF(LEFT(SUP!A59,2)="\I","*","")</f>
        <v/>
      </c>
      <c r="B16" s="438" t="str">
        <f>IF(A16="*","","T")</f>
        <v>T</v>
      </c>
      <c r="C16" s="163" t="str">
        <f>IF(A16="*","",SUP!B59)</f>
        <v>MINCLE</v>
      </c>
      <c r="D16" s="163" t="str">
        <f>IF(A16="*","",SUP!A59)</f>
        <v>Extraction of Coal low grade</v>
      </c>
      <c r="E16" s="438" t="s">
        <v>318</v>
      </c>
      <c r="F16" s="438" t="s">
        <v>319</v>
      </c>
    </row>
    <row r="17" spans="1:6">
      <c r="A17" s="42" t="str">
        <f>IF(LEFT(SUP!A60,2)="\I","*","")</f>
        <v/>
      </c>
      <c r="B17" s="438" t="str">
        <f>IF(A17="*","","T")</f>
        <v>T</v>
      </c>
      <c r="C17" s="163" t="str">
        <f>IF(A17="*","",SUP!B60)</f>
        <v>MINCLD</v>
      </c>
      <c r="D17" s="163" t="str">
        <f>IF(A17="*","",SUP!A60)</f>
        <v>Extraction of Coal Discard</v>
      </c>
      <c r="E17" s="438" t="s">
        <v>318</v>
      </c>
      <c r="F17" s="438" t="s">
        <v>319</v>
      </c>
    </row>
    <row r="18" spans="1:6">
      <c r="A18" s="42" t="str">
        <f>IF(LEFT(SUP!A61,2)="\I","*","")</f>
        <v/>
      </c>
      <c r="B18" s="438" t="str">
        <f>IF(A18="*","","T")</f>
        <v>T</v>
      </c>
      <c r="C18" s="163" t="str">
        <f>IF(A18="*","",SUP!B61)</f>
        <v>MINOCR</v>
      </c>
      <c r="D18" s="163" t="str">
        <f>IF(A18="*","",SUP!A61)</f>
        <v>Extraction of Oil Crude</v>
      </c>
      <c r="E18" s="438" t="s">
        <v>318</v>
      </c>
      <c r="F18" s="438" t="s">
        <v>319</v>
      </c>
    </row>
    <row r="19" spans="1:6">
      <c r="A19" s="42" t="s">
        <v>162</v>
      </c>
      <c r="B19" s="438" t="str">
        <f>IF(A19="*","","T")</f>
        <v>T</v>
      </c>
      <c r="C19" s="163" t="str">
        <f>IF(A19="*","",SUP!B62)</f>
        <v>MINGIC</v>
      </c>
      <c r="D19" s="163" t="str">
        <f>IF(A19="*","",SUP!A62)</f>
        <v>Extraction of Coastal Gas</v>
      </c>
      <c r="E19" s="438" t="s">
        <v>318</v>
      </c>
      <c r="F19" s="438" t="s">
        <v>319</v>
      </c>
    </row>
    <row r="20" spans="1:6">
      <c r="A20" s="42" t="s">
        <v>162</v>
      </c>
      <c r="B20" s="438" t="str">
        <f t="shared" ref="B20:B60" si="0">IF(A20="*","","T")</f>
        <v>T</v>
      </c>
      <c r="C20" s="163" t="str">
        <f>IF(A20="*","",SUP!B63)</f>
        <v>MINGIB</v>
      </c>
      <c r="D20" s="163" t="str">
        <f>IF(A20="*","",SUP!A63)</f>
        <v>Extraction of Gas Indigenous Ibhubezi</v>
      </c>
      <c r="E20" s="438" t="s">
        <v>318</v>
      </c>
      <c r="F20" s="438" t="s">
        <v>319</v>
      </c>
    </row>
    <row r="21" spans="1:6">
      <c r="A21" s="42" t="s">
        <v>162</v>
      </c>
      <c r="B21" s="438" t="str">
        <f>IF(A21="*","","T")</f>
        <v>T</v>
      </c>
      <c r="C21" s="163" t="str">
        <f>IF(A21="*","",SUP!B64)</f>
        <v>MINGAS</v>
      </c>
      <c r="D21" s="163" t="str">
        <f>IF(A21="*","",SUP!A64)</f>
        <v>Extraction of Gas Indigenous Coal Bed Methane</v>
      </c>
      <c r="E21" s="438" t="s">
        <v>318</v>
      </c>
      <c r="F21" s="438" t="s">
        <v>319</v>
      </c>
    </row>
    <row r="22" spans="1:6">
      <c r="A22" s="42" t="s">
        <v>162</v>
      </c>
      <c r="B22" s="438" t="str">
        <f t="shared" si="0"/>
        <v>T</v>
      </c>
      <c r="C22" s="163" t="str">
        <f>IF(A22="*","",SUP!B65)</f>
        <v>MINGIH</v>
      </c>
      <c r="D22" s="163" t="str">
        <f>IF(A22="*","",SUP!A65)</f>
        <v>Extraction of Gas Indigenous Shale</v>
      </c>
      <c r="E22" s="438" t="s">
        <v>318</v>
      </c>
      <c r="F22" s="438" t="s">
        <v>319</v>
      </c>
    </row>
    <row r="23" spans="1:6">
      <c r="A23" s="42" t="s">
        <v>310</v>
      </c>
      <c r="B23" s="438" t="str">
        <f t="shared" si="0"/>
        <v/>
      </c>
      <c r="C23" s="163" t="str">
        <f>IF(A23="*","",SUP!B66)</f>
        <v/>
      </c>
      <c r="D23" s="163" t="str">
        <f>IF(A23="*","",SUP!A66)</f>
        <v/>
      </c>
      <c r="E23" s="438" t="s">
        <v>318</v>
      </c>
      <c r="F23" s="438" t="s">
        <v>319</v>
      </c>
    </row>
    <row r="24" spans="1:6">
      <c r="A24" s="42" t="s">
        <v>162</v>
      </c>
      <c r="B24" s="438" t="str">
        <f t="shared" si="0"/>
        <v>T</v>
      </c>
      <c r="C24" s="163" t="str">
        <f>IF(A24="*","",SUP!B67)</f>
        <v>MINBIG</v>
      </c>
      <c r="D24" s="163" t="str">
        <f>IF(A24="*","",SUP!A67)</f>
        <v>Renewable Resource: Biogas</v>
      </c>
      <c r="E24" s="438" t="s">
        <v>318</v>
      </c>
      <c r="F24" s="438" t="s">
        <v>319</v>
      </c>
    </row>
    <row r="25" spans="1:6">
      <c r="A25" s="42" t="s">
        <v>162</v>
      </c>
      <c r="B25" s="438" t="str">
        <f t="shared" si="0"/>
        <v>T</v>
      </c>
      <c r="C25" s="163" t="str">
        <f>IF(A25="*","",SUP!B68)</f>
        <v>MINBIB</v>
      </c>
      <c r="D25" s="163" t="str">
        <f>IF(A25="*","",SUP!A68)</f>
        <v>Renewable Resource: Biomass bagasse</v>
      </c>
      <c r="E25" s="438" t="s">
        <v>318</v>
      </c>
      <c r="F25" s="438" t="s">
        <v>319</v>
      </c>
    </row>
    <row r="26" spans="1:6">
      <c r="A26" s="42" t="s">
        <v>162</v>
      </c>
      <c r="B26" s="438" t="str">
        <f t="shared" si="0"/>
        <v>T</v>
      </c>
      <c r="C26" s="163" t="str">
        <f>IF(A26="*","",SUP!B69)</f>
        <v>MINBIO</v>
      </c>
      <c r="D26" s="163" t="str">
        <f>IF(A26="*","",SUP!A69)</f>
        <v>Renewable Resource: Biomass Other</v>
      </c>
      <c r="E26" s="438" t="s">
        <v>318</v>
      </c>
      <c r="F26" s="438" t="s">
        <v>319</v>
      </c>
    </row>
    <row r="27" spans="1:6">
      <c r="A27" s="42" t="s">
        <v>162</v>
      </c>
      <c r="B27" s="438" t="str">
        <f t="shared" si="0"/>
        <v>T</v>
      </c>
      <c r="C27" s="163" t="str">
        <f>IF(A27="*","",SUP!B70)</f>
        <v>MINBIW</v>
      </c>
      <c r="D27" s="163" t="str">
        <f>IF(A27="*","",SUP!A70)</f>
        <v>Renewable Resource: Biomass Wood</v>
      </c>
      <c r="E27" s="438" t="s">
        <v>318</v>
      </c>
      <c r="F27" s="438" t="s">
        <v>319</v>
      </c>
    </row>
    <row r="28" spans="1:6">
      <c r="A28" s="42" t="s">
        <v>162</v>
      </c>
      <c r="B28" s="438" t="str">
        <f>IF(A28="*","","T")</f>
        <v>T</v>
      </c>
      <c r="C28" s="163" t="str">
        <f>IF(A28="*","",SUP!B71)</f>
        <v>MINWAS</v>
      </c>
      <c r="D28" s="163" t="str">
        <f>IF(A28="*","",SUP!A71)</f>
        <v>Renewable Resource: Waste</v>
      </c>
      <c r="E28" s="438" t="s">
        <v>318</v>
      </c>
      <c r="F28" s="438" t="s">
        <v>319</v>
      </c>
    </row>
    <row r="29" spans="1:6">
      <c r="A29" s="42" t="s">
        <v>162</v>
      </c>
      <c r="B29" s="438" t="str">
        <f t="shared" si="0"/>
        <v>T</v>
      </c>
      <c r="C29" s="163" t="str">
        <f>IF(A29="*","",SUP!B72)</f>
        <v>MINHYD</v>
      </c>
      <c r="D29" s="163" t="str">
        <f>IF(A29="*","",SUP!A72)</f>
        <v>Renewable Resource: Hydro</v>
      </c>
      <c r="E29" s="438" t="s">
        <v>318</v>
      </c>
      <c r="F29" s="438" t="s">
        <v>319</v>
      </c>
    </row>
    <row r="30" spans="1:6">
      <c r="A30" s="42" t="s">
        <v>162</v>
      </c>
      <c r="B30" s="438" t="str">
        <f t="shared" si="0"/>
        <v>T</v>
      </c>
      <c r="C30" s="163" t="str">
        <f>IF(A30="*","",SUP!B73)</f>
        <v>MINSOL</v>
      </c>
      <c r="D30" s="163" t="str">
        <f>IF(A30="*","",SUP!A73)</f>
        <v>Renewable Resource: Solar</v>
      </c>
      <c r="E30" s="438" t="s">
        <v>318</v>
      </c>
      <c r="F30" s="438" t="s">
        <v>319</v>
      </c>
    </row>
    <row r="31" spans="1:6">
      <c r="A31" s="42" t="s">
        <v>162</v>
      </c>
      <c r="B31" s="438" t="str">
        <f>IF(A31="*","","T")</f>
        <v>T</v>
      </c>
      <c r="C31" s="163" t="str">
        <f>IF(A31="*","",SUP!B74)</f>
        <v>MINWND</v>
      </c>
      <c r="D31" s="163" t="str">
        <f>IF(A31="*","",SUP!A74)</f>
        <v>Renewable Resource: Wind</v>
      </c>
      <c r="E31" s="438" t="s">
        <v>318</v>
      </c>
      <c r="F31" s="438" t="s">
        <v>319</v>
      </c>
    </row>
    <row r="32" spans="1:6">
      <c r="A32" s="42" t="s">
        <v>310</v>
      </c>
      <c r="B32" s="438" t="str">
        <f>IF(A32="*","","T")</f>
        <v/>
      </c>
      <c r="C32" s="163" t="str">
        <f>IF(A32="*","",SUP!B75)</f>
        <v/>
      </c>
      <c r="D32" s="163" t="str">
        <f>IF(A32="*","",SUP!A75)</f>
        <v/>
      </c>
      <c r="E32" s="438" t="s">
        <v>318</v>
      </c>
      <c r="F32" s="438" t="s">
        <v>319</v>
      </c>
    </row>
    <row r="33" spans="1:6">
      <c r="A33" s="42" t="s">
        <v>162</v>
      </c>
      <c r="B33" s="438" t="str">
        <f t="shared" si="0"/>
        <v>T</v>
      </c>
      <c r="C33" s="163" t="str">
        <f>IF(A33="*","",SUP!B76)</f>
        <v>IMPCOK</v>
      </c>
      <c r="D33" s="163" t="str">
        <f>IF(A33="*","",SUP!A76)</f>
        <v>Imports of Coal Coking</v>
      </c>
      <c r="E33" s="438" t="s">
        <v>318</v>
      </c>
      <c r="F33" s="438" t="s">
        <v>319</v>
      </c>
    </row>
    <row r="34" spans="1:6">
      <c r="A34" s="42" t="s">
        <v>162</v>
      </c>
      <c r="B34" s="438" t="str">
        <f t="shared" si="0"/>
        <v>T</v>
      </c>
      <c r="C34" s="163" t="str">
        <f>IF(A34="*","",SUP!B77)</f>
        <v>IMPGRL</v>
      </c>
      <c r="D34" s="163" t="str">
        <f>IF(A34="*","",SUP!A77)</f>
        <v>Imports of Gas Regional LNG</v>
      </c>
      <c r="E34" s="438" t="s">
        <v>318</v>
      </c>
      <c r="F34" s="438" t="s">
        <v>319</v>
      </c>
    </row>
    <row r="35" spans="1:6">
      <c r="A35" s="42" t="s">
        <v>162</v>
      </c>
      <c r="B35" s="438" t="str">
        <f t="shared" si="0"/>
        <v>T</v>
      </c>
      <c r="C35" s="163" t="str">
        <f>IF(A35="*","",SUP!B78)</f>
        <v>IMPGWL</v>
      </c>
      <c r="D35" s="163" t="str">
        <f>IF(A35="*","",SUP!A78)</f>
        <v>Imports of Gas International LNG</v>
      </c>
      <c r="E35" s="438" t="s">
        <v>318</v>
      </c>
      <c r="F35" s="438" t="s">
        <v>319</v>
      </c>
    </row>
    <row r="36" spans="1:6">
      <c r="A36" s="42" t="s">
        <v>162</v>
      </c>
      <c r="B36" s="438" t="str">
        <f t="shared" si="0"/>
        <v>T</v>
      </c>
      <c r="C36" s="163" t="str">
        <f>IF(A36="*","",SUP!B79)</f>
        <v>IMPNUC</v>
      </c>
      <c r="D36" s="163" t="str">
        <f>IF(A36="*","",SUP!A79)</f>
        <v>Imports of Nuclear</v>
      </c>
      <c r="E36" s="438" t="s">
        <v>318</v>
      </c>
      <c r="F36" s="438" t="s">
        <v>319</v>
      </c>
    </row>
    <row r="37" spans="1:6">
      <c r="A37" s="42" t="s">
        <v>162</v>
      </c>
      <c r="B37" s="438" t="str">
        <f t="shared" si="0"/>
        <v>T</v>
      </c>
      <c r="C37" s="163" t="str">
        <f>IF(A37="*","",SUP!B80)</f>
        <v>IMPOAG</v>
      </c>
      <c r="D37" s="163" t="str">
        <f>IF(A37="*","",SUP!A80)</f>
        <v>Imports of Oil Av Gasoline</v>
      </c>
      <c r="E37" s="438" t="s">
        <v>318</v>
      </c>
      <c r="F37" s="438" t="s">
        <v>319</v>
      </c>
    </row>
    <row r="38" spans="1:6">
      <c r="A38" s="42" t="s">
        <v>162</v>
      </c>
      <c r="B38" s="438" t="str">
        <f t="shared" si="0"/>
        <v>T</v>
      </c>
      <c r="C38" s="163" t="str">
        <f>IF(A38="*","",SUP!B81)</f>
        <v>IMPOCR</v>
      </c>
      <c r="D38" s="163" t="str">
        <f>IF(A38="*","",SUP!A81)</f>
        <v>Imports of Oil Crude</v>
      </c>
      <c r="E38" s="438" t="s">
        <v>318</v>
      </c>
      <c r="F38" s="438" t="s">
        <v>319</v>
      </c>
    </row>
    <row r="39" spans="1:6">
      <c r="A39" s="42" t="s">
        <v>162</v>
      </c>
      <c r="B39" s="438" t="str">
        <f t="shared" si="0"/>
        <v>T</v>
      </c>
      <c r="C39" s="163" t="str">
        <f>IF(A39="*","",SUP!B82)</f>
        <v>IMPODS</v>
      </c>
      <c r="D39" s="163" t="str">
        <f>IF(A39="*","",SUP!A82)</f>
        <v>Imports of Oil Diesel</v>
      </c>
      <c r="E39" s="438" t="s">
        <v>318</v>
      </c>
      <c r="F39" s="438" t="s">
        <v>319</v>
      </c>
    </row>
    <row r="40" spans="1:6">
      <c r="A40" s="42" t="s">
        <v>162</v>
      </c>
      <c r="B40" s="438" t="str">
        <f t="shared" si="0"/>
        <v>T</v>
      </c>
      <c r="C40" s="163" t="str">
        <f>IF(A40="*","",SUP!B83)</f>
        <v>IMPOGS</v>
      </c>
      <c r="D40" s="163" t="str">
        <f>IF(A40="*","",SUP!A83)</f>
        <v>Imports of Oil Gasoline</v>
      </c>
      <c r="E40" s="438" t="s">
        <v>318</v>
      </c>
      <c r="F40" s="438" t="s">
        <v>319</v>
      </c>
    </row>
    <row r="41" spans="1:6">
      <c r="A41" s="42" t="s">
        <v>162</v>
      </c>
      <c r="B41" s="438" t="str">
        <f t="shared" si="0"/>
        <v>T</v>
      </c>
      <c r="C41" s="163" t="str">
        <f>IF(A41="*","",SUP!B84)</f>
        <v>IMPOHF</v>
      </c>
      <c r="D41" s="163" t="str">
        <f>IF(A41="*","",SUP!A84)</f>
        <v>Imports of Oil HFO</v>
      </c>
      <c r="E41" s="438" t="s">
        <v>318</v>
      </c>
      <c r="F41" s="438" t="s">
        <v>319</v>
      </c>
    </row>
    <row r="42" spans="1:6">
      <c r="A42" s="42" t="s">
        <v>162</v>
      </c>
      <c r="B42" s="438" t="str">
        <f t="shared" si="0"/>
        <v>T</v>
      </c>
      <c r="C42" s="163" t="str">
        <f>IF(A42="*","",SUP!B85)</f>
        <v>IMPOLP</v>
      </c>
      <c r="D42" s="163" t="str">
        <f>IF(A42="*","",SUP!A85)</f>
        <v>Imports of Oil LPG</v>
      </c>
      <c r="E42" s="438" t="s">
        <v>318</v>
      </c>
      <c r="F42" s="438" t="s">
        <v>319</v>
      </c>
    </row>
    <row r="43" spans="1:6">
      <c r="A43" s="42" t="s">
        <v>162</v>
      </c>
      <c r="B43" s="438" t="str">
        <f t="shared" si="0"/>
        <v>T</v>
      </c>
      <c r="C43" s="163" t="str">
        <f>IF(A43="*","",SUP!B86)</f>
        <v>IMPOKE</v>
      </c>
      <c r="D43" s="163" t="str">
        <f>IF(A43="*","",SUP!A86)</f>
        <v>Imports of Oil Kerosene</v>
      </c>
      <c r="E43" s="438" t="s">
        <v>318</v>
      </c>
      <c r="F43" s="438" t="s">
        <v>319</v>
      </c>
    </row>
    <row r="44" spans="1:6">
      <c r="A44" s="42" t="s">
        <v>162</v>
      </c>
      <c r="B44" s="438" t="str">
        <f t="shared" si="0"/>
        <v>T</v>
      </c>
      <c r="C44" s="163" t="str">
        <f>IF(A44="*","",SUP!B87)</f>
        <v>IMPBID</v>
      </c>
      <c r="D44" s="163" t="str">
        <f>IF(A44="*","",SUP!A87)</f>
        <v>Imports of Biodiesel</v>
      </c>
      <c r="E44" s="438" t="s">
        <v>318</v>
      </c>
      <c r="F44" s="438" t="s">
        <v>319</v>
      </c>
    </row>
    <row r="45" spans="1:6">
      <c r="A45" s="42" t="s">
        <v>162</v>
      </c>
      <c r="B45" s="438" t="str">
        <f t="shared" si="0"/>
        <v>T</v>
      </c>
      <c r="C45" s="163" t="str">
        <f>IF(A45="*","",SUP!B88)</f>
        <v>IMPBIE</v>
      </c>
      <c r="D45" s="163" t="str">
        <f>IF(A45="*","",SUP!A88)</f>
        <v>Imports of Bioethanol</v>
      </c>
      <c r="E45" s="438" t="s">
        <v>318</v>
      </c>
      <c r="F45" s="438" t="s">
        <v>319</v>
      </c>
    </row>
    <row r="46" spans="1:6">
      <c r="A46" s="42" t="s">
        <v>310</v>
      </c>
      <c r="B46" s="438" t="str">
        <f t="shared" si="0"/>
        <v/>
      </c>
      <c r="C46" s="163" t="str">
        <f>IF(A46="*","",SUP!B89)</f>
        <v/>
      </c>
      <c r="D46" s="163" t="str">
        <f>IF(A46="*","",SUP!A89)</f>
        <v/>
      </c>
      <c r="E46" s="438" t="s">
        <v>318</v>
      </c>
      <c r="F46" s="438" t="s">
        <v>319</v>
      </c>
    </row>
    <row r="47" spans="1:6">
      <c r="A47" s="42" t="s">
        <v>162</v>
      </c>
      <c r="B47" s="438" t="str">
        <f t="shared" si="0"/>
        <v>T</v>
      </c>
      <c r="C47" s="163" t="str">
        <f>IF(A47="*","",SUP!B90)</f>
        <v>MIRCRB</v>
      </c>
      <c r="D47" s="163" t="str">
        <f>IF(A47="*","",SUP!A90)</f>
        <v>Extraction of Coal for plants in Botswana</v>
      </c>
      <c r="E47" s="438" t="s">
        <v>318</v>
      </c>
      <c r="F47" s="438" t="s">
        <v>319</v>
      </c>
    </row>
    <row r="48" spans="1:6">
      <c r="A48" s="42" t="s">
        <v>162</v>
      </c>
      <c r="B48" s="438" t="str">
        <f>IF(A48="*","","T")</f>
        <v>T</v>
      </c>
      <c r="C48" s="163" t="str">
        <f>IF(A48="*","",SUP!B91)</f>
        <v>MIRGRN</v>
      </c>
      <c r="D48" s="163" t="str">
        <f>IF(A48="*","",SUP!A91)</f>
        <v>Extraction of Gas Namibia</v>
      </c>
      <c r="E48" s="438" t="s">
        <v>318</v>
      </c>
      <c r="F48" s="438" t="s">
        <v>319</v>
      </c>
    </row>
    <row r="49" spans="1:6">
      <c r="A49" s="42" t="s">
        <v>162</v>
      </c>
      <c r="B49" s="438" t="str">
        <f>IF(A49="*","","T")</f>
        <v>T</v>
      </c>
      <c r="C49" s="163" t="str">
        <f>IF(A49="*","",SUP!B92)</f>
        <v>MIRGRS</v>
      </c>
      <c r="D49" s="163" t="str">
        <f>IF(A49="*","",SUP!A92)</f>
        <v>Extraction of Gas Southern Mozambique</v>
      </c>
      <c r="E49" s="438" t="s">
        <v>318</v>
      </c>
      <c r="F49" s="438" t="s">
        <v>319</v>
      </c>
    </row>
    <row r="50" spans="1:6">
      <c r="A50" s="42" t="s">
        <v>162</v>
      </c>
      <c r="B50" s="438" t="str">
        <f>IF(A50="*","","T")</f>
        <v>T</v>
      </c>
      <c r="C50" s="163" t="str">
        <f>IF(A50="*","",SUP!B93)</f>
        <v>MIRGRM</v>
      </c>
      <c r="D50" s="163" t="str">
        <f>IF(A50="*","",SUP!A93)</f>
        <v>Extraction of Gas Northern Mozambique</v>
      </c>
      <c r="E50" s="438" t="s">
        <v>318</v>
      </c>
      <c r="F50" s="438" t="s">
        <v>319</v>
      </c>
    </row>
    <row r="51" spans="1:6">
      <c r="A51" s="42" t="s">
        <v>310</v>
      </c>
      <c r="B51" s="438" t="str">
        <f t="shared" si="0"/>
        <v/>
      </c>
      <c r="C51" s="163" t="str">
        <f>IF(A51="*","",SUP!B94)</f>
        <v/>
      </c>
      <c r="D51" s="163" t="str">
        <f>IF(A51="*","",SUP!A94)</f>
        <v/>
      </c>
      <c r="E51" s="438" t="s">
        <v>318</v>
      </c>
      <c r="F51" s="438" t="s">
        <v>319</v>
      </c>
    </row>
    <row r="52" spans="1:6">
      <c r="A52" s="42" t="s">
        <v>162</v>
      </c>
      <c r="B52" s="438" t="str">
        <f t="shared" si="0"/>
        <v>T</v>
      </c>
      <c r="C52" s="163" t="str">
        <f>IF(A52="*","",SUP!B95)</f>
        <v>PEXELC</v>
      </c>
      <c r="D52" s="163" t="str">
        <f>IF(A52="*","",SUP!A95)</f>
        <v>Exports of Electricity</v>
      </c>
      <c r="E52" s="438" t="s">
        <v>318</v>
      </c>
      <c r="F52" s="438" t="s">
        <v>319</v>
      </c>
    </row>
    <row r="53" spans="1:6">
      <c r="A53" s="42" t="s">
        <v>162</v>
      </c>
      <c r="B53" s="438" t="str">
        <f t="shared" si="0"/>
        <v>T</v>
      </c>
      <c r="C53" s="163" t="str">
        <f>IF(A53="*","",SUP!B96)</f>
        <v>PEXCOA</v>
      </c>
      <c r="D53" s="163" t="str">
        <f>IF(A53="*","",SUP!A96)</f>
        <v>Exports of Coal</v>
      </c>
      <c r="E53" s="438" t="s">
        <v>318</v>
      </c>
      <c r="F53" s="438" t="s">
        <v>319</v>
      </c>
    </row>
    <row r="54" spans="1:6">
      <c r="A54" s="42" t="s">
        <v>162</v>
      </c>
      <c r="B54" s="438" t="str">
        <f t="shared" si="0"/>
        <v>T</v>
      </c>
      <c r="C54" s="163" t="str">
        <f>IF(A54="*","",SUP!B97)</f>
        <v>PEXCOK</v>
      </c>
      <c r="D54" s="163" t="str">
        <f>IF(A54="*","",SUP!A97)</f>
        <v>Exports of Coal Coking</v>
      </c>
      <c r="E54" s="438" t="s">
        <v>318</v>
      </c>
      <c r="F54" s="438" t="s">
        <v>319</v>
      </c>
    </row>
    <row r="55" spans="1:6">
      <c r="A55" s="42" t="s">
        <v>162</v>
      </c>
      <c r="B55" s="438" t="str">
        <f t="shared" si="0"/>
        <v>T</v>
      </c>
      <c r="C55" s="163" t="str">
        <f>IF(A55="*","",SUP!B98)</f>
        <v>PEXOAG</v>
      </c>
      <c r="D55" s="163" t="str">
        <f>IF(A55="*","",SUP!A98)</f>
        <v>Exports of Oil Av Gasoline</v>
      </c>
      <c r="E55" s="438" t="s">
        <v>318</v>
      </c>
      <c r="F55" s="438" t="s">
        <v>319</v>
      </c>
    </row>
    <row r="56" spans="1:6">
      <c r="A56" s="42" t="s">
        <v>162</v>
      </c>
      <c r="B56" s="438" t="str">
        <f t="shared" si="0"/>
        <v>T</v>
      </c>
      <c r="C56" s="163" t="str">
        <f>IF(A56="*","",SUP!B99)</f>
        <v>PEXOCR</v>
      </c>
      <c r="D56" s="163" t="str">
        <f>IF(A56="*","",SUP!A99)</f>
        <v>Exports of Oil Crude</v>
      </c>
      <c r="E56" s="438" t="s">
        <v>318</v>
      </c>
      <c r="F56" s="438" t="s">
        <v>319</v>
      </c>
    </row>
    <row r="57" spans="1:6">
      <c r="A57" s="42" t="s">
        <v>162</v>
      </c>
      <c r="B57" s="438" t="str">
        <f t="shared" si="0"/>
        <v>T</v>
      </c>
      <c r="C57" s="163" t="str">
        <f>IF(A57="*","",SUP!B100)</f>
        <v>PEXODS</v>
      </c>
      <c r="D57" s="163" t="str">
        <f>IF(A57="*","",SUP!A100)</f>
        <v>Exports of Oil Diesel</v>
      </c>
      <c r="E57" s="438" t="s">
        <v>318</v>
      </c>
      <c r="F57" s="438" t="s">
        <v>319</v>
      </c>
    </row>
    <row r="58" spans="1:6">
      <c r="A58" s="42" t="s">
        <v>162</v>
      </c>
      <c r="B58" s="438" t="str">
        <f t="shared" si="0"/>
        <v>T</v>
      </c>
      <c r="C58" s="163" t="str">
        <f>IF(A58="*","",SUP!B101)</f>
        <v>PEXOGS</v>
      </c>
      <c r="D58" s="163" t="str">
        <f>IF(A58="*","",SUP!A101)</f>
        <v>Exports of Oil Gasoline</v>
      </c>
      <c r="E58" s="438" t="s">
        <v>318</v>
      </c>
      <c r="F58" s="438" t="s">
        <v>319</v>
      </c>
    </row>
    <row r="59" spans="1:6">
      <c r="A59" s="42" t="s">
        <v>162</v>
      </c>
      <c r="B59" s="438" t="str">
        <f t="shared" si="0"/>
        <v>T</v>
      </c>
      <c r="C59" s="163" t="str">
        <f>IF(A59="*","",SUP!B102)</f>
        <v>PEXOHF</v>
      </c>
      <c r="D59" s="163" t="str">
        <f>IF(A59="*","",SUP!A102)</f>
        <v>Exports of Oil HFO</v>
      </c>
      <c r="E59" s="438" t="s">
        <v>318</v>
      </c>
      <c r="F59" s="438" t="s">
        <v>319</v>
      </c>
    </row>
    <row r="60" spans="1:6">
      <c r="A60" s="42" t="s">
        <v>162</v>
      </c>
      <c r="B60" s="438" t="str">
        <f t="shared" si="0"/>
        <v>T</v>
      </c>
      <c r="C60" s="163" t="str">
        <f>IF(A60="*","",SUP!B103)</f>
        <v>PEXOKE</v>
      </c>
      <c r="D60" s="163" t="str">
        <f>IF(A60="*","",SUP!A103)</f>
        <v>Exports of Oil Kerosene</v>
      </c>
      <c r="E60" s="438" t="s">
        <v>318</v>
      </c>
      <c r="F60" s="438" t="s">
        <v>319</v>
      </c>
    </row>
    <row r="61" spans="1:6">
      <c r="B61" s="438"/>
      <c r="C61" s="163"/>
      <c r="D61" s="163"/>
      <c r="E61" s="438"/>
      <c r="F61" s="438"/>
    </row>
    <row r="62" spans="1:6">
      <c r="B62" s="438"/>
      <c r="C62" s="163"/>
      <c r="D62" s="163"/>
      <c r="E62" s="438"/>
      <c r="F62" s="438"/>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4097" r:id="rId4" name="cmdCheckItemsSheet">
          <controlPr defaultSize="0" autoLine="0" r:id="rId5">
            <anchor moveWithCells="1">
              <from>
                <xdr:col>0</xdr:col>
                <xdr:colOff>19050</xdr:colOff>
                <xdr:row>2</xdr:row>
                <xdr:rowOff>0</xdr:rowOff>
              </from>
              <to>
                <xdr:col>1</xdr:col>
                <xdr:colOff>0</xdr:colOff>
                <xdr:row>3</xdr:row>
                <xdr:rowOff>0</xdr:rowOff>
              </to>
            </anchor>
          </controlPr>
        </control>
      </mc:Choice>
      <mc:Fallback>
        <control shapeId="4097" r:id="rId4" name="cmdCheckItemsSheet"/>
      </mc:Fallback>
    </mc:AlternateContent>
    <mc:AlternateContent xmlns:mc="http://schemas.openxmlformats.org/markup-compatibility/2006">
      <mc:Choice Requires="x14">
        <control shapeId="4098" r:id="rId6" name="cmdSpecifyComponent">
          <controlPr defaultSize="0" autoLine="0" autoPict="0" r:id="rId7">
            <anchor moveWithCells="1">
              <from>
                <xdr:col>1</xdr:col>
                <xdr:colOff>19050</xdr:colOff>
                <xdr:row>3</xdr:row>
                <xdr:rowOff>0</xdr:rowOff>
              </from>
              <to>
                <xdr:col>2</xdr:col>
                <xdr:colOff>152400</xdr:colOff>
                <xdr:row>4</xdr:row>
                <xdr:rowOff>95250</xdr:rowOff>
              </to>
            </anchor>
          </controlPr>
        </control>
      </mc:Choice>
      <mc:Fallback>
        <control shapeId="4098" r:id="rId6" name="cmdSpecifyComponent"/>
      </mc:Fallback>
    </mc:AlternateContent>
    <mc:AlternateContent xmlns:mc="http://schemas.openxmlformats.org/markup-compatibility/2006">
      <mc:Choice Requires="x14">
        <control shapeId="4099" r:id="rId8" name="cmdSpecifyUnits">
          <controlPr defaultSize="0" autoLine="0" r:id="rId9">
            <anchor moveWithCells="1">
              <from>
                <xdr:col>4</xdr:col>
                <xdr:colOff>19050</xdr:colOff>
                <xdr:row>3</xdr:row>
                <xdr:rowOff>0</xdr:rowOff>
              </from>
              <to>
                <xdr:col>4</xdr:col>
                <xdr:colOff>676275</xdr:colOff>
                <xdr:row>4</xdr:row>
                <xdr:rowOff>104775</xdr:rowOff>
              </to>
            </anchor>
          </controlPr>
        </control>
      </mc:Choice>
      <mc:Fallback>
        <control shapeId="4099" r:id="rId8" name="cmdSpecifyUnits"/>
      </mc:Fallback>
    </mc:AlternateContent>
    <mc:AlternateContent xmlns:mc="http://schemas.openxmlformats.org/markup-compatibility/2006">
      <mc:Choice Requires="x14">
        <control shapeId="4100" r:id="rId10" name="cmdSpecifySets">
          <controlPr defaultSize="0" autoLine="0" r:id="rId11">
            <anchor moveWithCells="1">
              <from>
                <xdr:col>5</xdr:col>
                <xdr:colOff>19050</xdr:colOff>
                <xdr:row>3</xdr:row>
                <xdr:rowOff>0</xdr:rowOff>
              </from>
              <to>
                <xdr:col>6</xdr:col>
                <xdr:colOff>9525</xdr:colOff>
                <xdr:row>4</xdr:row>
                <xdr:rowOff>104775</xdr:rowOff>
              </to>
            </anchor>
          </controlPr>
        </control>
      </mc:Choice>
      <mc:Fallback>
        <control shapeId="4100" r:id="rId10" name="cmdSpecifySets"/>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theme="9" tint="-0.249977111117893"/>
  </sheetPr>
  <dimension ref="A1:AT127"/>
  <sheetViews>
    <sheetView topLeftCell="A31" workbookViewId="0">
      <selection activeCell="S64" sqref="S64"/>
    </sheetView>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11" width="7.28515625" style="42" customWidth="1"/>
    <col min="12"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c r="AD7" s="560"/>
      <c r="AE7" s="560"/>
      <c r="AF7" s="560"/>
      <c r="AG7" s="560">
        <v>2035</v>
      </c>
      <c r="AH7" s="560"/>
      <c r="AI7" s="560"/>
      <c r="AJ7" s="560"/>
      <c r="AK7" s="560"/>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162" t="s">
        <v>333</v>
      </c>
      <c r="D10" s="162" t="s">
        <v>334</v>
      </c>
      <c r="E10" s="162" t="s">
        <v>334</v>
      </c>
      <c r="F10" s="162" t="s">
        <v>334</v>
      </c>
      <c r="G10" s="162" t="s">
        <v>334</v>
      </c>
      <c r="H10" s="162" t="s">
        <v>334</v>
      </c>
      <c r="I10" s="166"/>
      <c r="AT10" s="42">
        <f>SUP!F57</f>
        <v>4</v>
      </c>
    </row>
    <row r="11" spans="1:46">
      <c r="A11" s="42" t="s">
        <v>335</v>
      </c>
      <c r="B11" s="162" t="s">
        <v>336</v>
      </c>
      <c r="C11" s="162" t="s">
        <v>333</v>
      </c>
      <c r="D11" s="162" t="s">
        <v>334</v>
      </c>
      <c r="E11" s="162" t="s">
        <v>334</v>
      </c>
      <c r="F11" s="162" t="s">
        <v>334</v>
      </c>
      <c r="G11" s="162" t="s">
        <v>337</v>
      </c>
      <c r="H11" s="162" t="s">
        <v>338</v>
      </c>
      <c r="I11" s="166"/>
      <c r="AT11" s="42">
        <f>SUP!M57</f>
        <v>11</v>
      </c>
    </row>
    <row r="12" spans="1:46">
      <c r="A12" s="42" t="s">
        <v>310</v>
      </c>
      <c r="B12" s="162"/>
      <c r="C12" s="162"/>
      <c r="D12" s="162"/>
      <c r="E12" s="162"/>
      <c r="F12" s="162"/>
      <c r="G12" s="162"/>
      <c r="H12" s="162"/>
      <c r="I12" s="166"/>
    </row>
    <row r="13" spans="1:46">
      <c r="A13" s="42" t="str">
        <f ca="1">IF(LEFT(OFFSET(SUP!$A$57,AS13,0),2)="\I","*","")</f>
        <v/>
      </c>
      <c r="B13" s="167" t="str">
        <f t="shared" ref="B13:B44" ca="1" si="1">IF(A13="*","",VLOOKUP("*"&amp;AR13,$A$9:$B$11,2,FALSE))</f>
        <v>ACT_COST</v>
      </c>
      <c r="C13" s="167" t="str">
        <f ca="1">IF($A13="*","",OFFSET(SUP!$B$57,AS13,0))</f>
        <v>MINCOA</v>
      </c>
      <c r="D13" s="167" t="str">
        <f t="shared" ref="D13:G28" ca="1" si="2">IF($A13="*","",VLOOKUP($B13,$B$10:$I$11,D$9,FALSE))</f>
        <v>-</v>
      </c>
      <c r="E13" s="167" t="str">
        <f t="shared" ca="1" si="2"/>
        <v>-</v>
      </c>
      <c r="F13" s="167" t="str">
        <f t="shared" ca="1" si="2"/>
        <v>-</v>
      </c>
      <c r="G13" s="167" t="str">
        <f t="shared" ca="1" si="2"/>
        <v>-</v>
      </c>
      <c r="H13" s="440" t="str">
        <f ca="1">IF($A13="*","",IF(AND(B13="ACT_BND",LEFT(C13,3)="PEX"),"FX",VLOOKUP($B13,$B$10:$I$11,H$9,FALSE)))</f>
        <v>-</v>
      </c>
      <c r="I13" s="441">
        <f ca="1">IF(IFERROR(VLOOKUP($C13,SUP!$B$54:$Q$104,MATCH($B13&amp;"-"&amp;I$7,SUP!$B$54:$Q$54,0),FALSE),"")="","",IFERROR(VLOOKUP($C13,SUP!$B$54:$Q$104,MATCH($B13&amp;"-"&amp;I$7,SUP!$B$54:$Q$54,0),FALSE),""))</f>
        <v>0</v>
      </c>
      <c r="J13" s="441">
        <f ca="1">IFERROR(1*IF(IFERROR(VLOOKUP($C13,SUP!$B$54:$Q$104,MATCH($B13&amp;"-"&amp;J$7,SUP!$B$54:$Q$54,0),FALSE),"")="","",IFERROR(VLOOKUP($C13,SUP!$B$54:$Q$104,MATCH($B13&amp;"-"&amp;J$7,SUP!$B$54:$Q$54,0),FALSE),"")),"")</f>
        <v>45.012222222222221</v>
      </c>
      <c r="K13" s="441" t="str">
        <f ca="1">IFERROR(1*IF(IFERROR(VLOOKUP($C13,SUP!$B$54:$Q$104,MATCH($B13&amp;"-"&amp;K$7,SUP!$B$54:$Q$54,0),FALSE),"")="","",IFERROR(VLOOKUP($C13,SUP!$B$54:$Q$104,MATCH($B13&amp;"-"&amp;K$7,SUP!$B$54:$Q$54,0),FALSE),"")),"")</f>
        <v/>
      </c>
      <c r="L13" s="441" t="str">
        <f ca="1">IFERROR(1*IF(IFERROR(VLOOKUP($C13,SUP!$B$54:$Q$104,MATCH($B13&amp;"-"&amp;L$7,SUP!$B$54:$Q$54,0),FALSE),"")="","",IFERROR(VLOOKUP($C13,SUP!$B$54:$Q$104,MATCH($B13&amp;"-"&amp;L$7,SUP!$B$54:$Q$54,0),FALSE),"")),"")</f>
        <v/>
      </c>
      <c r="M13" s="441">
        <f ca="1">IFERROR(1*IF(IFERROR(VLOOKUP($C13,SUP!$B$54:$Q$104,MATCH($B13&amp;"-"&amp;M$7,SUP!$B$54:$Q$54,0),FALSE),"")="","",IFERROR(VLOOKUP($C13,SUP!$B$54:$Q$104,MATCH($B13&amp;"-"&amp;M$7,SUP!$B$54:$Q$54,0),FALSE),"")),"")</f>
        <v>45.306111111111107</v>
      </c>
      <c r="N13" s="441" t="str">
        <f ca="1">IFERROR(1*IF(IFERROR(VLOOKUP($C13,SUP!$B$54:$Q$104,MATCH($B13&amp;"-"&amp;N$7,SUP!$B$54:$Q$54,0),FALSE),"")="","",IFERROR(VLOOKUP($C13,SUP!$B$54:$Q$104,MATCH($B13&amp;"-"&amp;N$7,SUP!$B$54:$Q$54,0),FALSE),"")),"")</f>
        <v/>
      </c>
      <c r="O13" s="441" t="str">
        <f ca="1">IFERROR(1*IF(IFERROR(VLOOKUP($C13,SUP!$B$54:$Q$104,MATCH($B13&amp;"-"&amp;O$7,SUP!$B$54:$Q$54,0),FALSE),"")="","",IFERROR(VLOOKUP($C13,SUP!$B$54:$Q$104,MATCH($B13&amp;"-"&amp;O$7,SUP!$B$54:$Q$54,0),FALSE),"")),"")</f>
        <v/>
      </c>
      <c r="P13" s="441" t="str">
        <f ca="1">IFERROR(1*IF(IFERROR(VLOOKUP($C13,SUP!$B$54:$Q$104,MATCH($B13&amp;"-"&amp;P$7,SUP!$B$54:$Q$54,0),FALSE),"")="","",IFERROR(VLOOKUP($C13,SUP!$B$54:$Q$104,MATCH($B13&amp;"-"&amp;P$7,SUP!$B$54:$Q$54,0),FALSE),"")),"")</f>
        <v/>
      </c>
      <c r="Q13" s="441" t="str">
        <f ca="1">IFERROR(1*IF(IFERROR(VLOOKUP($C13,SUP!$B$54:$Q$104,MATCH($B13&amp;"-"&amp;Q$7,SUP!$B$54:$Q$54,0),FALSE),"")="","",IFERROR(VLOOKUP($C13,SUP!$B$54:$Q$104,MATCH($B13&amp;"-"&amp;Q$7,SUP!$B$54:$Q$54,0),FALSE),"")),"")</f>
        <v/>
      </c>
      <c r="R13" s="441">
        <f ca="1">IFERROR(1*IF(IFERROR(VLOOKUP($C13,SUP!$B$54:$Q$104,MATCH($B13&amp;"-"&amp;R$7,SUP!$B$54:$Q$54,0),FALSE),"")="","",IFERROR(VLOOKUP($C13,SUP!$B$54:$Q$104,MATCH($B13&amp;"-"&amp;R$7,SUP!$B$54:$Q$54,0),FALSE),"")),"")</f>
        <v>45.6</v>
      </c>
      <c r="S13" s="441" t="str">
        <f ca="1">IFERROR(1*IF(IFERROR(VLOOKUP($C13,SUP!$B$54:$Q$104,MATCH($B13&amp;"-"&amp;S$7,SUP!$B$54:$Q$54,0),FALSE),"")="","",IFERROR(VLOOKUP($C13,SUP!$B$54:$Q$104,MATCH($B13&amp;"-"&amp;S$7,SUP!$B$54:$Q$54,0),FALSE),"")),"")</f>
        <v/>
      </c>
      <c r="T13" s="441" t="str">
        <f ca="1">IFERROR(1*IF(IFERROR(VLOOKUP($C13,SUP!$B$54:$Q$104,MATCH($B13&amp;"-"&amp;T$7,SUP!$B$54:$Q$54,0),FALSE),"")="","",IFERROR(VLOOKUP($C13,SUP!$B$54:$Q$104,MATCH($B13&amp;"-"&amp;T$7,SUP!$B$54:$Q$54,0),FALSE),"")),"")</f>
        <v/>
      </c>
      <c r="U13" s="441" t="str">
        <f ca="1">IFERROR(1*IF(IFERROR(VLOOKUP($C13,SUP!$B$54:$Q$104,MATCH($B13&amp;"-"&amp;U$7,SUP!$B$54:$Q$54,0),FALSE),"")="","",IFERROR(VLOOKUP($C13,SUP!$B$54:$Q$104,MATCH($B13&amp;"-"&amp;U$7,SUP!$B$54:$Q$54,0),FALSE),"")),"")</f>
        <v/>
      </c>
      <c r="V13" s="441" t="str">
        <f ca="1">IFERROR(1*IF(IFERROR(VLOOKUP($C13,SUP!$B$54:$Q$104,MATCH($B13&amp;"-"&amp;V$7,SUP!$B$54:$Q$54,0),FALSE),"")="","",IFERROR(VLOOKUP($C13,SUP!$B$54:$Q$104,MATCH($B13&amp;"-"&amp;V$7,SUP!$B$54:$Q$54,0),FALSE),"")),"")</f>
        <v/>
      </c>
      <c r="W13" s="441" t="str">
        <f ca="1">IFERROR(1*IF(IFERROR(VLOOKUP($C13,SUP!$B$54:$Q$104,MATCH($B13&amp;"-"&amp;W$7,SUP!$B$54:$Q$54,0),FALSE),"")="","",IFERROR(VLOOKUP($C13,SUP!$B$54:$Q$104,MATCH($B13&amp;"-"&amp;W$7,SUP!$B$54:$Q$54,0),FALSE),"")),"")</f>
        <v/>
      </c>
      <c r="X13" s="441" t="str">
        <f ca="1">IFERROR(1*IF(IFERROR(VLOOKUP($C13,SUP!$B$54:$Q$104,MATCH($B13&amp;"-"&amp;X$7,SUP!$B$54:$Q$54,0),FALSE),"")="","",IFERROR(VLOOKUP($C13,SUP!$B$54:$Q$104,MATCH($B13&amp;"-"&amp;X$7,SUP!$B$54:$Q$54,0),FALSE),"")),"")</f>
        <v/>
      </c>
      <c r="Y13" s="441" t="str">
        <f ca="1">IFERROR(1*IF(IFERROR(VLOOKUP($C13,SUP!$B$54:$Q$104,MATCH($B13&amp;"-"&amp;Y$7,SUP!$B$54:$Q$54,0),FALSE),"")="","",IFERROR(VLOOKUP($C13,SUP!$B$54:$Q$104,MATCH($B13&amp;"-"&amp;Y$7,SUP!$B$54:$Q$54,0),FALSE),"")),"")</f>
        <v/>
      </c>
      <c r="Z13" s="441" t="str">
        <f ca="1">IFERROR(1*IF(IFERROR(VLOOKUP($C13,SUP!$B$54:$Q$104,MATCH($B13&amp;"-"&amp;Z$7,SUP!$B$54:$Q$54,0),FALSE),"")="","",IFERROR(VLOOKUP($C13,SUP!$B$54:$Q$104,MATCH($B13&amp;"-"&amp;Z$7,SUP!$B$54:$Q$54,0),FALSE),"")),"")</f>
        <v/>
      </c>
      <c r="AA13" s="441" t="str">
        <f ca="1">IFERROR(1*IF(IFERROR(VLOOKUP($C13,SUP!$B$54:$Q$104,MATCH($B13&amp;"-"&amp;AA$7,SUP!$B$54:$Q$54,0),FALSE),"")="","",IFERROR(VLOOKUP($C13,SUP!$B$54:$Q$104,MATCH($B13&amp;"-"&amp;AA$7,SUP!$B$54:$Q$54,0),FALSE),"")),"")</f>
        <v/>
      </c>
      <c r="AB13" s="441">
        <f ca="1">IFERROR(1*IF(IFERROR(VLOOKUP($C13,SUP!$B$54:$Q$104,MATCH($B13&amp;"-"&amp;AB$7,SUP!$B$54:$Q$54,0),FALSE),"")="","",IFERROR(VLOOKUP($C13,SUP!$B$54:$Q$104,MATCH($B13&amp;"-"&amp;AB$7,SUP!$B$54:$Q$54,0),FALSE),"")),"")</f>
        <v>45.6</v>
      </c>
      <c r="AC13" s="441" t="str">
        <f ca="1">IFERROR(1*IF(IFERROR(VLOOKUP($C13,SUP!$B$54:$Q$104,MATCH($B13&amp;"-"&amp;AC$7,SUP!$B$54:$Q$54,0),FALSE),"")="","",IFERROR(VLOOKUP($C13,SUP!$B$54:$Q$104,MATCH($B13&amp;"-"&amp;AC$7,SUP!$B$54:$Q$54,0),FALSE),"")),"")</f>
        <v/>
      </c>
      <c r="AD13" s="441" t="str">
        <f ca="1">IFERROR(1*IF(IFERROR(VLOOKUP($C13,SUP!$B$54:$Q$104,MATCH($B13&amp;"-"&amp;AD$7,SUP!$B$54:$Q$54,0),FALSE),"")="","",IFERROR(VLOOKUP($C13,SUP!$B$54:$Q$104,MATCH($B13&amp;"-"&amp;AD$7,SUP!$B$54:$Q$54,0),FALSE),"")),"")</f>
        <v/>
      </c>
      <c r="AE13" s="441" t="str">
        <f ca="1">IFERROR(1*IF(IFERROR(VLOOKUP($C13,SUP!$B$54:$Q$104,MATCH($B13&amp;"-"&amp;AE$7,SUP!$B$54:$Q$54,0),FALSE),"")="","",IFERROR(VLOOKUP($C13,SUP!$B$54:$Q$104,MATCH($B13&amp;"-"&amp;AE$7,SUP!$B$54:$Q$54,0),FALSE),"")),"")</f>
        <v/>
      </c>
      <c r="AF13" s="441" t="str">
        <f ca="1">IFERROR(1*IF(IFERROR(VLOOKUP($C13,SUP!$B$54:$Q$104,MATCH($B13&amp;"-"&amp;AF$7,SUP!$B$54:$Q$54,0),FALSE),"")="","",IFERROR(VLOOKUP($C13,SUP!$B$54:$Q$104,MATCH($B13&amp;"-"&amp;AF$7,SUP!$B$54:$Q$54,0),FALSE),"")),"")</f>
        <v/>
      </c>
      <c r="AG13" s="441" t="str">
        <f ca="1">IFERROR(1*IF(IFERROR(VLOOKUP($C13,SUP!$B$54:$Q$104,MATCH($B13&amp;"-"&amp;AG$7,SUP!$B$54:$Q$54,0),FALSE),"")="","",IFERROR(VLOOKUP($C13,SUP!$B$54:$Q$104,MATCH($B13&amp;"-"&amp;AG$7,SUP!$B$54:$Q$54,0),FALSE),"")),"")</f>
        <v/>
      </c>
      <c r="AH13" s="441" t="str">
        <f ca="1">IFERROR(1*IF(IFERROR(VLOOKUP($C13,SUP!$B$54:$Q$104,MATCH($B13&amp;"-"&amp;AH$7,SUP!$B$54:$Q$54,0),FALSE),"")="","",IFERROR(VLOOKUP($C13,SUP!$B$54:$Q$104,MATCH($B13&amp;"-"&amp;AH$7,SUP!$B$54:$Q$54,0),FALSE),"")),"")</f>
        <v/>
      </c>
      <c r="AI13" s="441" t="str">
        <f ca="1">IFERROR(1*IF(IFERROR(VLOOKUP($C13,SUP!$B$54:$Q$104,MATCH($B13&amp;"-"&amp;AI$7,SUP!$B$54:$Q$54,0),FALSE),"")="","",IFERROR(VLOOKUP($C13,SUP!$B$54:$Q$104,MATCH($B13&amp;"-"&amp;AI$7,SUP!$B$54:$Q$54,0),FALSE),"")),"")</f>
        <v/>
      </c>
      <c r="AJ13" s="441" t="str">
        <f ca="1">IFERROR(1*IF(IFERROR(VLOOKUP($C13,SUP!$B$54:$Q$104,MATCH($B13&amp;"-"&amp;AJ$7,SUP!$B$54:$Q$54,0),FALSE),"")="","",IFERROR(VLOOKUP($C13,SUP!$B$54:$Q$104,MATCH($B13&amp;"-"&amp;AJ$7,SUP!$B$54:$Q$54,0),FALSE),"")),"")</f>
        <v/>
      </c>
      <c r="AK13" s="441" t="str">
        <f ca="1">IFERROR(1*IF(IFERROR(VLOOKUP($C13,SUP!$B$54:$Q$104,MATCH($B13&amp;"-"&amp;AK$7,SUP!$B$54:$Q$54,0),FALSE),"")="","",IFERROR(VLOOKUP($C13,SUP!$B$54:$Q$104,MATCH($B13&amp;"-"&amp;AK$7,SUP!$B$54:$Q$54,0),FALSE),"")),"")</f>
        <v/>
      </c>
      <c r="AL13" s="441" t="str">
        <f ca="1">IFERROR(1*IF(IFERROR(VLOOKUP($C13,SUP!$B$54:$Q$104,MATCH($B13&amp;"-"&amp;AL$7,SUP!$B$54:$Q$54,0),FALSE),"")="","",IFERROR(VLOOKUP($C13,SUP!$B$54:$Q$104,MATCH($B13&amp;"-"&amp;AL$7,SUP!$B$54:$Q$54,0),FALSE),"")),"")</f>
        <v/>
      </c>
      <c r="AM13" s="441" t="str">
        <f ca="1">IFERROR(1*IF(IFERROR(VLOOKUP($C13,SUP!$B$54:$Q$104,MATCH($B13&amp;"-"&amp;AM$7,SUP!$B$54:$Q$54,0),FALSE),"")="","",IFERROR(VLOOKUP($C13,SUP!$B$54:$Q$104,MATCH($B13&amp;"-"&amp;AM$7,SUP!$B$54:$Q$54,0),FALSE),"")),"")</f>
        <v/>
      </c>
      <c r="AN13" s="441">
        <f ca="1">IFERROR(1*IF(IFERROR(VLOOKUP($C13,SUP!$B$54:$Q$104,MATCH($B13&amp;"-"&amp;AN$7,SUP!$B$54:$Q$54,0),FALSE),"")="","",IFERROR(VLOOKUP($C13,SUP!$B$54:$Q$104,MATCH($B13&amp;"-"&amp;AN$7,SUP!$B$54:$Q$54,0),FALSE),"")),"")</f>
        <v>45.6</v>
      </c>
      <c r="AO13" s="441" t="str">
        <f ca="1">IFERROR(1*IF(IFERROR(VLOOKUP($C13,SUP!$B$54:$Q$104,MATCH($B13&amp;"-"&amp;AO$7,SUP!$B$54:$Q$54,0),FALSE),"")="","",IFERROR(VLOOKUP($C13,SUP!$B$54:$Q$104,MATCH($B13&amp;"-"&amp;AO$7,SUP!$B$54:$Q$54,0),FALSE),"")),"")</f>
        <v/>
      </c>
      <c r="AR13" s="42">
        <v>1</v>
      </c>
      <c r="AS13" s="42">
        <v>1</v>
      </c>
    </row>
    <row r="14" spans="1:46">
      <c r="A14" s="42" t="str">
        <f ca="1">IF(LEFT(OFFSET(SUP!$A$57,AS14,0),2)="\I","*","")</f>
        <v/>
      </c>
      <c r="B14" s="167" t="str">
        <f t="shared" ca="1" si="1"/>
        <v>ACT_COST</v>
      </c>
      <c r="C14" s="167" t="str">
        <f ca="1">IF($A14="*","",OFFSET(SUP!$B$57,AS14,0))</f>
        <v>MINCLE</v>
      </c>
      <c r="D14" s="167" t="str">
        <f t="shared" ca="1" si="2"/>
        <v>-</v>
      </c>
      <c r="E14" s="167" t="str">
        <f t="shared" ca="1" si="2"/>
        <v>-</v>
      </c>
      <c r="F14" s="167" t="str">
        <f t="shared" ca="1" si="2"/>
        <v>-</v>
      </c>
      <c r="G14" s="167" t="str">
        <f t="shared" ca="1" si="2"/>
        <v>-</v>
      </c>
      <c r="H14" s="440" t="str">
        <f ca="1">IF($A14="*","",IF(AND(B14="ACT_BND",LEFT(C14,3)="PEX"),"FX",VLOOKUP($B14,$B$10:$I$11,H$9,FALSE)))</f>
        <v>-</v>
      </c>
      <c r="I14" s="441">
        <f ca="1">IF(IFERROR(VLOOKUP($C14,SUP!$B$54:$Q$104,MATCH($B14&amp;"-"&amp;I$7,SUP!$B$54:$Q$54,0),FALSE),"")="","",IFERROR(VLOOKUP($C14,SUP!$B$54:$Q$104,MATCH($B14&amp;"-"&amp;I$7,SUP!$B$54:$Q$54,0),FALSE),""))</f>
        <v>0</v>
      </c>
      <c r="J14" s="441">
        <f ca="1">IFERROR(1*IF(IFERROR(VLOOKUP($C14,SUP!$B$54:$Q$104,MATCH($B14&amp;"-"&amp;J$7,SUP!$B$54:$Q$54,0),FALSE),"")="","",IFERROR(VLOOKUP($C14,SUP!$B$54:$Q$104,MATCH($B14&amp;"-"&amp;J$7,SUP!$B$54:$Q$54,0),FALSE),"")),"")</f>
        <v>15</v>
      </c>
      <c r="K14" s="441" t="str">
        <f ca="1">IFERROR(1*IF(IFERROR(VLOOKUP($C14,SUP!$B$54:$Q$104,MATCH($B14&amp;"-"&amp;K$7,SUP!$B$54:$Q$54,0),FALSE),"")="","",IFERROR(VLOOKUP($C14,SUP!$B$54:$Q$104,MATCH($B14&amp;"-"&amp;K$7,SUP!$B$54:$Q$54,0),FALSE),"")),"")</f>
        <v/>
      </c>
      <c r="L14" s="441" t="str">
        <f ca="1">IFERROR(1*IF(IFERROR(VLOOKUP($C14,SUP!$B$54:$Q$104,MATCH($B14&amp;"-"&amp;L$7,SUP!$B$54:$Q$54,0),FALSE),"")="","",IFERROR(VLOOKUP($C14,SUP!$B$54:$Q$104,MATCH($B14&amp;"-"&amp;L$7,SUP!$B$54:$Q$54,0),FALSE),"")),"")</f>
        <v/>
      </c>
      <c r="M14" s="441">
        <f ca="1">IFERROR(1*IF(IFERROR(VLOOKUP($C14,SUP!$B$54:$Q$104,MATCH($B14&amp;"-"&amp;M$7,SUP!$B$54:$Q$54,0),FALSE),"")="","",IFERROR(VLOOKUP($C14,SUP!$B$54:$Q$104,MATCH($B14&amp;"-"&amp;M$7,SUP!$B$54:$Q$54,0),FALSE),"")),"")</f>
        <v>16.714848757138416</v>
      </c>
      <c r="N14" s="441" t="str">
        <f ca="1">IFERROR(1*IF(IFERROR(VLOOKUP($C14,SUP!$B$54:$Q$104,MATCH($B14&amp;"-"&amp;N$7,SUP!$B$54:$Q$54,0),FALSE),"")="","",IFERROR(VLOOKUP($C14,SUP!$B$54:$Q$104,MATCH($B14&amp;"-"&amp;N$7,SUP!$B$54:$Q$54,0),FALSE),"")),"")</f>
        <v/>
      </c>
      <c r="O14" s="441" t="str">
        <f ca="1">IFERROR(1*IF(IFERROR(VLOOKUP($C14,SUP!$B$54:$Q$104,MATCH($B14&amp;"-"&amp;O$7,SUP!$B$54:$Q$54,0),FALSE),"")="","",IFERROR(VLOOKUP($C14,SUP!$B$54:$Q$104,MATCH($B14&amp;"-"&amp;O$7,SUP!$B$54:$Q$54,0),FALSE),"")),"")</f>
        <v/>
      </c>
      <c r="P14" s="441" t="str">
        <f ca="1">IFERROR(1*IF(IFERROR(VLOOKUP($C14,SUP!$B$54:$Q$104,MATCH($B14&amp;"-"&amp;P$7,SUP!$B$54:$Q$54,0),FALSE),"")="","",IFERROR(VLOOKUP($C14,SUP!$B$54:$Q$104,MATCH($B14&amp;"-"&amp;P$7,SUP!$B$54:$Q$54,0),FALSE),"")),"")</f>
        <v/>
      </c>
      <c r="Q14" s="441" t="str">
        <f ca="1">IFERROR(1*IF(IFERROR(VLOOKUP($C14,SUP!$B$54:$Q$104,MATCH($B14&amp;"-"&amp;Q$7,SUP!$B$54:$Q$54,0),FALSE),"")="","",IFERROR(VLOOKUP($C14,SUP!$B$54:$Q$104,MATCH($B14&amp;"-"&amp;Q$7,SUP!$B$54:$Q$54,0),FALSE),"")),"")</f>
        <v/>
      </c>
      <c r="R14" s="441">
        <f ca="1">IFERROR(1*IF(IFERROR(VLOOKUP($C14,SUP!$B$54:$Q$104,MATCH($B14&amp;"-"&amp;R$7,SUP!$B$54:$Q$54,0),FALSE),"")="","",IFERROR(VLOOKUP($C14,SUP!$B$54:$Q$104,MATCH($B14&amp;"-"&amp;R$7,SUP!$B$54:$Q$54,0),FALSE),"")),"")</f>
        <v>18.429697514276832</v>
      </c>
      <c r="S14" s="441" t="str">
        <f ca="1">IFERROR(1*IF(IFERROR(VLOOKUP($C14,SUP!$B$54:$Q$104,MATCH($B14&amp;"-"&amp;S$7,SUP!$B$54:$Q$54,0),FALSE),"")="","",IFERROR(VLOOKUP($C14,SUP!$B$54:$Q$104,MATCH($B14&amp;"-"&amp;S$7,SUP!$B$54:$Q$54,0),FALSE),"")),"")</f>
        <v/>
      </c>
      <c r="T14" s="441" t="str">
        <f ca="1">IFERROR(1*IF(IFERROR(VLOOKUP($C14,SUP!$B$54:$Q$104,MATCH($B14&amp;"-"&amp;T$7,SUP!$B$54:$Q$54,0),FALSE),"")="","",IFERROR(VLOOKUP($C14,SUP!$B$54:$Q$104,MATCH($B14&amp;"-"&amp;T$7,SUP!$B$54:$Q$54,0),FALSE),"")),"")</f>
        <v/>
      </c>
      <c r="U14" s="441" t="str">
        <f ca="1">IFERROR(1*IF(IFERROR(VLOOKUP($C14,SUP!$B$54:$Q$104,MATCH($B14&amp;"-"&amp;U$7,SUP!$B$54:$Q$54,0),FALSE),"")="","",IFERROR(VLOOKUP($C14,SUP!$B$54:$Q$104,MATCH($B14&amp;"-"&amp;U$7,SUP!$B$54:$Q$54,0),FALSE),"")),"")</f>
        <v/>
      </c>
      <c r="V14" s="441" t="str">
        <f ca="1">IFERROR(1*IF(IFERROR(VLOOKUP($C14,SUP!$B$54:$Q$104,MATCH($B14&amp;"-"&amp;V$7,SUP!$B$54:$Q$54,0),FALSE),"")="","",IFERROR(VLOOKUP($C14,SUP!$B$54:$Q$104,MATCH($B14&amp;"-"&amp;V$7,SUP!$B$54:$Q$54,0),FALSE),"")),"")</f>
        <v/>
      </c>
      <c r="W14" s="441" t="str">
        <f ca="1">IFERROR(1*IF(IFERROR(VLOOKUP($C14,SUP!$B$54:$Q$104,MATCH($B14&amp;"-"&amp;W$7,SUP!$B$54:$Q$54,0),FALSE),"")="","",IFERROR(VLOOKUP($C14,SUP!$B$54:$Q$104,MATCH($B14&amp;"-"&amp;W$7,SUP!$B$54:$Q$54,0),FALSE),"")),"")</f>
        <v/>
      </c>
      <c r="X14" s="441" t="str">
        <f ca="1">IFERROR(1*IF(IFERROR(VLOOKUP($C14,SUP!$B$54:$Q$104,MATCH($B14&amp;"-"&amp;X$7,SUP!$B$54:$Q$54,0),FALSE),"")="","",IFERROR(VLOOKUP($C14,SUP!$B$54:$Q$104,MATCH($B14&amp;"-"&amp;X$7,SUP!$B$54:$Q$54,0),FALSE),"")),"")</f>
        <v/>
      </c>
      <c r="Y14" s="441" t="str">
        <f ca="1">IFERROR(1*IF(IFERROR(VLOOKUP($C14,SUP!$B$54:$Q$104,MATCH($B14&amp;"-"&amp;Y$7,SUP!$B$54:$Q$54,0),FALSE),"")="","",IFERROR(VLOOKUP($C14,SUP!$B$54:$Q$104,MATCH($B14&amp;"-"&amp;Y$7,SUP!$B$54:$Q$54,0),FALSE),"")),"")</f>
        <v/>
      </c>
      <c r="Z14" s="441" t="str">
        <f ca="1">IFERROR(1*IF(IFERROR(VLOOKUP($C14,SUP!$B$54:$Q$104,MATCH($B14&amp;"-"&amp;Z$7,SUP!$B$54:$Q$54,0),FALSE),"")="","",IFERROR(VLOOKUP($C14,SUP!$B$54:$Q$104,MATCH($B14&amp;"-"&amp;Z$7,SUP!$B$54:$Q$54,0),FALSE),"")),"")</f>
        <v/>
      </c>
      <c r="AA14" s="441" t="str">
        <f ca="1">IFERROR(1*IF(IFERROR(VLOOKUP($C14,SUP!$B$54:$Q$104,MATCH($B14&amp;"-"&amp;AA$7,SUP!$B$54:$Q$54,0),FALSE),"")="","",IFERROR(VLOOKUP($C14,SUP!$B$54:$Q$104,MATCH($B14&amp;"-"&amp;AA$7,SUP!$B$54:$Q$54,0),FALSE),"")),"")</f>
        <v/>
      </c>
      <c r="AB14" s="441">
        <f ca="1">IFERROR(1*IF(IFERROR(VLOOKUP($C14,SUP!$B$54:$Q$104,MATCH($B14&amp;"-"&amp;AB$7,SUP!$B$54:$Q$54,0),FALSE),"")="","",IFERROR(VLOOKUP($C14,SUP!$B$54:$Q$104,MATCH($B14&amp;"-"&amp;AB$7,SUP!$B$54:$Q$54,0),FALSE),"")),"")</f>
        <v>18.429697514276832</v>
      </c>
      <c r="AC14" s="441" t="str">
        <f ca="1">IFERROR(1*IF(IFERROR(VLOOKUP($C14,SUP!$B$54:$Q$104,MATCH($B14&amp;"-"&amp;AC$7,SUP!$B$54:$Q$54,0),FALSE),"")="","",IFERROR(VLOOKUP($C14,SUP!$B$54:$Q$104,MATCH($B14&amp;"-"&amp;AC$7,SUP!$B$54:$Q$54,0),FALSE),"")),"")</f>
        <v/>
      </c>
      <c r="AD14" s="441" t="str">
        <f ca="1">IFERROR(1*IF(IFERROR(VLOOKUP($C14,SUP!$B$54:$Q$104,MATCH($B14&amp;"-"&amp;AD$7,SUP!$B$54:$Q$54,0),FALSE),"")="","",IFERROR(VLOOKUP($C14,SUP!$B$54:$Q$104,MATCH($B14&amp;"-"&amp;AD$7,SUP!$B$54:$Q$54,0),FALSE),"")),"")</f>
        <v/>
      </c>
      <c r="AE14" s="441" t="str">
        <f ca="1">IFERROR(1*IF(IFERROR(VLOOKUP($C14,SUP!$B$54:$Q$104,MATCH($B14&amp;"-"&amp;AE$7,SUP!$B$54:$Q$54,0),FALSE),"")="","",IFERROR(VLOOKUP($C14,SUP!$B$54:$Q$104,MATCH($B14&amp;"-"&amp;AE$7,SUP!$B$54:$Q$54,0),FALSE),"")),"")</f>
        <v/>
      </c>
      <c r="AF14" s="441" t="str">
        <f ca="1">IFERROR(1*IF(IFERROR(VLOOKUP($C14,SUP!$B$54:$Q$104,MATCH($B14&amp;"-"&amp;AF$7,SUP!$B$54:$Q$54,0),FALSE),"")="","",IFERROR(VLOOKUP($C14,SUP!$B$54:$Q$104,MATCH($B14&amp;"-"&amp;AF$7,SUP!$B$54:$Q$54,0),FALSE),"")),"")</f>
        <v/>
      </c>
      <c r="AG14" s="441" t="str">
        <f ca="1">IFERROR(1*IF(IFERROR(VLOOKUP($C14,SUP!$B$54:$Q$104,MATCH($B14&amp;"-"&amp;AG$7,SUP!$B$54:$Q$54,0),FALSE),"")="","",IFERROR(VLOOKUP($C14,SUP!$B$54:$Q$104,MATCH($B14&amp;"-"&amp;AG$7,SUP!$B$54:$Q$54,0),FALSE),"")),"")</f>
        <v/>
      </c>
      <c r="AH14" s="441" t="str">
        <f ca="1">IFERROR(1*IF(IFERROR(VLOOKUP($C14,SUP!$B$54:$Q$104,MATCH($B14&amp;"-"&amp;AH$7,SUP!$B$54:$Q$54,0),FALSE),"")="","",IFERROR(VLOOKUP($C14,SUP!$B$54:$Q$104,MATCH($B14&amp;"-"&amp;AH$7,SUP!$B$54:$Q$54,0),FALSE),"")),"")</f>
        <v/>
      </c>
      <c r="AI14" s="441" t="str">
        <f ca="1">IFERROR(1*IF(IFERROR(VLOOKUP($C14,SUP!$B$54:$Q$104,MATCH($B14&amp;"-"&amp;AI$7,SUP!$B$54:$Q$54,0),FALSE),"")="","",IFERROR(VLOOKUP($C14,SUP!$B$54:$Q$104,MATCH($B14&amp;"-"&amp;AI$7,SUP!$B$54:$Q$54,0),FALSE),"")),"")</f>
        <v/>
      </c>
      <c r="AJ14" s="441" t="str">
        <f ca="1">IFERROR(1*IF(IFERROR(VLOOKUP($C14,SUP!$B$54:$Q$104,MATCH($B14&amp;"-"&amp;AJ$7,SUP!$B$54:$Q$54,0),FALSE),"")="","",IFERROR(VLOOKUP($C14,SUP!$B$54:$Q$104,MATCH($B14&amp;"-"&amp;AJ$7,SUP!$B$54:$Q$54,0),FALSE),"")),"")</f>
        <v/>
      </c>
      <c r="AK14" s="441" t="str">
        <f ca="1">IFERROR(1*IF(IFERROR(VLOOKUP($C14,SUP!$B$54:$Q$104,MATCH($B14&amp;"-"&amp;AK$7,SUP!$B$54:$Q$54,0),FALSE),"")="","",IFERROR(VLOOKUP($C14,SUP!$B$54:$Q$104,MATCH($B14&amp;"-"&amp;AK$7,SUP!$B$54:$Q$54,0),FALSE),"")),"")</f>
        <v/>
      </c>
      <c r="AL14" s="441" t="str">
        <f ca="1">IFERROR(1*IF(IFERROR(VLOOKUP($C14,SUP!$B$54:$Q$104,MATCH($B14&amp;"-"&amp;AL$7,SUP!$B$54:$Q$54,0),FALSE),"")="","",IFERROR(VLOOKUP($C14,SUP!$B$54:$Q$104,MATCH($B14&amp;"-"&amp;AL$7,SUP!$B$54:$Q$54,0),FALSE),"")),"")</f>
        <v/>
      </c>
      <c r="AM14" s="441" t="str">
        <f ca="1">IFERROR(1*IF(IFERROR(VLOOKUP($C14,SUP!$B$54:$Q$104,MATCH($B14&amp;"-"&amp;AM$7,SUP!$B$54:$Q$54,0),FALSE),"")="","",IFERROR(VLOOKUP($C14,SUP!$B$54:$Q$104,MATCH($B14&amp;"-"&amp;AM$7,SUP!$B$54:$Q$54,0),FALSE),"")),"")</f>
        <v/>
      </c>
      <c r="AN14" s="441">
        <f ca="1">IFERROR(1*IF(IFERROR(VLOOKUP($C14,SUP!$B$54:$Q$104,MATCH($B14&amp;"-"&amp;AN$7,SUP!$B$54:$Q$54,0),FALSE),"")="","",IFERROR(VLOOKUP($C14,SUP!$B$54:$Q$104,MATCH($B14&amp;"-"&amp;AN$7,SUP!$B$54:$Q$54,0),FALSE),"")),"")</f>
        <v>18.429697514276832</v>
      </c>
      <c r="AO14" s="441" t="str">
        <f ca="1">IFERROR(1*IF(IFERROR(VLOOKUP($C14,SUP!$B$54:$Q$104,MATCH($B14&amp;"-"&amp;AO$7,SUP!$B$54:$Q$54,0),FALSE),"")="","",IFERROR(VLOOKUP($C14,SUP!$B$54:$Q$104,MATCH($B14&amp;"-"&amp;AO$7,SUP!$B$54:$Q$54,0),FALSE),"")),"")</f>
        <v/>
      </c>
      <c r="AR14" s="42">
        <f>IF(AS13=SUP!$B$104,AR13+1,AR13)</f>
        <v>1</v>
      </c>
      <c r="AS14" s="42">
        <f>IF(AR14=AR13,AS13+1,1)</f>
        <v>2</v>
      </c>
    </row>
    <row r="15" spans="1:46">
      <c r="A15" s="42" t="str">
        <f ca="1">IF(LEFT(OFFSET(SUP!$A$57,AS15,0),2)="\I","*","")</f>
        <v/>
      </c>
      <c r="B15" s="440" t="str">
        <f t="shared" ca="1" si="1"/>
        <v>ACT_COST</v>
      </c>
      <c r="C15" s="440" t="str">
        <f ca="1">IF($A15="*","",OFFSET(SUP!$B$57,AS15,0))</f>
        <v>MINCLD</v>
      </c>
      <c r="D15" s="440" t="str">
        <f t="shared" ca="1" si="2"/>
        <v>-</v>
      </c>
      <c r="E15" s="440" t="str">
        <f t="shared" ca="1" si="2"/>
        <v>-</v>
      </c>
      <c r="F15" s="440" t="str">
        <f t="shared" ca="1" si="2"/>
        <v>-</v>
      </c>
      <c r="G15" s="440" t="str">
        <f t="shared" ca="1" si="2"/>
        <v>-</v>
      </c>
      <c r="H15" s="440" t="str">
        <f t="shared" ref="H15:H22" ca="1" si="3">IF($A15="*","",IF(AND(B15="ACT_BND",LEFT(C15,3)="PEX"),"FX",VLOOKUP($B15,$B$10:$I$11,H$9,FALSE)))</f>
        <v>-</v>
      </c>
      <c r="I15" s="441">
        <f ca="1">IF(IFERROR(VLOOKUP($C15,SUP!$B$54:$Q$104,MATCH($B15&amp;"-"&amp;I$7,SUP!$B$54:$Q$54,0),FALSE),"")="","",IFERROR(VLOOKUP($C15,SUP!$B$54:$Q$104,MATCH($B15&amp;"-"&amp;I$7,SUP!$B$54:$Q$54,0),FALSE),""))</f>
        <v>0</v>
      </c>
      <c r="J15" s="441">
        <f ca="1">IFERROR(1*IF(IFERROR(VLOOKUP($C15,SUP!$B$54:$Q$104,MATCH($B15&amp;"-"&amp;J$7,SUP!$B$54:$Q$54,0),FALSE),"")="","",IFERROR(VLOOKUP($C15,SUP!$B$54:$Q$104,MATCH($B15&amp;"-"&amp;J$7,SUP!$B$54:$Q$54,0),FALSE),"")),"")</f>
        <v>7.5</v>
      </c>
      <c r="K15" s="441" t="str">
        <f ca="1">IFERROR(1*IF(IFERROR(VLOOKUP($C15,SUP!$B$54:$Q$104,MATCH($B15&amp;"-"&amp;K$7,SUP!$B$54:$Q$54,0),FALSE),"")="","",IFERROR(VLOOKUP($C15,SUP!$B$54:$Q$104,MATCH($B15&amp;"-"&amp;K$7,SUP!$B$54:$Q$54,0),FALSE),"")),"")</f>
        <v/>
      </c>
      <c r="L15" s="441" t="str">
        <f ca="1">IFERROR(1*IF(IFERROR(VLOOKUP($C15,SUP!$B$54:$Q$104,MATCH($B15&amp;"-"&amp;L$7,SUP!$B$54:$Q$54,0),FALSE),"")="","",IFERROR(VLOOKUP($C15,SUP!$B$54:$Q$104,MATCH($B15&amp;"-"&amp;L$7,SUP!$B$54:$Q$54,0),FALSE),"")),"")</f>
        <v/>
      </c>
      <c r="M15" s="441">
        <f ca="1">IFERROR(1*IF(IFERROR(VLOOKUP($C15,SUP!$B$54:$Q$104,MATCH($B15&amp;"-"&amp;M$7,SUP!$B$54:$Q$54,0),FALSE),"")="","",IFERROR(VLOOKUP($C15,SUP!$B$54:$Q$104,MATCH($B15&amp;"-"&amp;M$7,SUP!$B$54:$Q$54,0),FALSE),"")),"")</f>
        <v>8.3574243785692079</v>
      </c>
      <c r="N15" s="441" t="str">
        <f ca="1">IFERROR(1*IF(IFERROR(VLOOKUP($C15,SUP!$B$54:$Q$104,MATCH($B15&amp;"-"&amp;N$7,SUP!$B$54:$Q$54,0),FALSE),"")="","",IFERROR(VLOOKUP($C15,SUP!$B$54:$Q$104,MATCH($B15&amp;"-"&amp;N$7,SUP!$B$54:$Q$54,0),FALSE),"")),"")</f>
        <v/>
      </c>
      <c r="O15" s="441" t="str">
        <f ca="1">IFERROR(1*IF(IFERROR(VLOOKUP($C15,SUP!$B$54:$Q$104,MATCH($B15&amp;"-"&amp;O$7,SUP!$B$54:$Q$54,0),FALSE),"")="","",IFERROR(VLOOKUP($C15,SUP!$B$54:$Q$104,MATCH($B15&amp;"-"&amp;O$7,SUP!$B$54:$Q$54,0),FALSE),"")),"")</f>
        <v/>
      </c>
      <c r="P15" s="441" t="str">
        <f ca="1">IFERROR(1*IF(IFERROR(VLOOKUP($C15,SUP!$B$54:$Q$104,MATCH($B15&amp;"-"&amp;P$7,SUP!$B$54:$Q$54,0),FALSE),"")="","",IFERROR(VLOOKUP($C15,SUP!$B$54:$Q$104,MATCH($B15&amp;"-"&amp;P$7,SUP!$B$54:$Q$54,0),FALSE),"")),"")</f>
        <v/>
      </c>
      <c r="Q15" s="441" t="str">
        <f ca="1">IFERROR(1*IF(IFERROR(VLOOKUP($C15,SUP!$B$54:$Q$104,MATCH($B15&amp;"-"&amp;Q$7,SUP!$B$54:$Q$54,0),FALSE),"")="","",IFERROR(VLOOKUP($C15,SUP!$B$54:$Q$104,MATCH($B15&amp;"-"&amp;Q$7,SUP!$B$54:$Q$54,0),FALSE),"")),"")</f>
        <v/>
      </c>
      <c r="R15" s="441">
        <f ca="1">IFERROR(1*IF(IFERROR(VLOOKUP($C15,SUP!$B$54:$Q$104,MATCH($B15&amp;"-"&amp;R$7,SUP!$B$54:$Q$54,0),FALSE),"")="","",IFERROR(VLOOKUP($C15,SUP!$B$54:$Q$104,MATCH($B15&amp;"-"&amp;R$7,SUP!$B$54:$Q$54,0),FALSE),"")),"")</f>
        <v>9.2148487571384159</v>
      </c>
      <c r="S15" s="441" t="str">
        <f ca="1">IFERROR(1*IF(IFERROR(VLOOKUP($C15,SUP!$B$54:$Q$104,MATCH($B15&amp;"-"&amp;S$7,SUP!$B$54:$Q$54,0),FALSE),"")="","",IFERROR(VLOOKUP($C15,SUP!$B$54:$Q$104,MATCH($B15&amp;"-"&amp;S$7,SUP!$B$54:$Q$54,0),FALSE),"")),"")</f>
        <v/>
      </c>
      <c r="T15" s="441" t="str">
        <f ca="1">IFERROR(1*IF(IFERROR(VLOOKUP($C15,SUP!$B$54:$Q$104,MATCH($B15&amp;"-"&amp;T$7,SUP!$B$54:$Q$54,0),FALSE),"")="","",IFERROR(VLOOKUP($C15,SUP!$B$54:$Q$104,MATCH($B15&amp;"-"&amp;T$7,SUP!$B$54:$Q$54,0),FALSE),"")),"")</f>
        <v/>
      </c>
      <c r="U15" s="441" t="str">
        <f ca="1">IFERROR(1*IF(IFERROR(VLOOKUP($C15,SUP!$B$54:$Q$104,MATCH($B15&amp;"-"&amp;U$7,SUP!$B$54:$Q$54,0),FALSE),"")="","",IFERROR(VLOOKUP($C15,SUP!$B$54:$Q$104,MATCH($B15&amp;"-"&amp;U$7,SUP!$B$54:$Q$54,0),FALSE),"")),"")</f>
        <v/>
      </c>
      <c r="V15" s="441" t="str">
        <f ca="1">IFERROR(1*IF(IFERROR(VLOOKUP($C15,SUP!$B$54:$Q$104,MATCH($B15&amp;"-"&amp;V$7,SUP!$B$54:$Q$54,0),FALSE),"")="","",IFERROR(VLOOKUP($C15,SUP!$B$54:$Q$104,MATCH($B15&amp;"-"&amp;V$7,SUP!$B$54:$Q$54,0),FALSE),"")),"")</f>
        <v/>
      </c>
      <c r="W15" s="441" t="str">
        <f ca="1">IFERROR(1*IF(IFERROR(VLOOKUP($C15,SUP!$B$54:$Q$104,MATCH($B15&amp;"-"&amp;W$7,SUP!$B$54:$Q$54,0),FALSE),"")="","",IFERROR(VLOOKUP($C15,SUP!$B$54:$Q$104,MATCH($B15&amp;"-"&amp;W$7,SUP!$B$54:$Q$54,0),FALSE),"")),"")</f>
        <v/>
      </c>
      <c r="X15" s="441" t="str">
        <f ca="1">IFERROR(1*IF(IFERROR(VLOOKUP($C15,SUP!$B$54:$Q$104,MATCH($B15&amp;"-"&amp;X$7,SUP!$B$54:$Q$54,0),FALSE),"")="","",IFERROR(VLOOKUP($C15,SUP!$B$54:$Q$104,MATCH($B15&amp;"-"&amp;X$7,SUP!$B$54:$Q$54,0),FALSE),"")),"")</f>
        <v/>
      </c>
      <c r="Y15" s="441" t="str">
        <f ca="1">IFERROR(1*IF(IFERROR(VLOOKUP($C15,SUP!$B$54:$Q$104,MATCH($B15&amp;"-"&amp;Y$7,SUP!$B$54:$Q$54,0),FALSE),"")="","",IFERROR(VLOOKUP($C15,SUP!$B$54:$Q$104,MATCH($B15&amp;"-"&amp;Y$7,SUP!$B$54:$Q$54,0),FALSE),"")),"")</f>
        <v/>
      </c>
      <c r="Z15" s="441" t="str">
        <f ca="1">IFERROR(1*IF(IFERROR(VLOOKUP($C15,SUP!$B$54:$Q$104,MATCH($B15&amp;"-"&amp;Z$7,SUP!$B$54:$Q$54,0),FALSE),"")="","",IFERROR(VLOOKUP($C15,SUP!$B$54:$Q$104,MATCH($B15&amp;"-"&amp;Z$7,SUP!$B$54:$Q$54,0),FALSE),"")),"")</f>
        <v/>
      </c>
      <c r="AA15" s="441" t="str">
        <f ca="1">IFERROR(1*IF(IFERROR(VLOOKUP($C15,SUP!$B$54:$Q$104,MATCH($B15&amp;"-"&amp;AA$7,SUP!$B$54:$Q$54,0),FALSE),"")="","",IFERROR(VLOOKUP($C15,SUP!$B$54:$Q$104,MATCH($B15&amp;"-"&amp;AA$7,SUP!$B$54:$Q$54,0),FALSE),"")),"")</f>
        <v/>
      </c>
      <c r="AB15" s="441" t="str">
        <f ca="1">IFERROR(1*IF(IFERROR(VLOOKUP($C15,SUP!$B$54:$Q$104,MATCH($B15&amp;"-"&amp;AB$7,SUP!$B$54:$Q$54,0),FALSE),"")="","",IFERROR(VLOOKUP($C15,SUP!$B$54:$Q$104,MATCH($B15&amp;"-"&amp;AB$7,SUP!$B$54:$Q$54,0),FALSE),"")),"")</f>
        <v/>
      </c>
      <c r="AC15" s="441" t="str">
        <f ca="1">IFERROR(1*IF(IFERROR(VLOOKUP($C15,SUP!$B$54:$Q$104,MATCH($B15&amp;"-"&amp;AC$7,SUP!$B$54:$Q$54,0),FALSE),"")="","",IFERROR(VLOOKUP($C15,SUP!$B$54:$Q$104,MATCH($B15&amp;"-"&amp;AC$7,SUP!$B$54:$Q$54,0),FALSE),"")),"")</f>
        <v/>
      </c>
      <c r="AD15" s="441" t="str">
        <f ca="1">IFERROR(1*IF(IFERROR(VLOOKUP($C15,SUP!$B$54:$Q$104,MATCH($B15&amp;"-"&amp;AD$7,SUP!$B$54:$Q$54,0),FALSE),"")="","",IFERROR(VLOOKUP($C15,SUP!$B$54:$Q$104,MATCH($B15&amp;"-"&amp;AD$7,SUP!$B$54:$Q$54,0),FALSE),"")),"")</f>
        <v/>
      </c>
      <c r="AE15" s="441" t="str">
        <f ca="1">IFERROR(1*IF(IFERROR(VLOOKUP($C15,SUP!$B$54:$Q$104,MATCH($B15&amp;"-"&amp;AE$7,SUP!$B$54:$Q$54,0),FALSE),"")="","",IFERROR(VLOOKUP($C15,SUP!$B$54:$Q$104,MATCH($B15&amp;"-"&amp;AE$7,SUP!$B$54:$Q$54,0),FALSE),"")),"")</f>
        <v/>
      </c>
      <c r="AF15" s="441" t="str">
        <f ca="1">IFERROR(1*IF(IFERROR(VLOOKUP($C15,SUP!$B$54:$Q$104,MATCH($B15&amp;"-"&amp;AF$7,SUP!$B$54:$Q$54,0),FALSE),"")="","",IFERROR(VLOOKUP($C15,SUP!$B$54:$Q$104,MATCH($B15&amp;"-"&amp;AF$7,SUP!$B$54:$Q$54,0),FALSE),"")),"")</f>
        <v/>
      </c>
      <c r="AG15" s="441" t="str">
        <f ca="1">IFERROR(1*IF(IFERROR(VLOOKUP($C15,SUP!$B$54:$Q$104,MATCH($B15&amp;"-"&amp;AG$7,SUP!$B$54:$Q$54,0),FALSE),"")="","",IFERROR(VLOOKUP($C15,SUP!$B$54:$Q$104,MATCH($B15&amp;"-"&amp;AG$7,SUP!$B$54:$Q$54,0),FALSE),"")),"")</f>
        <v/>
      </c>
      <c r="AH15" s="441" t="str">
        <f ca="1">IFERROR(1*IF(IFERROR(VLOOKUP($C15,SUP!$B$54:$Q$104,MATCH($B15&amp;"-"&amp;AH$7,SUP!$B$54:$Q$54,0),FALSE),"")="","",IFERROR(VLOOKUP($C15,SUP!$B$54:$Q$104,MATCH($B15&amp;"-"&amp;AH$7,SUP!$B$54:$Q$54,0),FALSE),"")),"")</f>
        <v/>
      </c>
      <c r="AI15" s="441" t="str">
        <f ca="1">IFERROR(1*IF(IFERROR(VLOOKUP($C15,SUP!$B$54:$Q$104,MATCH($B15&amp;"-"&amp;AI$7,SUP!$B$54:$Q$54,0),FALSE),"")="","",IFERROR(VLOOKUP($C15,SUP!$B$54:$Q$104,MATCH($B15&amp;"-"&amp;AI$7,SUP!$B$54:$Q$54,0),FALSE),"")),"")</f>
        <v/>
      </c>
      <c r="AJ15" s="441" t="str">
        <f ca="1">IFERROR(1*IF(IFERROR(VLOOKUP($C15,SUP!$B$54:$Q$104,MATCH($B15&amp;"-"&amp;AJ$7,SUP!$B$54:$Q$54,0),FALSE),"")="","",IFERROR(VLOOKUP($C15,SUP!$B$54:$Q$104,MATCH($B15&amp;"-"&amp;AJ$7,SUP!$B$54:$Q$54,0),FALSE),"")),"")</f>
        <v/>
      </c>
      <c r="AK15" s="441" t="str">
        <f ca="1">IFERROR(1*IF(IFERROR(VLOOKUP($C15,SUP!$B$54:$Q$104,MATCH($B15&amp;"-"&amp;AK$7,SUP!$B$54:$Q$54,0),FALSE),"")="","",IFERROR(VLOOKUP($C15,SUP!$B$54:$Q$104,MATCH($B15&amp;"-"&amp;AK$7,SUP!$B$54:$Q$54,0),FALSE),"")),"")</f>
        <v/>
      </c>
      <c r="AL15" s="441" t="str">
        <f ca="1">IFERROR(1*IF(IFERROR(VLOOKUP($C15,SUP!$B$54:$Q$104,MATCH($B15&amp;"-"&amp;AL$7,SUP!$B$54:$Q$54,0),FALSE),"")="","",IFERROR(VLOOKUP($C15,SUP!$B$54:$Q$104,MATCH($B15&amp;"-"&amp;AL$7,SUP!$B$54:$Q$54,0),FALSE),"")),"")</f>
        <v/>
      </c>
      <c r="AM15" s="441" t="str">
        <f ca="1">IFERROR(1*IF(IFERROR(VLOOKUP($C15,SUP!$B$54:$Q$104,MATCH($B15&amp;"-"&amp;AM$7,SUP!$B$54:$Q$54,0),FALSE),"")="","",IFERROR(VLOOKUP($C15,SUP!$B$54:$Q$104,MATCH($B15&amp;"-"&amp;AM$7,SUP!$B$54:$Q$54,0),FALSE),"")),"")</f>
        <v/>
      </c>
      <c r="AN15" s="441" t="str">
        <f ca="1">IFERROR(1*IF(IFERROR(VLOOKUP($C15,SUP!$B$54:$Q$104,MATCH($B15&amp;"-"&amp;AN$7,SUP!$B$54:$Q$54,0),FALSE),"")="","",IFERROR(VLOOKUP($C15,SUP!$B$54:$Q$104,MATCH($B15&amp;"-"&amp;AN$7,SUP!$B$54:$Q$54,0),FALSE),"")),"")</f>
        <v/>
      </c>
      <c r="AO15" s="441" t="str">
        <f ca="1">IFERROR(1*IF(IFERROR(VLOOKUP($C15,SUP!$B$54:$Q$104,MATCH($B15&amp;"-"&amp;AO$7,SUP!$B$54:$Q$54,0),FALSE),"")="","",IFERROR(VLOOKUP($C15,SUP!$B$54:$Q$104,MATCH($B15&amp;"-"&amp;AO$7,SUP!$B$54:$Q$54,0),FALSE),"")),"")</f>
        <v/>
      </c>
      <c r="AR15" s="42">
        <f>IF(AS14=SUP!$B$104,AR14+1,AR14)</f>
        <v>1</v>
      </c>
      <c r="AS15" s="42">
        <f t="shared" ref="AS15:AS22" si="4">IF(AR15=AR14,AS14+1,1)</f>
        <v>3</v>
      </c>
    </row>
    <row r="16" spans="1:46">
      <c r="A16" s="42" t="str">
        <f ca="1">IF(LEFT(OFFSET(SUP!$A$57,AS16,0),2)="\I","*","")</f>
        <v/>
      </c>
      <c r="B16" s="440" t="str">
        <f t="shared" ca="1" si="1"/>
        <v>ACT_COST</v>
      </c>
      <c r="C16" s="440" t="str">
        <f ca="1">IF($A16="*","",OFFSET(SUP!$B$57,AS16,0))</f>
        <v>MINOCR</v>
      </c>
      <c r="D16" s="440" t="str">
        <f t="shared" ca="1" si="2"/>
        <v>-</v>
      </c>
      <c r="E16" s="440" t="str">
        <f t="shared" ca="1" si="2"/>
        <v>-</v>
      </c>
      <c r="F16" s="440" t="str">
        <f t="shared" ca="1" si="2"/>
        <v>-</v>
      </c>
      <c r="G16" s="440" t="str">
        <f t="shared" ca="1" si="2"/>
        <v>-</v>
      </c>
      <c r="H16" s="440" t="str">
        <f t="shared" ca="1" si="3"/>
        <v>-</v>
      </c>
      <c r="I16" s="441">
        <f ca="1">IF(IFERROR(VLOOKUP($C16,SUP!$B$54:$Q$104,MATCH($B16&amp;"-"&amp;I$7,SUP!$B$54:$Q$54,0),FALSE),"")="","",IFERROR(VLOOKUP($C16,SUP!$B$54:$Q$104,MATCH($B16&amp;"-"&amp;I$7,SUP!$B$54:$Q$54,0),FALSE),""))</f>
        <v>0</v>
      </c>
      <c r="J16" s="441">
        <f ca="1">IFERROR(1*IF(IFERROR(VLOOKUP($C16,SUP!$B$54:$Q$104,MATCH($B16&amp;"-"&amp;J$7,SUP!$B$54:$Q$54,0),FALSE),"")="","",IFERROR(VLOOKUP($C16,SUP!$B$54:$Q$104,MATCH($B16&amp;"-"&amp;J$7,SUP!$B$54:$Q$54,0),FALSE),"")),"")</f>
        <v>126.34143933836532</v>
      </c>
      <c r="K16" s="441" t="str">
        <f ca="1">IFERROR(1*IF(IFERROR(VLOOKUP($C16,SUP!$B$54:$Q$104,MATCH($B16&amp;"-"&amp;K$7,SUP!$B$54:$Q$54,0),FALSE),"")="","",IFERROR(VLOOKUP($C16,SUP!$B$54:$Q$104,MATCH($B16&amp;"-"&amp;K$7,SUP!$B$54:$Q$54,0),FALSE),"")),"")</f>
        <v/>
      </c>
      <c r="L16" s="441" t="str">
        <f ca="1">IFERROR(1*IF(IFERROR(VLOOKUP($C16,SUP!$B$54:$Q$104,MATCH($B16&amp;"-"&amp;L$7,SUP!$B$54:$Q$54,0),FALSE),"")="","",IFERROR(VLOOKUP($C16,SUP!$B$54:$Q$104,MATCH($B16&amp;"-"&amp;L$7,SUP!$B$54:$Q$54,0),FALSE),"")),"")</f>
        <v/>
      </c>
      <c r="M16" s="441">
        <f ca="1">IFERROR(1*IF(IFERROR(VLOOKUP($C16,SUP!$B$54:$Q$104,MATCH($B16&amp;"-"&amp;M$7,SUP!$B$54:$Q$54,0),FALSE),"")="","",IFERROR(VLOOKUP($C16,SUP!$B$54:$Q$104,MATCH($B16&amp;"-"&amp;M$7,SUP!$B$54:$Q$54,0),FALSE),"")),"")</f>
        <v>90.423609433962255</v>
      </c>
      <c r="N16" s="441" t="str">
        <f ca="1">IFERROR(1*IF(IFERROR(VLOOKUP($C16,SUP!$B$54:$Q$104,MATCH($B16&amp;"-"&amp;N$7,SUP!$B$54:$Q$54,0),FALSE),"")="","",IFERROR(VLOOKUP($C16,SUP!$B$54:$Q$104,MATCH($B16&amp;"-"&amp;N$7,SUP!$B$54:$Q$54,0),FALSE),"")),"")</f>
        <v/>
      </c>
      <c r="O16" s="441" t="str">
        <f ca="1">IFERROR(1*IF(IFERROR(VLOOKUP($C16,SUP!$B$54:$Q$104,MATCH($B16&amp;"-"&amp;O$7,SUP!$B$54:$Q$54,0),FALSE),"")="","",IFERROR(VLOOKUP($C16,SUP!$B$54:$Q$104,MATCH($B16&amp;"-"&amp;O$7,SUP!$B$54:$Q$54,0),FALSE),"")),"")</f>
        <v/>
      </c>
      <c r="P16" s="441" t="str">
        <f ca="1">IFERROR(1*IF(IFERROR(VLOOKUP($C16,SUP!$B$54:$Q$104,MATCH($B16&amp;"-"&amp;P$7,SUP!$B$54:$Q$54,0),FALSE),"")="","",IFERROR(VLOOKUP($C16,SUP!$B$54:$Q$104,MATCH($B16&amp;"-"&amp;P$7,SUP!$B$54:$Q$54,0),FALSE),"")),"")</f>
        <v/>
      </c>
      <c r="Q16" s="441" t="str">
        <f ca="1">IFERROR(1*IF(IFERROR(VLOOKUP($C16,SUP!$B$54:$Q$104,MATCH($B16&amp;"-"&amp;Q$7,SUP!$B$54:$Q$54,0),FALSE),"")="","",IFERROR(VLOOKUP($C16,SUP!$B$54:$Q$104,MATCH($B16&amp;"-"&amp;Q$7,SUP!$B$54:$Q$54,0),FALSE),"")),"")</f>
        <v/>
      </c>
      <c r="R16" s="441">
        <f ca="1">IFERROR(1*IF(IFERROR(VLOOKUP($C16,SUP!$B$54:$Q$104,MATCH($B16&amp;"-"&amp;R$7,SUP!$B$54:$Q$54,0),FALSE),"")="","",IFERROR(VLOOKUP($C16,SUP!$B$54:$Q$104,MATCH($B16&amp;"-"&amp;R$7,SUP!$B$54:$Q$54,0),FALSE),"")),"")</f>
        <v>102.834693081761</v>
      </c>
      <c r="S16" s="441" t="str">
        <f ca="1">IFERROR(1*IF(IFERROR(VLOOKUP($C16,SUP!$B$54:$Q$104,MATCH($B16&amp;"-"&amp;S$7,SUP!$B$54:$Q$54,0),FALSE),"")="","",IFERROR(VLOOKUP($C16,SUP!$B$54:$Q$104,MATCH($B16&amp;"-"&amp;S$7,SUP!$B$54:$Q$54,0),FALSE),"")),"")</f>
        <v/>
      </c>
      <c r="T16" s="441" t="str">
        <f ca="1">IFERROR(1*IF(IFERROR(VLOOKUP($C16,SUP!$B$54:$Q$104,MATCH($B16&amp;"-"&amp;T$7,SUP!$B$54:$Q$54,0),FALSE),"")="","",IFERROR(VLOOKUP($C16,SUP!$B$54:$Q$104,MATCH($B16&amp;"-"&amp;T$7,SUP!$B$54:$Q$54,0),FALSE),"")),"")</f>
        <v/>
      </c>
      <c r="U16" s="441" t="str">
        <f ca="1">IFERROR(1*IF(IFERROR(VLOOKUP($C16,SUP!$B$54:$Q$104,MATCH($B16&amp;"-"&amp;U$7,SUP!$B$54:$Q$54,0),FALSE),"")="","",IFERROR(VLOOKUP($C16,SUP!$B$54:$Q$104,MATCH($B16&amp;"-"&amp;U$7,SUP!$B$54:$Q$54,0),FALSE),"")),"")</f>
        <v/>
      </c>
      <c r="V16" s="441" t="str">
        <f ca="1">IFERROR(1*IF(IFERROR(VLOOKUP($C16,SUP!$B$54:$Q$104,MATCH($B16&amp;"-"&amp;V$7,SUP!$B$54:$Q$54,0),FALSE),"")="","",IFERROR(VLOOKUP($C16,SUP!$B$54:$Q$104,MATCH($B16&amp;"-"&amp;V$7,SUP!$B$54:$Q$54,0),FALSE),"")),"")</f>
        <v/>
      </c>
      <c r="W16" s="441" t="str">
        <f ca="1">IFERROR(1*IF(IFERROR(VLOOKUP($C16,SUP!$B$54:$Q$104,MATCH($B16&amp;"-"&amp;W$7,SUP!$B$54:$Q$54,0),FALSE),"")="","",IFERROR(VLOOKUP($C16,SUP!$B$54:$Q$104,MATCH($B16&amp;"-"&amp;W$7,SUP!$B$54:$Q$54,0),FALSE),"")),"")</f>
        <v/>
      </c>
      <c r="X16" s="441" t="str">
        <f ca="1">IFERROR(1*IF(IFERROR(VLOOKUP($C16,SUP!$B$54:$Q$104,MATCH($B16&amp;"-"&amp;X$7,SUP!$B$54:$Q$54,0),FALSE),"")="","",IFERROR(VLOOKUP($C16,SUP!$B$54:$Q$104,MATCH($B16&amp;"-"&amp;X$7,SUP!$B$54:$Q$54,0),FALSE),"")),"")</f>
        <v/>
      </c>
      <c r="Y16" s="441" t="str">
        <f ca="1">IFERROR(1*IF(IFERROR(VLOOKUP($C16,SUP!$B$54:$Q$104,MATCH($B16&amp;"-"&amp;Y$7,SUP!$B$54:$Q$54,0),FALSE),"")="","",IFERROR(VLOOKUP($C16,SUP!$B$54:$Q$104,MATCH($B16&amp;"-"&amp;Y$7,SUP!$B$54:$Q$54,0),FALSE),"")),"")</f>
        <v/>
      </c>
      <c r="Z16" s="441" t="str">
        <f ca="1">IFERROR(1*IF(IFERROR(VLOOKUP($C16,SUP!$B$54:$Q$104,MATCH($B16&amp;"-"&amp;Z$7,SUP!$B$54:$Q$54,0),FALSE),"")="","",IFERROR(VLOOKUP($C16,SUP!$B$54:$Q$104,MATCH($B16&amp;"-"&amp;Z$7,SUP!$B$54:$Q$54,0),FALSE),"")),"")</f>
        <v/>
      </c>
      <c r="AA16" s="441" t="str">
        <f ca="1">IFERROR(1*IF(IFERROR(VLOOKUP($C16,SUP!$B$54:$Q$104,MATCH($B16&amp;"-"&amp;AA$7,SUP!$B$54:$Q$54,0),FALSE),"")="","",IFERROR(VLOOKUP($C16,SUP!$B$54:$Q$104,MATCH($B16&amp;"-"&amp;AA$7,SUP!$B$54:$Q$54,0),FALSE),"")),"")</f>
        <v/>
      </c>
      <c r="AB16" s="441">
        <f ca="1">IFERROR(1*IF(IFERROR(VLOOKUP($C16,SUP!$B$54:$Q$104,MATCH($B16&amp;"-"&amp;AB$7,SUP!$B$54:$Q$54,0),FALSE),"")="","",IFERROR(VLOOKUP($C16,SUP!$B$54:$Q$104,MATCH($B16&amp;"-"&amp;AB$7,SUP!$B$54:$Q$54,0),FALSE),"")),"")</f>
        <v>98.697665199161406</v>
      </c>
      <c r="AC16" s="441" t="str">
        <f ca="1">IFERROR(1*IF(IFERROR(VLOOKUP($C16,SUP!$B$54:$Q$104,MATCH($B16&amp;"-"&amp;AC$7,SUP!$B$54:$Q$54,0),FALSE),"")="","",IFERROR(VLOOKUP($C16,SUP!$B$54:$Q$104,MATCH($B16&amp;"-"&amp;AC$7,SUP!$B$54:$Q$54,0),FALSE),"")),"")</f>
        <v/>
      </c>
      <c r="AD16" s="441" t="str">
        <f ca="1">IFERROR(1*IF(IFERROR(VLOOKUP($C16,SUP!$B$54:$Q$104,MATCH($B16&amp;"-"&amp;AD$7,SUP!$B$54:$Q$54,0),FALSE),"")="","",IFERROR(VLOOKUP($C16,SUP!$B$54:$Q$104,MATCH($B16&amp;"-"&amp;AD$7,SUP!$B$54:$Q$54,0),FALSE),"")),"")</f>
        <v/>
      </c>
      <c r="AE16" s="441" t="str">
        <f ca="1">IFERROR(1*IF(IFERROR(VLOOKUP($C16,SUP!$B$54:$Q$104,MATCH($B16&amp;"-"&amp;AE$7,SUP!$B$54:$Q$54,0),FALSE),"")="","",IFERROR(VLOOKUP($C16,SUP!$B$54:$Q$104,MATCH($B16&amp;"-"&amp;AE$7,SUP!$B$54:$Q$54,0),FALSE),"")),"")</f>
        <v/>
      </c>
      <c r="AF16" s="441" t="str">
        <f ca="1">IFERROR(1*IF(IFERROR(VLOOKUP($C16,SUP!$B$54:$Q$104,MATCH($B16&amp;"-"&amp;AF$7,SUP!$B$54:$Q$54,0),FALSE),"")="","",IFERROR(VLOOKUP($C16,SUP!$B$54:$Q$104,MATCH($B16&amp;"-"&amp;AF$7,SUP!$B$54:$Q$54,0),FALSE),"")),"")</f>
        <v/>
      </c>
      <c r="AG16" s="441" t="str">
        <f ca="1">IFERROR(1*IF(IFERROR(VLOOKUP($C16,SUP!$B$54:$Q$104,MATCH($B16&amp;"-"&amp;AG$7,SUP!$B$54:$Q$54,0),FALSE),"")="","",IFERROR(VLOOKUP($C16,SUP!$B$54:$Q$104,MATCH($B16&amp;"-"&amp;AG$7,SUP!$B$54:$Q$54,0),FALSE),"")),"")</f>
        <v/>
      </c>
      <c r="AH16" s="441" t="str">
        <f ca="1">IFERROR(1*IF(IFERROR(VLOOKUP($C16,SUP!$B$54:$Q$104,MATCH($B16&amp;"-"&amp;AH$7,SUP!$B$54:$Q$54,0),FALSE),"")="","",IFERROR(VLOOKUP($C16,SUP!$B$54:$Q$104,MATCH($B16&amp;"-"&amp;AH$7,SUP!$B$54:$Q$54,0),FALSE),"")),"")</f>
        <v/>
      </c>
      <c r="AI16" s="441" t="str">
        <f ca="1">IFERROR(1*IF(IFERROR(VLOOKUP($C16,SUP!$B$54:$Q$104,MATCH($B16&amp;"-"&amp;AI$7,SUP!$B$54:$Q$54,0),FALSE),"")="","",IFERROR(VLOOKUP($C16,SUP!$B$54:$Q$104,MATCH($B16&amp;"-"&amp;AI$7,SUP!$B$54:$Q$54,0),FALSE),"")),"")</f>
        <v/>
      </c>
      <c r="AJ16" s="441" t="str">
        <f ca="1">IFERROR(1*IF(IFERROR(VLOOKUP($C16,SUP!$B$54:$Q$104,MATCH($B16&amp;"-"&amp;AJ$7,SUP!$B$54:$Q$54,0),FALSE),"")="","",IFERROR(VLOOKUP($C16,SUP!$B$54:$Q$104,MATCH($B16&amp;"-"&amp;AJ$7,SUP!$B$54:$Q$54,0),FALSE),"")),"")</f>
        <v/>
      </c>
      <c r="AK16" s="441" t="str">
        <f ca="1">IFERROR(1*IF(IFERROR(VLOOKUP($C16,SUP!$B$54:$Q$104,MATCH($B16&amp;"-"&amp;AK$7,SUP!$B$54:$Q$54,0),FALSE),"")="","",IFERROR(VLOOKUP($C16,SUP!$B$54:$Q$104,MATCH($B16&amp;"-"&amp;AK$7,SUP!$B$54:$Q$54,0),FALSE),"")),"")</f>
        <v/>
      </c>
      <c r="AL16" s="441" t="str">
        <f ca="1">IFERROR(1*IF(IFERROR(VLOOKUP($C16,SUP!$B$54:$Q$104,MATCH($B16&amp;"-"&amp;AL$7,SUP!$B$54:$Q$54,0),FALSE),"")="","",IFERROR(VLOOKUP($C16,SUP!$B$54:$Q$104,MATCH($B16&amp;"-"&amp;AL$7,SUP!$B$54:$Q$54,0),FALSE),"")),"")</f>
        <v/>
      </c>
      <c r="AM16" s="441" t="str">
        <f ca="1">IFERROR(1*IF(IFERROR(VLOOKUP($C16,SUP!$B$54:$Q$104,MATCH($B16&amp;"-"&amp;AM$7,SUP!$B$54:$Q$54,0),FALSE),"")="","",IFERROR(VLOOKUP($C16,SUP!$B$54:$Q$104,MATCH($B16&amp;"-"&amp;AM$7,SUP!$B$54:$Q$54,0),FALSE),"")),"")</f>
        <v/>
      </c>
      <c r="AN16" s="441">
        <f ca="1">IFERROR(1*IF(IFERROR(VLOOKUP($C16,SUP!$B$54:$Q$104,MATCH($B16&amp;"-"&amp;AN$7,SUP!$B$54:$Q$54,0),FALSE),"")="","",IFERROR(VLOOKUP($C16,SUP!$B$54:$Q$104,MATCH($B16&amp;"-"&amp;AN$7,SUP!$B$54:$Q$54,0),FALSE),"")),"")</f>
        <v>89.241601467505234</v>
      </c>
      <c r="AO16" s="441" t="str">
        <f ca="1">IFERROR(1*IF(IFERROR(VLOOKUP($C16,SUP!$B$54:$Q$104,MATCH($B16&amp;"-"&amp;AO$7,SUP!$B$54:$Q$54,0),FALSE),"")="","",IFERROR(VLOOKUP($C16,SUP!$B$54:$Q$104,MATCH($B16&amp;"-"&amp;AO$7,SUP!$B$54:$Q$54,0),FALSE),"")),"")</f>
        <v/>
      </c>
      <c r="AR16" s="42">
        <f>IF(AS15=SUP!$B$104,AR15+1,AR15)</f>
        <v>1</v>
      </c>
      <c r="AS16" s="42">
        <f t="shared" si="4"/>
        <v>4</v>
      </c>
    </row>
    <row r="17" spans="1:45">
      <c r="A17" s="42" t="str">
        <f ca="1">IF(LEFT(OFFSET(SUP!$A$57,AS17,0),2)="\I","*","")</f>
        <v/>
      </c>
      <c r="B17" s="440" t="str">
        <f t="shared" ca="1" si="1"/>
        <v>ACT_COST</v>
      </c>
      <c r="C17" s="440" t="str">
        <f ca="1">IF($A17="*","",OFFSET(SUP!$B$57,AS17,0))</f>
        <v>MINGIC</v>
      </c>
      <c r="D17" s="440" t="str">
        <f t="shared" ca="1" si="2"/>
        <v>-</v>
      </c>
      <c r="E17" s="440" t="str">
        <f t="shared" ca="1" si="2"/>
        <v>-</v>
      </c>
      <c r="F17" s="440" t="str">
        <f t="shared" ca="1" si="2"/>
        <v>-</v>
      </c>
      <c r="G17" s="440" t="str">
        <f t="shared" ca="1" si="2"/>
        <v>-</v>
      </c>
      <c r="H17" s="440" t="str">
        <f t="shared" ca="1" si="3"/>
        <v>-</v>
      </c>
      <c r="I17" s="441">
        <f ca="1">IF(IFERROR(VLOOKUP($C17,SUP!$B$54:$Q$104,MATCH($B17&amp;"-"&amp;I$7,SUP!$B$54:$Q$54,0),FALSE),"")="","",IFERROR(VLOOKUP($C17,SUP!$B$54:$Q$104,MATCH($B17&amp;"-"&amp;I$7,SUP!$B$54:$Q$54,0),FALSE),""))</f>
        <v>0</v>
      </c>
      <c r="J17" s="441">
        <f ca="1">IFERROR(1*IF(IFERROR(VLOOKUP($C17,SUP!$B$54:$Q$104,MATCH($B17&amp;"-"&amp;J$7,SUP!$B$54:$Q$54,0),FALSE),"")="","",IFERROR(VLOOKUP($C17,SUP!$B$54:$Q$104,MATCH($B17&amp;"-"&amp;J$7,SUP!$B$54:$Q$54,0),FALSE),"")),"")</f>
        <v>84.132985722376887</v>
      </c>
      <c r="K17" s="441" t="str">
        <f ca="1">IFERROR(1*IF(IFERROR(VLOOKUP($C17,SUP!$B$54:$Q$104,MATCH($B17&amp;"-"&amp;K$7,SUP!$B$54:$Q$54,0),FALSE),"")="","",IFERROR(VLOOKUP($C17,SUP!$B$54:$Q$104,MATCH($B17&amp;"-"&amp;K$7,SUP!$B$54:$Q$54,0),FALSE),"")),"")</f>
        <v/>
      </c>
      <c r="L17" s="441" t="str">
        <f ca="1">IFERROR(1*IF(IFERROR(VLOOKUP($C17,SUP!$B$54:$Q$104,MATCH($B17&amp;"-"&amp;L$7,SUP!$B$54:$Q$54,0),FALSE),"")="","",IFERROR(VLOOKUP($C17,SUP!$B$54:$Q$104,MATCH($B17&amp;"-"&amp;L$7,SUP!$B$54:$Q$54,0),FALSE),"")),"")</f>
        <v/>
      </c>
      <c r="M17" s="441">
        <f ca="1">IFERROR(1*IF(IFERROR(VLOOKUP($C17,SUP!$B$54:$Q$104,MATCH($B17&amp;"-"&amp;M$7,SUP!$B$54:$Q$54,0),FALSE),"")="","",IFERROR(VLOOKUP($C17,SUP!$B$54:$Q$104,MATCH($B17&amp;"-"&amp;M$7,SUP!$B$54:$Q$54,0),FALSE),"")),"")</f>
        <v>100.07852866986421</v>
      </c>
      <c r="N17" s="441" t="str">
        <f ca="1">IFERROR(1*IF(IFERROR(VLOOKUP($C17,SUP!$B$54:$Q$104,MATCH($B17&amp;"-"&amp;N$7,SUP!$B$54:$Q$54,0),FALSE),"")="","",IFERROR(VLOOKUP($C17,SUP!$B$54:$Q$104,MATCH($B17&amp;"-"&amp;N$7,SUP!$B$54:$Q$54,0),FALSE),"")),"")</f>
        <v/>
      </c>
      <c r="O17" s="441" t="str">
        <f ca="1">IFERROR(1*IF(IFERROR(VLOOKUP($C17,SUP!$B$54:$Q$104,MATCH($B17&amp;"-"&amp;O$7,SUP!$B$54:$Q$54,0),FALSE),"")="","",IFERROR(VLOOKUP($C17,SUP!$B$54:$Q$104,MATCH($B17&amp;"-"&amp;O$7,SUP!$B$54:$Q$54,0),FALSE),"")),"")</f>
        <v/>
      </c>
      <c r="P17" s="441" t="str">
        <f ca="1">IFERROR(1*IF(IFERROR(VLOOKUP($C17,SUP!$B$54:$Q$104,MATCH($B17&amp;"-"&amp;P$7,SUP!$B$54:$Q$54,0),FALSE),"")="","",IFERROR(VLOOKUP($C17,SUP!$B$54:$Q$104,MATCH($B17&amp;"-"&amp;P$7,SUP!$B$54:$Q$54,0),FALSE),"")),"")</f>
        <v/>
      </c>
      <c r="Q17" s="441" t="str">
        <f ca="1">IFERROR(1*IF(IFERROR(VLOOKUP($C17,SUP!$B$54:$Q$104,MATCH($B17&amp;"-"&amp;Q$7,SUP!$B$54:$Q$54,0),FALSE),"")="","",IFERROR(VLOOKUP($C17,SUP!$B$54:$Q$104,MATCH($B17&amp;"-"&amp;Q$7,SUP!$B$54:$Q$54,0),FALSE),"")),"")</f>
        <v/>
      </c>
      <c r="R17" s="441">
        <f ca="1">IFERROR(1*IF(IFERROR(VLOOKUP($C17,SUP!$B$54:$Q$104,MATCH($B17&amp;"-"&amp;R$7,SUP!$B$54:$Q$54,0),FALSE),"")="","",IFERROR(VLOOKUP($C17,SUP!$B$54:$Q$104,MATCH($B17&amp;"-"&amp;R$7,SUP!$B$54:$Q$54,0),FALSE),"")),"")</f>
        <v>100.07852866986421</v>
      </c>
      <c r="S17" s="441" t="str">
        <f ca="1">IFERROR(1*IF(IFERROR(VLOOKUP($C17,SUP!$B$54:$Q$104,MATCH($B17&amp;"-"&amp;S$7,SUP!$B$54:$Q$54,0),FALSE),"")="","",IFERROR(VLOOKUP($C17,SUP!$B$54:$Q$104,MATCH($B17&amp;"-"&amp;S$7,SUP!$B$54:$Q$54,0),FALSE),"")),"")</f>
        <v/>
      </c>
      <c r="T17" s="441" t="str">
        <f ca="1">IFERROR(1*IF(IFERROR(VLOOKUP($C17,SUP!$B$54:$Q$104,MATCH($B17&amp;"-"&amp;T$7,SUP!$B$54:$Q$54,0),FALSE),"")="","",IFERROR(VLOOKUP($C17,SUP!$B$54:$Q$104,MATCH($B17&amp;"-"&amp;T$7,SUP!$B$54:$Q$54,0),FALSE),"")),"")</f>
        <v/>
      </c>
      <c r="U17" s="441" t="str">
        <f ca="1">IFERROR(1*IF(IFERROR(VLOOKUP($C17,SUP!$B$54:$Q$104,MATCH($B17&amp;"-"&amp;U$7,SUP!$B$54:$Q$54,0),FALSE),"")="","",IFERROR(VLOOKUP($C17,SUP!$B$54:$Q$104,MATCH($B17&amp;"-"&amp;U$7,SUP!$B$54:$Q$54,0),FALSE),"")),"")</f>
        <v/>
      </c>
      <c r="V17" s="441" t="str">
        <f ca="1">IFERROR(1*IF(IFERROR(VLOOKUP($C17,SUP!$B$54:$Q$104,MATCH($B17&amp;"-"&amp;V$7,SUP!$B$54:$Q$54,0),FALSE),"")="","",IFERROR(VLOOKUP($C17,SUP!$B$54:$Q$104,MATCH($B17&amp;"-"&amp;V$7,SUP!$B$54:$Q$54,0),FALSE),"")),"")</f>
        <v/>
      </c>
      <c r="W17" s="441" t="str">
        <f ca="1">IFERROR(1*IF(IFERROR(VLOOKUP($C17,SUP!$B$54:$Q$104,MATCH($B17&amp;"-"&amp;W$7,SUP!$B$54:$Q$54,0),FALSE),"")="","",IFERROR(VLOOKUP($C17,SUP!$B$54:$Q$104,MATCH($B17&amp;"-"&amp;W$7,SUP!$B$54:$Q$54,0),FALSE),"")),"")</f>
        <v/>
      </c>
      <c r="X17" s="441" t="str">
        <f ca="1">IFERROR(1*IF(IFERROR(VLOOKUP($C17,SUP!$B$54:$Q$104,MATCH($B17&amp;"-"&amp;X$7,SUP!$B$54:$Q$54,0),FALSE),"")="","",IFERROR(VLOOKUP($C17,SUP!$B$54:$Q$104,MATCH($B17&amp;"-"&amp;X$7,SUP!$B$54:$Q$54,0),FALSE),"")),"")</f>
        <v/>
      </c>
      <c r="Y17" s="441" t="str">
        <f ca="1">IFERROR(1*IF(IFERROR(VLOOKUP($C17,SUP!$B$54:$Q$104,MATCH($B17&amp;"-"&amp;Y$7,SUP!$B$54:$Q$54,0),FALSE),"")="","",IFERROR(VLOOKUP($C17,SUP!$B$54:$Q$104,MATCH($B17&amp;"-"&amp;Y$7,SUP!$B$54:$Q$54,0),FALSE),"")),"")</f>
        <v/>
      </c>
      <c r="Z17" s="441" t="str">
        <f ca="1">IFERROR(1*IF(IFERROR(VLOOKUP($C17,SUP!$B$54:$Q$104,MATCH($B17&amp;"-"&amp;Z$7,SUP!$B$54:$Q$54,0),FALSE),"")="","",IFERROR(VLOOKUP($C17,SUP!$B$54:$Q$104,MATCH($B17&amp;"-"&amp;Z$7,SUP!$B$54:$Q$54,0),FALSE),"")),"")</f>
        <v/>
      </c>
      <c r="AA17" s="441" t="str">
        <f ca="1">IFERROR(1*IF(IFERROR(VLOOKUP($C17,SUP!$B$54:$Q$104,MATCH($B17&amp;"-"&amp;AA$7,SUP!$B$54:$Q$54,0),FALSE),"")="","",IFERROR(VLOOKUP($C17,SUP!$B$54:$Q$104,MATCH($B17&amp;"-"&amp;AA$7,SUP!$B$54:$Q$54,0),FALSE),"")),"")</f>
        <v/>
      </c>
      <c r="AB17" s="441">
        <f ca="1">IFERROR(1*IF(IFERROR(VLOOKUP($C17,SUP!$B$54:$Q$104,MATCH($B17&amp;"-"&amp;AB$7,SUP!$B$54:$Q$54,0),FALSE),"")="","",IFERROR(VLOOKUP($C17,SUP!$B$54:$Q$104,MATCH($B17&amp;"-"&amp;AB$7,SUP!$B$54:$Q$54,0),FALSE),"")),"")</f>
        <v>100.07852866986421</v>
      </c>
      <c r="AC17" s="441" t="str">
        <f ca="1">IFERROR(1*IF(IFERROR(VLOOKUP($C17,SUP!$B$54:$Q$104,MATCH($B17&amp;"-"&amp;AC$7,SUP!$B$54:$Q$54,0),FALSE),"")="","",IFERROR(VLOOKUP($C17,SUP!$B$54:$Q$104,MATCH($B17&amp;"-"&amp;AC$7,SUP!$B$54:$Q$54,0),FALSE),"")),"")</f>
        <v/>
      </c>
      <c r="AD17" s="441" t="str">
        <f ca="1">IFERROR(1*IF(IFERROR(VLOOKUP($C17,SUP!$B$54:$Q$104,MATCH($B17&amp;"-"&amp;AD$7,SUP!$B$54:$Q$54,0),FALSE),"")="","",IFERROR(VLOOKUP($C17,SUP!$B$54:$Q$104,MATCH($B17&amp;"-"&amp;AD$7,SUP!$B$54:$Q$54,0),FALSE),"")),"")</f>
        <v/>
      </c>
      <c r="AE17" s="441" t="str">
        <f ca="1">IFERROR(1*IF(IFERROR(VLOOKUP($C17,SUP!$B$54:$Q$104,MATCH($B17&amp;"-"&amp;AE$7,SUP!$B$54:$Q$54,0),FALSE),"")="","",IFERROR(VLOOKUP($C17,SUP!$B$54:$Q$104,MATCH($B17&amp;"-"&amp;AE$7,SUP!$B$54:$Q$54,0),FALSE),"")),"")</f>
        <v/>
      </c>
      <c r="AF17" s="441" t="str">
        <f ca="1">IFERROR(1*IF(IFERROR(VLOOKUP($C17,SUP!$B$54:$Q$104,MATCH($B17&amp;"-"&amp;AF$7,SUP!$B$54:$Q$54,0),FALSE),"")="","",IFERROR(VLOOKUP($C17,SUP!$B$54:$Q$104,MATCH($B17&amp;"-"&amp;AF$7,SUP!$B$54:$Q$54,0),FALSE),"")),"")</f>
        <v/>
      </c>
      <c r="AG17" s="441" t="str">
        <f ca="1">IFERROR(1*IF(IFERROR(VLOOKUP($C17,SUP!$B$54:$Q$104,MATCH($B17&amp;"-"&amp;AG$7,SUP!$B$54:$Q$54,0),FALSE),"")="","",IFERROR(VLOOKUP($C17,SUP!$B$54:$Q$104,MATCH($B17&amp;"-"&amp;AG$7,SUP!$B$54:$Q$54,0),FALSE),"")),"")</f>
        <v/>
      </c>
      <c r="AH17" s="441" t="str">
        <f ca="1">IFERROR(1*IF(IFERROR(VLOOKUP($C17,SUP!$B$54:$Q$104,MATCH($B17&amp;"-"&amp;AH$7,SUP!$B$54:$Q$54,0),FALSE),"")="","",IFERROR(VLOOKUP($C17,SUP!$B$54:$Q$104,MATCH($B17&amp;"-"&amp;AH$7,SUP!$B$54:$Q$54,0),FALSE),"")),"")</f>
        <v/>
      </c>
      <c r="AI17" s="441" t="str">
        <f ca="1">IFERROR(1*IF(IFERROR(VLOOKUP($C17,SUP!$B$54:$Q$104,MATCH($B17&amp;"-"&amp;AI$7,SUP!$B$54:$Q$54,0),FALSE),"")="","",IFERROR(VLOOKUP($C17,SUP!$B$54:$Q$104,MATCH($B17&amp;"-"&amp;AI$7,SUP!$B$54:$Q$54,0),FALSE),"")),"")</f>
        <v/>
      </c>
      <c r="AJ17" s="441" t="str">
        <f ca="1">IFERROR(1*IF(IFERROR(VLOOKUP($C17,SUP!$B$54:$Q$104,MATCH($B17&amp;"-"&amp;AJ$7,SUP!$B$54:$Q$54,0),FALSE),"")="","",IFERROR(VLOOKUP($C17,SUP!$B$54:$Q$104,MATCH($B17&amp;"-"&amp;AJ$7,SUP!$B$54:$Q$54,0),FALSE),"")),"")</f>
        <v/>
      </c>
      <c r="AK17" s="441" t="str">
        <f ca="1">IFERROR(1*IF(IFERROR(VLOOKUP($C17,SUP!$B$54:$Q$104,MATCH($B17&amp;"-"&amp;AK$7,SUP!$B$54:$Q$54,0),FALSE),"")="","",IFERROR(VLOOKUP($C17,SUP!$B$54:$Q$104,MATCH($B17&amp;"-"&amp;AK$7,SUP!$B$54:$Q$54,0),FALSE),"")),"")</f>
        <v/>
      </c>
      <c r="AL17" s="441" t="str">
        <f ca="1">IFERROR(1*IF(IFERROR(VLOOKUP($C17,SUP!$B$54:$Q$104,MATCH($B17&amp;"-"&amp;AL$7,SUP!$B$54:$Q$54,0),FALSE),"")="","",IFERROR(VLOOKUP($C17,SUP!$B$54:$Q$104,MATCH($B17&amp;"-"&amp;AL$7,SUP!$B$54:$Q$54,0),FALSE),"")),"")</f>
        <v/>
      </c>
      <c r="AM17" s="441" t="str">
        <f ca="1">IFERROR(1*IF(IFERROR(VLOOKUP($C17,SUP!$B$54:$Q$104,MATCH($B17&amp;"-"&amp;AM$7,SUP!$B$54:$Q$54,0),FALSE),"")="","",IFERROR(VLOOKUP($C17,SUP!$B$54:$Q$104,MATCH($B17&amp;"-"&amp;AM$7,SUP!$B$54:$Q$54,0),FALSE),"")),"")</f>
        <v/>
      </c>
      <c r="AN17" s="441">
        <f ca="1">IFERROR(1*IF(IFERROR(VLOOKUP($C17,SUP!$B$54:$Q$104,MATCH($B17&amp;"-"&amp;AN$7,SUP!$B$54:$Q$54,0),FALSE),"")="","",IFERROR(VLOOKUP($C17,SUP!$B$54:$Q$104,MATCH($B17&amp;"-"&amp;AN$7,SUP!$B$54:$Q$54,0),FALSE),"")),"")</f>
        <v>100.07852866986421</v>
      </c>
      <c r="AO17" s="441" t="str">
        <f ca="1">IFERROR(1*IF(IFERROR(VLOOKUP($C17,SUP!$B$54:$Q$104,MATCH($B17&amp;"-"&amp;AO$7,SUP!$B$54:$Q$54,0),FALSE),"")="","",IFERROR(VLOOKUP($C17,SUP!$B$54:$Q$104,MATCH($B17&amp;"-"&amp;AO$7,SUP!$B$54:$Q$54,0),FALSE),"")),"")</f>
        <v/>
      </c>
      <c r="AR17" s="42">
        <f>IF(AS16=SUP!$B$104,AR16+1,AR16)</f>
        <v>1</v>
      </c>
      <c r="AS17" s="42">
        <f t="shared" si="4"/>
        <v>5</v>
      </c>
    </row>
    <row r="18" spans="1:45">
      <c r="A18" s="42" t="str">
        <f ca="1">IF(LEFT(OFFSET(SUP!$A$57,AS18,0),2)="\I","*","")</f>
        <v/>
      </c>
      <c r="B18" s="440" t="str">
        <f t="shared" ca="1" si="1"/>
        <v>ACT_COST</v>
      </c>
      <c r="C18" s="440" t="str">
        <f ca="1">IF($A18="*","",OFFSET(SUP!$B$57,AS18,0))</f>
        <v>MINGIB</v>
      </c>
      <c r="D18" s="440" t="str">
        <f t="shared" ca="1" si="2"/>
        <v>-</v>
      </c>
      <c r="E18" s="440" t="str">
        <f t="shared" ca="1" si="2"/>
        <v>-</v>
      </c>
      <c r="F18" s="440" t="str">
        <f t="shared" ca="1" si="2"/>
        <v>-</v>
      </c>
      <c r="G18" s="440" t="str">
        <f t="shared" ca="1" si="2"/>
        <v>-</v>
      </c>
      <c r="H18" s="440" t="str">
        <f t="shared" ca="1" si="3"/>
        <v>-</v>
      </c>
      <c r="I18" s="441">
        <f ca="1">IF(IFERROR(VLOOKUP($C18,SUP!$B$54:$Q$104,MATCH($B18&amp;"-"&amp;I$7,SUP!$B$54:$Q$54,0),FALSE),"")="","",IFERROR(VLOOKUP($C18,SUP!$B$54:$Q$104,MATCH($B18&amp;"-"&amp;I$7,SUP!$B$54:$Q$54,0),FALSE),""))</f>
        <v>0</v>
      </c>
      <c r="J18" s="441">
        <f ca="1">IFERROR(1*IF(IFERROR(VLOOKUP($C18,SUP!$B$54:$Q$104,MATCH($B18&amp;"-"&amp;J$7,SUP!$B$54:$Q$54,0),FALSE),"")="","",IFERROR(VLOOKUP($C18,SUP!$B$54:$Q$104,MATCH($B18&amp;"-"&amp;J$7,SUP!$B$54:$Q$54,0),FALSE),"")),"")</f>
        <v>84.132985722376887</v>
      </c>
      <c r="K18" s="441" t="str">
        <f ca="1">IFERROR(1*IF(IFERROR(VLOOKUP($C18,SUP!$B$54:$Q$104,MATCH($B18&amp;"-"&amp;K$7,SUP!$B$54:$Q$54,0),FALSE),"")="","",IFERROR(VLOOKUP($C18,SUP!$B$54:$Q$104,MATCH($B18&amp;"-"&amp;K$7,SUP!$B$54:$Q$54,0),FALSE),"")),"")</f>
        <v/>
      </c>
      <c r="L18" s="441" t="str">
        <f ca="1">IFERROR(1*IF(IFERROR(VLOOKUP($C18,SUP!$B$54:$Q$104,MATCH($B18&amp;"-"&amp;L$7,SUP!$B$54:$Q$54,0),FALSE),"")="","",IFERROR(VLOOKUP($C18,SUP!$B$54:$Q$104,MATCH($B18&amp;"-"&amp;L$7,SUP!$B$54:$Q$54,0),FALSE),"")),"")</f>
        <v/>
      </c>
      <c r="M18" s="441">
        <f ca="1">IFERROR(1*IF(IFERROR(VLOOKUP($C18,SUP!$B$54:$Q$104,MATCH($B18&amp;"-"&amp;M$7,SUP!$B$54:$Q$54,0),FALSE),"")="","",IFERROR(VLOOKUP($C18,SUP!$B$54:$Q$104,MATCH($B18&amp;"-"&amp;M$7,SUP!$B$54:$Q$54,0),FALSE),"")),"")</f>
        <v>60.21467130114587</v>
      </c>
      <c r="N18" s="441" t="str">
        <f ca="1">IFERROR(1*IF(IFERROR(VLOOKUP($C18,SUP!$B$54:$Q$104,MATCH($B18&amp;"-"&amp;N$7,SUP!$B$54:$Q$54,0),FALSE),"")="","",IFERROR(VLOOKUP($C18,SUP!$B$54:$Q$104,MATCH($B18&amp;"-"&amp;N$7,SUP!$B$54:$Q$54,0),FALSE),"")),"")</f>
        <v/>
      </c>
      <c r="O18" s="441" t="str">
        <f ca="1">IFERROR(1*IF(IFERROR(VLOOKUP($C18,SUP!$B$54:$Q$104,MATCH($B18&amp;"-"&amp;O$7,SUP!$B$54:$Q$54,0),FALSE),"")="","",IFERROR(VLOOKUP($C18,SUP!$B$54:$Q$104,MATCH($B18&amp;"-"&amp;O$7,SUP!$B$54:$Q$54,0),FALSE),"")),"")</f>
        <v/>
      </c>
      <c r="P18" s="441" t="str">
        <f ca="1">IFERROR(1*IF(IFERROR(VLOOKUP($C18,SUP!$B$54:$Q$104,MATCH($B18&amp;"-"&amp;P$7,SUP!$B$54:$Q$54,0),FALSE),"")="","",IFERROR(VLOOKUP($C18,SUP!$B$54:$Q$104,MATCH($B18&amp;"-"&amp;P$7,SUP!$B$54:$Q$54,0),FALSE),"")),"")</f>
        <v/>
      </c>
      <c r="Q18" s="441" t="str">
        <f ca="1">IFERROR(1*IF(IFERROR(VLOOKUP($C18,SUP!$B$54:$Q$104,MATCH($B18&amp;"-"&amp;Q$7,SUP!$B$54:$Q$54,0),FALSE),"")="","",IFERROR(VLOOKUP($C18,SUP!$B$54:$Q$104,MATCH($B18&amp;"-"&amp;Q$7,SUP!$B$54:$Q$54,0),FALSE),"")),"")</f>
        <v/>
      </c>
      <c r="R18" s="441">
        <f ca="1">IFERROR(1*IF(IFERROR(VLOOKUP($C18,SUP!$B$54:$Q$104,MATCH($B18&amp;"-"&amp;R$7,SUP!$B$54:$Q$54,0),FALSE),"")="","",IFERROR(VLOOKUP($C18,SUP!$B$54:$Q$104,MATCH($B18&amp;"-"&amp;R$7,SUP!$B$54:$Q$54,0),FALSE),"")),"")</f>
        <v>68.479430107185507</v>
      </c>
      <c r="S18" s="441" t="str">
        <f ca="1">IFERROR(1*IF(IFERROR(VLOOKUP($C18,SUP!$B$54:$Q$104,MATCH($B18&amp;"-"&amp;S$7,SUP!$B$54:$Q$54,0),FALSE),"")="","",IFERROR(VLOOKUP($C18,SUP!$B$54:$Q$104,MATCH($B18&amp;"-"&amp;S$7,SUP!$B$54:$Q$54,0),FALSE),"")),"")</f>
        <v/>
      </c>
      <c r="T18" s="441" t="str">
        <f ca="1">IFERROR(1*IF(IFERROR(VLOOKUP($C18,SUP!$B$54:$Q$104,MATCH($B18&amp;"-"&amp;T$7,SUP!$B$54:$Q$54,0),FALSE),"")="","",IFERROR(VLOOKUP($C18,SUP!$B$54:$Q$104,MATCH($B18&amp;"-"&amp;T$7,SUP!$B$54:$Q$54,0),FALSE),"")),"")</f>
        <v/>
      </c>
      <c r="U18" s="441" t="str">
        <f ca="1">IFERROR(1*IF(IFERROR(VLOOKUP($C18,SUP!$B$54:$Q$104,MATCH($B18&amp;"-"&amp;U$7,SUP!$B$54:$Q$54,0),FALSE),"")="","",IFERROR(VLOOKUP($C18,SUP!$B$54:$Q$104,MATCH($B18&amp;"-"&amp;U$7,SUP!$B$54:$Q$54,0),FALSE),"")),"")</f>
        <v/>
      </c>
      <c r="V18" s="441" t="str">
        <f ca="1">IFERROR(1*IF(IFERROR(VLOOKUP($C18,SUP!$B$54:$Q$104,MATCH($B18&amp;"-"&amp;V$7,SUP!$B$54:$Q$54,0),FALSE),"")="","",IFERROR(VLOOKUP($C18,SUP!$B$54:$Q$104,MATCH($B18&amp;"-"&amp;V$7,SUP!$B$54:$Q$54,0),FALSE),"")),"")</f>
        <v/>
      </c>
      <c r="W18" s="441" t="str">
        <f ca="1">IFERROR(1*IF(IFERROR(VLOOKUP($C18,SUP!$B$54:$Q$104,MATCH($B18&amp;"-"&amp;W$7,SUP!$B$54:$Q$54,0),FALSE),"")="","",IFERROR(VLOOKUP($C18,SUP!$B$54:$Q$104,MATCH($B18&amp;"-"&amp;W$7,SUP!$B$54:$Q$54,0),FALSE),"")),"")</f>
        <v/>
      </c>
      <c r="X18" s="441" t="str">
        <f ca="1">IFERROR(1*IF(IFERROR(VLOOKUP($C18,SUP!$B$54:$Q$104,MATCH($B18&amp;"-"&amp;X$7,SUP!$B$54:$Q$54,0),FALSE),"")="","",IFERROR(VLOOKUP($C18,SUP!$B$54:$Q$104,MATCH($B18&amp;"-"&amp;X$7,SUP!$B$54:$Q$54,0),FALSE),"")),"")</f>
        <v/>
      </c>
      <c r="Y18" s="441" t="str">
        <f ca="1">IFERROR(1*IF(IFERROR(VLOOKUP($C18,SUP!$B$54:$Q$104,MATCH($B18&amp;"-"&amp;Y$7,SUP!$B$54:$Q$54,0),FALSE),"")="","",IFERROR(VLOOKUP($C18,SUP!$B$54:$Q$104,MATCH($B18&amp;"-"&amp;Y$7,SUP!$B$54:$Q$54,0),FALSE),"")),"")</f>
        <v/>
      </c>
      <c r="Z18" s="441" t="str">
        <f ca="1">IFERROR(1*IF(IFERROR(VLOOKUP($C18,SUP!$B$54:$Q$104,MATCH($B18&amp;"-"&amp;Z$7,SUP!$B$54:$Q$54,0),FALSE),"")="","",IFERROR(VLOOKUP($C18,SUP!$B$54:$Q$104,MATCH($B18&amp;"-"&amp;Z$7,SUP!$B$54:$Q$54,0),FALSE),"")),"")</f>
        <v/>
      </c>
      <c r="AA18" s="441" t="str">
        <f ca="1">IFERROR(1*IF(IFERROR(VLOOKUP($C18,SUP!$B$54:$Q$104,MATCH($B18&amp;"-"&amp;AA$7,SUP!$B$54:$Q$54,0),FALSE),"")="","",IFERROR(VLOOKUP($C18,SUP!$B$54:$Q$104,MATCH($B18&amp;"-"&amp;AA$7,SUP!$B$54:$Q$54,0),FALSE),"")),"")</f>
        <v/>
      </c>
      <c r="AB18" s="441">
        <f ca="1">IFERROR(1*IF(IFERROR(VLOOKUP($C18,SUP!$B$54:$Q$104,MATCH($B18&amp;"-"&amp;AB$7,SUP!$B$54:$Q$54,0),FALSE),"")="","",IFERROR(VLOOKUP($C18,SUP!$B$54:$Q$104,MATCH($B18&amp;"-"&amp;AB$7,SUP!$B$54:$Q$54,0),FALSE),"")),"")</f>
        <v>65.72451050517229</v>
      </c>
      <c r="AC18" s="441" t="str">
        <f ca="1">IFERROR(1*IF(IFERROR(VLOOKUP($C18,SUP!$B$54:$Q$104,MATCH($B18&amp;"-"&amp;AC$7,SUP!$B$54:$Q$54,0),FALSE),"")="","",IFERROR(VLOOKUP($C18,SUP!$B$54:$Q$104,MATCH($B18&amp;"-"&amp;AC$7,SUP!$B$54:$Q$54,0),FALSE),"")),"")</f>
        <v/>
      </c>
      <c r="AD18" s="441" t="str">
        <f ca="1">IFERROR(1*IF(IFERROR(VLOOKUP($C18,SUP!$B$54:$Q$104,MATCH($B18&amp;"-"&amp;AD$7,SUP!$B$54:$Q$54,0),FALSE),"")="","",IFERROR(VLOOKUP($C18,SUP!$B$54:$Q$104,MATCH($B18&amp;"-"&amp;AD$7,SUP!$B$54:$Q$54,0),FALSE),"")),"")</f>
        <v/>
      </c>
      <c r="AE18" s="441" t="str">
        <f ca="1">IFERROR(1*IF(IFERROR(VLOOKUP($C18,SUP!$B$54:$Q$104,MATCH($B18&amp;"-"&amp;AE$7,SUP!$B$54:$Q$54,0),FALSE),"")="","",IFERROR(VLOOKUP($C18,SUP!$B$54:$Q$104,MATCH($B18&amp;"-"&amp;AE$7,SUP!$B$54:$Q$54,0),FALSE),"")),"")</f>
        <v/>
      </c>
      <c r="AF18" s="441" t="str">
        <f ca="1">IFERROR(1*IF(IFERROR(VLOOKUP($C18,SUP!$B$54:$Q$104,MATCH($B18&amp;"-"&amp;AF$7,SUP!$B$54:$Q$54,0),FALSE),"")="","",IFERROR(VLOOKUP($C18,SUP!$B$54:$Q$104,MATCH($B18&amp;"-"&amp;AF$7,SUP!$B$54:$Q$54,0),FALSE),"")),"")</f>
        <v/>
      </c>
      <c r="AG18" s="441" t="str">
        <f ca="1">IFERROR(1*IF(IFERROR(VLOOKUP($C18,SUP!$B$54:$Q$104,MATCH($B18&amp;"-"&amp;AG$7,SUP!$B$54:$Q$54,0),FALSE),"")="","",IFERROR(VLOOKUP($C18,SUP!$B$54:$Q$104,MATCH($B18&amp;"-"&amp;AG$7,SUP!$B$54:$Q$54,0),FALSE),"")),"")</f>
        <v/>
      </c>
      <c r="AH18" s="441" t="str">
        <f ca="1">IFERROR(1*IF(IFERROR(VLOOKUP($C18,SUP!$B$54:$Q$104,MATCH($B18&amp;"-"&amp;AH$7,SUP!$B$54:$Q$54,0),FALSE),"")="","",IFERROR(VLOOKUP($C18,SUP!$B$54:$Q$104,MATCH($B18&amp;"-"&amp;AH$7,SUP!$B$54:$Q$54,0),FALSE),"")),"")</f>
        <v/>
      </c>
      <c r="AI18" s="441" t="str">
        <f ca="1">IFERROR(1*IF(IFERROR(VLOOKUP($C18,SUP!$B$54:$Q$104,MATCH($B18&amp;"-"&amp;AI$7,SUP!$B$54:$Q$54,0),FALSE),"")="","",IFERROR(VLOOKUP($C18,SUP!$B$54:$Q$104,MATCH($B18&amp;"-"&amp;AI$7,SUP!$B$54:$Q$54,0),FALSE),"")),"")</f>
        <v/>
      </c>
      <c r="AJ18" s="441" t="str">
        <f ca="1">IFERROR(1*IF(IFERROR(VLOOKUP($C18,SUP!$B$54:$Q$104,MATCH($B18&amp;"-"&amp;AJ$7,SUP!$B$54:$Q$54,0),FALSE),"")="","",IFERROR(VLOOKUP($C18,SUP!$B$54:$Q$104,MATCH($B18&amp;"-"&amp;AJ$7,SUP!$B$54:$Q$54,0),FALSE),"")),"")</f>
        <v/>
      </c>
      <c r="AK18" s="441" t="str">
        <f ca="1">IFERROR(1*IF(IFERROR(VLOOKUP($C18,SUP!$B$54:$Q$104,MATCH($B18&amp;"-"&amp;AK$7,SUP!$B$54:$Q$54,0),FALSE),"")="","",IFERROR(VLOOKUP($C18,SUP!$B$54:$Q$104,MATCH($B18&amp;"-"&amp;AK$7,SUP!$B$54:$Q$54,0),FALSE),"")),"")</f>
        <v/>
      </c>
      <c r="AL18" s="441" t="str">
        <f ca="1">IFERROR(1*IF(IFERROR(VLOOKUP($C18,SUP!$B$54:$Q$104,MATCH($B18&amp;"-"&amp;AL$7,SUP!$B$54:$Q$54,0),FALSE),"")="","",IFERROR(VLOOKUP($C18,SUP!$B$54:$Q$104,MATCH($B18&amp;"-"&amp;AL$7,SUP!$B$54:$Q$54,0),FALSE),"")),"")</f>
        <v/>
      </c>
      <c r="AM18" s="441" t="str">
        <f ca="1">IFERROR(1*IF(IFERROR(VLOOKUP($C18,SUP!$B$54:$Q$104,MATCH($B18&amp;"-"&amp;AM$7,SUP!$B$54:$Q$54,0),FALSE),"")="","",IFERROR(VLOOKUP($C18,SUP!$B$54:$Q$104,MATCH($B18&amp;"-"&amp;AM$7,SUP!$B$54:$Q$54,0),FALSE),"")),"")</f>
        <v/>
      </c>
      <c r="AN18" s="441">
        <f ca="1">IFERROR(1*IF(IFERROR(VLOOKUP($C18,SUP!$B$54:$Q$104,MATCH($B18&amp;"-"&amp;AN$7,SUP!$B$54:$Q$54,0),FALSE),"")="","",IFERROR(VLOOKUP($C18,SUP!$B$54:$Q$104,MATCH($B18&amp;"-"&amp;AN$7,SUP!$B$54:$Q$54,0),FALSE),"")),"")</f>
        <v>59.427551414856381</v>
      </c>
      <c r="AO18" s="441" t="str">
        <f ca="1">IFERROR(1*IF(IFERROR(VLOOKUP($C18,SUP!$B$54:$Q$104,MATCH($B18&amp;"-"&amp;AO$7,SUP!$B$54:$Q$54,0),FALSE),"")="","",IFERROR(VLOOKUP($C18,SUP!$B$54:$Q$104,MATCH($B18&amp;"-"&amp;AO$7,SUP!$B$54:$Q$54,0),FALSE),"")),"")</f>
        <v/>
      </c>
      <c r="AR18" s="42">
        <f>IF(AS17=SUP!$B$104,AR17+1,AR17)</f>
        <v>1</v>
      </c>
      <c r="AS18" s="42">
        <f t="shared" si="4"/>
        <v>6</v>
      </c>
    </row>
    <row r="19" spans="1:45">
      <c r="A19" s="42" t="str">
        <f ca="1">IF(LEFT(OFFSET(SUP!$A$57,AS19,0),2)="\I","*","")</f>
        <v/>
      </c>
      <c r="B19" s="440" t="str">
        <f t="shared" ca="1" si="1"/>
        <v>ACT_COST</v>
      </c>
      <c r="C19" s="440" t="str">
        <f ca="1">IF($A19="*","",OFFSET(SUP!$B$57,AS19,0))</f>
        <v>MINGAS</v>
      </c>
      <c r="D19" s="440" t="str">
        <f t="shared" ca="1" si="2"/>
        <v>-</v>
      </c>
      <c r="E19" s="440" t="str">
        <f t="shared" ca="1" si="2"/>
        <v>-</v>
      </c>
      <c r="F19" s="440" t="str">
        <f t="shared" ca="1" si="2"/>
        <v>-</v>
      </c>
      <c r="G19" s="440" t="str">
        <f t="shared" ca="1" si="2"/>
        <v>-</v>
      </c>
      <c r="H19" s="440" t="str">
        <f t="shared" ca="1" si="3"/>
        <v>-</v>
      </c>
      <c r="I19" s="441">
        <f ca="1">IF(IFERROR(VLOOKUP($C19,SUP!$B$54:$Q$104,MATCH($B19&amp;"-"&amp;I$7,SUP!$B$54:$Q$54,0),FALSE),"")="","",IFERROR(VLOOKUP($C19,SUP!$B$54:$Q$104,MATCH($B19&amp;"-"&amp;I$7,SUP!$B$54:$Q$54,0),FALSE),""))</f>
        <v>0</v>
      </c>
      <c r="J19" s="441">
        <f ca="1">IFERROR(1*IF(IFERROR(VLOOKUP($C19,SUP!$B$54:$Q$104,MATCH($B19&amp;"-"&amp;J$7,SUP!$B$54:$Q$54,0),FALSE),"")="","",IFERROR(VLOOKUP($C19,SUP!$B$54:$Q$104,MATCH($B19&amp;"-"&amp;J$7,SUP!$B$54:$Q$54,0),FALSE),"")),"")</f>
        <v>76.085212227086132</v>
      </c>
      <c r="K19" s="441" t="str">
        <f ca="1">IFERROR(1*IF(IFERROR(VLOOKUP($C19,SUP!$B$54:$Q$104,MATCH($B19&amp;"-"&amp;K$7,SUP!$B$54:$Q$54,0),FALSE),"")="","",IFERROR(VLOOKUP($C19,SUP!$B$54:$Q$104,MATCH($B19&amp;"-"&amp;K$7,SUP!$B$54:$Q$54,0),FALSE),"")),"")</f>
        <v/>
      </c>
      <c r="L19" s="441" t="str">
        <f ca="1">IFERROR(1*IF(IFERROR(VLOOKUP($C19,SUP!$B$54:$Q$104,MATCH($B19&amp;"-"&amp;L$7,SUP!$B$54:$Q$54,0),FALSE),"")="","",IFERROR(VLOOKUP($C19,SUP!$B$54:$Q$104,MATCH($B19&amp;"-"&amp;L$7,SUP!$B$54:$Q$54,0),FALSE),"")),"")</f>
        <v/>
      </c>
      <c r="M19" s="441">
        <f ca="1">IFERROR(1*IF(IFERROR(VLOOKUP($C19,SUP!$B$54:$Q$104,MATCH($B19&amp;"-"&amp;M$7,SUP!$B$54:$Q$54,0),FALSE),"")="","",IFERROR(VLOOKUP($C19,SUP!$B$54:$Q$104,MATCH($B19&amp;"-"&amp;M$7,SUP!$B$54:$Q$54,0),FALSE),"")),"")</f>
        <v>54.454813481240663</v>
      </c>
      <c r="N19" s="441" t="str">
        <f ca="1">IFERROR(1*IF(IFERROR(VLOOKUP($C19,SUP!$B$54:$Q$104,MATCH($B19&amp;"-"&amp;N$7,SUP!$B$54:$Q$54,0),FALSE),"")="","",IFERROR(VLOOKUP($C19,SUP!$B$54:$Q$104,MATCH($B19&amp;"-"&amp;N$7,SUP!$B$54:$Q$54,0),FALSE),"")),"")</f>
        <v/>
      </c>
      <c r="O19" s="441" t="str">
        <f ca="1">IFERROR(1*IF(IFERROR(VLOOKUP($C19,SUP!$B$54:$Q$104,MATCH($B19&amp;"-"&amp;O$7,SUP!$B$54:$Q$54,0),FALSE),"")="","",IFERROR(VLOOKUP($C19,SUP!$B$54:$Q$104,MATCH($B19&amp;"-"&amp;O$7,SUP!$B$54:$Q$54,0),FALSE),"")),"")</f>
        <v/>
      </c>
      <c r="P19" s="441" t="str">
        <f ca="1">IFERROR(1*IF(IFERROR(VLOOKUP($C19,SUP!$B$54:$Q$104,MATCH($B19&amp;"-"&amp;P$7,SUP!$B$54:$Q$54,0),FALSE),"")="","",IFERROR(VLOOKUP($C19,SUP!$B$54:$Q$104,MATCH($B19&amp;"-"&amp;P$7,SUP!$B$54:$Q$54,0),FALSE),"")),"")</f>
        <v/>
      </c>
      <c r="Q19" s="441" t="str">
        <f ca="1">IFERROR(1*IF(IFERROR(VLOOKUP($C19,SUP!$B$54:$Q$104,MATCH($B19&amp;"-"&amp;Q$7,SUP!$B$54:$Q$54,0),FALSE),"")="","",IFERROR(VLOOKUP($C19,SUP!$B$54:$Q$104,MATCH($B19&amp;"-"&amp;Q$7,SUP!$B$54:$Q$54,0),FALSE),"")),"")</f>
        <v/>
      </c>
      <c r="R19" s="441">
        <f ca="1">IFERROR(1*IF(IFERROR(VLOOKUP($C19,SUP!$B$54:$Q$104,MATCH($B19&amp;"-"&amp;R$7,SUP!$B$54:$Q$54,0),FALSE),"")="","",IFERROR(VLOOKUP($C19,SUP!$B$54:$Q$104,MATCH($B19&amp;"-"&amp;R$7,SUP!$B$54:$Q$54,0),FALSE),"")),"")</f>
        <v>54.454813481240663</v>
      </c>
      <c r="S19" s="441" t="str">
        <f ca="1">IFERROR(1*IF(IFERROR(VLOOKUP($C19,SUP!$B$54:$Q$104,MATCH($B19&amp;"-"&amp;S$7,SUP!$B$54:$Q$54,0),FALSE),"")="","",IFERROR(VLOOKUP($C19,SUP!$B$54:$Q$104,MATCH($B19&amp;"-"&amp;S$7,SUP!$B$54:$Q$54,0),FALSE),"")),"")</f>
        <v/>
      </c>
      <c r="T19" s="441" t="str">
        <f ca="1">IFERROR(1*IF(IFERROR(VLOOKUP($C19,SUP!$B$54:$Q$104,MATCH($B19&amp;"-"&amp;T$7,SUP!$B$54:$Q$54,0),FALSE),"")="","",IFERROR(VLOOKUP($C19,SUP!$B$54:$Q$104,MATCH($B19&amp;"-"&amp;T$7,SUP!$B$54:$Q$54,0),FALSE),"")),"")</f>
        <v/>
      </c>
      <c r="U19" s="441" t="str">
        <f ca="1">IFERROR(1*IF(IFERROR(VLOOKUP($C19,SUP!$B$54:$Q$104,MATCH($B19&amp;"-"&amp;U$7,SUP!$B$54:$Q$54,0),FALSE),"")="","",IFERROR(VLOOKUP($C19,SUP!$B$54:$Q$104,MATCH($B19&amp;"-"&amp;U$7,SUP!$B$54:$Q$54,0),FALSE),"")),"")</f>
        <v/>
      </c>
      <c r="V19" s="441" t="str">
        <f ca="1">IFERROR(1*IF(IFERROR(VLOOKUP($C19,SUP!$B$54:$Q$104,MATCH($B19&amp;"-"&amp;V$7,SUP!$B$54:$Q$54,0),FALSE),"")="","",IFERROR(VLOOKUP($C19,SUP!$B$54:$Q$104,MATCH($B19&amp;"-"&amp;V$7,SUP!$B$54:$Q$54,0),FALSE),"")),"")</f>
        <v/>
      </c>
      <c r="W19" s="441" t="str">
        <f ca="1">IFERROR(1*IF(IFERROR(VLOOKUP($C19,SUP!$B$54:$Q$104,MATCH($B19&amp;"-"&amp;W$7,SUP!$B$54:$Q$54,0),FALSE),"")="","",IFERROR(VLOOKUP($C19,SUP!$B$54:$Q$104,MATCH($B19&amp;"-"&amp;W$7,SUP!$B$54:$Q$54,0),FALSE),"")),"")</f>
        <v/>
      </c>
      <c r="X19" s="441" t="str">
        <f ca="1">IFERROR(1*IF(IFERROR(VLOOKUP($C19,SUP!$B$54:$Q$104,MATCH($B19&amp;"-"&amp;X$7,SUP!$B$54:$Q$54,0),FALSE),"")="","",IFERROR(VLOOKUP($C19,SUP!$B$54:$Q$104,MATCH($B19&amp;"-"&amp;X$7,SUP!$B$54:$Q$54,0),FALSE),"")),"")</f>
        <v/>
      </c>
      <c r="Y19" s="441" t="str">
        <f ca="1">IFERROR(1*IF(IFERROR(VLOOKUP($C19,SUP!$B$54:$Q$104,MATCH($B19&amp;"-"&amp;Y$7,SUP!$B$54:$Q$54,0),FALSE),"")="","",IFERROR(VLOOKUP($C19,SUP!$B$54:$Q$104,MATCH($B19&amp;"-"&amp;Y$7,SUP!$B$54:$Q$54,0),FALSE),"")),"")</f>
        <v/>
      </c>
      <c r="Z19" s="441" t="str">
        <f ca="1">IFERROR(1*IF(IFERROR(VLOOKUP($C19,SUP!$B$54:$Q$104,MATCH($B19&amp;"-"&amp;Z$7,SUP!$B$54:$Q$54,0),FALSE),"")="","",IFERROR(VLOOKUP($C19,SUP!$B$54:$Q$104,MATCH($B19&amp;"-"&amp;Z$7,SUP!$B$54:$Q$54,0),FALSE),"")),"")</f>
        <v/>
      </c>
      <c r="AA19" s="441" t="str">
        <f ca="1">IFERROR(1*IF(IFERROR(VLOOKUP($C19,SUP!$B$54:$Q$104,MATCH($B19&amp;"-"&amp;AA$7,SUP!$B$54:$Q$54,0),FALSE),"")="","",IFERROR(VLOOKUP($C19,SUP!$B$54:$Q$104,MATCH($B19&amp;"-"&amp;AA$7,SUP!$B$54:$Q$54,0),FALSE),"")),"")</f>
        <v/>
      </c>
      <c r="AB19" s="441">
        <f ca="1">IFERROR(1*IF(IFERROR(VLOOKUP($C19,SUP!$B$54:$Q$104,MATCH($B19&amp;"-"&amp;AB$7,SUP!$B$54:$Q$54,0),FALSE),"")="","",IFERROR(VLOOKUP($C19,SUP!$B$54:$Q$104,MATCH($B19&amp;"-"&amp;AB$7,SUP!$B$54:$Q$54,0),FALSE),"")),"")</f>
        <v>54.454813481240663</v>
      </c>
      <c r="AC19" s="441" t="str">
        <f ca="1">IFERROR(1*IF(IFERROR(VLOOKUP($C19,SUP!$B$54:$Q$104,MATCH($B19&amp;"-"&amp;AC$7,SUP!$B$54:$Q$54,0),FALSE),"")="","",IFERROR(VLOOKUP($C19,SUP!$B$54:$Q$104,MATCH($B19&amp;"-"&amp;AC$7,SUP!$B$54:$Q$54,0),FALSE),"")),"")</f>
        <v/>
      </c>
      <c r="AD19" s="441" t="str">
        <f ca="1">IFERROR(1*IF(IFERROR(VLOOKUP($C19,SUP!$B$54:$Q$104,MATCH($B19&amp;"-"&amp;AD$7,SUP!$B$54:$Q$54,0),FALSE),"")="","",IFERROR(VLOOKUP($C19,SUP!$B$54:$Q$104,MATCH($B19&amp;"-"&amp;AD$7,SUP!$B$54:$Q$54,0),FALSE),"")),"")</f>
        <v/>
      </c>
      <c r="AE19" s="441" t="str">
        <f ca="1">IFERROR(1*IF(IFERROR(VLOOKUP($C19,SUP!$B$54:$Q$104,MATCH($B19&amp;"-"&amp;AE$7,SUP!$B$54:$Q$54,0),FALSE),"")="","",IFERROR(VLOOKUP($C19,SUP!$B$54:$Q$104,MATCH($B19&amp;"-"&amp;AE$7,SUP!$B$54:$Q$54,0),FALSE),"")),"")</f>
        <v/>
      </c>
      <c r="AF19" s="441" t="str">
        <f ca="1">IFERROR(1*IF(IFERROR(VLOOKUP($C19,SUP!$B$54:$Q$104,MATCH($B19&amp;"-"&amp;AF$7,SUP!$B$54:$Q$54,0),FALSE),"")="","",IFERROR(VLOOKUP($C19,SUP!$B$54:$Q$104,MATCH($B19&amp;"-"&amp;AF$7,SUP!$B$54:$Q$54,0),FALSE),"")),"")</f>
        <v/>
      </c>
      <c r="AG19" s="441" t="str">
        <f ca="1">IFERROR(1*IF(IFERROR(VLOOKUP($C19,SUP!$B$54:$Q$104,MATCH($B19&amp;"-"&amp;AG$7,SUP!$B$54:$Q$54,0),FALSE),"")="","",IFERROR(VLOOKUP($C19,SUP!$B$54:$Q$104,MATCH($B19&amp;"-"&amp;AG$7,SUP!$B$54:$Q$54,0),FALSE),"")),"")</f>
        <v/>
      </c>
      <c r="AH19" s="441" t="str">
        <f ca="1">IFERROR(1*IF(IFERROR(VLOOKUP($C19,SUP!$B$54:$Q$104,MATCH($B19&amp;"-"&amp;AH$7,SUP!$B$54:$Q$54,0),FALSE),"")="","",IFERROR(VLOOKUP($C19,SUP!$B$54:$Q$104,MATCH($B19&amp;"-"&amp;AH$7,SUP!$B$54:$Q$54,0),FALSE),"")),"")</f>
        <v/>
      </c>
      <c r="AI19" s="441" t="str">
        <f ca="1">IFERROR(1*IF(IFERROR(VLOOKUP($C19,SUP!$B$54:$Q$104,MATCH($B19&amp;"-"&amp;AI$7,SUP!$B$54:$Q$54,0),FALSE),"")="","",IFERROR(VLOOKUP($C19,SUP!$B$54:$Q$104,MATCH($B19&amp;"-"&amp;AI$7,SUP!$B$54:$Q$54,0),FALSE),"")),"")</f>
        <v/>
      </c>
      <c r="AJ19" s="441" t="str">
        <f ca="1">IFERROR(1*IF(IFERROR(VLOOKUP($C19,SUP!$B$54:$Q$104,MATCH($B19&amp;"-"&amp;AJ$7,SUP!$B$54:$Q$54,0),FALSE),"")="","",IFERROR(VLOOKUP($C19,SUP!$B$54:$Q$104,MATCH($B19&amp;"-"&amp;AJ$7,SUP!$B$54:$Q$54,0),FALSE),"")),"")</f>
        <v/>
      </c>
      <c r="AK19" s="441" t="str">
        <f ca="1">IFERROR(1*IF(IFERROR(VLOOKUP($C19,SUP!$B$54:$Q$104,MATCH($B19&amp;"-"&amp;AK$7,SUP!$B$54:$Q$54,0),FALSE),"")="","",IFERROR(VLOOKUP($C19,SUP!$B$54:$Q$104,MATCH($B19&amp;"-"&amp;AK$7,SUP!$B$54:$Q$54,0),FALSE),"")),"")</f>
        <v/>
      </c>
      <c r="AL19" s="441" t="str">
        <f ca="1">IFERROR(1*IF(IFERROR(VLOOKUP($C19,SUP!$B$54:$Q$104,MATCH($B19&amp;"-"&amp;AL$7,SUP!$B$54:$Q$54,0),FALSE),"")="","",IFERROR(VLOOKUP($C19,SUP!$B$54:$Q$104,MATCH($B19&amp;"-"&amp;AL$7,SUP!$B$54:$Q$54,0),FALSE),"")),"")</f>
        <v/>
      </c>
      <c r="AM19" s="441" t="str">
        <f ca="1">IFERROR(1*IF(IFERROR(VLOOKUP($C19,SUP!$B$54:$Q$104,MATCH($B19&amp;"-"&amp;AM$7,SUP!$B$54:$Q$54,0),FALSE),"")="","",IFERROR(VLOOKUP($C19,SUP!$B$54:$Q$104,MATCH($B19&amp;"-"&amp;AM$7,SUP!$B$54:$Q$54,0),FALSE),"")),"")</f>
        <v/>
      </c>
      <c r="AN19" s="441">
        <f ca="1">IFERROR(1*IF(IFERROR(VLOOKUP($C19,SUP!$B$54:$Q$104,MATCH($B19&amp;"-"&amp;AN$7,SUP!$B$54:$Q$54,0),FALSE),"")="","",IFERROR(VLOOKUP($C19,SUP!$B$54:$Q$104,MATCH($B19&amp;"-"&amp;AN$7,SUP!$B$54:$Q$54,0),FALSE),"")),"")</f>
        <v>54.454813481240663</v>
      </c>
      <c r="AO19" s="441" t="str">
        <f ca="1">IFERROR(1*IF(IFERROR(VLOOKUP($C19,SUP!$B$54:$Q$104,MATCH($B19&amp;"-"&amp;AO$7,SUP!$B$54:$Q$54,0),FALSE),"")="","",IFERROR(VLOOKUP($C19,SUP!$B$54:$Q$104,MATCH($B19&amp;"-"&amp;AO$7,SUP!$B$54:$Q$54,0),FALSE),"")),"")</f>
        <v/>
      </c>
      <c r="AR19" s="42">
        <f>IF(AS18=SUP!$B$104,AR18+1,AR18)</f>
        <v>1</v>
      </c>
      <c r="AS19" s="42">
        <f t="shared" si="4"/>
        <v>7</v>
      </c>
    </row>
    <row r="20" spans="1:45">
      <c r="A20" s="42" t="str">
        <f ca="1">IF(LEFT(OFFSET(SUP!$A$57,AS20,0),2)="\I","*","")</f>
        <v/>
      </c>
      <c r="B20" s="440" t="str">
        <f t="shared" ca="1" si="1"/>
        <v>ACT_COST</v>
      </c>
      <c r="C20" s="440" t="str">
        <f ca="1">IF($A20="*","",OFFSET(SUP!$B$57,AS20,0))</f>
        <v>MINGIH</v>
      </c>
      <c r="D20" s="440" t="str">
        <f t="shared" ca="1" si="2"/>
        <v>-</v>
      </c>
      <c r="E20" s="440" t="str">
        <f t="shared" ca="1" si="2"/>
        <v>-</v>
      </c>
      <c r="F20" s="440" t="str">
        <f t="shared" ca="1" si="2"/>
        <v>-</v>
      </c>
      <c r="G20" s="440" t="str">
        <f t="shared" ca="1" si="2"/>
        <v>-</v>
      </c>
      <c r="H20" s="440" t="str">
        <f t="shared" ca="1" si="3"/>
        <v>-</v>
      </c>
      <c r="I20" s="441">
        <f ca="1">IF(IFERROR(VLOOKUP($C20,SUP!$B$54:$Q$104,MATCH($B20&amp;"-"&amp;I$7,SUP!$B$54:$Q$54,0),FALSE),"")="","",IFERROR(VLOOKUP($C20,SUP!$B$54:$Q$104,MATCH($B20&amp;"-"&amp;I$7,SUP!$B$54:$Q$54,0),FALSE),""))</f>
        <v>0</v>
      </c>
      <c r="J20" s="441">
        <f ca="1">IFERROR(1*IF(IFERROR(VLOOKUP($C20,SUP!$B$54:$Q$104,MATCH($B20&amp;"-"&amp;J$7,SUP!$B$54:$Q$54,0),FALSE),"")="","",IFERROR(VLOOKUP($C20,SUP!$B$54:$Q$104,MATCH($B20&amp;"-"&amp;J$7,SUP!$B$54:$Q$54,0),FALSE),"")),"")</f>
        <v>81.030867652553312</v>
      </c>
      <c r="K20" s="441" t="str">
        <f ca="1">IFERROR(1*IF(IFERROR(VLOOKUP($C20,SUP!$B$54:$Q$104,MATCH($B20&amp;"-"&amp;K$7,SUP!$B$54:$Q$54,0),FALSE),"")="","",IFERROR(VLOOKUP($C20,SUP!$B$54:$Q$104,MATCH($B20&amp;"-"&amp;K$7,SUP!$B$54:$Q$54,0),FALSE),"")),"")</f>
        <v/>
      </c>
      <c r="L20" s="441" t="str">
        <f ca="1">IFERROR(1*IF(IFERROR(VLOOKUP($C20,SUP!$B$54:$Q$104,MATCH($B20&amp;"-"&amp;L$7,SUP!$B$54:$Q$54,0),FALSE),"")="","",IFERROR(VLOOKUP($C20,SUP!$B$54:$Q$104,MATCH($B20&amp;"-"&amp;L$7,SUP!$B$54:$Q$54,0),FALSE),"")),"")</f>
        <v/>
      </c>
      <c r="M20" s="441">
        <f ca="1">IFERROR(1*IF(IFERROR(VLOOKUP($C20,SUP!$B$54:$Q$104,MATCH($B20&amp;"-"&amp;M$7,SUP!$B$54:$Q$54,0),FALSE),"")="","",IFERROR(VLOOKUP($C20,SUP!$B$54:$Q$104,MATCH($B20&amp;"-"&amp;M$7,SUP!$B$54:$Q$54,0),FALSE),"")),"")</f>
        <v>57.994459831079268</v>
      </c>
      <c r="N20" s="441" t="str">
        <f ca="1">IFERROR(1*IF(IFERROR(VLOOKUP($C20,SUP!$B$54:$Q$104,MATCH($B20&amp;"-"&amp;N$7,SUP!$B$54:$Q$54,0),FALSE),"")="","",IFERROR(VLOOKUP($C20,SUP!$B$54:$Q$104,MATCH($B20&amp;"-"&amp;N$7,SUP!$B$54:$Q$54,0),FALSE),"")),"")</f>
        <v/>
      </c>
      <c r="O20" s="441" t="str">
        <f ca="1">IFERROR(1*IF(IFERROR(VLOOKUP($C20,SUP!$B$54:$Q$104,MATCH($B20&amp;"-"&amp;O$7,SUP!$B$54:$Q$54,0),FALSE),"")="","",IFERROR(VLOOKUP($C20,SUP!$B$54:$Q$104,MATCH($B20&amp;"-"&amp;O$7,SUP!$B$54:$Q$54,0),FALSE),"")),"")</f>
        <v/>
      </c>
      <c r="P20" s="441" t="str">
        <f ca="1">IFERROR(1*IF(IFERROR(VLOOKUP($C20,SUP!$B$54:$Q$104,MATCH($B20&amp;"-"&amp;P$7,SUP!$B$54:$Q$54,0),FALSE),"")="","",IFERROR(VLOOKUP($C20,SUP!$B$54:$Q$104,MATCH($B20&amp;"-"&amp;P$7,SUP!$B$54:$Q$54,0),FALSE),"")),"")</f>
        <v/>
      </c>
      <c r="Q20" s="441" t="str">
        <f ca="1">IFERROR(1*IF(IFERROR(VLOOKUP($C20,SUP!$B$54:$Q$104,MATCH($B20&amp;"-"&amp;Q$7,SUP!$B$54:$Q$54,0),FALSE),"")="","",IFERROR(VLOOKUP($C20,SUP!$B$54:$Q$104,MATCH($B20&amp;"-"&amp;Q$7,SUP!$B$54:$Q$54,0),FALSE),"")),"")</f>
        <v/>
      </c>
      <c r="R20" s="441">
        <f ca="1">IFERROR(1*IF(IFERROR(VLOOKUP($C20,SUP!$B$54:$Q$104,MATCH($B20&amp;"-"&amp;R$7,SUP!$B$54:$Q$54,0),FALSE),"")="","",IFERROR(VLOOKUP($C20,SUP!$B$54:$Q$104,MATCH($B20&amp;"-"&amp;R$7,SUP!$B$54:$Q$54,0),FALSE),"")),"")</f>
        <v>57.994459831079268</v>
      </c>
      <c r="S20" s="441" t="str">
        <f ca="1">IFERROR(1*IF(IFERROR(VLOOKUP($C20,SUP!$B$54:$Q$104,MATCH($B20&amp;"-"&amp;S$7,SUP!$B$54:$Q$54,0),FALSE),"")="","",IFERROR(VLOOKUP($C20,SUP!$B$54:$Q$104,MATCH($B20&amp;"-"&amp;S$7,SUP!$B$54:$Q$54,0),FALSE),"")),"")</f>
        <v/>
      </c>
      <c r="T20" s="441" t="str">
        <f ca="1">IFERROR(1*IF(IFERROR(VLOOKUP($C20,SUP!$B$54:$Q$104,MATCH($B20&amp;"-"&amp;T$7,SUP!$B$54:$Q$54,0),FALSE),"")="","",IFERROR(VLOOKUP($C20,SUP!$B$54:$Q$104,MATCH($B20&amp;"-"&amp;T$7,SUP!$B$54:$Q$54,0),FALSE),"")),"")</f>
        <v/>
      </c>
      <c r="U20" s="441" t="str">
        <f ca="1">IFERROR(1*IF(IFERROR(VLOOKUP($C20,SUP!$B$54:$Q$104,MATCH($B20&amp;"-"&amp;U$7,SUP!$B$54:$Q$54,0),FALSE),"")="","",IFERROR(VLOOKUP($C20,SUP!$B$54:$Q$104,MATCH($B20&amp;"-"&amp;U$7,SUP!$B$54:$Q$54,0),FALSE),"")),"")</f>
        <v/>
      </c>
      <c r="V20" s="441" t="str">
        <f ca="1">IFERROR(1*IF(IFERROR(VLOOKUP($C20,SUP!$B$54:$Q$104,MATCH($B20&amp;"-"&amp;V$7,SUP!$B$54:$Q$54,0),FALSE),"")="","",IFERROR(VLOOKUP($C20,SUP!$B$54:$Q$104,MATCH($B20&amp;"-"&amp;V$7,SUP!$B$54:$Q$54,0),FALSE),"")),"")</f>
        <v/>
      </c>
      <c r="W20" s="441" t="str">
        <f ca="1">IFERROR(1*IF(IFERROR(VLOOKUP($C20,SUP!$B$54:$Q$104,MATCH($B20&amp;"-"&amp;W$7,SUP!$B$54:$Q$54,0),FALSE),"")="","",IFERROR(VLOOKUP($C20,SUP!$B$54:$Q$104,MATCH($B20&amp;"-"&amp;W$7,SUP!$B$54:$Q$54,0),FALSE),"")),"")</f>
        <v/>
      </c>
      <c r="X20" s="441" t="str">
        <f ca="1">IFERROR(1*IF(IFERROR(VLOOKUP($C20,SUP!$B$54:$Q$104,MATCH($B20&amp;"-"&amp;X$7,SUP!$B$54:$Q$54,0),FALSE),"")="","",IFERROR(VLOOKUP($C20,SUP!$B$54:$Q$104,MATCH($B20&amp;"-"&amp;X$7,SUP!$B$54:$Q$54,0),FALSE),"")),"")</f>
        <v/>
      </c>
      <c r="Y20" s="441" t="str">
        <f ca="1">IFERROR(1*IF(IFERROR(VLOOKUP($C20,SUP!$B$54:$Q$104,MATCH($B20&amp;"-"&amp;Y$7,SUP!$B$54:$Q$54,0),FALSE),"")="","",IFERROR(VLOOKUP($C20,SUP!$B$54:$Q$104,MATCH($B20&amp;"-"&amp;Y$7,SUP!$B$54:$Q$54,0),FALSE),"")),"")</f>
        <v/>
      </c>
      <c r="Z20" s="441" t="str">
        <f ca="1">IFERROR(1*IF(IFERROR(VLOOKUP($C20,SUP!$B$54:$Q$104,MATCH($B20&amp;"-"&amp;Z$7,SUP!$B$54:$Q$54,0),FALSE),"")="","",IFERROR(VLOOKUP($C20,SUP!$B$54:$Q$104,MATCH($B20&amp;"-"&amp;Z$7,SUP!$B$54:$Q$54,0),FALSE),"")),"")</f>
        <v/>
      </c>
      <c r="AA20" s="441" t="str">
        <f ca="1">IFERROR(1*IF(IFERROR(VLOOKUP($C20,SUP!$B$54:$Q$104,MATCH($B20&amp;"-"&amp;AA$7,SUP!$B$54:$Q$54,0),FALSE),"")="","",IFERROR(VLOOKUP($C20,SUP!$B$54:$Q$104,MATCH($B20&amp;"-"&amp;AA$7,SUP!$B$54:$Q$54,0),FALSE),"")),"")</f>
        <v/>
      </c>
      <c r="AB20" s="441">
        <f ca="1">IFERROR(1*IF(IFERROR(VLOOKUP($C20,SUP!$B$54:$Q$104,MATCH($B20&amp;"-"&amp;AB$7,SUP!$B$54:$Q$54,0),FALSE),"")="","",IFERROR(VLOOKUP($C20,SUP!$B$54:$Q$104,MATCH($B20&amp;"-"&amp;AB$7,SUP!$B$54:$Q$54,0),FALSE),"")),"")</f>
        <v>57.994459831079268</v>
      </c>
      <c r="AC20" s="441" t="str">
        <f ca="1">IFERROR(1*IF(IFERROR(VLOOKUP($C20,SUP!$B$54:$Q$104,MATCH($B20&amp;"-"&amp;AC$7,SUP!$B$54:$Q$54,0),FALSE),"")="","",IFERROR(VLOOKUP($C20,SUP!$B$54:$Q$104,MATCH($B20&amp;"-"&amp;AC$7,SUP!$B$54:$Q$54,0),FALSE),"")),"")</f>
        <v/>
      </c>
      <c r="AD20" s="441" t="str">
        <f ca="1">IFERROR(1*IF(IFERROR(VLOOKUP($C20,SUP!$B$54:$Q$104,MATCH($B20&amp;"-"&amp;AD$7,SUP!$B$54:$Q$54,0),FALSE),"")="","",IFERROR(VLOOKUP($C20,SUP!$B$54:$Q$104,MATCH($B20&amp;"-"&amp;AD$7,SUP!$B$54:$Q$54,0),FALSE),"")),"")</f>
        <v/>
      </c>
      <c r="AE20" s="441" t="str">
        <f ca="1">IFERROR(1*IF(IFERROR(VLOOKUP($C20,SUP!$B$54:$Q$104,MATCH($B20&amp;"-"&amp;AE$7,SUP!$B$54:$Q$54,0),FALSE),"")="","",IFERROR(VLOOKUP($C20,SUP!$B$54:$Q$104,MATCH($B20&amp;"-"&amp;AE$7,SUP!$B$54:$Q$54,0),FALSE),"")),"")</f>
        <v/>
      </c>
      <c r="AF20" s="441" t="str">
        <f ca="1">IFERROR(1*IF(IFERROR(VLOOKUP($C20,SUP!$B$54:$Q$104,MATCH($B20&amp;"-"&amp;AF$7,SUP!$B$54:$Q$54,0),FALSE),"")="","",IFERROR(VLOOKUP($C20,SUP!$B$54:$Q$104,MATCH($B20&amp;"-"&amp;AF$7,SUP!$B$54:$Q$54,0),FALSE),"")),"")</f>
        <v/>
      </c>
      <c r="AG20" s="441" t="str">
        <f ca="1">IFERROR(1*IF(IFERROR(VLOOKUP($C20,SUP!$B$54:$Q$104,MATCH($B20&amp;"-"&amp;AG$7,SUP!$B$54:$Q$54,0),FALSE),"")="","",IFERROR(VLOOKUP($C20,SUP!$B$54:$Q$104,MATCH($B20&amp;"-"&amp;AG$7,SUP!$B$54:$Q$54,0),FALSE),"")),"")</f>
        <v/>
      </c>
      <c r="AH20" s="441" t="str">
        <f ca="1">IFERROR(1*IF(IFERROR(VLOOKUP($C20,SUP!$B$54:$Q$104,MATCH($B20&amp;"-"&amp;AH$7,SUP!$B$54:$Q$54,0),FALSE),"")="","",IFERROR(VLOOKUP($C20,SUP!$B$54:$Q$104,MATCH($B20&amp;"-"&amp;AH$7,SUP!$B$54:$Q$54,0),FALSE),"")),"")</f>
        <v/>
      </c>
      <c r="AI20" s="441" t="str">
        <f ca="1">IFERROR(1*IF(IFERROR(VLOOKUP($C20,SUP!$B$54:$Q$104,MATCH($B20&amp;"-"&amp;AI$7,SUP!$B$54:$Q$54,0),FALSE),"")="","",IFERROR(VLOOKUP($C20,SUP!$B$54:$Q$104,MATCH($B20&amp;"-"&amp;AI$7,SUP!$B$54:$Q$54,0),FALSE),"")),"")</f>
        <v/>
      </c>
      <c r="AJ20" s="441" t="str">
        <f ca="1">IFERROR(1*IF(IFERROR(VLOOKUP($C20,SUP!$B$54:$Q$104,MATCH($B20&amp;"-"&amp;AJ$7,SUP!$B$54:$Q$54,0),FALSE),"")="","",IFERROR(VLOOKUP($C20,SUP!$B$54:$Q$104,MATCH($B20&amp;"-"&amp;AJ$7,SUP!$B$54:$Q$54,0),FALSE),"")),"")</f>
        <v/>
      </c>
      <c r="AK20" s="441" t="str">
        <f ca="1">IFERROR(1*IF(IFERROR(VLOOKUP($C20,SUP!$B$54:$Q$104,MATCH($B20&amp;"-"&amp;AK$7,SUP!$B$54:$Q$54,0),FALSE),"")="","",IFERROR(VLOOKUP($C20,SUP!$B$54:$Q$104,MATCH($B20&amp;"-"&amp;AK$7,SUP!$B$54:$Q$54,0),FALSE),"")),"")</f>
        <v/>
      </c>
      <c r="AL20" s="441" t="str">
        <f ca="1">IFERROR(1*IF(IFERROR(VLOOKUP($C20,SUP!$B$54:$Q$104,MATCH($B20&amp;"-"&amp;AL$7,SUP!$B$54:$Q$54,0),FALSE),"")="","",IFERROR(VLOOKUP($C20,SUP!$B$54:$Q$104,MATCH($B20&amp;"-"&amp;AL$7,SUP!$B$54:$Q$54,0),FALSE),"")),"")</f>
        <v/>
      </c>
      <c r="AM20" s="441" t="str">
        <f ca="1">IFERROR(1*IF(IFERROR(VLOOKUP($C20,SUP!$B$54:$Q$104,MATCH($B20&amp;"-"&amp;AM$7,SUP!$B$54:$Q$54,0),FALSE),"")="","",IFERROR(VLOOKUP($C20,SUP!$B$54:$Q$104,MATCH($B20&amp;"-"&amp;AM$7,SUP!$B$54:$Q$54,0),FALSE),"")),"")</f>
        <v/>
      </c>
      <c r="AN20" s="441">
        <f ca="1">IFERROR(1*IF(IFERROR(VLOOKUP($C20,SUP!$B$54:$Q$104,MATCH($B20&amp;"-"&amp;AN$7,SUP!$B$54:$Q$54,0),FALSE),"")="","",IFERROR(VLOOKUP($C20,SUP!$B$54:$Q$104,MATCH($B20&amp;"-"&amp;AN$7,SUP!$B$54:$Q$54,0),FALSE),"")),"")</f>
        <v>57.994459831079268</v>
      </c>
      <c r="AO20" s="441" t="str">
        <f ca="1">IFERROR(1*IF(IFERROR(VLOOKUP($C20,SUP!$B$54:$Q$104,MATCH($B20&amp;"-"&amp;AO$7,SUP!$B$54:$Q$54,0),FALSE),"")="","",IFERROR(VLOOKUP($C20,SUP!$B$54:$Q$104,MATCH($B20&amp;"-"&amp;AO$7,SUP!$B$54:$Q$54,0),FALSE),"")),"")</f>
        <v/>
      </c>
      <c r="AR20" s="42">
        <f>IF(AS19=SUP!$B$104,AR19+1,AR19)</f>
        <v>1</v>
      </c>
      <c r="AS20" s="42">
        <f t="shared" si="4"/>
        <v>8</v>
      </c>
    </row>
    <row r="21" spans="1:45">
      <c r="A21" s="42" t="str">
        <f ca="1">IF(LEFT(OFFSET(SUP!$A$57,AS21,0),2)="\I","*","")</f>
        <v>*</v>
      </c>
      <c r="B21" s="440" t="str">
        <f t="shared" ca="1" si="1"/>
        <v/>
      </c>
      <c r="C21" s="440" t="str">
        <f ca="1">IF($A21="*","",OFFSET(SUP!$B$57,AS21,0))</f>
        <v/>
      </c>
      <c r="D21" s="440" t="str">
        <f t="shared" ca="1" si="2"/>
        <v/>
      </c>
      <c r="E21" s="440" t="str">
        <f t="shared" ca="1" si="2"/>
        <v/>
      </c>
      <c r="F21" s="440" t="str">
        <f t="shared" ca="1" si="2"/>
        <v/>
      </c>
      <c r="G21" s="440" t="str">
        <f t="shared" ca="1" si="2"/>
        <v/>
      </c>
      <c r="H21" s="440" t="str">
        <f t="shared" ca="1" si="3"/>
        <v/>
      </c>
      <c r="I21" s="441" t="str">
        <f ca="1">IF(IFERROR(VLOOKUP($C21,SUP!$B$54:$Q$104,MATCH($B21&amp;"-"&amp;I$7,SUP!$B$54:$Q$54,0),FALSE),"")="","",IFERROR(VLOOKUP($C21,SUP!$B$54:$Q$104,MATCH($B21&amp;"-"&amp;I$7,SUP!$B$54:$Q$54,0),FALSE),""))</f>
        <v/>
      </c>
      <c r="J21" s="441" t="str">
        <f ca="1">IFERROR(1*IF(IFERROR(VLOOKUP($C21,SUP!$B$54:$Q$104,MATCH($B21&amp;"-"&amp;J$7,SUP!$B$54:$Q$54,0),FALSE),"")="","",IFERROR(VLOOKUP($C21,SUP!$B$54:$Q$104,MATCH($B21&amp;"-"&amp;J$7,SUP!$B$54:$Q$54,0),FALSE),"")),"")</f>
        <v/>
      </c>
      <c r="K21" s="441" t="str">
        <f ca="1">IFERROR(1*IF(IFERROR(VLOOKUP($C21,SUP!$B$54:$Q$104,MATCH($B21&amp;"-"&amp;K$7,SUP!$B$54:$Q$54,0),FALSE),"")="","",IFERROR(VLOOKUP($C21,SUP!$B$54:$Q$104,MATCH($B21&amp;"-"&amp;K$7,SUP!$B$54:$Q$54,0),FALSE),"")),"")</f>
        <v/>
      </c>
      <c r="L21" s="441" t="str">
        <f ca="1">IFERROR(1*IF(IFERROR(VLOOKUP($C21,SUP!$B$54:$Q$104,MATCH($B21&amp;"-"&amp;L$7,SUP!$B$54:$Q$54,0),FALSE),"")="","",IFERROR(VLOOKUP($C21,SUP!$B$54:$Q$104,MATCH($B21&amp;"-"&amp;L$7,SUP!$B$54:$Q$54,0),FALSE),"")),"")</f>
        <v/>
      </c>
      <c r="M21" s="441" t="str">
        <f ca="1">IFERROR(1*IF(IFERROR(VLOOKUP($C21,SUP!$B$54:$Q$104,MATCH($B21&amp;"-"&amp;M$7,SUP!$B$54:$Q$54,0),FALSE),"")="","",IFERROR(VLOOKUP($C21,SUP!$B$54:$Q$104,MATCH($B21&amp;"-"&amp;M$7,SUP!$B$54:$Q$54,0),FALSE),"")),"")</f>
        <v/>
      </c>
      <c r="N21" s="441" t="str">
        <f ca="1">IFERROR(1*IF(IFERROR(VLOOKUP($C21,SUP!$B$54:$Q$104,MATCH($B21&amp;"-"&amp;N$7,SUP!$B$54:$Q$54,0),FALSE),"")="","",IFERROR(VLOOKUP($C21,SUP!$B$54:$Q$104,MATCH($B21&amp;"-"&amp;N$7,SUP!$B$54:$Q$54,0),FALSE),"")),"")</f>
        <v/>
      </c>
      <c r="O21" s="441" t="str">
        <f ca="1">IFERROR(1*IF(IFERROR(VLOOKUP($C21,SUP!$B$54:$Q$104,MATCH($B21&amp;"-"&amp;O$7,SUP!$B$54:$Q$54,0),FALSE),"")="","",IFERROR(VLOOKUP($C21,SUP!$B$54:$Q$104,MATCH($B21&amp;"-"&amp;O$7,SUP!$B$54:$Q$54,0),FALSE),"")),"")</f>
        <v/>
      </c>
      <c r="P21" s="441" t="str">
        <f ca="1">IFERROR(1*IF(IFERROR(VLOOKUP($C21,SUP!$B$54:$Q$104,MATCH($B21&amp;"-"&amp;P$7,SUP!$B$54:$Q$54,0),FALSE),"")="","",IFERROR(VLOOKUP($C21,SUP!$B$54:$Q$104,MATCH($B21&amp;"-"&amp;P$7,SUP!$B$54:$Q$54,0),FALSE),"")),"")</f>
        <v/>
      </c>
      <c r="Q21" s="441" t="str">
        <f ca="1">IFERROR(1*IF(IFERROR(VLOOKUP($C21,SUP!$B$54:$Q$104,MATCH($B21&amp;"-"&amp;Q$7,SUP!$B$54:$Q$54,0),FALSE),"")="","",IFERROR(VLOOKUP($C21,SUP!$B$54:$Q$104,MATCH($B21&amp;"-"&amp;Q$7,SUP!$B$54:$Q$54,0),FALSE),"")),"")</f>
        <v/>
      </c>
      <c r="R21" s="441" t="str">
        <f ca="1">IFERROR(1*IF(IFERROR(VLOOKUP($C21,SUP!$B$54:$Q$104,MATCH($B21&amp;"-"&amp;R$7,SUP!$B$54:$Q$54,0),FALSE),"")="","",IFERROR(VLOOKUP($C21,SUP!$B$54:$Q$104,MATCH($B21&amp;"-"&amp;R$7,SUP!$B$54:$Q$54,0),FALSE),"")),"")</f>
        <v/>
      </c>
      <c r="S21" s="441" t="str">
        <f ca="1">IFERROR(1*IF(IFERROR(VLOOKUP($C21,SUP!$B$54:$Q$104,MATCH($B21&amp;"-"&amp;S$7,SUP!$B$54:$Q$54,0),FALSE),"")="","",IFERROR(VLOOKUP($C21,SUP!$B$54:$Q$104,MATCH($B21&amp;"-"&amp;S$7,SUP!$B$54:$Q$54,0),FALSE),"")),"")</f>
        <v/>
      </c>
      <c r="T21" s="441" t="str">
        <f ca="1">IFERROR(1*IF(IFERROR(VLOOKUP($C21,SUP!$B$54:$Q$104,MATCH($B21&amp;"-"&amp;T$7,SUP!$B$54:$Q$54,0),FALSE),"")="","",IFERROR(VLOOKUP($C21,SUP!$B$54:$Q$104,MATCH($B21&amp;"-"&amp;T$7,SUP!$B$54:$Q$54,0),FALSE),"")),"")</f>
        <v/>
      </c>
      <c r="U21" s="441" t="str">
        <f ca="1">IFERROR(1*IF(IFERROR(VLOOKUP($C21,SUP!$B$54:$Q$104,MATCH($B21&amp;"-"&amp;U$7,SUP!$B$54:$Q$54,0),FALSE),"")="","",IFERROR(VLOOKUP($C21,SUP!$B$54:$Q$104,MATCH($B21&amp;"-"&amp;U$7,SUP!$B$54:$Q$54,0),FALSE),"")),"")</f>
        <v/>
      </c>
      <c r="V21" s="441" t="str">
        <f ca="1">IFERROR(1*IF(IFERROR(VLOOKUP($C21,SUP!$B$54:$Q$104,MATCH($B21&amp;"-"&amp;V$7,SUP!$B$54:$Q$54,0),FALSE),"")="","",IFERROR(VLOOKUP($C21,SUP!$B$54:$Q$104,MATCH($B21&amp;"-"&amp;V$7,SUP!$B$54:$Q$54,0),FALSE),"")),"")</f>
        <v/>
      </c>
      <c r="W21" s="441" t="str">
        <f ca="1">IFERROR(1*IF(IFERROR(VLOOKUP($C21,SUP!$B$54:$Q$104,MATCH($B21&amp;"-"&amp;W$7,SUP!$B$54:$Q$54,0),FALSE),"")="","",IFERROR(VLOOKUP($C21,SUP!$B$54:$Q$104,MATCH($B21&amp;"-"&amp;W$7,SUP!$B$54:$Q$54,0),FALSE),"")),"")</f>
        <v/>
      </c>
      <c r="X21" s="441" t="str">
        <f ca="1">IFERROR(1*IF(IFERROR(VLOOKUP($C21,SUP!$B$54:$Q$104,MATCH($B21&amp;"-"&amp;X$7,SUP!$B$54:$Q$54,0),FALSE),"")="","",IFERROR(VLOOKUP($C21,SUP!$B$54:$Q$104,MATCH($B21&amp;"-"&amp;X$7,SUP!$B$54:$Q$54,0),FALSE),"")),"")</f>
        <v/>
      </c>
      <c r="Y21" s="441" t="str">
        <f ca="1">IFERROR(1*IF(IFERROR(VLOOKUP($C21,SUP!$B$54:$Q$104,MATCH($B21&amp;"-"&amp;Y$7,SUP!$B$54:$Q$54,0),FALSE),"")="","",IFERROR(VLOOKUP($C21,SUP!$B$54:$Q$104,MATCH($B21&amp;"-"&amp;Y$7,SUP!$B$54:$Q$54,0),FALSE),"")),"")</f>
        <v/>
      </c>
      <c r="Z21" s="441" t="str">
        <f ca="1">IFERROR(1*IF(IFERROR(VLOOKUP($C21,SUP!$B$54:$Q$104,MATCH($B21&amp;"-"&amp;Z$7,SUP!$B$54:$Q$54,0),FALSE),"")="","",IFERROR(VLOOKUP($C21,SUP!$B$54:$Q$104,MATCH($B21&amp;"-"&amp;Z$7,SUP!$B$54:$Q$54,0),FALSE),"")),"")</f>
        <v/>
      </c>
      <c r="AA21" s="441" t="str">
        <f ca="1">IFERROR(1*IF(IFERROR(VLOOKUP($C21,SUP!$B$54:$Q$104,MATCH($B21&amp;"-"&amp;AA$7,SUP!$B$54:$Q$54,0),FALSE),"")="","",IFERROR(VLOOKUP($C21,SUP!$B$54:$Q$104,MATCH($B21&amp;"-"&amp;AA$7,SUP!$B$54:$Q$54,0),FALSE),"")),"")</f>
        <v/>
      </c>
      <c r="AB21" s="441" t="str">
        <f ca="1">IFERROR(1*IF(IFERROR(VLOOKUP($C21,SUP!$B$54:$Q$104,MATCH($B21&amp;"-"&amp;AB$7,SUP!$B$54:$Q$54,0),FALSE),"")="","",IFERROR(VLOOKUP($C21,SUP!$B$54:$Q$104,MATCH($B21&amp;"-"&amp;AB$7,SUP!$B$54:$Q$54,0),FALSE),"")),"")</f>
        <v/>
      </c>
      <c r="AC21" s="441" t="str">
        <f ca="1">IFERROR(1*IF(IFERROR(VLOOKUP($C21,SUP!$B$54:$Q$104,MATCH($B21&amp;"-"&amp;AC$7,SUP!$B$54:$Q$54,0),FALSE),"")="","",IFERROR(VLOOKUP($C21,SUP!$B$54:$Q$104,MATCH($B21&amp;"-"&amp;AC$7,SUP!$B$54:$Q$54,0),FALSE),"")),"")</f>
        <v/>
      </c>
      <c r="AD21" s="441" t="str">
        <f ca="1">IFERROR(1*IF(IFERROR(VLOOKUP($C21,SUP!$B$54:$Q$104,MATCH($B21&amp;"-"&amp;AD$7,SUP!$B$54:$Q$54,0),FALSE),"")="","",IFERROR(VLOOKUP($C21,SUP!$B$54:$Q$104,MATCH($B21&amp;"-"&amp;AD$7,SUP!$B$54:$Q$54,0),FALSE),"")),"")</f>
        <v/>
      </c>
      <c r="AE21" s="441" t="str">
        <f ca="1">IFERROR(1*IF(IFERROR(VLOOKUP($C21,SUP!$B$54:$Q$104,MATCH($B21&amp;"-"&amp;AE$7,SUP!$B$54:$Q$54,0),FALSE),"")="","",IFERROR(VLOOKUP($C21,SUP!$B$54:$Q$104,MATCH($B21&amp;"-"&amp;AE$7,SUP!$B$54:$Q$54,0),FALSE),"")),"")</f>
        <v/>
      </c>
      <c r="AF21" s="441" t="str">
        <f ca="1">IFERROR(1*IF(IFERROR(VLOOKUP($C21,SUP!$B$54:$Q$104,MATCH($B21&amp;"-"&amp;AF$7,SUP!$B$54:$Q$54,0),FALSE),"")="","",IFERROR(VLOOKUP($C21,SUP!$B$54:$Q$104,MATCH($B21&amp;"-"&amp;AF$7,SUP!$B$54:$Q$54,0),FALSE),"")),"")</f>
        <v/>
      </c>
      <c r="AG21" s="441" t="str">
        <f ca="1">IFERROR(1*IF(IFERROR(VLOOKUP($C21,SUP!$B$54:$Q$104,MATCH($B21&amp;"-"&amp;AG$7,SUP!$B$54:$Q$54,0),FALSE),"")="","",IFERROR(VLOOKUP($C21,SUP!$B$54:$Q$104,MATCH($B21&amp;"-"&amp;AG$7,SUP!$B$54:$Q$54,0),FALSE),"")),"")</f>
        <v/>
      </c>
      <c r="AH21" s="441" t="str">
        <f ca="1">IFERROR(1*IF(IFERROR(VLOOKUP($C21,SUP!$B$54:$Q$104,MATCH($B21&amp;"-"&amp;AH$7,SUP!$B$54:$Q$54,0),FALSE),"")="","",IFERROR(VLOOKUP($C21,SUP!$B$54:$Q$104,MATCH($B21&amp;"-"&amp;AH$7,SUP!$B$54:$Q$54,0),FALSE),"")),"")</f>
        <v/>
      </c>
      <c r="AI21" s="441" t="str">
        <f ca="1">IFERROR(1*IF(IFERROR(VLOOKUP($C21,SUP!$B$54:$Q$104,MATCH($B21&amp;"-"&amp;AI$7,SUP!$B$54:$Q$54,0),FALSE),"")="","",IFERROR(VLOOKUP($C21,SUP!$B$54:$Q$104,MATCH($B21&amp;"-"&amp;AI$7,SUP!$B$54:$Q$54,0),FALSE),"")),"")</f>
        <v/>
      </c>
      <c r="AJ21" s="441" t="str">
        <f ca="1">IFERROR(1*IF(IFERROR(VLOOKUP($C21,SUP!$B$54:$Q$104,MATCH($B21&amp;"-"&amp;AJ$7,SUP!$B$54:$Q$54,0),FALSE),"")="","",IFERROR(VLOOKUP($C21,SUP!$B$54:$Q$104,MATCH($B21&amp;"-"&amp;AJ$7,SUP!$B$54:$Q$54,0),FALSE),"")),"")</f>
        <v/>
      </c>
      <c r="AK21" s="441" t="str">
        <f ca="1">IFERROR(1*IF(IFERROR(VLOOKUP($C21,SUP!$B$54:$Q$104,MATCH($B21&amp;"-"&amp;AK$7,SUP!$B$54:$Q$54,0),FALSE),"")="","",IFERROR(VLOOKUP($C21,SUP!$B$54:$Q$104,MATCH($B21&amp;"-"&amp;AK$7,SUP!$B$54:$Q$54,0),FALSE),"")),"")</f>
        <v/>
      </c>
      <c r="AL21" s="441" t="str">
        <f ca="1">IFERROR(1*IF(IFERROR(VLOOKUP($C21,SUP!$B$54:$Q$104,MATCH($B21&amp;"-"&amp;AL$7,SUP!$B$54:$Q$54,0),FALSE),"")="","",IFERROR(VLOOKUP($C21,SUP!$B$54:$Q$104,MATCH($B21&amp;"-"&amp;AL$7,SUP!$B$54:$Q$54,0),FALSE),"")),"")</f>
        <v/>
      </c>
      <c r="AM21" s="441" t="str">
        <f ca="1">IFERROR(1*IF(IFERROR(VLOOKUP($C21,SUP!$B$54:$Q$104,MATCH($B21&amp;"-"&amp;AM$7,SUP!$B$54:$Q$54,0),FALSE),"")="","",IFERROR(VLOOKUP($C21,SUP!$B$54:$Q$104,MATCH($B21&amp;"-"&amp;AM$7,SUP!$B$54:$Q$54,0),FALSE),"")),"")</f>
        <v/>
      </c>
      <c r="AN21" s="441" t="str">
        <f ca="1">IFERROR(1*IF(IFERROR(VLOOKUP($C21,SUP!$B$54:$Q$104,MATCH($B21&amp;"-"&amp;AN$7,SUP!$B$54:$Q$54,0),FALSE),"")="","",IFERROR(VLOOKUP($C21,SUP!$B$54:$Q$104,MATCH($B21&amp;"-"&amp;AN$7,SUP!$B$54:$Q$54,0),FALSE),"")),"")</f>
        <v/>
      </c>
      <c r="AO21" s="441" t="str">
        <f ca="1">IFERROR(1*IF(IFERROR(VLOOKUP($C21,SUP!$B$54:$Q$104,MATCH($B21&amp;"-"&amp;AO$7,SUP!$B$54:$Q$54,0),FALSE),"")="","",IFERROR(VLOOKUP($C21,SUP!$B$54:$Q$104,MATCH($B21&amp;"-"&amp;AO$7,SUP!$B$54:$Q$54,0),FALSE),"")),"")</f>
        <v/>
      </c>
      <c r="AR21" s="42">
        <f>IF(AS20=SUP!$B$104,AR20+1,AR20)</f>
        <v>1</v>
      </c>
      <c r="AS21" s="42">
        <f t="shared" si="4"/>
        <v>9</v>
      </c>
    </row>
    <row r="22" spans="1:45">
      <c r="A22" s="42" t="str">
        <f ca="1">IF(LEFT(OFFSET(SUP!$A$57,AS22,0),2)="\I","*","")</f>
        <v/>
      </c>
      <c r="B22" s="440" t="str">
        <f t="shared" ca="1" si="1"/>
        <v>ACT_COST</v>
      </c>
      <c r="C22" s="440" t="str">
        <f ca="1">IF($A22="*","",OFFSET(SUP!$B$57,AS22,0))</f>
        <v>MINBIG</v>
      </c>
      <c r="D22" s="440" t="str">
        <f t="shared" ca="1" si="2"/>
        <v>-</v>
      </c>
      <c r="E22" s="440" t="str">
        <f t="shared" ca="1" si="2"/>
        <v>-</v>
      </c>
      <c r="F22" s="440" t="str">
        <f t="shared" ca="1" si="2"/>
        <v>-</v>
      </c>
      <c r="G22" s="440" t="str">
        <f t="shared" ca="1" si="2"/>
        <v>-</v>
      </c>
      <c r="H22" s="440" t="str">
        <f t="shared" ca="1" si="3"/>
        <v>-</v>
      </c>
      <c r="I22" s="441">
        <f ca="1">IF(IFERROR(VLOOKUP($C22,SUP!$B$54:$Q$104,MATCH($B22&amp;"-"&amp;I$7,SUP!$B$54:$Q$54,0),FALSE),"")="","",IFERROR(VLOOKUP($C22,SUP!$B$54:$Q$104,MATCH($B22&amp;"-"&amp;I$7,SUP!$B$54:$Q$54,0),FALSE),""))</f>
        <v>0</v>
      </c>
      <c r="J22" s="441" t="str">
        <f ca="1">IFERROR(1*IF(IFERROR(VLOOKUP($C22,SUP!$B$54:$Q$104,MATCH($B22&amp;"-"&amp;J$7,SUP!$B$54:$Q$54,0),FALSE),"")="","",IFERROR(VLOOKUP($C22,SUP!$B$54:$Q$104,MATCH($B22&amp;"-"&amp;J$7,SUP!$B$54:$Q$54,0),FALSE),"")),"")</f>
        <v/>
      </c>
      <c r="K22" s="441" t="str">
        <f ca="1">IFERROR(1*IF(IFERROR(VLOOKUP($C22,SUP!$B$54:$Q$104,MATCH($B22&amp;"-"&amp;K$7,SUP!$B$54:$Q$54,0),FALSE),"")="","",IFERROR(VLOOKUP($C22,SUP!$B$54:$Q$104,MATCH($B22&amp;"-"&amp;K$7,SUP!$B$54:$Q$54,0),FALSE),"")),"")</f>
        <v/>
      </c>
      <c r="L22" s="441" t="str">
        <f ca="1">IFERROR(1*IF(IFERROR(VLOOKUP($C22,SUP!$B$54:$Q$104,MATCH($B22&amp;"-"&amp;L$7,SUP!$B$54:$Q$54,0),FALSE),"")="","",IFERROR(VLOOKUP($C22,SUP!$B$54:$Q$104,MATCH($B22&amp;"-"&amp;L$7,SUP!$B$54:$Q$54,0),FALSE),"")),"")</f>
        <v/>
      </c>
      <c r="M22" s="441" t="str">
        <f ca="1">IFERROR(1*IF(IFERROR(VLOOKUP($C22,SUP!$B$54:$Q$104,MATCH($B22&amp;"-"&amp;M$7,SUP!$B$54:$Q$54,0),FALSE),"")="","",IFERROR(VLOOKUP($C22,SUP!$B$54:$Q$104,MATCH($B22&amp;"-"&amp;M$7,SUP!$B$54:$Q$54,0),FALSE),"")),"")</f>
        <v/>
      </c>
      <c r="N22" s="441" t="str">
        <f ca="1">IFERROR(1*IF(IFERROR(VLOOKUP($C22,SUP!$B$54:$Q$104,MATCH($B22&amp;"-"&amp;N$7,SUP!$B$54:$Q$54,0),FALSE),"")="","",IFERROR(VLOOKUP($C22,SUP!$B$54:$Q$104,MATCH($B22&amp;"-"&amp;N$7,SUP!$B$54:$Q$54,0),FALSE),"")),"")</f>
        <v/>
      </c>
      <c r="O22" s="441" t="str">
        <f ca="1">IFERROR(1*IF(IFERROR(VLOOKUP($C22,SUP!$B$54:$Q$104,MATCH($B22&amp;"-"&amp;O$7,SUP!$B$54:$Q$54,0),FALSE),"")="","",IFERROR(VLOOKUP($C22,SUP!$B$54:$Q$104,MATCH($B22&amp;"-"&amp;O$7,SUP!$B$54:$Q$54,0),FALSE),"")),"")</f>
        <v/>
      </c>
      <c r="P22" s="441" t="str">
        <f ca="1">IFERROR(1*IF(IFERROR(VLOOKUP($C22,SUP!$B$54:$Q$104,MATCH($B22&amp;"-"&amp;P$7,SUP!$B$54:$Q$54,0),FALSE),"")="","",IFERROR(VLOOKUP($C22,SUP!$B$54:$Q$104,MATCH($B22&amp;"-"&amp;P$7,SUP!$B$54:$Q$54,0),FALSE),"")),"")</f>
        <v/>
      </c>
      <c r="Q22" s="441" t="str">
        <f ca="1">IFERROR(1*IF(IFERROR(VLOOKUP($C22,SUP!$B$54:$Q$104,MATCH($B22&amp;"-"&amp;Q$7,SUP!$B$54:$Q$54,0),FALSE),"")="","",IFERROR(VLOOKUP($C22,SUP!$B$54:$Q$104,MATCH($B22&amp;"-"&amp;Q$7,SUP!$B$54:$Q$54,0),FALSE),"")),"")</f>
        <v/>
      </c>
      <c r="R22" s="441" t="str">
        <f ca="1">IFERROR(1*IF(IFERROR(VLOOKUP($C22,SUP!$B$54:$Q$104,MATCH($B22&amp;"-"&amp;R$7,SUP!$B$54:$Q$54,0),FALSE),"")="","",IFERROR(VLOOKUP($C22,SUP!$B$54:$Q$104,MATCH($B22&amp;"-"&amp;R$7,SUP!$B$54:$Q$54,0),FALSE),"")),"")</f>
        <v/>
      </c>
      <c r="S22" s="441" t="str">
        <f ca="1">IFERROR(1*IF(IFERROR(VLOOKUP($C22,SUP!$B$54:$Q$104,MATCH($B22&amp;"-"&amp;S$7,SUP!$B$54:$Q$54,0),FALSE),"")="","",IFERROR(VLOOKUP($C22,SUP!$B$54:$Q$104,MATCH($B22&amp;"-"&amp;S$7,SUP!$B$54:$Q$54,0),FALSE),"")),"")</f>
        <v/>
      </c>
      <c r="T22" s="441" t="str">
        <f ca="1">IFERROR(1*IF(IFERROR(VLOOKUP($C22,SUP!$B$54:$Q$104,MATCH($B22&amp;"-"&amp;T$7,SUP!$B$54:$Q$54,0),FALSE),"")="","",IFERROR(VLOOKUP($C22,SUP!$B$54:$Q$104,MATCH($B22&amp;"-"&amp;T$7,SUP!$B$54:$Q$54,0),FALSE),"")),"")</f>
        <v/>
      </c>
      <c r="U22" s="441" t="str">
        <f ca="1">IFERROR(1*IF(IFERROR(VLOOKUP($C22,SUP!$B$54:$Q$104,MATCH($B22&amp;"-"&amp;U$7,SUP!$B$54:$Q$54,0),FALSE),"")="","",IFERROR(VLOOKUP($C22,SUP!$B$54:$Q$104,MATCH($B22&amp;"-"&amp;U$7,SUP!$B$54:$Q$54,0),FALSE),"")),"")</f>
        <v/>
      </c>
      <c r="V22" s="441" t="str">
        <f ca="1">IFERROR(1*IF(IFERROR(VLOOKUP($C22,SUP!$B$54:$Q$104,MATCH($B22&amp;"-"&amp;V$7,SUP!$B$54:$Q$54,0),FALSE),"")="","",IFERROR(VLOOKUP($C22,SUP!$B$54:$Q$104,MATCH($B22&amp;"-"&amp;V$7,SUP!$B$54:$Q$54,0),FALSE),"")),"")</f>
        <v/>
      </c>
      <c r="W22" s="441" t="str">
        <f ca="1">IFERROR(1*IF(IFERROR(VLOOKUP($C22,SUP!$B$54:$Q$104,MATCH($B22&amp;"-"&amp;W$7,SUP!$B$54:$Q$54,0),FALSE),"")="","",IFERROR(VLOOKUP($C22,SUP!$B$54:$Q$104,MATCH($B22&amp;"-"&amp;W$7,SUP!$B$54:$Q$54,0),FALSE),"")),"")</f>
        <v/>
      </c>
      <c r="X22" s="441" t="str">
        <f ca="1">IFERROR(1*IF(IFERROR(VLOOKUP($C22,SUP!$B$54:$Q$104,MATCH($B22&amp;"-"&amp;X$7,SUP!$B$54:$Q$54,0),FALSE),"")="","",IFERROR(VLOOKUP($C22,SUP!$B$54:$Q$104,MATCH($B22&amp;"-"&amp;X$7,SUP!$B$54:$Q$54,0),FALSE),"")),"")</f>
        <v/>
      </c>
      <c r="Y22" s="441" t="str">
        <f ca="1">IFERROR(1*IF(IFERROR(VLOOKUP($C22,SUP!$B$54:$Q$104,MATCH($B22&amp;"-"&amp;Y$7,SUP!$B$54:$Q$54,0),FALSE),"")="","",IFERROR(VLOOKUP($C22,SUP!$B$54:$Q$104,MATCH($B22&amp;"-"&amp;Y$7,SUP!$B$54:$Q$54,0),FALSE),"")),"")</f>
        <v/>
      </c>
      <c r="Z22" s="441" t="str">
        <f ca="1">IFERROR(1*IF(IFERROR(VLOOKUP($C22,SUP!$B$54:$Q$104,MATCH($B22&amp;"-"&amp;Z$7,SUP!$B$54:$Q$54,0),FALSE),"")="","",IFERROR(VLOOKUP($C22,SUP!$B$54:$Q$104,MATCH($B22&amp;"-"&amp;Z$7,SUP!$B$54:$Q$54,0),FALSE),"")),"")</f>
        <v/>
      </c>
      <c r="AA22" s="441" t="str">
        <f ca="1">IFERROR(1*IF(IFERROR(VLOOKUP($C22,SUP!$B$54:$Q$104,MATCH($B22&amp;"-"&amp;AA$7,SUP!$B$54:$Q$54,0),FALSE),"")="","",IFERROR(VLOOKUP($C22,SUP!$B$54:$Q$104,MATCH($B22&amp;"-"&amp;AA$7,SUP!$B$54:$Q$54,0),FALSE),"")),"")</f>
        <v/>
      </c>
      <c r="AB22" s="441" t="str">
        <f ca="1">IFERROR(1*IF(IFERROR(VLOOKUP($C22,SUP!$B$54:$Q$104,MATCH($B22&amp;"-"&amp;AB$7,SUP!$B$54:$Q$54,0),FALSE),"")="","",IFERROR(VLOOKUP($C22,SUP!$B$54:$Q$104,MATCH($B22&amp;"-"&amp;AB$7,SUP!$B$54:$Q$54,0),FALSE),"")),"")</f>
        <v/>
      </c>
      <c r="AC22" s="441" t="str">
        <f ca="1">IFERROR(1*IF(IFERROR(VLOOKUP($C22,SUP!$B$54:$Q$104,MATCH($B22&amp;"-"&amp;AC$7,SUP!$B$54:$Q$54,0),FALSE),"")="","",IFERROR(VLOOKUP($C22,SUP!$B$54:$Q$104,MATCH($B22&amp;"-"&amp;AC$7,SUP!$B$54:$Q$54,0),FALSE),"")),"")</f>
        <v/>
      </c>
      <c r="AD22" s="441" t="str">
        <f ca="1">IFERROR(1*IF(IFERROR(VLOOKUP($C22,SUP!$B$54:$Q$104,MATCH($B22&amp;"-"&amp;AD$7,SUP!$B$54:$Q$54,0),FALSE),"")="","",IFERROR(VLOOKUP($C22,SUP!$B$54:$Q$104,MATCH($B22&amp;"-"&amp;AD$7,SUP!$B$54:$Q$54,0),FALSE),"")),"")</f>
        <v/>
      </c>
      <c r="AE22" s="441" t="str">
        <f ca="1">IFERROR(1*IF(IFERROR(VLOOKUP($C22,SUP!$B$54:$Q$104,MATCH($B22&amp;"-"&amp;AE$7,SUP!$B$54:$Q$54,0),FALSE),"")="","",IFERROR(VLOOKUP($C22,SUP!$B$54:$Q$104,MATCH($B22&amp;"-"&amp;AE$7,SUP!$B$54:$Q$54,0),FALSE),"")),"")</f>
        <v/>
      </c>
      <c r="AF22" s="441" t="str">
        <f ca="1">IFERROR(1*IF(IFERROR(VLOOKUP($C22,SUP!$B$54:$Q$104,MATCH($B22&amp;"-"&amp;AF$7,SUP!$B$54:$Q$54,0),FALSE),"")="","",IFERROR(VLOOKUP($C22,SUP!$B$54:$Q$104,MATCH($B22&amp;"-"&amp;AF$7,SUP!$B$54:$Q$54,0),FALSE),"")),"")</f>
        <v/>
      </c>
      <c r="AG22" s="441" t="str">
        <f ca="1">IFERROR(1*IF(IFERROR(VLOOKUP($C22,SUP!$B$54:$Q$104,MATCH($B22&amp;"-"&amp;AG$7,SUP!$B$54:$Q$54,0),FALSE),"")="","",IFERROR(VLOOKUP($C22,SUP!$B$54:$Q$104,MATCH($B22&amp;"-"&amp;AG$7,SUP!$B$54:$Q$54,0),FALSE),"")),"")</f>
        <v/>
      </c>
      <c r="AH22" s="441" t="str">
        <f ca="1">IFERROR(1*IF(IFERROR(VLOOKUP($C22,SUP!$B$54:$Q$104,MATCH($B22&amp;"-"&amp;AH$7,SUP!$B$54:$Q$54,0),FALSE),"")="","",IFERROR(VLOOKUP($C22,SUP!$B$54:$Q$104,MATCH($B22&amp;"-"&amp;AH$7,SUP!$B$54:$Q$54,0),FALSE),"")),"")</f>
        <v/>
      </c>
      <c r="AI22" s="441" t="str">
        <f ca="1">IFERROR(1*IF(IFERROR(VLOOKUP($C22,SUP!$B$54:$Q$104,MATCH($B22&amp;"-"&amp;AI$7,SUP!$B$54:$Q$54,0),FALSE),"")="","",IFERROR(VLOOKUP($C22,SUP!$B$54:$Q$104,MATCH($B22&amp;"-"&amp;AI$7,SUP!$B$54:$Q$54,0),FALSE),"")),"")</f>
        <v/>
      </c>
      <c r="AJ22" s="441" t="str">
        <f ca="1">IFERROR(1*IF(IFERROR(VLOOKUP($C22,SUP!$B$54:$Q$104,MATCH($B22&amp;"-"&amp;AJ$7,SUP!$B$54:$Q$54,0),FALSE),"")="","",IFERROR(VLOOKUP($C22,SUP!$B$54:$Q$104,MATCH($B22&amp;"-"&amp;AJ$7,SUP!$B$54:$Q$54,0),FALSE),"")),"")</f>
        <v/>
      </c>
      <c r="AK22" s="441" t="str">
        <f ca="1">IFERROR(1*IF(IFERROR(VLOOKUP($C22,SUP!$B$54:$Q$104,MATCH($B22&amp;"-"&amp;AK$7,SUP!$B$54:$Q$54,0),FALSE),"")="","",IFERROR(VLOOKUP($C22,SUP!$B$54:$Q$104,MATCH($B22&amp;"-"&amp;AK$7,SUP!$B$54:$Q$54,0),FALSE),"")),"")</f>
        <v/>
      </c>
      <c r="AL22" s="441" t="str">
        <f ca="1">IFERROR(1*IF(IFERROR(VLOOKUP($C22,SUP!$B$54:$Q$104,MATCH($B22&amp;"-"&amp;AL$7,SUP!$B$54:$Q$54,0),FALSE),"")="","",IFERROR(VLOOKUP($C22,SUP!$B$54:$Q$104,MATCH($B22&amp;"-"&amp;AL$7,SUP!$B$54:$Q$54,0),FALSE),"")),"")</f>
        <v/>
      </c>
      <c r="AM22" s="441" t="str">
        <f ca="1">IFERROR(1*IF(IFERROR(VLOOKUP($C22,SUP!$B$54:$Q$104,MATCH($B22&amp;"-"&amp;AM$7,SUP!$B$54:$Q$54,0),FALSE),"")="","",IFERROR(VLOOKUP($C22,SUP!$B$54:$Q$104,MATCH($B22&amp;"-"&amp;AM$7,SUP!$B$54:$Q$54,0),FALSE),"")),"")</f>
        <v/>
      </c>
      <c r="AN22" s="441" t="str">
        <f ca="1">IFERROR(1*IF(IFERROR(VLOOKUP($C22,SUP!$B$54:$Q$104,MATCH($B22&amp;"-"&amp;AN$7,SUP!$B$54:$Q$54,0),FALSE),"")="","",IFERROR(VLOOKUP($C22,SUP!$B$54:$Q$104,MATCH($B22&amp;"-"&amp;AN$7,SUP!$B$54:$Q$54,0),FALSE),"")),"")</f>
        <v/>
      </c>
      <c r="AO22" s="441" t="str">
        <f ca="1">IFERROR(1*IF(IFERROR(VLOOKUP($C22,SUP!$B$54:$Q$104,MATCH($B22&amp;"-"&amp;AO$7,SUP!$B$54:$Q$54,0),FALSE),"")="","",IFERROR(VLOOKUP($C22,SUP!$B$54:$Q$104,MATCH($B22&amp;"-"&amp;AO$7,SUP!$B$54:$Q$54,0),FALSE),"")),"")</f>
        <v/>
      </c>
      <c r="AR22" s="42">
        <f>IF(AS21=SUP!$B$104,AR21+1,AR21)</f>
        <v>1</v>
      </c>
      <c r="AS22" s="42">
        <f t="shared" si="4"/>
        <v>10</v>
      </c>
    </row>
    <row r="23" spans="1:45">
      <c r="A23" s="42" t="str">
        <f ca="1">IF(LEFT(OFFSET(SUP!$A$57,AS23,0),2)="\I","*","")</f>
        <v/>
      </c>
      <c r="B23" s="440" t="str">
        <f t="shared" ca="1" si="1"/>
        <v>ACT_COST</v>
      </c>
      <c r="C23" s="440" t="str">
        <f ca="1">IF($A23="*","",OFFSET(SUP!$B$57,AS23,0))</f>
        <v>MINBIB</v>
      </c>
      <c r="D23" s="440" t="str">
        <f t="shared" ca="1" si="2"/>
        <v>-</v>
      </c>
      <c r="E23" s="440" t="str">
        <f t="shared" ca="1" si="2"/>
        <v>-</v>
      </c>
      <c r="F23" s="440" t="str">
        <f t="shared" ca="1" si="2"/>
        <v>-</v>
      </c>
      <c r="G23" s="440" t="str">
        <f t="shared" ca="1" si="2"/>
        <v>-</v>
      </c>
      <c r="H23" s="440" t="str">
        <f t="shared" ref="H23:H86" ca="1" si="5">IF($A23="*","",IF(AND(B23="ACT_BND",LEFT(C23,3)="PEX"),"FX",VLOOKUP($B23,$B$10:$I$11,H$9,FALSE)))</f>
        <v>-</v>
      </c>
      <c r="I23" s="441">
        <f ca="1">IF(IFERROR(VLOOKUP($C23,SUP!$B$54:$Q$104,MATCH($B23&amp;"-"&amp;I$7,SUP!$B$54:$Q$54,0),FALSE),"")="","",IFERROR(VLOOKUP($C23,SUP!$B$54:$Q$104,MATCH($B23&amp;"-"&amp;I$7,SUP!$B$54:$Q$54,0),FALSE),""))</f>
        <v>0</v>
      </c>
      <c r="J23" s="441">
        <f ca="1">IFERROR(1*IF(IFERROR(VLOOKUP($C23,SUP!$B$54:$Q$104,MATCH($B23&amp;"-"&amp;J$7,SUP!$B$54:$Q$54,0),FALSE),"")="","",IFERROR(VLOOKUP($C23,SUP!$B$54:$Q$104,MATCH($B23&amp;"-"&amp;J$7,SUP!$B$54:$Q$54,0),FALSE),"")),"")</f>
        <v>19.5</v>
      </c>
      <c r="K23" s="441" t="str">
        <f ca="1">IFERROR(1*IF(IFERROR(VLOOKUP($C23,SUP!$B$54:$Q$104,MATCH($B23&amp;"-"&amp;K$7,SUP!$B$54:$Q$54,0),FALSE),"")="","",IFERROR(VLOOKUP($C23,SUP!$B$54:$Q$104,MATCH($B23&amp;"-"&amp;K$7,SUP!$B$54:$Q$54,0),FALSE),"")),"")</f>
        <v/>
      </c>
      <c r="L23" s="441" t="str">
        <f ca="1">IFERROR(1*IF(IFERROR(VLOOKUP($C23,SUP!$B$54:$Q$104,MATCH($B23&amp;"-"&amp;L$7,SUP!$B$54:$Q$54,0),FALSE),"")="","",IFERROR(VLOOKUP($C23,SUP!$B$54:$Q$104,MATCH($B23&amp;"-"&amp;L$7,SUP!$B$54:$Q$54,0),FALSE),"")),"")</f>
        <v/>
      </c>
      <c r="M23" s="441">
        <f ca="1">IFERROR(1*IF(IFERROR(VLOOKUP($C23,SUP!$B$54:$Q$104,MATCH($B23&amp;"-"&amp;M$7,SUP!$B$54:$Q$54,0),FALSE),"")="","",IFERROR(VLOOKUP($C23,SUP!$B$54:$Q$104,MATCH($B23&amp;"-"&amp;M$7,SUP!$B$54:$Q$54,0),FALSE),"")),"")</f>
        <v>19.5</v>
      </c>
      <c r="N23" s="441" t="str">
        <f ca="1">IFERROR(1*IF(IFERROR(VLOOKUP($C23,SUP!$B$54:$Q$104,MATCH($B23&amp;"-"&amp;N$7,SUP!$B$54:$Q$54,0),FALSE),"")="","",IFERROR(VLOOKUP($C23,SUP!$B$54:$Q$104,MATCH($B23&amp;"-"&amp;N$7,SUP!$B$54:$Q$54,0),FALSE),"")),"")</f>
        <v/>
      </c>
      <c r="O23" s="441" t="str">
        <f ca="1">IFERROR(1*IF(IFERROR(VLOOKUP($C23,SUP!$B$54:$Q$104,MATCH($B23&amp;"-"&amp;O$7,SUP!$B$54:$Q$54,0),FALSE),"")="","",IFERROR(VLOOKUP($C23,SUP!$B$54:$Q$104,MATCH($B23&amp;"-"&amp;O$7,SUP!$B$54:$Q$54,0),FALSE),"")),"")</f>
        <v/>
      </c>
      <c r="P23" s="441" t="str">
        <f ca="1">IFERROR(1*IF(IFERROR(VLOOKUP($C23,SUP!$B$54:$Q$104,MATCH($B23&amp;"-"&amp;P$7,SUP!$B$54:$Q$54,0),FALSE),"")="","",IFERROR(VLOOKUP($C23,SUP!$B$54:$Q$104,MATCH($B23&amp;"-"&amp;P$7,SUP!$B$54:$Q$54,0),FALSE),"")),"")</f>
        <v/>
      </c>
      <c r="Q23" s="441" t="str">
        <f ca="1">IFERROR(1*IF(IFERROR(VLOOKUP($C23,SUP!$B$54:$Q$104,MATCH($B23&amp;"-"&amp;Q$7,SUP!$B$54:$Q$54,0),FALSE),"")="","",IFERROR(VLOOKUP($C23,SUP!$B$54:$Q$104,MATCH($B23&amp;"-"&amp;Q$7,SUP!$B$54:$Q$54,0),FALSE),"")),"")</f>
        <v/>
      </c>
      <c r="R23" s="441">
        <f ca="1">IFERROR(1*IF(IFERROR(VLOOKUP($C23,SUP!$B$54:$Q$104,MATCH($B23&amp;"-"&amp;R$7,SUP!$B$54:$Q$54,0),FALSE),"")="","",IFERROR(VLOOKUP($C23,SUP!$B$54:$Q$104,MATCH($B23&amp;"-"&amp;R$7,SUP!$B$54:$Q$54,0),FALSE),"")),"")</f>
        <v>19.5</v>
      </c>
      <c r="S23" s="441" t="str">
        <f ca="1">IFERROR(1*IF(IFERROR(VLOOKUP($C23,SUP!$B$54:$Q$104,MATCH($B23&amp;"-"&amp;S$7,SUP!$B$54:$Q$54,0),FALSE),"")="","",IFERROR(VLOOKUP($C23,SUP!$B$54:$Q$104,MATCH($B23&amp;"-"&amp;S$7,SUP!$B$54:$Q$54,0),FALSE),"")),"")</f>
        <v/>
      </c>
      <c r="T23" s="441" t="str">
        <f ca="1">IFERROR(1*IF(IFERROR(VLOOKUP($C23,SUP!$B$54:$Q$104,MATCH($B23&amp;"-"&amp;T$7,SUP!$B$54:$Q$54,0),FALSE),"")="","",IFERROR(VLOOKUP($C23,SUP!$B$54:$Q$104,MATCH($B23&amp;"-"&amp;T$7,SUP!$B$54:$Q$54,0),FALSE),"")),"")</f>
        <v/>
      </c>
      <c r="U23" s="441" t="str">
        <f ca="1">IFERROR(1*IF(IFERROR(VLOOKUP($C23,SUP!$B$54:$Q$104,MATCH($B23&amp;"-"&amp;U$7,SUP!$B$54:$Q$54,0),FALSE),"")="","",IFERROR(VLOOKUP($C23,SUP!$B$54:$Q$104,MATCH($B23&amp;"-"&amp;U$7,SUP!$B$54:$Q$54,0),FALSE),"")),"")</f>
        <v/>
      </c>
      <c r="V23" s="441" t="str">
        <f ca="1">IFERROR(1*IF(IFERROR(VLOOKUP($C23,SUP!$B$54:$Q$104,MATCH($B23&amp;"-"&amp;V$7,SUP!$B$54:$Q$54,0),FALSE),"")="","",IFERROR(VLOOKUP($C23,SUP!$B$54:$Q$104,MATCH($B23&amp;"-"&amp;V$7,SUP!$B$54:$Q$54,0),FALSE),"")),"")</f>
        <v/>
      </c>
      <c r="W23" s="441" t="str">
        <f ca="1">IFERROR(1*IF(IFERROR(VLOOKUP($C23,SUP!$B$54:$Q$104,MATCH($B23&amp;"-"&amp;W$7,SUP!$B$54:$Q$54,0),FALSE),"")="","",IFERROR(VLOOKUP($C23,SUP!$B$54:$Q$104,MATCH($B23&amp;"-"&amp;W$7,SUP!$B$54:$Q$54,0),FALSE),"")),"")</f>
        <v/>
      </c>
      <c r="X23" s="441" t="str">
        <f ca="1">IFERROR(1*IF(IFERROR(VLOOKUP($C23,SUP!$B$54:$Q$104,MATCH($B23&amp;"-"&amp;X$7,SUP!$B$54:$Q$54,0),FALSE),"")="","",IFERROR(VLOOKUP($C23,SUP!$B$54:$Q$104,MATCH($B23&amp;"-"&amp;X$7,SUP!$B$54:$Q$54,0),FALSE),"")),"")</f>
        <v/>
      </c>
      <c r="Y23" s="441" t="str">
        <f ca="1">IFERROR(1*IF(IFERROR(VLOOKUP($C23,SUP!$B$54:$Q$104,MATCH($B23&amp;"-"&amp;Y$7,SUP!$B$54:$Q$54,0),FALSE),"")="","",IFERROR(VLOOKUP($C23,SUP!$B$54:$Q$104,MATCH($B23&amp;"-"&amp;Y$7,SUP!$B$54:$Q$54,0),FALSE),"")),"")</f>
        <v/>
      </c>
      <c r="Z23" s="441" t="str">
        <f ca="1">IFERROR(1*IF(IFERROR(VLOOKUP($C23,SUP!$B$54:$Q$104,MATCH($B23&amp;"-"&amp;Z$7,SUP!$B$54:$Q$54,0),FALSE),"")="","",IFERROR(VLOOKUP($C23,SUP!$B$54:$Q$104,MATCH($B23&amp;"-"&amp;Z$7,SUP!$B$54:$Q$54,0),FALSE),"")),"")</f>
        <v/>
      </c>
      <c r="AA23" s="441" t="str">
        <f ca="1">IFERROR(1*IF(IFERROR(VLOOKUP($C23,SUP!$B$54:$Q$104,MATCH($B23&amp;"-"&amp;AA$7,SUP!$B$54:$Q$54,0),FALSE),"")="","",IFERROR(VLOOKUP($C23,SUP!$B$54:$Q$104,MATCH($B23&amp;"-"&amp;AA$7,SUP!$B$54:$Q$54,0),FALSE),"")),"")</f>
        <v/>
      </c>
      <c r="AB23" s="441">
        <f ca="1">IFERROR(1*IF(IFERROR(VLOOKUP($C23,SUP!$B$54:$Q$104,MATCH($B23&amp;"-"&amp;AB$7,SUP!$B$54:$Q$54,0),FALSE),"")="","",IFERROR(VLOOKUP($C23,SUP!$B$54:$Q$104,MATCH($B23&amp;"-"&amp;AB$7,SUP!$B$54:$Q$54,0),FALSE),"")),"")</f>
        <v>19.5</v>
      </c>
      <c r="AC23" s="441" t="str">
        <f ca="1">IFERROR(1*IF(IFERROR(VLOOKUP($C23,SUP!$B$54:$Q$104,MATCH($B23&amp;"-"&amp;AC$7,SUP!$B$54:$Q$54,0),FALSE),"")="","",IFERROR(VLOOKUP($C23,SUP!$B$54:$Q$104,MATCH($B23&amp;"-"&amp;AC$7,SUP!$B$54:$Q$54,0),FALSE),"")),"")</f>
        <v/>
      </c>
      <c r="AD23" s="441" t="str">
        <f ca="1">IFERROR(1*IF(IFERROR(VLOOKUP($C23,SUP!$B$54:$Q$104,MATCH($B23&amp;"-"&amp;AD$7,SUP!$B$54:$Q$54,0),FALSE),"")="","",IFERROR(VLOOKUP($C23,SUP!$B$54:$Q$104,MATCH($B23&amp;"-"&amp;AD$7,SUP!$B$54:$Q$54,0),FALSE),"")),"")</f>
        <v/>
      </c>
      <c r="AE23" s="441" t="str">
        <f ca="1">IFERROR(1*IF(IFERROR(VLOOKUP($C23,SUP!$B$54:$Q$104,MATCH($B23&amp;"-"&amp;AE$7,SUP!$B$54:$Q$54,0),FALSE),"")="","",IFERROR(VLOOKUP($C23,SUP!$B$54:$Q$104,MATCH($B23&amp;"-"&amp;AE$7,SUP!$B$54:$Q$54,0),FALSE),"")),"")</f>
        <v/>
      </c>
      <c r="AF23" s="441" t="str">
        <f ca="1">IFERROR(1*IF(IFERROR(VLOOKUP($C23,SUP!$B$54:$Q$104,MATCH($B23&amp;"-"&amp;AF$7,SUP!$B$54:$Q$54,0),FALSE),"")="","",IFERROR(VLOOKUP($C23,SUP!$B$54:$Q$104,MATCH($B23&amp;"-"&amp;AF$7,SUP!$B$54:$Q$54,0),FALSE),"")),"")</f>
        <v/>
      </c>
      <c r="AG23" s="441" t="str">
        <f ca="1">IFERROR(1*IF(IFERROR(VLOOKUP($C23,SUP!$B$54:$Q$104,MATCH($B23&amp;"-"&amp;AG$7,SUP!$B$54:$Q$54,0),FALSE),"")="","",IFERROR(VLOOKUP($C23,SUP!$B$54:$Q$104,MATCH($B23&amp;"-"&amp;AG$7,SUP!$B$54:$Q$54,0),FALSE),"")),"")</f>
        <v/>
      </c>
      <c r="AH23" s="441" t="str">
        <f ca="1">IFERROR(1*IF(IFERROR(VLOOKUP($C23,SUP!$B$54:$Q$104,MATCH($B23&amp;"-"&amp;AH$7,SUP!$B$54:$Q$54,0),FALSE),"")="","",IFERROR(VLOOKUP($C23,SUP!$B$54:$Q$104,MATCH($B23&amp;"-"&amp;AH$7,SUP!$B$54:$Q$54,0),FALSE),"")),"")</f>
        <v/>
      </c>
      <c r="AI23" s="441" t="str">
        <f ca="1">IFERROR(1*IF(IFERROR(VLOOKUP($C23,SUP!$B$54:$Q$104,MATCH($B23&amp;"-"&amp;AI$7,SUP!$B$54:$Q$54,0),FALSE),"")="","",IFERROR(VLOOKUP($C23,SUP!$B$54:$Q$104,MATCH($B23&amp;"-"&amp;AI$7,SUP!$B$54:$Q$54,0),FALSE),"")),"")</f>
        <v/>
      </c>
      <c r="AJ23" s="441" t="str">
        <f ca="1">IFERROR(1*IF(IFERROR(VLOOKUP($C23,SUP!$B$54:$Q$104,MATCH($B23&amp;"-"&amp;AJ$7,SUP!$B$54:$Q$54,0),FALSE),"")="","",IFERROR(VLOOKUP($C23,SUP!$B$54:$Q$104,MATCH($B23&amp;"-"&amp;AJ$7,SUP!$B$54:$Q$54,0),FALSE),"")),"")</f>
        <v/>
      </c>
      <c r="AK23" s="441" t="str">
        <f ca="1">IFERROR(1*IF(IFERROR(VLOOKUP($C23,SUP!$B$54:$Q$104,MATCH($B23&amp;"-"&amp;AK$7,SUP!$B$54:$Q$54,0),FALSE),"")="","",IFERROR(VLOOKUP($C23,SUP!$B$54:$Q$104,MATCH($B23&amp;"-"&amp;AK$7,SUP!$B$54:$Q$54,0),FALSE),"")),"")</f>
        <v/>
      </c>
      <c r="AL23" s="441" t="str">
        <f ca="1">IFERROR(1*IF(IFERROR(VLOOKUP($C23,SUP!$B$54:$Q$104,MATCH($B23&amp;"-"&amp;AL$7,SUP!$B$54:$Q$54,0),FALSE),"")="","",IFERROR(VLOOKUP($C23,SUP!$B$54:$Q$104,MATCH($B23&amp;"-"&amp;AL$7,SUP!$B$54:$Q$54,0),FALSE),"")),"")</f>
        <v/>
      </c>
      <c r="AM23" s="441" t="str">
        <f ca="1">IFERROR(1*IF(IFERROR(VLOOKUP($C23,SUP!$B$54:$Q$104,MATCH($B23&amp;"-"&amp;AM$7,SUP!$B$54:$Q$54,0),FALSE),"")="","",IFERROR(VLOOKUP($C23,SUP!$B$54:$Q$104,MATCH($B23&amp;"-"&amp;AM$7,SUP!$B$54:$Q$54,0),FALSE),"")),"")</f>
        <v/>
      </c>
      <c r="AN23" s="441">
        <f ca="1">IFERROR(1*IF(IFERROR(VLOOKUP($C23,SUP!$B$54:$Q$104,MATCH($B23&amp;"-"&amp;AN$7,SUP!$B$54:$Q$54,0),FALSE),"")="","",IFERROR(VLOOKUP($C23,SUP!$B$54:$Q$104,MATCH($B23&amp;"-"&amp;AN$7,SUP!$B$54:$Q$54,0),FALSE),"")),"")</f>
        <v>19.5</v>
      </c>
      <c r="AO23" s="441" t="str">
        <f ca="1">IFERROR(1*IF(IFERROR(VLOOKUP($C23,SUP!$B$54:$Q$104,MATCH($B23&amp;"-"&amp;AO$7,SUP!$B$54:$Q$54,0),FALSE),"")="","",IFERROR(VLOOKUP($C23,SUP!$B$54:$Q$104,MATCH($B23&amp;"-"&amp;AO$7,SUP!$B$54:$Q$54,0),FALSE),"")),"")</f>
        <v/>
      </c>
      <c r="AR23" s="42">
        <f>IF(AS22=SUP!$B$104,AR22+1,AR22)</f>
        <v>1</v>
      </c>
      <c r="AS23" s="42">
        <f t="shared" ref="AS23:AS86" si="6">IF(AR23=AR22,AS22+1,1)</f>
        <v>11</v>
      </c>
    </row>
    <row r="24" spans="1:45">
      <c r="A24" s="42" t="str">
        <f ca="1">IF(LEFT(OFFSET(SUP!$A$57,AS24,0),2)="\I","*","")</f>
        <v/>
      </c>
      <c r="B24" s="440" t="str">
        <f t="shared" ca="1" si="1"/>
        <v>ACT_COST</v>
      </c>
      <c r="C24" s="440" t="str">
        <f ca="1">IF($A24="*","",OFFSET(SUP!$B$57,AS24,0))</f>
        <v>MINBIO</v>
      </c>
      <c r="D24" s="440" t="str">
        <f t="shared" ca="1" si="2"/>
        <v>-</v>
      </c>
      <c r="E24" s="440" t="str">
        <f t="shared" ca="1" si="2"/>
        <v>-</v>
      </c>
      <c r="F24" s="440" t="str">
        <f t="shared" ca="1" si="2"/>
        <v>-</v>
      </c>
      <c r="G24" s="440" t="str">
        <f t="shared" ca="1" si="2"/>
        <v>-</v>
      </c>
      <c r="H24" s="440" t="str">
        <f t="shared" ca="1" si="5"/>
        <v>-</v>
      </c>
      <c r="I24" s="441">
        <f ca="1">IF(IFERROR(VLOOKUP($C24,SUP!$B$54:$Q$104,MATCH($B24&amp;"-"&amp;I$7,SUP!$B$54:$Q$54,0),FALSE),"")="","",IFERROR(VLOOKUP($C24,SUP!$B$54:$Q$104,MATCH($B24&amp;"-"&amp;I$7,SUP!$B$54:$Q$54,0),FALSE),""))</f>
        <v>0</v>
      </c>
      <c r="J24" s="441">
        <f ca="1">IFERROR(1*IF(IFERROR(VLOOKUP($C24,SUP!$B$54:$Q$104,MATCH($B24&amp;"-"&amp;J$7,SUP!$B$54:$Q$54,0),FALSE),"")="","",IFERROR(VLOOKUP($C24,SUP!$B$54:$Q$104,MATCH($B24&amp;"-"&amp;J$7,SUP!$B$54:$Q$54,0),FALSE),"")),"")</f>
        <v>47.262833333333333</v>
      </c>
      <c r="K24" s="441" t="str">
        <f ca="1">IFERROR(1*IF(IFERROR(VLOOKUP($C24,SUP!$B$54:$Q$104,MATCH($B24&amp;"-"&amp;K$7,SUP!$B$54:$Q$54,0),FALSE),"")="","",IFERROR(VLOOKUP($C24,SUP!$B$54:$Q$104,MATCH($B24&amp;"-"&amp;K$7,SUP!$B$54:$Q$54,0),FALSE),"")),"")</f>
        <v/>
      </c>
      <c r="L24" s="441" t="str">
        <f ca="1">IFERROR(1*IF(IFERROR(VLOOKUP($C24,SUP!$B$54:$Q$104,MATCH($B24&amp;"-"&amp;L$7,SUP!$B$54:$Q$54,0),FALSE),"")="","",IFERROR(VLOOKUP($C24,SUP!$B$54:$Q$104,MATCH($B24&amp;"-"&amp;L$7,SUP!$B$54:$Q$54,0),FALSE),"")),"")</f>
        <v/>
      </c>
      <c r="M24" s="441">
        <f ca="1">IFERROR(1*IF(IFERROR(VLOOKUP($C24,SUP!$B$54:$Q$104,MATCH($B24&amp;"-"&amp;M$7,SUP!$B$54:$Q$54,0),FALSE),"")="","",IFERROR(VLOOKUP($C24,SUP!$B$54:$Q$104,MATCH($B24&amp;"-"&amp;M$7,SUP!$B$54:$Q$54,0),FALSE),"")),"")</f>
        <v>47.571416666666664</v>
      </c>
      <c r="N24" s="441" t="str">
        <f ca="1">IFERROR(1*IF(IFERROR(VLOOKUP($C24,SUP!$B$54:$Q$104,MATCH($B24&amp;"-"&amp;N$7,SUP!$B$54:$Q$54,0),FALSE),"")="","",IFERROR(VLOOKUP($C24,SUP!$B$54:$Q$104,MATCH($B24&amp;"-"&amp;N$7,SUP!$B$54:$Q$54,0),FALSE),"")),"")</f>
        <v/>
      </c>
      <c r="O24" s="441" t="str">
        <f ca="1">IFERROR(1*IF(IFERROR(VLOOKUP($C24,SUP!$B$54:$Q$104,MATCH($B24&amp;"-"&amp;O$7,SUP!$B$54:$Q$54,0),FALSE),"")="","",IFERROR(VLOOKUP($C24,SUP!$B$54:$Q$104,MATCH($B24&amp;"-"&amp;O$7,SUP!$B$54:$Q$54,0),FALSE),"")),"")</f>
        <v/>
      </c>
      <c r="P24" s="441" t="str">
        <f ca="1">IFERROR(1*IF(IFERROR(VLOOKUP($C24,SUP!$B$54:$Q$104,MATCH($B24&amp;"-"&amp;P$7,SUP!$B$54:$Q$54,0),FALSE),"")="","",IFERROR(VLOOKUP($C24,SUP!$B$54:$Q$104,MATCH($B24&amp;"-"&amp;P$7,SUP!$B$54:$Q$54,0),FALSE),"")),"")</f>
        <v/>
      </c>
      <c r="Q24" s="441" t="str">
        <f ca="1">IFERROR(1*IF(IFERROR(VLOOKUP($C24,SUP!$B$54:$Q$104,MATCH($B24&amp;"-"&amp;Q$7,SUP!$B$54:$Q$54,0),FALSE),"")="","",IFERROR(VLOOKUP($C24,SUP!$B$54:$Q$104,MATCH($B24&amp;"-"&amp;Q$7,SUP!$B$54:$Q$54,0),FALSE),"")),"")</f>
        <v/>
      </c>
      <c r="R24" s="441">
        <f ca="1">IFERROR(1*IF(IFERROR(VLOOKUP($C24,SUP!$B$54:$Q$104,MATCH($B24&amp;"-"&amp;R$7,SUP!$B$54:$Q$54,0),FALSE),"")="","",IFERROR(VLOOKUP($C24,SUP!$B$54:$Q$104,MATCH($B24&amp;"-"&amp;R$7,SUP!$B$54:$Q$54,0),FALSE),"")),"")</f>
        <v>47.88</v>
      </c>
      <c r="S24" s="441" t="str">
        <f ca="1">IFERROR(1*IF(IFERROR(VLOOKUP($C24,SUP!$B$54:$Q$104,MATCH($B24&amp;"-"&amp;S$7,SUP!$B$54:$Q$54,0),FALSE),"")="","",IFERROR(VLOOKUP($C24,SUP!$B$54:$Q$104,MATCH($B24&amp;"-"&amp;S$7,SUP!$B$54:$Q$54,0),FALSE),"")),"")</f>
        <v/>
      </c>
      <c r="T24" s="441" t="str">
        <f ca="1">IFERROR(1*IF(IFERROR(VLOOKUP($C24,SUP!$B$54:$Q$104,MATCH($B24&amp;"-"&amp;T$7,SUP!$B$54:$Q$54,0),FALSE),"")="","",IFERROR(VLOOKUP($C24,SUP!$B$54:$Q$104,MATCH($B24&amp;"-"&amp;T$7,SUP!$B$54:$Q$54,0),FALSE),"")),"")</f>
        <v/>
      </c>
      <c r="U24" s="441" t="str">
        <f ca="1">IFERROR(1*IF(IFERROR(VLOOKUP($C24,SUP!$B$54:$Q$104,MATCH($B24&amp;"-"&amp;U$7,SUP!$B$54:$Q$54,0),FALSE),"")="","",IFERROR(VLOOKUP($C24,SUP!$B$54:$Q$104,MATCH($B24&amp;"-"&amp;U$7,SUP!$B$54:$Q$54,0),FALSE),"")),"")</f>
        <v/>
      </c>
      <c r="V24" s="441" t="str">
        <f ca="1">IFERROR(1*IF(IFERROR(VLOOKUP($C24,SUP!$B$54:$Q$104,MATCH($B24&amp;"-"&amp;V$7,SUP!$B$54:$Q$54,0),FALSE),"")="","",IFERROR(VLOOKUP($C24,SUP!$B$54:$Q$104,MATCH($B24&amp;"-"&amp;V$7,SUP!$B$54:$Q$54,0),FALSE),"")),"")</f>
        <v/>
      </c>
      <c r="W24" s="441" t="str">
        <f ca="1">IFERROR(1*IF(IFERROR(VLOOKUP($C24,SUP!$B$54:$Q$104,MATCH($B24&amp;"-"&amp;W$7,SUP!$B$54:$Q$54,0),FALSE),"")="","",IFERROR(VLOOKUP($C24,SUP!$B$54:$Q$104,MATCH($B24&amp;"-"&amp;W$7,SUP!$B$54:$Q$54,0),FALSE),"")),"")</f>
        <v/>
      </c>
      <c r="X24" s="441" t="str">
        <f ca="1">IFERROR(1*IF(IFERROR(VLOOKUP($C24,SUP!$B$54:$Q$104,MATCH($B24&amp;"-"&amp;X$7,SUP!$B$54:$Q$54,0),FALSE),"")="","",IFERROR(VLOOKUP($C24,SUP!$B$54:$Q$104,MATCH($B24&amp;"-"&amp;X$7,SUP!$B$54:$Q$54,0),FALSE),"")),"")</f>
        <v/>
      </c>
      <c r="Y24" s="441" t="str">
        <f ca="1">IFERROR(1*IF(IFERROR(VLOOKUP($C24,SUP!$B$54:$Q$104,MATCH($B24&amp;"-"&amp;Y$7,SUP!$B$54:$Q$54,0),FALSE),"")="","",IFERROR(VLOOKUP($C24,SUP!$B$54:$Q$104,MATCH($B24&amp;"-"&amp;Y$7,SUP!$B$54:$Q$54,0),FALSE),"")),"")</f>
        <v/>
      </c>
      <c r="Z24" s="441" t="str">
        <f ca="1">IFERROR(1*IF(IFERROR(VLOOKUP($C24,SUP!$B$54:$Q$104,MATCH($B24&amp;"-"&amp;Z$7,SUP!$B$54:$Q$54,0),FALSE),"")="","",IFERROR(VLOOKUP($C24,SUP!$B$54:$Q$104,MATCH($B24&amp;"-"&amp;Z$7,SUP!$B$54:$Q$54,0),FALSE),"")),"")</f>
        <v/>
      </c>
      <c r="AA24" s="441" t="str">
        <f ca="1">IFERROR(1*IF(IFERROR(VLOOKUP($C24,SUP!$B$54:$Q$104,MATCH($B24&amp;"-"&amp;AA$7,SUP!$B$54:$Q$54,0),FALSE),"")="","",IFERROR(VLOOKUP($C24,SUP!$B$54:$Q$104,MATCH($B24&amp;"-"&amp;AA$7,SUP!$B$54:$Q$54,0),FALSE),"")),"")</f>
        <v/>
      </c>
      <c r="AB24" s="441">
        <f ca="1">IFERROR(1*IF(IFERROR(VLOOKUP($C24,SUP!$B$54:$Q$104,MATCH($B24&amp;"-"&amp;AB$7,SUP!$B$54:$Q$54,0),FALSE),"")="","",IFERROR(VLOOKUP($C24,SUP!$B$54:$Q$104,MATCH($B24&amp;"-"&amp;AB$7,SUP!$B$54:$Q$54,0),FALSE),"")),"")</f>
        <v>47.88</v>
      </c>
      <c r="AC24" s="441" t="str">
        <f ca="1">IFERROR(1*IF(IFERROR(VLOOKUP($C24,SUP!$B$54:$Q$104,MATCH($B24&amp;"-"&amp;AC$7,SUP!$B$54:$Q$54,0),FALSE),"")="","",IFERROR(VLOOKUP($C24,SUP!$B$54:$Q$104,MATCH($B24&amp;"-"&amp;AC$7,SUP!$B$54:$Q$54,0),FALSE),"")),"")</f>
        <v/>
      </c>
      <c r="AD24" s="441" t="str">
        <f ca="1">IFERROR(1*IF(IFERROR(VLOOKUP($C24,SUP!$B$54:$Q$104,MATCH($B24&amp;"-"&amp;AD$7,SUP!$B$54:$Q$54,0),FALSE),"")="","",IFERROR(VLOOKUP($C24,SUP!$B$54:$Q$104,MATCH($B24&amp;"-"&amp;AD$7,SUP!$B$54:$Q$54,0),FALSE),"")),"")</f>
        <v/>
      </c>
      <c r="AE24" s="441" t="str">
        <f ca="1">IFERROR(1*IF(IFERROR(VLOOKUP($C24,SUP!$B$54:$Q$104,MATCH($B24&amp;"-"&amp;AE$7,SUP!$B$54:$Q$54,0),FALSE),"")="","",IFERROR(VLOOKUP($C24,SUP!$B$54:$Q$104,MATCH($B24&amp;"-"&amp;AE$7,SUP!$B$54:$Q$54,0),FALSE),"")),"")</f>
        <v/>
      </c>
      <c r="AF24" s="441" t="str">
        <f ca="1">IFERROR(1*IF(IFERROR(VLOOKUP($C24,SUP!$B$54:$Q$104,MATCH($B24&amp;"-"&amp;AF$7,SUP!$B$54:$Q$54,0),FALSE),"")="","",IFERROR(VLOOKUP($C24,SUP!$B$54:$Q$104,MATCH($B24&amp;"-"&amp;AF$7,SUP!$B$54:$Q$54,0),FALSE),"")),"")</f>
        <v/>
      </c>
      <c r="AG24" s="441" t="str">
        <f ca="1">IFERROR(1*IF(IFERROR(VLOOKUP($C24,SUP!$B$54:$Q$104,MATCH($B24&amp;"-"&amp;AG$7,SUP!$B$54:$Q$54,0),FALSE),"")="","",IFERROR(VLOOKUP($C24,SUP!$B$54:$Q$104,MATCH($B24&amp;"-"&amp;AG$7,SUP!$B$54:$Q$54,0),FALSE),"")),"")</f>
        <v/>
      </c>
      <c r="AH24" s="441" t="str">
        <f ca="1">IFERROR(1*IF(IFERROR(VLOOKUP($C24,SUP!$B$54:$Q$104,MATCH($B24&amp;"-"&amp;AH$7,SUP!$B$54:$Q$54,0),FALSE),"")="","",IFERROR(VLOOKUP($C24,SUP!$B$54:$Q$104,MATCH($B24&amp;"-"&amp;AH$7,SUP!$B$54:$Q$54,0),FALSE),"")),"")</f>
        <v/>
      </c>
      <c r="AI24" s="441" t="str">
        <f ca="1">IFERROR(1*IF(IFERROR(VLOOKUP($C24,SUP!$B$54:$Q$104,MATCH($B24&amp;"-"&amp;AI$7,SUP!$B$54:$Q$54,0),FALSE),"")="","",IFERROR(VLOOKUP($C24,SUP!$B$54:$Q$104,MATCH($B24&amp;"-"&amp;AI$7,SUP!$B$54:$Q$54,0),FALSE),"")),"")</f>
        <v/>
      </c>
      <c r="AJ24" s="441" t="str">
        <f ca="1">IFERROR(1*IF(IFERROR(VLOOKUP($C24,SUP!$B$54:$Q$104,MATCH($B24&amp;"-"&amp;AJ$7,SUP!$B$54:$Q$54,0),FALSE),"")="","",IFERROR(VLOOKUP($C24,SUP!$B$54:$Q$104,MATCH($B24&amp;"-"&amp;AJ$7,SUP!$B$54:$Q$54,0),FALSE),"")),"")</f>
        <v/>
      </c>
      <c r="AK24" s="441" t="str">
        <f ca="1">IFERROR(1*IF(IFERROR(VLOOKUP($C24,SUP!$B$54:$Q$104,MATCH($B24&amp;"-"&amp;AK$7,SUP!$B$54:$Q$54,0),FALSE),"")="","",IFERROR(VLOOKUP($C24,SUP!$B$54:$Q$104,MATCH($B24&amp;"-"&amp;AK$7,SUP!$B$54:$Q$54,0),FALSE),"")),"")</f>
        <v/>
      </c>
      <c r="AL24" s="441" t="str">
        <f ca="1">IFERROR(1*IF(IFERROR(VLOOKUP($C24,SUP!$B$54:$Q$104,MATCH($B24&amp;"-"&amp;AL$7,SUP!$B$54:$Q$54,0),FALSE),"")="","",IFERROR(VLOOKUP($C24,SUP!$B$54:$Q$104,MATCH($B24&amp;"-"&amp;AL$7,SUP!$B$54:$Q$54,0),FALSE),"")),"")</f>
        <v/>
      </c>
      <c r="AM24" s="441" t="str">
        <f ca="1">IFERROR(1*IF(IFERROR(VLOOKUP($C24,SUP!$B$54:$Q$104,MATCH($B24&amp;"-"&amp;AM$7,SUP!$B$54:$Q$54,0),FALSE),"")="","",IFERROR(VLOOKUP($C24,SUP!$B$54:$Q$104,MATCH($B24&amp;"-"&amp;AM$7,SUP!$B$54:$Q$54,0),FALSE),"")),"")</f>
        <v/>
      </c>
      <c r="AN24" s="441">
        <f ca="1">IFERROR(1*IF(IFERROR(VLOOKUP($C24,SUP!$B$54:$Q$104,MATCH($B24&amp;"-"&amp;AN$7,SUP!$B$54:$Q$54,0),FALSE),"")="","",IFERROR(VLOOKUP($C24,SUP!$B$54:$Q$104,MATCH($B24&amp;"-"&amp;AN$7,SUP!$B$54:$Q$54,0),FALSE),"")),"")</f>
        <v>47.88</v>
      </c>
      <c r="AO24" s="441" t="str">
        <f ca="1">IFERROR(1*IF(IFERROR(VLOOKUP($C24,SUP!$B$54:$Q$104,MATCH($B24&amp;"-"&amp;AO$7,SUP!$B$54:$Q$54,0),FALSE),"")="","",IFERROR(VLOOKUP($C24,SUP!$B$54:$Q$104,MATCH($B24&amp;"-"&amp;AO$7,SUP!$B$54:$Q$54,0),FALSE),"")),"")</f>
        <v/>
      </c>
      <c r="AR24" s="42">
        <f>IF(AS23=SUP!$B$104,AR23+1,AR23)</f>
        <v>1</v>
      </c>
      <c r="AS24" s="42">
        <f t="shared" si="6"/>
        <v>12</v>
      </c>
    </row>
    <row r="25" spans="1:45">
      <c r="A25" s="42" t="str">
        <f ca="1">IF(LEFT(OFFSET(SUP!$A$57,AS25,0),2)="\I","*","")</f>
        <v/>
      </c>
      <c r="B25" s="440" t="str">
        <f t="shared" ca="1" si="1"/>
        <v>ACT_COST</v>
      </c>
      <c r="C25" s="440" t="str">
        <f ca="1">IF($A25="*","",OFFSET(SUP!$B$57,AS25,0))</f>
        <v>MINBIW</v>
      </c>
      <c r="D25" s="440" t="str">
        <f t="shared" ca="1" si="2"/>
        <v>-</v>
      </c>
      <c r="E25" s="440" t="str">
        <f t="shared" ca="1" si="2"/>
        <v>-</v>
      </c>
      <c r="F25" s="440" t="str">
        <f t="shared" ca="1" si="2"/>
        <v>-</v>
      </c>
      <c r="G25" s="440" t="str">
        <f t="shared" ca="1" si="2"/>
        <v>-</v>
      </c>
      <c r="H25" s="440" t="str">
        <f t="shared" ca="1" si="5"/>
        <v>-</v>
      </c>
      <c r="I25" s="441">
        <f ca="1">IF(IFERROR(VLOOKUP($C25,SUP!$B$54:$Q$104,MATCH($B25&amp;"-"&amp;I$7,SUP!$B$54:$Q$54,0),FALSE),"")="","",IFERROR(VLOOKUP($C25,SUP!$B$54:$Q$104,MATCH($B25&amp;"-"&amp;I$7,SUP!$B$54:$Q$54,0),FALSE),""))</f>
        <v>0</v>
      </c>
      <c r="J25" s="441">
        <f ca="1">IFERROR(1*IF(IFERROR(VLOOKUP($C25,SUP!$B$54:$Q$104,MATCH($B25&amp;"-"&amp;J$7,SUP!$B$54:$Q$54,0),FALSE),"")="","",IFERROR(VLOOKUP($C25,SUP!$B$54:$Q$104,MATCH($B25&amp;"-"&amp;J$7,SUP!$B$54:$Q$54,0),FALSE),"")),"")</f>
        <v>19.5</v>
      </c>
      <c r="K25" s="441" t="str">
        <f ca="1">IFERROR(1*IF(IFERROR(VLOOKUP($C25,SUP!$B$54:$Q$104,MATCH($B25&amp;"-"&amp;K$7,SUP!$B$54:$Q$54,0),FALSE),"")="","",IFERROR(VLOOKUP($C25,SUP!$B$54:$Q$104,MATCH($B25&amp;"-"&amp;K$7,SUP!$B$54:$Q$54,0),FALSE),"")),"")</f>
        <v/>
      </c>
      <c r="L25" s="441" t="str">
        <f ca="1">IFERROR(1*IF(IFERROR(VLOOKUP($C25,SUP!$B$54:$Q$104,MATCH($B25&amp;"-"&amp;L$7,SUP!$B$54:$Q$54,0),FALSE),"")="","",IFERROR(VLOOKUP($C25,SUP!$B$54:$Q$104,MATCH($B25&amp;"-"&amp;L$7,SUP!$B$54:$Q$54,0),FALSE),"")),"")</f>
        <v/>
      </c>
      <c r="M25" s="441">
        <f ca="1">IFERROR(1*IF(IFERROR(VLOOKUP($C25,SUP!$B$54:$Q$104,MATCH($B25&amp;"-"&amp;M$7,SUP!$B$54:$Q$54,0),FALSE),"")="","",IFERROR(VLOOKUP($C25,SUP!$B$54:$Q$104,MATCH($B25&amp;"-"&amp;M$7,SUP!$B$54:$Q$54,0),FALSE),"")),"")</f>
        <v>19.5</v>
      </c>
      <c r="N25" s="441" t="str">
        <f ca="1">IFERROR(1*IF(IFERROR(VLOOKUP($C25,SUP!$B$54:$Q$104,MATCH($B25&amp;"-"&amp;N$7,SUP!$B$54:$Q$54,0),FALSE),"")="","",IFERROR(VLOOKUP($C25,SUP!$B$54:$Q$104,MATCH($B25&amp;"-"&amp;N$7,SUP!$B$54:$Q$54,0),FALSE),"")),"")</f>
        <v/>
      </c>
      <c r="O25" s="441" t="str">
        <f ca="1">IFERROR(1*IF(IFERROR(VLOOKUP($C25,SUP!$B$54:$Q$104,MATCH($B25&amp;"-"&amp;O$7,SUP!$B$54:$Q$54,0),FALSE),"")="","",IFERROR(VLOOKUP($C25,SUP!$B$54:$Q$104,MATCH($B25&amp;"-"&amp;O$7,SUP!$B$54:$Q$54,0),FALSE),"")),"")</f>
        <v/>
      </c>
      <c r="P25" s="441" t="str">
        <f ca="1">IFERROR(1*IF(IFERROR(VLOOKUP($C25,SUP!$B$54:$Q$104,MATCH($B25&amp;"-"&amp;P$7,SUP!$B$54:$Q$54,0),FALSE),"")="","",IFERROR(VLOOKUP($C25,SUP!$B$54:$Q$104,MATCH($B25&amp;"-"&amp;P$7,SUP!$B$54:$Q$54,0),FALSE),"")),"")</f>
        <v/>
      </c>
      <c r="Q25" s="441" t="str">
        <f ca="1">IFERROR(1*IF(IFERROR(VLOOKUP($C25,SUP!$B$54:$Q$104,MATCH($B25&amp;"-"&amp;Q$7,SUP!$B$54:$Q$54,0),FALSE),"")="","",IFERROR(VLOOKUP($C25,SUP!$B$54:$Q$104,MATCH($B25&amp;"-"&amp;Q$7,SUP!$B$54:$Q$54,0),FALSE),"")),"")</f>
        <v/>
      </c>
      <c r="R25" s="441">
        <f ca="1">IFERROR(1*IF(IFERROR(VLOOKUP($C25,SUP!$B$54:$Q$104,MATCH($B25&amp;"-"&amp;R$7,SUP!$B$54:$Q$54,0),FALSE),"")="","",IFERROR(VLOOKUP($C25,SUP!$B$54:$Q$104,MATCH($B25&amp;"-"&amp;R$7,SUP!$B$54:$Q$54,0),FALSE),"")),"")</f>
        <v>19.5</v>
      </c>
      <c r="S25" s="441" t="str">
        <f ca="1">IFERROR(1*IF(IFERROR(VLOOKUP($C25,SUP!$B$54:$Q$104,MATCH($B25&amp;"-"&amp;S$7,SUP!$B$54:$Q$54,0),FALSE),"")="","",IFERROR(VLOOKUP($C25,SUP!$B$54:$Q$104,MATCH($B25&amp;"-"&amp;S$7,SUP!$B$54:$Q$54,0),FALSE),"")),"")</f>
        <v/>
      </c>
      <c r="T25" s="441" t="str">
        <f ca="1">IFERROR(1*IF(IFERROR(VLOOKUP($C25,SUP!$B$54:$Q$104,MATCH($B25&amp;"-"&amp;T$7,SUP!$B$54:$Q$54,0),FALSE),"")="","",IFERROR(VLOOKUP($C25,SUP!$B$54:$Q$104,MATCH($B25&amp;"-"&amp;T$7,SUP!$B$54:$Q$54,0),FALSE),"")),"")</f>
        <v/>
      </c>
      <c r="U25" s="441" t="str">
        <f ca="1">IFERROR(1*IF(IFERROR(VLOOKUP($C25,SUP!$B$54:$Q$104,MATCH($B25&amp;"-"&amp;U$7,SUP!$B$54:$Q$54,0),FALSE),"")="","",IFERROR(VLOOKUP($C25,SUP!$B$54:$Q$104,MATCH($B25&amp;"-"&amp;U$7,SUP!$B$54:$Q$54,0),FALSE),"")),"")</f>
        <v/>
      </c>
      <c r="V25" s="441" t="str">
        <f ca="1">IFERROR(1*IF(IFERROR(VLOOKUP($C25,SUP!$B$54:$Q$104,MATCH($B25&amp;"-"&amp;V$7,SUP!$B$54:$Q$54,0),FALSE),"")="","",IFERROR(VLOOKUP($C25,SUP!$B$54:$Q$104,MATCH($B25&amp;"-"&amp;V$7,SUP!$B$54:$Q$54,0),FALSE),"")),"")</f>
        <v/>
      </c>
      <c r="W25" s="441" t="str">
        <f ca="1">IFERROR(1*IF(IFERROR(VLOOKUP($C25,SUP!$B$54:$Q$104,MATCH($B25&amp;"-"&amp;W$7,SUP!$B$54:$Q$54,0),FALSE),"")="","",IFERROR(VLOOKUP($C25,SUP!$B$54:$Q$104,MATCH($B25&amp;"-"&amp;W$7,SUP!$B$54:$Q$54,0),FALSE),"")),"")</f>
        <v/>
      </c>
      <c r="X25" s="441" t="str">
        <f ca="1">IFERROR(1*IF(IFERROR(VLOOKUP($C25,SUP!$B$54:$Q$104,MATCH($B25&amp;"-"&amp;X$7,SUP!$B$54:$Q$54,0),FALSE),"")="","",IFERROR(VLOOKUP($C25,SUP!$B$54:$Q$104,MATCH($B25&amp;"-"&amp;X$7,SUP!$B$54:$Q$54,0),FALSE),"")),"")</f>
        <v/>
      </c>
      <c r="Y25" s="441" t="str">
        <f ca="1">IFERROR(1*IF(IFERROR(VLOOKUP($C25,SUP!$B$54:$Q$104,MATCH($B25&amp;"-"&amp;Y$7,SUP!$B$54:$Q$54,0),FALSE),"")="","",IFERROR(VLOOKUP($C25,SUP!$B$54:$Q$104,MATCH($B25&amp;"-"&amp;Y$7,SUP!$B$54:$Q$54,0),FALSE),"")),"")</f>
        <v/>
      </c>
      <c r="Z25" s="441" t="str">
        <f ca="1">IFERROR(1*IF(IFERROR(VLOOKUP($C25,SUP!$B$54:$Q$104,MATCH($B25&amp;"-"&amp;Z$7,SUP!$B$54:$Q$54,0),FALSE),"")="","",IFERROR(VLOOKUP($C25,SUP!$B$54:$Q$104,MATCH($B25&amp;"-"&amp;Z$7,SUP!$B$54:$Q$54,0),FALSE),"")),"")</f>
        <v/>
      </c>
      <c r="AA25" s="441" t="str">
        <f ca="1">IFERROR(1*IF(IFERROR(VLOOKUP($C25,SUP!$B$54:$Q$104,MATCH($B25&amp;"-"&amp;AA$7,SUP!$B$54:$Q$54,0),FALSE),"")="","",IFERROR(VLOOKUP($C25,SUP!$B$54:$Q$104,MATCH($B25&amp;"-"&amp;AA$7,SUP!$B$54:$Q$54,0),FALSE),"")),"")</f>
        <v/>
      </c>
      <c r="AB25" s="441">
        <f ca="1">IFERROR(1*IF(IFERROR(VLOOKUP($C25,SUP!$B$54:$Q$104,MATCH($B25&amp;"-"&amp;AB$7,SUP!$B$54:$Q$54,0),FALSE),"")="","",IFERROR(VLOOKUP($C25,SUP!$B$54:$Q$104,MATCH($B25&amp;"-"&amp;AB$7,SUP!$B$54:$Q$54,0),FALSE),"")),"")</f>
        <v>19.5</v>
      </c>
      <c r="AC25" s="441" t="str">
        <f ca="1">IFERROR(1*IF(IFERROR(VLOOKUP($C25,SUP!$B$54:$Q$104,MATCH($B25&amp;"-"&amp;AC$7,SUP!$B$54:$Q$54,0),FALSE),"")="","",IFERROR(VLOOKUP($C25,SUP!$B$54:$Q$104,MATCH($B25&amp;"-"&amp;AC$7,SUP!$B$54:$Q$54,0),FALSE),"")),"")</f>
        <v/>
      </c>
      <c r="AD25" s="441" t="str">
        <f ca="1">IFERROR(1*IF(IFERROR(VLOOKUP($C25,SUP!$B$54:$Q$104,MATCH($B25&amp;"-"&amp;AD$7,SUP!$B$54:$Q$54,0),FALSE),"")="","",IFERROR(VLOOKUP($C25,SUP!$B$54:$Q$104,MATCH($B25&amp;"-"&amp;AD$7,SUP!$B$54:$Q$54,0),FALSE),"")),"")</f>
        <v/>
      </c>
      <c r="AE25" s="441" t="str">
        <f ca="1">IFERROR(1*IF(IFERROR(VLOOKUP($C25,SUP!$B$54:$Q$104,MATCH($B25&amp;"-"&amp;AE$7,SUP!$B$54:$Q$54,0),FALSE),"")="","",IFERROR(VLOOKUP($C25,SUP!$B$54:$Q$104,MATCH($B25&amp;"-"&amp;AE$7,SUP!$B$54:$Q$54,0),FALSE),"")),"")</f>
        <v/>
      </c>
      <c r="AF25" s="441" t="str">
        <f ca="1">IFERROR(1*IF(IFERROR(VLOOKUP($C25,SUP!$B$54:$Q$104,MATCH($B25&amp;"-"&amp;AF$7,SUP!$B$54:$Q$54,0),FALSE),"")="","",IFERROR(VLOOKUP($C25,SUP!$B$54:$Q$104,MATCH($B25&amp;"-"&amp;AF$7,SUP!$B$54:$Q$54,0),FALSE),"")),"")</f>
        <v/>
      </c>
      <c r="AG25" s="441" t="str">
        <f ca="1">IFERROR(1*IF(IFERROR(VLOOKUP($C25,SUP!$B$54:$Q$104,MATCH($B25&amp;"-"&amp;AG$7,SUP!$B$54:$Q$54,0),FALSE),"")="","",IFERROR(VLOOKUP($C25,SUP!$B$54:$Q$104,MATCH($B25&amp;"-"&amp;AG$7,SUP!$B$54:$Q$54,0),FALSE),"")),"")</f>
        <v/>
      </c>
      <c r="AH25" s="441" t="str">
        <f ca="1">IFERROR(1*IF(IFERROR(VLOOKUP($C25,SUP!$B$54:$Q$104,MATCH($B25&amp;"-"&amp;AH$7,SUP!$B$54:$Q$54,0),FALSE),"")="","",IFERROR(VLOOKUP($C25,SUP!$B$54:$Q$104,MATCH($B25&amp;"-"&amp;AH$7,SUP!$B$54:$Q$54,0),FALSE),"")),"")</f>
        <v/>
      </c>
      <c r="AI25" s="441" t="str">
        <f ca="1">IFERROR(1*IF(IFERROR(VLOOKUP($C25,SUP!$B$54:$Q$104,MATCH($B25&amp;"-"&amp;AI$7,SUP!$B$54:$Q$54,0),FALSE),"")="","",IFERROR(VLOOKUP($C25,SUP!$B$54:$Q$104,MATCH($B25&amp;"-"&amp;AI$7,SUP!$B$54:$Q$54,0),FALSE),"")),"")</f>
        <v/>
      </c>
      <c r="AJ25" s="441" t="str">
        <f ca="1">IFERROR(1*IF(IFERROR(VLOOKUP($C25,SUP!$B$54:$Q$104,MATCH($B25&amp;"-"&amp;AJ$7,SUP!$B$54:$Q$54,0),FALSE),"")="","",IFERROR(VLOOKUP($C25,SUP!$B$54:$Q$104,MATCH($B25&amp;"-"&amp;AJ$7,SUP!$B$54:$Q$54,0),FALSE),"")),"")</f>
        <v/>
      </c>
      <c r="AK25" s="441" t="str">
        <f ca="1">IFERROR(1*IF(IFERROR(VLOOKUP($C25,SUP!$B$54:$Q$104,MATCH($B25&amp;"-"&amp;AK$7,SUP!$B$54:$Q$54,0),FALSE),"")="","",IFERROR(VLOOKUP($C25,SUP!$B$54:$Q$104,MATCH($B25&amp;"-"&amp;AK$7,SUP!$B$54:$Q$54,0),FALSE),"")),"")</f>
        <v/>
      </c>
      <c r="AL25" s="441" t="str">
        <f ca="1">IFERROR(1*IF(IFERROR(VLOOKUP($C25,SUP!$B$54:$Q$104,MATCH($B25&amp;"-"&amp;AL$7,SUP!$B$54:$Q$54,0),FALSE),"")="","",IFERROR(VLOOKUP($C25,SUP!$B$54:$Q$104,MATCH($B25&amp;"-"&amp;AL$7,SUP!$B$54:$Q$54,0),FALSE),"")),"")</f>
        <v/>
      </c>
      <c r="AM25" s="441" t="str">
        <f ca="1">IFERROR(1*IF(IFERROR(VLOOKUP($C25,SUP!$B$54:$Q$104,MATCH($B25&amp;"-"&amp;AM$7,SUP!$B$54:$Q$54,0),FALSE),"")="","",IFERROR(VLOOKUP($C25,SUP!$B$54:$Q$104,MATCH($B25&amp;"-"&amp;AM$7,SUP!$B$54:$Q$54,0),FALSE),"")),"")</f>
        <v/>
      </c>
      <c r="AN25" s="441">
        <f ca="1">IFERROR(1*IF(IFERROR(VLOOKUP($C25,SUP!$B$54:$Q$104,MATCH($B25&amp;"-"&amp;AN$7,SUP!$B$54:$Q$54,0),FALSE),"")="","",IFERROR(VLOOKUP($C25,SUP!$B$54:$Q$104,MATCH($B25&amp;"-"&amp;AN$7,SUP!$B$54:$Q$54,0),FALSE),"")),"")</f>
        <v>19.5</v>
      </c>
      <c r="AO25" s="441" t="str">
        <f ca="1">IFERROR(1*IF(IFERROR(VLOOKUP($C25,SUP!$B$54:$Q$104,MATCH($B25&amp;"-"&amp;AO$7,SUP!$B$54:$Q$54,0),FALSE),"")="","",IFERROR(VLOOKUP($C25,SUP!$B$54:$Q$104,MATCH($B25&amp;"-"&amp;AO$7,SUP!$B$54:$Q$54,0),FALSE),"")),"")</f>
        <v/>
      </c>
      <c r="AR25" s="42">
        <f>IF(AS24=SUP!$B$104,AR24+1,AR24)</f>
        <v>1</v>
      </c>
      <c r="AS25" s="42">
        <f t="shared" si="6"/>
        <v>13</v>
      </c>
    </row>
    <row r="26" spans="1:45">
      <c r="A26" s="42" t="str">
        <f ca="1">IF(LEFT(OFFSET(SUP!$A$57,AS26,0),2)="\I","*","")</f>
        <v/>
      </c>
      <c r="B26" s="440" t="str">
        <f t="shared" ca="1" si="1"/>
        <v>ACT_COST</v>
      </c>
      <c r="C26" s="440" t="str">
        <f ca="1">IF($A26="*","",OFFSET(SUP!$B$57,AS26,0))</f>
        <v>MINWAS</v>
      </c>
      <c r="D26" s="440" t="str">
        <f t="shared" ca="1" si="2"/>
        <v>-</v>
      </c>
      <c r="E26" s="440" t="str">
        <f t="shared" ca="1" si="2"/>
        <v>-</v>
      </c>
      <c r="F26" s="440" t="str">
        <f t="shared" ca="1" si="2"/>
        <v>-</v>
      </c>
      <c r="G26" s="440" t="str">
        <f t="shared" ca="1" si="2"/>
        <v>-</v>
      </c>
      <c r="H26" s="440" t="str">
        <f t="shared" ca="1" si="5"/>
        <v>-</v>
      </c>
      <c r="I26" s="441">
        <f ca="1">IF(IFERROR(VLOOKUP($C26,SUP!$B$54:$Q$104,MATCH($B26&amp;"-"&amp;I$7,SUP!$B$54:$Q$54,0),FALSE),"")="","",IFERROR(VLOOKUP($C26,SUP!$B$54:$Q$104,MATCH($B26&amp;"-"&amp;I$7,SUP!$B$54:$Q$54,0),FALSE),""))</f>
        <v>0</v>
      </c>
      <c r="J26" s="441">
        <f ca="1">IFERROR(1*IF(IFERROR(VLOOKUP($C26,SUP!$B$54:$Q$104,MATCH($B26&amp;"-"&amp;J$7,SUP!$B$54:$Q$54,0),FALSE),"")="","",IFERROR(VLOOKUP($C26,SUP!$B$54:$Q$104,MATCH($B26&amp;"-"&amp;J$7,SUP!$B$54:$Q$54,0),FALSE),"")),"")</f>
        <v>0</v>
      </c>
      <c r="K26" s="441" t="str">
        <f ca="1">IFERROR(1*IF(IFERROR(VLOOKUP($C26,SUP!$B$54:$Q$104,MATCH($B26&amp;"-"&amp;K$7,SUP!$B$54:$Q$54,0),FALSE),"")="","",IFERROR(VLOOKUP($C26,SUP!$B$54:$Q$104,MATCH($B26&amp;"-"&amp;K$7,SUP!$B$54:$Q$54,0),FALSE),"")),"")</f>
        <v/>
      </c>
      <c r="L26" s="441" t="str">
        <f ca="1">IFERROR(1*IF(IFERROR(VLOOKUP($C26,SUP!$B$54:$Q$104,MATCH($B26&amp;"-"&amp;L$7,SUP!$B$54:$Q$54,0),FALSE),"")="","",IFERROR(VLOOKUP($C26,SUP!$B$54:$Q$104,MATCH($B26&amp;"-"&amp;L$7,SUP!$B$54:$Q$54,0),FALSE),"")),"")</f>
        <v/>
      </c>
      <c r="M26" s="441">
        <f ca="1">IFERROR(1*IF(IFERROR(VLOOKUP($C26,SUP!$B$54:$Q$104,MATCH($B26&amp;"-"&amp;M$7,SUP!$B$54:$Q$54,0),FALSE),"")="","",IFERROR(VLOOKUP($C26,SUP!$B$54:$Q$104,MATCH($B26&amp;"-"&amp;M$7,SUP!$B$54:$Q$54,0),FALSE),"")),"")</f>
        <v>0</v>
      </c>
      <c r="N26" s="441" t="str">
        <f ca="1">IFERROR(1*IF(IFERROR(VLOOKUP($C26,SUP!$B$54:$Q$104,MATCH($B26&amp;"-"&amp;N$7,SUP!$B$54:$Q$54,0),FALSE),"")="","",IFERROR(VLOOKUP($C26,SUP!$B$54:$Q$104,MATCH($B26&amp;"-"&amp;N$7,SUP!$B$54:$Q$54,0),FALSE),"")),"")</f>
        <v/>
      </c>
      <c r="O26" s="441" t="str">
        <f ca="1">IFERROR(1*IF(IFERROR(VLOOKUP($C26,SUP!$B$54:$Q$104,MATCH($B26&amp;"-"&amp;O$7,SUP!$B$54:$Q$54,0),FALSE),"")="","",IFERROR(VLOOKUP($C26,SUP!$B$54:$Q$104,MATCH($B26&amp;"-"&amp;O$7,SUP!$B$54:$Q$54,0),FALSE),"")),"")</f>
        <v/>
      </c>
      <c r="P26" s="441" t="str">
        <f ca="1">IFERROR(1*IF(IFERROR(VLOOKUP($C26,SUP!$B$54:$Q$104,MATCH($B26&amp;"-"&amp;P$7,SUP!$B$54:$Q$54,0),FALSE),"")="","",IFERROR(VLOOKUP($C26,SUP!$B$54:$Q$104,MATCH($B26&amp;"-"&amp;P$7,SUP!$B$54:$Q$54,0),FALSE),"")),"")</f>
        <v/>
      </c>
      <c r="Q26" s="441" t="str">
        <f ca="1">IFERROR(1*IF(IFERROR(VLOOKUP($C26,SUP!$B$54:$Q$104,MATCH($B26&amp;"-"&amp;Q$7,SUP!$B$54:$Q$54,0),FALSE),"")="","",IFERROR(VLOOKUP($C26,SUP!$B$54:$Q$104,MATCH($B26&amp;"-"&amp;Q$7,SUP!$B$54:$Q$54,0),FALSE),"")),"")</f>
        <v/>
      </c>
      <c r="R26" s="441">
        <f ca="1">IFERROR(1*IF(IFERROR(VLOOKUP($C26,SUP!$B$54:$Q$104,MATCH($B26&amp;"-"&amp;R$7,SUP!$B$54:$Q$54,0),FALSE),"")="","",IFERROR(VLOOKUP($C26,SUP!$B$54:$Q$104,MATCH($B26&amp;"-"&amp;R$7,SUP!$B$54:$Q$54,0),FALSE),"")),"")</f>
        <v>0</v>
      </c>
      <c r="S26" s="441" t="str">
        <f ca="1">IFERROR(1*IF(IFERROR(VLOOKUP($C26,SUP!$B$54:$Q$104,MATCH($B26&amp;"-"&amp;S$7,SUP!$B$54:$Q$54,0),FALSE),"")="","",IFERROR(VLOOKUP($C26,SUP!$B$54:$Q$104,MATCH($B26&amp;"-"&amp;S$7,SUP!$B$54:$Q$54,0),FALSE),"")),"")</f>
        <v/>
      </c>
      <c r="T26" s="441" t="str">
        <f ca="1">IFERROR(1*IF(IFERROR(VLOOKUP($C26,SUP!$B$54:$Q$104,MATCH($B26&amp;"-"&amp;T$7,SUP!$B$54:$Q$54,0),FALSE),"")="","",IFERROR(VLOOKUP($C26,SUP!$B$54:$Q$104,MATCH($B26&amp;"-"&amp;T$7,SUP!$B$54:$Q$54,0),FALSE),"")),"")</f>
        <v/>
      </c>
      <c r="U26" s="441" t="str">
        <f ca="1">IFERROR(1*IF(IFERROR(VLOOKUP($C26,SUP!$B$54:$Q$104,MATCH($B26&amp;"-"&amp;U$7,SUP!$B$54:$Q$54,0),FALSE),"")="","",IFERROR(VLOOKUP($C26,SUP!$B$54:$Q$104,MATCH($B26&amp;"-"&amp;U$7,SUP!$B$54:$Q$54,0),FALSE),"")),"")</f>
        <v/>
      </c>
      <c r="V26" s="441" t="str">
        <f ca="1">IFERROR(1*IF(IFERROR(VLOOKUP($C26,SUP!$B$54:$Q$104,MATCH($B26&amp;"-"&amp;V$7,SUP!$B$54:$Q$54,0),FALSE),"")="","",IFERROR(VLOOKUP($C26,SUP!$B$54:$Q$104,MATCH($B26&amp;"-"&amp;V$7,SUP!$B$54:$Q$54,0),FALSE),"")),"")</f>
        <v/>
      </c>
      <c r="W26" s="441" t="str">
        <f ca="1">IFERROR(1*IF(IFERROR(VLOOKUP($C26,SUP!$B$54:$Q$104,MATCH($B26&amp;"-"&amp;W$7,SUP!$B$54:$Q$54,0),FALSE),"")="","",IFERROR(VLOOKUP($C26,SUP!$B$54:$Q$104,MATCH($B26&amp;"-"&amp;W$7,SUP!$B$54:$Q$54,0),FALSE),"")),"")</f>
        <v/>
      </c>
      <c r="X26" s="441" t="str">
        <f ca="1">IFERROR(1*IF(IFERROR(VLOOKUP($C26,SUP!$B$54:$Q$104,MATCH($B26&amp;"-"&amp;X$7,SUP!$B$54:$Q$54,0),FALSE),"")="","",IFERROR(VLOOKUP($C26,SUP!$B$54:$Q$104,MATCH($B26&amp;"-"&amp;X$7,SUP!$B$54:$Q$54,0),FALSE),"")),"")</f>
        <v/>
      </c>
      <c r="Y26" s="441" t="str">
        <f ca="1">IFERROR(1*IF(IFERROR(VLOOKUP($C26,SUP!$B$54:$Q$104,MATCH($B26&amp;"-"&amp;Y$7,SUP!$B$54:$Q$54,0),FALSE),"")="","",IFERROR(VLOOKUP($C26,SUP!$B$54:$Q$104,MATCH($B26&amp;"-"&amp;Y$7,SUP!$B$54:$Q$54,0),FALSE),"")),"")</f>
        <v/>
      </c>
      <c r="Z26" s="441" t="str">
        <f ca="1">IFERROR(1*IF(IFERROR(VLOOKUP($C26,SUP!$B$54:$Q$104,MATCH($B26&amp;"-"&amp;Z$7,SUP!$B$54:$Q$54,0),FALSE),"")="","",IFERROR(VLOOKUP($C26,SUP!$B$54:$Q$104,MATCH($B26&amp;"-"&amp;Z$7,SUP!$B$54:$Q$54,0),FALSE),"")),"")</f>
        <v/>
      </c>
      <c r="AA26" s="441" t="str">
        <f ca="1">IFERROR(1*IF(IFERROR(VLOOKUP($C26,SUP!$B$54:$Q$104,MATCH($B26&amp;"-"&amp;AA$7,SUP!$B$54:$Q$54,0),FALSE),"")="","",IFERROR(VLOOKUP($C26,SUP!$B$54:$Q$104,MATCH($B26&amp;"-"&amp;AA$7,SUP!$B$54:$Q$54,0),FALSE),"")),"")</f>
        <v/>
      </c>
      <c r="AB26" s="441">
        <f ca="1">IFERROR(1*IF(IFERROR(VLOOKUP($C26,SUP!$B$54:$Q$104,MATCH($B26&amp;"-"&amp;AB$7,SUP!$B$54:$Q$54,0),FALSE),"")="","",IFERROR(VLOOKUP($C26,SUP!$B$54:$Q$104,MATCH($B26&amp;"-"&amp;AB$7,SUP!$B$54:$Q$54,0),FALSE),"")),"")</f>
        <v>0</v>
      </c>
      <c r="AC26" s="441" t="str">
        <f ca="1">IFERROR(1*IF(IFERROR(VLOOKUP($C26,SUP!$B$54:$Q$104,MATCH($B26&amp;"-"&amp;AC$7,SUP!$B$54:$Q$54,0),FALSE),"")="","",IFERROR(VLOOKUP($C26,SUP!$B$54:$Q$104,MATCH($B26&amp;"-"&amp;AC$7,SUP!$B$54:$Q$54,0),FALSE),"")),"")</f>
        <v/>
      </c>
      <c r="AD26" s="441" t="str">
        <f ca="1">IFERROR(1*IF(IFERROR(VLOOKUP($C26,SUP!$B$54:$Q$104,MATCH($B26&amp;"-"&amp;AD$7,SUP!$B$54:$Q$54,0),FALSE),"")="","",IFERROR(VLOOKUP($C26,SUP!$B$54:$Q$104,MATCH($B26&amp;"-"&amp;AD$7,SUP!$B$54:$Q$54,0),FALSE),"")),"")</f>
        <v/>
      </c>
      <c r="AE26" s="441" t="str">
        <f ca="1">IFERROR(1*IF(IFERROR(VLOOKUP($C26,SUP!$B$54:$Q$104,MATCH($B26&amp;"-"&amp;AE$7,SUP!$B$54:$Q$54,0),FALSE),"")="","",IFERROR(VLOOKUP($C26,SUP!$B$54:$Q$104,MATCH($B26&amp;"-"&amp;AE$7,SUP!$B$54:$Q$54,0),FALSE),"")),"")</f>
        <v/>
      </c>
      <c r="AF26" s="441" t="str">
        <f ca="1">IFERROR(1*IF(IFERROR(VLOOKUP($C26,SUP!$B$54:$Q$104,MATCH($B26&amp;"-"&amp;AF$7,SUP!$B$54:$Q$54,0),FALSE),"")="","",IFERROR(VLOOKUP($C26,SUP!$B$54:$Q$104,MATCH($B26&amp;"-"&amp;AF$7,SUP!$B$54:$Q$54,0),FALSE),"")),"")</f>
        <v/>
      </c>
      <c r="AG26" s="441" t="str">
        <f ca="1">IFERROR(1*IF(IFERROR(VLOOKUP($C26,SUP!$B$54:$Q$104,MATCH($B26&amp;"-"&amp;AG$7,SUP!$B$54:$Q$54,0),FALSE),"")="","",IFERROR(VLOOKUP($C26,SUP!$B$54:$Q$104,MATCH($B26&amp;"-"&amp;AG$7,SUP!$B$54:$Q$54,0),FALSE),"")),"")</f>
        <v/>
      </c>
      <c r="AH26" s="441" t="str">
        <f ca="1">IFERROR(1*IF(IFERROR(VLOOKUP($C26,SUP!$B$54:$Q$104,MATCH($B26&amp;"-"&amp;AH$7,SUP!$B$54:$Q$54,0),FALSE),"")="","",IFERROR(VLOOKUP($C26,SUP!$B$54:$Q$104,MATCH($B26&amp;"-"&amp;AH$7,SUP!$B$54:$Q$54,0),FALSE),"")),"")</f>
        <v/>
      </c>
      <c r="AI26" s="441" t="str">
        <f ca="1">IFERROR(1*IF(IFERROR(VLOOKUP($C26,SUP!$B$54:$Q$104,MATCH($B26&amp;"-"&amp;AI$7,SUP!$B$54:$Q$54,0),FALSE),"")="","",IFERROR(VLOOKUP($C26,SUP!$B$54:$Q$104,MATCH($B26&amp;"-"&amp;AI$7,SUP!$B$54:$Q$54,0),FALSE),"")),"")</f>
        <v/>
      </c>
      <c r="AJ26" s="441" t="str">
        <f ca="1">IFERROR(1*IF(IFERROR(VLOOKUP($C26,SUP!$B$54:$Q$104,MATCH($B26&amp;"-"&amp;AJ$7,SUP!$B$54:$Q$54,0),FALSE),"")="","",IFERROR(VLOOKUP($C26,SUP!$B$54:$Q$104,MATCH($B26&amp;"-"&amp;AJ$7,SUP!$B$54:$Q$54,0),FALSE),"")),"")</f>
        <v/>
      </c>
      <c r="AK26" s="441" t="str">
        <f ca="1">IFERROR(1*IF(IFERROR(VLOOKUP($C26,SUP!$B$54:$Q$104,MATCH($B26&amp;"-"&amp;AK$7,SUP!$B$54:$Q$54,0),FALSE),"")="","",IFERROR(VLOOKUP($C26,SUP!$B$54:$Q$104,MATCH($B26&amp;"-"&amp;AK$7,SUP!$B$54:$Q$54,0),FALSE),"")),"")</f>
        <v/>
      </c>
      <c r="AL26" s="441" t="str">
        <f ca="1">IFERROR(1*IF(IFERROR(VLOOKUP($C26,SUP!$B$54:$Q$104,MATCH($B26&amp;"-"&amp;AL$7,SUP!$B$54:$Q$54,0),FALSE),"")="","",IFERROR(VLOOKUP($C26,SUP!$B$54:$Q$104,MATCH($B26&amp;"-"&amp;AL$7,SUP!$B$54:$Q$54,0),FALSE),"")),"")</f>
        <v/>
      </c>
      <c r="AM26" s="441" t="str">
        <f ca="1">IFERROR(1*IF(IFERROR(VLOOKUP($C26,SUP!$B$54:$Q$104,MATCH($B26&amp;"-"&amp;AM$7,SUP!$B$54:$Q$54,0),FALSE),"")="","",IFERROR(VLOOKUP($C26,SUP!$B$54:$Q$104,MATCH($B26&amp;"-"&amp;AM$7,SUP!$B$54:$Q$54,0),FALSE),"")),"")</f>
        <v/>
      </c>
      <c r="AN26" s="441">
        <f ca="1">IFERROR(1*IF(IFERROR(VLOOKUP($C26,SUP!$B$54:$Q$104,MATCH($B26&amp;"-"&amp;AN$7,SUP!$B$54:$Q$54,0),FALSE),"")="","",IFERROR(VLOOKUP($C26,SUP!$B$54:$Q$104,MATCH($B26&amp;"-"&amp;AN$7,SUP!$B$54:$Q$54,0),FALSE),"")),"")</f>
        <v>0</v>
      </c>
      <c r="AO26" s="441" t="str">
        <f ca="1">IFERROR(1*IF(IFERROR(VLOOKUP($C26,SUP!$B$54:$Q$104,MATCH($B26&amp;"-"&amp;AO$7,SUP!$B$54:$Q$54,0),FALSE),"")="","",IFERROR(VLOOKUP($C26,SUP!$B$54:$Q$104,MATCH($B26&amp;"-"&amp;AO$7,SUP!$B$54:$Q$54,0),FALSE),"")),"")</f>
        <v/>
      </c>
      <c r="AR26" s="42">
        <f>IF(AS25=SUP!$B$104,AR25+1,AR25)</f>
        <v>1</v>
      </c>
      <c r="AS26" s="42">
        <f t="shared" si="6"/>
        <v>14</v>
      </c>
    </row>
    <row r="27" spans="1:45">
      <c r="A27" s="42" t="str">
        <f ca="1">IF(LEFT(OFFSET(SUP!$A$57,AS27,0),2)="\I","*","")</f>
        <v/>
      </c>
      <c r="B27" s="440" t="str">
        <f t="shared" ca="1" si="1"/>
        <v>ACT_COST</v>
      </c>
      <c r="C27" s="440" t="str">
        <f ca="1">IF($A27="*","",OFFSET(SUP!$B$57,AS27,0))</f>
        <v>MINHYD</v>
      </c>
      <c r="D27" s="440" t="str">
        <f t="shared" ca="1" si="2"/>
        <v>-</v>
      </c>
      <c r="E27" s="440" t="str">
        <f t="shared" ca="1" si="2"/>
        <v>-</v>
      </c>
      <c r="F27" s="440" t="str">
        <f t="shared" ca="1" si="2"/>
        <v>-</v>
      </c>
      <c r="G27" s="440" t="str">
        <f t="shared" ca="1" si="2"/>
        <v>-</v>
      </c>
      <c r="H27" s="440" t="str">
        <f t="shared" ca="1" si="5"/>
        <v>-</v>
      </c>
      <c r="I27" s="441">
        <f ca="1">IF(IFERROR(VLOOKUP($C27,SUP!$B$54:$Q$104,MATCH($B27&amp;"-"&amp;I$7,SUP!$B$54:$Q$54,0),FALSE),"")="","",IFERROR(VLOOKUP($C27,SUP!$B$54:$Q$104,MATCH($B27&amp;"-"&amp;I$7,SUP!$B$54:$Q$54,0),FALSE),""))</f>
        <v>0</v>
      </c>
      <c r="J27" s="441" t="str">
        <f ca="1">IFERROR(1*IF(IFERROR(VLOOKUP($C27,SUP!$B$54:$Q$104,MATCH($B27&amp;"-"&amp;J$7,SUP!$B$54:$Q$54,0),FALSE),"")="","",IFERROR(VLOOKUP($C27,SUP!$B$54:$Q$104,MATCH($B27&amp;"-"&amp;J$7,SUP!$B$54:$Q$54,0),FALSE),"")),"")</f>
        <v/>
      </c>
      <c r="K27" s="441" t="str">
        <f ca="1">IFERROR(1*IF(IFERROR(VLOOKUP($C27,SUP!$B$54:$Q$104,MATCH($B27&amp;"-"&amp;K$7,SUP!$B$54:$Q$54,0),FALSE),"")="","",IFERROR(VLOOKUP($C27,SUP!$B$54:$Q$104,MATCH($B27&amp;"-"&amp;K$7,SUP!$B$54:$Q$54,0),FALSE),"")),"")</f>
        <v/>
      </c>
      <c r="L27" s="441" t="str">
        <f ca="1">IFERROR(1*IF(IFERROR(VLOOKUP($C27,SUP!$B$54:$Q$104,MATCH($B27&amp;"-"&amp;L$7,SUP!$B$54:$Q$54,0),FALSE),"")="","",IFERROR(VLOOKUP($C27,SUP!$B$54:$Q$104,MATCH($B27&amp;"-"&amp;L$7,SUP!$B$54:$Q$54,0),FALSE),"")),"")</f>
        <v/>
      </c>
      <c r="M27" s="441" t="str">
        <f ca="1">IFERROR(1*IF(IFERROR(VLOOKUP($C27,SUP!$B$54:$Q$104,MATCH($B27&amp;"-"&amp;M$7,SUP!$B$54:$Q$54,0),FALSE),"")="","",IFERROR(VLOOKUP($C27,SUP!$B$54:$Q$104,MATCH($B27&amp;"-"&amp;M$7,SUP!$B$54:$Q$54,0),FALSE),"")),"")</f>
        <v/>
      </c>
      <c r="N27" s="441" t="str">
        <f ca="1">IFERROR(1*IF(IFERROR(VLOOKUP($C27,SUP!$B$54:$Q$104,MATCH($B27&amp;"-"&amp;N$7,SUP!$B$54:$Q$54,0),FALSE),"")="","",IFERROR(VLOOKUP($C27,SUP!$B$54:$Q$104,MATCH($B27&amp;"-"&amp;N$7,SUP!$B$54:$Q$54,0),FALSE),"")),"")</f>
        <v/>
      </c>
      <c r="O27" s="441" t="str">
        <f ca="1">IFERROR(1*IF(IFERROR(VLOOKUP($C27,SUP!$B$54:$Q$104,MATCH($B27&amp;"-"&amp;O$7,SUP!$B$54:$Q$54,0),FALSE),"")="","",IFERROR(VLOOKUP($C27,SUP!$B$54:$Q$104,MATCH($B27&amp;"-"&amp;O$7,SUP!$B$54:$Q$54,0),FALSE),"")),"")</f>
        <v/>
      </c>
      <c r="P27" s="441" t="str">
        <f ca="1">IFERROR(1*IF(IFERROR(VLOOKUP($C27,SUP!$B$54:$Q$104,MATCH($B27&amp;"-"&amp;P$7,SUP!$B$54:$Q$54,0),FALSE),"")="","",IFERROR(VLOOKUP($C27,SUP!$B$54:$Q$104,MATCH($B27&amp;"-"&amp;P$7,SUP!$B$54:$Q$54,0),FALSE),"")),"")</f>
        <v/>
      </c>
      <c r="Q27" s="441" t="str">
        <f ca="1">IFERROR(1*IF(IFERROR(VLOOKUP($C27,SUP!$B$54:$Q$104,MATCH($B27&amp;"-"&amp;Q$7,SUP!$B$54:$Q$54,0),FALSE),"")="","",IFERROR(VLOOKUP($C27,SUP!$B$54:$Q$104,MATCH($B27&amp;"-"&amp;Q$7,SUP!$B$54:$Q$54,0),FALSE),"")),"")</f>
        <v/>
      </c>
      <c r="R27" s="441" t="str">
        <f ca="1">IFERROR(1*IF(IFERROR(VLOOKUP($C27,SUP!$B$54:$Q$104,MATCH($B27&amp;"-"&amp;R$7,SUP!$B$54:$Q$54,0),FALSE),"")="","",IFERROR(VLOOKUP($C27,SUP!$B$54:$Q$104,MATCH($B27&amp;"-"&amp;R$7,SUP!$B$54:$Q$54,0),FALSE),"")),"")</f>
        <v/>
      </c>
      <c r="S27" s="441" t="str">
        <f ca="1">IFERROR(1*IF(IFERROR(VLOOKUP($C27,SUP!$B$54:$Q$104,MATCH($B27&amp;"-"&amp;S$7,SUP!$B$54:$Q$54,0),FALSE),"")="","",IFERROR(VLOOKUP($C27,SUP!$B$54:$Q$104,MATCH($B27&amp;"-"&amp;S$7,SUP!$B$54:$Q$54,0),FALSE),"")),"")</f>
        <v/>
      </c>
      <c r="T27" s="441" t="str">
        <f ca="1">IFERROR(1*IF(IFERROR(VLOOKUP($C27,SUP!$B$54:$Q$104,MATCH($B27&amp;"-"&amp;T$7,SUP!$B$54:$Q$54,0),FALSE),"")="","",IFERROR(VLOOKUP($C27,SUP!$B$54:$Q$104,MATCH($B27&amp;"-"&amp;T$7,SUP!$B$54:$Q$54,0),FALSE),"")),"")</f>
        <v/>
      </c>
      <c r="U27" s="441" t="str">
        <f ca="1">IFERROR(1*IF(IFERROR(VLOOKUP($C27,SUP!$B$54:$Q$104,MATCH($B27&amp;"-"&amp;U$7,SUP!$B$54:$Q$54,0),FALSE),"")="","",IFERROR(VLOOKUP($C27,SUP!$B$54:$Q$104,MATCH($B27&amp;"-"&amp;U$7,SUP!$B$54:$Q$54,0),FALSE),"")),"")</f>
        <v/>
      </c>
      <c r="V27" s="441" t="str">
        <f ca="1">IFERROR(1*IF(IFERROR(VLOOKUP($C27,SUP!$B$54:$Q$104,MATCH($B27&amp;"-"&amp;V$7,SUP!$B$54:$Q$54,0),FALSE),"")="","",IFERROR(VLOOKUP($C27,SUP!$B$54:$Q$104,MATCH($B27&amp;"-"&amp;V$7,SUP!$B$54:$Q$54,0),FALSE),"")),"")</f>
        <v/>
      </c>
      <c r="W27" s="441" t="str">
        <f ca="1">IFERROR(1*IF(IFERROR(VLOOKUP($C27,SUP!$B$54:$Q$104,MATCH($B27&amp;"-"&amp;W$7,SUP!$B$54:$Q$54,0),FALSE),"")="","",IFERROR(VLOOKUP($C27,SUP!$B$54:$Q$104,MATCH($B27&amp;"-"&amp;W$7,SUP!$B$54:$Q$54,0),FALSE),"")),"")</f>
        <v/>
      </c>
      <c r="X27" s="441" t="str">
        <f ca="1">IFERROR(1*IF(IFERROR(VLOOKUP($C27,SUP!$B$54:$Q$104,MATCH($B27&amp;"-"&amp;X$7,SUP!$B$54:$Q$54,0),FALSE),"")="","",IFERROR(VLOOKUP($C27,SUP!$B$54:$Q$104,MATCH($B27&amp;"-"&amp;X$7,SUP!$B$54:$Q$54,0),FALSE),"")),"")</f>
        <v/>
      </c>
      <c r="Y27" s="441" t="str">
        <f ca="1">IFERROR(1*IF(IFERROR(VLOOKUP($C27,SUP!$B$54:$Q$104,MATCH($B27&amp;"-"&amp;Y$7,SUP!$B$54:$Q$54,0),FALSE),"")="","",IFERROR(VLOOKUP($C27,SUP!$B$54:$Q$104,MATCH($B27&amp;"-"&amp;Y$7,SUP!$B$54:$Q$54,0),FALSE),"")),"")</f>
        <v/>
      </c>
      <c r="Z27" s="441" t="str">
        <f ca="1">IFERROR(1*IF(IFERROR(VLOOKUP($C27,SUP!$B$54:$Q$104,MATCH($B27&amp;"-"&amp;Z$7,SUP!$B$54:$Q$54,0),FALSE),"")="","",IFERROR(VLOOKUP($C27,SUP!$B$54:$Q$104,MATCH($B27&amp;"-"&amp;Z$7,SUP!$B$54:$Q$54,0),FALSE),"")),"")</f>
        <v/>
      </c>
      <c r="AA27" s="441" t="str">
        <f ca="1">IFERROR(1*IF(IFERROR(VLOOKUP($C27,SUP!$B$54:$Q$104,MATCH($B27&amp;"-"&amp;AA$7,SUP!$B$54:$Q$54,0),FALSE),"")="","",IFERROR(VLOOKUP($C27,SUP!$B$54:$Q$104,MATCH($B27&amp;"-"&amp;AA$7,SUP!$B$54:$Q$54,0),FALSE),"")),"")</f>
        <v/>
      </c>
      <c r="AB27" s="441" t="str">
        <f ca="1">IFERROR(1*IF(IFERROR(VLOOKUP($C27,SUP!$B$54:$Q$104,MATCH($B27&amp;"-"&amp;AB$7,SUP!$B$54:$Q$54,0),FALSE),"")="","",IFERROR(VLOOKUP($C27,SUP!$B$54:$Q$104,MATCH($B27&amp;"-"&amp;AB$7,SUP!$B$54:$Q$54,0),FALSE),"")),"")</f>
        <v/>
      </c>
      <c r="AC27" s="441" t="str">
        <f ca="1">IFERROR(1*IF(IFERROR(VLOOKUP($C27,SUP!$B$54:$Q$104,MATCH($B27&amp;"-"&amp;AC$7,SUP!$B$54:$Q$54,0),FALSE),"")="","",IFERROR(VLOOKUP($C27,SUP!$B$54:$Q$104,MATCH($B27&amp;"-"&amp;AC$7,SUP!$B$54:$Q$54,0),FALSE),"")),"")</f>
        <v/>
      </c>
      <c r="AD27" s="441" t="str">
        <f ca="1">IFERROR(1*IF(IFERROR(VLOOKUP($C27,SUP!$B$54:$Q$104,MATCH($B27&amp;"-"&amp;AD$7,SUP!$B$54:$Q$54,0),FALSE),"")="","",IFERROR(VLOOKUP($C27,SUP!$B$54:$Q$104,MATCH($B27&amp;"-"&amp;AD$7,SUP!$B$54:$Q$54,0),FALSE),"")),"")</f>
        <v/>
      </c>
      <c r="AE27" s="441" t="str">
        <f ca="1">IFERROR(1*IF(IFERROR(VLOOKUP($C27,SUP!$B$54:$Q$104,MATCH($B27&amp;"-"&amp;AE$7,SUP!$B$54:$Q$54,0),FALSE),"")="","",IFERROR(VLOOKUP($C27,SUP!$B$54:$Q$104,MATCH($B27&amp;"-"&amp;AE$7,SUP!$B$54:$Q$54,0),FALSE),"")),"")</f>
        <v/>
      </c>
      <c r="AF27" s="441" t="str">
        <f ca="1">IFERROR(1*IF(IFERROR(VLOOKUP($C27,SUP!$B$54:$Q$104,MATCH($B27&amp;"-"&amp;AF$7,SUP!$B$54:$Q$54,0),FALSE),"")="","",IFERROR(VLOOKUP($C27,SUP!$B$54:$Q$104,MATCH($B27&amp;"-"&amp;AF$7,SUP!$B$54:$Q$54,0),FALSE),"")),"")</f>
        <v/>
      </c>
      <c r="AG27" s="441" t="str">
        <f ca="1">IFERROR(1*IF(IFERROR(VLOOKUP($C27,SUP!$B$54:$Q$104,MATCH($B27&amp;"-"&amp;AG$7,SUP!$B$54:$Q$54,0),FALSE),"")="","",IFERROR(VLOOKUP($C27,SUP!$B$54:$Q$104,MATCH($B27&amp;"-"&amp;AG$7,SUP!$B$54:$Q$54,0),FALSE),"")),"")</f>
        <v/>
      </c>
      <c r="AH27" s="441" t="str">
        <f ca="1">IFERROR(1*IF(IFERROR(VLOOKUP($C27,SUP!$B$54:$Q$104,MATCH($B27&amp;"-"&amp;AH$7,SUP!$B$54:$Q$54,0),FALSE),"")="","",IFERROR(VLOOKUP($C27,SUP!$B$54:$Q$104,MATCH($B27&amp;"-"&amp;AH$7,SUP!$B$54:$Q$54,0),FALSE),"")),"")</f>
        <v/>
      </c>
      <c r="AI27" s="441" t="str">
        <f ca="1">IFERROR(1*IF(IFERROR(VLOOKUP($C27,SUP!$B$54:$Q$104,MATCH($B27&amp;"-"&amp;AI$7,SUP!$B$54:$Q$54,0),FALSE),"")="","",IFERROR(VLOOKUP($C27,SUP!$B$54:$Q$104,MATCH($B27&amp;"-"&amp;AI$7,SUP!$B$54:$Q$54,0),FALSE),"")),"")</f>
        <v/>
      </c>
      <c r="AJ27" s="441" t="str">
        <f ca="1">IFERROR(1*IF(IFERROR(VLOOKUP($C27,SUP!$B$54:$Q$104,MATCH($B27&amp;"-"&amp;AJ$7,SUP!$B$54:$Q$54,0),FALSE),"")="","",IFERROR(VLOOKUP($C27,SUP!$B$54:$Q$104,MATCH($B27&amp;"-"&amp;AJ$7,SUP!$B$54:$Q$54,0),FALSE),"")),"")</f>
        <v/>
      </c>
      <c r="AK27" s="441" t="str">
        <f ca="1">IFERROR(1*IF(IFERROR(VLOOKUP($C27,SUP!$B$54:$Q$104,MATCH($B27&amp;"-"&amp;AK$7,SUP!$B$54:$Q$54,0),FALSE),"")="","",IFERROR(VLOOKUP($C27,SUP!$B$54:$Q$104,MATCH($B27&amp;"-"&amp;AK$7,SUP!$B$54:$Q$54,0),FALSE),"")),"")</f>
        <v/>
      </c>
      <c r="AL27" s="441" t="str">
        <f ca="1">IFERROR(1*IF(IFERROR(VLOOKUP($C27,SUP!$B$54:$Q$104,MATCH($B27&amp;"-"&amp;AL$7,SUP!$B$54:$Q$54,0),FALSE),"")="","",IFERROR(VLOOKUP($C27,SUP!$B$54:$Q$104,MATCH($B27&amp;"-"&amp;AL$7,SUP!$B$54:$Q$54,0),FALSE),"")),"")</f>
        <v/>
      </c>
      <c r="AM27" s="441" t="str">
        <f ca="1">IFERROR(1*IF(IFERROR(VLOOKUP($C27,SUP!$B$54:$Q$104,MATCH($B27&amp;"-"&amp;AM$7,SUP!$B$54:$Q$54,0),FALSE),"")="","",IFERROR(VLOOKUP($C27,SUP!$B$54:$Q$104,MATCH($B27&amp;"-"&amp;AM$7,SUP!$B$54:$Q$54,0),FALSE),"")),"")</f>
        <v/>
      </c>
      <c r="AN27" s="441" t="str">
        <f ca="1">IFERROR(1*IF(IFERROR(VLOOKUP($C27,SUP!$B$54:$Q$104,MATCH($B27&amp;"-"&amp;AN$7,SUP!$B$54:$Q$54,0),FALSE),"")="","",IFERROR(VLOOKUP($C27,SUP!$B$54:$Q$104,MATCH($B27&amp;"-"&amp;AN$7,SUP!$B$54:$Q$54,0),FALSE),"")),"")</f>
        <v/>
      </c>
      <c r="AO27" s="441" t="str">
        <f ca="1">IFERROR(1*IF(IFERROR(VLOOKUP($C27,SUP!$B$54:$Q$104,MATCH($B27&amp;"-"&amp;AO$7,SUP!$B$54:$Q$54,0),FALSE),"")="","",IFERROR(VLOOKUP($C27,SUP!$B$54:$Q$104,MATCH($B27&amp;"-"&amp;AO$7,SUP!$B$54:$Q$54,0),FALSE),"")),"")</f>
        <v/>
      </c>
      <c r="AR27" s="42">
        <f>IF(AS26=SUP!$B$104,AR26+1,AR26)</f>
        <v>1</v>
      </c>
      <c r="AS27" s="42">
        <f t="shared" si="6"/>
        <v>15</v>
      </c>
    </row>
    <row r="28" spans="1:45">
      <c r="A28" s="42" t="str">
        <f ca="1">IF(LEFT(OFFSET(SUP!$A$57,AS28,0),2)="\I","*","")</f>
        <v/>
      </c>
      <c r="B28" s="440" t="str">
        <f t="shared" ca="1" si="1"/>
        <v>ACT_COST</v>
      </c>
      <c r="C28" s="440" t="str">
        <f ca="1">IF($A28="*","",OFFSET(SUP!$B$57,AS28,0))</f>
        <v>MINSOL</v>
      </c>
      <c r="D28" s="440" t="str">
        <f t="shared" ca="1" si="2"/>
        <v>-</v>
      </c>
      <c r="E28" s="440" t="str">
        <f t="shared" ca="1" si="2"/>
        <v>-</v>
      </c>
      <c r="F28" s="440" t="str">
        <f t="shared" ca="1" si="2"/>
        <v>-</v>
      </c>
      <c r="G28" s="440" t="str">
        <f t="shared" ca="1" si="2"/>
        <v>-</v>
      </c>
      <c r="H28" s="440" t="str">
        <f t="shared" ca="1" si="5"/>
        <v>-</v>
      </c>
      <c r="I28" s="441">
        <f ca="1">IF(IFERROR(VLOOKUP($C28,SUP!$B$54:$Q$104,MATCH($B28&amp;"-"&amp;I$7,SUP!$B$54:$Q$54,0),FALSE),"")="","",IFERROR(VLOOKUP($C28,SUP!$B$54:$Q$104,MATCH($B28&amp;"-"&amp;I$7,SUP!$B$54:$Q$54,0),FALSE),""))</f>
        <v>0</v>
      </c>
      <c r="J28" s="441" t="str">
        <f ca="1">IFERROR(1*IF(IFERROR(VLOOKUP($C28,SUP!$B$54:$Q$104,MATCH($B28&amp;"-"&amp;J$7,SUP!$B$54:$Q$54,0),FALSE),"")="","",IFERROR(VLOOKUP($C28,SUP!$B$54:$Q$104,MATCH($B28&amp;"-"&amp;J$7,SUP!$B$54:$Q$54,0),FALSE),"")),"")</f>
        <v/>
      </c>
      <c r="K28" s="441" t="str">
        <f ca="1">IFERROR(1*IF(IFERROR(VLOOKUP($C28,SUP!$B$54:$Q$104,MATCH($B28&amp;"-"&amp;K$7,SUP!$B$54:$Q$54,0),FALSE),"")="","",IFERROR(VLOOKUP($C28,SUP!$B$54:$Q$104,MATCH($B28&amp;"-"&amp;K$7,SUP!$B$54:$Q$54,0),FALSE),"")),"")</f>
        <v/>
      </c>
      <c r="L28" s="441" t="str">
        <f ca="1">IFERROR(1*IF(IFERROR(VLOOKUP($C28,SUP!$B$54:$Q$104,MATCH($B28&amp;"-"&amp;L$7,SUP!$B$54:$Q$54,0),FALSE),"")="","",IFERROR(VLOOKUP($C28,SUP!$B$54:$Q$104,MATCH($B28&amp;"-"&amp;L$7,SUP!$B$54:$Q$54,0),FALSE),"")),"")</f>
        <v/>
      </c>
      <c r="M28" s="441" t="str">
        <f ca="1">IFERROR(1*IF(IFERROR(VLOOKUP($C28,SUP!$B$54:$Q$104,MATCH($B28&amp;"-"&amp;M$7,SUP!$B$54:$Q$54,0),FALSE),"")="","",IFERROR(VLOOKUP($C28,SUP!$B$54:$Q$104,MATCH($B28&amp;"-"&amp;M$7,SUP!$B$54:$Q$54,0),FALSE),"")),"")</f>
        <v/>
      </c>
      <c r="N28" s="441" t="str">
        <f ca="1">IFERROR(1*IF(IFERROR(VLOOKUP($C28,SUP!$B$54:$Q$104,MATCH($B28&amp;"-"&amp;N$7,SUP!$B$54:$Q$54,0),FALSE),"")="","",IFERROR(VLOOKUP($C28,SUP!$B$54:$Q$104,MATCH($B28&amp;"-"&amp;N$7,SUP!$B$54:$Q$54,0),FALSE),"")),"")</f>
        <v/>
      </c>
      <c r="O28" s="441" t="str">
        <f ca="1">IFERROR(1*IF(IFERROR(VLOOKUP($C28,SUP!$B$54:$Q$104,MATCH($B28&amp;"-"&amp;O$7,SUP!$B$54:$Q$54,0),FALSE),"")="","",IFERROR(VLOOKUP($C28,SUP!$B$54:$Q$104,MATCH($B28&amp;"-"&amp;O$7,SUP!$B$54:$Q$54,0),FALSE),"")),"")</f>
        <v/>
      </c>
      <c r="P28" s="441" t="str">
        <f ca="1">IFERROR(1*IF(IFERROR(VLOOKUP($C28,SUP!$B$54:$Q$104,MATCH($B28&amp;"-"&amp;P$7,SUP!$B$54:$Q$54,0),FALSE),"")="","",IFERROR(VLOOKUP($C28,SUP!$B$54:$Q$104,MATCH($B28&amp;"-"&amp;P$7,SUP!$B$54:$Q$54,0),FALSE),"")),"")</f>
        <v/>
      </c>
      <c r="Q28" s="441" t="str">
        <f ca="1">IFERROR(1*IF(IFERROR(VLOOKUP($C28,SUP!$B$54:$Q$104,MATCH($B28&amp;"-"&amp;Q$7,SUP!$B$54:$Q$54,0),FALSE),"")="","",IFERROR(VLOOKUP($C28,SUP!$B$54:$Q$104,MATCH($B28&amp;"-"&amp;Q$7,SUP!$B$54:$Q$54,0),FALSE),"")),"")</f>
        <v/>
      </c>
      <c r="R28" s="441" t="str">
        <f ca="1">IFERROR(1*IF(IFERROR(VLOOKUP($C28,SUP!$B$54:$Q$104,MATCH($B28&amp;"-"&amp;R$7,SUP!$B$54:$Q$54,0),FALSE),"")="","",IFERROR(VLOOKUP($C28,SUP!$B$54:$Q$104,MATCH($B28&amp;"-"&amp;R$7,SUP!$B$54:$Q$54,0),FALSE),"")),"")</f>
        <v/>
      </c>
      <c r="S28" s="441" t="str">
        <f ca="1">IFERROR(1*IF(IFERROR(VLOOKUP($C28,SUP!$B$54:$Q$104,MATCH($B28&amp;"-"&amp;S$7,SUP!$B$54:$Q$54,0),FALSE),"")="","",IFERROR(VLOOKUP($C28,SUP!$B$54:$Q$104,MATCH($B28&amp;"-"&amp;S$7,SUP!$B$54:$Q$54,0),FALSE),"")),"")</f>
        <v/>
      </c>
      <c r="T28" s="441" t="str">
        <f ca="1">IFERROR(1*IF(IFERROR(VLOOKUP($C28,SUP!$B$54:$Q$104,MATCH($B28&amp;"-"&amp;T$7,SUP!$B$54:$Q$54,0),FALSE),"")="","",IFERROR(VLOOKUP($C28,SUP!$B$54:$Q$104,MATCH($B28&amp;"-"&amp;T$7,SUP!$B$54:$Q$54,0),FALSE),"")),"")</f>
        <v/>
      </c>
      <c r="U28" s="441" t="str">
        <f ca="1">IFERROR(1*IF(IFERROR(VLOOKUP($C28,SUP!$B$54:$Q$104,MATCH($B28&amp;"-"&amp;U$7,SUP!$B$54:$Q$54,0),FALSE),"")="","",IFERROR(VLOOKUP($C28,SUP!$B$54:$Q$104,MATCH($B28&amp;"-"&amp;U$7,SUP!$B$54:$Q$54,0),FALSE),"")),"")</f>
        <v/>
      </c>
      <c r="V28" s="441" t="str">
        <f ca="1">IFERROR(1*IF(IFERROR(VLOOKUP($C28,SUP!$B$54:$Q$104,MATCH($B28&amp;"-"&amp;V$7,SUP!$B$54:$Q$54,0),FALSE),"")="","",IFERROR(VLOOKUP($C28,SUP!$B$54:$Q$104,MATCH($B28&amp;"-"&amp;V$7,SUP!$B$54:$Q$54,0),FALSE),"")),"")</f>
        <v/>
      </c>
      <c r="W28" s="441" t="str">
        <f ca="1">IFERROR(1*IF(IFERROR(VLOOKUP($C28,SUP!$B$54:$Q$104,MATCH($B28&amp;"-"&amp;W$7,SUP!$B$54:$Q$54,0),FALSE),"")="","",IFERROR(VLOOKUP($C28,SUP!$B$54:$Q$104,MATCH($B28&amp;"-"&amp;W$7,SUP!$B$54:$Q$54,0),FALSE),"")),"")</f>
        <v/>
      </c>
      <c r="X28" s="441" t="str">
        <f ca="1">IFERROR(1*IF(IFERROR(VLOOKUP($C28,SUP!$B$54:$Q$104,MATCH($B28&amp;"-"&amp;X$7,SUP!$B$54:$Q$54,0),FALSE),"")="","",IFERROR(VLOOKUP($C28,SUP!$B$54:$Q$104,MATCH($B28&amp;"-"&amp;X$7,SUP!$B$54:$Q$54,0),FALSE),"")),"")</f>
        <v/>
      </c>
      <c r="Y28" s="441" t="str">
        <f ca="1">IFERROR(1*IF(IFERROR(VLOOKUP($C28,SUP!$B$54:$Q$104,MATCH($B28&amp;"-"&amp;Y$7,SUP!$B$54:$Q$54,0),FALSE),"")="","",IFERROR(VLOOKUP($C28,SUP!$B$54:$Q$104,MATCH($B28&amp;"-"&amp;Y$7,SUP!$B$54:$Q$54,0),FALSE),"")),"")</f>
        <v/>
      </c>
      <c r="Z28" s="441" t="str">
        <f ca="1">IFERROR(1*IF(IFERROR(VLOOKUP($C28,SUP!$B$54:$Q$104,MATCH($B28&amp;"-"&amp;Z$7,SUP!$B$54:$Q$54,0),FALSE),"")="","",IFERROR(VLOOKUP($C28,SUP!$B$54:$Q$104,MATCH($B28&amp;"-"&amp;Z$7,SUP!$B$54:$Q$54,0),FALSE),"")),"")</f>
        <v/>
      </c>
      <c r="AA28" s="441" t="str">
        <f ca="1">IFERROR(1*IF(IFERROR(VLOOKUP($C28,SUP!$B$54:$Q$104,MATCH($B28&amp;"-"&amp;AA$7,SUP!$B$54:$Q$54,0),FALSE),"")="","",IFERROR(VLOOKUP($C28,SUP!$B$54:$Q$104,MATCH($B28&amp;"-"&amp;AA$7,SUP!$B$54:$Q$54,0),FALSE),"")),"")</f>
        <v/>
      </c>
      <c r="AB28" s="441" t="str">
        <f ca="1">IFERROR(1*IF(IFERROR(VLOOKUP($C28,SUP!$B$54:$Q$104,MATCH($B28&amp;"-"&amp;AB$7,SUP!$B$54:$Q$54,0),FALSE),"")="","",IFERROR(VLOOKUP($C28,SUP!$B$54:$Q$104,MATCH($B28&amp;"-"&amp;AB$7,SUP!$B$54:$Q$54,0),FALSE),"")),"")</f>
        <v/>
      </c>
      <c r="AC28" s="441" t="str">
        <f ca="1">IFERROR(1*IF(IFERROR(VLOOKUP($C28,SUP!$B$54:$Q$104,MATCH($B28&amp;"-"&amp;AC$7,SUP!$B$54:$Q$54,0),FALSE),"")="","",IFERROR(VLOOKUP($C28,SUP!$B$54:$Q$104,MATCH($B28&amp;"-"&amp;AC$7,SUP!$B$54:$Q$54,0),FALSE),"")),"")</f>
        <v/>
      </c>
      <c r="AD28" s="441" t="str">
        <f ca="1">IFERROR(1*IF(IFERROR(VLOOKUP($C28,SUP!$B$54:$Q$104,MATCH($B28&amp;"-"&amp;AD$7,SUP!$B$54:$Q$54,0),FALSE),"")="","",IFERROR(VLOOKUP($C28,SUP!$B$54:$Q$104,MATCH($B28&amp;"-"&amp;AD$7,SUP!$B$54:$Q$54,0),FALSE),"")),"")</f>
        <v/>
      </c>
      <c r="AE28" s="441" t="str">
        <f ca="1">IFERROR(1*IF(IFERROR(VLOOKUP($C28,SUP!$B$54:$Q$104,MATCH($B28&amp;"-"&amp;AE$7,SUP!$B$54:$Q$54,0),FALSE),"")="","",IFERROR(VLOOKUP($C28,SUP!$B$54:$Q$104,MATCH($B28&amp;"-"&amp;AE$7,SUP!$B$54:$Q$54,0),FALSE),"")),"")</f>
        <v/>
      </c>
      <c r="AF28" s="441" t="str">
        <f ca="1">IFERROR(1*IF(IFERROR(VLOOKUP($C28,SUP!$B$54:$Q$104,MATCH($B28&amp;"-"&amp;AF$7,SUP!$B$54:$Q$54,0),FALSE),"")="","",IFERROR(VLOOKUP($C28,SUP!$B$54:$Q$104,MATCH($B28&amp;"-"&amp;AF$7,SUP!$B$54:$Q$54,0),FALSE),"")),"")</f>
        <v/>
      </c>
      <c r="AG28" s="441" t="str">
        <f ca="1">IFERROR(1*IF(IFERROR(VLOOKUP($C28,SUP!$B$54:$Q$104,MATCH($B28&amp;"-"&amp;AG$7,SUP!$B$54:$Q$54,0),FALSE),"")="","",IFERROR(VLOOKUP($C28,SUP!$B$54:$Q$104,MATCH($B28&amp;"-"&amp;AG$7,SUP!$B$54:$Q$54,0),FALSE),"")),"")</f>
        <v/>
      </c>
      <c r="AH28" s="441" t="str">
        <f ca="1">IFERROR(1*IF(IFERROR(VLOOKUP($C28,SUP!$B$54:$Q$104,MATCH($B28&amp;"-"&amp;AH$7,SUP!$B$54:$Q$54,0),FALSE),"")="","",IFERROR(VLOOKUP($C28,SUP!$B$54:$Q$104,MATCH($B28&amp;"-"&amp;AH$7,SUP!$B$54:$Q$54,0),FALSE),"")),"")</f>
        <v/>
      </c>
      <c r="AI28" s="441" t="str">
        <f ca="1">IFERROR(1*IF(IFERROR(VLOOKUP($C28,SUP!$B$54:$Q$104,MATCH($B28&amp;"-"&amp;AI$7,SUP!$B$54:$Q$54,0),FALSE),"")="","",IFERROR(VLOOKUP($C28,SUP!$B$54:$Q$104,MATCH($B28&amp;"-"&amp;AI$7,SUP!$B$54:$Q$54,0),FALSE),"")),"")</f>
        <v/>
      </c>
      <c r="AJ28" s="441" t="str">
        <f ca="1">IFERROR(1*IF(IFERROR(VLOOKUP($C28,SUP!$B$54:$Q$104,MATCH($B28&amp;"-"&amp;AJ$7,SUP!$B$54:$Q$54,0),FALSE),"")="","",IFERROR(VLOOKUP($C28,SUP!$B$54:$Q$104,MATCH($B28&amp;"-"&amp;AJ$7,SUP!$B$54:$Q$54,0),FALSE),"")),"")</f>
        <v/>
      </c>
      <c r="AK28" s="441" t="str">
        <f ca="1">IFERROR(1*IF(IFERROR(VLOOKUP($C28,SUP!$B$54:$Q$104,MATCH($B28&amp;"-"&amp;AK$7,SUP!$B$54:$Q$54,0),FALSE),"")="","",IFERROR(VLOOKUP($C28,SUP!$B$54:$Q$104,MATCH($B28&amp;"-"&amp;AK$7,SUP!$B$54:$Q$54,0),FALSE),"")),"")</f>
        <v/>
      </c>
      <c r="AL28" s="441" t="str">
        <f ca="1">IFERROR(1*IF(IFERROR(VLOOKUP($C28,SUP!$B$54:$Q$104,MATCH($B28&amp;"-"&amp;AL$7,SUP!$B$54:$Q$54,0),FALSE),"")="","",IFERROR(VLOOKUP($C28,SUP!$B$54:$Q$104,MATCH($B28&amp;"-"&amp;AL$7,SUP!$B$54:$Q$54,0),FALSE),"")),"")</f>
        <v/>
      </c>
      <c r="AM28" s="441" t="str">
        <f ca="1">IFERROR(1*IF(IFERROR(VLOOKUP($C28,SUP!$B$54:$Q$104,MATCH($B28&amp;"-"&amp;AM$7,SUP!$B$54:$Q$54,0),FALSE),"")="","",IFERROR(VLOOKUP($C28,SUP!$B$54:$Q$104,MATCH($B28&amp;"-"&amp;AM$7,SUP!$B$54:$Q$54,0),FALSE),"")),"")</f>
        <v/>
      </c>
      <c r="AN28" s="441" t="str">
        <f ca="1">IFERROR(1*IF(IFERROR(VLOOKUP($C28,SUP!$B$54:$Q$104,MATCH($B28&amp;"-"&amp;AN$7,SUP!$B$54:$Q$54,0),FALSE),"")="","",IFERROR(VLOOKUP($C28,SUP!$B$54:$Q$104,MATCH($B28&amp;"-"&amp;AN$7,SUP!$B$54:$Q$54,0),FALSE),"")),"")</f>
        <v/>
      </c>
      <c r="AO28" s="441" t="str">
        <f ca="1">IFERROR(1*IF(IFERROR(VLOOKUP($C28,SUP!$B$54:$Q$104,MATCH($B28&amp;"-"&amp;AO$7,SUP!$B$54:$Q$54,0),FALSE),"")="","",IFERROR(VLOOKUP($C28,SUP!$B$54:$Q$104,MATCH($B28&amp;"-"&amp;AO$7,SUP!$B$54:$Q$54,0),FALSE),"")),"")</f>
        <v/>
      </c>
      <c r="AR28" s="42">
        <f>IF(AS27=SUP!$B$104,AR27+1,AR27)</f>
        <v>1</v>
      </c>
      <c r="AS28" s="42">
        <f t="shared" si="6"/>
        <v>16</v>
      </c>
    </row>
    <row r="29" spans="1:45">
      <c r="A29" s="42" t="str">
        <f ca="1">IF(LEFT(OFFSET(SUP!$A$57,AS29,0),2)="\I","*","")</f>
        <v/>
      </c>
      <c r="B29" s="440" t="str">
        <f t="shared" ca="1" si="1"/>
        <v>ACT_COST</v>
      </c>
      <c r="C29" s="440" t="str">
        <f ca="1">IF($A29="*","",OFFSET(SUP!$B$57,AS29,0))</f>
        <v>MINWND</v>
      </c>
      <c r="D29" s="440" t="str">
        <f t="shared" ref="D29:G92" ca="1" si="7">IF($A29="*","",VLOOKUP($B29,$B$10:$I$11,D$9,FALSE))</f>
        <v>-</v>
      </c>
      <c r="E29" s="440" t="str">
        <f t="shared" ca="1" si="7"/>
        <v>-</v>
      </c>
      <c r="F29" s="440" t="str">
        <f t="shared" ca="1" si="7"/>
        <v>-</v>
      </c>
      <c r="G29" s="440" t="str">
        <f t="shared" ca="1" si="7"/>
        <v>-</v>
      </c>
      <c r="H29" s="440" t="str">
        <f t="shared" ca="1" si="5"/>
        <v>-</v>
      </c>
      <c r="I29" s="441">
        <f ca="1">IF(IFERROR(VLOOKUP($C29,SUP!$B$54:$Q$104,MATCH($B29&amp;"-"&amp;I$7,SUP!$B$54:$Q$54,0),FALSE),"")="","",IFERROR(VLOOKUP($C29,SUP!$B$54:$Q$104,MATCH($B29&amp;"-"&amp;I$7,SUP!$B$54:$Q$54,0),FALSE),""))</f>
        <v>0</v>
      </c>
      <c r="J29" s="441" t="str">
        <f ca="1">IFERROR(1*IF(IFERROR(VLOOKUP($C29,SUP!$B$54:$Q$104,MATCH($B29&amp;"-"&amp;J$7,SUP!$B$54:$Q$54,0),FALSE),"")="","",IFERROR(VLOOKUP($C29,SUP!$B$54:$Q$104,MATCH($B29&amp;"-"&amp;J$7,SUP!$B$54:$Q$54,0),FALSE),"")),"")</f>
        <v/>
      </c>
      <c r="K29" s="441" t="str">
        <f ca="1">IFERROR(1*IF(IFERROR(VLOOKUP($C29,SUP!$B$54:$Q$104,MATCH($B29&amp;"-"&amp;K$7,SUP!$B$54:$Q$54,0),FALSE),"")="","",IFERROR(VLOOKUP($C29,SUP!$B$54:$Q$104,MATCH($B29&amp;"-"&amp;K$7,SUP!$B$54:$Q$54,0),FALSE),"")),"")</f>
        <v/>
      </c>
      <c r="L29" s="441" t="str">
        <f ca="1">IFERROR(1*IF(IFERROR(VLOOKUP($C29,SUP!$B$54:$Q$104,MATCH($B29&amp;"-"&amp;L$7,SUP!$B$54:$Q$54,0),FALSE),"")="","",IFERROR(VLOOKUP($C29,SUP!$B$54:$Q$104,MATCH($B29&amp;"-"&amp;L$7,SUP!$B$54:$Q$54,0),FALSE),"")),"")</f>
        <v/>
      </c>
      <c r="M29" s="441" t="str">
        <f ca="1">IFERROR(1*IF(IFERROR(VLOOKUP($C29,SUP!$B$54:$Q$104,MATCH($B29&amp;"-"&amp;M$7,SUP!$B$54:$Q$54,0),FALSE),"")="","",IFERROR(VLOOKUP($C29,SUP!$B$54:$Q$104,MATCH($B29&amp;"-"&amp;M$7,SUP!$B$54:$Q$54,0),FALSE),"")),"")</f>
        <v/>
      </c>
      <c r="N29" s="441" t="str">
        <f ca="1">IFERROR(1*IF(IFERROR(VLOOKUP($C29,SUP!$B$54:$Q$104,MATCH($B29&amp;"-"&amp;N$7,SUP!$B$54:$Q$54,0),FALSE),"")="","",IFERROR(VLOOKUP($C29,SUP!$B$54:$Q$104,MATCH($B29&amp;"-"&amp;N$7,SUP!$B$54:$Q$54,0),FALSE),"")),"")</f>
        <v/>
      </c>
      <c r="O29" s="441" t="str">
        <f ca="1">IFERROR(1*IF(IFERROR(VLOOKUP($C29,SUP!$B$54:$Q$104,MATCH($B29&amp;"-"&amp;O$7,SUP!$B$54:$Q$54,0),FALSE),"")="","",IFERROR(VLOOKUP($C29,SUP!$B$54:$Q$104,MATCH($B29&amp;"-"&amp;O$7,SUP!$B$54:$Q$54,0),FALSE),"")),"")</f>
        <v/>
      </c>
      <c r="P29" s="441" t="str">
        <f ca="1">IFERROR(1*IF(IFERROR(VLOOKUP($C29,SUP!$B$54:$Q$104,MATCH($B29&amp;"-"&amp;P$7,SUP!$B$54:$Q$54,0),FALSE),"")="","",IFERROR(VLOOKUP($C29,SUP!$B$54:$Q$104,MATCH($B29&amp;"-"&amp;P$7,SUP!$B$54:$Q$54,0),FALSE),"")),"")</f>
        <v/>
      </c>
      <c r="Q29" s="441" t="str">
        <f ca="1">IFERROR(1*IF(IFERROR(VLOOKUP($C29,SUP!$B$54:$Q$104,MATCH($B29&amp;"-"&amp;Q$7,SUP!$B$54:$Q$54,0),FALSE),"")="","",IFERROR(VLOOKUP($C29,SUP!$B$54:$Q$104,MATCH($B29&amp;"-"&amp;Q$7,SUP!$B$54:$Q$54,0),FALSE),"")),"")</f>
        <v/>
      </c>
      <c r="R29" s="441" t="str">
        <f ca="1">IFERROR(1*IF(IFERROR(VLOOKUP($C29,SUP!$B$54:$Q$104,MATCH($B29&amp;"-"&amp;R$7,SUP!$B$54:$Q$54,0),FALSE),"")="","",IFERROR(VLOOKUP($C29,SUP!$B$54:$Q$104,MATCH($B29&amp;"-"&amp;R$7,SUP!$B$54:$Q$54,0),FALSE),"")),"")</f>
        <v/>
      </c>
      <c r="S29" s="441" t="str">
        <f ca="1">IFERROR(1*IF(IFERROR(VLOOKUP($C29,SUP!$B$54:$Q$104,MATCH($B29&amp;"-"&amp;S$7,SUP!$B$54:$Q$54,0),FALSE),"")="","",IFERROR(VLOOKUP($C29,SUP!$B$54:$Q$104,MATCH($B29&amp;"-"&amp;S$7,SUP!$B$54:$Q$54,0),FALSE),"")),"")</f>
        <v/>
      </c>
      <c r="T29" s="441" t="str">
        <f ca="1">IFERROR(1*IF(IFERROR(VLOOKUP($C29,SUP!$B$54:$Q$104,MATCH($B29&amp;"-"&amp;T$7,SUP!$B$54:$Q$54,0),FALSE),"")="","",IFERROR(VLOOKUP($C29,SUP!$B$54:$Q$104,MATCH($B29&amp;"-"&amp;T$7,SUP!$B$54:$Q$54,0),FALSE),"")),"")</f>
        <v/>
      </c>
      <c r="U29" s="441" t="str">
        <f ca="1">IFERROR(1*IF(IFERROR(VLOOKUP($C29,SUP!$B$54:$Q$104,MATCH($B29&amp;"-"&amp;U$7,SUP!$B$54:$Q$54,0),FALSE),"")="","",IFERROR(VLOOKUP($C29,SUP!$B$54:$Q$104,MATCH($B29&amp;"-"&amp;U$7,SUP!$B$54:$Q$54,0),FALSE),"")),"")</f>
        <v/>
      </c>
      <c r="V29" s="441" t="str">
        <f ca="1">IFERROR(1*IF(IFERROR(VLOOKUP($C29,SUP!$B$54:$Q$104,MATCH($B29&amp;"-"&amp;V$7,SUP!$B$54:$Q$54,0),FALSE),"")="","",IFERROR(VLOOKUP($C29,SUP!$B$54:$Q$104,MATCH($B29&amp;"-"&amp;V$7,SUP!$B$54:$Q$54,0),FALSE),"")),"")</f>
        <v/>
      </c>
      <c r="W29" s="441" t="str">
        <f ca="1">IFERROR(1*IF(IFERROR(VLOOKUP($C29,SUP!$B$54:$Q$104,MATCH($B29&amp;"-"&amp;W$7,SUP!$B$54:$Q$54,0),FALSE),"")="","",IFERROR(VLOOKUP($C29,SUP!$B$54:$Q$104,MATCH($B29&amp;"-"&amp;W$7,SUP!$B$54:$Q$54,0),FALSE),"")),"")</f>
        <v/>
      </c>
      <c r="X29" s="441" t="str">
        <f ca="1">IFERROR(1*IF(IFERROR(VLOOKUP($C29,SUP!$B$54:$Q$104,MATCH($B29&amp;"-"&amp;X$7,SUP!$B$54:$Q$54,0),FALSE),"")="","",IFERROR(VLOOKUP($C29,SUP!$B$54:$Q$104,MATCH($B29&amp;"-"&amp;X$7,SUP!$B$54:$Q$54,0),FALSE),"")),"")</f>
        <v/>
      </c>
      <c r="Y29" s="441" t="str">
        <f ca="1">IFERROR(1*IF(IFERROR(VLOOKUP($C29,SUP!$B$54:$Q$104,MATCH($B29&amp;"-"&amp;Y$7,SUP!$B$54:$Q$54,0),FALSE),"")="","",IFERROR(VLOOKUP($C29,SUP!$B$54:$Q$104,MATCH($B29&amp;"-"&amp;Y$7,SUP!$B$54:$Q$54,0),FALSE),"")),"")</f>
        <v/>
      </c>
      <c r="Z29" s="441" t="str">
        <f ca="1">IFERROR(1*IF(IFERROR(VLOOKUP($C29,SUP!$B$54:$Q$104,MATCH($B29&amp;"-"&amp;Z$7,SUP!$B$54:$Q$54,0),FALSE),"")="","",IFERROR(VLOOKUP($C29,SUP!$B$54:$Q$104,MATCH($B29&amp;"-"&amp;Z$7,SUP!$B$54:$Q$54,0),FALSE),"")),"")</f>
        <v/>
      </c>
      <c r="AA29" s="441" t="str">
        <f ca="1">IFERROR(1*IF(IFERROR(VLOOKUP($C29,SUP!$B$54:$Q$104,MATCH($B29&amp;"-"&amp;AA$7,SUP!$B$54:$Q$54,0),FALSE),"")="","",IFERROR(VLOOKUP($C29,SUP!$B$54:$Q$104,MATCH($B29&amp;"-"&amp;AA$7,SUP!$B$54:$Q$54,0),FALSE),"")),"")</f>
        <v/>
      </c>
      <c r="AB29" s="441" t="str">
        <f ca="1">IFERROR(1*IF(IFERROR(VLOOKUP($C29,SUP!$B$54:$Q$104,MATCH($B29&amp;"-"&amp;AB$7,SUP!$B$54:$Q$54,0),FALSE),"")="","",IFERROR(VLOOKUP($C29,SUP!$B$54:$Q$104,MATCH($B29&amp;"-"&amp;AB$7,SUP!$B$54:$Q$54,0),FALSE),"")),"")</f>
        <v/>
      </c>
      <c r="AC29" s="441" t="str">
        <f ca="1">IFERROR(1*IF(IFERROR(VLOOKUP($C29,SUP!$B$54:$Q$104,MATCH($B29&amp;"-"&amp;AC$7,SUP!$B$54:$Q$54,0),FALSE),"")="","",IFERROR(VLOOKUP($C29,SUP!$B$54:$Q$104,MATCH($B29&amp;"-"&amp;AC$7,SUP!$B$54:$Q$54,0),FALSE),"")),"")</f>
        <v/>
      </c>
      <c r="AD29" s="441" t="str">
        <f ca="1">IFERROR(1*IF(IFERROR(VLOOKUP($C29,SUP!$B$54:$Q$104,MATCH($B29&amp;"-"&amp;AD$7,SUP!$B$54:$Q$54,0),FALSE),"")="","",IFERROR(VLOOKUP($C29,SUP!$B$54:$Q$104,MATCH($B29&amp;"-"&amp;AD$7,SUP!$B$54:$Q$54,0),FALSE),"")),"")</f>
        <v/>
      </c>
      <c r="AE29" s="441" t="str">
        <f ca="1">IFERROR(1*IF(IFERROR(VLOOKUP($C29,SUP!$B$54:$Q$104,MATCH($B29&amp;"-"&amp;AE$7,SUP!$B$54:$Q$54,0),FALSE),"")="","",IFERROR(VLOOKUP($C29,SUP!$B$54:$Q$104,MATCH($B29&amp;"-"&amp;AE$7,SUP!$B$54:$Q$54,0),FALSE),"")),"")</f>
        <v/>
      </c>
      <c r="AF29" s="441" t="str">
        <f ca="1">IFERROR(1*IF(IFERROR(VLOOKUP($C29,SUP!$B$54:$Q$104,MATCH($B29&amp;"-"&amp;AF$7,SUP!$B$54:$Q$54,0),FALSE),"")="","",IFERROR(VLOOKUP($C29,SUP!$B$54:$Q$104,MATCH($B29&amp;"-"&amp;AF$7,SUP!$B$54:$Q$54,0),FALSE),"")),"")</f>
        <v/>
      </c>
      <c r="AG29" s="441" t="str">
        <f ca="1">IFERROR(1*IF(IFERROR(VLOOKUP($C29,SUP!$B$54:$Q$104,MATCH($B29&amp;"-"&amp;AG$7,SUP!$B$54:$Q$54,0),FALSE),"")="","",IFERROR(VLOOKUP($C29,SUP!$B$54:$Q$104,MATCH($B29&amp;"-"&amp;AG$7,SUP!$B$54:$Q$54,0),FALSE),"")),"")</f>
        <v/>
      </c>
      <c r="AH29" s="441" t="str">
        <f ca="1">IFERROR(1*IF(IFERROR(VLOOKUP($C29,SUP!$B$54:$Q$104,MATCH($B29&amp;"-"&amp;AH$7,SUP!$B$54:$Q$54,0),FALSE),"")="","",IFERROR(VLOOKUP($C29,SUP!$B$54:$Q$104,MATCH($B29&amp;"-"&amp;AH$7,SUP!$B$54:$Q$54,0),FALSE),"")),"")</f>
        <v/>
      </c>
      <c r="AI29" s="441" t="str">
        <f ca="1">IFERROR(1*IF(IFERROR(VLOOKUP($C29,SUP!$B$54:$Q$104,MATCH($B29&amp;"-"&amp;AI$7,SUP!$B$54:$Q$54,0),FALSE),"")="","",IFERROR(VLOOKUP($C29,SUP!$B$54:$Q$104,MATCH($B29&amp;"-"&amp;AI$7,SUP!$B$54:$Q$54,0),FALSE),"")),"")</f>
        <v/>
      </c>
      <c r="AJ29" s="441" t="str">
        <f ca="1">IFERROR(1*IF(IFERROR(VLOOKUP($C29,SUP!$B$54:$Q$104,MATCH($B29&amp;"-"&amp;AJ$7,SUP!$B$54:$Q$54,0),FALSE),"")="","",IFERROR(VLOOKUP($C29,SUP!$B$54:$Q$104,MATCH($B29&amp;"-"&amp;AJ$7,SUP!$B$54:$Q$54,0),FALSE),"")),"")</f>
        <v/>
      </c>
      <c r="AK29" s="441" t="str">
        <f ca="1">IFERROR(1*IF(IFERROR(VLOOKUP($C29,SUP!$B$54:$Q$104,MATCH($B29&amp;"-"&amp;AK$7,SUP!$B$54:$Q$54,0),FALSE),"")="","",IFERROR(VLOOKUP($C29,SUP!$B$54:$Q$104,MATCH($B29&amp;"-"&amp;AK$7,SUP!$B$54:$Q$54,0),FALSE),"")),"")</f>
        <v/>
      </c>
      <c r="AL29" s="441" t="str">
        <f ca="1">IFERROR(1*IF(IFERROR(VLOOKUP($C29,SUP!$B$54:$Q$104,MATCH($B29&amp;"-"&amp;AL$7,SUP!$B$54:$Q$54,0),FALSE),"")="","",IFERROR(VLOOKUP($C29,SUP!$B$54:$Q$104,MATCH($B29&amp;"-"&amp;AL$7,SUP!$B$54:$Q$54,0),FALSE),"")),"")</f>
        <v/>
      </c>
      <c r="AM29" s="441" t="str">
        <f ca="1">IFERROR(1*IF(IFERROR(VLOOKUP($C29,SUP!$B$54:$Q$104,MATCH($B29&amp;"-"&amp;AM$7,SUP!$B$54:$Q$54,0),FALSE),"")="","",IFERROR(VLOOKUP($C29,SUP!$B$54:$Q$104,MATCH($B29&amp;"-"&amp;AM$7,SUP!$B$54:$Q$54,0),FALSE),"")),"")</f>
        <v/>
      </c>
      <c r="AN29" s="441" t="str">
        <f ca="1">IFERROR(1*IF(IFERROR(VLOOKUP($C29,SUP!$B$54:$Q$104,MATCH($B29&amp;"-"&amp;AN$7,SUP!$B$54:$Q$54,0),FALSE),"")="","",IFERROR(VLOOKUP($C29,SUP!$B$54:$Q$104,MATCH($B29&amp;"-"&amp;AN$7,SUP!$B$54:$Q$54,0),FALSE),"")),"")</f>
        <v/>
      </c>
      <c r="AO29" s="441" t="str">
        <f ca="1">IFERROR(1*IF(IFERROR(VLOOKUP($C29,SUP!$B$54:$Q$104,MATCH($B29&amp;"-"&amp;AO$7,SUP!$B$54:$Q$54,0),FALSE),"")="","",IFERROR(VLOOKUP($C29,SUP!$B$54:$Q$104,MATCH($B29&amp;"-"&amp;AO$7,SUP!$B$54:$Q$54,0),FALSE),"")),"")</f>
        <v/>
      </c>
      <c r="AR29" s="42">
        <f>IF(AS28=SUP!$B$104,AR28+1,AR28)</f>
        <v>1</v>
      </c>
      <c r="AS29" s="42">
        <f t="shared" si="6"/>
        <v>17</v>
      </c>
    </row>
    <row r="30" spans="1:45">
      <c r="A30" s="42" t="str">
        <f ca="1">IF(LEFT(OFFSET(SUP!$A$57,AS30,0),2)="\I","*","")</f>
        <v>*</v>
      </c>
      <c r="B30" s="440" t="str">
        <f t="shared" ca="1" si="1"/>
        <v/>
      </c>
      <c r="C30" s="440" t="str">
        <f ca="1">IF($A30="*","",OFFSET(SUP!$B$57,AS30,0))</f>
        <v/>
      </c>
      <c r="D30" s="440" t="str">
        <f t="shared" ca="1" si="7"/>
        <v/>
      </c>
      <c r="E30" s="440" t="str">
        <f t="shared" ca="1" si="7"/>
        <v/>
      </c>
      <c r="F30" s="440" t="str">
        <f t="shared" ca="1" si="7"/>
        <v/>
      </c>
      <c r="G30" s="440" t="str">
        <f t="shared" ca="1" si="7"/>
        <v/>
      </c>
      <c r="H30" s="440" t="str">
        <f t="shared" ca="1" si="5"/>
        <v/>
      </c>
      <c r="I30" s="441" t="str">
        <f ca="1">IF(IFERROR(VLOOKUP($C30,SUP!$B$54:$Q$104,MATCH($B30&amp;"-"&amp;I$7,SUP!$B$54:$Q$54,0),FALSE),"")="","",IFERROR(VLOOKUP($C30,SUP!$B$54:$Q$104,MATCH($B30&amp;"-"&amp;I$7,SUP!$B$54:$Q$54,0),FALSE),""))</f>
        <v/>
      </c>
      <c r="J30" s="441" t="str">
        <f ca="1">IFERROR(1*IF(IFERROR(VLOOKUP($C30,SUP!$B$54:$Q$104,MATCH($B30&amp;"-"&amp;J$7,SUP!$B$54:$Q$54,0),FALSE),"")="","",IFERROR(VLOOKUP($C30,SUP!$B$54:$Q$104,MATCH($B30&amp;"-"&amp;J$7,SUP!$B$54:$Q$54,0),FALSE),"")),"")</f>
        <v/>
      </c>
      <c r="K30" s="441" t="str">
        <f ca="1">IFERROR(1*IF(IFERROR(VLOOKUP($C30,SUP!$B$54:$Q$104,MATCH($B30&amp;"-"&amp;K$7,SUP!$B$54:$Q$54,0),FALSE),"")="","",IFERROR(VLOOKUP($C30,SUP!$B$54:$Q$104,MATCH($B30&amp;"-"&amp;K$7,SUP!$B$54:$Q$54,0),FALSE),"")),"")</f>
        <v/>
      </c>
      <c r="L30" s="441" t="str">
        <f ca="1">IFERROR(1*IF(IFERROR(VLOOKUP($C30,SUP!$B$54:$Q$104,MATCH($B30&amp;"-"&amp;L$7,SUP!$B$54:$Q$54,0),FALSE),"")="","",IFERROR(VLOOKUP($C30,SUP!$B$54:$Q$104,MATCH($B30&amp;"-"&amp;L$7,SUP!$B$54:$Q$54,0),FALSE),"")),"")</f>
        <v/>
      </c>
      <c r="M30" s="441" t="str">
        <f ca="1">IFERROR(1*IF(IFERROR(VLOOKUP($C30,SUP!$B$54:$Q$104,MATCH($B30&amp;"-"&amp;M$7,SUP!$B$54:$Q$54,0),FALSE),"")="","",IFERROR(VLOOKUP($C30,SUP!$B$54:$Q$104,MATCH($B30&amp;"-"&amp;M$7,SUP!$B$54:$Q$54,0),FALSE),"")),"")</f>
        <v/>
      </c>
      <c r="N30" s="441" t="str">
        <f ca="1">IFERROR(1*IF(IFERROR(VLOOKUP($C30,SUP!$B$54:$Q$104,MATCH($B30&amp;"-"&amp;N$7,SUP!$B$54:$Q$54,0),FALSE),"")="","",IFERROR(VLOOKUP($C30,SUP!$B$54:$Q$104,MATCH($B30&amp;"-"&amp;N$7,SUP!$B$54:$Q$54,0),FALSE),"")),"")</f>
        <v/>
      </c>
      <c r="O30" s="441" t="str">
        <f ca="1">IFERROR(1*IF(IFERROR(VLOOKUP($C30,SUP!$B$54:$Q$104,MATCH($B30&amp;"-"&amp;O$7,SUP!$B$54:$Q$54,0),FALSE),"")="","",IFERROR(VLOOKUP($C30,SUP!$B$54:$Q$104,MATCH($B30&amp;"-"&amp;O$7,SUP!$B$54:$Q$54,0),FALSE),"")),"")</f>
        <v/>
      </c>
      <c r="P30" s="441" t="str">
        <f ca="1">IFERROR(1*IF(IFERROR(VLOOKUP($C30,SUP!$B$54:$Q$104,MATCH($B30&amp;"-"&amp;P$7,SUP!$B$54:$Q$54,0),FALSE),"")="","",IFERROR(VLOOKUP($C30,SUP!$B$54:$Q$104,MATCH($B30&amp;"-"&amp;P$7,SUP!$B$54:$Q$54,0),FALSE),"")),"")</f>
        <v/>
      </c>
      <c r="Q30" s="441" t="str">
        <f ca="1">IFERROR(1*IF(IFERROR(VLOOKUP($C30,SUP!$B$54:$Q$104,MATCH($B30&amp;"-"&amp;Q$7,SUP!$B$54:$Q$54,0),FALSE),"")="","",IFERROR(VLOOKUP($C30,SUP!$B$54:$Q$104,MATCH($B30&amp;"-"&amp;Q$7,SUP!$B$54:$Q$54,0),FALSE),"")),"")</f>
        <v/>
      </c>
      <c r="R30" s="441" t="str">
        <f ca="1">IFERROR(1*IF(IFERROR(VLOOKUP($C30,SUP!$B$54:$Q$104,MATCH($B30&amp;"-"&amp;R$7,SUP!$B$54:$Q$54,0),FALSE),"")="","",IFERROR(VLOOKUP($C30,SUP!$B$54:$Q$104,MATCH($B30&amp;"-"&amp;R$7,SUP!$B$54:$Q$54,0),FALSE),"")),"")</f>
        <v/>
      </c>
      <c r="S30" s="441" t="str">
        <f ca="1">IFERROR(1*IF(IFERROR(VLOOKUP($C30,SUP!$B$54:$Q$104,MATCH($B30&amp;"-"&amp;S$7,SUP!$B$54:$Q$54,0),FALSE),"")="","",IFERROR(VLOOKUP($C30,SUP!$B$54:$Q$104,MATCH($B30&amp;"-"&amp;S$7,SUP!$B$54:$Q$54,0),FALSE),"")),"")</f>
        <v/>
      </c>
      <c r="T30" s="441" t="str">
        <f ca="1">IFERROR(1*IF(IFERROR(VLOOKUP($C30,SUP!$B$54:$Q$104,MATCH($B30&amp;"-"&amp;T$7,SUP!$B$54:$Q$54,0),FALSE),"")="","",IFERROR(VLOOKUP($C30,SUP!$B$54:$Q$104,MATCH($B30&amp;"-"&amp;T$7,SUP!$B$54:$Q$54,0),FALSE),"")),"")</f>
        <v/>
      </c>
      <c r="U30" s="441" t="str">
        <f ca="1">IFERROR(1*IF(IFERROR(VLOOKUP($C30,SUP!$B$54:$Q$104,MATCH($B30&amp;"-"&amp;U$7,SUP!$B$54:$Q$54,0),FALSE),"")="","",IFERROR(VLOOKUP($C30,SUP!$B$54:$Q$104,MATCH($B30&amp;"-"&amp;U$7,SUP!$B$54:$Q$54,0),FALSE),"")),"")</f>
        <v/>
      </c>
      <c r="V30" s="441" t="str">
        <f ca="1">IFERROR(1*IF(IFERROR(VLOOKUP($C30,SUP!$B$54:$Q$104,MATCH($B30&amp;"-"&amp;V$7,SUP!$B$54:$Q$54,0),FALSE),"")="","",IFERROR(VLOOKUP($C30,SUP!$B$54:$Q$104,MATCH($B30&amp;"-"&amp;V$7,SUP!$B$54:$Q$54,0),FALSE),"")),"")</f>
        <v/>
      </c>
      <c r="W30" s="441" t="str">
        <f ca="1">IFERROR(1*IF(IFERROR(VLOOKUP($C30,SUP!$B$54:$Q$104,MATCH($B30&amp;"-"&amp;W$7,SUP!$B$54:$Q$54,0),FALSE),"")="","",IFERROR(VLOOKUP($C30,SUP!$B$54:$Q$104,MATCH($B30&amp;"-"&amp;W$7,SUP!$B$54:$Q$54,0),FALSE),"")),"")</f>
        <v/>
      </c>
      <c r="X30" s="441" t="str">
        <f ca="1">IFERROR(1*IF(IFERROR(VLOOKUP($C30,SUP!$B$54:$Q$104,MATCH($B30&amp;"-"&amp;X$7,SUP!$B$54:$Q$54,0),FALSE),"")="","",IFERROR(VLOOKUP($C30,SUP!$B$54:$Q$104,MATCH($B30&amp;"-"&amp;X$7,SUP!$B$54:$Q$54,0),FALSE),"")),"")</f>
        <v/>
      </c>
      <c r="Y30" s="441" t="str">
        <f ca="1">IFERROR(1*IF(IFERROR(VLOOKUP($C30,SUP!$B$54:$Q$104,MATCH($B30&amp;"-"&amp;Y$7,SUP!$B$54:$Q$54,0),FALSE),"")="","",IFERROR(VLOOKUP($C30,SUP!$B$54:$Q$104,MATCH($B30&amp;"-"&amp;Y$7,SUP!$B$54:$Q$54,0),FALSE),"")),"")</f>
        <v/>
      </c>
      <c r="Z30" s="441" t="str">
        <f ca="1">IFERROR(1*IF(IFERROR(VLOOKUP($C30,SUP!$B$54:$Q$104,MATCH($B30&amp;"-"&amp;Z$7,SUP!$B$54:$Q$54,0),FALSE),"")="","",IFERROR(VLOOKUP($C30,SUP!$B$54:$Q$104,MATCH($B30&amp;"-"&amp;Z$7,SUP!$B$54:$Q$54,0),FALSE),"")),"")</f>
        <v/>
      </c>
      <c r="AA30" s="441" t="str">
        <f ca="1">IFERROR(1*IF(IFERROR(VLOOKUP($C30,SUP!$B$54:$Q$104,MATCH($B30&amp;"-"&amp;AA$7,SUP!$B$54:$Q$54,0),FALSE),"")="","",IFERROR(VLOOKUP($C30,SUP!$B$54:$Q$104,MATCH($B30&amp;"-"&amp;AA$7,SUP!$B$54:$Q$54,0),FALSE),"")),"")</f>
        <v/>
      </c>
      <c r="AB30" s="441" t="str">
        <f ca="1">IFERROR(1*IF(IFERROR(VLOOKUP($C30,SUP!$B$54:$Q$104,MATCH($B30&amp;"-"&amp;AB$7,SUP!$B$54:$Q$54,0),FALSE),"")="","",IFERROR(VLOOKUP($C30,SUP!$B$54:$Q$104,MATCH($B30&amp;"-"&amp;AB$7,SUP!$B$54:$Q$54,0),FALSE),"")),"")</f>
        <v/>
      </c>
      <c r="AC30" s="441" t="str">
        <f ca="1">IFERROR(1*IF(IFERROR(VLOOKUP($C30,SUP!$B$54:$Q$104,MATCH($B30&amp;"-"&amp;AC$7,SUP!$B$54:$Q$54,0),FALSE),"")="","",IFERROR(VLOOKUP($C30,SUP!$B$54:$Q$104,MATCH($B30&amp;"-"&amp;AC$7,SUP!$B$54:$Q$54,0),FALSE),"")),"")</f>
        <v/>
      </c>
      <c r="AD30" s="441" t="str">
        <f ca="1">IFERROR(1*IF(IFERROR(VLOOKUP($C30,SUP!$B$54:$Q$104,MATCH($B30&amp;"-"&amp;AD$7,SUP!$B$54:$Q$54,0),FALSE),"")="","",IFERROR(VLOOKUP($C30,SUP!$B$54:$Q$104,MATCH($B30&amp;"-"&amp;AD$7,SUP!$B$54:$Q$54,0),FALSE),"")),"")</f>
        <v/>
      </c>
      <c r="AE30" s="441" t="str">
        <f ca="1">IFERROR(1*IF(IFERROR(VLOOKUP($C30,SUP!$B$54:$Q$104,MATCH($B30&amp;"-"&amp;AE$7,SUP!$B$54:$Q$54,0),FALSE),"")="","",IFERROR(VLOOKUP($C30,SUP!$B$54:$Q$104,MATCH($B30&amp;"-"&amp;AE$7,SUP!$B$54:$Q$54,0),FALSE),"")),"")</f>
        <v/>
      </c>
      <c r="AF30" s="441" t="str">
        <f ca="1">IFERROR(1*IF(IFERROR(VLOOKUP($C30,SUP!$B$54:$Q$104,MATCH($B30&amp;"-"&amp;AF$7,SUP!$B$54:$Q$54,0),FALSE),"")="","",IFERROR(VLOOKUP($C30,SUP!$B$54:$Q$104,MATCH($B30&amp;"-"&amp;AF$7,SUP!$B$54:$Q$54,0),FALSE),"")),"")</f>
        <v/>
      </c>
      <c r="AG30" s="441" t="str">
        <f ca="1">IFERROR(1*IF(IFERROR(VLOOKUP($C30,SUP!$B$54:$Q$104,MATCH($B30&amp;"-"&amp;AG$7,SUP!$B$54:$Q$54,0),FALSE),"")="","",IFERROR(VLOOKUP($C30,SUP!$B$54:$Q$104,MATCH($B30&amp;"-"&amp;AG$7,SUP!$B$54:$Q$54,0),FALSE),"")),"")</f>
        <v/>
      </c>
      <c r="AH30" s="441" t="str">
        <f ca="1">IFERROR(1*IF(IFERROR(VLOOKUP($C30,SUP!$B$54:$Q$104,MATCH($B30&amp;"-"&amp;AH$7,SUP!$B$54:$Q$54,0),FALSE),"")="","",IFERROR(VLOOKUP($C30,SUP!$B$54:$Q$104,MATCH($B30&amp;"-"&amp;AH$7,SUP!$B$54:$Q$54,0),FALSE),"")),"")</f>
        <v/>
      </c>
      <c r="AI30" s="441" t="str">
        <f ca="1">IFERROR(1*IF(IFERROR(VLOOKUP($C30,SUP!$B$54:$Q$104,MATCH($B30&amp;"-"&amp;AI$7,SUP!$B$54:$Q$54,0),FALSE),"")="","",IFERROR(VLOOKUP($C30,SUP!$B$54:$Q$104,MATCH($B30&amp;"-"&amp;AI$7,SUP!$B$54:$Q$54,0),FALSE),"")),"")</f>
        <v/>
      </c>
      <c r="AJ30" s="441" t="str">
        <f ca="1">IFERROR(1*IF(IFERROR(VLOOKUP($C30,SUP!$B$54:$Q$104,MATCH($B30&amp;"-"&amp;AJ$7,SUP!$B$54:$Q$54,0),FALSE),"")="","",IFERROR(VLOOKUP($C30,SUP!$B$54:$Q$104,MATCH($B30&amp;"-"&amp;AJ$7,SUP!$B$54:$Q$54,0),FALSE),"")),"")</f>
        <v/>
      </c>
      <c r="AK30" s="441" t="str">
        <f ca="1">IFERROR(1*IF(IFERROR(VLOOKUP($C30,SUP!$B$54:$Q$104,MATCH($B30&amp;"-"&amp;AK$7,SUP!$B$54:$Q$54,0),FALSE),"")="","",IFERROR(VLOOKUP($C30,SUP!$B$54:$Q$104,MATCH($B30&amp;"-"&amp;AK$7,SUP!$B$54:$Q$54,0),FALSE),"")),"")</f>
        <v/>
      </c>
      <c r="AL30" s="441" t="str">
        <f ca="1">IFERROR(1*IF(IFERROR(VLOOKUP($C30,SUP!$B$54:$Q$104,MATCH($B30&amp;"-"&amp;AL$7,SUP!$B$54:$Q$54,0),FALSE),"")="","",IFERROR(VLOOKUP($C30,SUP!$B$54:$Q$104,MATCH($B30&amp;"-"&amp;AL$7,SUP!$B$54:$Q$54,0),FALSE),"")),"")</f>
        <v/>
      </c>
      <c r="AM30" s="441" t="str">
        <f ca="1">IFERROR(1*IF(IFERROR(VLOOKUP($C30,SUP!$B$54:$Q$104,MATCH($B30&amp;"-"&amp;AM$7,SUP!$B$54:$Q$54,0),FALSE),"")="","",IFERROR(VLOOKUP($C30,SUP!$B$54:$Q$104,MATCH($B30&amp;"-"&amp;AM$7,SUP!$B$54:$Q$54,0),FALSE),"")),"")</f>
        <v/>
      </c>
      <c r="AN30" s="441" t="str">
        <f ca="1">IFERROR(1*IF(IFERROR(VLOOKUP($C30,SUP!$B$54:$Q$104,MATCH($B30&amp;"-"&amp;AN$7,SUP!$B$54:$Q$54,0),FALSE),"")="","",IFERROR(VLOOKUP($C30,SUP!$B$54:$Q$104,MATCH($B30&amp;"-"&amp;AN$7,SUP!$B$54:$Q$54,0),FALSE),"")),"")</f>
        <v/>
      </c>
      <c r="AO30" s="441" t="str">
        <f ca="1">IFERROR(1*IF(IFERROR(VLOOKUP($C30,SUP!$B$54:$Q$104,MATCH($B30&amp;"-"&amp;AO$7,SUP!$B$54:$Q$54,0),FALSE),"")="","",IFERROR(VLOOKUP($C30,SUP!$B$54:$Q$104,MATCH($B30&amp;"-"&amp;AO$7,SUP!$B$54:$Q$54,0),FALSE),"")),"")</f>
        <v/>
      </c>
      <c r="AR30" s="42">
        <f>IF(AS29=SUP!$B$104,AR29+1,AR29)</f>
        <v>1</v>
      </c>
      <c r="AS30" s="42">
        <f t="shared" si="6"/>
        <v>18</v>
      </c>
    </row>
    <row r="31" spans="1:45">
      <c r="A31" s="42" t="str">
        <f ca="1">IF(LEFT(OFFSET(SUP!$A$57,AS31,0),2)="\I","*","")</f>
        <v/>
      </c>
      <c r="B31" s="440" t="str">
        <f t="shared" ca="1" si="1"/>
        <v>ACT_COST</v>
      </c>
      <c r="C31" s="440" t="str">
        <f ca="1">IF($A31="*","",OFFSET(SUP!$B$57,AS31,0))</f>
        <v>IMPCOK</v>
      </c>
      <c r="D31" s="440" t="str">
        <f t="shared" ca="1" si="7"/>
        <v>-</v>
      </c>
      <c r="E31" s="440" t="str">
        <f t="shared" ca="1" si="7"/>
        <v>-</v>
      </c>
      <c r="F31" s="440" t="str">
        <f t="shared" ca="1" si="7"/>
        <v>-</v>
      </c>
      <c r="G31" s="440" t="str">
        <f t="shared" ca="1" si="7"/>
        <v>-</v>
      </c>
      <c r="H31" s="440" t="str">
        <f t="shared" ca="1" si="5"/>
        <v>-</v>
      </c>
      <c r="I31" s="441">
        <f ca="1">IF(IFERROR(VLOOKUP($C31,SUP!$B$54:$Q$104,MATCH($B31&amp;"-"&amp;I$7,SUP!$B$54:$Q$54,0),FALSE),"")="","",IFERROR(VLOOKUP($C31,SUP!$B$54:$Q$104,MATCH($B31&amp;"-"&amp;I$7,SUP!$B$54:$Q$54,0),FALSE),""))</f>
        <v>0</v>
      </c>
      <c r="J31" s="441">
        <f ca="1">IFERROR(1*IF(IFERROR(VLOOKUP($C31,SUP!$B$54:$Q$104,MATCH($B31&amp;"-"&amp;J$7,SUP!$B$54:$Q$54,0),FALSE),"")="","",IFERROR(VLOOKUP($C31,SUP!$B$54:$Q$104,MATCH($B31&amp;"-"&amp;J$7,SUP!$B$54:$Q$54,0),FALSE),"")),"")</f>
        <v>67.518333333333331</v>
      </c>
      <c r="K31" s="441" t="str">
        <f ca="1">IFERROR(1*IF(IFERROR(VLOOKUP($C31,SUP!$B$54:$Q$104,MATCH($B31&amp;"-"&amp;K$7,SUP!$B$54:$Q$54,0),FALSE),"")="","",IFERROR(VLOOKUP($C31,SUP!$B$54:$Q$104,MATCH($B31&amp;"-"&amp;K$7,SUP!$B$54:$Q$54,0),FALSE),"")),"")</f>
        <v/>
      </c>
      <c r="L31" s="441" t="str">
        <f ca="1">IFERROR(1*IF(IFERROR(VLOOKUP($C31,SUP!$B$54:$Q$104,MATCH($B31&amp;"-"&amp;L$7,SUP!$B$54:$Q$54,0),FALSE),"")="","",IFERROR(VLOOKUP($C31,SUP!$B$54:$Q$104,MATCH($B31&amp;"-"&amp;L$7,SUP!$B$54:$Q$54,0),FALSE),"")),"")</f>
        <v/>
      </c>
      <c r="M31" s="441">
        <f ca="1">IFERROR(1*IF(IFERROR(VLOOKUP($C31,SUP!$B$54:$Q$104,MATCH($B31&amp;"-"&amp;M$7,SUP!$B$54:$Q$54,0),FALSE),"")="","",IFERROR(VLOOKUP($C31,SUP!$B$54:$Q$104,MATCH($B31&amp;"-"&amp;M$7,SUP!$B$54:$Q$54,0),FALSE),"")),"")</f>
        <v>67.959166666666661</v>
      </c>
      <c r="N31" s="441" t="str">
        <f ca="1">IFERROR(1*IF(IFERROR(VLOOKUP($C31,SUP!$B$54:$Q$104,MATCH($B31&amp;"-"&amp;N$7,SUP!$B$54:$Q$54,0),FALSE),"")="","",IFERROR(VLOOKUP($C31,SUP!$B$54:$Q$104,MATCH($B31&amp;"-"&amp;N$7,SUP!$B$54:$Q$54,0),FALSE),"")),"")</f>
        <v/>
      </c>
      <c r="O31" s="441" t="str">
        <f ca="1">IFERROR(1*IF(IFERROR(VLOOKUP($C31,SUP!$B$54:$Q$104,MATCH($B31&amp;"-"&amp;O$7,SUP!$B$54:$Q$54,0),FALSE),"")="","",IFERROR(VLOOKUP($C31,SUP!$B$54:$Q$104,MATCH($B31&amp;"-"&amp;O$7,SUP!$B$54:$Q$54,0),FALSE),"")),"")</f>
        <v/>
      </c>
      <c r="P31" s="441" t="str">
        <f ca="1">IFERROR(1*IF(IFERROR(VLOOKUP($C31,SUP!$B$54:$Q$104,MATCH($B31&amp;"-"&amp;P$7,SUP!$B$54:$Q$54,0),FALSE),"")="","",IFERROR(VLOOKUP($C31,SUP!$B$54:$Q$104,MATCH($B31&amp;"-"&amp;P$7,SUP!$B$54:$Q$54,0),FALSE),"")),"")</f>
        <v/>
      </c>
      <c r="Q31" s="441" t="str">
        <f ca="1">IFERROR(1*IF(IFERROR(VLOOKUP($C31,SUP!$B$54:$Q$104,MATCH($B31&amp;"-"&amp;Q$7,SUP!$B$54:$Q$54,0),FALSE),"")="","",IFERROR(VLOOKUP($C31,SUP!$B$54:$Q$104,MATCH($B31&amp;"-"&amp;Q$7,SUP!$B$54:$Q$54,0),FALSE),"")),"")</f>
        <v/>
      </c>
      <c r="R31" s="441">
        <f ca="1">IFERROR(1*IF(IFERROR(VLOOKUP($C31,SUP!$B$54:$Q$104,MATCH($B31&amp;"-"&amp;R$7,SUP!$B$54:$Q$54,0),FALSE),"")="","",IFERROR(VLOOKUP($C31,SUP!$B$54:$Q$104,MATCH($B31&amp;"-"&amp;R$7,SUP!$B$54:$Q$54,0),FALSE),"")),"")</f>
        <v>68.400000000000006</v>
      </c>
      <c r="S31" s="441" t="str">
        <f ca="1">IFERROR(1*IF(IFERROR(VLOOKUP($C31,SUP!$B$54:$Q$104,MATCH($B31&amp;"-"&amp;S$7,SUP!$B$54:$Q$54,0),FALSE),"")="","",IFERROR(VLOOKUP($C31,SUP!$B$54:$Q$104,MATCH($B31&amp;"-"&amp;S$7,SUP!$B$54:$Q$54,0),FALSE),"")),"")</f>
        <v/>
      </c>
      <c r="T31" s="441" t="str">
        <f ca="1">IFERROR(1*IF(IFERROR(VLOOKUP($C31,SUP!$B$54:$Q$104,MATCH($B31&amp;"-"&amp;T$7,SUP!$B$54:$Q$54,0),FALSE),"")="","",IFERROR(VLOOKUP($C31,SUP!$B$54:$Q$104,MATCH($B31&amp;"-"&amp;T$7,SUP!$B$54:$Q$54,0),FALSE),"")),"")</f>
        <v/>
      </c>
      <c r="U31" s="441" t="str">
        <f ca="1">IFERROR(1*IF(IFERROR(VLOOKUP($C31,SUP!$B$54:$Q$104,MATCH($B31&amp;"-"&amp;U$7,SUP!$B$54:$Q$54,0),FALSE),"")="","",IFERROR(VLOOKUP($C31,SUP!$B$54:$Q$104,MATCH($B31&amp;"-"&amp;U$7,SUP!$B$54:$Q$54,0),FALSE),"")),"")</f>
        <v/>
      </c>
      <c r="V31" s="441" t="str">
        <f ca="1">IFERROR(1*IF(IFERROR(VLOOKUP($C31,SUP!$B$54:$Q$104,MATCH($B31&amp;"-"&amp;V$7,SUP!$B$54:$Q$54,0),FALSE),"")="","",IFERROR(VLOOKUP($C31,SUP!$B$54:$Q$104,MATCH($B31&amp;"-"&amp;V$7,SUP!$B$54:$Q$54,0),FALSE),"")),"")</f>
        <v/>
      </c>
      <c r="W31" s="441" t="str">
        <f ca="1">IFERROR(1*IF(IFERROR(VLOOKUP($C31,SUP!$B$54:$Q$104,MATCH($B31&amp;"-"&amp;W$7,SUP!$B$54:$Q$54,0),FALSE),"")="","",IFERROR(VLOOKUP($C31,SUP!$B$54:$Q$104,MATCH($B31&amp;"-"&amp;W$7,SUP!$B$54:$Q$54,0),FALSE),"")),"")</f>
        <v/>
      </c>
      <c r="X31" s="441" t="str">
        <f ca="1">IFERROR(1*IF(IFERROR(VLOOKUP($C31,SUP!$B$54:$Q$104,MATCH($B31&amp;"-"&amp;X$7,SUP!$B$54:$Q$54,0),FALSE),"")="","",IFERROR(VLOOKUP($C31,SUP!$B$54:$Q$104,MATCH($B31&amp;"-"&amp;X$7,SUP!$B$54:$Q$54,0),FALSE),"")),"")</f>
        <v/>
      </c>
      <c r="Y31" s="441" t="str">
        <f ca="1">IFERROR(1*IF(IFERROR(VLOOKUP($C31,SUP!$B$54:$Q$104,MATCH($B31&amp;"-"&amp;Y$7,SUP!$B$54:$Q$54,0),FALSE),"")="","",IFERROR(VLOOKUP($C31,SUP!$B$54:$Q$104,MATCH($B31&amp;"-"&amp;Y$7,SUP!$B$54:$Q$54,0),FALSE),"")),"")</f>
        <v/>
      </c>
      <c r="Z31" s="441" t="str">
        <f ca="1">IFERROR(1*IF(IFERROR(VLOOKUP($C31,SUP!$B$54:$Q$104,MATCH($B31&amp;"-"&amp;Z$7,SUP!$B$54:$Q$54,0),FALSE),"")="","",IFERROR(VLOOKUP($C31,SUP!$B$54:$Q$104,MATCH($B31&amp;"-"&amp;Z$7,SUP!$B$54:$Q$54,0),FALSE),"")),"")</f>
        <v/>
      </c>
      <c r="AA31" s="441" t="str">
        <f ca="1">IFERROR(1*IF(IFERROR(VLOOKUP($C31,SUP!$B$54:$Q$104,MATCH($B31&amp;"-"&amp;AA$7,SUP!$B$54:$Q$54,0),FALSE),"")="","",IFERROR(VLOOKUP($C31,SUP!$B$54:$Q$104,MATCH($B31&amp;"-"&amp;AA$7,SUP!$B$54:$Q$54,0),FALSE),"")),"")</f>
        <v/>
      </c>
      <c r="AB31" s="441">
        <f ca="1">IFERROR(1*IF(IFERROR(VLOOKUP($C31,SUP!$B$54:$Q$104,MATCH($B31&amp;"-"&amp;AB$7,SUP!$B$54:$Q$54,0),FALSE),"")="","",IFERROR(VLOOKUP($C31,SUP!$B$54:$Q$104,MATCH($B31&amp;"-"&amp;AB$7,SUP!$B$54:$Q$54,0),FALSE),"")),"")</f>
        <v>68.400000000000006</v>
      </c>
      <c r="AC31" s="441" t="str">
        <f ca="1">IFERROR(1*IF(IFERROR(VLOOKUP($C31,SUP!$B$54:$Q$104,MATCH($B31&amp;"-"&amp;AC$7,SUP!$B$54:$Q$54,0),FALSE),"")="","",IFERROR(VLOOKUP($C31,SUP!$B$54:$Q$104,MATCH($B31&amp;"-"&amp;AC$7,SUP!$B$54:$Q$54,0),FALSE),"")),"")</f>
        <v/>
      </c>
      <c r="AD31" s="441" t="str">
        <f ca="1">IFERROR(1*IF(IFERROR(VLOOKUP($C31,SUP!$B$54:$Q$104,MATCH($B31&amp;"-"&amp;AD$7,SUP!$B$54:$Q$54,0),FALSE),"")="","",IFERROR(VLOOKUP($C31,SUP!$B$54:$Q$104,MATCH($B31&amp;"-"&amp;AD$7,SUP!$B$54:$Q$54,0),FALSE),"")),"")</f>
        <v/>
      </c>
      <c r="AE31" s="441" t="str">
        <f ca="1">IFERROR(1*IF(IFERROR(VLOOKUP($C31,SUP!$B$54:$Q$104,MATCH($B31&amp;"-"&amp;AE$7,SUP!$B$54:$Q$54,0),FALSE),"")="","",IFERROR(VLOOKUP($C31,SUP!$B$54:$Q$104,MATCH($B31&amp;"-"&amp;AE$7,SUP!$B$54:$Q$54,0),FALSE),"")),"")</f>
        <v/>
      </c>
      <c r="AF31" s="441" t="str">
        <f ca="1">IFERROR(1*IF(IFERROR(VLOOKUP($C31,SUP!$B$54:$Q$104,MATCH($B31&amp;"-"&amp;AF$7,SUP!$B$54:$Q$54,0),FALSE),"")="","",IFERROR(VLOOKUP($C31,SUP!$B$54:$Q$104,MATCH($B31&amp;"-"&amp;AF$7,SUP!$B$54:$Q$54,0),FALSE),"")),"")</f>
        <v/>
      </c>
      <c r="AG31" s="441" t="str">
        <f ca="1">IFERROR(1*IF(IFERROR(VLOOKUP($C31,SUP!$B$54:$Q$104,MATCH($B31&amp;"-"&amp;AG$7,SUP!$B$54:$Q$54,0),FALSE),"")="","",IFERROR(VLOOKUP($C31,SUP!$B$54:$Q$104,MATCH($B31&amp;"-"&amp;AG$7,SUP!$B$54:$Q$54,0),FALSE),"")),"")</f>
        <v/>
      </c>
      <c r="AH31" s="441" t="str">
        <f ca="1">IFERROR(1*IF(IFERROR(VLOOKUP($C31,SUP!$B$54:$Q$104,MATCH($B31&amp;"-"&amp;AH$7,SUP!$B$54:$Q$54,0),FALSE),"")="","",IFERROR(VLOOKUP($C31,SUP!$B$54:$Q$104,MATCH($B31&amp;"-"&amp;AH$7,SUP!$B$54:$Q$54,0),FALSE),"")),"")</f>
        <v/>
      </c>
      <c r="AI31" s="441" t="str">
        <f ca="1">IFERROR(1*IF(IFERROR(VLOOKUP($C31,SUP!$B$54:$Q$104,MATCH($B31&amp;"-"&amp;AI$7,SUP!$B$54:$Q$54,0),FALSE),"")="","",IFERROR(VLOOKUP($C31,SUP!$B$54:$Q$104,MATCH($B31&amp;"-"&amp;AI$7,SUP!$B$54:$Q$54,0),FALSE),"")),"")</f>
        <v/>
      </c>
      <c r="AJ31" s="441" t="str">
        <f ca="1">IFERROR(1*IF(IFERROR(VLOOKUP($C31,SUP!$B$54:$Q$104,MATCH($B31&amp;"-"&amp;AJ$7,SUP!$B$54:$Q$54,0),FALSE),"")="","",IFERROR(VLOOKUP($C31,SUP!$B$54:$Q$104,MATCH($B31&amp;"-"&amp;AJ$7,SUP!$B$54:$Q$54,0),FALSE),"")),"")</f>
        <v/>
      </c>
      <c r="AK31" s="441" t="str">
        <f ca="1">IFERROR(1*IF(IFERROR(VLOOKUP($C31,SUP!$B$54:$Q$104,MATCH($B31&amp;"-"&amp;AK$7,SUP!$B$54:$Q$54,0),FALSE),"")="","",IFERROR(VLOOKUP($C31,SUP!$B$54:$Q$104,MATCH($B31&amp;"-"&amp;AK$7,SUP!$B$54:$Q$54,0),FALSE),"")),"")</f>
        <v/>
      </c>
      <c r="AL31" s="441" t="str">
        <f ca="1">IFERROR(1*IF(IFERROR(VLOOKUP($C31,SUP!$B$54:$Q$104,MATCH($B31&amp;"-"&amp;AL$7,SUP!$B$54:$Q$54,0),FALSE),"")="","",IFERROR(VLOOKUP($C31,SUP!$B$54:$Q$104,MATCH($B31&amp;"-"&amp;AL$7,SUP!$B$54:$Q$54,0),FALSE),"")),"")</f>
        <v/>
      </c>
      <c r="AM31" s="441" t="str">
        <f ca="1">IFERROR(1*IF(IFERROR(VLOOKUP($C31,SUP!$B$54:$Q$104,MATCH($B31&amp;"-"&amp;AM$7,SUP!$B$54:$Q$54,0),FALSE),"")="","",IFERROR(VLOOKUP($C31,SUP!$B$54:$Q$104,MATCH($B31&amp;"-"&amp;AM$7,SUP!$B$54:$Q$54,0),FALSE),"")),"")</f>
        <v/>
      </c>
      <c r="AN31" s="441">
        <f ca="1">IFERROR(1*IF(IFERROR(VLOOKUP($C31,SUP!$B$54:$Q$104,MATCH($B31&amp;"-"&amp;AN$7,SUP!$B$54:$Q$54,0),FALSE),"")="","",IFERROR(VLOOKUP($C31,SUP!$B$54:$Q$104,MATCH($B31&amp;"-"&amp;AN$7,SUP!$B$54:$Q$54,0),FALSE),"")),"")</f>
        <v>68.400000000000006</v>
      </c>
      <c r="AO31" s="441" t="str">
        <f ca="1">IFERROR(1*IF(IFERROR(VLOOKUP($C31,SUP!$B$54:$Q$104,MATCH($B31&amp;"-"&amp;AO$7,SUP!$B$54:$Q$54,0),FALSE),"")="","",IFERROR(VLOOKUP($C31,SUP!$B$54:$Q$104,MATCH($B31&amp;"-"&amp;AO$7,SUP!$B$54:$Q$54,0),FALSE),"")),"")</f>
        <v/>
      </c>
      <c r="AR31" s="42">
        <f>IF(AS30=SUP!$B$104,AR30+1,AR30)</f>
        <v>1</v>
      </c>
      <c r="AS31" s="42">
        <f t="shared" si="6"/>
        <v>19</v>
      </c>
    </row>
    <row r="32" spans="1:45">
      <c r="A32" s="42" t="str">
        <f ca="1">IF(LEFT(OFFSET(SUP!$A$57,AS32,0),2)="\I","*","")</f>
        <v/>
      </c>
      <c r="B32" s="440" t="str">
        <f t="shared" ca="1" si="1"/>
        <v>ACT_COST</v>
      </c>
      <c r="C32" s="440" t="str">
        <f ca="1">IF($A32="*","",OFFSET(SUP!$B$57,AS32,0))</f>
        <v>IMPGRL</v>
      </c>
      <c r="D32" s="440" t="str">
        <f t="shared" ca="1" si="7"/>
        <v>-</v>
      </c>
      <c r="E32" s="440" t="str">
        <f t="shared" ca="1" si="7"/>
        <v>-</v>
      </c>
      <c r="F32" s="440" t="str">
        <f t="shared" ca="1" si="7"/>
        <v>-</v>
      </c>
      <c r="G32" s="440" t="str">
        <f t="shared" ca="1" si="7"/>
        <v>-</v>
      </c>
      <c r="H32" s="440" t="str">
        <f t="shared" ca="1" si="5"/>
        <v>-</v>
      </c>
      <c r="I32" s="441">
        <f ca="1">IF(IFERROR(VLOOKUP($C32,SUP!$B$54:$Q$104,MATCH($B32&amp;"-"&amp;I$7,SUP!$B$54:$Q$54,0),FALSE),"")="","",IFERROR(VLOOKUP($C32,SUP!$B$54:$Q$104,MATCH($B32&amp;"-"&amp;I$7,SUP!$B$54:$Q$54,0),FALSE),""))</f>
        <v>0</v>
      </c>
      <c r="J32" s="441">
        <f ca="1">IFERROR(1*IF(IFERROR(VLOOKUP($C32,SUP!$B$54:$Q$104,MATCH($B32&amp;"-"&amp;J$7,SUP!$B$54:$Q$54,0),FALSE),"")="","",IFERROR(VLOOKUP($C32,SUP!$B$54:$Q$104,MATCH($B32&amp;"-"&amp;J$7,SUP!$B$54:$Q$54,0),FALSE),"")),"")</f>
        <v>96.698294762691319</v>
      </c>
      <c r="K32" s="441" t="str">
        <f ca="1">IFERROR(1*IF(IFERROR(VLOOKUP($C32,SUP!$B$54:$Q$104,MATCH($B32&amp;"-"&amp;K$7,SUP!$B$54:$Q$54,0),FALSE),"")="","",IFERROR(VLOOKUP($C32,SUP!$B$54:$Q$104,MATCH($B32&amp;"-"&amp;K$7,SUP!$B$54:$Q$54,0),FALSE),"")),"")</f>
        <v/>
      </c>
      <c r="L32" s="441" t="str">
        <f ca="1">IFERROR(1*IF(IFERROR(VLOOKUP($C32,SUP!$B$54:$Q$104,MATCH($B32&amp;"-"&amp;L$7,SUP!$B$54:$Q$54,0),FALSE),"")="","",IFERROR(VLOOKUP($C32,SUP!$B$54:$Q$104,MATCH($B32&amp;"-"&amp;L$7,SUP!$B$54:$Q$54,0),FALSE),"")),"")</f>
        <v/>
      </c>
      <c r="M32" s="441">
        <f ca="1">IFERROR(1*IF(IFERROR(VLOOKUP($C32,SUP!$B$54:$Q$104,MATCH($B32&amp;"-"&amp;M$7,SUP!$B$54:$Q$54,0),FALSE),"")="","",IFERROR(VLOOKUP($C32,SUP!$B$54:$Q$104,MATCH($B32&amp;"-"&amp;M$7,SUP!$B$54:$Q$54,0),FALSE),"")),"")</f>
        <v>70.492064666074782</v>
      </c>
      <c r="N32" s="441" t="str">
        <f ca="1">IFERROR(1*IF(IFERROR(VLOOKUP($C32,SUP!$B$54:$Q$104,MATCH($B32&amp;"-"&amp;N$7,SUP!$B$54:$Q$54,0),FALSE),"")="","",IFERROR(VLOOKUP($C32,SUP!$B$54:$Q$104,MATCH($B32&amp;"-"&amp;N$7,SUP!$B$54:$Q$54,0),FALSE),"")),"")</f>
        <v/>
      </c>
      <c r="O32" s="441" t="str">
        <f ca="1">IFERROR(1*IF(IFERROR(VLOOKUP($C32,SUP!$B$54:$Q$104,MATCH($B32&amp;"-"&amp;O$7,SUP!$B$54:$Q$54,0),FALSE),"")="","",IFERROR(VLOOKUP($C32,SUP!$B$54:$Q$104,MATCH($B32&amp;"-"&amp;O$7,SUP!$B$54:$Q$54,0),FALSE),"")),"")</f>
        <v/>
      </c>
      <c r="P32" s="441" t="str">
        <f ca="1">IFERROR(1*IF(IFERROR(VLOOKUP($C32,SUP!$B$54:$Q$104,MATCH($B32&amp;"-"&amp;P$7,SUP!$B$54:$Q$54,0),FALSE),"")="","",IFERROR(VLOOKUP($C32,SUP!$B$54:$Q$104,MATCH($B32&amp;"-"&amp;P$7,SUP!$B$54:$Q$54,0),FALSE),"")),"")</f>
        <v/>
      </c>
      <c r="Q32" s="441" t="str">
        <f ca="1">IFERROR(1*IF(IFERROR(VLOOKUP($C32,SUP!$B$54:$Q$104,MATCH($B32&amp;"-"&amp;Q$7,SUP!$B$54:$Q$54,0),FALSE),"")="","",IFERROR(VLOOKUP($C32,SUP!$B$54:$Q$104,MATCH($B32&amp;"-"&amp;Q$7,SUP!$B$54:$Q$54,0),FALSE),"")),"")</f>
        <v/>
      </c>
      <c r="R32" s="441">
        <f ca="1">IFERROR(1*IF(IFERROR(VLOOKUP($C32,SUP!$B$54:$Q$104,MATCH($B32&amp;"-"&amp;R$7,SUP!$B$54:$Q$54,0),FALSE),"")="","",IFERROR(VLOOKUP($C32,SUP!$B$54:$Q$104,MATCH($B32&amp;"-"&amp;R$7,SUP!$B$54:$Q$54,0),FALSE),"")),"")</f>
        <v>79.547392192493575</v>
      </c>
      <c r="S32" s="441" t="str">
        <f ca="1">IFERROR(1*IF(IFERROR(VLOOKUP($C32,SUP!$B$54:$Q$104,MATCH($B32&amp;"-"&amp;S$7,SUP!$B$54:$Q$54,0),FALSE),"")="","",IFERROR(VLOOKUP($C32,SUP!$B$54:$Q$104,MATCH($B32&amp;"-"&amp;S$7,SUP!$B$54:$Q$54,0),FALSE),"")),"")</f>
        <v/>
      </c>
      <c r="T32" s="441" t="str">
        <f ca="1">IFERROR(1*IF(IFERROR(VLOOKUP($C32,SUP!$B$54:$Q$104,MATCH($B32&amp;"-"&amp;T$7,SUP!$B$54:$Q$54,0),FALSE),"")="","",IFERROR(VLOOKUP($C32,SUP!$B$54:$Q$104,MATCH($B32&amp;"-"&amp;T$7,SUP!$B$54:$Q$54,0),FALSE),"")),"")</f>
        <v/>
      </c>
      <c r="U32" s="441" t="str">
        <f ca="1">IFERROR(1*IF(IFERROR(VLOOKUP($C32,SUP!$B$54:$Q$104,MATCH($B32&amp;"-"&amp;U$7,SUP!$B$54:$Q$54,0),FALSE),"")="","",IFERROR(VLOOKUP($C32,SUP!$B$54:$Q$104,MATCH($B32&amp;"-"&amp;U$7,SUP!$B$54:$Q$54,0),FALSE),"")),"")</f>
        <v/>
      </c>
      <c r="V32" s="441" t="str">
        <f ca="1">IFERROR(1*IF(IFERROR(VLOOKUP($C32,SUP!$B$54:$Q$104,MATCH($B32&amp;"-"&amp;V$7,SUP!$B$54:$Q$54,0),FALSE),"")="","",IFERROR(VLOOKUP($C32,SUP!$B$54:$Q$104,MATCH($B32&amp;"-"&amp;V$7,SUP!$B$54:$Q$54,0),FALSE),"")),"")</f>
        <v/>
      </c>
      <c r="W32" s="441" t="str">
        <f ca="1">IFERROR(1*IF(IFERROR(VLOOKUP($C32,SUP!$B$54:$Q$104,MATCH($B32&amp;"-"&amp;W$7,SUP!$B$54:$Q$54,0),FALSE),"")="","",IFERROR(VLOOKUP($C32,SUP!$B$54:$Q$104,MATCH($B32&amp;"-"&amp;W$7,SUP!$B$54:$Q$54,0),FALSE),"")),"")</f>
        <v/>
      </c>
      <c r="X32" s="441" t="str">
        <f ca="1">IFERROR(1*IF(IFERROR(VLOOKUP($C32,SUP!$B$54:$Q$104,MATCH($B32&amp;"-"&amp;X$7,SUP!$B$54:$Q$54,0),FALSE),"")="","",IFERROR(VLOOKUP($C32,SUP!$B$54:$Q$104,MATCH($B32&amp;"-"&amp;X$7,SUP!$B$54:$Q$54,0),FALSE),"")),"")</f>
        <v/>
      </c>
      <c r="Y32" s="441" t="str">
        <f ca="1">IFERROR(1*IF(IFERROR(VLOOKUP($C32,SUP!$B$54:$Q$104,MATCH($B32&amp;"-"&amp;Y$7,SUP!$B$54:$Q$54,0),FALSE),"")="","",IFERROR(VLOOKUP($C32,SUP!$B$54:$Q$104,MATCH($B32&amp;"-"&amp;Y$7,SUP!$B$54:$Q$54,0),FALSE),"")),"")</f>
        <v/>
      </c>
      <c r="Z32" s="441" t="str">
        <f ca="1">IFERROR(1*IF(IFERROR(VLOOKUP($C32,SUP!$B$54:$Q$104,MATCH($B32&amp;"-"&amp;Z$7,SUP!$B$54:$Q$54,0),FALSE),"")="","",IFERROR(VLOOKUP($C32,SUP!$B$54:$Q$104,MATCH($B32&amp;"-"&amp;Z$7,SUP!$B$54:$Q$54,0),FALSE),"")),"")</f>
        <v/>
      </c>
      <c r="AA32" s="441" t="str">
        <f ca="1">IFERROR(1*IF(IFERROR(VLOOKUP($C32,SUP!$B$54:$Q$104,MATCH($B32&amp;"-"&amp;AA$7,SUP!$B$54:$Q$54,0),FALSE),"")="","",IFERROR(VLOOKUP($C32,SUP!$B$54:$Q$104,MATCH($B32&amp;"-"&amp;AA$7,SUP!$B$54:$Q$54,0),FALSE),"")),"")</f>
        <v/>
      </c>
      <c r="AB32" s="441">
        <f ca="1">IFERROR(1*IF(IFERROR(VLOOKUP($C32,SUP!$B$54:$Q$104,MATCH($B32&amp;"-"&amp;AB$7,SUP!$B$54:$Q$54,0),FALSE),"")="","",IFERROR(VLOOKUP($C32,SUP!$B$54:$Q$104,MATCH($B32&amp;"-"&amp;AB$7,SUP!$B$54:$Q$54,0),FALSE),"")),"")</f>
        <v>76.528949683687301</v>
      </c>
      <c r="AC32" s="441" t="str">
        <f ca="1">IFERROR(1*IF(IFERROR(VLOOKUP($C32,SUP!$B$54:$Q$104,MATCH($B32&amp;"-"&amp;AC$7,SUP!$B$54:$Q$54,0),FALSE),"")="","",IFERROR(VLOOKUP($C32,SUP!$B$54:$Q$104,MATCH($B32&amp;"-"&amp;AC$7,SUP!$B$54:$Q$54,0),FALSE),"")),"")</f>
        <v/>
      </c>
      <c r="AD32" s="441" t="str">
        <f ca="1">IFERROR(1*IF(IFERROR(VLOOKUP($C32,SUP!$B$54:$Q$104,MATCH($B32&amp;"-"&amp;AD$7,SUP!$B$54:$Q$54,0),FALSE),"")="","",IFERROR(VLOOKUP($C32,SUP!$B$54:$Q$104,MATCH($B32&amp;"-"&amp;AD$7,SUP!$B$54:$Q$54,0),FALSE),"")),"")</f>
        <v/>
      </c>
      <c r="AE32" s="441" t="str">
        <f ca="1">IFERROR(1*IF(IFERROR(VLOOKUP($C32,SUP!$B$54:$Q$104,MATCH($B32&amp;"-"&amp;AE$7,SUP!$B$54:$Q$54,0),FALSE),"")="","",IFERROR(VLOOKUP($C32,SUP!$B$54:$Q$104,MATCH($B32&amp;"-"&amp;AE$7,SUP!$B$54:$Q$54,0),FALSE),"")),"")</f>
        <v/>
      </c>
      <c r="AF32" s="441" t="str">
        <f ca="1">IFERROR(1*IF(IFERROR(VLOOKUP($C32,SUP!$B$54:$Q$104,MATCH($B32&amp;"-"&amp;AF$7,SUP!$B$54:$Q$54,0),FALSE),"")="","",IFERROR(VLOOKUP($C32,SUP!$B$54:$Q$104,MATCH($B32&amp;"-"&amp;AF$7,SUP!$B$54:$Q$54,0),FALSE),"")),"")</f>
        <v/>
      </c>
      <c r="AG32" s="441" t="str">
        <f ca="1">IFERROR(1*IF(IFERROR(VLOOKUP($C32,SUP!$B$54:$Q$104,MATCH($B32&amp;"-"&amp;AG$7,SUP!$B$54:$Q$54,0),FALSE),"")="","",IFERROR(VLOOKUP($C32,SUP!$B$54:$Q$104,MATCH($B32&amp;"-"&amp;AG$7,SUP!$B$54:$Q$54,0),FALSE),"")),"")</f>
        <v/>
      </c>
      <c r="AH32" s="441" t="str">
        <f ca="1">IFERROR(1*IF(IFERROR(VLOOKUP($C32,SUP!$B$54:$Q$104,MATCH($B32&amp;"-"&amp;AH$7,SUP!$B$54:$Q$54,0),FALSE),"")="","",IFERROR(VLOOKUP($C32,SUP!$B$54:$Q$104,MATCH($B32&amp;"-"&amp;AH$7,SUP!$B$54:$Q$54,0),FALSE),"")),"")</f>
        <v/>
      </c>
      <c r="AI32" s="441" t="str">
        <f ca="1">IFERROR(1*IF(IFERROR(VLOOKUP($C32,SUP!$B$54:$Q$104,MATCH($B32&amp;"-"&amp;AI$7,SUP!$B$54:$Q$54,0),FALSE),"")="","",IFERROR(VLOOKUP($C32,SUP!$B$54:$Q$104,MATCH($B32&amp;"-"&amp;AI$7,SUP!$B$54:$Q$54,0),FALSE),"")),"")</f>
        <v/>
      </c>
      <c r="AJ32" s="441" t="str">
        <f ca="1">IFERROR(1*IF(IFERROR(VLOOKUP($C32,SUP!$B$54:$Q$104,MATCH($B32&amp;"-"&amp;AJ$7,SUP!$B$54:$Q$54,0),FALSE),"")="","",IFERROR(VLOOKUP($C32,SUP!$B$54:$Q$104,MATCH($B32&amp;"-"&amp;AJ$7,SUP!$B$54:$Q$54,0),FALSE),"")),"")</f>
        <v/>
      </c>
      <c r="AK32" s="441" t="str">
        <f ca="1">IFERROR(1*IF(IFERROR(VLOOKUP($C32,SUP!$B$54:$Q$104,MATCH($B32&amp;"-"&amp;AK$7,SUP!$B$54:$Q$54,0),FALSE),"")="","",IFERROR(VLOOKUP($C32,SUP!$B$54:$Q$104,MATCH($B32&amp;"-"&amp;AK$7,SUP!$B$54:$Q$54,0),FALSE),"")),"")</f>
        <v/>
      </c>
      <c r="AL32" s="441" t="str">
        <f ca="1">IFERROR(1*IF(IFERROR(VLOOKUP($C32,SUP!$B$54:$Q$104,MATCH($B32&amp;"-"&amp;AL$7,SUP!$B$54:$Q$54,0),FALSE),"")="","",IFERROR(VLOOKUP($C32,SUP!$B$54:$Q$104,MATCH($B32&amp;"-"&amp;AL$7,SUP!$B$54:$Q$54,0),FALSE),"")),"")</f>
        <v/>
      </c>
      <c r="AM32" s="441" t="str">
        <f ca="1">IFERROR(1*IF(IFERROR(VLOOKUP($C32,SUP!$B$54:$Q$104,MATCH($B32&amp;"-"&amp;AM$7,SUP!$B$54:$Q$54,0),FALSE),"")="","",IFERROR(VLOOKUP($C32,SUP!$B$54:$Q$104,MATCH($B32&amp;"-"&amp;AM$7,SUP!$B$54:$Q$54,0),FALSE),"")),"")</f>
        <v/>
      </c>
      <c r="AN32" s="441">
        <f ca="1">IFERROR(1*IF(IFERROR(VLOOKUP($C32,SUP!$B$54:$Q$104,MATCH($B32&amp;"-"&amp;AN$7,SUP!$B$54:$Q$54,0),FALSE),"")="","",IFERROR(VLOOKUP($C32,SUP!$B$54:$Q$104,MATCH($B32&amp;"-"&amp;AN$7,SUP!$B$54:$Q$54,0),FALSE),"")),"")</f>
        <v>69.629652520701569</v>
      </c>
      <c r="AO32" s="441" t="str">
        <f ca="1">IFERROR(1*IF(IFERROR(VLOOKUP($C32,SUP!$B$54:$Q$104,MATCH($B32&amp;"-"&amp;AO$7,SUP!$B$54:$Q$54,0),FALSE),"")="","",IFERROR(VLOOKUP($C32,SUP!$B$54:$Q$104,MATCH($B32&amp;"-"&amp;AO$7,SUP!$B$54:$Q$54,0),FALSE),"")),"")</f>
        <v/>
      </c>
      <c r="AR32" s="42">
        <f>IF(AS31=SUP!$B$104,AR31+1,AR31)</f>
        <v>1</v>
      </c>
      <c r="AS32" s="42">
        <f t="shared" si="6"/>
        <v>20</v>
      </c>
    </row>
    <row r="33" spans="1:45">
      <c r="A33" s="42" t="str">
        <f ca="1">IF(LEFT(OFFSET(SUP!$A$57,AS33,0),2)="\I","*","")</f>
        <v/>
      </c>
      <c r="B33" s="440" t="str">
        <f t="shared" ca="1" si="1"/>
        <v>ACT_COST</v>
      </c>
      <c r="C33" s="440" t="str">
        <f ca="1">IF($A33="*","",OFFSET(SUP!$B$57,AS33,0))</f>
        <v>IMPGWL</v>
      </c>
      <c r="D33" s="440" t="str">
        <f t="shared" ca="1" si="7"/>
        <v>-</v>
      </c>
      <c r="E33" s="440" t="str">
        <f t="shared" ca="1" si="7"/>
        <v>-</v>
      </c>
      <c r="F33" s="440" t="str">
        <f t="shared" ca="1" si="7"/>
        <v>-</v>
      </c>
      <c r="G33" s="440" t="str">
        <f t="shared" ca="1" si="7"/>
        <v>-</v>
      </c>
      <c r="H33" s="440" t="str">
        <f t="shared" ca="1" si="5"/>
        <v>-</v>
      </c>
      <c r="I33" s="441">
        <f ca="1">IF(IFERROR(VLOOKUP($C33,SUP!$B$54:$Q$104,MATCH($B33&amp;"-"&amp;I$7,SUP!$B$54:$Q$54,0),FALSE),"")="","",IFERROR(VLOOKUP($C33,SUP!$B$54:$Q$104,MATCH($B33&amp;"-"&amp;I$7,SUP!$B$54:$Q$54,0),FALSE),""))</f>
        <v>0</v>
      </c>
      <c r="J33" s="441">
        <f ca="1">IFERROR(1*IF(IFERROR(VLOOKUP($C33,SUP!$B$54:$Q$104,MATCH($B33&amp;"-"&amp;J$7,SUP!$B$54:$Q$54,0),FALSE),"")="","",IFERROR(VLOOKUP($C33,SUP!$B$54:$Q$104,MATCH($B33&amp;"-"&amp;J$7,SUP!$B$54:$Q$54,0),FALSE),"")),"")</f>
        <v>101.21583030771501</v>
      </c>
      <c r="K33" s="441" t="str">
        <f ca="1">IFERROR(1*IF(IFERROR(VLOOKUP($C33,SUP!$B$54:$Q$104,MATCH($B33&amp;"-"&amp;K$7,SUP!$B$54:$Q$54,0),FALSE),"")="","",IFERROR(VLOOKUP($C33,SUP!$B$54:$Q$104,MATCH($B33&amp;"-"&amp;K$7,SUP!$B$54:$Q$54,0),FALSE),"")),"")</f>
        <v/>
      </c>
      <c r="L33" s="441" t="str">
        <f ca="1">IFERROR(1*IF(IFERROR(VLOOKUP($C33,SUP!$B$54:$Q$104,MATCH($B33&amp;"-"&amp;L$7,SUP!$B$54:$Q$54,0),FALSE),"")="","",IFERROR(VLOOKUP($C33,SUP!$B$54:$Q$104,MATCH($B33&amp;"-"&amp;L$7,SUP!$B$54:$Q$54,0),FALSE),"")),"")</f>
        <v/>
      </c>
      <c r="M33" s="441">
        <f ca="1">IFERROR(1*IF(IFERROR(VLOOKUP($C33,SUP!$B$54:$Q$104,MATCH($B33&amp;"-"&amp;M$7,SUP!$B$54:$Q$54,0),FALSE),"")="","",IFERROR(VLOOKUP($C33,SUP!$B$54:$Q$104,MATCH($B33&amp;"-"&amp;M$7,SUP!$B$54:$Q$54,0),FALSE),"")),"")</f>
        <v>75.009600211098473</v>
      </c>
      <c r="N33" s="441" t="str">
        <f ca="1">IFERROR(1*IF(IFERROR(VLOOKUP($C33,SUP!$B$54:$Q$104,MATCH($B33&amp;"-"&amp;N$7,SUP!$B$54:$Q$54,0),FALSE),"")="","",IFERROR(VLOOKUP($C33,SUP!$B$54:$Q$104,MATCH($B33&amp;"-"&amp;N$7,SUP!$B$54:$Q$54,0),FALSE),"")),"")</f>
        <v/>
      </c>
      <c r="O33" s="441" t="str">
        <f ca="1">IFERROR(1*IF(IFERROR(VLOOKUP($C33,SUP!$B$54:$Q$104,MATCH($B33&amp;"-"&amp;O$7,SUP!$B$54:$Q$54,0),FALSE),"")="","",IFERROR(VLOOKUP($C33,SUP!$B$54:$Q$104,MATCH($B33&amp;"-"&amp;O$7,SUP!$B$54:$Q$54,0),FALSE),"")),"")</f>
        <v/>
      </c>
      <c r="P33" s="441" t="str">
        <f ca="1">IFERROR(1*IF(IFERROR(VLOOKUP($C33,SUP!$B$54:$Q$104,MATCH($B33&amp;"-"&amp;P$7,SUP!$B$54:$Q$54,0),FALSE),"")="","",IFERROR(VLOOKUP($C33,SUP!$B$54:$Q$104,MATCH($B33&amp;"-"&amp;P$7,SUP!$B$54:$Q$54,0),FALSE),"")),"")</f>
        <v/>
      </c>
      <c r="Q33" s="441" t="str">
        <f ca="1">IFERROR(1*IF(IFERROR(VLOOKUP($C33,SUP!$B$54:$Q$104,MATCH($B33&amp;"-"&amp;Q$7,SUP!$B$54:$Q$54,0),FALSE),"")="","",IFERROR(VLOOKUP($C33,SUP!$B$54:$Q$104,MATCH($B33&amp;"-"&amp;Q$7,SUP!$B$54:$Q$54,0),FALSE),"")),"")</f>
        <v/>
      </c>
      <c r="R33" s="441">
        <f ca="1">IFERROR(1*IF(IFERROR(VLOOKUP($C33,SUP!$B$54:$Q$104,MATCH($B33&amp;"-"&amp;R$7,SUP!$B$54:$Q$54,0),FALSE),"")="","",IFERROR(VLOOKUP($C33,SUP!$B$54:$Q$104,MATCH($B33&amp;"-"&amp;R$7,SUP!$B$54:$Q$54,0),FALSE),"")),"")</f>
        <v>84.064927737517252</v>
      </c>
      <c r="S33" s="441" t="str">
        <f ca="1">IFERROR(1*IF(IFERROR(VLOOKUP($C33,SUP!$B$54:$Q$104,MATCH($B33&amp;"-"&amp;S$7,SUP!$B$54:$Q$54,0),FALSE),"")="","",IFERROR(VLOOKUP($C33,SUP!$B$54:$Q$104,MATCH($B33&amp;"-"&amp;S$7,SUP!$B$54:$Q$54,0),FALSE),"")),"")</f>
        <v/>
      </c>
      <c r="T33" s="441" t="str">
        <f ca="1">IFERROR(1*IF(IFERROR(VLOOKUP($C33,SUP!$B$54:$Q$104,MATCH($B33&amp;"-"&amp;T$7,SUP!$B$54:$Q$54,0),FALSE),"")="","",IFERROR(VLOOKUP($C33,SUP!$B$54:$Q$104,MATCH($B33&amp;"-"&amp;T$7,SUP!$B$54:$Q$54,0),FALSE),"")),"")</f>
        <v/>
      </c>
      <c r="U33" s="441" t="str">
        <f ca="1">IFERROR(1*IF(IFERROR(VLOOKUP($C33,SUP!$B$54:$Q$104,MATCH($B33&amp;"-"&amp;U$7,SUP!$B$54:$Q$54,0),FALSE),"")="","",IFERROR(VLOOKUP($C33,SUP!$B$54:$Q$104,MATCH($B33&amp;"-"&amp;U$7,SUP!$B$54:$Q$54,0),FALSE),"")),"")</f>
        <v/>
      </c>
      <c r="V33" s="441" t="str">
        <f ca="1">IFERROR(1*IF(IFERROR(VLOOKUP($C33,SUP!$B$54:$Q$104,MATCH($B33&amp;"-"&amp;V$7,SUP!$B$54:$Q$54,0),FALSE),"")="","",IFERROR(VLOOKUP($C33,SUP!$B$54:$Q$104,MATCH($B33&amp;"-"&amp;V$7,SUP!$B$54:$Q$54,0),FALSE),"")),"")</f>
        <v/>
      </c>
      <c r="W33" s="441" t="str">
        <f ca="1">IFERROR(1*IF(IFERROR(VLOOKUP($C33,SUP!$B$54:$Q$104,MATCH($B33&amp;"-"&amp;W$7,SUP!$B$54:$Q$54,0),FALSE),"")="","",IFERROR(VLOOKUP($C33,SUP!$B$54:$Q$104,MATCH($B33&amp;"-"&amp;W$7,SUP!$B$54:$Q$54,0),FALSE),"")),"")</f>
        <v/>
      </c>
      <c r="X33" s="441" t="str">
        <f ca="1">IFERROR(1*IF(IFERROR(VLOOKUP($C33,SUP!$B$54:$Q$104,MATCH($B33&amp;"-"&amp;X$7,SUP!$B$54:$Q$54,0),FALSE),"")="","",IFERROR(VLOOKUP($C33,SUP!$B$54:$Q$104,MATCH($B33&amp;"-"&amp;X$7,SUP!$B$54:$Q$54,0),FALSE),"")),"")</f>
        <v/>
      </c>
      <c r="Y33" s="441" t="str">
        <f ca="1">IFERROR(1*IF(IFERROR(VLOOKUP($C33,SUP!$B$54:$Q$104,MATCH($B33&amp;"-"&amp;Y$7,SUP!$B$54:$Q$54,0),FALSE),"")="","",IFERROR(VLOOKUP($C33,SUP!$B$54:$Q$104,MATCH($B33&amp;"-"&amp;Y$7,SUP!$B$54:$Q$54,0),FALSE),"")),"")</f>
        <v/>
      </c>
      <c r="Z33" s="441" t="str">
        <f ca="1">IFERROR(1*IF(IFERROR(VLOOKUP($C33,SUP!$B$54:$Q$104,MATCH($B33&amp;"-"&amp;Z$7,SUP!$B$54:$Q$54,0),FALSE),"")="","",IFERROR(VLOOKUP($C33,SUP!$B$54:$Q$104,MATCH($B33&amp;"-"&amp;Z$7,SUP!$B$54:$Q$54,0),FALSE),"")),"")</f>
        <v/>
      </c>
      <c r="AA33" s="441" t="str">
        <f ca="1">IFERROR(1*IF(IFERROR(VLOOKUP($C33,SUP!$B$54:$Q$104,MATCH($B33&amp;"-"&amp;AA$7,SUP!$B$54:$Q$54,0),FALSE),"")="","",IFERROR(VLOOKUP($C33,SUP!$B$54:$Q$104,MATCH($B33&amp;"-"&amp;AA$7,SUP!$B$54:$Q$54,0),FALSE),"")),"")</f>
        <v/>
      </c>
      <c r="AB33" s="441">
        <f ca="1">IFERROR(1*IF(IFERROR(VLOOKUP($C33,SUP!$B$54:$Q$104,MATCH($B33&amp;"-"&amp;AB$7,SUP!$B$54:$Q$54,0),FALSE),"")="","",IFERROR(VLOOKUP($C33,SUP!$B$54:$Q$104,MATCH($B33&amp;"-"&amp;AB$7,SUP!$B$54:$Q$54,0),FALSE),"")),"")</f>
        <v>81.046485228710992</v>
      </c>
      <c r="AC33" s="441" t="str">
        <f ca="1">IFERROR(1*IF(IFERROR(VLOOKUP($C33,SUP!$B$54:$Q$104,MATCH($B33&amp;"-"&amp;AC$7,SUP!$B$54:$Q$54,0),FALSE),"")="","",IFERROR(VLOOKUP($C33,SUP!$B$54:$Q$104,MATCH($B33&amp;"-"&amp;AC$7,SUP!$B$54:$Q$54,0),FALSE),"")),"")</f>
        <v/>
      </c>
      <c r="AD33" s="441" t="str">
        <f ca="1">IFERROR(1*IF(IFERROR(VLOOKUP($C33,SUP!$B$54:$Q$104,MATCH($B33&amp;"-"&amp;AD$7,SUP!$B$54:$Q$54,0),FALSE),"")="","",IFERROR(VLOOKUP($C33,SUP!$B$54:$Q$104,MATCH($B33&amp;"-"&amp;AD$7,SUP!$B$54:$Q$54,0),FALSE),"")),"")</f>
        <v/>
      </c>
      <c r="AE33" s="441" t="str">
        <f ca="1">IFERROR(1*IF(IFERROR(VLOOKUP($C33,SUP!$B$54:$Q$104,MATCH($B33&amp;"-"&amp;AE$7,SUP!$B$54:$Q$54,0),FALSE),"")="","",IFERROR(VLOOKUP($C33,SUP!$B$54:$Q$104,MATCH($B33&amp;"-"&amp;AE$7,SUP!$B$54:$Q$54,0),FALSE),"")),"")</f>
        <v/>
      </c>
      <c r="AF33" s="441" t="str">
        <f ca="1">IFERROR(1*IF(IFERROR(VLOOKUP($C33,SUP!$B$54:$Q$104,MATCH($B33&amp;"-"&amp;AF$7,SUP!$B$54:$Q$54,0),FALSE),"")="","",IFERROR(VLOOKUP($C33,SUP!$B$54:$Q$104,MATCH($B33&amp;"-"&amp;AF$7,SUP!$B$54:$Q$54,0),FALSE),"")),"")</f>
        <v/>
      </c>
      <c r="AG33" s="441" t="str">
        <f ca="1">IFERROR(1*IF(IFERROR(VLOOKUP($C33,SUP!$B$54:$Q$104,MATCH($B33&amp;"-"&amp;AG$7,SUP!$B$54:$Q$54,0),FALSE),"")="","",IFERROR(VLOOKUP($C33,SUP!$B$54:$Q$104,MATCH($B33&amp;"-"&amp;AG$7,SUP!$B$54:$Q$54,0),FALSE),"")),"")</f>
        <v/>
      </c>
      <c r="AH33" s="441" t="str">
        <f ca="1">IFERROR(1*IF(IFERROR(VLOOKUP($C33,SUP!$B$54:$Q$104,MATCH($B33&amp;"-"&amp;AH$7,SUP!$B$54:$Q$54,0),FALSE),"")="","",IFERROR(VLOOKUP($C33,SUP!$B$54:$Q$104,MATCH($B33&amp;"-"&amp;AH$7,SUP!$B$54:$Q$54,0),FALSE),"")),"")</f>
        <v/>
      </c>
      <c r="AI33" s="441" t="str">
        <f ca="1">IFERROR(1*IF(IFERROR(VLOOKUP($C33,SUP!$B$54:$Q$104,MATCH($B33&amp;"-"&amp;AI$7,SUP!$B$54:$Q$54,0),FALSE),"")="","",IFERROR(VLOOKUP($C33,SUP!$B$54:$Q$104,MATCH($B33&amp;"-"&amp;AI$7,SUP!$B$54:$Q$54,0),FALSE),"")),"")</f>
        <v/>
      </c>
      <c r="AJ33" s="441" t="str">
        <f ca="1">IFERROR(1*IF(IFERROR(VLOOKUP($C33,SUP!$B$54:$Q$104,MATCH($B33&amp;"-"&amp;AJ$7,SUP!$B$54:$Q$54,0),FALSE),"")="","",IFERROR(VLOOKUP($C33,SUP!$B$54:$Q$104,MATCH($B33&amp;"-"&amp;AJ$7,SUP!$B$54:$Q$54,0),FALSE),"")),"")</f>
        <v/>
      </c>
      <c r="AK33" s="441" t="str">
        <f ca="1">IFERROR(1*IF(IFERROR(VLOOKUP($C33,SUP!$B$54:$Q$104,MATCH($B33&amp;"-"&amp;AK$7,SUP!$B$54:$Q$54,0),FALSE),"")="","",IFERROR(VLOOKUP($C33,SUP!$B$54:$Q$104,MATCH($B33&amp;"-"&amp;AK$7,SUP!$B$54:$Q$54,0),FALSE),"")),"")</f>
        <v/>
      </c>
      <c r="AL33" s="441" t="str">
        <f ca="1">IFERROR(1*IF(IFERROR(VLOOKUP($C33,SUP!$B$54:$Q$104,MATCH($B33&amp;"-"&amp;AL$7,SUP!$B$54:$Q$54,0),FALSE),"")="","",IFERROR(VLOOKUP($C33,SUP!$B$54:$Q$104,MATCH($B33&amp;"-"&amp;AL$7,SUP!$B$54:$Q$54,0),FALSE),"")),"")</f>
        <v/>
      </c>
      <c r="AM33" s="441" t="str">
        <f ca="1">IFERROR(1*IF(IFERROR(VLOOKUP($C33,SUP!$B$54:$Q$104,MATCH($B33&amp;"-"&amp;AM$7,SUP!$B$54:$Q$54,0),FALSE),"")="","",IFERROR(VLOOKUP($C33,SUP!$B$54:$Q$104,MATCH($B33&amp;"-"&amp;AM$7,SUP!$B$54:$Q$54,0),FALSE),"")),"")</f>
        <v/>
      </c>
      <c r="AN33" s="441">
        <f ca="1">IFERROR(1*IF(IFERROR(VLOOKUP($C33,SUP!$B$54:$Q$104,MATCH($B33&amp;"-"&amp;AN$7,SUP!$B$54:$Q$54,0),FALSE),"")="","",IFERROR(VLOOKUP($C33,SUP!$B$54:$Q$104,MATCH($B33&amp;"-"&amp;AN$7,SUP!$B$54:$Q$54,0),FALSE),"")),"")</f>
        <v>74.147188065725246</v>
      </c>
      <c r="AO33" s="441" t="str">
        <f ca="1">IFERROR(1*IF(IFERROR(VLOOKUP($C33,SUP!$B$54:$Q$104,MATCH($B33&amp;"-"&amp;AO$7,SUP!$B$54:$Q$54,0),FALSE),"")="","",IFERROR(VLOOKUP($C33,SUP!$B$54:$Q$104,MATCH($B33&amp;"-"&amp;AO$7,SUP!$B$54:$Q$54,0),FALSE),"")),"")</f>
        <v/>
      </c>
      <c r="AR33" s="42">
        <f>IF(AS32=SUP!$B$104,AR32+1,AR32)</f>
        <v>1</v>
      </c>
      <c r="AS33" s="42">
        <f t="shared" si="6"/>
        <v>21</v>
      </c>
    </row>
    <row r="34" spans="1:45">
      <c r="A34" s="42" t="str">
        <f ca="1">IF(LEFT(OFFSET(SUP!$A$57,AS34,0),2)="\I","*","")</f>
        <v/>
      </c>
      <c r="B34" s="440" t="str">
        <f t="shared" ca="1" si="1"/>
        <v>ACT_COST</v>
      </c>
      <c r="C34" s="440" t="str">
        <f ca="1">IF($A34="*","",OFFSET(SUP!$B$57,AS34,0))</f>
        <v>IMPNUC</v>
      </c>
      <c r="D34" s="440" t="str">
        <f t="shared" ca="1" si="7"/>
        <v>-</v>
      </c>
      <c r="E34" s="440" t="str">
        <f t="shared" ca="1" si="7"/>
        <v>-</v>
      </c>
      <c r="F34" s="440" t="str">
        <f t="shared" ca="1" si="7"/>
        <v>-</v>
      </c>
      <c r="G34" s="440" t="str">
        <f t="shared" ca="1" si="7"/>
        <v>-</v>
      </c>
      <c r="H34" s="440" t="str">
        <f t="shared" ca="1" si="5"/>
        <v>-</v>
      </c>
      <c r="I34" s="441">
        <f ca="1">IF(IFERROR(VLOOKUP($C34,SUP!$B$54:$Q$104,MATCH($B34&amp;"-"&amp;I$7,SUP!$B$54:$Q$54,0),FALSE),"")="","",IFERROR(VLOOKUP($C34,SUP!$B$54:$Q$104,MATCH($B34&amp;"-"&amp;I$7,SUP!$B$54:$Q$54,0),FALSE),""))</f>
        <v>0</v>
      </c>
      <c r="J34" s="441">
        <f ca="1">IFERROR(1*IF(IFERROR(VLOOKUP($C34,SUP!$B$54:$Q$104,MATCH($B34&amp;"-"&amp;J$7,SUP!$B$54:$Q$54,0),FALSE),"")="","",IFERROR(VLOOKUP($C34,SUP!$B$54:$Q$104,MATCH($B34&amp;"-"&amp;J$7,SUP!$B$54:$Q$54,0),FALSE),"")),"")</f>
        <v>8.1288130107613874</v>
      </c>
      <c r="K34" s="441" t="str">
        <f ca="1">IFERROR(1*IF(IFERROR(VLOOKUP($C34,SUP!$B$54:$Q$104,MATCH($B34&amp;"-"&amp;K$7,SUP!$B$54:$Q$54,0),FALSE),"")="","",IFERROR(VLOOKUP($C34,SUP!$B$54:$Q$104,MATCH($B34&amp;"-"&amp;K$7,SUP!$B$54:$Q$54,0),FALSE),"")),"")</f>
        <v/>
      </c>
      <c r="L34" s="441" t="str">
        <f ca="1">IFERROR(1*IF(IFERROR(VLOOKUP($C34,SUP!$B$54:$Q$104,MATCH($B34&amp;"-"&amp;L$7,SUP!$B$54:$Q$54,0),FALSE),"")="","",IFERROR(VLOOKUP($C34,SUP!$B$54:$Q$104,MATCH($B34&amp;"-"&amp;L$7,SUP!$B$54:$Q$54,0),FALSE),"")),"")</f>
        <v/>
      </c>
      <c r="M34" s="441">
        <f ca="1">IFERROR(1*IF(IFERROR(VLOOKUP($C34,SUP!$B$54:$Q$104,MATCH($B34&amp;"-"&amp;M$7,SUP!$B$54:$Q$54,0),FALSE),"")="","",IFERROR(VLOOKUP($C34,SUP!$B$54:$Q$104,MATCH($B34&amp;"-"&amp;M$7,SUP!$B$54:$Q$54,0),FALSE),"")),"")</f>
        <v>8.1288130107613874</v>
      </c>
      <c r="N34" s="441" t="str">
        <f ca="1">IFERROR(1*IF(IFERROR(VLOOKUP($C34,SUP!$B$54:$Q$104,MATCH($B34&amp;"-"&amp;N$7,SUP!$B$54:$Q$54,0),FALSE),"")="","",IFERROR(VLOOKUP($C34,SUP!$B$54:$Q$104,MATCH($B34&amp;"-"&amp;N$7,SUP!$B$54:$Q$54,0),FALSE),"")),"")</f>
        <v/>
      </c>
      <c r="O34" s="441" t="str">
        <f ca="1">IFERROR(1*IF(IFERROR(VLOOKUP($C34,SUP!$B$54:$Q$104,MATCH($B34&amp;"-"&amp;O$7,SUP!$B$54:$Q$54,0),FALSE),"")="","",IFERROR(VLOOKUP($C34,SUP!$B$54:$Q$104,MATCH($B34&amp;"-"&amp;O$7,SUP!$B$54:$Q$54,0),FALSE),"")),"")</f>
        <v/>
      </c>
      <c r="P34" s="441" t="str">
        <f ca="1">IFERROR(1*IF(IFERROR(VLOOKUP($C34,SUP!$B$54:$Q$104,MATCH($B34&amp;"-"&amp;P$7,SUP!$B$54:$Q$54,0),FALSE),"")="","",IFERROR(VLOOKUP($C34,SUP!$B$54:$Q$104,MATCH($B34&amp;"-"&amp;P$7,SUP!$B$54:$Q$54,0),FALSE),"")),"")</f>
        <v/>
      </c>
      <c r="Q34" s="441" t="str">
        <f ca="1">IFERROR(1*IF(IFERROR(VLOOKUP($C34,SUP!$B$54:$Q$104,MATCH($B34&amp;"-"&amp;Q$7,SUP!$B$54:$Q$54,0),FALSE),"")="","",IFERROR(VLOOKUP($C34,SUP!$B$54:$Q$104,MATCH($B34&amp;"-"&amp;Q$7,SUP!$B$54:$Q$54,0),FALSE),"")),"")</f>
        <v/>
      </c>
      <c r="R34" s="441">
        <f ca="1">IFERROR(1*IF(IFERROR(VLOOKUP($C34,SUP!$B$54:$Q$104,MATCH($B34&amp;"-"&amp;R$7,SUP!$B$54:$Q$54,0),FALSE),"")="","",IFERROR(VLOOKUP($C34,SUP!$B$54:$Q$104,MATCH($B34&amp;"-"&amp;R$7,SUP!$B$54:$Q$54,0),FALSE),"")),"")</f>
        <v>8.1288130107613874</v>
      </c>
      <c r="S34" s="441" t="str">
        <f ca="1">IFERROR(1*IF(IFERROR(VLOOKUP($C34,SUP!$B$54:$Q$104,MATCH($B34&amp;"-"&amp;S$7,SUP!$B$54:$Q$54,0),FALSE),"")="","",IFERROR(VLOOKUP($C34,SUP!$B$54:$Q$104,MATCH($B34&amp;"-"&amp;S$7,SUP!$B$54:$Q$54,0),FALSE),"")),"")</f>
        <v/>
      </c>
      <c r="T34" s="441" t="str">
        <f ca="1">IFERROR(1*IF(IFERROR(VLOOKUP($C34,SUP!$B$54:$Q$104,MATCH($B34&amp;"-"&amp;T$7,SUP!$B$54:$Q$54,0),FALSE),"")="","",IFERROR(VLOOKUP($C34,SUP!$B$54:$Q$104,MATCH($B34&amp;"-"&amp;T$7,SUP!$B$54:$Q$54,0),FALSE),"")),"")</f>
        <v/>
      </c>
      <c r="U34" s="441" t="str">
        <f ca="1">IFERROR(1*IF(IFERROR(VLOOKUP($C34,SUP!$B$54:$Q$104,MATCH($B34&amp;"-"&amp;U$7,SUP!$B$54:$Q$54,0),FALSE),"")="","",IFERROR(VLOOKUP($C34,SUP!$B$54:$Q$104,MATCH($B34&amp;"-"&amp;U$7,SUP!$B$54:$Q$54,0),FALSE),"")),"")</f>
        <v/>
      </c>
      <c r="V34" s="441" t="str">
        <f ca="1">IFERROR(1*IF(IFERROR(VLOOKUP($C34,SUP!$B$54:$Q$104,MATCH($B34&amp;"-"&amp;V$7,SUP!$B$54:$Q$54,0),FALSE),"")="","",IFERROR(VLOOKUP($C34,SUP!$B$54:$Q$104,MATCH($B34&amp;"-"&amp;V$7,SUP!$B$54:$Q$54,0),FALSE),"")),"")</f>
        <v/>
      </c>
      <c r="W34" s="441" t="str">
        <f ca="1">IFERROR(1*IF(IFERROR(VLOOKUP($C34,SUP!$B$54:$Q$104,MATCH($B34&amp;"-"&amp;W$7,SUP!$B$54:$Q$54,0),FALSE),"")="","",IFERROR(VLOOKUP($C34,SUP!$B$54:$Q$104,MATCH($B34&amp;"-"&amp;W$7,SUP!$B$54:$Q$54,0),FALSE),"")),"")</f>
        <v/>
      </c>
      <c r="X34" s="441" t="str">
        <f ca="1">IFERROR(1*IF(IFERROR(VLOOKUP($C34,SUP!$B$54:$Q$104,MATCH($B34&amp;"-"&amp;X$7,SUP!$B$54:$Q$54,0),FALSE),"")="","",IFERROR(VLOOKUP($C34,SUP!$B$54:$Q$104,MATCH($B34&amp;"-"&amp;X$7,SUP!$B$54:$Q$54,0),FALSE),"")),"")</f>
        <v/>
      </c>
      <c r="Y34" s="441" t="str">
        <f ca="1">IFERROR(1*IF(IFERROR(VLOOKUP($C34,SUP!$B$54:$Q$104,MATCH($B34&amp;"-"&amp;Y$7,SUP!$B$54:$Q$54,0),FALSE),"")="","",IFERROR(VLOOKUP($C34,SUP!$B$54:$Q$104,MATCH($B34&amp;"-"&amp;Y$7,SUP!$B$54:$Q$54,0),FALSE),"")),"")</f>
        <v/>
      </c>
      <c r="Z34" s="441" t="str">
        <f ca="1">IFERROR(1*IF(IFERROR(VLOOKUP($C34,SUP!$B$54:$Q$104,MATCH($B34&amp;"-"&amp;Z$7,SUP!$B$54:$Q$54,0),FALSE),"")="","",IFERROR(VLOOKUP($C34,SUP!$B$54:$Q$104,MATCH($B34&amp;"-"&amp;Z$7,SUP!$B$54:$Q$54,0),FALSE),"")),"")</f>
        <v/>
      </c>
      <c r="AA34" s="441" t="str">
        <f ca="1">IFERROR(1*IF(IFERROR(VLOOKUP($C34,SUP!$B$54:$Q$104,MATCH($B34&amp;"-"&amp;AA$7,SUP!$B$54:$Q$54,0),FALSE),"")="","",IFERROR(VLOOKUP($C34,SUP!$B$54:$Q$104,MATCH($B34&amp;"-"&amp;AA$7,SUP!$B$54:$Q$54,0),FALSE),"")),"")</f>
        <v/>
      </c>
      <c r="AB34" s="441">
        <f ca="1">IFERROR(1*IF(IFERROR(VLOOKUP($C34,SUP!$B$54:$Q$104,MATCH($B34&amp;"-"&amp;AB$7,SUP!$B$54:$Q$54,0),FALSE),"")="","",IFERROR(VLOOKUP($C34,SUP!$B$54:$Q$104,MATCH($B34&amp;"-"&amp;AB$7,SUP!$B$54:$Q$54,0),FALSE),"")),"")</f>
        <v>8.1288130107613874</v>
      </c>
      <c r="AC34" s="441" t="str">
        <f ca="1">IFERROR(1*IF(IFERROR(VLOOKUP($C34,SUP!$B$54:$Q$104,MATCH($B34&amp;"-"&amp;AC$7,SUP!$B$54:$Q$54,0),FALSE),"")="","",IFERROR(VLOOKUP($C34,SUP!$B$54:$Q$104,MATCH($B34&amp;"-"&amp;AC$7,SUP!$B$54:$Q$54,0),FALSE),"")),"")</f>
        <v/>
      </c>
      <c r="AD34" s="441" t="str">
        <f ca="1">IFERROR(1*IF(IFERROR(VLOOKUP($C34,SUP!$B$54:$Q$104,MATCH($B34&amp;"-"&amp;AD$7,SUP!$B$54:$Q$54,0),FALSE),"")="","",IFERROR(VLOOKUP($C34,SUP!$B$54:$Q$104,MATCH($B34&amp;"-"&amp;AD$7,SUP!$B$54:$Q$54,0),FALSE),"")),"")</f>
        <v/>
      </c>
      <c r="AE34" s="441" t="str">
        <f ca="1">IFERROR(1*IF(IFERROR(VLOOKUP($C34,SUP!$B$54:$Q$104,MATCH($B34&amp;"-"&amp;AE$7,SUP!$B$54:$Q$54,0),FALSE),"")="","",IFERROR(VLOOKUP($C34,SUP!$B$54:$Q$104,MATCH($B34&amp;"-"&amp;AE$7,SUP!$B$54:$Q$54,0),FALSE),"")),"")</f>
        <v/>
      </c>
      <c r="AF34" s="441" t="str">
        <f ca="1">IFERROR(1*IF(IFERROR(VLOOKUP($C34,SUP!$B$54:$Q$104,MATCH($B34&amp;"-"&amp;AF$7,SUP!$B$54:$Q$54,0),FALSE),"")="","",IFERROR(VLOOKUP($C34,SUP!$B$54:$Q$104,MATCH($B34&amp;"-"&amp;AF$7,SUP!$B$54:$Q$54,0),FALSE),"")),"")</f>
        <v/>
      </c>
      <c r="AG34" s="441" t="str">
        <f ca="1">IFERROR(1*IF(IFERROR(VLOOKUP($C34,SUP!$B$54:$Q$104,MATCH($B34&amp;"-"&amp;AG$7,SUP!$B$54:$Q$54,0),FALSE),"")="","",IFERROR(VLOOKUP($C34,SUP!$B$54:$Q$104,MATCH($B34&amp;"-"&amp;AG$7,SUP!$B$54:$Q$54,0),FALSE),"")),"")</f>
        <v/>
      </c>
      <c r="AH34" s="441" t="str">
        <f ca="1">IFERROR(1*IF(IFERROR(VLOOKUP($C34,SUP!$B$54:$Q$104,MATCH($B34&amp;"-"&amp;AH$7,SUP!$B$54:$Q$54,0),FALSE),"")="","",IFERROR(VLOOKUP($C34,SUP!$B$54:$Q$104,MATCH($B34&amp;"-"&amp;AH$7,SUP!$B$54:$Q$54,0),FALSE),"")),"")</f>
        <v/>
      </c>
      <c r="AI34" s="441" t="str">
        <f ca="1">IFERROR(1*IF(IFERROR(VLOOKUP($C34,SUP!$B$54:$Q$104,MATCH($B34&amp;"-"&amp;AI$7,SUP!$B$54:$Q$54,0),FALSE),"")="","",IFERROR(VLOOKUP($C34,SUP!$B$54:$Q$104,MATCH($B34&amp;"-"&amp;AI$7,SUP!$B$54:$Q$54,0),FALSE),"")),"")</f>
        <v/>
      </c>
      <c r="AJ34" s="441" t="str">
        <f ca="1">IFERROR(1*IF(IFERROR(VLOOKUP($C34,SUP!$B$54:$Q$104,MATCH($B34&amp;"-"&amp;AJ$7,SUP!$B$54:$Q$54,0),FALSE),"")="","",IFERROR(VLOOKUP($C34,SUP!$B$54:$Q$104,MATCH($B34&amp;"-"&amp;AJ$7,SUP!$B$54:$Q$54,0),FALSE),"")),"")</f>
        <v/>
      </c>
      <c r="AK34" s="441" t="str">
        <f ca="1">IFERROR(1*IF(IFERROR(VLOOKUP($C34,SUP!$B$54:$Q$104,MATCH($B34&amp;"-"&amp;AK$7,SUP!$B$54:$Q$54,0),FALSE),"")="","",IFERROR(VLOOKUP($C34,SUP!$B$54:$Q$104,MATCH($B34&amp;"-"&amp;AK$7,SUP!$B$54:$Q$54,0),FALSE),"")),"")</f>
        <v/>
      </c>
      <c r="AL34" s="441" t="str">
        <f ca="1">IFERROR(1*IF(IFERROR(VLOOKUP($C34,SUP!$B$54:$Q$104,MATCH($B34&amp;"-"&amp;AL$7,SUP!$B$54:$Q$54,0),FALSE),"")="","",IFERROR(VLOOKUP($C34,SUP!$B$54:$Q$104,MATCH($B34&amp;"-"&amp;AL$7,SUP!$B$54:$Q$54,0),FALSE),"")),"")</f>
        <v/>
      </c>
      <c r="AM34" s="441" t="str">
        <f ca="1">IFERROR(1*IF(IFERROR(VLOOKUP($C34,SUP!$B$54:$Q$104,MATCH($B34&amp;"-"&amp;AM$7,SUP!$B$54:$Q$54,0),FALSE),"")="","",IFERROR(VLOOKUP($C34,SUP!$B$54:$Q$104,MATCH($B34&amp;"-"&amp;AM$7,SUP!$B$54:$Q$54,0),FALSE),"")),"")</f>
        <v/>
      </c>
      <c r="AN34" s="441">
        <f ca="1">IFERROR(1*IF(IFERROR(VLOOKUP($C34,SUP!$B$54:$Q$104,MATCH($B34&amp;"-"&amp;AN$7,SUP!$B$54:$Q$54,0),FALSE),"")="","",IFERROR(VLOOKUP($C34,SUP!$B$54:$Q$104,MATCH($B34&amp;"-"&amp;AN$7,SUP!$B$54:$Q$54,0),FALSE),"")),"")</f>
        <v>8.1288130107613874</v>
      </c>
      <c r="AO34" s="441" t="str">
        <f ca="1">IFERROR(1*IF(IFERROR(VLOOKUP($C34,SUP!$B$54:$Q$104,MATCH($B34&amp;"-"&amp;AO$7,SUP!$B$54:$Q$54,0),FALSE),"")="","",IFERROR(VLOOKUP($C34,SUP!$B$54:$Q$104,MATCH($B34&amp;"-"&amp;AO$7,SUP!$B$54:$Q$54,0),FALSE),"")),"")</f>
        <v/>
      </c>
      <c r="AR34" s="42">
        <f>IF(AS33=SUP!$B$104,AR33+1,AR33)</f>
        <v>1</v>
      </c>
      <c r="AS34" s="42">
        <f t="shared" si="6"/>
        <v>22</v>
      </c>
    </row>
    <row r="35" spans="1:45">
      <c r="A35" s="42" t="str">
        <f ca="1">IF(LEFT(OFFSET(SUP!$A$57,AS35,0),2)="\I","*","")</f>
        <v/>
      </c>
      <c r="B35" s="440" t="str">
        <f t="shared" ca="1" si="1"/>
        <v>ACT_COST</v>
      </c>
      <c r="C35" s="440" t="str">
        <f ca="1">IF($A35="*","",OFFSET(SUP!$B$57,AS35,0))</f>
        <v>IMPOAG</v>
      </c>
      <c r="D35" s="440" t="str">
        <f t="shared" ca="1" si="7"/>
        <v>-</v>
      </c>
      <c r="E35" s="440" t="str">
        <f t="shared" ca="1" si="7"/>
        <v>-</v>
      </c>
      <c r="F35" s="440" t="str">
        <f t="shared" ca="1" si="7"/>
        <v>-</v>
      </c>
      <c r="G35" s="440" t="str">
        <f t="shared" ca="1" si="7"/>
        <v>-</v>
      </c>
      <c r="H35" s="440" t="str">
        <f t="shared" ca="1" si="5"/>
        <v>-</v>
      </c>
      <c r="I35" s="441">
        <f ca="1">IF(IFERROR(VLOOKUP($C35,SUP!$B$54:$Q$104,MATCH($B35&amp;"-"&amp;I$7,SUP!$B$54:$Q$54,0),FALSE),"")="","",IFERROR(VLOOKUP($C35,SUP!$B$54:$Q$104,MATCH($B35&amp;"-"&amp;I$7,SUP!$B$54:$Q$54,0),FALSE),""))</f>
        <v>0</v>
      </c>
      <c r="J35" s="441">
        <f ca="1">IFERROR(1*IF(IFERROR(VLOOKUP($C35,SUP!$B$54:$Q$104,MATCH($B35&amp;"-"&amp;J$7,SUP!$B$54:$Q$54,0),FALSE),"")="","",IFERROR(VLOOKUP($C35,SUP!$B$54:$Q$104,MATCH($B35&amp;"-"&amp;J$7,SUP!$B$54:$Q$54,0),FALSE),"")),"")</f>
        <v>176.89791488762791</v>
      </c>
      <c r="K35" s="441" t="str">
        <f ca="1">IFERROR(1*IF(IFERROR(VLOOKUP($C35,SUP!$B$54:$Q$104,MATCH($B35&amp;"-"&amp;K$7,SUP!$B$54:$Q$54,0),FALSE),"")="","",IFERROR(VLOOKUP($C35,SUP!$B$54:$Q$104,MATCH($B35&amp;"-"&amp;K$7,SUP!$B$54:$Q$54,0),FALSE),"")),"")</f>
        <v/>
      </c>
      <c r="L35" s="441" t="str">
        <f ca="1">IFERROR(1*IF(IFERROR(VLOOKUP($C35,SUP!$B$54:$Q$104,MATCH($B35&amp;"-"&amp;L$7,SUP!$B$54:$Q$54,0),FALSE),"")="","",IFERROR(VLOOKUP($C35,SUP!$B$54:$Q$104,MATCH($B35&amp;"-"&amp;L$7,SUP!$B$54:$Q$54,0),FALSE),"")),"")</f>
        <v/>
      </c>
      <c r="M35" s="441">
        <f ca="1">IFERROR(1*IF(IFERROR(VLOOKUP($C35,SUP!$B$54:$Q$104,MATCH($B35&amp;"-"&amp;M$7,SUP!$B$54:$Q$54,0),FALSE),"")="","",IFERROR(VLOOKUP($C35,SUP!$B$54:$Q$104,MATCH($B35&amp;"-"&amp;M$7,SUP!$B$54:$Q$54,0),FALSE),"")),"")</f>
        <v>129.68934115889218</v>
      </c>
      <c r="N35" s="441" t="str">
        <f ca="1">IFERROR(1*IF(IFERROR(VLOOKUP($C35,SUP!$B$54:$Q$104,MATCH($B35&amp;"-"&amp;N$7,SUP!$B$54:$Q$54,0),FALSE),"")="","",IFERROR(VLOOKUP($C35,SUP!$B$54:$Q$104,MATCH($B35&amp;"-"&amp;N$7,SUP!$B$54:$Q$54,0),FALSE),"")),"")</f>
        <v/>
      </c>
      <c r="O35" s="441" t="str">
        <f ca="1">IFERROR(1*IF(IFERROR(VLOOKUP($C35,SUP!$B$54:$Q$104,MATCH($B35&amp;"-"&amp;O$7,SUP!$B$54:$Q$54,0),FALSE),"")="","",IFERROR(VLOOKUP($C35,SUP!$B$54:$Q$104,MATCH($B35&amp;"-"&amp;O$7,SUP!$B$54:$Q$54,0),FALSE),"")),"")</f>
        <v/>
      </c>
      <c r="P35" s="441" t="str">
        <f ca="1">IFERROR(1*IF(IFERROR(VLOOKUP($C35,SUP!$B$54:$Q$104,MATCH($B35&amp;"-"&amp;P$7,SUP!$B$54:$Q$54,0),FALSE),"")="","",IFERROR(VLOOKUP($C35,SUP!$B$54:$Q$104,MATCH($B35&amp;"-"&amp;P$7,SUP!$B$54:$Q$54,0),FALSE),"")),"")</f>
        <v/>
      </c>
      <c r="Q35" s="441" t="str">
        <f ca="1">IFERROR(1*IF(IFERROR(VLOOKUP($C35,SUP!$B$54:$Q$104,MATCH($B35&amp;"-"&amp;Q$7,SUP!$B$54:$Q$54,0),FALSE),"")="","",IFERROR(VLOOKUP($C35,SUP!$B$54:$Q$104,MATCH($B35&amp;"-"&amp;Q$7,SUP!$B$54:$Q$54,0),FALSE),"")),"")</f>
        <v/>
      </c>
      <c r="R35" s="441">
        <f ca="1">IFERROR(1*IF(IFERROR(VLOOKUP($C35,SUP!$B$54:$Q$104,MATCH($B35&amp;"-"&amp;R$7,SUP!$B$54:$Q$54,0),FALSE),"")="","",IFERROR(VLOOKUP($C35,SUP!$B$54:$Q$104,MATCH($B35&amp;"-"&amp;R$7,SUP!$B$54:$Q$54,0),FALSE),"")),"")</f>
        <v>144.96619006194166</v>
      </c>
      <c r="S35" s="441" t="str">
        <f ca="1">IFERROR(1*IF(IFERROR(VLOOKUP($C35,SUP!$B$54:$Q$104,MATCH($B35&amp;"-"&amp;S$7,SUP!$B$54:$Q$54,0),FALSE),"")="","",IFERROR(VLOOKUP($C35,SUP!$B$54:$Q$104,MATCH($B35&amp;"-"&amp;S$7,SUP!$B$54:$Q$54,0),FALSE),"")),"")</f>
        <v/>
      </c>
      <c r="T35" s="441" t="str">
        <f ca="1">IFERROR(1*IF(IFERROR(VLOOKUP($C35,SUP!$B$54:$Q$104,MATCH($B35&amp;"-"&amp;T$7,SUP!$B$54:$Q$54,0),FALSE),"")="","",IFERROR(VLOOKUP($C35,SUP!$B$54:$Q$104,MATCH($B35&amp;"-"&amp;T$7,SUP!$B$54:$Q$54,0),FALSE),"")),"")</f>
        <v/>
      </c>
      <c r="U35" s="441" t="str">
        <f ca="1">IFERROR(1*IF(IFERROR(VLOOKUP($C35,SUP!$B$54:$Q$104,MATCH($B35&amp;"-"&amp;U$7,SUP!$B$54:$Q$54,0),FALSE),"")="","",IFERROR(VLOOKUP($C35,SUP!$B$54:$Q$104,MATCH($B35&amp;"-"&amp;U$7,SUP!$B$54:$Q$54,0),FALSE),"")),"")</f>
        <v/>
      </c>
      <c r="V35" s="441" t="str">
        <f ca="1">IFERROR(1*IF(IFERROR(VLOOKUP($C35,SUP!$B$54:$Q$104,MATCH($B35&amp;"-"&amp;V$7,SUP!$B$54:$Q$54,0),FALSE),"")="","",IFERROR(VLOOKUP($C35,SUP!$B$54:$Q$104,MATCH($B35&amp;"-"&amp;V$7,SUP!$B$54:$Q$54,0),FALSE),"")),"")</f>
        <v/>
      </c>
      <c r="W35" s="441" t="str">
        <f ca="1">IFERROR(1*IF(IFERROR(VLOOKUP($C35,SUP!$B$54:$Q$104,MATCH($B35&amp;"-"&amp;W$7,SUP!$B$54:$Q$54,0),FALSE),"")="","",IFERROR(VLOOKUP($C35,SUP!$B$54:$Q$104,MATCH($B35&amp;"-"&amp;W$7,SUP!$B$54:$Q$54,0),FALSE),"")),"")</f>
        <v/>
      </c>
      <c r="X35" s="441" t="str">
        <f ca="1">IFERROR(1*IF(IFERROR(VLOOKUP($C35,SUP!$B$54:$Q$104,MATCH($B35&amp;"-"&amp;X$7,SUP!$B$54:$Q$54,0),FALSE),"")="","",IFERROR(VLOOKUP($C35,SUP!$B$54:$Q$104,MATCH($B35&amp;"-"&amp;X$7,SUP!$B$54:$Q$54,0),FALSE),"")),"")</f>
        <v/>
      </c>
      <c r="Y35" s="441" t="str">
        <f ca="1">IFERROR(1*IF(IFERROR(VLOOKUP($C35,SUP!$B$54:$Q$104,MATCH($B35&amp;"-"&amp;Y$7,SUP!$B$54:$Q$54,0),FALSE),"")="","",IFERROR(VLOOKUP($C35,SUP!$B$54:$Q$104,MATCH($B35&amp;"-"&amp;Y$7,SUP!$B$54:$Q$54,0),FALSE),"")),"")</f>
        <v/>
      </c>
      <c r="Z35" s="441" t="str">
        <f ca="1">IFERROR(1*IF(IFERROR(VLOOKUP($C35,SUP!$B$54:$Q$104,MATCH($B35&amp;"-"&amp;Z$7,SUP!$B$54:$Q$54,0),FALSE),"")="","",IFERROR(VLOOKUP($C35,SUP!$B$54:$Q$104,MATCH($B35&amp;"-"&amp;Z$7,SUP!$B$54:$Q$54,0),FALSE),"")),"")</f>
        <v/>
      </c>
      <c r="AA35" s="441" t="str">
        <f ca="1">IFERROR(1*IF(IFERROR(VLOOKUP($C35,SUP!$B$54:$Q$104,MATCH($B35&amp;"-"&amp;AA$7,SUP!$B$54:$Q$54,0),FALSE),"")="","",IFERROR(VLOOKUP($C35,SUP!$B$54:$Q$104,MATCH($B35&amp;"-"&amp;AA$7,SUP!$B$54:$Q$54,0),FALSE),"")),"")</f>
        <v/>
      </c>
      <c r="AB35" s="441">
        <f ca="1">IFERROR(1*IF(IFERROR(VLOOKUP($C35,SUP!$B$54:$Q$104,MATCH($B35&amp;"-"&amp;AB$7,SUP!$B$54:$Q$54,0),FALSE),"")="","",IFERROR(VLOOKUP($C35,SUP!$B$54:$Q$104,MATCH($B35&amp;"-"&amp;AB$7,SUP!$B$54:$Q$54,0),FALSE),"")),"")</f>
        <v>139.34642310222276</v>
      </c>
      <c r="AC35" s="441" t="str">
        <f ca="1">IFERROR(1*IF(IFERROR(VLOOKUP($C35,SUP!$B$54:$Q$104,MATCH($B35&amp;"-"&amp;AC$7,SUP!$B$54:$Q$54,0),FALSE),"")="","",IFERROR(VLOOKUP($C35,SUP!$B$54:$Q$104,MATCH($B35&amp;"-"&amp;AC$7,SUP!$B$54:$Q$54,0),FALSE),"")),"")</f>
        <v/>
      </c>
      <c r="AD35" s="441" t="str">
        <f ca="1">IFERROR(1*IF(IFERROR(VLOOKUP($C35,SUP!$B$54:$Q$104,MATCH($B35&amp;"-"&amp;AD$7,SUP!$B$54:$Q$54,0),FALSE),"")="","",IFERROR(VLOOKUP($C35,SUP!$B$54:$Q$104,MATCH($B35&amp;"-"&amp;AD$7,SUP!$B$54:$Q$54,0),FALSE),"")),"")</f>
        <v/>
      </c>
      <c r="AE35" s="441" t="str">
        <f ca="1">IFERROR(1*IF(IFERROR(VLOOKUP($C35,SUP!$B$54:$Q$104,MATCH($B35&amp;"-"&amp;AE$7,SUP!$B$54:$Q$54,0),FALSE),"")="","",IFERROR(VLOOKUP($C35,SUP!$B$54:$Q$104,MATCH($B35&amp;"-"&amp;AE$7,SUP!$B$54:$Q$54,0),FALSE),"")),"")</f>
        <v/>
      </c>
      <c r="AF35" s="441" t="str">
        <f ca="1">IFERROR(1*IF(IFERROR(VLOOKUP($C35,SUP!$B$54:$Q$104,MATCH($B35&amp;"-"&amp;AF$7,SUP!$B$54:$Q$54,0),FALSE),"")="","",IFERROR(VLOOKUP($C35,SUP!$B$54:$Q$104,MATCH($B35&amp;"-"&amp;AF$7,SUP!$B$54:$Q$54,0),FALSE),"")),"")</f>
        <v/>
      </c>
      <c r="AG35" s="441" t="str">
        <f ca="1">IFERROR(1*IF(IFERROR(VLOOKUP($C35,SUP!$B$54:$Q$104,MATCH($B35&amp;"-"&amp;AG$7,SUP!$B$54:$Q$54,0),FALSE),"")="","",IFERROR(VLOOKUP($C35,SUP!$B$54:$Q$104,MATCH($B35&amp;"-"&amp;AG$7,SUP!$B$54:$Q$54,0),FALSE),"")),"")</f>
        <v/>
      </c>
      <c r="AH35" s="441" t="str">
        <f ca="1">IFERROR(1*IF(IFERROR(VLOOKUP($C35,SUP!$B$54:$Q$104,MATCH($B35&amp;"-"&amp;AH$7,SUP!$B$54:$Q$54,0),FALSE),"")="","",IFERROR(VLOOKUP($C35,SUP!$B$54:$Q$104,MATCH($B35&amp;"-"&amp;AH$7,SUP!$B$54:$Q$54,0),FALSE),"")),"")</f>
        <v/>
      </c>
      <c r="AI35" s="441" t="str">
        <f ca="1">IFERROR(1*IF(IFERROR(VLOOKUP($C35,SUP!$B$54:$Q$104,MATCH($B35&amp;"-"&amp;AI$7,SUP!$B$54:$Q$54,0),FALSE),"")="","",IFERROR(VLOOKUP($C35,SUP!$B$54:$Q$104,MATCH($B35&amp;"-"&amp;AI$7,SUP!$B$54:$Q$54,0),FALSE),"")),"")</f>
        <v/>
      </c>
      <c r="AJ35" s="441" t="str">
        <f ca="1">IFERROR(1*IF(IFERROR(VLOOKUP($C35,SUP!$B$54:$Q$104,MATCH($B35&amp;"-"&amp;AJ$7,SUP!$B$54:$Q$54,0),FALSE),"")="","",IFERROR(VLOOKUP($C35,SUP!$B$54:$Q$104,MATCH($B35&amp;"-"&amp;AJ$7,SUP!$B$54:$Q$54,0),FALSE),"")),"")</f>
        <v/>
      </c>
      <c r="AK35" s="441" t="str">
        <f ca="1">IFERROR(1*IF(IFERROR(VLOOKUP($C35,SUP!$B$54:$Q$104,MATCH($B35&amp;"-"&amp;AK$7,SUP!$B$54:$Q$54,0),FALSE),"")="","",IFERROR(VLOOKUP($C35,SUP!$B$54:$Q$104,MATCH($B35&amp;"-"&amp;AK$7,SUP!$B$54:$Q$54,0),FALSE),"")),"")</f>
        <v/>
      </c>
      <c r="AL35" s="441" t="str">
        <f ca="1">IFERROR(1*IF(IFERROR(VLOOKUP($C35,SUP!$B$54:$Q$104,MATCH($B35&amp;"-"&amp;AL$7,SUP!$B$54:$Q$54,0),FALSE),"")="","",IFERROR(VLOOKUP($C35,SUP!$B$54:$Q$104,MATCH($B35&amp;"-"&amp;AL$7,SUP!$B$54:$Q$54,0),FALSE),"")),"")</f>
        <v/>
      </c>
      <c r="AM35" s="441" t="str">
        <f ca="1">IFERROR(1*IF(IFERROR(VLOOKUP($C35,SUP!$B$54:$Q$104,MATCH($B35&amp;"-"&amp;AM$7,SUP!$B$54:$Q$54,0),FALSE),"")="","",IFERROR(VLOOKUP($C35,SUP!$B$54:$Q$104,MATCH($B35&amp;"-"&amp;AM$7,SUP!$B$54:$Q$54,0),FALSE),"")),"")</f>
        <v/>
      </c>
      <c r="AN35" s="441">
        <f ca="1">IFERROR(1*IF(IFERROR(VLOOKUP($C35,SUP!$B$54:$Q$104,MATCH($B35&amp;"-"&amp;AN$7,SUP!$B$54:$Q$54,0),FALSE),"")="","",IFERROR(VLOOKUP($C35,SUP!$B$54:$Q$104,MATCH($B35&amp;"-"&amp;AN$7,SUP!$B$54:$Q$54,0),FALSE),"")),"")</f>
        <v>126.50124148000812</v>
      </c>
      <c r="AO35" s="441" t="str">
        <f ca="1">IFERROR(1*IF(IFERROR(VLOOKUP($C35,SUP!$B$54:$Q$104,MATCH($B35&amp;"-"&amp;AO$7,SUP!$B$54:$Q$54,0),FALSE),"")="","",IFERROR(VLOOKUP($C35,SUP!$B$54:$Q$104,MATCH($B35&amp;"-"&amp;AO$7,SUP!$B$54:$Q$54,0),FALSE),"")),"")</f>
        <v/>
      </c>
      <c r="AR35" s="42">
        <f>IF(AS34=SUP!$B$104,AR34+1,AR34)</f>
        <v>1</v>
      </c>
      <c r="AS35" s="42">
        <f t="shared" si="6"/>
        <v>23</v>
      </c>
    </row>
    <row r="36" spans="1:45">
      <c r="A36" s="42" t="str">
        <f ca="1">IF(LEFT(OFFSET(SUP!$A$57,AS36,0),2)="\I","*","")</f>
        <v/>
      </c>
      <c r="B36" s="440" t="str">
        <f t="shared" ca="1" si="1"/>
        <v>ACT_COST</v>
      </c>
      <c r="C36" s="440" t="str">
        <f ca="1">IF($A36="*","",OFFSET(SUP!$B$57,AS36,0))</f>
        <v>IMPOCR</v>
      </c>
      <c r="D36" s="440" t="str">
        <f t="shared" ca="1" si="7"/>
        <v>-</v>
      </c>
      <c r="E36" s="440" t="str">
        <f t="shared" ca="1" si="7"/>
        <v>-</v>
      </c>
      <c r="F36" s="440" t="str">
        <f t="shared" ca="1" si="7"/>
        <v>-</v>
      </c>
      <c r="G36" s="440" t="str">
        <f t="shared" ca="1" si="7"/>
        <v>-</v>
      </c>
      <c r="H36" s="440" t="str">
        <f t="shared" ca="1" si="5"/>
        <v>-</v>
      </c>
      <c r="I36" s="441">
        <f ca="1">IF(IFERROR(VLOOKUP($C36,SUP!$B$54:$Q$104,MATCH($B36&amp;"-"&amp;I$7,SUP!$B$54:$Q$54,0),FALSE),"")="","",IFERROR(VLOOKUP($C36,SUP!$B$54:$Q$104,MATCH($B36&amp;"-"&amp;I$7,SUP!$B$54:$Q$54,0),FALSE),""))</f>
        <v>0</v>
      </c>
      <c r="J36" s="441">
        <f ca="1">IFERROR(1*IF(IFERROR(VLOOKUP($C36,SUP!$B$54:$Q$104,MATCH($B36&amp;"-"&amp;J$7,SUP!$B$54:$Q$54,0),FALSE),"")="","",IFERROR(VLOOKUP($C36,SUP!$B$54:$Q$104,MATCH($B36&amp;"-"&amp;J$7,SUP!$B$54:$Q$54,0),FALSE),"")),"")</f>
        <v>140.37937704262814</v>
      </c>
      <c r="K36" s="441" t="str">
        <f ca="1">IFERROR(1*IF(IFERROR(VLOOKUP($C36,SUP!$B$54:$Q$104,MATCH($B36&amp;"-"&amp;K$7,SUP!$B$54:$Q$54,0),FALSE),"")="","",IFERROR(VLOOKUP($C36,SUP!$B$54:$Q$104,MATCH($B36&amp;"-"&amp;K$7,SUP!$B$54:$Q$54,0),FALSE),"")),"")</f>
        <v/>
      </c>
      <c r="L36" s="441" t="str">
        <f ca="1">IFERROR(1*IF(IFERROR(VLOOKUP($C36,SUP!$B$54:$Q$104,MATCH($B36&amp;"-"&amp;L$7,SUP!$B$54:$Q$54,0),FALSE),"")="","",IFERROR(VLOOKUP($C36,SUP!$B$54:$Q$104,MATCH($B36&amp;"-"&amp;L$7,SUP!$B$54:$Q$54,0),FALSE),"")),"")</f>
        <v/>
      </c>
      <c r="M36" s="441">
        <f ca="1">IFERROR(1*IF(IFERROR(VLOOKUP($C36,SUP!$B$54:$Q$104,MATCH($B36&amp;"-"&amp;M$7,SUP!$B$54:$Q$54,0),FALSE),"")="","",IFERROR(VLOOKUP($C36,SUP!$B$54:$Q$104,MATCH($B36&amp;"-"&amp;M$7,SUP!$B$54:$Q$54,0),FALSE),"")),"")</f>
        <v>100.47067714884695</v>
      </c>
      <c r="N36" s="441" t="str">
        <f ca="1">IFERROR(1*IF(IFERROR(VLOOKUP($C36,SUP!$B$54:$Q$104,MATCH($B36&amp;"-"&amp;N$7,SUP!$B$54:$Q$54,0),FALSE),"")="","",IFERROR(VLOOKUP($C36,SUP!$B$54:$Q$104,MATCH($B36&amp;"-"&amp;N$7,SUP!$B$54:$Q$54,0),FALSE),"")),"")</f>
        <v/>
      </c>
      <c r="O36" s="441" t="str">
        <f ca="1">IFERROR(1*IF(IFERROR(VLOOKUP($C36,SUP!$B$54:$Q$104,MATCH($B36&amp;"-"&amp;O$7,SUP!$B$54:$Q$54,0),FALSE),"")="","",IFERROR(VLOOKUP($C36,SUP!$B$54:$Q$104,MATCH($B36&amp;"-"&amp;O$7,SUP!$B$54:$Q$54,0),FALSE),"")),"")</f>
        <v/>
      </c>
      <c r="P36" s="441" t="str">
        <f ca="1">IFERROR(1*IF(IFERROR(VLOOKUP($C36,SUP!$B$54:$Q$104,MATCH($B36&amp;"-"&amp;P$7,SUP!$B$54:$Q$54,0),FALSE),"")="","",IFERROR(VLOOKUP($C36,SUP!$B$54:$Q$104,MATCH($B36&amp;"-"&amp;P$7,SUP!$B$54:$Q$54,0),FALSE),"")),"")</f>
        <v/>
      </c>
      <c r="Q36" s="441" t="str">
        <f ca="1">IFERROR(1*IF(IFERROR(VLOOKUP($C36,SUP!$B$54:$Q$104,MATCH($B36&amp;"-"&amp;Q$7,SUP!$B$54:$Q$54,0),FALSE),"")="","",IFERROR(VLOOKUP($C36,SUP!$B$54:$Q$104,MATCH($B36&amp;"-"&amp;Q$7,SUP!$B$54:$Q$54,0),FALSE),"")),"")</f>
        <v/>
      </c>
      <c r="R36" s="441">
        <f ca="1">IFERROR(1*IF(IFERROR(VLOOKUP($C36,SUP!$B$54:$Q$104,MATCH($B36&amp;"-"&amp;R$7,SUP!$B$54:$Q$54,0),FALSE),"")="","",IFERROR(VLOOKUP($C36,SUP!$B$54:$Q$104,MATCH($B36&amp;"-"&amp;R$7,SUP!$B$54:$Q$54,0),FALSE),"")),"")</f>
        <v>114.26077009084555</v>
      </c>
      <c r="S36" s="441" t="str">
        <f ca="1">IFERROR(1*IF(IFERROR(VLOOKUP($C36,SUP!$B$54:$Q$104,MATCH($B36&amp;"-"&amp;S$7,SUP!$B$54:$Q$54,0),FALSE),"")="","",IFERROR(VLOOKUP($C36,SUP!$B$54:$Q$104,MATCH($B36&amp;"-"&amp;S$7,SUP!$B$54:$Q$54,0),FALSE),"")),"")</f>
        <v/>
      </c>
      <c r="T36" s="441" t="str">
        <f ca="1">IFERROR(1*IF(IFERROR(VLOOKUP($C36,SUP!$B$54:$Q$104,MATCH($B36&amp;"-"&amp;T$7,SUP!$B$54:$Q$54,0),FALSE),"")="","",IFERROR(VLOOKUP($C36,SUP!$B$54:$Q$104,MATCH($B36&amp;"-"&amp;T$7,SUP!$B$54:$Q$54,0),FALSE),"")),"")</f>
        <v/>
      </c>
      <c r="U36" s="441" t="str">
        <f ca="1">IFERROR(1*IF(IFERROR(VLOOKUP($C36,SUP!$B$54:$Q$104,MATCH($B36&amp;"-"&amp;U$7,SUP!$B$54:$Q$54,0),FALSE),"")="","",IFERROR(VLOOKUP($C36,SUP!$B$54:$Q$104,MATCH($B36&amp;"-"&amp;U$7,SUP!$B$54:$Q$54,0),FALSE),"")),"")</f>
        <v/>
      </c>
      <c r="V36" s="441" t="str">
        <f ca="1">IFERROR(1*IF(IFERROR(VLOOKUP($C36,SUP!$B$54:$Q$104,MATCH($B36&amp;"-"&amp;V$7,SUP!$B$54:$Q$54,0),FALSE),"")="","",IFERROR(VLOOKUP($C36,SUP!$B$54:$Q$104,MATCH($B36&amp;"-"&amp;V$7,SUP!$B$54:$Q$54,0),FALSE),"")),"")</f>
        <v/>
      </c>
      <c r="W36" s="441" t="str">
        <f ca="1">IFERROR(1*IF(IFERROR(VLOOKUP($C36,SUP!$B$54:$Q$104,MATCH($B36&amp;"-"&amp;W$7,SUP!$B$54:$Q$54,0),FALSE),"")="","",IFERROR(VLOOKUP($C36,SUP!$B$54:$Q$104,MATCH($B36&amp;"-"&amp;W$7,SUP!$B$54:$Q$54,0),FALSE),"")),"")</f>
        <v/>
      </c>
      <c r="X36" s="441" t="str">
        <f ca="1">IFERROR(1*IF(IFERROR(VLOOKUP($C36,SUP!$B$54:$Q$104,MATCH($B36&amp;"-"&amp;X$7,SUP!$B$54:$Q$54,0),FALSE),"")="","",IFERROR(VLOOKUP($C36,SUP!$B$54:$Q$104,MATCH($B36&amp;"-"&amp;X$7,SUP!$B$54:$Q$54,0),FALSE),"")),"")</f>
        <v/>
      </c>
      <c r="Y36" s="441" t="str">
        <f ca="1">IFERROR(1*IF(IFERROR(VLOOKUP($C36,SUP!$B$54:$Q$104,MATCH($B36&amp;"-"&amp;Y$7,SUP!$B$54:$Q$54,0),FALSE),"")="","",IFERROR(VLOOKUP($C36,SUP!$B$54:$Q$104,MATCH($B36&amp;"-"&amp;Y$7,SUP!$B$54:$Q$54,0),FALSE),"")),"")</f>
        <v/>
      </c>
      <c r="Z36" s="441" t="str">
        <f ca="1">IFERROR(1*IF(IFERROR(VLOOKUP($C36,SUP!$B$54:$Q$104,MATCH($B36&amp;"-"&amp;Z$7,SUP!$B$54:$Q$54,0),FALSE),"")="","",IFERROR(VLOOKUP($C36,SUP!$B$54:$Q$104,MATCH($B36&amp;"-"&amp;Z$7,SUP!$B$54:$Q$54,0),FALSE),"")),"")</f>
        <v/>
      </c>
      <c r="AA36" s="441" t="str">
        <f ca="1">IFERROR(1*IF(IFERROR(VLOOKUP($C36,SUP!$B$54:$Q$104,MATCH($B36&amp;"-"&amp;AA$7,SUP!$B$54:$Q$54,0),FALSE),"")="","",IFERROR(VLOOKUP($C36,SUP!$B$54:$Q$104,MATCH($B36&amp;"-"&amp;AA$7,SUP!$B$54:$Q$54,0),FALSE),"")),"")</f>
        <v/>
      </c>
      <c r="AB36" s="441">
        <f ca="1">IFERROR(1*IF(IFERROR(VLOOKUP($C36,SUP!$B$54:$Q$104,MATCH($B36&amp;"-"&amp;AB$7,SUP!$B$54:$Q$54,0),FALSE),"")="","",IFERROR(VLOOKUP($C36,SUP!$B$54:$Q$104,MATCH($B36&amp;"-"&amp;AB$7,SUP!$B$54:$Q$54,0),FALSE),"")),"")</f>
        <v>109.66407244351267</v>
      </c>
      <c r="AC36" s="441" t="str">
        <f ca="1">IFERROR(1*IF(IFERROR(VLOOKUP($C36,SUP!$B$54:$Q$104,MATCH($B36&amp;"-"&amp;AC$7,SUP!$B$54:$Q$54,0),FALSE),"")="","",IFERROR(VLOOKUP($C36,SUP!$B$54:$Q$104,MATCH($B36&amp;"-"&amp;AC$7,SUP!$B$54:$Q$54,0),FALSE),"")),"")</f>
        <v/>
      </c>
      <c r="AD36" s="441" t="str">
        <f ca="1">IFERROR(1*IF(IFERROR(VLOOKUP($C36,SUP!$B$54:$Q$104,MATCH($B36&amp;"-"&amp;AD$7,SUP!$B$54:$Q$54,0),FALSE),"")="","",IFERROR(VLOOKUP($C36,SUP!$B$54:$Q$104,MATCH($B36&amp;"-"&amp;AD$7,SUP!$B$54:$Q$54,0),FALSE),"")),"")</f>
        <v/>
      </c>
      <c r="AE36" s="441" t="str">
        <f ca="1">IFERROR(1*IF(IFERROR(VLOOKUP($C36,SUP!$B$54:$Q$104,MATCH($B36&amp;"-"&amp;AE$7,SUP!$B$54:$Q$54,0),FALSE),"")="","",IFERROR(VLOOKUP($C36,SUP!$B$54:$Q$104,MATCH($B36&amp;"-"&amp;AE$7,SUP!$B$54:$Q$54,0),FALSE),"")),"")</f>
        <v/>
      </c>
      <c r="AF36" s="441" t="str">
        <f ca="1">IFERROR(1*IF(IFERROR(VLOOKUP($C36,SUP!$B$54:$Q$104,MATCH($B36&amp;"-"&amp;AF$7,SUP!$B$54:$Q$54,0),FALSE),"")="","",IFERROR(VLOOKUP($C36,SUP!$B$54:$Q$104,MATCH($B36&amp;"-"&amp;AF$7,SUP!$B$54:$Q$54,0),FALSE),"")),"")</f>
        <v/>
      </c>
      <c r="AG36" s="441" t="str">
        <f ca="1">IFERROR(1*IF(IFERROR(VLOOKUP($C36,SUP!$B$54:$Q$104,MATCH($B36&amp;"-"&amp;AG$7,SUP!$B$54:$Q$54,0),FALSE),"")="","",IFERROR(VLOOKUP($C36,SUP!$B$54:$Q$104,MATCH($B36&amp;"-"&amp;AG$7,SUP!$B$54:$Q$54,0),FALSE),"")),"")</f>
        <v/>
      </c>
      <c r="AH36" s="441" t="str">
        <f ca="1">IFERROR(1*IF(IFERROR(VLOOKUP($C36,SUP!$B$54:$Q$104,MATCH($B36&amp;"-"&amp;AH$7,SUP!$B$54:$Q$54,0),FALSE),"")="","",IFERROR(VLOOKUP($C36,SUP!$B$54:$Q$104,MATCH($B36&amp;"-"&amp;AH$7,SUP!$B$54:$Q$54,0),FALSE),"")),"")</f>
        <v/>
      </c>
      <c r="AI36" s="441" t="str">
        <f ca="1">IFERROR(1*IF(IFERROR(VLOOKUP($C36,SUP!$B$54:$Q$104,MATCH($B36&amp;"-"&amp;AI$7,SUP!$B$54:$Q$54,0),FALSE),"")="","",IFERROR(VLOOKUP($C36,SUP!$B$54:$Q$104,MATCH($B36&amp;"-"&amp;AI$7,SUP!$B$54:$Q$54,0),FALSE),"")),"")</f>
        <v/>
      </c>
      <c r="AJ36" s="441" t="str">
        <f ca="1">IFERROR(1*IF(IFERROR(VLOOKUP($C36,SUP!$B$54:$Q$104,MATCH($B36&amp;"-"&amp;AJ$7,SUP!$B$54:$Q$54,0),FALSE),"")="","",IFERROR(VLOOKUP($C36,SUP!$B$54:$Q$104,MATCH($B36&amp;"-"&amp;AJ$7,SUP!$B$54:$Q$54,0),FALSE),"")),"")</f>
        <v/>
      </c>
      <c r="AK36" s="441" t="str">
        <f ca="1">IFERROR(1*IF(IFERROR(VLOOKUP($C36,SUP!$B$54:$Q$104,MATCH($B36&amp;"-"&amp;AK$7,SUP!$B$54:$Q$54,0),FALSE),"")="","",IFERROR(VLOOKUP($C36,SUP!$B$54:$Q$104,MATCH($B36&amp;"-"&amp;AK$7,SUP!$B$54:$Q$54,0),FALSE),"")),"")</f>
        <v/>
      </c>
      <c r="AL36" s="441" t="str">
        <f ca="1">IFERROR(1*IF(IFERROR(VLOOKUP($C36,SUP!$B$54:$Q$104,MATCH($B36&amp;"-"&amp;AL$7,SUP!$B$54:$Q$54,0),FALSE),"")="","",IFERROR(VLOOKUP($C36,SUP!$B$54:$Q$104,MATCH($B36&amp;"-"&amp;AL$7,SUP!$B$54:$Q$54,0),FALSE),"")),"")</f>
        <v/>
      </c>
      <c r="AM36" s="441" t="str">
        <f ca="1">IFERROR(1*IF(IFERROR(VLOOKUP($C36,SUP!$B$54:$Q$104,MATCH($B36&amp;"-"&amp;AM$7,SUP!$B$54:$Q$54,0),FALSE),"")="","",IFERROR(VLOOKUP($C36,SUP!$B$54:$Q$104,MATCH($B36&amp;"-"&amp;AM$7,SUP!$B$54:$Q$54,0),FALSE),"")),"")</f>
        <v/>
      </c>
      <c r="AN36" s="441">
        <f ca="1">IFERROR(1*IF(IFERROR(VLOOKUP($C36,SUP!$B$54:$Q$104,MATCH($B36&amp;"-"&amp;AN$7,SUP!$B$54:$Q$54,0),FALSE),"")="","",IFERROR(VLOOKUP($C36,SUP!$B$54:$Q$104,MATCH($B36&amp;"-"&amp;AN$7,SUP!$B$54:$Q$54,0),FALSE),"")),"")</f>
        <v>99.157334963894698</v>
      </c>
      <c r="AO36" s="441" t="str">
        <f ca="1">IFERROR(1*IF(IFERROR(VLOOKUP($C36,SUP!$B$54:$Q$104,MATCH($B36&amp;"-"&amp;AO$7,SUP!$B$54:$Q$54,0),FALSE),"")="","",IFERROR(VLOOKUP($C36,SUP!$B$54:$Q$104,MATCH($B36&amp;"-"&amp;AO$7,SUP!$B$54:$Q$54,0),FALSE),"")),"")</f>
        <v/>
      </c>
      <c r="AR36" s="42">
        <f>IF(AS35=SUP!$B$104,AR35+1,AR35)</f>
        <v>1</v>
      </c>
      <c r="AS36" s="42">
        <f t="shared" si="6"/>
        <v>24</v>
      </c>
    </row>
    <row r="37" spans="1:45">
      <c r="A37" s="42" t="str">
        <f ca="1">IF(LEFT(OFFSET(SUP!$A$57,AS37,0),2)="\I","*","")</f>
        <v/>
      </c>
      <c r="B37" s="440" t="str">
        <f t="shared" ca="1" si="1"/>
        <v>ACT_COST</v>
      </c>
      <c r="C37" s="440" t="str">
        <f ca="1">IF($A37="*","",OFFSET(SUP!$B$57,AS37,0))</f>
        <v>IMPODS</v>
      </c>
      <c r="D37" s="440" t="str">
        <f t="shared" ca="1" si="7"/>
        <v>-</v>
      </c>
      <c r="E37" s="440" t="str">
        <f t="shared" ca="1" si="7"/>
        <v>-</v>
      </c>
      <c r="F37" s="440" t="str">
        <f t="shared" ca="1" si="7"/>
        <v>-</v>
      </c>
      <c r="G37" s="440" t="str">
        <f t="shared" ca="1" si="7"/>
        <v>-</v>
      </c>
      <c r="H37" s="440" t="str">
        <f t="shared" ca="1" si="5"/>
        <v>-</v>
      </c>
      <c r="I37" s="441">
        <f ca="1">IF(IFERROR(VLOOKUP($C37,SUP!$B$54:$Q$104,MATCH($B37&amp;"-"&amp;I$7,SUP!$B$54:$Q$54,0),FALSE),"")="","",IFERROR(VLOOKUP($C37,SUP!$B$54:$Q$104,MATCH($B37&amp;"-"&amp;I$7,SUP!$B$54:$Q$54,0),FALSE),""))</f>
        <v>0</v>
      </c>
      <c r="J37" s="441">
        <f ca="1">IFERROR(1*IF(IFERROR(VLOOKUP($C37,SUP!$B$54:$Q$104,MATCH($B37&amp;"-"&amp;J$7,SUP!$B$54:$Q$54,0),FALSE),"")="","",IFERROR(VLOOKUP($C37,SUP!$B$54:$Q$104,MATCH($B37&amp;"-"&amp;J$7,SUP!$B$54:$Q$54,0),FALSE),"")),"")</f>
        <v>168.9185358336494</v>
      </c>
      <c r="K37" s="441" t="str">
        <f ca="1">IFERROR(1*IF(IFERROR(VLOOKUP($C37,SUP!$B$54:$Q$104,MATCH($B37&amp;"-"&amp;K$7,SUP!$B$54:$Q$54,0),FALSE),"")="","",IFERROR(VLOOKUP($C37,SUP!$B$54:$Q$104,MATCH($B37&amp;"-"&amp;K$7,SUP!$B$54:$Q$54,0),FALSE),"")),"")</f>
        <v/>
      </c>
      <c r="L37" s="441" t="str">
        <f ca="1">IFERROR(1*IF(IFERROR(VLOOKUP($C37,SUP!$B$54:$Q$104,MATCH($B37&amp;"-"&amp;L$7,SUP!$B$54:$Q$54,0),FALSE),"")="","",IFERROR(VLOOKUP($C37,SUP!$B$54:$Q$104,MATCH($B37&amp;"-"&amp;L$7,SUP!$B$54:$Q$54,0),FALSE),"")),"")</f>
        <v/>
      </c>
      <c r="M37" s="441">
        <f ca="1">IFERROR(1*IF(IFERROR(VLOOKUP($C37,SUP!$B$54:$Q$104,MATCH($B37&amp;"-"&amp;M$7,SUP!$B$54:$Q$54,0),FALSE),"")="","",IFERROR(VLOOKUP($C37,SUP!$B$54:$Q$104,MATCH($B37&amp;"-"&amp;M$7,SUP!$B$54:$Q$54,0),FALSE),"")),"")</f>
        <v>119.88592507685335</v>
      </c>
      <c r="N37" s="441" t="str">
        <f ca="1">IFERROR(1*IF(IFERROR(VLOOKUP($C37,SUP!$B$54:$Q$104,MATCH($B37&amp;"-"&amp;N$7,SUP!$B$54:$Q$54,0),FALSE),"")="","",IFERROR(VLOOKUP($C37,SUP!$B$54:$Q$104,MATCH($B37&amp;"-"&amp;N$7,SUP!$B$54:$Q$54,0),FALSE),"")),"")</f>
        <v/>
      </c>
      <c r="O37" s="441" t="str">
        <f ca="1">IFERROR(1*IF(IFERROR(VLOOKUP($C37,SUP!$B$54:$Q$104,MATCH($B37&amp;"-"&amp;O$7,SUP!$B$54:$Q$54,0),FALSE),"")="","",IFERROR(VLOOKUP($C37,SUP!$B$54:$Q$104,MATCH($B37&amp;"-"&amp;O$7,SUP!$B$54:$Q$54,0),FALSE),"")),"")</f>
        <v/>
      </c>
      <c r="P37" s="441" t="str">
        <f ca="1">IFERROR(1*IF(IFERROR(VLOOKUP($C37,SUP!$B$54:$Q$104,MATCH($B37&amp;"-"&amp;P$7,SUP!$B$54:$Q$54,0),FALSE),"")="","",IFERROR(VLOOKUP($C37,SUP!$B$54:$Q$104,MATCH($B37&amp;"-"&amp;P$7,SUP!$B$54:$Q$54,0),FALSE),"")),"")</f>
        <v/>
      </c>
      <c r="Q37" s="441" t="str">
        <f ca="1">IFERROR(1*IF(IFERROR(VLOOKUP($C37,SUP!$B$54:$Q$104,MATCH($B37&amp;"-"&amp;Q$7,SUP!$B$54:$Q$54,0),FALSE),"")="","",IFERROR(VLOOKUP($C37,SUP!$B$54:$Q$104,MATCH($B37&amp;"-"&amp;Q$7,SUP!$B$54:$Q$54,0),FALSE),"")),"")</f>
        <v/>
      </c>
      <c r="R37" s="441">
        <f ca="1">IFERROR(1*IF(IFERROR(VLOOKUP($C37,SUP!$B$54:$Q$104,MATCH($B37&amp;"-"&amp;R$7,SUP!$B$54:$Q$54,0),FALSE),"")="","",IFERROR(VLOOKUP($C37,SUP!$B$54:$Q$104,MATCH($B37&amp;"-"&amp;R$7,SUP!$B$54:$Q$54,0),FALSE),"")),"")</f>
        <v>137.16824623619675</v>
      </c>
      <c r="S37" s="441" t="str">
        <f ca="1">IFERROR(1*IF(IFERROR(VLOOKUP($C37,SUP!$B$54:$Q$104,MATCH($B37&amp;"-"&amp;S$7,SUP!$B$54:$Q$54,0),FALSE),"")="","",IFERROR(VLOOKUP($C37,SUP!$B$54:$Q$104,MATCH($B37&amp;"-"&amp;S$7,SUP!$B$54:$Q$54,0),FALSE),"")),"")</f>
        <v/>
      </c>
      <c r="T37" s="441" t="str">
        <f ca="1">IFERROR(1*IF(IFERROR(VLOOKUP($C37,SUP!$B$54:$Q$104,MATCH($B37&amp;"-"&amp;T$7,SUP!$B$54:$Q$54,0),FALSE),"")="","",IFERROR(VLOOKUP($C37,SUP!$B$54:$Q$104,MATCH($B37&amp;"-"&amp;T$7,SUP!$B$54:$Q$54,0),FALSE),"")),"")</f>
        <v/>
      </c>
      <c r="U37" s="441" t="str">
        <f ca="1">IFERROR(1*IF(IFERROR(VLOOKUP($C37,SUP!$B$54:$Q$104,MATCH($B37&amp;"-"&amp;U$7,SUP!$B$54:$Q$54,0),FALSE),"")="","",IFERROR(VLOOKUP($C37,SUP!$B$54:$Q$104,MATCH($B37&amp;"-"&amp;U$7,SUP!$B$54:$Q$54,0),FALSE),"")),"")</f>
        <v/>
      </c>
      <c r="V37" s="441" t="str">
        <f ca="1">IFERROR(1*IF(IFERROR(VLOOKUP($C37,SUP!$B$54:$Q$104,MATCH($B37&amp;"-"&amp;V$7,SUP!$B$54:$Q$54,0),FALSE),"")="","",IFERROR(VLOOKUP($C37,SUP!$B$54:$Q$104,MATCH($B37&amp;"-"&amp;V$7,SUP!$B$54:$Q$54,0),FALSE),"")),"")</f>
        <v/>
      </c>
      <c r="W37" s="441" t="str">
        <f ca="1">IFERROR(1*IF(IFERROR(VLOOKUP($C37,SUP!$B$54:$Q$104,MATCH($B37&amp;"-"&amp;W$7,SUP!$B$54:$Q$54,0),FALSE),"")="","",IFERROR(VLOOKUP($C37,SUP!$B$54:$Q$104,MATCH($B37&amp;"-"&amp;W$7,SUP!$B$54:$Q$54,0),FALSE),"")),"")</f>
        <v/>
      </c>
      <c r="X37" s="441" t="str">
        <f ca="1">IFERROR(1*IF(IFERROR(VLOOKUP($C37,SUP!$B$54:$Q$104,MATCH($B37&amp;"-"&amp;X$7,SUP!$B$54:$Q$54,0),FALSE),"")="","",IFERROR(VLOOKUP($C37,SUP!$B$54:$Q$104,MATCH($B37&amp;"-"&amp;X$7,SUP!$B$54:$Q$54,0),FALSE),"")),"")</f>
        <v/>
      </c>
      <c r="Y37" s="441" t="str">
        <f ca="1">IFERROR(1*IF(IFERROR(VLOOKUP($C37,SUP!$B$54:$Q$104,MATCH($B37&amp;"-"&amp;Y$7,SUP!$B$54:$Q$54,0),FALSE),"")="","",IFERROR(VLOOKUP($C37,SUP!$B$54:$Q$104,MATCH($B37&amp;"-"&amp;Y$7,SUP!$B$54:$Q$54,0),FALSE),"")),"")</f>
        <v/>
      </c>
      <c r="Z37" s="441" t="str">
        <f ca="1">IFERROR(1*IF(IFERROR(VLOOKUP($C37,SUP!$B$54:$Q$104,MATCH($B37&amp;"-"&amp;Z$7,SUP!$B$54:$Q$54,0),FALSE),"")="","",IFERROR(VLOOKUP($C37,SUP!$B$54:$Q$104,MATCH($B37&amp;"-"&amp;Z$7,SUP!$B$54:$Q$54,0),FALSE),"")),"")</f>
        <v/>
      </c>
      <c r="AA37" s="441" t="str">
        <f ca="1">IFERROR(1*IF(IFERROR(VLOOKUP($C37,SUP!$B$54:$Q$104,MATCH($B37&amp;"-"&amp;AA$7,SUP!$B$54:$Q$54,0),FALSE),"")="","",IFERROR(VLOOKUP($C37,SUP!$B$54:$Q$104,MATCH($B37&amp;"-"&amp;AA$7,SUP!$B$54:$Q$54,0),FALSE),"")),"")</f>
        <v/>
      </c>
      <c r="AB37" s="441">
        <f ca="1">IFERROR(1*IF(IFERROR(VLOOKUP($C37,SUP!$B$54:$Q$104,MATCH($B37&amp;"-"&amp;AB$7,SUP!$B$54:$Q$54,0),FALSE),"")="","",IFERROR(VLOOKUP($C37,SUP!$B$54:$Q$104,MATCH($B37&amp;"-"&amp;AB$7,SUP!$B$54:$Q$54,0),FALSE),"")),"")</f>
        <v>131.58041064587684</v>
      </c>
      <c r="AC37" s="441" t="str">
        <f ca="1">IFERROR(1*IF(IFERROR(VLOOKUP($C37,SUP!$B$54:$Q$104,MATCH($B37&amp;"-"&amp;AC$7,SUP!$B$54:$Q$54,0),FALSE),"")="","",IFERROR(VLOOKUP($C37,SUP!$B$54:$Q$104,MATCH($B37&amp;"-"&amp;AC$7,SUP!$B$54:$Q$54,0),FALSE),"")),"")</f>
        <v/>
      </c>
      <c r="AD37" s="441" t="str">
        <f ca="1">IFERROR(1*IF(IFERROR(VLOOKUP($C37,SUP!$B$54:$Q$104,MATCH($B37&amp;"-"&amp;AD$7,SUP!$B$54:$Q$54,0),FALSE),"")="","",IFERROR(VLOOKUP($C37,SUP!$B$54:$Q$104,MATCH($B37&amp;"-"&amp;AD$7,SUP!$B$54:$Q$54,0),FALSE),"")),"")</f>
        <v/>
      </c>
      <c r="AE37" s="441" t="str">
        <f ca="1">IFERROR(1*IF(IFERROR(VLOOKUP($C37,SUP!$B$54:$Q$104,MATCH($B37&amp;"-"&amp;AE$7,SUP!$B$54:$Q$54,0),FALSE),"")="","",IFERROR(VLOOKUP($C37,SUP!$B$54:$Q$104,MATCH($B37&amp;"-"&amp;AE$7,SUP!$B$54:$Q$54,0),FALSE),"")),"")</f>
        <v/>
      </c>
      <c r="AF37" s="441" t="str">
        <f ca="1">IFERROR(1*IF(IFERROR(VLOOKUP($C37,SUP!$B$54:$Q$104,MATCH($B37&amp;"-"&amp;AF$7,SUP!$B$54:$Q$54,0),FALSE),"")="","",IFERROR(VLOOKUP($C37,SUP!$B$54:$Q$104,MATCH($B37&amp;"-"&amp;AF$7,SUP!$B$54:$Q$54,0),FALSE),"")),"")</f>
        <v/>
      </c>
      <c r="AG37" s="441" t="str">
        <f ca="1">IFERROR(1*IF(IFERROR(VLOOKUP($C37,SUP!$B$54:$Q$104,MATCH($B37&amp;"-"&amp;AG$7,SUP!$B$54:$Q$54,0),FALSE),"")="","",IFERROR(VLOOKUP($C37,SUP!$B$54:$Q$104,MATCH($B37&amp;"-"&amp;AG$7,SUP!$B$54:$Q$54,0),FALSE),"")),"")</f>
        <v/>
      </c>
      <c r="AH37" s="441" t="str">
        <f ca="1">IFERROR(1*IF(IFERROR(VLOOKUP($C37,SUP!$B$54:$Q$104,MATCH($B37&amp;"-"&amp;AH$7,SUP!$B$54:$Q$54,0),FALSE),"")="","",IFERROR(VLOOKUP($C37,SUP!$B$54:$Q$104,MATCH($B37&amp;"-"&amp;AH$7,SUP!$B$54:$Q$54,0),FALSE),"")),"")</f>
        <v/>
      </c>
      <c r="AI37" s="441" t="str">
        <f ca="1">IFERROR(1*IF(IFERROR(VLOOKUP($C37,SUP!$B$54:$Q$104,MATCH($B37&amp;"-"&amp;AI$7,SUP!$B$54:$Q$54,0),FALSE),"")="","",IFERROR(VLOOKUP($C37,SUP!$B$54:$Q$104,MATCH($B37&amp;"-"&amp;AI$7,SUP!$B$54:$Q$54,0),FALSE),"")),"")</f>
        <v/>
      </c>
      <c r="AJ37" s="441" t="str">
        <f ca="1">IFERROR(1*IF(IFERROR(VLOOKUP($C37,SUP!$B$54:$Q$104,MATCH($B37&amp;"-"&amp;AJ$7,SUP!$B$54:$Q$54,0),FALSE),"")="","",IFERROR(VLOOKUP($C37,SUP!$B$54:$Q$104,MATCH($B37&amp;"-"&amp;AJ$7,SUP!$B$54:$Q$54,0),FALSE),"")),"")</f>
        <v/>
      </c>
      <c r="AK37" s="441" t="str">
        <f ca="1">IFERROR(1*IF(IFERROR(VLOOKUP($C37,SUP!$B$54:$Q$104,MATCH($B37&amp;"-"&amp;AK$7,SUP!$B$54:$Q$54,0),FALSE),"")="","",IFERROR(VLOOKUP($C37,SUP!$B$54:$Q$104,MATCH($B37&amp;"-"&amp;AK$7,SUP!$B$54:$Q$54,0),FALSE),"")),"")</f>
        <v/>
      </c>
      <c r="AL37" s="441" t="str">
        <f ca="1">IFERROR(1*IF(IFERROR(VLOOKUP($C37,SUP!$B$54:$Q$104,MATCH($B37&amp;"-"&amp;AL$7,SUP!$B$54:$Q$54,0),FALSE),"")="","",IFERROR(VLOOKUP($C37,SUP!$B$54:$Q$104,MATCH($B37&amp;"-"&amp;AL$7,SUP!$B$54:$Q$54,0),FALSE),"")),"")</f>
        <v/>
      </c>
      <c r="AM37" s="441" t="str">
        <f ca="1">IFERROR(1*IF(IFERROR(VLOOKUP($C37,SUP!$B$54:$Q$104,MATCH($B37&amp;"-"&amp;AM$7,SUP!$B$54:$Q$54,0),FALSE),"")="","",IFERROR(VLOOKUP($C37,SUP!$B$54:$Q$104,MATCH($B37&amp;"-"&amp;AM$7,SUP!$B$54:$Q$54,0),FALSE),"")),"")</f>
        <v/>
      </c>
      <c r="AN37" s="441">
        <f ca="1">IFERROR(1*IF(IFERROR(VLOOKUP($C37,SUP!$B$54:$Q$104,MATCH($B37&amp;"-"&amp;AN$7,SUP!$B$54:$Q$54,0),FALSE),"")="","",IFERROR(VLOOKUP($C37,SUP!$B$54:$Q$104,MATCH($B37&amp;"-"&amp;AN$7,SUP!$B$54:$Q$54,0),FALSE),"")),"")</f>
        <v>118.80821501085993</v>
      </c>
      <c r="AO37" s="441" t="str">
        <f ca="1">IFERROR(1*IF(IFERROR(VLOOKUP($C37,SUP!$B$54:$Q$104,MATCH($B37&amp;"-"&amp;AO$7,SUP!$B$54:$Q$54,0),FALSE),"")="","",IFERROR(VLOOKUP($C37,SUP!$B$54:$Q$104,MATCH($B37&amp;"-"&amp;AO$7,SUP!$B$54:$Q$54,0),FALSE),"")),"")</f>
        <v/>
      </c>
      <c r="AR37" s="42">
        <f>IF(AS36=SUP!$B$104,AR36+1,AR36)</f>
        <v>1</v>
      </c>
      <c r="AS37" s="42">
        <f t="shared" si="6"/>
        <v>25</v>
      </c>
    </row>
    <row r="38" spans="1:45">
      <c r="A38" s="42" t="str">
        <f ca="1">IF(LEFT(OFFSET(SUP!$A$57,AS38,0),2)="\I","*","")</f>
        <v/>
      </c>
      <c r="B38" s="440" t="str">
        <f t="shared" ca="1" si="1"/>
        <v>ACT_COST</v>
      </c>
      <c r="C38" s="440" t="str">
        <f ca="1">IF($A38="*","",OFFSET(SUP!$B$57,AS38,0))</f>
        <v>IMPOGS</v>
      </c>
      <c r="D38" s="440" t="str">
        <f t="shared" ca="1" si="7"/>
        <v>-</v>
      </c>
      <c r="E38" s="440" t="str">
        <f t="shared" ca="1" si="7"/>
        <v>-</v>
      </c>
      <c r="F38" s="440" t="str">
        <f t="shared" ca="1" si="7"/>
        <v>-</v>
      </c>
      <c r="G38" s="440" t="str">
        <f t="shared" ca="1" si="7"/>
        <v>-</v>
      </c>
      <c r="H38" s="440" t="str">
        <f t="shared" ca="1" si="5"/>
        <v>-</v>
      </c>
      <c r="I38" s="441">
        <f ca="1">IF(IFERROR(VLOOKUP($C38,SUP!$B$54:$Q$104,MATCH($B38&amp;"-"&amp;I$7,SUP!$B$54:$Q$54,0),FALSE),"")="","",IFERROR(VLOOKUP($C38,SUP!$B$54:$Q$104,MATCH($B38&amp;"-"&amp;I$7,SUP!$B$54:$Q$54,0),FALSE),""))</f>
        <v>0</v>
      </c>
      <c r="J38" s="441">
        <f ca="1">IFERROR(1*IF(IFERROR(VLOOKUP($C38,SUP!$B$54:$Q$104,MATCH($B38&amp;"-"&amp;J$7,SUP!$B$54:$Q$54,0),FALSE),"")="","",IFERROR(VLOOKUP($C38,SUP!$B$54:$Q$104,MATCH($B38&amp;"-"&amp;J$7,SUP!$B$54:$Q$54,0),FALSE),"")),"")</f>
        <v>176.89791488762791</v>
      </c>
      <c r="K38" s="441" t="str">
        <f ca="1">IFERROR(1*IF(IFERROR(VLOOKUP($C38,SUP!$B$54:$Q$104,MATCH($B38&amp;"-"&amp;K$7,SUP!$B$54:$Q$54,0),FALSE),"")="","",IFERROR(VLOOKUP($C38,SUP!$B$54:$Q$104,MATCH($B38&amp;"-"&amp;K$7,SUP!$B$54:$Q$54,0),FALSE),"")),"")</f>
        <v/>
      </c>
      <c r="L38" s="441" t="str">
        <f ca="1">IFERROR(1*IF(IFERROR(VLOOKUP($C38,SUP!$B$54:$Q$104,MATCH($B38&amp;"-"&amp;L$7,SUP!$B$54:$Q$54,0),FALSE),"")="","",IFERROR(VLOOKUP($C38,SUP!$B$54:$Q$104,MATCH($B38&amp;"-"&amp;L$7,SUP!$B$54:$Q$54,0),FALSE),"")),"")</f>
        <v/>
      </c>
      <c r="M38" s="441">
        <f ca="1">IFERROR(1*IF(IFERROR(VLOOKUP($C38,SUP!$B$54:$Q$104,MATCH($B38&amp;"-"&amp;M$7,SUP!$B$54:$Q$54,0),FALSE),"")="","",IFERROR(VLOOKUP($C38,SUP!$B$54:$Q$104,MATCH($B38&amp;"-"&amp;M$7,SUP!$B$54:$Q$54,0),FALSE),"")),"")</f>
        <v>129.68934115889218</v>
      </c>
      <c r="N38" s="441" t="str">
        <f ca="1">IFERROR(1*IF(IFERROR(VLOOKUP($C38,SUP!$B$54:$Q$104,MATCH($B38&amp;"-"&amp;N$7,SUP!$B$54:$Q$54,0),FALSE),"")="","",IFERROR(VLOOKUP($C38,SUP!$B$54:$Q$104,MATCH($B38&amp;"-"&amp;N$7,SUP!$B$54:$Q$54,0),FALSE),"")),"")</f>
        <v/>
      </c>
      <c r="O38" s="441" t="str">
        <f ca="1">IFERROR(1*IF(IFERROR(VLOOKUP($C38,SUP!$B$54:$Q$104,MATCH($B38&amp;"-"&amp;O$7,SUP!$B$54:$Q$54,0),FALSE),"")="","",IFERROR(VLOOKUP($C38,SUP!$B$54:$Q$104,MATCH($B38&amp;"-"&amp;O$7,SUP!$B$54:$Q$54,0),FALSE),"")),"")</f>
        <v/>
      </c>
      <c r="P38" s="441" t="str">
        <f ca="1">IFERROR(1*IF(IFERROR(VLOOKUP($C38,SUP!$B$54:$Q$104,MATCH($B38&amp;"-"&amp;P$7,SUP!$B$54:$Q$54,0),FALSE),"")="","",IFERROR(VLOOKUP($C38,SUP!$B$54:$Q$104,MATCH($B38&amp;"-"&amp;P$7,SUP!$B$54:$Q$54,0),FALSE),"")),"")</f>
        <v/>
      </c>
      <c r="Q38" s="441" t="str">
        <f ca="1">IFERROR(1*IF(IFERROR(VLOOKUP($C38,SUP!$B$54:$Q$104,MATCH($B38&amp;"-"&amp;Q$7,SUP!$B$54:$Q$54,0),FALSE),"")="","",IFERROR(VLOOKUP($C38,SUP!$B$54:$Q$104,MATCH($B38&amp;"-"&amp;Q$7,SUP!$B$54:$Q$54,0),FALSE),"")),"")</f>
        <v/>
      </c>
      <c r="R38" s="441">
        <f ca="1">IFERROR(1*IF(IFERROR(VLOOKUP($C38,SUP!$B$54:$Q$104,MATCH($B38&amp;"-"&amp;R$7,SUP!$B$54:$Q$54,0),FALSE),"")="","",IFERROR(VLOOKUP($C38,SUP!$B$54:$Q$104,MATCH($B38&amp;"-"&amp;R$7,SUP!$B$54:$Q$54,0),FALSE),"")),"")</f>
        <v>144.96619006194166</v>
      </c>
      <c r="S38" s="441" t="str">
        <f ca="1">IFERROR(1*IF(IFERROR(VLOOKUP($C38,SUP!$B$54:$Q$104,MATCH($B38&amp;"-"&amp;S$7,SUP!$B$54:$Q$54,0),FALSE),"")="","",IFERROR(VLOOKUP($C38,SUP!$B$54:$Q$104,MATCH($B38&amp;"-"&amp;S$7,SUP!$B$54:$Q$54,0),FALSE),"")),"")</f>
        <v/>
      </c>
      <c r="T38" s="441" t="str">
        <f ca="1">IFERROR(1*IF(IFERROR(VLOOKUP($C38,SUP!$B$54:$Q$104,MATCH($B38&amp;"-"&amp;T$7,SUP!$B$54:$Q$54,0),FALSE),"")="","",IFERROR(VLOOKUP($C38,SUP!$B$54:$Q$104,MATCH($B38&amp;"-"&amp;T$7,SUP!$B$54:$Q$54,0),FALSE),"")),"")</f>
        <v/>
      </c>
      <c r="U38" s="441" t="str">
        <f ca="1">IFERROR(1*IF(IFERROR(VLOOKUP($C38,SUP!$B$54:$Q$104,MATCH($B38&amp;"-"&amp;U$7,SUP!$B$54:$Q$54,0),FALSE),"")="","",IFERROR(VLOOKUP($C38,SUP!$B$54:$Q$104,MATCH($B38&amp;"-"&amp;U$7,SUP!$B$54:$Q$54,0),FALSE),"")),"")</f>
        <v/>
      </c>
      <c r="V38" s="441" t="str">
        <f ca="1">IFERROR(1*IF(IFERROR(VLOOKUP($C38,SUP!$B$54:$Q$104,MATCH($B38&amp;"-"&amp;V$7,SUP!$B$54:$Q$54,0),FALSE),"")="","",IFERROR(VLOOKUP($C38,SUP!$B$54:$Q$104,MATCH($B38&amp;"-"&amp;V$7,SUP!$B$54:$Q$54,0),FALSE),"")),"")</f>
        <v/>
      </c>
      <c r="W38" s="441" t="str">
        <f ca="1">IFERROR(1*IF(IFERROR(VLOOKUP($C38,SUP!$B$54:$Q$104,MATCH($B38&amp;"-"&amp;W$7,SUP!$B$54:$Q$54,0),FALSE),"")="","",IFERROR(VLOOKUP($C38,SUP!$B$54:$Q$104,MATCH($B38&amp;"-"&amp;W$7,SUP!$B$54:$Q$54,0),FALSE),"")),"")</f>
        <v/>
      </c>
      <c r="X38" s="441" t="str">
        <f ca="1">IFERROR(1*IF(IFERROR(VLOOKUP($C38,SUP!$B$54:$Q$104,MATCH($B38&amp;"-"&amp;X$7,SUP!$B$54:$Q$54,0),FALSE),"")="","",IFERROR(VLOOKUP($C38,SUP!$B$54:$Q$104,MATCH($B38&amp;"-"&amp;X$7,SUP!$B$54:$Q$54,0),FALSE),"")),"")</f>
        <v/>
      </c>
      <c r="Y38" s="441" t="str">
        <f ca="1">IFERROR(1*IF(IFERROR(VLOOKUP($C38,SUP!$B$54:$Q$104,MATCH($B38&amp;"-"&amp;Y$7,SUP!$B$54:$Q$54,0),FALSE),"")="","",IFERROR(VLOOKUP($C38,SUP!$B$54:$Q$104,MATCH($B38&amp;"-"&amp;Y$7,SUP!$B$54:$Q$54,0),FALSE),"")),"")</f>
        <v/>
      </c>
      <c r="Z38" s="441" t="str">
        <f ca="1">IFERROR(1*IF(IFERROR(VLOOKUP($C38,SUP!$B$54:$Q$104,MATCH($B38&amp;"-"&amp;Z$7,SUP!$B$54:$Q$54,0),FALSE),"")="","",IFERROR(VLOOKUP($C38,SUP!$B$54:$Q$104,MATCH($B38&amp;"-"&amp;Z$7,SUP!$B$54:$Q$54,0),FALSE),"")),"")</f>
        <v/>
      </c>
      <c r="AA38" s="441" t="str">
        <f ca="1">IFERROR(1*IF(IFERROR(VLOOKUP($C38,SUP!$B$54:$Q$104,MATCH($B38&amp;"-"&amp;AA$7,SUP!$B$54:$Q$54,0),FALSE),"")="","",IFERROR(VLOOKUP($C38,SUP!$B$54:$Q$104,MATCH($B38&amp;"-"&amp;AA$7,SUP!$B$54:$Q$54,0),FALSE),"")),"")</f>
        <v/>
      </c>
      <c r="AB38" s="441">
        <f ca="1">IFERROR(1*IF(IFERROR(VLOOKUP($C38,SUP!$B$54:$Q$104,MATCH($B38&amp;"-"&amp;AB$7,SUP!$B$54:$Q$54,0),FALSE),"")="","",IFERROR(VLOOKUP($C38,SUP!$B$54:$Q$104,MATCH($B38&amp;"-"&amp;AB$7,SUP!$B$54:$Q$54,0),FALSE),"")),"")</f>
        <v>139.34642310222276</v>
      </c>
      <c r="AC38" s="441" t="str">
        <f ca="1">IFERROR(1*IF(IFERROR(VLOOKUP($C38,SUP!$B$54:$Q$104,MATCH($B38&amp;"-"&amp;AC$7,SUP!$B$54:$Q$54,0),FALSE),"")="","",IFERROR(VLOOKUP($C38,SUP!$B$54:$Q$104,MATCH($B38&amp;"-"&amp;AC$7,SUP!$B$54:$Q$54,0),FALSE),"")),"")</f>
        <v/>
      </c>
      <c r="AD38" s="441" t="str">
        <f ca="1">IFERROR(1*IF(IFERROR(VLOOKUP($C38,SUP!$B$54:$Q$104,MATCH($B38&amp;"-"&amp;AD$7,SUP!$B$54:$Q$54,0),FALSE),"")="","",IFERROR(VLOOKUP($C38,SUP!$B$54:$Q$104,MATCH($B38&amp;"-"&amp;AD$7,SUP!$B$54:$Q$54,0),FALSE),"")),"")</f>
        <v/>
      </c>
      <c r="AE38" s="441" t="str">
        <f ca="1">IFERROR(1*IF(IFERROR(VLOOKUP($C38,SUP!$B$54:$Q$104,MATCH($B38&amp;"-"&amp;AE$7,SUP!$B$54:$Q$54,0),FALSE),"")="","",IFERROR(VLOOKUP($C38,SUP!$B$54:$Q$104,MATCH($B38&amp;"-"&amp;AE$7,SUP!$B$54:$Q$54,0),FALSE),"")),"")</f>
        <v/>
      </c>
      <c r="AF38" s="441" t="str">
        <f ca="1">IFERROR(1*IF(IFERROR(VLOOKUP($C38,SUP!$B$54:$Q$104,MATCH($B38&amp;"-"&amp;AF$7,SUP!$B$54:$Q$54,0),FALSE),"")="","",IFERROR(VLOOKUP($C38,SUP!$B$54:$Q$104,MATCH($B38&amp;"-"&amp;AF$7,SUP!$B$54:$Q$54,0),FALSE),"")),"")</f>
        <v/>
      </c>
      <c r="AG38" s="441" t="str">
        <f ca="1">IFERROR(1*IF(IFERROR(VLOOKUP($C38,SUP!$B$54:$Q$104,MATCH($B38&amp;"-"&amp;AG$7,SUP!$B$54:$Q$54,0),FALSE),"")="","",IFERROR(VLOOKUP($C38,SUP!$B$54:$Q$104,MATCH($B38&amp;"-"&amp;AG$7,SUP!$B$54:$Q$54,0),FALSE),"")),"")</f>
        <v/>
      </c>
      <c r="AH38" s="441" t="str">
        <f ca="1">IFERROR(1*IF(IFERROR(VLOOKUP($C38,SUP!$B$54:$Q$104,MATCH($B38&amp;"-"&amp;AH$7,SUP!$B$54:$Q$54,0),FALSE),"")="","",IFERROR(VLOOKUP($C38,SUP!$B$54:$Q$104,MATCH($B38&amp;"-"&amp;AH$7,SUP!$B$54:$Q$54,0),FALSE),"")),"")</f>
        <v/>
      </c>
      <c r="AI38" s="441" t="str">
        <f ca="1">IFERROR(1*IF(IFERROR(VLOOKUP($C38,SUP!$B$54:$Q$104,MATCH($B38&amp;"-"&amp;AI$7,SUP!$B$54:$Q$54,0),FALSE),"")="","",IFERROR(VLOOKUP($C38,SUP!$B$54:$Q$104,MATCH($B38&amp;"-"&amp;AI$7,SUP!$B$54:$Q$54,0),FALSE),"")),"")</f>
        <v/>
      </c>
      <c r="AJ38" s="441" t="str">
        <f ca="1">IFERROR(1*IF(IFERROR(VLOOKUP($C38,SUP!$B$54:$Q$104,MATCH($B38&amp;"-"&amp;AJ$7,SUP!$B$54:$Q$54,0),FALSE),"")="","",IFERROR(VLOOKUP($C38,SUP!$B$54:$Q$104,MATCH($B38&amp;"-"&amp;AJ$7,SUP!$B$54:$Q$54,0),FALSE),"")),"")</f>
        <v/>
      </c>
      <c r="AK38" s="441" t="str">
        <f ca="1">IFERROR(1*IF(IFERROR(VLOOKUP($C38,SUP!$B$54:$Q$104,MATCH($B38&amp;"-"&amp;AK$7,SUP!$B$54:$Q$54,0),FALSE),"")="","",IFERROR(VLOOKUP($C38,SUP!$B$54:$Q$104,MATCH($B38&amp;"-"&amp;AK$7,SUP!$B$54:$Q$54,0),FALSE),"")),"")</f>
        <v/>
      </c>
      <c r="AL38" s="441" t="str">
        <f ca="1">IFERROR(1*IF(IFERROR(VLOOKUP($C38,SUP!$B$54:$Q$104,MATCH($B38&amp;"-"&amp;AL$7,SUP!$B$54:$Q$54,0),FALSE),"")="","",IFERROR(VLOOKUP($C38,SUP!$B$54:$Q$104,MATCH($B38&amp;"-"&amp;AL$7,SUP!$B$54:$Q$54,0),FALSE),"")),"")</f>
        <v/>
      </c>
      <c r="AM38" s="441" t="str">
        <f ca="1">IFERROR(1*IF(IFERROR(VLOOKUP($C38,SUP!$B$54:$Q$104,MATCH($B38&amp;"-"&amp;AM$7,SUP!$B$54:$Q$54,0),FALSE),"")="","",IFERROR(VLOOKUP($C38,SUP!$B$54:$Q$104,MATCH($B38&amp;"-"&amp;AM$7,SUP!$B$54:$Q$54,0),FALSE),"")),"")</f>
        <v/>
      </c>
      <c r="AN38" s="441">
        <f ca="1">IFERROR(1*IF(IFERROR(VLOOKUP($C38,SUP!$B$54:$Q$104,MATCH($B38&amp;"-"&amp;AN$7,SUP!$B$54:$Q$54,0),FALSE),"")="","",IFERROR(VLOOKUP($C38,SUP!$B$54:$Q$104,MATCH($B38&amp;"-"&amp;AN$7,SUP!$B$54:$Q$54,0),FALSE),"")),"")</f>
        <v>126.50124148000812</v>
      </c>
      <c r="AO38" s="441" t="str">
        <f ca="1">IFERROR(1*IF(IFERROR(VLOOKUP($C38,SUP!$B$54:$Q$104,MATCH($B38&amp;"-"&amp;AO$7,SUP!$B$54:$Q$54,0),FALSE),"")="","",IFERROR(VLOOKUP($C38,SUP!$B$54:$Q$104,MATCH($B38&amp;"-"&amp;AO$7,SUP!$B$54:$Q$54,0),FALSE),"")),"")</f>
        <v/>
      </c>
      <c r="AR38" s="42">
        <f>IF(AS37=SUP!$B$104,AR37+1,AR37)</f>
        <v>1</v>
      </c>
      <c r="AS38" s="42">
        <f t="shared" si="6"/>
        <v>26</v>
      </c>
    </row>
    <row r="39" spans="1:45">
      <c r="A39" s="42" t="str">
        <f ca="1">IF(LEFT(OFFSET(SUP!$A$57,AS39,0),2)="\I","*","")</f>
        <v/>
      </c>
      <c r="B39" s="440" t="str">
        <f t="shared" ca="1" si="1"/>
        <v>ACT_COST</v>
      </c>
      <c r="C39" s="440" t="str">
        <f ca="1">IF($A39="*","",OFFSET(SUP!$B$57,AS39,0))</f>
        <v>IMPOHF</v>
      </c>
      <c r="D39" s="440" t="str">
        <f t="shared" ca="1" si="7"/>
        <v>-</v>
      </c>
      <c r="E39" s="440" t="str">
        <f t="shared" ca="1" si="7"/>
        <v>-</v>
      </c>
      <c r="F39" s="440" t="str">
        <f t="shared" ca="1" si="7"/>
        <v>-</v>
      </c>
      <c r="G39" s="440" t="str">
        <f t="shared" ca="1" si="7"/>
        <v>-</v>
      </c>
      <c r="H39" s="440" t="str">
        <f t="shared" ca="1" si="5"/>
        <v>-</v>
      </c>
      <c r="I39" s="441">
        <f ca="1">IF(IFERROR(VLOOKUP($C39,SUP!$B$54:$Q$104,MATCH($B39&amp;"-"&amp;I$7,SUP!$B$54:$Q$54,0),FALSE),"")="","",IFERROR(VLOOKUP($C39,SUP!$B$54:$Q$104,MATCH($B39&amp;"-"&amp;I$7,SUP!$B$54:$Q$54,0),FALSE),""))</f>
        <v>0</v>
      </c>
      <c r="J39" s="441">
        <f ca="1">IFERROR(1*IF(IFERROR(VLOOKUP($C39,SUP!$B$54:$Q$104,MATCH($B39&amp;"-"&amp;J$7,SUP!$B$54:$Q$54,0),FALSE),"")="","",IFERROR(VLOOKUP($C39,SUP!$B$54:$Q$104,MATCH($B39&amp;"-"&amp;J$7,SUP!$B$54:$Q$54,0),FALSE),"")),"")</f>
        <v>140.37937704262814</v>
      </c>
      <c r="K39" s="441" t="str">
        <f ca="1">IFERROR(1*IF(IFERROR(VLOOKUP($C39,SUP!$B$54:$Q$104,MATCH($B39&amp;"-"&amp;K$7,SUP!$B$54:$Q$54,0),FALSE),"")="","",IFERROR(VLOOKUP($C39,SUP!$B$54:$Q$104,MATCH($B39&amp;"-"&amp;K$7,SUP!$B$54:$Q$54,0),FALSE),"")),"")</f>
        <v/>
      </c>
      <c r="L39" s="441" t="str">
        <f ca="1">IFERROR(1*IF(IFERROR(VLOOKUP($C39,SUP!$B$54:$Q$104,MATCH($B39&amp;"-"&amp;L$7,SUP!$B$54:$Q$54,0),FALSE),"")="","",IFERROR(VLOOKUP($C39,SUP!$B$54:$Q$104,MATCH($B39&amp;"-"&amp;L$7,SUP!$B$54:$Q$54,0),FALSE),"")),"")</f>
        <v/>
      </c>
      <c r="M39" s="441">
        <f ca="1">IFERROR(1*IF(IFERROR(VLOOKUP($C39,SUP!$B$54:$Q$104,MATCH($B39&amp;"-"&amp;M$7,SUP!$B$54:$Q$54,0),FALSE),"")="","",IFERROR(VLOOKUP($C39,SUP!$B$54:$Q$104,MATCH($B39&amp;"-"&amp;M$7,SUP!$B$54:$Q$54,0),FALSE),"")),"")</f>
        <v>100.47067714884695</v>
      </c>
      <c r="N39" s="441" t="str">
        <f ca="1">IFERROR(1*IF(IFERROR(VLOOKUP($C39,SUP!$B$54:$Q$104,MATCH($B39&amp;"-"&amp;N$7,SUP!$B$54:$Q$54,0),FALSE),"")="","",IFERROR(VLOOKUP($C39,SUP!$B$54:$Q$104,MATCH($B39&amp;"-"&amp;N$7,SUP!$B$54:$Q$54,0),FALSE),"")),"")</f>
        <v/>
      </c>
      <c r="O39" s="441" t="str">
        <f ca="1">IFERROR(1*IF(IFERROR(VLOOKUP($C39,SUP!$B$54:$Q$104,MATCH($B39&amp;"-"&amp;O$7,SUP!$B$54:$Q$54,0),FALSE),"")="","",IFERROR(VLOOKUP($C39,SUP!$B$54:$Q$104,MATCH($B39&amp;"-"&amp;O$7,SUP!$B$54:$Q$54,0),FALSE),"")),"")</f>
        <v/>
      </c>
      <c r="P39" s="441" t="str">
        <f ca="1">IFERROR(1*IF(IFERROR(VLOOKUP($C39,SUP!$B$54:$Q$104,MATCH($B39&amp;"-"&amp;P$7,SUP!$B$54:$Q$54,0),FALSE),"")="","",IFERROR(VLOOKUP($C39,SUP!$B$54:$Q$104,MATCH($B39&amp;"-"&amp;P$7,SUP!$B$54:$Q$54,0),FALSE),"")),"")</f>
        <v/>
      </c>
      <c r="Q39" s="441" t="str">
        <f ca="1">IFERROR(1*IF(IFERROR(VLOOKUP($C39,SUP!$B$54:$Q$104,MATCH($B39&amp;"-"&amp;Q$7,SUP!$B$54:$Q$54,0),FALSE),"")="","",IFERROR(VLOOKUP($C39,SUP!$B$54:$Q$104,MATCH($B39&amp;"-"&amp;Q$7,SUP!$B$54:$Q$54,0),FALSE),"")),"")</f>
        <v/>
      </c>
      <c r="R39" s="441">
        <f ca="1">IFERROR(1*IF(IFERROR(VLOOKUP($C39,SUP!$B$54:$Q$104,MATCH($B39&amp;"-"&amp;R$7,SUP!$B$54:$Q$54,0),FALSE),"")="","",IFERROR(VLOOKUP($C39,SUP!$B$54:$Q$104,MATCH($B39&amp;"-"&amp;R$7,SUP!$B$54:$Q$54,0),FALSE),"")),"")</f>
        <v>114.26077009084555</v>
      </c>
      <c r="S39" s="441" t="str">
        <f ca="1">IFERROR(1*IF(IFERROR(VLOOKUP($C39,SUP!$B$54:$Q$104,MATCH($B39&amp;"-"&amp;S$7,SUP!$B$54:$Q$54,0),FALSE),"")="","",IFERROR(VLOOKUP($C39,SUP!$B$54:$Q$104,MATCH($B39&amp;"-"&amp;S$7,SUP!$B$54:$Q$54,0),FALSE),"")),"")</f>
        <v/>
      </c>
      <c r="T39" s="441" t="str">
        <f ca="1">IFERROR(1*IF(IFERROR(VLOOKUP($C39,SUP!$B$54:$Q$104,MATCH($B39&amp;"-"&amp;T$7,SUP!$B$54:$Q$54,0),FALSE),"")="","",IFERROR(VLOOKUP($C39,SUP!$B$54:$Q$104,MATCH($B39&amp;"-"&amp;T$7,SUP!$B$54:$Q$54,0),FALSE),"")),"")</f>
        <v/>
      </c>
      <c r="U39" s="441" t="str">
        <f ca="1">IFERROR(1*IF(IFERROR(VLOOKUP($C39,SUP!$B$54:$Q$104,MATCH($B39&amp;"-"&amp;U$7,SUP!$B$54:$Q$54,0),FALSE),"")="","",IFERROR(VLOOKUP($C39,SUP!$B$54:$Q$104,MATCH($B39&amp;"-"&amp;U$7,SUP!$B$54:$Q$54,0),FALSE),"")),"")</f>
        <v/>
      </c>
      <c r="V39" s="441" t="str">
        <f ca="1">IFERROR(1*IF(IFERROR(VLOOKUP($C39,SUP!$B$54:$Q$104,MATCH($B39&amp;"-"&amp;V$7,SUP!$B$54:$Q$54,0),FALSE),"")="","",IFERROR(VLOOKUP($C39,SUP!$B$54:$Q$104,MATCH($B39&amp;"-"&amp;V$7,SUP!$B$54:$Q$54,0),FALSE),"")),"")</f>
        <v/>
      </c>
      <c r="W39" s="441" t="str">
        <f ca="1">IFERROR(1*IF(IFERROR(VLOOKUP($C39,SUP!$B$54:$Q$104,MATCH($B39&amp;"-"&amp;W$7,SUP!$B$54:$Q$54,0),FALSE),"")="","",IFERROR(VLOOKUP($C39,SUP!$B$54:$Q$104,MATCH($B39&amp;"-"&amp;W$7,SUP!$B$54:$Q$54,0),FALSE),"")),"")</f>
        <v/>
      </c>
      <c r="X39" s="441" t="str">
        <f ca="1">IFERROR(1*IF(IFERROR(VLOOKUP($C39,SUP!$B$54:$Q$104,MATCH($B39&amp;"-"&amp;X$7,SUP!$B$54:$Q$54,0),FALSE),"")="","",IFERROR(VLOOKUP($C39,SUP!$B$54:$Q$104,MATCH($B39&amp;"-"&amp;X$7,SUP!$B$54:$Q$54,0),FALSE),"")),"")</f>
        <v/>
      </c>
      <c r="Y39" s="441" t="str">
        <f ca="1">IFERROR(1*IF(IFERROR(VLOOKUP($C39,SUP!$B$54:$Q$104,MATCH($B39&amp;"-"&amp;Y$7,SUP!$B$54:$Q$54,0),FALSE),"")="","",IFERROR(VLOOKUP($C39,SUP!$B$54:$Q$104,MATCH($B39&amp;"-"&amp;Y$7,SUP!$B$54:$Q$54,0),FALSE),"")),"")</f>
        <v/>
      </c>
      <c r="Z39" s="441" t="str">
        <f ca="1">IFERROR(1*IF(IFERROR(VLOOKUP($C39,SUP!$B$54:$Q$104,MATCH($B39&amp;"-"&amp;Z$7,SUP!$B$54:$Q$54,0),FALSE),"")="","",IFERROR(VLOOKUP($C39,SUP!$B$54:$Q$104,MATCH($B39&amp;"-"&amp;Z$7,SUP!$B$54:$Q$54,0),FALSE),"")),"")</f>
        <v/>
      </c>
      <c r="AA39" s="441" t="str">
        <f ca="1">IFERROR(1*IF(IFERROR(VLOOKUP($C39,SUP!$B$54:$Q$104,MATCH($B39&amp;"-"&amp;AA$7,SUP!$B$54:$Q$54,0),FALSE),"")="","",IFERROR(VLOOKUP($C39,SUP!$B$54:$Q$104,MATCH($B39&amp;"-"&amp;AA$7,SUP!$B$54:$Q$54,0),FALSE),"")),"")</f>
        <v/>
      </c>
      <c r="AB39" s="441">
        <f ca="1">IFERROR(1*IF(IFERROR(VLOOKUP($C39,SUP!$B$54:$Q$104,MATCH($B39&amp;"-"&amp;AB$7,SUP!$B$54:$Q$54,0),FALSE),"")="","",IFERROR(VLOOKUP($C39,SUP!$B$54:$Q$104,MATCH($B39&amp;"-"&amp;AB$7,SUP!$B$54:$Q$54,0),FALSE),"")),"")</f>
        <v>109.66407244351267</v>
      </c>
      <c r="AC39" s="441" t="str">
        <f ca="1">IFERROR(1*IF(IFERROR(VLOOKUP($C39,SUP!$B$54:$Q$104,MATCH($B39&amp;"-"&amp;AC$7,SUP!$B$54:$Q$54,0),FALSE),"")="","",IFERROR(VLOOKUP($C39,SUP!$B$54:$Q$104,MATCH($B39&amp;"-"&amp;AC$7,SUP!$B$54:$Q$54,0),FALSE),"")),"")</f>
        <v/>
      </c>
      <c r="AD39" s="441" t="str">
        <f ca="1">IFERROR(1*IF(IFERROR(VLOOKUP($C39,SUP!$B$54:$Q$104,MATCH($B39&amp;"-"&amp;AD$7,SUP!$B$54:$Q$54,0),FALSE),"")="","",IFERROR(VLOOKUP($C39,SUP!$B$54:$Q$104,MATCH($B39&amp;"-"&amp;AD$7,SUP!$B$54:$Q$54,0),FALSE),"")),"")</f>
        <v/>
      </c>
      <c r="AE39" s="441" t="str">
        <f ca="1">IFERROR(1*IF(IFERROR(VLOOKUP($C39,SUP!$B$54:$Q$104,MATCH($B39&amp;"-"&amp;AE$7,SUP!$B$54:$Q$54,0),FALSE),"")="","",IFERROR(VLOOKUP($C39,SUP!$B$54:$Q$104,MATCH($B39&amp;"-"&amp;AE$7,SUP!$B$54:$Q$54,0),FALSE),"")),"")</f>
        <v/>
      </c>
      <c r="AF39" s="441" t="str">
        <f ca="1">IFERROR(1*IF(IFERROR(VLOOKUP($C39,SUP!$B$54:$Q$104,MATCH($B39&amp;"-"&amp;AF$7,SUP!$B$54:$Q$54,0),FALSE),"")="","",IFERROR(VLOOKUP($C39,SUP!$B$54:$Q$104,MATCH($B39&amp;"-"&amp;AF$7,SUP!$B$54:$Q$54,0),FALSE),"")),"")</f>
        <v/>
      </c>
      <c r="AG39" s="441" t="str">
        <f ca="1">IFERROR(1*IF(IFERROR(VLOOKUP($C39,SUP!$B$54:$Q$104,MATCH($B39&amp;"-"&amp;AG$7,SUP!$B$54:$Q$54,0),FALSE),"")="","",IFERROR(VLOOKUP($C39,SUP!$B$54:$Q$104,MATCH($B39&amp;"-"&amp;AG$7,SUP!$B$54:$Q$54,0),FALSE),"")),"")</f>
        <v/>
      </c>
      <c r="AH39" s="441" t="str">
        <f ca="1">IFERROR(1*IF(IFERROR(VLOOKUP($C39,SUP!$B$54:$Q$104,MATCH($B39&amp;"-"&amp;AH$7,SUP!$B$54:$Q$54,0),FALSE),"")="","",IFERROR(VLOOKUP($C39,SUP!$B$54:$Q$104,MATCH($B39&amp;"-"&amp;AH$7,SUP!$B$54:$Q$54,0),FALSE),"")),"")</f>
        <v/>
      </c>
      <c r="AI39" s="441" t="str">
        <f ca="1">IFERROR(1*IF(IFERROR(VLOOKUP($C39,SUP!$B$54:$Q$104,MATCH($B39&amp;"-"&amp;AI$7,SUP!$B$54:$Q$54,0),FALSE),"")="","",IFERROR(VLOOKUP($C39,SUP!$B$54:$Q$104,MATCH($B39&amp;"-"&amp;AI$7,SUP!$B$54:$Q$54,0),FALSE),"")),"")</f>
        <v/>
      </c>
      <c r="AJ39" s="441" t="str">
        <f ca="1">IFERROR(1*IF(IFERROR(VLOOKUP($C39,SUP!$B$54:$Q$104,MATCH($B39&amp;"-"&amp;AJ$7,SUP!$B$54:$Q$54,0),FALSE),"")="","",IFERROR(VLOOKUP($C39,SUP!$B$54:$Q$104,MATCH($B39&amp;"-"&amp;AJ$7,SUP!$B$54:$Q$54,0),FALSE),"")),"")</f>
        <v/>
      </c>
      <c r="AK39" s="441" t="str">
        <f ca="1">IFERROR(1*IF(IFERROR(VLOOKUP($C39,SUP!$B$54:$Q$104,MATCH($B39&amp;"-"&amp;AK$7,SUP!$B$54:$Q$54,0),FALSE),"")="","",IFERROR(VLOOKUP($C39,SUP!$B$54:$Q$104,MATCH($B39&amp;"-"&amp;AK$7,SUP!$B$54:$Q$54,0),FALSE),"")),"")</f>
        <v/>
      </c>
      <c r="AL39" s="441" t="str">
        <f ca="1">IFERROR(1*IF(IFERROR(VLOOKUP($C39,SUP!$B$54:$Q$104,MATCH($B39&amp;"-"&amp;AL$7,SUP!$B$54:$Q$54,0),FALSE),"")="","",IFERROR(VLOOKUP($C39,SUP!$B$54:$Q$104,MATCH($B39&amp;"-"&amp;AL$7,SUP!$B$54:$Q$54,0),FALSE),"")),"")</f>
        <v/>
      </c>
      <c r="AM39" s="441" t="str">
        <f ca="1">IFERROR(1*IF(IFERROR(VLOOKUP($C39,SUP!$B$54:$Q$104,MATCH($B39&amp;"-"&amp;AM$7,SUP!$B$54:$Q$54,0),FALSE),"")="","",IFERROR(VLOOKUP($C39,SUP!$B$54:$Q$104,MATCH($B39&amp;"-"&amp;AM$7,SUP!$B$54:$Q$54,0),FALSE),"")),"")</f>
        <v/>
      </c>
      <c r="AN39" s="441">
        <f ca="1">IFERROR(1*IF(IFERROR(VLOOKUP($C39,SUP!$B$54:$Q$104,MATCH($B39&amp;"-"&amp;AN$7,SUP!$B$54:$Q$54,0),FALSE),"")="","",IFERROR(VLOOKUP($C39,SUP!$B$54:$Q$104,MATCH($B39&amp;"-"&amp;AN$7,SUP!$B$54:$Q$54,0),FALSE),"")),"")</f>
        <v>99.157334963894698</v>
      </c>
      <c r="AO39" s="441" t="str">
        <f ca="1">IFERROR(1*IF(IFERROR(VLOOKUP($C39,SUP!$B$54:$Q$104,MATCH($B39&amp;"-"&amp;AO$7,SUP!$B$54:$Q$54,0),FALSE),"")="","",IFERROR(VLOOKUP($C39,SUP!$B$54:$Q$104,MATCH($B39&amp;"-"&amp;AO$7,SUP!$B$54:$Q$54,0),FALSE),"")),"")</f>
        <v/>
      </c>
      <c r="AR39" s="42">
        <f>IF(AS38=SUP!$B$104,AR38+1,AR38)</f>
        <v>1</v>
      </c>
      <c r="AS39" s="42">
        <f t="shared" si="6"/>
        <v>27</v>
      </c>
    </row>
    <row r="40" spans="1:45">
      <c r="A40" s="42" t="str">
        <f ca="1">IF(LEFT(OFFSET(SUP!$A$57,AS40,0),2)="\I","*","")</f>
        <v/>
      </c>
      <c r="B40" s="440" t="str">
        <f t="shared" ca="1" si="1"/>
        <v>ACT_COST</v>
      </c>
      <c r="C40" s="440" t="str">
        <f ca="1">IF($A40="*","",OFFSET(SUP!$B$57,AS40,0))</f>
        <v>IMPOLP</v>
      </c>
      <c r="D40" s="440" t="str">
        <f t="shared" ca="1" si="7"/>
        <v>-</v>
      </c>
      <c r="E40" s="440" t="str">
        <f t="shared" ca="1" si="7"/>
        <v>-</v>
      </c>
      <c r="F40" s="440" t="str">
        <f t="shared" ca="1" si="7"/>
        <v>-</v>
      </c>
      <c r="G40" s="440" t="str">
        <f t="shared" ca="1" si="7"/>
        <v>-</v>
      </c>
      <c r="H40" s="440" t="str">
        <f t="shared" ca="1" si="5"/>
        <v>-</v>
      </c>
      <c r="I40" s="441">
        <f ca="1">IF(IFERROR(VLOOKUP($C40,SUP!$B$54:$Q$104,MATCH($B40&amp;"-"&amp;I$7,SUP!$B$54:$Q$54,0),FALSE),"")="","",IFERROR(VLOOKUP($C40,SUP!$B$54:$Q$104,MATCH($B40&amp;"-"&amp;I$7,SUP!$B$54:$Q$54,0),FALSE),""))</f>
        <v>0</v>
      </c>
      <c r="J40" s="441">
        <f ca="1">IFERROR(1*IF(IFERROR(VLOOKUP($C40,SUP!$B$54:$Q$104,MATCH($B40&amp;"-"&amp;J$7,SUP!$B$54:$Q$54,0),FALSE),"")="","",IFERROR(VLOOKUP($C40,SUP!$B$54:$Q$104,MATCH($B40&amp;"-"&amp;J$7,SUP!$B$54:$Q$54,0),FALSE),"")),"")</f>
        <v>319.65503107552286</v>
      </c>
      <c r="K40" s="441" t="str">
        <f ca="1">IFERROR(1*IF(IFERROR(VLOOKUP($C40,SUP!$B$54:$Q$104,MATCH($B40&amp;"-"&amp;K$7,SUP!$B$54:$Q$54,0),FALSE),"")="","",IFERROR(VLOOKUP($C40,SUP!$B$54:$Q$104,MATCH($B40&amp;"-"&amp;K$7,SUP!$B$54:$Q$54,0),FALSE),"")),"")</f>
        <v/>
      </c>
      <c r="L40" s="441" t="str">
        <f ca="1">IFERROR(1*IF(IFERROR(VLOOKUP($C40,SUP!$B$54:$Q$104,MATCH($B40&amp;"-"&amp;L$7,SUP!$B$54:$Q$54,0),FALSE),"")="","",IFERROR(VLOOKUP($C40,SUP!$B$54:$Q$104,MATCH($B40&amp;"-"&amp;L$7,SUP!$B$54:$Q$54,0),FALSE),"")),"")</f>
        <v/>
      </c>
      <c r="M40" s="441">
        <f ca="1">IFERROR(1*IF(IFERROR(VLOOKUP($C40,SUP!$B$54:$Q$104,MATCH($B40&amp;"-"&amp;M$7,SUP!$B$54:$Q$54,0),FALSE),"")="","",IFERROR(VLOOKUP($C40,SUP!$B$54:$Q$104,MATCH($B40&amp;"-"&amp;M$7,SUP!$B$54:$Q$54,0),FALSE),"")),"")</f>
        <v>279.11033386004658</v>
      </c>
      <c r="N40" s="441" t="str">
        <f ca="1">IFERROR(1*IF(IFERROR(VLOOKUP($C40,SUP!$B$54:$Q$104,MATCH($B40&amp;"-"&amp;N$7,SUP!$B$54:$Q$54,0),FALSE),"")="","",IFERROR(VLOOKUP($C40,SUP!$B$54:$Q$104,MATCH($B40&amp;"-"&amp;N$7,SUP!$B$54:$Q$54,0),FALSE),"")),"")</f>
        <v/>
      </c>
      <c r="O40" s="441" t="str">
        <f ca="1">IFERROR(1*IF(IFERROR(VLOOKUP($C40,SUP!$B$54:$Q$104,MATCH($B40&amp;"-"&amp;O$7,SUP!$B$54:$Q$54,0),FALSE),"")="","",IFERROR(VLOOKUP($C40,SUP!$B$54:$Q$104,MATCH($B40&amp;"-"&amp;O$7,SUP!$B$54:$Q$54,0),FALSE),"")),"")</f>
        <v/>
      </c>
      <c r="P40" s="441" t="str">
        <f ca="1">IFERROR(1*IF(IFERROR(VLOOKUP($C40,SUP!$B$54:$Q$104,MATCH($B40&amp;"-"&amp;P$7,SUP!$B$54:$Q$54,0),FALSE),"")="","",IFERROR(VLOOKUP($C40,SUP!$B$54:$Q$104,MATCH($B40&amp;"-"&amp;P$7,SUP!$B$54:$Q$54,0),FALSE),"")),"")</f>
        <v/>
      </c>
      <c r="Q40" s="441" t="str">
        <f ca="1">IFERROR(1*IF(IFERROR(VLOOKUP($C40,SUP!$B$54:$Q$104,MATCH($B40&amp;"-"&amp;Q$7,SUP!$B$54:$Q$54,0),FALSE),"")="","",IFERROR(VLOOKUP($C40,SUP!$B$54:$Q$104,MATCH($B40&amp;"-"&amp;Q$7,SUP!$B$54:$Q$54,0),FALSE),"")),"")</f>
        <v/>
      </c>
      <c r="R40" s="441">
        <f ca="1">IFERROR(1*IF(IFERROR(VLOOKUP($C40,SUP!$B$54:$Q$104,MATCH($B40&amp;"-"&amp;R$7,SUP!$B$54:$Q$54,0),FALSE),"")="","",IFERROR(VLOOKUP($C40,SUP!$B$54:$Q$104,MATCH($B40&amp;"-"&amp;R$7,SUP!$B$54:$Q$54,0),FALSE),"")),"")</f>
        <v>293.12018996647748</v>
      </c>
      <c r="S40" s="441" t="str">
        <f ca="1">IFERROR(1*IF(IFERROR(VLOOKUP($C40,SUP!$B$54:$Q$104,MATCH($B40&amp;"-"&amp;S$7,SUP!$B$54:$Q$54,0),FALSE),"")="","",IFERROR(VLOOKUP($C40,SUP!$B$54:$Q$104,MATCH($B40&amp;"-"&amp;S$7,SUP!$B$54:$Q$54,0),FALSE),"")),"")</f>
        <v/>
      </c>
      <c r="T40" s="441" t="str">
        <f ca="1">IFERROR(1*IF(IFERROR(VLOOKUP($C40,SUP!$B$54:$Q$104,MATCH($B40&amp;"-"&amp;T$7,SUP!$B$54:$Q$54,0),FALSE),"")="","",IFERROR(VLOOKUP($C40,SUP!$B$54:$Q$104,MATCH($B40&amp;"-"&amp;T$7,SUP!$B$54:$Q$54,0),FALSE),"")),"")</f>
        <v/>
      </c>
      <c r="U40" s="441" t="str">
        <f ca="1">IFERROR(1*IF(IFERROR(VLOOKUP($C40,SUP!$B$54:$Q$104,MATCH($B40&amp;"-"&amp;U$7,SUP!$B$54:$Q$54,0),FALSE),"")="","",IFERROR(VLOOKUP($C40,SUP!$B$54:$Q$104,MATCH($B40&amp;"-"&amp;U$7,SUP!$B$54:$Q$54,0),FALSE),"")),"")</f>
        <v/>
      </c>
      <c r="V40" s="441" t="str">
        <f ca="1">IFERROR(1*IF(IFERROR(VLOOKUP($C40,SUP!$B$54:$Q$104,MATCH($B40&amp;"-"&amp;V$7,SUP!$B$54:$Q$54,0),FALSE),"")="","",IFERROR(VLOOKUP($C40,SUP!$B$54:$Q$104,MATCH($B40&amp;"-"&amp;V$7,SUP!$B$54:$Q$54,0),FALSE),"")),"")</f>
        <v/>
      </c>
      <c r="W40" s="441" t="str">
        <f ca="1">IFERROR(1*IF(IFERROR(VLOOKUP($C40,SUP!$B$54:$Q$104,MATCH($B40&amp;"-"&amp;W$7,SUP!$B$54:$Q$54,0),FALSE),"")="","",IFERROR(VLOOKUP($C40,SUP!$B$54:$Q$104,MATCH($B40&amp;"-"&amp;W$7,SUP!$B$54:$Q$54,0),FALSE),"")),"")</f>
        <v/>
      </c>
      <c r="X40" s="441" t="str">
        <f ca="1">IFERROR(1*IF(IFERROR(VLOOKUP($C40,SUP!$B$54:$Q$104,MATCH($B40&amp;"-"&amp;X$7,SUP!$B$54:$Q$54,0),FALSE),"")="","",IFERROR(VLOOKUP($C40,SUP!$B$54:$Q$104,MATCH($B40&amp;"-"&amp;X$7,SUP!$B$54:$Q$54,0),FALSE),"")),"")</f>
        <v/>
      </c>
      <c r="Y40" s="441" t="str">
        <f ca="1">IFERROR(1*IF(IFERROR(VLOOKUP($C40,SUP!$B$54:$Q$104,MATCH($B40&amp;"-"&amp;Y$7,SUP!$B$54:$Q$54,0),FALSE),"")="","",IFERROR(VLOOKUP($C40,SUP!$B$54:$Q$104,MATCH($B40&amp;"-"&amp;Y$7,SUP!$B$54:$Q$54,0),FALSE),"")),"")</f>
        <v/>
      </c>
      <c r="Z40" s="441" t="str">
        <f ca="1">IFERROR(1*IF(IFERROR(VLOOKUP($C40,SUP!$B$54:$Q$104,MATCH($B40&amp;"-"&amp;Z$7,SUP!$B$54:$Q$54,0),FALSE),"")="","",IFERROR(VLOOKUP($C40,SUP!$B$54:$Q$104,MATCH($B40&amp;"-"&amp;Z$7,SUP!$B$54:$Q$54,0),FALSE),"")),"")</f>
        <v/>
      </c>
      <c r="AA40" s="441" t="str">
        <f ca="1">IFERROR(1*IF(IFERROR(VLOOKUP($C40,SUP!$B$54:$Q$104,MATCH($B40&amp;"-"&amp;AA$7,SUP!$B$54:$Q$54,0),FALSE),"")="","",IFERROR(VLOOKUP($C40,SUP!$B$54:$Q$104,MATCH($B40&amp;"-"&amp;AA$7,SUP!$B$54:$Q$54,0),FALSE),"")),"")</f>
        <v/>
      </c>
      <c r="AB40" s="441">
        <f ca="1">IFERROR(1*IF(IFERROR(VLOOKUP($C40,SUP!$B$54:$Q$104,MATCH($B40&amp;"-"&amp;AB$7,SUP!$B$54:$Q$54,0),FALSE),"")="","",IFERROR(VLOOKUP($C40,SUP!$B$54:$Q$104,MATCH($B40&amp;"-"&amp;AB$7,SUP!$B$54:$Q$54,0),FALSE),"")),"")</f>
        <v>288.45023793100052</v>
      </c>
      <c r="AC40" s="441" t="str">
        <f ca="1">IFERROR(1*IF(IFERROR(VLOOKUP($C40,SUP!$B$54:$Q$104,MATCH($B40&amp;"-"&amp;AC$7,SUP!$B$54:$Q$54,0),FALSE),"")="","",IFERROR(VLOOKUP($C40,SUP!$B$54:$Q$104,MATCH($B40&amp;"-"&amp;AC$7,SUP!$B$54:$Q$54,0),FALSE),"")),"")</f>
        <v/>
      </c>
      <c r="AD40" s="441" t="str">
        <f ca="1">IFERROR(1*IF(IFERROR(VLOOKUP($C40,SUP!$B$54:$Q$104,MATCH($B40&amp;"-"&amp;AD$7,SUP!$B$54:$Q$54,0),FALSE),"")="","",IFERROR(VLOOKUP($C40,SUP!$B$54:$Q$104,MATCH($B40&amp;"-"&amp;AD$7,SUP!$B$54:$Q$54,0),FALSE),"")),"")</f>
        <v/>
      </c>
      <c r="AE40" s="441" t="str">
        <f ca="1">IFERROR(1*IF(IFERROR(VLOOKUP($C40,SUP!$B$54:$Q$104,MATCH($B40&amp;"-"&amp;AE$7,SUP!$B$54:$Q$54,0),FALSE),"")="","",IFERROR(VLOOKUP($C40,SUP!$B$54:$Q$104,MATCH($B40&amp;"-"&amp;AE$7,SUP!$B$54:$Q$54,0),FALSE),"")),"")</f>
        <v/>
      </c>
      <c r="AF40" s="441" t="str">
        <f ca="1">IFERROR(1*IF(IFERROR(VLOOKUP($C40,SUP!$B$54:$Q$104,MATCH($B40&amp;"-"&amp;AF$7,SUP!$B$54:$Q$54,0),FALSE),"")="","",IFERROR(VLOOKUP($C40,SUP!$B$54:$Q$104,MATCH($B40&amp;"-"&amp;AF$7,SUP!$B$54:$Q$54,0),FALSE),"")),"")</f>
        <v/>
      </c>
      <c r="AG40" s="441" t="str">
        <f ca="1">IFERROR(1*IF(IFERROR(VLOOKUP($C40,SUP!$B$54:$Q$104,MATCH($B40&amp;"-"&amp;AG$7,SUP!$B$54:$Q$54,0),FALSE),"")="","",IFERROR(VLOOKUP($C40,SUP!$B$54:$Q$104,MATCH($B40&amp;"-"&amp;AG$7,SUP!$B$54:$Q$54,0),FALSE),"")),"")</f>
        <v/>
      </c>
      <c r="AH40" s="441" t="str">
        <f ca="1">IFERROR(1*IF(IFERROR(VLOOKUP($C40,SUP!$B$54:$Q$104,MATCH($B40&amp;"-"&amp;AH$7,SUP!$B$54:$Q$54,0),FALSE),"")="","",IFERROR(VLOOKUP($C40,SUP!$B$54:$Q$104,MATCH($B40&amp;"-"&amp;AH$7,SUP!$B$54:$Q$54,0),FALSE),"")),"")</f>
        <v/>
      </c>
      <c r="AI40" s="441" t="str">
        <f ca="1">IFERROR(1*IF(IFERROR(VLOOKUP($C40,SUP!$B$54:$Q$104,MATCH($B40&amp;"-"&amp;AI$7,SUP!$B$54:$Q$54,0),FALSE),"")="","",IFERROR(VLOOKUP($C40,SUP!$B$54:$Q$104,MATCH($B40&amp;"-"&amp;AI$7,SUP!$B$54:$Q$54,0),FALSE),"")),"")</f>
        <v/>
      </c>
      <c r="AJ40" s="441" t="str">
        <f ca="1">IFERROR(1*IF(IFERROR(VLOOKUP($C40,SUP!$B$54:$Q$104,MATCH($B40&amp;"-"&amp;AJ$7,SUP!$B$54:$Q$54,0),FALSE),"")="","",IFERROR(VLOOKUP($C40,SUP!$B$54:$Q$104,MATCH($B40&amp;"-"&amp;AJ$7,SUP!$B$54:$Q$54,0),FALSE),"")),"")</f>
        <v/>
      </c>
      <c r="AK40" s="441" t="str">
        <f ca="1">IFERROR(1*IF(IFERROR(VLOOKUP($C40,SUP!$B$54:$Q$104,MATCH($B40&amp;"-"&amp;AK$7,SUP!$B$54:$Q$54,0),FALSE),"")="","",IFERROR(VLOOKUP($C40,SUP!$B$54:$Q$104,MATCH($B40&amp;"-"&amp;AK$7,SUP!$B$54:$Q$54,0),FALSE),"")),"")</f>
        <v/>
      </c>
      <c r="AL40" s="441" t="str">
        <f ca="1">IFERROR(1*IF(IFERROR(VLOOKUP($C40,SUP!$B$54:$Q$104,MATCH($B40&amp;"-"&amp;AL$7,SUP!$B$54:$Q$54,0),FALSE),"")="","",IFERROR(VLOOKUP($C40,SUP!$B$54:$Q$104,MATCH($B40&amp;"-"&amp;AL$7,SUP!$B$54:$Q$54,0),FALSE),"")),"")</f>
        <v/>
      </c>
      <c r="AM40" s="441" t="str">
        <f ca="1">IFERROR(1*IF(IFERROR(VLOOKUP($C40,SUP!$B$54:$Q$104,MATCH($B40&amp;"-"&amp;AM$7,SUP!$B$54:$Q$54,0),FALSE),"")="","",IFERROR(VLOOKUP($C40,SUP!$B$54:$Q$104,MATCH($B40&amp;"-"&amp;AM$7,SUP!$B$54:$Q$54,0),FALSE),"")),"")</f>
        <v/>
      </c>
      <c r="AN40" s="441">
        <f ca="1">IFERROR(1*IF(IFERROR(VLOOKUP($C40,SUP!$B$54:$Q$104,MATCH($B40&amp;"-"&amp;AN$7,SUP!$B$54:$Q$54,0),FALSE),"")="","",IFERROR(VLOOKUP($C40,SUP!$B$54:$Q$104,MATCH($B40&amp;"-"&amp;AN$7,SUP!$B$54:$Q$54,0),FALSE),"")),"")</f>
        <v>277.77606184991026</v>
      </c>
      <c r="AO40" s="441" t="str">
        <f ca="1">IFERROR(1*IF(IFERROR(VLOOKUP($C40,SUP!$B$54:$Q$104,MATCH($B40&amp;"-"&amp;AO$7,SUP!$B$54:$Q$54,0),FALSE),"")="","",IFERROR(VLOOKUP($C40,SUP!$B$54:$Q$104,MATCH($B40&amp;"-"&amp;AO$7,SUP!$B$54:$Q$54,0),FALSE),"")),"")</f>
        <v/>
      </c>
      <c r="AR40" s="42">
        <f>IF(AS39=SUP!$B$104,AR39+1,AR39)</f>
        <v>1</v>
      </c>
      <c r="AS40" s="42">
        <f t="shared" si="6"/>
        <v>28</v>
      </c>
    </row>
    <row r="41" spans="1:45">
      <c r="A41" s="42" t="str">
        <f ca="1">IF(LEFT(OFFSET(SUP!$A$57,AS41,0),2)="\I","*","")</f>
        <v/>
      </c>
      <c r="B41" s="440" t="str">
        <f t="shared" ca="1" si="1"/>
        <v>ACT_COST</v>
      </c>
      <c r="C41" s="440" t="str">
        <f ca="1">IF($A41="*","",OFFSET(SUP!$B$57,AS41,0))</f>
        <v>IMPOKE</v>
      </c>
      <c r="D41" s="440" t="str">
        <f t="shared" ca="1" si="7"/>
        <v>-</v>
      </c>
      <c r="E41" s="440" t="str">
        <f t="shared" ca="1" si="7"/>
        <v>-</v>
      </c>
      <c r="F41" s="440" t="str">
        <f t="shared" ca="1" si="7"/>
        <v>-</v>
      </c>
      <c r="G41" s="440" t="str">
        <f t="shared" ca="1" si="7"/>
        <v>-</v>
      </c>
      <c r="H41" s="440" t="str">
        <f t="shared" ca="1" si="5"/>
        <v>-</v>
      </c>
      <c r="I41" s="441">
        <f ca="1">IF(IFERROR(VLOOKUP($C41,SUP!$B$54:$Q$104,MATCH($B41&amp;"-"&amp;I$7,SUP!$B$54:$Q$54,0),FALSE),"")="","",IFERROR(VLOOKUP($C41,SUP!$B$54:$Q$104,MATCH($B41&amp;"-"&amp;I$7,SUP!$B$54:$Q$54,0),FALSE),""))</f>
        <v>0</v>
      </c>
      <c r="J41" s="441">
        <f ca="1">IFERROR(1*IF(IFERROR(VLOOKUP($C41,SUP!$B$54:$Q$104,MATCH($B41&amp;"-"&amp;J$7,SUP!$B$54:$Q$54,0),FALSE),"")="","",IFERROR(VLOOKUP($C41,SUP!$B$54:$Q$104,MATCH($B41&amp;"-"&amp;J$7,SUP!$B$54:$Q$54,0),FALSE),"")),"")</f>
        <v>177.62067879320267</v>
      </c>
      <c r="K41" s="441" t="str">
        <f ca="1">IFERROR(1*IF(IFERROR(VLOOKUP($C41,SUP!$B$54:$Q$104,MATCH($B41&amp;"-"&amp;K$7,SUP!$B$54:$Q$54,0),FALSE),"")="","",IFERROR(VLOOKUP($C41,SUP!$B$54:$Q$104,MATCH($B41&amp;"-"&amp;K$7,SUP!$B$54:$Q$54,0),FALSE),"")),"")</f>
        <v/>
      </c>
      <c r="L41" s="441" t="str">
        <f ca="1">IFERROR(1*IF(IFERROR(VLOOKUP($C41,SUP!$B$54:$Q$104,MATCH($B41&amp;"-"&amp;L$7,SUP!$B$54:$Q$54,0),FALSE),"")="","",IFERROR(VLOOKUP($C41,SUP!$B$54:$Q$104,MATCH($B41&amp;"-"&amp;L$7,SUP!$B$54:$Q$54,0),FALSE),"")),"")</f>
        <v/>
      </c>
      <c r="M41" s="441">
        <f ca="1">IFERROR(1*IF(IFERROR(VLOOKUP($C41,SUP!$B$54:$Q$104,MATCH($B41&amp;"-"&amp;M$7,SUP!$B$54:$Q$54,0),FALSE),"")="","",IFERROR(VLOOKUP($C41,SUP!$B$54:$Q$104,MATCH($B41&amp;"-"&amp;M$7,SUP!$B$54:$Q$54,0),FALSE),"")),"")</f>
        <v>130.76519298631914</v>
      </c>
      <c r="N41" s="441" t="str">
        <f ca="1">IFERROR(1*IF(IFERROR(VLOOKUP($C41,SUP!$B$54:$Q$104,MATCH($B41&amp;"-"&amp;N$7,SUP!$B$54:$Q$54,0),FALSE),"")="","",IFERROR(VLOOKUP($C41,SUP!$B$54:$Q$104,MATCH($B41&amp;"-"&amp;N$7,SUP!$B$54:$Q$54,0),FALSE),"")),"")</f>
        <v/>
      </c>
      <c r="O41" s="441" t="str">
        <f ca="1">IFERROR(1*IF(IFERROR(VLOOKUP($C41,SUP!$B$54:$Q$104,MATCH($B41&amp;"-"&amp;O$7,SUP!$B$54:$Q$54,0),FALSE),"")="","",IFERROR(VLOOKUP($C41,SUP!$B$54:$Q$104,MATCH($B41&amp;"-"&amp;O$7,SUP!$B$54:$Q$54,0),FALSE),"")),"")</f>
        <v/>
      </c>
      <c r="P41" s="441" t="str">
        <f ca="1">IFERROR(1*IF(IFERROR(VLOOKUP($C41,SUP!$B$54:$Q$104,MATCH($B41&amp;"-"&amp;P$7,SUP!$B$54:$Q$54,0),FALSE),"")="","",IFERROR(VLOOKUP($C41,SUP!$B$54:$Q$104,MATCH($B41&amp;"-"&amp;P$7,SUP!$B$54:$Q$54,0),FALSE),"")),"")</f>
        <v/>
      </c>
      <c r="Q41" s="441" t="str">
        <f ca="1">IFERROR(1*IF(IFERROR(VLOOKUP($C41,SUP!$B$54:$Q$104,MATCH($B41&amp;"-"&amp;Q$7,SUP!$B$54:$Q$54,0),FALSE),"")="","",IFERROR(VLOOKUP($C41,SUP!$B$54:$Q$104,MATCH($B41&amp;"-"&amp;Q$7,SUP!$B$54:$Q$54,0),FALSE),"")),"")</f>
        <v/>
      </c>
      <c r="R41" s="441">
        <f ca="1">IFERROR(1*IF(IFERROR(VLOOKUP($C41,SUP!$B$54:$Q$104,MATCH($B41&amp;"-"&amp;R$7,SUP!$B$54:$Q$54,0),FALSE),"")="","",IFERROR(VLOOKUP($C41,SUP!$B$54:$Q$104,MATCH($B41&amp;"-"&amp;R$7,SUP!$B$54:$Q$54,0),FALSE),"")),"")</f>
        <v>146.95568543130369</v>
      </c>
      <c r="S41" s="441" t="str">
        <f ca="1">IFERROR(1*IF(IFERROR(VLOOKUP($C41,SUP!$B$54:$Q$104,MATCH($B41&amp;"-"&amp;S$7,SUP!$B$54:$Q$54,0),FALSE),"")="","",IFERROR(VLOOKUP($C41,SUP!$B$54:$Q$104,MATCH($B41&amp;"-"&amp;S$7,SUP!$B$54:$Q$54,0),FALSE),"")),"")</f>
        <v/>
      </c>
      <c r="T41" s="441" t="str">
        <f ca="1">IFERROR(1*IF(IFERROR(VLOOKUP($C41,SUP!$B$54:$Q$104,MATCH($B41&amp;"-"&amp;T$7,SUP!$B$54:$Q$54,0),FALSE),"")="","",IFERROR(VLOOKUP($C41,SUP!$B$54:$Q$104,MATCH($B41&amp;"-"&amp;T$7,SUP!$B$54:$Q$54,0),FALSE),"")),"")</f>
        <v/>
      </c>
      <c r="U41" s="441" t="str">
        <f ca="1">IFERROR(1*IF(IFERROR(VLOOKUP($C41,SUP!$B$54:$Q$104,MATCH($B41&amp;"-"&amp;U$7,SUP!$B$54:$Q$54,0),FALSE),"")="","",IFERROR(VLOOKUP($C41,SUP!$B$54:$Q$104,MATCH($B41&amp;"-"&amp;U$7,SUP!$B$54:$Q$54,0),FALSE),"")),"")</f>
        <v/>
      </c>
      <c r="V41" s="441" t="str">
        <f ca="1">IFERROR(1*IF(IFERROR(VLOOKUP($C41,SUP!$B$54:$Q$104,MATCH($B41&amp;"-"&amp;V$7,SUP!$B$54:$Q$54,0),FALSE),"")="","",IFERROR(VLOOKUP($C41,SUP!$B$54:$Q$104,MATCH($B41&amp;"-"&amp;V$7,SUP!$B$54:$Q$54,0),FALSE),"")),"")</f>
        <v/>
      </c>
      <c r="W41" s="441" t="str">
        <f ca="1">IFERROR(1*IF(IFERROR(VLOOKUP($C41,SUP!$B$54:$Q$104,MATCH($B41&amp;"-"&amp;W$7,SUP!$B$54:$Q$54,0),FALSE),"")="","",IFERROR(VLOOKUP($C41,SUP!$B$54:$Q$104,MATCH($B41&amp;"-"&amp;W$7,SUP!$B$54:$Q$54,0),FALSE),"")),"")</f>
        <v/>
      </c>
      <c r="X41" s="441" t="str">
        <f ca="1">IFERROR(1*IF(IFERROR(VLOOKUP($C41,SUP!$B$54:$Q$104,MATCH($B41&amp;"-"&amp;X$7,SUP!$B$54:$Q$54,0),FALSE),"")="","",IFERROR(VLOOKUP($C41,SUP!$B$54:$Q$104,MATCH($B41&amp;"-"&amp;X$7,SUP!$B$54:$Q$54,0),FALSE),"")),"")</f>
        <v/>
      </c>
      <c r="Y41" s="441" t="str">
        <f ca="1">IFERROR(1*IF(IFERROR(VLOOKUP($C41,SUP!$B$54:$Q$104,MATCH($B41&amp;"-"&amp;Y$7,SUP!$B$54:$Q$54,0),FALSE),"")="","",IFERROR(VLOOKUP($C41,SUP!$B$54:$Q$104,MATCH($B41&amp;"-"&amp;Y$7,SUP!$B$54:$Q$54,0),FALSE),"")),"")</f>
        <v/>
      </c>
      <c r="Z41" s="441" t="str">
        <f ca="1">IFERROR(1*IF(IFERROR(VLOOKUP($C41,SUP!$B$54:$Q$104,MATCH($B41&amp;"-"&amp;Z$7,SUP!$B$54:$Q$54,0),FALSE),"")="","",IFERROR(VLOOKUP($C41,SUP!$B$54:$Q$104,MATCH($B41&amp;"-"&amp;Z$7,SUP!$B$54:$Q$54,0),FALSE),"")),"")</f>
        <v/>
      </c>
      <c r="AA41" s="441" t="str">
        <f ca="1">IFERROR(1*IF(IFERROR(VLOOKUP($C41,SUP!$B$54:$Q$104,MATCH($B41&amp;"-"&amp;AA$7,SUP!$B$54:$Q$54,0),FALSE),"")="","",IFERROR(VLOOKUP($C41,SUP!$B$54:$Q$104,MATCH($B41&amp;"-"&amp;AA$7,SUP!$B$54:$Q$54,0),FALSE),"")),"")</f>
        <v/>
      </c>
      <c r="AB41" s="441">
        <f ca="1">IFERROR(1*IF(IFERROR(VLOOKUP($C41,SUP!$B$54:$Q$104,MATCH($B41&amp;"-"&amp;AB$7,SUP!$B$54:$Q$54,0),FALSE),"")="","",IFERROR(VLOOKUP($C41,SUP!$B$54:$Q$104,MATCH($B41&amp;"-"&amp;AB$7,SUP!$B$54:$Q$54,0),FALSE),"")),"")</f>
        <v>141.55885461630882</v>
      </c>
      <c r="AC41" s="441" t="str">
        <f ca="1">IFERROR(1*IF(IFERROR(VLOOKUP($C41,SUP!$B$54:$Q$104,MATCH($B41&amp;"-"&amp;AC$7,SUP!$B$54:$Q$54,0),FALSE),"")="","",IFERROR(VLOOKUP($C41,SUP!$B$54:$Q$104,MATCH($B41&amp;"-"&amp;AC$7,SUP!$B$54:$Q$54,0),FALSE),"")),"")</f>
        <v/>
      </c>
      <c r="AD41" s="441" t="str">
        <f ca="1">IFERROR(1*IF(IFERROR(VLOOKUP($C41,SUP!$B$54:$Q$104,MATCH($B41&amp;"-"&amp;AD$7,SUP!$B$54:$Q$54,0),FALSE),"")="","",IFERROR(VLOOKUP($C41,SUP!$B$54:$Q$104,MATCH($B41&amp;"-"&amp;AD$7,SUP!$B$54:$Q$54,0),FALSE),"")),"")</f>
        <v/>
      </c>
      <c r="AE41" s="441" t="str">
        <f ca="1">IFERROR(1*IF(IFERROR(VLOOKUP($C41,SUP!$B$54:$Q$104,MATCH($B41&amp;"-"&amp;AE$7,SUP!$B$54:$Q$54,0),FALSE),"")="","",IFERROR(VLOOKUP($C41,SUP!$B$54:$Q$104,MATCH($B41&amp;"-"&amp;AE$7,SUP!$B$54:$Q$54,0),FALSE),"")),"")</f>
        <v/>
      </c>
      <c r="AF41" s="441" t="str">
        <f ca="1">IFERROR(1*IF(IFERROR(VLOOKUP($C41,SUP!$B$54:$Q$104,MATCH($B41&amp;"-"&amp;AF$7,SUP!$B$54:$Q$54,0),FALSE),"")="","",IFERROR(VLOOKUP($C41,SUP!$B$54:$Q$104,MATCH($B41&amp;"-"&amp;AF$7,SUP!$B$54:$Q$54,0),FALSE),"")),"")</f>
        <v/>
      </c>
      <c r="AG41" s="441" t="str">
        <f ca="1">IFERROR(1*IF(IFERROR(VLOOKUP($C41,SUP!$B$54:$Q$104,MATCH($B41&amp;"-"&amp;AG$7,SUP!$B$54:$Q$54,0),FALSE),"")="","",IFERROR(VLOOKUP($C41,SUP!$B$54:$Q$104,MATCH($B41&amp;"-"&amp;AG$7,SUP!$B$54:$Q$54,0),FALSE),"")),"")</f>
        <v/>
      </c>
      <c r="AH41" s="441" t="str">
        <f ca="1">IFERROR(1*IF(IFERROR(VLOOKUP($C41,SUP!$B$54:$Q$104,MATCH($B41&amp;"-"&amp;AH$7,SUP!$B$54:$Q$54,0),FALSE),"")="","",IFERROR(VLOOKUP($C41,SUP!$B$54:$Q$104,MATCH($B41&amp;"-"&amp;AH$7,SUP!$B$54:$Q$54,0),FALSE),"")),"")</f>
        <v/>
      </c>
      <c r="AI41" s="441" t="str">
        <f ca="1">IFERROR(1*IF(IFERROR(VLOOKUP($C41,SUP!$B$54:$Q$104,MATCH($B41&amp;"-"&amp;AI$7,SUP!$B$54:$Q$54,0),FALSE),"")="","",IFERROR(VLOOKUP($C41,SUP!$B$54:$Q$104,MATCH($B41&amp;"-"&amp;AI$7,SUP!$B$54:$Q$54,0),FALSE),"")),"")</f>
        <v/>
      </c>
      <c r="AJ41" s="441" t="str">
        <f ca="1">IFERROR(1*IF(IFERROR(VLOOKUP($C41,SUP!$B$54:$Q$104,MATCH($B41&amp;"-"&amp;AJ$7,SUP!$B$54:$Q$54,0),FALSE),"")="","",IFERROR(VLOOKUP($C41,SUP!$B$54:$Q$104,MATCH($B41&amp;"-"&amp;AJ$7,SUP!$B$54:$Q$54,0),FALSE),"")),"")</f>
        <v/>
      </c>
      <c r="AK41" s="441" t="str">
        <f ca="1">IFERROR(1*IF(IFERROR(VLOOKUP($C41,SUP!$B$54:$Q$104,MATCH($B41&amp;"-"&amp;AK$7,SUP!$B$54:$Q$54,0),FALSE),"")="","",IFERROR(VLOOKUP($C41,SUP!$B$54:$Q$104,MATCH($B41&amp;"-"&amp;AK$7,SUP!$B$54:$Q$54,0),FALSE),"")),"")</f>
        <v/>
      </c>
      <c r="AL41" s="441" t="str">
        <f ca="1">IFERROR(1*IF(IFERROR(VLOOKUP($C41,SUP!$B$54:$Q$104,MATCH($B41&amp;"-"&amp;AL$7,SUP!$B$54:$Q$54,0),FALSE),"")="","",IFERROR(VLOOKUP($C41,SUP!$B$54:$Q$104,MATCH($B41&amp;"-"&amp;AL$7,SUP!$B$54:$Q$54,0),FALSE),"")),"")</f>
        <v/>
      </c>
      <c r="AM41" s="441" t="str">
        <f ca="1">IFERROR(1*IF(IFERROR(VLOOKUP($C41,SUP!$B$54:$Q$104,MATCH($B41&amp;"-"&amp;AM$7,SUP!$B$54:$Q$54,0),FALSE),"")="","",IFERROR(VLOOKUP($C41,SUP!$B$54:$Q$104,MATCH($B41&amp;"-"&amp;AM$7,SUP!$B$54:$Q$54,0),FALSE),"")),"")</f>
        <v/>
      </c>
      <c r="AN41" s="441">
        <f ca="1">IFERROR(1*IF(IFERROR(VLOOKUP($C41,SUP!$B$54:$Q$104,MATCH($B41&amp;"-"&amp;AN$7,SUP!$B$54:$Q$54,0),FALSE),"")="","",IFERROR(VLOOKUP($C41,SUP!$B$54:$Q$104,MATCH($B41&amp;"-"&amp;AN$7,SUP!$B$54:$Q$54,0),FALSE),"")),"")</f>
        <v>129.22324132489203</v>
      </c>
      <c r="AO41" s="441" t="str">
        <f ca="1">IFERROR(1*IF(IFERROR(VLOOKUP($C41,SUP!$B$54:$Q$104,MATCH($B41&amp;"-"&amp;AO$7,SUP!$B$54:$Q$54,0),FALSE),"")="","",IFERROR(VLOOKUP($C41,SUP!$B$54:$Q$104,MATCH($B41&amp;"-"&amp;AO$7,SUP!$B$54:$Q$54,0),FALSE),"")),"")</f>
        <v/>
      </c>
      <c r="AR41" s="42">
        <f>IF(AS40=SUP!$B$104,AR40+1,AR40)</f>
        <v>1</v>
      </c>
      <c r="AS41" s="42">
        <f t="shared" si="6"/>
        <v>29</v>
      </c>
    </row>
    <row r="42" spans="1:45">
      <c r="A42" s="42" t="str">
        <f ca="1">IF(LEFT(OFFSET(SUP!$A$57,AS42,0),2)="\I","*","")</f>
        <v/>
      </c>
      <c r="B42" s="440" t="str">
        <f t="shared" ca="1" si="1"/>
        <v>ACT_COST</v>
      </c>
      <c r="C42" s="440" t="str">
        <f ca="1">IF($A42="*","",OFFSET(SUP!$B$57,AS42,0))</f>
        <v>IMPBID</v>
      </c>
      <c r="D42" s="440" t="str">
        <f t="shared" ca="1" si="7"/>
        <v>-</v>
      </c>
      <c r="E42" s="440" t="str">
        <f t="shared" ca="1" si="7"/>
        <v>-</v>
      </c>
      <c r="F42" s="440" t="str">
        <f t="shared" ca="1" si="7"/>
        <v>-</v>
      </c>
      <c r="G42" s="440" t="str">
        <f t="shared" ca="1" si="7"/>
        <v>-</v>
      </c>
      <c r="H42" s="440" t="str">
        <f t="shared" ca="1" si="5"/>
        <v>-</v>
      </c>
      <c r="I42" s="441">
        <f ca="1">IF(IFERROR(VLOOKUP($C42,SUP!$B$54:$Q$104,MATCH($B42&amp;"-"&amp;I$7,SUP!$B$54:$Q$54,0),FALSE),"")="","",IFERROR(VLOOKUP($C42,SUP!$B$54:$Q$104,MATCH($B42&amp;"-"&amp;I$7,SUP!$B$54:$Q$54,0),FALSE),""))</f>
        <v>0</v>
      </c>
      <c r="J42" s="441">
        <f ca="1">IFERROR(1*IF(IFERROR(VLOOKUP($C42,SUP!$B$54:$Q$104,MATCH($B42&amp;"-"&amp;J$7,SUP!$B$54:$Q$54,0),FALSE),"")="","",IFERROR(VLOOKUP($C42,SUP!$B$54:$Q$104,MATCH($B42&amp;"-"&amp;J$7,SUP!$B$54:$Q$54,0),FALSE),"")),"")</f>
        <v>177.36446262533187</v>
      </c>
      <c r="K42" s="441" t="str">
        <f ca="1">IFERROR(1*IF(IFERROR(VLOOKUP($C42,SUP!$B$54:$Q$104,MATCH($B42&amp;"-"&amp;K$7,SUP!$B$54:$Q$54,0),FALSE),"")="","",IFERROR(VLOOKUP($C42,SUP!$B$54:$Q$104,MATCH($B42&amp;"-"&amp;K$7,SUP!$B$54:$Q$54,0),FALSE),"")),"")</f>
        <v/>
      </c>
      <c r="L42" s="441" t="str">
        <f ca="1">IFERROR(1*IF(IFERROR(VLOOKUP($C42,SUP!$B$54:$Q$104,MATCH($B42&amp;"-"&amp;L$7,SUP!$B$54:$Q$54,0),FALSE),"")="","",IFERROR(VLOOKUP($C42,SUP!$B$54:$Q$104,MATCH($B42&amp;"-"&amp;L$7,SUP!$B$54:$Q$54,0),FALSE),"")),"")</f>
        <v/>
      </c>
      <c r="M42" s="441">
        <f ca="1">IFERROR(1*IF(IFERROR(VLOOKUP($C42,SUP!$B$54:$Q$104,MATCH($B42&amp;"-"&amp;M$7,SUP!$B$54:$Q$54,0),FALSE),"")="","",IFERROR(VLOOKUP($C42,SUP!$B$54:$Q$104,MATCH($B42&amp;"-"&amp;M$7,SUP!$B$54:$Q$54,0),FALSE),"")),"")</f>
        <v>125.88022133069603</v>
      </c>
      <c r="N42" s="441" t="str">
        <f ca="1">IFERROR(1*IF(IFERROR(VLOOKUP($C42,SUP!$B$54:$Q$104,MATCH($B42&amp;"-"&amp;N$7,SUP!$B$54:$Q$54,0),FALSE),"")="","",IFERROR(VLOOKUP($C42,SUP!$B$54:$Q$104,MATCH($B42&amp;"-"&amp;N$7,SUP!$B$54:$Q$54,0),FALSE),"")),"")</f>
        <v/>
      </c>
      <c r="O42" s="441" t="str">
        <f ca="1">IFERROR(1*IF(IFERROR(VLOOKUP($C42,SUP!$B$54:$Q$104,MATCH($B42&amp;"-"&amp;O$7,SUP!$B$54:$Q$54,0),FALSE),"")="","",IFERROR(VLOOKUP($C42,SUP!$B$54:$Q$104,MATCH($B42&amp;"-"&amp;O$7,SUP!$B$54:$Q$54,0),FALSE),"")),"")</f>
        <v/>
      </c>
      <c r="P42" s="441" t="str">
        <f ca="1">IFERROR(1*IF(IFERROR(VLOOKUP($C42,SUP!$B$54:$Q$104,MATCH($B42&amp;"-"&amp;P$7,SUP!$B$54:$Q$54,0),FALSE),"")="","",IFERROR(VLOOKUP($C42,SUP!$B$54:$Q$104,MATCH($B42&amp;"-"&amp;P$7,SUP!$B$54:$Q$54,0),FALSE),"")),"")</f>
        <v/>
      </c>
      <c r="Q42" s="441" t="str">
        <f ca="1">IFERROR(1*IF(IFERROR(VLOOKUP($C42,SUP!$B$54:$Q$104,MATCH($B42&amp;"-"&amp;Q$7,SUP!$B$54:$Q$54,0),FALSE),"")="","",IFERROR(VLOOKUP($C42,SUP!$B$54:$Q$104,MATCH($B42&amp;"-"&amp;Q$7,SUP!$B$54:$Q$54,0),FALSE),"")),"")</f>
        <v/>
      </c>
      <c r="R42" s="441">
        <f ca="1">IFERROR(1*IF(IFERROR(VLOOKUP($C42,SUP!$B$54:$Q$104,MATCH($B42&amp;"-"&amp;R$7,SUP!$B$54:$Q$54,0),FALSE),"")="","",IFERROR(VLOOKUP($C42,SUP!$B$54:$Q$104,MATCH($B42&amp;"-"&amp;R$7,SUP!$B$54:$Q$54,0),FALSE),"")),"")</f>
        <v>144.02665854800659</v>
      </c>
      <c r="S42" s="441" t="str">
        <f ca="1">IFERROR(1*IF(IFERROR(VLOOKUP($C42,SUP!$B$54:$Q$104,MATCH($B42&amp;"-"&amp;S$7,SUP!$B$54:$Q$54,0),FALSE),"")="","",IFERROR(VLOOKUP($C42,SUP!$B$54:$Q$104,MATCH($B42&amp;"-"&amp;S$7,SUP!$B$54:$Q$54,0),FALSE),"")),"")</f>
        <v/>
      </c>
      <c r="T42" s="441" t="str">
        <f ca="1">IFERROR(1*IF(IFERROR(VLOOKUP($C42,SUP!$B$54:$Q$104,MATCH($B42&amp;"-"&amp;T$7,SUP!$B$54:$Q$54,0),FALSE),"")="","",IFERROR(VLOOKUP($C42,SUP!$B$54:$Q$104,MATCH($B42&amp;"-"&amp;T$7,SUP!$B$54:$Q$54,0),FALSE),"")),"")</f>
        <v/>
      </c>
      <c r="U42" s="441" t="str">
        <f ca="1">IFERROR(1*IF(IFERROR(VLOOKUP($C42,SUP!$B$54:$Q$104,MATCH($B42&amp;"-"&amp;U$7,SUP!$B$54:$Q$54,0),FALSE),"")="","",IFERROR(VLOOKUP($C42,SUP!$B$54:$Q$104,MATCH($B42&amp;"-"&amp;U$7,SUP!$B$54:$Q$54,0),FALSE),"")),"")</f>
        <v/>
      </c>
      <c r="V42" s="441" t="str">
        <f ca="1">IFERROR(1*IF(IFERROR(VLOOKUP($C42,SUP!$B$54:$Q$104,MATCH($B42&amp;"-"&amp;V$7,SUP!$B$54:$Q$54,0),FALSE),"")="","",IFERROR(VLOOKUP($C42,SUP!$B$54:$Q$104,MATCH($B42&amp;"-"&amp;V$7,SUP!$B$54:$Q$54,0),FALSE),"")),"")</f>
        <v/>
      </c>
      <c r="W42" s="441" t="str">
        <f ca="1">IFERROR(1*IF(IFERROR(VLOOKUP($C42,SUP!$B$54:$Q$104,MATCH($B42&amp;"-"&amp;W$7,SUP!$B$54:$Q$54,0),FALSE),"")="","",IFERROR(VLOOKUP($C42,SUP!$B$54:$Q$104,MATCH($B42&amp;"-"&amp;W$7,SUP!$B$54:$Q$54,0),FALSE),"")),"")</f>
        <v/>
      </c>
      <c r="X42" s="441" t="str">
        <f ca="1">IFERROR(1*IF(IFERROR(VLOOKUP($C42,SUP!$B$54:$Q$104,MATCH($B42&amp;"-"&amp;X$7,SUP!$B$54:$Q$54,0),FALSE),"")="","",IFERROR(VLOOKUP($C42,SUP!$B$54:$Q$104,MATCH($B42&amp;"-"&amp;X$7,SUP!$B$54:$Q$54,0),FALSE),"")),"")</f>
        <v/>
      </c>
      <c r="Y42" s="441" t="str">
        <f ca="1">IFERROR(1*IF(IFERROR(VLOOKUP($C42,SUP!$B$54:$Q$104,MATCH($B42&amp;"-"&amp;Y$7,SUP!$B$54:$Q$54,0),FALSE),"")="","",IFERROR(VLOOKUP($C42,SUP!$B$54:$Q$104,MATCH($B42&amp;"-"&amp;Y$7,SUP!$B$54:$Q$54,0),FALSE),"")),"")</f>
        <v/>
      </c>
      <c r="Z42" s="441" t="str">
        <f ca="1">IFERROR(1*IF(IFERROR(VLOOKUP($C42,SUP!$B$54:$Q$104,MATCH($B42&amp;"-"&amp;Z$7,SUP!$B$54:$Q$54,0),FALSE),"")="","",IFERROR(VLOOKUP($C42,SUP!$B$54:$Q$104,MATCH($B42&amp;"-"&amp;Z$7,SUP!$B$54:$Q$54,0),FALSE),"")),"")</f>
        <v/>
      </c>
      <c r="AA42" s="441" t="str">
        <f ca="1">IFERROR(1*IF(IFERROR(VLOOKUP($C42,SUP!$B$54:$Q$104,MATCH($B42&amp;"-"&amp;AA$7,SUP!$B$54:$Q$54,0),FALSE),"")="","",IFERROR(VLOOKUP($C42,SUP!$B$54:$Q$104,MATCH($B42&amp;"-"&amp;AA$7,SUP!$B$54:$Q$54,0),FALSE),"")),"")</f>
        <v/>
      </c>
      <c r="AB42" s="441">
        <f ca="1">IFERROR(1*IF(IFERROR(VLOOKUP($C42,SUP!$B$54:$Q$104,MATCH($B42&amp;"-"&amp;AB$7,SUP!$B$54:$Q$54,0),FALSE),"")="","",IFERROR(VLOOKUP($C42,SUP!$B$54:$Q$104,MATCH($B42&amp;"-"&amp;AB$7,SUP!$B$54:$Q$54,0),FALSE),"")),"")</f>
        <v>138.15943117817068</v>
      </c>
      <c r="AC42" s="441" t="str">
        <f ca="1">IFERROR(1*IF(IFERROR(VLOOKUP($C42,SUP!$B$54:$Q$104,MATCH($B42&amp;"-"&amp;AC$7,SUP!$B$54:$Q$54,0),FALSE),"")="","",IFERROR(VLOOKUP($C42,SUP!$B$54:$Q$104,MATCH($B42&amp;"-"&amp;AC$7,SUP!$B$54:$Q$54,0),FALSE),"")),"")</f>
        <v/>
      </c>
      <c r="AD42" s="441" t="str">
        <f ca="1">IFERROR(1*IF(IFERROR(VLOOKUP($C42,SUP!$B$54:$Q$104,MATCH($B42&amp;"-"&amp;AD$7,SUP!$B$54:$Q$54,0),FALSE),"")="","",IFERROR(VLOOKUP($C42,SUP!$B$54:$Q$104,MATCH($B42&amp;"-"&amp;AD$7,SUP!$B$54:$Q$54,0),FALSE),"")),"")</f>
        <v/>
      </c>
      <c r="AE42" s="441" t="str">
        <f ca="1">IFERROR(1*IF(IFERROR(VLOOKUP($C42,SUP!$B$54:$Q$104,MATCH($B42&amp;"-"&amp;AE$7,SUP!$B$54:$Q$54,0),FALSE),"")="","",IFERROR(VLOOKUP($C42,SUP!$B$54:$Q$104,MATCH($B42&amp;"-"&amp;AE$7,SUP!$B$54:$Q$54,0),FALSE),"")),"")</f>
        <v/>
      </c>
      <c r="AF42" s="441" t="str">
        <f ca="1">IFERROR(1*IF(IFERROR(VLOOKUP($C42,SUP!$B$54:$Q$104,MATCH($B42&amp;"-"&amp;AF$7,SUP!$B$54:$Q$54,0),FALSE),"")="","",IFERROR(VLOOKUP($C42,SUP!$B$54:$Q$104,MATCH($B42&amp;"-"&amp;AF$7,SUP!$B$54:$Q$54,0),FALSE),"")),"")</f>
        <v/>
      </c>
      <c r="AG42" s="441" t="str">
        <f ca="1">IFERROR(1*IF(IFERROR(VLOOKUP($C42,SUP!$B$54:$Q$104,MATCH($B42&amp;"-"&amp;AG$7,SUP!$B$54:$Q$54,0),FALSE),"")="","",IFERROR(VLOOKUP($C42,SUP!$B$54:$Q$104,MATCH($B42&amp;"-"&amp;AG$7,SUP!$B$54:$Q$54,0),FALSE),"")),"")</f>
        <v/>
      </c>
      <c r="AH42" s="441" t="str">
        <f ca="1">IFERROR(1*IF(IFERROR(VLOOKUP($C42,SUP!$B$54:$Q$104,MATCH($B42&amp;"-"&amp;AH$7,SUP!$B$54:$Q$54,0),FALSE),"")="","",IFERROR(VLOOKUP($C42,SUP!$B$54:$Q$104,MATCH($B42&amp;"-"&amp;AH$7,SUP!$B$54:$Q$54,0),FALSE),"")),"")</f>
        <v/>
      </c>
      <c r="AI42" s="441" t="str">
        <f ca="1">IFERROR(1*IF(IFERROR(VLOOKUP($C42,SUP!$B$54:$Q$104,MATCH($B42&amp;"-"&amp;AI$7,SUP!$B$54:$Q$54,0),FALSE),"")="","",IFERROR(VLOOKUP($C42,SUP!$B$54:$Q$104,MATCH($B42&amp;"-"&amp;AI$7,SUP!$B$54:$Q$54,0),FALSE),"")),"")</f>
        <v/>
      </c>
      <c r="AJ42" s="441" t="str">
        <f ca="1">IFERROR(1*IF(IFERROR(VLOOKUP($C42,SUP!$B$54:$Q$104,MATCH($B42&amp;"-"&amp;AJ$7,SUP!$B$54:$Q$54,0),FALSE),"")="","",IFERROR(VLOOKUP($C42,SUP!$B$54:$Q$104,MATCH($B42&amp;"-"&amp;AJ$7,SUP!$B$54:$Q$54,0),FALSE),"")),"")</f>
        <v/>
      </c>
      <c r="AK42" s="441" t="str">
        <f ca="1">IFERROR(1*IF(IFERROR(VLOOKUP($C42,SUP!$B$54:$Q$104,MATCH($B42&amp;"-"&amp;AK$7,SUP!$B$54:$Q$54,0),FALSE),"")="","",IFERROR(VLOOKUP($C42,SUP!$B$54:$Q$104,MATCH($B42&amp;"-"&amp;AK$7,SUP!$B$54:$Q$54,0),FALSE),"")),"")</f>
        <v/>
      </c>
      <c r="AL42" s="441" t="str">
        <f ca="1">IFERROR(1*IF(IFERROR(VLOOKUP($C42,SUP!$B$54:$Q$104,MATCH($B42&amp;"-"&amp;AL$7,SUP!$B$54:$Q$54,0),FALSE),"")="","",IFERROR(VLOOKUP($C42,SUP!$B$54:$Q$104,MATCH($B42&amp;"-"&amp;AL$7,SUP!$B$54:$Q$54,0),FALSE),"")),"")</f>
        <v/>
      </c>
      <c r="AM42" s="441" t="str">
        <f ca="1">IFERROR(1*IF(IFERROR(VLOOKUP($C42,SUP!$B$54:$Q$104,MATCH($B42&amp;"-"&amp;AM$7,SUP!$B$54:$Q$54,0),FALSE),"")="","",IFERROR(VLOOKUP($C42,SUP!$B$54:$Q$104,MATCH($B42&amp;"-"&amp;AM$7,SUP!$B$54:$Q$54,0),FALSE),"")),"")</f>
        <v/>
      </c>
      <c r="AN42" s="441">
        <f ca="1">IFERROR(1*IF(IFERROR(VLOOKUP($C42,SUP!$B$54:$Q$104,MATCH($B42&amp;"-"&amp;AN$7,SUP!$B$54:$Q$54,0),FALSE),"")="","",IFERROR(VLOOKUP($C42,SUP!$B$54:$Q$104,MATCH($B42&amp;"-"&amp;AN$7,SUP!$B$54:$Q$54,0),FALSE),"")),"")</f>
        <v>124.74862576140292</v>
      </c>
      <c r="AO42" s="441" t="str">
        <f ca="1">IFERROR(1*IF(IFERROR(VLOOKUP($C42,SUP!$B$54:$Q$104,MATCH($B42&amp;"-"&amp;AO$7,SUP!$B$54:$Q$54,0),FALSE),"")="","",IFERROR(VLOOKUP($C42,SUP!$B$54:$Q$104,MATCH($B42&amp;"-"&amp;AO$7,SUP!$B$54:$Q$54,0),FALSE),"")),"")</f>
        <v/>
      </c>
      <c r="AR42" s="42">
        <f>IF(AS41=SUP!$B$104,AR41+1,AR41)</f>
        <v>1</v>
      </c>
      <c r="AS42" s="42">
        <f t="shared" si="6"/>
        <v>30</v>
      </c>
    </row>
    <row r="43" spans="1:45">
      <c r="A43" s="42" t="str">
        <f ca="1">IF(LEFT(OFFSET(SUP!$A$57,AS43,0),2)="\I","*","")</f>
        <v/>
      </c>
      <c r="B43" s="440" t="str">
        <f t="shared" ca="1" si="1"/>
        <v>ACT_COST</v>
      </c>
      <c r="C43" s="440" t="str">
        <f ca="1">IF($A43="*","",OFFSET(SUP!$B$57,AS43,0))</f>
        <v>IMPBIE</v>
      </c>
      <c r="D43" s="440" t="str">
        <f t="shared" ca="1" si="7"/>
        <v>-</v>
      </c>
      <c r="E43" s="440" t="str">
        <f t="shared" ca="1" si="7"/>
        <v>-</v>
      </c>
      <c r="F43" s="440" t="str">
        <f t="shared" ca="1" si="7"/>
        <v>-</v>
      </c>
      <c r="G43" s="440" t="str">
        <f t="shared" ca="1" si="7"/>
        <v>-</v>
      </c>
      <c r="H43" s="440" t="str">
        <f t="shared" ca="1" si="5"/>
        <v>-</v>
      </c>
      <c r="I43" s="441">
        <f ca="1">IF(IFERROR(VLOOKUP($C43,SUP!$B$54:$Q$104,MATCH($B43&amp;"-"&amp;I$7,SUP!$B$54:$Q$54,0),FALSE),"")="","",IFERROR(VLOOKUP($C43,SUP!$B$54:$Q$104,MATCH($B43&amp;"-"&amp;I$7,SUP!$B$54:$Q$54,0),FALSE),""))</f>
        <v>0</v>
      </c>
      <c r="J43" s="441">
        <f ca="1">IFERROR(1*IF(IFERROR(VLOOKUP($C43,SUP!$B$54:$Q$104,MATCH($B43&amp;"-"&amp;J$7,SUP!$B$54:$Q$54,0),FALSE),"")="","",IFERROR(VLOOKUP($C43,SUP!$B$54:$Q$104,MATCH($B43&amp;"-"&amp;J$7,SUP!$B$54:$Q$54,0),FALSE),"")),"")</f>
        <v>185.74281063200931</v>
      </c>
      <c r="K43" s="441" t="str">
        <f ca="1">IFERROR(1*IF(IFERROR(VLOOKUP($C43,SUP!$B$54:$Q$104,MATCH($B43&amp;"-"&amp;K$7,SUP!$B$54:$Q$54,0),FALSE),"")="","",IFERROR(VLOOKUP($C43,SUP!$B$54:$Q$104,MATCH($B43&amp;"-"&amp;K$7,SUP!$B$54:$Q$54,0),FALSE),"")),"")</f>
        <v/>
      </c>
      <c r="L43" s="441" t="str">
        <f ca="1">IFERROR(1*IF(IFERROR(VLOOKUP($C43,SUP!$B$54:$Q$104,MATCH($B43&amp;"-"&amp;L$7,SUP!$B$54:$Q$54,0),FALSE),"")="","",IFERROR(VLOOKUP($C43,SUP!$B$54:$Q$104,MATCH($B43&amp;"-"&amp;L$7,SUP!$B$54:$Q$54,0),FALSE),"")),"")</f>
        <v/>
      </c>
      <c r="M43" s="441">
        <f ca="1">IFERROR(1*IF(IFERROR(VLOOKUP($C43,SUP!$B$54:$Q$104,MATCH($B43&amp;"-"&amp;M$7,SUP!$B$54:$Q$54,0),FALSE),"")="","",IFERROR(VLOOKUP($C43,SUP!$B$54:$Q$104,MATCH($B43&amp;"-"&amp;M$7,SUP!$B$54:$Q$54,0),FALSE),"")),"")</f>
        <v>136.17380821683679</v>
      </c>
      <c r="N43" s="441" t="str">
        <f ca="1">IFERROR(1*IF(IFERROR(VLOOKUP($C43,SUP!$B$54:$Q$104,MATCH($B43&amp;"-"&amp;N$7,SUP!$B$54:$Q$54,0),FALSE),"")="","",IFERROR(VLOOKUP($C43,SUP!$B$54:$Q$104,MATCH($B43&amp;"-"&amp;N$7,SUP!$B$54:$Q$54,0),FALSE),"")),"")</f>
        <v/>
      </c>
      <c r="O43" s="441" t="str">
        <f ca="1">IFERROR(1*IF(IFERROR(VLOOKUP($C43,SUP!$B$54:$Q$104,MATCH($B43&amp;"-"&amp;O$7,SUP!$B$54:$Q$54,0),FALSE),"")="","",IFERROR(VLOOKUP($C43,SUP!$B$54:$Q$104,MATCH($B43&amp;"-"&amp;O$7,SUP!$B$54:$Q$54,0),FALSE),"")),"")</f>
        <v/>
      </c>
      <c r="P43" s="441" t="str">
        <f ca="1">IFERROR(1*IF(IFERROR(VLOOKUP($C43,SUP!$B$54:$Q$104,MATCH($B43&amp;"-"&amp;P$7,SUP!$B$54:$Q$54,0),FALSE),"")="","",IFERROR(VLOOKUP($C43,SUP!$B$54:$Q$104,MATCH($B43&amp;"-"&amp;P$7,SUP!$B$54:$Q$54,0),FALSE),"")),"")</f>
        <v/>
      </c>
      <c r="Q43" s="441" t="str">
        <f ca="1">IFERROR(1*IF(IFERROR(VLOOKUP($C43,SUP!$B$54:$Q$104,MATCH($B43&amp;"-"&amp;Q$7,SUP!$B$54:$Q$54,0),FALSE),"")="","",IFERROR(VLOOKUP($C43,SUP!$B$54:$Q$104,MATCH($B43&amp;"-"&amp;Q$7,SUP!$B$54:$Q$54,0),FALSE),"")),"")</f>
        <v/>
      </c>
      <c r="R43" s="441">
        <f ca="1">IFERROR(1*IF(IFERROR(VLOOKUP($C43,SUP!$B$54:$Q$104,MATCH($B43&amp;"-"&amp;R$7,SUP!$B$54:$Q$54,0),FALSE),"")="","",IFERROR(VLOOKUP($C43,SUP!$B$54:$Q$104,MATCH($B43&amp;"-"&amp;R$7,SUP!$B$54:$Q$54,0),FALSE),"")),"")</f>
        <v>152.21449956503875</v>
      </c>
      <c r="S43" s="441" t="str">
        <f ca="1">IFERROR(1*IF(IFERROR(VLOOKUP($C43,SUP!$B$54:$Q$104,MATCH($B43&amp;"-"&amp;S$7,SUP!$B$54:$Q$54,0),FALSE),"")="","",IFERROR(VLOOKUP($C43,SUP!$B$54:$Q$104,MATCH($B43&amp;"-"&amp;S$7,SUP!$B$54:$Q$54,0),FALSE),"")),"")</f>
        <v/>
      </c>
      <c r="T43" s="441" t="str">
        <f ca="1">IFERROR(1*IF(IFERROR(VLOOKUP($C43,SUP!$B$54:$Q$104,MATCH($B43&amp;"-"&amp;T$7,SUP!$B$54:$Q$54,0),FALSE),"")="","",IFERROR(VLOOKUP($C43,SUP!$B$54:$Q$104,MATCH($B43&amp;"-"&amp;T$7,SUP!$B$54:$Q$54,0),FALSE),"")),"")</f>
        <v/>
      </c>
      <c r="U43" s="441" t="str">
        <f ca="1">IFERROR(1*IF(IFERROR(VLOOKUP($C43,SUP!$B$54:$Q$104,MATCH($B43&amp;"-"&amp;U$7,SUP!$B$54:$Q$54,0),FALSE),"")="","",IFERROR(VLOOKUP($C43,SUP!$B$54:$Q$104,MATCH($B43&amp;"-"&amp;U$7,SUP!$B$54:$Q$54,0),FALSE),"")),"")</f>
        <v/>
      </c>
      <c r="V43" s="441" t="str">
        <f ca="1">IFERROR(1*IF(IFERROR(VLOOKUP($C43,SUP!$B$54:$Q$104,MATCH($B43&amp;"-"&amp;V$7,SUP!$B$54:$Q$54,0),FALSE),"")="","",IFERROR(VLOOKUP($C43,SUP!$B$54:$Q$104,MATCH($B43&amp;"-"&amp;V$7,SUP!$B$54:$Q$54,0),FALSE),"")),"")</f>
        <v/>
      </c>
      <c r="W43" s="441" t="str">
        <f ca="1">IFERROR(1*IF(IFERROR(VLOOKUP($C43,SUP!$B$54:$Q$104,MATCH($B43&amp;"-"&amp;W$7,SUP!$B$54:$Q$54,0),FALSE),"")="","",IFERROR(VLOOKUP($C43,SUP!$B$54:$Q$104,MATCH($B43&amp;"-"&amp;W$7,SUP!$B$54:$Q$54,0),FALSE),"")),"")</f>
        <v/>
      </c>
      <c r="X43" s="441" t="str">
        <f ca="1">IFERROR(1*IF(IFERROR(VLOOKUP($C43,SUP!$B$54:$Q$104,MATCH($B43&amp;"-"&amp;X$7,SUP!$B$54:$Q$54,0),FALSE),"")="","",IFERROR(VLOOKUP($C43,SUP!$B$54:$Q$104,MATCH($B43&amp;"-"&amp;X$7,SUP!$B$54:$Q$54,0),FALSE),"")),"")</f>
        <v/>
      </c>
      <c r="Y43" s="441" t="str">
        <f ca="1">IFERROR(1*IF(IFERROR(VLOOKUP($C43,SUP!$B$54:$Q$104,MATCH($B43&amp;"-"&amp;Y$7,SUP!$B$54:$Q$54,0),FALSE),"")="","",IFERROR(VLOOKUP($C43,SUP!$B$54:$Q$104,MATCH($B43&amp;"-"&amp;Y$7,SUP!$B$54:$Q$54,0),FALSE),"")),"")</f>
        <v/>
      </c>
      <c r="Z43" s="441" t="str">
        <f ca="1">IFERROR(1*IF(IFERROR(VLOOKUP($C43,SUP!$B$54:$Q$104,MATCH($B43&amp;"-"&amp;Z$7,SUP!$B$54:$Q$54,0),FALSE),"")="","",IFERROR(VLOOKUP($C43,SUP!$B$54:$Q$104,MATCH($B43&amp;"-"&amp;Z$7,SUP!$B$54:$Q$54,0),FALSE),"")),"")</f>
        <v/>
      </c>
      <c r="AA43" s="441" t="str">
        <f ca="1">IFERROR(1*IF(IFERROR(VLOOKUP($C43,SUP!$B$54:$Q$104,MATCH($B43&amp;"-"&amp;AA$7,SUP!$B$54:$Q$54,0),FALSE),"")="","",IFERROR(VLOOKUP($C43,SUP!$B$54:$Q$104,MATCH($B43&amp;"-"&amp;AA$7,SUP!$B$54:$Q$54,0),FALSE),"")),"")</f>
        <v/>
      </c>
      <c r="AB43" s="441">
        <f ca="1">IFERROR(1*IF(IFERROR(VLOOKUP($C43,SUP!$B$54:$Q$104,MATCH($B43&amp;"-"&amp;AB$7,SUP!$B$54:$Q$54,0),FALSE),"")="","",IFERROR(VLOOKUP($C43,SUP!$B$54:$Q$104,MATCH($B43&amp;"-"&amp;AB$7,SUP!$B$54:$Q$54,0),FALSE),"")),"")</f>
        <v>146.31374425733389</v>
      </c>
      <c r="AC43" s="441" t="str">
        <f ca="1">IFERROR(1*IF(IFERROR(VLOOKUP($C43,SUP!$B$54:$Q$104,MATCH($B43&amp;"-"&amp;AC$7,SUP!$B$54:$Q$54,0),FALSE),"")="","",IFERROR(VLOOKUP($C43,SUP!$B$54:$Q$104,MATCH($B43&amp;"-"&amp;AC$7,SUP!$B$54:$Q$54,0),FALSE),"")),"")</f>
        <v/>
      </c>
      <c r="AD43" s="441" t="str">
        <f ca="1">IFERROR(1*IF(IFERROR(VLOOKUP($C43,SUP!$B$54:$Q$104,MATCH($B43&amp;"-"&amp;AD$7,SUP!$B$54:$Q$54,0),FALSE),"")="","",IFERROR(VLOOKUP($C43,SUP!$B$54:$Q$104,MATCH($B43&amp;"-"&amp;AD$7,SUP!$B$54:$Q$54,0),FALSE),"")),"")</f>
        <v/>
      </c>
      <c r="AE43" s="441" t="str">
        <f ca="1">IFERROR(1*IF(IFERROR(VLOOKUP($C43,SUP!$B$54:$Q$104,MATCH($B43&amp;"-"&amp;AE$7,SUP!$B$54:$Q$54,0),FALSE),"")="","",IFERROR(VLOOKUP($C43,SUP!$B$54:$Q$104,MATCH($B43&amp;"-"&amp;AE$7,SUP!$B$54:$Q$54,0),FALSE),"")),"")</f>
        <v/>
      </c>
      <c r="AF43" s="441" t="str">
        <f ca="1">IFERROR(1*IF(IFERROR(VLOOKUP($C43,SUP!$B$54:$Q$104,MATCH($B43&amp;"-"&amp;AF$7,SUP!$B$54:$Q$54,0),FALSE),"")="","",IFERROR(VLOOKUP($C43,SUP!$B$54:$Q$104,MATCH($B43&amp;"-"&amp;AF$7,SUP!$B$54:$Q$54,0),FALSE),"")),"")</f>
        <v/>
      </c>
      <c r="AG43" s="441" t="str">
        <f ca="1">IFERROR(1*IF(IFERROR(VLOOKUP($C43,SUP!$B$54:$Q$104,MATCH($B43&amp;"-"&amp;AG$7,SUP!$B$54:$Q$54,0),FALSE),"")="","",IFERROR(VLOOKUP($C43,SUP!$B$54:$Q$104,MATCH($B43&amp;"-"&amp;AG$7,SUP!$B$54:$Q$54,0),FALSE),"")),"")</f>
        <v/>
      </c>
      <c r="AH43" s="441" t="str">
        <f ca="1">IFERROR(1*IF(IFERROR(VLOOKUP($C43,SUP!$B$54:$Q$104,MATCH($B43&amp;"-"&amp;AH$7,SUP!$B$54:$Q$54,0),FALSE),"")="","",IFERROR(VLOOKUP($C43,SUP!$B$54:$Q$104,MATCH($B43&amp;"-"&amp;AH$7,SUP!$B$54:$Q$54,0),FALSE),"")),"")</f>
        <v/>
      </c>
      <c r="AI43" s="441" t="str">
        <f ca="1">IFERROR(1*IF(IFERROR(VLOOKUP($C43,SUP!$B$54:$Q$104,MATCH($B43&amp;"-"&amp;AI$7,SUP!$B$54:$Q$54,0),FALSE),"")="","",IFERROR(VLOOKUP($C43,SUP!$B$54:$Q$104,MATCH($B43&amp;"-"&amp;AI$7,SUP!$B$54:$Q$54,0),FALSE),"")),"")</f>
        <v/>
      </c>
      <c r="AJ43" s="441" t="str">
        <f ca="1">IFERROR(1*IF(IFERROR(VLOOKUP($C43,SUP!$B$54:$Q$104,MATCH($B43&amp;"-"&amp;AJ$7,SUP!$B$54:$Q$54,0),FALSE),"")="","",IFERROR(VLOOKUP($C43,SUP!$B$54:$Q$104,MATCH($B43&amp;"-"&amp;AJ$7,SUP!$B$54:$Q$54,0),FALSE),"")),"")</f>
        <v/>
      </c>
      <c r="AK43" s="441" t="str">
        <f ca="1">IFERROR(1*IF(IFERROR(VLOOKUP($C43,SUP!$B$54:$Q$104,MATCH($B43&amp;"-"&amp;AK$7,SUP!$B$54:$Q$54,0),FALSE),"")="","",IFERROR(VLOOKUP($C43,SUP!$B$54:$Q$104,MATCH($B43&amp;"-"&amp;AK$7,SUP!$B$54:$Q$54,0),FALSE),"")),"")</f>
        <v/>
      </c>
      <c r="AL43" s="441" t="str">
        <f ca="1">IFERROR(1*IF(IFERROR(VLOOKUP($C43,SUP!$B$54:$Q$104,MATCH($B43&amp;"-"&amp;AL$7,SUP!$B$54:$Q$54,0),FALSE),"")="","",IFERROR(VLOOKUP($C43,SUP!$B$54:$Q$104,MATCH($B43&amp;"-"&amp;AL$7,SUP!$B$54:$Q$54,0),FALSE),"")),"")</f>
        <v/>
      </c>
      <c r="AM43" s="441" t="str">
        <f ca="1">IFERROR(1*IF(IFERROR(VLOOKUP($C43,SUP!$B$54:$Q$104,MATCH($B43&amp;"-"&amp;AM$7,SUP!$B$54:$Q$54,0),FALSE),"")="","",IFERROR(VLOOKUP($C43,SUP!$B$54:$Q$104,MATCH($B43&amp;"-"&amp;AM$7,SUP!$B$54:$Q$54,0),FALSE),"")),"")</f>
        <v/>
      </c>
      <c r="AN43" s="441">
        <f ca="1">IFERROR(1*IF(IFERROR(VLOOKUP($C43,SUP!$B$54:$Q$104,MATCH($B43&amp;"-"&amp;AN$7,SUP!$B$54:$Q$54,0),FALSE),"")="","",IFERROR(VLOOKUP($C43,SUP!$B$54:$Q$104,MATCH($B43&amp;"-"&amp;AN$7,SUP!$B$54:$Q$54,0),FALSE),"")),"")</f>
        <v>132.82630355400852</v>
      </c>
      <c r="AO43" s="441" t="str">
        <f ca="1">IFERROR(1*IF(IFERROR(VLOOKUP($C43,SUP!$B$54:$Q$104,MATCH($B43&amp;"-"&amp;AO$7,SUP!$B$54:$Q$54,0),FALSE),"")="","",IFERROR(VLOOKUP($C43,SUP!$B$54:$Q$104,MATCH($B43&amp;"-"&amp;AO$7,SUP!$B$54:$Q$54,0),FALSE),"")),"")</f>
        <v/>
      </c>
      <c r="AR43" s="42">
        <f>IF(AS42=SUP!$B$104,AR42+1,AR42)</f>
        <v>1</v>
      </c>
      <c r="AS43" s="42">
        <f t="shared" si="6"/>
        <v>31</v>
      </c>
    </row>
    <row r="44" spans="1:45">
      <c r="A44" s="42" t="str">
        <f ca="1">IF(LEFT(OFFSET(SUP!$A$57,AS44,0),2)="\I","*","")</f>
        <v>*</v>
      </c>
      <c r="B44" s="440" t="str">
        <f t="shared" ca="1" si="1"/>
        <v/>
      </c>
      <c r="C44" s="440" t="str">
        <f ca="1">IF($A44="*","",OFFSET(SUP!$B$57,AS44,0))</f>
        <v/>
      </c>
      <c r="D44" s="440" t="str">
        <f t="shared" ca="1" si="7"/>
        <v/>
      </c>
      <c r="E44" s="440" t="str">
        <f t="shared" ca="1" si="7"/>
        <v/>
      </c>
      <c r="F44" s="440" t="str">
        <f t="shared" ca="1" si="7"/>
        <v/>
      </c>
      <c r="G44" s="440" t="str">
        <f t="shared" ca="1" si="7"/>
        <v/>
      </c>
      <c r="H44" s="440" t="str">
        <f t="shared" ca="1" si="5"/>
        <v/>
      </c>
      <c r="I44" s="441" t="str">
        <f ca="1">IF(IFERROR(VLOOKUP($C44,SUP!$B$54:$Q$104,MATCH($B44&amp;"-"&amp;I$7,SUP!$B$54:$Q$54,0),FALSE),"")="","",IFERROR(VLOOKUP($C44,SUP!$B$54:$Q$104,MATCH($B44&amp;"-"&amp;I$7,SUP!$B$54:$Q$54,0),FALSE),""))</f>
        <v/>
      </c>
      <c r="J44" s="441" t="str">
        <f ca="1">IFERROR(1*IF(IFERROR(VLOOKUP($C44,SUP!$B$54:$Q$104,MATCH($B44&amp;"-"&amp;J$7,SUP!$B$54:$Q$54,0),FALSE),"")="","",IFERROR(VLOOKUP($C44,SUP!$B$54:$Q$104,MATCH($B44&amp;"-"&amp;J$7,SUP!$B$54:$Q$54,0),FALSE),"")),"")</f>
        <v/>
      </c>
      <c r="K44" s="441" t="str">
        <f ca="1">IFERROR(1*IF(IFERROR(VLOOKUP($C44,SUP!$B$54:$Q$104,MATCH($B44&amp;"-"&amp;K$7,SUP!$B$54:$Q$54,0),FALSE),"")="","",IFERROR(VLOOKUP($C44,SUP!$B$54:$Q$104,MATCH($B44&amp;"-"&amp;K$7,SUP!$B$54:$Q$54,0),FALSE),"")),"")</f>
        <v/>
      </c>
      <c r="L44" s="441" t="str">
        <f ca="1">IFERROR(1*IF(IFERROR(VLOOKUP($C44,SUP!$B$54:$Q$104,MATCH($B44&amp;"-"&amp;L$7,SUP!$B$54:$Q$54,0),FALSE),"")="","",IFERROR(VLOOKUP($C44,SUP!$B$54:$Q$104,MATCH($B44&amp;"-"&amp;L$7,SUP!$B$54:$Q$54,0),FALSE),"")),"")</f>
        <v/>
      </c>
      <c r="M44" s="441" t="str">
        <f ca="1">IFERROR(1*IF(IFERROR(VLOOKUP($C44,SUP!$B$54:$Q$104,MATCH($B44&amp;"-"&amp;M$7,SUP!$B$54:$Q$54,0),FALSE),"")="","",IFERROR(VLOOKUP($C44,SUP!$B$54:$Q$104,MATCH($B44&amp;"-"&amp;M$7,SUP!$B$54:$Q$54,0),FALSE),"")),"")</f>
        <v/>
      </c>
      <c r="N44" s="441" t="str">
        <f ca="1">IFERROR(1*IF(IFERROR(VLOOKUP($C44,SUP!$B$54:$Q$104,MATCH($B44&amp;"-"&amp;N$7,SUP!$B$54:$Q$54,0),FALSE),"")="","",IFERROR(VLOOKUP($C44,SUP!$B$54:$Q$104,MATCH($B44&amp;"-"&amp;N$7,SUP!$B$54:$Q$54,0),FALSE),"")),"")</f>
        <v/>
      </c>
      <c r="O44" s="441" t="str">
        <f ca="1">IFERROR(1*IF(IFERROR(VLOOKUP($C44,SUP!$B$54:$Q$104,MATCH($B44&amp;"-"&amp;O$7,SUP!$B$54:$Q$54,0),FALSE),"")="","",IFERROR(VLOOKUP($C44,SUP!$B$54:$Q$104,MATCH($B44&amp;"-"&amp;O$7,SUP!$B$54:$Q$54,0),FALSE),"")),"")</f>
        <v/>
      </c>
      <c r="P44" s="441" t="str">
        <f ca="1">IFERROR(1*IF(IFERROR(VLOOKUP($C44,SUP!$B$54:$Q$104,MATCH($B44&amp;"-"&amp;P$7,SUP!$B$54:$Q$54,0),FALSE),"")="","",IFERROR(VLOOKUP($C44,SUP!$B$54:$Q$104,MATCH($B44&amp;"-"&amp;P$7,SUP!$B$54:$Q$54,0),FALSE),"")),"")</f>
        <v/>
      </c>
      <c r="Q44" s="441" t="str">
        <f ca="1">IFERROR(1*IF(IFERROR(VLOOKUP($C44,SUP!$B$54:$Q$104,MATCH($B44&amp;"-"&amp;Q$7,SUP!$B$54:$Q$54,0),FALSE),"")="","",IFERROR(VLOOKUP($C44,SUP!$B$54:$Q$104,MATCH($B44&amp;"-"&amp;Q$7,SUP!$B$54:$Q$54,0),FALSE),"")),"")</f>
        <v/>
      </c>
      <c r="R44" s="441" t="str">
        <f ca="1">IFERROR(1*IF(IFERROR(VLOOKUP($C44,SUP!$B$54:$Q$104,MATCH($B44&amp;"-"&amp;R$7,SUP!$B$54:$Q$54,0),FALSE),"")="","",IFERROR(VLOOKUP($C44,SUP!$B$54:$Q$104,MATCH($B44&amp;"-"&amp;R$7,SUP!$B$54:$Q$54,0),FALSE),"")),"")</f>
        <v/>
      </c>
      <c r="S44" s="441" t="str">
        <f ca="1">IFERROR(1*IF(IFERROR(VLOOKUP($C44,SUP!$B$54:$Q$104,MATCH($B44&amp;"-"&amp;S$7,SUP!$B$54:$Q$54,0),FALSE),"")="","",IFERROR(VLOOKUP($C44,SUP!$B$54:$Q$104,MATCH($B44&amp;"-"&amp;S$7,SUP!$B$54:$Q$54,0),FALSE),"")),"")</f>
        <v/>
      </c>
      <c r="T44" s="441" t="str">
        <f ca="1">IFERROR(1*IF(IFERROR(VLOOKUP($C44,SUP!$B$54:$Q$104,MATCH($B44&amp;"-"&amp;T$7,SUP!$B$54:$Q$54,0),FALSE),"")="","",IFERROR(VLOOKUP($C44,SUP!$B$54:$Q$104,MATCH($B44&amp;"-"&amp;T$7,SUP!$B$54:$Q$54,0),FALSE),"")),"")</f>
        <v/>
      </c>
      <c r="U44" s="441" t="str">
        <f ca="1">IFERROR(1*IF(IFERROR(VLOOKUP($C44,SUP!$B$54:$Q$104,MATCH($B44&amp;"-"&amp;U$7,SUP!$B$54:$Q$54,0),FALSE),"")="","",IFERROR(VLOOKUP($C44,SUP!$B$54:$Q$104,MATCH($B44&amp;"-"&amp;U$7,SUP!$B$54:$Q$54,0),FALSE),"")),"")</f>
        <v/>
      </c>
      <c r="V44" s="441" t="str">
        <f ca="1">IFERROR(1*IF(IFERROR(VLOOKUP($C44,SUP!$B$54:$Q$104,MATCH($B44&amp;"-"&amp;V$7,SUP!$B$54:$Q$54,0),FALSE),"")="","",IFERROR(VLOOKUP($C44,SUP!$B$54:$Q$104,MATCH($B44&amp;"-"&amp;V$7,SUP!$B$54:$Q$54,0),FALSE),"")),"")</f>
        <v/>
      </c>
      <c r="W44" s="441" t="str">
        <f ca="1">IFERROR(1*IF(IFERROR(VLOOKUP($C44,SUP!$B$54:$Q$104,MATCH($B44&amp;"-"&amp;W$7,SUP!$B$54:$Q$54,0),FALSE),"")="","",IFERROR(VLOOKUP($C44,SUP!$B$54:$Q$104,MATCH($B44&amp;"-"&amp;W$7,SUP!$B$54:$Q$54,0),FALSE),"")),"")</f>
        <v/>
      </c>
      <c r="X44" s="441" t="str">
        <f ca="1">IFERROR(1*IF(IFERROR(VLOOKUP($C44,SUP!$B$54:$Q$104,MATCH($B44&amp;"-"&amp;X$7,SUP!$B$54:$Q$54,0),FALSE),"")="","",IFERROR(VLOOKUP($C44,SUP!$B$54:$Q$104,MATCH($B44&amp;"-"&amp;X$7,SUP!$B$54:$Q$54,0),FALSE),"")),"")</f>
        <v/>
      </c>
      <c r="Y44" s="441" t="str">
        <f ca="1">IFERROR(1*IF(IFERROR(VLOOKUP($C44,SUP!$B$54:$Q$104,MATCH($B44&amp;"-"&amp;Y$7,SUP!$B$54:$Q$54,0),FALSE),"")="","",IFERROR(VLOOKUP($C44,SUP!$B$54:$Q$104,MATCH($B44&amp;"-"&amp;Y$7,SUP!$B$54:$Q$54,0),FALSE),"")),"")</f>
        <v/>
      </c>
      <c r="Z44" s="441" t="str">
        <f ca="1">IFERROR(1*IF(IFERROR(VLOOKUP($C44,SUP!$B$54:$Q$104,MATCH($B44&amp;"-"&amp;Z$7,SUP!$B$54:$Q$54,0),FALSE),"")="","",IFERROR(VLOOKUP($C44,SUP!$B$54:$Q$104,MATCH($B44&amp;"-"&amp;Z$7,SUP!$B$54:$Q$54,0),FALSE),"")),"")</f>
        <v/>
      </c>
      <c r="AA44" s="441" t="str">
        <f ca="1">IFERROR(1*IF(IFERROR(VLOOKUP($C44,SUP!$B$54:$Q$104,MATCH($B44&amp;"-"&amp;AA$7,SUP!$B$54:$Q$54,0),FALSE),"")="","",IFERROR(VLOOKUP($C44,SUP!$B$54:$Q$104,MATCH($B44&amp;"-"&amp;AA$7,SUP!$B$54:$Q$54,0),FALSE),"")),"")</f>
        <v/>
      </c>
      <c r="AB44" s="441" t="str">
        <f ca="1">IFERROR(1*IF(IFERROR(VLOOKUP($C44,SUP!$B$54:$Q$104,MATCH($B44&amp;"-"&amp;AB$7,SUP!$B$54:$Q$54,0),FALSE),"")="","",IFERROR(VLOOKUP($C44,SUP!$B$54:$Q$104,MATCH($B44&amp;"-"&amp;AB$7,SUP!$B$54:$Q$54,0),FALSE),"")),"")</f>
        <v/>
      </c>
      <c r="AC44" s="441" t="str">
        <f ca="1">IFERROR(1*IF(IFERROR(VLOOKUP($C44,SUP!$B$54:$Q$104,MATCH($B44&amp;"-"&amp;AC$7,SUP!$B$54:$Q$54,0),FALSE),"")="","",IFERROR(VLOOKUP($C44,SUP!$B$54:$Q$104,MATCH($B44&amp;"-"&amp;AC$7,SUP!$B$54:$Q$54,0),FALSE),"")),"")</f>
        <v/>
      </c>
      <c r="AD44" s="441" t="str">
        <f ca="1">IFERROR(1*IF(IFERROR(VLOOKUP($C44,SUP!$B$54:$Q$104,MATCH($B44&amp;"-"&amp;AD$7,SUP!$B$54:$Q$54,0),FALSE),"")="","",IFERROR(VLOOKUP($C44,SUP!$B$54:$Q$104,MATCH($B44&amp;"-"&amp;AD$7,SUP!$B$54:$Q$54,0),FALSE),"")),"")</f>
        <v/>
      </c>
      <c r="AE44" s="441" t="str">
        <f ca="1">IFERROR(1*IF(IFERROR(VLOOKUP($C44,SUP!$B$54:$Q$104,MATCH($B44&amp;"-"&amp;AE$7,SUP!$B$54:$Q$54,0),FALSE),"")="","",IFERROR(VLOOKUP($C44,SUP!$B$54:$Q$104,MATCH($B44&amp;"-"&amp;AE$7,SUP!$B$54:$Q$54,0),FALSE),"")),"")</f>
        <v/>
      </c>
      <c r="AF44" s="441" t="str">
        <f ca="1">IFERROR(1*IF(IFERROR(VLOOKUP($C44,SUP!$B$54:$Q$104,MATCH($B44&amp;"-"&amp;AF$7,SUP!$B$54:$Q$54,0),FALSE),"")="","",IFERROR(VLOOKUP($C44,SUP!$B$54:$Q$104,MATCH($B44&amp;"-"&amp;AF$7,SUP!$B$54:$Q$54,0),FALSE),"")),"")</f>
        <v/>
      </c>
      <c r="AG44" s="441" t="str">
        <f ca="1">IFERROR(1*IF(IFERROR(VLOOKUP($C44,SUP!$B$54:$Q$104,MATCH($B44&amp;"-"&amp;AG$7,SUP!$B$54:$Q$54,0),FALSE),"")="","",IFERROR(VLOOKUP($C44,SUP!$B$54:$Q$104,MATCH($B44&amp;"-"&amp;AG$7,SUP!$B$54:$Q$54,0),FALSE),"")),"")</f>
        <v/>
      </c>
      <c r="AH44" s="441" t="str">
        <f ca="1">IFERROR(1*IF(IFERROR(VLOOKUP($C44,SUP!$B$54:$Q$104,MATCH($B44&amp;"-"&amp;AH$7,SUP!$B$54:$Q$54,0),FALSE),"")="","",IFERROR(VLOOKUP($C44,SUP!$B$54:$Q$104,MATCH($B44&amp;"-"&amp;AH$7,SUP!$B$54:$Q$54,0),FALSE),"")),"")</f>
        <v/>
      </c>
      <c r="AI44" s="441" t="str">
        <f ca="1">IFERROR(1*IF(IFERROR(VLOOKUP($C44,SUP!$B$54:$Q$104,MATCH($B44&amp;"-"&amp;AI$7,SUP!$B$54:$Q$54,0),FALSE),"")="","",IFERROR(VLOOKUP($C44,SUP!$B$54:$Q$104,MATCH($B44&amp;"-"&amp;AI$7,SUP!$B$54:$Q$54,0),FALSE),"")),"")</f>
        <v/>
      </c>
      <c r="AJ44" s="441" t="str">
        <f ca="1">IFERROR(1*IF(IFERROR(VLOOKUP($C44,SUP!$B$54:$Q$104,MATCH($B44&amp;"-"&amp;AJ$7,SUP!$B$54:$Q$54,0),FALSE),"")="","",IFERROR(VLOOKUP($C44,SUP!$B$54:$Q$104,MATCH($B44&amp;"-"&amp;AJ$7,SUP!$B$54:$Q$54,0),FALSE),"")),"")</f>
        <v/>
      </c>
      <c r="AK44" s="441" t="str">
        <f ca="1">IFERROR(1*IF(IFERROR(VLOOKUP($C44,SUP!$B$54:$Q$104,MATCH($B44&amp;"-"&amp;AK$7,SUP!$B$54:$Q$54,0),FALSE),"")="","",IFERROR(VLOOKUP($C44,SUP!$B$54:$Q$104,MATCH($B44&amp;"-"&amp;AK$7,SUP!$B$54:$Q$54,0),FALSE),"")),"")</f>
        <v/>
      </c>
      <c r="AL44" s="441" t="str">
        <f ca="1">IFERROR(1*IF(IFERROR(VLOOKUP($C44,SUP!$B$54:$Q$104,MATCH($B44&amp;"-"&amp;AL$7,SUP!$B$54:$Q$54,0),FALSE),"")="","",IFERROR(VLOOKUP($C44,SUP!$B$54:$Q$104,MATCH($B44&amp;"-"&amp;AL$7,SUP!$B$54:$Q$54,0),FALSE),"")),"")</f>
        <v/>
      </c>
      <c r="AM44" s="441" t="str">
        <f ca="1">IFERROR(1*IF(IFERROR(VLOOKUP($C44,SUP!$B$54:$Q$104,MATCH($B44&amp;"-"&amp;AM$7,SUP!$B$54:$Q$54,0),FALSE),"")="","",IFERROR(VLOOKUP($C44,SUP!$B$54:$Q$104,MATCH($B44&amp;"-"&amp;AM$7,SUP!$B$54:$Q$54,0),FALSE),"")),"")</f>
        <v/>
      </c>
      <c r="AN44" s="441" t="str">
        <f ca="1">IFERROR(1*IF(IFERROR(VLOOKUP($C44,SUP!$B$54:$Q$104,MATCH($B44&amp;"-"&amp;AN$7,SUP!$B$54:$Q$54,0),FALSE),"")="","",IFERROR(VLOOKUP($C44,SUP!$B$54:$Q$104,MATCH($B44&amp;"-"&amp;AN$7,SUP!$B$54:$Q$54,0),FALSE),"")),"")</f>
        <v/>
      </c>
      <c r="AO44" s="441" t="str">
        <f ca="1">IFERROR(1*IF(IFERROR(VLOOKUP($C44,SUP!$B$54:$Q$104,MATCH($B44&amp;"-"&amp;AO$7,SUP!$B$54:$Q$54,0),FALSE),"")="","",IFERROR(VLOOKUP($C44,SUP!$B$54:$Q$104,MATCH($B44&amp;"-"&amp;AO$7,SUP!$B$54:$Q$54,0),FALSE),"")),"")</f>
        <v/>
      </c>
      <c r="AR44" s="42">
        <f>IF(AS43=SUP!$B$104,AR43+1,AR43)</f>
        <v>1</v>
      </c>
      <c r="AS44" s="42">
        <f t="shared" si="6"/>
        <v>32</v>
      </c>
    </row>
    <row r="45" spans="1:45">
      <c r="A45" s="42" t="str">
        <f ca="1">IF(LEFT(OFFSET(SUP!$A$57,AS45,0),2)="\I","*","")</f>
        <v/>
      </c>
      <c r="B45" s="440" t="str">
        <f t="shared" ref="B45:B76" ca="1" si="8">IF(A45="*","",VLOOKUP("*"&amp;AR45,$A$9:$B$11,2,FALSE))</f>
        <v>ACT_COST</v>
      </c>
      <c r="C45" s="440" t="str">
        <f ca="1">IF($A45="*","",OFFSET(SUP!$B$57,AS45,0))</f>
        <v>MIRCRB</v>
      </c>
      <c r="D45" s="440" t="str">
        <f t="shared" ca="1" si="7"/>
        <v>-</v>
      </c>
      <c r="E45" s="440" t="str">
        <f t="shared" ca="1" si="7"/>
        <v>-</v>
      </c>
      <c r="F45" s="440" t="str">
        <f t="shared" ca="1" si="7"/>
        <v>-</v>
      </c>
      <c r="G45" s="440" t="str">
        <f t="shared" ca="1" si="7"/>
        <v>-</v>
      </c>
      <c r="H45" s="440" t="str">
        <f t="shared" ca="1" si="5"/>
        <v>-</v>
      </c>
      <c r="I45" s="441">
        <f ca="1">IF(IFERROR(VLOOKUP($C45,SUP!$B$54:$Q$104,MATCH($B45&amp;"-"&amp;I$7,SUP!$B$54:$Q$54,0),FALSE),"")="","",IFERROR(VLOOKUP($C45,SUP!$B$54:$Q$104,MATCH($B45&amp;"-"&amp;I$7,SUP!$B$54:$Q$54,0),FALSE),""))</f>
        <v>0</v>
      </c>
      <c r="J45" s="441">
        <f ca="1">IFERROR(1*IF(IFERROR(VLOOKUP($C45,SUP!$B$54:$Q$104,MATCH($B45&amp;"-"&amp;J$7,SUP!$B$54:$Q$54,0),FALSE),"")="","",IFERROR(VLOOKUP($C45,SUP!$B$54:$Q$104,MATCH($B45&amp;"-"&amp;J$7,SUP!$B$54:$Q$54,0),FALSE),"")),"")</f>
        <v>15</v>
      </c>
      <c r="K45" s="441" t="str">
        <f ca="1">IFERROR(1*IF(IFERROR(VLOOKUP($C45,SUP!$B$54:$Q$104,MATCH($B45&amp;"-"&amp;K$7,SUP!$B$54:$Q$54,0),FALSE),"")="","",IFERROR(VLOOKUP($C45,SUP!$B$54:$Q$104,MATCH($B45&amp;"-"&amp;K$7,SUP!$B$54:$Q$54,0),FALSE),"")),"")</f>
        <v/>
      </c>
      <c r="L45" s="441" t="str">
        <f ca="1">IFERROR(1*IF(IFERROR(VLOOKUP($C45,SUP!$B$54:$Q$104,MATCH($B45&amp;"-"&amp;L$7,SUP!$B$54:$Q$54,0),FALSE),"")="","",IFERROR(VLOOKUP($C45,SUP!$B$54:$Q$104,MATCH($B45&amp;"-"&amp;L$7,SUP!$B$54:$Q$54,0),FALSE),"")),"")</f>
        <v/>
      </c>
      <c r="M45" s="441">
        <f ca="1">IFERROR(1*IF(IFERROR(VLOOKUP($C45,SUP!$B$54:$Q$104,MATCH($B45&amp;"-"&amp;M$7,SUP!$B$54:$Q$54,0),FALSE),"")="","",IFERROR(VLOOKUP($C45,SUP!$B$54:$Q$104,MATCH($B45&amp;"-"&amp;M$7,SUP!$B$54:$Q$54,0),FALSE),"")),"")</f>
        <v>16.714848757138416</v>
      </c>
      <c r="N45" s="441" t="str">
        <f ca="1">IFERROR(1*IF(IFERROR(VLOOKUP($C45,SUP!$B$54:$Q$104,MATCH($B45&amp;"-"&amp;N$7,SUP!$B$54:$Q$54,0),FALSE),"")="","",IFERROR(VLOOKUP($C45,SUP!$B$54:$Q$104,MATCH($B45&amp;"-"&amp;N$7,SUP!$B$54:$Q$54,0),FALSE),"")),"")</f>
        <v/>
      </c>
      <c r="O45" s="441" t="str">
        <f ca="1">IFERROR(1*IF(IFERROR(VLOOKUP($C45,SUP!$B$54:$Q$104,MATCH($B45&amp;"-"&amp;O$7,SUP!$B$54:$Q$54,0),FALSE),"")="","",IFERROR(VLOOKUP($C45,SUP!$B$54:$Q$104,MATCH($B45&amp;"-"&amp;O$7,SUP!$B$54:$Q$54,0),FALSE),"")),"")</f>
        <v/>
      </c>
      <c r="P45" s="441" t="str">
        <f ca="1">IFERROR(1*IF(IFERROR(VLOOKUP($C45,SUP!$B$54:$Q$104,MATCH($B45&amp;"-"&amp;P$7,SUP!$B$54:$Q$54,0),FALSE),"")="","",IFERROR(VLOOKUP($C45,SUP!$B$54:$Q$104,MATCH($B45&amp;"-"&amp;P$7,SUP!$B$54:$Q$54,0),FALSE),"")),"")</f>
        <v/>
      </c>
      <c r="Q45" s="441" t="str">
        <f ca="1">IFERROR(1*IF(IFERROR(VLOOKUP($C45,SUP!$B$54:$Q$104,MATCH($B45&amp;"-"&amp;Q$7,SUP!$B$54:$Q$54,0),FALSE),"")="","",IFERROR(VLOOKUP($C45,SUP!$B$54:$Q$104,MATCH($B45&amp;"-"&amp;Q$7,SUP!$B$54:$Q$54,0),FALSE),"")),"")</f>
        <v/>
      </c>
      <c r="R45" s="441">
        <f ca="1">IFERROR(1*IF(IFERROR(VLOOKUP($C45,SUP!$B$54:$Q$104,MATCH($B45&amp;"-"&amp;R$7,SUP!$B$54:$Q$54,0),FALSE),"")="","",IFERROR(VLOOKUP($C45,SUP!$B$54:$Q$104,MATCH($B45&amp;"-"&amp;R$7,SUP!$B$54:$Q$54,0),FALSE),"")),"")</f>
        <v>18.429697514276832</v>
      </c>
      <c r="S45" s="441" t="str">
        <f ca="1">IFERROR(1*IF(IFERROR(VLOOKUP($C45,SUP!$B$54:$Q$104,MATCH($B45&amp;"-"&amp;S$7,SUP!$B$54:$Q$54,0),FALSE),"")="","",IFERROR(VLOOKUP($C45,SUP!$B$54:$Q$104,MATCH($B45&amp;"-"&amp;S$7,SUP!$B$54:$Q$54,0),FALSE),"")),"")</f>
        <v/>
      </c>
      <c r="T45" s="441" t="str">
        <f ca="1">IFERROR(1*IF(IFERROR(VLOOKUP($C45,SUP!$B$54:$Q$104,MATCH($B45&amp;"-"&amp;T$7,SUP!$B$54:$Q$54,0),FALSE),"")="","",IFERROR(VLOOKUP($C45,SUP!$B$54:$Q$104,MATCH($B45&amp;"-"&amp;T$7,SUP!$B$54:$Q$54,0),FALSE),"")),"")</f>
        <v/>
      </c>
      <c r="U45" s="441" t="str">
        <f ca="1">IFERROR(1*IF(IFERROR(VLOOKUP($C45,SUP!$B$54:$Q$104,MATCH($B45&amp;"-"&amp;U$7,SUP!$B$54:$Q$54,0),FALSE),"")="","",IFERROR(VLOOKUP($C45,SUP!$B$54:$Q$104,MATCH($B45&amp;"-"&amp;U$7,SUP!$B$54:$Q$54,0),FALSE),"")),"")</f>
        <v/>
      </c>
      <c r="V45" s="441" t="str">
        <f ca="1">IFERROR(1*IF(IFERROR(VLOOKUP($C45,SUP!$B$54:$Q$104,MATCH($B45&amp;"-"&amp;V$7,SUP!$B$54:$Q$54,0),FALSE),"")="","",IFERROR(VLOOKUP($C45,SUP!$B$54:$Q$104,MATCH($B45&amp;"-"&amp;V$7,SUP!$B$54:$Q$54,0),FALSE),"")),"")</f>
        <v/>
      </c>
      <c r="W45" s="441" t="str">
        <f ca="1">IFERROR(1*IF(IFERROR(VLOOKUP($C45,SUP!$B$54:$Q$104,MATCH($B45&amp;"-"&amp;W$7,SUP!$B$54:$Q$54,0),FALSE),"")="","",IFERROR(VLOOKUP($C45,SUP!$B$54:$Q$104,MATCH($B45&amp;"-"&amp;W$7,SUP!$B$54:$Q$54,0),FALSE),"")),"")</f>
        <v/>
      </c>
      <c r="X45" s="441" t="str">
        <f ca="1">IFERROR(1*IF(IFERROR(VLOOKUP($C45,SUP!$B$54:$Q$104,MATCH($B45&amp;"-"&amp;X$7,SUP!$B$54:$Q$54,0),FALSE),"")="","",IFERROR(VLOOKUP($C45,SUP!$B$54:$Q$104,MATCH($B45&amp;"-"&amp;X$7,SUP!$B$54:$Q$54,0),FALSE),"")),"")</f>
        <v/>
      </c>
      <c r="Y45" s="441" t="str">
        <f ca="1">IFERROR(1*IF(IFERROR(VLOOKUP($C45,SUP!$B$54:$Q$104,MATCH($B45&amp;"-"&amp;Y$7,SUP!$B$54:$Q$54,0),FALSE),"")="","",IFERROR(VLOOKUP($C45,SUP!$B$54:$Q$104,MATCH($B45&amp;"-"&amp;Y$7,SUP!$B$54:$Q$54,0),FALSE),"")),"")</f>
        <v/>
      </c>
      <c r="Z45" s="441" t="str">
        <f ca="1">IFERROR(1*IF(IFERROR(VLOOKUP($C45,SUP!$B$54:$Q$104,MATCH($B45&amp;"-"&amp;Z$7,SUP!$B$54:$Q$54,0),FALSE),"")="","",IFERROR(VLOOKUP($C45,SUP!$B$54:$Q$104,MATCH($B45&amp;"-"&amp;Z$7,SUP!$B$54:$Q$54,0),FALSE),"")),"")</f>
        <v/>
      </c>
      <c r="AA45" s="441" t="str">
        <f ca="1">IFERROR(1*IF(IFERROR(VLOOKUP($C45,SUP!$B$54:$Q$104,MATCH($B45&amp;"-"&amp;AA$7,SUP!$B$54:$Q$54,0),FALSE),"")="","",IFERROR(VLOOKUP($C45,SUP!$B$54:$Q$104,MATCH($B45&amp;"-"&amp;AA$7,SUP!$B$54:$Q$54,0),FALSE),"")),"")</f>
        <v/>
      </c>
      <c r="AB45" s="441">
        <f ca="1">IFERROR(1*IF(IFERROR(VLOOKUP($C45,SUP!$B$54:$Q$104,MATCH($B45&amp;"-"&amp;AB$7,SUP!$B$54:$Q$54,0),FALSE),"")="","",IFERROR(VLOOKUP($C45,SUP!$B$54:$Q$104,MATCH($B45&amp;"-"&amp;AB$7,SUP!$B$54:$Q$54,0),FALSE),"")),"")</f>
        <v>18.429697514276832</v>
      </c>
      <c r="AC45" s="441" t="str">
        <f ca="1">IFERROR(1*IF(IFERROR(VLOOKUP($C45,SUP!$B$54:$Q$104,MATCH($B45&amp;"-"&amp;AC$7,SUP!$B$54:$Q$54,0),FALSE),"")="","",IFERROR(VLOOKUP($C45,SUP!$B$54:$Q$104,MATCH($B45&amp;"-"&amp;AC$7,SUP!$B$54:$Q$54,0),FALSE),"")),"")</f>
        <v/>
      </c>
      <c r="AD45" s="441" t="str">
        <f ca="1">IFERROR(1*IF(IFERROR(VLOOKUP($C45,SUP!$B$54:$Q$104,MATCH($B45&amp;"-"&amp;AD$7,SUP!$B$54:$Q$54,0),FALSE),"")="","",IFERROR(VLOOKUP($C45,SUP!$B$54:$Q$104,MATCH($B45&amp;"-"&amp;AD$7,SUP!$B$54:$Q$54,0),FALSE),"")),"")</f>
        <v/>
      </c>
      <c r="AE45" s="441" t="str">
        <f ca="1">IFERROR(1*IF(IFERROR(VLOOKUP($C45,SUP!$B$54:$Q$104,MATCH($B45&amp;"-"&amp;AE$7,SUP!$B$54:$Q$54,0),FALSE),"")="","",IFERROR(VLOOKUP($C45,SUP!$B$54:$Q$104,MATCH($B45&amp;"-"&amp;AE$7,SUP!$B$54:$Q$54,0),FALSE),"")),"")</f>
        <v/>
      </c>
      <c r="AF45" s="441" t="str">
        <f ca="1">IFERROR(1*IF(IFERROR(VLOOKUP($C45,SUP!$B$54:$Q$104,MATCH($B45&amp;"-"&amp;AF$7,SUP!$B$54:$Q$54,0),FALSE),"")="","",IFERROR(VLOOKUP($C45,SUP!$B$54:$Q$104,MATCH($B45&amp;"-"&amp;AF$7,SUP!$B$54:$Q$54,0),FALSE),"")),"")</f>
        <v/>
      </c>
      <c r="AG45" s="441" t="str">
        <f ca="1">IFERROR(1*IF(IFERROR(VLOOKUP($C45,SUP!$B$54:$Q$104,MATCH($B45&amp;"-"&amp;AG$7,SUP!$B$54:$Q$54,0),FALSE),"")="","",IFERROR(VLOOKUP($C45,SUP!$B$54:$Q$104,MATCH($B45&amp;"-"&amp;AG$7,SUP!$B$54:$Q$54,0),FALSE),"")),"")</f>
        <v/>
      </c>
      <c r="AH45" s="441" t="str">
        <f ca="1">IFERROR(1*IF(IFERROR(VLOOKUP($C45,SUP!$B$54:$Q$104,MATCH($B45&amp;"-"&amp;AH$7,SUP!$B$54:$Q$54,0),FALSE),"")="","",IFERROR(VLOOKUP($C45,SUP!$B$54:$Q$104,MATCH($B45&amp;"-"&amp;AH$7,SUP!$B$54:$Q$54,0),FALSE),"")),"")</f>
        <v/>
      </c>
      <c r="AI45" s="441" t="str">
        <f ca="1">IFERROR(1*IF(IFERROR(VLOOKUP($C45,SUP!$B$54:$Q$104,MATCH($B45&amp;"-"&amp;AI$7,SUP!$B$54:$Q$54,0),FALSE),"")="","",IFERROR(VLOOKUP($C45,SUP!$B$54:$Q$104,MATCH($B45&amp;"-"&amp;AI$7,SUP!$B$54:$Q$54,0),FALSE),"")),"")</f>
        <v/>
      </c>
      <c r="AJ45" s="441" t="str">
        <f ca="1">IFERROR(1*IF(IFERROR(VLOOKUP($C45,SUP!$B$54:$Q$104,MATCH($B45&amp;"-"&amp;AJ$7,SUP!$B$54:$Q$54,0),FALSE),"")="","",IFERROR(VLOOKUP($C45,SUP!$B$54:$Q$104,MATCH($B45&amp;"-"&amp;AJ$7,SUP!$B$54:$Q$54,0),FALSE),"")),"")</f>
        <v/>
      </c>
      <c r="AK45" s="441" t="str">
        <f ca="1">IFERROR(1*IF(IFERROR(VLOOKUP($C45,SUP!$B$54:$Q$104,MATCH($B45&amp;"-"&amp;AK$7,SUP!$B$54:$Q$54,0),FALSE),"")="","",IFERROR(VLOOKUP($C45,SUP!$B$54:$Q$104,MATCH($B45&amp;"-"&amp;AK$7,SUP!$B$54:$Q$54,0),FALSE),"")),"")</f>
        <v/>
      </c>
      <c r="AL45" s="441" t="str">
        <f ca="1">IFERROR(1*IF(IFERROR(VLOOKUP($C45,SUP!$B$54:$Q$104,MATCH($B45&amp;"-"&amp;AL$7,SUP!$B$54:$Q$54,0),FALSE),"")="","",IFERROR(VLOOKUP($C45,SUP!$B$54:$Q$104,MATCH($B45&amp;"-"&amp;AL$7,SUP!$B$54:$Q$54,0),FALSE),"")),"")</f>
        <v/>
      </c>
      <c r="AM45" s="441" t="str">
        <f ca="1">IFERROR(1*IF(IFERROR(VLOOKUP($C45,SUP!$B$54:$Q$104,MATCH($B45&amp;"-"&amp;AM$7,SUP!$B$54:$Q$54,0),FALSE),"")="","",IFERROR(VLOOKUP($C45,SUP!$B$54:$Q$104,MATCH($B45&amp;"-"&amp;AM$7,SUP!$B$54:$Q$54,0),FALSE),"")),"")</f>
        <v/>
      </c>
      <c r="AN45" s="441">
        <f ca="1">IFERROR(1*IF(IFERROR(VLOOKUP($C45,SUP!$B$54:$Q$104,MATCH($B45&amp;"-"&amp;AN$7,SUP!$B$54:$Q$54,0),FALSE),"")="","",IFERROR(VLOOKUP($C45,SUP!$B$54:$Q$104,MATCH($B45&amp;"-"&amp;AN$7,SUP!$B$54:$Q$54,0),FALSE),"")),"")</f>
        <v>18.429697514276832</v>
      </c>
      <c r="AO45" s="441" t="str">
        <f ca="1">IFERROR(1*IF(IFERROR(VLOOKUP($C45,SUP!$B$54:$Q$104,MATCH($B45&amp;"-"&amp;AO$7,SUP!$B$54:$Q$54,0),FALSE),"")="","",IFERROR(VLOOKUP($C45,SUP!$B$54:$Q$104,MATCH($B45&amp;"-"&amp;AO$7,SUP!$B$54:$Q$54,0),FALSE),"")),"")</f>
        <v/>
      </c>
      <c r="AR45" s="42">
        <f>IF(AS44=SUP!$B$104,AR44+1,AR44)</f>
        <v>1</v>
      </c>
      <c r="AS45" s="42">
        <f t="shared" si="6"/>
        <v>33</v>
      </c>
    </row>
    <row r="46" spans="1:45">
      <c r="A46" s="42" t="str">
        <f ca="1">IF(LEFT(OFFSET(SUP!$A$57,AS46,0),2)="\I","*","")</f>
        <v/>
      </c>
      <c r="B46" s="440" t="str">
        <f t="shared" ca="1" si="8"/>
        <v>ACT_COST</v>
      </c>
      <c r="C46" s="440" t="str">
        <f ca="1">IF($A46="*","",OFFSET(SUP!$B$57,AS46,0))</f>
        <v>MIRGRN</v>
      </c>
      <c r="D46" s="440" t="str">
        <f t="shared" ca="1" si="7"/>
        <v>-</v>
      </c>
      <c r="E46" s="440" t="str">
        <f t="shared" ca="1" si="7"/>
        <v>-</v>
      </c>
      <c r="F46" s="440" t="str">
        <f t="shared" ca="1" si="7"/>
        <v>-</v>
      </c>
      <c r="G46" s="440" t="str">
        <f t="shared" ca="1" si="7"/>
        <v>-</v>
      </c>
      <c r="H46" s="440" t="str">
        <f t="shared" ca="1" si="5"/>
        <v>-</v>
      </c>
      <c r="I46" s="441" t="str">
        <f ca="1">IF(IFERROR(VLOOKUP($C46,SUP!$B$54:$Q$104,MATCH($B46&amp;"-"&amp;I$7,SUP!$B$54:$Q$54,0),FALSE),"")="","",IFERROR(VLOOKUP($C46,SUP!$B$54:$Q$104,MATCH($B46&amp;"-"&amp;I$7,SUP!$B$54:$Q$54,0),FALSE),""))</f>
        <v/>
      </c>
      <c r="J46" s="441">
        <f ca="1">IFERROR(1*IF(IFERROR(VLOOKUP($C46,SUP!$B$54:$Q$104,MATCH($B46&amp;"-"&amp;J$7,SUP!$B$54:$Q$54,0),FALSE),"")="","",IFERROR(VLOOKUP($C46,SUP!$B$54:$Q$104,MATCH($B46&amp;"-"&amp;J$7,SUP!$B$54:$Q$54,0),FALSE),"")),"")</f>
        <v>84.132985722376887</v>
      </c>
      <c r="K46" s="441" t="str">
        <f ca="1">IFERROR(1*IF(IFERROR(VLOOKUP($C46,SUP!$B$54:$Q$104,MATCH($B46&amp;"-"&amp;K$7,SUP!$B$54:$Q$54,0),FALSE),"")="","",IFERROR(VLOOKUP($C46,SUP!$B$54:$Q$104,MATCH($B46&amp;"-"&amp;K$7,SUP!$B$54:$Q$54,0),FALSE),"")),"")</f>
        <v/>
      </c>
      <c r="L46" s="441" t="str">
        <f ca="1">IFERROR(1*IF(IFERROR(VLOOKUP($C46,SUP!$B$54:$Q$104,MATCH($B46&amp;"-"&amp;L$7,SUP!$B$54:$Q$54,0),FALSE),"")="","",IFERROR(VLOOKUP($C46,SUP!$B$54:$Q$104,MATCH($B46&amp;"-"&amp;L$7,SUP!$B$54:$Q$54,0),FALSE),"")),"")</f>
        <v/>
      </c>
      <c r="M46" s="441">
        <f ca="1">IFERROR(1*IF(IFERROR(VLOOKUP($C46,SUP!$B$54:$Q$104,MATCH($B46&amp;"-"&amp;M$7,SUP!$B$54:$Q$54,0),FALSE),"")="","",IFERROR(VLOOKUP($C46,SUP!$B$54:$Q$104,MATCH($B46&amp;"-"&amp;M$7,SUP!$B$54:$Q$54,0),FALSE),"")),"")</f>
        <v>100.07852866986421</v>
      </c>
      <c r="N46" s="441" t="str">
        <f ca="1">IFERROR(1*IF(IFERROR(VLOOKUP($C46,SUP!$B$54:$Q$104,MATCH($B46&amp;"-"&amp;N$7,SUP!$B$54:$Q$54,0),FALSE),"")="","",IFERROR(VLOOKUP($C46,SUP!$B$54:$Q$104,MATCH($B46&amp;"-"&amp;N$7,SUP!$B$54:$Q$54,0),FALSE),"")),"")</f>
        <v/>
      </c>
      <c r="O46" s="441" t="str">
        <f ca="1">IFERROR(1*IF(IFERROR(VLOOKUP($C46,SUP!$B$54:$Q$104,MATCH($B46&amp;"-"&amp;O$7,SUP!$B$54:$Q$54,0),FALSE),"")="","",IFERROR(VLOOKUP($C46,SUP!$B$54:$Q$104,MATCH($B46&amp;"-"&amp;O$7,SUP!$B$54:$Q$54,0),FALSE),"")),"")</f>
        <v/>
      </c>
      <c r="P46" s="441" t="str">
        <f ca="1">IFERROR(1*IF(IFERROR(VLOOKUP($C46,SUP!$B$54:$Q$104,MATCH($B46&amp;"-"&amp;P$7,SUP!$B$54:$Q$54,0),FALSE),"")="","",IFERROR(VLOOKUP($C46,SUP!$B$54:$Q$104,MATCH($B46&amp;"-"&amp;P$7,SUP!$B$54:$Q$54,0),FALSE),"")),"")</f>
        <v/>
      </c>
      <c r="Q46" s="441" t="str">
        <f ca="1">IFERROR(1*IF(IFERROR(VLOOKUP($C46,SUP!$B$54:$Q$104,MATCH($B46&amp;"-"&amp;Q$7,SUP!$B$54:$Q$54,0),FALSE),"")="","",IFERROR(VLOOKUP($C46,SUP!$B$54:$Q$104,MATCH($B46&amp;"-"&amp;Q$7,SUP!$B$54:$Q$54,0),FALSE),"")),"")</f>
        <v/>
      </c>
      <c r="R46" s="441">
        <f ca="1">IFERROR(1*IF(IFERROR(VLOOKUP($C46,SUP!$B$54:$Q$104,MATCH($B46&amp;"-"&amp;R$7,SUP!$B$54:$Q$54,0),FALSE),"")="","",IFERROR(VLOOKUP($C46,SUP!$B$54:$Q$104,MATCH($B46&amp;"-"&amp;R$7,SUP!$B$54:$Q$54,0),FALSE),"")),"")</f>
        <v>100.07852866986421</v>
      </c>
      <c r="S46" s="441" t="str">
        <f ca="1">IFERROR(1*IF(IFERROR(VLOOKUP($C46,SUP!$B$54:$Q$104,MATCH($B46&amp;"-"&amp;S$7,SUP!$B$54:$Q$54,0),FALSE),"")="","",IFERROR(VLOOKUP($C46,SUP!$B$54:$Q$104,MATCH($B46&amp;"-"&amp;S$7,SUP!$B$54:$Q$54,0),FALSE),"")),"")</f>
        <v/>
      </c>
      <c r="T46" s="441" t="str">
        <f ca="1">IFERROR(1*IF(IFERROR(VLOOKUP($C46,SUP!$B$54:$Q$104,MATCH($B46&amp;"-"&amp;T$7,SUP!$B$54:$Q$54,0),FALSE),"")="","",IFERROR(VLOOKUP($C46,SUP!$B$54:$Q$104,MATCH($B46&amp;"-"&amp;T$7,SUP!$B$54:$Q$54,0),FALSE),"")),"")</f>
        <v/>
      </c>
      <c r="U46" s="441" t="str">
        <f ca="1">IFERROR(1*IF(IFERROR(VLOOKUP($C46,SUP!$B$54:$Q$104,MATCH($B46&amp;"-"&amp;U$7,SUP!$B$54:$Q$54,0),FALSE),"")="","",IFERROR(VLOOKUP($C46,SUP!$B$54:$Q$104,MATCH($B46&amp;"-"&amp;U$7,SUP!$B$54:$Q$54,0),FALSE),"")),"")</f>
        <v/>
      </c>
      <c r="V46" s="441" t="str">
        <f ca="1">IFERROR(1*IF(IFERROR(VLOOKUP($C46,SUP!$B$54:$Q$104,MATCH($B46&amp;"-"&amp;V$7,SUP!$B$54:$Q$54,0),FALSE),"")="","",IFERROR(VLOOKUP($C46,SUP!$B$54:$Q$104,MATCH($B46&amp;"-"&amp;V$7,SUP!$B$54:$Q$54,0),FALSE),"")),"")</f>
        <v/>
      </c>
      <c r="W46" s="441" t="str">
        <f ca="1">IFERROR(1*IF(IFERROR(VLOOKUP($C46,SUP!$B$54:$Q$104,MATCH($B46&amp;"-"&amp;W$7,SUP!$B$54:$Q$54,0),FALSE),"")="","",IFERROR(VLOOKUP($C46,SUP!$B$54:$Q$104,MATCH($B46&amp;"-"&amp;W$7,SUP!$B$54:$Q$54,0),FALSE),"")),"")</f>
        <v/>
      </c>
      <c r="X46" s="441" t="str">
        <f ca="1">IFERROR(1*IF(IFERROR(VLOOKUP($C46,SUP!$B$54:$Q$104,MATCH($B46&amp;"-"&amp;X$7,SUP!$B$54:$Q$54,0),FALSE),"")="","",IFERROR(VLOOKUP($C46,SUP!$B$54:$Q$104,MATCH($B46&amp;"-"&amp;X$7,SUP!$B$54:$Q$54,0),FALSE),"")),"")</f>
        <v/>
      </c>
      <c r="Y46" s="441" t="str">
        <f ca="1">IFERROR(1*IF(IFERROR(VLOOKUP($C46,SUP!$B$54:$Q$104,MATCH($B46&amp;"-"&amp;Y$7,SUP!$B$54:$Q$54,0),FALSE),"")="","",IFERROR(VLOOKUP($C46,SUP!$B$54:$Q$104,MATCH($B46&amp;"-"&amp;Y$7,SUP!$B$54:$Q$54,0),FALSE),"")),"")</f>
        <v/>
      </c>
      <c r="Z46" s="441" t="str">
        <f ca="1">IFERROR(1*IF(IFERROR(VLOOKUP($C46,SUP!$B$54:$Q$104,MATCH($B46&amp;"-"&amp;Z$7,SUP!$B$54:$Q$54,0),FALSE),"")="","",IFERROR(VLOOKUP($C46,SUP!$B$54:$Q$104,MATCH($B46&amp;"-"&amp;Z$7,SUP!$B$54:$Q$54,0),FALSE),"")),"")</f>
        <v/>
      </c>
      <c r="AA46" s="441" t="str">
        <f ca="1">IFERROR(1*IF(IFERROR(VLOOKUP($C46,SUP!$B$54:$Q$104,MATCH($B46&amp;"-"&amp;AA$7,SUP!$B$54:$Q$54,0),FALSE),"")="","",IFERROR(VLOOKUP($C46,SUP!$B$54:$Q$104,MATCH($B46&amp;"-"&amp;AA$7,SUP!$B$54:$Q$54,0),FALSE),"")),"")</f>
        <v/>
      </c>
      <c r="AB46" s="441">
        <f ca="1">IFERROR(1*IF(IFERROR(VLOOKUP($C46,SUP!$B$54:$Q$104,MATCH($B46&amp;"-"&amp;AB$7,SUP!$B$54:$Q$54,0),FALSE),"")="","",IFERROR(VLOOKUP($C46,SUP!$B$54:$Q$104,MATCH($B46&amp;"-"&amp;AB$7,SUP!$B$54:$Q$54,0),FALSE),"")),"")</f>
        <v>100.07852866986421</v>
      </c>
      <c r="AC46" s="441" t="str">
        <f ca="1">IFERROR(1*IF(IFERROR(VLOOKUP($C46,SUP!$B$54:$Q$104,MATCH($B46&amp;"-"&amp;AC$7,SUP!$B$54:$Q$54,0),FALSE),"")="","",IFERROR(VLOOKUP($C46,SUP!$B$54:$Q$104,MATCH($B46&amp;"-"&amp;AC$7,SUP!$B$54:$Q$54,0),FALSE),"")),"")</f>
        <v/>
      </c>
      <c r="AD46" s="441" t="str">
        <f ca="1">IFERROR(1*IF(IFERROR(VLOOKUP($C46,SUP!$B$54:$Q$104,MATCH($B46&amp;"-"&amp;AD$7,SUP!$B$54:$Q$54,0),FALSE),"")="","",IFERROR(VLOOKUP($C46,SUP!$B$54:$Q$104,MATCH($B46&amp;"-"&amp;AD$7,SUP!$B$54:$Q$54,0),FALSE),"")),"")</f>
        <v/>
      </c>
      <c r="AE46" s="441" t="str">
        <f ca="1">IFERROR(1*IF(IFERROR(VLOOKUP($C46,SUP!$B$54:$Q$104,MATCH($B46&amp;"-"&amp;AE$7,SUP!$B$54:$Q$54,0),FALSE),"")="","",IFERROR(VLOOKUP($C46,SUP!$B$54:$Q$104,MATCH($B46&amp;"-"&amp;AE$7,SUP!$B$54:$Q$54,0),FALSE),"")),"")</f>
        <v/>
      </c>
      <c r="AF46" s="441" t="str">
        <f ca="1">IFERROR(1*IF(IFERROR(VLOOKUP($C46,SUP!$B$54:$Q$104,MATCH($B46&amp;"-"&amp;AF$7,SUP!$B$54:$Q$54,0),FALSE),"")="","",IFERROR(VLOOKUP($C46,SUP!$B$54:$Q$104,MATCH($B46&amp;"-"&amp;AF$7,SUP!$B$54:$Q$54,0),FALSE),"")),"")</f>
        <v/>
      </c>
      <c r="AG46" s="441" t="str">
        <f ca="1">IFERROR(1*IF(IFERROR(VLOOKUP($C46,SUP!$B$54:$Q$104,MATCH($B46&amp;"-"&amp;AG$7,SUP!$B$54:$Q$54,0),FALSE),"")="","",IFERROR(VLOOKUP($C46,SUP!$B$54:$Q$104,MATCH($B46&amp;"-"&amp;AG$7,SUP!$B$54:$Q$54,0),FALSE),"")),"")</f>
        <v/>
      </c>
      <c r="AH46" s="441" t="str">
        <f ca="1">IFERROR(1*IF(IFERROR(VLOOKUP($C46,SUP!$B$54:$Q$104,MATCH($B46&amp;"-"&amp;AH$7,SUP!$B$54:$Q$54,0),FALSE),"")="","",IFERROR(VLOOKUP($C46,SUP!$B$54:$Q$104,MATCH($B46&amp;"-"&amp;AH$7,SUP!$B$54:$Q$54,0),FALSE),"")),"")</f>
        <v/>
      </c>
      <c r="AI46" s="441" t="str">
        <f ca="1">IFERROR(1*IF(IFERROR(VLOOKUP($C46,SUP!$B$54:$Q$104,MATCH($B46&amp;"-"&amp;AI$7,SUP!$B$54:$Q$54,0),FALSE),"")="","",IFERROR(VLOOKUP($C46,SUP!$B$54:$Q$104,MATCH($B46&amp;"-"&amp;AI$7,SUP!$B$54:$Q$54,0),FALSE),"")),"")</f>
        <v/>
      </c>
      <c r="AJ46" s="441" t="str">
        <f ca="1">IFERROR(1*IF(IFERROR(VLOOKUP($C46,SUP!$B$54:$Q$104,MATCH($B46&amp;"-"&amp;AJ$7,SUP!$B$54:$Q$54,0),FALSE),"")="","",IFERROR(VLOOKUP($C46,SUP!$B$54:$Q$104,MATCH($B46&amp;"-"&amp;AJ$7,SUP!$B$54:$Q$54,0),FALSE),"")),"")</f>
        <v/>
      </c>
      <c r="AK46" s="441" t="str">
        <f ca="1">IFERROR(1*IF(IFERROR(VLOOKUP($C46,SUP!$B$54:$Q$104,MATCH($B46&amp;"-"&amp;AK$7,SUP!$B$54:$Q$54,0),FALSE),"")="","",IFERROR(VLOOKUP($C46,SUP!$B$54:$Q$104,MATCH($B46&amp;"-"&amp;AK$7,SUP!$B$54:$Q$54,0),FALSE),"")),"")</f>
        <v/>
      </c>
      <c r="AL46" s="441" t="str">
        <f ca="1">IFERROR(1*IF(IFERROR(VLOOKUP($C46,SUP!$B$54:$Q$104,MATCH($B46&amp;"-"&amp;AL$7,SUP!$B$54:$Q$54,0),FALSE),"")="","",IFERROR(VLOOKUP($C46,SUP!$B$54:$Q$104,MATCH($B46&amp;"-"&amp;AL$7,SUP!$B$54:$Q$54,0),FALSE),"")),"")</f>
        <v/>
      </c>
      <c r="AM46" s="441" t="str">
        <f ca="1">IFERROR(1*IF(IFERROR(VLOOKUP($C46,SUP!$B$54:$Q$104,MATCH($B46&amp;"-"&amp;AM$7,SUP!$B$54:$Q$54,0),FALSE),"")="","",IFERROR(VLOOKUP($C46,SUP!$B$54:$Q$104,MATCH($B46&amp;"-"&amp;AM$7,SUP!$B$54:$Q$54,0),FALSE),"")),"")</f>
        <v/>
      </c>
      <c r="AN46" s="441">
        <f ca="1">IFERROR(1*IF(IFERROR(VLOOKUP($C46,SUP!$B$54:$Q$104,MATCH($B46&amp;"-"&amp;AN$7,SUP!$B$54:$Q$54,0),FALSE),"")="","",IFERROR(VLOOKUP($C46,SUP!$B$54:$Q$104,MATCH($B46&amp;"-"&amp;AN$7,SUP!$B$54:$Q$54,0),FALSE),"")),"")</f>
        <v>100.07852866986421</v>
      </c>
      <c r="AO46" s="441" t="str">
        <f ca="1">IFERROR(1*IF(IFERROR(VLOOKUP($C46,SUP!$B$54:$Q$104,MATCH($B46&amp;"-"&amp;AO$7,SUP!$B$54:$Q$54,0),FALSE),"")="","",IFERROR(VLOOKUP($C46,SUP!$B$54:$Q$104,MATCH($B46&amp;"-"&amp;AO$7,SUP!$B$54:$Q$54,0),FALSE),"")),"")</f>
        <v/>
      </c>
      <c r="AR46" s="42">
        <f>IF(AS45=SUP!$B$104,AR45+1,AR45)</f>
        <v>1</v>
      </c>
      <c r="AS46" s="42">
        <f t="shared" si="6"/>
        <v>34</v>
      </c>
    </row>
    <row r="47" spans="1:45">
      <c r="A47" s="42" t="str">
        <f ca="1">IF(LEFT(OFFSET(SUP!$A$57,AS47,0),2)="\I","*","")</f>
        <v/>
      </c>
      <c r="B47" s="440" t="str">
        <f t="shared" ca="1" si="8"/>
        <v>ACT_COST</v>
      </c>
      <c r="C47" s="440" t="str">
        <f ca="1">IF($A47="*","",OFFSET(SUP!$B$57,AS47,0))</f>
        <v>MIRGRS</v>
      </c>
      <c r="D47" s="440" t="str">
        <f t="shared" ca="1" si="7"/>
        <v>-</v>
      </c>
      <c r="E47" s="440" t="str">
        <f t="shared" ca="1" si="7"/>
        <v>-</v>
      </c>
      <c r="F47" s="440" t="str">
        <f t="shared" ca="1" si="7"/>
        <v>-</v>
      </c>
      <c r="G47" s="440" t="str">
        <f t="shared" ca="1" si="7"/>
        <v>-</v>
      </c>
      <c r="H47" s="440" t="str">
        <f t="shared" ca="1" si="5"/>
        <v>-</v>
      </c>
      <c r="I47" s="441">
        <f ca="1">IF(IFERROR(VLOOKUP($C47,SUP!$B$54:$Q$104,MATCH($B47&amp;"-"&amp;I$7,SUP!$B$54:$Q$54,0),FALSE),"")="","",IFERROR(VLOOKUP($C47,SUP!$B$54:$Q$104,MATCH($B47&amp;"-"&amp;I$7,SUP!$B$54:$Q$54,0),FALSE),""))</f>
        <v>0</v>
      </c>
      <c r="J47" s="441">
        <f ca="1">IFERROR(1*IF(IFERROR(VLOOKUP($C47,SUP!$B$54:$Q$104,MATCH($B47&amp;"-"&amp;J$7,SUP!$B$54:$Q$54,0),FALSE),"")="","",IFERROR(VLOOKUP($C47,SUP!$B$54:$Q$104,MATCH($B47&amp;"-"&amp;J$7,SUP!$B$54:$Q$54,0),FALSE),"")),"")</f>
        <v>84.132985722376887</v>
      </c>
      <c r="K47" s="441" t="str">
        <f ca="1">IFERROR(1*IF(IFERROR(VLOOKUP($C47,SUP!$B$54:$Q$104,MATCH($B47&amp;"-"&amp;K$7,SUP!$B$54:$Q$54,0),FALSE),"")="","",IFERROR(VLOOKUP($C47,SUP!$B$54:$Q$104,MATCH($B47&amp;"-"&amp;K$7,SUP!$B$54:$Q$54,0),FALSE),"")),"")</f>
        <v/>
      </c>
      <c r="L47" s="441" t="str">
        <f ca="1">IFERROR(1*IF(IFERROR(VLOOKUP($C47,SUP!$B$54:$Q$104,MATCH($B47&amp;"-"&amp;L$7,SUP!$B$54:$Q$54,0),FALSE),"")="","",IFERROR(VLOOKUP($C47,SUP!$B$54:$Q$104,MATCH($B47&amp;"-"&amp;L$7,SUP!$B$54:$Q$54,0),FALSE),"")),"")</f>
        <v/>
      </c>
      <c r="M47" s="441">
        <f ca="1">IFERROR(1*IF(IFERROR(VLOOKUP($C47,SUP!$B$54:$Q$104,MATCH($B47&amp;"-"&amp;M$7,SUP!$B$54:$Q$54,0),FALSE),"")="","",IFERROR(VLOOKUP($C47,SUP!$B$54:$Q$104,MATCH($B47&amp;"-"&amp;M$7,SUP!$B$54:$Q$54,0),FALSE),"")),"")</f>
        <v>100.07852866986421</v>
      </c>
      <c r="N47" s="441" t="str">
        <f ca="1">IFERROR(1*IF(IFERROR(VLOOKUP($C47,SUP!$B$54:$Q$104,MATCH($B47&amp;"-"&amp;N$7,SUP!$B$54:$Q$54,0),FALSE),"")="","",IFERROR(VLOOKUP($C47,SUP!$B$54:$Q$104,MATCH($B47&amp;"-"&amp;N$7,SUP!$B$54:$Q$54,0),FALSE),"")),"")</f>
        <v/>
      </c>
      <c r="O47" s="441" t="str">
        <f ca="1">IFERROR(1*IF(IFERROR(VLOOKUP($C47,SUP!$B$54:$Q$104,MATCH($B47&amp;"-"&amp;O$7,SUP!$B$54:$Q$54,0),FALSE),"")="","",IFERROR(VLOOKUP($C47,SUP!$B$54:$Q$104,MATCH($B47&amp;"-"&amp;O$7,SUP!$B$54:$Q$54,0),FALSE),"")),"")</f>
        <v/>
      </c>
      <c r="P47" s="441" t="str">
        <f ca="1">IFERROR(1*IF(IFERROR(VLOOKUP($C47,SUP!$B$54:$Q$104,MATCH($B47&amp;"-"&amp;P$7,SUP!$B$54:$Q$54,0),FALSE),"")="","",IFERROR(VLOOKUP($C47,SUP!$B$54:$Q$104,MATCH($B47&amp;"-"&amp;P$7,SUP!$B$54:$Q$54,0),FALSE),"")),"")</f>
        <v/>
      </c>
      <c r="Q47" s="441" t="str">
        <f ca="1">IFERROR(1*IF(IFERROR(VLOOKUP($C47,SUP!$B$54:$Q$104,MATCH($B47&amp;"-"&amp;Q$7,SUP!$B$54:$Q$54,0),FALSE),"")="","",IFERROR(VLOOKUP($C47,SUP!$B$54:$Q$104,MATCH($B47&amp;"-"&amp;Q$7,SUP!$B$54:$Q$54,0),FALSE),"")),"")</f>
        <v/>
      </c>
      <c r="R47" s="441">
        <f ca="1">IFERROR(1*IF(IFERROR(VLOOKUP($C47,SUP!$B$54:$Q$104,MATCH($B47&amp;"-"&amp;R$7,SUP!$B$54:$Q$54,0),FALSE),"")="","",IFERROR(VLOOKUP($C47,SUP!$B$54:$Q$104,MATCH($B47&amp;"-"&amp;R$7,SUP!$B$54:$Q$54,0),FALSE),"")),"")</f>
        <v>100.07852866986421</v>
      </c>
      <c r="S47" s="441" t="str">
        <f ca="1">IFERROR(1*IF(IFERROR(VLOOKUP($C47,SUP!$B$54:$Q$104,MATCH($B47&amp;"-"&amp;S$7,SUP!$B$54:$Q$54,0),FALSE),"")="","",IFERROR(VLOOKUP($C47,SUP!$B$54:$Q$104,MATCH($B47&amp;"-"&amp;S$7,SUP!$B$54:$Q$54,0),FALSE),"")),"")</f>
        <v/>
      </c>
      <c r="T47" s="441" t="str">
        <f ca="1">IFERROR(1*IF(IFERROR(VLOOKUP($C47,SUP!$B$54:$Q$104,MATCH($B47&amp;"-"&amp;T$7,SUP!$B$54:$Q$54,0),FALSE),"")="","",IFERROR(VLOOKUP($C47,SUP!$B$54:$Q$104,MATCH($B47&amp;"-"&amp;T$7,SUP!$B$54:$Q$54,0),FALSE),"")),"")</f>
        <v/>
      </c>
      <c r="U47" s="441" t="str">
        <f ca="1">IFERROR(1*IF(IFERROR(VLOOKUP($C47,SUP!$B$54:$Q$104,MATCH($B47&amp;"-"&amp;U$7,SUP!$B$54:$Q$54,0),FALSE),"")="","",IFERROR(VLOOKUP($C47,SUP!$B$54:$Q$104,MATCH($B47&amp;"-"&amp;U$7,SUP!$B$54:$Q$54,0),FALSE),"")),"")</f>
        <v/>
      </c>
      <c r="V47" s="441" t="str">
        <f ca="1">IFERROR(1*IF(IFERROR(VLOOKUP($C47,SUP!$B$54:$Q$104,MATCH($B47&amp;"-"&amp;V$7,SUP!$B$54:$Q$54,0),FALSE),"")="","",IFERROR(VLOOKUP($C47,SUP!$B$54:$Q$104,MATCH($B47&amp;"-"&amp;V$7,SUP!$B$54:$Q$54,0),FALSE),"")),"")</f>
        <v/>
      </c>
      <c r="W47" s="441" t="str">
        <f ca="1">IFERROR(1*IF(IFERROR(VLOOKUP($C47,SUP!$B$54:$Q$104,MATCH($B47&amp;"-"&amp;W$7,SUP!$B$54:$Q$54,0),FALSE),"")="","",IFERROR(VLOOKUP($C47,SUP!$B$54:$Q$104,MATCH($B47&amp;"-"&amp;W$7,SUP!$B$54:$Q$54,0),FALSE),"")),"")</f>
        <v/>
      </c>
      <c r="X47" s="441" t="str">
        <f ca="1">IFERROR(1*IF(IFERROR(VLOOKUP($C47,SUP!$B$54:$Q$104,MATCH($B47&amp;"-"&amp;X$7,SUP!$B$54:$Q$54,0),FALSE),"")="","",IFERROR(VLOOKUP($C47,SUP!$B$54:$Q$104,MATCH($B47&amp;"-"&amp;X$7,SUP!$B$54:$Q$54,0),FALSE),"")),"")</f>
        <v/>
      </c>
      <c r="Y47" s="441" t="str">
        <f ca="1">IFERROR(1*IF(IFERROR(VLOOKUP($C47,SUP!$B$54:$Q$104,MATCH($B47&amp;"-"&amp;Y$7,SUP!$B$54:$Q$54,0),FALSE),"")="","",IFERROR(VLOOKUP($C47,SUP!$B$54:$Q$104,MATCH($B47&amp;"-"&amp;Y$7,SUP!$B$54:$Q$54,0),FALSE),"")),"")</f>
        <v/>
      </c>
      <c r="Z47" s="441" t="str">
        <f ca="1">IFERROR(1*IF(IFERROR(VLOOKUP($C47,SUP!$B$54:$Q$104,MATCH($B47&amp;"-"&amp;Z$7,SUP!$B$54:$Q$54,0),FALSE),"")="","",IFERROR(VLOOKUP($C47,SUP!$B$54:$Q$104,MATCH($B47&amp;"-"&amp;Z$7,SUP!$B$54:$Q$54,0),FALSE),"")),"")</f>
        <v/>
      </c>
      <c r="AA47" s="441" t="str">
        <f ca="1">IFERROR(1*IF(IFERROR(VLOOKUP($C47,SUP!$B$54:$Q$104,MATCH($B47&amp;"-"&amp;AA$7,SUP!$B$54:$Q$54,0),FALSE),"")="","",IFERROR(VLOOKUP($C47,SUP!$B$54:$Q$104,MATCH($B47&amp;"-"&amp;AA$7,SUP!$B$54:$Q$54,0),FALSE),"")),"")</f>
        <v/>
      </c>
      <c r="AB47" s="441">
        <f ca="1">IFERROR(1*IF(IFERROR(VLOOKUP($C47,SUP!$B$54:$Q$104,MATCH($B47&amp;"-"&amp;AB$7,SUP!$B$54:$Q$54,0),FALSE),"")="","",IFERROR(VLOOKUP($C47,SUP!$B$54:$Q$104,MATCH($B47&amp;"-"&amp;AB$7,SUP!$B$54:$Q$54,0),FALSE),"")),"")</f>
        <v>100.07852866986421</v>
      </c>
      <c r="AC47" s="441" t="str">
        <f ca="1">IFERROR(1*IF(IFERROR(VLOOKUP($C47,SUP!$B$54:$Q$104,MATCH($B47&amp;"-"&amp;AC$7,SUP!$B$54:$Q$54,0),FALSE),"")="","",IFERROR(VLOOKUP($C47,SUP!$B$54:$Q$104,MATCH($B47&amp;"-"&amp;AC$7,SUP!$B$54:$Q$54,0),FALSE),"")),"")</f>
        <v/>
      </c>
      <c r="AD47" s="441" t="str">
        <f ca="1">IFERROR(1*IF(IFERROR(VLOOKUP($C47,SUP!$B$54:$Q$104,MATCH($B47&amp;"-"&amp;AD$7,SUP!$B$54:$Q$54,0),FALSE),"")="","",IFERROR(VLOOKUP($C47,SUP!$B$54:$Q$104,MATCH($B47&amp;"-"&amp;AD$7,SUP!$B$54:$Q$54,0),FALSE),"")),"")</f>
        <v/>
      </c>
      <c r="AE47" s="441" t="str">
        <f ca="1">IFERROR(1*IF(IFERROR(VLOOKUP($C47,SUP!$B$54:$Q$104,MATCH($B47&amp;"-"&amp;AE$7,SUP!$B$54:$Q$54,0),FALSE),"")="","",IFERROR(VLOOKUP($C47,SUP!$B$54:$Q$104,MATCH($B47&amp;"-"&amp;AE$7,SUP!$B$54:$Q$54,0),FALSE),"")),"")</f>
        <v/>
      </c>
      <c r="AF47" s="441" t="str">
        <f ca="1">IFERROR(1*IF(IFERROR(VLOOKUP($C47,SUP!$B$54:$Q$104,MATCH($B47&amp;"-"&amp;AF$7,SUP!$B$54:$Q$54,0),FALSE),"")="","",IFERROR(VLOOKUP($C47,SUP!$B$54:$Q$104,MATCH($B47&amp;"-"&amp;AF$7,SUP!$B$54:$Q$54,0),FALSE),"")),"")</f>
        <v/>
      </c>
      <c r="AG47" s="441" t="str">
        <f ca="1">IFERROR(1*IF(IFERROR(VLOOKUP($C47,SUP!$B$54:$Q$104,MATCH($B47&amp;"-"&amp;AG$7,SUP!$B$54:$Q$54,0),FALSE),"")="","",IFERROR(VLOOKUP($C47,SUP!$B$54:$Q$104,MATCH($B47&amp;"-"&amp;AG$7,SUP!$B$54:$Q$54,0),FALSE),"")),"")</f>
        <v/>
      </c>
      <c r="AH47" s="441" t="str">
        <f ca="1">IFERROR(1*IF(IFERROR(VLOOKUP($C47,SUP!$B$54:$Q$104,MATCH($B47&amp;"-"&amp;AH$7,SUP!$B$54:$Q$54,0),FALSE),"")="","",IFERROR(VLOOKUP($C47,SUP!$B$54:$Q$104,MATCH($B47&amp;"-"&amp;AH$7,SUP!$B$54:$Q$54,0),FALSE),"")),"")</f>
        <v/>
      </c>
      <c r="AI47" s="441" t="str">
        <f ca="1">IFERROR(1*IF(IFERROR(VLOOKUP($C47,SUP!$B$54:$Q$104,MATCH($B47&amp;"-"&amp;AI$7,SUP!$B$54:$Q$54,0),FALSE),"")="","",IFERROR(VLOOKUP($C47,SUP!$B$54:$Q$104,MATCH($B47&amp;"-"&amp;AI$7,SUP!$B$54:$Q$54,0),FALSE),"")),"")</f>
        <v/>
      </c>
      <c r="AJ47" s="441" t="str">
        <f ca="1">IFERROR(1*IF(IFERROR(VLOOKUP($C47,SUP!$B$54:$Q$104,MATCH($B47&amp;"-"&amp;AJ$7,SUP!$B$54:$Q$54,0),FALSE),"")="","",IFERROR(VLOOKUP($C47,SUP!$B$54:$Q$104,MATCH($B47&amp;"-"&amp;AJ$7,SUP!$B$54:$Q$54,0),FALSE),"")),"")</f>
        <v/>
      </c>
      <c r="AK47" s="441" t="str">
        <f ca="1">IFERROR(1*IF(IFERROR(VLOOKUP($C47,SUP!$B$54:$Q$104,MATCH($B47&amp;"-"&amp;AK$7,SUP!$B$54:$Q$54,0),FALSE),"")="","",IFERROR(VLOOKUP($C47,SUP!$B$54:$Q$104,MATCH($B47&amp;"-"&amp;AK$7,SUP!$B$54:$Q$54,0),FALSE),"")),"")</f>
        <v/>
      </c>
      <c r="AL47" s="441" t="str">
        <f ca="1">IFERROR(1*IF(IFERROR(VLOOKUP($C47,SUP!$B$54:$Q$104,MATCH($B47&amp;"-"&amp;AL$7,SUP!$B$54:$Q$54,0),FALSE),"")="","",IFERROR(VLOOKUP($C47,SUP!$B$54:$Q$104,MATCH($B47&amp;"-"&amp;AL$7,SUP!$B$54:$Q$54,0),FALSE),"")),"")</f>
        <v/>
      </c>
      <c r="AM47" s="441" t="str">
        <f ca="1">IFERROR(1*IF(IFERROR(VLOOKUP($C47,SUP!$B$54:$Q$104,MATCH($B47&amp;"-"&amp;AM$7,SUP!$B$54:$Q$54,0),FALSE),"")="","",IFERROR(VLOOKUP($C47,SUP!$B$54:$Q$104,MATCH($B47&amp;"-"&amp;AM$7,SUP!$B$54:$Q$54,0),FALSE),"")),"")</f>
        <v/>
      </c>
      <c r="AN47" s="441">
        <f ca="1">IFERROR(1*IF(IFERROR(VLOOKUP($C47,SUP!$B$54:$Q$104,MATCH($B47&amp;"-"&amp;AN$7,SUP!$B$54:$Q$54,0),FALSE),"")="","",IFERROR(VLOOKUP($C47,SUP!$B$54:$Q$104,MATCH($B47&amp;"-"&amp;AN$7,SUP!$B$54:$Q$54,0),FALSE),"")),"")</f>
        <v>100.07852866986421</v>
      </c>
      <c r="AO47" s="441" t="str">
        <f ca="1">IFERROR(1*IF(IFERROR(VLOOKUP($C47,SUP!$B$54:$Q$104,MATCH($B47&amp;"-"&amp;AO$7,SUP!$B$54:$Q$54,0),FALSE),"")="","",IFERROR(VLOOKUP($C47,SUP!$B$54:$Q$104,MATCH($B47&amp;"-"&amp;AO$7,SUP!$B$54:$Q$54,0),FALSE),"")),"")</f>
        <v/>
      </c>
      <c r="AR47" s="42">
        <f>IF(AS46=SUP!$B$104,AR46+1,AR46)</f>
        <v>1</v>
      </c>
      <c r="AS47" s="42">
        <f t="shared" si="6"/>
        <v>35</v>
      </c>
    </row>
    <row r="48" spans="1:45">
      <c r="A48" s="42" t="str">
        <f ca="1">IF(LEFT(OFFSET(SUP!$A$57,AS48,0),2)="\I","*","")</f>
        <v/>
      </c>
      <c r="B48" s="440" t="str">
        <f t="shared" ca="1" si="8"/>
        <v>ACT_COST</v>
      </c>
      <c r="C48" s="440" t="str">
        <f ca="1">IF($A48="*","",OFFSET(SUP!$B$57,AS48,0))</f>
        <v>MIRGRM</v>
      </c>
      <c r="D48" s="440" t="str">
        <f t="shared" ca="1" si="7"/>
        <v>-</v>
      </c>
      <c r="E48" s="440" t="str">
        <f t="shared" ca="1" si="7"/>
        <v>-</v>
      </c>
      <c r="F48" s="440" t="str">
        <f t="shared" ca="1" si="7"/>
        <v>-</v>
      </c>
      <c r="G48" s="440" t="str">
        <f t="shared" ca="1" si="7"/>
        <v>-</v>
      </c>
      <c r="H48" s="440" t="str">
        <f t="shared" ca="1" si="5"/>
        <v>-</v>
      </c>
      <c r="I48" s="441">
        <f ca="1">IF(IFERROR(VLOOKUP($C48,SUP!$B$54:$Q$104,MATCH($B48&amp;"-"&amp;I$7,SUP!$B$54:$Q$54,0),FALSE),"")="","",IFERROR(VLOOKUP($C48,SUP!$B$54:$Q$104,MATCH($B48&amp;"-"&amp;I$7,SUP!$B$54:$Q$54,0),FALSE),""))</f>
        <v>0</v>
      </c>
      <c r="J48" s="441">
        <f ca="1">IFERROR(1*IF(IFERROR(VLOOKUP($C48,SUP!$B$54:$Q$104,MATCH($B48&amp;"-"&amp;J$7,SUP!$B$54:$Q$54,0),FALSE),"")="","",IFERROR(VLOOKUP($C48,SUP!$B$54:$Q$104,MATCH($B48&amp;"-"&amp;J$7,SUP!$B$54:$Q$54,0),FALSE),"")),"")</f>
        <v>84.132985722376887</v>
      </c>
      <c r="K48" s="441" t="str">
        <f ca="1">IFERROR(1*IF(IFERROR(VLOOKUP($C48,SUP!$B$54:$Q$104,MATCH($B48&amp;"-"&amp;K$7,SUP!$B$54:$Q$54,0),FALSE),"")="","",IFERROR(VLOOKUP($C48,SUP!$B$54:$Q$104,MATCH($B48&amp;"-"&amp;K$7,SUP!$B$54:$Q$54,0),FALSE),"")),"")</f>
        <v/>
      </c>
      <c r="L48" s="441" t="str">
        <f ca="1">IFERROR(1*IF(IFERROR(VLOOKUP($C48,SUP!$B$54:$Q$104,MATCH($B48&amp;"-"&amp;L$7,SUP!$B$54:$Q$54,0),FALSE),"")="","",IFERROR(VLOOKUP($C48,SUP!$B$54:$Q$104,MATCH($B48&amp;"-"&amp;L$7,SUP!$B$54:$Q$54,0),FALSE),"")),"")</f>
        <v/>
      </c>
      <c r="M48" s="441">
        <f ca="1">IFERROR(1*IF(IFERROR(VLOOKUP($C48,SUP!$B$54:$Q$104,MATCH($B48&amp;"-"&amp;M$7,SUP!$B$54:$Q$54,0),FALSE),"")="","",IFERROR(VLOOKUP($C48,SUP!$B$54:$Q$104,MATCH($B48&amp;"-"&amp;M$7,SUP!$B$54:$Q$54,0),FALSE),"")),"")</f>
        <v>100.07852866986421</v>
      </c>
      <c r="N48" s="441" t="str">
        <f ca="1">IFERROR(1*IF(IFERROR(VLOOKUP($C48,SUP!$B$54:$Q$104,MATCH($B48&amp;"-"&amp;N$7,SUP!$B$54:$Q$54,0),FALSE),"")="","",IFERROR(VLOOKUP($C48,SUP!$B$54:$Q$104,MATCH($B48&amp;"-"&amp;N$7,SUP!$B$54:$Q$54,0),FALSE),"")),"")</f>
        <v/>
      </c>
      <c r="O48" s="441" t="str">
        <f ca="1">IFERROR(1*IF(IFERROR(VLOOKUP($C48,SUP!$B$54:$Q$104,MATCH($B48&amp;"-"&amp;O$7,SUP!$B$54:$Q$54,0),FALSE),"")="","",IFERROR(VLOOKUP($C48,SUP!$B$54:$Q$104,MATCH($B48&amp;"-"&amp;O$7,SUP!$B$54:$Q$54,0),FALSE),"")),"")</f>
        <v/>
      </c>
      <c r="P48" s="441" t="str">
        <f ca="1">IFERROR(1*IF(IFERROR(VLOOKUP($C48,SUP!$B$54:$Q$104,MATCH($B48&amp;"-"&amp;P$7,SUP!$B$54:$Q$54,0),FALSE),"")="","",IFERROR(VLOOKUP($C48,SUP!$B$54:$Q$104,MATCH($B48&amp;"-"&amp;P$7,SUP!$B$54:$Q$54,0),FALSE),"")),"")</f>
        <v/>
      </c>
      <c r="Q48" s="441" t="str">
        <f ca="1">IFERROR(1*IF(IFERROR(VLOOKUP($C48,SUP!$B$54:$Q$104,MATCH($B48&amp;"-"&amp;Q$7,SUP!$B$54:$Q$54,0),FALSE),"")="","",IFERROR(VLOOKUP($C48,SUP!$B$54:$Q$104,MATCH($B48&amp;"-"&amp;Q$7,SUP!$B$54:$Q$54,0),FALSE),"")),"")</f>
        <v/>
      </c>
      <c r="R48" s="441">
        <f ca="1">IFERROR(1*IF(IFERROR(VLOOKUP($C48,SUP!$B$54:$Q$104,MATCH($B48&amp;"-"&amp;R$7,SUP!$B$54:$Q$54,0),FALSE),"")="","",IFERROR(VLOOKUP($C48,SUP!$B$54:$Q$104,MATCH($B48&amp;"-"&amp;R$7,SUP!$B$54:$Q$54,0),FALSE),"")),"")</f>
        <v>100.07852866986421</v>
      </c>
      <c r="S48" s="441" t="str">
        <f ca="1">IFERROR(1*IF(IFERROR(VLOOKUP($C48,SUP!$B$54:$Q$104,MATCH($B48&amp;"-"&amp;S$7,SUP!$B$54:$Q$54,0),FALSE),"")="","",IFERROR(VLOOKUP($C48,SUP!$B$54:$Q$104,MATCH($B48&amp;"-"&amp;S$7,SUP!$B$54:$Q$54,0),FALSE),"")),"")</f>
        <v/>
      </c>
      <c r="T48" s="441" t="str">
        <f ca="1">IFERROR(1*IF(IFERROR(VLOOKUP($C48,SUP!$B$54:$Q$104,MATCH($B48&amp;"-"&amp;T$7,SUP!$B$54:$Q$54,0),FALSE),"")="","",IFERROR(VLOOKUP($C48,SUP!$B$54:$Q$104,MATCH($B48&amp;"-"&amp;T$7,SUP!$B$54:$Q$54,0),FALSE),"")),"")</f>
        <v/>
      </c>
      <c r="U48" s="441" t="str">
        <f ca="1">IFERROR(1*IF(IFERROR(VLOOKUP($C48,SUP!$B$54:$Q$104,MATCH($B48&amp;"-"&amp;U$7,SUP!$B$54:$Q$54,0),FALSE),"")="","",IFERROR(VLOOKUP($C48,SUP!$B$54:$Q$104,MATCH($B48&amp;"-"&amp;U$7,SUP!$B$54:$Q$54,0),FALSE),"")),"")</f>
        <v/>
      </c>
      <c r="V48" s="441" t="str">
        <f ca="1">IFERROR(1*IF(IFERROR(VLOOKUP($C48,SUP!$B$54:$Q$104,MATCH($B48&amp;"-"&amp;V$7,SUP!$B$54:$Q$54,0),FALSE),"")="","",IFERROR(VLOOKUP($C48,SUP!$B$54:$Q$104,MATCH($B48&amp;"-"&amp;V$7,SUP!$B$54:$Q$54,0),FALSE),"")),"")</f>
        <v/>
      </c>
      <c r="W48" s="441" t="str">
        <f ca="1">IFERROR(1*IF(IFERROR(VLOOKUP($C48,SUP!$B$54:$Q$104,MATCH($B48&amp;"-"&amp;W$7,SUP!$B$54:$Q$54,0),FALSE),"")="","",IFERROR(VLOOKUP($C48,SUP!$B$54:$Q$104,MATCH($B48&amp;"-"&amp;W$7,SUP!$B$54:$Q$54,0),FALSE),"")),"")</f>
        <v/>
      </c>
      <c r="X48" s="441" t="str">
        <f ca="1">IFERROR(1*IF(IFERROR(VLOOKUP($C48,SUP!$B$54:$Q$104,MATCH($B48&amp;"-"&amp;X$7,SUP!$B$54:$Q$54,0),FALSE),"")="","",IFERROR(VLOOKUP($C48,SUP!$B$54:$Q$104,MATCH($B48&amp;"-"&amp;X$7,SUP!$B$54:$Q$54,0),FALSE),"")),"")</f>
        <v/>
      </c>
      <c r="Y48" s="441" t="str">
        <f ca="1">IFERROR(1*IF(IFERROR(VLOOKUP($C48,SUP!$B$54:$Q$104,MATCH($B48&amp;"-"&amp;Y$7,SUP!$B$54:$Q$54,0),FALSE),"")="","",IFERROR(VLOOKUP($C48,SUP!$B$54:$Q$104,MATCH($B48&amp;"-"&amp;Y$7,SUP!$B$54:$Q$54,0),FALSE),"")),"")</f>
        <v/>
      </c>
      <c r="Z48" s="441" t="str">
        <f ca="1">IFERROR(1*IF(IFERROR(VLOOKUP($C48,SUP!$B$54:$Q$104,MATCH($B48&amp;"-"&amp;Z$7,SUP!$B$54:$Q$54,0),FALSE),"")="","",IFERROR(VLOOKUP($C48,SUP!$B$54:$Q$104,MATCH($B48&amp;"-"&amp;Z$7,SUP!$B$54:$Q$54,0),FALSE),"")),"")</f>
        <v/>
      </c>
      <c r="AA48" s="441" t="str">
        <f ca="1">IFERROR(1*IF(IFERROR(VLOOKUP($C48,SUP!$B$54:$Q$104,MATCH($B48&amp;"-"&amp;AA$7,SUP!$B$54:$Q$54,0),FALSE),"")="","",IFERROR(VLOOKUP($C48,SUP!$B$54:$Q$104,MATCH($B48&amp;"-"&amp;AA$7,SUP!$B$54:$Q$54,0),FALSE),"")),"")</f>
        <v/>
      </c>
      <c r="AB48" s="441">
        <f ca="1">IFERROR(1*IF(IFERROR(VLOOKUP($C48,SUP!$B$54:$Q$104,MATCH($B48&amp;"-"&amp;AB$7,SUP!$B$54:$Q$54,0),FALSE),"")="","",IFERROR(VLOOKUP($C48,SUP!$B$54:$Q$104,MATCH($B48&amp;"-"&amp;AB$7,SUP!$B$54:$Q$54,0),FALSE),"")),"")</f>
        <v>100.07852866986421</v>
      </c>
      <c r="AC48" s="441" t="str">
        <f ca="1">IFERROR(1*IF(IFERROR(VLOOKUP($C48,SUP!$B$54:$Q$104,MATCH($B48&amp;"-"&amp;AC$7,SUP!$B$54:$Q$54,0),FALSE),"")="","",IFERROR(VLOOKUP($C48,SUP!$B$54:$Q$104,MATCH($B48&amp;"-"&amp;AC$7,SUP!$B$54:$Q$54,0),FALSE),"")),"")</f>
        <v/>
      </c>
      <c r="AD48" s="441" t="str">
        <f ca="1">IFERROR(1*IF(IFERROR(VLOOKUP($C48,SUP!$B$54:$Q$104,MATCH($B48&amp;"-"&amp;AD$7,SUP!$B$54:$Q$54,0),FALSE),"")="","",IFERROR(VLOOKUP($C48,SUP!$B$54:$Q$104,MATCH($B48&amp;"-"&amp;AD$7,SUP!$B$54:$Q$54,0),FALSE),"")),"")</f>
        <v/>
      </c>
      <c r="AE48" s="441" t="str">
        <f ca="1">IFERROR(1*IF(IFERROR(VLOOKUP($C48,SUP!$B$54:$Q$104,MATCH($B48&amp;"-"&amp;AE$7,SUP!$B$54:$Q$54,0),FALSE),"")="","",IFERROR(VLOOKUP($C48,SUP!$B$54:$Q$104,MATCH($B48&amp;"-"&amp;AE$7,SUP!$B$54:$Q$54,0),FALSE),"")),"")</f>
        <v/>
      </c>
      <c r="AF48" s="441" t="str">
        <f ca="1">IFERROR(1*IF(IFERROR(VLOOKUP($C48,SUP!$B$54:$Q$104,MATCH($B48&amp;"-"&amp;AF$7,SUP!$B$54:$Q$54,0),FALSE),"")="","",IFERROR(VLOOKUP($C48,SUP!$B$54:$Q$104,MATCH($B48&amp;"-"&amp;AF$7,SUP!$B$54:$Q$54,0),FALSE),"")),"")</f>
        <v/>
      </c>
      <c r="AG48" s="441" t="str">
        <f ca="1">IFERROR(1*IF(IFERROR(VLOOKUP($C48,SUP!$B$54:$Q$104,MATCH($B48&amp;"-"&amp;AG$7,SUP!$B$54:$Q$54,0),FALSE),"")="","",IFERROR(VLOOKUP($C48,SUP!$B$54:$Q$104,MATCH($B48&amp;"-"&amp;AG$7,SUP!$B$54:$Q$54,0),FALSE),"")),"")</f>
        <v/>
      </c>
      <c r="AH48" s="441" t="str">
        <f ca="1">IFERROR(1*IF(IFERROR(VLOOKUP($C48,SUP!$B$54:$Q$104,MATCH($B48&amp;"-"&amp;AH$7,SUP!$B$54:$Q$54,0),FALSE),"")="","",IFERROR(VLOOKUP($C48,SUP!$B$54:$Q$104,MATCH($B48&amp;"-"&amp;AH$7,SUP!$B$54:$Q$54,0),FALSE),"")),"")</f>
        <v/>
      </c>
      <c r="AI48" s="441" t="str">
        <f ca="1">IFERROR(1*IF(IFERROR(VLOOKUP($C48,SUP!$B$54:$Q$104,MATCH($B48&amp;"-"&amp;AI$7,SUP!$B$54:$Q$54,0),FALSE),"")="","",IFERROR(VLOOKUP($C48,SUP!$B$54:$Q$104,MATCH($B48&amp;"-"&amp;AI$7,SUP!$B$54:$Q$54,0),FALSE),"")),"")</f>
        <v/>
      </c>
      <c r="AJ48" s="441" t="str">
        <f ca="1">IFERROR(1*IF(IFERROR(VLOOKUP($C48,SUP!$B$54:$Q$104,MATCH($B48&amp;"-"&amp;AJ$7,SUP!$B$54:$Q$54,0),FALSE),"")="","",IFERROR(VLOOKUP($C48,SUP!$B$54:$Q$104,MATCH($B48&amp;"-"&amp;AJ$7,SUP!$B$54:$Q$54,0),FALSE),"")),"")</f>
        <v/>
      </c>
      <c r="AK48" s="441" t="str">
        <f ca="1">IFERROR(1*IF(IFERROR(VLOOKUP($C48,SUP!$B$54:$Q$104,MATCH($B48&amp;"-"&amp;AK$7,SUP!$B$54:$Q$54,0),FALSE),"")="","",IFERROR(VLOOKUP($C48,SUP!$B$54:$Q$104,MATCH($B48&amp;"-"&amp;AK$7,SUP!$B$54:$Q$54,0),FALSE),"")),"")</f>
        <v/>
      </c>
      <c r="AL48" s="441" t="str">
        <f ca="1">IFERROR(1*IF(IFERROR(VLOOKUP($C48,SUP!$B$54:$Q$104,MATCH($B48&amp;"-"&amp;AL$7,SUP!$B$54:$Q$54,0),FALSE),"")="","",IFERROR(VLOOKUP($C48,SUP!$B$54:$Q$104,MATCH($B48&amp;"-"&amp;AL$7,SUP!$B$54:$Q$54,0),FALSE),"")),"")</f>
        <v/>
      </c>
      <c r="AM48" s="441" t="str">
        <f ca="1">IFERROR(1*IF(IFERROR(VLOOKUP($C48,SUP!$B$54:$Q$104,MATCH($B48&amp;"-"&amp;AM$7,SUP!$B$54:$Q$54,0),FALSE),"")="","",IFERROR(VLOOKUP($C48,SUP!$B$54:$Q$104,MATCH($B48&amp;"-"&amp;AM$7,SUP!$B$54:$Q$54,0),FALSE),"")),"")</f>
        <v/>
      </c>
      <c r="AN48" s="441">
        <f ca="1">IFERROR(1*IF(IFERROR(VLOOKUP($C48,SUP!$B$54:$Q$104,MATCH($B48&amp;"-"&amp;AN$7,SUP!$B$54:$Q$54,0),FALSE),"")="","",IFERROR(VLOOKUP($C48,SUP!$B$54:$Q$104,MATCH($B48&amp;"-"&amp;AN$7,SUP!$B$54:$Q$54,0),FALSE),"")),"")</f>
        <v>100.07852866986421</v>
      </c>
      <c r="AO48" s="441" t="str">
        <f ca="1">IFERROR(1*IF(IFERROR(VLOOKUP($C48,SUP!$B$54:$Q$104,MATCH($B48&amp;"-"&amp;AO$7,SUP!$B$54:$Q$54,0),FALSE),"")="","",IFERROR(VLOOKUP($C48,SUP!$B$54:$Q$104,MATCH($B48&amp;"-"&amp;AO$7,SUP!$B$54:$Q$54,0),FALSE),"")),"")</f>
        <v/>
      </c>
      <c r="AR48" s="42">
        <f>IF(AS47=SUP!$B$104,AR47+1,AR47)</f>
        <v>1</v>
      </c>
      <c r="AS48" s="42">
        <f t="shared" si="6"/>
        <v>36</v>
      </c>
    </row>
    <row r="49" spans="1:45">
      <c r="A49" s="42" t="str">
        <f ca="1">IF(LEFT(OFFSET(SUP!$A$57,AS49,0),2)="\I","*","")</f>
        <v>*</v>
      </c>
      <c r="B49" s="440" t="str">
        <f t="shared" ca="1" si="8"/>
        <v/>
      </c>
      <c r="C49" s="440" t="str">
        <f ca="1">IF($A49="*","",OFFSET(SUP!$B$57,AS49,0))</f>
        <v/>
      </c>
      <c r="D49" s="440" t="str">
        <f t="shared" ca="1" si="7"/>
        <v/>
      </c>
      <c r="E49" s="440" t="str">
        <f t="shared" ca="1" si="7"/>
        <v/>
      </c>
      <c r="F49" s="440" t="str">
        <f t="shared" ca="1" si="7"/>
        <v/>
      </c>
      <c r="G49" s="440" t="str">
        <f t="shared" ca="1" si="7"/>
        <v/>
      </c>
      <c r="H49" s="440" t="str">
        <f t="shared" ca="1" si="5"/>
        <v/>
      </c>
      <c r="I49" s="441" t="str">
        <f ca="1">IF(IFERROR(VLOOKUP($C49,SUP!$B$54:$Q$104,MATCH($B49&amp;"-"&amp;I$7,SUP!$B$54:$Q$54,0),FALSE),"")="","",IFERROR(VLOOKUP($C49,SUP!$B$54:$Q$104,MATCH($B49&amp;"-"&amp;I$7,SUP!$B$54:$Q$54,0),FALSE),""))</f>
        <v/>
      </c>
      <c r="J49" s="441" t="str">
        <f ca="1">IFERROR(1*IF(IFERROR(VLOOKUP($C49,SUP!$B$54:$Q$104,MATCH($B49&amp;"-"&amp;J$7,SUP!$B$54:$Q$54,0),FALSE),"")="","",IFERROR(VLOOKUP($C49,SUP!$B$54:$Q$104,MATCH($B49&amp;"-"&amp;J$7,SUP!$B$54:$Q$54,0),FALSE),"")),"")</f>
        <v/>
      </c>
      <c r="K49" s="441" t="str">
        <f ca="1">IFERROR(1*IF(IFERROR(VLOOKUP($C49,SUP!$B$54:$Q$104,MATCH($B49&amp;"-"&amp;K$7,SUP!$B$54:$Q$54,0),FALSE),"")="","",IFERROR(VLOOKUP($C49,SUP!$B$54:$Q$104,MATCH($B49&amp;"-"&amp;K$7,SUP!$B$54:$Q$54,0),FALSE),"")),"")</f>
        <v/>
      </c>
      <c r="L49" s="441" t="str">
        <f ca="1">IFERROR(1*IF(IFERROR(VLOOKUP($C49,SUP!$B$54:$Q$104,MATCH($B49&amp;"-"&amp;L$7,SUP!$B$54:$Q$54,0),FALSE),"")="","",IFERROR(VLOOKUP($C49,SUP!$B$54:$Q$104,MATCH($B49&amp;"-"&amp;L$7,SUP!$B$54:$Q$54,0),FALSE),"")),"")</f>
        <v/>
      </c>
      <c r="M49" s="441" t="str">
        <f ca="1">IFERROR(1*IF(IFERROR(VLOOKUP($C49,SUP!$B$54:$Q$104,MATCH($B49&amp;"-"&amp;M$7,SUP!$B$54:$Q$54,0),FALSE),"")="","",IFERROR(VLOOKUP($C49,SUP!$B$54:$Q$104,MATCH($B49&amp;"-"&amp;M$7,SUP!$B$54:$Q$54,0),FALSE),"")),"")</f>
        <v/>
      </c>
      <c r="N49" s="441" t="str">
        <f ca="1">IFERROR(1*IF(IFERROR(VLOOKUP($C49,SUP!$B$54:$Q$104,MATCH($B49&amp;"-"&amp;N$7,SUP!$B$54:$Q$54,0),FALSE),"")="","",IFERROR(VLOOKUP($C49,SUP!$B$54:$Q$104,MATCH($B49&amp;"-"&amp;N$7,SUP!$B$54:$Q$54,0),FALSE),"")),"")</f>
        <v/>
      </c>
      <c r="O49" s="441" t="str">
        <f ca="1">IFERROR(1*IF(IFERROR(VLOOKUP($C49,SUP!$B$54:$Q$104,MATCH($B49&amp;"-"&amp;O$7,SUP!$B$54:$Q$54,0),FALSE),"")="","",IFERROR(VLOOKUP($C49,SUP!$B$54:$Q$104,MATCH($B49&amp;"-"&amp;O$7,SUP!$B$54:$Q$54,0),FALSE),"")),"")</f>
        <v/>
      </c>
      <c r="P49" s="441" t="str">
        <f ca="1">IFERROR(1*IF(IFERROR(VLOOKUP($C49,SUP!$B$54:$Q$104,MATCH($B49&amp;"-"&amp;P$7,SUP!$B$54:$Q$54,0),FALSE),"")="","",IFERROR(VLOOKUP($C49,SUP!$B$54:$Q$104,MATCH($B49&amp;"-"&amp;P$7,SUP!$B$54:$Q$54,0),FALSE),"")),"")</f>
        <v/>
      </c>
      <c r="Q49" s="441" t="str">
        <f ca="1">IFERROR(1*IF(IFERROR(VLOOKUP($C49,SUP!$B$54:$Q$104,MATCH($B49&amp;"-"&amp;Q$7,SUP!$B$54:$Q$54,0),FALSE),"")="","",IFERROR(VLOOKUP($C49,SUP!$B$54:$Q$104,MATCH($B49&amp;"-"&amp;Q$7,SUP!$B$54:$Q$54,0),FALSE),"")),"")</f>
        <v/>
      </c>
      <c r="R49" s="441" t="str">
        <f ca="1">IFERROR(1*IF(IFERROR(VLOOKUP($C49,SUP!$B$54:$Q$104,MATCH($B49&amp;"-"&amp;R$7,SUP!$B$54:$Q$54,0),FALSE),"")="","",IFERROR(VLOOKUP($C49,SUP!$B$54:$Q$104,MATCH($B49&amp;"-"&amp;R$7,SUP!$B$54:$Q$54,0),FALSE),"")),"")</f>
        <v/>
      </c>
      <c r="S49" s="441" t="str">
        <f ca="1">IFERROR(1*IF(IFERROR(VLOOKUP($C49,SUP!$B$54:$Q$104,MATCH($B49&amp;"-"&amp;S$7,SUP!$B$54:$Q$54,0),FALSE),"")="","",IFERROR(VLOOKUP($C49,SUP!$B$54:$Q$104,MATCH($B49&amp;"-"&amp;S$7,SUP!$B$54:$Q$54,0),FALSE),"")),"")</f>
        <v/>
      </c>
      <c r="T49" s="441" t="str">
        <f ca="1">IFERROR(1*IF(IFERROR(VLOOKUP($C49,SUP!$B$54:$Q$104,MATCH($B49&amp;"-"&amp;T$7,SUP!$B$54:$Q$54,0),FALSE),"")="","",IFERROR(VLOOKUP($C49,SUP!$B$54:$Q$104,MATCH($B49&amp;"-"&amp;T$7,SUP!$B$54:$Q$54,0),FALSE),"")),"")</f>
        <v/>
      </c>
      <c r="U49" s="441" t="str">
        <f ca="1">IFERROR(1*IF(IFERROR(VLOOKUP($C49,SUP!$B$54:$Q$104,MATCH($B49&amp;"-"&amp;U$7,SUP!$B$54:$Q$54,0),FALSE),"")="","",IFERROR(VLOOKUP($C49,SUP!$B$54:$Q$104,MATCH($B49&amp;"-"&amp;U$7,SUP!$B$54:$Q$54,0),FALSE),"")),"")</f>
        <v/>
      </c>
      <c r="V49" s="441" t="str">
        <f ca="1">IFERROR(1*IF(IFERROR(VLOOKUP($C49,SUP!$B$54:$Q$104,MATCH($B49&amp;"-"&amp;V$7,SUP!$B$54:$Q$54,0),FALSE),"")="","",IFERROR(VLOOKUP($C49,SUP!$B$54:$Q$104,MATCH($B49&amp;"-"&amp;V$7,SUP!$B$54:$Q$54,0),FALSE),"")),"")</f>
        <v/>
      </c>
      <c r="W49" s="441" t="str">
        <f ca="1">IFERROR(1*IF(IFERROR(VLOOKUP($C49,SUP!$B$54:$Q$104,MATCH($B49&amp;"-"&amp;W$7,SUP!$B$54:$Q$54,0),FALSE),"")="","",IFERROR(VLOOKUP($C49,SUP!$B$54:$Q$104,MATCH($B49&amp;"-"&amp;W$7,SUP!$B$54:$Q$54,0),FALSE),"")),"")</f>
        <v/>
      </c>
      <c r="X49" s="441" t="str">
        <f ca="1">IFERROR(1*IF(IFERROR(VLOOKUP($C49,SUP!$B$54:$Q$104,MATCH($B49&amp;"-"&amp;X$7,SUP!$B$54:$Q$54,0),FALSE),"")="","",IFERROR(VLOOKUP($C49,SUP!$B$54:$Q$104,MATCH($B49&amp;"-"&amp;X$7,SUP!$B$54:$Q$54,0),FALSE),"")),"")</f>
        <v/>
      </c>
      <c r="Y49" s="441" t="str">
        <f ca="1">IFERROR(1*IF(IFERROR(VLOOKUP($C49,SUP!$B$54:$Q$104,MATCH($B49&amp;"-"&amp;Y$7,SUP!$B$54:$Q$54,0),FALSE),"")="","",IFERROR(VLOOKUP($C49,SUP!$B$54:$Q$104,MATCH($B49&amp;"-"&amp;Y$7,SUP!$B$54:$Q$54,0),FALSE),"")),"")</f>
        <v/>
      </c>
      <c r="Z49" s="441" t="str">
        <f ca="1">IFERROR(1*IF(IFERROR(VLOOKUP($C49,SUP!$B$54:$Q$104,MATCH($B49&amp;"-"&amp;Z$7,SUP!$B$54:$Q$54,0),FALSE),"")="","",IFERROR(VLOOKUP($C49,SUP!$B$54:$Q$104,MATCH($B49&amp;"-"&amp;Z$7,SUP!$B$54:$Q$54,0),FALSE),"")),"")</f>
        <v/>
      </c>
      <c r="AA49" s="441" t="str">
        <f ca="1">IFERROR(1*IF(IFERROR(VLOOKUP($C49,SUP!$B$54:$Q$104,MATCH($B49&amp;"-"&amp;AA$7,SUP!$B$54:$Q$54,0),FALSE),"")="","",IFERROR(VLOOKUP($C49,SUP!$B$54:$Q$104,MATCH($B49&amp;"-"&amp;AA$7,SUP!$B$54:$Q$54,0),FALSE),"")),"")</f>
        <v/>
      </c>
      <c r="AB49" s="441" t="str">
        <f ca="1">IFERROR(1*IF(IFERROR(VLOOKUP($C49,SUP!$B$54:$Q$104,MATCH($B49&amp;"-"&amp;AB$7,SUP!$B$54:$Q$54,0),FALSE),"")="","",IFERROR(VLOOKUP($C49,SUP!$B$54:$Q$104,MATCH($B49&amp;"-"&amp;AB$7,SUP!$B$54:$Q$54,0),FALSE),"")),"")</f>
        <v/>
      </c>
      <c r="AC49" s="441" t="str">
        <f ca="1">IFERROR(1*IF(IFERROR(VLOOKUP($C49,SUP!$B$54:$Q$104,MATCH($B49&amp;"-"&amp;AC$7,SUP!$B$54:$Q$54,0),FALSE),"")="","",IFERROR(VLOOKUP($C49,SUP!$B$54:$Q$104,MATCH($B49&amp;"-"&amp;AC$7,SUP!$B$54:$Q$54,0),FALSE),"")),"")</f>
        <v/>
      </c>
      <c r="AD49" s="441" t="str">
        <f ca="1">IFERROR(1*IF(IFERROR(VLOOKUP($C49,SUP!$B$54:$Q$104,MATCH($B49&amp;"-"&amp;AD$7,SUP!$B$54:$Q$54,0),FALSE),"")="","",IFERROR(VLOOKUP($C49,SUP!$B$54:$Q$104,MATCH($B49&amp;"-"&amp;AD$7,SUP!$B$54:$Q$54,0),FALSE),"")),"")</f>
        <v/>
      </c>
      <c r="AE49" s="441" t="str">
        <f ca="1">IFERROR(1*IF(IFERROR(VLOOKUP($C49,SUP!$B$54:$Q$104,MATCH($B49&amp;"-"&amp;AE$7,SUP!$B$54:$Q$54,0),FALSE),"")="","",IFERROR(VLOOKUP($C49,SUP!$B$54:$Q$104,MATCH($B49&amp;"-"&amp;AE$7,SUP!$B$54:$Q$54,0),FALSE),"")),"")</f>
        <v/>
      </c>
      <c r="AF49" s="441" t="str">
        <f ca="1">IFERROR(1*IF(IFERROR(VLOOKUP($C49,SUP!$B$54:$Q$104,MATCH($B49&amp;"-"&amp;AF$7,SUP!$B$54:$Q$54,0),FALSE),"")="","",IFERROR(VLOOKUP($C49,SUP!$B$54:$Q$104,MATCH($B49&amp;"-"&amp;AF$7,SUP!$B$54:$Q$54,0),FALSE),"")),"")</f>
        <v/>
      </c>
      <c r="AG49" s="441" t="str">
        <f ca="1">IFERROR(1*IF(IFERROR(VLOOKUP($C49,SUP!$B$54:$Q$104,MATCH($B49&amp;"-"&amp;AG$7,SUP!$B$54:$Q$54,0),FALSE),"")="","",IFERROR(VLOOKUP($C49,SUP!$B$54:$Q$104,MATCH($B49&amp;"-"&amp;AG$7,SUP!$B$54:$Q$54,0),FALSE),"")),"")</f>
        <v/>
      </c>
      <c r="AH49" s="441" t="str">
        <f ca="1">IFERROR(1*IF(IFERROR(VLOOKUP($C49,SUP!$B$54:$Q$104,MATCH($B49&amp;"-"&amp;AH$7,SUP!$B$54:$Q$54,0),FALSE),"")="","",IFERROR(VLOOKUP($C49,SUP!$B$54:$Q$104,MATCH($B49&amp;"-"&amp;AH$7,SUP!$B$54:$Q$54,0),FALSE),"")),"")</f>
        <v/>
      </c>
      <c r="AI49" s="441" t="str">
        <f ca="1">IFERROR(1*IF(IFERROR(VLOOKUP($C49,SUP!$B$54:$Q$104,MATCH($B49&amp;"-"&amp;AI$7,SUP!$B$54:$Q$54,0),FALSE),"")="","",IFERROR(VLOOKUP($C49,SUP!$B$54:$Q$104,MATCH($B49&amp;"-"&amp;AI$7,SUP!$B$54:$Q$54,0),FALSE),"")),"")</f>
        <v/>
      </c>
      <c r="AJ49" s="441" t="str">
        <f ca="1">IFERROR(1*IF(IFERROR(VLOOKUP($C49,SUP!$B$54:$Q$104,MATCH($B49&amp;"-"&amp;AJ$7,SUP!$B$54:$Q$54,0),FALSE),"")="","",IFERROR(VLOOKUP($C49,SUP!$B$54:$Q$104,MATCH($B49&amp;"-"&amp;AJ$7,SUP!$B$54:$Q$54,0),FALSE),"")),"")</f>
        <v/>
      </c>
      <c r="AK49" s="441" t="str">
        <f ca="1">IFERROR(1*IF(IFERROR(VLOOKUP($C49,SUP!$B$54:$Q$104,MATCH($B49&amp;"-"&amp;AK$7,SUP!$B$54:$Q$54,0),FALSE),"")="","",IFERROR(VLOOKUP($C49,SUP!$B$54:$Q$104,MATCH($B49&amp;"-"&amp;AK$7,SUP!$B$54:$Q$54,0),FALSE),"")),"")</f>
        <v/>
      </c>
      <c r="AL49" s="441" t="str">
        <f ca="1">IFERROR(1*IF(IFERROR(VLOOKUP($C49,SUP!$B$54:$Q$104,MATCH($B49&amp;"-"&amp;AL$7,SUP!$B$54:$Q$54,0),FALSE),"")="","",IFERROR(VLOOKUP($C49,SUP!$B$54:$Q$104,MATCH($B49&amp;"-"&amp;AL$7,SUP!$B$54:$Q$54,0),FALSE),"")),"")</f>
        <v/>
      </c>
      <c r="AM49" s="441" t="str">
        <f ca="1">IFERROR(1*IF(IFERROR(VLOOKUP($C49,SUP!$B$54:$Q$104,MATCH($B49&amp;"-"&amp;AM$7,SUP!$B$54:$Q$54,0),FALSE),"")="","",IFERROR(VLOOKUP($C49,SUP!$B$54:$Q$104,MATCH($B49&amp;"-"&amp;AM$7,SUP!$B$54:$Q$54,0),FALSE),"")),"")</f>
        <v/>
      </c>
      <c r="AN49" s="441" t="str">
        <f ca="1">IFERROR(1*IF(IFERROR(VLOOKUP($C49,SUP!$B$54:$Q$104,MATCH($B49&amp;"-"&amp;AN$7,SUP!$B$54:$Q$54,0),FALSE),"")="","",IFERROR(VLOOKUP($C49,SUP!$B$54:$Q$104,MATCH($B49&amp;"-"&amp;AN$7,SUP!$B$54:$Q$54,0),FALSE),"")),"")</f>
        <v/>
      </c>
      <c r="AO49" s="441" t="str">
        <f ca="1">IFERROR(1*IF(IFERROR(VLOOKUP($C49,SUP!$B$54:$Q$104,MATCH($B49&amp;"-"&amp;AO$7,SUP!$B$54:$Q$54,0),FALSE),"")="","",IFERROR(VLOOKUP($C49,SUP!$B$54:$Q$104,MATCH($B49&amp;"-"&amp;AO$7,SUP!$B$54:$Q$54,0),FALSE),"")),"")</f>
        <v/>
      </c>
      <c r="AR49" s="42">
        <f>IF(AS48=SUP!$B$104,AR48+1,AR48)</f>
        <v>1</v>
      </c>
      <c r="AS49" s="42">
        <f t="shared" si="6"/>
        <v>37</v>
      </c>
    </row>
    <row r="50" spans="1:45">
      <c r="A50" s="42" t="str">
        <f ca="1">IF(LEFT(OFFSET(SUP!$A$57,AS50,0),2)="\I","*","")</f>
        <v/>
      </c>
      <c r="B50" s="440" t="str">
        <f t="shared" ca="1" si="8"/>
        <v>ACT_COST</v>
      </c>
      <c r="C50" s="440" t="str">
        <f ca="1">IF($A50="*","",OFFSET(SUP!$B$57,AS50,0))</f>
        <v>PEXELC</v>
      </c>
      <c r="D50" s="440" t="str">
        <f t="shared" ca="1" si="7"/>
        <v>-</v>
      </c>
      <c r="E50" s="440" t="str">
        <f t="shared" ca="1" si="7"/>
        <v>-</v>
      </c>
      <c r="F50" s="440" t="str">
        <f t="shared" ca="1" si="7"/>
        <v>-</v>
      </c>
      <c r="G50" s="440" t="str">
        <f t="shared" ca="1" si="7"/>
        <v>-</v>
      </c>
      <c r="H50" s="440" t="str">
        <f t="shared" ca="1" si="5"/>
        <v>-</v>
      </c>
      <c r="I50" s="441">
        <f ca="1">IF(IFERROR(VLOOKUP($C50,SUP!$B$54:$Q$104,MATCH($B50&amp;"-"&amp;I$7,SUP!$B$54:$Q$54,0),FALSE),"")="","",IFERROR(VLOOKUP($C50,SUP!$B$54:$Q$104,MATCH($B50&amp;"-"&amp;I$7,SUP!$B$54:$Q$54,0),FALSE),""))</f>
        <v>3</v>
      </c>
      <c r="J50" s="441">
        <f ca="1">IFERROR(1*IF(IFERROR(VLOOKUP($C50,SUP!$B$54:$Q$104,MATCH($B50&amp;"-"&amp;J$7,SUP!$B$54:$Q$54,0),FALSE),"")="","",IFERROR(VLOOKUP($C50,SUP!$B$54:$Q$104,MATCH($B50&amp;"-"&amp;J$7,SUP!$B$54:$Q$54,0),FALSE),"")),"")</f>
        <v>-34.054054054054049</v>
      </c>
      <c r="K50" s="441" t="str">
        <f ca="1">IFERROR(1*IF(IFERROR(VLOOKUP($C50,SUP!$B$54:$Q$104,MATCH($B50&amp;"-"&amp;K$7,SUP!$B$54:$Q$54,0),FALSE),"")="","",IFERROR(VLOOKUP($C50,SUP!$B$54:$Q$104,MATCH($B50&amp;"-"&amp;K$7,SUP!$B$54:$Q$54,0),FALSE),"")),"")</f>
        <v/>
      </c>
      <c r="L50" s="441" t="str">
        <f ca="1">IFERROR(1*IF(IFERROR(VLOOKUP($C50,SUP!$B$54:$Q$104,MATCH($B50&amp;"-"&amp;L$7,SUP!$B$54:$Q$54,0),FALSE),"")="","",IFERROR(VLOOKUP($C50,SUP!$B$54:$Q$104,MATCH($B50&amp;"-"&amp;L$7,SUP!$B$54:$Q$54,0),FALSE),"")),"")</f>
        <v/>
      </c>
      <c r="M50" s="441">
        <f ca="1">IFERROR(1*IF(IFERROR(VLOOKUP($C50,SUP!$B$54:$Q$104,MATCH($B50&amp;"-"&amp;M$7,SUP!$B$54:$Q$54,0),FALSE),"")="","",IFERROR(VLOOKUP($C50,SUP!$B$54:$Q$104,MATCH($B50&amp;"-"&amp;M$7,SUP!$B$54:$Q$54,0),FALSE),"")),"")</f>
        <v>-34.054054054054049</v>
      </c>
      <c r="N50" s="441" t="str">
        <f ca="1">IFERROR(1*IF(IFERROR(VLOOKUP($C50,SUP!$B$54:$Q$104,MATCH($B50&amp;"-"&amp;N$7,SUP!$B$54:$Q$54,0),FALSE),"")="","",IFERROR(VLOOKUP($C50,SUP!$B$54:$Q$104,MATCH($B50&amp;"-"&amp;N$7,SUP!$B$54:$Q$54,0),FALSE),"")),"")</f>
        <v/>
      </c>
      <c r="O50" s="441" t="str">
        <f ca="1">IFERROR(1*IF(IFERROR(VLOOKUP($C50,SUP!$B$54:$Q$104,MATCH($B50&amp;"-"&amp;O$7,SUP!$B$54:$Q$54,0),FALSE),"")="","",IFERROR(VLOOKUP($C50,SUP!$B$54:$Q$104,MATCH($B50&amp;"-"&amp;O$7,SUP!$B$54:$Q$54,0),FALSE),"")),"")</f>
        <v/>
      </c>
      <c r="P50" s="441" t="str">
        <f ca="1">IFERROR(1*IF(IFERROR(VLOOKUP($C50,SUP!$B$54:$Q$104,MATCH($B50&amp;"-"&amp;P$7,SUP!$B$54:$Q$54,0),FALSE),"")="","",IFERROR(VLOOKUP($C50,SUP!$B$54:$Q$104,MATCH($B50&amp;"-"&amp;P$7,SUP!$B$54:$Q$54,0),FALSE),"")),"")</f>
        <v/>
      </c>
      <c r="Q50" s="441" t="str">
        <f ca="1">IFERROR(1*IF(IFERROR(VLOOKUP($C50,SUP!$B$54:$Q$104,MATCH($B50&amp;"-"&amp;Q$7,SUP!$B$54:$Q$54,0),FALSE),"")="","",IFERROR(VLOOKUP($C50,SUP!$B$54:$Q$104,MATCH($B50&amp;"-"&amp;Q$7,SUP!$B$54:$Q$54,0),FALSE),"")),"")</f>
        <v/>
      </c>
      <c r="R50" s="441">
        <f ca="1">IFERROR(1*IF(IFERROR(VLOOKUP($C50,SUP!$B$54:$Q$104,MATCH($B50&amp;"-"&amp;R$7,SUP!$B$54:$Q$54,0),FALSE),"")="","",IFERROR(VLOOKUP($C50,SUP!$B$54:$Q$104,MATCH($B50&amp;"-"&amp;R$7,SUP!$B$54:$Q$54,0),FALSE),"")),"")</f>
        <v>-34.054054054054049</v>
      </c>
      <c r="S50" s="441" t="str">
        <f ca="1">IFERROR(1*IF(IFERROR(VLOOKUP($C50,SUP!$B$54:$Q$104,MATCH($B50&amp;"-"&amp;S$7,SUP!$B$54:$Q$54,0),FALSE),"")="","",IFERROR(VLOOKUP($C50,SUP!$B$54:$Q$104,MATCH($B50&amp;"-"&amp;S$7,SUP!$B$54:$Q$54,0),FALSE),"")),"")</f>
        <v/>
      </c>
      <c r="T50" s="441" t="str">
        <f ca="1">IFERROR(1*IF(IFERROR(VLOOKUP($C50,SUP!$B$54:$Q$104,MATCH($B50&amp;"-"&amp;T$7,SUP!$B$54:$Q$54,0),FALSE),"")="","",IFERROR(VLOOKUP($C50,SUP!$B$54:$Q$104,MATCH($B50&amp;"-"&amp;T$7,SUP!$B$54:$Q$54,0),FALSE),"")),"")</f>
        <v/>
      </c>
      <c r="U50" s="441" t="str">
        <f ca="1">IFERROR(1*IF(IFERROR(VLOOKUP($C50,SUP!$B$54:$Q$104,MATCH($B50&amp;"-"&amp;U$7,SUP!$B$54:$Q$54,0),FALSE),"")="","",IFERROR(VLOOKUP($C50,SUP!$B$54:$Q$104,MATCH($B50&amp;"-"&amp;U$7,SUP!$B$54:$Q$54,0),FALSE),"")),"")</f>
        <v/>
      </c>
      <c r="V50" s="441" t="str">
        <f ca="1">IFERROR(1*IF(IFERROR(VLOOKUP($C50,SUP!$B$54:$Q$104,MATCH($B50&amp;"-"&amp;V$7,SUP!$B$54:$Q$54,0),FALSE),"")="","",IFERROR(VLOOKUP($C50,SUP!$B$54:$Q$104,MATCH($B50&amp;"-"&amp;V$7,SUP!$B$54:$Q$54,0),FALSE),"")),"")</f>
        <v/>
      </c>
      <c r="W50" s="441" t="str">
        <f ca="1">IFERROR(1*IF(IFERROR(VLOOKUP($C50,SUP!$B$54:$Q$104,MATCH($B50&amp;"-"&amp;W$7,SUP!$B$54:$Q$54,0),FALSE),"")="","",IFERROR(VLOOKUP($C50,SUP!$B$54:$Q$104,MATCH($B50&amp;"-"&amp;W$7,SUP!$B$54:$Q$54,0),FALSE),"")),"")</f>
        <v/>
      </c>
      <c r="X50" s="441" t="str">
        <f ca="1">IFERROR(1*IF(IFERROR(VLOOKUP($C50,SUP!$B$54:$Q$104,MATCH($B50&amp;"-"&amp;X$7,SUP!$B$54:$Q$54,0),FALSE),"")="","",IFERROR(VLOOKUP($C50,SUP!$B$54:$Q$104,MATCH($B50&amp;"-"&amp;X$7,SUP!$B$54:$Q$54,0),FALSE),"")),"")</f>
        <v/>
      </c>
      <c r="Y50" s="441" t="str">
        <f ca="1">IFERROR(1*IF(IFERROR(VLOOKUP($C50,SUP!$B$54:$Q$104,MATCH($B50&amp;"-"&amp;Y$7,SUP!$B$54:$Q$54,0),FALSE),"")="","",IFERROR(VLOOKUP($C50,SUP!$B$54:$Q$104,MATCH($B50&amp;"-"&amp;Y$7,SUP!$B$54:$Q$54,0),FALSE),"")),"")</f>
        <v/>
      </c>
      <c r="Z50" s="441" t="str">
        <f ca="1">IFERROR(1*IF(IFERROR(VLOOKUP($C50,SUP!$B$54:$Q$104,MATCH($B50&amp;"-"&amp;Z$7,SUP!$B$54:$Q$54,0),FALSE),"")="","",IFERROR(VLOOKUP($C50,SUP!$B$54:$Q$104,MATCH($B50&amp;"-"&amp;Z$7,SUP!$B$54:$Q$54,0),FALSE),"")),"")</f>
        <v/>
      </c>
      <c r="AA50" s="441" t="str">
        <f ca="1">IFERROR(1*IF(IFERROR(VLOOKUP($C50,SUP!$B$54:$Q$104,MATCH($B50&amp;"-"&amp;AA$7,SUP!$B$54:$Q$54,0),FALSE),"")="","",IFERROR(VLOOKUP($C50,SUP!$B$54:$Q$104,MATCH($B50&amp;"-"&amp;AA$7,SUP!$B$54:$Q$54,0),FALSE),"")),"")</f>
        <v/>
      </c>
      <c r="AB50" s="441">
        <f ca="1">IFERROR(1*IF(IFERROR(VLOOKUP($C50,SUP!$B$54:$Q$104,MATCH($B50&amp;"-"&amp;AB$7,SUP!$B$54:$Q$54,0),FALSE),"")="","",IFERROR(VLOOKUP($C50,SUP!$B$54:$Q$104,MATCH($B50&amp;"-"&amp;AB$7,SUP!$B$54:$Q$54,0),FALSE),"")),"")</f>
        <v>-34.054054054054049</v>
      </c>
      <c r="AC50" s="441" t="str">
        <f ca="1">IFERROR(1*IF(IFERROR(VLOOKUP($C50,SUP!$B$54:$Q$104,MATCH($B50&amp;"-"&amp;AC$7,SUP!$B$54:$Q$54,0),FALSE),"")="","",IFERROR(VLOOKUP($C50,SUP!$B$54:$Q$104,MATCH($B50&amp;"-"&amp;AC$7,SUP!$B$54:$Q$54,0),FALSE),"")),"")</f>
        <v/>
      </c>
      <c r="AD50" s="441" t="str">
        <f ca="1">IFERROR(1*IF(IFERROR(VLOOKUP($C50,SUP!$B$54:$Q$104,MATCH($B50&amp;"-"&amp;AD$7,SUP!$B$54:$Q$54,0),FALSE),"")="","",IFERROR(VLOOKUP($C50,SUP!$B$54:$Q$104,MATCH($B50&amp;"-"&amp;AD$7,SUP!$B$54:$Q$54,0),FALSE),"")),"")</f>
        <v/>
      </c>
      <c r="AE50" s="441" t="str">
        <f ca="1">IFERROR(1*IF(IFERROR(VLOOKUP($C50,SUP!$B$54:$Q$104,MATCH($B50&amp;"-"&amp;AE$7,SUP!$B$54:$Q$54,0),FALSE),"")="","",IFERROR(VLOOKUP($C50,SUP!$B$54:$Q$104,MATCH($B50&amp;"-"&amp;AE$7,SUP!$B$54:$Q$54,0),FALSE),"")),"")</f>
        <v/>
      </c>
      <c r="AF50" s="441" t="str">
        <f ca="1">IFERROR(1*IF(IFERROR(VLOOKUP($C50,SUP!$B$54:$Q$104,MATCH($B50&amp;"-"&amp;AF$7,SUP!$B$54:$Q$54,0),FALSE),"")="","",IFERROR(VLOOKUP($C50,SUP!$B$54:$Q$104,MATCH($B50&amp;"-"&amp;AF$7,SUP!$B$54:$Q$54,0),FALSE),"")),"")</f>
        <v/>
      </c>
      <c r="AG50" s="441" t="str">
        <f ca="1">IFERROR(1*IF(IFERROR(VLOOKUP($C50,SUP!$B$54:$Q$104,MATCH($B50&amp;"-"&amp;AG$7,SUP!$B$54:$Q$54,0),FALSE),"")="","",IFERROR(VLOOKUP($C50,SUP!$B$54:$Q$104,MATCH($B50&amp;"-"&amp;AG$7,SUP!$B$54:$Q$54,0),FALSE),"")),"")</f>
        <v/>
      </c>
      <c r="AH50" s="441" t="str">
        <f ca="1">IFERROR(1*IF(IFERROR(VLOOKUP($C50,SUP!$B$54:$Q$104,MATCH($B50&amp;"-"&amp;AH$7,SUP!$B$54:$Q$54,0),FALSE),"")="","",IFERROR(VLOOKUP($C50,SUP!$B$54:$Q$104,MATCH($B50&amp;"-"&amp;AH$7,SUP!$B$54:$Q$54,0),FALSE),"")),"")</f>
        <v/>
      </c>
      <c r="AI50" s="441" t="str">
        <f ca="1">IFERROR(1*IF(IFERROR(VLOOKUP($C50,SUP!$B$54:$Q$104,MATCH($B50&amp;"-"&amp;AI$7,SUP!$B$54:$Q$54,0),FALSE),"")="","",IFERROR(VLOOKUP($C50,SUP!$B$54:$Q$104,MATCH($B50&amp;"-"&amp;AI$7,SUP!$B$54:$Q$54,0),FALSE),"")),"")</f>
        <v/>
      </c>
      <c r="AJ50" s="441" t="str">
        <f ca="1">IFERROR(1*IF(IFERROR(VLOOKUP($C50,SUP!$B$54:$Q$104,MATCH($B50&amp;"-"&amp;AJ$7,SUP!$B$54:$Q$54,0),FALSE),"")="","",IFERROR(VLOOKUP($C50,SUP!$B$54:$Q$104,MATCH($B50&amp;"-"&amp;AJ$7,SUP!$B$54:$Q$54,0),FALSE),"")),"")</f>
        <v/>
      </c>
      <c r="AK50" s="441" t="str">
        <f ca="1">IFERROR(1*IF(IFERROR(VLOOKUP($C50,SUP!$B$54:$Q$104,MATCH($B50&amp;"-"&amp;AK$7,SUP!$B$54:$Q$54,0),FALSE),"")="","",IFERROR(VLOOKUP($C50,SUP!$B$54:$Q$104,MATCH($B50&amp;"-"&amp;AK$7,SUP!$B$54:$Q$54,0),FALSE),"")),"")</f>
        <v/>
      </c>
      <c r="AL50" s="441" t="str">
        <f ca="1">IFERROR(1*IF(IFERROR(VLOOKUP($C50,SUP!$B$54:$Q$104,MATCH($B50&amp;"-"&amp;AL$7,SUP!$B$54:$Q$54,0),FALSE),"")="","",IFERROR(VLOOKUP($C50,SUP!$B$54:$Q$104,MATCH($B50&amp;"-"&amp;AL$7,SUP!$B$54:$Q$54,0),FALSE),"")),"")</f>
        <v/>
      </c>
      <c r="AM50" s="441" t="str">
        <f ca="1">IFERROR(1*IF(IFERROR(VLOOKUP($C50,SUP!$B$54:$Q$104,MATCH($B50&amp;"-"&amp;AM$7,SUP!$B$54:$Q$54,0),FALSE),"")="","",IFERROR(VLOOKUP($C50,SUP!$B$54:$Q$104,MATCH($B50&amp;"-"&amp;AM$7,SUP!$B$54:$Q$54,0),FALSE),"")),"")</f>
        <v/>
      </c>
      <c r="AN50" s="441">
        <f ca="1">IFERROR(1*IF(IFERROR(VLOOKUP($C50,SUP!$B$54:$Q$104,MATCH($B50&amp;"-"&amp;AN$7,SUP!$B$54:$Q$54,0),FALSE),"")="","",IFERROR(VLOOKUP($C50,SUP!$B$54:$Q$104,MATCH($B50&amp;"-"&amp;AN$7,SUP!$B$54:$Q$54,0),FALSE),"")),"")</f>
        <v>-34.054054054054049</v>
      </c>
      <c r="AO50" s="441" t="str">
        <f ca="1">IFERROR(1*IF(IFERROR(VLOOKUP($C50,SUP!$B$54:$Q$104,MATCH($B50&amp;"-"&amp;AO$7,SUP!$B$54:$Q$54,0),FALSE),"")="","",IFERROR(VLOOKUP($C50,SUP!$B$54:$Q$104,MATCH($B50&amp;"-"&amp;AO$7,SUP!$B$54:$Q$54,0),FALSE),"")),"")</f>
        <v/>
      </c>
      <c r="AR50" s="42">
        <f>IF(AS49=SUP!$B$104,AR49+1,AR49)</f>
        <v>1</v>
      </c>
      <c r="AS50" s="42">
        <f t="shared" si="6"/>
        <v>38</v>
      </c>
    </row>
    <row r="51" spans="1:45">
      <c r="A51" s="42" t="str">
        <f ca="1">IF(LEFT(OFFSET(SUP!$A$57,AS51,0),2)="\I","*","")</f>
        <v/>
      </c>
      <c r="B51" s="440" t="str">
        <f t="shared" ca="1" si="8"/>
        <v>ACT_COST</v>
      </c>
      <c r="C51" s="440" t="str">
        <f ca="1">IF($A51="*","",OFFSET(SUP!$B$57,AS51,0))</f>
        <v>PEXCOA</v>
      </c>
      <c r="D51" s="440" t="str">
        <f t="shared" ca="1" si="7"/>
        <v>-</v>
      </c>
      <c r="E51" s="440" t="str">
        <f t="shared" ca="1" si="7"/>
        <v>-</v>
      </c>
      <c r="F51" s="440" t="str">
        <f t="shared" ca="1" si="7"/>
        <v>-</v>
      </c>
      <c r="G51" s="440" t="str">
        <f t="shared" ca="1" si="7"/>
        <v>-</v>
      </c>
      <c r="H51" s="440" t="str">
        <f t="shared" ca="1" si="5"/>
        <v>-</v>
      </c>
      <c r="I51" s="441">
        <f ca="1">IF(IFERROR(VLOOKUP($C51,SUP!$B$54:$Q$104,MATCH($B51&amp;"-"&amp;I$7,SUP!$B$54:$Q$54,0),FALSE),"")="","",IFERROR(VLOOKUP($C51,SUP!$B$54:$Q$104,MATCH($B51&amp;"-"&amp;I$7,SUP!$B$54:$Q$54,0),FALSE),""))</f>
        <v>3</v>
      </c>
      <c r="J51" s="441">
        <f ca="1">IFERROR(1*IF(IFERROR(VLOOKUP($C51,SUP!$B$54:$Q$104,MATCH($B51&amp;"-"&amp;J$7,SUP!$B$54:$Q$54,0),FALSE),"")="","",IFERROR(VLOOKUP($C51,SUP!$B$54:$Q$104,MATCH($B51&amp;"-"&amp;J$7,SUP!$B$54:$Q$54,0),FALSE),"")),"")</f>
        <v>-42.761611111111108</v>
      </c>
      <c r="K51" s="441" t="str">
        <f ca="1">IFERROR(1*IF(IFERROR(VLOOKUP($C51,SUP!$B$54:$Q$104,MATCH($B51&amp;"-"&amp;K$7,SUP!$B$54:$Q$54,0),FALSE),"")="","",IFERROR(VLOOKUP($C51,SUP!$B$54:$Q$104,MATCH($B51&amp;"-"&amp;K$7,SUP!$B$54:$Q$54,0),FALSE),"")),"")</f>
        <v/>
      </c>
      <c r="L51" s="441" t="str">
        <f ca="1">IFERROR(1*IF(IFERROR(VLOOKUP($C51,SUP!$B$54:$Q$104,MATCH($B51&amp;"-"&amp;L$7,SUP!$B$54:$Q$54,0),FALSE),"")="","",IFERROR(VLOOKUP($C51,SUP!$B$54:$Q$104,MATCH($B51&amp;"-"&amp;L$7,SUP!$B$54:$Q$54,0),FALSE),"")),"")</f>
        <v/>
      </c>
      <c r="M51" s="441">
        <f ca="1">IFERROR(1*IF(IFERROR(VLOOKUP($C51,SUP!$B$54:$Q$104,MATCH($B51&amp;"-"&amp;M$7,SUP!$B$54:$Q$54,0),FALSE),"")="","",IFERROR(VLOOKUP($C51,SUP!$B$54:$Q$104,MATCH($B51&amp;"-"&amp;M$7,SUP!$B$54:$Q$54,0),FALSE),"")),"")</f>
        <v>-43.040805555555551</v>
      </c>
      <c r="N51" s="441" t="str">
        <f ca="1">IFERROR(1*IF(IFERROR(VLOOKUP($C51,SUP!$B$54:$Q$104,MATCH($B51&amp;"-"&amp;N$7,SUP!$B$54:$Q$54,0),FALSE),"")="","",IFERROR(VLOOKUP($C51,SUP!$B$54:$Q$104,MATCH($B51&amp;"-"&amp;N$7,SUP!$B$54:$Q$54,0),FALSE),"")),"")</f>
        <v/>
      </c>
      <c r="O51" s="441" t="str">
        <f ca="1">IFERROR(1*IF(IFERROR(VLOOKUP($C51,SUP!$B$54:$Q$104,MATCH($B51&amp;"-"&amp;O$7,SUP!$B$54:$Q$54,0),FALSE),"")="","",IFERROR(VLOOKUP($C51,SUP!$B$54:$Q$104,MATCH($B51&amp;"-"&amp;O$7,SUP!$B$54:$Q$54,0),FALSE),"")),"")</f>
        <v/>
      </c>
      <c r="P51" s="441" t="str">
        <f ca="1">IFERROR(1*IF(IFERROR(VLOOKUP($C51,SUP!$B$54:$Q$104,MATCH($B51&amp;"-"&amp;P$7,SUP!$B$54:$Q$54,0),FALSE),"")="","",IFERROR(VLOOKUP($C51,SUP!$B$54:$Q$104,MATCH($B51&amp;"-"&amp;P$7,SUP!$B$54:$Q$54,0),FALSE),"")),"")</f>
        <v/>
      </c>
      <c r="Q51" s="441" t="str">
        <f ca="1">IFERROR(1*IF(IFERROR(VLOOKUP($C51,SUP!$B$54:$Q$104,MATCH($B51&amp;"-"&amp;Q$7,SUP!$B$54:$Q$54,0),FALSE),"")="","",IFERROR(VLOOKUP($C51,SUP!$B$54:$Q$104,MATCH($B51&amp;"-"&amp;Q$7,SUP!$B$54:$Q$54,0),FALSE),"")),"")</f>
        <v/>
      </c>
      <c r="R51" s="441">
        <f ca="1">IFERROR(1*IF(IFERROR(VLOOKUP($C51,SUP!$B$54:$Q$104,MATCH($B51&amp;"-"&amp;R$7,SUP!$B$54:$Q$54,0),FALSE),"")="","",IFERROR(VLOOKUP($C51,SUP!$B$54:$Q$104,MATCH($B51&amp;"-"&amp;R$7,SUP!$B$54:$Q$54,0),FALSE),"")),"")</f>
        <v>-43.32</v>
      </c>
      <c r="S51" s="441" t="str">
        <f ca="1">IFERROR(1*IF(IFERROR(VLOOKUP($C51,SUP!$B$54:$Q$104,MATCH($B51&amp;"-"&amp;S$7,SUP!$B$54:$Q$54,0),FALSE),"")="","",IFERROR(VLOOKUP($C51,SUP!$B$54:$Q$104,MATCH($B51&amp;"-"&amp;S$7,SUP!$B$54:$Q$54,0),FALSE),"")),"")</f>
        <v/>
      </c>
      <c r="T51" s="441" t="str">
        <f ca="1">IFERROR(1*IF(IFERROR(VLOOKUP($C51,SUP!$B$54:$Q$104,MATCH($B51&amp;"-"&amp;T$7,SUP!$B$54:$Q$54,0),FALSE),"")="","",IFERROR(VLOOKUP($C51,SUP!$B$54:$Q$104,MATCH($B51&amp;"-"&amp;T$7,SUP!$B$54:$Q$54,0),FALSE),"")),"")</f>
        <v/>
      </c>
      <c r="U51" s="441" t="str">
        <f ca="1">IFERROR(1*IF(IFERROR(VLOOKUP($C51,SUP!$B$54:$Q$104,MATCH($B51&amp;"-"&amp;U$7,SUP!$B$54:$Q$54,0),FALSE),"")="","",IFERROR(VLOOKUP($C51,SUP!$B$54:$Q$104,MATCH($B51&amp;"-"&amp;U$7,SUP!$B$54:$Q$54,0),FALSE),"")),"")</f>
        <v/>
      </c>
      <c r="V51" s="441" t="str">
        <f ca="1">IFERROR(1*IF(IFERROR(VLOOKUP($C51,SUP!$B$54:$Q$104,MATCH($B51&amp;"-"&amp;V$7,SUP!$B$54:$Q$54,0),FALSE),"")="","",IFERROR(VLOOKUP($C51,SUP!$B$54:$Q$104,MATCH($B51&amp;"-"&amp;V$7,SUP!$B$54:$Q$54,0),FALSE),"")),"")</f>
        <v/>
      </c>
      <c r="W51" s="441" t="str">
        <f ca="1">IFERROR(1*IF(IFERROR(VLOOKUP($C51,SUP!$B$54:$Q$104,MATCH($B51&amp;"-"&amp;W$7,SUP!$B$54:$Q$54,0),FALSE),"")="","",IFERROR(VLOOKUP($C51,SUP!$B$54:$Q$104,MATCH($B51&amp;"-"&amp;W$7,SUP!$B$54:$Q$54,0),FALSE),"")),"")</f>
        <v/>
      </c>
      <c r="X51" s="441" t="str">
        <f ca="1">IFERROR(1*IF(IFERROR(VLOOKUP($C51,SUP!$B$54:$Q$104,MATCH($B51&amp;"-"&amp;X$7,SUP!$B$54:$Q$54,0),FALSE),"")="","",IFERROR(VLOOKUP($C51,SUP!$B$54:$Q$104,MATCH($B51&amp;"-"&amp;X$7,SUP!$B$54:$Q$54,0),FALSE),"")),"")</f>
        <v/>
      </c>
      <c r="Y51" s="441" t="str">
        <f ca="1">IFERROR(1*IF(IFERROR(VLOOKUP($C51,SUP!$B$54:$Q$104,MATCH($B51&amp;"-"&amp;Y$7,SUP!$B$54:$Q$54,0),FALSE),"")="","",IFERROR(VLOOKUP($C51,SUP!$B$54:$Q$104,MATCH($B51&amp;"-"&amp;Y$7,SUP!$B$54:$Q$54,0),FALSE),"")),"")</f>
        <v/>
      </c>
      <c r="Z51" s="441" t="str">
        <f ca="1">IFERROR(1*IF(IFERROR(VLOOKUP($C51,SUP!$B$54:$Q$104,MATCH($B51&amp;"-"&amp;Z$7,SUP!$B$54:$Q$54,0),FALSE),"")="","",IFERROR(VLOOKUP($C51,SUP!$B$54:$Q$104,MATCH($B51&amp;"-"&amp;Z$7,SUP!$B$54:$Q$54,0),FALSE),"")),"")</f>
        <v/>
      </c>
      <c r="AA51" s="441" t="str">
        <f ca="1">IFERROR(1*IF(IFERROR(VLOOKUP($C51,SUP!$B$54:$Q$104,MATCH($B51&amp;"-"&amp;AA$7,SUP!$B$54:$Q$54,0),FALSE),"")="","",IFERROR(VLOOKUP($C51,SUP!$B$54:$Q$104,MATCH($B51&amp;"-"&amp;AA$7,SUP!$B$54:$Q$54,0),FALSE),"")),"")</f>
        <v/>
      </c>
      <c r="AB51" s="441">
        <f ca="1">IFERROR(1*IF(IFERROR(VLOOKUP($C51,SUP!$B$54:$Q$104,MATCH($B51&amp;"-"&amp;AB$7,SUP!$B$54:$Q$54,0),FALSE),"")="","",IFERROR(VLOOKUP($C51,SUP!$B$54:$Q$104,MATCH($B51&amp;"-"&amp;AB$7,SUP!$B$54:$Q$54,0),FALSE),"")),"")</f>
        <v>-43.32</v>
      </c>
      <c r="AC51" s="441" t="str">
        <f ca="1">IFERROR(1*IF(IFERROR(VLOOKUP($C51,SUP!$B$54:$Q$104,MATCH($B51&amp;"-"&amp;AC$7,SUP!$B$54:$Q$54,0),FALSE),"")="","",IFERROR(VLOOKUP($C51,SUP!$B$54:$Q$104,MATCH($B51&amp;"-"&amp;AC$7,SUP!$B$54:$Q$54,0),FALSE),"")),"")</f>
        <v/>
      </c>
      <c r="AD51" s="441" t="str">
        <f ca="1">IFERROR(1*IF(IFERROR(VLOOKUP($C51,SUP!$B$54:$Q$104,MATCH($B51&amp;"-"&amp;AD$7,SUP!$B$54:$Q$54,0),FALSE),"")="","",IFERROR(VLOOKUP($C51,SUP!$B$54:$Q$104,MATCH($B51&amp;"-"&amp;AD$7,SUP!$B$54:$Q$54,0),FALSE),"")),"")</f>
        <v/>
      </c>
      <c r="AE51" s="441" t="str">
        <f ca="1">IFERROR(1*IF(IFERROR(VLOOKUP($C51,SUP!$B$54:$Q$104,MATCH($B51&amp;"-"&amp;AE$7,SUP!$B$54:$Q$54,0),FALSE),"")="","",IFERROR(VLOOKUP($C51,SUP!$B$54:$Q$104,MATCH($B51&amp;"-"&amp;AE$7,SUP!$B$54:$Q$54,0),FALSE),"")),"")</f>
        <v/>
      </c>
      <c r="AF51" s="441" t="str">
        <f ca="1">IFERROR(1*IF(IFERROR(VLOOKUP($C51,SUP!$B$54:$Q$104,MATCH($B51&amp;"-"&amp;AF$7,SUP!$B$54:$Q$54,0),FALSE),"")="","",IFERROR(VLOOKUP($C51,SUP!$B$54:$Q$104,MATCH($B51&amp;"-"&amp;AF$7,SUP!$B$54:$Q$54,0),FALSE),"")),"")</f>
        <v/>
      </c>
      <c r="AG51" s="441" t="str">
        <f ca="1">IFERROR(1*IF(IFERROR(VLOOKUP($C51,SUP!$B$54:$Q$104,MATCH($B51&amp;"-"&amp;AG$7,SUP!$B$54:$Q$54,0),FALSE),"")="","",IFERROR(VLOOKUP($C51,SUP!$B$54:$Q$104,MATCH($B51&amp;"-"&amp;AG$7,SUP!$B$54:$Q$54,0),FALSE),"")),"")</f>
        <v/>
      </c>
      <c r="AH51" s="441" t="str">
        <f ca="1">IFERROR(1*IF(IFERROR(VLOOKUP($C51,SUP!$B$54:$Q$104,MATCH($B51&amp;"-"&amp;AH$7,SUP!$B$54:$Q$54,0),FALSE),"")="","",IFERROR(VLOOKUP($C51,SUP!$B$54:$Q$104,MATCH($B51&amp;"-"&amp;AH$7,SUP!$B$54:$Q$54,0),FALSE),"")),"")</f>
        <v/>
      </c>
      <c r="AI51" s="441" t="str">
        <f ca="1">IFERROR(1*IF(IFERROR(VLOOKUP($C51,SUP!$B$54:$Q$104,MATCH($B51&amp;"-"&amp;AI$7,SUP!$B$54:$Q$54,0),FALSE),"")="","",IFERROR(VLOOKUP($C51,SUP!$B$54:$Q$104,MATCH($B51&amp;"-"&amp;AI$7,SUP!$B$54:$Q$54,0),FALSE),"")),"")</f>
        <v/>
      </c>
      <c r="AJ51" s="441" t="str">
        <f ca="1">IFERROR(1*IF(IFERROR(VLOOKUP($C51,SUP!$B$54:$Q$104,MATCH($B51&amp;"-"&amp;AJ$7,SUP!$B$54:$Q$54,0),FALSE),"")="","",IFERROR(VLOOKUP($C51,SUP!$B$54:$Q$104,MATCH($B51&amp;"-"&amp;AJ$7,SUP!$B$54:$Q$54,0),FALSE),"")),"")</f>
        <v/>
      </c>
      <c r="AK51" s="441" t="str">
        <f ca="1">IFERROR(1*IF(IFERROR(VLOOKUP($C51,SUP!$B$54:$Q$104,MATCH($B51&amp;"-"&amp;AK$7,SUP!$B$54:$Q$54,0),FALSE),"")="","",IFERROR(VLOOKUP($C51,SUP!$B$54:$Q$104,MATCH($B51&amp;"-"&amp;AK$7,SUP!$B$54:$Q$54,0),FALSE),"")),"")</f>
        <v/>
      </c>
      <c r="AL51" s="441" t="str">
        <f ca="1">IFERROR(1*IF(IFERROR(VLOOKUP($C51,SUP!$B$54:$Q$104,MATCH($B51&amp;"-"&amp;AL$7,SUP!$B$54:$Q$54,0),FALSE),"")="","",IFERROR(VLOOKUP($C51,SUP!$B$54:$Q$104,MATCH($B51&amp;"-"&amp;AL$7,SUP!$B$54:$Q$54,0),FALSE),"")),"")</f>
        <v/>
      </c>
      <c r="AM51" s="441" t="str">
        <f ca="1">IFERROR(1*IF(IFERROR(VLOOKUP($C51,SUP!$B$54:$Q$104,MATCH($B51&amp;"-"&amp;AM$7,SUP!$B$54:$Q$54,0),FALSE),"")="","",IFERROR(VLOOKUP($C51,SUP!$B$54:$Q$104,MATCH($B51&amp;"-"&amp;AM$7,SUP!$B$54:$Q$54,0),FALSE),"")),"")</f>
        <v/>
      </c>
      <c r="AN51" s="441">
        <f ca="1">IFERROR(1*IF(IFERROR(VLOOKUP($C51,SUP!$B$54:$Q$104,MATCH($B51&amp;"-"&amp;AN$7,SUP!$B$54:$Q$54,0),FALSE),"")="","",IFERROR(VLOOKUP($C51,SUP!$B$54:$Q$104,MATCH($B51&amp;"-"&amp;AN$7,SUP!$B$54:$Q$54,0),FALSE),"")),"")</f>
        <v>-43.32</v>
      </c>
      <c r="AO51" s="441" t="str">
        <f ca="1">IFERROR(1*IF(IFERROR(VLOOKUP($C51,SUP!$B$54:$Q$104,MATCH($B51&amp;"-"&amp;AO$7,SUP!$B$54:$Q$54,0),FALSE),"")="","",IFERROR(VLOOKUP($C51,SUP!$B$54:$Q$104,MATCH($B51&amp;"-"&amp;AO$7,SUP!$B$54:$Q$54,0),FALSE),"")),"")</f>
        <v/>
      </c>
      <c r="AR51" s="42">
        <f>IF(AS50=SUP!$B$104,AR50+1,AR50)</f>
        <v>1</v>
      </c>
      <c r="AS51" s="42">
        <f t="shared" si="6"/>
        <v>39</v>
      </c>
    </row>
    <row r="52" spans="1:45">
      <c r="A52" s="42" t="str">
        <f ca="1">IF(LEFT(OFFSET(SUP!$A$57,AS52,0),2)="\I","*","")</f>
        <v/>
      </c>
      <c r="B52" s="440" t="str">
        <f t="shared" ca="1" si="8"/>
        <v>ACT_COST</v>
      </c>
      <c r="C52" s="440" t="str">
        <f ca="1">IF($A52="*","",OFFSET(SUP!$B$57,AS52,0))</f>
        <v>PEXCOK</v>
      </c>
      <c r="D52" s="440" t="str">
        <f t="shared" ca="1" si="7"/>
        <v>-</v>
      </c>
      <c r="E52" s="440" t="str">
        <f t="shared" ca="1" si="7"/>
        <v>-</v>
      </c>
      <c r="F52" s="440" t="str">
        <f t="shared" ca="1" si="7"/>
        <v>-</v>
      </c>
      <c r="G52" s="440" t="str">
        <f t="shared" ca="1" si="7"/>
        <v>-</v>
      </c>
      <c r="H52" s="440" t="str">
        <f t="shared" ca="1" si="5"/>
        <v>-</v>
      </c>
      <c r="I52" s="441">
        <f ca="1">IF(IFERROR(VLOOKUP($C52,SUP!$B$54:$Q$104,MATCH($B52&amp;"-"&amp;I$7,SUP!$B$54:$Q$54,0),FALSE),"")="","",IFERROR(VLOOKUP($C52,SUP!$B$54:$Q$104,MATCH($B52&amp;"-"&amp;I$7,SUP!$B$54:$Q$54,0),FALSE),""))</f>
        <v>0</v>
      </c>
      <c r="J52" s="441">
        <f ca="1">IFERROR(1*IF(IFERROR(VLOOKUP($C52,SUP!$B$54:$Q$104,MATCH($B52&amp;"-"&amp;J$7,SUP!$B$54:$Q$54,0),FALSE),"")="","",IFERROR(VLOOKUP($C52,SUP!$B$54:$Q$104,MATCH($B52&amp;"-"&amp;J$7,SUP!$B$54:$Q$54,0),FALSE),"")),"")</f>
        <v>-64.142416666666662</v>
      </c>
      <c r="K52" s="441" t="str">
        <f ca="1">IFERROR(1*IF(IFERROR(VLOOKUP($C52,SUP!$B$54:$Q$104,MATCH($B52&amp;"-"&amp;K$7,SUP!$B$54:$Q$54,0),FALSE),"")="","",IFERROR(VLOOKUP($C52,SUP!$B$54:$Q$104,MATCH($B52&amp;"-"&amp;K$7,SUP!$B$54:$Q$54,0),FALSE),"")),"")</f>
        <v/>
      </c>
      <c r="L52" s="441" t="str">
        <f ca="1">IFERROR(1*IF(IFERROR(VLOOKUP($C52,SUP!$B$54:$Q$104,MATCH($B52&amp;"-"&amp;L$7,SUP!$B$54:$Q$54,0),FALSE),"")="","",IFERROR(VLOOKUP($C52,SUP!$B$54:$Q$104,MATCH($B52&amp;"-"&amp;L$7,SUP!$B$54:$Q$54,0),FALSE),"")),"")</f>
        <v/>
      </c>
      <c r="M52" s="441">
        <f ca="1">IFERROR(1*IF(IFERROR(VLOOKUP($C52,SUP!$B$54:$Q$104,MATCH($B52&amp;"-"&amp;M$7,SUP!$B$54:$Q$54,0),FALSE),"")="","",IFERROR(VLOOKUP($C52,SUP!$B$54:$Q$104,MATCH($B52&amp;"-"&amp;M$7,SUP!$B$54:$Q$54,0),FALSE),"")),"")</f>
        <v>-64.561208333333326</v>
      </c>
      <c r="N52" s="441" t="str">
        <f ca="1">IFERROR(1*IF(IFERROR(VLOOKUP($C52,SUP!$B$54:$Q$104,MATCH($B52&amp;"-"&amp;N$7,SUP!$B$54:$Q$54,0),FALSE),"")="","",IFERROR(VLOOKUP($C52,SUP!$B$54:$Q$104,MATCH($B52&amp;"-"&amp;N$7,SUP!$B$54:$Q$54,0),FALSE),"")),"")</f>
        <v/>
      </c>
      <c r="O52" s="441" t="str">
        <f ca="1">IFERROR(1*IF(IFERROR(VLOOKUP($C52,SUP!$B$54:$Q$104,MATCH($B52&amp;"-"&amp;O$7,SUP!$B$54:$Q$54,0),FALSE),"")="","",IFERROR(VLOOKUP($C52,SUP!$B$54:$Q$104,MATCH($B52&amp;"-"&amp;O$7,SUP!$B$54:$Q$54,0),FALSE),"")),"")</f>
        <v/>
      </c>
      <c r="P52" s="441" t="str">
        <f ca="1">IFERROR(1*IF(IFERROR(VLOOKUP($C52,SUP!$B$54:$Q$104,MATCH($B52&amp;"-"&amp;P$7,SUP!$B$54:$Q$54,0),FALSE),"")="","",IFERROR(VLOOKUP($C52,SUP!$B$54:$Q$104,MATCH($B52&amp;"-"&amp;P$7,SUP!$B$54:$Q$54,0),FALSE),"")),"")</f>
        <v/>
      </c>
      <c r="Q52" s="441" t="str">
        <f ca="1">IFERROR(1*IF(IFERROR(VLOOKUP($C52,SUP!$B$54:$Q$104,MATCH($B52&amp;"-"&amp;Q$7,SUP!$B$54:$Q$54,0),FALSE),"")="","",IFERROR(VLOOKUP($C52,SUP!$B$54:$Q$104,MATCH($B52&amp;"-"&amp;Q$7,SUP!$B$54:$Q$54,0),FALSE),"")),"")</f>
        <v/>
      </c>
      <c r="R52" s="441">
        <f ca="1">IFERROR(1*IF(IFERROR(VLOOKUP($C52,SUP!$B$54:$Q$104,MATCH($B52&amp;"-"&amp;R$7,SUP!$B$54:$Q$54,0),FALSE),"")="","",IFERROR(VLOOKUP($C52,SUP!$B$54:$Q$104,MATCH($B52&amp;"-"&amp;R$7,SUP!$B$54:$Q$54,0),FALSE),"")),"")</f>
        <v>-64.98</v>
      </c>
      <c r="S52" s="441" t="str">
        <f ca="1">IFERROR(1*IF(IFERROR(VLOOKUP($C52,SUP!$B$54:$Q$104,MATCH($B52&amp;"-"&amp;S$7,SUP!$B$54:$Q$54,0),FALSE),"")="","",IFERROR(VLOOKUP($C52,SUP!$B$54:$Q$104,MATCH($B52&amp;"-"&amp;S$7,SUP!$B$54:$Q$54,0),FALSE),"")),"")</f>
        <v/>
      </c>
      <c r="T52" s="441" t="str">
        <f ca="1">IFERROR(1*IF(IFERROR(VLOOKUP($C52,SUP!$B$54:$Q$104,MATCH($B52&amp;"-"&amp;T$7,SUP!$B$54:$Q$54,0),FALSE),"")="","",IFERROR(VLOOKUP($C52,SUP!$B$54:$Q$104,MATCH($B52&amp;"-"&amp;T$7,SUP!$B$54:$Q$54,0),FALSE),"")),"")</f>
        <v/>
      </c>
      <c r="U52" s="441" t="str">
        <f ca="1">IFERROR(1*IF(IFERROR(VLOOKUP($C52,SUP!$B$54:$Q$104,MATCH($B52&amp;"-"&amp;U$7,SUP!$B$54:$Q$54,0),FALSE),"")="","",IFERROR(VLOOKUP($C52,SUP!$B$54:$Q$104,MATCH($B52&amp;"-"&amp;U$7,SUP!$B$54:$Q$54,0),FALSE),"")),"")</f>
        <v/>
      </c>
      <c r="V52" s="441" t="str">
        <f ca="1">IFERROR(1*IF(IFERROR(VLOOKUP($C52,SUP!$B$54:$Q$104,MATCH($B52&amp;"-"&amp;V$7,SUP!$B$54:$Q$54,0),FALSE),"")="","",IFERROR(VLOOKUP($C52,SUP!$B$54:$Q$104,MATCH($B52&amp;"-"&amp;V$7,SUP!$B$54:$Q$54,0),FALSE),"")),"")</f>
        <v/>
      </c>
      <c r="W52" s="441" t="str">
        <f ca="1">IFERROR(1*IF(IFERROR(VLOOKUP($C52,SUP!$B$54:$Q$104,MATCH($B52&amp;"-"&amp;W$7,SUP!$B$54:$Q$54,0),FALSE),"")="","",IFERROR(VLOOKUP($C52,SUP!$B$54:$Q$104,MATCH($B52&amp;"-"&amp;W$7,SUP!$B$54:$Q$54,0),FALSE),"")),"")</f>
        <v/>
      </c>
      <c r="X52" s="441" t="str">
        <f ca="1">IFERROR(1*IF(IFERROR(VLOOKUP($C52,SUP!$B$54:$Q$104,MATCH($B52&amp;"-"&amp;X$7,SUP!$B$54:$Q$54,0),FALSE),"")="","",IFERROR(VLOOKUP($C52,SUP!$B$54:$Q$104,MATCH($B52&amp;"-"&amp;X$7,SUP!$B$54:$Q$54,0),FALSE),"")),"")</f>
        <v/>
      </c>
      <c r="Y52" s="441" t="str">
        <f ca="1">IFERROR(1*IF(IFERROR(VLOOKUP($C52,SUP!$B$54:$Q$104,MATCH($B52&amp;"-"&amp;Y$7,SUP!$B$54:$Q$54,0),FALSE),"")="","",IFERROR(VLOOKUP($C52,SUP!$B$54:$Q$104,MATCH($B52&amp;"-"&amp;Y$7,SUP!$B$54:$Q$54,0),FALSE),"")),"")</f>
        <v/>
      </c>
      <c r="Z52" s="441" t="str">
        <f ca="1">IFERROR(1*IF(IFERROR(VLOOKUP($C52,SUP!$B$54:$Q$104,MATCH($B52&amp;"-"&amp;Z$7,SUP!$B$54:$Q$54,0),FALSE),"")="","",IFERROR(VLOOKUP($C52,SUP!$B$54:$Q$104,MATCH($B52&amp;"-"&amp;Z$7,SUP!$B$54:$Q$54,0),FALSE),"")),"")</f>
        <v/>
      </c>
      <c r="AA52" s="441" t="str">
        <f ca="1">IFERROR(1*IF(IFERROR(VLOOKUP($C52,SUP!$B$54:$Q$104,MATCH($B52&amp;"-"&amp;AA$7,SUP!$B$54:$Q$54,0),FALSE),"")="","",IFERROR(VLOOKUP($C52,SUP!$B$54:$Q$104,MATCH($B52&amp;"-"&amp;AA$7,SUP!$B$54:$Q$54,0),FALSE),"")),"")</f>
        <v/>
      </c>
      <c r="AB52" s="441">
        <f ca="1">IFERROR(1*IF(IFERROR(VLOOKUP($C52,SUP!$B$54:$Q$104,MATCH($B52&amp;"-"&amp;AB$7,SUP!$B$54:$Q$54,0),FALSE),"")="","",IFERROR(VLOOKUP($C52,SUP!$B$54:$Q$104,MATCH($B52&amp;"-"&amp;AB$7,SUP!$B$54:$Q$54,0),FALSE),"")),"")</f>
        <v>-64.98</v>
      </c>
      <c r="AC52" s="441" t="str">
        <f ca="1">IFERROR(1*IF(IFERROR(VLOOKUP($C52,SUP!$B$54:$Q$104,MATCH($B52&amp;"-"&amp;AC$7,SUP!$B$54:$Q$54,0),FALSE),"")="","",IFERROR(VLOOKUP($C52,SUP!$B$54:$Q$104,MATCH($B52&amp;"-"&amp;AC$7,SUP!$B$54:$Q$54,0),FALSE),"")),"")</f>
        <v/>
      </c>
      <c r="AD52" s="441" t="str">
        <f ca="1">IFERROR(1*IF(IFERROR(VLOOKUP($C52,SUP!$B$54:$Q$104,MATCH($B52&amp;"-"&amp;AD$7,SUP!$B$54:$Q$54,0),FALSE),"")="","",IFERROR(VLOOKUP($C52,SUP!$B$54:$Q$104,MATCH($B52&amp;"-"&amp;AD$7,SUP!$B$54:$Q$54,0),FALSE),"")),"")</f>
        <v/>
      </c>
      <c r="AE52" s="441" t="str">
        <f ca="1">IFERROR(1*IF(IFERROR(VLOOKUP($C52,SUP!$B$54:$Q$104,MATCH($B52&amp;"-"&amp;AE$7,SUP!$B$54:$Q$54,0),FALSE),"")="","",IFERROR(VLOOKUP($C52,SUP!$B$54:$Q$104,MATCH($B52&amp;"-"&amp;AE$7,SUP!$B$54:$Q$54,0),FALSE),"")),"")</f>
        <v/>
      </c>
      <c r="AF52" s="441" t="str">
        <f ca="1">IFERROR(1*IF(IFERROR(VLOOKUP($C52,SUP!$B$54:$Q$104,MATCH($B52&amp;"-"&amp;AF$7,SUP!$B$54:$Q$54,0),FALSE),"")="","",IFERROR(VLOOKUP($C52,SUP!$B$54:$Q$104,MATCH($B52&amp;"-"&amp;AF$7,SUP!$B$54:$Q$54,0),FALSE),"")),"")</f>
        <v/>
      </c>
      <c r="AG52" s="441" t="str">
        <f ca="1">IFERROR(1*IF(IFERROR(VLOOKUP($C52,SUP!$B$54:$Q$104,MATCH($B52&amp;"-"&amp;AG$7,SUP!$B$54:$Q$54,0),FALSE),"")="","",IFERROR(VLOOKUP($C52,SUP!$B$54:$Q$104,MATCH($B52&amp;"-"&amp;AG$7,SUP!$B$54:$Q$54,0),FALSE),"")),"")</f>
        <v/>
      </c>
      <c r="AH52" s="441" t="str">
        <f ca="1">IFERROR(1*IF(IFERROR(VLOOKUP($C52,SUP!$B$54:$Q$104,MATCH($B52&amp;"-"&amp;AH$7,SUP!$B$54:$Q$54,0),FALSE),"")="","",IFERROR(VLOOKUP($C52,SUP!$B$54:$Q$104,MATCH($B52&amp;"-"&amp;AH$7,SUP!$B$54:$Q$54,0),FALSE),"")),"")</f>
        <v/>
      </c>
      <c r="AI52" s="441" t="str">
        <f ca="1">IFERROR(1*IF(IFERROR(VLOOKUP($C52,SUP!$B$54:$Q$104,MATCH($B52&amp;"-"&amp;AI$7,SUP!$B$54:$Q$54,0),FALSE),"")="","",IFERROR(VLOOKUP($C52,SUP!$B$54:$Q$104,MATCH($B52&amp;"-"&amp;AI$7,SUP!$B$54:$Q$54,0),FALSE),"")),"")</f>
        <v/>
      </c>
      <c r="AJ52" s="441" t="str">
        <f ca="1">IFERROR(1*IF(IFERROR(VLOOKUP($C52,SUP!$B$54:$Q$104,MATCH($B52&amp;"-"&amp;AJ$7,SUP!$B$54:$Q$54,0),FALSE),"")="","",IFERROR(VLOOKUP($C52,SUP!$B$54:$Q$104,MATCH($B52&amp;"-"&amp;AJ$7,SUP!$B$54:$Q$54,0),FALSE),"")),"")</f>
        <v/>
      </c>
      <c r="AK52" s="441" t="str">
        <f ca="1">IFERROR(1*IF(IFERROR(VLOOKUP($C52,SUP!$B$54:$Q$104,MATCH($B52&amp;"-"&amp;AK$7,SUP!$B$54:$Q$54,0),FALSE),"")="","",IFERROR(VLOOKUP($C52,SUP!$B$54:$Q$104,MATCH($B52&amp;"-"&amp;AK$7,SUP!$B$54:$Q$54,0),FALSE),"")),"")</f>
        <v/>
      </c>
      <c r="AL52" s="441" t="str">
        <f ca="1">IFERROR(1*IF(IFERROR(VLOOKUP($C52,SUP!$B$54:$Q$104,MATCH($B52&amp;"-"&amp;AL$7,SUP!$B$54:$Q$54,0),FALSE),"")="","",IFERROR(VLOOKUP($C52,SUP!$B$54:$Q$104,MATCH($B52&amp;"-"&amp;AL$7,SUP!$B$54:$Q$54,0),FALSE),"")),"")</f>
        <v/>
      </c>
      <c r="AM52" s="441" t="str">
        <f ca="1">IFERROR(1*IF(IFERROR(VLOOKUP($C52,SUP!$B$54:$Q$104,MATCH($B52&amp;"-"&amp;AM$7,SUP!$B$54:$Q$54,0),FALSE),"")="","",IFERROR(VLOOKUP($C52,SUP!$B$54:$Q$104,MATCH($B52&amp;"-"&amp;AM$7,SUP!$B$54:$Q$54,0),FALSE),"")),"")</f>
        <v/>
      </c>
      <c r="AN52" s="441">
        <f ca="1">IFERROR(1*IF(IFERROR(VLOOKUP($C52,SUP!$B$54:$Q$104,MATCH($B52&amp;"-"&amp;AN$7,SUP!$B$54:$Q$54,0),FALSE),"")="","",IFERROR(VLOOKUP($C52,SUP!$B$54:$Q$104,MATCH($B52&amp;"-"&amp;AN$7,SUP!$B$54:$Q$54,0),FALSE),"")),"")</f>
        <v>-64.98</v>
      </c>
      <c r="AO52" s="441" t="str">
        <f ca="1">IFERROR(1*IF(IFERROR(VLOOKUP($C52,SUP!$B$54:$Q$104,MATCH($B52&amp;"-"&amp;AO$7,SUP!$B$54:$Q$54,0),FALSE),"")="","",IFERROR(VLOOKUP($C52,SUP!$B$54:$Q$104,MATCH($B52&amp;"-"&amp;AO$7,SUP!$B$54:$Q$54,0),FALSE),"")),"")</f>
        <v/>
      </c>
      <c r="AR52" s="42">
        <f>IF(AS51=SUP!$B$104,AR51+1,AR51)</f>
        <v>1</v>
      </c>
      <c r="AS52" s="42">
        <f t="shared" si="6"/>
        <v>40</v>
      </c>
    </row>
    <row r="53" spans="1:45">
      <c r="A53" s="42" t="str">
        <f ca="1">IF(LEFT(OFFSET(SUP!$A$57,AS53,0),2)="\I","*","")</f>
        <v/>
      </c>
      <c r="B53" s="440" t="str">
        <f t="shared" ca="1" si="8"/>
        <v>ACT_COST</v>
      </c>
      <c r="C53" s="440" t="str">
        <f ca="1">IF($A53="*","",OFFSET(SUP!$B$57,AS53,0))</f>
        <v>PEXOAG</v>
      </c>
      <c r="D53" s="440" t="str">
        <f t="shared" ca="1" si="7"/>
        <v>-</v>
      </c>
      <c r="E53" s="440" t="str">
        <f t="shared" ca="1" si="7"/>
        <v>-</v>
      </c>
      <c r="F53" s="440" t="str">
        <f t="shared" ca="1" si="7"/>
        <v>-</v>
      </c>
      <c r="G53" s="440" t="str">
        <f t="shared" ca="1" si="7"/>
        <v>-</v>
      </c>
      <c r="H53" s="440" t="str">
        <f t="shared" ca="1" si="5"/>
        <v>-</v>
      </c>
      <c r="I53" s="441">
        <f ca="1">IF(IFERROR(VLOOKUP($C53,SUP!$B$54:$Q$104,MATCH($B53&amp;"-"&amp;I$7,SUP!$B$54:$Q$54,0),FALSE),"")="","",IFERROR(VLOOKUP($C53,SUP!$B$54:$Q$104,MATCH($B53&amp;"-"&amp;I$7,SUP!$B$54:$Q$54,0),FALSE),""))</f>
        <v>0</v>
      </c>
      <c r="J53" s="441">
        <f ca="1">IFERROR(1*IF(IFERROR(VLOOKUP($C53,SUP!$B$54:$Q$104,MATCH($B53&amp;"-"&amp;J$7,SUP!$B$54:$Q$54,0),FALSE),"")="","",IFERROR(VLOOKUP($C53,SUP!$B$54:$Q$104,MATCH($B53&amp;"-"&amp;J$7,SUP!$B$54:$Q$54,0),FALSE),"")),"")</f>
        <v>-168.0530191432465</v>
      </c>
      <c r="K53" s="441" t="str">
        <f ca="1">IFERROR(1*IF(IFERROR(VLOOKUP($C53,SUP!$B$54:$Q$104,MATCH($B53&amp;"-"&amp;K$7,SUP!$B$54:$Q$54,0),FALSE),"")="","",IFERROR(VLOOKUP($C53,SUP!$B$54:$Q$104,MATCH($B53&amp;"-"&amp;K$7,SUP!$B$54:$Q$54,0),FALSE),"")),"")</f>
        <v/>
      </c>
      <c r="L53" s="441" t="str">
        <f ca="1">IFERROR(1*IF(IFERROR(VLOOKUP($C53,SUP!$B$54:$Q$104,MATCH($B53&amp;"-"&amp;L$7,SUP!$B$54:$Q$54,0),FALSE),"")="","",IFERROR(VLOOKUP($C53,SUP!$B$54:$Q$104,MATCH($B53&amp;"-"&amp;L$7,SUP!$B$54:$Q$54,0),FALSE),"")),"")</f>
        <v/>
      </c>
      <c r="M53" s="441">
        <f ca="1">IFERROR(1*IF(IFERROR(VLOOKUP($C53,SUP!$B$54:$Q$104,MATCH($B53&amp;"-"&amp;M$7,SUP!$B$54:$Q$54,0),FALSE),"")="","",IFERROR(VLOOKUP($C53,SUP!$B$54:$Q$104,MATCH($B53&amp;"-"&amp;M$7,SUP!$B$54:$Q$54,0),FALSE),"")),"")</f>
        <v>-123.20487410094756</v>
      </c>
      <c r="N53" s="441" t="str">
        <f ca="1">IFERROR(1*IF(IFERROR(VLOOKUP($C53,SUP!$B$54:$Q$104,MATCH($B53&amp;"-"&amp;N$7,SUP!$B$54:$Q$54,0),FALSE),"")="","",IFERROR(VLOOKUP($C53,SUP!$B$54:$Q$104,MATCH($B53&amp;"-"&amp;N$7,SUP!$B$54:$Q$54,0),FALSE),"")),"")</f>
        <v/>
      </c>
      <c r="O53" s="441" t="str">
        <f ca="1">IFERROR(1*IF(IFERROR(VLOOKUP($C53,SUP!$B$54:$Q$104,MATCH($B53&amp;"-"&amp;O$7,SUP!$B$54:$Q$54,0),FALSE),"")="","",IFERROR(VLOOKUP($C53,SUP!$B$54:$Q$104,MATCH($B53&amp;"-"&amp;O$7,SUP!$B$54:$Q$54,0),FALSE),"")),"")</f>
        <v/>
      </c>
      <c r="P53" s="441" t="str">
        <f ca="1">IFERROR(1*IF(IFERROR(VLOOKUP($C53,SUP!$B$54:$Q$104,MATCH($B53&amp;"-"&amp;P$7,SUP!$B$54:$Q$54,0),FALSE),"")="","",IFERROR(VLOOKUP($C53,SUP!$B$54:$Q$104,MATCH($B53&amp;"-"&amp;P$7,SUP!$B$54:$Q$54,0),FALSE),"")),"")</f>
        <v/>
      </c>
      <c r="Q53" s="441" t="str">
        <f ca="1">IFERROR(1*IF(IFERROR(VLOOKUP($C53,SUP!$B$54:$Q$104,MATCH($B53&amp;"-"&amp;Q$7,SUP!$B$54:$Q$54,0),FALSE),"")="","",IFERROR(VLOOKUP($C53,SUP!$B$54:$Q$104,MATCH($B53&amp;"-"&amp;Q$7,SUP!$B$54:$Q$54,0),FALSE),"")),"")</f>
        <v/>
      </c>
      <c r="R53" s="441">
        <f ca="1">IFERROR(1*IF(IFERROR(VLOOKUP($C53,SUP!$B$54:$Q$104,MATCH($B53&amp;"-"&amp;R$7,SUP!$B$54:$Q$54,0),FALSE),"")="","",IFERROR(VLOOKUP($C53,SUP!$B$54:$Q$104,MATCH($B53&amp;"-"&amp;R$7,SUP!$B$54:$Q$54,0),FALSE),"")),"")</f>
        <v>-137.71788055884457</v>
      </c>
      <c r="S53" s="441" t="str">
        <f ca="1">IFERROR(1*IF(IFERROR(VLOOKUP($C53,SUP!$B$54:$Q$104,MATCH($B53&amp;"-"&amp;S$7,SUP!$B$54:$Q$54,0),FALSE),"")="","",IFERROR(VLOOKUP($C53,SUP!$B$54:$Q$104,MATCH($B53&amp;"-"&amp;S$7,SUP!$B$54:$Q$54,0),FALSE),"")),"")</f>
        <v/>
      </c>
      <c r="T53" s="441" t="str">
        <f ca="1">IFERROR(1*IF(IFERROR(VLOOKUP($C53,SUP!$B$54:$Q$104,MATCH($B53&amp;"-"&amp;T$7,SUP!$B$54:$Q$54,0),FALSE),"")="","",IFERROR(VLOOKUP($C53,SUP!$B$54:$Q$104,MATCH($B53&amp;"-"&amp;T$7,SUP!$B$54:$Q$54,0),FALSE),"")),"")</f>
        <v/>
      </c>
      <c r="U53" s="441" t="str">
        <f ca="1">IFERROR(1*IF(IFERROR(VLOOKUP($C53,SUP!$B$54:$Q$104,MATCH($B53&amp;"-"&amp;U$7,SUP!$B$54:$Q$54,0),FALSE),"")="","",IFERROR(VLOOKUP($C53,SUP!$B$54:$Q$104,MATCH($B53&amp;"-"&amp;U$7,SUP!$B$54:$Q$54,0),FALSE),"")),"")</f>
        <v/>
      </c>
      <c r="V53" s="441" t="str">
        <f ca="1">IFERROR(1*IF(IFERROR(VLOOKUP($C53,SUP!$B$54:$Q$104,MATCH($B53&amp;"-"&amp;V$7,SUP!$B$54:$Q$54,0),FALSE),"")="","",IFERROR(VLOOKUP($C53,SUP!$B$54:$Q$104,MATCH($B53&amp;"-"&amp;V$7,SUP!$B$54:$Q$54,0),FALSE),"")),"")</f>
        <v/>
      </c>
      <c r="W53" s="441" t="str">
        <f ca="1">IFERROR(1*IF(IFERROR(VLOOKUP($C53,SUP!$B$54:$Q$104,MATCH($B53&amp;"-"&amp;W$7,SUP!$B$54:$Q$54,0),FALSE),"")="","",IFERROR(VLOOKUP($C53,SUP!$B$54:$Q$104,MATCH($B53&amp;"-"&amp;W$7,SUP!$B$54:$Q$54,0),FALSE),"")),"")</f>
        <v/>
      </c>
      <c r="X53" s="441" t="str">
        <f ca="1">IFERROR(1*IF(IFERROR(VLOOKUP($C53,SUP!$B$54:$Q$104,MATCH($B53&amp;"-"&amp;X$7,SUP!$B$54:$Q$54,0),FALSE),"")="","",IFERROR(VLOOKUP($C53,SUP!$B$54:$Q$104,MATCH($B53&amp;"-"&amp;X$7,SUP!$B$54:$Q$54,0),FALSE),"")),"")</f>
        <v/>
      </c>
      <c r="Y53" s="441" t="str">
        <f ca="1">IFERROR(1*IF(IFERROR(VLOOKUP($C53,SUP!$B$54:$Q$104,MATCH($B53&amp;"-"&amp;Y$7,SUP!$B$54:$Q$54,0),FALSE),"")="","",IFERROR(VLOOKUP($C53,SUP!$B$54:$Q$104,MATCH($B53&amp;"-"&amp;Y$7,SUP!$B$54:$Q$54,0),FALSE),"")),"")</f>
        <v/>
      </c>
      <c r="Z53" s="441" t="str">
        <f ca="1">IFERROR(1*IF(IFERROR(VLOOKUP($C53,SUP!$B$54:$Q$104,MATCH($B53&amp;"-"&amp;Z$7,SUP!$B$54:$Q$54,0),FALSE),"")="","",IFERROR(VLOOKUP($C53,SUP!$B$54:$Q$104,MATCH($B53&amp;"-"&amp;Z$7,SUP!$B$54:$Q$54,0),FALSE),"")),"")</f>
        <v/>
      </c>
      <c r="AA53" s="441" t="str">
        <f ca="1">IFERROR(1*IF(IFERROR(VLOOKUP($C53,SUP!$B$54:$Q$104,MATCH($B53&amp;"-"&amp;AA$7,SUP!$B$54:$Q$54,0),FALSE),"")="","",IFERROR(VLOOKUP($C53,SUP!$B$54:$Q$104,MATCH($B53&amp;"-"&amp;AA$7,SUP!$B$54:$Q$54,0),FALSE),"")),"")</f>
        <v/>
      </c>
      <c r="AB53" s="441">
        <f ca="1">IFERROR(1*IF(IFERROR(VLOOKUP($C53,SUP!$B$54:$Q$104,MATCH($B53&amp;"-"&amp;AB$7,SUP!$B$54:$Q$54,0),FALSE),"")="","",IFERROR(VLOOKUP($C53,SUP!$B$54:$Q$104,MATCH($B53&amp;"-"&amp;AB$7,SUP!$B$54:$Q$54,0),FALSE),"")),"")</f>
        <v>-132.37910194711162</v>
      </c>
      <c r="AC53" s="441" t="str">
        <f ca="1">IFERROR(1*IF(IFERROR(VLOOKUP($C53,SUP!$B$54:$Q$104,MATCH($B53&amp;"-"&amp;AC$7,SUP!$B$54:$Q$54,0),FALSE),"")="","",IFERROR(VLOOKUP($C53,SUP!$B$54:$Q$104,MATCH($B53&amp;"-"&amp;AC$7,SUP!$B$54:$Q$54,0),FALSE),"")),"")</f>
        <v/>
      </c>
      <c r="AD53" s="441" t="str">
        <f ca="1">IFERROR(1*IF(IFERROR(VLOOKUP($C53,SUP!$B$54:$Q$104,MATCH($B53&amp;"-"&amp;AD$7,SUP!$B$54:$Q$54,0),FALSE),"")="","",IFERROR(VLOOKUP($C53,SUP!$B$54:$Q$104,MATCH($B53&amp;"-"&amp;AD$7,SUP!$B$54:$Q$54,0),FALSE),"")),"")</f>
        <v/>
      </c>
      <c r="AE53" s="441" t="str">
        <f ca="1">IFERROR(1*IF(IFERROR(VLOOKUP($C53,SUP!$B$54:$Q$104,MATCH($B53&amp;"-"&amp;AE$7,SUP!$B$54:$Q$54,0),FALSE),"")="","",IFERROR(VLOOKUP($C53,SUP!$B$54:$Q$104,MATCH($B53&amp;"-"&amp;AE$7,SUP!$B$54:$Q$54,0),FALSE),"")),"")</f>
        <v/>
      </c>
      <c r="AF53" s="441" t="str">
        <f ca="1">IFERROR(1*IF(IFERROR(VLOOKUP($C53,SUP!$B$54:$Q$104,MATCH($B53&amp;"-"&amp;AF$7,SUP!$B$54:$Q$54,0),FALSE),"")="","",IFERROR(VLOOKUP($C53,SUP!$B$54:$Q$104,MATCH($B53&amp;"-"&amp;AF$7,SUP!$B$54:$Q$54,0),FALSE),"")),"")</f>
        <v/>
      </c>
      <c r="AG53" s="441" t="str">
        <f ca="1">IFERROR(1*IF(IFERROR(VLOOKUP($C53,SUP!$B$54:$Q$104,MATCH($B53&amp;"-"&amp;AG$7,SUP!$B$54:$Q$54,0),FALSE),"")="","",IFERROR(VLOOKUP($C53,SUP!$B$54:$Q$104,MATCH($B53&amp;"-"&amp;AG$7,SUP!$B$54:$Q$54,0),FALSE),"")),"")</f>
        <v/>
      </c>
      <c r="AH53" s="441" t="str">
        <f ca="1">IFERROR(1*IF(IFERROR(VLOOKUP($C53,SUP!$B$54:$Q$104,MATCH($B53&amp;"-"&amp;AH$7,SUP!$B$54:$Q$54,0),FALSE),"")="","",IFERROR(VLOOKUP($C53,SUP!$B$54:$Q$104,MATCH($B53&amp;"-"&amp;AH$7,SUP!$B$54:$Q$54,0),FALSE),"")),"")</f>
        <v/>
      </c>
      <c r="AI53" s="441" t="str">
        <f ca="1">IFERROR(1*IF(IFERROR(VLOOKUP($C53,SUP!$B$54:$Q$104,MATCH($B53&amp;"-"&amp;AI$7,SUP!$B$54:$Q$54,0),FALSE),"")="","",IFERROR(VLOOKUP($C53,SUP!$B$54:$Q$104,MATCH($B53&amp;"-"&amp;AI$7,SUP!$B$54:$Q$54,0),FALSE),"")),"")</f>
        <v/>
      </c>
      <c r="AJ53" s="441" t="str">
        <f ca="1">IFERROR(1*IF(IFERROR(VLOOKUP($C53,SUP!$B$54:$Q$104,MATCH($B53&amp;"-"&amp;AJ$7,SUP!$B$54:$Q$54,0),FALSE),"")="","",IFERROR(VLOOKUP($C53,SUP!$B$54:$Q$104,MATCH($B53&amp;"-"&amp;AJ$7,SUP!$B$54:$Q$54,0),FALSE),"")),"")</f>
        <v/>
      </c>
      <c r="AK53" s="441" t="str">
        <f ca="1">IFERROR(1*IF(IFERROR(VLOOKUP($C53,SUP!$B$54:$Q$104,MATCH($B53&amp;"-"&amp;AK$7,SUP!$B$54:$Q$54,0),FALSE),"")="","",IFERROR(VLOOKUP($C53,SUP!$B$54:$Q$104,MATCH($B53&amp;"-"&amp;AK$7,SUP!$B$54:$Q$54,0),FALSE),"")),"")</f>
        <v/>
      </c>
      <c r="AL53" s="441" t="str">
        <f ca="1">IFERROR(1*IF(IFERROR(VLOOKUP($C53,SUP!$B$54:$Q$104,MATCH($B53&amp;"-"&amp;AL$7,SUP!$B$54:$Q$54,0),FALSE),"")="","",IFERROR(VLOOKUP($C53,SUP!$B$54:$Q$104,MATCH($B53&amp;"-"&amp;AL$7,SUP!$B$54:$Q$54,0),FALSE),"")),"")</f>
        <v/>
      </c>
      <c r="AM53" s="441" t="str">
        <f ca="1">IFERROR(1*IF(IFERROR(VLOOKUP($C53,SUP!$B$54:$Q$104,MATCH($B53&amp;"-"&amp;AM$7,SUP!$B$54:$Q$54,0),FALSE),"")="","",IFERROR(VLOOKUP($C53,SUP!$B$54:$Q$104,MATCH($B53&amp;"-"&amp;AM$7,SUP!$B$54:$Q$54,0),FALSE),"")),"")</f>
        <v/>
      </c>
      <c r="AN53" s="441">
        <f ca="1">IFERROR(1*IF(IFERROR(VLOOKUP($C53,SUP!$B$54:$Q$104,MATCH($B53&amp;"-"&amp;AN$7,SUP!$B$54:$Q$54,0),FALSE),"")="","",IFERROR(VLOOKUP($C53,SUP!$B$54:$Q$104,MATCH($B53&amp;"-"&amp;AN$7,SUP!$B$54:$Q$54,0),FALSE),"")),"")</f>
        <v>-120.17617940600771</v>
      </c>
      <c r="AO53" s="441" t="str">
        <f ca="1">IFERROR(1*IF(IFERROR(VLOOKUP($C53,SUP!$B$54:$Q$104,MATCH($B53&amp;"-"&amp;AO$7,SUP!$B$54:$Q$54,0),FALSE),"")="","",IFERROR(VLOOKUP($C53,SUP!$B$54:$Q$104,MATCH($B53&amp;"-"&amp;AO$7,SUP!$B$54:$Q$54,0),FALSE),"")),"")</f>
        <v/>
      </c>
      <c r="AR53" s="42">
        <f>IF(AS52=SUP!$B$104,AR52+1,AR52)</f>
        <v>1</v>
      </c>
      <c r="AS53" s="42">
        <f t="shared" si="6"/>
        <v>41</v>
      </c>
    </row>
    <row r="54" spans="1:45">
      <c r="A54" s="42" t="str">
        <f ca="1">IF(LEFT(OFFSET(SUP!$A$57,AS54,0),2)="\I","*","")</f>
        <v/>
      </c>
      <c r="B54" s="440" t="str">
        <f t="shared" ca="1" si="8"/>
        <v>ACT_COST</v>
      </c>
      <c r="C54" s="440" t="str">
        <f ca="1">IF($A54="*","",OFFSET(SUP!$B$57,AS54,0))</f>
        <v>PEXOCR</v>
      </c>
      <c r="D54" s="440" t="str">
        <f t="shared" ca="1" si="7"/>
        <v>-</v>
      </c>
      <c r="E54" s="440" t="str">
        <f t="shared" ca="1" si="7"/>
        <v>-</v>
      </c>
      <c r="F54" s="440" t="str">
        <f t="shared" ca="1" si="7"/>
        <v>-</v>
      </c>
      <c r="G54" s="440" t="str">
        <f t="shared" ca="1" si="7"/>
        <v>-</v>
      </c>
      <c r="H54" s="440" t="str">
        <f t="shared" ca="1" si="5"/>
        <v>-</v>
      </c>
      <c r="I54" s="441">
        <f ca="1">IF(IFERROR(VLOOKUP($C54,SUP!$B$54:$Q$104,MATCH($B54&amp;"-"&amp;I$7,SUP!$B$54:$Q$54,0),FALSE),"")="","",IFERROR(VLOOKUP($C54,SUP!$B$54:$Q$104,MATCH($B54&amp;"-"&amp;I$7,SUP!$B$54:$Q$54,0),FALSE),""))</f>
        <v>0</v>
      </c>
      <c r="J54" s="441">
        <f ca="1">IFERROR(1*IF(IFERROR(VLOOKUP($C54,SUP!$B$54:$Q$104,MATCH($B54&amp;"-"&amp;J$7,SUP!$B$54:$Q$54,0),FALSE),"")="","",IFERROR(VLOOKUP($C54,SUP!$B$54:$Q$104,MATCH($B54&amp;"-"&amp;J$7,SUP!$B$54:$Q$54,0),FALSE),"")),"")</f>
        <v>-133.36040819049671</v>
      </c>
      <c r="K54" s="441" t="str">
        <f ca="1">IFERROR(1*IF(IFERROR(VLOOKUP($C54,SUP!$B$54:$Q$104,MATCH($B54&amp;"-"&amp;K$7,SUP!$B$54:$Q$54,0),FALSE),"")="","",IFERROR(VLOOKUP($C54,SUP!$B$54:$Q$104,MATCH($B54&amp;"-"&amp;K$7,SUP!$B$54:$Q$54,0),FALSE),"")),"")</f>
        <v/>
      </c>
      <c r="L54" s="441" t="str">
        <f ca="1">IFERROR(1*IF(IFERROR(VLOOKUP($C54,SUP!$B$54:$Q$104,MATCH($B54&amp;"-"&amp;L$7,SUP!$B$54:$Q$54,0),FALSE),"")="","",IFERROR(VLOOKUP($C54,SUP!$B$54:$Q$104,MATCH($B54&amp;"-"&amp;L$7,SUP!$B$54:$Q$54,0),FALSE),"")),"")</f>
        <v/>
      </c>
      <c r="M54" s="441">
        <f ca="1">IFERROR(1*IF(IFERROR(VLOOKUP($C54,SUP!$B$54:$Q$104,MATCH($B54&amp;"-"&amp;M$7,SUP!$B$54:$Q$54,0),FALSE),"")="","",IFERROR(VLOOKUP($C54,SUP!$B$54:$Q$104,MATCH($B54&amp;"-"&amp;M$7,SUP!$B$54:$Q$54,0),FALSE),"")),"")</f>
        <v>-95.447143291404601</v>
      </c>
      <c r="N54" s="441" t="str">
        <f ca="1">IFERROR(1*IF(IFERROR(VLOOKUP($C54,SUP!$B$54:$Q$104,MATCH($B54&amp;"-"&amp;N$7,SUP!$B$54:$Q$54,0),FALSE),"")="","",IFERROR(VLOOKUP($C54,SUP!$B$54:$Q$104,MATCH($B54&amp;"-"&amp;N$7,SUP!$B$54:$Q$54,0),FALSE),"")),"")</f>
        <v/>
      </c>
      <c r="O54" s="441" t="str">
        <f ca="1">IFERROR(1*IF(IFERROR(VLOOKUP($C54,SUP!$B$54:$Q$104,MATCH($B54&amp;"-"&amp;O$7,SUP!$B$54:$Q$54,0),FALSE),"")="","",IFERROR(VLOOKUP($C54,SUP!$B$54:$Q$104,MATCH($B54&amp;"-"&amp;O$7,SUP!$B$54:$Q$54,0),FALSE),"")),"")</f>
        <v/>
      </c>
      <c r="P54" s="441" t="str">
        <f ca="1">IFERROR(1*IF(IFERROR(VLOOKUP($C54,SUP!$B$54:$Q$104,MATCH($B54&amp;"-"&amp;P$7,SUP!$B$54:$Q$54,0),FALSE),"")="","",IFERROR(VLOOKUP($C54,SUP!$B$54:$Q$104,MATCH($B54&amp;"-"&amp;P$7,SUP!$B$54:$Q$54,0),FALSE),"")),"")</f>
        <v/>
      </c>
      <c r="Q54" s="441" t="str">
        <f ca="1">IFERROR(1*IF(IFERROR(VLOOKUP($C54,SUP!$B$54:$Q$104,MATCH($B54&amp;"-"&amp;Q$7,SUP!$B$54:$Q$54,0),FALSE),"")="","",IFERROR(VLOOKUP($C54,SUP!$B$54:$Q$104,MATCH($B54&amp;"-"&amp;Q$7,SUP!$B$54:$Q$54,0),FALSE),"")),"")</f>
        <v/>
      </c>
      <c r="R54" s="441">
        <f ca="1">IFERROR(1*IF(IFERROR(VLOOKUP($C54,SUP!$B$54:$Q$104,MATCH($B54&amp;"-"&amp;R$7,SUP!$B$54:$Q$54,0),FALSE),"")="","",IFERROR(VLOOKUP($C54,SUP!$B$54:$Q$104,MATCH($B54&amp;"-"&amp;R$7,SUP!$B$54:$Q$54,0),FALSE),"")),"")</f>
        <v>-108.54773158630327</v>
      </c>
      <c r="S54" s="441" t="str">
        <f ca="1">IFERROR(1*IF(IFERROR(VLOOKUP($C54,SUP!$B$54:$Q$104,MATCH($B54&amp;"-"&amp;S$7,SUP!$B$54:$Q$54,0),FALSE),"")="","",IFERROR(VLOOKUP($C54,SUP!$B$54:$Q$104,MATCH($B54&amp;"-"&amp;S$7,SUP!$B$54:$Q$54,0),FALSE),"")),"")</f>
        <v/>
      </c>
      <c r="T54" s="441" t="str">
        <f ca="1">IFERROR(1*IF(IFERROR(VLOOKUP($C54,SUP!$B$54:$Q$104,MATCH($B54&amp;"-"&amp;T$7,SUP!$B$54:$Q$54,0),FALSE),"")="","",IFERROR(VLOOKUP($C54,SUP!$B$54:$Q$104,MATCH($B54&amp;"-"&amp;T$7,SUP!$B$54:$Q$54,0),FALSE),"")),"")</f>
        <v/>
      </c>
      <c r="U54" s="441" t="str">
        <f ca="1">IFERROR(1*IF(IFERROR(VLOOKUP($C54,SUP!$B$54:$Q$104,MATCH($B54&amp;"-"&amp;U$7,SUP!$B$54:$Q$54,0),FALSE),"")="","",IFERROR(VLOOKUP($C54,SUP!$B$54:$Q$104,MATCH($B54&amp;"-"&amp;U$7,SUP!$B$54:$Q$54,0),FALSE),"")),"")</f>
        <v/>
      </c>
      <c r="V54" s="441" t="str">
        <f ca="1">IFERROR(1*IF(IFERROR(VLOOKUP($C54,SUP!$B$54:$Q$104,MATCH($B54&amp;"-"&amp;V$7,SUP!$B$54:$Q$54,0),FALSE),"")="","",IFERROR(VLOOKUP($C54,SUP!$B$54:$Q$104,MATCH($B54&amp;"-"&amp;V$7,SUP!$B$54:$Q$54,0),FALSE),"")),"")</f>
        <v/>
      </c>
      <c r="W54" s="441" t="str">
        <f ca="1">IFERROR(1*IF(IFERROR(VLOOKUP($C54,SUP!$B$54:$Q$104,MATCH($B54&amp;"-"&amp;W$7,SUP!$B$54:$Q$54,0),FALSE),"")="","",IFERROR(VLOOKUP($C54,SUP!$B$54:$Q$104,MATCH($B54&amp;"-"&amp;W$7,SUP!$B$54:$Q$54,0),FALSE),"")),"")</f>
        <v/>
      </c>
      <c r="X54" s="441" t="str">
        <f ca="1">IFERROR(1*IF(IFERROR(VLOOKUP($C54,SUP!$B$54:$Q$104,MATCH($B54&amp;"-"&amp;X$7,SUP!$B$54:$Q$54,0),FALSE),"")="","",IFERROR(VLOOKUP($C54,SUP!$B$54:$Q$104,MATCH($B54&amp;"-"&amp;X$7,SUP!$B$54:$Q$54,0),FALSE),"")),"")</f>
        <v/>
      </c>
      <c r="Y54" s="441" t="str">
        <f ca="1">IFERROR(1*IF(IFERROR(VLOOKUP($C54,SUP!$B$54:$Q$104,MATCH($B54&amp;"-"&amp;Y$7,SUP!$B$54:$Q$54,0),FALSE),"")="","",IFERROR(VLOOKUP($C54,SUP!$B$54:$Q$104,MATCH($B54&amp;"-"&amp;Y$7,SUP!$B$54:$Q$54,0),FALSE),"")),"")</f>
        <v/>
      </c>
      <c r="Z54" s="441" t="str">
        <f ca="1">IFERROR(1*IF(IFERROR(VLOOKUP($C54,SUP!$B$54:$Q$104,MATCH($B54&amp;"-"&amp;Z$7,SUP!$B$54:$Q$54,0),FALSE),"")="","",IFERROR(VLOOKUP($C54,SUP!$B$54:$Q$104,MATCH($B54&amp;"-"&amp;Z$7,SUP!$B$54:$Q$54,0),FALSE),"")),"")</f>
        <v/>
      </c>
      <c r="AA54" s="441" t="str">
        <f ca="1">IFERROR(1*IF(IFERROR(VLOOKUP($C54,SUP!$B$54:$Q$104,MATCH($B54&amp;"-"&amp;AA$7,SUP!$B$54:$Q$54,0),FALSE),"")="","",IFERROR(VLOOKUP($C54,SUP!$B$54:$Q$104,MATCH($B54&amp;"-"&amp;AA$7,SUP!$B$54:$Q$54,0),FALSE),"")),"")</f>
        <v/>
      </c>
      <c r="AB54" s="441">
        <f ca="1">IFERROR(1*IF(IFERROR(VLOOKUP($C54,SUP!$B$54:$Q$104,MATCH($B54&amp;"-"&amp;AB$7,SUP!$B$54:$Q$54,0),FALSE),"")="","",IFERROR(VLOOKUP($C54,SUP!$B$54:$Q$104,MATCH($B54&amp;"-"&amp;AB$7,SUP!$B$54:$Q$54,0),FALSE),"")),"")</f>
        <v>-104.18086882133703</v>
      </c>
      <c r="AC54" s="441" t="str">
        <f ca="1">IFERROR(1*IF(IFERROR(VLOOKUP($C54,SUP!$B$54:$Q$104,MATCH($B54&amp;"-"&amp;AC$7,SUP!$B$54:$Q$54,0),FALSE),"")="","",IFERROR(VLOOKUP($C54,SUP!$B$54:$Q$104,MATCH($B54&amp;"-"&amp;AC$7,SUP!$B$54:$Q$54,0),FALSE),"")),"")</f>
        <v/>
      </c>
      <c r="AD54" s="441" t="str">
        <f ca="1">IFERROR(1*IF(IFERROR(VLOOKUP($C54,SUP!$B$54:$Q$104,MATCH($B54&amp;"-"&amp;AD$7,SUP!$B$54:$Q$54,0),FALSE),"")="","",IFERROR(VLOOKUP($C54,SUP!$B$54:$Q$104,MATCH($B54&amp;"-"&amp;AD$7,SUP!$B$54:$Q$54,0),FALSE),"")),"")</f>
        <v/>
      </c>
      <c r="AE54" s="441" t="str">
        <f ca="1">IFERROR(1*IF(IFERROR(VLOOKUP($C54,SUP!$B$54:$Q$104,MATCH($B54&amp;"-"&amp;AE$7,SUP!$B$54:$Q$54,0),FALSE),"")="","",IFERROR(VLOOKUP($C54,SUP!$B$54:$Q$104,MATCH($B54&amp;"-"&amp;AE$7,SUP!$B$54:$Q$54,0),FALSE),"")),"")</f>
        <v/>
      </c>
      <c r="AF54" s="441" t="str">
        <f ca="1">IFERROR(1*IF(IFERROR(VLOOKUP($C54,SUP!$B$54:$Q$104,MATCH($B54&amp;"-"&amp;AF$7,SUP!$B$54:$Q$54,0),FALSE),"")="","",IFERROR(VLOOKUP($C54,SUP!$B$54:$Q$104,MATCH($B54&amp;"-"&amp;AF$7,SUP!$B$54:$Q$54,0),FALSE),"")),"")</f>
        <v/>
      </c>
      <c r="AG54" s="441" t="str">
        <f ca="1">IFERROR(1*IF(IFERROR(VLOOKUP($C54,SUP!$B$54:$Q$104,MATCH($B54&amp;"-"&amp;AG$7,SUP!$B$54:$Q$54,0),FALSE),"")="","",IFERROR(VLOOKUP($C54,SUP!$B$54:$Q$104,MATCH($B54&amp;"-"&amp;AG$7,SUP!$B$54:$Q$54,0),FALSE),"")),"")</f>
        <v/>
      </c>
      <c r="AH54" s="441" t="str">
        <f ca="1">IFERROR(1*IF(IFERROR(VLOOKUP($C54,SUP!$B$54:$Q$104,MATCH($B54&amp;"-"&amp;AH$7,SUP!$B$54:$Q$54,0),FALSE),"")="","",IFERROR(VLOOKUP($C54,SUP!$B$54:$Q$104,MATCH($B54&amp;"-"&amp;AH$7,SUP!$B$54:$Q$54,0),FALSE),"")),"")</f>
        <v/>
      </c>
      <c r="AI54" s="441" t="str">
        <f ca="1">IFERROR(1*IF(IFERROR(VLOOKUP($C54,SUP!$B$54:$Q$104,MATCH($B54&amp;"-"&amp;AI$7,SUP!$B$54:$Q$54,0),FALSE),"")="","",IFERROR(VLOOKUP($C54,SUP!$B$54:$Q$104,MATCH($B54&amp;"-"&amp;AI$7,SUP!$B$54:$Q$54,0),FALSE),"")),"")</f>
        <v/>
      </c>
      <c r="AJ54" s="441" t="str">
        <f ca="1">IFERROR(1*IF(IFERROR(VLOOKUP($C54,SUP!$B$54:$Q$104,MATCH($B54&amp;"-"&amp;AJ$7,SUP!$B$54:$Q$54,0),FALSE),"")="","",IFERROR(VLOOKUP($C54,SUP!$B$54:$Q$104,MATCH($B54&amp;"-"&amp;AJ$7,SUP!$B$54:$Q$54,0),FALSE),"")),"")</f>
        <v/>
      </c>
      <c r="AK54" s="441" t="str">
        <f ca="1">IFERROR(1*IF(IFERROR(VLOOKUP($C54,SUP!$B$54:$Q$104,MATCH($B54&amp;"-"&amp;AK$7,SUP!$B$54:$Q$54,0),FALSE),"")="","",IFERROR(VLOOKUP($C54,SUP!$B$54:$Q$104,MATCH($B54&amp;"-"&amp;AK$7,SUP!$B$54:$Q$54,0),FALSE),"")),"")</f>
        <v/>
      </c>
      <c r="AL54" s="441" t="str">
        <f ca="1">IFERROR(1*IF(IFERROR(VLOOKUP($C54,SUP!$B$54:$Q$104,MATCH($B54&amp;"-"&amp;AL$7,SUP!$B$54:$Q$54,0),FALSE),"")="","",IFERROR(VLOOKUP($C54,SUP!$B$54:$Q$104,MATCH($B54&amp;"-"&amp;AL$7,SUP!$B$54:$Q$54,0),FALSE),"")),"")</f>
        <v/>
      </c>
      <c r="AM54" s="441" t="str">
        <f ca="1">IFERROR(1*IF(IFERROR(VLOOKUP($C54,SUP!$B$54:$Q$104,MATCH($B54&amp;"-"&amp;AM$7,SUP!$B$54:$Q$54,0),FALSE),"")="","",IFERROR(VLOOKUP($C54,SUP!$B$54:$Q$104,MATCH($B54&amp;"-"&amp;AM$7,SUP!$B$54:$Q$54,0),FALSE),"")),"")</f>
        <v/>
      </c>
      <c r="AN54" s="441">
        <f ca="1">IFERROR(1*IF(IFERROR(VLOOKUP($C54,SUP!$B$54:$Q$104,MATCH($B54&amp;"-"&amp;AN$7,SUP!$B$54:$Q$54,0),FALSE),"")="","",IFERROR(VLOOKUP($C54,SUP!$B$54:$Q$104,MATCH($B54&amp;"-"&amp;AN$7,SUP!$B$54:$Q$54,0),FALSE),"")),"")</f>
        <v>-94.199468215699952</v>
      </c>
      <c r="AO54" s="441" t="str">
        <f ca="1">IFERROR(1*IF(IFERROR(VLOOKUP($C54,SUP!$B$54:$Q$104,MATCH($B54&amp;"-"&amp;AO$7,SUP!$B$54:$Q$54,0),FALSE),"")="","",IFERROR(VLOOKUP($C54,SUP!$B$54:$Q$104,MATCH($B54&amp;"-"&amp;AO$7,SUP!$B$54:$Q$54,0),FALSE),"")),"")</f>
        <v/>
      </c>
      <c r="AR54" s="42">
        <f>IF(AS53=SUP!$B$104,AR53+1,AR53)</f>
        <v>1</v>
      </c>
      <c r="AS54" s="42">
        <f t="shared" si="6"/>
        <v>42</v>
      </c>
    </row>
    <row r="55" spans="1:45">
      <c r="A55" s="42" t="str">
        <f ca="1">IF(LEFT(OFFSET(SUP!$A$57,AS55,0),2)="\I","*","")</f>
        <v/>
      </c>
      <c r="B55" s="440" t="str">
        <f t="shared" ca="1" si="8"/>
        <v>ACT_COST</v>
      </c>
      <c r="C55" s="440" t="str">
        <f ca="1">IF($A55="*","",OFFSET(SUP!$B$57,AS55,0))</f>
        <v>PEXODS</v>
      </c>
      <c r="D55" s="440" t="str">
        <f t="shared" ca="1" si="7"/>
        <v>-</v>
      </c>
      <c r="E55" s="440" t="str">
        <f t="shared" ca="1" si="7"/>
        <v>-</v>
      </c>
      <c r="F55" s="440" t="str">
        <f t="shared" ca="1" si="7"/>
        <v>-</v>
      </c>
      <c r="G55" s="440" t="str">
        <f t="shared" ca="1" si="7"/>
        <v>-</v>
      </c>
      <c r="H55" s="440" t="str">
        <f t="shared" ca="1" si="5"/>
        <v>-</v>
      </c>
      <c r="I55" s="441">
        <f ca="1">IF(IFERROR(VLOOKUP($C55,SUP!$B$54:$Q$104,MATCH($B55&amp;"-"&amp;I$7,SUP!$B$54:$Q$54,0),FALSE),"")="","",IFERROR(VLOOKUP($C55,SUP!$B$54:$Q$104,MATCH($B55&amp;"-"&amp;I$7,SUP!$B$54:$Q$54,0),FALSE),""))</f>
        <v>0</v>
      </c>
      <c r="J55" s="441">
        <f ca="1">IFERROR(1*IF(IFERROR(VLOOKUP($C55,SUP!$B$54:$Q$104,MATCH($B55&amp;"-"&amp;J$7,SUP!$B$54:$Q$54,0),FALSE),"")="","",IFERROR(VLOOKUP($C55,SUP!$B$54:$Q$104,MATCH($B55&amp;"-"&amp;J$7,SUP!$B$54:$Q$54,0),FALSE),"")),"")</f>
        <v>-160.47260904196693</v>
      </c>
      <c r="K55" s="441" t="str">
        <f ca="1">IFERROR(1*IF(IFERROR(VLOOKUP($C55,SUP!$B$54:$Q$104,MATCH($B55&amp;"-"&amp;K$7,SUP!$B$54:$Q$54,0),FALSE),"")="","",IFERROR(VLOOKUP($C55,SUP!$B$54:$Q$104,MATCH($B55&amp;"-"&amp;K$7,SUP!$B$54:$Q$54,0),FALSE),"")),"")</f>
        <v/>
      </c>
      <c r="L55" s="441" t="str">
        <f ca="1">IFERROR(1*IF(IFERROR(VLOOKUP($C55,SUP!$B$54:$Q$104,MATCH($B55&amp;"-"&amp;L$7,SUP!$B$54:$Q$54,0),FALSE),"")="","",IFERROR(VLOOKUP($C55,SUP!$B$54:$Q$104,MATCH($B55&amp;"-"&amp;L$7,SUP!$B$54:$Q$54,0),FALSE),"")),"")</f>
        <v/>
      </c>
      <c r="M55" s="441">
        <f ca="1">IFERROR(1*IF(IFERROR(VLOOKUP($C55,SUP!$B$54:$Q$104,MATCH($B55&amp;"-"&amp;M$7,SUP!$B$54:$Q$54,0),FALSE),"")="","",IFERROR(VLOOKUP($C55,SUP!$B$54:$Q$104,MATCH($B55&amp;"-"&amp;M$7,SUP!$B$54:$Q$54,0),FALSE),"")),"")</f>
        <v>-113.89162882301068</v>
      </c>
      <c r="N55" s="441" t="str">
        <f ca="1">IFERROR(1*IF(IFERROR(VLOOKUP($C55,SUP!$B$54:$Q$104,MATCH($B55&amp;"-"&amp;N$7,SUP!$B$54:$Q$54,0),FALSE),"")="","",IFERROR(VLOOKUP($C55,SUP!$B$54:$Q$104,MATCH($B55&amp;"-"&amp;N$7,SUP!$B$54:$Q$54,0),FALSE),"")),"")</f>
        <v/>
      </c>
      <c r="O55" s="441" t="str">
        <f ca="1">IFERROR(1*IF(IFERROR(VLOOKUP($C55,SUP!$B$54:$Q$104,MATCH($B55&amp;"-"&amp;O$7,SUP!$B$54:$Q$54,0),FALSE),"")="","",IFERROR(VLOOKUP($C55,SUP!$B$54:$Q$104,MATCH($B55&amp;"-"&amp;O$7,SUP!$B$54:$Q$54,0),FALSE),"")),"")</f>
        <v/>
      </c>
      <c r="P55" s="441" t="str">
        <f ca="1">IFERROR(1*IF(IFERROR(VLOOKUP($C55,SUP!$B$54:$Q$104,MATCH($B55&amp;"-"&amp;P$7,SUP!$B$54:$Q$54,0),FALSE),"")="","",IFERROR(VLOOKUP($C55,SUP!$B$54:$Q$104,MATCH($B55&amp;"-"&amp;P$7,SUP!$B$54:$Q$54,0),FALSE),"")),"")</f>
        <v/>
      </c>
      <c r="Q55" s="441" t="str">
        <f ca="1">IFERROR(1*IF(IFERROR(VLOOKUP($C55,SUP!$B$54:$Q$104,MATCH($B55&amp;"-"&amp;Q$7,SUP!$B$54:$Q$54,0),FALSE),"")="","",IFERROR(VLOOKUP($C55,SUP!$B$54:$Q$104,MATCH($B55&amp;"-"&amp;Q$7,SUP!$B$54:$Q$54,0),FALSE),"")),"")</f>
        <v/>
      </c>
      <c r="R55" s="441">
        <f ca="1">IFERROR(1*IF(IFERROR(VLOOKUP($C55,SUP!$B$54:$Q$104,MATCH($B55&amp;"-"&amp;R$7,SUP!$B$54:$Q$54,0),FALSE),"")="","",IFERROR(VLOOKUP($C55,SUP!$B$54:$Q$104,MATCH($B55&amp;"-"&amp;R$7,SUP!$B$54:$Q$54,0),FALSE),"")),"")</f>
        <v>-130.30983392438691</v>
      </c>
      <c r="S55" s="441" t="str">
        <f ca="1">IFERROR(1*IF(IFERROR(VLOOKUP($C55,SUP!$B$54:$Q$104,MATCH($B55&amp;"-"&amp;S$7,SUP!$B$54:$Q$54,0),FALSE),"")="","",IFERROR(VLOOKUP($C55,SUP!$B$54:$Q$104,MATCH($B55&amp;"-"&amp;S$7,SUP!$B$54:$Q$54,0),FALSE),"")),"")</f>
        <v/>
      </c>
      <c r="T55" s="441" t="str">
        <f ca="1">IFERROR(1*IF(IFERROR(VLOOKUP($C55,SUP!$B$54:$Q$104,MATCH($B55&amp;"-"&amp;T$7,SUP!$B$54:$Q$54,0),FALSE),"")="","",IFERROR(VLOOKUP($C55,SUP!$B$54:$Q$104,MATCH($B55&amp;"-"&amp;T$7,SUP!$B$54:$Q$54,0),FALSE),"")),"")</f>
        <v/>
      </c>
      <c r="U55" s="441" t="str">
        <f ca="1">IFERROR(1*IF(IFERROR(VLOOKUP($C55,SUP!$B$54:$Q$104,MATCH($B55&amp;"-"&amp;U$7,SUP!$B$54:$Q$54,0),FALSE),"")="","",IFERROR(VLOOKUP($C55,SUP!$B$54:$Q$104,MATCH($B55&amp;"-"&amp;U$7,SUP!$B$54:$Q$54,0),FALSE),"")),"")</f>
        <v/>
      </c>
      <c r="V55" s="441" t="str">
        <f ca="1">IFERROR(1*IF(IFERROR(VLOOKUP($C55,SUP!$B$54:$Q$104,MATCH($B55&amp;"-"&amp;V$7,SUP!$B$54:$Q$54,0),FALSE),"")="","",IFERROR(VLOOKUP($C55,SUP!$B$54:$Q$104,MATCH($B55&amp;"-"&amp;V$7,SUP!$B$54:$Q$54,0),FALSE),"")),"")</f>
        <v/>
      </c>
      <c r="W55" s="441" t="str">
        <f ca="1">IFERROR(1*IF(IFERROR(VLOOKUP($C55,SUP!$B$54:$Q$104,MATCH($B55&amp;"-"&amp;W$7,SUP!$B$54:$Q$54,0),FALSE),"")="","",IFERROR(VLOOKUP($C55,SUP!$B$54:$Q$104,MATCH($B55&amp;"-"&amp;W$7,SUP!$B$54:$Q$54,0),FALSE),"")),"")</f>
        <v/>
      </c>
      <c r="X55" s="441" t="str">
        <f ca="1">IFERROR(1*IF(IFERROR(VLOOKUP($C55,SUP!$B$54:$Q$104,MATCH($B55&amp;"-"&amp;X$7,SUP!$B$54:$Q$54,0),FALSE),"")="","",IFERROR(VLOOKUP($C55,SUP!$B$54:$Q$104,MATCH($B55&amp;"-"&amp;X$7,SUP!$B$54:$Q$54,0),FALSE),"")),"")</f>
        <v/>
      </c>
      <c r="Y55" s="441" t="str">
        <f ca="1">IFERROR(1*IF(IFERROR(VLOOKUP($C55,SUP!$B$54:$Q$104,MATCH($B55&amp;"-"&amp;Y$7,SUP!$B$54:$Q$54,0),FALSE),"")="","",IFERROR(VLOOKUP($C55,SUP!$B$54:$Q$104,MATCH($B55&amp;"-"&amp;Y$7,SUP!$B$54:$Q$54,0),FALSE),"")),"")</f>
        <v/>
      </c>
      <c r="Z55" s="441" t="str">
        <f ca="1">IFERROR(1*IF(IFERROR(VLOOKUP($C55,SUP!$B$54:$Q$104,MATCH($B55&amp;"-"&amp;Z$7,SUP!$B$54:$Q$54,0),FALSE),"")="","",IFERROR(VLOOKUP($C55,SUP!$B$54:$Q$104,MATCH($B55&amp;"-"&amp;Z$7,SUP!$B$54:$Q$54,0),FALSE),"")),"")</f>
        <v/>
      </c>
      <c r="AA55" s="441" t="str">
        <f ca="1">IFERROR(1*IF(IFERROR(VLOOKUP($C55,SUP!$B$54:$Q$104,MATCH($B55&amp;"-"&amp;AA$7,SUP!$B$54:$Q$54,0),FALSE),"")="","",IFERROR(VLOOKUP($C55,SUP!$B$54:$Q$104,MATCH($B55&amp;"-"&amp;AA$7,SUP!$B$54:$Q$54,0),FALSE),"")),"")</f>
        <v/>
      </c>
      <c r="AB55" s="441">
        <f ca="1">IFERROR(1*IF(IFERROR(VLOOKUP($C55,SUP!$B$54:$Q$104,MATCH($B55&amp;"-"&amp;AB$7,SUP!$B$54:$Q$54,0),FALSE),"")="","",IFERROR(VLOOKUP($C55,SUP!$B$54:$Q$104,MATCH($B55&amp;"-"&amp;AB$7,SUP!$B$54:$Q$54,0),FALSE),"")),"")</f>
        <v>-125.00139011358299</v>
      </c>
      <c r="AC55" s="441" t="str">
        <f ca="1">IFERROR(1*IF(IFERROR(VLOOKUP($C55,SUP!$B$54:$Q$104,MATCH($B55&amp;"-"&amp;AC$7,SUP!$B$54:$Q$54,0),FALSE),"")="","",IFERROR(VLOOKUP($C55,SUP!$B$54:$Q$104,MATCH($B55&amp;"-"&amp;AC$7,SUP!$B$54:$Q$54,0),FALSE),"")),"")</f>
        <v/>
      </c>
      <c r="AD55" s="441" t="str">
        <f ca="1">IFERROR(1*IF(IFERROR(VLOOKUP($C55,SUP!$B$54:$Q$104,MATCH($B55&amp;"-"&amp;AD$7,SUP!$B$54:$Q$54,0),FALSE),"")="","",IFERROR(VLOOKUP($C55,SUP!$B$54:$Q$104,MATCH($B55&amp;"-"&amp;AD$7,SUP!$B$54:$Q$54,0),FALSE),"")),"")</f>
        <v/>
      </c>
      <c r="AE55" s="441" t="str">
        <f ca="1">IFERROR(1*IF(IFERROR(VLOOKUP($C55,SUP!$B$54:$Q$104,MATCH($B55&amp;"-"&amp;AE$7,SUP!$B$54:$Q$54,0),FALSE),"")="","",IFERROR(VLOOKUP($C55,SUP!$B$54:$Q$104,MATCH($B55&amp;"-"&amp;AE$7,SUP!$B$54:$Q$54,0),FALSE),"")),"")</f>
        <v/>
      </c>
      <c r="AF55" s="441" t="str">
        <f ca="1">IFERROR(1*IF(IFERROR(VLOOKUP($C55,SUP!$B$54:$Q$104,MATCH($B55&amp;"-"&amp;AF$7,SUP!$B$54:$Q$54,0),FALSE),"")="","",IFERROR(VLOOKUP($C55,SUP!$B$54:$Q$104,MATCH($B55&amp;"-"&amp;AF$7,SUP!$B$54:$Q$54,0),FALSE),"")),"")</f>
        <v/>
      </c>
      <c r="AG55" s="441" t="str">
        <f ca="1">IFERROR(1*IF(IFERROR(VLOOKUP($C55,SUP!$B$54:$Q$104,MATCH($B55&amp;"-"&amp;AG$7,SUP!$B$54:$Q$54,0),FALSE),"")="","",IFERROR(VLOOKUP($C55,SUP!$B$54:$Q$104,MATCH($B55&amp;"-"&amp;AG$7,SUP!$B$54:$Q$54,0),FALSE),"")),"")</f>
        <v/>
      </c>
      <c r="AH55" s="441" t="str">
        <f ca="1">IFERROR(1*IF(IFERROR(VLOOKUP($C55,SUP!$B$54:$Q$104,MATCH($B55&amp;"-"&amp;AH$7,SUP!$B$54:$Q$54,0),FALSE),"")="","",IFERROR(VLOOKUP($C55,SUP!$B$54:$Q$104,MATCH($B55&amp;"-"&amp;AH$7,SUP!$B$54:$Q$54,0),FALSE),"")),"")</f>
        <v/>
      </c>
      <c r="AI55" s="441" t="str">
        <f ca="1">IFERROR(1*IF(IFERROR(VLOOKUP($C55,SUP!$B$54:$Q$104,MATCH($B55&amp;"-"&amp;AI$7,SUP!$B$54:$Q$54,0),FALSE),"")="","",IFERROR(VLOOKUP($C55,SUP!$B$54:$Q$104,MATCH($B55&amp;"-"&amp;AI$7,SUP!$B$54:$Q$54,0),FALSE),"")),"")</f>
        <v/>
      </c>
      <c r="AJ55" s="441" t="str">
        <f ca="1">IFERROR(1*IF(IFERROR(VLOOKUP($C55,SUP!$B$54:$Q$104,MATCH($B55&amp;"-"&amp;AJ$7,SUP!$B$54:$Q$54,0),FALSE),"")="","",IFERROR(VLOOKUP($C55,SUP!$B$54:$Q$104,MATCH($B55&amp;"-"&amp;AJ$7,SUP!$B$54:$Q$54,0),FALSE),"")),"")</f>
        <v/>
      </c>
      <c r="AK55" s="441" t="str">
        <f ca="1">IFERROR(1*IF(IFERROR(VLOOKUP($C55,SUP!$B$54:$Q$104,MATCH($B55&amp;"-"&amp;AK$7,SUP!$B$54:$Q$54,0),FALSE),"")="","",IFERROR(VLOOKUP($C55,SUP!$B$54:$Q$104,MATCH($B55&amp;"-"&amp;AK$7,SUP!$B$54:$Q$54,0),FALSE),"")),"")</f>
        <v/>
      </c>
      <c r="AL55" s="441" t="str">
        <f ca="1">IFERROR(1*IF(IFERROR(VLOOKUP($C55,SUP!$B$54:$Q$104,MATCH($B55&amp;"-"&amp;AL$7,SUP!$B$54:$Q$54,0),FALSE),"")="","",IFERROR(VLOOKUP($C55,SUP!$B$54:$Q$104,MATCH($B55&amp;"-"&amp;AL$7,SUP!$B$54:$Q$54,0),FALSE),"")),"")</f>
        <v/>
      </c>
      <c r="AM55" s="441" t="str">
        <f ca="1">IFERROR(1*IF(IFERROR(VLOOKUP($C55,SUP!$B$54:$Q$104,MATCH($B55&amp;"-"&amp;AM$7,SUP!$B$54:$Q$54,0),FALSE),"")="","",IFERROR(VLOOKUP($C55,SUP!$B$54:$Q$104,MATCH($B55&amp;"-"&amp;AM$7,SUP!$B$54:$Q$54,0),FALSE),"")),"")</f>
        <v/>
      </c>
      <c r="AN55" s="441">
        <f ca="1">IFERROR(1*IF(IFERROR(VLOOKUP($C55,SUP!$B$54:$Q$104,MATCH($B55&amp;"-"&amp;AN$7,SUP!$B$54:$Q$54,0),FALSE),"")="","",IFERROR(VLOOKUP($C55,SUP!$B$54:$Q$104,MATCH($B55&amp;"-"&amp;AN$7,SUP!$B$54:$Q$54,0),FALSE),"")),"")</f>
        <v>-112.86780426031693</v>
      </c>
      <c r="AO55" s="441" t="str">
        <f ca="1">IFERROR(1*IF(IFERROR(VLOOKUP($C55,SUP!$B$54:$Q$104,MATCH($B55&amp;"-"&amp;AO$7,SUP!$B$54:$Q$54,0),FALSE),"")="","",IFERROR(VLOOKUP($C55,SUP!$B$54:$Q$104,MATCH($B55&amp;"-"&amp;AO$7,SUP!$B$54:$Q$54,0),FALSE),"")),"")</f>
        <v/>
      </c>
      <c r="AR55" s="42">
        <f>IF(AS54=SUP!$B$104,AR54+1,AR54)</f>
        <v>1</v>
      </c>
      <c r="AS55" s="42">
        <f t="shared" si="6"/>
        <v>43</v>
      </c>
    </row>
    <row r="56" spans="1:45">
      <c r="A56" s="42" t="str">
        <f ca="1">IF(LEFT(OFFSET(SUP!$A$57,AS56,0),2)="\I","*","")</f>
        <v/>
      </c>
      <c r="B56" s="440" t="str">
        <f t="shared" ca="1" si="8"/>
        <v>ACT_COST</v>
      </c>
      <c r="C56" s="440" t="str">
        <f ca="1">IF($A56="*","",OFFSET(SUP!$B$57,AS56,0))</f>
        <v>PEXOGS</v>
      </c>
      <c r="D56" s="440" t="str">
        <f t="shared" ca="1" si="7"/>
        <v>-</v>
      </c>
      <c r="E56" s="440" t="str">
        <f t="shared" ca="1" si="7"/>
        <v>-</v>
      </c>
      <c r="F56" s="440" t="str">
        <f t="shared" ca="1" si="7"/>
        <v>-</v>
      </c>
      <c r="G56" s="440" t="str">
        <f t="shared" ca="1" si="7"/>
        <v>-</v>
      </c>
      <c r="H56" s="440" t="str">
        <f t="shared" ca="1" si="5"/>
        <v>-</v>
      </c>
      <c r="I56" s="441">
        <f ca="1">IF(IFERROR(VLOOKUP($C56,SUP!$B$54:$Q$104,MATCH($B56&amp;"-"&amp;I$7,SUP!$B$54:$Q$54,0),FALSE),"")="","",IFERROR(VLOOKUP($C56,SUP!$B$54:$Q$104,MATCH($B56&amp;"-"&amp;I$7,SUP!$B$54:$Q$54,0),FALSE),""))</f>
        <v>0</v>
      </c>
      <c r="J56" s="441">
        <f ca="1">IFERROR(1*IF(IFERROR(VLOOKUP($C56,SUP!$B$54:$Q$104,MATCH($B56&amp;"-"&amp;J$7,SUP!$B$54:$Q$54,0),FALSE),"")="","",IFERROR(VLOOKUP($C56,SUP!$B$54:$Q$104,MATCH($B56&amp;"-"&amp;J$7,SUP!$B$54:$Q$54,0),FALSE),"")),"")</f>
        <v>-168.0530191432465</v>
      </c>
      <c r="K56" s="441" t="str">
        <f ca="1">IFERROR(1*IF(IFERROR(VLOOKUP($C56,SUP!$B$54:$Q$104,MATCH($B56&amp;"-"&amp;K$7,SUP!$B$54:$Q$54,0),FALSE),"")="","",IFERROR(VLOOKUP($C56,SUP!$B$54:$Q$104,MATCH($B56&amp;"-"&amp;K$7,SUP!$B$54:$Q$54,0),FALSE),"")),"")</f>
        <v/>
      </c>
      <c r="L56" s="441" t="str">
        <f ca="1">IFERROR(1*IF(IFERROR(VLOOKUP($C56,SUP!$B$54:$Q$104,MATCH($B56&amp;"-"&amp;L$7,SUP!$B$54:$Q$54,0),FALSE),"")="","",IFERROR(VLOOKUP($C56,SUP!$B$54:$Q$104,MATCH($B56&amp;"-"&amp;L$7,SUP!$B$54:$Q$54,0),FALSE),"")),"")</f>
        <v/>
      </c>
      <c r="M56" s="441">
        <f ca="1">IFERROR(1*IF(IFERROR(VLOOKUP($C56,SUP!$B$54:$Q$104,MATCH($B56&amp;"-"&amp;M$7,SUP!$B$54:$Q$54,0),FALSE),"")="","",IFERROR(VLOOKUP($C56,SUP!$B$54:$Q$104,MATCH($B56&amp;"-"&amp;M$7,SUP!$B$54:$Q$54,0),FALSE),"")),"")</f>
        <v>-123.20487410094756</v>
      </c>
      <c r="N56" s="441" t="str">
        <f ca="1">IFERROR(1*IF(IFERROR(VLOOKUP($C56,SUP!$B$54:$Q$104,MATCH($B56&amp;"-"&amp;N$7,SUP!$B$54:$Q$54,0),FALSE),"")="","",IFERROR(VLOOKUP($C56,SUP!$B$54:$Q$104,MATCH($B56&amp;"-"&amp;N$7,SUP!$B$54:$Q$54,0),FALSE),"")),"")</f>
        <v/>
      </c>
      <c r="O56" s="441" t="str">
        <f ca="1">IFERROR(1*IF(IFERROR(VLOOKUP($C56,SUP!$B$54:$Q$104,MATCH($B56&amp;"-"&amp;O$7,SUP!$B$54:$Q$54,0),FALSE),"")="","",IFERROR(VLOOKUP($C56,SUP!$B$54:$Q$104,MATCH($B56&amp;"-"&amp;O$7,SUP!$B$54:$Q$54,0),FALSE),"")),"")</f>
        <v/>
      </c>
      <c r="P56" s="441" t="str">
        <f ca="1">IFERROR(1*IF(IFERROR(VLOOKUP($C56,SUP!$B$54:$Q$104,MATCH($B56&amp;"-"&amp;P$7,SUP!$B$54:$Q$54,0),FALSE),"")="","",IFERROR(VLOOKUP($C56,SUP!$B$54:$Q$104,MATCH($B56&amp;"-"&amp;P$7,SUP!$B$54:$Q$54,0),FALSE),"")),"")</f>
        <v/>
      </c>
      <c r="Q56" s="441" t="str">
        <f ca="1">IFERROR(1*IF(IFERROR(VLOOKUP($C56,SUP!$B$54:$Q$104,MATCH($B56&amp;"-"&amp;Q$7,SUP!$B$54:$Q$54,0),FALSE),"")="","",IFERROR(VLOOKUP($C56,SUP!$B$54:$Q$104,MATCH($B56&amp;"-"&amp;Q$7,SUP!$B$54:$Q$54,0),FALSE),"")),"")</f>
        <v/>
      </c>
      <c r="R56" s="441">
        <f ca="1">IFERROR(1*IF(IFERROR(VLOOKUP($C56,SUP!$B$54:$Q$104,MATCH($B56&amp;"-"&amp;R$7,SUP!$B$54:$Q$54,0),FALSE),"")="","",IFERROR(VLOOKUP($C56,SUP!$B$54:$Q$104,MATCH($B56&amp;"-"&amp;R$7,SUP!$B$54:$Q$54,0),FALSE),"")),"")</f>
        <v>-137.71788055884457</v>
      </c>
      <c r="S56" s="441" t="str">
        <f ca="1">IFERROR(1*IF(IFERROR(VLOOKUP($C56,SUP!$B$54:$Q$104,MATCH($B56&amp;"-"&amp;S$7,SUP!$B$54:$Q$54,0),FALSE),"")="","",IFERROR(VLOOKUP($C56,SUP!$B$54:$Q$104,MATCH($B56&amp;"-"&amp;S$7,SUP!$B$54:$Q$54,0),FALSE),"")),"")</f>
        <v/>
      </c>
      <c r="T56" s="441" t="str">
        <f ca="1">IFERROR(1*IF(IFERROR(VLOOKUP($C56,SUP!$B$54:$Q$104,MATCH($B56&amp;"-"&amp;T$7,SUP!$B$54:$Q$54,0),FALSE),"")="","",IFERROR(VLOOKUP($C56,SUP!$B$54:$Q$104,MATCH($B56&amp;"-"&amp;T$7,SUP!$B$54:$Q$54,0),FALSE),"")),"")</f>
        <v/>
      </c>
      <c r="U56" s="441" t="str">
        <f ca="1">IFERROR(1*IF(IFERROR(VLOOKUP($C56,SUP!$B$54:$Q$104,MATCH($B56&amp;"-"&amp;U$7,SUP!$B$54:$Q$54,0),FALSE),"")="","",IFERROR(VLOOKUP($C56,SUP!$B$54:$Q$104,MATCH($B56&amp;"-"&amp;U$7,SUP!$B$54:$Q$54,0),FALSE),"")),"")</f>
        <v/>
      </c>
      <c r="V56" s="441" t="str">
        <f ca="1">IFERROR(1*IF(IFERROR(VLOOKUP($C56,SUP!$B$54:$Q$104,MATCH($B56&amp;"-"&amp;V$7,SUP!$B$54:$Q$54,0),FALSE),"")="","",IFERROR(VLOOKUP($C56,SUP!$B$54:$Q$104,MATCH($B56&amp;"-"&amp;V$7,SUP!$B$54:$Q$54,0),FALSE),"")),"")</f>
        <v/>
      </c>
      <c r="W56" s="441" t="str">
        <f ca="1">IFERROR(1*IF(IFERROR(VLOOKUP($C56,SUP!$B$54:$Q$104,MATCH($B56&amp;"-"&amp;W$7,SUP!$B$54:$Q$54,0),FALSE),"")="","",IFERROR(VLOOKUP($C56,SUP!$B$54:$Q$104,MATCH($B56&amp;"-"&amp;W$7,SUP!$B$54:$Q$54,0),FALSE),"")),"")</f>
        <v/>
      </c>
      <c r="X56" s="441" t="str">
        <f ca="1">IFERROR(1*IF(IFERROR(VLOOKUP($C56,SUP!$B$54:$Q$104,MATCH($B56&amp;"-"&amp;X$7,SUP!$B$54:$Q$54,0),FALSE),"")="","",IFERROR(VLOOKUP($C56,SUP!$B$54:$Q$104,MATCH($B56&amp;"-"&amp;X$7,SUP!$B$54:$Q$54,0),FALSE),"")),"")</f>
        <v/>
      </c>
      <c r="Y56" s="441" t="str">
        <f ca="1">IFERROR(1*IF(IFERROR(VLOOKUP($C56,SUP!$B$54:$Q$104,MATCH($B56&amp;"-"&amp;Y$7,SUP!$B$54:$Q$54,0),FALSE),"")="","",IFERROR(VLOOKUP($C56,SUP!$B$54:$Q$104,MATCH($B56&amp;"-"&amp;Y$7,SUP!$B$54:$Q$54,0),FALSE),"")),"")</f>
        <v/>
      </c>
      <c r="Z56" s="441" t="str">
        <f ca="1">IFERROR(1*IF(IFERROR(VLOOKUP($C56,SUP!$B$54:$Q$104,MATCH($B56&amp;"-"&amp;Z$7,SUP!$B$54:$Q$54,0),FALSE),"")="","",IFERROR(VLOOKUP($C56,SUP!$B$54:$Q$104,MATCH($B56&amp;"-"&amp;Z$7,SUP!$B$54:$Q$54,0),FALSE),"")),"")</f>
        <v/>
      </c>
      <c r="AA56" s="441" t="str">
        <f ca="1">IFERROR(1*IF(IFERROR(VLOOKUP($C56,SUP!$B$54:$Q$104,MATCH($B56&amp;"-"&amp;AA$7,SUP!$B$54:$Q$54,0),FALSE),"")="","",IFERROR(VLOOKUP($C56,SUP!$B$54:$Q$104,MATCH($B56&amp;"-"&amp;AA$7,SUP!$B$54:$Q$54,0),FALSE),"")),"")</f>
        <v/>
      </c>
      <c r="AB56" s="441">
        <f ca="1">IFERROR(1*IF(IFERROR(VLOOKUP($C56,SUP!$B$54:$Q$104,MATCH($B56&amp;"-"&amp;AB$7,SUP!$B$54:$Q$54,0),FALSE),"")="","",IFERROR(VLOOKUP($C56,SUP!$B$54:$Q$104,MATCH($B56&amp;"-"&amp;AB$7,SUP!$B$54:$Q$54,0),FALSE),"")),"")</f>
        <v>-132.37910194711162</v>
      </c>
      <c r="AC56" s="441" t="str">
        <f ca="1">IFERROR(1*IF(IFERROR(VLOOKUP($C56,SUP!$B$54:$Q$104,MATCH($B56&amp;"-"&amp;AC$7,SUP!$B$54:$Q$54,0),FALSE),"")="","",IFERROR(VLOOKUP($C56,SUP!$B$54:$Q$104,MATCH($B56&amp;"-"&amp;AC$7,SUP!$B$54:$Q$54,0),FALSE),"")),"")</f>
        <v/>
      </c>
      <c r="AD56" s="441" t="str">
        <f ca="1">IFERROR(1*IF(IFERROR(VLOOKUP($C56,SUP!$B$54:$Q$104,MATCH($B56&amp;"-"&amp;AD$7,SUP!$B$54:$Q$54,0),FALSE),"")="","",IFERROR(VLOOKUP($C56,SUP!$B$54:$Q$104,MATCH($B56&amp;"-"&amp;AD$7,SUP!$B$54:$Q$54,0),FALSE),"")),"")</f>
        <v/>
      </c>
      <c r="AE56" s="441" t="str">
        <f ca="1">IFERROR(1*IF(IFERROR(VLOOKUP($C56,SUP!$B$54:$Q$104,MATCH($B56&amp;"-"&amp;AE$7,SUP!$B$54:$Q$54,0),FALSE),"")="","",IFERROR(VLOOKUP($C56,SUP!$B$54:$Q$104,MATCH($B56&amp;"-"&amp;AE$7,SUP!$B$54:$Q$54,0),FALSE),"")),"")</f>
        <v/>
      </c>
      <c r="AF56" s="441" t="str">
        <f ca="1">IFERROR(1*IF(IFERROR(VLOOKUP($C56,SUP!$B$54:$Q$104,MATCH($B56&amp;"-"&amp;AF$7,SUP!$B$54:$Q$54,0),FALSE),"")="","",IFERROR(VLOOKUP($C56,SUP!$B$54:$Q$104,MATCH($B56&amp;"-"&amp;AF$7,SUP!$B$54:$Q$54,0),FALSE),"")),"")</f>
        <v/>
      </c>
      <c r="AG56" s="441" t="str">
        <f ca="1">IFERROR(1*IF(IFERROR(VLOOKUP($C56,SUP!$B$54:$Q$104,MATCH($B56&amp;"-"&amp;AG$7,SUP!$B$54:$Q$54,0),FALSE),"")="","",IFERROR(VLOOKUP($C56,SUP!$B$54:$Q$104,MATCH($B56&amp;"-"&amp;AG$7,SUP!$B$54:$Q$54,0),FALSE),"")),"")</f>
        <v/>
      </c>
      <c r="AH56" s="441" t="str">
        <f ca="1">IFERROR(1*IF(IFERROR(VLOOKUP($C56,SUP!$B$54:$Q$104,MATCH($B56&amp;"-"&amp;AH$7,SUP!$B$54:$Q$54,0),FALSE),"")="","",IFERROR(VLOOKUP($C56,SUP!$B$54:$Q$104,MATCH($B56&amp;"-"&amp;AH$7,SUP!$B$54:$Q$54,0),FALSE),"")),"")</f>
        <v/>
      </c>
      <c r="AI56" s="441" t="str">
        <f ca="1">IFERROR(1*IF(IFERROR(VLOOKUP($C56,SUP!$B$54:$Q$104,MATCH($B56&amp;"-"&amp;AI$7,SUP!$B$54:$Q$54,0),FALSE),"")="","",IFERROR(VLOOKUP($C56,SUP!$B$54:$Q$104,MATCH($B56&amp;"-"&amp;AI$7,SUP!$B$54:$Q$54,0),FALSE),"")),"")</f>
        <v/>
      </c>
      <c r="AJ56" s="441" t="str">
        <f ca="1">IFERROR(1*IF(IFERROR(VLOOKUP($C56,SUP!$B$54:$Q$104,MATCH($B56&amp;"-"&amp;AJ$7,SUP!$B$54:$Q$54,0),FALSE),"")="","",IFERROR(VLOOKUP($C56,SUP!$B$54:$Q$104,MATCH($B56&amp;"-"&amp;AJ$7,SUP!$B$54:$Q$54,0),FALSE),"")),"")</f>
        <v/>
      </c>
      <c r="AK56" s="441" t="str">
        <f ca="1">IFERROR(1*IF(IFERROR(VLOOKUP($C56,SUP!$B$54:$Q$104,MATCH($B56&amp;"-"&amp;AK$7,SUP!$B$54:$Q$54,0),FALSE),"")="","",IFERROR(VLOOKUP($C56,SUP!$B$54:$Q$104,MATCH($B56&amp;"-"&amp;AK$7,SUP!$B$54:$Q$54,0),FALSE),"")),"")</f>
        <v/>
      </c>
      <c r="AL56" s="441" t="str">
        <f ca="1">IFERROR(1*IF(IFERROR(VLOOKUP($C56,SUP!$B$54:$Q$104,MATCH($B56&amp;"-"&amp;AL$7,SUP!$B$54:$Q$54,0),FALSE),"")="","",IFERROR(VLOOKUP($C56,SUP!$B$54:$Q$104,MATCH($B56&amp;"-"&amp;AL$7,SUP!$B$54:$Q$54,0),FALSE),"")),"")</f>
        <v/>
      </c>
      <c r="AM56" s="441" t="str">
        <f ca="1">IFERROR(1*IF(IFERROR(VLOOKUP($C56,SUP!$B$54:$Q$104,MATCH($B56&amp;"-"&amp;AM$7,SUP!$B$54:$Q$54,0),FALSE),"")="","",IFERROR(VLOOKUP($C56,SUP!$B$54:$Q$104,MATCH($B56&amp;"-"&amp;AM$7,SUP!$B$54:$Q$54,0),FALSE),"")),"")</f>
        <v/>
      </c>
      <c r="AN56" s="441">
        <f ca="1">IFERROR(1*IF(IFERROR(VLOOKUP($C56,SUP!$B$54:$Q$104,MATCH($B56&amp;"-"&amp;AN$7,SUP!$B$54:$Q$54,0),FALSE),"")="","",IFERROR(VLOOKUP($C56,SUP!$B$54:$Q$104,MATCH($B56&amp;"-"&amp;AN$7,SUP!$B$54:$Q$54,0),FALSE),"")),"")</f>
        <v>-120.17617940600771</v>
      </c>
      <c r="AO56" s="441" t="str">
        <f ca="1">IFERROR(1*IF(IFERROR(VLOOKUP($C56,SUP!$B$54:$Q$104,MATCH($B56&amp;"-"&amp;AO$7,SUP!$B$54:$Q$54,0),FALSE),"")="","",IFERROR(VLOOKUP($C56,SUP!$B$54:$Q$104,MATCH($B56&amp;"-"&amp;AO$7,SUP!$B$54:$Q$54,0),FALSE),"")),"")</f>
        <v/>
      </c>
      <c r="AR56" s="42">
        <f>IF(AS55=SUP!$B$104,AR55+1,AR55)</f>
        <v>1</v>
      </c>
      <c r="AS56" s="42">
        <f t="shared" si="6"/>
        <v>44</v>
      </c>
    </row>
    <row r="57" spans="1:45">
      <c r="A57" s="42" t="str">
        <f ca="1">IF(LEFT(OFFSET(SUP!$A$57,AS57,0),2)="\I","*","")</f>
        <v/>
      </c>
      <c r="B57" s="440" t="str">
        <f t="shared" ca="1" si="8"/>
        <v>ACT_COST</v>
      </c>
      <c r="C57" s="440" t="str">
        <f ca="1">IF($A57="*","",OFFSET(SUP!$B$57,AS57,0))</f>
        <v>PEXOHF</v>
      </c>
      <c r="D57" s="440" t="str">
        <f t="shared" ca="1" si="7"/>
        <v>-</v>
      </c>
      <c r="E57" s="440" t="str">
        <f t="shared" ca="1" si="7"/>
        <v>-</v>
      </c>
      <c r="F57" s="440" t="str">
        <f t="shared" ca="1" si="7"/>
        <v>-</v>
      </c>
      <c r="G57" s="440" t="str">
        <f t="shared" ca="1" si="7"/>
        <v>-</v>
      </c>
      <c r="H57" s="440" t="str">
        <f t="shared" ca="1" si="5"/>
        <v>-</v>
      </c>
      <c r="I57" s="441">
        <f ca="1">IF(IFERROR(VLOOKUP($C57,SUP!$B$54:$Q$104,MATCH($B57&amp;"-"&amp;I$7,SUP!$B$54:$Q$54,0),FALSE),"")="","",IFERROR(VLOOKUP($C57,SUP!$B$54:$Q$104,MATCH($B57&amp;"-"&amp;I$7,SUP!$B$54:$Q$54,0),FALSE),""))</f>
        <v>0</v>
      </c>
      <c r="J57" s="441">
        <f ca="1">IFERROR(1*IF(IFERROR(VLOOKUP($C57,SUP!$B$54:$Q$104,MATCH($B57&amp;"-"&amp;J$7,SUP!$B$54:$Q$54,0),FALSE),"")="","",IFERROR(VLOOKUP($C57,SUP!$B$54:$Q$104,MATCH($B57&amp;"-"&amp;J$7,SUP!$B$54:$Q$54,0),FALSE),"")),"")</f>
        <v>-133.36040819049671</v>
      </c>
      <c r="K57" s="441" t="str">
        <f ca="1">IFERROR(1*IF(IFERROR(VLOOKUP($C57,SUP!$B$54:$Q$104,MATCH($B57&amp;"-"&amp;K$7,SUP!$B$54:$Q$54,0),FALSE),"")="","",IFERROR(VLOOKUP($C57,SUP!$B$54:$Q$104,MATCH($B57&amp;"-"&amp;K$7,SUP!$B$54:$Q$54,0),FALSE),"")),"")</f>
        <v/>
      </c>
      <c r="L57" s="441" t="str">
        <f ca="1">IFERROR(1*IF(IFERROR(VLOOKUP($C57,SUP!$B$54:$Q$104,MATCH($B57&amp;"-"&amp;L$7,SUP!$B$54:$Q$54,0),FALSE),"")="","",IFERROR(VLOOKUP($C57,SUP!$B$54:$Q$104,MATCH($B57&amp;"-"&amp;L$7,SUP!$B$54:$Q$54,0),FALSE),"")),"")</f>
        <v/>
      </c>
      <c r="M57" s="441">
        <f ca="1">IFERROR(1*IF(IFERROR(VLOOKUP($C57,SUP!$B$54:$Q$104,MATCH($B57&amp;"-"&amp;M$7,SUP!$B$54:$Q$54,0),FALSE),"")="","",IFERROR(VLOOKUP($C57,SUP!$B$54:$Q$104,MATCH($B57&amp;"-"&amp;M$7,SUP!$B$54:$Q$54,0),FALSE),"")),"")</f>
        <v>-95.447143291404601</v>
      </c>
      <c r="N57" s="441" t="str">
        <f ca="1">IFERROR(1*IF(IFERROR(VLOOKUP($C57,SUP!$B$54:$Q$104,MATCH($B57&amp;"-"&amp;N$7,SUP!$B$54:$Q$54,0),FALSE),"")="","",IFERROR(VLOOKUP($C57,SUP!$B$54:$Q$104,MATCH($B57&amp;"-"&amp;N$7,SUP!$B$54:$Q$54,0),FALSE),"")),"")</f>
        <v/>
      </c>
      <c r="O57" s="441" t="str">
        <f ca="1">IFERROR(1*IF(IFERROR(VLOOKUP($C57,SUP!$B$54:$Q$104,MATCH($B57&amp;"-"&amp;O$7,SUP!$B$54:$Q$54,0),FALSE),"")="","",IFERROR(VLOOKUP($C57,SUP!$B$54:$Q$104,MATCH($B57&amp;"-"&amp;O$7,SUP!$B$54:$Q$54,0),FALSE),"")),"")</f>
        <v/>
      </c>
      <c r="P57" s="441" t="str">
        <f ca="1">IFERROR(1*IF(IFERROR(VLOOKUP($C57,SUP!$B$54:$Q$104,MATCH($B57&amp;"-"&amp;P$7,SUP!$B$54:$Q$54,0),FALSE),"")="","",IFERROR(VLOOKUP($C57,SUP!$B$54:$Q$104,MATCH($B57&amp;"-"&amp;P$7,SUP!$B$54:$Q$54,0),FALSE),"")),"")</f>
        <v/>
      </c>
      <c r="Q57" s="441" t="str">
        <f ca="1">IFERROR(1*IF(IFERROR(VLOOKUP($C57,SUP!$B$54:$Q$104,MATCH($B57&amp;"-"&amp;Q$7,SUP!$B$54:$Q$54,0),FALSE),"")="","",IFERROR(VLOOKUP($C57,SUP!$B$54:$Q$104,MATCH($B57&amp;"-"&amp;Q$7,SUP!$B$54:$Q$54,0),FALSE),"")),"")</f>
        <v/>
      </c>
      <c r="R57" s="441">
        <f ca="1">IFERROR(1*IF(IFERROR(VLOOKUP($C57,SUP!$B$54:$Q$104,MATCH($B57&amp;"-"&amp;R$7,SUP!$B$54:$Q$54,0),FALSE),"")="","",IFERROR(VLOOKUP($C57,SUP!$B$54:$Q$104,MATCH($B57&amp;"-"&amp;R$7,SUP!$B$54:$Q$54,0),FALSE),"")),"")</f>
        <v>-108.54773158630327</v>
      </c>
      <c r="S57" s="441" t="str">
        <f ca="1">IFERROR(1*IF(IFERROR(VLOOKUP($C57,SUP!$B$54:$Q$104,MATCH($B57&amp;"-"&amp;S$7,SUP!$B$54:$Q$54,0),FALSE),"")="","",IFERROR(VLOOKUP($C57,SUP!$B$54:$Q$104,MATCH($B57&amp;"-"&amp;S$7,SUP!$B$54:$Q$54,0),FALSE),"")),"")</f>
        <v/>
      </c>
      <c r="T57" s="441" t="str">
        <f ca="1">IFERROR(1*IF(IFERROR(VLOOKUP($C57,SUP!$B$54:$Q$104,MATCH($B57&amp;"-"&amp;T$7,SUP!$B$54:$Q$54,0),FALSE),"")="","",IFERROR(VLOOKUP($C57,SUP!$B$54:$Q$104,MATCH($B57&amp;"-"&amp;T$7,SUP!$B$54:$Q$54,0),FALSE),"")),"")</f>
        <v/>
      </c>
      <c r="U57" s="441" t="str">
        <f ca="1">IFERROR(1*IF(IFERROR(VLOOKUP($C57,SUP!$B$54:$Q$104,MATCH($B57&amp;"-"&amp;U$7,SUP!$B$54:$Q$54,0),FALSE),"")="","",IFERROR(VLOOKUP($C57,SUP!$B$54:$Q$104,MATCH($B57&amp;"-"&amp;U$7,SUP!$B$54:$Q$54,0),FALSE),"")),"")</f>
        <v/>
      </c>
      <c r="V57" s="441" t="str">
        <f ca="1">IFERROR(1*IF(IFERROR(VLOOKUP($C57,SUP!$B$54:$Q$104,MATCH($B57&amp;"-"&amp;V$7,SUP!$B$54:$Q$54,0),FALSE),"")="","",IFERROR(VLOOKUP($C57,SUP!$B$54:$Q$104,MATCH($B57&amp;"-"&amp;V$7,SUP!$B$54:$Q$54,0),FALSE),"")),"")</f>
        <v/>
      </c>
      <c r="W57" s="441" t="str">
        <f ca="1">IFERROR(1*IF(IFERROR(VLOOKUP($C57,SUP!$B$54:$Q$104,MATCH($B57&amp;"-"&amp;W$7,SUP!$B$54:$Q$54,0),FALSE),"")="","",IFERROR(VLOOKUP($C57,SUP!$B$54:$Q$104,MATCH($B57&amp;"-"&amp;W$7,SUP!$B$54:$Q$54,0),FALSE),"")),"")</f>
        <v/>
      </c>
      <c r="X57" s="441" t="str">
        <f ca="1">IFERROR(1*IF(IFERROR(VLOOKUP($C57,SUP!$B$54:$Q$104,MATCH($B57&amp;"-"&amp;X$7,SUP!$B$54:$Q$54,0),FALSE),"")="","",IFERROR(VLOOKUP($C57,SUP!$B$54:$Q$104,MATCH($B57&amp;"-"&amp;X$7,SUP!$B$54:$Q$54,0),FALSE),"")),"")</f>
        <v/>
      </c>
      <c r="Y57" s="441" t="str">
        <f ca="1">IFERROR(1*IF(IFERROR(VLOOKUP($C57,SUP!$B$54:$Q$104,MATCH($B57&amp;"-"&amp;Y$7,SUP!$B$54:$Q$54,0),FALSE),"")="","",IFERROR(VLOOKUP($C57,SUP!$B$54:$Q$104,MATCH($B57&amp;"-"&amp;Y$7,SUP!$B$54:$Q$54,0),FALSE),"")),"")</f>
        <v/>
      </c>
      <c r="Z57" s="441" t="str">
        <f ca="1">IFERROR(1*IF(IFERROR(VLOOKUP($C57,SUP!$B$54:$Q$104,MATCH($B57&amp;"-"&amp;Z$7,SUP!$B$54:$Q$54,0),FALSE),"")="","",IFERROR(VLOOKUP($C57,SUP!$B$54:$Q$104,MATCH($B57&amp;"-"&amp;Z$7,SUP!$B$54:$Q$54,0),FALSE),"")),"")</f>
        <v/>
      </c>
      <c r="AA57" s="441" t="str">
        <f ca="1">IFERROR(1*IF(IFERROR(VLOOKUP($C57,SUP!$B$54:$Q$104,MATCH($B57&amp;"-"&amp;AA$7,SUP!$B$54:$Q$54,0),FALSE),"")="","",IFERROR(VLOOKUP($C57,SUP!$B$54:$Q$104,MATCH($B57&amp;"-"&amp;AA$7,SUP!$B$54:$Q$54,0),FALSE),"")),"")</f>
        <v/>
      </c>
      <c r="AB57" s="441">
        <f ca="1">IFERROR(1*IF(IFERROR(VLOOKUP($C57,SUP!$B$54:$Q$104,MATCH($B57&amp;"-"&amp;AB$7,SUP!$B$54:$Q$54,0),FALSE),"")="","",IFERROR(VLOOKUP($C57,SUP!$B$54:$Q$104,MATCH($B57&amp;"-"&amp;AB$7,SUP!$B$54:$Q$54,0),FALSE),"")),"")</f>
        <v>-104.18086882133703</v>
      </c>
      <c r="AC57" s="441" t="str">
        <f ca="1">IFERROR(1*IF(IFERROR(VLOOKUP($C57,SUP!$B$54:$Q$104,MATCH($B57&amp;"-"&amp;AC$7,SUP!$B$54:$Q$54,0),FALSE),"")="","",IFERROR(VLOOKUP($C57,SUP!$B$54:$Q$104,MATCH($B57&amp;"-"&amp;AC$7,SUP!$B$54:$Q$54,0),FALSE),"")),"")</f>
        <v/>
      </c>
      <c r="AD57" s="441" t="str">
        <f ca="1">IFERROR(1*IF(IFERROR(VLOOKUP($C57,SUP!$B$54:$Q$104,MATCH($B57&amp;"-"&amp;AD$7,SUP!$B$54:$Q$54,0),FALSE),"")="","",IFERROR(VLOOKUP($C57,SUP!$B$54:$Q$104,MATCH($B57&amp;"-"&amp;AD$7,SUP!$B$54:$Q$54,0),FALSE),"")),"")</f>
        <v/>
      </c>
      <c r="AE57" s="441" t="str">
        <f ca="1">IFERROR(1*IF(IFERROR(VLOOKUP($C57,SUP!$B$54:$Q$104,MATCH($B57&amp;"-"&amp;AE$7,SUP!$B$54:$Q$54,0),FALSE),"")="","",IFERROR(VLOOKUP($C57,SUP!$B$54:$Q$104,MATCH($B57&amp;"-"&amp;AE$7,SUP!$B$54:$Q$54,0),FALSE),"")),"")</f>
        <v/>
      </c>
      <c r="AF57" s="441" t="str">
        <f ca="1">IFERROR(1*IF(IFERROR(VLOOKUP($C57,SUP!$B$54:$Q$104,MATCH($B57&amp;"-"&amp;AF$7,SUP!$B$54:$Q$54,0),FALSE),"")="","",IFERROR(VLOOKUP($C57,SUP!$B$54:$Q$104,MATCH($B57&amp;"-"&amp;AF$7,SUP!$B$54:$Q$54,0),FALSE),"")),"")</f>
        <v/>
      </c>
      <c r="AG57" s="441" t="str">
        <f ca="1">IFERROR(1*IF(IFERROR(VLOOKUP($C57,SUP!$B$54:$Q$104,MATCH($B57&amp;"-"&amp;AG$7,SUP!$B$54:$Q$54,0),FALSE),"")="","",IFERROR(VLOOKUP($C57,SUP!$B$54:$Q$104,MATCH($B57&amp;"-"&amp;AG$7,SUP!$B$54:$Q$54,0),FALSE),"")),"")</f>
        <v/>
      </c>
      <c r="AH57" s="441" t="str">
        <f ca="1">IFERROR(1*IF(IFERROR(VLOOKUP($C57,SUP!$B$54:$Q$104,MATCH($B57&amp;"-"&amp;AH$7,SUP!$B$54:$Q$54,0),FALSE),"")="","",IFERROR(VLOOKUP($C57,SUP!$B$54:$Q$104,MATCH($B57&amp;"-"&amp;AH$7,SUP!$B$54:$Q$54,0),FALSE),"")),"")</f>
        <v/>
      </c>
      <c r="AI57" s="441" t="str">
        <f ca="1">IFERROR(1*IF(IFERROR(VLOOKUP($C57,SUP!$B$54:$Q$104,MATCH($B57&amp;"-"&amp;AI$7,SUP!$B$54:$Q$54,0),FALSE),"")="","",IFERROR(VLOOKUP($C57,SUP!$B$54:$Q$104,MATCH($B57&amp;"-"&amp;AI$7,SUP!$B$54:$Q$54,0),FALSE),"")),"")</f>
        <v/>
      </c>
      <c r="AJ57" s="441" t="str">
        <f ca="1">IFERROR(1*IF(IFERROR(VLOOKUP($C57,SUP!$B$54:$Q$104,MATCH($B57&amp;"-"&amp;AJ$7,SUP!$B$54:$Q$54,0),FALSE),"")="","",IFERROR(VLOOKUP($C57,SUP!$B$54:$Q$104,MATCH($B57&amp;"-"&amp;AJ$7,SUP!$B$54:$Q$54,0),FALSE),"")),"")</f>
        <v/>
      </c>
      <c r="AK57" s="441" t="str">
        <f ca="1">IFERROR(1*IF(IFERROR(VLOOKUP($C57,SUP!$B$54:$Q$104,MATCH($B57&amp;"-"&amp;AK$7,SUP!$B$54:$Q$54,0),FALSE),"")="","",IFERROR(VLOOKUP($C57,SUP!$B$54:$Q$104,MATCH($B57&amp;"-"&amp;AK$7,SUP!$B$54:$Q$54,0),FALSE),"")),"")</f>
        <v/>
      </c>
      <c r="AL57" s="441" t="str">
        <f ca="1">IFERROR(1*IF(IFERROR(VLOOKUP($C57,SUP!$B$54:$Q$104,MATCH($B57&amp;"-"&amp;AL$7,SUP!$B$54:$Q$54,0),FALSE),"")="","",IFERROR(VLOOKUP($C57,SUP!$B$54:$Q$104,MATCH($B57&amp;"-"&amp;AL$7,SUP!$B$54:$Q$54,0),FALSE),"")),"")</f>
        <v/>
      </c>
      <c r="AM57" s="441" t="str">
        <f ca="1">IFERROR(1*IF(IFERROR(VLOOKUP($C57,SUP!$B$54:$Q$104,MATCH($B57&amp;"-"&amp;AM$7,SUP!$B$54:$Q$54,0),FALSE),"")="","",IFERROR(VLOOKUP($C57,SUP!$B$54:$Q$104,MATCH($B57&amp;"-"&amp;AM$7,SUP!$B$54:$Q$54,0),FALSE),"")),"")</f>
        <v/>
      </c>
      <c r="AN57" s="441">
        <f ca="1">IFERROR(1*IF(IFERROR(VLOOKUP($C57,SUP!$B$54:$Q$104,MATCH($B57&amp;"-"&amp;AN$7,SUP!$B$54:$Q$54,0),FALSE),"")="","",IFERROR(VLOOKUP($C57,SUP!$B$54:$Q$104,MATCH($B57&amp;"-"&amp;AN$7,SUP!$B$54:$Q$54,0),FALSE),"")),"")</f>
        <v>-94.199468215699952</v>
      </c>
      <c r="AO57" s="441" t="str">
        <f ca="1">IFERROR(1*IF(IFERROR(VLOOKUP($C57,SUP!$B$54:$Q$104,MATCH($B57&amp;"-"&amp;AO$7,SUP!$B$54:$Q$54,0),FALSE),"")="","",IFERROR(VLOOKUP($C57,SUP!$B$54:$Q$104,MATCH($B57&amp;"-"&amp;AO$7,SUP!$B$54:$Q$54,0),FALSE),"")),"")</f>
        <v/>
      </c>
      <c r="AR57" s="42">
        <f>IF(AS56=SUP!$B$104,AR56+1,AR56)</f>
        <v>1</v>
      </c>
      <c r="AS57" s="42">
        <f t="shared" si="6"/>
        <v>45</v>
      </c>
    </row>
    <row r="58" spans="1:45">
      <c r="A58" s="42" t="str">
        <f ca="1">IF(LEFT(OFFSET(SUP!$A$57,AS58,0),2)="\I","*","")</f>
        <v/>
      </c>
      <c r="B58" s="440" t="str">
        <f t="shared" ca="1" si="8"/>
        <v>ACT_COST</v>
      </c>
      <c r="C58" s="440" t="str">
        <f ca="1">IF($A58="*","",OFFSET(SUP!$B$57,AS58,0))</f>
        <v>PEXOKE</v>
      </c>
      <c r="D58" s="440" t="str">
        <f t="shared" ca="1" si="7"/>
        <v>-</v>
      </c>
      <c r="E58" s="440" t="str">
        <f t="shared" ca="1" si="7"/>
        <v>-</v>
      </c>
      <c r="F58" s="440" t="str">
        <f t="shared" ca="1" si="7"/>
        <v>-</v>
      </c>
      <c r="G58" s="440" t="str">
        <f t="shared" ca="1" si="7"/>
        <v>-</v>
      </c>
      <c r="H58" s="440" t="str">
        <f t="shared" ca="1" si="5"/>
        <v>-</v>
      </c>
      <c r="I58" s="441">
        <f ca="1">IF(IFERROR(VLOOKUP($C58,SUP!$B$54:$Q$104,MATCH($B58&amp;"-"&amp;I$7,SUP!$B$54:$Q$54,0),FALSE),"")="","",IFERROR(VLOOKUP($C58,SUP!$B$54:$Q$104,MATCH($B58&amp;"-"&amp;I$7,SUP!$B$54:$Q$54,0),FALSE),""))</f>
        <v>0</v>
      </c>
      <c r="J58" s="441">
        <f ca="1">IFERROR(1*IF(IFERROR(VLOOKUP($C58,SUP!$B$54:$Q$104,MATCH($B58&amp;"-"&amp;J$7,SUP!$B$54:$Q$54,0),FALSE),"")="","",IFERROR(VLOOKUP($C58,SUP!$B$54:$Q$104,MATCH($B58&amp;"-"&amp;J$7,SUP!$B$54:$Q$54,0),FALSE),"")),"")</f>
        <v>-168.73964485354253</v>
      </c>
      <c r="K58" s="441" t="str">
        <f ca="1">IFERROR(1*IF(IFERROR(VLOOKUP($C58,SUP!$B$54:$Q$104,MATCH($B58&amp;"-"&amp;K$7,SUP!$B$54:$Q$54,0),FALSE),"")="","",IFERROR(VLOOKUP($C58,SUP!$B$54:$Q$104,MATCH($B58&amp;"-"&amp;K$7,SUP!$B$54:$Q$54,0),FALSE),"")),"")</f>
        <v/>
      </c>
      <c r="L58" s="441" t="str">
        <f ca="1">IFERROR(1*IF(IFERROR(VLOOKUP($C58,SUP!$B$54:$Q$104,MATCH($B58&amp;"-"&amp;L$7,SUP!$B$54:$Q$54,0),FALSE),"")="","",IFERROR(VLOOKUP($C58,SUP!$B$54:$Q$104,MATCH($B58&amp;"-"&amp;L$7,SUP!$B$54:$Q$54,0),FALSE),"")),"")</f>
        <v/>
      </c>
      <c r="M58" s="441">
        <f ca="1">IFERROR(1*IF(IFERROR(VLOOKUP($C58,SUP!$B$54:$Q$104,MATCH($B58&amp;"-"&amp;M$7,SUP!$B$54:$Q$54,0),FALSE),"")="","",IFERROR(VLOOKUP($C58,SUP!$B$54:$Q$104,MATCH($B58&amp;"-"&amp;M$7,SUP!$B$54:$Q$54,0),FALSE),"")),"")</f>
        <v>-124.22693333700317</v>
      </c>
      <c r="N58" s="441" t="str">
        <f ca="1">IFERROR(1*IF(IFERROR(VLOOKUP($C58,SUP!$B$54:$Q$104,MATCH($B58&amp;"-"&amp;N$7,SUP!$B$54:$Q$54,0),FALSE),"")="","",IFERROR(VLOOKUP($C58,SUP!$B$54:$Q$104,MATCH($B58&amp;"-"&amp;N$7,SUP!$B$54:$Q$54,0),FALSE),"")),"")</f>
        <v/>
      </c>
      <c r="O58" s="441" t="str">
        <f ca="1">IFERROR(1*IF(IFERROR(VLOOKUP($C58,SUP!$B$54:$Q$104,MATCH($B58&amp;"-"&amp;O$7,SUP!$B$54:$Q$54,0),FALSE),"")="","",IFERROR(VLOOKUP($C58,SUP!$B$54:$Q$104,MATCH($B58&amp;"-"&amp;O$7,SUP!$B$54:$Q$54,0),FALSE),"")),"")</f>
        <v/>
      </c>
      <c r="P58" s="441" t="str">
        <f ca="1">IFERROR(1*IF(IFERROR(VLOOKUP($C58,SUP!$B$54:$Q$104,MATCH($B58&amp;"-"&amp;P$7,SUP!$B$54:$Q$54,0),FALSE),"")="","",IFERROR(VLOOKUP($C58,SUP!$B$54:$Q$104,MATCH($B58&amp;"-"&amp;P$7,SUP!$B$54:$Q$54,0),FALSE),"")),"")</f>
        <v/>
      </c>
      <c r="Q58" s="441" t="str">
        <f ca="1">IFERROR(1*IF(IFERROR(VLOOKUP($C58,SUP!$B$54:$Q$104,MATCH($B58&amp;"-"&amp;Q$7,SUP!$B$54:$Q$54,0),FALSE),"")="","",IFERROR(VLOOKUP($C58,SUP!$B$54:$Q$104,MATCH($B58&amp;"-"&amp;Q$7,SUP!$B$54:$Q$54,0),FALSE),"")),"")</f>
        <v/>
      </c>
      <c r="R58" s="441">
        <f ca="1">IFERROR(1*IF(IFERROR(VLOOKUP($C58,SUP!$B$54:$Q$104,MATCH($B58&amp;"-"&amp;R$7,SUP!$B$54:$Q$54,0),FALSE),"")="","",IFERROR(VLOOKUP($C58,SUP!$B$54:$Q$104,MATCH($B58&amp;"-"&amp;R$7,SUP!$B$54:$Q$54,0),FALSE),"")),"")</f>
        <v>-139.6079011597385</v>
      </c>
      <c r="S58" s="441" t="str">
        <f ca="1">IFERROR(1*IF(IFERROR(VLOOKUP($C58,SUP!$B$54:$Q$104,MATCH($B58&amp;"-"&amp;S$7,SUP!$B$54:$Q$54,0),FALSE),"")="","",IFERROR(VLOOKUP($C58,SUP!$B$54:$Q$104,MATCH($B58&amp;"-"&amp;S$7,SUP!$B$54:$Q$54,0),FALSE),"")),"")</f>
        <v/>
      </c>
      <c r="T58" s="441" t="str">
        <f ca="1">IFERROR(1*IF(IFERROR(VLOOKUP($C58,SUP!$B$54:$Q$104,MATCH($B58&amp;"-"&amp;T$7,SUP!$B$54:$Q$54,0),FALSE),"")="","",IFERROR(VLOOKUP($C58,SUP!$B$54:$Q$104,MATCH($B58&amp;"-"&amp;T$7,SUP!$B$54:$Q$54,0),FALSE),"")),"")</f>
        <v/>
      </c>
      <c r="U58" s="441" t="str">
        <f ca="1">IFERROR(1*IF(IFERROR(VLOOKUP($C58,SUP!$B$54:$Q$104,MATCH($B58&amp;"-"&amp;U$7,SUP!$B$54:$Q$54,0),FALSE),"")="","",IFERROR(VLOOKUP($C58,SUP!$B$54:$Q$104,MATCH($B58&amp;"-"&amp;U$7,SUP!$B$54:$Q$54,0),FALSE),"")),"")</f>
        <v/>
      </c>
      <c r="V58" s="441" t="str">
        <f ca="1">IFERROR(1*IF(IFERROR(VLOOKUP($C58,SUP!$B$54:$Q$104,MATCH($B58&amp;"-"&amp;V$7,SUP!$B$54:$Q$54,0),FALSE),"")="","",IFERROR(VLOOKUP($C58,SUP!$B$54:$Q$104,MATCH($B58&amp;"-"&amp;V$7,SUP!$B$54:$Q$54,0),FALSE),"")),"")</f>
        <v/>
      </c>
      <c r="W58" s="441" t="str">
        <f ca="1">IFERROR(1*IF(IFERROR(VLOOKUP($C58,SUP!$B$54:$Q$104,MATCH($B58&amp;"-"&amp;W$7,SUP!$B$54:$Q$54,0),FALSE),"")="","",IFERROR(VLOOKUP($C58,SUP!$B$54:$Q$104,MATCH($B58&amp;"-"&amp;W$7,SUP!$B$54:$Q$54,0),FALSE),"")),"")</f>
        <v/>
      </c>
      <c r="X58" s="441" t="str">
        <f ca="1">IFERROR(1*IF(IFERROR(VLOOKUP($C58,SUP!$B$54:$Q$104,MATCH($B58&amp;"-"&amp;X$7,SUP!$B$54:$Q$54,0),FALSE),"")="","",IFERROR(VLOOKUP($C58,SUP!$B$54:$Q$104,MATCH($B58&amp;"-"&amp;X$7,SUP!$B$54:$Q$54,0),FALSE),"")),"")</f>
        <v/>
      </c>
      <c r="Y58" s="441" t="str">
        <f ca="1">IFERROR(1*IF(IFERROR(VLOOKUP($C58,SUP!$B$54:$Q$104,MATCH($B58&amp;"-"&amp;Y$7,SUP!$B$54:$Q$54,0),FALSE),"")="","",IFERROR(VLOOKUP($C58,SUP!$B$54:$Q$104,MATCH($B58&amp;"-"&amp;Y$7,SUP!$B$54:$Q$54,0),FALSE),"")),"")</f>
        <v/>
      </c>
      <c r="Z58" s="441" t="str">
        <f ca="1">IFERROR(1*IF(IFERROR(VLOOKUP($C58,SUP!$B$54:$Q$104,MATCH($B58&amp;"-"&amp;Z$7,SUP!$B$54:$Q$54,0),FALSE),"")="","",IFERROR(VLOOKUP($C58,SUP!$B$54:$Q$104,MATCH($B58&amp;"-"&amp;Z$7,SUP!$B$54:$Q$54,0),FALSE),"")),"")</f>
        <v/>
      </c>
      <c r="AA58" s="441" t="str">
        <f ca="1">IFERROR(1*IF(IFERROR(VLOOKUP($C58,SUP!$B$54:$Q$104,MATCH($B58&amp;"-"&amp;AA$7,SUP!$B$54:$Q$54,0),FALSE),"")="","",IFERROR(VLOOKUP($C58,SUP!$B$54:$Q$104,MATCH($B58&amp;"-"&amp;AA$7,SUP!$B$54:$Q$54,0),FALSE),"")),"")</f>
        <v/>
      </c>
      <c r="AB58" s="441">
        <f ca="1">IFERROR(1*IF(IFERROR(VLOOKUP($C58,SUP!$B$54:$Q$104,MATCH($B58&amp;"-"&amp;AB$7,SUP!$B$54:$Q$54,0),FALSE),"")="","",IFERROR(VLOOKUP($C58,SUP!$B$54:$Q$104,MATCH($B58&amp;"-"&amp;AB$7,SUP!$B$54:$Q$54,0),FALSE),"")),"")</f>
        <v>-134.48091188549338</v>
      </c>
      <c r="AC58" s="441" t="str">
        <f ca="1">IFERROR(1*IF(IFERROR(VLOOKUP($C58,SUP!$B$54:$Q$104,MATCH($B58&amp;"-"&amp;AC$7,SUP!$B$54:$Q$54,0),FALSE),"")="","",IFERROR(VLOOKUP($C58,SUP!$B$54:$Q$104,MATCH($B58&amp;"-"&amp;AC$7,SUP!$B$54:$Q$54,0),FALSE),"")),"")</f>
        <v/>
      </c>
      <c r="AD58" s="441" t="str">
        <f ca="1">IFERROR(1*IF(IFERROR(VLOOKUP($C58,SUP!$B$54:$Q$104,MATCH($B58&amp;"-"&amp;AD$7,SUP!$B$54:$Q$54,0),FALSE),"")="","",IFERROR(VLOOKUP($C58,SUP!$B$54:$Q$104,MATCH($B58&amp;"-"&amp;AD$7,SUP!$B$54:$Q$54,0),FALSE),"")),"")</f>
        <v/>
      </c>
      <c r="AE58" s="441" t="str">
        <f ca="1">IFERROR(1*IF(IFERROR(VLOOKUP($C58,SUP!$B$54:$Q$104,MATCH($B58&amp;"-"&amp;AE$7,SUP!$B$54:$Q$54,0),FALSE),"")="","",IFERROR(VLOOKUP($C58,SUP!$B$54:$Q$104,MATCH($B58&amp;"-"&amp;AE$7,SUP!$B$54:$Q$54,0),FALSE),"")),"")</f>
        <v/>
      </c>
      <c r="AF58" s="441" t="str">
        <f ca="1">IFERROR(1*IF(IFERROR(VLOOKUP($C58,SUP!$B$54:$Q$104,MATCH($B58&amp;"-"&amp;AF$7,SUP!$B$54:$Q$54,0),FALSE),"")="","",IFERROR(VLOOKUP($C58,SUP!$B$54:$Q$104,MATCH($B58&amp;"-"&amp;AF$7,SUP!$B$54:$Q$54,0),FALSE),"")),"")</f>
        <v/>
      </c>
      <c r="AG58" s="441" t="str">
        <f ca="1">IFERROR(1*IF(IFERROR(VLOOKUP($C58,SUP!$B$54:$Q$104,MATCH($B58&amp;"-"&amp;AG$7,SUP!$B$54:$Q$54,0),FALSE),"")="","",IFERROR(VLOOKUP($C58,SUP!$B$54:$Q$104,MATCH($B58&amp;"-"&amp;AG$7,SUP!$B$54:$Q$54,0),FALSE),"")),"")</f>
        <v/>
      </c>
      <c r="AH58" s="441" t="str">
        <f ca="1">IFERROR(1*IF(IFERROR(VLOOKUP($C58,SUP!$B$54:$Q$104,MATCH($B58&amp;"-"&amp;AH$7,SUP!$B$54:$Q$54,0),FALSE),"")="","",IFERROR(VLOOKUP($C58,SUP!$B$54:$Q$104,MATCH($B58&amp;"-"&amp;AH$7,SUP!$B$54:$Q$54,0),FALSE),"")),"")</f>
        <v/>
      </c>
      <c r="AI58" s="441" t="str">
        <f ca="1">IFERROR(1*IF(IFERROR(VLOOKUP($C58,SUP!$B$54:$Q$104,MATCH($B58&amp;"-"&amp;AI$7,SUP!$B$54:$Q$54,0),FALSE),"")="","",IFERROR(VLOOKUP($C58,SUP!$B$54:$Q$104,MATCH($B58&amp;"-"&amp;AI$7,SUP!$B$54:$Q$54,0),FALSE),"")),"")</f>
        <v/>
      </c>
      <c r="AJ58" s="441" t="str">
        <f ca="1">IFERROR(1*IF(IFERROR(VLOOKUP($C58,SUP!$B$54:$Q$104,MATCH($B58&amp;"-"&amp;AJ$7,SUP!$B$54:$Q$54,0),FALSE),"")="","",IFERROR(VLOOKUP($C58,SUP!$B$54:$Q$104,MATCH($B58&amp;"-"&amp;AJ$7,SUP!$B$54:$Q$54,0),FALSE),"")),"")</f>
        <v/>
      </c>
      <c r="AK58" s="441" t="str">
        <f ca="1">IFERROR(1*IF(IFERROR(VLOOKUP($C58,SUP!$B$54:$Q$104,MATCH($B58&amp;"-"&amp;AK$7,SUP!$B$54:$Q$54,0),FALSE),"")="","",IFERROR(VLOOKUP($C58,SUP!$B$54:$Q$104,MATCH($B58&amp;"-"&amp;AK$7,SUP!$B$54:$Q$54,0),FALSE),"")),"")</f>
        <v/>
      </c>
      <c r="AL58" s="441" t="str">
        <f ca="1">IFERROR(1*IF(IFERROR(VLOOKUP($C58,SUP!$B$54:$Q$104,MATCH($B58&amp;"-"&amp;AL$7,SUP!$B$54:$Q$54,0),FALSE),"")="","",IFERROR(VLOOKUP($C58,SUP!$B$54:$Q$104,MATCH($B58&amp;"-"&amp;AL$7,SUP!$B$54:$Q$54,0),FALSE),"")),"")</f>
        <v/>
      </c>
      <c r="AM58" s="441" t="str">
        <f ca="1">IFERROR(1*IF(IFERROR(VLOOKUP($C58,SUP!$B$54:$Q$104,MATCH($B58&amp;"-"&amp;AM$7,SUP!$B$54:$Q$54,0),FALSE),"")="","",IFERROR(VLOOKUP($C58,SUP!$B$54:$Q$104,MATCH($B58&amp;"-"&amp;AM$7,SUP!$B$54:$Q$54,0),FALSE),"")),"")</f>
        <v/>
      </c>
      <c r="AN58" s="441">
        <f ca="1">IFERROR(1*IF(IFERROR(VLOOKUP($C58,SUP!$B$54:$Q$104,MATCH($B58&amp;"-"&amp;AN$7,SUP!$B$54:$Q$54,0),FALSE),"")="","",IFERROR(VLOOKUP($C58,SUP!$B$54:$Q$104,MATCH($B58&amp;"-"&amp;AN$7,SUP!$B$54:$Q$54,0),FALSE),"")),"")</f>
        <v>-122.76207925864742</v>
      </c>
      <c r="AO58" s="441" t="str">
        <f ca="1">IFERROR(1*IF(IFERROR(VLOOKUP($C58,SUP!$B$54:$Q$104,MATCH($B58&amp;"-"&amp;AO$7,SUP!$B$54:$Q$54,0),FALSE),"")="","",IFERROR(VLOOKUP($C58,SUP!$B$54:$Q$104,MATCH($B58&amp;"-"&amp;AO$7,SUP!$B$54:$Q$54,0),FALSE),"")),"")</f>
        <v/>
      </c>
      <c r="AR58" s="42">
        <f>IF(AS57=SUP!$B$104,AR57+1,AR57)</f>
        <v>1</v>
      </c>
      <c r="AS58" s="42">
        <f t="shared" si="6"/>
        <v>46</v>
      </c>
    </row>
    <row r="59" spans="1:45">
      <c r="A59" s="42" t="str">
        <f ca="1">IF(LEFT(OFFSET(SUP!$A$57,AS59,0),2)="\I","*","")</f>
        <v>*</v>
      </c>
      <c r="B59" s="440" t="str">
        <f t="shared" ca="1" si="8"/>
        <v/>
      </c>
      <c r="C59" s="440" t="str">
        <f ca="1">IF($A59="*","",OFFSET(SUP!$B$57,AS59,0))</f>
        <v/>
      </c>
      <c r="D59" s="440" t="str">
        <f t="shared" ca="1" si="7"/>
        <v/>
      </c>
      <c r="E59" s="440" t="str">
        <f t="shared" ca="1" si="7"/>
        <v/>
      </c>
      <c r="F59" s="440" t="str">
        <f t="shared" ca="1" si="7"/>
        <v/>
      </c>
      <c r="G59" s="440" t="str">
        <f t="shared" ca="1" si="7"/>
        <v/>
      </c>
      <c r="H59" s="440" t="str">
        <f t="shared" ca="1" si="5"/>
        <v/>
      </c>
      <c r="I59" s="441" t="str">
        <f ca="1">IF(IFERROR(VLOOKUP($C59,SUP!$B$54:$Q$104,MATCH($B59&amp;"-"&amp;I$7,SUP!$B$54:$Q$54,0),FALSE),"")="","",IFERROR(VLOOKUP($C59,SUP!$B$54:$Q$104,MATCH($B59&amp;"-"&amp;I$7,SUP!$B$54:$Q$54,0),FALSE),""))</f>
        <v/>
      </c>
      <c r="J59" s="441" t="str">
        <f ca="1">IFERROR(1*IF(IFERROR(VLOOKUP($C59,SUP!$B$54:$Q$104,MATCH($B59&amp;"-"&amp;J$7,SUP!$B$54:$Q$54,0),FALSE),"")="","",IFERROR(VLOOKUP($C59,SUP!$B$54:$Q$104,MATCH($B59&amp;"-"&amp;J$7,SUP!$B$54:$Q$54,0),FALSE),"")),"")</f>
        <v/>
      </c>
      <c r="K59" s="441" t="str">
        <f ca="1">IFERROR(1*IF(IFERROR(VLOOKUP($C59,SUP!$B$54:$Q$104,MATCH($B59&amp;"-"&amp;K$7,SUP!$B$54:$Q$54,0),FALSE),"")="","",IFERROR(VLOOKUP($C59,SUP!$B$54:$Q$104,MATCH($B59&amp;"-"&amp;K$7,SUP!$B$54:$Q$54,0),FALSE),"")),"")</f>
        <v/>
      </c>
      <c r="L59" s="441" t="str">
        <f ca="1">IFERROR(1*IF(IFERROR(VLOOKUP($C59,SUP!$B$54:$Q$104,MATCH($B59&amp;"-"&amp;L$7,SUP!$B$54:$Q$54,0),FALSE),"")="","",IFERROR(VLOOKUP($C59,SUP!$B$54:$Q$104,MATCH($B59&amp;"-"&amp;L$7,SUP!$B$54:$Q$54,0),FALSE),"")),"")</f>
        <v/>
      </c>
      <c r="M59" s="441" t="str">
        <f ca="1">IFERROR(1*IF(IFERROR(VLOOKUP($C59,SUP!$B$54:$Q$104,MATCH($B59&amp;"-"&amp;M$7,SUP!$B$54:$Q$54,0),FALSE),"")="","",IFERROR(VLOOKUP($C59,SUP!$B$54:$Q$104,MATCH($B59&amp;"-"&amp;M$7,SUP!$B$54:$Q$54,0),FALSE),"")),"")</f>
        <v/>
      </c>
      <c r="N59" s="441" t="str">
        <f ca="1">IFERROR(1*IF(IFERROR(VLOOKUP($C59,SUP!$B$54:$Q$104,MATCH($B59&amp;"-"&amp;N$7,SUP!$B$54:$Q$54,0),FALSE),"")="","",IFERROR(VLOOKUP($C59,SUP!$B$54:$Q$104,MATCH($B59&amp;"-"&amp;N$7,SUP!$B$54:$Q$54,0),FALSE),"")),"")</f>
        <v/>
      </c>
      <c r="O59" s="441" t="str">
        <f ca="1">IFERROR(1*IF(IFERROR(VLOOKUP($C59,SUP!$B$54:$Q$104,MATCH($B59&amp;"-"&amp;O$7,SUP!$B$54:$Q$54,0),FALSE),"")="","",IFERROR(VLOOKUP($C59,SUP!$B$54:$Q$104,MATCH($B59&amp;"-"&amp;O$7,SUP!$B$54:$Q$54,0),FALSE),"")),"")</f>
        <v/>
      </c>
      <c r="P59" s="441" t="str">
        <f ca="1">IFERROR(1*IF(IFERROR(VLOOKUP($C59,SUP!$B$54:$Q$104,MATCH($B59&amp;"-"&amp;P$7,SUP!$B$54:$Q$54,0),FALSE),"")="","",IFERROR(VLOOKUP($C59,SUP!$B$54:$Q$104,MATCH($B59&amp;"-"&amp;P$7,SUP!$B$54:$Q$54,0),FALSE),"")),"")</f>
        <v/>
      </c>
      <c r="Q59" s="441" t="str">
        <f ca="1">IFERROR(1*IF(IFERROR(VLOOKUP($C59,SUP!$B$54:$Q$104,MATCH($B59&amp;"-"&amp;Q$7,SUP!$B$54:$Q$54,0),FALSE),"")="","",IFERROR(VLOOKUP($C59,SUP!$B$54:$Q$104,MATCH($B59&amp;"-"&amp;Q$7,SUP!$B$54:$Q$54,0),FALSE),"")),"")</f>
        <v/>
      </c>
      <c r="R59" s="441" t="str">
        <f ca="1">IFERROR(1*IF(IFERROR(VLOOKUP($C59,SUP!$B$54:$Q$104,MATCH($B59&amp;"-"&amp;R$7,SUP!$B$54:$Q$54,0),FALSE),"")="","",IFERROR(VLOOKUP($C59,SUP!$B$54:$Q$104,MATCH($B59&amp;"-"&amp;R$7,SUP!$B$54:$Q$54,0),FALSE),"")),"")</f>
        <v/>
      </c>
      <c r="S59" s="441" t="str">
        <f ca="1">IFERROR(1*IF(IFERROR(VLOOKUP($C59,SUP!$B$54:$Q$104,MATCH($B59&amp;"-"&amp;S$7,SUP!$B$54:$Q$54,0),FALSE),"")="","",IFERROR(VLOOKUP($C59,SUP!$B$54:$Q$104,MATCH($B59&amp;"-"&amp;S$7,SUP!$B$54:$Q$54,0),FALSE),"")),"")</f>
        <v/>
      </c>
      <c r="T59" s="441" t="str">
        <f ca="1">IFERROR(1*IF(IFERROR(VLOOKUP($C59,SUP!$B$54:$Q$104,MATCH($B59&amp;"-"&amp;T$7,SUP!$B$54:$Q$54,0),FALSE),"")="","",IFERROR(VLOOKUP($C59,SUP!$B$54:$Q$104,MATCH($B59&amp;"-"&amp;T$7,SUP!$B$54:$Q$54,0),FALSE),"")),"")</f>
        <v/>
      </c>
      <c r="U59" s="441" t="str">
        <f ca="1">IFERROR(1*IF(IFERROR(VLOOKUP($C59,SUP!$B$54:$Q$104,MATCH($B59&amp;"-"&amp;U$7,SUP!$B$54:$Q$54,0),FALSE),"")="","",IFERROR(VLOOKUP($C59,SUP!$B$54:$Q$104,MATCH($B59&amp;"-"&amp;U$7,SUP!$B$54:$Q$54,0),FALSE),"")),"")</f>
        <v/>
      </c>
      <c r="V59" s="441" t="str">
        <f ca="1">IFERROR(1*IF(IFERROR(VLOOKUP($C59,SUP!$B$54:$Q$104,MATCH($B59&amp;"-"&amp;V$7,SUP!$B$54:$Q$54,0),FALSE),"")="","",IFERROR(VLOOKUP($C59,SUP!$B$54:$Q$104,MATCH($B59&amp;"-"&amp;V$7,SUP!$B$54:$Q$54,0),FALSE),"")),"")</f>
        <v/>
      </c>
      <c r="W59" s="441" t="str">
        <f ca="1">IFERROR(1*IF(IFERROR(VLOOKUP($C59,SUP!$B$54:$Q$104,MATCH($B59&amp;"-"&amp;W$7,SUP!$B$54:$Q$54,0),FALSE),"")="","",IFERROR(VLOOKUP($C59,SUP!$B$54:$Q$104,MATCH($B59&amp;"-"&amp;W$7,SUP!$B$54:$Q$54,0),FALSE),"")),"")</f>
        <v/>
      </c>
      <c r="X59" s="441" t="str">
        <f ca="1">IFERROR(1*IF(IFERROR(VLOOKUP($C59,SUP!$B$54:$Q$104,MATCH($B59&amp;"-"&amp;X$7,SUP!$B$54:$Q$54,0),FALSE),"")="","",IFERROR(VLOOKUP($C59,SUP!$B$54:$Q$104,MATCH($B59&amp;"-"&amp;X$7,SUP!$B$54:$Q$54,0),FALSE),"")),"")</f>
        <v/>
      </c>
      <c r="Y59" s="441" t="str">
        <f ca="1">IFERROR(1*IF(IFERROR(VLOOKUP($C59,SUP!$B$54:$Q$104,MATCH($B59&amp;"-"&amp;Y$7,SUP!$B$54:$Q$54,0),FALSE),"")="","",IFERROR(VLOOKUP($C59,SUP!$B$54:$Q$104,MATCH($B59&amp;"-"&amp;Y$7,SUP!$B$54:$Q$54,0),FALSE),"")),"")</f>
        <v/>
      </c>
      <c r="Z59" s="441" t="str">
        <f ca="1">IFERROR(1*IF(IFERROR(VLOOKUP($C59,SUP!$B$54:$Q$104,MATCH($B59&amp;"-"&amp;Z$7,SUP!$B$54:$Q$54,0),FALSE),"")="","",IFERROR(VLOOKUP($C59,SUP!$B$54:$Q$104,MATCH($B59&amp;"-"&amp;Z$7,SUP!$B$54:$Q$54,0),FALSE),"")),"")</f>
        <v/>
      </c>
      <c r="AA59" s="441" t="str">
        <f ca="1">IFERROR(1*IF(IFERROR(VLOOKUP($C59,SUP!$B$54:$Q$104,MATCH($B59&amp;"-"&amp;AA$7,SUP!$B$54:$Q$54,0),FALSE),"")="","",IFERROR(VLOOKUP($C59,SUP!$B$54:$Q$104,MATCH($B59&amp;"-"&amp;AA$7,SUP!$B$54:$Q$54,0),FALSE),"")),"")</f>
        <v/>
      </c>
      <c r="AB59" s="441" t="str">
        <f ca="1">IFERROR(1*IF(IFERROR(VLOOKUP($C59,SUP!$B$54:$Q$104,MATCH($B59&amp;"-"&amp;AB$7,SUP!$B$54:$Q$54,0),FALSE),"")="","",IFERROR(VLOOKUP($C59,SUP!$B$54:$Q$104,MATCH($B59&amp;"-"&amp;AB$7,SUP!$B$54:$Q$54,0),FALSE),"")),"")</f>
        <v/>
      </c>
      <c r="AC59" s="441" t="str">
        <f ca="1">IFERROR(1*IF(IFERROR(VLOOKUP($C59,SUP!$B$54:$Q$104,MATCH($B59&amp;"-"&amp;AC$7,SUP!$B$54:$Q$54,0),FALSE),"")="","",IFERROR(VLOOKUP($C59,SUP!$B$54:$Q$104,MATCH($B59&amp;"-"&amp;AC$7,SUP!$B$54:$Q$54,0),FALSE),"")),"")</f>
        <v/>
      </c>
      <c r="AD59" s="441" t="str">
        <f ca="1">IFERROR(1*IF(IFERROR(VLOOKUP($C59,SUP!$B$54:$Q$104,MATCH($B59&amp;"-"&amp;AD$7,SUP!$B$54:$Q$54,0),FALSE),"")="","",IFERROR(VLOOKUP($C59,SUP!$B$54:$Q$104,MATCH($B59&amp;"-"&amp;AD$7,SUP!$B$54:$Q$54,0),FALSE),"")),"")</f>
        <v/>
      </c>
      <c r="AE59" s="441" t="str">
        <f ca="1">IFERROR(1*IF(IFERROR(VLOOKUP($C59,SUP!$B$54:$Q$104,MATCH($B59&amp;"-"&amp;AE$7,SUP!$B$54:$Q$54,0),FALSE),"")="","",IFERROR(VLOOKUP($C59,SUP!$B$54:$Q$104,MATCH($B59&amp;"-"&amp;AE$7,SUP!$B$54:$Q$54,0),FALSE),"")),"")</f>
        <v/>
      </c>
      <c r="AF59" s="441" t="str">
        <f ca="1">IFERROR(1*IF(IFERROR(VLOOKUP($C59,SUP!$B$54:$Q$104,MATCH($B59&amp;"-"&amp;AF$7,SUP!$B$54:$Q$54,0),FALSE),"")="","",IFERROR(VLOOKUP($C59,SUP!$B$54:$Q$104,MATCH($B59&amp;"-"&amp;AF$7,SUP!$B$54:$Q$54,0),FALSE),"")),"")</f>
        <v/>
      </c>
      <c r="AG59" s="441" t="str">
        <f ca="1">IFERROR(1*IF(IFERROR(VLOOKUP($C59,SUP!$B$54:$Q$104,MATCH($B59&amp;"-"&amp;AG$7,SUP!$B$54:$Q$54,0),FALSE),"")="","",IFERROR(VLOOKUP($C59,SUP!$B$54:$Q$104,MATCH($B59&amp;"-"&amp;AG$7,SUP!$B$54:$Q$54,0),FALSE),"")),"")</f>
        <v/>
      </c>
      <c r="AH59" s="441" t="str">
        <f ca="1">IFERROR(1*IF(IFERROR(VLOOKUP($C59,SUP!$B$54:$Q$104,MATCH($B59&amp;"-"&amp;AH$7,SUP!$B$54:$Q$54,0),FALSE),"")="","",IFERROR(VLOOKUP($C59,SUP!$B$54:$Q$104,MATCH($B59&amp;"-"&amp;AH$7,SUP!$B$54:$Q$54,0),FALSE),"")),"")</f>
        <v/>
      </c>
      <c r="AI59" s="441" t="str">
        <f ca="1">IFERROR(1*IF(IFERROR(VLOOKUP($C59,SUP!$B$54:$Q$104,MATCH($B59&amp;"-"&amp;AI$7,SUP!$B$54:$Q$54,0),FALSE),"")="","",IFERROR(VLOOKUP($C59,SUP!$B$54:$Q$104,MATCH($B59&amp;"-"&amp;AI$7,SUP!$B$54:$Q$54,0),FALSE),"")),"")</f>
        <v/>
      </c>
      <c r="AJ59" s="441" t="str">
        <f ca="1">IFERROR(1*IF(IFERROR(VLOOKUP($C59,SUP!$B$54:$Q$104,MATCH($B59&amp;"-"&amp;AJ$7,SUP!$B$54:$Q$54,0),FALSE),"")="","",IFERROR(VLOOKUP($C59,SUP!$B$54:$Q$104,MATCH($B59&amp;"-"&amp;AJ$7,SUP!$B$54:$Q$54,0),FALSE),"")),"")</f>
        <v/>
      </c>
      <c r="AK59" s="441" t="str">
        <f ca="1">IFERROR(1*IF(IFERROR(VLOOKUP($C59,SUP!$B$54:$Q$104,MATCH($B59&amp;"-"&amp;AK$7,SUP!$B$54:$Q$54,0),FALSE),"")="","",IFERROR(VLOOKUP($C59,SUP!$B$54:$Q$104,MATCH($B59&amp;"-"&amp;AK$7,SUP!$B$54:$Q$54,0),FALSE),"")),"")</f>
        <v/>
      </c>
      <c r="AL59" s="441" t="str">
        <f ca="1">IFERROR(1*IF(IFERROR(VLOOKUP($C59,SUP!$B$54:$Q$104,MATCH($B59&amp;"-"&amp;AL$7,SUP!$B$54:$Q$54,0),FALSE),"")="","",IFERROR(VLOOKUP($C59,SUP!$B$54:$Q$104,MATCH($B59&amp;"-"&amp;AL$7,SUP!$B$54:$Q$54,0),FALSE),"")),"")</f>
        <v/>
      </c>
      <c r="AM59" s="441" t="str">
        <f ca="1">IFERROR(1*IF(IFERROR(VLOOKUP($C59,SUP!$B$54:$Q$104,MATCH($B59&amp;"-"&amp;AM$7,SUP!$B$54:$Q$54,0),FALSE),"")="","",IFERROR(VLOOKUP($C59,SUP!$B$54:$Q$104,MATCH($B59&amp;"-"&amp;AM$7,SUP!$B$54:$Q$54,0),FALSE),"")),"")</f>
        <v/>
      </c>
      <c r="AN59" s="441" t="str">
        <f ca="1">IFERROR(1*IF(IFERROR(VLOOKUP($C59,SUP!$B$54:$Q$104,MATCH($B59&amp;"-"&amp;AN$7,SUP!$B$54:$Q$54,0),FALSE),"")="","",IFERROR(VLOOKUP($C59,SUP!$B$54:$Q$104,MATCH($B59&amp;"-"&amp;AN$7,SUP!$B$54:$Q$54,0),FALSE),"")),"")</f>
        <v/>
      </c>
      <c r="AO59" s="441" t="str">
        <f ca="1">IFERROR(1*IF(IFERROR(VLOOKUP($C59,SUP!$B$54:$Q$104,MATCH($B59&amp;"-"&amp;AO$7,SUP!$B$54:$Q$54,0),FALSE),"")="","",IFERROR(VLOOKUP($C59,SUP!$B$54:$Q$104,MATCH($B59&amp;"-"&amp;AO$7,SUP!$B$54:$Q$54,0),FALSE),"")),"")</f>
        <v/>
      </c>
      <c r="AR59" s="42">
        <f>IF(AS58=SUP!$B$104,AR58+1,AR58)</f>
        <v>1</v>
      </c>
      <c r="AS59" s="42">
        <f t="shared" si="6"/>
        <v>47</v>
      </c>
    </row>
    <row r="60" spans="1:45">
      <c r="A60" s="42" t="str">
        <f ca="1">IF(LEFT(OFFSET(SUP!$A$57,AS60,0),2)="\I","*","")</f>
        <v/>
      </c>
      <c r="B60" s="440" t="str">
        <f t="shared" ca="1" si="8"/>
        <v>ACT_BND</v>
      </c>
      <c r="C60" s="440" t="str">
        <f ca="1">IF($A60="*","",OFFSET(SUP!$B$57,AS60,0))</f>
        <v>MINCOA</v>
      </c>
      <c r="D60" s="440" t="str">
        <f t="shared" ca="1" si="7"/>
        <v>-</v>
      </c>
      <c r="E60" s="440" t="str">
        <f t="shared" ca="1" si="7"/>
        <v>-</v>
      </c>
      <c r="F60" s="440" t="str">
        <f t="shared" ca="1" si="7"/>
        <v>-</v>
      </c>
      <c r="G60" s="440" t="str">
        <f t="shared" ca="1" si="7"/>
        <v>ANNUAL</v>
      </c>
      <c r="H60" s="440" t="str">
        <f t="shared" ca="1" si="5"/>
        <v>UP</v>
      </c>
      <c r="I60" s="441" t="str">
        <f ca="1">IF(IFERROR(VLOOKUP($C60,SUP!$B$54:$Q$104,MATCH($B60&amp;"-"&amp;I$7,SUP!$B$54:$Q$54,0),FALSE),"")="","",IFERROR(VLOOKUP($C60,SUP!$B$54:$Q$104,MATCH($B60&amp;"-"&amp;I$7,SUP!$B$54:$Q$54,0),FALSE),""))</f>
        <v/>
      </c>
      <c r="J60" s="441" t="str">
        <f ca="1">IF(IFERROR(VLOOKUP($C60,SUP!$B$54:$Q$104,MATCH($B60&amp;"-"&amp;J$7,SUP!$B$54:$Q$54,0),FALSE),"")="","",IFERROR(VLOOKUP($C60,SUP!$B$54:$Q$104,MATCH($B60&amp;"-"&amp;J$7,SUP!$B$54:$Q$54,0),FALSE),""))</f>
        <v/>
      </c>
      <c r="K60" s="441" t="str">
        <f ca="1">IF(IFERROR(VLOOKUP($C60,SUP!$B$54:$Q$104,MATCH($B60&amp;"-"&amp;K$7,SUP!$B$54:$Q$54,0),FALSE),"")="","",IFERROR(VLOOKUP($C60,SUP!$B$54:$Q$104,MATCH($B60&amp;"-"&amp;K$7,SUP!$B$54:$Q$54,0),FALSE),""))</f>
        <v/>
      </c>
      <c r="L60" s="441" t="str">
        <f ca="1">IF(IFERROR(VLOOKUP($C60,SUP!$B$54:$Q$104,MATCH($B60&amp;"-"&amp;L$7,SUP!$B$54:$Q$54,0),FALSE),"")="","",IFERROR(VLOOKUP($C60,SUP!$B$54:$Q$104,MATCH($B60&amp;"-"&amp;L$7,SUP!$B$54:$Q$54,0),FALSE),""))</f>
        <v/>
      </c>
      <c r="M60" s="441" t="str">
        <f ca="1">IF(IFERROR(VLOOKUP($C60,SUP!$B$54:$Q$104,MATCH($B60&amp;"-"&amp;M$7,SUP!$B$54:$Q$54,0),FALSE),"")="","",IFERROR(VLOOKUP($C60,SUP!$B$54:$Q$104,MATCH($B60&amp;"-"&amp;M$7,SUP!$B$54:$Q$54,0),FALSE),""))</f>
        <v/>
      </c>
      <c r="N60" s="441" t="str">
        <f ca="1">IF(IFERROR(VLOOKUP($C60,SUP!$B$54:$Q$104,MATCH($B60&amp;"-"&amp;N$7,SUP!$B$54:$Q$54,0),FALSE),"")="","",IFERROR(VLOOKUP($C60,SUP!$B$54:$Q$104,MATCH($B60&amp;"-"&amp;N$7,SUP!$B$54:$Q$54,0),FALSE),""))</f>
        <v/>
      </c>
      <c r="O60" s="441" t="str">
        <f ca="1">IF(IFERROR(VLOOKUP($C60,SUP!$B$54:$Q$104,MATCH($B60&amp;"-"&amp;O$7,SUP!$B$54:$Q$54,0),FALSE),"")="","",IFERROR(VLOOKUP($C60,SUP!$B$54:$Q$104,MATCH($B60&amp;"-"&amp;O$7,SUP!$B$54:$Q$54,0),FALSE),""))</f>
        <v/>
      </c>
      <c r="P60" s="441" t="str">
        <f ca="1">IF(IFERROR(VLOOKUP($C60,SUP!$B$54:$Q$104,MATCH($B60&amp;"-"&amp;P$7,SUP!$B$54:$Q$54,0),FALSE),"")="","",IFERROR(VLOOKUP($C60,SUP!$B$54:$Q$104,MATCH($B60&amp;"-"&amp;P$7,SUP!$B$54:$Q$54,0),FALSE),""))</f>
        <v/>
      </c>
      <c r="Q60" s="441" t="str">
        <f ca="1">IF(IFERROR(VLOOKUP($C60,SUP!$B$54:$Q$104,MATCH($B60&amp;"-"&amp;Q$7,SUP!$B$54:$Q$54,0),FALSE),"")="","",IFERROR(VLOOKUP($C60,SUP!$B$54:$Q$104,MATCH($B60&amp;"-"&amp;Q$7,SUP!$B$54:$Q$54,0),FALSE),""))</f>
        <v/>
      </c>
      <c r="R60" s="441" t="str">
        <f ca="1">IF(IFERROR(VLOOKUP($C60,SUP!$B$54:$Q$104,MATCH($B60&amp;"-"&amp;R$7,SUP!$B$54:$Q$54,0),FALSE),"")="","",IFERROR(VLOOKUP($C60,SUP!$B$54:$Q$104,MATCH($B60&amp;"-"&amp;R$7,SUP!$B$54:$Q$54,0),FALSE),""))</f>
        <v/>
      </c>
      <c r="S60" s="441" t="str">
        <f ca="1">IF(IFERROR(VLOOKUP($C60,SUP!$B$54:$Q$104,MATCH($B60&amp;"-"&amp;S$7,SUP!$B$54:$Q$54,0),FALSE),"")="","",IFERROR(VLOOKUP($C60,SUP!$B$54:$Q$104,MATCH($B60&amp;"-"&amp;S$7,SUP!$B$54:$Q$54,0),FALSE),""))</f>
        <v/>
      </c>
      <c r="T60" s="441" t="str">
        <f ca="1">IF(IFERROR(VLOOKUP($C60,SUP!$B$54:$Q$104,MATCH($B60&amp;"-"&amp;T$7,SUP!$B$54:$Q$54,0),FALSE),"")="","",IFERROR(VLOOKUP($C60,SUP!$B$54:$Q$104,MATCH($B60&amp;"-"&amp;T$7,SUP!$B$54:$Q$54,0),FALSE),""))</f>
        <v/>
      </c>
      <c r="U60" s="441" t="str">
        <f ca="1">IF(IFERROR(VLOOKUP($C60,SUP!$B$54:$Q$104,MATCH($B60&amp;"-"&amp;U$7,SUP!$B$54:$Q$54,0),FALSE),"")="","",IFERROR(VLOOKUP($C60,SUP!$B$54:$Q$104,MATCH($B60&amp;"-"&amp;U$7,SUP!$B$54:$Q$54,0),FALSE),""))</f>
        <v/>
      </c>
      <c r="V60" s="441" t="str">
        <f ca="1">IF(IFERROR(VLOOKUP($C60,SUP!$B$54:$Q$104,MATCH($B60&amp;"-"&amp;V$7,SUP!$B$54:$Q$54,0),FALSE),"")="","",IFERROR(VLOOKUP($C60,SUP!$B$54:$Q$104,MATCH($B60&amp;"-"&amp;V$7,SUP!$B$54:$Q$54,0),FALSE),""))</f>
        <v/>
      </c>
      <c r="W60" s="441" t="str">
        <f ca="1">IF(IFERROR(VLOOKUP($C60,SUP!$B$54:$Q$104,MATCH($B60&amp;"-"&amp;W$7,SUP!$B$54:$Q$54,0),FALSE),"")="","",IFERROR(VLOOKUP($C60,SUP!$B$54:$Q$104,MATCH($B60&amp;"-"&amp;W$7,SUP!$B$54:$Q$54,0),FALSE),""))</f>
        <v/>
      </c>
      <c r="X60" s="441" t="str">
        <f ca="1">IF(IFERROR(VLOOKUP($C60,SUP!$B$54:$Q$104,MATCH($B60&amp;"-"&amp;X$7,SUP!$B$54:$Q$54,0),FALSE),"")="","",IFERROR(VLOOKUP($C60,SUP!$B$54:$Q$104,MATCH($B60&amp;"-"&amp;X$7,SUP!$B$54:$Q$54,0),FALSE),""))</f>
        <v/>
      </c>
      <c r="Y60" s="441" t="str">
        <f ca="1">IF(IFERROR(VLOOKUP($C60,SUP!$B$54:$Q$104,MATCH($B60&amp;"-"&amp;Y$7,SUP!$B$54:$Q$54,0),FALSE),"")="","",IFERROR(VLOOKUP($C60,SUP!$B$54:$Q$104,MATCH($B60&amp;"-"&amp;Y$7,SUP!$B$54:$Q$54,0),FALSE),""))</f>
        <v/>
      </c>
      <c r="Z60" s="441" t="str">
        <f ca="1">IF(IFERROR(VLOOKUP($C60,SUP!$B$54:$Q$104,MATCH($B60&amp;"-"&amp;Z$7,SUP!$B$54:$Q$54,0),FALSE),"")="","",IFERROR(VLOOKUP($C60,SUP!$B$54:$Q$104,MATCH($B60&amp;"-"&amp;Z$7,SUP!$B$54:$Q$54,0),FALSE),""))</f>
        <v/>
      </c>
      <c r="AA60" s="441" t="str">
        <f ca="1">IF(IFERROR(VLOOKUP($C60,SUP!$B$54:$Q$104,MATCH($B60&amp;"-"&amp;AA$7,SUP!$B$54:$Q$54,0),FALSE),"")="","",IFERROR(VLOOKUP($C60,SUP!$B$54:$Q$104,MATCH($B60&amp;"-"&amp;AA$7,SUP!$B$54:$Q$54,0),FALSE),""))</f>
        <v/>
      </c>
      <c r="AB60" s="441" t="str">
        <f ca="1">IF(IFERROR(VLOOKUP($C60,SUP!$B$54:$Q$104,MATCH($B60&amp;"-"&amp;AB$7,SUP!$B$54:$Q$54,0),FALSE),"")="","",IFERROR(VLOOKUP($C60,SUP!$B$54:$Q$104,MATCH($B60&amp;"-"&amp;AB$7,SUP!$B$54:$Q$54,0),FALSE),""))</f>
        <v/>
      </c>
      <c r="AC60" s="441" t="str">
        <f ca="1">IF(IFERROR(VLOOKUP($C60,SUP!$B$54:$Q$104,MATCH($B60&amp;"-"&amp;AC$7,SUP!$B$54:$Q$54,0),FALSE),"")="","",IFERROR(VLOOKUP($C60,SUP!$B$54:$Q$104,MATCH($B60&amp;"-"&amp;AC$7,SUP!$B$54:$Q$54,0),FALSE),""))</f>
        <v/>
      </c>
      <c r="AD60" s="441" t="str">
        <f ca="1">IF(IFERROR(VLOOKUP($C60,SUP!$B$54:$Q$104,MATCH($B60&amp;"-"&amp;AD$7,SUP!$B$54:$Q$54,0),FALSE),"")="","",IFERROR(VLOOKUP($C60,SUP!$B$54:$Q$104,MATCH($B60&amp;"-"&amp;AD$7,SUP!$B$54:$Q$54,0),FALSE),""))</f>
        <v/>
      </c>
      <c r="AE60" s="441" t="str">
        <f ca="1">IF(IFERROR(VLOOKUP($C60,SUP!$B$54:$Q$104,MATCH($B60&amp;"-"&amp;AE$7,SUP!$B$54:$Q$54,0),FALSE),"")="","",IFERROR(VLOOKUP($C60,SUP!$B$54:$Q$104,MATCH($B60&amp;"-"&amp;AE$7,SUP!$B$54:$Q$54,0),FALSE),""))</f>
        <v/>
      </c>
      <c r="AF60" s="441" t="str">
        <f ca="1">IF(IFERROR(VLOOKUP($C60,SUP!$B$54:$Q$104,MATCH($B60&amp;"-"&amp;AF$7,SUP!$B$54:$Q$54,0),FALSE),"")="","",IFERROR(VLOOKUP($C60,SUP!$B$54:$Q$104,MATCH($B60&amp;"-"&amp;AF$7,SUP!$B$54:$Q$54,0),FALSE),""))</f>
        <v/>
      </c>
      <c r="AG60" s="441" t="str">
        <f ca="1">IF(IFERROR(VLOOKUP($C60,SUP!$B$54:$Q$104,MATCH($B60&amp;"-"&amp;AG$7,SUP!$B$54:$Q$54,0),FALSE),"")="","",IFERROR(VLOOKUP($C60,SUP!$B$54:$Q$104,MATCH($B60&amp;"-"&amp;AG$7,SUP!$B$54:$Q$54,0),FALSE),""))</f>
        <v/>
      </c>
      <c r="AH60" s="441" t="str">
        <f ca="1">IF(IFERROR(VLOOKUP($C60,SUP!$B$54:$Q$104,MATCH($B60&amp;"-"&amp;AH$7,SUP!$B$54:$Q$54,0),FALSE),"")="","",IFERROR(VLOOKUP($C60,SUP!$B$54:$Q$104,MATCH($B60&amp;"-"&amp;AH$7,SUP!$B$54:$Q$54,0),FALSE),""))</f>
        <v/>
      </c>
      <c r="AI60" s="441"/>
      <c r="AJ60" s="441"/>
      <c r="AK60" s="441"/>
      <c r="AL60" s="441"/>
      <c r="AM60" s="441" t="str">
        <f ca="1">IF(IFERROR(VLOOKUP($C60,SUP!$B$54:$Q$104,MATCH($B60&amp;"-"&amp;AM$7,SUP!$B$54:$Q$54,0),FALSE),"")="","",IFERROR(VLOOKUP($C60,SUP!$B$54:$Q$104,MATCH($B60&amp;"-"&amp;AM$7,SUP!$B$54:$Q$54,0),FALSE),""))</f>
        <v/>
      </c>
      <c r="AN60" s="441"/>
      <c r="AO60" s="441"/>
      <c r="AR60" s="42">
        <f>IF(AS59=SUP!$B$104,AR59+1,AR59)</f>
        <v>2</v>
      </c>
      <c r="AS60" s="42">
        <f t="shared" si="6"/>
        <v>1</v>
      </c>
    </row>
    <row r="61" spans="1:45">
      <c r="A61" s="42" t="str">
        <f ca="1">IF(LEFT(OFFSET(SUP!$A$57,AS61,0),2)="\I","*","")</f>
        <v/>
      </c>
      <c r="B61" s="440" t="str">
        <f t="shared" ca="1" si="8"/>
        <v>ACT_BND</v>
      </c>
      <c r="C61" s="440" t="str">
        <f ca="1">IF($A61="*","",OFFSET(SUP!$B$57,AS61,0))</f>
        <v>MINCLE</v>
      </c>
      <c r="D61" s="440" t="str">
        <f t="shared" ca="1" si="7"/>
        <v>-</v>
      </c>
      <c r="E61" s="440" t="str">
        <f t="shared" ca="1" si="7"/>
        <v>-</v>
      </c>
      <c r="F61" s="440" t="str">
        <f t="shared" ca="1" si="7"/>
        <v>-</v>
      </c>
      <c r="G61" s="440" t="str">
        <f t="shared" ca="1" si="7"/>
        <v>ANNUAL</v>
      </c>
      <c r="H61" s="440" t="str">
        <f t="shared" ca="1" si="5"/>
        <v>UP</v>
      </c>
      <c r="I61" s="441" t="str">
        <f ca="1">IF(IFERROR(VLOOKUP($C61,SUP!$B$54:$Q$104,MATCH($B61&amp;"-"&amp;I$7,SUP!$B$54:$Q$54,0),FALSE),"")="","",IFERROR(VLOOKUP($C61,SUP!$B$54:$Q$104,MATCH($B61&amp;"-"&amp;I$7,SUP!$B$54:$Q$54,0),FALSE),""))</f>
        <v/>
      </c>
      <c r="J61" s="441" t="str">
        <f ca="1">IF(IFERROR(VLOOKUP($C61,SUP!$B$54:$Q$104,MATCH($B61&amp;"-"&amp;J$7,SUP!$B$54:$Q$54,0),FALSE),"")="","",IFERROR(VLOOKUP($C61,SUP!$B$54:$Q$104,MATCH($B61&amp;"-"&amp;J$7,SUP!$B$54:$Q$54,0),FALSE),""))</f>
        <v/>
      </c>
      <c r="K61" s="441" t="str">
        <f ca="1">IF(IFERROR(VLOOKUP($C61,SUP!$B$54:$Q$104,MATCH($B61&amp;"-"&amp;K$7,SUP!$B$54:$Q$54,0),FALSE),"")="","",IFERROR(VLOOKUP($C61,SUP!$B$54:$Q$104,MATCH($B61&amp;"-"&amp;K$7,SUP!$B$54:$Q$54,0),FALSE),""))</f>
        <v/>
      </c>
      <c r="L61" s="441" t="str">
        <f ca="1">IF(IFERROR(VLOOKUP($C61,SUP!$B$54:$Q$104,MATCH($B61&amp;"-"&amp;L$7,SUP!$B$54:$Q$54,0),FALSE),"")="","",IFERROR(VLOOKUP($C61,SUP!$B$54:$Q$104,MATCH($B61&amp;"-"&amp;L$7,SUP!$B$54:$Q$54,0),FALSE),""))</f>
        <v/>
      </c>
      <c r="M61" s="441" t="str">
        <f ca="1">IF(IFERROR(VLOOKUP($C61,SUP!$B$54:$Q$104,MATCH($B61&amp;"-"&amp;M$7,SUP!$B$54:$Q$54,0),FALSE),"")="","",IFERROR(VLOOKUP($C61,SUP!$B$54:$Q$104,MATCH($B61&amp;"-"&amp;M$7,SUP!$B$54:$Q$54,0),FALSE),""))</f>
        <v/>
      </c>
      <c r="N61" s="441" t="str">
        <f ca="1">IF(IFERROR(VLOOKUP($C61,SUP!$B$54:$Q$104,MATCH($B61&amp;"-"&amp;N$7,SUP!$B$54:$Q$54,0),FALSE),"")="","",IFERROR(VLOOKUP($C61,SUP!$B$54:$Q$104,MATCH($B61&amp;"-"&amp;N$7,SUP!$B$54:$Q$54,0),FALSE),""))</f>
        <v/>
      </c>
      <c r="O61" s="441" t="str">
        <f ca="1">IF(IFERROR(VLOOKUP($C61,SUP!$B$54:$Q$104,MATCH($B61&amp;"-"&amp;O$7,SUP!$B$54:$Q$54,0),FALSE),"")="","",IFERROR(VLOOKUP($C61,SUP!$B$54:$Q$104,MATCH($B61&amp;"-"&amp;O$7,SUP!$B$54:$Q$54,0),FALSE),""))</f>
        <v/>
      </c>
      <c r="P61" s="441" t="str">
        <f ca="1">IF(IFERROR(VLOOKUP($C61,SUP!$B$54:$Q$104,MATCH($B61&amp;"-"&amp;P$7,SUP!$B$54:$Q$54,0),FALSE),"")="","",IFERROR(VLOOKUP($C61,SUP!$B$54:$Q$104,MATCH($B61&amp;"-"&amp;P$7,SUP!$B$54:$Q$54,0),FALSE),""))</f>
        <v/>
      </c>
      <c r="Q61" s="441" t="str">
        <f ca="1">IF(IFERROR(VLOOKUP($C61,SUP!$B$54:$Q$104,MATCH($B61&amp;"-"&amp;Q$7,SUP!$B$54:$Q$54,0),FALSE),"")="","",IFERROR(VLOOKUP($C61,SUP!$B$54:$Q$104,MATCH($B61&amp;"-"&amp;Q$7,SUP!$B$54:$Q$54,0),FALSE),""))</f>
        <v/>
      </c>
      <c r="R61" s="441" t="str">
        <f ca="1">IF(IFERROR(VLOOKUP($C61,SUP!$B$54:$Q$104,MATCH($B61&amp;"-"&amp;R$7,SUP!$B$54:$Q$54,0),FALSE),"")="","",IFERROR(VLOOKUP($C61,SUP!$B$54:$Q$104,MATCH($B61&amp;"-"&amp;R$7,SUP!$B$54:$Q$54,0),FALSE),""))</f>
        <v/>
      </c>
      <c r="S61" s="441" t="str">
        <f ca="1">IF(IFERROR(VLOOKUP($C61,SUP!$B$54:$Q$104,MATCH($B61&amp;"-"&amp;S$7,SUP!$B$54:$Q$54,0),FALSE),"")="","",IFERROR(VLOOKUP($C61,SUP!$B$54:$Q$104,MATCH($B61&amp;"-"&amp;S$7,SUP!$B$54:$Q$54,0),FALSE),""))</f>
        <v/>
      </c>
      <c r="T61" s="441" t="str">
        <f ca="1">IF(IFERROR(VLOOKUP($C61,SUP!$B$54:$Q$104,MATCH($B61&amp;"-"&amp;T$7,SUP!$B$54:$Q$54,0),FALSE),"")="","",IFERROR(VLOOKUP($C61,SUP!$B$54:$Q$104,MATCH($B61&amp;"-"&amp;T$7,SUP!$B$54:$Q$54,0),FALSE),""))</f>
        <v/>
      </c>
      <c r="U61" s="441" t="str">
        <f ca="1">IF(IFERROR(VLOOKUP($C61,SUP!$B$54:$Q$104,MATCH($B61&amp;"-"&amp;U$7,SUP!$B$54:$Q$54,0),FALSE),"")="","",IFERROR(VLOOKUP($C61,SUP!$B$54:$Q$104,MATCH($B61&amp;"-"&amp;U$7,SUP!$B$54:$Q$54,0),FALSE),""))</f>
        <v/>
      </c>
      <c r="V61" s="441" t="str">
        <f ca="1">IF(IFERROR(VLOOKUP($C61,SUP!$B$54:$Q$104,MATCH($B61&amp;"-"&amp;V$7,SUP!$B$54:$Q$54,0),FALSE),"")="","",IFERROR(VLOOKUP($C61,SUP!$B$54:$Q$104,MATCH($B61&amp;"-"&amp;V$7,SUP!$B$54:$Q$54,0),FALSE),""))</f>
        <v/>
      </c>
      <c r="W61" s="441" t="str">
        <f ca="1">IF(IFERROR(VLOOKUP($C61,SUP!$B$54:$Q$104,MATCH($B61&amp;"-"&amp;W$7,SUP!$B$54:$Q$54,0),FALSE),"")="","",IFERROR(VLOOKUP($C61,SUP!$B$54:$Q$104,MATCH($B61&amp;"-"&amp;W$7,SUP!$B$54:$Q$54,0),FALSE),""))</f>
        <v/>
      </c>
      <c r="X61" s="441" t="str">
        <f ca="1">IF(IFERROR(VLOOKUP($C61,SUP!$B$54:$Q$104,MATCH($B61&amp;"-"&amp;X$7,SUP!$B$54:$Q$54,0),FALSE),"")="","",IFERROR(VLOOKUP($C61,SUP!$B$54:$Q$104,MATCH($B61&amp;"-"&amp;X$7,SUP!$B$54:$Q$54,0),FALSE),""))</f>
        <v/>
      </c>
      <c r="Y61" s="441" t="str">
        <f ca="1">IF(IFERROR(VLOOKUP($C61,SUP!$B$54:$Q$104,MATCH($B61&amp;"-"&amp;Y$7,SUP!$B$54:$Q$54,0),FALSE),"")="","",IFERROR(VLOOKUP($C61,SUP!$B$54:$Q$104,MATCH($B61&amp;"-"&amp;Y$7,SUP!$B$54:$Q$54,0),FALSE),""))</f>
        <v/>
      </c>
      <c r="Z61" s="441" t="str">
        <f ca="1">IF(IFERROR(VLOOKUP($C61,SUP!$B$54:$Q$104,MATCH($B61&amp;"-"&amp;Z$7,SUP!$B$54:$Q$54,0),FALSE),"")="","",IFERROR(VLOOKUP($C61,SUP!$B$54:$Q$104,MATCH($B61&amp;"-"&amp;Z$7,SUP!$B$54:$Q$54,0),FALSE),""))</f>
        <v/>
      </c>
      <c r="AA61" s="441" t="str">
        <f ca="1">IF(IFERROR(VLOOKUP($C61,SUP!$B$54:$Q$104,MATCH($B61&amp;"-"&amp;AA$7,SUP!$B$54:$Q$54,0),FALSE),"")="","",IFERROR(VLOOKUP($C61,SUP!$B$54:$Q$104,MATCH($B61&amp;"-"&amp;AA$7,SUP!$B$54:$Q$54,0),FALSE),""))</f>
        <v/>
      </c>
      <c r="AB61" s="441" t="str">
        <f ca="1">IF(IFERROR(VLOOKUP($C61,SUP!$B$54:$Q$104,MATCH($B61&amp;"-"&amp;AB$7,SUP!$B$54:$Q$54,0),FALSE),"")="","",IFERROR(VLOOKUP($C61,SUP!$B$54:$Q$104,MATCH($B61&amp;"-"&amp;AB$7,SUP!$B$54:$Q$54,0),FALSE),""))</f>
        <v/>
      </c>
      <c r="AC61" s="441" t="str">
        <f ca="1">IF(IFERROR(VLOOKUP($C61,SUP!$B$54:$Q$104,MATCH($B61&amp;"-"&amp;AC$7,SUP!$B$54:$Q$54,0),FALSE),"")="","",IFERROR(VLOOKUP($C61,SUP!$B$54:$Q$104,MATCH($B61&amp;"-"&amp;AC$7,SUP!$B$54:$Q$54,0),FALSE),""))</f>
        <v/>
      </c>
      <c r="AD61" s="441" t="str">
        <f ca="1">IF(IFERROR(VLOOKUP($C61,SUP!$B$54:$Q$104,MATCH($B61&amp;"-"&amp;AD$7,SUP!$B$54:$Q$54,0),FALSE),"")="","",IFERROR(VLOOKUP($C61,SUP!$B$54:$Q$104,MATCH($B61&amp;"-"&amp;AD$7,SUP!$B$54:$Q$54,0),FALSE),""))</f>
        <v/>
      </c>
      <c r="AE61" s="441" t="str">
        <f ca="1">IF(IFERROR(VLOOKUP($C61,SUP!$B$54:$Q$104,MATCH($B61&amp;"-"&amp;AE$7,SUP!$B$54:$Q$54,0),FALSE),"")="","",IFERROR(VLOOKUP($C61,SUP!$B$54:$Q$104,MATCH($B61&amp;"-"&amp;AE$7,SUP!$B$54:$Q$54,0),FALSE),""))</f>
        <v/>
      </c>
      <c r="AF61" s="441" t="str">
        <f ca="1">IF(IFERROR(VLOOKUP($C61,SUP!$B$54:$Q$104,MATCH($B61&amp;"-"&amp;AF$7,SUP!$B$54:$Q$54,0),FALSE),"")="","",IFERROR(VLOOKUP($C61,SUP!$B$54:$Q$104,MATCH($B61&amp;"-"&amp;AF$7,SUP!$B$54:$Q$54,0),FALSE),""))</f>
        <v/>
      </c>
      <c r="AG61" s="441" t="str">
        <f ca="1">IF(IFERROR(VLOOKUP($C61,SUP!$B$54:$Q$104,MATCH($B61&amp;"-"&amp;AG$7,SUP!$B$54:$Q$54,0),FALSE),"")="","",IFERROR(VLOOKUP($C61,SUP!$B$54:$Q$104,MATCH($B61&amp;"-"&amp;AG$7,SUP!$B$54:$Q$54,0),FALSE),""))</f>
        <v/>
      </c>
      <c r="AH61" s="441" t="str">
        <f ca="1">IF(IFERROR(VLOOKUP($C61,SUP!$B$54:$Q$104,MATCH($B61&amp;"-"&amp;AH$7,SUP!$B$54:$Q$54,0),FALSE),"")="","",IFERROR(VLOOKUP($C61,SUP!$B$54:$Q$104,MATCH($B61&amp;"-"&amp;AH$7,SUP!$B$54:$Q$54,0),FALSE),""))</f>
        <v/>
      </c>
      <c r="AI61" s="441"/>
      <c r="AJ61" s="441"/>
      <c r="AK61" s="441"/>
      <c r="AL61" s="441"/>
      <c r="AM61" s="441" t="str">
        <f ca="1">IF(IFERROR(VLOOKUP($C61,SUP!$B$54:$Q$104,MATCH($B61&amp;"-"&amp;AM$7,SUP!$B$54:$Q$54,0),FALSE),"")="","",IFERROR(VLOOKUP($C61,SUP!$B$54:$Q$104,MATCH($B61&amp;"-"&amp;AM$7,SUP!$B$54:$Q$54,0),FALSE),""))</f>
        <v/>
      </c>
      <c r="AN61" s="441"/>
      <c r="AO61" s="441"/>
      <c r="AR61" s="42">
        <f>IF(AS60=SUP!$B$104,AR60+1,AR60)</f>
        <v>2</v>
      </c>
      <c r="AS61" s="42">
        <f t="shared" si="6"/>
        <v>2</v>
      </c>
    </row>
    <row r="62" spans="1:45">
      <c r="A62" s="42" t="str">
        <f ca="1">IF(LEFT(OFFSET(SUP!$A$57,AS62,0),2)="\I","*","")</f>
        <v/>
      </c>
      <c r="B62" s="440" t="str">
        <f t="shared" ca="1" si="8"/>
        <v>ACT_BND</v>
      </c>
      <c r="C62" s="440" t="str">
        <f ca="1">IF($A62="*","",OFFSET(SUP!$B$57,AS62,0))</f>
        <v>MINCLD</v>
      </c>
      <c r="D62" s="440" t="str">
        <f t="shared" ca="1" si="7"/>
        <v>-</v>
      </c>
      <c r="E62" s="440" t="str">
        <f t="shared" ca="1" si="7"/>
        <v>-</v>
      </c>
      <c r="F62" s="440" t="str">
        <f t="shared" ca="1" si="7"/>
        <v>-</v>
      </c>
      <c r="G62" s="440" t="str">
        <f t="shared" ca="1" si="7"/>
        <v>ANNUAL</v>
      </c>
      <c r="H62" s="440" t="str">
        <f t="shared" ca="1" si="5"/>
        <v>UP</v>
      </c>
      <c r="I62" s="441" t="str">
        <f ca="1">IF(IFERROR(VLOOKUP($C62,SUP!$B$54:$Q$104,MATCH($B62&amp;"-"&amp;I$7,SUP!$B$54:$Q$54,0),FALSE),"")="","",IFERROR(VLOOKUP($C62,SUP!$B$54:$Q$104,MATCH($B62&amp;"-"&amp;I$7,SUP!$B$54:$Q$54,0),FALSE),""))</f>
        <v/>
      </c>
      <c r="J62" s="441" t="str">
        <f ca="1">IF(IFERROR(VLOOKUP($C62,SUP!$B$54:$Q$104,MATCH($B62&amp;"-"&amp;J$7,SUP!$B$54:$Q$54,0),FALSE),"")="","",IFERROR(VLOOKUP($C62,SUP!$B$54:$Q$104,MATCH($B62&amp;"-"&amp;J$7,SUP!$B$54:$Q$54,0),FALSE),""))</f>
        <v/>
      </c>
      <c r="K62" s="441" t="str">
        <f ca="1">IF(IFERROR(VLOOKUP($C62,SUP!$B$54:$Q$104,MATCH($B62&amp;"-"&amp;K$7,SUP!$B$54:$Q$54,0),FALSE),"")="","",IFERROR(VLOOKUP($C62,SUP!$B$54:$Q$104,MATCH($B62&amp;"-"&amp;K$7,SUP!$B$54:$Q$54,0),FALSE),""))</f>
        <v/>
      </c>
      <c r="L62" s="441" t="str">
        <f ca="1">IF(IFERROR(VLOOKUP($C62,SUP!$B$54:$Q$104,MATCH($B62&amp;"-"&amp;L$7,SUP!$B$54:$Q$54,0),FALSE),"")="","",IFERROR(VLOOKUP($C62,SUP!$B$54:$Q$104,MATCH($B62&amp;"-"&amp;L$7,SUP!$B$54:$Q$54,0),FALSE),""))</f>
        <v/>
      </c>
      <c r="M62" s="441" t="str">
        <f ca="1">IF(IFERROR(VLOOKUP($C62,SUP!$B$54:$Q$104,MATCH($B62&amp;"-"&amp;M$7,SUP!$B$54:$Q$54,0),FALSE),"")="","",IFERROR(VLOOKUP($C62,SUP!$B$54:$Q$104,MATCH($B62&amp;"-"&amp;M$7,SUP!$B$54:$Q$54,0),FALSE),""))</f>
        <v/>
      </c>
      <c r="N62" s="441" t="str">
        <f ca="1">IF(IFERROR(VLOOKUP($C62,SUP!$B$54:$Q$104,MATCH($B62&amp;"-"&amp;N$7,SUP!$B$54:$Q$54,0),FALSE),"")="","",IFERROR(VLOOKUP($C62,SUP!$B$54:$Q$104,MATCH($B62&amp;"-"&amp;N$7,SUP!$B$54:$Q$54,0),FALSE),""))</f>
        <v/>
      </c>
      <c r="O62" s="441" t="str">
        <f ca="1">IF(IFERROR(VLOOKUP($C62,SUP!$B$54:$Q$104,MATCH($B62&amp;"-"&amp;O$7,SUP!$B$54:$Q$54,0),FALSE),"")="","",IFERROR(VLOOKUP($C62,SUP!$B$54:$Q$104,MATCH($B62&amp;"-"&amp;O$7,SUP!$B$54:$Q$54,0),FALSE),""))</f>
        <v/>
      </c>
      <c r="P62" s="441" t="str">
        <f ca="1">IF(IFERROR(VLOOKUP($C62,SUP!$B$54:$Q$104,MATCH($B62&amp;"-"&amp;P$7,SUP!$B$54:$Q$54,0),FALSE),"")="","",IFERROR(VLOOKUP($C62,SUP!$B$54:$Q$104,MATCH($B62&amp;"-"&amp;P$7,SUP!$B$54:$Q$54,0),FALSE),""))</f>
        <v/>
      </c>
      <c r="Q62" s="441" t="str">
        <f ca="1">IF(IFERROR(VLOOKUP($C62,SUP!$B$54:$Q$104,MATCH($B62&amp;"-"&amp;Q$7,SUP!$B$54:$Q$54,0),FALSE),"")="","",IFERROR(VLOOKUP($C62,SUP!$B$54:$Q$104,MATCH($B62&amp;"-"&amp;Q$7,SUP!$B$54:$Q$54,0),FALSE),""))</f>
        <v/>
      </c>
      <c r="R62" s="441" t="str">
        <f ca="1">IF(IFERROR(VLOOKUP($C62,SUP!$B$54:$Q$104,MATCH($B62&amp;"-"&amp;R$7,SUP!$B$54:$Q$54,0),FALSE),"")="","",IFERROR(VLOOKUP($C62,SUP!$B$54:$Q$104,MATCH($B62&amp;"-"&amp;R$7,SUP!$B$54:$Q$54,0),FALSE),""))</f>
        <v/>
      </c>
      <c r="S62" s="441" t="str">
        <f ca="1">IF(IFERROR(VLOOKUP($C62,SUP!$B$54:$Q$104,MATCH($B62&amp;"-"&amp;S$7,SUP!$B$54:$Q$54,0),FALSE),"")="","",IFERROR(VLOOKUP($C62,SUP!$B$54:$Q$104,MATCH($B62&amp;"-"&amp;S$7,SUP!$B$54:$Q$54,0),FALSE),""))</f>
        <v/>
      </c>
      <c r="T62" s="441" t="str">
        <f ca="1">IF(IFERROR(VLOOKUP($C62,SUP!$B$54:$Q$104,MATCH($B62&amp;"-"&amp;T$7,SUP!$B$54:$Q$54,0),FALSE),"")="","",IFERROR(VLOOKUP($C62,SUP!$B$54:$Q$104,MATCH($B62&amp;"-"&amp;T$7,SUP!$B$54:$Q$54,0),FALSE),""))</f>
        <v/>
      </c>
      <c r="U62" s="441" t="str">
        <f ca="1">IF(IFERROR(VLOOKUP($C62,SUP!$B$54:$Q$104,MATCH($B62&amp;"-"&amp;U$7,SUP!$B$54:$Q$54,0),FALSE),"")="","",IFERROR(VLOOKUP($C62,SUP!$B$54:$Q$104,MATCH($B62&amp;"-"&amp;U$7,SUP!$B$54:$Q$54,0),FALSE),""))</f>
        <v/>
      </c>
      <c r="V62" s="441" t="str">
        <f ca="1">IF(IFERROR(VLOOKUP($C62,SUP!$B$54:$Q$104,MATCH($B62&amp;"-"&amp;V$7,SUP!$B$54:$Q$54,0),FALSE),"")="","",IFERROR(VLOOKUP($C62,SUP!$B$54:$Q$104,MATCH($B62&amp;"-"&amp;V$7,SUP!$B$54:$Q$54,0),FALSE),""))</f>
        <v/>
      </c>
      <c r="W62" s="441" t="str">
        <f ca="1">IF(IFERROR(VLOOKUP($C62,SUP!$B$54:$Q$104,MATCH($B62&amp;"-"&amp;W$7,SUP!$B$54:$Q$54,0),FALSE),"")="","",IFERROR(VLOOKUP($C62,SUP!$B$54:$Q$104,MATCH($B62&amp;"-"&amp;W$7,SUP!$B$54:$Q$54,0),FALSE),""))</f>
        <v/>
      </c>
      <c r="X62" s="441" t="str">
        <f ca="1">IF(IFERROR(VLOOKUP($C62,SUP!$B$54:$Q$104,MATCH($B62&amp;"-"&amp;X$7,SUP!$B$54:$Q$54,0),FALSE),"")="","",IFERROR(VLOOKUP($C62,SUP!$B$54:$Q$104,MATCH($B62&amp;"-"&amp;X$7,SUP!$B$54:$Q$54,0),FALSE),""))</f>
        <v/>
      </c>
      <c r="Y62" s="441" t="str">
        <f ca="1">IF(IFERROR(VLOOKUP($C62,SUP!$B$54:$Q$104,MATCH($B62&amp;"-"&amp;Y$7,SUP!$B$54:$Q$54,0),FALSE),"")="","",IFERROR(VLOOKUP($C62,SUP!$B$54:$Q$104,MATCH($B62&amp;"-"&amp;Y$7,SUP!$B$54:$Q$54,0),FALSE),""))</f>
        <v/>
      </c>
      <c r="Z62" s="441" t="str">
        <f ca="1">IF(IFERROR(VLOOKUP($C62,SUP!$B$54:$Q$104,MATCH($B62&amp;"-"&amp;Z$7,SUP!$B$54:$Q$54,0),FALSE),"")="","",IFERROR(VLOOKUP($C62,SUP!$B$54:$Q$104,MATCH($B62&amp;"-"&amp;Z$7,SUP!$B$54:$Q$54,0),FALSE),""))</f>
        <v/>
      </c>
      <c r="AA62" s="441" t="str">
        <f ca="1">IF(IFERROR(VLOOKUP($C62,SUP!$B$54:$Q$104,MATCH($B62&amp;"-"&amp;AA$7,SUP!$B$54:$Q$54,0),FALSE),"")="","",IFERROR(VLOOKUP($C62,SUP!$B$54:$Q$104,MATCH($B62&amp;"-"&amp;AA$7,SUP!$B$54:$Q$54,0),FALSE),""))</f>
        <v/>
      </c>
      <c r="AB62" s="441" t="str">
        <f ca="1">IF(IFERROR(VLOOKUP($C62,SUP!$B$54:$Q$104,MATCH($B62&amp;"-"&amp;AB$7,SUP!$B$54:$Q$54,0),FALSE),"")="","",IFERROR(VLOOKUP($C62,SUP!$B$54:$Q$104,MATCH($B62&amp;"-"&amp;AB$7,SUP!$B$54:$Q$54,0),FALSE),""))</f>
        <v/>
      </c>
      <c r="AC62" s="441" t="str">
        <f ca="1">IF(IFERROR(VLOOKUP($C62,SUP!$B$54:$Q$104,MATCH($B62&amp;"-"&amp;AC$7,SUP!$B$54:$Q$54,0),FALSE),"")="","",IFERROR(VLOOKUP($C62,SUP!$B$54:$Q$104,MATCH($B62&amp;"-"&amp;AC$7,SUP!$B$54:$Q$54,0),FALSE),""))</f>
        <v/>
      </c>
      <c r="AD62" s="441" t="str">
        <f ca="1">IF(IFERROR(VLOOKUP($C62,SUP!$B$54:$Q$104,MATCH($B62&amp;"-"&amp;AD$7,SUP!$B$54:$Q$54,0),FALSE),"")="","",IFERROR(VLOOKUP($C62,SUP!$B$54:$Q$104,MATCH($B62&amp;"-"&amp;AD$7,SUP!$B$54:$Q$54,0),FALSE),""))</f>
        <v/>
      </c>
      <c r="AE62" s="441" t="str">
        <f ca="1">IF(IFERROR(VLOOKUP($C62,SUP!$B$54:$Q$104,MATCH($B62&amp;"-"&amp;AE$7,SUP!$B$54:$Q$54,0),FALSE),"")="","",IFERROR(VLOOKUP($C62,SUP!$B$54:$Q$104,MATCH($B62&amp;"-"&amp;AE$7,SUP!$B$54:$Q$54,0),FALSE),""))</f>
        <v/>
      </c>
      <c r="AF62" s="441" t="str">
        <f ca="1">IF(IFERROR(VLOOKUP($C62,SUP!$B$54:$Q$104,MATCH($B62&amp;"-"&amp;AF$7,SUP!$B$54:$Q$54,0),FALSE),"")="","",IFERROR(VLOOKUP($C62,SUP!$B$54:$Q$104,MATCH($B62&amp;"-"&amp;AF$7,SUP!$B$54:$Q$54,0),FALSE),""))</f>
        <v/>
      </c>
      <c r="AG62" s="441" t="str">
        <f ca="1">IF(IFERROR(VLOOKUP($C62,SUP!$B$54:$Q$104,MATCH($B62&amp;"-"&amp;AG$7,SUP!$B$54:$Q$54,0),FALSE),"")="","",IFERROR(VLOOKUP($C62,SUP!$B$54:$Q$104,MATCH($B62&amp;"-"&amp;AG$7,SUP!$B$54:$Q$54,0),FALSE),""))</f>
        <v/>
      </c>
      <c r="AH62" s="441" t="str">
        <f ca="1">IF(IFERROR(VLOOKUP($C62,SUP!$B$54:$Q$104,MATCH($B62&amp;"-"&amp;AH$7,SUP!$B$54:$Q$54,0),FALSE),"")="","",IFERROR(VLOOKUP($C62,SUP!$B$54:$Q$104,MATCH($B62&amp;"-"&amp;AH$7,SUP!$B$54:$Q$54,0),FALSE),""))</f>
        <v/>
      </c>
      <c r="AI62" s="441"/>
      <c r="AJ62" s="441"/>
      <c r="AK62" s="441"/>
      <c r="AL62" s="441"/>
      <c r="AM62" s="441" t="str">
        <f ca="1">IF(IFERROR(VLOOKUP($C62,SUP!$B$54:$Q$104,MATCH($B62&amp;"-"&amp;AM$7,SUP!$B$54:$Q$54,0),FALSE),"")="","",IFERROR(VLOOKUP($C62,SUP!$B$54:$Q$104,MATCH($B62&amp;"-"&amp;AM$7,SUP!$B$54:$Q$54,0),FALSE),""))</f>
        <v/>
      </c>
      <c r="AN62" s="441"/>
      <c r="AO62" s="441"/>
      <c r="AR62" s="42">
        <f>IF(AS61=SUP!$B$104,AR61+1,AR61)</f>
        <v>2</v>
      </c>
      <c r="AS62" s="42">
        <f t="shared" si="6"/>
        <v>3</v>
      </c>
    </row>
    <row r="63" spans="1:45">
      <c r="A63" s="42" t="str">
        <f ca="1">IF(LEFT(OFFSET(SUP!$A$57,AS63,0),2)="\I","*","")</f>
        <v/>
      </c>
      <c r="B63" s="440" t="str">
        <f t="shared" ca="1" si="8"/>
        <v>ACT_BND</v>
      </c>
      <c r="C63" s="440" t="str">
        <f ca="1">IF($A63="*","",OFFSET(SUP!$B$57,AS63,0))</f>
        <v>MINOCR</v>
      </c>
      <c r="D63" s="440" t="str">
        <f t="shared" ca="1" si="7"/>
        <v>-</v>
      </c>
      <c r="E63" s="440" t="str">
        <f t="shared" ca="1" si="7"/>
        <v>-</v>
      </c>
      <c r="F63" s="440" t="str">
        <f t="shared" ca="1" si="7"/>
        <v>-</v>
      </c>
      <c r="G63" s="440" t="str">
        <f t="shared" ca="1" si="7"/>
        <v>ANNUAL</v>
      </c>
      <c r="H63" s="440" t="str">
        <f t="shared" ca="1" si="5"/>
        <v>UP</v>
      </c>
      <c r="I63" s="441">
        <f ca="1">IF(IFERROR(VLOOKUP($C63,SUP!$B$54:$Q$104,MATCH($B63&amp;"-"&amp;I$7,SUP!$B$54:$Q$54,0),FALSE),"")="","",IFERROR(VLOOKUP($C63,SUP!$B$54:$Q$104,MATCH($B63&amp;"-"&amp;I$7,SUP!$B$54:$Q$54,0),FALSE),""))</f>
        <v>3</v>
      </c>
      <c r="J63" s="441">
        <f ca="1">IF(IFERROR(VLOOKUP($C63,SUP!$B$54:$Q$104,MATCH($B63&amp;"-"&amp;J$7,SUP!$B$54:$Q$54,0),FALSE),"")="","",IFERROR(VLOOKUP($C63,SUP!$B$54:$Q$104,MATCH($B63&amp;"-"&amp;J$7,SUP!$B$54:$Q$54,0),FALSE),""))</f>
        <v>0</v>
      </c>
      <c r="K63" s="441" t="str">
        <f ca="1">IF(IFERROR(VLOOKUP($C63,SUP!$B$54:$Q$104,MATCH($B63&amp;"-"&amp;K$7,SUP!$B$54:$Q$54,0),FALSE),"")="","",IFERROR(VLOOKUP($C63,SUP!$B$54:$Q$104,MATCH($B63&amp;"-"&amp;K$7,SUP!$B$54:$Q$54,0),FALSE),""))</f>
        <v/>
      </c>
      <c r="L63" s="441" t="str">
        <f ca="1">IF(IFERROR(VLOOKUP($C63,SUP!$B$54:$Q$104,MATCH($B63&amp;"-"&amp;L$7,SUP!$B$54:$Q$54,0),FALSE),"")="","",IFERROR(VLOOKUP($C63,SUP!$B$54:$Q$104,MATCH($B63&amp;"-"&amp;L$7,SUP!$B$54:$Q$54,0),FALSE),""))</f>
        <v/>
      </c>
      <c r="M63" s="441">
        <f ca="1">IF(IFERROR(VLOOKUP($C63,SUP!$B$54:$Q$104,MATCH($B63&amp;"-"&amp;M$7,SUP!$B$54:$Q$54,0),FALSE),"")="","",IFERROR(VLOOKUP($C63,SUP!$B$54:$Q$104,MATCH($B63&amp;"-"&amp;M$7,SUP!$B$54:$Q$54,0),FALSE),""))</f>
        <v>0</v>
      </c>
      <c r="N63" s="441" t="str">
        <f ca="1">IF(IFERROR(VLOOKUP($C63,SUP!$B$54:$Q$104,MATCH($B63&amp;"-"&amp;N$7,SUP!$B$54:$Q$54,0),FALSE),"")="","",IFERROR(VLOOKUP($C63,SUP!$B$54:$Q$104,MATCH($B63&amp;"-"&amp;N$7,SUP!$B$54:$Q$54,0),FALSE),""))</f>
        <v/>
      </c>
      <c r="O63" s="441" t="str">
        <f ca="1">IF(IFERROR(VLOOKUP($C63,SUP!$B$54:$Q$104,MATCH($B63&amp;"-"&amp;O$7,SUP!$B$54:$Q$54,0),FALSE),"")="","",IFERROR(VLOOKUP($C63,SUP!$B$54:$Q$104,MATCH($B63&amp;"-"&amp;O$7,SUP!$B$54:$Q$54,0),FALSE),""))</f>
        <v/>
      </c>
      <c r="P63" s="441" t="str">
        <f ca="1">IF(IFERROR(VLOOKUP($C63,SUP!$B$54:$Q$104,MATCH($B63&amp;"-"&amp;P$7,SUP!$B$54:$Q$54,0),FALSE),"")="","",IFERROR(VLOOKUP($C63,SUP!$B$54:$Q$104,MATCH($B63&amp;"-"&amp;P$7,SUP!$B$54:$Q$54,0),FALSE),""))</f>
        <v/>
      </c>
      <c r="Q63" s="441" t="str">
        <f ca="1">IF(IFERROR(VLOOKUP($C63,SUP!$B$54:$Q$104,MATCH($B63&amp;"-"&amp;Q$7,SUP!$B$54:$Q$54,0),FALSE),"")="","",IFERROR(VLOOKUP($C63,SUP!$B$54:$Q$104,MATCH($B63&amp;"-"&amp;Q$7,SUP!$B$54:$Q$54,0),FALSE),""))</f>
        <v/>
      </c>
      <c r="R63" s="441">
        <f ca="1">IF(IFERROR(VLOOKUP($C63,SUP!$B$54:$Q$104,MATCH($B63&amp;"-"&amp;R$7,SUP!$B$54:$Q$54,0),FALSE),"")="","",IFERROR(VLOOKUP($C63,SUP!$B$54:$Q$104,MATCH($B63&amp;"-"&amp;R$7,SUP!$B$54:$Q$54,0),FALSE),""))</f>
        <v>0</v>
      </c>
      <c r="S63" s="441" t="str">
        <f ca="1">IF(IFERROR(VLOOKUP($C63,SUP!$B$54:$Q$104,MATCH($B63&amp;"-"&amp;S$7,SUP!$B$54:$Q$54,0),FALSE),"")="","",IFERROR(VLOOKUP($C63,SUP!$B$54:$Q$104,MATCH($B63&amp;"-"&amp;S$7,SUP!$B$54:$Q$54,0),FALSE),""))</f>
        <v/>
      </c>
      <c r="T63" s="441" t="str">
        <f ca="1">IF(IFERROR(VLOOKUP($C63,SUP!$B$54:$Q$104,MATCH($B63&amp;"-"&amp;T$7,SUP!$B$54:$Q$54,0),FALSE),"")="","",IFERROR(VLOOKUP($C63,SUP!$B$54:$Q$104,MATCH($B63&amp;"-"&amp;T$7,SUP!$B$54:$Q$54,0),FALSE),""))</f>
        <v/>
      </c>
      <c r="U63" s="441" t="str">
        <f ca="1">IF(IFERROR(VLOOKUP($C63,SUP!$B$54:$Q$104,MATCH($B63&amp;"-"&amp;U$7,SUP!$B$54:$Q$54,0),FALSE),"")="","",IFERROR(VLOOKUP($C63,SUP!$B$54:$Q$104,MATCH($B63&amp;"-"&amp;U$7,SUP!$B$54:$Q$54,0),FALSE),""))</f>
        <v/>
      </c>
      <c r="V63" s="441" t="str">
        <f ca="1">IF(IFERROR(VLOOKUP($C63,SUP!$B$54:$Q$104,MATCH($B63&amp;"-"&amp;V$7,SUP!$B$54:$Q$54,0),FALSE),"")="","",IFERROR(VLOOKUP($C63,SUP!$B$54:$Q$104,MATCH($B63&amp;"-"&amp;V$7,SUP!$B$54:$Q$54,0),FALSE),""))</f>
        <v/>
      </c>
      <c r="W63" s="441" t="str">
        <f ca="1">IF(IFERROR(VLOOKUP($C63,SUP!$B$54:$Q$104,MATCH($B63&amp;"-"&amp;W$7,SUP!$B$54:$Q$54,0),FALSE),"")="","",IFERROR(VLOOKUP($C63,SUP!$B$54:$Q$104,MATCH($B63&amp;"-"&amp;W$7,SUP!$B$54:$Q$54,0),FALSE),""))</f>
        <v/>
      </c>
      <c r="X63" s="441" t="str">
        <f ca="1">IF(IFERROR(VLOOKUP($C63,SUP!$B$54:$Q$104,MATCH($B63&amp;"-"&amp;X$7,SUP!$B$54:$Q$54,0),FALSE),"")="","",IFERROR(VLOOKUP($C63,SUP!$B$54:$Q$104,MATCH($B63&amp;"-"&amp;X$7,SUP!$B$54:$Q$54,0),FALSE),""))</f>
        <v/>
      </c>
      <c r="Y63" s="441" t="str">
        <f ca="1">IF(IFERROR(VLOOKUP($C63,SUP!$B$54:$Q$104,MATCH($B63&amp;"-"&amp;Y$7,SUP!$B$54:$Q$54,0),FALSE),"")="","",IFERROR(VLOOKUP($C63,SUP!$B$54:$Q$104,MATCH($B63&amp;"-"&amp;Y$7,SUP!$B$54:$Q$54,0),FALSE),""))</f>
        <v/>
      </c>
      <c r="Z63" s="441" t="str">
        <f ca="1">IF(IFERROR(VLOOKUP($C63,SUP!$B$54:$Q$104,MATCH($B63&amp;"-"&amp;Z$7,SUP!$B$54:$Q$54,0),FALSE),"")="","",IFERROR(VLOOKUP($C63,SUP!$B$54:$Q$104,MATCH($B63&amp;"-"&amp;Z$7,SUP!$B$54:$Q$54,0),FALSE),""))</f>
        <v/>
      </c>
      <c r="AA63" s="441" t="str">
        <f ca="1">IF(IFERROR(VLOOKUP($C63,SUP!$B$54:$Q$104,MATCH($B63&amp;"-"&amp;AA$7,SUP!$B$54:$Q$54,0),FALSE),"")="","",IFERROR(VLOOKUP($C63,SUP!$B$54:$Q$104,MATCH($B63&amp;"-"&amp;AA$7,SUP!$B$54:$Q$54,0),FALSE),""))</f>
        <v/>
      </c>
      <c r="AB63" s="441">
        <f ca="1">IF(IFERROR(VLOOKUP($C63,SUP!$B$54:$Q$104,MATCH($B63&amp;"-"&amp;AB$7,SUP!$B$54:$Q$54,0),FALSE),"")="","",IFERROR(VLOOKUP($C63,SUP!$B$54:$Q$104,MATCH($B63&amp;"-"&amp;AB$7,SUP!$B$54:$Q$54,0),FALSE),""))</f>
        <v>0</v>
      </c>
      <c r="AC63" s="441" t="str">
        <f ca="1">IF(IFERROR(VLOOKUP($C63,SUP!$B$54:$Q$104,MATCH($B63&amp;"-"&amp;AC$7,SUP!$B$54:$Q$54,0),FALSE),"")="","",IFERROR(VLOOKUP($C63,SUP!$B$54:$Q$104,MATCH($B63&amp;"-"&amp;AC$7,SUP!$B$54:$Q$54,0),FALSE),""))</f>
        <v/>
      </c>
      <c r="AD63" s="441" t="str">
        <f ca="1">IF(IFERROR(VLOOKUP($C63,SUP!$B$54:$Q$104,MATCH($B63&amp;"-"&amp;AD$7,SUP!$B$54:$Q$54,0),FALSE),"")="","",IFERROR(VLOOKUP($C63,SUP!$B$54:$Q$104,MATCH($B63&amp;"-"&amp;AD$7,SUP!$B$54:$Q$54,0),FALSE),""))</f>
        <v/>
      </c>
      <c r="AE63" s="441" t="str">
        <f ca="1">IF(IFERROR(VLOOKUP($C63,SUP!$B$54:$Q$104,MATCH($B63&amp;"-"&amp;AE$7,SUP!$B$54:$Q$54,0),FALSE),"")="","",IFERROR(VLOOKUP($C63,SUP!$B$54:$Q$104,MATCH($B63&amp;"-"&amp;AE$7,SUP!$B$54:$Q$54,0),FALSE),""))</f>
        <v/>
      </c>
      <c r="AF63" s="441" t="str">
        <f ca="1">IF(IFERROR(VLOOKUP($C63,SUP!$B$54:$Q$104,MATCH($B63&amp;"-"&amp;AF$7,SUP!$B$54:$Q$54,0),FALSE),"")="","",IFERROR(VLOOKUP($C63,SUP!$B$54:$Q$104,MATCH($B63&amp;"-"&amp;AF$7,SUP!$B$54:$Q$54,0),FALSE),""))</f>
        <v/>
      </c>
      <c r="AG63" s="441" t="str">
        <f ca="1">IF(IFERROR(VLOOKUP($C63,SUP!$B$54:$Q$104,MATCH($B63&amp;"-"&amp;AG$7,SUP!$B$54:$Q$54,0),FALSE),"")="","",IFERROR(VLOOKUP($C63,SUP!$B$54:$Q$104,MATCH($B63&amp;"-"&amp;AG$7,SUP!$B$54:$Q$54,0),FALSE),""))</f>
        <v/>
      </c>
      <c r="AH63" s="441" t="str">
        <f ca="1">IF(IFERROR(VLOOKUP($C63,SUP!$B$54:$Q$104,MATCH($B63&amp;"-"&amp;AH$7,SUP!$B$54:$Q$54,0),FALSE),"")="","",IFERROR(VLOOKUP($C63,SUP!$B$54:$Q$104,MATCH($B63&amp;"-"&amp;AH$7,SUP!$B$54:$Q$54,0),FALSE),""))</f>
        <v/>
      </c>
      <c r="AI63" s="441"/>
      <c r="AJ63" s="441"/>
      <c r="AK63" s="441"/>
      <c r="AL63" s="441"/>
      <c r="AM63" s="441" t="str">
        <f ca="1">IF(IFERROR(VLOOKUP($C63,SUP!$B$54:$Q$104,MATCH($B63&amp;"-"&amp;AM$7,SUP!$B$54:$Q$54,0),FALSE),"")="","",IFERROR(VLOOKUP($C63,SUP!$B$54:$Q$104,MATCH($B63&amp;"-"&amp;AM$7,SUP!$B$54:$Q$54,0),FALSE),""))</f>
        <v/>
      </c>
      <c r="AN63" s="441"/>
      <c r="AO63" s="441"/>
      <c r="AR63" s="42">
        <f>IF(AS62=SUP!$B$104,AR62+1,AR62)</f>
        <v>2</v>
      </c>
      <c r="AS63" s="42">
        <f t="shared" si="6"/>
        <v>4</v>
      </c>
    </row>
    <row r="64" spans="1:45">
      <c r="A64" s="42" t="str">
        <f ca="1">IF(LEFT(OFFSET(SUP!$A$57,AS64,0),2)="\I","*","")</f>
        <v/>
      </c>
      <c r="B64" s="440" t="str">
        <f t="shared" ca="1" si="8"/>
        <v>ACT_BND</v>
      </c>
      <c r="C64" s="440" t="str">
        <f ca="1">IF($A64="*","",OFFSET(SUP!$B$57,AS64,0))</f>
        <v>MINGIC</v>
      </c>
      <c r="D64" s="440" t="str">
        <f t="shared" ca="1" si="7"/>
        <v>-</v>
      </c>
      <c r="E64" s="440" t="str">
        <f t="shared" ca="1" si="7"/>
        <v>-</v>
      </c>
      <c r="F64" s="440" t="str">
        <f t="shared" ca="1" si="7"/>
        <v>-</v>
      </c>
      <c r="G64" s="440" t="str">
        <f t="shared" ca="1" si="7"/>
        <v>ANNUAL</v>
      </c>
      <c r="H64" s="440" t="str">
        <f t="shared" ca="1" si="5"/>
        <v>UP</v>
      </c>
      <c r="I64" s="441">
        <f ca="1">IF(IFERROR(VLOOKUP($C64,SUP!$B$54:$Q$104,MATCH($B64&amp;"-"&amp;I$7,SUP!$B$54:$Q$54,0),FALSE),"")="","",IFERROR(VLOOKUP($C64,SUP!$B$54:$Q$104,MATCH($B64&amp;"-"&amp;I$7,SUP!$B$54:$Q$54,0),FALSE),""))</f>
        <v>3</v>
      </c>
      <c r="J64" s="441">
        <f ca="1">IF(IFERROR(VLOOKUP($C64,SUP!$B$54:$Q$104,MATCH($B64&amp;"-"&amp;J$7,SUP!$B$54:$Q$54,0),FALSE),"")="","",IFERROR(VLOOKUP($C64,SUP!$B$54:$Q$104,MATCH($B64&amp;"-"&amp;J$7,SUP!$B$54:$Q$54,0),FALSE),""))</f>
        <v>42.534198286413705</v>
      </c>
      <c r="K64" s="441" t="str">
        <f ca="1">IF(IFERROR(VLOOKUP($C64,SUP!$B$54:$Q$104,MATCH($B64&amp;"-"&amp;K$7,SUP!$B$54:$Q$54,0),FALSE),"")="","",IFERROR(VLOOKUP($C64,SUP!$B$54:$Q$104,MATCH($B64&amp;"-"&amp;K$7,SUP!$B$54:$Q$54,0),FALSE),""))</f>
        <v/>
      </c>
      <c r="L64" s="441" t="str">
        <f ca="1">IF(IFERROR(VLOOKUP($C64,SUP!$B$54:$Q$104,MATCH($B64&amp;"-"&amp;L$7,SUP!$B$54:$Q$54,0),FALSE),"")="","",IFERROR(VLOOKUP($C64,SUP!$B$54:$Q$104,MATCH($B64&amp;"-"&amp;L$7,SUP!$B$54:$Q$54,0),FALSE),""))</f>
        <v/>
      </c>
      <c r="M64" s="441">
        <f ca="1">IF(IFERROR(VLOOKUP($C64,SUP!$B$54:$Q$104,MATCH($B64&amp;"-"&amp;M$7,SUP!$B$54:$Q$54,0),FALSE),"")="","",IFERROR(VLOOKUP($C64,SUP!$B$54:$Q$104,MATCH($B64&amp;"-"&amp;M$7,SUP!$B$54:$Q$54,0),FALSE),""))</f>
        <v>42.534198286413705</v>
      </c>
      <c r="N64" s="441" t="str">
        <f ca="1">IF(IFERROR(VLOOKUP($C64,SUP!$B$54:$Q$104,MATCH($B64&amp;"-"&amp;N$7,SUP!$B$54:$Q$54,0),FALSE),"")="","",IFERROR(VLOOKUP($C64,SUP!$B$54:$Q$104,MATCH($B64&amp;"-"&amp;N$7,SUP!$B$54:$Q$54,0),FALSE),""))</f>
        <v/>
      </c>
      <c r="O64" s="1651">
        <f>25838/1000</f>
        <v>25.838000000000001</v>
      </c>
      <c r="P64" s="1651" t="str">
        <f ca="1">IF(IFERROR(VLOOKUP($C64,SUP!$B$54:$Q$104,MATCH($B64&amp;"-"&amp;P$7,SUP!$B$54:$Q$54,0),FALSE),"")="","",IFERROR(VLOOKUP($C64,SUP!$B$54:$Q$104,MATCH($B64&amp;"-"&amp;P$7,SUP!$B$54:$Q$54,0),FALSE),""))</f>
        <v/>
      </c>
      <c r="Q64" s="1635"/>
      <c r="R64" s="1651">
        <f>25838/1000</f>
        <v>25.838000000000001</v>
      </c>
      <c r="S64" s="1635">
        <v>0</v>
      </c>
      <c r="T64" s="1651" t="str">
        <f ca="1">IF(IFERROR(VLOOKUP($C64,SUP!$B$54:$Q$104,MATCH($B64&amp;"-"&amp;T$7,SUP!$B$54:$Q$54,0),FALSE),"")="","",IFERROR(VLOOKUP($C64,SUP!$B$54:$Q$104,MATCH($B64&amp;"-"&amp;T$7,SUP!$B$54:$Q$54,0),FALSE),""))</f>
        <v/>
      </c>
      <c r="U64" s="1651" t="str">
        <f ca="1">IF(IFERROR(VLOOKUP($C64,SUP!$B$54:$Q$104,MATCH($B64&amp;"-"&amp;U$7,SUP!$B$54:$Q$54,0),FALSE),"")="","",IFERROR(VLOOKUP($C64,SUP!$B$54:$Q$104,MATCH($B64&amp;"-"&amp;U$7,SUP!$B$54:$Q$54,0),FALSE),""))</f>
        <v/>
      </c>
      <c r="X64" s="441" t="str">
        <f ca="1">IF(IFERROR(VLOOKUP($C64,SUP!$B$54:$Q$104,MATCH($B64&amp;"-"&amp;X$7,SUP!$B$54:$Q$54,0),FALSE),"")="","",IFERROR(VLOOKUP($C64,SUP!$B$54:$Q$104,MATCH($B64&amp;"-"&amp;X$7,SUP!$B$54:$Q$54,0),FALSE),""))</f>
        <v/>
      </c>
      <c r="Y64" s="441" t="str">
        <f ca="1">IF(IFERROR(VLOOKUP($C64,SUP!$B$54:$Q$104,MATCH($B64&amp;"-"&amp;Y$7,SUP!$B$54:$Q$54,0),FALSE),"")="","",IFERROR(VLOOKUP($C64,SUP!$B$54:$Q$104,MATCH($B64&amp;"-"&amp;Y$7,SUP!$B$54:$Q$54,0),FALSE),""))</f>
        <v/>
      </c>
      <c r="Z64" s="441" t="str">
        <f ca="1">IF(IFERROR(VLOOKUP($C64,SUP!$B$54:$Q$104,MATCH($B64&amp;"-"&amp;Z$7,SUP!$B$54:$Q$54,0),FALSE),"")="","",IFERROR(VLOOKUP($C64,SUP!$B$54:$Q$104,MATCH($B64&amp;"-"&amp;Z$7,SUP!$B$54:$Q$54,0),FALSE),""))</f>
        <v/>
      </c>
      <c r="AA64" s="441" t="str">
        <f ca="1">IF(IFERROR(VLOOKUP($C64,SUP!$B$54:$Q$104,MATCH($B64&amp;"-"&amp;AA$7,SUP!$B$54:$Q$54,0),FALSE),"")="","",IFERROR(VLOOKUP($C64,SUP!$B$54:$Q$104,MATCH($B64&amp;"-"&amp;AA$7,SUP!$B$54:$Q$54,0),FALSE),""))</f>
        <v/>
      </c>
      <c r="AB64" s="441">
        <f ca="1">IF(IFERROR(VLOOKUP($C64,SUP!$B$54:$Q$104,MATCH($B64&amp;"-"&amp;AB$7,SUP!$B$54:$Q$54,0),FALSE),"")="","",IFERROR(VLOOKUP($C64,SUP!$B$54:$Q$104,MATCH($B64&amp;"-"&amp;AB$7,SUP!$B$54:$Q$54,0),FALSE),""))</f>
        <v>0</v>
      </c>
      <c r="AC64" s="441" t="str">
        <f ca="1">IF(IFERROR(VLOOKUP($C64,SUP!$B$54:$Q$104,MATCH($B64&amp;"-"&amp;AC$7,SUP!$B$54:$Q$54,0),FALSE),"")="","",IFERROR(VLOOKUP($C64,SUP!$B$54:$Q$104,MATCH($B64&amp;"-"&amp;AC$7,SUP!$B$54:$Q$54,0),FALSE),""))</f>
        <v/>
      </c>
      <c r="AD64" s="441" t="str">
        <f ca="1">IF(IFERROR(VLOOKUP($C64,SUP!$B$54:$Q$104,MATCH($B64&amp;"-"&amp;AD$7,SUP!$B$54:$Q$54,0),FALSE),"")="","",IFERROR(VLOOKUP($C64,SUP!$B$54:$Q$104,MATCH($B64&amp;"-"&amp;AD$7,SUP!$B$54:$Q$54,0),FALSE),""))</f>
        <v/>
      </c>
      <c r="AE64" s="441" t="str">
        <f ca="1">IF(IFERROR(VLOOKUP($C64,SUP!$B$54:$Q$104,MATCH($B64&amp;"-"&amp;AE$7,SUP!$B$54:$Q$54,0),FALSE),"")="","",IFERROR(VLOOKUP($C64,SUP!$B$54:$Q$104,MATCH($B64&amp;"-"&amp;AE$7,SUP!$B$54:$Q$54,0),FALSE),""))</f>
        <v/>
      </c>
      <c r="AF64" s="441" t="str">
        <f ca="1">IF(IFERROR(VLOOKUP($C64,SUP!$B$54:$Q$104,MATCH($B64&amp;"-"&amp;AF$7,SUP!$B$54:$Q$54,0),FALSE),"")="","",IFERROR(VLOOKUP($C64,SUP!$B$54:$Q$104,MATCH($B64&amp;"-"&amp;AF$7,SUP!$B$54:$Q$54,0),FALSE),""))</f>
        <v/>
      </c>
      <c r="AG64" s="441" t="str">
        <f ca="1">IF(IFERROR(VLOOKUP($C64,SUP!$B$54:$Q$104,MATCH($B64&amp;"-"&amp;AG$7,SUP!$B$54:$Q$54,0),FALSE),"")="","",IFERROR(VLOOKUP($C64,SUP!$B$54:$Q$104,MATCH($B64&amp;"-"&amp;AG$7,SUP!$B$54:$Q$54,0),FALSE),""))</f>
        <v/>
      </c>
      <c r="AH64" s="441" t="str">
        <f ca="1">IF(IFERROR(VLOOKUP($C64,SUP!$B$54:$Q$104,MATCH($B64&amp;"-"&amp;AH$7,SUP!$B$54:$Q$54,0),FALSE),"")="","",IFERROR(VLOOKUP($C64,SUP!$B$54:$Q$104,MATCH($B64&amp;"-"&amp;AH$7,SUP!$B$54:$Q$54,0),FALSE),""))</f>
        <v/>
      </c>
      <c r="AI64" s="441"/>
      <c r="AJ64" s="441"/>
      <c r="AK64" s="441"/>
      <c r="AL64" s="441"/>
      <c r="AM64" s="441" t="str">
        <f ca="1">IF(IFERROR(VLOOKUP($C64,SUP!$B$54:$Q$104,MATCH($B64&amp;"-"&amp;AM$7,SUP!$B$54:$Q$54,0),FALSE),"")="","",IFERROR(VLOOKUP($C64,SUP!$B$54:$Q$104,MATCH($B64&amp;"-"&amp;AM$7,SUP!$B$54:$Q$54,0),FALSE),""))</f>
        <v/>
      </c>
      <c r="AN64" s="441"/>
      <c r="AO64" s="441"/>
      <c r="AR64" s="42">
        <f>IF(AS63=SUP!$B$104,AR63+1,AR63)</f>
        <v>2</v>
      </c>
      <c r="AS64" s="42">
        <f t="shared" si="6"/>
        <v>5</v>
      </c>
    </row>
    <row r="65" spans="1:45">
      <c r="A65" s="42" t="str">
        <f ca="1">IF(LEFT(OFFSET(SUP!$A$57,AS65,0),2)="\I","*","")</f>
        <v/>
      </c>
      <c r="B65" s="440" t="str">
        <f t="shared" ca="1" si="8"/>
        <v>ACT_BND</v>
      </c>
      <c r="C65" s="440" t="str">
        <f ca="1">IF($A65="*","",OFFSET(SUP!$B$57,AS65,0))</f>
        <v>MINGIB</v>
      </c>
      <c r="D65" s="440" t="str">
        <f t="shared" ca="1" si="7"/>
        <v>-</v>
      </c>
      <c r="E65" s="440" t="str">
        <f t="shared" ca="1" si="7"/>
        <v>-</v>
      </c>
      <c r="F65" s="440" t="str">
        <f t="shared" ca="1" si="7"/>
        <v>-</v>
      </c>
      <c r="G65" s="440" t="str">
        <f t="shared" ca="1" si="7"/>
        <v>ANNUAL</v>
      </c>
      <c r="H65" s="440" t="str">
        <f t="shared" ca="1" si="5"/>
        <v>UP</v>
      </c>
      <c r="I65" s="441">
        <f ca="1">IF(IFERROR(VLOOKUP($C65,SUP!$B$54:$Q$104,MATCH($B65&amp;"-"&amp;I$7,SUP!$B$54:$Q$54,0),FALSE),"")="","",IFERROR(VLOOKUP($C65,SUP!$B$54:$Q$104,MATCH($B65&amp;"-"&amp;I$7,SUP!$B$54:$Q$54,0),FALSE),""))</f>
        <v>3</v>
      </c>
      <c r="J65" s="441" t="str">
        <f ca="1">IF(IFERROR(VLOOKUP($C65,SUP!$B$54:$Q$104,MATCH($B65&amp;"-"&amp;J$7,SUP!$B$54:$Q$54,0),FALSE),"")="","",IFERROR(VLOOKUP($C65,SUP!$B$54:$Q$104,MATCH($B65&amp;"-"&amp;J$7,SUP!$B$54:$Q$54,0),FALSE),""))</f>
        <v/>
      </c>
      <c r="K65" s="441" t="str">
        <f ca="1">IF(IFERROR(VLOOKUP($C65,SUP!$B$54:$Q$104,MATCH($B65&amp;"-"&amp;K$7,SUP!$B$54:$Q$54,0),FALSE),"")="","",IFERROR(VLOOKUP($C65,SUP!$B$54:$Q$104,MATCH($B65&amp;"-"&amp;K$7,SUP!$B$54:$Q$54,0),FALSE),""))</f>
        <v/>
      </c>
      <c r="L65" s="441" t="str">
        <f ca="1">IF(IFERROR(VLOOKUP($C65,SUP!$B$54:$Q$104,MATCH($B65&amp;"-"&amp;L$7,SUP!$B$54:$Q$54,0),FALSE),"")="","",IFERROR(VLOOKUP($C65,SUP!$B$54:$Q$104,MATCH($B65&amp;"-"&amp;L$7,SUP!$B$54:$Q$54,0),FALSE),""))</f>
        <v/>
      </c>
      <c r="M65" s="441" t="str">
        <f ca="1">IF(IFERROR(VLOOKUP($C65,SUP!$B$54:$Q$104,MATCH($B65&amp;"-"&amp;M$7,SUP!$B$54:$Q$54,0),FALSE),"")="","",IFERROR(VLOOKUP($C65,SUP!$B$54:$Q$104,MATCH($B65&amp;"-"&amp;M$7,SUP!$B$54:$Q$54,0),FALSE),""))</f>
        <v/>
      </c>
      <c r="N65" s="441" t="str">
        <f ca="1">IF(IFERROR(VLOOKUP($C65,SUP!$B$54:$Q$104,MATCH($B65&amp;"-"&amp;N$7,SUP!$B$54:$Q$54,0),FALSE),"")="","",IFERROR(VLOOKUP($C65,SUP!$B$54:$Q$104,MATCH($B65&amp;"-"&amp;N$7,SUP!$B$54:$Q$54,0),FALSE),""))</f>
        <v/>
      </c>
      <c r="O65" s="441" t="str">
        <f ca="1">IF(IFERROR(VLOOKUP($C65,SUP!$B$54:$Q$104,MATCH($B65&amp;"-"&amp;O$7,SUP!$B$54:$Q$54,0),FALSE),"")="","",IFERROR(VLOOKUP($C65,SUP!$B$54:$Q$104,MATCH($B65&amp;"-"&amp;O$7,SUP!$B$54:$Q$54,0),FALSE),""))</f>
        <v/>
      </c>
      <c r="P65" s="441" t="str">
        <f ca="1">IF(IFERROR(VLOOKUP($C65,SUP!$B$54:$Q$104,MATCH($B65&amp;"-"&amp;P$7,SUP!$B$54:$Q$54,0),FALSE),"")="","",IFERROR(VLOOKUP($C65,SUP!$B$54:$Q$104,MATCH($B65&amp;"-"&amp;P$7,SUP!$B$54:$Q$54,0),FALSE),""))</f>
        <v/>
      </c>
      <c r="Q65" s="441" t="str">
        <f ca="1">IF(IFERROR(VLOOKUP($C65,SUP!$B$54:$Q$104,MATCH($B65&amp;"-"&amp;Q$7,SUP!$B$54:$Q$54,0),FALSE),"")="","",IFERROR(VLOOKUP($C65,SUP!$B$54:$Q$104,MATCH($B65&amp;"-"&amp;Q$7,SUP!$B$54:$Q$54,0),FALSE),""))</f>
        <v/>
      </c>
      <c r="R65" s="441" t="str">
        <f ca="1">IF(IFERROR(VLOOKUP($C65,SUP!$B$54:$Q$104,MATCH($B65&amp;"-"&amp;R$7,SUP!$B$54:$Q$54,0),FALSE),"")="","",IFERROR(VLOOKUP($C65,SUP!$B$54:$Q$104,MATCH($B65&amp;"-"&amp;R$7,SUP!$B$54:$Q$54,0),FALSE),""))</f>
        <v/>
      </c>
      <c r="S65" s="441" t="str">
        <f ca="1">IF(IFERROR(VLOOKUP($C65,SUP!$B$54:$Q$104,MATCH($B65&amp;"-"&amp;S$7,SUP!$B$54:$Q$54,0),FALSE),"")="","",IFERROR(VLOOKUP($C65,SUP!$B$54:$Q$104,MATCH($B65&amp;"-"&amp;S$7,SUP!$B$54:$Q$54,0),FALSE),""))</f>
        <v/>
      </c>
      <c r="T65" s="441" t="str">
        <f ca="1">IF(IFERROR(VLOOKUP($C65,SUP!$B$54:$Q$104,MATCH($B65&amp;"-"&amp;T$7,SUP!$B$54:$Q$54,0),FALSE),"")="","",IFERROR(VLOOKUP($C65,SUP!$B$54:$Q$104,MATCH($B65&amp;"-"&amp;T$7,SUP!$B$54:$Q$54,0),FALSE),""))</f>
        <v/>
      </c>
      <c r="U65" s="441" t="str">
        <f ca="1">IF(IFERROR(VLOOKUP($C65,SUP!$B$54:$Q$104,MATCH($B65&amp;"-"&amp;U$7,SUP!$B$54:$Q$54,0),FALSE),"")="","",IFERROR(VLOOKUP($C65,SUP!$B$54:$Q$104,MATCH($B65&amp;"-"&amp;U$7,SUP!$B$54:$Q$54,0),FALSE),""))</f>
        <v/>
      </c>
      <c r="V65" s="441" t="str">
        <f ca="1">IF(IFERROR(VLOOKUP($C65,SUP!$B$54:$Q$104,MATCH($B65&amp;"-"&amp;V$7,SUP!$B$54:$Q$54,0),FALSE),"")="","",IFERROR(VLOOKUP($C65,SUP!$B$54:$Q$104,MATCH($B65&amp;"-"&amp;V$7,SUP!$B$54:$Q$54,0),FALSE),""))</f>
        <v/>
      </c>
      <c r="W65" s="441" t="str">
        <f ca="1">IF(IFERROR(VLOOKUP($C65,SUP!$B$54:$Q$104,MATCH($B65&amp;"-"&amp;W$7,SUP!$B$54:$Q$54,0),FALSE),"")="","",IFERROR(VLOOKUP($C65,SUP!$B$54:$Q$104,MATCH($B65&amp;"-"&amp;W$7,SUP!$B$54:$Q$54,0),FALSE),""))</f>
        <v/>
      </c>
      <c r="X65" s="441" t="str">
        <f ca="1">IF(IFERROR(VLOOKUP($C65,SUP!$B$54:$Q$104,MATCH($B65&amp;"-"&amp;X$7,SUP!$B$54:$Q$54,0),FALSE),"")="","",IFERROR(VLOOKUP($C65,SUP!$B$54:$Q$104,MATCH($B65&amp;"-"&amp;X$7,SUP!$B$54:$Q$54,0),FALSE),""))</f>
        <v/>
      </c>
      <c r="Y65" s="441" t="str">
        <f ca="1">IF(IFERROR(VLOOKUP($C65,SUP!$B$54:$Q$104,MATCH($B65&amp;"-"&amp;Y$7,SUP!$B$54:$Q$54,0),FALSE),"")="","",IFERROR(VLOOKUP($C65,SUP!$B$54:$Q$104,MATCH($B65&amp;"-"&amp;Y$7,SUP!$B$54:$Q$54,0),FALSE),""))</f>
        <v/>
      </c>
      <c r="Z65" s="441" t="str">
        <f ca="1">IF(IFERROR(VLOOKUP($C65,SUP!$B$54:$Q$104,MATCH($B65&amp;"-"&amp;Z$7,SUP!$B$54:$Q$54,0),FALSE),"")="","",IFERROR(VLOOKUP($C65,SUP!$B$54:$Q$104,MATCH($B65&amp;"-"&amp;Z$7,SUP!$B$54:$Q$54,0),FALSE),""))</f>
        <v/>
      </c>
      <c r="AA65" s="441" t="str">
        <f ca="1">IF(IFERROR(VLOOKUP($C65,SUP!$B$54:$Q$104,MATCH($B65&amp;"-"&amp;AA$7,SUP!$B$54:$Q$54,0),FALSE),"")="","",IFERROR(VLOOKUP($C65,SUP!$B$54:$Q$104,MATCH($B65&amp;"-"&amp;AA$7,SUP!$B$54:$Q$54,0),FALSE),""))</f>
        <v/>
      </c>
      <c r="AB65" s="441" t="str">
        <f ca="1">IF(IFERROR(VLOOKUP($C65,SUP!$B$54:$Q$104,MATCH($B65&amp;"-"&amp;AB$7,SUP!$B$54:$Q$54,0),FALSE),"")="","",IFERROR(VLOOKUP($C65,SUP!$B$54:$Q$104,MATCH($B65&amp;"-"&amp;AB$7,SUP!$B$54:$Q$54,0),FALSE),""))</f>
        <v/>
      </c>
      <c r="AC65" s="441" t="str">
        <f ca="1">IF(IFERROR(VLOOKUP($C65,SUP!$B$54:$Q$104,MATCH($B65&amp;"-"&amp;AC$7,SUP!$B$54:$Q$54,0),FALSE),"")="","",IFERROR(VLOOKUP($C65,SUP!$B$54:$Q$104,MATCH($B65&amp;"-"&amp;AC$7,SUP!$B$54:$Q$54,0),FALSE),""))</f>
        <v/>
      </c>
      <c r="AD65" s="441" t="str">
        <f ca="1">IF(IFERROR(VLOOKUP($C65,SUP!$B$54:$Q$104,MATCH($B65&amp;"-"&amp;AD$7,SUP!$B$54:$Q$54,0),FALSE),"")="","",IFERROR(VLOOKUP($C65,SUP!$B$54:$Q$104,MATCH($B65&amp;"-"&amp;AD$7,SUP!$B$54:$Q$54,0),FALSE),""))</f>
        <v/>
      </c>
      <c r="AE65" s="441" t="str">
        <f ca="1">IF(IFERROR(VLOOKUP($C65,SUP!$B$54:$Q$104,MATCH($B65&amp;"-"&amp;AE$7,SUP!$B$54:$Q$54,0),FALSE),"")="","",IFERROR(VLOOKUP($C65,SUP!$B$54:$Q$104,MATCH($B65&amp;"-"&amp;AE$7,SUP!$B$54:$Q$54,0),FALSE),""))</f>
        <v/>
      </c>
      <c r="AF65" s="441" t="str">
        <f ca="1">IF(IFERROR(VLOOKUP($C65,SUP!$B$54:$Q$104,MATCH($B65&amp;"-"&amp;AF$7,SUP!$B$54:$Q$54,0),FALSE),"")="","",IFERROR(VLOOKUP($C65,SUP!$B$54:$Q$104,MATCH($B65&amp;"-"&amp;AF$7,SUP!$B$54:$Q$54,0),FALSE),""))</f>
        <v/>
      </c>
      <c r="AG65" s="441" t="str">
        <f ca="1">IF(IFERROR(VLOOKUP($C65,SUP!$B$54:$Q$104,MATCH($B65&amp;"-"&amp;AG$7,SUP!$B$54:$Q$54,0),FALSE),"")="","",IFERROR(VLOOKUP($C65,SUP!$B$54:$Q$104,MATCH($B65&amp;"-"&amp;AG$7,SUP!$B$54:$Q$54,0),FALSE),""))</f>
        <v/>
      </c>
      <c r="AH65" s="441" t="str">
        <f ca="1">IF(IFERROR(VLOOKUP($C65,SUP!$B$54:$Q$104,MATCH($B65&amp;"-"&amp;AH$7,SUP!$B$54:$Q$54,0),FALSE),"")="","",IFERROR(VLOOKUP($C65,SUP!$B$54:$Q$104,MATCH($B65&amp;"-"&amp;AH$7,SUP!$B$54:$Q$54,0),FALSE),""))</f>
        <v/>
      </c>
      <c r="AI65" s="441"/>
      <c r="AJ65" s="441"/>
      <c r="AK65" s="441"/>
      <c r="AL65" s="441"/>
      <c r="AM65" s="441" t="str">
        <f ca="1">IF(IFERROR(VLOOKUP($C65,SUP!$B$54:$Q$104,MATCH($B65&amp;"-"&amp;AM$7,SUP!$B$54:$Q$54,0),FALSE),"")="","",IFERROR(VLOOKUP($C65,SUP!$B$54:$Q$104,MATCH($B65&amp;"-"&amp;AM$7,SUP!$B$54:$Q$54,0),FALSE),""))</f>
        <v/>
      </c>
      <c r="AN65" s="441"/>
      <c r="AO65" s="441"/>
      <c r="AR65" s="42">
        <f>IF(AS64=SUP!$B$104,AR64+1,AR64)</f>
        <v>2</v>
      </c>
      <c r="AS65" s="42">
        <f t="shared" si="6"/>
        <v>6</v>
      </c>
    </row>
    <row r="66" spans="1:45">
      <c r="A66" s="42" t="str">
        <f ca="1">IF(LEFT(OFFSET(SUP!$A$57,AS66,0),2)="\I","*","")</f>
        <v/>
      </c>
      <c r="B66" s="440" t="str">
        <f t="shared" ca="1" si="8"/>
        <v>ACT_BND</v>
      </c>
      <c r="C66" s="440" t="str">
        <f ca="1">IF($A66="*","",OFFSET(SUP!$B$57,AS66,0))</f>
        <v>MINGAS</v>
      </c>
      <c r="D66" s="440" t="str">
        <f t="shared" ca="1" si="7"/>
        <v>-</v>
      </c>
      <c r="E66" s="440" t="str">
        <f t="shared" ca="1" si="7"/>
        <v>-</v>
      </c>
      <c r="F66" s="440" t="str">
        <f t="shared" ca="1" si="7"/>
        <v>-</v>
      </c>
      <c r="G66" s="440" t="str">
        <f t="shared" ca="1" si="7"/>
        <v>ANNUAL</v>
      </c>
      <c r="H66" s="440" t="str">
        <f t="shared" ca="1" si="5"/>
        <v>UP</v>
      </c>
      <c r="I66" s="441">
        <f ca="1">IF(IFERROR(VLOOKUP($C66,SUP!$B$54:$Q$104,MATCH($B66&amp;"-"&amp;I$7,SUP!$B$54:$Q$54,0),FALSE),"")="","",IFERROR(VLOOKUP($C66,SUP!$B$54:$Q$104,MATCH($B66&amp;"-"&amp;I$7,SUP!$B$54:$Q$54,0),FALSE),""))</f>
        <v>3</v>
      </c>
      <c r="J66" s="441">
        <f ca="1">IF(IFERROR(VLOOKUP($C66,SUP!$B$54:$Q$104,MATCH($B66&amp;"-"&amp;J$7,SUP!$B$54:$Q$54,0),FALSE),"")="","",IFERROR(VLOOKUP($C66,SUP!$B$54:$Q$104,MATCH($B66&amp;"-"&amp;J$7,SUP!$B$54:$Q$54,0),FALSE),""))</f>
        <v>0</v>
      </c>
      <c r="K66" s="441" t="str">
        <f ca="1">IF(IFERROR(VLOOKUP($C66,SUP!$B$54:$Q$104,MATCH($B66&amp;"-"&amp;K$7,SUP!$B$54:$Q$54,0),FALSE),"")="","",IFERROR(VLOOKUP($C66,SUP!$B$54:$Q$104,MATCH($B66&amp;"-"&amp;K$7,SUP!$B$54:$Q$54,0),FALSE),""))</f>
        <v/>
      </c>
      <c r="L66" s="441" t="str">
        <f ca="1">IF(IFERROR(VLOOKUP($C66,SUP!$B$54:$Q$104,MATCH($B66&amp;"-"&amp;L$7,SUP!$B$54:$Q$54,0),FALSE),"")="","",IFERROR(VLOOKUP($C66,SUP!$B$54:$Q$104,MATCH($B66&amp;"-"&amp;L$7,SUP!$B$54:$Q$54,0),FALSE),""))</f>
        <v/>
      </c>
      <c r="M66" s="441">
        <f ca="1">IF(IFERROR(VLOOKUP($C66,SUP!$B$54:$Q$104,MATCH($B66&amp;"-"&amp;M$7,SUP!$B$54:$Q$54,0),FALSE),"")="","",IFERROR(VLOOKUP($C66,SUP!$B$54:$Q$104,MATCH($B66&amp;"-"&amp;M$7,SUP!$B$54:$Q$54,0),FALSE),""))</f>
        <v>0</v>
      </c>
      <c r="N66" s="441" t="str">
        <f ca="1">IF(IFERROR(VLOOKUP($C66,SUP!$B$54:$Q$104,MATCH($B66&amp;"-"&amp;N$7,SUP!$B$54:$Q$54,0),FALSE),"")="","",IFERROR(VLOOKUP($C66,SUP!$B$54:$Q$104,MATCH($B66&amp;"-"&amp;N$7,SUP!$B$54:$Q$54,0),FALSE),""))</f>
        <v/>
      </c>
      <c r="O66" s="441" t="str">
        <f ca="1">IF(IFERROR(VLOOKUP($C66,SUP!$B$54:$Q$104,MATCH($B66&amp;"-"&amp;O$7,SUP!$B$54:$Q$54,0),FALSE),"")="","",IFERROR(VLOOKUP($C66,SUP!$B$54:$Q$104,MATCH($B66&amp;"-"&amp;O$7,SUP!$B$54:$Q$54,0),FALSE),""))</f>
        <v/>
      </c>
      <c r="P66" s="441" t="str">
        <f ca="1">IF(IFERROR(VLOOKUP($C66,SUP!$B$54:$Q$104,MATCH($B66&amp;"-"&amp;P$7,SUP!$B$54:$Q$54,0),FALSE),"")="","",IFERROR(VLOOKUP($C66,SUP!$B$54:$Q$104,MATCH($B66&amp;"-"&amp;P$7,SUP!$B$54:$Q$54,0),FALSE),""))</f>
        <v/>
      </c>
      <c r="Q66" s="441" t="str">
        <f ca="1">IF(IFERROR(VLOOKUP($C66,SUP!$B$54:$Q$104,MATCH($B66&amp;"-"&amp;Q$7,SUP!$B$54:$Q$54,0),FALSE),"")="","",IFERROR(VLOOKUP($C66,SUP!$B$54:$Q$104,MATCH($B66&amp;"-"&amp;Q$7,SUP!$B$54:$Q$54,0),FALSE),""))</f>
        <v/>
      </c>
      <c r="R66" s="441" t="str">
        <f ca="1">IF(IFERROR(VLOOKUP($C66,SUP!$B$54:$Q$104,MATCH($B66&amp;"-"&amp;R$7,SUP!$B$54:$Q$54,0),FALSE),"")="","",IFERROR(VLOOKUP($C66,SUP!$B$54:$Q$104,MATCH($B66&amp;"-"&amp;R$7,SUP!$B$54:$Q$54,0),FALSE),""))</f>
        <v/>
      </c>
      <c r="S66" s="441" t="str">
        <f ca="1">IF(IFERROR(VLOOKUP($C66,SUP!$B$54:$Q$104,MATCH($B66&amp;"-"&amp;S$7,SUP!$B$54:$Q$54,0),FALSE),"")="","",IFERROR(VLOOKUP($C66,SUP!$B$54:$Q$104,MATCH($B66&amp;"-"&amp;S$7,SUP!$B$54:$Q$54,0),FALSE),""))</f>
        <v/>
      </c>
      <c r="T66" s="441" t="str">
        <f ca="1">IF(IFERROR(VLOOKUP($C66,SUP!$B$54:$Q$104,MATCH($B66&amp;"-"&amp;T$7,SUP!$B$54:$Q$54,0),FALSE),"")="","",IFERROR(VLOOKUP($C66,SUP!$B$54:$Q$104,MATCH($B66&amp;"-"&amp;T$7,SUP!$B$54:$Q$54,0),FALSE),""))</f>
        <v/>
      </c>
      <c r="U66" s="441" t="str">
        <f ca="1">IF(IFERROR(VLOOKUP($C66,SUP!$B$54:$Q$104,MATCH($B66&amp;"-"&amp;U$7,SUP!$B$54:$Q$54,0),FALSE),"")="","",IFERROR(VLOOKUP($C66,SUP!$B$54:$Q$104,MATCH($B66&amp;"-"&amp;U$7,SUP!$B$54:$Q$54,0),FALSE),""))</f>
        <v/>
      </c>
      <c r="V66" s="441" t="str">
        <f ca="1">IF(IFERROR(VLOOKUP($C66,SUP!$B$54:$Q$104,MATCH($B66&amp;"-"&amp;V$7,SUP!$B$54:$Q$54,0),FALSE),"")="","",IFERROR(VLOOKUP($C66,SUP!$B$54:$Q$104,MATCH($B66&amp;"-"&amp;V$7,SUP!$B$54:$Q$54,0),FALSE),""))</f>
        <v/>
      </c>
      <c r="W66" s="441" t="str">
        <f ca="1">IF(IFERROR(VLOOKUP($C66,SUP!$B$54:$Q$104,MATCH($B66&amp;"-"&amp;W$7,SUP!$B$54:$Q$54,0),FALSE),"")="","",IFERROR(VLOOKUP($C66,SUP!$B$54:$Q$104,MATCH($B66&amp;"-"&amp;W$7,SUP!$B$54:$Q$54,0),FALSE),""))</f>
        <v/>
      </c>
      <c r="X66" s="441" t="str">
        <f ca="1">IF(IFERROR(VLOOKUP($C66,SUP!$B$54:$Q$104,MATCH($B66&amp;"-"&amp;X$7,SUP!$B$54:$Q$54,0),FALSE),"")="","",IFERROR(VLOOKUP($C66,SUP!$B$54:$Q$104,MATCH($B66&amp;"-"&amp;X$7,SUP!$B$54:$Q$54,0),FALSE),""))</f>
        <v/>
      </c>
      <c r="Y66" s="441" t="str">
        <f ca="1">IF(IFERROR(VLOOKUP($C66,SUP!$B$54:$Q$104,MATCH($B66&amp;"-"&amp;Y$7,SUP!$B$54:$Q$54,0),FALSE),"")="","",IFERROR(VLOOKUP($C66,SUP!$B$54:$Q$104,MATCH($B66&amp;"-"&amp;Y$7,SUP!$B$54:$Q$54,0),FALSE),""))</f>
        <v/>
      </c>
      <c r="Z66" s="441" t="str">
        <f ca="1">IF(IFERROR(VLOOKUP($C66,SUP!$B$54:$Q$104,MATCH($B66&amp;"-"&amp;Z$7,SUP!$B$54:$Q$54,0),FALSE),"")="","",IFERROR(VLOOKUP($C66,SUP!$B$54:$Q$104,MATCH($B66&amp;"-"&amp;Z$7,SUP!$B$54:$Q$54,0),FALSE),""))</f>
        <v/>
      </c>
      <c r="AA66" s="441" t="str">
        <f ca="1">IF(IFERROR(VLOOKUP($C66,SUP!$B$54:$Q$104,MATCH($B66&amp;"-"&amp;AA$7,SUP!$B$54:$Q$54,0),FALSE),"")="","",IFERROR(VLOOKUP($C66,SUP!$B$54:$Q$104,MATCH($B66&amp;"-"&amp;AA$7,SUP!$B$54:$Q$54,0),FALSE),""))</f>
        <v/>
      </c>
      <c r="AB66" s="441" t="str">
        <f ca="1">IF(IFERROR(VLOOKUP($C66,SUP!$B$54:$Q$104,MATCH($B66&amp;"-"&amp;AB$7,SUP!$B$54:$Q$54,0),FALSE),"")="","",IFERROR(VLOOKUP($C66,SUP!$B$54:$Q$104,MATCH($B66&amp;"-"&amp;AB$7,SUP!$B$54:$Q$54,0),FALSE),""))</f>
        <v/>
      </c>
      <c r="AC66" s="441" t="str">
        <f ca="1">IF(IFERROR(VLOOKUP($C66,SUP!$B$54:$Q$104,MATCH($B66&amp;"-"&amp;AC$7,SUP!$B$54:$Q$54,0),FALSE),"")="","",IFERROR(VLOOKUP($C66,SUP!$B$54:$Q$104,MATCH($B66&amp;"-"&amp;AC$7,SUP!$B$54:$Q$54,0),FALSE),""))</f>
        <v/>
      </c>
      <c r="AD66" s="441" t="str">
        <f ca="1">IF(IFERROR(VLOOKUP($C66,SUP!$B$54:$Q$104,MATCH($B66&amp;"-"&amp;AD$7,SUP!$B$54:$Q$54,0),FALSE),"")="","",IFERROR(VLOOKUP($C66,SUP!$B$54:$Q$104,MATCH($B66&amp;"-"&amp;AD$7,SUP!$B$54:$Q$54,0),FALSE),""))</f>
        <v/>
      </c>
      <c r="AE66" s="441" t="str">
        <f ca="1">IF(IFERROR(VLOOKUP($C66,SUP!$B$54:$Q$104,MATCH($B66&amp;"-"&amp;AE$7,SUP!$B$54:$Q$54,0),FALSE),"")="","",IFERROR(VLOOKUP($C66,SUP!$B$54:$Q$104,MATCH($B66&amp;"-"&amp;AE$7,SUP!$B$54:$Q$54,0),FALSE),""))</f>
        <v/>
      </c>
      <c r="AF66" s="441" t="str">
        <f ca="1">IF(IFERROR(VLOOKUP($C66,SUP!$B$54:$Q$104,MATCH($B66&amp;"-"&amp;AF$7,SUP!$B$54:$Q$54,0),FALSE),"")="","",IFERROR(VLOOKUP($C66,SUP!$B$54:$Q$104,MATCH($B66&amp;"-"&amp;AF$7,SUP!$B$54:$Q$54,0),FALSE),""))</f>
        <v/>
      </c>
      <c r="AG66" s="441" t="str">
        <f ca="1">IF(IFERROR(VLOOKUP($C66,SUP!$B$54:$Q$104,MATCH($B66&amp;"-"&amp;AG$7,SUP!$B$54:$Q$54,0),FALSE),"")="","",IFERROR(VLOOKUP($C66,SUP!$B$54:$Q$104,MATCH($B66&amp;"-"&amp;AG$7,SUP!$B$54:$Q$54,0),FALSE),""))</f>
        <v/>
      </c>
      <c r="AH66" s="441" t="str">
        <f ca="1">IF(IFERROR(VLOOKUP($C66,SUP!$B$54:$Q$104,MATCH($B66&amp;"-"&amp;AH$7,SUP!$B$54:$Q$54,0),FALSE),"")="","",IFERROR(VLOOKUP($C66,SUP!$B$54:$Q$104,MATCH($B66&amp;"-"&amp;AH$7,SUP!$B$54:$Q$54,0),FALSE),""))</f>
        <v/>
      </c>
      <c r="AI66" s="441"/>
      <c r="AJ66" s="441"/>
      <c r="AK66" s="441"/>
      <c r="AL66" s="441"/>
      <c r="AM66" s="441" t="str">
        <f ca="1">IF(IFERROR(VLOOKUP($C66,SUP!$B$54:$Q$104,MATCH($B66&amp;"-"&amp;AM$7,SUP!$B$54:$Q$54,0),FALSE),"")="","",IFERROR(VLOOKUP($C66,SUP!$B$54:$Q$104,MATCH($B66&amp;"-"&amp;AM$7,SUP!$B$54:$Q$54,0),FALSE),""))</f>
        <v/>
      </c>
      <c r="AN66" s="441"/>
      <c r="AO66" s="441"/>
      <c r="AR66" s="42">
        <f>IF(AS65=SUP!$B$104,AR65+1,AR65)</f>
        <v>2</v>
      </c>
      <c r="AS66" s="42">
        <f t="shared" si="6"/>
        <v>7</v>
      </c>
    </row>
    <row r="67" spans="1:45">
      <c r="A67" s="42" t="str">
        <f ca="1">IF(LEFT(OFFSET(SUP!$A$57,AS67,0),2)="\I","*","")</f>
        <v/>
      </c>
      <c r="B67" s="440" t="str">
        <f t="shared" ca="1" si="8"/>
        <v>ACT_BND</v>
      </c>
      <c r="C67" s="440" t="str">
        <f ca="1">IF($A67="*","",OFFSET(SUP!$B$57,AS67,0))</f>
        <v>MINGIH</v>
      </c>
      <c r="D67" s="440" t="str">
        <f t="shared" ca="1" si="7"/>
        <v>-</v>
      </c>
      <c r="E67" s="440" t="str">
        <f t="shared" ca="1" si="7"/>
        <v>-</v>
      </c>
      <c r="F67" s="440" t="str">
        <f t="shared" ca="1" si="7"/>
        <v>-</v>
      </c>
      <c r="G67" s="440" t="str">
        <f t="shared" ca="1" si="7"/>
        <v>ANNUAL</v>
      </c>
      <c r="H67" s="440" t="str">
        <f t="shared" ca="1" si="5"/>
        <v>UP</v>
      </c>
      <c r="I67" s="441">
        <f ca="1">IF(IFERROR(VLOOKUP($C67,SUP!$B$54:$Q$104,MATCH($B67&amp;"-"&amp;I$7,SUP!$B$54:$Q$54,0),FALSE),"")="","",IFERROR(VLOOKUP($C67,SUP!$B$54:$Q$104,MATCH($B67&amp;"-"&amp;I$7,SUP!$B$54:$Q$54,0),FALSE),""))</f>
        <v>3</v>
      </c>
      <c r="J67" s="441">
        <f ca="1">IF(IFERROR(VLOOKUP($C67,SUP!$B$54:$Q$104,MATCH($B67&amp;"-"&amp;J$7,SUP!$B$54:$Q$54,0),FALSE),"")="","",IFERROR(VLOOKUP($C67,SUP!$B$54:$Q$104,MATCH($B67&amp;"-"&amp;J$7,SUP!$B$54:$Q$54,0),FALSE),""))</f>
        <v>0</v>
      </c>
      <c r="K67" s="441" t="str">
        <f ca="1">IF(IFERROR(VLOOKUP($C67,SUP!$B$54:$Q$104,MATCH($B67&amp;"-"&amp;K$7,SUP!$B$54:$Q$54,0),FALSE),"")="","",IFERROR(VLOOKUP($C67,SUP!$B$54:$Q$104,MATCH($B67&amp;"-"&amp;K$7,SUP!$B$54:$Q$54,0),FALSE),""))</f>
        <v/>
      </c>
      <c r="L67" s="441" t="str">
        <f ca="1">IF(IFERROR(VLOOKUP($C67,SUP!$B$54:$Q$104,MATCH($B67&amp;"-"&amp;L$7,SUP!$B$54:$Q$54,0),FALSE),"")="","",IFERROR(VLOOKUP($C67,SUP!$B$54:$Q$104,MATCH($B67&amp;"-"&amp;L$7,SUP!$B$54:$Q$54,0),FALSE),""))</f>
        <v/>
      </c>
      <c r="M67" s="441">
        <f ca="1">IF(IFERROR(VLOOKUP($C67,SUP!$B$54:$Q$104,MATCH($B67&amp;"-"&amp;M$7,SUP!$B$54:$Q$54,0),FALSE),"")="","",IFERROR(VLOOKUP($C67,SUP!$B$54:$Q$104,MATCH($B67&amp;"-"&amp;M$7,SUP!$B$54:$Q$54,0),FALSE),""))</f>
        <v>0</v>
      </c>
      <c r="N67" s="441" t="str">
        <f ca="1">IF(IFERROR(VLOOKUP($C67,SUP!$B$54:$Q$104,MATCH($B67&amp;"-"&amp;N$7,SUP!$B$54:$Q$54,0),FALSE),"")="","",IFERROR(VLOOKUP($C67,SUP!$B$54:$Q$104,MATCH($B67&amp;"-"&amp;N$7,SUP!$B$54:$Q$54,0),FALSE),""))</f>
        <v/>
      </c>
      <c r="O67" s="441" t="str">
        <f ca="1">IF(IFERROR(VLOOKUP($C67,SUP!$B$54:$Q$104,MATCH($B67&amp;"-"&amp;O$7,SUP!$B$54:$Q$54,0),FALSE),"")="","",IFERROR(VLOOKUP($C67,SUP!$B$54:$Q$104,MATCH($B67&amp;"-"&amp;O$7,SUP!$B$54:$Q$54,0),FALSE),""))</f>
        <v/>
      </c>
      <c r="P67" s="441" t="str">
        <f ca="1">IF(IFERROR(VLOOKUP($C67,SUP!$B$54:$Q$104,MATCH($B67&amp;"-"&amp;P$7,SUP!$B$54:$Q$54,0),FALSE),"")="","",IFERROR(VLOOKUP($C67,SUP!$B$54:$Q$104,MATCH($B67&amp;"-"&amp;P$7,SUP!$B$54:$Q$54,0),FALSE),""))</f>
        <v/>
      </c>
      <c r="Q67" s="441" t="str">
        <f ca="1">IF(IFERROR(VLOOKUP($C67,SUP!$B$54:$Q$104,MATCH($B67&amp;"-"&amp;Q$7,SUP!$B$54:$Q$54,0),FALSE),"")="","",IFERROR(VLOOKUP($C67,SUP!$B$54:$Q$104,MATCH($B67&amp;"-"&amp;Q$7,SUP!$B$54:$Q$54,0),FALSE),""))</f>
        <v/>
      </c>
      <c r="R67" s="441" t="str">
        <f ca="1">IF(IFERROR(VLOOKUP($C67,SUP!$B$54:$Q$104,MATCH($B67&amp;"-"&amp;R$7,SUP!$B$54:$Q$54,0),FALSE),"")="","",IFERROR(VLOOKUP($C67,SUP!$B$54:$Q$104,MATCH($B67&amp;"-"&amp;R$7,SUP!$B$54:$Q$54,0),FALSE),""))</f>
        <v/>
      </c>
      <c r="S67" s="441" t="str">
        <f ca="1">IF(IFERROR(VLOOKUP($C67,SUP!$B$54:$Q$104,MATCH($B67&amp;"-"&amp;S$7,SUP!$B$54:$Q$54,0),FALSE),"")="","",IFERROR(VLOOKUP($C67,SUP!$B$54:$Q$104,MATCH($B67&amp;"-"&amp;S$7,SUP!$B$54:$Q$54,0),FALSE),""))</f>
        <v/>
      </c>
      <c r="T67" s="441" t="str">
        <f ca="1">IF(IFERROR(VLOOKUP($C67,SUP!$B$54:$Q$104,MATCH($B67&amp;"-"&amp;T$7,SUP!$B$54:$Q$54,0),FALSE),"")="","",IFERROR(VLOOKUP($C67,SUP!$B$54:$Q$104,MATCH($B67&amp;"-"&amp;T$7,SUP!$B$54:$Q$54,0),FALSE),""))</f>
        <v/>
      </c>
      <c r="U67" s="441" t="str">
        <f ca="1">IF(IFERROR(VLOOKUP($C67,SUP!$B$54:$Q$104,MATCH($B67&amp;"-"&amp;U$7,SUP!$B$54:$Q$54,0),FALSE),"")="","",IFERROR(VLOOKUP($C67,SUP!$B$54:$Q$104,MATCH($B67&amp;"-"&amp;U$7,SUP!$B$54:$Q$54,0),FALSE),""))</f>
        <v/>
      </c>
      <c r="V67" s="441" t="str">
        <f ca="1">IF(IFERROR(VLOOKUP($C67,SUP!$B$54:$Q$104,MATCH($B67&amp;"-"&amp;V$7,SUP!$B$54:$Q$54,0),FALSE),"")="","",IFERROR(VLOOKUP($C67,SUP!$B$54:$Q$104,MATCH($B67&amp;"-"&amp;V$7,SUP!$B$54:$Q$54,0),FALSE),""))</f>
        <v/>
      </c>
      <c r="W67" s="441" t="str">
        <f ca="1">IF(IFERROR(VLOOKUP($C67,SUP!$B$54:$Q$104,MATCH($B67&amp;"-"&amp;W$7,SUP!$B$54:$Q$54,0),FALSE),"")="","",IFERROR(VLOOKUP($C67,SUP!$B$54:$Q$104,MATCH($B67&amp;"-"&amp;W$7,SUP!$B$54:$Q$54,0),FALSE),""))</f>
        <v/>
      </c>
      <c r="X67" s="441" t="str">
        <f ca="1">IF(IFERROR(VLOOKUP($C67,SUP!$B$54:$Q$104,MATCH($B67&amp;"-"&amp;X$7,SUP!$B$54:$Q$54,0),FALSE),"")="","",IFERROR(VLOOKUP($C67,SUP!$B$54:$Q$104,MATCH($B67&amp;"-"&amp;X$7,SUP!$B$54:$Q$54,0),FALSE),""))</f>
        <v/>
      </c>
      <c r="Y67" s="441" t="str">
        <f ca="1">IF(IFERROR(VLOOKUP($C67,SUP!$B$54:$Q$104,MATCH($B67&amp;"-"&amp;Y$7,SUP!$B$54:$Q$54,0),FALSE),"")="","",IFERROR(VLOOKUP($C67,SUP!$B$54:$Q$104,MATCH($B67&amp;"-"&amp;Y$7,SUP!$B$54:$Q$54,0),FALSE),""))</f>
        <v/>
      </c>
      <c r="Z67" s="441" t="str">
        <f ca="1">IF(IFERROR(VLOOKUP($C67,SUP!$B$54:$Q$104,MATCH($B67&amp;"-"&amp;Z$7,SUP!$B$54:$Q$54,0),FALSE),"")="","",IFERROR(VLOOKUP($C67,SUP!$B$54:$Q$104,MATCH($B67&amp;"-"&amp;Z$7,SUP!$B$54:$Q$54,0),FALSE),""))</f>
        <v/>
      </c>
      <c r="AA67" s="441" t="str">
        <f ca="1">IF(IFERROR(VLOOKUP($C67,SUP!$B$54:$Q$104,MATCH($B67&amp;"-"&amp;AA$7,SUP!$B$54:$Q$54,0),FALSE),"")="","",IFERROR(VLOOKUP($C67,SUP!$B$54:$Q$104,MATCH($B67&amp;"-"&amp;AA$7,SUP!$B$54:$Q$54,0),FALSE),""))</f>
        <v/>
      </c>
      <c r="AB67" s="441" t="str">
        <f ca="1">IF(IFERROR(VLOOKUP($C67,SUP!$B$54:$Q$104,MATCH($B67&amp;"-"&amp;AB$7,SUP!$B$54:$Q$54,0),FALSE),"")="","",IFERROR(VLOOKUP($C67,SUP!$B$54:$Q$104,MATCH($B67&amp;"-"&amp;AB$7,SUP!$B$54:$Q$54,0),FALSE),""))</f>
        <v/>
      </c>
      <c r="AC67" s="441" t="str">
        <f ca="1">IF(IFERROR(VLOOKUP($C67,SUP!$B$54:$Q$104,MATCH($B67&amp;"-"&amp;AC$7,SUP!$B$54:$Q$54,0),FALSE),"")="","",IFERROR(VLOOKUP($C67,SUP!$B$54:$Q$104,MATCH($B67&amp;"-"&amp;AC$7,SUP!$B$54:$Q$54,0),FALSE),""))</f>
        <v/>
      </c>
      <c r="AD67" s="441" t="str">
        <f ca="1">IF(IFERROR(VLOOKUP($C67,SUP!$B$54:$Q$104,MATCH($B67&amp;"-"&amp;AD$7,SUP!$B$54:$Q$54,0),FALSE),"")="","",IFERROR(VLOOKUP($C67,SUP!$B$54:$Q$104,MATCH($B67&amp;"-"&amp;AD$7,SUP!$B$54:$Q$54,0),FALSE),""))</f>
        <v/>
      </c>
      <c r="AE67" s="441" t="str">
        <f ca="1">IF(IFERROR(VLOOKUP($C67,SUP!$B$54:$Q$104,MATCH($B67&amp;"-"&amp;AE$7,SUP!$B$54:$Q$54,0),FALSE),"")="","",IFERROR(VLOOKUP($C67,SUP!$B$54:$Q$104,MATCH($B67&amp;"-"&amp;AE$7,SUP!$B$54:$Q$54,0),FALSE),""))</f>
        <v/>
      </c>
      <c r="AF67" s="441" t="str">
        <f ca="1">IF(IFERROR(VLOOKUP($C67,SUP!$B$54:$Q$104,MATCH($B67&amp;"-"&amp;AF$7,SUP!$B$54:$Q$54,0),FALSE),"")="","",IFERROR(VLOOKUP($C67,SUP!$B$54:$Q$104,MATCH($B67&amp;"-"&amp;AF$7,SUP!$B$54:$Q$54,0),FALSE),""))</f>
        <v/>
      </c>
      <c r="AG67" s="441" t="str">
        <f ca="1">IF(IFERROR(VLOOKUP($C67,SUP!$B$54:$Q$104,MATCH($B67&amp;"-"&amp;AG$7,SUP!$B$54:$Q$54,0),FALSE),"")="","",IFERROR(VLOOKUP($C67,SUP!$B$54:$Q$104,MATCH($B67&amp;"-"&amp;AG$7,SUP!$B$54:$Q$54,0),FALSE),""))</f>
        <v/>
      </c>
      <c r="AH67" s="441" t="str">
        <f ca="1">IF(IFERROR(VLOOKUP($C67,SUP!$B$54:$Q$104,MATCH($B67&amp;"-"&amp;AH$7,SUP!$B$54:$Q$54,0),FALSE),"")="","",IFERROR(VLOOKUP($C67,SUP!$B$54:$Q$104,MATCH($B67&amp;"-"&amp;AH$7,SUP!$B$54:$Q$54,0),FALSE),""))</f>
        <v/>
      </c>
      <c r="AI67" s="441"/>
      <c r="AJ67" s="441"/>
      <c r="AK67" s="441"/>
      <c r="AL67" s="441"/>
      <c r="AM67" s="441" t="str">
        <f ca="1">IF(IFERROR(VLOOKUP($C67,SUP!$B$54:$Q$104,MATCH($B67&amp;"-"&amp;AM$7,SUP!$B$54:$Q$54,0),FALSE),"")="","",IFERROR(VLOOKUP($C67,SUP!$B$54:$Q$104,MATCH($B67&amp;"-"&amp;AM$7,SUP!$B$54:$Q$54,0),FALSE),""))</f>
        <v/>
      </c>
      <c r="AN67" s="441"/>
      <c r="AO67" s="441"/>
      <c r="AR67" s="42">
        <f>IF(AS66=SUP!$B$104,AR66+1,AR66)</f>
        <v>2</v>
      </c>
      <c r="AS67" s="42">
        <f t="shared" si="6"/>
        <v>8</v>
      </c>
    </row>
    <row r="68" spans="1:45">
      <c r="A68" s="42" t="str">
        <f ca="1">IF(LEFT(OFFSET(SUP!$A$57,AS68,0),2)="\I","*","")</f>
        <v>*</v>
      </c>
      <c r="B68" s="440" t="str">
        <f t="shared" ca="1" si="8"/>
        <v/>
      </c>
      <c r="C68" s="440" t="str">
        <f ca="1">IF($A68="*","",OFFSET(SUP!$B$57,AS68,0))</f>
        <v/>
      </c>
      <c r="D68" s="440" t="str">
        <f t="shared" ca="1" si="7"/>
        <v/>
      </c>
      <c r="E68" s="440" t="str">
        <f t="shared" ca="1" si="7"/>
        <v/>
      </c>
      <c r="F68" s="440" t="str">
        <f t="shared" ca="1" si="7"/>
        <v/>
      </c>
      <c r="G68" s="440" t="str">
        <f t="shared" ca="1" si="7"/>
        <v/>
      </c>
      <c r="H68" s="440" t="str">
        <f t="shared" ca="1" si="5"/>
        <v/>
      </c>
      <c r="I68" s="441" t="str">
        <f ca="1">IF(IFERROR(VLOOKUP($C68,SUP!$B$54:$Q$104,MATCH($B68&amp;"-"&amp;I$7,SUP!$B$54:$Q$54,0),FALSE),"")="","",IFERROR(VLOOKUP($C68,SUP!$B$54:$Q$104,MATCH($B68&amp;"-"&amp;I$7,SUP!$B$54:$Q$54,0),FALSE),""))</f>
        <v/>
      </c>
      <c r="J68" s="441" t="str">
        <f ca="1">IF(IFERROR(VLOOKUP($C68,SUP!$B$54:$Q$104,MATCH($B68&amp;"-"&amp;J$7,SUP!$B$54:$Q$54,0),FALSE),"")="","",IFERROR(VLOOKUP($C68,SUP!$B$54:$Q$104,MATCH($B68&amp;"-"&amp;J$7,SUP!$B$54:$Q$54,0),FALSE),""))</f>
        <v/>
      </c>
      <c r="K68" s="441" t="str">
        <f ca="1">IF(IFERROR(VLOOKUP($C68,SUP!$B$54:$Q$104,MATCH($B68&amp;"-"&amp;K$7,SUP!$B$54:$Q$54,0),FALSE),"")="","",IFERROR(VLOOKUP($C68,SUP!$B$54:$Q$104,MATCH($B68&amp;"-"&amp;K$7,SUP!$B$54:$Q$54,0),FALSE),""))</f>
        <v/>
      </c>
      <c r="L68" s="441" t="str">
        <f ca="1">IF(IFERROR(VLOOKUP($C68,SUP!$B$54:$Q$104,MATCH($B68&amp;"-"&amp;L$7,SUP!$B$54:$Q$54,0),FALSE),"")="","",IFERROR(VLOOKUP($C68,SUP!$B$54:$Q$104,MATCH($B68&amp;"-"&amp;L$7,SUP!$B$54:$Q$54,0),FALSE),""))</f>
        <v/>
      </c>
      <c r="M68" s="441" t="str">
        <f ca="1">IF(IFERROR(VLOOKUP($C68,SUP!$B$54:$Q$104,MATCH($B68&amp;"-"&amp;M$7,SUP!$B$54:$Q$54,0),FALSE),"")="","",IFERROR(VLOOKUP($C68,SUP!$B$54:$Q$104,MATCH($B68&amp;"-"&amp;M$7,SUP!$B$54:$Q$54,0),FALSE),""))</f>
        <v/>
      </c>
      <c r="N68" s="441" t="str">
        <f ca="1">IF(IFERROR(VLOOKUP($C68,SUP!$B$54:$Q$104,MATCH($B68&amp;"-"&amp;N$7,SUP!$B$54:$Q$54,0),FALSE),"")="","",IFERROR(VLOOKUP($C68,SUP!$B$54:$Q$104,MATCH($B68&amp;"-"&amp;N$7,SUP!$B$54:$Q$54,0),FALSE),""))</f>
        <v/>
      </c>
      <c r="O68" s="441" t="str">
        <f ca="1">IF(IFERROR(VLOOKUP($C68,SUP!$B$54:$Q$104,MATCH($B68&amp;"-"&amp;O$7,SUP!$B$54:$Q$54,0),FALSE),"")="","",IFERROR(VLOOKUP($C68,SUP!$B$54:$Q$104,MATCH($B68&amp;"-"&amp;O$7,SUP!$B$54:$Q$54,0),FALSE),""))</f>
        <v/>
      </c>
      <c r="P68" s="441" t="str">
        <f ca="1">IF(IFERROR(VLOOKUP($C68,SUP!$B$54:$Q$104,MATCH($B68&amp;"-"&amp;P$7,SUP!$B$54:$Q$54,0),FALSE),"")="","",IFERROR(VLOOKUP($C68,SUP!$B$54:$Q$104,MATCH($B68&amp;"-"&amp;P$7,SUP!$B$54:$Q$54,0),FALSE),""))</f>
        <v/>
      </c>
      <c r="Q68" s="441" t="str">
        <f ca="1">IF(IFERROR(VLOOKUP($C68,SUP!$B$54:$Q$104,MATCH($B68&amp;"-"&amp;Q$7,SUP!$B$54:$Q$54,0),FALSE),"")="","",IFERROR(VLOOKUP($C68,SUP!$B$54:$Q$104,MATCH($B68&amp;"-"&amp;Q$7,SUP!$B$54:$Q$54,0),FALSE),""))</f>
        <v/>
      </c>
      <c r="R68" s="441" t="str">
        <f ca="1">IF(IFERROR(VLOOKUP($C68,SUP!$B$54:$Q$104,MATCH($B68&amp;"-"&amp;R$7,SUP!$B$54:$Q$54,0),FALSE),"")="","",IFERROR(VLOOKUP($C68,SUP!$B$54:$Q$104,MATCH($B68&amp;"-"&amp;R$7,SUP!$B$54:$Q$54,0),FALSE),""))</f>
        <v/>
      </c>
      <c r="S68" s="441" t="str">
        <f ca="1">IF(IFERROR(VLOOKUP($C68,SUP!$B$54:$Q$104,MATCH($B68&amp;"-"&amp;S$7,SUP!$B$54:$Q$54,0),FALSE),"")="","",IFERROR(VLOOKUP($C68,SUP!$B$54:$Q$104,MATCH($B68&amp;"-"&amp;S$7,SUP!$B$54:$Q$54,0),FALSE),""))</f>
        <v/>
      </c>
      <c r="T68" s="441" t="str">
        <f ca="1">IF(IFERROR(VLOOKUP($C68,SUP!$B$54:$Q$104,MATCH($B68&amp;"-"&amp;T$7,SUP!$B$54:$Q$54,0),FALSE),"")="","",IFERROR(VLOOKUP($C68,SUP!$B$54:$Q$104,MATCH($B68&amp;"-"&amp;T$7,SUP!$B$54:$Q$54,0),FALSE),""))</f>
        <v/>
      </c>
      <c r="U68" s="441" t="str">
        <f ca="1">IF(IFERROR(VLOOKUP($C68,SUP!$B$54:$Q$104,MATCH($B68&amp;"-"&amp;U$7,SUP!$B$54:$Q$54,0),FALSE),"")="","",IFERROR(VLOOKUP($C68,SUP!$B$54:$Q$104,MATCH($B68&amp;"-"&amp;U$7,SUP!$B$54:$Q$54,0),FALSE),""))</f>
        <v/>
      </c>
      <c r="V68" s="441" t="str">
        <f ca="1">IF(IFERROR(VLOOKUP($C68,SUP!$B$54:$Q$104,MATCH($B68&amp;"-"&amp;V$7,SUP!$B$54:$Q$54,0),FALSE),"")="","",IFERROR(VLOOKUP($C68,SUP!$B$54:$Q$104,MATCH($B68&amp;"-"&amp;V$7,SUP!$B$54:$Q$54,0),FALSE),""))</f>
        <v/>
      </c>
      <c r="W68" s="441" t="str">
        <f ca="1">IF(IFERROR(VLOOKUP($C68,SUP!$B$54:$Q$104,MATCH($B68&amp;"-"&amp;W$7,SUP!$B$54:$Q$54,0),FALSE),"")="","",IFERROR(VLOOKUP($C68,SUP!$B$54:$Q$104,MATCH($B68&amp;"-"&amp;W$7,SUP!$B$54:$Q$54,0),FALSE),""))</f>
        <v/>
      </c>
      <c r="X68" s="441" t="str">
        <f ca="1">IF(IFERROR(VLOOKUP($C68,SUP!$B$54:$Q$104,MATCH($B68&amp;"-"&amp;X$7,SUP!$B$54:$Q$54,0),FALSE),"")="","",IFERROR(VLOOKUP($C68,SUP!$B$54:$Q$104,MATCH($B68&amp;"-"&amp;X$7,SUP!$B$54:$Q$54,0),FALSE),""))</f>
        <v/>
      </c>
      <c r="Y68" s="441" t="str">
        <f ca="1">IF(IFERROR(VLOOKUP($C68,SUP!$B$54:$Q$104,MATCH($B68&amp;"-"&amp;Y$7,SUP!$B$54:$Q$54,0),FALSE),"")="","",IFERROR(VLOOKUP($C68,SUP!$B$54:$Q$104,MATCH($B68&amp;"-"&amp;Y$7,SUP!$B$54:$Q$54,0),FALSE),""))</f>
        <v/>
      </c>
      <c r="Z68" s="441" t="str">
        <f ca="1">IF(IFERROR(VLOOKUP($C68,SUP!$B$54:$Q$104,MATCH($B68&amp;"-"&amp;Z$7,SUP!$B$54:$Q$54,0),FALSE),"")="","",IFERROR(VLOOKUP($C68,SUP!$B$54:$Q$104,MATCH($B68&amp;"-"&amp;Z$7,SUP!$B$54:$Q$54,0),FALSE),""))</f>
        <v/>
      </c>
      <c r="AA68" s="441" t="str">
        <f ca="1">IF(IFERROR(VLOOKUP($C68,SUP!$B$54:$Q$104,MATCH($B68&amp;"-"&amp;AA$7,SUP!$B$54:$Q$54,0),FALSE),"")="","",IFERROR(VLOOKUP($C68,SUP!$B$54:$Q$104,MATCH($B68&amp;"-"&amp;AA$7,SUP!$B$54:$Q$54,0),FALSE),""))</f>
        <v/>
      </c>
      <c r="AB68" s="441" t="str">
        <f ca="1">IF(IFERROR(VLOOKUP($C68,SUP!$B$54:$Q$104,MATCH($B68&amp;"-"&amp;AB$7,SUP!$B$54:$Q$54,0),FALSE),"")="","",IFERROR(VLOOKUP($C68,SUP!$B$54:$Q$104,MATCH($B68&amp;"-"&amp;AB$7,SUP!$B$54:$Q$54,0),FALSE),""))</f>
        <v/>
      </c>
      <c r="AC68" s="441" t="str">
        <f ca="1">IF(IFERROR(VLOOKUP($C68,SUP!$B$54:$Q$104,MATCH($B68&amp;"-"&amp;AC$7,SUP!$B$54:$Q$54,0),FALSE),"")="","",IFERROR(VLOOKUP($C68,SUP!$B$54:$Q$104,MATCH($B68&amp;"-"&amp;AC$7,SUP!$B$54:$Q$54,0),FALSE),""))</f>
        <v/>
      </c>
      <c r="AD68" s="441" t="str">
        <f ca="1">IF(IFERROR(VLOOKUP($C68,SUP!$B$54:$Q$104,MATCH($B68&amp;"-"&amp;AD$7,SUP!$B$54:$Q$54,0),FALSE),"")="","",IFERROR(VLOOKUP($C68,SUP!$B$54:$Q$104,MATCH($B68&amp;"-"&amp;AD$7,SUP!$B$54:$Q$54,0),FALSE),""))</f>
        <v/>
      </c>
      <c r="AE68" s="441" t="str">
        <f ca="1">IF(IFERROR(VLOOKUP($C68,SUP!$B$54:$Q$104,MATCH($B68&amp;"-"&amp;AE$7,SUP!$B$54:$Q$54,0),FALSE),"")="","",IFERROR(VLOOKUP($C68,SUP!$B$54:$Q$104,MATCH($B68&amp;"-"&amp;AE$7,SUP!$B$54:$Q$54,0),FALSE),""))</f>
        <v/>
      </c>
      <c r="AF68" s="441" t="str">
        <f ca="1">IF(IFERROR(VLOOKUP($C68,SUP!$B$54:$Q$104,MATCH($B68&amp;"-"&amp;AF$7,SUP!$B$54:$Q$54,0),FALSE),"")="","",IFERROR(VLOOKUP($C68,SUP!$B$54:$Q$104,MATCH($B68&amp;"-"&amp;AF$7,SUP!$B$54:$Q$54,0),FALSE),""))</f>
        <v/>
      </c>
      <c r="AG68" s="441" t="str">
        <f ca="1">IF(IFERROR(VLOOKUP($C68,SUP!$B$54:$Q$104,MATCH($B68&amp;"-"&amp;AG$7,SUP!$B$54:$Q$54,0),FALSE),"")="","",IFERROR(VLOOKUP($C68,SUP!$B$54:$Q$104,MATCH($B68&amp;"-"&amp;AG$7,SUP!$B$54:$Q$54,0),FALSE),""))</f>
        <v/>
      </c>
      <c r="AH68" s="441" t="str">
        <f ca="1">IF(IFERROR(VLOOKUP($C68,SUP!$B$54:$Q$104,MATCH($B68&amp;"-"&amp;AH$7,SUP!$B$54:$Q$54,0),FALSE),"")="","",IFERROR(VLOOKUP($C68,SUP!$B$54:$Q$104,MATCH($B68&amp;"-"&amp;AH$7,SUP!$B$54:$Q$54,0),FALSE),""))</f>
        <v/>
      </c>
      <c r="AI68" s="441"/>
      <c r="AJ68" s="441"/>
      <c r="AK68" s="441"/>
      <c r="AL68" s="441"/>
      <c r="AM68" s="441" t="str">
        <f ca="1">IF(IFERROR(VLOOKUP($C68,SUP!$B$54:$Q$104,MATCH($B68&amp;"-"&amp;AM$7,SUP!$B$54:$Q$54,0),FALSE),"")="","",IFERROR(VLOOKUP($C68,SUP!$B$54:$Q$104,MATCH($B68&amp;"-"&amp;AM$7,SUP!$B$54:$Q$54,0),FALSE),""))</f>
        <v/>
      </c>
      <c r="AN68" s="441"/>
      <c r="AO68" s="441"/>
      <c r="AR68" s="42">
        <f>IF(AS67=SUP!$B$104,AR67+1,AR67)</f>
        <v>2</v>
      </c>
      <c r="AS68" s="42">
        <f t="shared" si="6"/>
        <v>9</v>
      </c>
    </row>
    <row r="69" spans="1:45">
      <c r="A69" s="42" t="str">
        <f ca="1">IF(LEFT(OFFSET(SUP!$A$57,AS69,0),2)="\I","*","")</f>
        <v/>
      </c>
      <c r="B69" s="440" t="str">
        <f t="shared" ca="1" si="8"/>
        <v>ACT_BND</v>
      </c>
      <c r="C69" s="440" t="str">
        <f ca="1">IF($A69="*","",OFFSET(SUP!$B$57,AS69,0))</f>
        <v>MINBIG</v>
      </c>
      <c r="D69" s="440" t="str">
        <f t="shared" ca="1" si="7"/>
        <v>-</v>
      </c>
      <c r="E69" s="440" t="str">
        <f t="shared" ca="1" si="7"/>
        <v>-</v>
      </c>
      <c r="F69" s="440" t="str">
        <f t="shared" ca="1" si="7"/>
        <v>-</v>
      </c>
      <c r="G69" s="440" t="str">
        <f t="shared" ca="1" si="7"/>
        <v>ANNUAL</v>
      </c>
      <c r="H69" s="440" t="str">
        <f t="shared" ca="1" si="5"/>
        <v>UP</v>
      </c>
      <c r="I69" s="441" t="str">
        <f ca="1">IF(IFERROR(VLOOKUP($C69,SUP!$B$54:$Q$104,MATCH($B69&amp;"-"&amp;I$7,SUP!$B$54:$Q$54,0),FALSE),"")="","",IFERROR(VLOOKUP($C69,SUP!$B$54:$Q$104,MATCH($B69&amp;"-"&amp;I$7,SUP!$B$54:$Q$54,0),FALSE),""))</f>
        <v/>
      </c>
      <c r="J69" s="441" t="str">
        <f ca="1">IF(IFERROR(VLOOKUP($C69,SUP!$B$54:$Q$104,MATCH($B69&amp;"-"&amp;J$7,SUP!$B$54:$Q$54,0),FALSE),"")="","",IFERROR(VLOOKUP($C69,SUP!$B$54:$Q$104,MATCH($B69&amp;"-"&amp;J$7,SUP!$B$54:$Q$54,0),FALSE),""))</f>
        <v/>
      </c>
      <c r="K69" s="441" t="str">
        <f ca="1">IF(IFERROR(VLOOKUP($C69,SUP!$B$54:$Q$104,MATCH($B69&amp;"-"&amp;K$7,SUP!$B$54:$Q$54,0),FALSE),"")="","",IFERROR(VLOOKUP($C69,SUP!$B$54:$Q$104,MATCH($B69&amp;"-"&amp;K$7,SUP!$B$54:$Q$54,0),FALSE),""))</f>
        <v/>
      </c>
      <c r="L69" s="441" t="str">
        <f ca="1">IF(IFERROR(VLOOKUP($C69,SUP!$B$54:$Q$104,MATCH($B69&amp;"-"&amp;L$7,SUP!$B$54:$Q$54,0),FALSE),"")="","",IFERROR(VLOOKUP($C69,SUP!$B$54:$Q$104,MATCH($B69&amp;"-"&amp;L$7,SUP!$B$54:$Q$54,0),FALSE),""))</f>
        <v/>
      </c>
      <c r="M69" s="441" t="str">
        <f ca="1">IF(IFERROR(VLOOKUP($C69,SUP!$B$54:$Q$104,MATCH($B69&amp;"-"&amp;M$7,SUP!$B$54:$Q$54,0),FALSE),"")="","",IFERROR(VLOOKUP($C69,SUP!$B$54:$Q$104,MATCH($B69&amp;"-"&amp;M$7,SUP!$B$54:$Q$54,0),FALSE),""))</f>
        <v/>
      </c>
      <c r="N69" s="441" t="str">
        <f ca="1">IF(IFERROR(VLOOKUP($C69,SUP!$B$54:$Q$104,MATCH($B69&amp;"-"&amp;N$7,SUP!$B$54:$Q$54,0),FALSE),"")="","",IFERROR(VLOOKUP($C69,SUP!$B$54:$Q$104,MATCH($B69&amp;"-"&amp;N$7,SUP!$B$54:$Q$54,0),FALSE),""))</f>
        <v/>
      </c>
      <c r="O69" s="441" t="str">
        <f ca="1">IF(IFERROR(VLOOKUP($C69,SUP!$B$54:$Q$104,MATCH($B69&amp;"-"&amp;O$7,SUP!$B$54:$Q$54,0),FALSE),"")="","",IFERROR(VLOOKUP($C69,SUP!$B$54:$Q$104,MATCH($B69&amp;"-"&amp;O$7,SUP!$B$54:$Q$54,0),FALSE),""))</f>
        <v/>
      </c>
      <c r="P69" s="441" t="str">
        <f ca="1">IF(IFERROR(VLOOKUP($C69,SUP!$B$54:$Q$104,MATCH($B69&amp;"-"&amp;P$7,SUP!$B$54:$Q$54,0),FALSE),"")="","",IFERROR(VLOOKUP($C69,SUP!$B$54:$Q$104,MATCH($B69&amp;"-"&amp;P$7,SUP!$B$54:$Q$54,0),FALSE),""))</f>
        <v/>
      </c>
      <c r="Q69" s="441" t="str">
        <f ca="1">IF(IFERROR(VLOOKUP($C69,SUP!$B$54:$Q$104,MATCH($B69&amp;"-"&amp;Q$7,SUP!$B$54:$Q$54,0),FALSE),"")="","",IFERROR(VLOOKUP($C69,SUP!$B$54:$Q$104,MATCH($B69&amp;"-"&amp;Q$7,SUP!$B$54:$Q$54,0),FALSE),""))</f>
        <v/>
      </c>
      <c r="R69" s="441" t="str">
        <f ca="1">IF(IFERROR(VLOOKUP($C69,SUP!$B$54:$Q$104,MATCH($B69&amp;"-"&amp;R$7,SUP!$B$54:$Q$54,0),FALSE),"")="","",IFERROR(VLOOKUP($C69,SUP!$B$54:$Q$104,MATCH($B69&amp;"-"&amp;R$7,SUP!$B$54:$Q$54,0),FALSE),""))</f>
        <v/>
      </c>
      <c r="S69" s="441" t="str">
        <f ca="1">IF(IFERROR(VLOOKUP($C69,SUP!$B$54:$Q$104,MATCH($B69&amp;"-"&amp;S$7,SUP!$B$54:$Q$54,0),FALSE),"")="","",IFERROR(VLOOKUP($C69,SUP!$B$54:$Q$104,MATCH($B69&amp;"-"&amp;S$7,SUP!$B$54:$Q$54,0),FALSE),""))</f>
        <v/>
      </c>
      <c r="T69" s="441" t="str">
        <f ca="1">IF(IFERROR(VLOOKUP($C69,SUP!$B$54:$Q$104,MATCH($B69&amp;"-"&amp;T$7,SUP!$B$54:$Q$54,0),FALSE),"")="","",IFERROR(VLOOKUP($C69,SUP!$B$54:$Q$104,MATCH($B69&amp;"-"&amp;T$7,SUP!$B$54:$Q$54,0),FALSE),""))</f>
        <v/>
      </c>
      <c r="U69" s="441" t="str">
        <f ca="1">IF(IFERROR(VLOOKUP($C69,SUP!$B$54:$Q$104,MATCH($B69&amp;"-"&amp;U$7,SUP!$B$54:$Q$54,0),FALSE),"")="","",IFERROR(VLOOKUP($C69,SUP!$B$54:$Q$104,MATCH($B69&amp;"-"&amp;U$7,SUP!$B$54:$Q$54,0),FALSE),""))</f>
        <v/>
      </c>
      <c r="V69" s="441" t="str">
        <f ca="1">IF(IFERROR(VLOOKUP($C69,SUP!$B$54:$Q$104,MATCH($B69&amp;"-"&amp;V$7,SUP!$B$54:$Q$54,0),FALSE),"")="","",IFERROR(VLOOKUP($C69,SUP!$B$54:$Q$104,MATCH($B69&amp;"-"&amp;V$7,SUP!$B$54:$Q$54,0),FALSE),""))</f>
        <v/>
      </c>
      <c r="W69" s="441" t="str">
        <f ca="1">IF(IFERROR(VLOOKUP($C69,SUP!$B$54:$Q$104,MATCH($B69&amp;"-"&amp;W$7,SUP!$B$54:$Q$54,0),FALSE),"")="","",IFERROR(VLOOKUP($C69,SUP!$B$54:$Q$104,MATCH($B69&amp;"-"&amp;W$7,SUP!$B$54:$Q$54,0),FALSE),""))</f>
        <v/>
      </c>
      <c r="X69" s="441" t="str">
        <f ca="1">IF(IFERROR(VLOOKUP($C69,SUP!$B$54:$Q$104,MATCH($B69&amp;"-"&amp;X$7,SUP!$B$54:$Q$54,0),FALSE),"")="","",IFERROR(VLOOKUP($C69,SUP!$B$54:$Q$104,MATCH($B69&amp;"-"&amp;X$7,SUP!$B$54:$Q$54,0),FALSE),""))</f>
        <v/>
      </c>
      <c r="Y69" s="441" t="str">
        <f ca="1">IF(IFERROR(VLOOKUP($C69,SUP!$B$54:$Q$104,MATCH($B69&amp;"-"&amp;Y$7,SUP!$B$54:$Q$54,0),FALSE),"")="","",IFERROR(VLOOKUP($C69,SUP!$B$54:$Q$104,MATCH($B69&amp;"-"&amp;Y$7,SUP!$B$54:$Q$54,0),FALSE),""))</f>
        <v/>
      </c>
      <c r="Z69" s="441" t="str">
        <f ca="1">IF(IFERROR(VLOOKUP($C69,SUP!$B$54:$Q$104,MATCH($B69&amp;"-"&amp;Z$7,SUP!$B$54:$Q$54,0),FALSE),"")="","",IFERROR(VLOOKUP($C69,SUP!$B$54:$Q$104,MATCH($B69&amp;"-"&amp;Z$7,SUP!$B$54:$Q$54,0),FALSE),""))</f>
        <v/>
      </c>
      <c r="AA69" s="441" t="str">
        <f ca="1">IF(IFERROR(VLOOKUP($C69,SUP!$B$54:$Q$104,MATCH($B69&amp;"-"&amp;AA$7,SUP!$B$54:$Q$54,0),FALSE),"")="","",IFERROR(VLOOKUP($C69,SUP!$B$54:$Q$104,MATCH($B69&amp;"-"&amp;AA$7,SUP!$B$54:$Q$54,0),FALSE),""))</f>
        <v/>
      </c>
      <c r="AB69" s="441" t="str">
        <f ca="1">IF(IFERROR(VLOOKUP($C69,SUP!$B$54:$Q$104,MATCH($B69&amp;"-"&amp;AB$7,SUP!$B$54:$Q$54,0),FALSE),"")="","",IFERROR(VLOOKUP($C69,SUP!$B$54:$Q$104,MATCH($B69&amp;"-"&amp;AB$7,SUP!$B$54:$Q$54,0),FALSE),""))</f>
        <v/>
      </c>
      <c r="AC69" s="441" t="str">
        <f ca="1">IF(IFERROR(VLOOKUP($C69,SUP!$B$54:$Q$104,MATCH($B69&amp;"-"&amp;AC$7,SUP!$B$54:$Q$54,0),FALSE),"")="","",IFERROR(VLOOKUP($C69,SUP!$B$54:$Q$104,MATCH($B69&amp;"-"&amp;AC$7,SUP!$B$54:$Q$54,0),FALSE),""))</f>
        <v/>
      </c>
      <c r="AD69" s="441" t="str">
        <f ca="1">IF(IFERROR(VLOOKUP($C69,SUP!$B$54:$Q$104,MATCH($B69&amp;"-"&amp;AD$7,SUP!$B$54:$Q$54,0),FALSE),"")="","",IFERROR(VLOOKUP($C69,SUP!$B$54:$Q$104,MATCH($B69&amp;"-"&amp;AD$7,SUP!$B$54:$Q$54,0),FALSE),""))</f>
        <v/>
      </c>
      <c r="AE69" s="441" t="str">
        <f ca="1">IF(IFERROR(VLOOKUP($C69,SUP!$B$54:$Q$104,MATCH($B69&amp;"-"&amp;AE$7,SUP!$B$54:$Q$54,0),FALSE),"")="","",IFERROR(VLOOKUP($C69,SUP!$B$54:$Q$104,MATCH($B69&amp;"-"&amp;AE$7,SUP!$B$54:$Q$54,0),FALSE),""))</f>
        <v/>
      </c>
      <c r="AF69" s="441" t="str">
        <f ca="1">IF(IFERROR(VLOOKUP($C69,SUP!$B$54:$Q$104,MATCH($B69&amp;"-"&amp;AF$7,SUP!$B$54:$Q$54,0),FALSE),"")="","",IFERROR(VLOOKUP($C69,SUP!$B$54:$Q$104,MATCH($B69&amp;"-"&amp;AF$7,SUP!$B$54:$Q$54,0),FALSE),""))</f>
        <v/>
      </c>
      <c r="AG69" s="441" t="str">
        <f ca="1">IF(IFERROR(VLOOKUP($C69,SUP!$B$54:$Q$104,MATCH($B69&amp;"-"&amp;AG$7,SUP!$B$54:$Q$54,0),FALSE),"")="","",IFERROR(VLOOKUP($C69,SUP!$B$54:$Q$104,MATCH($B69&amp;"-"&amp;AG$7,SUP!$B$54:$Q$54,0),FALSE),""))</f>
        <v/>
      </c>
      <c r="AH69" s="441" t="str">
        <f ca="1">IF(IFERROR(VLOOKUP($C69,SUP!$B$54:$Q$104,MATCH($B69&amp;"-"&amp;AH$7,SUP!$B$54:$Q$54,0),FALSE),"")="","",IFERROR(VLOOKUP($C69,SUP!$B$54:$Q$104,MATCH($B69&amp;"-"&amp;AH$7,SUP!$B$54:$Q$54,0),FALSE),""))</f>
        <v/>
      </c>
      <c r="AI69" s="441"/>
      <c r="AJ69" s="441"/>
      <c r="AK69" s="441"/>
      <c r="AL69" s="441"/>
      <c r="AM69" s="441" t="str">
        <f ca="1">IF(IFERROR(VLOOKUP($C69,SUP!$B$54:$Q$104,MATCH($B69&amp;"-"&amp;AM$7,SUP!$B$54:$Q$54,0),FALSE),"")="","",IFERROR(VLOOKUP($C69,SUP!$B$54:$Q$104,MATCH($B69&amp;"-"&amp;AM$7,SUP!$B$54:$Q$54,0),FALSE),""))</f>
        <v/>
      </c>
      <c r="AN69" s="441"/>
      <c r="AO69" s="441"/>
      <c r="AR69" s="42">
        <f>IF(AS68=SUP!$B$104,AR68+1,AR68)</f>
        <v>2</v>
      </c>
      <c r="AS69" s="42">
        <f t="shared" si="6"/>
        <v>10</v>
      </c>
    </row>
    <row r="70" spans="1:45">
      <c r="A70" s="42" t="str">
        <f ca="1">IF(LEFT(OFFSET(SUP!$A$57,AS70,0),2)="\I","*","")</f>
        <v/>
      </c>
      <c r="B70" s="440" t="str">
        <f t="shared" ca="1" si="8"/>
        <v>ACT_BND</v>
      </c>
      <c r="C70" s="440" t="str">
        <f ca="1">IF($A70="*","",OFFSET(SUP!$B$57,AS70,0))</f>
        <v>MINBIB</v>
      </c>
      <c r="D70" s="440" t="str">
        <f t="shared" ca="1" si="7"/>
        <v>-</v>
      </c>
      <c r="E70" s="440" t="str">
        <f t="shared" ca="1" si="7"/>
        <v>-</v>
      </c>
      <c r="F70" s="440" t="str">
        <f t="shared" ca="1" si="7"/>
        <v>-</v>
      </c>
      <c r="G70" s="440" t="str">
        <f t="shared" ca="1" si="7"/>
        <v>ANNUAL</v>
      </c>
      <c r="H70" s="440" t="str">
        <f t="shared" ca="1" si="5"/>
        <v>UP</v>
      </c>
      <c r="I70" s="441" t="str">
        <f ca="1">IF(IFERROR(VLOOKUP($C70,SUP!$B$54:$Q$104,MATCH($B70&amp;"-"&amp;I$7,SUP!$B$54:$Q$54,0),FALSE),"")="","",IFERROR(VLOOKUP($C70,SUP!$B$54:$Q$104,MATCH($B70&amp;"-"&amp;I$7,SUP!$B$54:$Q$54,0),FALSE),""))</f>
        <v/>
      </c>
      <c r="J70" s="441" t="str">
        <f ca="1">IF(IFERROR(VLOOKUP($C70,SUP!$B$54:$Q$104,MATCH($B70&amp;"-"&amp;J$7,SUP!$B$54:$Q$54,0),FALSE),"")="","",IFERROR(VLOOKUP($C70,SUP!$B$54:$Q$104,MATCH($B70&amp;"-"&amp;J$7,SUP!$B$54:$Q$54,0),FALSE),""))</f>
        <v/>
      </c>
      <c r="K70" s="441" t="str">
        <f ca="1">IF(IFERROR(VLOOKUP($C70,SUP!$B$54:$Q$104,MATCH($B70&amp;"-"&amp;K$7,SUP!$B$54:$Q$54,0),FALSE),"")="","",IFERROR(VLOOKUP($C70,SUP!$B$54:$Q$104,MATCH($B70&amp;"-"&amp;K$7,SUP!$B$54:$Q$54,0),FALSE),""))</f>
        <v/>
      </c>
      <c r="L70" s="441" t="str">
        <f ca="1">IF(IFERROR(VLOOKUP($C70,SUP!$B$54:$Q$104,MATCH($B70&amp;"-"&amp;L$7,SUP!$B$54:$Q$54,0),FALSE),"")="","",IFERROR(VLOOKUP($C70,SUP!$B$54:$Q$104,MATCH($B70&amp;"-"&amp;L$7,SUP!$B$54:$Q$54,0),FALSE),""))</f>
        <v/>
      </c>
      <c r="M70" s="441" t="str">
        <f ca="1">IF(IFERROR(VLOOKUP($C70,SUP!$B$54:$Q$104,MATCH($B70&amp;"-"&amp;M$7,SUP!$B$54:$Q$54,0),FALSE),"")="","",IFERROR(VLOOKUP($C70,SUP!$B$54:$Q$104,MATCH($B70&amp;"-"&amp;M$7,SUP!$B$54:$Q$54,0),FALSE),""))</f>
        <v/>
      </c>
      <c r="N70" s="441" t="str">
        <f ca="1">IF(IFERROR(VLOOKUP($C70,SUP!$B$54:$Q$104,MATCH($B70&amp;"-"&amp;N$7,SUP!$B$54:$Q$54,0),FALSE),"")="","",IFERROR(VLOOKUP($C70,SUP!$B$54:$Q$104,MATCH($B70&amp;"-"&amp;N$7,SUP!$B$54:$Q$54,0),FALSE),""))</f>
        <v/>
      </c>
      <c r="O70" s="441" t="str">
        <f ca="1">IF(IFERROR(VLOOKUP($C70,SUP!$B$54:$Q$104,MATCH($B70&amp;"-"&amp;O$7,SUP!$B$54:$Q$54,0),FALSE),"")="","",IFERROR(VLOOKUP($C70,SUP!$B$54:$Q$104,MATCH($B70&amp;"-"&amp;O$7,SUP!$B$54:$Q$54,0),FALSE),""))</f>
        <v/>
      </c>
      <c r="P70" s="441" t="str">
        <f ca="1">IF(IFERROR(VLOOKUP($C70,SUP!$B$54:$Q$104,MATCH($B70&amp;"-"&amp;P$7,SUP!$B$54:$Q$54,0),FALSE),"")="","",IFERROR(VLOOKUP($C70,SUP!$B$54:$Q$104,MATCH($B70&amp;"-"&amp;P$7,SUP!$B$54:$Q$54,0),FALSE),""))</f>
        <v/>
      </c>
      <c r="Q70" s="441" t="str">
        <f ca="1">IF(IFERROR(VLOOKUP($C70,SUP!$B$54:$Q$104,MATCH($B70&amp;"-"&amp;Q$7,SUP!$B$54:$Q$54,0),FALSE),"")="","",IFERROR(VLOOKUP($C70,SUP!$B$54:$Q$104,MATCH($B70&amp;"-"&amp;Q$7,SUP!$B$54:$Q$54,0),FALSE),""))</f>
        <v/>
      </c>
      <c r="R70" s="441" t="str">
        <f ca="1">IF(IFERROR(VLOOKUP($C70,SUP!$B$54:$Q$104,MATCH($B70&amp;"-"&amp;R$7,SUP!$B$54:$Q$54,0),FALSE),"")="","",IFERROR(VLOOKUP($C70,SUP!$B$54:$Q$104,MATCH($B70&amp;"-"&amp;R$7,SUP!$B$54:$Q$54,0),FALSE),""))</f>
        <v/>
      </c>
      <c r="S70" s="441" t="str">
        <f ca="1">IF(IFERROR(VLOOKUP($C70,SUP!$B$54:$Q$104,MATCH($B70&amp;"-"&amp;S$7,SUP!$B$54:$Q$54,0),FALSE),"")="","",IFERROR(VLOOKUP($C70,SUP!$B$54:$Q$104,MATCH($B70&amp;"-"&amp;S$7,SUP!$B$54:$Q$54,0),FALSE),""))</f>
        <v/>
      </c>
      <c r="T70" s="441" t="str">
        <f ca="1">IF(IFERROR(VLOOKUP($C70,SUP!$B$54:$Q$104,MATCH($B70&amp;"-"&amp;T$7,SUP!$B$54:$Q$54,0),FALSE),"")="","",IFERROR(VLOOKUP($C70,SUP!$B$54:$Q$104,MATCH($B70&amp;"-"&amp;T$7,SUP!$B$54:$Q$54,0),FALSE),""))</f>
        <v/>
      </c>
      <c r="U70" s="441" t="str">
        <f ca="1">IF(IFERROR(VLOOKUP($C70,SUP!$B$54:$Q$104,MATCH($B70&amp;"-"&amp;U$7,SUP!$B$54:$Q$54,0),FALSE),"")="","",IFERROR(VLOOKUP($C70,SUP!$B$54:$Q$104,MATCH($B70&amp;"-"&amp;U$7,SUP!$B$54:$Q$54,0),FALSE),""))</f>
        <v/>
      </c>
      <c r="V70" s="441" t="str">
        <f ca="1">IF(IFERROR(VLOOKUP($C70,SUP!$B$54:$Q$104,MATCH($B70&amp;"-"&amp;V$7,SUP!$B$54:$Q$54,0),FALSE),"")="","",IFERROR(VLOOKUP($C70,SUP!$B$54:$Q$104,MATCH($B70&amp;"-"&amp;V$7,SUP!$B$54:$Q$54,0),FALSE),""))</f>
        <v/>
      </c>
      <c r="W70" s="441" t="str">
        <f ca="1">IF(IFERROR(VLOOKUP($C70,SUP!$B$54:$Q$104,MATCH($B70&amp;"-"&amp;W$7,SUP!$B$54:$Q$54,0),FALSE),"")="","",IFERROR(VLOOKUP($C70,SUP!$B$54:$Q$104,MATCH($B70&amp;"-"&amp;W$7,SUP!$B$54:$Q$54,0),FALSE),""))</f>
        <v/>
      </c>
      <c r="X70" s="441" t="str">
        <f ca="1">IF(IFERROR(VLOOKUP($C70,SUP!$B$54:$Q$104,MATCH($B70&amp;"-"&amp;X$7,SUP!$B$54:$Q$54,0),FALSE),"")="","",IFERROR(VLOOKUP($C70,SUP!$B$54:$Q$104,MATCH($B70&amp;"-"&amp;X$7,SUP!$B$54:$Q$54,0),FALSE),""))</f>
        <v/>
      </c>
      <c r="Y70" s="441" t="str">
        <f ca="1">IF(IFERROR(VLOOKUP($C70,SUP!$B$54:$Q$104,MATCH($B70&amp;"-"&amp;Y$7,SUP!$B$54:$Q$54,0),FALSE),"")="","",IFERROR(VLOOKUP($C70,SUP!$B$54:$Q$104,MATCH($B70&amp;"-"&amp;Y$7,SUP!$B$54:$Q$54,0),FALSE),""))</f>
        <v/>
      </c>
      <c r="Z70" s="441" t="str">
        <f ca="1">IF(IFERROR(VLOOKUP($C70,SUP!$B$54:$Q$104,MATCH($B70&amp;"-"&amp;Z$7,SUP!$B$54:$Q$54,0),FALSE),"")="","",IFERROR(VLOOKUP($C70,SUP!$B$54:$Q$104,MATCH($B70&amp;"-"&amp;Z$7,SUP!$B$54:$Q$54,0),FALSE),""))</f>
        <v/>
      </c>
      <c r="AA70" s="441" t="str">
        <f ca="1">IF(IFERROR(VLOOKUP($C70,SUP!$B$54:$Q$104,MATCH($B70&amp;"-"&amp;AA$7,SUP!$B$54:$Q$54,0),FALSE),"")="","",IFERROR(VLOOKUP($C70,SUP!$B$54:$Q$104,MATCH($B70&amp;"-"&amp;AA$7,SUP!$B$54:$Q$54,0),FALSE),""))</f>
        <v/>
      </c>
      <c r="AB70" s="441" t="str">
        <f ca="1">IF(IFERROR(VLOOKUP($C70,SUP!$B$54:$Q$104,MATCH($B70&amp;"-"&amp;AB$7,SUP!$B$54:$Q$54,0),FALSE),"")="","",IFERROR(VLOOKUP($C70,SUP!$B$54:$Q$104,MATCH($B70&amp;"-"&amp;AB$7,SUP!$B$54:$Q$54,0),FALSE),""))</f>
        <v/>
      </c>
      <c r="AC70" s="441" t="str">
        <f ca="1">IF(IFERROR(VLOOKUP($C70,SUP!$B$54:$Q$104,MATCH($B70&amp;"-"&amp;AC$7,SUP!$B$54:$Q$54,0),FALSE),"")="","",IFERROR(VLOOKUP($C70,SUP!$B$54:$Q$104,MATCH($B70&amp;"-"&amp;AC$7,SUP!$B$54:$Q$54,0),FALSE),""))</f>
        <v/>
      </c>
      <c r="AD70" s="441" t="str">
        <f ca="1">IF(IFERROR(VLOOKUP($C70,SUP!$B$54:$Q$104,MATCH($B70&amp;"-"&amp;AD$7,SUP!$B$54:$Q$54,0),FALSE),"")="","",IFERROR(VLOOKUP($C70,SUP!$B$54:$Q$104,MATCH($B70&amp;"-"&amp;AD$7,SUP!$B$54:$Q$54,0),FALSE),""))</f>
        <v/>
      </c>
      <c r="AE70" s="441" t="str">
        <f ca="1">IF(IFERROR(VLOOKUP($C70,SUP!$B$54:$Q$104,MATCH($B70&amp;"-"&amp;AE$7,SUP!$B$54:$Q$54,0),FALSE),"")="","",IFERROR(VLOOKUP($C70,SUP!$B$54:$Q$104,MATCH($B70&amp;"-"&amp;AE$7,SUP!$B$54:$Q$54,0),FALSE),""))</f>
        <v/>
      </c>
      <c r="AF70" s="441" t="str">
        <f ca="1">IF(IFERROR(VLOOKUP($C70,SUP!$B$54:$Q$104,MATCH($B70&amp;"-"&amp;AF$7,SUP!$B$54:$Q$54,0),FALSE),"")="","",IFERROR(VLOOKUP($C70,SUP!$B$54:$Q$104,MATCH($B70&amp;"-"&amp;AF$7,SUP!$B$54:$Q$54,0),FALSE),""))</f>
        <v/>
      </c>
      <c r="AG70" s="441" t="str">
        <f ca="1">IF(IFERROR(VLOOKUP($C70,SUP!$B$54:$Q$104,MATCH($B70&amp;"-"&amp;AG$7,SUP!$B$54:$Q$54,0),FALSE),"")="","",IFERROR(VLOOKUP($C70,SUP!$B$54:$Q$104,MATCH($B70&amp;"-"&amp;AG$7,SUP!$B$54:$Q$54,0),FALSE),""))</f>
        <v/>
      </c>
      <c r="AH70" s="441" t="str">
        <f ca="1">IF(IFERROR(VLOOKUP($C70,SUP!$B$54:$Q$104,MATCH($B70&amp;"-"&amp;AH$7,SUP!$B$54:$Q$54,0),FALSE),"")="","",IFERROR(VLOOKUP($C70,SUP!$B$54:$Q$104,MATCH($B70&amp;"-"&amp;AH$7,SUP!$B$54:$Q$54,0),FALSE),""))</f>
        <v/>
      </c>
      <c r="AI70" s="441"/>
      <c r="AJ70" s="441"/>
      <c r="AK70" s="441"/>
      <c r="AL70" s="441"/>
      <c r="AM70" s="441" t="str">
        <f ca="1">IF(IFERROR(VLOOKUP($C70,SUP!$B$54:$Q$104,MATCH($B70&amp;"-"&amp;AM$7,SUP!$B$54:$Q$54,0),FALSE),"")="","",IFERROR(VLOOKUP($C70,SUP!$B$54:$Q$104,MATCH($B70&amp;"-"&amp;AM$7,SUP!$B$54:$Q$54,0),FALSE),""))</f>
        <v/>
      </c>
      <c r="AN70" s="441"/>
      <c r="AO70" s="441"/>
      <c r="AR70" s="42">
        <f>IF(AS69=SUP!$B$104,AR69+1,AR69)</f>
        <v>2</v>
      </c>
      <c r="AS70" s="42">
        <f t="shared" si="6"/>
        <v>11</v>
      </c>
    </row>
    <row r="71" spans="1:45">
      <c r="A71" s="42" t="str">
        <f ca="1">IF(LEFT(OFFSET(SUP!$A$57,AS71,0),2)="\I","*","")</f>
        <v/>
      </c>
      <c r="B71" s="440" t="str">
        <f t="shared" ca="1" si="8"/>
        <v>ACT_BND</v>
      </c>
      <c r="C71" s="440" t="str">
        <f ca="1">IF($A71="*","",OFFSET(SUP!$B$57,AS71,0))</f>
        <v>MINBIO</v>
      </c>
      <c r="D71" s="440" t="str">
        <f t="shared" ca="1" si="7"/>
        <v>-</v>
      </c>
      <c r="E71" s="440" t="str">
        <f t="shared" ca="1" si="7"/>
        <v>-</v>
      </c>
      <c r="F71" s="440" t="str">
        <f t="shared" ca="1" si="7"/>
        <v>-</v>
      </c>
      <c r="G71" s="440" t="str">
        <f t="shared" ca="1" si="7"/>
        <v>ANNUAL</v>
      </c>
      <c r="H71" s="440" t="str">
        <f t="shared" ca="1" si="5"/>
        <v>UP</v>
      </c>
      <c r="I71" s="441" t="str">
        <f ca="1">IF(IFERROR(VLOOKUP($C71,SUP!$B$54:$Q$104,MATCH($B71&amp;"-"&amp;I$7,SUP!$B$54:$Q$54,0),FALSE),"")="","",IFERROR(VLOOKUP($C71,SUP!$B$54:$Q$104,MATCH($B71&amp;"-"&amp;I$7,SUP!$B$54:$Q$54,0),FALSE),""))</f>
        <v/>
      </c>
      <c r="J71" s="441" t="str">
        <f ca="1">IF(IFERROR(VLOOKUP($C71,SUP!$B$54:$Q$104,MATCH($B71&amp;"-"&amp;J$7,SUP!$B$54:$Q$54,0),FALSE),"")="","",IFERROR(VLOOKUP($C71,SUP!$B$54:$Q$104,MATCH($B71&amp;"-"&amp;J$7,SUP!$B$54:$Q$54,0),FALSE),""))</f>
        <v/>
      </c>
      <c r="K71" s="441" t="str">
        <f ca="1">IF(IFERROR(VLOOKUP($C71,SUP!$B$54:$Q$104,MATCH($B71&amp;"-"&amp;K$7,SUP!$B$54:$Q$54,0),FALSE),"")="","",IFERROR(VLOOKUP($C71,SUP!$B$54:$Q$104,MATCH($B71&amp;"-"&amp;K$7,SUP!$B$54:$Q$54,0),FALSE),""))</f>
        <v/>
      </c>
      <c r="L71" s="441" t="str">
        <f ca="1">IF(IFERROR(VLOOKUP($C71,SUP!$B$54:$Q$104,MATCH($B71&amp;"-"&amp;L$7,SUP!$B$54:$Q$54,0),FALSE),"")="","",IFERROR(VLOOKUP($C71,SUP!$B$54:$Q$104,MATCH($B71&amp;"-"&amp;L$7,SUP!$B$54:$Q$54,0),FALSE),""))</f>
        <v/>
      </c>
      <c r="M71" s="441" t="str">
        <f ca="1">IF(IFERROR(VLOOKUP($C71,SUP!$B$54:$Q$104,MATCH($B71&amp;"-"&amp;M$7,SUP!$B$54:$Q$54,0),FALSE),"")="","",IFERROR(VLOOKUP($C71,SUP!$B$54:$Q$104,MATCH($B71&amp;"-"&amp;M$7,SUP!$B$54:$Q$54,0),FALSE),""))</f>
        <v/>
      </c>
      <c r="N71" s="441" t="str">
        <f ca="1">IF(IFERROR(VLOOKUP($C71,SUP!$B$54:$Q$104,MATCH($B71&amp;"-"&amp;N$7,SUP!$B$54:$Q$54,0),FALSE),"")="","",IFERROR(VLOOKUP($C71,SUP!$B$54:$Q$104,MATCH($B71&amp;"-"&amp;N$7,SUP!$B$54:$Q$54,0),FALSE),""))</f>
        <v/>
      </c>
      <c r="O71" s="441" t="str">
        <f ca="1">IF(IFERROR(VLOOKUP($C71,SUP!$B$54:$Q$104,MATCH($B71&amp;"-"&amp;O$7,SUP!$B$54:$Q$54,0),FALSE),"")="","",IFERROR(VLOOKUP($C71,SUP!$B$54:$Q$104,MATCH($B71&amp;"-"&amp;O$7,SUP!$B$54:$Q$54,0),FALSE),""))</f>
        <v/>
      </c>
      <c r="P71" s="441" t="str">
        <f ca="1">IF(IFERROR(VLOOKUP($C71,SUP!$B$54:$Q$104,MATCH($B71&amp;"-"&amp;P$7,SUP!$B$54:$Q$54,0),FALSE),"")="","",IFERROR(VLOOKUP($C71,SUP!$B$54:$Q$104,MATCH($B71&amp;"-"&amp;P$7,SUP!$B$54:$Q$54,0),FALSE),""))</f>
        <v/>
      </c>
      <c r="Q71" s="441" t="str">
        <f ca="1">IF(IFERROR(VLOOKUP($C71,SUP!$B$54:$Q$104,MATCH($B71&amp;"-"&amp;Q$7,SUP!$B$54:$Q$54,0),FALSE),"")="","",IFERROR(VLOOKUP($C71,SUP!$B$54:$Q$104,MATCH($B71&amp;"-"&amp;Q$7,SUP!$B$54:$Q$54,0),FALSE),""))</f>
        <v/>
      </c>
      <c r="R71" s="441" t="str">
        <f ca="1">IF(IFERROR(VLOOKUP($C71,SUP!$B$54:$Q$104,MATCH($B71&amp;"-"&amp;R$7,SUP!$B$54:$Q$54,0),FALSE),"")="","",IFERROR(VLOOKUP($C71,SUP!$B$54:$Q$104,MATCH($B71&amp;"-"&amp;R$7,SUP!$B$54:$Q$54,0),FALSE),""))</f>
        <v/>
      </c>
      <c r="S71" s="441" t="str">
        <f ca="1">IF(IFERROR(VLOOKUP($C71,SUP!$B$54:$Q$104,MATCH($B71&amp;"-"&amp;S$7,SUP!$B$54:$Q$54,0),FALSE),"")="","",IFERROR(VLOOKUP($C71,SUP!$B$54:$Q$104,MATCH($B71&amp;"-"&amp;S$7,SUP!$B$54:$Q$54,0),FALSE),""))</f>
        <v/>
      </c>
      <c r="T71" s="441" t="str">
        <f ca="1">IF(IFERROR(VLOOKUP($C71,SUP!$B$54:$Q$104,MATCH($B71&amp;"-"&amp;T$7,SUP!$B$54:$Q$54,0),FALSE),"")="","",IFERROR(VLOOKUP($C71,SUP!$B$54:$Q$104,MATCH($B71&amp;"-"&amp;T$7,SUP!$B$54:$Q$54,0),FALSE),""))</f>
        <v/>
      </c>
      <c r="U71" s="441" t="str">
        <f ca="1">IF(IFERROR(VLOOKUP($C71,SUP!$B$54:$Q$104,MATCH($B71&amp;"-"&amp;U$7,SUP!$B$54:$Q$54,0),FALSE),"")="","",IFERROR(VLOOKUP($C71,SUP!$B$54:$Q$104,MATCH($B71&amp;"-"&amp;U$7,SUP!$B$54:$Q$54,0),FALSE),""))</f>
        <v/>
      </c>
      <c r="V71" s="441" t="str">
        <f ca="1">IF(IFERROR(VLOOKUP($C71,SUP!$B$54:$Q$104,MATCH($B71&amp;"-"&amp;V$7,SUP!$B$54:$Q$54,0),FALSE),"")="","",IFERROR(VLOOKUP($C71,SUP!$B$54:$Q$104,MATCH($B71&amp;"-"&amp;V$7,SUP!$B$54:$Q$54,0),FALSE),""))</f>
        <v/>
      </c>
      <c r="W71" s="441" t="str">
        <f ca="1">IF(IFERROR(VLOOKUP($C71,SUP!$B$54:$Q$104,MATCH($B71&amp;"-"&amp;W$7,SUP!$B$54:$Q$54,0),FALSE),"")="","",IFERROR(VLOOKUP($C71,SUP!$B$54:$Q$104,MATCH($B71&amp;"-"&amp;W$7,SUP!$B$54:$Q$54,0),FALSE),""))</f>
        <v/>
      </c>
      <c r="X71" s="441" t="str">
        <f ca="1">IF(IFERROR(VLOOKUP($C71,SUP!$B$54:$Q$104,MATCH($B71&amp;"-"&amp;X$7,SUP!$B$54:$Q$54,0),FALSE),"")="","",IFERROR(VLOOKUP($C71,SUP!$B$54:$Q$104,MATCH($B71&amp;"-"&amp;X$7,SUP!$B$54:$Q$54,0),FALSE),""))</f>
        <v/>
      </c>
      <c r="Y71" s="441" t="str">
        <f ca="1">IF(IFERROR(VLOOKUP($C71,SUP!$B$54:$Q$104,MATCH($B71&amp;"-"&amp;Y$7,SUP!$B$54:$Q$54,0),FALSE),"")="","",IFERROR(VLOOKUP($C71,SUP!$B$54:$Q$104,MATCH($B71&amp;"-"&amp;Y$7,SUP!$B$54:$Q$54,0),FALSE),""))</f>
        <v/>
      </c>
      <c r="Z71" s="441" t="str">
        <f ca="1">IF(IFERROR(VLOOKUP($C71,SUP!$B$54:$Q$104,MATCH($B71&amp;"-"&amp;Z$7,SUP!$B$54:$Q$54,0),FALSE),"")="","",IFERROR(VLOOKUP($C71,SUP!$B$54:$Q$104,MATCH($B71&amp;"-"&amp;Z$7,SUP!$B$54:$Q$54,0),FALSE),""))</f>
        <v/>
      </c>
      <c r="AA71" s="441" t="str">
        <f ca="1">IF(IFERROR(VLOOKUP($C71,SUP!$B$54:$Q$104,MATCH($B71&amp;"-"&amp;AA$7,SUP!$B$54:$Q$54,0),FALSE),"")="","",IFERROR(VLOOKUP($C71,SUP!$B$54:$Q$104,MATCH($B71&amp;"-"&amp;AA$7,SUP!$B$54:$Q$54,0),FALSE),""))</f>
        <v/>
      </c>
      <c r="AB71" s="441" t="str">
        <f ca="1">IF(IFERROR(VLOOKUP($C71,SUP!$B$54:$Q$104,MATCH($B71&amp;"-"&amp;AB$7,SUP!$B$54:$Q$54,0),FALSE),"")="","",IFERROR(VLOOKUP($C71,SUP!$B$54:$Q$104,MATCH($B71&amp;"-"&amp;AB$7,SUP!$B$54:$Q$54,0),FALSE),""))</f>
        <v/>
      </c>
      <c r="AC71" s="441" t="str">
        <f ca="1">IF(IFERROR(VLOOKUP($C71,SUP!$B$54:$Q$104,MATCH($B71&amp;"-"&amp;AC$7,SUP!$B$54:$Q$54,0),FALSE),"")="","",IFERROR(VLOOKUP($C71,SUP!$B$54:$Q$104,MATCH($B71&amp;"-"&amp;AC$7,SUP!$B$54:$Q$54,0),FALSE),""))</f>
        <v/>
      </c>
      <c r="AD71" s="441" t="str">
        <f ca="1">IF(IFERROR(VLOOKUP($C71,SUP!$B$54:$Q$104,MATCH($B71&amp;"-"&amp;AD$7,SUP!$B$54:$Q$54,0),FALSE),"")="","",IFERROR(VLOOKUP($C71,SUP!$B$54:$Q$104,MATCH($B71&amp;"-"&amp;AD$7,SUP!$B$54:$Q$54,0),FALSE),""))</f>
        <v/>
      </c>
      <c r="AE71" s="441" t="str">
        <f ca="1">IF(IFERROR(VLOOKUP($C71,SUP!$B$54:$Q$104,MATCH($B71&amp;"-"&amp;AE$7,SUP!$B$54:$Q$54,0),FALSE),"")="","",IFERROR(VLOOKUP($C71,SUP!$B$54:$Q$104,MATCH($B71&amp;"-"&amp;AE$7,SUP!$B$54:$Q$54,0),FALSE),""))</f>
        <v/>
      </c>
      <c r="AF71" s="441" t="str">
        <f ca="1">IF(IFERROR(VLOOKUP($C71,SUP!$B$54:$Q$104,MATCH($B71&amp;"-"&amp;AF$7,SUP!$B$54:$Q$54,0),FALSE),"")="","",IFERROR(VLOOKUP($C71,SUP!$B$54:$Q$104,MATCH($B71&amp;"-"&amp;AF$7,SUP!$B$54:$Q$54,0),FALSE),""))</f>
        <v/>
      </c>
      <c r="AG71" s="441" t="str">
        <f ca="1">IF(IFERROR(VLOOKUP($C71,SUP!$B$54:$Q$104,MATCH($B71&amp;"-"&amp;AG$7,SUP!$B$54:$Q$54,0),FALSE),"")="","",IFERROR(VLOOKUP($C71,SUP!$B$54:$Q$104,MATCH($B71&amp;"-"&amp;AG$7,SUP!$B$54:$Q$54,0),FALSE),""))</f>
        <v/>
      </c>
      <c r="AH71" s="441" t="str">
        <f ca="1">IF(IFERROR(VLOOKUP($C71,SUP!$B$54:$Q$104,MATCH($B71&amp;"-"&amp;AH$7,SUP!$B$54:$Q$54,0),FALSE),"")="","",IFERROR(VLOOKUP($C71,SUP!$B$54:$Q$104,MATCH($B71&amp;"-"&amp;AH$7,SUP!$B$54:$Q$54,0),FALSE),""))</f>
        <v/>
      </c>
      <c r="AI71" s="441"/>
      <c r="AJ71" s="441"/>
      <c r="AK71" s="441"/>
      <c r="AL71" s="441"/>
      <c r="AM71" s="441" t="str">
        <f ca="1">IF(IFERROR(VLOOKUP($C71,SUP!$B$54:$Q$104,MATCH($B71&amp;"-"&amp;AM$7,SUP!$B$54:$Q$54,0),FALSE),"")="","",IFERROR(VLOOKUP($C71,SUP!$B$54:$Q$104,MATCH($B71&amp;"-"&amp;AM$7,SUP!$B$54:$Q$54,0),FALSE),""))</f>
        <v/>
      </c>
      <c r="AN71" s="441"/>
      <c r="AO71" s="441"/>
      <c r="AR71" s="42">
        <f>IF(AS70=SUP!$B$104,AR70+1,AR70)</f>
        <v>2</v>
      </c>
      <c r="AS71" s="42">
        <f t="shared" si="6"/>
        <v>12</v>
      </c>
    </row>
    <row r="72" spans="1:45">
      <c r="A72" s="42" t="str">
        <f ca="1">IF(LEFT(OFFSET(SUP!$A$57,AS72,0),2)="\I","*","")</f>
        <v/>
      </c>
      <c r="B72" s="440" t="str">
        <f t="shared" ca="1" si="8"/>
        <v>ACT_BND</v>
      </c>
      <c r="C72" s="440" t="str">
        <f ca="1">IF($A72="*","",OFFSET(SUP!$B$57,AS72,0))</f>
        <v>MINBIW</v>
      </c>
      <c r="D72" s="440" t="str">
        <f t="shared" ca="1" si="7"/>
        <v>-</v>
      </c>
      <c r="E72" s="440" t="str">
        <f t="shared" ca="1" si="7"/>
        <v>-</v>
      </c>
      <c r="F72" s="440" t="str">
        <f t="shared" ca="1" si="7"/>
        <v>-</v>
      </c>
      <c r="G72" s="440" t="str">
        <f t="shared" ca="1" si="7"/>
        <v>ANNUAL</v>
      </c>
      <c r="H72" s="440" t="str">
        <f t="shared" ca="1" si="5"/>
        <v>UP</v>
      </c>
      <c r="I72" s="441" t="str">
        <f ca="1">IF(IFERROR(VLOOKUP($C72,SUP!$B$54:$Q$104,MATCH($B72&amp;"-"&amp;I$7,SUP!$B$54:$Q$54,0),FALSE),"")="","",IFERROR(VLOOKUP($C72,SUP!$B$54:$Q$104,MATCH($B72&amp;"-"&amp;I$7,SUP!$B$54:$Q$54,0),FALSE),""))</f>
        <v/>
      </c>
      <c r="J72" s="441" t="str">
        <f ca="1">IF(IFERROR(VLOOKUP($C72,SUP!$B$54:$Q$104,MATCH($B72&amp;"-"&amp;J$7,SUP!$B$54:$Q$54,0),FALSE),"")="","",IFERROR(VLOOKUP($C72,SUP!$B$54:$Q$104,MATCH($B72&amp;"-"&amp;J$7,SUP!$B$54:$Q$54,0),FALSE),""))</f>
        <v/>
      </c>
      <c r="K72" s="441" t="str">
        <f ca="1">IF(IFERROR(VLOOKUP($C72,SUP!$B$54:$Q$104,MATCH($B72&amp;"-"&amp;K$7,SUP!$B$54:$Q$54,0),FALSE),"")="","",IFERROR(VLOOKUP($C72,SUP!$B$54:$Q$104,MATCH($B72&amp;"-"&amp;K$7,SUP!$B$54:$Q$54,0),FALSE),""))</f>
        <v/>
      </c>
      <c r="L72" s="441" t="str">
        <f ca="1">IF(IFERROR(VLOOKUP($C72,SUP!$B$54:$Q$104,MATCH($B72&amp;"-"&amp;L$7,SUP!$B$54:$Q$54,0),FALSE),"")="","",IFERROR(VLOOKUP($C72,SUP!$B$54:$Q$104,MATCH($B72&amp;"-"&amp;L$7,SUP!$B$54:$Q$54,0),FALSE),""))</f>
        <v/>
      </c>
      <c r="M72" s="441" t="str">
        <f ca="1">IF(IFERROR(VLOOKUP($C72,SUP!$B$54:$Q$104,MATCH($B72&amp;"-"&amp;M$7,SUP!$B$54:$Q$54,0),FALSE),"")="","",IFERROR(VLOOKUP($C72,SUP!$B$54:$Q$104,MATCH($B72&amp;"-"&amp;M$7,SUP!$B$54:$Q$54,0),FALSE),""))</f>
        <v/>
      </c>
      <c r="N72" s="441" t="str">
        <f ca="1">IF(IFERROR(VLOOKUP($C72,SUP!$B$54:$Q$104,MATCH($B72&amp;"-"&amp;N$7,SUP!$B$54:$Q$54,0),FALSE),"")="","",IFERROR(VLOOKUP($C72,SUP!$B$54:$Q$104,MATCH($B72&amp;"-"&amp;N$7,SUP!$B$54:$Q$54,0),FALSE),""))</f>
        <v/>
      </c>
      <c r="O72" s="441" t="str">
        <f ca="1">IF(IFERROR(VLOOKUP($C72,SUP!$B$54:$Q$104,MATCH($B72&amp;"-"&amp;O$7,SUP!$B$54:$Q$54,0),FALSE),"")="","",IFERROR(VLOOKUP($C72,SUP!$B$54:$Q$104,MATCH($B72&amp;"-"&amp;O$7,SUP!$B$54:$Q$54,0),FALSE),""))</f>
        <v/>
      </c>
      <c r="P72" s="441" t="str">
        <f ca="1">IF(IFERROR(VLOOKUP($C72,SUP!$B$54:$Q$104,MATCH($B72&amp;"-"&amp;P$7,SUP!$B$54:$Q$54,0),FALSE),"")="","",IFERROR(VLOOKUP($C72,SUP!$B$54:$Q$104,MATCH($B72&amp;"-"&amp;P$7,SUP!$B$54:$Q$54,0),FALSE),""))</f>
        <v/>
      </c>
      <c r="Q72" s="441" t="str">
        <f ca="1">IF(IFERROR(VLOOKUP($C72,SUP!$B$54:$Q$104,MATCH($B72&amp;"-"&amp;Q$7,SUP!$B$54:$Q$54,0),FALSE),"")="","",IFERROR(VLOOKUP($C72,SUP!$B$54:$Q$104,MATCH($B72&amp;"-"&amp;Q$7,SUP!$B$54:$Q$54,0),FALSE),""))</f>
        <v/>
      </c>
      <c r="R72" s="441" t="str">
        <f ca="1">IF(IFERROR(VLOOKUP($C72,SUP!$B$54:$Q$104,MATCH($B72&amp;"-"&amp;R$7,SUP!$B$54:$Q$54,0),FALSE),"")="","",IFERROR(VLOOKUP($C72,SUP!$B$54:$Q$104,MATCH($B72&amp;"-"&amp;R$7,SUP!$B$54:$Q$54,0),FALSE),""))</f>
        <v/>
      </c>
      <c r="S72" s="441" t="str">
        <f ca="1">IF(IFERROR(VLOOKUP($C72,SUP!$B$54:$Q$104,MATCH($B72&amp;"-"&amp;S$7,SUP!$B$54:$Q$54,0),FALSE),"")="","",IFERROR(VLOOKUP($C72,SUP!$B$54:$Q$104,MATCH($B72&amp;"-"&amp;S$7,SUP!$B$54:$Q$54,0),FALSE),""))</f>
        <v/>
      </c>
      <c r="T72" s="441" t="str">
        <f ca="1">IF(IFERROR(VLOOKUP($C72,SUP!$B$54:$Q$104,MATCH($B72&amp;"-"&amp;T$7,SUP!$B$54:$Q$54,0),FALSE),"")="","",IFERROR(VLOOKUP($C72,SUP!$B$54:$Q$104,MATCH($B72&amp;"-"&amp;T$7,SUP!$B$54:$Q$54,0),FALSE),""))</f>
        <v/>
      </c>
      <c r="U72" s="441" t="str">
        <f ca="1">IF(IFERROR(VLOOKUP($C72,SUP!$B$54:$Q$104,MATCH($B72&amp;"-"&amp;U$7,SUP!$B$54:$Q$54,0),FALSE),"")="","",IFERROR(VLOOKUP($C72,SUP!$B$54:$Q$104,MATCH($B72&amp;"-"&amp;U$7,SUP!$B$54:$Q$54,0),FALSE),""))</f>
        <v/>
      </c>
      <c r="V72" s="441" t="str">
        <f ca="1">IF(IFERROR(VLOOKUP($C72,SUP!$B$54:$Q$104,MATCH($B72&amp;"-"&amp;V$7,SUP!$B$54:$Q$54,0),FALSE),"")="","",IFERROR(VLOOKUP($C72,SUP!$B$54:$Q$104,MATCH($B72&amp;"-"&amp;V$7,SUP!$B$54:$Q$54,0),FALSE),""))</f>
        <v/>
      </c>
      <c r="W72" s="441" t="str">
        <f ca="1">IF(IFERROR(VLOOKUP($C72,SUP!$B$54:$Q$104,MATCH($B72&amp;"-"&amp;W$7,SUP!$B$54:$Q$54,0),FALSE),"")="","",IFERROR(VLOOKUP($C72,SUP!$B$54:$Q$104,MATCH($B72&amp;"-"&amp;W$7,SUP!$B$54:$Q$54,0),FALSE),""))</f>
        <v/>
      </c>
      <c r="X72" s="441" t="str">
        <f ca="1">IF(IFERROR(VLOOKUP($C72,SUP!$B$54:$Q$104,MATCH($B72&amp;"-"&amp;X$7,SUP!$B$54:$Q$54,0),FALSE),"")="","",IFERROR(VLOOKUP($C72,SUP!$B$54:$Q$104,MATCH($B72&amp;"-"&amp;X$7,SUP!$B$54:$Q$54,0),FALSE),""))</f>
        <v/>
      </c>
      <c r="Y72" s="441" t="str">
        <f ca="1">IF(IFERROR(VLOOKUP($C72,SUP!$B$54:$Q$104,MATCH($B72&amp;"-"&amp;Y$7,SUP!$B$54:$Q$54,0),FALSE),"")="","",IFERROR(VLOOKUP($C72,SUP!$B$54:$Q$104,MATCH($B72&amp;"-"&amp;Y$7,SUP!$B$54:$Q$54,0),FALSE),""))</f>
        <v/>
      </c>
      <c r="Z72" s="441" t="str">
        <f ca="1">IF(IFERROR(VLOOKUP($C72,SUP!$B$54:$Q$104,MATCH($B72&amp;"-"&amp;Z$7,SUP!$B$54:$Q$54,0),FALSE),"")="","",IFERROR(VLOOKUP($C72,SUP!$B$54:$Q$104,MATCH($B72&amp;"-"&amp;Z$7,SUP!$B$54:$Q$54,0),FALSE),""))</f>
        <v/>
      </c>
      <c r="AA72" s="441" t="str">
        <f ca="1">IF(IFERROR(VLOOKUP($C72,SUP!$B$54:$Q$104,MATCH($B72&amp;"-"&amp;AA$7,SUP!$B$54:$Q$54,0),FALSE),"")="","",IFERROR(VLOOKUP($C72,SUP!$B$54:$Q$104,MATCH($B72&amp;"-"&amp;AA$7,SUP!$B$54:$Q$54,0),FALSE),""))</f>
        <v/>
      </c>
      <c r="AB72" s="441" t="str">
        <f ca="1">IF(IFERROR(VLOOKUP($C72,SUP!$B$54:$Q$104,MATCH($B72&amp;"-"&amp;AB$7,SUP!$B$54:$Q$54,0),FALSE),"")="","",IFERROR(VLOOKUP($C72,SUP!$B$54:$Q$104,MATCH($B72&amp;"-"&amp;AB$7,SUP!$B$54:$Q$54,0),FALSE),""))</f>
        <v/>
      </c>
      <c r="AC72" s="441" t="str">
        <f ca="1">IF(IFERROR(VLOOKUP($C72,SUP!$B$54:$Q$104,MATCH($B72&amp;"-"&amp;AC$7,SUP!$B$54:$Q$54,0),FALSE),"")="","",IFERROR(VLOOKUP($C72,SUP!$B$54:$Q$104,MATCH($B72&amp;"-"&amp;AC$7,SUP!$B$54:$Q$54,0),FALSE),""))</f>
        <v/>
      </c>
      <c r="AD72" s="441" t="str">
        <f ca="1">IF(IFERROR(VLOOKUP($C72,SUP!$B$54:$Q$104,MATCH($B72&amp;"-"&amp;AD$7,SUP!$B$54:$Q$54,0),FALSE),"")="","",IFERROR(VLOOKUP($C72,SUP!$B$54:$Q$104,MATCH($B72&amp;"-"&amp;AD$7,SUP!$B$54:$Q$54,0),FALSE),""))</f>
        <v/>
      </c>
      <c r="AE72" s="441" t="str">
        <f ca="1">IF(IFERROR(VLOOKUP($C72,SUP!$B$54:$Q$104,MATCH($B72&amp;"-"&amp;AE$7,SUP!$B$54:$Q$54,0),FALSE),"")="","",IFERROR(VLOOKUP($C72,SUP!$B$54:$Q$104,MATCH($B72&amp;"-"&amp;AE$7,SUP!$B$54:$Q$54,0),FALSE),""))</f>
        <v/>
      </c>
      <c r="AF72" s="441" t="str">
        <f ca="1">IF(IFERROR(VLOOKUP($C72,SUP!$B$54:$Q$104,MATCH($B72&amp;"-"&amp;AF$7,SUP!$B$54:$Q$54,0),FALSE),"")="","",IFERROR(VLOOKUP($C72,SUP!$B$54:$Q$104,MATCH($B72&amp;"-"&amp;AF$7,SUP!$B$54:$Q$54,0),FALSE),""))</f>
        <v/>
      </c>
      <c r="AG72" s="441" t="str">
        <f ca="1">IF(IFERROR(VLOOKUP($C72,SUP!$B$54:$Q$104,MATCH($B72&amp;"-"&amp;AG$7,SUP!$B$54:$Q$54,0),FALSE),"")="","",IFERROR(VLOOKUP($C72,SUP!$B$54:$Q$104,MATCH($B72&amp;"-"&amp;AG$7,SUP!$B$54:$Q$54,0),FALSE),""))</f>
        <v/>
      </c>
      <c r="AH72" s="441" t="str">
        <f ca="1">IF(IFERROR(VLOOKUP($C72,SUP!$B$54:$Q$104,MATCH($B72&amp;"-"&amp;AH$7,SUP!$B$54:$Q$54,0),FALSE),"")="","",IFERROR(VLOOKUP($C72,SUP!$B$54:$Q$104,MATCH($B72&amp;"-"&amp;AH$7,SUP!$B$54:$Q$54,0),FALSE),""))</f>
        <v/>
      </c>
      <c r="AI72" s="441"/>
      <c r="AJ72" s="441"/>
      <c r="AK72" s="441"/>
      <c r="AL72" s="441"/>
      <c r="AM72" s="441" t="str">
        <f ca="1">IF(IFERROR(VLOOKUP($C72,SUP!$B$54:$Q$104,MATCH($B72&amp;"-"&amp;AM$7,SUP!$B$54:$Q$54,0),FALSE),"")="","",IFERROR(VLOOKUP($C72,SUP!$B$54:$Q$104,MATCH($B72&amp;"-"&amp;AM$7,SUP!$B$54:$Q$54,0),FALSE),""))</f>
        <v/>
      </c>
      <c r="AN72" s="441"/>
      <c r="AO72" s="441"/>
      <c r="AR72" s="42">
        <f>IF(AS71=SUP!$B$104,AR71+1,AR71)</f>
        <v>2</v>
      </c>
      <c r="AS72" s="42">
        <f t="shared" si="6"/>
        <v>13</v>
      </c>
    </row>
    <row r="73" spans="1:45">
      <c r="A73" s="42" t="str">
        <f ca="1">IF(LEFT(OFFSET(SUP!$A$57,AS73,0),2)="\I","*","")</f>
        <v/>
      </c>
      <c r="B73" s="440" t="str">
        <f t="shared" ca="1" si="8"/>
        <v>ACT_BND</v>
      </c>
      <c r="C73" s="440" t="str">
        <f ca="1">IF($A73="*","",OFFSET(SUP!$B$57,AS73,0))</f>
        <v>MINWAS</v>
      </c>
      <c r="D73" s="440" t="str">
        <f t="shared" ca="1" si="7"/>
        <v>-</v>
      </c>
      <c r="E73" s="440" t="str">
        <f t="shared" ca="1" si="7"/>
        <v>-</v>
      </c>
      <c r="F73" s="440" t="str">
        <f t="shared" ca="1" si="7"/>
        <v>-</v>
      </c>
      <c r="G73" s="440" t="str">
        <f t="shared" ca="1" si="7"/>
        <v>ANNUAL</v>
      </c>
      <c r="H73" s="440" t="str">
        <f t="shared" ca="1" si="5"/>
        <v>UP</v>
      </c>
      <c r="I73" s="441">
        <f ca="1">IF(IFERROR(VLOOKUP($C73,SUP!$B$54:$Q$104,MATCH($B73&amp;"-"&amp;I$7,SUP!$B$54:$Q$54,0),FALSE),"")="","",IFERROR(VLOOKUP($C73,SUP!$B$54:$Q$104,MATCH($B73&amp;"-"&amp;I$7,SUP!$B$54:$Q$54,0),FALSE),""))</f>
        <v>3</v>
      </c>
      <c r="J73" s="441">
        <f ca="1">IF(IFERROR(VLOOKUP($C73,SUP!$B$54:$Q$104,MATCH($B73&amp;"-"&amp;J$7,SUP!$B$54:$Q$54,0),FALSE),"")="","",IFERROR(VLOOKUP($C73,SUP!$B$54:$Q$104,MATCH($B73&amp;"-"&amp;J$7,SUP!$B$54:$Q$54,0),FALSE),""))</f>
        <v>25</v>
      </c>
      <c r="K73" s="441" t="str">
        <f ca="1">IF(IFERROR(VLOOKUP($C73,SUP!$B$54:$Q$104,MATCH($B73&amp;"-"&amp;K$7,SUP!$B$54:$Q$54,0),FALSE),"")="","",IFERROR(VLOOKUP($C73,SUP!$B$54:$Q$104,MATCH($B73&amp;"-"&amp;K$7,SUP!$B$54:$Q$54,0),FALSE),""))</f>
        <v/>
      </c>
      <c r="L73" s="441" t="str">
        <f ca="1">IF(IFERROR(VLOOKUP($C73,SUP!$B$54:$Q$104,MATCH($B73&amp;"-"&amp;L$7,SUP!$B$54:$Q$54,0),FALSE),"")="","",IFERROR(VLOOKUP($C73,SUP!$B$54:$Q$104,MATCH($B73&amp;"-"&amp;L$7,SUP!$B$54:$Q$54,0),FALSE),""))</f>
        <v/>
      </c>
      <c r="M73" s="441" t="str">
        <f ca="1">IF(IFERROR(VLOOKUP($C73,SUP!$B$54:$Q$104,MATCH($B73&amp;"-"&amp;M$7,SUP!$B$54:$Q$54,0),FALSE),"")="","",IFERROR(VLOOKUP($C73,SUP!$B$54:$Q$104,MATCH($B73&amp;"-"&amp;M$7,SUP!$B$54:$Q$54,0),FALSE),""))</f>
        <v/>
      </c>
      <c r="N73" s="441" t="str">
        <f ca="1">IF(IFERROR(VLOOKUP($C73,SUP!$B$54:$Q$104,MATCH($B73&amp;"-"&amp;N$7,SUP!$B$54:$Q$54,0),FALSE),"")="","",IFERROR(VLOOKUP($C73,SUP!$B$54:$Q$104,MATCH($B73&amp;"-"&amp;N$7,SUP!$B$54:$Q$54,0),FALSE),""))</f>
        <v/>
      </c>
      <c r="O73" s="441" t="str">
        <f ca="1">IF(IFERROR(VLOOKUP($C73,SUP!$B$54:$Q$104,MATCH($B73&amp;"-"&amp;O$7,SUP!$B$54:$Q$54,0),FALSE),"")="","",IFERROR(VLOOKUP($C73,SUP!$B$54:$Q$104,MATCH($B73&amp;"-"&amp;O$7,SUP!$B$54:$Q$54,0),FALSE),""))</f>
        <v/>
      </c>
      <c r="P73" s="441" t="str">
        <f ca="1">IF(IFERROR(VLOOKUP($C73,SUP!$B$54:$Q$104,MATCH($B73&amp;"-"&amp;P$7,SUP!$B$54:$Q$54,0),FALSE),"")="","",IFERROR(VLOOKUP($C73,SUP!$B$54:$Q$104,MATCH($B73&amp;"-"&amp;P$7,SUP!$B$54:$Q$54,0),FALSE),""))</f>
        <v/>
      </c>
      <c r="Q73" s="441" t="str">
        <f ca="1">IF(IFERROR(VLOOKUP($C73,SUP!$B$54:$Q$104,MATCH($B73&amp;"-"&amp;Q$7,SUP!$B$54:$Q$54,0),FALSE),"")="","",IFERROR(VLOOKUP($C73,SUP!$B$54:$Q$104,MATCH($B73&amp;"-"&amp;Q$7,SUP!$B$54:$Q$54,0),FALSE),""))</f>
        <v/>
      </c>
      <c r="R73" s="441" t="str">
        <f ca="1">IF(IFERROR(VLOOKUP($C73,SUP!$B$54:$Q$104,MATCH($B73&amp;"-"&amp;R$7,SUP!$B$54:$Q$54,0),FALSE),"")="","",IFERROR(VLOOKUP($C73,SUP!$B$54:$Q$104,MATCH($B73&amp;"-"&amp;R$7,SUP!$B$54:$Q$54,0),FALSE),""))</f>
        <v/>
      </c>
      <c r="S73" s="441" t="str">
        <f ca="1">IF(IFERROR(VLOOKUP($C73,SUP!$B$54:$Q$104,MATCH($B73&amp;"-"&amp;S$7,SUP!$B$54:$Q$54,0),FALSE),"")="","",IFERROR(VLOOKUP($C73,SUP!$B$54:$Q$104,MATCH($B73&amp;"-"&amp;S$7,SUP!$B$54:$Q$54,0),FALSE),""))</f>
        <v/>
      </c>
      <c r="T73" s="441" t="str">
        <f ca="1">IF(IFERROR(VLOOKUP($C73,SUP!$B$54:$Q$104,MATCH($B73&amp;"-"&amp;T$7,SUP!$B$54:$Q$54,0),FALSE),"")="","",IFERROR(VLOOKUP($C73,SUP!$B$54:$Q$104,MATCH($B73&amp;"-"&amp;T$7,SUP!$B$54:$Q$54,0),FALSE),""))</f>
        <v/>
      </c>
      <c r="U73" s="441" t="str">
        <f ca="1">IF(IFERROR(VLOOKUP($C73,SUP!$B$54:$Q$104,MATCH($B73&amp;"-"&amp;U$7,SUP!$B$54:$Q$54,0),FALSE),"")="","",IFERROR(VLOOKUP($C73,SUP!$B$54:$Q$104,MATCH($B73&amp;"-"&amp;U$7,SUP!$B$54:$Q$54,0),FALSE),""))</f>
        <v/>
      </c>
      <c r="V73" s="441" t="str">
        <f ca="1">IF(IFERROR(VLOOKUP($C73,SUP!$B$54:$Q$104,MATCH($B73&amp;"-"&amp;V$7,SUP!$B$54:$Q$54,0),FALSE),"")="","",IFERROR(VLOOKUP($C73,SUP!$B$54:$Q$104,MATCH($B73&amp;"-"&amp;V$7,SUP!$B$54:$Q$54,0),FALSE),""))</f>
        <v/>
      </c>
      <c r="W73" s="441" t="str">
        <f ca="1">IF(IFERROR(VLOOKUP($C73,SUP!$B$54:$Q$104,MATCH($B73&amp;"-"&amp;W$7,SUP!$B$54:$Q$54,0),FALSE),"")="","",IFERROR(VLOOKUP($C73,SUP!$B$54:$Q$104,MATCH($B73&amp;"-"&amp;W$7,SUP!$B$54:$Q$54,0),FALSE),""))</f>
        <v/>
      </c>
      <c r="X73" s="441" t="str">
        <f ca="1">IF(IFERROR(VLOOKUP($C73,SUP!$B$54:$Q$104,MATCH($B73&amp;"-"&amp;X$7,SUP!$B$54:$Q$54,0),FALSE),"")="","",IFERROR(VLOOKUP($C73,SUP!$B$54:$Q$104,MATCH($B73&amp;"-"&amp;X$7,SUP!$B$54:$Q$54,0),FALSE),""))</f>
        <v/>
      </c>
      <c r="Y73" s="441" t="str">
        <f ca="1">IF(IFERROR(VLOOKUP($C73,SUP!$B$54:$Q$104,MATCH($B73&amp;"-"&amp;Y$7,SUP!$B$54:$Q$54,0),FALSE),"")="","",IFERROR(VLOOKUP($C73,SUP!$B$54:$Q$104,MATCH($B73&amp;"-"&amp;Y$7,SUP!$B$54:$Q$54,0),FALSE),""))</f>
        <v/>
      </c>
      <c r="Z73" s="441" t="str">
        <f ca="1">IF(IFERROR(VLOOKUP($C73,SUP!$B$54:$Q$104,MATCH($B73&amp;"-"&amp;Z$7,SUP!$B$54:$Q$54,0),FALSE),"")="","",IFERROR(VLOOKUP($C73,SUP!$B$54:$Q$104,MATCH($B73&amp;"-"&amp;Z$7,SUP!$B$54:$Q$54,0),FALSE),""))</f>
        <v/>
      </c>
      <c r="AA73" s="441" t="str">
        <f ca="1">IF(IFERROR(VLOOKUP($C73,SUP!$B$54:$Q$104,MATCH($B73&amp;"-"&amp;AA$7,SUP!$B$54:$Q$54,0),FALSE),"")="","",IFERROR(VLOOKUP($C73,SUP!$B$54:$Q$104,MATCH($B73&amp;"-"&amp;AA$7,SUP!$B$54:$Q$54,0),FALSE),""))</f>
        <v/>
      </c>
      <c r="AB73" s="441" t="str">
        <f ca="1">IF(IFERROR(VLOOKUP($C73,SUP!$B$54:$Q$104,MATCH($B73&amp;"-"&amp;AB$7,SUP!$B$54:$Q$54,0),FALSE),"")="","",IFERROR(VLOOKUP($C73,SUP!$B$54:$Q$104,MATCH($B73&amp;"-"&amp;AB$7,SUP!$B$54:$Q$54,0),FALSE),""))</f>
        <v/>
      </c>
      <c r="AC73" s="441" t="str">
        <f ca="1">IF(IFERROR(VLOOKUP($C73,SUP!$B$54:$Q$104,MATCH($B73&amp;"-"&amp;AC$7,SUP!$B$54:$Q$54,0),FALSE),"")="","",IFERROR(VLOOKUP($C73,SUP!$B$54:$Q$104,MATCH($B73&amp;"-"&amp;AC$7,SUP!$B$54:$Q$54,0),FALSE),""))</f>
        <v/>
      </c>
      <c r="AD73" s="441" t="str">
        <f ca="1">IF(IFERROR(VLOOKUP($C73,SUP!$B$54:$Q$104,MATCH($B73&amp;"-"&amp;AD$7,SUP!$B$54:$Q$54,0),FALSE),"")="","",IFERROR(VLOOKUP($C73,SUP!$B$54:$Q$104,MATCH($B73&amp;"-"&amp;AD$7,SUP!$B$54:$Q$54,0),FALSE),""))</f>
        <v/>
      </c>
      <c r="AE73" s="441" t="str">
        <f ca="1">IF(IFERROR(VLOOKUP($C73,SUP!$B$54:$Q$104,MATCH($B73&amp;"-"&amp;AE$7,SUP!$B$54:$Q$54,0),FALSE),"")="","",IFERROR(VLOOKUP($C73,SUP!$B$54:$Q$104,MATCH($B73&amp;"-"&amp;AE$7,SUP!$B$54:$Q$54,0),FALSE),""))</f>
        <v/>
      </c>
      <c r="AF73" s="441" t="str">
        <f ca="1">IF(IFERROR(VLOOKUP($C73,SUP!$B$54:$Q$104,MATCH($B73&amp;"-"&amp;AF$7,SUP!$B$54:$Q$54,0),FALSE),"")="","",IFERROR(VLOOKUP($C73,SUP!$B$54:$Q$104,MATCH($B73&amp;"-"&amp;AF$7,SUP!$B$54:$Q$54,0),FALSE),""))</f>
        <v/>
      </c>
      <c r="AG73" s="441" t="str">
        <f ca="1">IF(IFERROR(VLOOKUP($C73,SUP!$B$54:$Q$104,MATCH($B73&amp;"-"&amp;AG$7,SUP!$B$54:$Q$54,0),FALSE),"")="","",IFERROR(VLOOKUP($C73,SUP!$B$54:$Q$104,MATCH($B73&amp;"-"&amp;AG$7,SUP!$B$54:$Q$54,0),FALSE),""))</f>
        <v/>
      </c>
      <c r="AH73" s="441" t="str">
        <f ca="1">IF(IFERROR(VLOOKUP($C73,SUP!$B$54:$Q$104,MATCH($B73&amp;"-"&amp;AH$7,SUP!$B$54:$Q$54,0),FALSE),"")="","",IFERROR(VLOOKUP($C73,SUP!$B$54:$Q$104,MATCH($B73&amp;"-"&amp;AH$7,SUP!$B$54:$Q$54,0),FALSE),""))</f>
        <v/>
      </c>
      <c r="AI73" s="441"/>
      <c r="AJ73" s="441"/>
      <c r="AK73" s="441"/>
      <c r="AL73" s="441"/>
      <c r="AM73" s="441" t="str">
        <f ca="1">IF(IFERROR(VLOOKUP($C73,SUP!$B$54:$Q$104,MATCH($B73&amp;"-"&amp;AM$7,SUP!$B$54:$Q$54,0),FALSE),"")="","",IFERROR(VLOOKUP($C73,SUP!$B$54:$Q$104,MATCH($B73&amp;"-"&amp;AM$7,SUP!$B$54:$Q$54,0),FALSE),""))</f>
        <v/>
      </c>
      <c r="AN73" s="441"/>
      <c r="AO73" s="441"/>
      <c r="AR73" s="42">
        <f>IF(AS72=SUP!$B$104,AR72+1,AR72)</f>
        <v>2</v>
      </c>
      <c r="AS73" s="42">
        <f t="shared" si="6"/>
        <v>14</v>
      </c>
    </row>
    <row r="74" spans="1:45">
      <c r="A74" s="42" t="str">
        <f ca="1">IF(LEFT(OFFSET(SUP!$A$57,AS74,0),2)="\I","*","")</f>
        <v/>
      </c>
      <c r="B74" s="440" t="str">
        <f t="shared" ca="1" si="8"/>
        <v>ACT_BND</v>
      </c>
      <c r="C74" s="440" t="str">
        <f ca="1">IF($A74="*","",OFFSET(SUP!$B$57,AS74,0))</f>
        <v>MINHYD</v>
      </c>
      <c r="D74" s="440" t="str">
        <f t="shared" ca="1" si="7"/>
        <v>-</v>
      </c>
      <c r="E74" s="440" t="str">
        <f t="shared" ca="1" si="7"/>
        <v>-</v>
      </c>
      <c r="F74" s="440" t="str">
        <f t="shared" ca="1" si="7"/>
        <v>-</v>
      </c>
      <c r="G74" s="440" t="str">
        <f t="shared" ca="1" si="7"/>
        <v>ANNUAL</v>
      </c>
      <c r="H74" s="440" t="str">
        <f t="shared" ca="1" si="5"/>
        <v>UP</v>
      </c>
      <c r="I74" s="441" t="str">
        <f ca="1">IF(IFERROR(VLOOKUP($C74,SUP!$B$54:$Q$104,MATCH($B74&amp;"-"&amp;I$7,SUP!$B$54:$Q$54,0),FALSE),"")="","",IFERROR(VLOOKUP($C74,SUP!$B$54:$Q$104,MATCH($B74&amp;"-"&amp;I$7,SUP!$B$54:$Q$54,0),FALSE),""))</f>
        <v/>
      </c>
      <c r="J74" s="441" t="str">
        <f ca="1">IF(IFERROR(VLOOKUP($C74,SUP!$B$54:$Q$104,MATCH($B74&amp;"-"&amp;J$7,SUP!$B$54:$Q$54,0),FALSE),"")="","",IFERROR(VLOOKUP($C74,SUP!$B$54:$Q$104,MATCH($B74&amp;"-"&amp;J$7,SUP!$B$54:$Q$54,0),FALSE),""))</f>
        <v/>
      </c>
      <c r="K74" s="441" t="str">
        <f ca="1">IF(IFERROR(VLOOKUP($C74,SUP!$B$54:$Q$104,MATCH($B74&amp;"-"&amp;K$7,SUP!$B$54:$Q$54,0),FALSE),"")="","",IFERROR(VLOOKUP($C74,SUP!$B$54:$Q$104,MATCH($B74&amp;"-"&amp;K$7,SUP!$B$54:$Q$54,0),FALSE),""))</f>
        <v/>
      </c>
      <c r="L74" s="441" t="str">
        <f ca="1">IF(IFERROR(VLOOKUP($C74,SUP!$B$54:$Q$104,MATCH($B74&amp;"-"&amp;L$7,SUP!$B$54:$Q$54,0),FALSE),"")="","",IFERROR(VLOOKUP($C74,SUP!$B$54:$Q$104,MATCH($B74&amp;"-"&amp;L$7,SUP!$B$54:$Q$54,0),FALSE),""))</f>
        <v/>
      </c>
      <c r="M74" s="441" t="str">
        <f ca="1">IF(IFERROR(VLOOKUP($C74,SUP!$B$54:$Q$104,MATCH($B74&amp;"-"&amp;M$7,SUP!$B$54:$Q$54,0),FALSE),"")="","",IFERROR(VLOOKUP($C74,SUP!$B$54:$Q$104,MATCH($B74&amp;"-"&amp;M$7,SUP!$B$54:$Q$54,0),FALSE),""))</f>
        <v/>
      </c>
      <c r="N74" s="441" t="str">
        <f ca="1">IF(IFERROR(VLOOKUP($C74,SUP!$B$54:$Q$104,MATCH($B74&amp;"-"&amp;N$7,SUP!$B$54:$Q$54,0),FALSE),"")="","",IFERROR(VLOOKUP($C74,SUP!$B$54:$Q$104,MATCH($B74&amp;"-"&amp;N$7,SUP!$B$54:$Q$54,0),FALSE),""))</f>
        <v/>
      </c>
      <c r="O74" s="441" t="str">
        <f ca="1">IF(IFERROR(VLOOKUP($C74,SUP!$B$54:$Q$104,MATCH($B74&amp;"-"&amp;O$7,SUP!$B$54:$Q$54,0),FALSE),"")="","",IFERROR(VLOOKUP($C74,SUP!$B$54:$Q$104,MATCH($B74&amp;"-"&amp;O$7,SUP!$B$54:$Q$54,0),FALSE),""))</f>
        <v/>
      </c>
      <c r="P74" s="441" t="str">
        <f ca="1">IF(IFERROR(VLOOKUP($C74,SUP!$B$54:$Q$104,MATCH($B74&amp;"-"&amp;P$7,SUP!$B$54:$Q$54,0),FALSE),"")="","",IFERROR(VLOOKUP($C74,SUP!$B$54:$Q$104,MATCH($B74&amp;"-"&amp;P$7,SUP!$B$54:$Q$54,0),FALSE),""))</f>
        <v/>
      </c>
      <c r="Q74" s="441" t="str">
        <f ca="1">IF(IFERROR(VLOOKUP($C74,SUP!$B$54:$Q$104,MATCH($B74&amp;"-"&amp;Q$7,SUP!$B$54:$Q$54,0),FALSE),"")="","",IFERROR(VLOOKUP($C74,SUP!$B$54:$Q$104,MATCH($B74&amp;"-"&amp;Q$7,SUP!$B$54:$Q$54,0),FALSE),""))</f>
        <v/>
      </c>
      <c r="R74" s="441" t="str">
        <f ca="1">IF(IFERROR(VLOOKUP($C74,SUP!$B$54:$Q$104,MATCH($B74&amp;"-"&amp;R$7,SUP!$B$54:$Q$54,0),FALSE),"")="","",IFERROR(VLOOKUP($C74,SUP!$B$54:$Q$104,MATCH($B74&amp;"-"&amp;R$7,SUP!$B$54:$Q$54,0),FALSE),""))</f>
        <v/>
      </c>
      <c r="S74" s="441" t="str">
        <f ca="1">IF(IFERROR(VLOOKUP($C74,SUP!$B$54:$Q$104,MATCH($B74&amp;"-"&amp;S$7,SUP!$B$54:$Q$54,0),FALSE),"")="","",IFERROR(VLOOKUP($C74,SUP!$B$54:$Q$104,MATCH($B74&amp;"-"&amp;S$7,SUP!$B$54:$Q$54,0),FALSE),""))</f>
        <v/>
      </c>
      <c r="T74" s="441" t="str">
        <f ca="1">IF(IFERROR(VLOOKUP($C74,SUP!$B$54:$Q$104,MATCH($B74&amp;"-"&amp;T$7,SUP!$B$54:$Q$54,0),FALSE),"")="","",IFERROR(VLOOKUP($C74,SUP!$B$54:$Q$104,MATCH($B74&amp;"-"&amp;T$7,SUP!$B$54:$Q$54,0),FALSE),""))</f>
        <v/>
      </c>
      <c r="U74" s="441" t="str">
        <f ca="1">IF(IFERROR(VLOOKUP($C74,SUP!$B$54:$Q$104,MATCH($B74&amp;"-"&amp;U$7,SUP!$B$54:$Q$54,0),FALSE),"")="","",IFERROR(VLOOKUP($C74,SUP!$B$54:$Q$104,MATCH($B74&amp;"-"&amp;U$7,SUP!$B$54:$Q$54,0),FALSE),""))</f>
        <v/>
      </c>
      <c r="V74" s="441" t="str">
        <f ca="1">IF(IFERROR(VLOOKUP($C74,SUP!$B$54:$Q$104,MATCH($B74&amp;"-"&amp;V$7,SUP!$B$54:$Q$54,0),FALSE),"")="","",IFERROR(VLOOKUP($C74,SUP!$B$54:$Q$104,MATCH($B74&amp;"-"&amp;V$7,SUP!$B$54:$Q$54,0),FALSE),""))</f>
        <v/>
      </c>
      <c r="W74" s="441" t="str">
        <f ca="1">IF(IFERROR(VLOOKUP($C74,SUP!$B$54:$Q$104,MATCH($B74&amp;"-"&amp;W$7,SUP!$B$54:$Q$54,0),FALSE),"")="","",IFERROR(VLOOKUP($C74,SUP!$B$54:$Q$104,MATCH($B74&amp;"-"&amp;W$7,SUP!$B$54:$Q$54,0),FALSE),""))</f>
        <v/>
      </c>
      <c r="X74" s="441" t="str">
        <f ca="1">IF(IFERROR(VLOOKUP($C74,SUP!$B$54:$Q$104,MATCH($B74&amp;"-"&amp;X$7,SUP!$B$54:$Q$54,0),FALSE),"")="","",IFERROR(VLOOKUP($C74,SUP!$B$54:$Q$104,MATCH($B74&amp;"-"&amp;X$7,SUP!$B$54:$Q$54,0),FALSE),""))</f>
        <v/>
      </c>
      <c r="Y74" s="441" t="str">
        <f ca="1">IF(IFERROR(VLOOKUP($C74,SUP!$B$54:$Q$104,MATCH($B74&amp;"-"&amp;Y$7,SUP!$B$54:$Q$54,0),FALSE),"")="","",IFERROR(VLOOKUP($C74,SUP!$B$54:$Q$104,MATCH($B74&amp;"-"&amp;Y$7,SUP!$B$54:$Q$54,0),FALSE),""))</f>
        <v/>
      </c>
      <c r="Z74" s="441" t="str">
        <f ca="1">IF(IFERROR(VLOOKUP($C74,SUP!$B$54:$Q$104,MATCH($B74&amp;"-"&amp;Z$7,SUP!$B$54:$Q$54,0),FALSE),"")="","",IFERROR(VLOOKUP($C74,SUP!$B$54:$Q$104,MATCH($B74&amp;"-"&amp;Z$7,SUP!$B$54:$Q$54,0),FALSE),""))</f>
        <v/>
      </c>
      <c r="AA74" s="441" t="str">
        <f ca="1">IF(IFERROR(VLOOKUP($C74,SUP!$B$54:$Q$104,MATCH($B74&amp;"-"&amp;AA$7,SUP!$B$54:$Q$54,0),FALSE),"")="","",IFERROR(VLOOKUP($C74,SUP!$B$54:$Q$104,MATCH($B74&amp;"-"&amp;AA$7,SUP!$B$54:$Q$54,0),FALSE),""))</f>
        <v/>
      </c>
      <c r="AB74" s="441" t="str">
        <f ca="1">IF(IFERROR(VLOOKUP($C74,SUP!$B$54:$Q$104,MATCH($B74&amp;"-"&amp;AB$7,SUP!$B$54:$Q$54,0),FALSE),"")="","",IFERROR(VLOOKUP($C74,SUP!$B$54:$Q$104,MATCH($B74&amp;"-"&amp;AB$7,SUP!$B$54:$Q$54,0),FALSE),""))</f>
        <v/>
      </c>
      <c r="AC74" s="441" t="str">
        <f ca="1">IF(IFERROR(VLOOKUP($C74,SUP!$B$54:$Q$104,MATCH($B74&amp;"-"&amp;AC$7,SUP!$B$54:$Q$54,0),FALSE),"")="","",IFERROR(VLOOKUP($C74,SUP!$B$54:$Q$104,MATCH($B74&amp;"-"&amp;AC$7,SUP!$B$54:$Q$54,0),FALSE),""))</f>
        <v/>
      </c>
      <c r="AD74" s="441" t="str">
        <f ca="1">IF(IFERROR(VLOOKUP($C74,SUP!$B$54:$Q$104,MATCH($B74&amp;"-"&amp;AD$7,SUP!$B$54:$Q$54,0),FALSE),"")="","",IFERROR(VLOOKUP($C74,SUP!$B$54:$Q$104,MATCH($B74&amp;"-"&amp;AD$7,SUP!$B$54:$Q$54,0),FALSE),""))</f>
        <v/>
      </c>
      <c r="AE74" s="441" t="str">
        <f ca="1">IF(IFERROR(VLOOKUP($C74,SUP!$B$54:$Q$104,MATCH($B74&amp;"-"&amp;AE$7,SUP!$B$54:$Q$54,0),FALSE),"")="","",IFERROR(VLOOKUP($C74,SUP!$B$54:$Q$104,MATCH($B74&amp;"-"&amp;AE$7,SUP!$B$54:$Q$54,0),FALSE),""))</f>
        <v/>
      </c>
      <c r="AF74" s="441" t="str">
        <f ca="1">IF(IFERROR(VLOOKUP($C74,SUP!$B$54:$Q$104,MATCH($B74&amp;"-"&amp;AF$7,SUP!$B$54:$Q$54,0),FALSE),"")="","",IFERROR(VLOOKUP($C74,SUP!$B$54:$Q$104,MATCH($B74&amp;"-"&amp;AF$7,SUP!$B$54:$Q$54,0),FALSE),""))</f>
        <v/>
      </c>
      <c r="AG74" s="441" t="str">
        <f ca="1">IF(IFERROR(VLOOKUP($C74,SUP!$B$54:$Q$104,MATCH($B74&amp;"-"&amp;AG$7,SUP!$B$54:$Q$54,0),FALSE),"")="","",IFERROR(VLOOKUP($C74,SUP!$B$54:$Q$104,MATCH($B74&amp;"-"&amp;AG$7,SUP!$B$54:$Q$54,0),FALSE),""))</f>
        <v/>
      </c>
      <c r="AH74" s="441" t="str">
        <f ca="1">IF(IFERROR(VLOOKUP($C74,SUP!$B$54:$Q$104,MATCH($B74&amp;"-"&amp;AH$7,SUP!$B$54:$Q$54,0),FALSE),"")="","",IFERROR(VLOOKUP($C74,SUP!$B$54:$Q$104,MATCH($B74&amp;"-"&amp;AH$7,SUP!$B$54:$Q$54,0),FALSE),""))</f>
        <v/>
      </c>
      <c r="AI74" s="441"/>
      <c r="AJ74" s="441"/>
      <c r="AK74" s="441"/>
      <c r="AL74" s="441"/>
      <c r="AM74" s="441" t="str">
        <f ca="1">IF(IFERROR(VLOOKUP($C74,SUP!$B$54:$Q$104,MATCH($B74&amp;"-"&amp;AM$7,SUP!$B$54:$Q$54,0),FALSE),"")="","",IFERROR(VLOOKUP($C74,SUP!$B$54:$Q$104,MATCH($B74&amp;"-"&amp;AM$7,SUP!$B$54:$Q$54,0),FALSE),""))</f>
        <v/>
      </c>
      <c r="AN74" s="441"/>
      <c r="AO74" s="441"/>
      <c r="AR74" s="42">
        <f>IF(AS73=SUP!$B$104,AR73+1,AR73)</f>
        <v>2</v>
      </c>
      <c r="AS74" s="42">
        <f t="shared" si="6"/>
        <v>15</v>
      </c>
    </row>
    <row r="75" spans="1:45">
      <c r="A75" s="42" t="str">
        <f ca="1">IF(LEFT(OFFSET(SUP!$A$57,AS75,0),2)="\I","*","")</f>
        <v/>
      </c>
      <c r="B75" s="440" t="str">
        <f t="shared" ca="1" si="8"/>
        <v>ACT_BND</v>
      </c>
      <c r="C75" s="440" t="str">
        <f ca="1">IF($A75="*","",OFFSET(SUP!$B$57,AS75,0))</f>
        <v>MINSOL</v>
      </c>
      <c r="D75" s="440" t="str">
        <f t="shared" ca="1" si="7"/>
        <v>-</v>
      </c>
      <c r="E75" s="440" t="str">
        <f t="shared" ca="1" si="7"/>
        <v>-</v>
      </c>
      <c r="F75" s="440" t="str">
        <f t="shared" ca="1" si="7"/>
        <v>-</v>
      </c>
      <c r="G75" s="440" t="str">
        <f t="shared" ca="1" si="7"/>
        <v>ANNUAL</v>
      </c>
      <c r="H75" s="440" t="str">
        <f t="shared" ca="1" si="5"/>
        <v>UP</v>
      </c>
      <c r="I75" s="441" t="str">
        <f ca="1">IF(IFERROR(VLOOKUP($C75,SUP!$B$54:$Q$104,MATCH($B75&amp;"-"&amp;I$7,SUP!$B$54:$Q$54,0),FALSE),"")="","",IFERROR(VLOOKUP($C75,SUP!$B$54:$Q$104,MATCH($B75&amp;"-"&amp;I$7,SUP!$B$54:$Q$54,0),FALSE),""))</f>
        <v/>
      </c>
      <c r="J75" s="441" t="str">
        <f ca="1">IF(IFERROR(VLOOKUP($C75,SUP!$B$54:$Q$104,MATCH($B75&amp;"-"&amp;J$7,SUP!$B$54:$Q$54,0),FALSE),"")="","",IFERROR(VLOOKUP($C75,SUP!$B$54:$Q$104,MATCH($B75&amp;"-"&amp;J$7,SUP!$B$54:$Q$54,0),FALSE),""))</f>
        <v/>
      </c>
      <c r="K75" s="441" t="str">
        <f ca="1">IF(IFERROR(VLOOKUP($C75,SUP!$B$54:$Q$104,MATCH($B75&amp;"-"&amp;K$7,SUP!$B$54:$Q$54,0),FALSE),"")="","",IFERROR(VLOOKUP($C75,SUP!$B$54:$Q$104,MATCH($B75&amp;"-"&amp;K$7,SUP!$B$54:$Q$54,0),FALSE),""))</f>
        <v/>
      </c>
      <c r="L75" s="441" t="str">
        <f ca="1">IF(IFERROR(VLOOKUP($C75,SUP!$B$54:$Q$104,MATCH($B75&amp;"-"&amp;L$7,SUP!$B$54:$Q$54,0),FALSE),"")="","",IFERROR(VLOOKUP($C75,SUP!$B$54:$Q$104,MATCH($B75&amp;"-"&amp;L$7,SUP!$B$54:$Q$54,0),FALSE),""))</f>
        <v/>
      </c>
      <c r="M75" s="441" t="str">
        <f ca="1">IF(IFERROR(VLOOKUP($C75,SUP!$B$54:$Q$104,MATCH($B75&amp;"-"&amp;M$7,SUP!$B$54:$Q$54,0),FALSE),"")="","",IFERROR(VLOOKUP($C75,SUP!$B$54:$Q$104,MATCH($B75&amp;"-"&amp;M$7,SUP!$B$54:$Q$54,0),FALSE),""))</f>
        <v/>
      </c>
      <c r="N75" s="441" t="str">
        <f ca="1">IF(IFERROR(VLOOKUP($C75,SUP!$B$54:$Q$104,MATCH($B75&amp;"-"&amp;N$7,SUP!$B$54:$Q$54,0),FALSE),"")="","",IFERROR(VLOOKUP($C75,SUP!$B$54:$Q$104,MATCH($B75&amp;"-"&amp;N$7,SUP!$B$54:$Q$54,0),FALSE),""))</f>
        <v/>
      </c>
      <c r="O75" s="441" t="str">
        <f ca="1">IF(IFERROR(VLOOKUP($C75,SUP!$B$54:$Q$104,MATCH($B75&amp;"-"&amp;O$7,SUP!$B$54:$Q$54,0),FALSE),"")="","",IFERROR(VLOOKUP($C75,SUP!$B$54:$Q$104,MATCH($B75&amp;"-"&amp;O$7,SUP!$B$54:$Q$54,0),FALSE),""))</f>
        <v/>
      </c>
      <c r="P75" s="441" t="str">
        <f ca="1">IF(IFERROR(VLOOKUP($C75,SUP!$B$54:$Q$104,MATCH($B75&amp;"-"&amp;P$7,SUP!$B$54:$Q$54,0),FALSE),"")="","",IFERROR(VLOOKUP($C75,SUP!$B$54:$Q$104,MATCH($B75&amp;"-"&amp;P$7,SUP!$B$54:$Q$54,0),FALSE),""))</f>
        <v/>
      </c>
      <c r="Q75" s="441" t="str">
        <f ca="1">IF(IFERROR(VLOOKUP($C75,SUP!$B$54:$Q$104,MATCH($B75&amp;"-"&amp;Q$7,SUP!$B$54:$Q$54,0),FALSE),"")="","",IFERROR(VLOOKUP($C75,SUP!$B$54:$Q$104,MATCH($B75&amp;"-"&amp;Q$7,SUP!$B$54:$Q$54,0),FALSE),""))</f>
        <v/>
      </c>
      <c r="R75" s="441" t="str">
        <f ca="1">IF(IFERROR(VLOOKUP($C75,SUP!$B$54:$Q$104,MATCH($B75&amp;"-"&amp;R$7,SUP!$B$54:$Q$54,0),FALSE),"")="","",IFERROR(VLOOKUP($C75,SUP!$B$54:$Q$104,MATCH($B75&amp;"-"&amp;R$7,SUP!$B$54:$Q$54,0),FALSE),""))</f>
        <v/>
      </c>
      <c r="S75" s="441" t="str">
        <f ca="1">IF(IFERROR(VLOOKUP($C75,SUP!$B$54:$Q$104,MATCH($B75&amp;"-"&amp;S$7,SUP!$B$54:$Q$54,0),FALSE),"")="","",IFERROR(VLOOKUP($C75,SUP!$B$54:$Q$104,MATCH($B75&amp;"-"&amp;S$7,SUP!$B$54:$Q$54,0),FALSE),""))</f>
        <v/>
      </c>
      <c r="T75" s="441" t="str">
        <f ca="1">IF(IFERROR(VLOOKUP($C75,SUP!$B$54:$Q$104,MATCH($B75&amp;"-"&amp;T$7,SUP!$B$54:$Q$54,0),FALSE),"")="","",IFERROR(VLOOKUP($C75,SUP!$B$54:$Q$104,MATCH($B75&amp;"-"&amp;T$7,SUP!$B$54:$Q$54,0),FALSE),""))</f>
        <v/>
      </c>
      <c r="U75" s="441" t="str">
        <f ca="1">IF(IFERROR(VLOOKUP($C75,SUP!$B$54:$Q$104,MATCH($B75&amp;"-"&amp;U$7,SUP!$B$54:$Q$54,0),FALSE),"")="","",IFERROR(VLOOKUP($C75,SUP!$B$54:$Q$104,MATCH($B75&amp;"-"&amp;U$7,SUP!$B$54:$Q$54,0),FALSE),""))</f>
        <v/>
      </c>
      <c r="V75" s="441" t="str">
        <f ca="1">IF(IFERROR(VLOOKUP($C75,SUP!$B$54:$Q$104,MATCH($B75&amp;"-"&amp;V$7,SUP!$B$54:$Q$54,0),FALSE),"")="","",IFERROR(VLOOKUP($C75,SUP!$B$54:$Q$104,MATCH($B75&amp;"-"&amp;V$7,SUP!$B$54:$Q$54,0),FALSE),""))</f>
        <v/>
      </c>
      <c r="W75" s="441" t="str">
        <f ca="1">IF(IFERROR(VLOOKUP($C75,SUP!$B$54:$Q$104,MATCH($B75&amp;"-"&amp;W$7,SUP!$B$54:$Q$54,0),FALSE),"")="","",IFERROR(VLOOKUP($C75,SUP!$B$54:$Q$104,MATCH($B75&amp;"-"&amp;W$7,SUP!$B$54:$Q$54,0),FALSE),""))</f>
        <v/>
      </c>
      <c r="X75" s="441" t="str">
        <f ca="1">IF(IFERROR(VLOOKUP($C75,SUP!$B$54:$Q$104,MATCH($B75&amp;"-"&amp;X$7,SUP!$B$54:$Q$54,0),FALSE),"")="","",IFERROR(VLOOKUP($C75,SUP!$B$54:$Q$104,MATCH($B75&amp;"-"&amp;X$7,SUP!$B$54:$Q$54,0),FALSE),""))</f>
        <v/>
      </c>
      <c r="Y75" s="441" t="str">
        <f ca="1">IF(IFERROR(VLOOKUP($C75,SUP!$B$54:$Q$104,MATCH($B75&amp;"-"&amp;Y$7,SUP!$B$54:$Q$54,0),FALSE),"")="","",IFERROR(VLOOKUP($C75,SUP!$B$54:$Q$104,MATCH($B75&amp;"-"&amp;Y$7,SUP!$B$54:$Q$54,0),FALSE),""))</f>
        <v/>
      </c>
      <c r="Z75" s="441" t="str">
        <f ca="1">IF(IFERROR(VLOOKUP($C75,SUP!$B$54:$Q$104,MATCH($B75&amp;"-"&amp;Z$7,SUP!$B$54:$Q$54,0),FALSE),"")="","",IFERROR(VLOOKUP($C75,SUP!$B$54:$Q$104,MATCH($B75&amp;"-"&amp;Z$7,SUP!$B$54:$Q$54,0),FALSE),""))</f>
        <v/>
      </c>
      <c r="AA75" s="441" t="str">
        <f ca="1">IF(IFERROR(VLOOKUP($C75,SUP!$B$54:$Q$104,MATCH($B75&amp;"-"&amp;AA$7,SUP!$B$54:$Q$54,0),FALSE),"")="","",IFERROR(VLOOKUP($C75,SUP!$B$54:$Q$104,MATCH($B75&amp;"-"&amp;AA$7,SUP!$B$54:$Q$54,0),FALSE),""))</f>
        <v/>
      </c>
      <c r="AB75" s="441" t="str">
        <f ca="1">IF(IFERROR(VLOOKUP($C75,SUP!$B$54:$Q$104,MATCH($B75&amp;"-"&amp;AB$7,SUP!$B$54:$Q$54,0),FALSE),"")="","",IFERROR(VLOOKUP($C75,SUP!$B$54:$Q$104,MATCH($B75&amp;"-"&amp;AB$7,SUP!$B$54:$Q$54,0),FALSE),""))</f>
        <v/>
      </c>
      <c r="AC75" s="441" t="str">
        <f ca="1">IF(IFERROR(VLOOKUP($C75,SUP!$B$54:$Q$104,MATCH($B75&amp;"-"&amp;AC$7,SUP!$B$54:$Q$54,0),FALSE),"")="","",IFERROR(VLOOKUP($C75,SUP!$B$54:$Q$104,MATCH($B75&amp;"-"&amp;AC$7,SUP!$B$54:$Q$54,0),FALSE),""))</f>
        <v/>
      </c>
      <c r="AD75" s="441" t="str">
        <f ca="1">IF(IFERROR(VLOOKUP($C75,SUP!$B$54:$Q$104,MATCH($B75&amp;"-"&amp;AD$7,SUP!$B$54:$Q$54,0),FALSE),"")="","",IFERROR(VLOOKUP($C75,SUP!$B$54:$Q$104,MATCH($B75&amp;"-"&amp;AD$7,SUP!$B$54:$Q$54,0),FALSE),""))</f>
        <v/>
      </c>
      <c r="AE75" s="441" t="str">
        <f ca="1">IF(IFERROR(VLOOKUP($C75,SUP!$B$54:$Q$104,MATCH($B75&amp;"-"&amp;AE$7,SUP!$B$54:$Q$54,0),FALSE),"")="","",IFERROR(VLOOKUP($C75,SUP!$B$54:$Q$104,MATCH($B75&amp;"-"&amp;AE$7,SUP!$B$54:$Q$54,0),FALSE),""))</f>
        <v/>
      </c>
      <c r="AF75" s="441" t="str">
        <f ca="1">IF(IFERROR(VLOOKUP($C75,SUP!$B$54:$Q$104,MATCH($B75&amp;"-"&amp;AF$7,SUP!$B$54:$Q$54,0),FALSE),"")="","",IFERROR(VLOOKUP($C75,SUP!$B$54:$Q$104,MATCH($B75&amp;"-"&amp;AF$7,SUP!$B$54:$Q$54,0),FALSE),""))</f>
        <v/>
      </c>
      <c r="AG75" s="441" t="str">
        <f ca="1">IF(IFERROR(VLOOKUP($C75,SUP!$B$54:$Q$104,MATCH($B75&amp;"-"&amp;AG$7,SUP!$B$54:$Q$54,0),FALSE),"")="","",IFERROR(VLOOKUP($C75,SUP!$B$54:$Q$104,MATCH($B75&amp;"-"&amp;AG$7,SUP!$B$54:$Q$54,0),FALSE),""))</f>
        <v/>
      </c>
      <c r="AH75" s="441" t="str">
        <f ca="1">IF(IFERROR(VLOOKUP($C75,SUP!$B$54:$Q$104,MATCH($B75&amp;"-"&amp;AH$7,SUP!$B$54:$Q$54,0),FALSE),"")="","",IFERROR(VLOOKUP($C75,SUP!$B$54:$Q$104,MATCH($B75&amp;"-"&amp;AH$7,SUP!$B$54:$Q$54,0),FALSE),""))</f>
        <v/>
      </c>
      <c r="AI75" s="441"/>
      <c r="AJ75" s="441"/>
      <c r="AK75" s="441"/>
      <c r="AL75" s="441"/>
      <c r="AM75" s="441" t="str">
        <f ca="1">IF(IFERROR(VLOOKUP($C75,SUP!$B$54:$Q$104,MATCH($B75&amp;"-"&amp;AM$7,SUP!$B$54:$Q$54,0),FALSE),"")="","",IFERROR(VLOOKUP($C75,SUP!$B$54:$Q$104,MATCH($B75&amp;"-"&amp;AM$7,SUP!$B$54:$Q$54,0),FALSE),""))</f>
        <v/>
      </c>
      <c r="AN75" s="441"/>
      <c r="AO75" s="441"/>
      <c r="AR75" s="42">
        <f>IF(AS74=SUP!$B$104,AR74+1,AR74)</f>
        <v>2</v>
      </c>
      <c r="AS75" s="42">
        <f t="shared" si="6"/>
        <v>16</v>
      </c>
    </row>
    <row r="76" spans="1:45">
      <c r="A76" s="42" t="str">
        <f ca="1">IF(LEFT(OFFSET(SUP!$A$57,AS76,0),2)="\I","*","")</f>
        <v/>
      </c>
      <c r="B76" s="440" t="str">
        <f t="shared" ca="1" si="8"/>
        <v>ACT_BND</v>
      </c>
      <c r="C76" s="440" t="str">
        <f ca="1">IF($A76="*","",OFFSET(SUP!$B$57,AS76,0))</f>
        <v>MINWND</v>
      </c>
      <c r="D76" s="440" t="str">
        <f t="shared" ca="1" si="7"/>
        <v>-</v>
      </c>
      <c r="E76" s="440" t="str">
        <f t="shared" ca="1" si="7"/>
        <v>-</v>
      </c>
      <c r="F76" s="440" t="str">
        <f t="shared" ca="1" si="7"/>
        <v>-</v>
      </c>
      <c r="G76" s="440" t="str">
        <f t="shared" ca="1" si="7"/>
        <v>ANNUAL</v>
      </c>
      <c r="H76" s="440" t="str">
        <f t="shared" ca="1" si="5"/>
        <v>UP</v>
      </c>
      <c r="I76" s="441" t="str">
        <f ca="1">IF(IFERROR(VLOOKUP($C76,SUP!$B$54:$Q$104,MATCH($B76&amp;"-"&amp;I$7,SUP!$B$54:$Q$54,0),FALSE),"")="","",IFERROR(VLOOKUP($C76,SUP!$B$54:$Q$104,MATCH($B76&amp;"-"&amp;I$7,SUP!$B$54:$Q$54,0),FALSE),""))</f>
        <v/>
      </c>
      <c r="J76" s="441" t="str">
        <f ca="1">IF(IFERROR(VLOOKUP($C76,SUP!$B$54:$Q$104,MATCH($B76&amp;"-"&amp;J$7,SUP!$B$54:$Q$54,0),FALSE),"")="","",IFERROR(VLOOKUP($C76,SUP!$B$54:$Q$104,MATCH($B76&amp;"-"&amp;J$7,SUP!$B$54:$Q$54,0),FALSE),""))</f>
        <v/>
      </c>
      <c r="K76" s="441" t="str">
        <f ca="1">IF(IFERROR(VLOOKUP($C76,SUP!$B$54:$Q$104,MATCH($B76&amp;"-"&amp;K$7,SUP!$B$54:$Q$54,0),FALSE),"")="","",IFERROR(VLOOKUP($C76,SUP!$B$54:$Q$104,MATCH($B76&amp;"-"&amp;K$7,SUP!$B$54:$Q$54,0),FALSE),""))</f>
        <v/>
      </c>
      <c r="L76" s="441" t="str">
        <f ca="1">IF(IFERROR(VLOOKUP($C76,SUP!$B$54:$Q$104,MATCH($B76&amp;"-"&amp;L$7,SUP!$B$54:$Q$54,0),FALSE),"")="","",IFERROR(VLOOKUP($C76,SUP!$B$54:$Q$104,MATCH($B76&amp;"-"&amp;L$7,SUP!$B$54:$Q$54,0),FALSE),""))</f>
        <v/>
      </c>
      <c r="M76" s="441" t="str">
        <f ca="1">IF(IFERROR(VLOOKUP($C76,SUP!$B$54:$Q$104,MATCH($B76&amp;"-"&amp;M$7,SUP!$B$54:$Q$54,0),FALSE),"")="","",IFERROR(VLOOKUP($C76,SUP!$B$54:$Q$104,MATCH($B76&amp;"-"&amp;M$7,SUP!$B$54:$Q$54,0),FALSE),""))</f>
        <v/>
      </c>
      <c r="N76" s="441" t="str">
        <f ca="1">IF(IFERROR(VLOOKUP($C76,SUP!$B$54:$Q$104,MATCH($B76&amp;"-"&amp;N$7,SUP!$B$54:$Q$54,0),FALSE),"")="","",IFERROR(VLOOKUP($C76,SUP!$B$54:$Q$104,MATCH($B76&amp;"-"&amp;N$7,SUP!$B$54:$Q$54,0),FALSE),""))</f>
        <v/>
      </c>
      <c r="O76" s="441" t="str">
        <f ca="1">IF(IFERROR(VLOOKUP($C76,SUP!$B$54:$Q$104,MATCH($B76&amp;"-"&amp;O$7,SUP!$B$54:$Q$54,0),FALSE),"")="","",IFERROR(VLOOKUP($C76,SUP!$B$54:$Q$104,MATCH($B76&amp;"-"&amp;O$7,SUP!$B$54:$Q$54,0),FALSE),""))</f>
        <v/>
      </c>
      <c r="P76" s="441" t="str">
        <f ca="1">IF(IFERROR(VLOOKUP($C76,SUP!$B$54:$Q$104,MATCH($B76&amp;"-"&amp;P$7,SUP!$B$54:$Q$54,0),FALSE),"")="","",IFERROR(VLOOKUP($C76,SUP!$B$54:$Q$104,MATCH($B76&amp;"-"&amp;P$7,SUP!$B$54:$Q$54,0),FALSE),""))</f>
        <v/>
      </c>
      <c r="Q76" s="441" t="str">
        <f ca="1">IF(IFERROR(VLOOKUP($C76,SUP!$B$54:$Q$104,MATCH($B76&amp;"-"&amp;Q$7,SUP!$B$54:$Q$54,0),FALSE),"")="","",IFERROR(VLOOKUP($C76,SUP!$B$54:$Q$104,MATCH($B76&amp;"-"&amp;Q$7,SUP!$B$54:$Q$54,0),FALSE),""))</f>
        <v/>
      </c>
      <c r="R76" s="441" t="str">
        <f ca="1">IF(IFERROR(VLOOKUP($C76,SUP!$B$54:$Q$104,MATCH($B76&amp;"-"&amp;R$7,SUP!$B$54:$Q$54,0),FALSE),"")="","",IFERROR(VLOOKUP($C76,SUP!$B$54:$Q$104,MATCH($B76&amp;"-"&amp;R$7,SUP!$B$54:$Q$54,0),FALSE),""))</f>
        <v/>
      </c>
      <c r="S76" s="441" t="str">
        <f ca="1">IF(IFERROR(VLOOKUP($C76,SUP!$B$54:$Q$104,MATCH($B76&amp;"-"&amp;S$7,SUP!$B$54:$Q$54,0),FALSE),"")="","",IFERROR(VLOOKUP($C76,SUP!$B$54:$Q$104,MATCH($B76&amp;"-"&amp;S$7,SUP!$B$54:$Q$54,0),FALSE),""))</f>
        <v/>
      </c>
      <c r="T76" s="441" t="str">
        <f ca="1">IF(IFERROR(VLOOKUP($C76,SUP!$B$54:$Q$104,MATCH($B76&amp;"-"&amp;T$7,SUP!$B$54:$Q$54,0),FALSE),"")="","",IFERROR(VLOOKUP($C76,SUP!$B$54:$Q$104,MATCH($B76&amp;"-"&amp;T$7,SUP!$B$54:$Q$54,0),FALSE),""))</f>
        <v/>
      </c>
      <c r="U76" s="441" t="str">
        <f ca="1">IF(IFERROR(VLOOKUP($C76,SUP!$B$54:$Q$104,MATCH($B76&amp;"-"&amp;U$7,SUP!$B$54:$Q$54,0),FALSE),"")="","",IFERROR(VLOOKUP($C76,SUP!$B$54:$Q$104,MATCH($B76&amp;"-"&amp;U$7,SUP!$B$54:$Q$54,0),FALSE),""))</f>
        <v/>
      </c>
      <c r="V76" s="441" t="str">
        <f ca="1">IF(IFERROR(VLOOKUP($C76,SUP!$B$54:$Q$104,MATCH($B76&amp;"-"&amp;V$7,SUP!$B$54:$Q$54,0),FALSE),"")="","",IFERROR(VLOOKUP($C76,SUP!$B$54:$Q$104,MATCH($B76&amp;"-"&amp;V$7,SUP!$B$54:$Q$54,0),FALSE),""))</f>
        <v/>
      </c>
      <c r="W76" s="441" t="str">
        <f ca="1">IF(IFERROR(VLOOKUP($C76,SUP!$B$54:$Q$104,MATCH($B76&amp;"-"&amp;W$7,SUP!$B$54:$Q$54,0),FALSE),"")="","",IFERROR(VLOOKUP($C76,SUP!$B$54:$Q$104,MATCH($B76&amp;"-"&amp;W$7,SUP!$B$54:$Q$54,0),FALSE),""))</f>
        <v/>
      </c>
      <c r="X76" s="441" t="str">
        <f ca="1">IF(IFERROR(VLOOKUP($C76,SUP!$B$54:$Q$104,MATCH($B76&amp;"-"&amp;X$7,SUP!$B$54:$Q$54,0),FALSE),"")="","",IFERROR(VLOOKUP($C76,SUP!$B$54:$Q$104,MATCH($B76&amp;"-"&amp;X$7,SUP!$B$54:$Q$54,0),FALSE),""))</f>
        <v/>
      </c>
      <c r="Y76" s="441" t="str">
        <f ca="1">IF(IFERROR(VLOOKUP($C76,SUP!$B$54:$Q$104,MATCH($B76&amp;"-"&amp;Y$7,SUP!$B$54:$Q$54,0),FALSE),"")="","",IFERROR(VLOOKUP($C76,SUP!$B$54:$Q$104,MATCH($B76&amp;"-"&amp;Y$7,SUP!$B$54:$Q$54,0),FALSE),""))</f>
        <v/>
      </c>
      <c r="Z76" s="441" t="str">
        <f ca="1">IF(IFERROR(VLOOKUP($C76,SUP!$B$54:$Q$104,MATCH($B76&amp;"-"&amp;Z$7,SUP!$B$54:$Q$54,0),FALSE),"")="","",IFERROR(VLOOKUP($C76,SUP!$B$54:$Q$104,MATCH($B76&amp;"-"&amp;Z$7,SUP!$B$54:$Q$54,0),FALSE),""))</f>
        <v/>
      </c>
      <c r="AA76" s="441" t="str">
        <f ca="1">IF(IFERROR(VLOOKUP($C76,SUP!$B$54:$Q$104,MATCH($B76&amp;"-"&amp;AA$7,SUP!$B$54:$Q$54,0),FALSE),"")="","",IFERROR(VLOOKUP($C76,SUP!$B$54:$Q$104,MATCH($B76&amp;"-"&amp;AA$7,SUP!$B$54:$Q$54,0),FALSE),""))</f>
        <v/>
      </c>
      <c r="AB76" s="441" t="str">
        <f ca="1">IF(IFERROR(VLOOKUP($C76,SUP!$B$54:$Q$104,MATCH($B76&amp;"-"&amp;AB$7,SUP!$B$54:$Q$54,0),FALSE),"")="","",IFERROR(VLOOKUP($C76,SUP!$B$54:$Q$104,MATCH($B76&amp;"-"&amp;AB$7,SUP!$B$54:$Q$54,0),FALSE),""))</f>
        <v/>
      </c>
      <c r="AC76" s="441" t="str">
        <f ca="1">IF(IFERROR(VLOOKUP($C76,SUP!$B$54:$Q$104,MATCH($B76&amp;"-"&amp;AC$7,SUP!$B$54:$Q$54,0),FALSE),"")="","",IFERROR(VLOOKUP($C76,SUP!$B$54:$Q$104,MATCH($B76&amp;"-"&amp;AC$7,SUP!$B$54:$Q$54,0),FALSE),""))</f>
        <v/>
      </c>
      <c r="AD76" s="441" t="str">
        <f ca="1">IF(IFERROR(VLOOKUP($C76,SUP!$B$54:$Q$104,MATCH($B76&amp;"-"&amp;AD$7,SUP!$B$54:$Q$54,0),FALSE),"")="","",IFERROR(VLOOKUP($C76,SUP!$B$54:$Q$104,MATCH($B76&amp;"-"&amp;AD$7,SUP!$B$54:$Q$54,0),FALSE),""))</f>
        <v/>
      </c>
      <c r="AE76" s="441" t="str">
        <f ca="1">IF(IFERROR(VLOOKUP($C76,SUP!$B$54:$Q$104,MATCH($B76&amp;"-"&amp;AE$7,SUP!$B$54:$Q$54,0),FALSE),"")="","",IFERROR(VLOOKUP($C76,SUP!$B$54:$Q$104,MATCH($B76&amp;"-"&amp;AE$7,SUP!$B$54:$Q$54,0),FALSE),""))</f>
        <v/>
      </c>
      <c r="AF76" s="441" t="str">
        <f ca="1">IF(IFERROR(VLOOKUP($C76,SUP!$B$54:$Q$104,MATCH($B76&amp;"-"&amp;AF$7,SUP!$B$54:$Q$54,0),FALSE),"")="","",IFERROR(VLOOKUP($C76,SUP!$B$54:$Q$104,MATCH($B76&amp;"-"&amp;AF$7,SUP!$B$54:$Q$54,0),FALSE),""))</f>
        <v/>
      </c>
      <c r="AG76" s="441" t="str">
        <f ca="1">IF(IFERROR(VLOOKUP($C76,SUP!$B$54:$Q$104,MATCH($B76&amp;"-"&amp;AG$7,SUP!$B$54:$Q$54,0),FALSE),"")="","",IFERROR(VLOOKUP($C76,SUP!$B$54:$Q$104,MATCH($B76&amp;"-"&amp;AG$7,SUP!$B$54:$Q$54,0),FALSE),""))</f>
        <v/>
      </c>
      <c r="AH76" s="441" t="str">
        <f ca="1">IF(IFERROR(VLOOKUP($C76,SUP!$B$54:$Q$104,MATCH($B76&amp;"-"&amp;AH$7,SUP!$B$54:$Q$54,0),FALSE),"")="","",IFERROR(VLOOKUP($C76,SUP!$B$54:$Q$104,MATCH($B76&amp;"-"&amp;AH$7,SUP!$B$54:$Q$54,0),FALSE),""))</f>
        <v/>
      </c>
      <c r="AI76" s="441"/>
      <c r="AJ76" s="441"/>
      <c r="AK76" s="441"/>
      <c r="AL76" s="441"/>
      <c r="AM76" s="441" t="str">
        <f ca="1">IF(IFERROR(VLOOKUP($C76,SUP!$B$54:$Q$104,MATCH($B76&amp;"-"&amp;AM$7,SUP!$B$54:$Q$54,0),FALSE),"")="","",IFERROR(VLOOKUP($C76,SUP!$B$54:$Q$104,MATCH($B76&amp;"-"&amp;AM$7,SUP!$B$54:$Q$54,0),FALSE),""))</f>
        <v/>
      </c>
      <c r="AN76" s="441"/>
      <c r="AO76" s="441"/>
      <c r="AR76" s="42">
        <f>IF(AS75=SUP!$B$104,AR75+1,AR75)</f>
        <v>2</v>
      </c>
      <c r="AS76" s="42">
        <f t="shared" si="6"/>
        <v>17</v>
      </c>
    </row>
    <row r="77" spans="1:45">
      <c r="A77" s="42" t="str">
        <f ca="1">IF(LEFT(OFFSET(SUP!$A$57,AS77,0),2)="\I","*","")</f>
        <v>*</v>
      </c>
      <c r="B77" s="440" t="str">
        <f t="shared" ref="B77:B106" ca="1" si="9">IF(A77="*","",VLOOKUP("*"&amp;AR77,$A$9:$B$11,2,FALSE))</f>
        <v/>
      </c>
      <c r="C77" s="440" t="str">
        <f ca="1">IF($A77="*","",OFFSET(SUP!$B$57,AS77,0))</f>
        <v/>
      </c>
      <c r="D77" s="440" t="str">
        <f t="shared" ca="1" si="7"/>
        <v/>
      </c>
      <c r="E77" s="440" t="str">
        <f t="shared" ca="1" si="7"/>
        <v/>
      </c>
      <c r="F77" s="440" t="str">
        <f t="shared" ca="1" si="7"/>
        <v/>
      </c>
      <c r="G77" s="440" t="str">
        <f t="shared" ca="1" si="7"/>
        <v/>
      </c>
      <c r="H77" s="440" t="str">
        <f t="shared" ca="1" si="5"/>
        <v/>
      </c>
      <c r="I77" s="441" t="str">
        <f ca="1">IF(IFERROR(VLOOKUP($C77,SUP!$B$54:$Q$104,MATCH($B77&amp;"-"&amp;I$7,SUP!$B$54:$Q$54,0),FALSE),"")="","",IFERROR(VLOOKUP($C77,SUP!$B$54:$Q$104,MATCH($B77&amp;"-"&amp;I$7,SUP!$B$54:$Q$54,0),FALSE),""))</f>
        <v/>
      </c>
      <c r="J77" s="441" t="str">
        <f ca="1">IF(IFERROR(VLOOKUP($C77,SUP!$B$54:$Q$104,MATCH($B77&amp;"-"&amp;J$7,SUP!$B$54:$Q$54,0),FALSE),"")="","",IFERROR(VLOOKUP($C77,SUP!$B$54:$Q$104,MATCH($B77&amp;"-"&amp;J$7,SUP!$B$54:$Q$54,0),FALSE),""))</f>
        <v/>
      </c>
      <c r="K77" s="441" t="str">
        <f ca="1">IF(IFERROR(VLOOKUP($C77,SUP!$B$54:$Q$104,MATCH($B77&amp;"-"&amp;K$7,SUP!$B$54:$Q$54,0),FALSE),"")="","",IFERROR(VLOOKUP($C77,SUP!$B$54:$Q$104,MATCH($B77&amp;"-"&amp;K$7,SUP!$B$54:$Q$54,0),FALSE),""))</f>
        <v/>
      </c>
      <c r="L77" s="441" t="str">
        <f ca="1">IF(IFERROR(VLOOKUP($C77,SUP!$B$54:$Q$104,MATCH($B77&amp;"-"&amp;L$7,SUP!$B$54:$Q$54,0),FALSE),"")="","",IFERROR(VLOOKUP($C77,SUP!$B$54:$Q$104,MATCH($B77&amp;"-"&amp;L$7,SUP!$B$54:$Q$54,0),FALSE),""))</f>
        <v/>
      </c>
      <c r="M77" s="441" t="str">
        <f ca="1">IF(IFERROR(VLOOKUP($C77,SUP!$B$54:$Q$104,MATCH($B77&amp;"-"&amp;M$7,SUP!$B$54:$Q$54,0),FALSE),"")="","",IFERROR(VLOOKUP($C77,SUP!$B$54:$Q$104,MATCH($B77&amp;"-"&amp;M$7,SUP!$B$54:$Q$54,0),FALSE),""))</f>
        <v/>
      </c>
      <c r="N77" s="441" t="str">
        <f ca="1">IF(IFERROR(VLOOKUP($C77,SUP!$B$54:$Q$104,MATCH($B77&amp;"-"&amp;N$7,SUP!$B$54:$Q$54,0),FALSE),"")="","",IFERROR(VLOOKUP($C77,SUP!$B$54:$Q$104,MATCH($B77&amp;"-"&amp;N$7,SUP!$B$54:$Q$54,0),FALSE),""))</f>
        <v/>
      </c>
      <c r="O77" s="441" t="str">
        <f ca="1">IF(IFERROR(VLOOKUP($C77,SUP!$B$54:$Q$104,MATCH($B77&amp;"-"&amp;O$7,SUP!$B$54:$Q$54,0),FALSE),"")="","",IFERROR(VLOOKUP($C77,SUP!$B$54:$Q$104,MATCH($B77&amp;"-"&amp;O$7,SUP!$B$54:$Q$54,0),FALSE),""))</f>
        <v/>
      </c>
      <c r="P77" s="441" t="str">
        <f ca="1">IF(IFERROR(VLOOKUP($C77,SUP!$B$54:$Q$104,MATCH($B77&amp;"-"&amp;P$7,SUP!$B$54:$Q$54,0),FALSE),"")="","",IFERROR(VLOOKUP($C77,SUP!$B$54:$Q$104,MATCH($B77&amp;"-"&amp;P$7,SUP!$B$54:$Q$54,0),FALSE),""))</f>
        <v/>
      </c>
      <c r="Q77" s="441" t="str">
        <f ca="1">IF(IFERROR(VLOOKUP($C77,SUP!$B$54:$Q$104,MATCH($B77&amp;"-"&amp;Q$7,SUP!$B$54:$Q$54,0),FALSE),"")="","",IFERROR(VLOOKUP($C77,SUP!$B$54:$Q$104,MATCH($B77&amp;"-"&amp;Q$7,SUP!$B$54:$Q$54,0),FALSE),""))</f>
        <v/>
      </c>
      <c r="R77" s="441" t="str">
        <f ca="1">IF(IFERROR(VLOOKUP($C77,SUP!$B$54:$Q$104,MATCH($B77&amp;"-"&amp;R$7,SUP!$B$54:$Q$54,0),FALSE),"")="","",IFERROR(VLOOKUP($C77,SUP!$B$54:$Q$104,MATCH($B77&amp;"-"&amp;R$7,SUP!$B$54:$Q$54,0),FALSE),""))</f>
        <v/>
      </c>
      <c r="S77" s="441" t="str">
        <f ca="1">IF(IFERROR(VLOOKUP($C77,SUP!$B$54:$Q$104,MATCH($B77&amp;"-"&amp;S$7,SUP!$B$54:$Q$54,0),FALSE),"")="","",IFERROR(VLOOKUP($C77,SUP!$B$54:$Q$104,MATCH($B77&amp;"-"&amp;S$7,SUP!$B$54:$Q$54,0),FALSE),""))</f>
        <v/>
      </c>
      <c r="T77" s="441" t="str">
        <f ca="1">IF(IFERROR(VLOOKUP($C77,SUP!$B$54:$Q$104,MATCH($B77&amp;"-"&amp;T$7,SUP!$B$54:$Q$54,0),FALSE),"")="","",IFERROR(VLOOKUP($C77,SUP!$B$54:$Q$104,MATCH($B77&amp;"-"&amp;T$7,SUP!$B$54:$Q$54,0),FALSE),""))</f>
        <v/>
      </c>
      <c r="U77" s="441" t="str">
        <f ca="1">IF(IFERROR(VLOOKUP($C77,SUP!$B$54:$Q$104,MATCH($B77&amp;"-"&amp;U$7,SUP!$B$54:$Q$54,0),FALSE),"")="","",IFERROR(VLOOKUP($C77,SUP!$B$54:$Q$104,MATCH($B77&amp;"-"&amp;U$7,SUP!$B$54:$Q$54,0),FALSE),""))</f>
        <v/>
      </c>
      <c r="V77" s="441" t="str">
        <f ca="1">IF(IFERROR(VLOOKUP($C77,SUP!$B$54:$Q$104,MATCH($B77&amp;"-"&amp;V$7,SUP!$B$54:$Q$54,0),FALSE),"")="","",IFERROR(VLOOKUP($C77,SUP!$B$54:$Q$104,MATCH($B77&amp;"-"&amp;V$7,SUP!$B$54:$Q$54,0),FALSE),""))</f>
        <v/>
      </c>
      <c r="W77" s="441" t="str">
        <f ca="1">IF(IFERROR(VLOOKUP($C77,SUP!$B$54:$Q$104,MATCH($B77&amp;"-"&amp;W$7,SUP!$B$54:$Q$54,0),FALSE),"")="","",IFERROR(VLOOKUP($C77,SUP!$B$54:$Q$104,MATCH($B77&amp;"-"&amp;W$7,SUP!$B$54:$Q$54,0),FALSE),""))</f>
        <v/>
      </c>
      <c r="X77" s="441" t="str">
        <f ca="1">IF(IFERROR(VLOOKUP($C77,SUP!$B$54:$Q$104,MATCH($B77&amp;"-"&amp;X$7,SUP!$B$54:$Q$54,0),FALSE),"")="","",IFERROR(VLOOKUP($C77,SUP!$B$54:$Q$104,MATCH($B77&amp;"-"&amp;X$7,SUP!$B$54:$Q$54,0),FALSE),""))</f>
        <v/>
      </c>
      <c r="Y77" s="441" t="str">
        <f ca="1">IF(IFERROR(VLOOKUP($C77,SUP!$B$54:$Q$104,MATCH($B77&amp;"-"&amp;Y$7,SUP!$B$54:$Q$54,0),FALSE),"")="","",IFERROR(VLOOKUP($C77,SUP!$B$54:$Q$104,MATCH($B77&amp;"-"&amp;Y$7,SUP!$B$54:$Q$54,0),FALSE),""))</f>
        <v/>
      </c>
      <c r="Z77" s="441" t="str">
        <f ca="1">IF(IFERROR(VLOOKUP($C77,SUP!$B$54:$Q$104,MATCH($B77&amp;"-"&amp;Z$7,SUP!$B$54:$Q$54,0),FALSE),"")="","",IFERROR(VLOOKUP($C77,SUP!$B$54:$Q$104,MATCH($B77&amp;"-"&amp;Z$7,SUP!$B$54:$Q$54,0),FALSE),""))</f>
        <v/>
      </c>
      <c r="AA77" s="441" t="str">
        <f ca="1">IF(IFERROR(VLOOKUP($C77,SUP!$B$54:$Q$104,MATCH($B77&amp;"-"&amp;AA$7,SUP!$B$54:$Q$54,0),FALSE),"")="","",IFERROR(VLOOKUP($C77,SUP!$B$54:$Q$104,MATCH($B77&amp;"-"&amp;AA$7,SUP!$B$54:$Q$54,0),FALSE),""))</f>
        <v/>
      </c>
      <c r="AB77" s="441" t="str">
        <f ca="1">IF(IFERROR(VLOOKUP($C77,SUP!$B$54:$Q$104,MATCH($B77&amp;"-"&amp;AB$7,SUP!$B$54:$Q$54,0),FALSE),"")="","",IFERROR(VLOOKUP($C77,SUP!$B$54:$Q$104,MATCH($B77&amp;"-"&amp;AB$7,SUP!$B$54:$Q$54,0),FALSE),""))</f>
        <v/>
      </c>
      <c r="AC77" s="441" t="str">
        <f ca="1">IF(IFERROR(VLOOKUP($C77,SUP!$B$54:$Q$104,MATCH($B77&amp;"-"&amp;AC$7,SUP!$B$54:$Q$54,0),FALSE),"")="","",IFERROR(VLOOKUP($C77,SUP!$B$54:$Q$104,MATCH($B77&amp;"-"&amp;AC$7,SUP!$B$54:$Q$54,0),FALSE),""))</f>
        <v/>
      </c>
      <c r="AD77" s="441" t="str">
        <f ca="1">IF(IFERROR(VLOOKUP($C77,SUP!$B$54:$Q$104,MATCH($B77&amp;"-"&amp;AD$7,SUP!$B$54:$Q$54,0),FALSE),"")="","",IFERROR(VLOOKUP($C77,SUP!$B$54:$Q$104,MATCH($B77&amp;"-"&amp;AD$7,SUP!$B$54:$Q$54,0),FALSE),""))</f>
        <v/>
      </c>
      <c r="AE77" s="441" t="str">
        <f ca="1">IF(IFERROR(VLOOKUP($C77,SUP!$B$54:$Q$104,MATCH($B77&amp;"-"&amp;AE$7,SUP!$B$54:$Q$54,0),FALSE),"")="","",IFERROR(VLOOKUP($C77,SUP!$B$54:$Q$104,MATCH($B77&amp;"-"&amp;AE$7,SUP!$B$54:$Q$54,0),FALSE),""))</f>
        <v/>
      </c>
      <c r="AF77" s="441" t="str">
        <f ca="1">IF(IFERROR(VLOOKUP($C77,SUP!$B$54:$Q$104,MATCH($B77&amp;"-"&amp;AF$7,SUP!$B$54:$Q$54,0),FALSE),"")="","",IFERROR(VLOOKUP($C77,SUP!$B$54:$Q$104,MATCH($B77&amp;"-"&amp;AF$7,SUP!$B$54:$Q$54,0),FALSE),""))</f>
        <v/>
      </c>
      <c r="AG77" s="441" t="str">
        <f ca="1">IF(IFERROR(VLOOKUP($C77,SUP!$B$54:$Q$104,MATCH($B77&amp;"-"&amp;AG$7,SUP!$B$54:$Q$54,0),FALSE),"")="","",IFERROR(VLOOKUP($C77,SUP!$B$54:$Q$104,MATCH($B77&amp;"-"&amp;AG$7,SUP!$B$54:$Q$54,0),FALSE),""))</f>
        <v/>
      </c>
      <c r="AH77" s="441" t="str">
        <f ca="1">IF(IFERROR(VLOOKUP($C77,SUP!$B$54:$Q$104,MATCH($B77&amp;"-"&amp;AH$7,SUP!$B$54:$Q$54,0),FALSE),"")="","",IFERROR(VLOOKUP($C77,SUP!$B$54:$Q$104,MATCH($B77&amp;"-"&amp;AH$7,SUP!$B$54:$Q$54,0),FALSE),""))</f>
        <v/>
      </c>
      <c r="AI77" s="441"/>
      <c r="AJ77" s="441"/>
      <c r="AK77" s="441"/>
      <c r="AL77" s="441"/>
      <c r="AM77" s="441" t="str">
        <f ca="1">IF(IFERROR(VLOOKUP($C77,SUP!$B$54:$Q$104,MATCH($B77&amp;"-"&amp;AM$7,SUP!$B$54:$Q$54,0),FALSE),"")="","",IFERROR(VLOOKUP($C77,SUP!$B$54:$Q$104,MATCH($B77&amp;"-"&amp;AM$7,SUP!$B$54:$Q$54,0),FALSE),""))</f>
        <v/>
      </c>
      <c r="AN77" s="441"/>
      <c r="AO77" s="441"/>
      <c r="AR77" s="42">
        <f>IF(AS76=SUP!$B$104,AR76+1,AR76)</f>
        <v>2</v>
      </c>
      <c r="AS77" s="42">
        <f t="shared" si="6"/>
        <v>18</v>
      </c>
    </row>
    <row r="78" spans="1:45">
      <c r="A78" s="42" t="str">
        <f ca="1">IF(LEFT(OFFSET(SUP!$A$57,AS78,0),2)="\I","*","")</f>
        <v/>
      </c>
      <c r="B78" s="440" t="str">
        <f t="shared" ca="1" si="9"/>
        <v>ACT_BND</v>
      </c>
      <c r="C78" s="440" t="str">
        <f ca="1">IF($A78="*","",OFFSET(SUP!$B$57,AS78,0))</f>
        <v>IMPCOK</v>
      </c>
      <c r="D78" s="440" t="str">
        <f t="shared" ca="1" si="7"/>
        <v>-</v>
      </c>
      <c r="E78" s="440" t="str">
        <f t="shared" ca="1" si="7"/>
        <v>-</v>
      </c>
      <c r="F78" s="440" t="str">
        <f t="shared" ca="1" si="7"/>
        <v>-</v>
      </c>
      <c r="G78" s="440" t="str">
        <f t="shared" ca="1" si="7"/>
        <v>ANNUAL</v>
      </c>
      <c r="H78" s="440" t="str">
        <f t="shared" ca="1" si="5"/>
        <v>UP</v>
      </c>
      <c r="I78" s="441">
        <f ca="1">IF(IFERROR(VLOOKUP($C78,SUP!$B$54:$Q$104,MATCH($B78&amp;"-"&amp;I$7,SUP!$B$54:$Q$54,0),FALSE),"")="","",IFERROR(VLOOKUP($C78,SUP!$B$54:$Q$104,MATCH($B78&amp;"-"&amp;I$7,SUP!$B$54:$Q$54,0),FALSE),""))</f>
        <v>3</v>
      </c>
      <c r="J78" s="441" t="str">
        <f ca="1">IF(IFERROR(VLOOKUP($C78,SUP!$B$54:$Q$104,MATCH($B78&amp;"-"&amp;J$7,SUP!$B$54:$Q$54,0),FALSE),"")="","",IFERROR(VLOOKUP($C78,SUP!$B$54:$Q$104,MATCH($B78&amp;"-"&amp;J$7,SUP!$B$54:$Q$54,0),FALSE),""))</f>
        <v/>
      </c>
      <c r="K78" s="441" t="str">
        <f ca="1">IF(IFERROR(VLOOKUP($C78,SUP!$B$54:$Q$104,MATCH($B78&amp;"-"&amp;K$7,SUP!$B$54:$Q$54,0),FALSE),"")="","",IFERROR(VLOOKUP($C78,SUP!$B$54:$Q$104,MATCH($B78&amp;"-"&amp;K$7,SUP!$B$54:$Q$54,0),FALSE),""))</f>
        <v/>
      </c>
      <c r="L78" s="441" t="str">
        <f ca="1">IF(IFERROR(VLOOKUP($C78,SUP!$B$54:$Q$104,MATCH($B78&amp;"-"&amp;L$7,SUP!$B$54:$Q$54,0),FALSE),"")="","",IFERROR(VLOOKUP($C78,SUP!$B$54:$Q$104,MATCH($B78&amp;"-"&amp;L$7,SUP!$B$54:$Q$54,0),FALSE),""))</f>
        <v/>
      </c>
      <c r="M78" s="441" t="str">
        <f ca="1">IF(IFERROR(VLOOKUP($C78,SUP!$B$54:$Q$104,MATCH($B78&amp;"-"&amp;M$7,SUP!$B$54:$Q$54,0),FALSE),"")="","",IFERROR(VLOOKUP($C78,SUP!$B$54:$Q$104,MATCH($B78&amp;"-"&amp;M$7,SUP!$B$54:$Q$54,0),FALSE),""))</f>
        <v/>
      </c>
      <c r="N78" s="441" t="str">
        <f ca="1">IF(IFERROR(VLOOKUP($C78,SUP!$B$54:$Q$104,MATCH($B78&amp;"-"&amp;N$7,SUP!$B$54:$Q$54,0),FALSE),"")="","",IFERROR(VLOOKUP($C78,SUP!$B$54:$Q$104,MATCH($B78&amp;"-"&amp;N$7,SUP!$B$54:$Q$54,0),FALSE),""))</f>
        <v/>
      </c>
      <c r="O78" s="441" t="str">
        <f ca="1">IF(IFERROR(VLOOKUP($C78,SUP!$B$54:$Q$104,MATCH($B78&amp;"-"&amp;O$7,SUP!$B$54:$Q$54,0),FALSE),"")="","",IFERROR(VLOOKUP($C78,SUP!$B$54:$Q$104,MATCH($B78&amp;"-"&amp;O$7,SUP!$B$54:$Q$54,0),FALSE),""))</f>
        <v/>
      </c>
      <c r="P78" s="441" t="str">
        <f ca="1">IF(IFERROR(VLOOKUP($C78,SUP!$B$54:$Q$104,MATCH($B78&amp;"-"&amp;P$7,SUP!$B$54:$Q$54,0),FALSE),"")="","",IFERROR(VLOOKUP($C78,SUP!$B$54:$Q$104,MATCH($B78&amp;"-"&amp;P$7,SUP!$B$54:$Q$54,0),FALSE),""))</f>
        <v/>
      </c>
      <c r="Q78" s="441" t="str">
        <f ca="1">IF(IFERROR(VLOOKUP($C78,SUP!$B$54:$Q$104,MATCH($B78&amp;"-"&amp;Q$7,SUP!$B$54:$Q$54,0),FALSE),"")="","",IFERROR(VLOOKUP($C78,SUP!$B$54:$Q$104,MATCH($B78&amp;"-"&amp;Q$7,SUP!$B$54:$Q$54,0),FALSE),""))</f>
        <v/>
      </c>
      <c r="R78" s="441" t="str">
        <f ca="1">IF(IFERROR(VLOOKUP($C78,SUP!$B$54:$Q$104,MATCH($B78&amp;"-"&amp;R$7,SUP!$B$54:$Q$54,0),FALSE),"")="","",IFERROR(VLOOKUP($C78,SUP!$B$54:$Q$104,MATCH($B78&amp;"-"&amp;R$7,SUP!$B$54:$Q$54,0),FALSE),""))</f>
        <v/>
      </c>
      <c r="S78" s="441" t="str">
        <f ca="1">IF(IFERROR(VLOOKUP($C78,SUP!$B$54:$Q$104,MATCH($B78&amp;"-"&amp;S$7,SUP!$B$54:$Q$54,0),FALSE),"")="","",IFERROR(VLOOKUP($C78,SUP!$B$54:$Q$104,MATCH($B78&amp;"-"&amp;S$7,SUP!$B$54:$Q$54,0),FALSE),""))</f>
        <v/>
      </c>
      <c r="T78" s="441" t="str">
        <f ca="1">IF(IFERROR(VLOOKUP($C78,SUP!$B$54:$Q$104,MATCH($B78&amp;"-"&amp;T$7,SUP!$B$54:$Q$54,0),FALSE),"")="","",IFERROR(VLOOKUP($C78,SUP!$B$54:$Q$104,MATCH($B78&amp;"-"&amp;T$7,SUP!$B$54:$Q$54,0),FALSE),""))</f>
        <v/>
      </c>
      <c r="U78" s="441" t="str">
        <f ca="1">IF(IFERROR(VLOOKUP($C78,SUP!$B$54:$Q$104,MATCH($B78&amp;"-"&amp;U$7,SUP!$B$54:$Q$54,0),FALSE),"")="","",IFERROR(VLOOKUP($C78,SUP!$B$54:$Q$104,MATCH($B78&amp;"-"&amp;U$7,SUP!$B$54:$Q$54,0),FALSE),""))</f>
        <v/>
      </c>
      <c r="V78" s="441" t="str">
        <f ca="1">IF(IFERROR(VLOOKUP($C78,SUP!$B$54:$Q$104,MATCH($B78&amp;"-"&amp;V$7,SUP!$B$54:$Q$54,0),FALSE),"")="","",IFERROR(VLOOKUP($C78,SUP!$B$54:$Q$104,MATCH($B78&amp;"-"&amp;V$7,SUP!$B$54:$Q$54,0),FALSE),""))</f>
        <v/>
      </c>
      <c r="W78" s="441" t="str">
        <f ca="1">IF(IFERROR(VLOOKUP($C78,SUP!$B$54:$Q$104,MATCH($B78&amp;"-"&amp;W$7,SUP!$B$54:$Q$54,0),FALSE),"")="","",IFERROR(VLOOKUP($C78,SUP!$B$54:$Q$104,MATCH($B78&amp;"-"&amp;W$7,SUP!$B$54:$Q$54,0),FALSE),""))</f>
        <v/>
      </c>
      <c r="X78" s="441" t="str">
        <f ca="1">IF(IFERROR(VLOOKUP($C78,SUP!$B$54:$Q$104,MATCH($B78&amp;"-"&amp;X$7,SUP!$B$54:$Q$54,0),FALSE),"")="","",IFERROR(VLOOKUP($C78,SUP!$B$54:$Q$104,MATCH($B78&amp;"-"&amp;X$7,SUP!$B$54:$Q$54,0),FALSE),""))</f>
        <v/>
      </c>
      <c r="Y78" s="441" t="str">
        <f ca="1">IF(IFERROR(VLOOKUP($C78,SUP!$B$54:$Q$104,MATCH($B78&amp;"-"&amp;Y$7,SUP!$B$54:$Q$54,0),FALSE),"")="","",IFERROR(VLOOKUP($C78,SUP!$B$54:$Q$104,MATCH($B78&amp;"-"&amp;Y$7,SUP!$B$54:$Q$54,0),FALSE),""))</f>
        <v/>
      </c>
      <c r="Z78" s="441" t="str">
        <f ca="1">IF(IFERROR(VLOOKUP($C78,SUP!$B$54:$Q$104,MATCH($B78&amp;"-"&amp;Z$7,SUP!$B$54:$Q$54,0),FALSE),"")="","",IFERROR(VLOOKUP($C78,SUP!$B$54:$Q$104,MATCH($B78&amp;"-"&amp;Z$7,SUP!$B$54:$Q$54,0),FALSE),""))</f>
        <v/>
      </c>
      <c r="AA78" s="441" t="str">
        <f ca="1">IF(IFERROR(VLOOKUP($C78,SUP!$B$54:$Q$104,MATCH($B78&amp;"-"&amp;AA$7,SUP!$B$54:$Q$54,0),FALSE),"")="","",IFERROR(VLOOKUP($C78,SUP!$B$54:$Q$104,MATCH($B78&amp;"-"&amp;AA$7,SUP!$B$54:$Q$54,0),FALSE),""))</f>
        <v/>
      </c>
      <c r="AB78" s="441" t="str">
        <f ca="1">IF(IFERROR(VLOOKUP($C78,SUP!$B$54:$Q$104,MATCH($B78&amp;"-"&amp;AB$7,SUP!$B$54:$Q$54,0),FALSE),"")="","",IFERROR(VLOOKUP($C78,SUP!$B$54:$Q$104,MATCH($B78&amp;"-"&amp;AB$7,SUP!$B$54:$Q$54,0),FALSE),""))</f>
        <v/>
      </c>
      <c r="AC78" s="441" t="str">
        <f ca="1">IF(IFERROR(VLOOKUP($C78,SUP!$B$54:$Q$104,MATCH($B78&amp;"-"&amp;AC$7,SUP!$B$54:$Q$54,0),FALSE),"")="","",IFERROR(VLOOKUP($C78,SUP!$B$54:$Q$104,MATCH($B78&amp;"-"&amp;AC$7,SUP!$B$54:$Q$54,0),FALSE),""))</f>
        <v/>
      </c>
      <c r="AD78" s="441" t="str">
        <f ca="1">IF(IFERROR(VLOOKUP($C78,SUP!$B$54:$Q$104,MATCH($B78&amp;"-"&amp;AD$7,SUP!$B$54:$Q$54,0),FALSE),"")="","",IFERROR(VLOOKUP($C78,SUP!$B$54:$Q$104,MATCH($B78&amp;"-"&amp;AD$7,SUP!$B$54:$Q$54,0),FALSE),""))</f>
        <v/>
      </c>
      <c r="AE78" s="441" t="str">
        <f ca="1">IF(IFERROR(VLOOKUP($C78,SUP!$B$54:$Q$104,MATCH($B78&amp;"-"&amp;AE$7,SUP!$B$54:$Q$54,0),FALSE),"")="","",IFERROR(VLOOKUP($C78,SUP!$B$54:$Q$104,MATCH($B78&amp;"-"&amp;AE$7,SUP!$B$54:$Q$54,0),FALSE),""))</f>
        <v/>
      </c>
      <c r="AF78" s="441" t="str">
        <f ca="1">IF(IFERROR(VLOOKUP($C78,SUP!$B$54:$Q$104,MATCH($B78&amp;"-"&amp;AF$7,SUP!$B$54:$Q$54,0),FALSE),"")="","",IFERROR(VLOOKUP($C78,SUP!$B$54:$Q$104,MATCH($B78&amp;"-"&amp;AF$7,SUP!$B$54:$Q$54,0),FALSE),""))</f>
        <v/>
      </c>
      <c r="AG78" s="441" t="str">
        <f ca="1">IF(IFERROR(VLOOKUP($C78,SUP!$B$54:$Q$104,MATCH($B78&amp;"-"&amp;AG$7,SUP!$B$54:$Q$54,0),FALSE),"")="","",IFERROR(VLOOKUP($C78,SUP!$B$54:$Q$104,MATCH($B78&amp;"-"&amp;AG$7,SUP!$B$54:$Q$54,0),FALSE),""))</f>
        <v/>
      </c>
      <c r="AH78" s="441" t="str">
        <f ca="1">IF(IFERROR(VLOOKUP($C78,SUP!$B$54:$Q$104,MATCH($B78&amp;"-"&amp;AH$7,SUP!$B$54:$Q$54,0),FALSE),"")="","",IFERROR(VLOOKUP($C78,SUP!$B$54:$Q$104,MATCH($B78&amp;"-"&amp;AH$7,SUP!$B$54:$Q$54,0),FALSE),""))</f>
        <v/>
      </c>
      <c r="AI78" s="441"/>
      <c r="AJ78" s="441"/>
      <c r="AK78" s="441"/>
      <c r="AL78" s="441"/>
      <c r="AM78" s="441" t="str">
        <f ca="1">IF(IFERROR(VLOOKUP($C78,SUP!$B$54:$Q$104,MATCH($B78&amp;"-"&amp;AM$7,SUP!$B$54:$Q$54,0),FALSE),"")="","",IFERROR(VLOOKUP($C78,SUP!$B$54:$Q$104,MATCH($B78&amp;"-"&amp;AM$7,SUP!$B$54:$Q$54,0),FALSE),""))</f>
        <v/>
      </c>
      <c r="AN78" s="441"/>
      <c r="AO78" s="441"/>
      <c r="AR78" s="42">
        <f>IF(AS77=SUP!$B$104,AR77+1,AR77)</f>
        <v>2</v>
      </c>
      <c r="AS78" s="42">
        <f t="shared" si="6"/>
        <v>19</v>
      </c>
    </row>
    <row r="79" spans="1:45">
      <c r="A79" s="42" t="str">
        <f ca="1">IF(LEFT(OFFSET(SUP!$A$57,AS79,0),2)="\I","*","")</f>
        <v/>
      </c>
      <c r="B79" s="440" t="str">
        <f t="shared" ca="1" si="9"/>
        <v>ACT_BND</v>
      </c>
      <c r="C79" s="440" t="str">
        <f ca="1">IF($A79="*","",OFFSET(SUP!$B$57,AS79,0))</f>
        <v>IMPGRL</v>
      </c>
      <c r="D79" s="440" t="str">
        <f t="shared" ca="1" si="7"/>
        <v>-</v>
      </c>
      <c r="E79" s="440" t="str">
        <f t="shared" ca="1" si="7"/>
        <v>-</v>
      </c>
      <c r="F79" s="440" t="str">
        <f t="shared" ca="1" si="7"/>
        <v>-</v>
      </c>
      <c r="G79" s="440" t="str">
        <f t="shared" ca="1" si="7"/>
        <v>ANNUAL</v>
      </c>
      <c r="H79" s="440" t="str">
        <f t="shared" ca="1" si="5"/>
        <v>UP</v>
      </c>
      <c r="I79" s="441" t="str">
        <f ca="1">IF(IFERROR(VLOOKUP($C79,SUP!$B$54:$Q$104,MATCH($B79&amp;"-"&amp;I$7,SUP!$B$54:$Q$54,0),FALSE),"")="","",IFERROR(VLOOKUP($C79,SUP!$B$54:$Q$104,MATCH($B79&amp;"-"&amp;I$7,SUP!$B$54:$Q$54,0),FALSE),""))</f>
        <v/>
      </c>
      <c r="J79" s="441" t="str">
        <f ca="1">IF(IFERROR(VLOOKUP($C79,SUP!$B$54:$Q$104,MATCH($B79&amp;"-"&amp;J$7,SUP!$B$54:$Q$54,0),FALSE),"")="","",IFERROR(VLOOKUP($C79,SUP!$B$54:$Q$104,MATCH($B79&amp;"-"&amp;J$7,SUP!$B$54:$Q$54,0),FALSE),""))</f>
        <v/>
      </c>
      <c r="K79" s="441" t="str">
        <f ca="1">IF(IFERROR(VLOOKUP($C79,SUP!$B$54:$Q$104,MATCH($B79&amp;"-"&amp;K$7,SUP!$B$54:$Q$54,0),FALSE),"")="","",IFERROR(VLOOKUP($C79,SUP!$B$54:$Q$104,MATCH($B79&amp;"-"&amp;K$7,SUP!$B$54:$Q$54,0),FALSE),""))</f>
        <v/>
      </c>
      <c r="L79" s="441" t="str">
        <f ca="1">IF(IFERROR(VLOOKUP($C79,SUP!$B$54:$Q$104,MATCH($B79&amp;"-"&amp;L$7,SUP!$B$54:$Q$54,0),FALSE),"")="","",IFERROR(VLOOKUP($C79,SUP!$B$54:$Q$104,MATCH($B79&amp;"-"&amp;L$7,SUP!$B$54:$Q$54,0),FALSE),""))</f>
        <v/>
      </c>
      <c r="M79" s="441" t="str">
        <f ca="1">IF(IFERROR(VLOOKUP($C79,SUP!$B$54:$Q$104,MATCH($B79&amp;"-"&amp;M$7,SUP!$B$54:$Q$54,0),FALSE),"")="","",IFERROR(VLOOKUP($C79,SUP!$B$54:$Q$104,MATCH($B79&amp;"-"&amp;M$7,SUP!$B$54:$Q$54,0),FALSE),""))</f>
        <v/>
      </c>
      <c r="N79" s="441" t="str">
        <f ca="1">IF(IFERROR(VLOOKUP($C79,SUP!$B$54:$Q$104,MATCH($B79&amp;"-"&amp;N$7,SUP!$B$54:$Q$54,0),FALSE),"")="","",IFERROR(VLOOKUP($C79,SUP!$B$54:$Q$104,MATCH($B79&amp;"-"&amp;N$7,SUP!$B$54:$Q$54,0),FALSE),""))</f>
        <v/>
      </c>
      <c r="O79" s="441" t="str">
        <f ca="1">IF(IFERROR(VLOOKUP($C79,SUP!$B$54:$Q$104,MATCH($B79&amp;"-"&amp;O$7,SUP!$B$54:$Q$54,0),FALSE),"")="","",IFERROR(VLOOKUP($C79,SUP!$B$54:$Q$104,MATCH($B79&amp;"-"&amp;O$7,SUP!$B$54:$Q$54,0),FALSE),""))</f>
        <v/>
      </c>
      <c r="P79" s="441" t="str">
        <f ca="1">IF(IFERROR(VLOOKUP($C79,SUP!$B$54:$Q$104,MATCH($B79&amp;"-"&amp;P$7,SUP!$B$54:$Q$54,0),FALSE),"")="","",IFERROR(VLOOKUP($C79,SUP!$B$54:$Q$104,MATCH($B79&amp;"-"&amp;P$7,SUP!$B$54:$Q$54,0),FALSE),""))</f>
        <v/>
      </c>
      <c r="Q79" s="441" t="str">
        <f ca="1">IF(IFERROR(VLOOKUP($C79,SUP!$B$54:$Q$104,MATCH($B79&amp;"-"&amp;Q$7,SUP!$B$54:$Q$54,0),FALSE),"")="","",IFERROR(VLOOKUP($C79,SUP!$B$54:$Q$104,MATCH($B79&amp;"-"&amp;Q$7,SUP!$B$54:$Q$54,0),FALSE),""))</f>
        <v/>
      </c>
      <c r="R79" s="441" t="str">
        <f ca="1">IF(IFERROR(VLOOKUP($C79,SUP!$B$54:$Q$104,MATCH($B79&amp;"-"&amp;R$7,SUP!$B$54:$Q$54,0),FALSE),"")="","",IFERROR(VLOOKUP($C79,SUP!$B$54:$Q$104,MATCH($B79&amp;"-"&amp;R$7,SUP!$B$54:$Q$54,0),FALSE),""))</f>
        <v/>
      </c>
      <c r="S79" s="441" t="str">
        <f ca="1">IF(IFERROR(VLOOKUP($C79,SUP!$B$54:$Q$104,MATCH($B79&amp;"-"&amp;S$7,SUP!$B$54:$Q$54,0),FALSE),"")="","",IFERROR(VLOOKUP($C79,SUP!$B$54:$Q$104,MATCH($B79&amp;"-"&amp;S$7,SUP!$B$54:$Q$54,0),FALSE),""))</f>
        <v/>
      </c>
      <c r="T79" s="441" t="str">
        <f ca="1">IF(IFERROR(VLOOKUP($C79,SUP!$B$54:$Q$104,MATCH($B79&amp;"-"&amp;T$7,SUP!$B$54:$Q$54,0),FALSE),"")="","",IFERROR(VLOOKUP($C79,SUP!$B$54:$Q$104,MATCH($B79&amp;"-"&amp;T$7,SUP!$B$54:$Q$54,0),FALSE),""))</f>
        <v/>
      </c>
      <c r="U79" s="441" t="str">
        <f ca="1">IF(IFERROR(VLOOKUP($C79,SUP!$B$54:$Q$104,MATCH($B79&amp;"-"&amp;U$7,SUP!$B$54:$Q$54,0),FALSE),"")="","",IFERROR(VLOOKUP($C79,SUP!$B$54:$Q$104,MATCH($B79&amp;"-"&amp;U$7,SUP!$B$54:$Q$54,0),FALSE),""))</f>
        <v/>
      </c>
      <c r="V79" s="441" t="str">
        <f ca="1">IF(IFERROR(VLOOKUP($C79,SUP!$B$54:$Q$104,MATCH($B79&amp;"-"&amp;V$7,SUP!$B$54:$Q$54,0),FALSE),"")="","",IFERROR(VLOOKUP($C79,SUP!$B$54:$Q$104,MATCH($B79&amp;"-"&amp;V$7,SUP!$B$54:$Q$54,0),FALSE),""))</f>
        <v/>
      </c>
      <c r="W79" s="441" t="str">
        <f ca="1">IF(IFERROR(VLOOKUP($C79,SUP!$B$54:$Q$104,MATCH($B79&amp;"-"&amp;W$7,SUP!$B$54:$Q$54,0),FALSE),"")="","",IFERROR(VLOOKUP($C79,SUP!$B$54:$Q$104,MATCH($B79&amp;"-"&amp;W$7,SUP!$B$54:$Q$54,0),FALSE),""))</f>
        <v/>
      </c>
      <c r="X79" s="441" t="str">
        <f ca="1">IF(IFERROR(VLOOKUP($C79,SUP!$B$54:$Q$104,MATCH($B79&amp;"-"&amp;X$7,SUP!$B$54:$Q$54,0),FALSE),"")="","",IFERROR(VLOOKUP($C79,SUP!$B$54:$Q$104,MATCH($B79&amp;"-"&amp;X$7,SUP!$B$54:$Q$54,0),FALSE),""))</f>
        <v/>
      </c>
      <c r="Y79" s="441" t="str">
        <f ca="1">IF(IFERROR(VLOOKUP($C79,SUP!$B$54:$Q$104,MATCH($B79&amp;"-"&amp;Y$7,SUP!$B$54:$Q$54,0),FALSE),"")="","",IFERROR(VLOOKUP($C79,SUP!$B$54:$Q$104,MATCH($B79&amp;"-"&amp;Y$7,SUP!$B$54:$Q$54,0),FALSE),""))</f>
        <v/>
      </c>
      <c r="Z79" s="441" t="str">
        <f ca="1">IF(IFERROR(VLOOKUP($C79,SUP!$B$54:$Q$104,MATCH($B79&amp;"-"&amp;Z$7,SUP!$B$54:$Q$54,0),FALSE),"")="","",IFERROR(VLOOKUP($C79,SUP!$B$54:$Q$104,MATCH($B79&amp;"-"&amp;Z$7,SUP!$B$54:$Q$54,0),FALSE),""))</f>
        <v/>
      </c>
      <c r="AA79" s="441" t="str">
        <f ca="1">IF(IFERROR(VLOOKUP($C79,SUP!$B$54:$Q$104,MATCH($B79&amp;"-"&amp;AA$7,SUP!$B$54:$Q$54,0),FALSE),"")="","",IFERROR(VLOOKUP($C79,SUP!$B$54:$Q$104,MATCH($B79&amp;"-"&amp;AA$7,SUP!$B$54:$Q$54,0),FALSE),""))</f>
        <v/>
      </c>
      <c r="AB79" s="441" t="str">
        <f ca="1">IF(IFERROR(VLOOKUP($C79,SUP!$B$54:$Q$104,MATCH($B79&amp;"-"&amp;AB$7,SUP!$B$54:$Q$54,0),FALSE),"")="","",IFERROR(VLOOKUP($C79,SUP!$B$54:$Q$104,MATCH($B79&amp;"-"&amp;AB$7,SUP!$B$54:$Q$54,0),FALSE),""))</f>
        <v/>
      </c>
      <c r="AC79" s="441" t="str">
        <f ca="1">IF(IFERROR(VLOOKUP($C79,SUP!$B$54:$Q$104,MATCH($B79&amp;"-"&amp;AC$7,SUP!$B$54:$Q$54,0),FALSE),"")="","",IFERROR(VLOOKUP($C79,SUP!$B$54:$Q$104,MATCH($B79&amp;"-"&amp;AC$7,SUP!$B$54:$Q$54,0),FALSE),""))</f>
        <v/>
      </c>
      <c r="AD79" s="441" t="str">
        <f ca="1">IF(IFERROR(VLOOKUP($C79,SUP!$B$54:$Q$104,MATCH($B79&amp;"-"&amp;AD$7,SUP!$B$54:$Q$54,0),FALSE),"")="","",IFERROR(VLOOKUP($C79,SUP!$B$54:$Q$104,MATCH($B79&amp;"-"&amp;AD$7,SUP!$B$54:$Q$54,0),FALSE),""))</f>
        <v/>
      </c>
      <c r="AE79" s="441" t="str">
        <f ca="1">IF(IFERROR(VLOOKUP($C79,SUP!$B$54:$Q$104,MATCH($B79&amp;"-"&amp;AE$7,SUP!$B$54:$Q$54,0),FALSE),"")="","",IFERROR(VLOOKUP($C79,SUP!$B$54:$Q$104,MATCH($B79&amp;"-"&amp;AE$7,SUP!$B$54:$Q$54,0),FALSE),""))</f>
        <v/>
      </c>
      <c r="AF79" s="441" t="str">
        <f ca="1">IF(IFERROR(VLOOKUP($C79,SUP!$B$54:$Q$104,MATCH($B79&amp;"-"&amp;AF$7,SUP!$B$54:$Q$54,0),FALSE),"")="","",IFERROR(VLOOKUP($C79,SUP!$B$54:$Q$104,MATCH($B79&amp;"-"&amp;AF$7,SUP!$B$54:$Q$54,0),FALSE),""))</f>
        <v/>
      </c>
      <c r="AG79" s="441" t="str">
        <f ca="1">IF(IFERROR(VLOOKUP($C79,SUP!$B$54:$Q$104,MATCH($B79&amp;"-"&amp;AG$7,SUP!$B$54:$Q$54,0),FALSE),"")="","",IFERROR(VLOOKUP($C79,SUP!$B$54:$Q$104,MATCH($B79&amp;"-"&amp;AG$7,SUP!$B$54:$Q$54,0),FALSE),""))</f>
        <v/>
      </c>
      <c r="AH79" s="441" t="str">
        <f ca="1">IF(IFERROR(VLOOKUP($C79,SUP!$B$54:$Q$104,MATCH($B79&amp;"-"&amp;AH$7,SUP!$B$54:$Q$54,0),FALSE),"")="","",IFERROR(VLOOKUP($C79,SUP!$B$54:$Q$104,MATCH($B79&amp;"-"&amp;AH$7,SUP!$B$54:$Q$54,0),FALSE),""))</f>
        <v/>
      </c>
      <c r="AI79" s="441"/>
      <c r="AJ79" s="441"/>
      <c r="AK79" s="441"/>
      <c r="AL79" s="441"/>
      <c r="AM79" s="441" t="str">
        <f ca="1">IF(IFERROR(VLOOKUP($C79,SUP!$B$54:$Q$104,MATCH($B79&amp;"-"&amp;AM$7,SUP!$B$54:$Q$54,0),FALSE),"")="","",IFERROR(VLOOKUP($C79,SUP!$B$54:$Q$104,MATCH($B79&amp;"-"&amp;AM$7,SUP!$B$54:$Q$54,0),FALSE),""))</f>
        <v/>
      </c>
      <c r="AN79" s="441"/>
      <c r="AO79" s="441"/>
      <c r="AR79" s="42">
        <f>IF(AS78=SUP!$B$104,AR78+1,AR78)</f>
        <v>2</v>
      </c>
      <c r="AS79" s="42">
        <f t="shared" si="6"/>
        <v>20</v>
      </c>
    </row>
    <row r="80" spans="1:45">
      <c r="A80" s="42" t="str">
        <f ca="1">IF(LEFT(OFFSET(SUP!$A$57,AS80,0),2)="\I","*","")</f>
        <v/>
      </c>
      <c r="B80" s="440" t="str">
        <f t="shared" ca="1" si="9"/>
        <v>ACT_BND</v>
      </c>
      <c r="C80" s="440" t="str">
        <f ca="1">IF($A80="*","",OFFSET(SUP!$B$57,AS80,0))</f>
        <v>IMPGWL</v>
      </c>
      <c r="D80" s="440" t="str">
        <f t="shared" ca="1" si="7"/>
        <v>-</v>
      </c>
      <c r="E80" s="440" t="str">
        <f t="shared" ca="1" si="7"/>
        <v>-</v>
      </c>
      <c r="F80" s="440" t="str">
        <f t="shared" ca="1" si="7"/>
        <v>-</v>
      </c>
      <c r="G80" s="440" t="str">
        <f t="shared" ca="1" si="7"/>
        <v>ANNUAL</v>
      </c>
      <c r="H80" s="440" t="str">
        <f t="shared" ca="1" si="5"/>
        <v>UP</v>
      </c>
      <c r="I80" s="441" t="str">
        <f ca="1">IF(IFERROR(VLOOKUP($C80,SUP!$B$54:$Q$104,MATCH($B80&amp;"-"&amp;I$7,SUP!$B$54:$Q$54,0),FALSE),"")="","",IFERROR(VLOOKUP($C80,SUP!$B$54:$Q$104,MATCH($B80&amp;"-"&amp;I$7,SUP!$B$54:$Q$54,0),FALSE),""))</f>
        <v xml:space="preserve"> </v>
      </c>
      <c r="J80" s="441" t="str">
        <f ca="1">IF(IFERROR(VLOOKUP($C80,SUP!$B$54:$Q$104,MATCH($B80&amp;"-"&amp;J$7,SUP!$B$54:$Q$54,0),FALSE),"")="","",IFERROR(VLOOKUP($C80,SUP!$B$54:$Q$104,MATCH($B80&amp;"-"&amp;J$7,SUP!$B$54:$Q$54,0),FALSE),""))</f>
        <v xml:space="preserve"> </v>
      </c>
      <c r="K80" s="441" t="str">
        <f ca="1">IF(IFERROR(VLOOKUP($C80,SUP!$B$54:$Q$104,MATCH($B80&amp;"-"&amp;K$7,SUP!$B$54:$Q$54,0),FALSE),"")="","",IFERROR(VLOOKUP($C80,SUP!$B$54:$Q$104,MATCH($B80&amp;"-"&amp;K$7,SUP!$B$54:$Q$54,0),FALSE),""))</f>
        <v/>
      </c>
      <c r="L80" s="441" t="str">
        <f ca="1">IF(IFERROR(VLOOKUP($C80,SUP!$B$54:$Q$104,MATCH($B80&amp;"-"&amp;L$7,SUP!$B$54:$Q$54,0),FALSE),"")="","",IFERROR(VLOOKUP($C80,SUP!$B$54:$Q$104,MATCH($B80&amp;"-"&amp;L$7,SUP!$B$54:$Q$54,0),FALSE),""))</f>
        <v/>
      </c>
      <c r="M80" s="441" t="str">
        <f ca="1">IF(IFERROR(VLOOKUP($C80,SUP!$B$54:$Q$104,MATCH($B80&amp;"-"&amp;M$7,SUP!$B$54:$Q$54,0),FALSE),"")="","",IFERROR(VLOOKUP($C80,SUP!$B$54:$Q$104,MATCH($B80&amp;"-"&amp;M$7,SUP!$B$54:$Q$54,0),FALSE),""))</f>
        <v xml:space="preserve"> </v>
      </c>
      <c r="N80" s="441" t="str">
        <f ca="1">IF(IFERROR(VLOOKUP($C80,SUP!$B$54:$Q$104,MATCH($B80&amp;"-"&amp;N$7,SUP!$B$54:$Q$54,0),FALSE),"")="","",IFERROR(VLOOKUP($C80,SUP!$B$54:$Q$104,MATCH($B80&amp;"-"&amp;N$7,SUP!$B$54:$Q$54,0),FALSE),""))</f>
        <v/>
      </c>
      <c r="O80" s="441" t="str">
        <f ca="1">IF(IFERROR(VLOOKUP($C80,SUP!$B$54:$Q$104,MATCH($B80&amp;"-"&amp;O$7,SUP!$B$54:$Q$54,0),FALSE),"")="","",IFERROR(VLOOKUP($C80,SUP!$B$54:$Q$104,MATCH($B80&amp;"-"&amp;O$7,SUP!$B$54:$Q$54,0),FALSE),""))</f>
        <v/>
      </c>
      <c r="P80" s="441" t="str">
        <f ca="1">IF(IFERROR(VLOOKUP($C80,SUP!$B$54:$Q$104,MATCH($B80&amp;"-"&amp;P$7,SUP!$B$54:$Q$54,0),FALSE),"")="","",IFERROR(VLOOKUP($C80,SUP!$B$54:$Q$104,MATCH($B80&amp;"-"&amp;P$7,SUP!$B$54:$Q$54,0),FALSE),""))</f>
        <v/>
      </c>
      <c r="Q80" s="441" t="str">
        <f ca="1">IF(IFERROR(VLOOKUP($C80,SUP!$B$54:$Q$104,MATCH($B80&amp;"-"&amp;Q$7,SUP!$B$54:$Q$54,0),FALSE),"")="","",IFERROR(VLOOKUP($C80,SUP!$B$54:$Q$104,MATCH($B80&amp;"-"&amp;Q$7,SUP!$B$54:$Q$54,0),FALSE),""))</f>
        <v/>
      </c>
      <c r="R80" s="441" t="str">
        <f ca="1">IF(IFERROR(VLOOKUP($C80,SUP!$B$54:$Q$104,MATCH($B80&amp;"-"&amp;R$7,SUP!$B$54:$Q$54,0),FALSE),"")="","",IFERROR(VLOOKUP($C80,SUP!$B$54:$Q$104,MATCH($B80&amp;"-"&amp;R$7,SUP!$B$54:$Q$54,0),FALSE),""))</f>
        <v xml:space="preserve"> </v>
      </c>
      <c r="S80" s="441" t="str">
        <f ca="1">IF(IFERROR(VLOOKUP($C80,SUP!$B$54:$Q$104,MATCH($B80&amp;"-"&amp;S$7,SUP!$B$54:$Q$54,0),FALSE),"")="","",IFERROR(VLOOKUP($C80,SUP!$B$54:$Q$104,MATCH($B80&amp;"-"&amp;S$7,SUP!$B$54:$Q$54,0),FALSE),""))</f>
        <v/>
      </c>
      <c r="T80" s="441" t="str">
        <f ca="1">IF(IFERROR(VLOOKUP($C80,SUP!$B$54:$Q$104,MATCH($B80&amp;"-"&amp;T$7,SUP!$B$54:$Q$54,0),FALSE),"")="","",IFERROR(VLOOKUP($C80,SUP!$B$54:$Q$104,MATCH($B80&amp;"-"&amp;T$7,SUP!$B$54:$Q$54,0),FALSE),""))</f>
        <v/>
      </c>
      <c r="U80" s="441" t="str">
        <f ca="1">IF(IFERROR(VLOOKUP($C80,SUP!$B$54:$Q$104,MATCH($B80&amp;"-"&amp;U$7,SUP!$B$54:$Q$54,0),FALSE),"")="","",IFERROR(VLOOKUP($C80,SUP!$B$54:$Q$104,MATCH($B80&amp;"-"&amp;U$7,SUP!$B$54:$Q$54,0),FALSE),""))</f>
        <v/>
      </c>
      <c r="V80" s="441" t="str">
        <f ca="1">IF(IFERROR(VLOOKUP($C80,SUP!$B$54:$Q$104,MATCH($B80&amp;"-"&amp;V$7,SUP!$B$54:$Q$54,0),FALSE),"")="","",IFERROR(VLOOKUP($C80,SUP!$B$54:$Q$104,MATCH($B80&amp;"-"&amp;V$7,SUP!$B$54:$Q$54,0),FALSE),""))</f>
        <v/>
      </c>
      <c r="W80" s="441" t="str">
        <f ca="1">IF(IFERROR(VLOOKUP($C80,SUP!$B$54:$Q$104,MATCH($B80&amp;"-"&amp;W$7,SUP!$B$54:$Q$54,0),FALSE),"")="","",IFERROR(VLOOKUP($C80,SUP!$B$54:$Q$104,MATCH($B80&amp;"-"&amp;W$7,SUP!$B$54:$Q$54,0),FALSE),""))</f>
        <v/>
      </c>
      <c r="X80" s="441" t="str">
        <f ca="1">IF(IFERROR(VLOOKUP($C80,SUP!$B$54:$Q$104,MATCH($B80&amp;"-"&amp;X$7,SUP!$B$54:$Q$54,0),FALSE),"")="","",IFERROR(VLOOKUP($C80,SUP!$B$54:$Q$104,MATCH($B80&amp;"-"&amp;X$7,SUP!$B$54:$Q$54,0),FALSE),""))</f>
        <v/>
      </c>
      <c r="Y80" s="441" t="str">
        <f ca="1">IF(IFERROR(VLOOKUP($C80,SUP!$B$54:$Q$104,MATCH($B80&amp;"-"&amp;Y$7,SUP!$B$54:$Q$54,0),FALSE),"")="","",IFERROR(VLOOKUP($C80,SUP!$B$54:$Q$104,MATCH($B80&amp;"-"&amp;Y$7,SUP!$B$54:$Q$54,0),FALSE),""))</f>
        <v/>
      </c>
      <c r="Z80" s="441" t="str">
        <f ca="1">IF(IFERROR(VLOOKUP($C80,SUP!$B$54:$Q$104,MATCH($B80&amp;"-"&amp;Z$7,SUP!$B$54:$Q$54,0),FALSE),"")="","",IFERROR(VLOOKUP($C80,SUP!$B$54:$Q$104,MATCH($B80&amp;"-"&amp;Z$7,SUP!$B$54:$Q$54,0),FALSE),""))</f>
        <v/>
      </c>
      <c r="AA80" s="441" t="str">
        <f ca="1">IF(IFERROR(VLOOKUP($C80,SUP!$B$54:$Q$104,MATCH($B80&amp;"-"&amp;AA$7,SUP!$B$54:$Q$54,0),FALSE),"")="","",IFERROR(VLOOKUP($C80,SUP!$B$54:$Q$104,MATCH($B80&amp;"-"&amp;AA$7,SUP!$B$54:$Q$54,0),FALSE),""))</f>
        <v/>
      </c>
      <c r="AB80" s="441" t="str">
        <f ca="1">IF(IFERROR(VLOOKUP($C80,SUP!$B$54:$Q$104,MATCH($B80&amp;"-"&amp;AB$7,SUP!$B$54:$Q$54,0),FALSE),"")="","",IFERROR(VLOOKUP($C80,SUP!$B$54:$Q$104,MATCH($B80&amp;"-"&amp;AB$7,SUP!$B$54:$Q$54,0),FALSE),""))</f>
        <v xml:space="preserve"> </v>
      </c>
      <c r="AC80" s="441" t="str">
        <f ca="1">IF(IFERROR(VLOOKUP($C80,SUP!$B$54:$Q$104,MATCH($B80&amp;"-"&amp;AC$7,SUP!$B$54:$Q$54,0),FALSE),"")="","",IFERROR(VLOOKUP($C80,SUP!$B$54:$Q$104,MATCH($B80&amp;"-"&amp;AC$7,SUP!$B$54:$Q$54,0),FALSE),""))</f>
        <v/>
      </c>
      <c r="AD80" s="441" t="str">
        <f ca="1">IF(IFERROR(VLOOKUP($C80,SUP!$B$54:$Q$104,MATCH($B80&amp;"-"&amp;AD$7,SUP!$B$54:$Q$54,0),FALSE),"")="","",IFERROR(VLOOKUP($C80,SUP!$B$54:$Q$104,MATCH($B80&amp;"-"&amp;AD$7,SUP!$B$54:$Q$54,0),FALSE),""))</f>
        <v/>
      </c>
      <c r="AE80" s="441" t="str">
        <f ca="1">IF(IFERROR(VLOOKUP($C80,SUP!$B$54:$Q$104,MATCH($B80&amp;"-"&amp;AE$7,SUP!$B$54:$Q$54,0),FALSE),"")="","",IFERROR(VLOOKUP($C80,SUP!$B$54:$Q$104,MATCH($B80&amp;"-"&amp;AE$7,SUP!$B$54:$Q$54,0),FALSE),""))</f>
        <v/>
      </c>
      <c r="AF80" s="441" t="str">
        <f ca="1">IF(IFERROR(VLOOKUP($C80,SUP!$B$54:$Q$104,MATCH($B80&amp;"-"&amp;AF$7,SUP!$B$54:$Q$54,0),FALSE),"")="","",IFERROR(VLOOKUP($C80,SUP!$B$54:$Q$104,MATCH($B80&amp;"-"&amp;AF$7,SUP!$B$54:$Q$54,0),FALSE),""))</f>
        <v/>
      </c>
      <c r="AG80" s="441" t="str">
        <f ca="1">IF(IFERROR(VLOOKUP($C80,SUP!$B$54:$Q$104,MATCH($B80&amp;"-"&amp;AG$7,SUP!$B$54:$Q$54,0),FALSE),"")="","",IFERROR(VLOOKUP($C80,SUP!$B$54:$Q$104,MATCH($B80&amp;"-"&amp;AG$7,SUP!$B$54:$Q$54,0),FALSE),""))</f>
        <v/>
      </c>
      <c r="AH80" s="441" t="str">
        <f ca="1">IF(IFERROR(VLOOKUP($C80,SUP!$B$54:$Q$104,MATCH($B80&amp;"-"&amp;AH$7,SUP!$B$54:$Q$54,0),FALSE),"")="","",IFERROR(VLOOKUP($C80,SUP!$B$54:$Q$104,MATCH($B80&amp;"-"&amp;AH$7,SUP!$B$54:$Q$54,0),FALSE),""))</f>
        <v/>
      </c>
      <c r="AI80" s="441"/>
      <c r="AJ80" s="441"/>
      <c r="AK80" s="441"/>
      <c r="AL80" s="441"/>
      <c r="AM80" s="441" t="str">
        <f ca="1">IF(IFERROR(VLOOKUP($C80,SUP!$B$54:$Q$104,MATCH($B80&amp;"-"&amp;AM$7,SUP!$B$54:$Q$54,0),FALSE),"")="","",IFERROR(VLOOKUP($C80,SUP!$B$54:$Q$104,MATCH($B80&amp;"-"&amp;AM$7,SUP!$B$54:$Q$54,0),FALSE),""))</f>
        <v/>
      </c>
      <c r="AN80" s="441"/>
      <c r="AO80" s="441"/>
      <c r="AR80" s="42">
        <f>IF(AS79=SUP!$B$104,AR79+1,AR79)</f>
        <v>2</v>
      </c>
      <c r="AS80" s="42">
        <f t="shared" si="6"/>
        <v>21</v>
      </c>
    </row>
    <row r="81" spans="1:45">
      <c r="A81" s="42" t="str">
        <f ca="1">IF(LEFT(OFFSET(SUP!$A$57,AS81,0),2)="\I","*","")</f>
        <v/>
      </c>
      <c r="B81" s="440" t="str">
        <f t="shared" ca="1" si="9"/>
        <v>ACT_BND</v>
      </c>
      <c r="C81" s="440" t="str">
        <f ca="1">IF($A81="*","",OFFSET(SUP!$B$57,AS81,0))</f>
        <v>IMPNUC</v>
      </c>
      <c r="D81" s="440" t="str">
        <f t="shared" ca="1" si="7"/>
        <v>-</v>
      </c>
      <c r="E81" s="440" t="str">
        <f t="shared" ca="1" si="7"/>
        <v>-</v>
      </c>
      <c r="F81" s="440" t="str">
        <f t="shared" ca="1" si="7"/>
        <v>-</v>
      </c>
      <c r="G81" s="440" t="str">
        <f t="shared" ca="1" si="7"/>
        <v>ANNUAL</v>
      </c>
      <c r="H81" s="440" t="str">
        <f t="shared" ca="1" si="5"/>
        <v>UP</v>
      </c>
      <c r="I81" s="441">
        <f ca="1">IF(IFERROR(VLOOKUP($C81,SUP!$B$54:$Q$104,MATCH($B81&amp;"-"&amp;I$7,SUP!$B$54:$Q$54,0),FALSE),"")="","",IFERROR(VLOOKUP($C81,SUP!$B$54:$Q$104,MATCH($B81&amp;"-"&amp;I$7,SUP!$B$54:$Q$54,0),FALSE),""))</f>
        <v>0</v>
      </c>
      <c r="J81" s="441">
        <f ca="1">IF(IFERROR(VLOOKUP($C81,SUP!$B$54:$Q$104,MATCH($B81&amp;"-"&amp;J$7,SUP!$B$54:$Q$54,0),FALSE),"")="","",IFERROR(VLOOKUP($C81,SUP!$B$54:$Q$104,MATCH($B81&amp;"-"&amp;J$7,SUP!$B$54:$Q$54,0),FALSE),""))</f>
        <v>170.374545454545</v>
      </c>
      <c r="K81" s="441" t="str">
        <f ca="1">IF(IFERROR(VLOOKUP($C81,SUP!$B$54:$Q$104,MATCH($B81&amp;"-"&amp;K$7,SUP!$B$54:$Q$54,0),FALSE),"")="","",IFERROR(VLOOKUP($C81,SUP!$B$54:$Q$104,MATCH($B81&amp;"-"&amp;K$7,SUP!$B$54:$Q$54,0),FALSE),""))</f>
        <v/>
      </c>
      <c r="L81" s="441" t="str">
        <f ca="1">IF(IFERROR(VLOOKUP($C81,SUP!$B$54:$Q$104,MATCH($B81&amp;"-"&amp;L$7,SUP!$B$54:$Q$54,0),FALSE),"")="","",IFERROR(VLOOKUP($C81,SUP!$B$54:$Q$104,MATCH($B81&amp;"-"&amp;L$7,SUP!$B$54:$Q$54,0),FALSE),""))</f>
        <v/>
      </c>
      <c r="M81" s="441" t="str">
        <f ca="1">IF(IFERROR(VLOOKUP($C81,SUP!$B$54:$Q$104,MATCH($B81&amp;"-"&amp;M$7,SUP!$B$54:$Q$54,0),FALSE),"")="","",IFERROR(VLOOKUP($C81,SUP!$B$54:$Q$104,MATCH($B81&amp;"-"&amp;M$7,SUP!$B$54:$Q$54,0),FALSE),""))</f>
        <v/>
      </c>
      <c r="N81" s="441" t="str">
        <f ca="1">IF(IFERROR(VLOOKUP($C81,SUP!$B$54:$Q$104,MATCH($B81&amp;"-"&amp;N$7,SUP!$B$54:$Q$54,0),FALSE),"")="","",IFERROR(VLOOKUP($C81,SUP!$B$54:$Q$104,MATCH($B81&amp;"-"&amp;N$7,SUP!$B$54:$Q$54,0),FALSE),""))</f>
        <v/>
      </c>
      <c r="O81" s="441" t="str">
        <f ca="1">IF(IFERROR(VLOOKUP($C81,SUP!$B$54:$Q$104,MATCH($B81&amp;"-"&amp;O$7,SUP!$B$54:$Q$54,0),FALSE),"")="","",IFERROR(VLOOKUP($C81,SUP!$B$54:$Q$104,MATCH($B81&amp;"-"&amp;O$7,SUP!$B$54:$Q$54,0),FALSE),""))</f>
        <v/>
      </c>
      <c r="P81" s="441" t="str">
        <f ca="1">IF(IFERROR(VLOOKUP($C81,SUP!$B$54:$Q$104,MATCH($B81&amp;"-"&amp;P$7,SUP!$B$54:$Q$54,0),FALSE),"")="","",IFERROR(VLOOKUP($C81,SUP!$B$54:$Q$104,MATCH($B81&amp;"-"&amp;P$7,SUP!$B$54:$Q$54,0),FALSE),""))</f>
        <v/>
      </c>
      <c r="Q81" s="441" t="str">
        <f ca="1">IF(IFERROR(VLOOKUP($C81,SUP!$B$54:$Q$104,MATCH($B81&amp;"-"&amp;Q$7,SUP!$B$54:$Q$54,0),FALSE),"")="","",IFERROR(VLOOKUP($C81,SUP!$B$54:$Q$104,MATCH($B81&amp;"-"&amp;Q$7,SUP!$B$54:$Q$54,0),FALSE),""))</f>
        <v/>
      </c>
      <c r="R81" s="441" t="str">
        <f ca="1">IF(IFERROR(VLOOKUP($C81,SUP!$B$54:$Q$104,MATCH($B81&amp;"-"&amp;R$7,SUP!$B$54:$Q$54,0),FALSE),"")="","",IFERROR(VLOOKUP($C81,SUP!$B$54:$Q$104,MATCH($B81&amp;"-"&amp;R$7,SUP!$B$54:$Q$54,0),FALSE),""))</f>
        <v/>
      </c>
      <c r="S81" s="441" t="str">
        <f ca="1">IF(IFERROR(VLOOKUP($C81,SUP!$B$54:$Q$104,MATCH($B81&amp;"-"&amp;S$7,SUP!$B$54:$Q$54,0),FALSE),"")="","",IFERROR(VLOOKUP($C81,SUP!$B$54:$Q$104,MATCH($B81&amp;"-"&amp;S$7,SUP!$B$54:$Q$54,0),FALSE),""))</f>
        <v/>
      </c>
      <c r="T81" s="441" t="str">
        <f ca="1">IF(IFERROR(VLOOKUP($C81,SUP!$B$54:$Q$104,MATCH($B81&amp;"-"&amp;T$7,SUP!$B$54:$Q$54,0),FALSE),"")="","",IFERROR(VLOOKUP($C81,SUP!$B$54:$Q$104,MATCH($B81&amp;"-"&amp;T$7,SUP!$B$54:$Q$54,0),FALSE),""))</f>
        <v/>
      </c>
      <c r="U81" s="441" t="str">
        <f ca="1">IF(IFERROR(VLOOKUP($C81,SUP!$B$54:$Q$104,MATCH($B81&amp;"-"&amp;U$7,SUP!$B$54:$Q$54,0),FALSE),"")="","",IFERROR(VLOOKUP($C81,SUP!$B$54:$Q$104,MATCH($B81&amp;"-"&amp;U$7,SUP!$B$54:$Q$54,0),FALSE),""))</f>
        <v/>
      </c>
      <c r="V81" s="441" t="str">
        <f ca="1">IF(IFERROR(VLOOKUP($C81,SUP!$B$54:$Q$104,MATCH($B81&amp;"-"&amp;V$7,SUP!$B$54:$Q$54,0),FALSE),"")="","",IFERROR(VLOOKUP($C81,SUP!$B$54:$Q$104,MATCH($B81&amp;"-"&amp;V$7,SUP!$B$54:$Q$54,0),FALSE),""))</f>
        <v/>
      </c>
      <c r="W81" s="441" t="str">
        <f ca="1">IF(IFERROR(VLOOKUP($C81,SUP!$B$54:$Q$104,MATCH($B81&amp;"-"&amp;W$7,SUP!$B$54:$Q$54,0),FALSE),"")="","",IFERROR(VLOOKUP($C81,SUP!$B$54:$Q$104,MATCH($B81&amp;"-"&amp;W$7,SUP!$B$54:$Q$54,0),FALSE),""))</f>
        <v/>
      </c>
      <c r="X81" s="441" t="str">
        <f ca="1">IF(IFERROR(VLOOKUP($C81,SUP!$B$54:$Q$104,MATCH($B81&amp;"-"&amp;X$7,SUP!$B$54:$Q$54,0),FALSE),"")="","",IFERROR(VLOOKUP($C81,SUP!$B$54:$Q$104,MATCH($B81&amp;"-"&amp;X$7,SUP!$B$54:$Q$54,0),FALSE),""))</f>
        <v/>
      </c>
      <c r="Y81" s="441" t="str">
        <f ca="1">IF(IFERROR(VLOOKUP($C81,SUP!$B$54:$Q$104,MATCH($B81&amp;"-"&amp;Y$7,SUP!$B$54:$Q$54,0),FALSE),"")="","",IFERROR(VLOOKUP($C81,SUP!$B$54:$Q$104,MATCH($B81&amp;"-"&amp;Y$7,SUP!$B$54:$Q$54,0),FALSE),""))</f>
        <v/>
      </c>
      <c r="Z81" s="441" t="str">
        <f ca="1">IF(IFERROR(VLOOKUP($C81,SUP!$B$54:$Q$104,MATCH($B81&amp;"-"&amp;Z$7,SUP!$B$54:$Q$54,0),FALSE),"")="","",IFERROR(VLOOKUP($C81,SUP!$B$54:$Q$104,MATCH($B81&amp;"-"&amp;Z$7,SUP!$B$54:$Q$54,0),FALSE),""))</f>
        <v/>
      </c>
      <c r="AA81" s="441" t="str">
        <f ca="1">IF(IFERROR(VLOOKUP($C81,SUP!$B$54:$Q$104,MATCH($B81&amp;"-"&amp;AA$7,SUP!$B$54:$Q$54,0),FALSE),"")="","",IFERROR(VLOOKUP($C81,SUP!$B$54:$Q$104,MATCH($B81&amp;"-"&amp;AA$7,SUP!$B$54:$Q$54,0),FALSE),""))</f>
        <v/>
      </c>
      <c r="AB81" s="441" t="str">
        <f ca="1">IF(IFERROR(VLOOKUP($C81,SUP!$B$54:$Q$104,MATCH($B81&amp;"-"&amp;AB$7,SUP!$B$54:$Q$54,0),FALSE),"")="","",IFERROR(VLOOKUP($C81,SUP!$B$54:$Q$104,MATCH($B81&amp;"-"&amp;AB$7,SUP!$B$54:$Q$54,0),FALSE),""))</f>
        <v/>
      </c>
      <c r="AC81" s="441" t="str">
        <f ca="1">IF(IFERROR(VLOOKUP($C81,SUP!$B$54:$Q$104,MATCH($B81&amp;"-"&amp;AC$7,SUP!$B$54:$Q$54,0),FALSE),"")="","",IFERROR(VLOOKUP($C81,SUP!$B$54:$Q$104,MATCH($B81&amp;"-"&amp;AC$7,SUP!$B$54:$Q$54,0),FALSE),""))</f>
        <v/>
      </c>
      <c r="AD81" s="441" t="str">
        <f ca="1">IF(IFERROR(VLOOKUP($C81,SUP!$B$54:$Q$104,MATCH($B81&amp;"-"&amp;AD$7,SUP!$B$54:$Q$54,0),FALSE),"")="","",IFERROR(VLOOKUP($C81,SUP!$B$54:$Q$104,MATCH($B81&amp;"-"&amp;AD$7,SUP!$B$54:$Q$54,0),FALSE),""))</f>
        <v/>
      </c>
      <c r="AE81" s="441" t="str">
        <f ca="1">IF(IFERROR(VLOOKUP($C81,SUP!$B$54:$Q$104,MATCH($B81&amp;"-"&amp;AE$7,SUP!$B$54:$Q$54,0),FALSE),"")="","",IFERROR(VLOOKUP($C81,SUP!$B$54:$Q$104,MATCH($B81&amp;"-"&amp;AE$7,SUP!$B$54:$Q$54,0),FALSE),""))</f>
        <v/>
      </c>
      <c r="AF81" s="441" t="str">
        <f ca="1">IF(IFERROR(VLOOKUP($C81,SUP!$B$54:$Q$104,MATCH($B81&amp;"-"&amp;AF$7,SUP!$B$54:$Q$54,0),FALSE),"")="","",IFERROR(VLOOKUP($C81,SUP!$B$54:$Q$104,MATCH($B81&amp;"-"&amp;AF$7,SUP!$B$54:$Q$54,0),FALSE),""))</f>
        <v/>
      </c>
      <c r="AG81" s="441" t="str">
        <f ca="1">IF(IFERROR(VLOOKUP($C81,SUP!$B$54:$Q$104,MATCH($B81&amp;"-"&amp;AG$7,SUP!$B$54:$Q$54,0),FALSE),"")="","",IFERROR(VLOOKUP($C81,SUP!$B$54:$Q$104,MATCH($B81&amp;"-"&amp;AG$7,SUP!$B$54:$Q$54,0),FALSE),""))</f>
        <v/>
      </c>
      <c r="AH81" s="441" t="str">
        <f ca="1">IF(IFERROR(VLOOKUP($C81,SUP!$B$54:$Q$104,MATCH($B81&amp;"-"&amp;AH$7,SUP!$B$54:$Q$54,0),FALSE),"")="","",IFERROR(VLOOKUP($C81,SUP!$B$54:$Q$104,MATCH($B81&amp;"-"&amp;AH$7,SUP!$B$54:$Q$54,0),FALSE),""))</f>
        <v/>
      </c>
      <c r="AI81" s="441"/>
      <c r="AJ81" s="441"/>
      <c r="AK81" s="441"/>
      <c r="AL81" s="441"/>
      <c r="AM81" s="441" t="str">
        <f ca="1">IF(IFERROR(VLOOKUP($C81,SUP!$B$54:$Q$104,MATCH($B81&amp;"-"&amp;AM$7,SUP!$B$54:$Q$54,0),FALSE),"")="","",IFERROR(VLOOKUP($C81,SUP!$B$54:$Q$104,MATCH($B81&amp;"-"&amp;AM$7,SUP!$B$54:$Q$54,0),FALSE),""))</f>
        <v/>
      </c>
      <c r="AN81" s="441"/>
      <c r="AO81" s="441"/>
      <c r="AR81" s="42">
        <f>IF(AS80=SUP!$B$104,AR80+1,AR80)</f>
        <v>2</v>
      </c>
      <c r="AS81" s="42">
        <f t="shared" si="6"/>
        <v>22</v>
      </c>
    </row>
    <row r="82" spans="1:45">
      <c r="A82" s="42" t="str">
        <f ca="1">IF(LEFT(OFFSET(SUP!$A$57,AS82,0),2)="\I","*","")</f>
        <v/>
      </c>
      <c r="B82" s="440" t="str">
        <f t="shared" ca="1" si="9"/>
        <v>ACT_BND</v>
      </c>
      <c r="C82" s="440" t="str">
        <f ca="1">IF($A82="*","",OFFSET(SUP!$B$57,AS82,0))</f>
        <v>IMPOAG</v>
      </c>
      <c r="D82" s="440" t="str">
        <f t="shared" ca="1" si="7"/>
        <v>-</v>
      </c>
      <c r="E82" s="440" t="str">
        <f t="shared" ca="1" si="7"/>
        <v>-</v>
      </c>
      <c r="F82" s="440" t="str">
        <f t="shared" ca="1" si="7"/>
        <v>-</v>
      </c>
      <c r="G82" s="440" t="str">
        <f t="shared" ca="1" si="7"/>
        <v>ANNUAL</v>
      </c>
      <c r="H82" s="440" t="str">
        <f t="shared" ca="1" si="5"/>
        <v>UP</v>
      </c>
      <c r="I82" s="441">
        <f ca="1">IF(IFERROR(VLOOKUP($C82,SUP!$B$54:$Q$104,MATCH($B82&amp;"-"&amp;I$7,SUP!$B$54:$Q$54,0),FALSE),"")="","",IFERROR(VLOOKUP($C82,SUP!$B$54:$Q$104,MATCH($B82&amp;"-"&amp;I$7,SUP!$B$54:$Q$54,0),FALSE),""))</f>
        <v>0</v>
      </c>
      <c r="J82" s="441">
        <f ca="1">IF(IFERROR(VLOOKUP($C82,SUP!$B$54:$Q$104,MATCH($B82&amp;"-"&amp;J$7,SUP!$B$54:$Q$54,0),FALSE),"")="","",IFERROR(VLOOKUP($C82,SUP!$B$54:$Q$104,MATCH($B82&amp;"-"&amp;J$7,SUP!$B$54:$Q$54,0),FALSE),""))</f>
        <v>1.394321535205479</v>
      </c>
      <c r="K82" s="441" t="str">
        <f ca="1">IF(IFERROR(VLOOKUP($C82,SUP!$B$54:$Q$104,MATCH($B82&amp;"-"&amp;K$7,SUP!$B$54:$Q$54,0),FALSE),"")="","",IFERROR(VLOOKUP($C82,SUP!$B$54:$Q$104,MATCH($B82&amp;"-"&amp;K$7,SUP!$B$54:$Q$54,0),FALSE),""))</f>
        <v/>
      </c>
      <c r="L82" s="441" t="str">
        <f ca="1">IF(IFERROR(VLOOKUP($C82,SUP!$B$54:$Q$104,MATCH($B82&amp;"-"&amp;L$7,SUP!$B$54:$Q$54,0),FALSE),"")="","",IFERROR(VLOOKUP($C82,SUP!$B$54:$Q$104,MATCH($B82&amp;"-"&amp;L$7,SUP!$B$54:$Q$54,0),FALSE),""))</f>
        <v/>
      </c>
      <c r="M82" s="441" t="str">
        <f ca="1">IF(IFERROR(VLOOKUP($C82,SUP!$B$54:$Q$104,MATCH($B82&amp;"-"&amp;M$7,SUP!$B$54:$Q$54,0),FALSE),"")="","",IFERROR(VLOOKUP($C82,SUP!$B$54:$Q$104,MATCH($B82&amp;"-"&amp;M$7,SUP!$B$54:$Q$54,0),FALSE),""))</f>
        <v/>
      </c>
      <c r="N82" s="441" t="str">
        <f ca="1">IF(IFERROR(VLOOKUP($C82,SUP!$B$54:$Q$104,MATCH($B82&amp;"-"&amp;N$7,SUP!$B$54:$Q$54,0),FALSE),"")="","",IFERROR(VLOOKUP($C82,SUP!$B$54:$Q$104,MATCH($B82&amp;"-"&amp;N$7,SUP!$B$54:$Q$54,0),FALSE),""))</f>
        <v/>
      </c>
      <c r="O82" s="441" t="str">
        <f ca="1">IF(IFERROR(VLOOKUP($C82,SUP!$B$54:$Q$104,MATCH($B82&amp;"-"&amp;O$7,SUP!$B$54:$Q$54,0),FALSE),"")="","",IFERROR(VLOOKUP($C82,SUP!$B$54:$Q$104,MATCH($B82&amp;"-"&amp;O$7,SUP!$B$54:$Q$54,0),FALSE),""))</f>
        <v/>
      </c>
      <c r="P82" s="441" t="str">
        <f ca="1">IF(IFERROR(VLOOKUP($C82,SUP!$B$54:$Q$104,MATCH($B82&amp;"-"&amp;P$7,SUP!$B$54:$Q$54,0),FALSE),"")="","",IFERROR(VLOOKUP($C82,SUP!$B$54:$Q$104,MATCH($B82&amp;"-"&amp;P$7,SUP!$B$54:$Q$54,0),FALSE),""))</f>
        <v/>
      </c>
      <c r="Q82" s="441" t="str">
        <f ca="1">IF(IFERROR(VLOOKUP($C82,SUP!$B$54:$Q$104,MATCH($B82&amp;"-"&amp;Q$7,SUP!$B$54:$Q$54,0),FALSE),"")="","",IFERROR(VLOOKUP($C82,SUP!$B$54:$Q$104,MATCH($B82&amp;"-"&amp;Q$7,SUP!$B$54:$Q$54,0),FALSE),""))</f>
        <v/>
      </c>
      <c r="R82" s="441" t="str">
        <f ca="1">IF(IFERROR(VLOOKUP($C82,SUP!$B$54:$Q$104,MATCH($B82&amp;"-"&amp;R$7,SUP!$B$54:$Q$54,0),FALSE),"")="","",IFERROR(VLOOKUP($C82,SUP!$B$54:$Q$104,MATCH($B82&amp;"-"&amp;R$7,SUP!$B$54:$Q$54,0),FALSE),""))</f>
        <v/>
      </c>
      <c r="S82" s="441" t="str">
        <f ca="1">IF(IFERROR(VLOOKUP($C82,SUP!$B$54:$Q$104,MATCH($B82&amp;"-"&amp;S$7,SUP!$B$54:$Q$54,0),FALSE),"")="","",IFERROR(VLOOKUP($C82,SUP!$B$54:$Q$104,MATCH($B82&amp;"-"&amp;S$7,SUP!$B$54:$Q$54,0),FALSE),""))</f>
        <v/>
      </c>
      <c r="T82" s="441" t="str">
        <f ca="1">IF(IFERROR(VLOOKUP($C82,SUP!$B$54:$Q$104,MATCH($B82&amp;"-"&amp;T$7,SUP!$B$54:$Q$54,0),FALSE),"")="","",IFERROR(VLOOKUP($C82,SUP!$B$54:$Q$104,MATCH($B82&amp;"-"&amp;T$7,SUP!$B$54:$Q$54,0),FALSE),""))</f>
        <v/>
      </c>
      <c r="U82" s="441" t="str">
        <f ca="1">IF(IFERROR(VLOOKUP($C82,SUP!$B$54:$Q$104,MATCH($B82&amp;"-"&amp;U$7,SUP!$B$54:$Q$54,0),FALSE),"")="","",IFERROR(VLOOKUP($C82,SUP!$B$54:$Q$104,MATCH($B82&amp;"-"&amp;U$7,SUP!$B$54:$Q$54,0),FALSE),""))</f>
        <v/>
      </c>
      <c r="V82" s="441" t="str">
        <f ca="1">IF(IFERROR(VLOOKUP($C82,SUP!$B$54:$Q$104,MATCH($B82&amp;"-"&amp;V$7,SUP!$B$54:$Q$54,0),FALSE),"")="","",IFERROR(VLOOKUP($C82,SUP!$B$54:$Q$104,MATCH($B82&amp;"-"&amp;V$7,SUP!$B$54:$Q$54,0),FALSE),""))</f>
        <v/>
      </c>
      <c r="W82" s="441" t="str">
        <f ca="1">IF(IFERROR(VLOOKUP($C82,SUP!$B$54:$Q$104,MATCH($B82&amp;"-"&amp;W$7,SUP!$B$54:$Q$54,0),FALSE),"")="","",IFERROR(VLOOKUP($C82,SUP!$B$54:$Q$104,MATCH($B82&amp;"-"&amp;W$7,SUP!$B$54:$Q$54,0),FALSE),""))</f>
        <v/>
      </c>
      <c r="X82" s="441" t="str">
        <f ca="1">IF(IFERROR(VLOOKUP($C82,SUP!$B$54:$Q$104,MATCH($B82&amp;"-"&amp;X$7,SUP!$B$54:$Q$54,0),FALSE),"")="","",IFERROR(VLOOKUP($C82,SUP!$B$54:$Q$104,MATCH($B82&amp;"-"&amp;X$7,SUP!$B$54:$Q$54,0),FALSE),""))</f>
        <v/>
      </c>
      <c r="Y82" s="441" t="str">
        <f ca="1">IF(IFERROR(VLOOKUP($C82,SUP!$B$54:$Q$104,MATCH($B82&amp;"-"&amp;Y$7,SUP!$B$54:$Q$54,0),FALSE),"")="","",IFERROR(VLOOKUP($C82,SUP!$B$54:$Q$104,MATCH($B82&amp;"-"&amp;Y$7,SUP!$B$54:$Q$54,0),FALSE),""))</f>
        <v/>
      </c>
      <c r="Z82" s="441" t="str">
        <f ca="1">IF(IFERROR(VLOOKUP($C82,SUP!$B$54:$Q$104,MATCH($B82&amp;"-"&amp;Z$7,SUP!$B$54:$Q$54,0),FALSE),"")="","",IFERROR(VLOOKUP($C82,SUP!$B$54:$Q$104,MATCH($B82&amp;"-"&amp;Z$7,SUP!$B$54:$Q$54,0),FALSE),""))</f>
        <v/>
      </c>
      <c r="AA82" s="441" t="str">
        <f ca="1">IF(IFERROR(VLOOKUP($C82,SUP!$B$54:$Q$104,MATCH($B82&amp;"-"&amp;AA$7,SUP!$B$54:$Q$54,0),FALSE),"")="","",IFERROR(VLOOKUP($C82,SUP!$B$54:$Q$104,MATCH($B82&amp;"-"&amp;AA$7,SUP!$B$54:$Q$54,0),FALSE),""))</f>
        <v/>
      </c>
      <c r="AB82" s="441" t="str">
        <f ca="1">IF(IFERROR(VLOOKUP($C82,SUP!$B$54:$Q$104,MATCH($B82&amp;"-"&amp;AB$7,SUP!$B$54:$Q$54,0),FALSE),"")="","",IFERROR(VLOOKUP($C82,SUP!$B$54:$Q$104,MATCH($B82&amp;"-"&amp;AB$7,SUP!$B$54:$Q$54,0),FALSE),""))</f>
        <v/>
      </c>
      <c r="AC82" s="441" t="str">
        <f ca="1">IF(IFERROR(VLOOKUP($C82,SUP!$B$54:$Q$104,MATCH($B82&amp;"-"&amp;AC$7,SUP!$B$54:$Q$54,0),FALSE),"")="","",IFERROR(VLOOKUP($C82,SUP!$B$54:$Q$104,MATCH($B82&amp;"-"&amp;AC$7,SUP!$B$54:$Q$54,0),FALSE),""))</f>
        <v/>
      </c>
      <c r="AD82" s="441" t="str">
        <f ca="1">IF(IFERROR(VLOOKUP($C82,SUP!$B$54:$Q$104,MATCH($B82&amp;"-"&amp;AD$7,SUP!$B$54:$Q$54,0),FALSE),"")="","",IFERROR(VLOOKUP($C82,SUP!$B$54:$Q$104,MATCH($B82&amp;"-"&amp;AD$7,SUP!$B$54:$Q$54,0),FALSE),""))</f>
        <v/>
      </c>
      <c r="AE82" s="441" t="str">
        <f ca="1">IF(IFERROR(VLOOKUP($C82,SUP!$B$54:$Q$104,MATCH($B82&amp;"-"&amp;AE$7,SUP!$B$54:$Q$54,0),FALSE),"")="","",IFERROR(VLOOKUP($C82,SUP!$B$54:$Q$104,MATCH($B82&amp;"-"&amp;AE$7,SUP!$B$54:$Q$54,0),FALSE),""))</f>
        <v/>
      </c>
      <c r="AF82" s="441" t="str">
        <f ca="1">IF(IFERROR(VLOOKUP($C82,SUP!$B$54:$Q$104,MATCH($B82&amp;"-"&amp;AF$7,SUP!$B$54:$Q$54,0),FALSE),"")="","",IFERROR(VLOOKUP($C82,SUP!$B$54:$Q$104,MATCH($B82&amp;"-"&amp;AF$7,SUP!$B$54:$Q$54,0),FALSE),""))</f>
        <v/>
      </c>
      <c r="AG82" s="441" t="str">
        <f ca="1">IF(IFERROR(VLOOKUP($C82,SUP!$B$54:$Q$104,MATCH($B82&amp;"-"&amp;AG$7,SUP!$B$54:$Q$54,0),FALSE),"")="","",IFERROR(VLOOKUP($C82,SUP!$B$54:$Q$104,MATCH($B82&amp;"-"&amp;AG$7,SUP!$B$54:$Q$54,0),FALSE),""))</f>
        <v/>
      </c>
      <c r="AH82" s="441" t="str">
        <f ca="1">IF(IFERROR(VLOOKUP($C82,SUP!$B$54:$Q$104,MATCH($B82&amp;"-"&amp;AH$7,SUP!$B$54:$Q$54,0),FALSE),"")="","",IFERROR(VLOOKUP($C82,SUP!$B$54:$Q$104,MATCH($B82&amp;"-"&amp;AH$7,SUP!$B$54:$Q$54,0),FALSE),""))</f>
        <v/>
      </c>
      <c r="AI82" s="441"/>
      <c r="AJ82" s="441"/>
      <c r="AK82" s="441"/>
      <c r="AL82" s="441"/>
      <c r="AM82" s="441" t="str">
        <f ca="1">IF(IFERROR(VLOOKUP($C82,SUP!$B$54:$Q$104,MATCH($B82&amp;"-"&amp;AM$7,SUP!$B$54:$Q$54,0),FALSE),"")="","",IFERROR(VLOOKUP($C82,SUP!$B$54:$Q$104,MATCH($B82&amp;"-"&amp;AM$7,SUP!$B$54:$Q$54,0),FALSE),""))</f>
        <v/>
      </c>
      <c r="AN82" s="441"/>
      <c r="AO82" s="441"/>
      <c r="AR82" s="42">
        <f>IF(AS81=SUP!$B$104,AR81+1,AR81)</f>
        <v>2</v>
      </c>
      <c r="AS82" s="42">
        <f t="shared" si="6"/>
        <v>23</v>
      </c>
    </row>
    <row r="83" spans="1:45">
      <c r="A83" s="42" t="str">
        <f ca="1">IF(LEFT(OFFSET(SUP!$A$57,AS83,0),2)="\I","*","")</f>
        <v/>
      </c>
      <c r="B83" s="440" t="str">
        <f t="shared" ca="1" si="9"/>
        <v>ACT_BND</v>
      </c>
      <c r="C83" s="440" t="str">
        <f ca="1">IF($A83="*","",OFFSET(SUP!$B$57,AS83,0))</f>
        <v>IMPOCR</v>
      </c>
      <c r="D83" s="440" t="str">
        <f t="shared" ca="1" si="7"/>
        <v>-</v>
      </c>
      <c r="E83" s="440" t="str">
        <f t="shared" ca="1" si="7"/>
        <v>-</v>
      </c>
      <c r="F83" s="440" t="str">
        <f t="shared" ca="1" si="7"/>
        <v>-</v>
      </c>
      <c r="G83" s="440" t="str">
        <f t="shared" ca="1" si="7"/>
        <v>ANNUAL</v>
      </c>
      <c r="H83" s="440" t="str">
        <f t="shared" ca="1" si="5"/>
        <v>UP</v>
      </c>
      <c r="I83" s="441">
        <f ca="1">IF(IFERROR(VLOOKUP($C83,SUP!$B$54:$Q$104,MATCH($B83&amp;"-"&amp;I$7,SUP!$B$54:$Q$54,0),FALSE),"")="","",IFERROR(VLOOKUP($C83,SUP!$B$54:$Q$104,MATCH($B83&amp;"-"&amp;I$7,SUP!$B$54:$Q$54,0),FALSE),""))</f>
        <v>0</v>
      </c>
      <c r="J83" s="441">
        <f ca="1">IF(IFERROR(VLOOKUP($C83,SUP!$B$54:$Q$104,MATCH($B83&amp;"-"&amp;J$7,SUP!$B$54:$Q$54,0),FALSE),"")="","",IFERROR(VLOOKUP($C83,SUP!$B$54:$Q$104,MATCH($B83&amp;"-"&amp;J$7,SUP!$B$54:$Q$54,0),FALSE),""))</f>
        <v>941.22622485351599</v>
      </c>
      <c r="K83" s="441" t="str">
        <f ca="1">IF(IFERROR(VLOOKUP($C83,SUP!$B$54:$Q$104,MATCH($B83&amp;"-"&amp;K$7,SUP!$B$54:$Q$54,0),FALSE),"")="","",IFERROR(VLOOKUP($C83,SUP!$B$54:$Q$104,MATCH($B83&amp;"-"&amp;K$7,SUP!$B$54:$Q$54,0),FALSE),""))</f>
        <v/>
      </c>
      <c r="L83" s="441" t="str">
        <f ca="1">IF(IFERROR(VLOOKUP($C83,SUP!$B$54:$Q$104,MATCH($B83&amp;"-"&amp;L$7,SUP!$B$54:$Q$54,0),FALSE),"")="","",IFERROR(VLOOKUP($C83,SUP!$B$54:$Q$104,MATCH($B83&amp;"-"&amp;L$7,SUP!$B$54:$Q$54,0),FALSE),""))</f>
        <v/>
      </c>
      <c r="M83" s="441" t="str">
        <f ca="1">IF(IFERROR(VLOOKUP($C83,SUP!$B$54:$Q$104,MATCH($B83&amp;"-"&amp;M$7,SUP!$B$54:$Q$54,0),FALSE),"")="","",IFERROR(VLOOKUP($C83,SUP!$B$54:$Q$104,MATCH($B83&amp;"-"&amp;M$7,SUP!$B$54:$Q$54,0),FALSE),""))</f>
        <v/>
      </c>
      <c r="N83" s="441" t="str">
        <f ca="1">IF(IFERROR(VLOOKUP($C83,SUP!$B$54:$Q$104,MATCH($B83&amp;"-"&amp;N$7,SUP!$B$54:$Q$54,0),FALSE),"")="","",IFERROR(VLOOKUP($C83,SUP!$B$54:$Q$104,MATCH($B83&amp;"-"&amp;N$7,SUP!$B$54:$Q$54,0),FALSE),""))</f>
        <v/>
      </c>
      <c r="O83" s="441" t="str">
        <f ca="1">IF(IFERROR(VLOOKUP($C83,SUP!$B$54:$Q$104,MATCH($B83&amp;"-"&amp;O$7,SUP!$B$54:$Q$54,0),FALSE),"")="","",IFERROR(VLOOKUP($C83,SUP!$B$54:$Q$104,MATCH($B83&amp;"-"&amp;O$7,SUP!$B$54:$Q$54,0),FALSE),""))</f>
        <v/>
      </c>
      <c r="P83" s="441" t="str">
        <f ca="1">IF(IFERROR(VLOOKUP($C83,SUP!$B$54:$Q$104,MATCH($B83&amp;"-"&amp;P$7,SUP!$B$54:$Q$54,0),FALSE),"")="","",IFERROR(VLOOKUP($C83,SUP!$B$54:$Q$104,MATCH($B83&amp;"-"&amp;P$7,SUP!$B$54:$Q$54,0),FALSE),""))</f>
        <v/>
      </c>
      <c r="Q83" s="441" t="str">
        <f ca="1">IF(IFERROR(VLOOKUP($C83,SUP!$B$54:$Q$104,MATCH($B83&amp;"-"&amp;Q$7,SUP!$B$54:$Q$54,0),FALSE),"")="","",IFERROR(VLOOKUP($C83,SUP!$B$54:$Q$104,MATCH($B83&amp;"-"&amp;Q$7,SUP!$B$54:$Q$54,0),FALSE),""))</f>
        <v/>
      </c>
      <c r="R83" s="441" t="str">
        <f ca="1">IF(IFERROR(VLOOKUP($C83,SUP!$B$54:$Q$104,MATCH($B83&amp;"-"&amp;R$7,SUP!$B$54:$Q$54,0),FALSE),"")="","",IFERROR(VLOOKUP($C83,SUP!$B$54:$Q$104,MATCH($B83&amp;"-"&amp;R$7,SUP!$B$54:$Q$54,0),FALSE),""))</f>
        <v/>
      </c>
      <c r="S83" s="441" t="str">
        <f ca="1">IF(IFERROR(VLOOKUP($C83,SUP!$B$54:$Q$104,MATCH($B83&amp;"-"&amp;S$7,SUP!$B$54:$Q$54,0),FALSE),"")="","",IFERROR(VLOOKUP($C83,SUP!$B$54:$Q$104,MATCH($B83&amp;"-"&amp;S$7,SUP!$B$54:$Q$54,0),FALSE),""))</f>
        <v/>
      </c>
      <c r="T83" s="441" t="str">
        <f ca="1">IF(IFERROR(VLOOKUP($C83,SUP!$B$54:$Q$104,MATCH($B83&amp;"-"&amp;T$7,SUP!$B$54:$Q$54,0),FALSE),"")="","",IFERROR(VLOOKUP($C83,SUP!$B$54:$Q$104,MATCH($B83&amp;"-"&amp;T$7,SUP!$B$54:$Q$54,0),FALSE),""))</f>
        <v/>
      </c>
      <c r="U83" s="441" t="str">
        <f ca="1">IF(IFERROR(VLOOKUP($C83,SUP!$B$54:$Q$104,MATCH($B83&amp;"-"&amp;U$7,SUP!$B$54:$Q$54,0),FALSE),"")="","",IFERROR(VLOOKUP($C83,SUP!$B$54:$Q$104,MATCH($B83&amp;"-"&amp;U$7,SUP!$B$54:$Q$54,0),FALSE),""))</f>
        <v/>
      </c>
      <c r="V83" s="441" t="str">
        <f ca="1">IF(IFERROR(VLOOKUP($C83,SUP!$B$54:$Q$104,MATCH($B83&amp;"-"&amp;V$7,SUP!$B$54:$Q$54,0),FALSE),"")="","",IFERROR(VLOOKUP($C83,SUP!$B$54:$Q$104,MATCH($B83&amp;"-"&amp;V$7,SUP!$B$54:$Q$54,0),FALSE),""))</f>
        <v/>
      </c>
      <c r="W83" s="441" t="str">
        <f ca="1">IF(IFERROR(VLOOKUP($C83,SUP!$B$54:$Q$104,MATCH($B83&amp;"-"&amp;W$7,SUP!$B$54:$Q$54,0),FALSE),"")="","",IFERROR(VLOOKUP($C83,SUP!$B$54:$Q$104,MATCH($B83&amp;"-"&amp;W$7,SUP!$B$54:$Q$54,0),FALSE),""))</f>
        <v/>
      </c>
      <c r="X83" s="441" t="str">
        <f ca="1">IF(IFERROR(VLOOKUP($C83,SUP!$B$54:$Q$104,MATCH($B83&amp;"-"&amp;X$7,SUP!$B$54:$Q$54,0),FALSE),"")="","",IFERROR(VLOOKUP($C83,SUP!$B$54:$Q$104,MATCH($B83&amp;"-"&amp;X$7,SUP!$B$54:$Q$54,0),FALSE),""))</f>
        <v/>
      </c>
      <c r="Y83" s="441" t="str">
        <f ca="1">IF(IFERROR(VLOOKUP($C83,SUP!$B$54:$Q$104,MATCH($B83&amp;"-"&amp;Y$7,SUP!$B$54:$Q$54,0),FALSE),"")="","",IFERROR(VLOOKUP($C83,SUP!$B$54:$Q$104,MATCH($B83&amp;"-"&amp;Y$7,SUP!$B$54:$Q$54,0),FALSE),""))</f>
        <v/>
      </c>
      <c r="Z83" s="441" t="str">
        <f ca="1">IF(IFERROR(VLOOKUP($C83,SUP!$B$54:$Q$104,MATCH($B83&amp;"-"&amp;Z$7,SUP!$B$54:$Q$54,0),FALSE),"")="","",IFERROR(VLOOKUP($C83,SUP!$B$54:$Q$104,MATCH($B83&amp;"-"&amp;Z$7,SUP!$B$54:$Q$54,0),FALSE),""))</f>
        <v/>
      </c>
      <c r="AA83" s="441" t="str">
        <f ca="1">IF(IFERROR(VLOOKUP($C83,SUP!$B$54:$Q$104,MATCH($B83&amp;"-"&amp;AA$7,SUP!$B$54:$Q$54,0),FALSE),"")="","",IFERROR(VLOOKUP($C83,SUP!$B$54:$Q$104,MATCH($B83&amp;"-"&amp;AA$7,SUP!$B$54:$Q$54,0),FALSE),""))</f>
        <v/>
      </c>
      <c r="AB83" s="441" t="str">
        <f ca="1">IF(IFERROR(VLOOKUP($C83,SUP!$B$54:$Q$104,MATCH($B83&amp;"-"&amp;AB$7,SUP!$B$54:$Q$54,0),FALSE),"")="","",IFERROR(VLOOKUP($C83,SUP!$B$54:$Q$104,MATCH($B83&amp;"-"&amp;AB$7,SUP!$B$54:$Q$54,0),FALSE),""))</f>
        <v/>
      </c>
      <c r="AC83" s="441" t="str">
        <f ca="1">IF(IFERROR(VLOOKUP($C83,SUP!$B$54:$Q$104,MATCH($B83&amp;"-"&amp;AC$7,SUP!$B$54:$Q$54,0),FALSE),"")="","",IFERROR(VLOOKUP($C83,SUP!$B$54:$Q$104,MATCH($B83&amp;"-"&amp;AC$7,SUP!$B$54:$Q$54,0),FALSE),""))</f>
        <v/>
      </c>
      <c r="AD83" s="441" t="str">
        <f ca="1">IF(IFERROR(VLOOKUP($C83,SUP!$B$54:$Q$104,MATCH($B83&amp;"-"&amp;AD$7,SUP!$B$54:$Q$54,0),FALSE),"")="","",IFERROR(VLOOKUP($C83,SUP!$B$54:$Q$104,MATCH($B83&amp;"-"&amp;AD$7,SUP!$B$54:$Q$54,0),FALSE),""))</f>
        <v/>
      </c>
      <c r="AE83" s="441" t="str">
        <f ca="1">IF(IFERROR(VLOOKUP($C83,SUP!$B$54:$Q$104,MATCH($B83&amp;"-"&amp;AE$7,SUP!$B$54:$Q$54,0),FALSE),"")="","",IFERROR(VLOOKUP($C83,SUP!$B$54:$Q$104,MATCH($B83&amp;"-"&amp;AE$7,SUP!$B$54:$Q$54,0),FALSE),""))</f>
        <v/>
      </c>
      <c r="AF83" s="441" t="str">
        <f ca="1">IF(IFERROR(VLOOKUP($C83,SUP!$B$54:$Q$104,MATCH($B83&amp;"-"&amp;AF$7,SUP!$B$54:$Q$54,0),FALSE),"")="","",IFERROR(VLOOKUP($C83,SUP!$B$54:$Q$104,MATCH($B83&amp;"-"&amp;AF$7,SUP!$B$54:$Q$54,0),FALSE),""))</f>
        <v/>
      </c>
      <c r="AG83" s="441" t="str">
        <f ca="1">IF(IFERROR(VLOOKUP($C83,SUP!$B$54:$Q$104,MATCH($B83&amp;"-"&amp;AG$7,SUP!$B$54:$Q$54,0),FALSE),"")="","",IFERROR(VLOOKUP($C83,SUP!$B$54:$Q$104,MATCH($B83&amp;"-"&amp;AG$7,SUP!$B$54:$Q$54,0),FALSE),""))</f>
        <v/>
      </c>
      <c r="AH83" s="441" t="str">
        <f ca="1">IF(IFERROR(VLOOKUP($C83,SUP!$B$54:$Q$104,MATCH($B83&amp;"-"&amp;AH$7,SUP!$B$54:$Q$54,0),FALSE),"")="","",IFERROR(VLOOKUP($C83,SUP!$B$54:$Q$104,MATCH($B83&amp;"-"&amp;AH$7,SUP!$B$54:$Q$54,0),FALSE),""))</f>
        <v/>
      </c>
      <c r="AI83" s="441"/>
      <c r="AJ83" s="441"/>
      <c r="AK83" s="441"/>
      <c r="AL83" s="441"/>
      <c r="AM83" s="441" t="str">
        <f ca="1">IF(IFERROR(VLOOKUP($C83,SUP!$B$54:$Q$104,MATCH($B83&amp;"-"&amp;AM$7,SUP!$B$54:$Q$54,0),FALSE),"")="","",IFERROR(VLOOKUP($C83,SUP!$B$54:$Q$104,MATCH($B83&amp;"-"&amp;AM$7,SUP!$B$54:$Q$54,0),FALSE),""))</f>
        <v/>
      </c>
      <c r="AN83" s="441"/>
      <c r="AO83" s="441"/>
      <c r="AR83" s="42">
        <f>IF(AS82=SUP!$B$104,AR82+1,AR82)</f>
        <v>2</v>
      </c>
      <c r="AS83" s="42">
        <f t="shared" si="6"/>
        <v>24</v>
      </c>
    </row>
    <row r="84" spans="1:45">
      <c r="A84" s="42" t="str">
        <f ca="1">IF(LEFT(OFFSET(SUP!$A$57,AS84,0),2)="\I","*","")</f>
        <v/>
      </c>
      <c r="B84" s="440" t="str">
        <f t="shared" ca="1" si="9"/>
        <v>ACT_BND</v>
      </c>
      <c r="C84" s="440" t="str">
        <f ca="1">IF($A84="*","",OFFSET(SUP!$B$57,AS84,0))</f>
        <v>IMPODS</v>
      </c>
      <c r="D84" s="440" t="str">
        <f t="shared" ca="1" si="7"/>
        <v>-</v>
      </c>
      <c r="E84" s="440" t="str">
        <f t="shared" ca="1" si="7"/>
        <v>-</v>
      </c>
      <c r="F84" s="440" t="str">
        <f t="shared" ca="1" si="7"/>
        <v>-</v>
      </c>
      <c r="G84" s="440" t="str">
        <f t="shared" ca="1" si="7"/>
        <v>ANNUAL</v>
      </c>
      <c r="H84" s="440" t="str">
        <f t="shared" ca="1" si="5"/>
        <v>UP</v>
      </c>
      <c r="I84" s="441">
        <f ca="1">IF(IFERROR(VLOOKUP($C84,SUP!$B$54:$Q$104,MATCH($B84&amp;"-"&amp;I$7,SUP!$B$54:$Q$54,0),FALSE),"")="","",IFERROR(VLOOKUP($C84,SUP!$B$54:$Q$104,MATCH($B84&amp;"-"&amp;I$7,SUP!$B$54:$Q$54,0),FALSE),""))</f>
        <v>0</v>
      </c>
      <c r="J84" s="441">
        <f ca="1">IF(IFERROR(VLOOKUP($C84,SUP!$B$54:$Q$104,MATCH($B84&amp;"-"&amp;J$7,SUP!$B$54:$Q$54,0),FALSE),"")="","",IFERROR(VLOOKUP($C84,SUP!$B$54:$Q$104,MATCH($B84&amp;"-"&amp;J$7,SUP!$B$54:$Q$54,0),FALSE),""))</f>
        <v>140.06492</v>
      </c>
      <c r="K84" s="441" t="str">
        <f ca="1">IF(IFERROR(VLOOKUP($C84,SUP!$B$54:$Q$104,MATCH($B84&amp;"-"&amp;K$7,SUP!$B$54:$Q$54,0),FALSE),"")="","",IFERROR(VLOOKUP($C84,SUP!$B$54:$Q$104,MATCH($B84&amp;"-"&amp;K$7,SUP!$B$54:$Q$54,0),FALSE),""))</f>
        <v/>
      </c>
      <c r="L84" s="441" t="str">
        <f ca="1">IF(IFERROR(VLOOKUP($C84,SUP!$B$54:$Q$104,MATCH($B84&amp;"-"&amp;L$7,SUP!$B$54:$Q$54,0),FALSE),"")="","",IFERROR(VLOOKUP($C84,SUP!$B$54:$Q$104,MATCH($B84&amp;"-"&amp;L$7,SUP!$B$54:$Q$54,0),FALSE),""))</f>
        <v/>
      </c>
      <c r="M84" s="441" t="str">
        <f ca="1">IF(IFERROR(VLOOKUP($C84,SUP!$B$54:$Q$104,MATCH($B84&amp;"-"&amp;M$7,SUP!$B$54:$Q$54,0),FALSE),"")="","",IFERROR(VLOOKUP($C84,SUP!$B$54:$Q$104,MATCH($B84&amp;"-"&amp;M$7,SUP!$B$54:$Q$54,0),FALSE),""))</f>
        <v/>
      </c>
      <c r="N84" s="441" t="str">
        <f ca="1">IF(IFERROR(VLOOKUP($C84,SUP!$B$54:$Q$104,MATCH($B84&amp;"-"&amp;N$7,SUP!$B$54:$Q$54,0),FALSE),"")="","",IFERROR(VLOOKUP($C84,SUP!$B$54:$Q$104,MATCH($B84&amp;"-"&amp;N$7,SUP!$B$54:$Q$54,0),FALSE),""))</f>
        <v/>
      </c>
      <c r="O84" s="441" t="str">
        <f ca="1">IF(IFERROR(VLOOKUP($C84,SUP!$B$54:$Q$104,MATCH($B84&amp;"-"&amp;O$7,SUP!$B$54:$Q$54,0),FALSE),"")="","",IFERROR(VLOOKUP($C84,SUP!$B$54:$Q$104,MATCH($B84&amp;"-"&amp;O$7,SUP!$B$54:$Q$54,0),FALSE),""))</f>
        <v/>
      </c>
      <c r="P84" s="441" t="str">
        <f ca="1">IF(IFERROR(VLOOKUP($C84,SUP!$B$54:$Q$104,MATCH($B84&amp;"-"&amp;P$7,SUP!$B$54:$Q$54,0),FALSE),"")="","",IFERROR(VLOOKUP($C84,SUP!$B$54:$Q$104,MATCH($B84&amp;"-"&amp;P$7,SUP!$B$54:$Q$54,0),FALSE),""))</f>
        <v/>
      </c>
      <c r="Q84" s="441" t="str">
        <f ca="1">IF(IFERROR(VLOOKUP($C84,SUP!$B$54:$Q$104,MATCH($B84&amp;"-"&amp;Q$7,SUP!$B$54:$Q$54,0),FALSE),"")="","",IFERROR(VLOOKUP($C84,SUP!$B$54:$Q$104,MATCH($B84&amp;"-"&amp;Q$7,SUP!$B$54:$Q$54,0),FALSE),""))</f>
        <v/>
      </c>
      <c r="R84" s="441" t="str">
        <f ca="1">IF(IFERROR(VLOOKUP($C84,SUP!$B$54:$Q$104,MATCH($B84&amp;"-"&amp;R$7,SUP!$B$54:$Q$54,0),FALSE),"")="","",IFERROR(VLOOKUP($C84,SUP!$B$54:$Q$104,MATCH($B84&amp;"-"&amp;R$7,SUP!$B$54:$Q$54,0),FALSE),""))</f>
        <v/>
      </c>
      <c r="S84" s="441" t="str">
        <f ca="1">IF(IFERROR(VLOOKUP($C84,SUP!$B$54:$Q$104,MATCH($B84&amp;"-"&amp;S$7,SUP!$B$54:$Q$54,0),FALSE),"")="","",IFERROR(VLOOKUP($C84,SUP!$B$54:$Q$104,MATCH($B84&amp;"-"&amp;S$7,SUP!$B$54:$Q$54,0),FALSE),""))</f>
        <v/>
      </c>
      <c r="T84" s="441" t="str">
        <f ca="1">IF(IFERROR(VLOOKUP($C84,SUP!$B$54:$Q$104,MATCH($B84&amp;"-"&amp;T$7,SUP!$B$54:$Q$54,0),FALSE),"")="","",IFERROR(VLOOKUP($C84,SUP!$B$54:$Q$104,MATCH($B84&amp;"-"&amp;T$7,SUP!$B$54:$Q$54,0),FALSE),""))</f>
        <v/>
      </c>
      <c r="U84" s="441" t="str">
        <f ca="1">IF(IFERROR(VLOOKUP($C84,SUP!$B$54:$Q$104,MATCH($B84&amp;"-"&amp;U$7,SUP!$B$54:$Q$54,0),FALSE),"")="","",IFERROR(VLOOKUP($C84,SUP!$B$54:$Q$104,MATCH($B84&amp;"-"&amp;U$7,SUP!$B$54:$Q$54,0),FALSE),""))</f>
        <v/>
      </c>
      <c r="V84" s="441" t="str">
        <f ca="1">IF(IFERROR(VLOOKUP($C84,SUP!$B$54:$Q$104,MATCH($B84&amp;"-"&amp;V$7,SUP!$B$54:$Q$54,0),FALSE),"")="","",IFERROR(VLOOKUP($C84,SUP!$B$54:$Q$104,MATCH($B84&amp;"-"&amp;V$7,SUP!$B$54:$Q$54,0),FALSE),""))</f>
        <v/>
      </c>
      <c r="W84" s="441" t="str">
        <f ca="1">IF(IFERROR(VLOOKUP($C84,SUP!$B$54:$Q$104,MATCH($B84&amp;"-"&amp;W$7,SUP!$B$54:$Q$54,0),FALSE),"")="","",IFERROR(VLOOKUP($C84,SUP!$B$54:$Q$104,MATCH($B84&amp;"-"&amp;W$7,SUP!$B$54:$Q$54,0),FALSE),""))</f>
        <v/>
      </c>
      <c r="X84" s="441" t="str">
        <f ca="1">IF(IFERROR(VLOOKUP($C84,SUP!$B$54:$Q$104,MATCH($B84&amp;"-"&amp;X$7,SUP!$B$54:$Q$54,0),FALSE),"")="","",IFERROR(VLOOKUP($C84,SUP!$B$54:$Q$104,MATCH($B84&amp;"-"&amp;X$7,SUP!$B$54:$Q$54,0),FALSE),""))</f>
        <v/>
      </c>
      <c r="Y84" s="441" t="str">
        <f ca="1">IF(IFERROR(VLOOKUP($C84,SUP!$B$54:$Q$104,MATCH($B84&amp;"-"&amp;Y$7,SUP!$B$54:$Q$54,0),FALSE),"")="","",IFERROR(VLOOKUP($C84,SUP!$B$54:$Q$104,MATCH($B84&amp;"-"&amp;Y$7,SUP!$B$54:$Q$54,0),FALSE),""))</f>
        <v/>
      </c>
      <c r="Z84" s="441" t="str">
        <f ca="1">IF(IFERROR(VLOOKUP($C84,SUP!$B$54:$Q$104,MATCH($B84&amp;"-"&amp;Z$7,SUP!$B$54:$Q$54,0),FALSE),"")="","",IFERROR(VLOOKUP($C84,SUP!$B$54:$Q$104,MATCH($B84&amp;"-"&amp;Z$7,SUP!$B$54:$Q$54,0),FALSE),""))</f>
        <v/>
      </c>
      <c r="AA84" s="441" t="str">
        <f ca="1">IF(IFERROR(VLOOKUP($C84,SUP!$B$54:$Q$104,MATCH($B84&amp;"-"&amp;AA$7,SUP!$B$54:$Q$54,0),FALSE),"")="","",IFERROR(VLOOKUP($C84,SUP!$B$54:$Q$104,MATCH($B84&amp;"-"&amp;AA$7,SUP!$B$54:$Q$54,0),FALSE),""))</f>
        <v/>
      </c>
      <c r="AB84" s="441" t="str">
        <f ca="1">IF(IFERROR(VLOOKUP($C84,SUP!$B$54:$Q$104,MATCH($B84&amp;"-"&amp;AB$7,SUP!$B$54:$Q$54,0),FALSE),"")="","",IFERROR(VLOOKUP($C84,SUP!$B$54:$Q$104,MATCH($B84&amp;"-"&amp;AB$7,SUP!$B$54:$Q$54,0),FALSE),""))</f>
        <v/>
      </c>
      <c r="AC84" s="441" t="str">
        <f ca="1">IF(IFERROR(VLOOKUP($C84,SUP!$B$54:$Q$104,MATCH($B84&amp;"-"&amp;AC$7,SUP!$B$54:$Q$54,0),FALSE),"")="","",IFERROR(VLOOKUP($C84,SUP!$B$54:$Q$104,MATCH($B84&amp;"-"&amp;AC$7,SUP!$B$54:$Q$54,0),FALSE),""))</f>
        <v/>
      </c>
      <c r="AD84" s="441" t="str">
        <f ca="1">IF(IFERROR(VLOOKUP($C84,SUP!$B$54:$Q$104,MATCH($B84&amp;"-"&amp;AD$7,SUP!$B$54:$Q$54,0),FALSE),"")="","",IFERROR(VLOOKUP($C84,SUP!$B$54:$Q$104,MATCH($B84&amp;"-"&amp;AD$7,SUP!$B$54:$Q$54,0),FALSE),""))</f>
        <v/>
      </c>
      <c r="AE84" s="441" t="str">
        <f ca="1">IF(IFERROR(VLOOKUP($C84,SUP!$B$54:$Q$104,MATCH($B84&amp;"-"&amp;AE$7,SUP!$B$54:$Q$54,0),FALSE),"")="","",IFERROR(VLOOKUP($C84,SUP!$B$54:$Q$104,MATCH($B84&amp;"-"&amp;AE$7,SUP!$B$54:$Q$54,0),FALSE),""))</f>
        <v/>
      </c>
      <c r="AF84" s="441" t="str">
        <f ca="1">IF(IFERROR(VLOOKUP($C84,SUP!$B$54:$Q$104,MATCH($B84&amp;"-"&amp;AF$7,SUP!$B$54:$Q$54,0),FALSE),"")="","",IFERROR(VLOOKUP($C84,SUP!$B$54:$Q$104,MATCH($B84&amp;"-"&amp;AF$7,SUP!$B$54:$Q$54,0),FALSE),""))</f>
        <v/>
      </c>
      <c r="AG84" s="441" t="str">
        <f ca="1">IF(IFERROR(VLOOKUP($C84,SUP!$B$54:$Q$104,MATCH($B84&amp;"-"&amp;AG$7,SUP!$B$54:$Q$54,0),FALSE),"")="","",IFERROR(VLOOKUP($C84,SUP!$B$54:$Q$104,MATCH($B84&amp;"-"&amp;AG$7,SUP!$B$54:$Q$54,0),FALSE),""))</f>
        <v/>
      </c>
      <c r="AH84" s="441" t="str">
        <f ca="1">IF(IFERROR(VLOOKUP($C84,SUP!$B$54:$Q$104,MATCH($B84&amp;"-"&amp;AH$7,SUP!$B$54:$Q$54,0),FALSE),"")="","",IFERROR(VLOOKUP($C84,SUP!$B$54:$Q$104,MATCH($B84&amp;"-"&amp;AH$7,SUP!$B$54:$Q$54,0),FALSE),""))</f>
        <v/>
      </c>
      <c r="AI84" s="441"/>
      <c r="AJ84" s="441"/>
      <c r="AK84" s="441"/>
      <c r="AL84" s="441"/>
      <c r="AM84" s="441" t="str">
        <f ca="1">IF(IFERROR(VLOOKUP($C84,SUP!$B$54:$Q$104,MATCH($B84&amp;"-"&amp;AM$7,SUP!$B$54:$Q$54,0),FALSE),"")="","",IFERROR(VLOOKUP($C84,SUP!$B$54:$Q$104,MATCH($B84&amp;"-"&amp;AM$7,SUP!$B$54:$Q$54,0),FALSE),""))</f>
        <v/>
      </c>
      <c r="AN84" s="441"/>
      <c r="AO84" s="441"/>
      <c r="AR84" s="42">
        <f>IF(AS83=SUP!$B$104,AR83+1,AR83)</f>
        <v>2</v>
      </c>
      <c r="AS84" s="42">
        <f t="shared" si="6"/>
        <v>25</v>
      </c>
    </row>
    <row r="85" spans="1:45">
      <c r="A85" s="42" t="str">
        <f ca="1">IF(LEFT(OFFSET(SUP!$A$57,AS85,0),2)="\I","*","")</f>
        <v/>
      </c>
      <c r="B85" s="440" t="str">
        <f t="shared" ca="1" si="9"/>
        <v>ACT_BND</v>
      </c>
      <c r="C85" s="440" t="str">
        <f ca="1">IF($A85="*","",OFFSET(SUP!$B$57,AS85,0))</f>
        <v>IMPOGS</v>
      </c>
      <c r="D85" s="440" t="str">
        <f t="shared" ca="1" si="7"/>
        <v>-</v>
      </c>
      <c r="E85" s="440" t="str">
        <f t="shared" ca="1" si="7"/>
        <v>-</v>
      </c>
      <c r="F85" s="440" t="str">
        <f t="shared" ca="1" si="7"/>
        <v>-</v>
      </c>
      <c r="G85" s="440" t="str">
        <f t="shared" ca="1" si="7"/>
        <v>ANNUAL</v>
      </c>
      <c r="H85" s="440" t="str">
        <f t="shared" ca="1" si="5"/>
        <v>UP</v>
      </c>
      <c r="I85" s="441">
        <f ca="1">IF(IFERROR(VLOOKUP($C85,SUP!$B$54:$Q$104,MATCH($B85&amp;"-"&amp;I$7,SUP!$B$54:$Q$54,0),FALSE),"")="","",IFERROR(VLOOKUP($C85,SUP!$B$54:$Q$104,MATCH($B85&amp;"-"&amp;I$7,SUP!$B$54:$Q$54,0),FALSE),""))</f>
        <v>0</v>
      </c>
      <c r="J85" s="441">
        <f ca="1">IF(IFERROR(VLOOKUP($C85,SUP!$B$54:$Q$104,MATCH($B85&amp;"-"&amp;J$7,SUP!$B$54:$Q$54,0),FALSE),"")="","",IFERROR(VLOOKUP($C85,SUP!$B$54:$Q$104,MATCH($B85&amp;"-"&amp;J$7,SUP!$B$54:$Q$54,0),FALSE),""))</f>
        <v>63.331960000000002</v>
      </c>
      <c r="K85" s="441" t="str">
        <f ca="1">IF(IFERROR(VLOOKUP($C85,SUP!$B$54:$Q$104,MATCH($B85&amp;"-"&amp;K$7,SUP!$B$54:$Q$54,0),FALSE),"")="","",IFERROR(VLOOKUP($C85,SUP!$B$54:$Q$104,MATCH($B85&amp;"-"&amp;K$7,SUP!$B$54:$Q$54,0),FALSE),""))</f>
        <v/>
      </c>
      <c r="L85" s="441" t="str">
        <f ca="1">IF(IFERROR(VLOOKUP($C85,SUP!$B$54:$Q$104,MATCH($B85&amp;"-"&amp;L$7,SUP!$B$54:$Q$54,0),FALSE),"")="","",IFERROR(VLOOKUP($C85,SUP!$B$54:$Q$104,MATCH($B85&amp;"-"&amp;L$7,SUP!$B$54:$Q$54,0),FALSE),""))</f>
        <v/>
      </c>
      <c r="M85" s="441" t="str">
        <f ca="1">IF(IFERROR(VLOOKUP($C85,SUP!$B$54:$Q$104,MATCH($B85&amp;"-"&amp;M$7,SUP!$B$54:$Q$54,0),FALSE),"")="","",IFERROR(VLOOKUP($C85,SUP!$B$54:$Q$104,MATCH($B85&amp;"-"&amp;M$7,SUP!$B$54:$Q$54,0),FALSE),""))</f>
        <v/>
      </c>
      <c r="N85" s="441" t="str">
        <f ca="1">IF(IFERROR(VLOOKUP($C85,SUP!$B$54:$Q$104,MATCH($B85&amp;"-"&amp;N$7,SUP!$B$54:$Q$54,0),FALSE),"")="","",IFERROR(VLOOKUP($C85,SUP!$B$54:$Q$104,MATCH($B85&amp;"-"&amp;N$7,SUP!$B$54:$Q$54,0),FALSE),""))</f>
        <v/>
      </c>
      <c r="O85" s="441" t="str">
        <f ca="1">IF(IFERROR(VLOOKUP($C85,SUP!$B$54:$Q$104,MATCH($B85&amp;"-"&amp;O$7,SUP!$B$54:$Q$54,0),FALSE),"")="","",IFERROR(VLOOKUP($C85,SUP!$B$54:$Q$104,MATCH($B85&amp;"-"&amp;O$7,SUP!$B$54:$Q$54,0),FALSE),""))</f>
        <v/>
      </c>
      <c r="P85" s="441" t="str">
        <f ca="1">IF(IFERROR(VLOOKUP($C85,SUP!$B$54:$Q$104,MATCH($B85&amp;"-"&amp;P$7,SUP!$B$54:$Q$54,0),FALSE),"")="","",IFERROR(VLOOKUP($C85,SUP!$B$54:$Q$104,MATCH($B85&amp;"-"&amp;P$7,SUP!$B$54:$Q$54,0),FALSE),""))</f>
        <v/>
      </c>
      <c r="Q85" s="441" t="str">
        <f ca="1">IF(IFERROR(VLOOKUP($C85,SUP!$B$54:$Q$104,MATCH($B85&amp;"-"&amp;Q$7,SUP!$B$54:$Q$54,0),FALSE),"")="","",IFERROR(VLOOKUP($C85,SUP!$B$54:$Q$104,MATCH($B85&amp;"-"&amp;Q$7,SUP!$B$54:$Q$54,0),FALSE),""))</f>
        <v/>
      </c>
      <c r="R85" s="441" t="str">
        <f ca="1">IF(IFERROR(VLOOKUP($C85,SUP!$B$54:$Q$104,MATCH($B85&amp;"-"&amp;R$7,SUP!$B$54:$Q$54,0),FALSE),"")="","",IFERROR(VLOOKUP($C85,SUP!$B$54:$Q$104,MATCH($B85&amp;"-"&amp;R$7,SUP!$B$54:$Q$54,0),FALSE),""))</f>
        <v/>
      </c>
      <c r="S85" s="441" t="str">
        <f ca="1">IF(IFERROR(VLOOKUP($C85,SUP!$B$54:$Q$104,MATCH($B85&amp;"-"&amp;S$7,SUP!$B$54:$Q$54,0),FALSE),"")="","",IFERROR(VLOOKUP($C85,SUP!$B$54:$Q$104,MATCH($B85&amp;"-"&amp;S$7,SUP!$B$54:$Q$54,0),FALSE),""))</f>
        <v/>
      </c>
      <c r="T85" s="441" t="str">
        <f ca="1">IF(IFERROR(VLOOKUP($C85,SUP!$B$54:$Q$104,MATCH($B85&amp;"-"&amp;T$7,SUP!$B$54:$Q$54,0),FALSE),"")="","",IFERROR(VLOOKUP($C85,SUP!$B$54:$Q$104,MATCH($B85&amp;"-"&amp;T$7,SUP!$B$54:$Q$54,0),FALSE),""))</f>
        <v/>
      </c>
      <c r="U85" s="441" t="str">
        <f ca="1">IF(IFERROR(VLOOKUP($C85,SUP!$B$54:$Q$104,MATCH($B85&amp;"-"&amp;U$7,SUP!$B$54:$Q$54,0),FALSE),"")="","",IFERROR(VLOOKUP($C85,SUP!$B$54:$Q$104,MATCH($B85&amp;"-"&amp;U$7,SUP!$B$54:$Q$54,0),FALSE),""))</f>
        <v/>
      </c>
      <c r="V85" s="441" t="str">
        <f ca="1">IF(IFERROR(VLOOKUP($C85,SUP!$B$54:$Q$104,MATCH($B85&amp;"-"&amp;V$7,SUP!$B$54:$Q$54,0),FALSE),"")="","",IFERROR(VLOOKUP($C85,SUP!$B$54:$Q$104,MATCH($B85&amp;"-"&amp;V$7,SUP!$B$54:$Q$54,0),FALSE),""))</f>
        <v/>
      </c>
      <c r="W85" s="441" t="str">
        <f ca="1">IF(IFERROR(VLOOKUP($C85,SUP!$B$54:$Q$104,MATCH($B85&amp;"-"&amp;W$7,SUP!$B$54:$Q$54,0),FALSE),"")="","",IFERROR(VLOOKUP($C85,SUP!$B$54:$Q$104,MATCH($B85&amp;"-"&amp;W$7,SUP!$B$54:$Q$54,0),FALSE),""))</f>
        <v/>
      </c>
      <c r="X85" s="441" t="str">
        <f ca="1">IF(IFERROR(VLOOKUP($C85,SUP!$B$54:$Q$104,MATCH($B85&amp;"-"&amp;X$7,SUP!$B$54:$Q$54,0),FALSE),"")="","",IFERROR(VLOOKUP($C85,SUP!$B$54:$Q$104,MATCH($B85&amp;"-"&amp;X$7,SUP!$B$54:$Q$54,0),FALSE),""))</f>
        <v/>
      </c>
      <c r="Y85" s="441" t="str">
        <f ca="1">IF(IFERROR(VLOOKUP($C85,SUP!$B$54:$Q$104,MATCH($B85&amp;"-"&amp;Y$7,SUP!$B$54:$Q$54,0),FALSE),"")="","",IFERROR(VLOOKUP($C85,SUP!$B$54:$Q$104,MATCH($B85&amp;"-"&amp;Y$7,SUP!$B$54:$Q$54,0),FALSE),""))</f>
        <v/>
      </c>
      <c r="Z85" s="441" t="str">
        <f ca="1">IF(IFERROR(VLOOKUP($C85,SUP!$B$54:$Q$104,MATCH($B85&amp;"-"&amp;Z$7,SUP!$B$54:$Q$54,0),FALSE),"")="","",IFERROR(VLOOKUP($C85,SUP!$B$54:$Q$104,MATCH($B85&amp;"-"&amp;Z$7,SUP!$B$54:$Q$54,0),FALSE),""))</f>
        <v/>
      </c>
      <c r="AA85" s="441" t="str">
        <f ca="1">IF(IFERROR(VLOOKUP($C85,SUP!$B$54:$Q$104,MATCH($B85&amp;"-"&amp;AA$7,SUP!$B$54:$Q$54,0),FALSE),"")="","",IFERROR(VLOOKUP($C85,SUP!$B$54:$Q$104,MATCH($B85&amp;"-"&amp;AA$7,SUP!$B$54:$Q$54,0),FALSE),""))</f>
        <v/>
      </c>
      <c r="AB85" s="441" t="str">
        <f ca="1">IF(IFERROR(VLOOKUP($C85,SUP!$B$54:$Q$104,MATCH($B85&amp;"-"&amp;AB$7,SUP!$B$54:$Q$54,0),FALSE),"")="","",IFERROR(VLOOKUP($C85,SUP!$B$54:$Q$104,MATCH($B85&amp;"-"&amp;AB$7,SUP!$B$54:$Q$54,0),FALSE),""))</f>
        <v/>
      </c>
      <c r="AC85" s="441" t="str">
        <f ca="1">IF(IFERROR(VLOOKUP($C85,SUP!$B$54:$Q$104,MATCH($B85&amp;"-"&amp;AC$7,SUP!$B$54:$Q$54,0),FALSE),"")="","",IFERROR(VLOOKUP($C85,SUP!$B$54:$Q$104,MATCH($B85&amp;"-"&amp;AC$7,SUP!$B$54:$Q$54,0),FALSE),""))</f>
        <v/>
      </c>
      <c r="AD85" s="441" t="str">
        <f ca="1">IF(IFERROR(VLOOKUP($C85,SUP!$B$54:$Q$104,MATCH($B85&amp;"-"&amp;AD$7,SUP!$B$54:$Q$54,0),FALSE),"")="","",IFERROR(VLOOKUP($C85,SUP!$B$54:$Q$104,MATCH($B85&amp;"-"&amp;AD$7,SUP!$B$54:$Q$54,0),FALSE),""))</f>
        <v/>
      </c>
      <c r="AE85" s="441" t="str">
        <f ca="1">IF(IFERROR(VLOOKUP($C85,SUP!$B$54:$Q$104,MATCH($B85&amp;"-"&amp;AE$7,SUP!$B$54:$Q$54,0),FALSE),"")="","",IFERROR(VLOOKUP($C85,SUP!$B$54:$Q$104,MATCH($B85&amp;"-"&amp;AE$7,SUP!$B$54:$Q$54,0),FALSE),""))</f>
        <v/>
      </c>
      <c r="AF85" s="441" t="str">
        <f ca="1">IF(IFERROR(VLOOKUP($C85,SUP!$B$54:$Q$104,MATCH($B85&amp;"-"&amp;AF$7,SUP!$B$54:$Q$54,0),FALSE),"")="","",IFERROR(VLOOKUP($C85,SUP!$B$54:$Q$104,MATCH($B85&amp;"-"&amp;AF$7,SUP!$B$54:$Q$54,0),FALSE),""))</f>
        <v/>
      </c>
      <c r="AG85" s="441" t="str">
        <f ca="1">IF(IFERROR(VLOOKUP($C85,SUP!$B$54:$Q$104,MATCH($B85&amp;"-"&amp;AG$7,SUP!$B$54:$Q$54,0),FALSE),"")="","",IFERROR(VLOOKUP($C85,SUP!$B$54:$Q$104,MATCH($B85&amp;"-"&amp;AG$7,SUP!$B$54:$Q$54,0),FALSE),""))</f>
        <v/>
      </c>
      <c r="AH85" s="441" t="str">
        <f ca="1">IF(IFERROR(VLOOKUP($C85,SUP!$B$54:$Q$104,MATCH($B85&amp;"-"&amp;AH$7,SUP!$B$54:$Q$54,0),FALSE),"")="","",IFERROR(VLOOKUP($C85,SUP!$B$54:$Q$104,MATCH($B85&amp;"-"&amp;AH$7,SUP!$B$54:$Q$54,0),FALSE),""))</f>
        <v/>
      </c>
      <c r="AI85" s="441"/>
      <c r="AJ85" s="441"/>
      <c r="AK85" s="441"/>
      <c r="AL85" s="441"/>
      <c r="AM85" s="441" t="str">
        <f ca="1">IF(IFERROR(VLOOKUP($C85,SUP!$B$54:$Q$104,MATCH($B85&amp;"-"&amp;AM$7,SUP!$B$54:$Q$54,0),FALSE),"")="","",IFERROR(VLOOKUP($C85,SUP!$B$54:$Q$104,MATCH($B85&amp;"-"&amp;AM$7,SUP!$B$54:$Q$54,0),FALSE),""))</f>
        <v/>
      </c>
      <c r="AN85" s="441"/>
      <c r="AO85" s="441"/>
      <c r="AR85" s="42">
        <f>IF(AS84=SUP!$B$104,AR84+1,AR84)</f>
        <v>2</v>
      </c>
      <c r="AS85" s="42">
        <f t="shared" si="6"/>
        <v>26</v>
      </c>
    </row>
    <row r="86" spans="1:45">
      <c r="A86" s="42" t="str">
        <f ca="1">IF(LEFT(OFFSET(SUP!$A$57,AS86,0),2)="\I","*","")</f>
        <v/>
      </c>
      <c r="B86" s="440" t="str">
        <f t="shared" ca="1" si="9"/>
        <v>ACT_BND</v>
      </c>
      <c r="C86" s="440" t="str">
        <f ca="1">IF($A86="*","",OFFSET(SUP!$B$57,AS86,0))</f>
        <v>IMPOHF</v>
      </c>
      <c r="D86" s="440" t="str">
        <f t="shared" ca="1" si="7"/>
        <v>-</v>
      </c>
      <c r="E86" s="440" t="str">
        <f t="shared" ca="1" si="7"/>
        <v>-</v>
      </c>
      <c r="F86" s="440" t="str">
        <f t="shared" ca="1" si="7"/>
        <v>-</v>
      </c>
      <c r="G86" s="440" t="str">
        <f t="shared" ca="1" si="7"/>
        <v>ANNUAL</v>
      </c>
      <c r="H86" s="440" t="str">
        <f t="shared" ca="1" si="5"/>
        <v>UP</v>
      </c>
      <c r="I86" s="441">
        <f ca="1">IF(IFERROR(VLOOKUP($C86,SUP!$B$54:$Q$104,MATCH($B86&amp;"-"&amp;I$7,SUP!$B$54:$Q$54,0),FALSE),"")="","",IFERROR(VLOOKUP($C86,SUP!$B$54:$Q$104,MATCH($B86&amp;"-"&amp;I$7,SUP!$B$54:$Q$54,0),FALSE),""))</f>
        <v>0</v>
      </c>
      <c r="J86" s="441">
        <f ca="1">IF(IFERROR(VLOOKUP($C86,SUP!$B$54:$Q$104,MATCH($B86&amp;"-"&amp;J$7,SUP!$B$54:$Q$54,0),FALSE),"")="","",IFERROR(VLOOKUP($C86,SUP!$B$54:$Q$104,MATCH($B86&amp;"-"&amp;J$7,SUP!$B$54:$Q$54,0),FALSE),""))</f>
        <v>4.206396917894736</v>
      </c>
      <c r="K86" s="441" t="str">
        <f ca="1">IF(IFERROR(VLOOKUP($C86,SUP!$B$54:$Q$104,MATCH($B86&amp;"-"&amp;K$7,SUP!$B$54:$Q$54,0),FALSE),"")="","",IFERROR(VLOOKUP($C86,SUP!$B$54:$Q$104,MATCH($B86&amp;"-"&amp;K$7,SUP!$B$54:$Q$54,0),FALSE),""))</f>
        <v/>
      </c>
      <c r="L86" s="441" t="str">
        <f ca="1">IF(IFERROR(VLOOKUP($C86,SUP!$B$54:$Q$104,MATCH($B86&amp;"-"&amp;L$7,SUP!$B$54:$Q$54,0),FALSE),"")="","",IFERROR(VLOOKUP($C86,SUP!$B$54:$Q$104,MATCH($B86&amp;"-"&amp;L$7,SUP!$B$54:$Q$54,0),FALSE),""))</f>
        <v/>
      </c>
      <c r="M86" s="441" t="str">
        <f ca="1">IF(IFERROR(VLOOKUP($C86,SUP!$B$54:$Q$104,MATCH($B86&amp;"-"&amp;M$7,SUP!$B$54:$Q$54,0),FALSE),"")="","",IFERROR(VLOOKUP($C86,SUP!$B$54:$Q$104,MATCH($B86&amp;"-"&amp;M$7,SUP!$B$54:$Q$54,0),FALSE),""))</f>
        <v/>
      </c>
      <c r="N86" s="441" t="str">
        <f ca="1">IF(IFERROR(VLOOKUP($C86,SUP!$B$54:$Q$104,MATCH($B86&amp;"-"&amp;N$7,SUP!$B$54:$Q$54,0),FALSE),"")="","",IFERROR(VLOOKUP($C86,SUP!$B$54:$Q$104,MATCH($B86&amp;"-"&amp;N$7,SUP!$B$54:$Q$54,0),FALSE),""))</f>
        <v/>
      </c>
      <c r="O86" s="441" t="str">
        <f ca="1">IF(IFERROR(VLOOKUP($C86,SUP!$B$54:$Q$104,MATCH($B86&amp;"-"&amp;O$7,SUP!$B$54:$Q$54,0),FALSE),"")="","",IFERROR(VLOOKUP($C86,SUP!$B$54:$Q$104,MATCH($B86&amp;"-"&amp;O$7,SUP!$B$54:$Q$54,0),FALSE),""))</f>
        <v/>
      </c>
      <c r="P86" s="441" t="str">
        <f ca="1">IF(IFERROR(VLOOKUP($C86,SUP!$B$54:$Q$104,MATCH($B86&amp;"-"&amp;P$7,SUP!$B$54:$Q$54,0),FALSE),"")="","",IFERROR(VLOOKUP($C86,SUP!$B$54:$Q$104,MATCH($B86&amp;"-"&amp;P$7,SUP!$B$54:$Q$54,0),FALSE),""))</f>
        <v/>
      </c>
      <c r="Q86" s="441" t="str">
        <f ca="1">IF(IFERROR(VLOOKUP($C86,SUP!$B$54:$Q$104,MATCH($B86&amp;"-"&amp;Q$7,SUP!$B$54:$Q$54,0),FALSE),"")="","",IFERROR(VLOOKUP($C86,SUP!$B$54:$Q$104,MATCH($B86&amp;"-"&amp;Q$7,SUP!$B$54:$Q$54,0),FALSE),""))</f>
        <v/>
      </c>
      <c r="R86" s="441" t="str">
        <f ca="1">IF(IFERROR(VLOOKUP($C86,SUP!$B$54:$Q$104,MATCH($B86&amp;"-"&amp;R$7,SUP!$B$54:$Q$54,0),FALSE),"")="","",IFERROR(VLOOKUP($C86,SUP!$B$54:$Q$104,MATCH($B86&amp;"-"&amp;R$7,SUP!$B$54:$Q$54,0),FALSE),""))</f>
        <v/>
      </c>
      <c r="S86" s="441" t="str">
        <f ca="1">IF(IFERROR(VLOOKUP($C86,SUP!$B$54:$Q$104,MATCH($B86&amp;"-"&amp;S$7,SUP!$B$54:$Q$54,0),FALSE),"")="","",IFERROR(VLOOKUP($C86,SUP!$B$54:$Q$104,MATCH($B86&amp;"-"&amp;S$7,SUP!$B$54:$Q$54,0),FALSE),""))</f>
        <v/>
      </c>
      <c r="T86" s="441" t="str">
        <f ca="1">IF(IFERROR(VLOOKUP($C86,SUP!$B$54:$Q$104,MATCH($B86&amp;"-"&amp;T$7,SUP!$B$54:$Q$54,0),FALSE),"")="","",IFERROR(VLOOKUP($C86,SUP!$B$54:$Q$104,MATCH($B86&amp;"-"&amp;T$7,SUP!$B$54:$Q$54,0),FALSE),""))</f>
        <v/>
      </c>
      <c r="U86" s="441" t="str">
        <f ca="1">IF(IFERROR(VLOOKUP($C86,SUP!$B$54:$Q$104,MATCH($B86&amp;"-"&amp;U$7,SUP!$B$54:$Q$54,0),FALSE),"")="","",IFERROR(VLOOKUP($C86,SUP!$B$54:$Q$104,MATCH($B86&amp;"-"&amp;U$7,SUP!$B$54:$Q$54,0),FALSE),""))</f>
        <v/>
      </c>
      <c r="V86" s="441" t="str">
        <f ca="1">IF(IFERROR(VLOOKUP($C86,SUP!$B$54:$Q$104,MATCH($B86&amp;"-"&amp;V$7,SUP!$B$54:$Q$54,0),FALSE),"")="","",IFERROR(VLOOKUP($C86,SUP!$B$54:$Q$104,MATCH($B86&amp;"-"&amp;V$7,SUP!$B$54:$Q$54,0),FALSE),""))</f>
        <v/>
      </c>
      <c r="W86" s="441" t="str">
        <f ca="1">IF(IFERROR(VLOOKUP($C86,SUP!$B$54:$Q$104,MATCH($B86&amp;"-"&amp;W$7,SUP!$B$54:$Q$54,0),FALSE),"")="","",IFERROR(VLOOKUP($C86,SUP!$B$54:$Q$104,MATCH($B86&amp;"-"&amp;W$7,SUP!$B$54:$Q$54,0),FALSE),""))</f>
        <v/>
      </c>
      <c r="X86" s="441" t="str">
        <f ca="1">IF(IFERROR(VLOOKUP($C86,SUP!$B$54:$Q$104,MATCH($B86&amp;"-"&amp;X$7,SUP!$B$54:$Q$54,0),FALSE),"")="","",IFERROR(VLOOKUP($C86,SUP!$B$54:$Q$104,MATCH($B86&amp;"-"&amp;X$7,SUP!$B$54:$Q$54,0),FALSE),""))</f>
        <v/>
      </c>
      <c r="Y86" s="441" t="str">
        <f ca="1">IF(IFERROR(VLOOKUP($C86,SUP!$B$54:$Q$104,MATCH($B86&amp;"-"&amp;Y$7,SUP!$B$54:$Q$54,0),FALSE),"")="","",IFERROR(VLOOKUP($C86,SUP!$B$54:$Q$104,MATCH($B86&amp;"-"&amp;Y$7,SUP!$B$54:$Q$54,0),FALSE),""))</f>
        <v/>
      </c>
      <c r="Z86" s="441" t="str">
        <f ca="1">IF(IFERROR(VLOOKUP($C86,SUP!$B$54:$Q$104,MATCH($B86&amp;"-"&amp;Z$7,SUP!$B$54:$Q$54,0),FALSE),"")="","",IFERROR(VLOOKUP($C86,SUP!$B$54:$Q$104,MATCH($B86&amp;"-"&amp;Z$7,SUP!$B$54:$Q$54,0),FALSE),""))</f>
        <v/>
      </c>
      <c r="AA86" s="441" t="str">
        <f ca="1">IF(IFERROR(VLOOKUP($C86,SUP!$B$54:$Q$104,MATCH($B86&amp;"-"&amp;AA$7,SUP!$B$54:$Q$54,0),FALSE),"")="","",IFERROR(VLOOKUP($C86,SUP!$B$54:$Q$104,MATCH($B86&amp;"-"&amp;AA$7,SUP!$B$54:$Q$54,0),FALSE),""))</f>
        <v/>
      </c>
      <c r="AB86" s="441" t="str">
        <f ca="1">IF(IFERROR(VLOOKUP($C86,SUP!$B$54:$Q$104,MATCH($B86&amp;"-"&amp;AB$7,SUP!$B$54:$Q$54,0),FALSE),"")="","",IFERROR(VLOOKUP($C86,SUP!$B$54:$Q$104,MATCH($B86&amp;"-"&amp;AB$7,SUP!$B$54:$Q$54,0),FALSE),""))</f>
        <v/>
      </c>
      <c r="AC86" s="441" t="str">
        <f ca="1">IF(IFERROR(VLOOKUP($C86,SUP!$B$54:$Q$104,MATCH($B86&amp;"-"&amp;AC$7,SUP!$B$54:$Q$54,0),FALSE),"")="","",IFERROR(VLOOKUP($C86,SUP!$B$54:$Q$104,MATCH($B86&amp;"-"&amp;AC$7,SUP!$B$54:$Q$54,0),FALSE),""))</f>
        <v/>
      </c>
      <c r="AD86" s="441" t="str">
        <f ca="1">IF(IFERROR(VLOOKUP($C86,SUP!$B$54:$Q$104,MATCH($B86&amp;"-"&amp;AD$7,SUP!$B$54:$Q$54,0),FALSE),"")="","",IFERROR(VLOOKUP($C86,SUP!$B$54:$Q$104,MATCH($B86&amp;"-"&amp;AD$7,SUP!$B$54:$Q$54,0),FALSE),""))</f>
        <v/>
      </c>
      <c r="AE86" s="441" t="str">
        <f ca="1">IF(IFERROR(VLOOKUP($C86,SUP!$B$54:$Q$104,MATCH($B86&amp;"-"&amp;AE$7,SUP!$B$54:$Q$54,0),FALSE),"")="","",IFERROR(VLOOKUP($C86,SUP!$B$54:$Q$104,MATCH($B86&amp;"-"&amp;AE$7,SUP!$B$54:$Q$54,0),FALSE),""))</f>
        <v/>
      </c>
      <c r="AF86" s="441" t="str">
        <f ca="1">IF(IFERROR(VLOOKUP($C86,SUP!$B$54:$Q$104,MATCH($B86&amp;"-"&amp;AF$7,SUP!$B$54:$Q$54,0),FALSE),"")="","",IFERROR(VLOOKUP($C86,SUP!$B$54:$Q$104,MATCH($B86&amp;"-"&amp;AF$7,SUP!$B$54:$Q$54,0),FALSE),""))</f>
        <v/>
      </c>
      <c r="AG86" s="441" t="str">
        <f ca="1">IF(IFERROR(VLOOKUP($C86,SUP!$B$54:$Q$104,MATCH($B86&amp;"-"&amp;AG$7,SUP!$B$54:$Q$54,0),FALSE),"")="","",IFERROR(VLOOKUP($C86,SUP!$B$54:$Q$104,MATCH($B86&amp;"-"&amp;AG$7,SUP!$B$54:$Q$54,0),FALSE),""))</f>
        <v/>
      </c>
      <c r="AH86" s="441" t="str">
        <f ca="1">IF(IFERROR(VLOOKUP($C86,SUP!$B$54:$Q$104,MATCH($B86&amp;"-"&amp;AH$7,SUP!$B$54:$Q$54,0),FALSE),"")="","",IFERROR(VLOOKUP($C86,SUP!$B$54:$Q$104,MATCH($B86&amp;"-"&amp;AH$7,SUP!$B$54:$Q$54,0),FALSE),""))</f>
        <v/>
      </c>
      <c r="AI86" s="441"/>
      <c r="AJ86" s="441"/>
      <c r="AK86" s="441"/>
      <c r="AL86" s="441"/>
      <c r="AM86" s="441" t="str">
        <f ca="1">IF(IFERROR(VLOOKUP($C86,SUP!$B$54:$Q$104,MATCH($B86&amp;"-"&amp;AM$7,SUP!$B$54:$Q$54,0),FALSE),"")="","",IFERROR(VLOOKUP($C86,SUP!$B$54:$Q$104,MATCH($B86&amp;"-"&amp;AM$7,SUP!$B$54:$Q$54,0),FALSE),""))</f>
        <v/>
      </c>
      <c r="AN86" s="441"/>
      <c r="AO86" s="441"/>
      <c r="AR86" s="42">
        <f>IF(AS85=SUP!$B$104,AR85+1,AR85)</f>
        <v>2</v>
      </c>
      <c r="AS86" s="42">
        <f t="shared" si="6"/>
        <v>27</v>
      </c>
    </row>
    <row r="87" spans="1:45">
      <c r="A87" s="42" t="str">
        <f ca="1">IF(LEFT(OFFSET(SUP!$A$57,AS87,0),2)="\I","*","")</f>
        <v/>
      </c>
      <c r="B87" s="440" t="str">
        <f t="shared" ca="1" si="9"/>
        <v>ACT_BND</v>
      </c>
      <c r="C87" s="440" t="str">
        <f ca="1">IF($A87="*","",OFFSET(SUP!$B$57,AS87,0))</f>
        <v>IMPOLP</v>
      </c>
      <c r="D87" s="440" t="str">
        <f t="shared" ca="1" si="7"/>
        <v>-</v>
      </c>
      <c r="E87" s="440" t="str">
        <f t="shared" ca="1" si="7"/>
        <v>-</v>
      </c>
      <c r="F87" s="440" t="str">
        <f t="shared" ca="1" si="7"/>
        <v>-</v>
      </c>
      <c r="G87" s="440" t="str">
        <f t="shared" ca="1" si="7"/>
        <v>ANNUAL</v>
      </c>
      <c r="H87" s="440" t="str">
        <f t="shared" ref="H87:H106" ca="1" si="10">IF($A87="*","",IF(AND(B87="ACT_BND",LEFT(C87,3)="PEX"),"FX",VLOOKUP($B87,$B$10:$I$11,H$9,FALSE)))</f>
        <v>UP</v>
      </c>
      <c r="I87" s="441">
        <f ca="1">IF(IFERROR(VLOOKUP($C87,SUP!$B$54:$Q$104,MATCH($B87&amp;"-"&amp;I$7,SUP!$B$54:$Q$54,0),FALSE),"")="","",IFERROR(VLOOKUP($C87,SUP!$B$54:$Q$104,MATCH($B87&amp;"-"&amp;I$7,SUP!$B$54:$Q$54,0),FALSE),""))</f>
        <v>0</v>
      </c>
      <c r="J87" s="441">
        <f ca="1">IF(IFERROR(VLOOKUP($C87,SUP!$B$54:$Q$104,MATCH($B87&amp;"-"&amp;J$7,SUP!$B$54:$Q$54,0),FALSE),"")="","",IFERROR(VLOOKUP($C87,SUP!$B$54:$Q$104,MATCH($B87&amp;"-"&amp;J$7,SUP!$B$54:$Q$54,0),FALSE),""))</f>
        <v>3.6412268743914313</v>
      </c>
      <c r="K87" s="441" t="str">
        <f ca="1">IF(IFERROR(VLOOKUP($C87,SUP!$B$54:$Q$104,MATCH($B87&amp;"-"&amp;K$7,SUP!$B$54:$Q$54,0),FALSE),"")="","",IFERROR(VLOOKUP($C87,SUP!$B$54:$Q$104,MATCH($B87&amp;"-"&amp;K$7,SUP!$B$54:$Q$54,0),FALSE),""))</f>
        <v/>
      </c>
      <c r="L87" s="441" t="str">
        <f ca="1">IF(IFERROR(VLOOKUP($C87,SUP!$B$54:$Q$104,MATCH($B87&amp;"-"&amp;L$7,SUP!$B$54:$Q$54,0),FALSE),"")="","",IFERROR(VLOOKUP($C87,SUP!$B$54:$Q$104,MATCH($B87&amp;"-"&amp;L$7,SUP!$B$54:$Q$54,0),FALSE),""))</f>
        <v/>
      </c>
      <c r="M87" s="441" t="str">
        <f ca="1">IF(IFERROR(VLOOKUP($C87,SUP!$B$54:$Q$104,MATCH($B87&amp;"-"&amp;M$7,SUP!$B$54:$Q$54,0),FALSE),"")="","",IFERROR(VLOOKUP($C87,SUP!$B$54:$Q$104,MATCH($B87&amp;"-"&amp;M$7,SUP!$B$54:$Q$54,0),FALSE),""))</f>
        <v/>
      </c>
      <c r="N87" s="441" t="str">
        <f ca="1">IF(IFERROR(VLOOKUP($C87,SUP!$B$54:$Q$104,MATCH($B87&amp;"-"&amp;N$7,SUP!$B$54:$Q$54,0),FALSE),"")="","",IFERROR(VLOOKUP($C87,SUP!$B$54:$Q$104,MATCH($B87&amp;"-"&amp;N$7,SUP!$B$54:$Q$54,0),FALSE),""))</f>
        <v/>
      </c>
      <c r="O87" s="441" t="str">
        <f ca="1">IF(IFERROR(VLOOKUP($C87,SUP!$B$54:$Q$104,MATCH($B87&amp;"-"&amp;O$7,SUP!$B$54:$Q$54,0),FALSE),"")="","",IFERROR(VLOOKUP($C87,SUP!$B$54:$Q$104,MATCH($B87&amp;"-"&amp;O$7,SUP!$B$54:$Q$54,0),FALSE),""))</f>
        <v/>
      </c>
      <c r="P87" s="441" t="str">
        <f ca="1">IF(IFERROR(VLOOKUP($C87,SUP!$B$54:$Q$104,MATCH($B87&amp;"-"&amp;P$7,SUP!$B$54:$Q$54,0),FALSE),"")="","",IFERROR(VLOOKUP($C87,SUP!$B$54:$Q$104,MATCH($B87&amp;"-"&amp;P$7,SUP!$B$54:$Q$54,0),FALSE),""))</f>
        <v/>
      </c>
      <c r="Q87" s="441" t="str">
        <f ca="1">IF(IFERROR(VLOOKUP($C87,SUP!$B$54:$Q$104,MATCH($B87&amp;"-"&amp;Q$7,SUP!$B$54:$Q$54,0),FALSE),"")="","",IFERROR(VLOOKUP($C87,SUP!$B$54:$Q$104,MATCH($B87&amp;"-"&amp;Q$7,SUP!$B$54:$Q$54,0),FALSE),""))</f>
        <v/>
      </c>
      <c r="R87" s="441" t="str">
        <f ca="1">IF(IFERROR(VLOOKUP($C87,SUP!$B$54:$Q$104,MATCH($B87&amp;"-"&amp;R$7,SUP!$B$54:$Q$54,0),FALSE),"")="","",IFERROR(VLOOKUP($C87,SUP!$B$54:$Q$104,MATCH($B87&amp;"-"&amp;R$7,SUP!$B$54:$Q$54,0),FALSE),""))</f>
        <v/>
      </c>
      <c r="S87" s="441" t="str">
        <f ca="1">IF(IFERROR(VLOOKUP($C87,SUP!$B$54:$Q$104,MATCH($B87&amp;"-"&amp;S$7,SUP!$B$54:$Q$54,0),FALSE),"")="","",IFERROR(VLOOKUP($C87,SUP!$B$54:$Q$104,MATCH($B87&amp;"-"&amp;S$7,SUP!$B$54:$Q$54,0),FALSE),""))</f>
        <v/>
      </c>
      <c r="T87" s="441" t="str">
        <f ca="1">IF(IFERROR(VLOOKUP($C87,SUP!$B$54:$Q$104,MATCH($B87&amp;"-"&amp;T$7,SUP!$B$54:$Q$54,0),FALSE),"")="","",IFERROR(VLOOKUP($C87,SUP!$B$54:$Q$104,MATCH($B87&amp;"-"&amp;T$7,SUP!$B$54:$Q$54,0),FALSE),""))</f>
        <v/>
      </c>
      <c r="U87" s="441" t="str">
        <f ca="1">IF(IFERROR(VLOOKUP($C87,SUP!$B$54:$Q$104,MATCH($B87&amp;"-"&amp;U$7,SUP!$B$54:$Q$54,0),FALSE),"")="","",IFERROR(VLOOKUP($C87,SUP!$B$54:$Q$104,MATCH($B87&amp;"-"&amp;U$7,SUP!$B$54:$Q$54,0),FALSE),""))</f>
        <v/>
      </c>
      <c r="V87" s="441" t="str">
        <f ca="1">IF(IFERROR(VLOOKUP($C87,SUP!$B$54:$Q$104,MATCH($B87&amp;"-"&amp;V$7,SUP!$B$54:$Q$54,0),FALSE),"")="","",IFERROR(VLOOKUP($C87,SUP!$B$54:$Q$104,MATCH($B87&amp;"-"&amp;V$7,SUP!$B$54:$Q$54,0),FALSE),""))</f>
        <v/>
      </c>
      <c r="W87" s="441" t="str">
        <f ca="1">IF(IFERROR(VLOOKUP($C87,SUP!$B$54:$Q$104,MATCH($B87&amp;"-"&amp;W$7,SUP!$B$54:$Q$54,0),FALSE),"")="","",IFERROR(VLOOKUP($C87,SUP!$B$54:$Q$104,MATCH($B87&amp;"-"&amp;W$7,SUP!$B$54:$Q$54,0),FALSE),""))</f>
        <v/>
      </c>
      <c r="X87" s="441" t="str">
        <f ca="1">IF(IFERROR(VLOOKUP($C87,SUP!$B$54:$Q$104,MATCH($B87&amp;"-"&amp;X$7,SUP!$B$54:$Q$54,0),FALSE),"")="","",IFERROR(VLOOKUP($C87,SUP!$B$54:$Q$104,MATCH($B87&amp;"-"&amp;X$7,SUP!$B$54:$Q$54,0),FALSE),""))</f>
        <v/>
      </c>
      <c r="Y87" s="441" t="str">
        <f ca="1">IF(IFERROR(VLOOKUP($C87,SUP!$B$54:$Q$104,MATCH($B87&amp;"-"&amp;Y$7,SUP!$B$54:$Q$54,0),FALSE),"")="","",IFERROR(VLOOKUP($C87,SUP!$B$54:$Q$104,MATCH($B87&amp;"-"&amp;Y$7,SUP!$B$54:$Q$54,0),FALSE),""))</f>
        <v/>
      </c>
      <c r="Z87" s="441" t="str">
        <f ca="1">IF(IFERROR(VLOOKUP($C87,SUP!$B$54:$Q$104,MATCH($B87&amp;"-"&amp;Z$7,SUP!$B$54:$Q$54,0),FALSE),"")="","",IFERROR(VLOOKUP($C87,SUP!$B$54:$Q$104,MATCH($B87&amp;"-"&amp;Z$7,SUP!$B$54:$Q$54,0),FALSE),""))</f>
        <v/>
      </c>
      <c r="AA87" s="441" t="str">
        <f ca="1">IF(IFERROR(VLOOKUP($C87,SUP!$B$54:$Q$104,MATCH($B87&amp;"-"&amp;AA$7,SUP!$B$54:$Q$54,0),FALSE),"")="","",IFERROR(VLOOKUP($C87,SUP!$B$54:$Q$104,MATCH($B87&amp;"-"&amp;AA$7,SUP!$B$54:$Q$54,0),FALSE),""))</f>
        <v/>
      </c>
      <c r="AB87" s="441" t="str">
        <f ca="1">IF(IFERROR(VLOOKUP($C87,SUP!$B$54:$Q$104,MATCH($B87&amp;"-"&amp;AB$7,SUP!$B$54:$Q$54,0),FALSE),"")="","",IFERROR(VLOOKUP($C87,SUP!$B$54:$Q$104,MATCH($B87&amp;"-"&amp;AB$7,SUP!$B$54:$Q$54,0),FALSE),""))</f>
        <v/>
      </c>
      <c r="AC87" s="441" t="str">
        <f ca="1">IF(IFERROR(VLOOKUP($C87,SUP!$B$54:$Q$104,MATCH($B87&amp;"-"&amp;AC$7,SUP!$B$54:$Q$54,0),FALSE),"")="","",IFERROR(VLOOKUP($C87,SUP!$B$54:$Q$104,MATCH($B87&amp;"-"&amp;AC$7,SUP!$B$54:$Q$54,0),FALSE),""))</f>
        <v/>
      </c>
      <c r="AD87" s="441" t="str">
        <f ca="1">IF(IFERROR(VLOOKUP($C87,SUP!$B$54:$Q$104,MATCH($B87&amp;"-"&amp;AD$7,SUP!$B$54:$Q$54,0),FALSE),"")="","",IFERROR(VLOOKUP($C87,SUP!$B$54:$Q$104,MATCH($B87&amp;"-"&amp;AD$7,SUP!$B$54:$Q$54,0),FALSE),""))</f>
        <v/>
      </c>
      <c r="AE87" s="441" t="str">
        <f ca="1">IF(IFERROR(VLOOKUP($C87,SUP!$B$54:$Q$104,MATCH($B87&amp;"-"&amp;AE$7,SUP!$B$54:$Q$54,0),FALSE),"")="","",IFERROR(VLOOKUP($C87,SUP!$B$54:$Q$104,MATCH($B87&amp;"-"&amp;AE$7,SUP!$B$54:$Q$54,0),FALSE),""))</f>
        <v/>
      </c>
      <c r="AF87" s="441" t="str">
        <f ca="1">IF(IFERROR(VLOOKUP($C87,SUP!$B$54:$Q$104,MATCH($B87&amp;"-"&amp;AF$7,SUP!$B$54:$Q$54,0),FALSE),"")="","",IFERROR(VLOOKUP($C87,SUP!$B$54:$Q$104,MATCH($B87&amp;"-"&amp;AF$7,SUP!$B$54:$Q$54,0),FALSE),""))</f>
        <v/>
      </c>
      <c r="AG87" s="441" t="str">
        <f ca="1">IF(IFERROR(VLOOKUP($C87,SUP!$B$54:$Q$104,MATCH($B87&amp;"-"&amp;AG$7,SUP!$B$54:$Q$54,0),FALSE),"")="","",IFERROR(VLOOKUP($C87,SUP!$B$54:$Q$104,MATCH($B87&amp;"-"&amp;AG$7,SUP!$B$54:$Q$54,0),FALSE),""))</f>
        <v/>
      </c>
      <c r="AH87" s="441" t="str">
        <f ca="1">IF(IFERROR(VLOOKUP($C87,SUP!$B$54:$Q$104,MATCH($B87&amp;"-"&amp;AH$7,SUP!$B$54:$Q$54,0),FALSE),"")="","",IFERROR(VLOOKUP($C87,SUP!$B$54:$Q$104,MATCH($B87&amp;"-"&amp;AH$7,SUP!$B$54:$Q$54,0),FALSE),""))</f>
        <v/>
      </c>
      <c r="AI87" s="441"/>
      <c r="AJ87" s="441"/>
      <c r="AK87" s="441"/>
      <c r="AL87" s="441"/>
      <c r="AM87" s="441" t="str">
        <f ca="1">IF(IFERROR(VLOOKUP($C87,SUP!$B$54:$Q$104,MATCH($B87&amp;"-"&amp;AM$7,SUP!$B$54:$Q$54,0),FALSE),"")="","",IFERROR(VLOOKUP($C87,SUP!$B$54:$Q$104,MATCH($B87&amp;"-"&amp;AM$7,SUP!$B$54:$Q$54,0),FALSE),""))</f>
        <v/>
      </c>
      <c r="AN87" s="441"/>
      <c r="AO87" s="441"/>
      <c r="AR87" s="42">
        <f>IF(AS86=SUP!$B$104,AR86+1,AR86)</f>
        <v>2</v>
      </c>
      <c r="AS87" s="42">
        <f t="shared" ref="AS87:AS106" si="11">IF(AR87=AR86,AS86+1,1)</f>
        <v>28</v>
      </c>
    </row>
    <row r="88" spans="1:45">
      <c r="A88" s="42" t="str">
        <f ca="1">IF(LEFT(OFFSET(SUP!$A$57,AS88,0),2)="\I","*","")</f>
        <v/>
      </c>
      <c r="B88" s="440" t="str">
        <f t="shared" ca="1" si="9"/>
        <v>ACT_BND</v>
      </c>
      <c r="C88" s="440" t="str">
        <f ca="1">IF($A88="*","",OFFSET(SUP!$B$57,AS88,0))</f>
        <v>IMPOKE</v>
      </c>
      <c r="D88" s="440" t="str">
        <f t="shared" ca="1" si="7"/>
        <v>-</v>
      </c>
      <c r="E88" s="440" t="str">
        <f t="shared" ca="1" si="7"/>
        <v>-</v>
      </c>
      <c r="F88" s="440" t="str">
        <f t="shared" ca="1" si="7"/>
        <v>-</v>
      </c>
      <c r="G88" s="440" t="str">
        <f t="shared" ca="1" si="7"/>
        <v>ANNUAL</v>
      </c>
      <c r="H88" s="440" t="str">
        <f t="shared" ca="1" si="10"/>
        <v>UP</v>
      </c>
      <c r="I88" s="441">
        <f ca="1">IF(IFERROR(VLOOKUP($C88,SUP!$B$54:$Q$104,MATCH($B88&amp;"-"&amp;I$7,SUP!$B$54:$Q$54,0),FALSE),"")="","",IFERROR(VLOOKUP($C88,SUP!$B$54:$Q$104,MATCH($B88&amp;"-"&amp;I$7,SUP!$B$54:$Q$54,0),FALSE),""))</f>
        <v>0</v>
      </c>
      <c r="J88" s="441">
        <f ca="1">IF(IFERROR(VLOOKUP($C88,SUP!$B$54:$Q$104,MATCH($B88&amp;"-"&amp;J$7,SUP!$B$54:$Q$54,0),FALSE),"")="","",IFERROR(VLOOKUP($C88,SUP!$B$54:$Q$104,MATCH($B88&amp;"-"&amp;J$7,SUP!$B$54:$Q$54,0),FALSE),""))</f>
        <v>9.3231960462962959</v>
      </c>
      <c r="K88" s="441" t="str">
        <f ca="1">IF(IFERROR(VLOOKUP($C88,SUP!$B$54:$Q$104,MATCH($B88&amp;"-"&amp;K$7,SUP!$B$54:$Q$54,0),FALSE),"")="","",IFERROR(VLOOKUP($C88,SUP!$B$54:$Q$104,MATCH($B88&amp;"-"&amp;K$7,SUP!$B$54:$Q$54,0),FALSE),""))</f>
        <v/>
      </c>
      <c r="L88" s="441" t="str">
        <f ca="1">IF(IFERROR(VLOOKUP($C88,SUP!$B$54:$Q$104,MATCH($B88&amp;"-"&amp;L$7,SUP!$B$54:$Q$54,0),FALSE),"")="","",IFERROR(VLOOKUP($C88,SUP!$B$54:$Q$104,MATCH($B88&amp;"-"&amp;L$7,SUP!$B$54:$Q$54,0),FALSE),""))</f>
        <v/>
      </c>
      <c r="M88" s="441" t="str">
        <f ca="1">IF(IFERROR(VLOOKUP($C88,SUP!$B$54:$Q$104,MATCH($B88&amp;"-"&amp;M$7,SUP!$B$54:$Q$54,0),FALSE),"")="","",IFERROR(VLOOKUP($C88,SUP!$B$54:$Q$104,MATCH($B88&amp;"-"&amp;M$7,SUP!$B$54:$Q$54,0),FALSE),""))</f>
        <v/>
      </c>
      <c r="N88" s="441" t="str">
        <f ca="1">IF(IFERROR(VLOOKUP($C88,SUP!$B$54:$Q$104,MATCH($B88&amp;"-"&amp;N$7,SUP!$B$54:$Q$54,0),FALSE),"")="","",IFERROR(VLOOKUP($C88,SUP!$B$54:$Q$104,MATCH($B88&amp;"-"&amp;N$7,SUP!$B$54:$Q$54,0),FALSE),""))</f>
        <v/>
      </c>
      <c r="O88" s="441" t="str">
        <f ca="1">IF(IFERROR(VLOOKUP($C88,SUP!$B$54:$Q$104,MATCH($B88&amp;"-"&amp;O$7,SUP!$B$54:$Q$54,0),FALSE),"")="","",IFERROR(VLOOKUP($C88,SUP!$B$54:$Q$104,MATCH($B88&amp;"-"&amp;O$7,SUP!$B$54:$Q$54,0),FALSE),""))</f>
        <v/>
      </c>
      <c r="P88" s="441" t="str">
        <f ca="1">IF(IFERROR(VLOOKUP($C88,SUP!$B$54:$Q$104,MATCH($B88&amp;"-"&amp;P$7,SUP!$B$54:$Q$54,0),FALSE),"")="","",IFERROR(VLOOKUP($C88,SUP!$B$54:$Q$104,MATCH($B88&amp;"-"&amp;P$7,SUP!$B$54:$Q$54,0),FALSE),""))</f>
        <v/>
      </c>
      <c r="Q88" s="441" t="str">
        <f ca="1">IF(IFERROR(VLOOKUP($C88,SUP!$B$54:$Q$104,MATCH($B88&amp;"-"&amp;Q$7,SUP!$B$54:$Q$54,0),FALSE),"")="","",IFERROR(VLOOKUP($C88,SUP!$B$54:$Q$104,MATCH($B88&amp;"-"&amp;Q$7,SUP!$B$54:$Q$54,0),FALSE),""))</f>
        <v/>
      </c>
      <c r="R88" s="441" t="str">
        <f ca="1">IF(IFERROR(VLOOKUP($C88,SUP!$B$54:$Q$104,MATCH($B88&amp;"-"&amp;R$7,SUP!$B$54:$Q$54,0),FALSE),"")="","",IFERROR(VLOOKUP($C88,SUP!$B$54:$Q$104,MATCH($B88&amp;"-"&amp;R$7,SUP!$B$54:$Q$54,0),FALSE),""))</f>
        <v/>
      </c>
      <c r="S88" s="441" t="str">
        <f ca="1">IF(IFERROR(VLOOKUP($C88,SUP!$B$54:$Q$104,MATCH($B88&amp;"-"&amp;S$7,SUP!$B$54:$Q$54,0),FALSE),"")="","",IFERROR(VLOOKUP($C88,SUP!$B$54:$Q$104,MATCH($B88&amp;"-"&amp;S$7,SUP!$B$54:$Q$54,0),FALSE),""))</f>
        <v/>
      </c>
      <c r="T88" s="441" t="str">
        <f ca="1">IF(IFERROR(VLOOKUP($C88,SUP!$B$54:$Q$104,MATCH($B88&amp;"-"&amp;T$7,SUP!$B$54:$Q$54,0),FALSE),"")="","",IFERROR(VLOOKUP($C88,SUP!$B$54:$Q$104,MATCH($B88&amp;"-"&amp;T$7,SUP!$B$54:$Q$54,0),FALSE),""))</f>
        <v/>
      </c>
      <c r="U88" s="441" t="str">
        <f ca="1">IF(IFERROR(VLOOKUP($C88,SUP!$B$54:$Q$104,MATCH($B88&amp;"-"&amp;U$7,SUP!$B$54:$Q$54,0),FALSE),"")="","",IFERROR(VLOOKUP($C88,SUP!$B$54:$Q$104,MATCH($B88&amp;"-"&amp;U$7,SUP!$B$54:$Q$54,0),FALSE),""))</f>
        <v/>
      </c>
      <c r="V88" s="441" t="str">
        <f ca="1">IF(IFERROR(VLOOKUP($C88,SUP!$B$54:$Q$104,MATCH($B88&amp;"-"&amp;V$7,SUP!$B$54:$Q$54,0),FALSE),"")="","",IFERROR(VLOOKUP($C88,SUP!$B$54:$Q$104,MATCH($B88&amp;"-"&amp;V$7,SUP!$B$54:$Q$54,0),FALSE),""))</f>
        <v/>
      </c>
      <c r="W88" s="441" t="str">
        <f ca="1">IF(IFERROR(VLOOKUP($C88,SUP!$B$54:$Q$104,MATCH($B88&amp;"-"&amp;W$7,SUP!$B$54:$Q$54,0),FALSE),"")="","",IFERROR(VLOOKUP($C88,SUP!$B$54:$Q$104,MATCH($B88&amp;"-"&amp;W$7,SUP!$B$54:$Q$54,0),FALSE),""))</f>
        <v/>
      </c>
      <c r="X88" s="441" t="str">
        <f ca="1">IF(IFERROR(VLOOKUP($C88,SUP!$B$54:$Q$104,MATCH($B88&amp;"-"&amp;X$7,SUP!$B$54:$Q$54,0),FALSE),"")="","",IFERROR(VLOOKUP($C88,SUP!$B$54:$Q$104,MATCH($B88&amp;"-"&amp;X$7,SUP!$B$54:$Q$54,0),FALSE),""))</f>
        <v/>
      </c>
      <c r="Y88" s="441" t="str">
        <f ca="1">IF(IFERROR(VLOOKUP($C88,SUP!$B$54:$Q$104,MATCH($B88&amp;"-"&amp;Y$7,SUP!$B$54:$Q$54,0),FALSE),"")="","",IFERROR(VLOOKUP($C88,SUP!$B$54:$Q$104,MATCH($B88&amp;"-"&amp;Y$7,SUP!$B$54:$Q$54,0),FALSE),""))</f>
        <v/>
      </c>
      <c r="Z88" s="441" t="str">
        <f ca="1">IF(IFERROR(VLOOKUP($C88,SUP!$B$54:$Q$104,MATCH($B88&amp;"-"&amp;Z$7,SUP!$B$54:$Q$54,0),FALSE),"")="","",IFERROR(VLOOKUP($C88,SUP!$B$54:$Q$104,MATCH($B88&amp;"-"&amp;Z$7,SUP!$B$54:$Q$54,0),FALSE),""))</f>
        <v/>
      </c>
      <c r="AA88" s="441" t="str">
        <f ca="1">IF(IFERROR(VLOOKUP($C88,SUP!$B$54:$Q$104,MATCH($B88&amp;"-"&amp;AA$7,SUP!$B$54:$Q$54,0),FALSE),"")="","",IFERROR(VLOOKUP($C88,SUP!$B$54:$Q$104,MATCH($B88&amp;"-"&amp;AA$7,SUP!$B$54:$Q$54,0),FALSE),""))</f>
        <v/>
      </c>
      <c r="AB88" s="441" t="str">
        <f ca="1">IF(IFERROR(VLOOKUP($C88,SUP!$B$54:$Q$104,MATCH($B88&amp;"-"&amp;AB$7,SUP!$B$54:$Q$54,0),FALSE),"")="","",IFERROR(VLOOKUP($C88,SUP!$B$54:$Q$104,MATCH($B88&amp;"-"&amp;AB$7,SUP!$B$54:$Q$54,0),FALSE),""))</f>
        <v/>
      </c>
      <c r="AC88" s="441" t="str">
        <f ca="1">IF(IFERROR(VLOOKUP($C88,SUP!$B$54:$Q$104,MATCH($B88&amp;"-"&amp;AC$7,SUP!$B$54:$Q$54,0),FALSE),"")="","",IFERROR(VLOOKUP($C88,SUP!$B$54:$Q$104,MATCH($B88&amp;"-"&amp;AC$7,SUP!$B$54:$Q$54,0),FALSE),""))</f>
        <v/>
      </c>
      <c r="AD88" s="441" t="str">
        <f ca="1">IF(IFERROR(VLOOKUP($C88,SUP!$B$54:$Q$104,MATCH($B88&amp;"-"&amp;AD$7,SUP!$B$54:$Q$54,0),FALSE),"")="","",IFERROR(VLOOKUP($C88,SUP!$B$54:$Q$104,MATCH($B88&amp;"-"&amp;AD$7,SUP!$B$54:$Q$54,0),FALSE),""))</f>
        <v/>
      </c>
      <c r="AE88" s="441" t="str">
        <f ca="1">IF(IFERROR(VLOOKUP($C88,SUP!$B$54:$Q$104,MATCH($B88&amp;"-"&amp;AE$7,SUP!$B$54:$Q$54,0),FALSE),"")="","",IFERROR(VLOOKUP($C88,SUP!$B$54:$Q$104,MATCH($B88&amp;"-"&amp;AE$7,SUP!$B$54:$Q$54,0),FALSE),""))</f>
        <v/>
      </c>
      <c r="AF88" s="441" t="str">
        <f ca="1">IF(IFERROR(VLOOKUP($C88,SUP!$B$54:$Q$104,MATCH($B88&amp;"-"&amp;AF$7,SUP!$B$54:$Q$54,0),FALSE),"")="","",IFERROR(VLOOKUP($C88,SUP!$B$54:$Q$104,MATCH($B88&amp;"-"&amp;AF$7,SUP!$B$54:$Q$54,0),FALSE),""))</f>
        <v/>
      </c>
      <c r="AG88" s="441" t="str">
        <f ca="1">IF(IFERROR(VLOOKUP($C88,SUP!$B$54:$Q$104,MATCH($B88&amp;"-"&amp;AG$7,SUP!$B$54:$Q$54,0),FALSE),"")="","",IFERROR(VLOOKUP($C88,SUP!$B$54:$Q$104,MATCH($B88&amp;"-"&amp;AG$7,SUP!$B$54:$Q$54,0),FALSE),""))</f>
        <v/>
      </c>
      <c r="AH88" s="441" t="str">
        <f ca="1">IF(IFERROR(VLOOKUP($C88,SUP!$B$54:$Q$104,MATCH($B88&amp;"-"&amp;AH$7,SUP!$B$54:$Q$54,0),FALSE),"")="","",IFERROR(VLOOKUP($C88,SUP!$B$54:$Q$104,MATCH($B88&amp;"-"&amp;AH$7,SUP!$B$54:$Q$54,0),FALSE),""))</f>
        <v/>
      </c>
      <c r="AI88" s="441"/>
      <c r="AJ88" s="441"/>
      <c r="AK88" s="441"/>
      <c r="AL88" s="441"/>
      <c r="AM88" s="441" t="str">
        <f ca="1">IF(IFERROR(VLOOKUP($C88,SUP!$B$54:$Q$104,MATCH($B88&amp;"-"&amp;AM$7,SUP!$B$54:$Q$54,0),FALSE),"")="","",IFERROR(VLOOKUP($C88,SUP!$B$54:$Q$104,MATCH($B88&amp;"-"&amp;AM$7,SUP!$B$54:$Q$54,0),FALSE),""))</f>
        <v/>
      </c>
      <c r="AN88" s="441"/>
      <c r="AO88" s="441"/>
      <c r="AR88" s="42">
        <f>IF(AS87=SUP!$B$104,AR87+1,AR87)</f>
        <v>2</v>
      </c>
      <c r="AS88" s="42">
        <f t="shared" si="11"/>
        <v>29</v>
      </c>
    </row>
    <row r="89" spans="1:45">
      <c r="A89" s="42" t="str">
        <f ca="1">IF(LEFT(OFFSET(SUP!$A$57,AS89,0),2)="\I","*","")</f>
        <v/>
      </c>
      <c r="B89" s="440" t="str">
        <f t="shared" ca="1" si="9"/>
        <v>ACT_BND</v>
      </c>
      <c r="C89" s="440" t="str">
        <f ca="1">IF($A89="*","",OFFSET(SUP!$B$57,AS89,0))</f>
        <v>IMPBID</v>
      </c>
      <c r="D89" s="440" t="str">
        <f t="shared" ca="1" si="7"/>
        <v>-</v>
      </c>
      <c r="E89" s="440" t="str">
        <f t="shared" ca="1" si="7"/>
        <v>-</v>
      </c>
      <c r="F89" s="440" t="str">
        <f t="shared" ca="1" si="7"/>
        <v>-</v>
      </c>
      <c r="G89" s="440" t="str">
        <f t="shared" ca="1" si="7"/>
        <v>ANNUAL</v>
      </c>
      <c r="H89" s="440" t="str">
        <f t="shared" ca="1" si="10"/>
        <v>UP</v>
      </c>
      <c r="I89" s="441">
        <f ca="1">IF(IFERROR(VLOOKUP($C89,SUP!$B$54:$Q$104,MATCH($B89&amp;"-"&amp;I$7,SUP!$B$54:$Q$54,0),FALSE),"")="","",IFERROR(VLOOKUP($C89,SUP!$B$54:$Q$104,MATCH($B89&amp;"-"&amp;I$7,SUP!$B$54:$Q$54,0),FALSE),""))</f>
        <v>0</v>
      </c>
      <c r="J89" s="441" t="str">
        <f ca="1">IF(IFERROR(VLOOKUP($C89,SUP!$B$54:$Q$104,MATCH($B89&amp;"-"&amp;J$7,SUP!$B$54:$Q$54,0),FALSE),"")="","",IFERROR(VLOOKUP($C89,SUP!$B$54:$Q$104,MATCH($B89&amp;"-"&amp;J$7,SUP!$B$54:$Q$54,0),FALSE),""))</f>
        <v/>
      </c>
      <c r="K89" s="441" t="str">
        <f ca="1">IF(IFERROR(VLOOKUP($C89,SUP!$B$54:$Q$104,MATCH($B89&amp;"-"&amp;K$7,SUP!$B$54:$Q$54,0),FALSE),"")="","",IFERROR(VLOOKUP($C89,SUP!$B$54:$Q$104,MATCH($B89&amp;"-"&amp;K$7,SUP!$B$54:$Q$54,0),FALSE),""))</f>
        <v/>
      </c>
      <c r="L89" s="441" t="str">
        <f ca="1">IF(IFERROR(VLOOKUP($C89,SUP!$B$54:$Q$104,MATCH($B89&amp;"-"&amp;L$7,SUP!$B$54:$Q$54,0),FALSE),"")="","",IFERROR(VLOOKUP($C89,SUP!$B$54:$Q$104,MATCH($B89&amp;"-"&amp;L$7,SUP!$B$54:$Q$54,0),FALSE),""))</f>
        <v/>
      </c>
      <c r="M89" s="441" t="str">
        <f ca="1">IF(IFERROR(VLOOKUP($C89,SUP!$B$54:$Q$104,MATCH($B89&amp;"-"&amp;M$7,SUP!$B$54:$Q$54,0),FALSE),"")="","",IFERROR(VLOOKUP($C89,SUP!$B$54:$Q$104,MATCH($B89&amp;"-"&amp;M$7,SUP!$B$54:$Q$54,0),FALSE),""))</f>
        <v/>
      </c>
      <c r="N89" s="441" t="str">
        <f ca="1">IF(IFERROR(VLOOKUP($C89,SUP!$B$54:$Q$104,MATCH($B89&amp;"-"&amp;N$7,SUP!$B$54:$Q$54,0),FALSE),"")="","",IFERROR(VLOOKUP($C89,SUP!$B$54:$Q$104,MATCH($B89&amp;"-"&amp;N$7,SUP!$B$54:$Q$54,0),FALSE),""))</f>
        <v/>
      </c>
      <c r="O89" s="441" t="str">
        <f ca="1">IF(IFERROR(VLOOKUP($C89,SUP!$B$54:$Q$104,MATCH($B89&amp;"-"&amp;O$7,SUP!$B$54:$Q$54,0),FALSE),"")="","",IFERROR(VLOOKUP($C89,SUP!$B$54:$Q$104,MATCH($B89&amp;"-"&amp;O$7,SUP!$B$54:$Q$54,0),FALSE),""))</f>
        <v/>
      </c>
      <c r="P89" s="441" t="str">
        <f ca="1">IF(IFERROR(VLOOKUP($C89,SUP!$B$54:$Q$104,MATCH($B89&amp;"-"&amp;P$7,SUP!$B$54:$Q$54,0),FALSE),"")="","",IFERROR(VLOOKUP($C89,SUP!$B$54:$Q$104,MATCH($B89&amp;"-"&amp;P$7,SUP!$B$54:$Q$54,0),FALSE),""))</f>
        <v/>
      </c>
      <c r="Q89" s="441" t="str">
        <f ca="1">IF(IFERROR(VLOOKUP($C89,SUP!$B$54:$Q$104,MATCH($B89&amp;"-"&amp;Q$7,SUP!$B$54:$Q$54,0),FALSE),"")="","",IFERROR(VLOOKUP($C89,SUP!$B$54:$Q$104,MATCH($B89&amp;"-"&amp;Q$7,SUP!$B$54:$Q$54,0),FALSE),""))</f>
        <v/>
      </c>
      <c r="R89" s="441" t="str">
        <f ca="1">IF(IFERROR(VLOOKUP($C89,SUP!$B$54:$Q$104,MATCH($B89&amp;"-"&amp;R$7,SUP!$B$54:$Q$54,0),FALSE),"")="","",IFERROR(VLOOKUP($C89,SUP!$B$54:$Q$104,MATCH($B89&amp;"-"&amp;R$7,SUP!$B$54:$Q$54,0),FALSE),""))</f>
        <v/>
      </c>
      <c r="S89" s="441" t="str">
        <f ca="1">IF(IFERROR(VLOOKUP($C89,SUP!$B$54:$Q$104,MATCH($B89&amp;"-"&amp;S$7,SUP!$B$54:$Q$54,0),FALSE),"")="","",IFERROR(VLOOKUP($C89,SUP!$B$54:$Q$104,MATCH($B89&amp;"-"&amp;S$7,SUP!$B$54:$Q$54,0),FALSE),""))</f>
        <v/>
      </c>
      <c r="T89" s="441" t="str">
        <f ca="1">IF(IFERROR(VLOOKUP($C89,SUP!$B$54:$Q$104,MATCH($B89&amp;"-"&amp;T$7,SUP!$B$54:$Q$54,0),FALSE),"")="","",IFERROR(VLOOKUP($C89,SUP!$B$54:$Q$104,MATCH($B89&amp;"-"&amp;T$7,SUP!$B$54:$Q$54,0),FALSE),""))</f>
        <v/>
      </c>
      <c r="U89" s="441" t="str">
        <f ca="1">IF(IFERROR(VLOOKUP($C89,SUP!$B$54:$Q$104,MATCH($B89&amp;"-"&amp;U$7,SUP!$B$54:$Q$54,0),FALSE),"")="","",IFERROR(VLOOKUP($C89,SUP!$B$54:$Q$104,MATCH($B89&amp;"-"&amp;U$7,SUP!$B$54:$Q$54,0),FALSE),""))</f>
        <v/>
      </c>
      <c r="V89" s="441" t="str">
        <f ca="1">IF(IFERROR(VLOOKUP($C89,SUP!$B$54:$Q$104,MATCH($B89&amp;"-"&amp;V$7,SUP!$B$54:$Q$54,0),FALSE),"")="","",IFERROR(VLOOKUP($C89,SUP!$B$54:$Q$104,MATCH($B89&amp;"-"&amp;V$7,SUP!$B$54:$Q$54,0),FALSE),""))</f>
        <v/>
      </c>
      <c r="W89" s="441" t="str">
        <f ca="1">IF(IFERROR(VLOOKUP($C89,SUP!$B$54:$Q$104,MATCH($B89&amp;"-"&amp;W$7,SUP!$B$54:$Q$54,0),FALSE),"")="","",IFERROR(VLOOKUP($C89,SUP!$B$54:$Q$104,MATCH($B89&amp;"-"&amp;W$7,SUP!$B$54:$Q$54,0),FALSE),""))</f>
        <v/>
      </c>
      <c r="X89" s="441" t="str">
        <f ca="1">IF(IFERROR(VLOOKUP($C89,SUP!$B$54:$Q$104,MATCH($B89&amp;"-"&amp;X$7,SUP!$B$54:$Q$54,0),FALSE),"")="","",IFERROR(VLOOKUP($C89,SUP!$B$54:$Q$104,MATCH($B89&amp;"-"&amp;X$7,SUP!$B$54:$Q$54,0),FALSE),""))</f>
        <v/>
      </c>
      <c r="Y89" s="441" t="str">
        <f ca="1">IF(IFERROR(VLOOKUP($C89,SUP!$B$54:$Q$104,MATCH($B89&amp;"-"&amp;Y$7,SUP!$B$54:$Q$54,0),FALSE),"")="","",IFERROR(VLOOKUP($C89,SUP!$B$54:$Q$104,MATCH($B89&amp;"-"&amp;Y$7,SUP!$B$54:$Q$54,0),FALSE),""))</f>
        <v/>
      </c>
      <c r="Z89" s="441" t="str">
        <f ca="1">IF(IFERROR(VLOOKUP($C89,SUP!$B$54:$Q$104,MATCH($B89&amp;"-"&amp;Z$7,SUP!$B$54:$Q$54,0),FALSE),"")="","",IFERROR(VLOOKUP($C89,SUP!$B$54:$Q$104,MATCH($B89&amp;"-"&amp;Z$7,SUP!$B$54:$Q$54,0),FALSE),""))</f>
        <v/>
      </c>
      <c r="AA89" s="441" t="str">
        <f ca="1">IF(IFERROR(VLOOKUP($C89,SUP!$B$54:$Q$104,MATCH($B89&amp;"-"&amp;AA$7,SUP!$B$54:$Q$54,0),FALSE),"")="","",IFERROR(VLOOKUP($C89,SUP!$B$54:$Q$104,MATCH($B89&amp;"-"&amp;AA$7,SUP!$B$54:$Q$54,0),FALSE),""))</f>
        <v/>
      </c>
      <c r="AB89" s="441" t="str">
        <f ca="1">IF(IFERROR(VLOOKUP($C89,SUP!$B$54:$Q$104,MATCH($B89&amp;"-"&amp;AB$7,SUP!$B$54:$Q$54,0),FALSE),"")="","",IFERROR(VLOOKUP($C89,SUP!$B$54:$Q$104,MATCH($B89&amp;"-"&amp;AB$7,SUP!$B$54:$Q$54,0),FALSE),""))</f>
        <v/>
      </c>
      <c r="AC89" s="441" t="str">
        <f ca="1">IF(IFERROR(VLOOKUP($C89,SUP!$B$54:$Q$104,MATCH($B89&amp;"-"&amp;AC$7,SUP!$B$54:$Q$54,0),FALSE),"")="","",IFERROR(VLOOKUP($C89,SUP!$B$54:$Q$104,MATCH($B89&amp;"-"&amp;AC$7,SUP!$B$54:$Q$54,0),FALSE),""))</f>
        <v/>
      </c>
      <c r="AD89" s="441" t="str">
        <f ca="1">IF(IFERROR(VLOOKUP($C89,SUP!$B$54:$Q$104,MATCH($B89&amp;"-"&amp;AD$7,SUP!$B$54:$Q$54,0),FALSE),"")="","",IFERROR(VLOOKUP($C89,SUP!$B$54:$Q$104,MATCH($B89&amp;"-"&amp;AD$7,SUP!$B$54:$Q$54,0),FALSE),""))</f>
        <v/>
      </c>
      <c r="AE89" s="441" t="str">
        <f ca="1">IF(IFERROR(VLOOKUP($C89,SUP!$B$54:$Q$104,MATCH($B89&amp;"-"&amp;AE$7,SUP!$B$54:$Q$54,0),FALSE),"")="","",IFERROR(VLOOKUP($C89,SUP!$B$54:$Q$104,MATCH($B89&amp;"-"&amp;AE$7,SUP!$B$54:$Q$54,0),FALSE),""))</f>
        <v/>
      </c>
      <c r="AF89" s="441" t="str">
        <f ca="1">IF(IFERROR(VLOOKUP($C89,SUP!$B$54:$Q$104,MATCH($B89&amp;"-"&amp;AF$7,SUP!$B$54:$Q$54,0),FALSE),"")="","",IFERROR(VLOOKUP($C89,SUP!$B$54:$Q$104,MATCH($B89&amp;"-"&amp;AF$7,SUP!$B$54:$Q$54,0),FALSE),""))</f>
        <v/>
      </c>
      <c r="AG89" s="441" t="str">
        <f ca="1">IF(IFERROR(VLOOKUP($C89,SUP!$B$54:$Q$104,MATCH($B89&amp;"-"&amp;AG$7,SUP!$B$54:$Q$54,0),FALSE),"")="","",IFERROR(VLOOKUP($C89,SUP!$B$54:$Q$104,MATCH($B89&amp;"-"&amp;AG$7,SUP!$B$54:$Q$54,0),FALSE),""))</f>
        <v/>
      </c>
      <c r="AH89" s="441" t="str">
        <f ca="1">IF(IFERROR(VLOOKUP($C89,SUP!$B$54:$Q$104,MATCH($B89&amp;"-"&amp;AH$7,SUP!$B$54:$Q$54,0),FALSE),"")="","",IFERROR(VLOOKUP($C89,SUP!$B$54:$Q$104,MATCH($B89&amp;"-"&amp;AH$7,SUP!$B$54:$Q$54,0),FALSE),""))</f>
        <v/>
      </c>
      <c r="AI89" s="441"/>
      <c r="AJ89" s="441"/>
      <c r="AK89" s="441"/>
      <c r="AL89" s="441"/>
      <c r="AM89" s="441" t="str">
        <f ca="1">IF(IFERROR(VLOOKUP($C89,SUP!$B$54:$Q$104,MATCH($B89&amp;"-"&amp;AM$7,SUP!$B$54:$Q$54,0),FALSE),"")="","",IFERROR(VLOOKUP($C89,SUP!$B$54:$Q$104,MATCH($B89&amp;"-"&amp;AM$7,SUP!$B$54:$Q$54,0),FALSE),""))</f>
        <v/>
      </c>
      <c r="AN89" s="441"/>
      <c r="AO89" s="441"/>
      <c r="AR89" s="42">
        <f>IF(AS88=SUP!$B$104,AR88+1,AR88)</f>
        <v>2</v>
      </c>
      <c r="AS89" s="42">
        <f t="shared" si="11"/>
        <v>30</v>
      </c>
    </row>
    <row r="90" spans="1:45">
      <c r="A90" s="42" t="str">
        <f ca="1">IF(LEFT(OFFSET(SUP!$A$57,AS90,0),2)="\I","*","")</f>
        <v/>
      </c>
      <c r="B90" s="440" t="str">
        <f t="shared" ca="1" si="9"/>
        <v>ACT_BND</v>
      </c>
      <c r="C90" s="440" t="str">
        <f ca="1">IF($A90="*","",OFFSET(SUP!$B$57,AS90,0))</f>
        <v>IMPBIE</v>
      </c>
      <c r="D90" s="440" t="str">
        <f t="shared" ca="1" si="7"/>
        <v>-</v>
      </c>
      <c r="E90" s="440" t="str">
        <f t="shared" ca="1" si="7"/>
        <v>-</v>
      </c>
      <c r="F90" s="440" t="str">
        <f t="shared" ca="1" si="7"/>
        <v>-</v>
      </c>
      <c r="G90" s="440" t="str">
        <f t="shared" ca="1" si="7"/>
        <v>ANNUAL</v>
      </c>
      <c r="H90" s="440" t="str">
        <f t="shared" ca="1" si="10"/>
        <v>UP</v>
      </c>
      <c r="I90" s="441">
        <f ca="1">IF(IFERROR(VLOOKUP($C90,SUP!$B$54:$Q$104,MATCH($B90&amp;"-"&amp;I$7,SUP!$B$54:$Q$54,0),FALSE),"")="","",IFERROR(VLOOKUP($C90,SUP!$B$54:$Q$104,MATCH($B90&amp;"-"&amp;I$7,SUP!$B$54:$Q$54,0),FALSE),""))</f>
        <v>0</v>
      </c>
      <c r="J90" s="441" t="str">
        <f ca="1">IF(IFERROR(VLOOKUP($C90,SUP!$B$54:$Q$104,MATCH($B90&amp;"-"&amp;J$7,SUP!$B$54:$Q$54,0),FALSE),"")="","",IFERROR(VLOOKUP($C90,SUP!$B$54:$Q$104,MATCH($B90&amp;"-"&amp;J$7,SUP!$B$54:$Q$54,0),FALSE),""))</f>
        <v/>
      </c>
      <c r="K90" s="441" t="str">
        <f ca="1">IF(IFERROR(VLOOKUP($C90,SUP!$B$54:$Q$104,MATCH($B90&amp;"-"&amp;K$7,SUP!$B$54:$Q$54,0),FALSE),"")="","",IFERROR(VLOOKUP($C90,SUP!$B$54:$Q$104,MATCH($B90&amp;"-"&amp;K$7,SUP!$B$54:$Q$54,0),FALSE),""))</f>
        <v/>
      </c>
      <c r="L90" s="441" t="str">
        <f ca="1">IF(IFERROR(VLOOKUP($C90,SUP!$B$54:$Q$104,MATCH($B90&amp;"-"&amp;L$7,SUP!$B$54:$Q$54,0),FALSE),"")="","",IFERROR(VLOOKUP($C90,SUP!$B$54:$Q$104,MATCH($B90&amp;"-"&amp;L$7,SUP!$B$54:$Q$54,0),FALSE),""))</f>
        <v/>
      </c>
      <c r="M90" s="441" t="str">
        <f ca="1">IF(IFERROR(VLOOKUP($C90,SUP!$B$54:$Q$104,MATCH($B90&amp;"-"&amp;M$7,SUP!$B$54:$Q$54,0),FALSE),"")="","",IFERROR(VLOOKUP($C90,SUP!$B$54:$Q$104,MATCH($B90&amp;"-"&amp;M$7,SUP!$B$54:$Q$54,0),FALSE),""))</f>
        <v/>
      </c>
      <c r="N90" s="441" t="str">
        <f ca="1">IF(IFERROR(VLOOKUP($C90,SUP!$B$54:$Q$104,MATCH($B90&amp;"-"&amp;N$7,SUP!$B$54:$Q$54,0),FALSE),"")="","",IFERROR(VLOOKUP($C90,SUP!$B$54:$Q$104,MATCH($B90&amp;"-"&amp;N$7,SUP!$B$54:$Q$54,0),FALSE),""))</f>
        <v/>
      </c>
      <c r="O90" s="441" t="str">
        <f ca="1">IF(IFERROR(VLOOKUP($C90,SUP!$B$54:$Q$104,MATCH($B90&amp;"-"&amp;O$7,SUP!$B$54:$Q$54,0),FALSE),"")="","",IFERROR(VLOOKUP($C90,SUP!$B$54:$Q$104,MATCH($B90&amp;"-"&amp;O$7,SUP!$B$54:$Q$54,0),FALSE),""))</f>
        <v/>
      </c>
      <c r="P90" s="441" t="str">
        <f ca="1">IF(IFERROR(VLOOKUP($C90,SUP!$B$54:$Q$104,MATCH($B90&amp;"-"&amp;P$7,SUP!$B$54:$Q$54,0),FALSE),"")="","",IFERROR(VLOOKUP($C90,SUP!$B$54:$Q$104,MATCH($B90&amp;"-"&amp;P$7,SUP!$B$54:$Q$54,0),FALSE),""))</f>
        <v/>
      </c>
      <c r="Q90" s="441" t="str">
        <f ca="1">IF(IFERROR(VLOOKUP($C90,SUP!$B$54:$Q$104,MATCH($B90&amp;"-"&amp;Q$7,SUP!$B$54:$Q$54,0),FALSE),"")="","",IFERROR(VLOOKUP($C90,SUP!$B$54:$Q$104,MATCH($B90&amp;"-"&amp;Q$7,SUP!$B$54:$Q$54,0),FALSE),""))</f>
        <v/>
      </c>
      <c r="R90" s="441" t="str">
        <f ca="1">IF(IFERROR(VLOOKUP($C90,SUP!$B$54:$Q$104,MATCH($B90&amp;"-"&amp;R$7,SUP!$B$54:$Q$54,0),FALSE),"")="","",IFERROR(VLOOKUP($C90,SUP!$B$54:$Q$104,MATCH($B90&amp;"-"&amp;R$7,SUP!$B$54:$Q$54,0),FALSE),""))</f>
        <v/>
      </c>
      <c r="S90" s="441" t="str">
        <f ca="1">IF(IFERROR(VLOOKUP($C90,SUP!$B$54:$Q$104,MATCH($B90&amp;"-"&amp;S$7,SUP!$B$54:$Q$54,0),FALSE),"")="","",IFERROR(VLOOKUP($C90,SUP!$B$54:$Q$104,MATCH($B90&amp;"-"&amp;S$7,SUP!$B$54:$Q$54,0),FALSE),""))</f>
        <v/>
      </c>
      <c r="T90" s="441" t="str">
        <f ca="1">IF(IFERROR(VLOOKUP($C90,SUP!$B$54:$Q$104,MATCH($B90&amp;"-"&amp;T$7,SUP!$B$54:$Q$54,0),FALSE),"")="","",IFERROR(VLOOKUP($C90,SUP!$B$54:$Q$104,MATCH($B90&amp;"-"&amp;T$7,SUP!$B$54:$Q$54,0),FALSE),""))</f>
        <v/>
      </c>
      <c r="U90" s="441" t="str">
        <f ca="1">IF(IFERROR(VLOOKUP($C90,SUP!$B$54:$Q$104,MATCH($B90&amp;"-"&amp;U$7,SUP!$B$54:$Q$54,0),FALSE),"")="","",IFERROR(VLOOKUP($C90,SUP!$B$54:$Q$104,MATCH($B90&amp;"-"&amp;U$7,SUP!$B$54:$Q$54,0),FALSE),""))</f>
        <v/>
      </c>
      <c r="V90" s="441" t="str">
        <f ca="1">IF(IFERROR(VLOOKUP($C90,SUP!$B$54:$Q$104,MATCH($B90&amp;"-"&amp;V$7,SUP!$B$54:$Q$54,0),FALSE),"")="","",IFERROR(VLOOKUP($C90,SUP!$B$54:$Q$104,MATCH($B90&amp;"-"&amp;V$7,SUP!$B$54:$Q$54,0),FALSE),""))</f>
        <v/>
      </c>
      <c r="W90" s="441" t="str">
        <f ca="1">IF(IFERROR(VLOOKUP($C90,SUP!$B$54:$Q$104,MATCH($B90&amp;"-"&amp;W$7,SUP!$B$54:$Q$54,0),FALSE),"")="","",IFERROR(VLOOKUP($C90,SUP!$B$54:$Q$104,MATCH($B90&amp;"-"&amp;W$7,SUP!$B$54:$Q$54,0),FALSE),""))</f>
        <v/>
      </c>
      <c r="X90" s="441" t="str">
        <f ca="1">IF(IFERROR(VLOOKUP($C90,SUP!$B$54:$Q$104,MATCH($B90&amp;"-"&amp;X$7,SUP!$B$54:$Q$54,0),FALSE),"")="","",IFERROR(VLOOKUP($C90,SUP!$B$54:$Q$104,MATCH($B90&amp;"-"&amp;X$7,SUP!$B$54:$Q$54,0),FALSE),""))</f>
        <v/>
      </c>
      <c r="Y90" s="441" t="str">
        <f ca="1">IF(IFERROR(VLOOKUP($C90,SUP!$B$54:$Q$104,MATCH($B90&amp;"-"&amp;Y$7,SUP!$B$54:$Q$54,0),FALSE),"")="","",IFERROR(VLOOKUP($C90,SUP!$B$54:$Q$104,MATCH($B90&amp;"-"&amp;Y$7,SUP!$B$54:$Q$54,0),FALSE),""))</f>
        <v/>
      </c>
      <c r="Z90" s="441" t="str">
        <f ca="1">IF(IFERROR(VLOOKUP($C90,SUP!$B$54:$Q$104,MATCH($B90&amp;"-"&amp;Z$7,SUP!$B$54:$Q$54,0),FALSE),"")="","",IFERROR(VLOOKUP($C90,SUP!$B$54:$Q$104,MATCH($B90&amp;"-"&amp;Z$7,SUP!$B$54:$Q$54,0),FALSE),""))</f>
        <v/>
      </c>
      <c r="AA90" s="441" t="str">
        <f ca="1">IF(IFERROR(VLOOKUP($C90,SUP!$B$54:$Q$104,MATCH($B90&amp;"-"&amp;AA$7,SUP!$B$54:$Q$54,0),FALSE),"")="","",IFERROR(VLOOKUP($C90,SUP!$B$54:$Q$104,MATCH($B90&amp;"-"&amp;AA$7,SUP!$B$54:$Q$54,0),FALSE),""))</f>
        <v/>
      </c>
      <c r="AB90" s="441" t="str">
        <f ca="1">IF(IFERROR(VLOOKUP($C90,SUP!$B$54:$Q$104,MATCH($B90&amp;"-"&amp;AB$7,SUP!$B$54:$Q$54,0),FALSE),"")="","",IFERROR(VLOOKUP($C90,SUP!$B$54:$Q$104,MATCH($B90&amp;"-"&amp;AB$7,SUP!$B$54:$Q$54,0),FALSE),""))</f>
        <v/>
      </c>
      <c r="AC90" s="441" t="str">
        <f ca="1">IF(IFERROR(VLOOKUP($C90,SUP!$B$54:$Q$104,MATCH($B90&amp;"-"&amp;AC$7,SUP!$B$54:$Q$54,0),FALSE),"")="","",IFERROR(VLOOKUP($C90,SUP!$B$54:$Q$104,MATCH($B90&amp;"-"&amp;AC$7,SUP!$B$54:$Q$54,0),FALSE),""))</f>
        <v/>
      </c>
      <c r="AD90" s="441" t="str">
        <f ca="1">IF(IFERROR(VLOOKUP($C90,SUP!$B$54:$Q$104,MATCH($B90&amp;"-"&amp;AD$7,SUP!$B$54:$Q$54,0),FALSE),"")="","",IFERROR(VLOOKUP($C90,SUP!$B$54:$Q$104,MATCH($B90&amp;"-"&amp;AD$7,SUP!$B$54:$Q$54,0),FALSE),""))</f>
        <v/>
      </c>
      <c r="AE90" s="441" t="str">
        <f ca="1">IF(IFERROR(VLOOKUP($C90,SUP!$B$54:$Q$104,MATCH($B90&amp;"-"&amp;AE$7,SUP!$B$54:$Q$54,0),FALSE),"")="","",IFERROR(VLOOKUP($C90,SUP!$B$54:$Q$104,MATCH($B90&amp;"-"&amp;AE$7,SUP!$B$54:$Q$54,0),FALSE),""))</f>
        <v/>
      </c>
      <c r="AF90" s="441" t="str">
        <f ca="1">IF(IFERROR(VLOOKUP($C90,SUP!$B$54:$Q$104,MATCH($B90&amp;"-"&amp;AF$7,SUP!$B$54:$Q$54,0),FALSE),"")="","",IFERROR(VLOOKUP($C90,SUP!$B$54:$Q$104,MATCH($B90&amp;"-"&amp;AF$7,SUP!$B$54:$Q$54,0),FALSE),""))</f>
        <v/>
      </c>
      <c r="AG90" s="441" t="str">
        <f ca="1">IF(IFERROR(VLOOKUP($C90,SUP!$B$54:$Q$104,MATCH($B90&amp;"-"&amp;AG$7,SUP!$B$54:$Q$54,0),FALSE),"")="","",IFERROR(VLOOKUP($C90,SUP!$B$54:$Q$104,MATCH($B90&amp;"-"&amp;AG$7,SUP!$B$54:$Q$54,0),FALSE),""))</f>
        <v/>
      </c>
      <c r="AH90" s="441" t="str">
        <f ca="1">IF(IFERROR(VLOOKUP($C90,SUP!$B$54:$Q$104,MATCH($B90&amp;"-"&amp;AH$7,SUP!$B$54:$Q$54,0),FALSE),"")="","",IFERROR(VLOOKUP($C90,SUP!$B$54:$Q$104,MATCH($B90&amp;"-"&amp;AH$7,SUP!$B$54:$Q$54,0),FALSE),""))</f>
        <v/>
      </c>
      <c r="AI90" s="441"/>
      <c r="AJ90" s="441"/>
      <c r="AK90" s="441"/>
      <c r="AL90" s="441"/>
      <c r="AM90" s="441" t="str">
        <f ca="1">IF(IFERROR(VLOOKUP($C90,SUP!$B$54:$Q$104,MATCH($B90&amp;"-"&amp;AM$7,SUP!$B$54:$Q$54,0),FALSE),"")="","",IFERROR(VLOOKUP($C90,SUP!$B$54:$Q$104,MATCH($B90&amp;"-"&amp;AM$7,SUP!$B$54:$Q$54,0),FALSE),""))</f>
        <v/>
      </c>
      <c r="AN90" s="441"/>
      <c r="AO90" s="441"/>
      <c r="AR90" s="42">
        <f>IF(AS89=SUP!$B$104,AR89+1,AR89)</f>
        <v>2</v>
      </c>
      <c r="AS90" s="42">
        <f t="shared" si="11"/>
        <v>31</v>
      </c>
    </row>
    <row r="91" spans="1:45">
      <c r="A91" s="42" t="str">
        <f ca="1">IF(LEFT(OFFSET(SUP!$A$57,AS91,0),2)="\I","*","")</f>
        <v>*</v>
      </c>
      <c r="B91" s="440" t="str">
        <f t="shared" ca="1" si="9"/>
        <v/>
      </c>
      <c r="C91" s="440" t="str">
        <f ca="1">IF($A91="*","",OFFSET(SUP!$B$57,AS91,0))</f>
        <v/>
      </c>
      <c r="D91" s="440" t="str">
        <f t="shared" ca="1" si="7"/>
        <v/>
      </c>
      <c r="E91" s="440" t="str">
        <f t="shared" ca="1" si="7"/>
        <v/>
      </c>
      <c r="F91" s="440" t="str">
        <f t="shared" ca="1" si="7"/>
        <v/>
      </c>
      <c r="G91" s="440" t="str">
        <f t="shared" ca="1" si="7"/>
        <v/>
      </c>
      <c r="H91" s="440" t="str">
        <f t="shared" ca="1" si="10"/>
        <v/>
      </c>
      <c r="I91" s="441" t="str">
        <f ca="1">IF(IFERROR(VLOOKUP($C91,SUP!$B$54:$Q$104,MATCH($B91&amp;"-"&amp;I$7,SUP!$B$54:$Q$54,0),FALSE),"")="","",IFERROR(VLOOKUP($C91,SUP!$B$54:$Q$104,MATCH($B91&amp;"-"&amp;I$7,SUP!$B$54:$Q$54,0),FALSE),""))</f>
        <v/>
      </c>
      <c r="J91" s="441" t="str">
        <f ca="1">IF(IFERROR(VLOOKUP($C91,SUP!$B$54:$Q$104,MATCH($B91&amp;"-"&amp;J$7,SUP!$B$54:$Q$54,0),FALSE),"")="","",IFERROR(VLOOKUP($C91,SUP!$B$54:$Q$104,MATCH($B91&amp;"-"&amp;J$7,SUP!$B$54:$Q$54,0),FALSE),""))</f>
        <v/>
      </c>
      <c r="K91" s="441" t="str">
        <f ca="1">IF(IFERROR(VLOOKUP($C91,SUP!$B$54:$Q$104,MATCH($B91&amp;"-"&amp;K$7,SUP!$B$54:$Q$54,0),FALSE),"")="","",IFERROR(VLOOKUP($C91,SUP!$B$54:$Q$104,MATCH($B91&amp;"-"&amp;K$7,SUP!$B$54:$Q$54,0),FALSE),""))</f>
        <v/>
      </c>
      <c r="L91" s="441" t="str">
        <f ca="1">IF(IFERROR(VLOOKUP($C91,SUP!$B$54:$Q$104,MATCH($B91&amp;"-"&amp;L$7,SUP!$B$54:$Q$54,0),FALSE),"")="","",IFERROR(VLOOKUP($C91,SUP!$B$54:$Q$104,MATCH($B91&amp;"-"&amp;L$7,SUP!$B$54:$Q$54,0),FALSE),""))</f>
        <v/>
      </c>
      <c r="M91" s="441" t="str">
        <f ca="1">IF(IFERROR(VLOOKUP($C91,SUP!$B$54:$Q$104,MATCH($B91&amp;"-"&amp;M$7,SUP!$B$54:$Q$54,0),FALSE),"")="","",IFERROR(VLOOKUP($C91,SUP!$B$54:$Q$104,MATCH($B91&amp;"-"&amp;M$7,SUP!$B$54:$Q$54,0),FALSE),""))</f>
        <v/>
      </c>
      <c r="N91" s="441" t="str">
        <f ca="1">IF(IFERROR(VLOOKUP($C91,SUP!$B$54:$Q$104,MATCH($B91&amp;"-"&amp;N$7,SUP!$B$54:$Q$54,0),FALSE),"")="","",IFERROR(VLOOKUP($C91,SUP!$B$54:$Q$104,MATCH($B91&amp;"-"&amp;N$7,SUP!$B$54:$Q$54,0),FALSE),""))</f>
        <v/>
      </c>
      <c r="O91" s="441" t="str">
        <f ca="1">IF(IFERROR(VLOOKUP($C91,SUP!$B$54:$Q$104,MATCH($B91&amp;"-"&amp;O$7,SUP!$B$54:$Q$54,0),FALSE),"")="","",IFERROR(VLOOKUP($C91,SUP!$B$54:$Q$104,MATCH($B91&amp;"-"&amp;O$7,SUP!$B$54:$Q$54,0),FALSE),""))</f>
        <v/>
      </c>
      <c r="P91" s="441" t="str">
        <f ca="1">IF(IFERROR(VLOOKUP($C91,SUP!$B$54:$Q$104,MATCH($B91&amp;"-"&amp;P$7,SUP!$B$54:$Q$54,0),FALSE),"")="","",IFERROR(VLOOKUP($C91,SUP!$B$54:$Q$104,MATCH($B91&amp;"-"&amp;P$7,SUP!$B$54:$Q$54,0),FALSE),""))</f>
        <v/>
      </c>
      <c r="Q91" s="441" t="str">
        <f ca="1">IF(IFERROR(VLOOKUP($C91,SUP!$B$54:$Q$104,MATCH($B91&amp;"-"&amp;Q$7,SUP!$B$54:$Q$54,0),FALSE),"")="","",IFERROR(VLOOKUP($C91,SUP!$B$54:$Q$104,MATCH($B91&amp;"-"&amp;Q$7,SUP!$B$54:$Q$54,0),FALSE),""))</f>
        <v/>
      </c>
      <c r="R91" s="441" t="str">
        <f ca="1">IF(IFERROR(VLOOKUP($C91,SUP!$B$54:$Q$104,MATCH($B91&amp;"-"&amp;R$7,SUP!$B$54:$Q$54,0),FALSE),"")="","",IFERROR(VLOOKUP($C91,SUP!$B$54:$Q$104,MATCH($B91&amp;"-"&amp;R$7,SUP!$B$54:$Q$54,0),FALSE),""))</f>
        <v/>
      </c>
      <c r="S91" s="441" t="str">
        <f ca="1">IF(IFERROR(VLOOKUP($C91,SUP!$B$54:$Q$104,MATCH($B91&amp;"-"&amp;S$7,SUP!$B$54:$Q$54,0),FALSE),"")="","",IFERROR(VLOOKUP($C91,SUP!$B$54:$Q$104,MATCH($B91&amp;"-"&amp;S$7,SUP!$B$54:$Q$54,0),FALSE),""))</f>
        <v/>
      </c>
      <c r="T91" s="441" t="str">
        <f ca="1">IF(IFERROR(VLOOKUP($C91,SUP!$B$54:$Q$104,MATCH($B91&amp;"-"&amp;T$7,SUP!$B$54:$Q$54,0),FALSE),"")="","",IFERROR(VLOOKUP($C91,SUP!$B$54:$Q$104,MATCH($B91&amp;"-"&amp;T$7,SUP!$B$54:$Q$54,0),FALSE),""))</f>
        <v/>
      </c>
      <c r="U91" s="441" t="str">
        <f ca="1">IF(IFERROR(VLOOKUP($C91,SUP!$B$54:$Q$104,MATCH($B91&amp;"-"&amp;U$7,SUP!$B$54:$Q$54,0),FALSE),"")="","",IFERROR(VLOOKUP($C91,SUP!$B$54:$Q$104,MATCH($B91&amp;"-"&amp;U$7,SUP!$B$54:$Q$54,0),FALSE),""))</f>
        <v/>
      </c>
      <c r="V91" s="441" t="str">
        <f ca="1">IF(IFERROR(VLOOKUP($C91,SUP!$B$54:$Q$104,MATCH($B91&amp;"-"&amp;V$7,SUP!$B$54:$Q$54,0),FALSE),"")="","",IFERROR(VLOOKUP($C91,SUP!$B$54:$Q$104,MATCH($B91&amp;"-"&amp;V$7,SUP!$B$54:$Q$54,0),FALSE),""))</f>
        <v/>
      </c>
      <c r="W91" s="441" t="str">
        <f ca="1">IF(IFERROR(VLOOKUP($C91,SUP!$B$54:$Q$104,MATCH($B91&amp;"-"&amp;W$7,SUP!$B$54:$Q$54,0),FALSE),"")="","",IFERROR(VLOOKUP($C91,SUP!$B$54:$Q$104,MATCH($B91&amp;"-"&amp;W$7,SUP!$B$54:$Q$54,0),FALSE),""))</f>
        <v/>
      </c>
      <c r="X91" s="441" t="str">
        <f ca="1">IF(IFERROR(VLOOKUP($C91,SUP!$B$54:$Q$104,MATCH($B91&amp;"-"&amp;X$7,SUP!$B$54:$Q$54,0),FALSE),"")="","",IFERROR(VLOOKUP($C91,SUP!$B$54:$Q$104,MATCH($B91&amp;"-"&amp;X$7,SUP!$B$54:$Q$54,0),FALSE),""))</f>
        <v/>
      </c>
      <c r="Y91" s="441" t="str">
        <f ca="1">IF(IFERROR(VLOOKUP($C91,SUP!$B$54:$Q$104,MATCH($B91&amp;"-"&amp;Y$7,SUP!$B$54:$Q$54,0),FALSE),"")="","",IFERROR(VLOOKUP($C91,SUP!$B$54:$Q$104,MATCH($B91&amp;"-"&amp;Y$7,SUP!$B$54:$Q$54,0),FALSE),""))</f>
        <v/>
      </c>
      <c r="Z91" s="441" t="str">
        <f ca="1">IF(IFERROR(VLOOKUP($C91,SUP!$B$54:$Q$104,MATCH($B91&amp;"-"&amp;Z$7,SUP!$B$54:$Q$54,0),FALSE),"")="","",IFERROR(VLOOKUP($C91,SUP!$B$54:$Q$104,MATCH($B91&amp;"-"&amp;Z$7,SUP!$B$54:$Q$54,0),FALSE),""))</f>
        <v/>
      </c>
      <c r="AA91" s="441" t="str">
        <f ca="1">IF(IFERROR(VLOOKUP($C91,SUP!$B$54:$Q$104,MATCH($B91&amp;"-"&amp;AA$7,SUP!$B$54:$Q$54,0),FALSE),"")="","",IFERROR(VLOOKUP($C91,SUP!$B$54:$Q$104,MATCH($B91&amp;"-"&amp;AA$7,SUP!$B$54:$Q$54,0),FALSE),""))</f>
        <v/>
      </c>
      <c r="AB91" s="441" t="str">
        <f ca="1">IF(IFERROR(VLOOKUP($C91,SUP!$B$54:$Q$104,MATCH($B91&amp;"-"&amp;AB$7,SUP!$B$54:$Q$54,0),FALSE),"")="","",IFERROR(VLOOKUP($C91,SUP!$B$54:$Q$104,MATCH($B91&amp;"-"&amp;AB$7,SUP!$B$54:$Q$54,0),FALSE),""))</f>
        <v/>
      </c>
      <c r="AC91" s="441" t="str">
        <f ca="1">IF(IFERROR(VLOOKUP($C91,SUP!$B$54:$Q$104,MATCH($B91&amp;"-"&amp;AC$7,SUP!$B$54:$Q$54,0),FALSE),"")="","",IFERROR(VLOOKUP($C91,SUP!$B$54:$Q$104,MATCH($B91&amp;"-"&amp;AC$7,SUP!$B$54:$Q$54,0),FALSE),""))</f>
        <v/>
      </c>
      <c r="AD91" s="441" t="str">
        <f ca="1">IF(IFERROR(VLOOKUP($C91,SUP!$B$54:$Q$104,MATCH($B91&amp;"-"&amp;AD$7,SUP!$B$54:$Q$54,0),FALSE),"")="","",IFERROR(VLOOKUP($C91,SUP!$B$54:$Q$104,MATCH($B91&amp;"-"&amp;AD$7,SUP!$B$54:$Q$54,0),FALSE),""))</f>
        <v/>
      </c>
      <c r="AE91" s="441" t="str">
        <f ca="1">IF(IFERROR(VLOOKUP($C91,SUP!$B$54:$Q$104,MATCH($B91&amp;"-"&amp;AE$7,SUP!$B$54:$Q$54,0),FALSE),"")="","",IFERROR(VLOOKUP($C91,SUP!$B$54:$Q$104,MATCH($B91&amp;"-"&amp;AE$7,SUP!$B$54:$Q$54,0),FALSE),""))</f>
        <v/>
      </c>
      <c r="AF91" s="441" t="str">
        <f ca="1">IF(IFERROR(VLOOKUP($C91,SUP!$B$54:$Q$104,MATCH($B91&amp;"-"&amp;AF$7,SUP!$B$54:$Q$54,0),FALSE),"")="","",IFERROR(VLOOKUP($C91,SUP!$B$54:$Q$104,MATCH($B91&amp;"-"&amp;AF$7,SUP!$B$54:$Q$54,0),FALSE),""))</f>
        <v/>
      </c>
      <c r="AG91" s="441" t="str">
        <f ca="1">IF(IFERROR(VLOOKUP($C91,SUP!$B$54:$Q$104,MATCH($B91&amp;"-"&amp;AG$7,SUP!$B$54:$Q$54,0),FALSE),"")="","",IFERROR(VLOOKUP($C91,SUP!$B$54:$Q$104,MATCH($B91&amp;"-"&amp;AG$7,SUP!$B$54:$Q$54,0),FALSE),""))</f>
        <v/>
      </c>
      <c r="AH91" s="441" t="str">
        <f ca="1">IF(IFERROR(VLOOKUP($C91,SUP!$B$54:$Q$104,MATCH($B91&amp;"-"&amp;AH$7,SUP!$B$54:$Q$54,0),FALSE),"")="","",IFERROR(VLOOKUP($C91,SUP!$B$54:$Q$104,MATCH($B91&amp;"-"&amp;AH$7,SUP!$B$54:$Q$54,0),FALSE),""))</f>
        <v/>
      </c>
      <c r="AI91" s="441"/>
      <c r="AJ91" s="441"/>
      <c r="AK91" s="441"/>
      <c r="AL91" s="441"/>
      <c r="AM91" s="441" t="str">
        <f ca="1">IF(IFERROR(VLOOKUP($C91,SUP!$B$54:$Q$104,MATCH($B91&amp;"-"&amp;AM$7,SUP!$B$54:$Q$54,0),FALSE),"")="","",IFERROR(VLOOKUP($C91,SUP!$B$54:$Q$104,MATCH($B91&amp;"-"&amp;AM$7,SUP!$B$54:$Q$54,0),FALSE),""))</f>
        <v/>
      </c>
      <c r="AN91" s="441"/>
      <c r="AO91" s="441"/>
      <c r="AR91" s="42">
        <f>IF(AS90=SUP!$B$104,AR90+1,AR90)</f>
        <v>2</v>
      </c>
      <c r="AS91" s="42">
        <f t="shared" si="11"/>
        <v>32</v>
      </c>
    </row>
    <row r="92" spans="1:45">
      <c r="A92" s="42" t="str">
        <f ca="1">IF(LEFT(OFFSET(SUP!$A$57,AS92,0),2)="\I","*","")</f>
        <v/>
      </c>
      <c r="B92" s="440" t="str">
        <f t="shared" ca="1" si="9"/>
        <v>ACT_BND</v>
      </c>
      <c r="C92" s="440" t="str">
        <f ca="1">IF($A92="*","",OFFSET(SUP!$B$57,AS92,0))</f>
        <v>MIRCRB</v>
      </c>
      <c r="D92" s="440" t="str">
        <f t="shared" ca="1" si="7"/>
        <v>-</v>
      </c>
      <c r="E92" s="440" t="str">
        <f t="shared" ca="1" si="7"/>
        <v>-</v>
      </c>
      <c r="F92" s="440" t="str">
        <f t="shared" ca="1" si="7"/>
        <v>-</v>
      </c>
      <c r="G92" s="440" t="str">
        <f t="shared" ref="D92:G106" ca="1" si="12">IF($A92="*","",VLOOKUP($B92,$B$10:$I$11,G$9,FALSE))</f>
        <v>ANNUAL</v>
      </c>
      <c r="H92" s="440" t="str">
        <f t="shared" ca="1" si="10"/>
        <v>UP</v>
      </c>
      <c r="I92" s="441" t="str">
        <f ca="1">IF(IFERROR(VLOOKUP($C92,SUP!$B$54:$Q$104,MATCH($B92&amp;"-"&amp;I$7,SUP!$B$54:$Q$54,0),FALSE),"")="","",IFERROR(VLOOKUP($C92,SUP!$B$54:$Q$104,MATCH($B92&amp;"-"&amp;I$7,SUP!$B$54:$Q$54,0),FALSE),""))</f>
        <v/>
      </c>
      <c r="J92" s="441" t="str">
        <f ca="1">IF(IFERROR(VLOOKUP($C92,SUP!$B$54:$Q$104,MATCH($B92&amp;"-"&amp;J$7,SUP!$B$54:$Q$54,0),FALSE),"")="","",IFERROR(VLOOKUP($C92,SUP!$B$54:$Q$104,MATCH($B92&amp;"-"&amp;J$7,SUP!$B$54:$Q$54,0),FALSE),""))</f>
        <v/>
      </c>
      <c r="K92" s="441" t="str">
        <f ca="1">IF(IFERROR(VLOOKUP($C92,SUP!$B$54:$Q$104,MATCH($B92&amp;"-"&amp;K$7,SUP!$B$54:$Q$54,0),FALSE),"")="","",IFERROR(VLOOKUP($C92,SUP!$B$54:$Q$104,MATCH($B92&amp;"-"&amp;K$7,SUP!$B$54:$Q$54,0),FALSE),""))</f>
        <v/>
      </c>
      <c r="L92" s="441" t="str">
        <f ca="1">IF(IFERROR(VLOOKUP($C92,SUP!$B$54:$Q$104,MATCH($B92&amp;"-"&amp;L$7,SUP!$B$54:$Q$54,0),FALSE),"")="","",IFERROR(VLOOKUP($C92,SUP!$B$54:$Q$104,MATCH($B92&amp;"-"&amp;L$7,SUP!$B$54:$Q$54,0),FALSE),""))</f>
        <v/>
      </c>
      <c r="M92" s="441" t="str">
        <f ca="1">IF(IFERROR(VLOOKUP($C92,SUP!$B$54:$Q$104,MATCH($B92&amp;"-"&amp;M$7,SUP!$B$54:$Q$54,0),FALSE),"")="","",IFERROR(VLOOKUP($C92,SUP!$B$54:$Q$104,MATCH($B92&amp;"-"&amp;M$7,SUP!$B$54:$Q$54,0),FALSE),""))</f>
        <v/>
      </c>
      <c r="N92" s="441" t="str">
        <f ca="1">IF(IFERROR(VLOOKUP($C92,SUP!$B$54:$Q$104,MATCH($B92&amp;"-"&amp;N$7,SUP!$B$54:$Q$54,0),FALSE),"")="","",IFERROR(VLOOKUP($C92,SUP!$B$54:$Q$104,MATCH($B92&amp;"-"&amp;N$7,SUP!$B$54:$Q$54,0),FALSE),""))</f>
        <v/>
      </c>
      <c r="O92" s="441" t="str">
        <f ca="1">IF(IFERROR(VLOOKUP($C92,SUP!$B$54:$Q$104,MATCH($B92&amp;"-"&amp;O$7,SUP!$B$54:$Q$54,0),FALSE),"")="","",IFERROR(VLOOKUP($C92,SUP!$B$54:$Q$104,MATCH($B92&amp;"-"&amp;O$7,SUP!$B$54:$Q$54,0),FALSE),""))</f>
        <v/>
      </c>
      <c r="P92" s="441" t="str">
        <f ca="1">IF(IFERROR(VLOOKUP($C92,SUP!$B$54:$Q$104,MATCH($B92&amp;"-"&amp;P$7,SUP!$B$54:$Q$54,0),FALSE),"")="","",IFERROR(VLOOKUP($C92,SUP!$B$54:$Q$104,MATCH($B92&amp;"-"&amp;P$7,SUP!$B$54:$Q$54,0),FALSE),""))</f>
        <v/>
      </c>
      <c r="Q92" s="441" t="str">
        <f ca="1">IF(IFERROR(VLOOKUP($C92,SUP!$B$54:$Q$104,MATCH($B92&amp;"-"&amp;Q$7,SUP!$B$54:$Q$54,0),FALSE),"")="","",IFERROR(VLOOKUP($C92,SUP!$B$54:$Q$104,MATCH($B92&amp;"-"&amp;Q$7,SUP!$B$54:$Q$54,0),FALSE),""))</f>
        <v/>
      </c>
      <c r="R92" s="441" t="str">
        <f ca="1">IF(IFERROR(VLOOKUP($C92,SUP!$B$54:$Q$104,MATCH($B92&amp;"-"&amp;R$7,SUP!$B$54:$Q$54,0),FALSE),"")="","",IFERROR(VLOOKUP($C92,SUP!$B$54:$Q$104,MATCH($B92&amp;"-"&amp;R$7,SUP!$B$54:$Q$54,0),FALSE),""))</f>
        <v/>
      </c>
      <c r="S92" s="441" t="str">
        <f ca="1">IF(IFERROR(VLOOKUP($C92,SUP!$B$54:$Q$104,MATCH($B92&amp;"-"&amp;S$7,SUP!$B$54:$Q$54,0),FALSE),"")="","",IFERROR(VLOOKUP($C92,SUP!$B$54:$Q$104,MATCH($B92&amp;"-"&amp;S$7,SUP!$B$54:$Q$54,0),FALSE),""))</f>
        <v/>
      </c>
      <c r="T92" s="441" t="str">
        <f ca="1">IF(IFERROR(VLOOKUP($C92,SUP!$B$54:$Q$104,MATCH($B92&amp;"-"&amp;T$7,SUP!$B$54:$Q$54,0),FALSE),"")="","",IFERROR(VLOOKUP($C92,SUP!$B$54:$Q$104,MATCH($B92&amp;"-"&amp;T$7,SUP!$B$54:$Q$54,0),FALSE),""))</f>
        <v/>
      </c>
      <c r="U92" s="441" t="str">
        <f ca="1">IF(IFERROR(VLOOKUP($C92,SUP!$B$54:$Q$104,MATCH($B92&amp;"-"&amp;U$7,SUP!$B$54:$Q$54,0),FALSE),"")="","",IFERROR(VLOOKUP($C92,SUP!$B$54:$Q$104,MATCH($B92&amp;"-"&amp;U$7,SUP!$B$54:$Q$54,0),FALSE),""))</f>
        <v/>
      </c>
      <c r="V92" s="441" t="str">
        <f ca="1">IF(IFERROR(VLOOKUP($C92,SUP!$B$54:$Q$104,MATCH($B92&amp;"-"&amp;V$7,SUP!$B$54:$Q$54,0),FALSE),"")="","",IFERROR(VLOOKUP($C92,SUP!$B$54:$Q$104,MATCH($B92&amp;"-"&amp;V$7,SUP!$B$54:$Q$54,0),FALSE),""))</f>
        <v/>
      </c>
      <c r="W92" s="441" t="str">
        <f ca="1">IF(IFERROR(VLOOKUP($C92,SUP!$B$54:$Q$104,MATCH($B92&amp;"-"&amp;W$7,SUP!$B$54:$Q$54,0),FALSE),"")="","",IFERROR(VLOOKUP($C92,SUP!$B$54:$Q$104,MATCH($B92&amp;"-"&amp;W$7,SUP!$B$54:$Q$54,0),FALSE),""))</f>
        <v/>
      </c>
      <c r="X92" s="441" t="str">
        <f ca="1">IF(IFERROR(VLOOKUP($C92,SUP!$B$54:$Q$104,MATCH($B92&amp;"-"&amp;X$7,SUP!$B$54:$Q$54,0),FALSE),"")="","",IFERROR(VLOOKUP($C92,SUP!$B$54:$Q$104,MATCH($B92&amp;"-"&amp;X$7,SUP!$B$54:$Q$54,0),FALSE),""))</f>
        <v/>
      </c>
      <c r="Y92" s="441" t="str">
        <f ca="1">IF(IFERROR(VLOOKUP($C92,SUP!$B$54:$Q$104,MATCH($B92&amp;"-"&amp;Y$7,SUP!$B$54:$Q$54,0),FALSE),"")="","",IFERROR(VLOOKUP($C92,SUP!$B$54:$Q$104,MATCH($B92&amp;"-"&amp;Y$7,SUP!$B$54:$Q$54,0),FALSE),""))</f>
        <v/>
      </c>
      <c r="Z92" s="441" t="str">
        <f ca="1">IF(IFERROR(VLOOKUP($C92,SUP!$B$54:$Q$104,MATCH($B92&amp;"-"&amp;Z$7,SUP!$B$54:$Q$54,0),FALSE),"")="","",IFERROR(VLOOKUP($C92,SUP!$B$54:$Q$104,MATCH($B92&amp;"-"&amp;Z$7,SUP!$B$54:$Q$54,0),FALSE),""))</f>
        <v/>
      </c>
      <c r="AA92" s="441" t="str">
        <f ca="1">IF(IFERROR(VLOOKUP($C92,SUP!$B$54:$Q$104,MATCH($B92&amp;"-"&amp;AA$7,SUP!$B$54:$Q$54,0),FALSE),"")="","",IFERROR(VLOOKUP($C92,SUP!$B$54:$Q$104,MATCH($B92&amp;"-"&amp;AA$7,SUP!$B$54:$Q$54,0),FALSE),""))</f>
        <v/>
      </c>
      <c r="AB92" s="441" t="str">
        <f ca="1">IF(IFERROR(VLOOKUP($C92,SUP!$B$54:$Q$104,MATCH($B92&amp;"-"&amp;AB$7,SUP!$B$54:$Q$54,0),FALSE),"")="","",IFERROR(VLOOKUP($C92,SUP!$B$54:$Q$104,MATCH($B92&amp;"-"&amp;AB$7,SUP!$B$54:$Q$54,0),FALSE),""))</f>
        <v/>
      </c>
      <c r="AC92" s="441" t="str">
        <f ca="1">IF(IFERROR(VLOOKUP($C92,SUP!$B$54:$Q$104,MATCH($B92&amp;"-"&amp;AC$7,SUP!$B$54:$Q$54,0),FALSE),"")="","",IFERROR(VLOOKUP($C92,SUP!$B$54:$Q$104,MATCH($B92&amp;"-"&amp;AC$7,SUP!$B$54:$Q$54,0),FALSE),""))</f>
        <v/>
      </c>
      <c r="AD92" s="441" t="str">
        <f ca="1">IF(IFERROR(VLOOKUP($C92,SUP!$B$54:$Q$104,MATCH($B92&amp;"-"&amp;AD$7,SUP!$B$54:$Q$54,0),FALSE),"")="","",IFERROR(VLOOKUP($C92,SUP!$B$54:$Q$104,MATCH($B92&amp;"-"&amp;AD$7,SUP!$B$54:$Q$54,0),FALSE),""))</f>
        <v/>
      </c>
      <c r="AE92" s="441" t="str">
        <f ca="1">IF(IFERROR(VLOOKUP($C92,SUP!$B$54:$Q$104,MATCH($B92&amp;"-"&amp;AE$7,SUP!$B$54:$Q$54,0),FALSE),"")="","",IFERROR(VLOOKUP($C92,SUP!$B$54:$Q$104,MATCH($B92&amp;"-"&amp;AE$7,SUP!$B$54:$Q$54,0),FALSE),""))</f>
        <v/>
      </c>
      <c r="AF92" s="441" t="str">
        <f ca="1">IF(IFERROR(VLOOKUP($C92,SUP!$B$54:$Q$104,MATCH($B92&amp;"-"&amp;AF$7,SUP!$B$54:$Q$54,0),FALSE),"")="","",IFERROR(VLOOKUP($C92,SUP!$B$54:$Q$104,MATCH($B92&amp;"-"&amp;AF$7,SUP!$B$54:$Q$54,0),FALSE),""))</f>
        <v/>
      </c>
      <c r="AG92" s="441" t="str">
        <f ca="1">IF(IFERROR(VLOOKUP($C92,SUP!$B$54:$Q$104,MATCH($B92&amp;"-"&amp;AG$7,SUP!$B$54:$Q$54,0),FALSE),"")="","",IFERROR(VLOOKUP($C92,SUP!$B$54:$Q$104,MATCH($B92&amp;"-"&amp;AG$7,SUP!$B$54:$Q$54,0),FALSE),""))</f>
        <v/>
      </c>
      <c r="AH92" s="441" t="str">
        <f ca="1">IF(IFERROR(VLOOKUP($C92,SUP!$B$54:$Q$104,MATCH($B92&amp;"-"&amp;AH$7,SUP!$B$54:$Q$54,0),FALSE),"")="","",IFERROR(VLOOKUP($C92,SUP!$B$54:$Q$104,MATCH($B92&amp;"-"&amp;AH$7,SUP!$B$54:$Q$54,0),FALSE),""))</f>
        <v/>
      </c>
      <c r="AI92" s="441"/>
      <c r="AJ92" s="441"/>
      <c r="AK92" s="441"/>
      <c r="AL92" s="441"/>
      <c r="AM92" s="441" t="str">
        <f ca="1">IF(IFERROR(VLOOKUP($C92,SUP!$B$54:$Q$104,MATCH($B92&amp;"-"&amp;AM$7,SUP!$B$54:$Q$54,0),FALSE),"")="","",IFERROR(VLOOKUP($C92,SUP!$B$54:$Q$104,MATCH($B92&amp;"-"&amp;AM$7,SUP!$B$54:$Q$54,0),FALSE),""))</f>
        <v/>
      </c>
      <c r="AN92" s="441"/>
      <c r="AO92" s="441"/>
      <c r="AR92" s="42">
        <f>IF(AS91=SUP!$B$104,AR91+1,AR91)</f>
        <v>2</v>
      </c>
      <c r="AS92" s="42">
        <f t="shared" si="11"/>
        <v>33</v>
      </c>
    </row>
    <row r="93" spans="1:45">
      <c r="A93" s="42" t="str">
        <f ca="1">IF(LEFT(OFFSET(SUP!$A$57,AS93,0),2)="\I","*","")</f>
        <v/>
      </c>
      <c r="B93" s="440" t="str">
        <f t="shared" ca="1" si="9"/>
        <v>ACT_BND</v>
      </c>
      <c r="C93" s="440" t="str">
        <f ca="1">IF($A93="*","",OFFSET(SUP!$B$57,AS93,0))</f>
        <v>MIRGRN</v>
      </c>
      <c r="D93" s="440" t="str">
        <f t="shared" ca="1" si="12"/>
        <v>-</v>
      </c>
      <c r="E93" s="440" t="str">
        <f t="shared" ca="1" si="12"/>
        <v>-</v>
      </c>
      <c r="F93" s="440" t="str">
        <f t="shared" ca="1" si="12"/>
        <v>-</v>
      </c>
      <c r="G93" s="440" t="str">
        <f t="shared" ca="1" si="12"/>
        <v>ANNUAL</v>
      </c>
      <c r="H93" s="440" t="str">
        <f t="shared" ca="1" si="10"/>
        <v>UP</v>
      </c>
      <c r="I93" s="441" t="str">
        <f ca="1">IF(IFERROR(VLOOKUP($C93,SUP!$B$54:$Q$104,MATCH($B93&amp;"-"&amp;I$7,SUP!$B$54:$Q$54,0),FALSE),"")="","",IFERROR(VLOOKUP($C93,SUP!$B$54:$Q$104,MATCH($B93&amp;"-"&amp;I$7,SUP!$B$54:$Q$54,0),FALSE),""))</f>
        <v/>
      </c>
      <c r="J93" s="441" t="str">
        <f ca="1">IF(IFERROR(VLOOKUP($C93,SUP!$B$54:$Q$104,MATCH($B93&amp;"-"&amp;J$7,SUP!$B$54:$Q$54,0),FALSE),"")="","",IFERROR(VLOOKUP($C93,SUP!$B$54:$Q$104,MATCH($B93&amp;"-"&amp;J$7,SUP!$B$54:$Q$54,0),FALSE),""))</f>
        <v/>
      </c>
      <c r="K93" s="441" t="str">
        <f ca="1">IF(IFERROR(VLOOKUP($C93,SUP!$B$54:$Q$104,MATCH($B93&amp;"-"&amp;K$7,SUP!$B$54:$Q$54,0),FALSE),"")="","",IFERROR(VLOOKUP($C93,SUP!$B$54:$Q$104,MATCH($B93&amp;"-"&amp;K$7,SUP!$B$54:$Q$54,0),FALSE),""))</f>
        <v/>
      </c>
      <c r="L93" s="441" t="str">
        <f ca="1">IF(IFERROR(VLOOKUP($C93,SUP!$B$54:$Q$104,MATCH($B93&amp;"-"&amp;L$7,SUP!$B$54:$Q$54,0),FALSE),"")="","",IFERROR(VLOOKUP($C93,SUP!$B$54:$Q$104,MATCH($B93&amp;"-"&amp;L$7,SUP!$B$54:$Q$54,0),FALSE),""))</f>
        <v/>
      </c>
      <c r="M93" s="441" t="str">
        <f ca="1">IF(IFERROR(VLOOKUP($C93,SUP!$B$54:$Q$104,MATCH($B93&amp;"-"&amp;M$7,SUP!$B$54:$Q$54,0),FALSE),"")="","",IFERROR(VLOOKUP($C93,SUP!$B$54:$Q$104,MATCH($B93&amp;"-"&amp;M$7,SUP!$B$54:$Q$54,0),FALSE),""))</f>
        <v/>
      </c>
      <c r="N93" s="441" t="str">
        <f ca="1">IF(IFERROR(VLOOKUP($C93,SUP!$B$54:$Q$104,MATCH($B93&amp;"-"&amp;N$7,SUP!$B$54:$Q$54,0),FALSE),"")="","",IFERROR(VLOOKUP($C93,SUP!$B$54:$Q$104,MATCH($B93&amp;"-"&amp;N$7,SUP!$B$54:$Q$54,0),FALSE),""))</f>
        <v/>
      </c>
      <c r="O93" s="441" t="str">
        <f ca="1">IF(IFERROR(VLOOKUP($C93,SUP!$B$54:$Q$104,MATCH($B93&amp;"-"&amp;O$7,SUP!$B$54:$Q$54,0),FALSE),"")="","",IFERROR(VLOOKUP($C93,SUP!$B$54:$Q$104,MATCH($B93&amp;"-"&amp;O$7,SUP!$B$54:$Q$54,0),FALSE),""))</f>
        <v/>
      </c>
      <c r="P93" s="441" t="str">
        <f ca="1">IF(IFERROR(VLOOKUP($C93,SUP!$B$54:$Q$104,MATCH($B93&amp;"-"&amp;P$7,SUP!$B$54:$Q$54,0),FALSE),"")="","",IFERROR(VLOOKUP($C93,SUP!$B$54:$Q$104,MATCH($B93&amp;"-"&amp;P$7,SUP!$B$54:$Q$54,0),FALSE),""))</f>
        <v/>
      </c>
      <c r="Q93" s="441" t="str">
        <f ca="1">IF(IFERROR(VLOOKUP($C93,SUP!$B$54:$Q$104,MATCH($B93&amp;"-"&amp;Q$7,SUP!$B$54:$Q$54,0),FALSE),"")="","",IFERROR(VLOOKUP($C93,SUP!$B$54:$Q$104,MATCH($B93&amp;"-"&amp;Q$7,SUP!$B$54:$Q$54,0),FALSE),""))</f>
        <v/>
      </c>
      <c r="R93" s="441" t="str">
        <f ca="1">IF(IFERROR(VLOOKUP($C93,SUP!$B$54:$Q$104,MATCH($B93&amp;"-"&amp;R$7,SUP!$B$54:$Q$54,0),FALSE),"")="","",IFERROR(VLOOKUP($C93,SUP!$B$54:$Q$104,MATCH($B93&amp;"-"&amp;R$7,SUP!$B$54:$Q$54,0),FALSE),""))</f>
        <v/>
      </c>
      <c r="S93" s="441" t="str">
        <f ca="1">IF(IFERROR(VLOOKUP($C93,SUP!$B$54:$Q$104,MATCH($B93&amp;"-"&amp;S$7,SUP!$B$54:$Q$54,0),FALSE),"")="","",IFERROR(VLOOKUP($C93,SUP!$B$54:$Q$104,MATCH($B93&amp;"-"&amp;S$7,SUP!$B$54:$Q$54,0),FALSE),""))</f>
        <v/>
      </c>
      <c r="T93" s="441" t="str">
        <f ca="1">IF(IFERROR(VLOOKUP($C93,SUP!$B$54:$Q$104,MATCH($B93&amp;"-"&amp;T$7,SUP!$B$54:$Q$54,0),FALSE),"")="","",IFERROR(VLOOKUP($C93,SUP!$B$54:$Q$104,MATCH($B93&amp;"-"&amp;T$7,SUP!$B$54:$Q$54,0),FALSE),""))</f>
        <v/>
      </c>
      <c r="U93" s="441" t="str">
        <f ca="1">IF(IFERROR(VLOOKUP($C93,SUP!$B$54:$Q$104,MATCH($B93&amp;"-"&amp;U$7,SUP!$B$54:$Q$54,0),FALSE),"")="","",IFERROR(VLOOKUP($C93,SUP!$B$54:$Q$104,MATCH($B93&amp;"-"&amp;U$7,SUP!$B$54:$Q$54,0),FALSE),""))</f>
        <v/>
      </c>
      <c r="V93" s="441" t="str">
        <f ca="1">IF(IFERROR(VLOOKUP($C93,SUP!$B$54:$Q$104,MATCH($B93&amp;"-"&amp;V$7,SUP!$B$54:$Q$54,0),FALSE),"")="","",IFERROR(VLOOKUP($C93,SUP!$B$54:$Q$104,MATCH($B93&amp;"-"&amp;V$7,SUP!$B$54:$Q$54,0),FALSE),""))</f>
        <v/>
      </c>
      <c r="W93" s="441" t="str">
        <f ca="1">IF(IFERROR(VLOOKUP($C93,SUP!$B$54:$Q$104,MATCH($B93&amp;"-"&amp;W$7,SUP!$B$54:$Q$54,0),FALSE),"")="","",IFERROR(VLOOKUP($C93,SUP!$B$54:$Q$104,MATCH($B93&amp;"-"&amp;W$7,SUP!$B$54:$Q$54,0),FALSE),""))</f>
        <v/>
      </c>
      <c r="X93" s="441" t="str">
        <f ca="1">IF(IFERROR(VLOOKUP($C93,SUP!$B$54:$Q$104,MATCH($B93&amp;"-"&amp;X$7,SUP!$B$54:$Q$54,0),FALSE),"")="","",IFERROR(VLOOKUP($C93,SUP!$B$54:$Q$104,MATCH($B93&amp;"-"&amp;X$7,SUP!$B$54:$Q$54,0),FALSE),""))</f>
        <v/>
      </c>
      <c r="Y93" s="441" t="str">
        <f ca="1">IF(IFERROR(VLOOKUP($C93,SUP!$B$54:$Q$104,MATCH($B93&amp;"-"&amp;Y$7,SUP!$B$54:$Q$54,0),FALSE),"")="","",IFERROR(VLOOKUP($C93,SUP!$B$54:$Q$104,MATCH($B93&amp;"-"&amp;Y$7,SUP!$B$54:$Q$54,0),FALSE),""))</f>
        <v/>
      </c>
      <c r="Z93" s="441" t="str">
        <f ca="1">IF(IFERROR(VLOOKUP($C93,SUP!$B$54:$Q$104,MATCH($B93&amp;"-"&amp;Z$7,SUP!$B$54:$Q$54,0),FALSE),"")="","",IFERROR(VLOOKUP($C93,SUP!$B$54:$Q$104,MATCH($B93&amp;"-"&amp;Z$7,SUP!$B$54:$Q$54,0),FALSE),""))</f>
        <v/>
      </c>
      <c r="AA93" s="441" t="str">
        <f ca="1">IF(IFERROR(VLOOKUP($C93,SUP!$B$54:$Q$104,MATCH($B93&amp;"-"&amp;AA$7,SUP!$B$54:$Q$54,0),FALSE),"")="","",IFERROR(VLOOKUP($C93,SUP!$B$54:$Q$104,MATCH($B93&amp;"-"&amp;AA$7,SUP!$B$54:$Q$54,0),FALSE),""))</f>
        <v/>
      </c>
      <c r="AB93" s="441" t="str">
        <f ca="1">IF(IFERROR(VLOOKUP($C93,SUP!$B$54:$Q$104,MATCH($B93&amp;"-"&amp;AB$7,SUP!$B$54:$Q$54,0),FALSE),"")="","",IFERROR(VLOOKUP($C93,SUP!$B$54:$Q$104,MATCH($B93&amp;"-"&amp;AB$7,SUP!$B$54:$Q$54,0),FALSE),""))</f>
        <v/>
      </c>
      <c r="AC93" s="441" t="str">
        <f ca="1">IF(IFERROR(VLOOKUP($C93,SUP!$B$54:$Q$104,MATCH($B93&amp;"-"&amp;AC$7,SUP!$B$54:$Q$54,0),FALSE),"")="","",IFERROR(VLOOKUP($C93,SUP!$B$54:$Q$104,MATCH($B93&amp;"-"&amp;AC$7,SUP!$B$54:$Q$54,0),FALSE),""))</f>
        <v/>
      </c>
      <c r="AD93" s="441" t="str">
        <f ca="1">IF(IFERROR(VLOOKUP($C93,SUP!$B$54:$Q$104,MATCH($B93&amp;"-"&amp;AD$7,SUP!$B$54:$Q$54,0),FALSE),"")="","",IFERROR(VLOOKUP($C93,SUP!$B$54:$Q$104,MATCH($B93&amp;"-"&amp;AD$7,SUP!$B$54:$Q$54,0),FALSE),""))</f>
        <v/>
      </c>
      <c r="AE93" s="441" t="str">
        <f ca="1">IF(IFERROR(VLOOKUP($C93,SUP!$B$54:$Q$104,MATCH($B93&amp;"-"&amp;AE$7,SUP!$B$54:$Q$54,0),FALSE),"")="","",IFERROR(VLOOKUP($C93,SUP!$B$54:$Q$104,MATCH($B93&amp;"-"&amp;AE$7,SUP!$B$54:$Q$54,0),FALSE),""))</f>
        <v/>
      </c>
      <c r="AF93" s="441" t="str">
        <f ca="1">IF(IFERROR(VLOOKUP($C93,SUP!$B$54:$Q$104,MATCH($B93&amp;"-"&amp;AF$7,SUP!$B$54:$Q$54,0),FALSE),"")="","",IFERROR(VLOOKUP($C93,SUP!$B$54:$Q$104,MATCH($B93&amp;"-"&amp;AF$7,SUP!$B$54:$Q$54,0),FALSE),""))</f>
        <v/>
      </c>
      <c r="AG93" s="441" t="str">
        <f ca="1">IF(IFERROR(VLOOKUP($C93,SUP!$B$54:$Q$104,MATCH($B93&amp;"-"&amp;AG$7,SUP!$B$54:$Q$54,0),FALSE),"")="","",IFERROR(VLOOKUP($C93,SUP!$B$54:$Q$104,MATCH($B93&amp;"-"&amp;AG$7,SUP!$B$54:$Q$54,0),FALSE),""))</f>
        <v/>
      </c>
      <c r="AH93" s="441" t="str">
        <f ca="1">IF(IFERROR(VLOOKUP($C93,SUP!$B$54:$Q$104,MATCH($B93&amp;"-"&amp;AH$7,SUP!$B$54:$Q$54,0),FALSE),"")="","",IFERROR(VLOOKUP($C93,SUP!$B$54:$Q$104,MATCH($B93&amp;"-"&amp;AH$7,SUP!$B$54:$Q$54,0),FALSE),""))</f>
        <v/>
      </c>
      <c r="AI93" s="441"/>
      <c r="AJ93" s="441"/>
      <c r="AK93" s="441"/>
      <c r="AL93" s="441"/>
      <c r="AM93" s="441" t="str">
        <f ca="1">IF(IFERROR(VLOOKUP($C93,SUP!$B$54:$Q$104,MATCH($B93&amp;"-"&amp;AM$7,SUP!$B$54:$Q$54,0),FALSE),"")="","",IFERROR(VLOOKUP($C93,SUP!$B$54:$Q$104,MATCH($B93&amp;"-"&amp;AM$7,SUP!$B$54:$Q$54,0),FALSE),""))</f>
        <v/>
      </c>
      <c r="AN93" s="441"/>
      <c r="AO93" s="441"/>
      <c r="AR93" s="42">
        <f>IF(AS92=SUP!$B$104,AR92+1,AR92)</f>
        <v>2</v>
      </c>
      <c r="AS93" s="42">
        <f t="shared" si="11"/>
        <v>34</v>
      </c>
    </row>
    <row r="94" spans="1:45">
      <c r="A94" s="42" t="str">
        <f ca="1">IF(LEFT(OFFSET(SUP!$A$57,AS94,0),2)="\I","*","")</f>
        <v/>
      </c>
      <c r="B94" s="440" t="str">
        <f t="shared" ca="1" si="9"/>
        <v>ACT_BND</v>
      </c>
      <c r="C94" s="440" t="str">
        <f ca="1">IF($A94="*","",OFFSET(SUP!$B$57,AS94,0))</f>
        <v>MIRGRS</v>
      </c>
      <c r="D94" s="440" t="str">
        <f t="shared" ca="1" si="12"/>
        <v>-</v>
      </c>
      <c r="E94" s="440" t="str">
        <f t="shared" ca="1" si="12"/>
        <v>-</v>
      </c>
      <c r="F94" s="440" t="str">
        <f t="shared" ca="1" si="12"/>
        <v>-</v>
      </c>
      <c r="G94" s="440" t="str">
        <f t="shared" ca="1" si="12"/>
        <v>ANNUAL</v>
      </c>
      <c r="H94" s="440" t="str">
        <f t="shared" ca="1" si="10"/>
        <v>UP</v>
      </c>
      <c r="I94" s="441">
        <f ca="1">IF(IFERROR(VLOOKUP($C94,SUP!$B$54:$Q$104,MATCH($B94&amp;"-"&amp;I$7,SUP!$B$54:$Q$54,0),FALSE),"")="","",IFERROR(VLOOKUP($C94,SUP!$B$54:$Q$104,MATCH($B94&amp;"-"&amp;I$7,SUP!$B$54:$Q$54,0),FALSE),""))</f>
        <v>3</v>
      </c>
      <c r="J94" s="441">
        <f ca="1">IF(IFERROR(VLOOKUP($C94,SUP!$B$54:$Q$104,MATCH($B94&amp;"-"&amp;J$7,SUP!$B$54:$Q$54,0),FALSE),"")="","",IFERROR(VLOOKUP($C94,SUP!$B$54:$Q$104,MATCH($B94&amp;"-"&amp;J$7,SUP!$B$54:$Q$54,0),FALSE),""))</f>
        <v>154</v>
      </c>
      <c r="K94" s="441" t="str">
        <f ca="1">IF(IFERROR(VLOOKUP($C94,SUP!$B$54:$Q$104,MATCH($B94&amp;"-"&amp;K$7,SUP!$B$54:$Q$54,0),FALSE),"")="","",IFERROR(VLOOKUP($C94,SUP!$B$54:$Q$104,MATCH($B94&amp;"-"&amp;K$7,SUP!$B$54:$Q$54,0),FALSE),""))</f>
        <v/>
      </c>
      <c r="L94" s="441" t="str">
        <f ca="1">IF(IFERROR(VLOOKUP($C94,SUP!$B$54:$Q$104,MATCH($B94&amp;"-"&amp;L$7,SUP!$B$54:$Q$54,0),FALSE),"")="","",IFERROR(VLOOKUP($C94,SUP!$B$54:$Q$104,MATCH($B94&amp;"-"&amp;L$7,SUP!$B$54:$Q$54,0),FALSE),""))</f>
        <v/>
      </c>
      <c r="M94" s="441">
        <f ca="1">IF(IFERROR(VLOOKUP($C94,SUP!$B$54:$Q$104,MATCH($B94&amp;"-"&amp;M$7,SUP!$B$54:$Q$54,0),FALSE),"")="","",IFERROR(VLOOKUP($C94,SUP!$B$54:$Q$104,MATCH($B94&amp;"-"&amp;M$7,SUP!$B$54:$Q$54,0),FALSE),""))</f>
        <v>116</v>
      </c>
      <c r="N94" s="441" t="str">
        <f ca="1">IF(IFERROR(VLOOKUP($C94,SUP!$B$54:$Q$104,MATCH($B94&amp;"-"&amp;N$7,SUP!$B$54:$Q$54,0),FALSE),"")="","",IFERROR(VLOOKUP($C94,SUP!$B$54:$Q$104,MATCH($B94&amp;"-"&amp;N$7,SUP!$B$54:$Q$54,0),FALSE),""))</f>
        <v/>
      </c>
      <c r="O94" s="441">
        <v>151.28700000000001</v>
      </c>
      <c r="P94" s="441" t="str">
        <f ca="1">IF(IFERROR(VLOOKUP($C94,SUP!$B$54:$Q$104,MATCH($B94&amp;"-"&amp;P$7,SUP!$B$54:$Q$54,0),FALSE),"")="","",IFERROR(VLOOKUP($C94,SUP!$B$54:$Q$104,MATCH($B94&amp;"-"&amp;P$7,SUP!$B$54:$Q$54,0),FALSE),""))</f>
        <v/>
      </c>
      <c r="Q94" s="441" t="str">
        <f ca="1">IF(IFERROR(VLOOKUP($C94,SUP!$B$54:$Q$104,MATCH($B94&amp;"-"&amp;Q$7,SUP!$B$54:$Q$54,0),FALSE),"")="","",IFERROR(VLOOKUP($C94,SUP!$B$54:$Q$104,MATCH($B94&amp;"-"&amp;Q$7,SUP!$B$54:$Q$54,0),FALSE),""))</f>
        <v/>
      </c>
      <c r="R94" s="441">
        <f ca="1">IF(IFERROR(VLOOKUP($C94,SUP!$B$54:$Q$104,MATCH($B94&amp;"-"&amp;R$7,SUP!$B$54:$Q$54,0),FALSE),"")="","",IFERROR(VLOOKUP($C94,SUP!$B$54:$Q$104,MATCH($B94&amp;"-"&amp;R$7,SUP!$B$54:$Q$54,0),FALSE),""))</f>
        <v>156</v>
      </c>
      <c r="S94" s="441" t="str">
        <f ca="1">IF(IFERROR(VLOOKUP($C94,SUP!$B$54:$Q$104,MATCH($B94&amp;"-"&amp;S$7,SUP!$B$54:$Q$54,0),FALSE),"")="","",IFERROR(VLOOKUP($C94,SUP!$B$54:$Q$104,MATCH($B94&amp;"-"&amp;S$7,SUP!$B$54:$Q$54,0),FALSE),""))</f>
        <v/>
      </c>
      <c r="T94" s="441" t="str">
        <f ca="1">IF(IFERROR(VLOOKUP($C94,SUP!$B$54:$Q$104,MATCH($B94&amp;"-"&amp;T$7,SUP!$B$54:$Q$54,0),FALSE),"")="","",IFERROR(VLOOKUP($C94,SUP!$B$54:$Q$104,MATCH($B94&amp;"-"&amp;T$7,SUP!$B$54:$Q$54,0),FALSE),""))</f>
        <v/>
      </c>
      <c r="U94" s="441" t="str">
        <f ca="1">IF(IFERROR(VLOOKUP($C94,SUP!$B$54:$Q$104,MATCH($B94&amp;"-"&amp;U$7,SUP!$B$54:$Q$54,0),FALSE),"")="","",IFERROR(VLOOKUP($C94,SUP!$B$54:$Q$104,MATCH($B94&amp;"-"&amp;U$7,SUP!$B$54:$Q$54,0),FALSE),""))</f>
        <v/>
      </c>
      <c r="V94" s="441" t="str">
        <f ca="1">IF(IFERROR(VLOOKUP($C94,SUP!$B$54:$Q$104,MATCH($B94&amp;"-"&amp;V$7,SUP!$B$54:$Q$54,0),FALSE),"")="","",IFERROR(VLOOKUP($C94,SUP!$B$54:$Q$104,MATCH($B94&amp;"-"&amp;V$7,SUP!$B$54:$Q$54,0),FALSE),""))</f>
        <v/>
      </c>
      <c r="W94" s="441" t="str">
        <f ca="1">IF(IFERROR(VLOOKUP($C94,SUP!$B$54:$Q$104,MATCH($B94&amp;"-"&amp;W$7,SUP!$B$54:$Q$54,0),FALSE),"")="","",IFERROR(VLOOKUP($C94,SUP!$B$54:$Q$104,MATCH($B94&amp;"-"&amp;W$7,SUP!$B$54:$Q$54,0),FALSE),""))</f>
        <v/>
      </c>
      <c r="X94" s="441" t="str">
        <f ca="1">IF(IFERROR(VLOOKUP($C94,SUP!$B$54:$Q$104,MATCH($B94&amp;"-"&amp;X$7,SUP!$B$54:$Q$54,0),FALSE),"")="","",IFERROR(VLOOKUP($C94,SUP!$B$54:$Q$104,MATCH($B94&amp;"-"&amp;X$7,SUP!$B$54:$Q$54,0),FALSE),""))</f>
        <v/>
      </c>
      <c r="Y94" s="441" t="str">
        <f ca="1">IF(IFERROR(VLOOKUP($C94,SUP!$B$54:$Q$104,MATCH($B94&amp;"-"&amp;Y$7,SUP!$B$54:$Q$54,0),FALSE),"")="","",IFERROR(VLOOKUP($C94,SUP!$B$54:$Q$104,MATCH($B94&amp;"-"&amp;Y$7,SUP!$B$54:$Q$54,0),FALSE),""))</f>
        <v/>
      </c>
      <c r="Z94" s="441" t="str">
        <f ca="1">IF(IFERROR(VLOOKUP($C94,SUP!$B$54:$Q$104,MATCH($B94&amp;"-"&amp;Z$7,SUP!$B$54:$Q$54,0),FALSE),"")="","",IFERROR(VLOOKUP($C94,SUP!$B$54:$Q$104,MATCH($B94&amp;"-"&amp;Z$7,SUP!$B$54:$Q$54,0),FALSE),""))</f>
        <v/>
      </c>
      <c r="AA94" s="441" t="str">
        <f ca="1">IF(IFERROR(VLOOKUP($C94,SUP!$B$54:$Q$104,MATCH($B94&amp;"-"&amp;AA$7,SUP!$B$54:$Q$54,0),FALSE),"")="","",IFERROR(VLOOKUP($C94,SUP!$B$54:$Q$104,MATCH($B94&amp;"-"&amp;AA$7,SUP!$B$54:$Q$54,0),FALSE),""))</f>
        <v/>
      </c>
      <c r="AB94" s="441" t="str">
        <f ca="1">IF(IFERROR(VLOOKUP($C94,SUP!$B$54:$Q$104,MATCH($B94&amp;"-"&amp;AB$7,SUP!$B$54:$Q$54,0),FALSE),"")="","",IFERROR(VLOOKUP($C94,SUP!$B$54:$Q$104,MATCH($B94&amp;"-"&amp;AB$7,SUP!$B$54:$Q$54,0),FALSE),""))</f>
        <v/>
      </c>
      <c r="AC94" s="441" t="str">
        <f ca="1">IF(IFERROR(VLOOKUP($C94,SUP!$B$54:$Q$104,MATCH($B94&amp;"-"&amp;AC$7,SUP!$B$54:$Q$54,0),FALSE),"")="","",IFERROR(VLOOKUP($C94,SUP!$B$54:$Q$104,MATCH($B94&amp;"-"&amp;AC$7,SUP!$B$54:$Q$54,0),FALSE),""))</f>
        <v/>
      </c>
      <c r="AD94" s="441" t="str">
        <f ca="1">IF(IFERROR(VLOOKUP($C94,SUP!$B$54:$Q$104,MATCH($B94&amp;"-"&amp;AD$7,SUP!$B$54:$Q$54,0),FALSE),"")="","",IFERROR(VLOOKUP($C94,SUP!$B$54:$Q$104,MATCH($B94&amp;"-"&amp;AD$7,SUP!$B$54:$Q$54,0),FALSE),""))</f>
        <v/>
      </c>
      <c r="AE94" s="441" t="str">
        <f ca="1">IF(IFERROR(VLOOKUP($C94,SUP!$B$54:$Q$104,MATCH($B94&amp;"-"&amp;AE$7,SUP!$B$54:$Q$54,0),FALSE),"")="","",IFERROR(VLOOKUP($C94,SUP!$B$54:$Q$104,MATCH($B94&amp;"-"&amp;AE$7,SUP!$B$54:$Q$54,0),FALSE),""))</f>
        <v/>
      </c>
      <c r="AF94" s="441" t="str">
        <f ca="1">IF(IFERROR(VLOOKUP($C94,SUP!$B$54:$Q$104,MATCH($B94&amp;"-"&amp;AF$7,SUP!$B$54:$Q$54,0),FALSE),"")="","",IFERROR(VLOOKUP($C94,SUP!$B$54:$Q$104,MATCH($B94&amp;"-"&amp;AF$7,SUP!$B$54:$Q$54,0),FALSE),""))</f>
        <v/>
      </c>
      <c r="AG94" s="441" t="str">
        <f ca="1">IF(IFERROR(VLOOKUP($C94,SUP!$B$54:$Q$104,MATCH($B94&amp;"-"&amp;AG$7,SUP!$B$54:$Q$54,0),FALSE),"")="","",IFERROR(VLOOKUP($C94,SUP!$B$54:$Q$104,MATCH($B94&amp;"-"&amp;AG$7,SUP!$B$54:$Q$54,0),FALSE),""))</f>
        <v/>
      </c>
      <c r="AH94" s="441" t="str">
        <f ca="1">IF(IFERROR(VLOOKUP($C94,SUP!$B$54:$Q$104,MATCH($B94&amp;"-"&amp;AH$7,SUP!$B$54:$Q$54,0),FALSE),"")="","",IFERROR(VLOOKUP($C94,SUP!$B$54:$Q$104,MATCH($B94&amp;"-"&amp;AH$7,SUP!$B$54:$Q$54,0),FALSE),""))</f>
        <v/>
      </c>
      <c r="AI94" s="441"/>
      <c r="AJ94" s="441"/>
      <c r="AK94" s="441"/>
      <c r="AL94" s="441"/>
      <c r="AM94" s="441" t="str">
        <f ca="1">IF(IFERROR(VLOOKUP($C94,SUP!$B$54:$Q$104,MATCH($B94&amp;"-"&amp;AM$7,SUP!$B$54:$Q$54,0),FALSE),"")="","",IFERROR(VLOOKUP($C94,SUP!$B$54:$Q$104,MATCH($B94&amp;"-"&amp;AM$7,SUP!$B$54:$Q$54,0),FALSE),""))</f>
        <v/>
      </c>
      <c r="AN94" s="441"/>
      <c r="AO94" s="441"/>
      <c r="AR94" s="42">
        <f>IF(AS93=SUP!$B$104,AR93+1,AR93)</f>
        <v>2</v>
      </c>
      <c r="AS94" s="42">
        <f t="shared" si="11"/>
        <v>35</v>
      </c>
    </row>
    <row r="95" spans="1:45">
      <c r="A95" s="42" t="str">
        <f ca="1">IF(LEFT(OFFSET(SUP!$A$57,AS95,0),2)="\I","*","")</f>
        <v/>
      </c>
      <c r="B95" s="440" t="str">
        <f t="shared" ca="1" si="9"/>
        <v>ACT_BND</v>
      </c>
      <c r="C95" s="440" t="str">
        <f ca="1">IF($A95="*","",OFFSET(SUP!$B$57,AS95,0))</f>
        <v>MIRGRM</v>
      </c>
      <c r="D95" s="440" t="str">
        <f t="shared" ca="1" si="12"/>
        <v>-</v>
      </c>
      <c r="E95" s="440" t="str">
        <f t="shared" ca="1" si="12"/>
        <v>-</v>
      </c>
      <c r="F95" s="440" t="str">
        <f t="shared" ca="1" si="12"/>
        <v>-</v>
      </c>
      <c r="G95" s="440" t="str">
        <f t="shared" ca="1" si="12"/>
        <v>ANNUAL</v>
      </c>
      <c r="H95" s="440" t="str">
        <f t="shared" ca="1" si="10"/>
        <v>UP</v>
      </c>
      <c r="I95" s="441" t="str">
        <f ca="1">IF(IFERROR(VLOOKUP($C95,SUP!$B$54:$Q$104,MATCH($B95&amp;"-"&amp;I$7,SUP!$B$54:$Q$54,0),FALSE),"")="","",IFERROR(VLOOKUP($C95,SUP!$B$54:$Q$104,MATCH($B95&amp;"-"&amp;I$7,SUP!$B$54:$Q$54,0),FALSE),""))</f>
        <v/>
      </c>
      <c r="J95" s="441" t="str">
        <f ca="1">IF(IFERROR(VLOOKUP($C95,SUP!$B$54:$Q$104,MATCH($B95&amp;"-"&amp;J$7,SUP!$B$54:$Q$54,0),FALSE),"")="","",IFERROR(VLOOKUP($C95,SUP!$B$54:$Q$104,MATCH($B95&amp;"-"&amp;J$7,SUP!$B$54:$Q$54,0),FALSE),""))</f>
        <v/>
      </c>
      <c r="K95" s="441" t="str">
        <f ca="1">IF(IFERROR(VLOOKUP($C95,SUP!$B$54:$Q$104,MATCH($B95&amp;"-"&amp;K$7,SUP!$B$54:$Q$54,0),FALSE),"")="","",IFERROR(VLOOKUP($C95,SUP!$B$54:$Q$104,MATCH($B95&amp;"-"&amp;K$7,SUP!$B$54:$Q$54,0),FALSE),""))</f>
        <v/>
      </c>
      <c r="L95" s="441" t="str">
        <f ca="1">IF(IFERROR(VLOOKUP($C95,SUP!$B$54:$Q$104,MATCH($B95&amp;"-"&amp;L$7,SUP!$B$54:$Q$54,0),FALSE),"")="","",IFERROR(VLOOKUP($C95,SUP!$B$54:$Q$104,MATCH($B95&amp;"-"&amp;L$7,SUP!$B$54:$Q$54,0),FALSE),""))</f>
        <v/>
      </c>
      <c r="M95" s="441" t="str">
        <f ca="1">IF(IFERROR(VLOOKUP($C95,SUP!$B$54:$Q$104,MATCH($B95&amp;"-"&amp;M$7,SUP!$B$54:$Q$54,0),FALSE),"")="","",IFERROR(VLOOKUP($C95,SUP!$B$54:$Q$104,MATCH($B95&amp;"-"&amp;M$7,SUP!$B$54:$Q$54,0),FALSE),""))</f>
        <v/>
      </c>
      <c r="N95" s="441" t="str">
        <f ca="1">IF(IFERROR(VLOOKUP($C95,SUP!$B$54:$Q$104,MATCH($B95&amp;"-"&amp;N$7,SUP!$B$54:$Q$54,0),FALSE),"")="","",IFERROR(VLOOKUP($C95,SUP!$B$54:$Q$104,MATCH($B95&amp;"-"&amp;N$7,SUP!$B$54:$Q$54,0),FALSE),""))</f>
        <v/>
      </c>
      <c r="O95" s="441" t="str">
        <f ca="1">IF(IFERROR(VLOOKUP($C95,SUP!$B$54:$Q$104,MATCH($B95&amp;"-"&amp;O$7,SUP!$B$54:$Q$54,0),FALSE),"")="","",IFERROR(VLOOKUP($C95,SUP!$B$54:$Q$104,MATCH($B95&amp;"-"&amp;O$7,SUP!$B$54:$Q$54,0),FALSE),""))</f>
        <v/>
      </c>
      <c r="P95" s="441" t="str">
        <f ca="1">IF(IFERROR(VLOOKUP($C95,SUP!$B$54:$Q$104,MATCH($B95&amp;"-"&amp;P$7,SUP!$B$54:$Q$54,0),FALSE),"")="","",IFERROR(VLOOKUP($C95,SUP!$B$54:$Q$104,MATCH($B95&amp;"-"&amp;P$7,SUP!$B$54:$Q$54,0),FALSE),""))</f>
        <v/>
      </c>
      <c r="Q95" s="441" t="str">
        <f ca="1">IF(IFERROR(VLOOKUP($C95,SUP!$B$54:$Q$104,MATCH($B95&amp;"-"&amp;Q$7,SUP!$B$54:$Q$54,0),FALSE),"")="","",IFERROR(VLOOKUP($C95,SUP!$B$54:$Q$104,MATCH($B95&amp;"-"&amp;Q$7,SUP!$B$54:$Q$54,0),FALSE),""))</f>
        <v/>
      </c>
      <c r="R95" s="441" t="str">
        <f ca="1">IF(IFERROR(VLOOKUP($C95,SUP!$B$54:$Q$104,MATCH($B95&amp;"-"&amp;R$7,SUP!$B$54:$Q$54,0),FALSE),"")="","",IFERROR(VLOOKUP($C95,SUP!$B$54:$Q$104,MATCH($B95&amp;"-"&amp;R$7,SUP!$B$54:$Q$54,0),FALSE),""))</f>
        <v/>
      </c>
      <c r="S95" s="441" t="str">
        <f ca="1">IF(IFERROR(VLOOKUP($C95,SUP!$B$54:$Q$104,MATCH($B95&amp;"-"&amp;S$7,SUP!$B$54:$Q$54,0),FALSE),"")="","",IFERROR(VLOOKUP($C95,SUP!$B$54:$Q$104,MATCH($B95&amp;"-"&amp;S$7,SUP!$B$54:$Q$54,0),FALSE),""))</f>
        <v/>
      </c>
      <c r="T95" s="441" t="str">
        <f ca="1">IF(IFERROR(VLOOKUP($C95,SUP!$B$54:$Q$104,MATCH($B95&amp;"-"&amp;T$7,SUP!$B$54:$Q$54,0),FALSE),"")="","",IFERROR(VLOOKUP($C95,SUP!$B$54:$Q$104,MATCH($B95&amp;"-"&amp;T$7,SUP!$B$54:$Q$54,0),FALSE),""))</f>
        <v/>
      </c>
      <c r="U95" s="441" t="str">
        <f ca="1">IF(IFERROR(VLOOKUP($C95,SUP!$B$54:$Q$104,MATCH($B95&amp;"-"&amp;U$7,SUP!$B$54:$Q$54,0),FALSE),"")="","",IFERROR(VLOOKUP($C95,SUP!$B$54:$Q$104,MATCH($B95&amp;"-"&amp;U$7,SUP!$B$54:$Q$54,0),FALSE),""))</f>
        <v/>
      </c>
      <c r="V95" s="441" t="str">
        <f ca="1">IF(IFERROR(VLOOKUP($C95,SUP!$B$54:$Q$104,MATCH($B95&amp;"-"&amp;V$7,SUP!$B$54:$Q$54,0),FALSE),"")="","",IFERROR(VLOOKUP($C95,SUP!$B$54:$Q$104,MATCH($B95&amp;"-"&amp;V$7,SUP!$B$54:$Q$54,0),FALSE),""))</f>
        <v/>
      </c>
      <c r="W95" s="441" t="str">
        <f ca="1">IF(IFERROR(VLOOKUP($C95,SUP!$B$54:$Q$104,MATCH($B95&amp;"-"&amp;W$7,SUP!$B$54:$Q$54,0),FALSE),"")="","",IFERROR(VLOOKUP($C95,SUP!$B$54:$Q$104,MATCH($B95&amp;"-"&amp;W$7,SUP!$B$54:$Q$54,0),FALSE),""))</f>
        <v/>
      </c>
      <c r="X95" s="441" t="str">
        <f ca="1">IF(IFERROR(VLOOKUP($C95,SUP!$B$54:$Q$104,MATCH($B95&amp;"-"&amp;X$7,SUP!$B$54:$Q$54,0),FALSE),"")="","",IFERROR(VLOOKUP($C95,SUP!$B$54:$Q$104,MATCH($B95&amp;"-"&amp;X$7,SUP!$B$54:$Q$54,0),FALSE),""))</f>
        <v/>
      </c>
      <c r="Y95" s="441" t="str">
        <f ca="1">IF(IFERROR(VLOOKUP($C95,SUP!$B$54:$Q$104,MATCH($B95&amp;"-"&amp;Y$7,SUP!$B$54:$Q$54,0),FALSE),"")="","",IFERROR(VLOOKUP($C95,SUP!$B$54:$Q$104,MATCH($B95&amp;"-"&amp;Y$7,SUP!$B$54:$Q$54,0),FALSE),""))</f>
        <v/>
      </c>
      <c r="Z95" s="441" t="str">
        <f ca="1">IF(IFERROR(VLOOKUP($C95,SUP!$B$54:$Q$104,MATCH($B95&amp;"-"&amp;Z$7,SUP!$B$54:$Q$54,0),FALSE),"")="","",IFERROR(VLOOKUP($C95,SUP!$B$54:$Q$104,MATCH($B95&amp;"-"&amp;Z$7,SUP!$B$54:$Q$54,0),FALSE),""))</f>
        <v/>
      </c>
      <c r="AA95" s="441" t="str">
        <f ca="1">IF(IFERROR(VLOOKUP($C95,SUP!$B$54:$Q$104,MATCH($B95&amp;"-"&amp;AA$7,SUP!$B$54:$Q$54,0),FALSE),"")="","",IFERROR(VLOOKUP($C95,SUP!$B$54:$Q$104,MATCH($B95&amp;"-"&amp;AA$7,SUP!$B$54:$Q$54,0),FALSE),""))</f>
        <v/>
      </c>
      <c r="AB95" s="441" t="str">
        <f ca="1">IF(IFERROR(VLOOKUP($C95,SUP!$B$54:$Q$104,MATCH($B95&amp;"-"&amp;AB$7,SUP!$B$54:$Q$54,0),FALSE),"")="","",IFERROR(VLOOKUP($C95,SUP!$B$54:$Q$104,MATCH($B95&amp;"-"&amp;AB$7,SUP!$B$54:$Q$54,0),FALSE),""))</f>
        <v/>
      </c>
      <c r="AC95" s="441" t="str">
        <f ca="1">IF(IFERROR(VLOOKUP($C95,SUP!$B$54:$Q$104,MATCH($B95&amp;"-"&amp;AC$7,SUP!$B$54:$Q$54,0),FALSE),"")="","",IFERROR(VLOOKUP($C95,SUP!$B$54:$Q$104,MATCH($B95&amp;"-"&amp;AC$7,SUP!$B$54:$Q$54,0),FALSE),""))</f>
        <v/>
      </c>
      <c r="AD95" s="441" t="str">
        <f ca="1">IF(IFERROR(VLOOKUP($C95,SUP!$B$54:$Q$104,MATCH($B95&amp;"-"&amp;AD$7,SUP!$B$54:$Q$54,0),FALSE),"")="","",IFERROR(VLOOKUP($C95,SUP!$B$54:$Q$104,MATCH($B95&amp;"-"&amp;AD$7,SUP!$B$54:$Q$54,0),FALSE),""))</f>
        <v/>
      </c>
      <c r="AE95" s="441" t="str">
        <f ca="1">IF(IFERROR(VLOOKUP($C95,SUP!$B$54:$Q$104,MATCH($B95&amp;"-"&amp;AE$7,SUP!$B$54:$Q$54,0),FALSE),"")="","",IFERROR(VLOOKUP($C95,SUP!$B$54:$Q$104,MATCH($B95&amp;"-"&amp;AE$7,SUP!$B$54:$Q$54,0),FALSE),""))</f>
        <v/>
      </c>
      <c r="AF95" s="441" t="str">
        <f ca="1">IF(IFERROR(VLOOKUP($C95,SUP!$B$54:$Q$104,MATCH($B95&amp;"-"&amp;AF$7,SUP!$B$54:$Q$54,0),FALSE),"")="","",IFERROR(VLOOKUP($C95,SUP!$B$54:$Q$104,MATCH($B95&amp;"-"&amp;AF$7,SUP!$B$54:$Q$54,0),FALSE),""))</f>
        <v/>
      </c>
      <c r="AG95" s="441" t="str">
        <f ca="1">IF(IFERROR(VLOOKUP($C95,SUP!$B$54:$Q$104,MATCH($B95&amp;"-"&amp;AG$7,SUP!$B$54:$Q$54,0),FALSE),"")="","",IFERROR(VLOOKUP($C95,SUP!$B$54:$Q$104,MATCH($B95&amp;"-"&amp;AG$7,SUP!$B$54:$Q$54,0),FALSE),""))</f>
        <v/>
      </c>
      <c r="AH95" s="441" t="str">
        <f ca="1">IF(IFERROR(VLOOKUP($C95,SUP!$B$54:$Q$104,MATCH($B95&amp;"-"&amp;AH$7,SUP!$B$54:$Q$54,0),FALSE),"")="","",IFERROR(VLOOKUP($C95,SUP!$B$54:$Q$104,MATCH($B95&amp;"-"&amp;AH$7,SUP!$B$54:$Q$54,0),FALSE),""))</f>
        <v/>
      </c>
      <c r="AI95" s="441"/>
      <c r="AJ95" s="441"/>
      <c r="AK95" s="441"/>
      <c r="AL95" s="441"/>
      <c r="AM95" s="441" t="str">
        <f ca="1">IF(IFERROR(VLOOKUP($C95,SUP!$B$54:$Q$104,MATCH($B95&amp;"-"&amp;AM$7,SUP!$B$54:$Q$54,0),FALSE),"")="","",IFERROR(VLOOKUP($C95,SUP!$B$54:$Q$104,MATCH($B95&amp;"-"&amp;AM$7,SUP!$B$54:$Q$54,0),FALSE),""))</f>
        <v/>
      </c>
      <c r="AN95" s="441"/>
      <c r="AO95" s="441"/>
      <c r="AR95" s="42">
        <f>IF(AS94=SUP!$B$104,AR94+1,AR94)</f>
        <v>2</v>
      </c>
      <c r="AS95" s="42">
        <f t="shared" si="11"/>
        <v>36</v>
      </c>
    </row>
    <row r="96" spans="1:45">
      <c r="A96" s="42" t="str">
        <f ca="1">IF(LEFT(OFFSET(SUP!$A$57,AS96,0),2)="\I","*","")</f>
        <v>*</v>
      </c>
      <c r="B96" s="440" t="str">
        <f t="shared" ca="1" si="9"/>
        <v/>
      </c>
      <c r="C96" s="440" t="str">
        <f ca="1">IF($A96="*","",OFFSET(SUP!$B$57,AS96,0))</f>
        <v/>
      </c>
      <c r="D96" s="440" t="str">
        <f t="shared" ca="1" si="12"/>
        <v/>
      </c>
      <c r="E96" s="440" t="str">
        <f t="shared" ca="1" si="12"/>
        <v/>
      </c>
      <c r="F96" s="440" t="str">
        <f t="shared" ca="1" si="12"/>
        <v/>
      </c>
      <c r="G96" s="440" t="str">
        <f t="shared" ca="1" si="12"/>
        <v/>
      </c>
      <c r="H96" s="440" t="str">
        <f t="shared" ca="1" si="10"/>
        <v/>
      </c>
      <c r="I96" s="441" t="str">
        <f ca="1">IF(IFERROR(VLOOKUP($C96,SUP!$B$54:$Q$104,MATCH($B96&amp;"-"&amp;I$7,SUP!$B$54:$Q$54,0),FALSE),"")="","",IFERROR(VLOOKUP($C96,SUP!$B$54:$Q$104,MATCH($B96&amp;"-"&amp;I$7,SUP!$B$54:$Q$54,0),FALSE),""))</f>
        <v/>
      </c>
      <c r="J96" s="441" t="str">
        <f ca="1">IF(IFERROR(VLOOKUP($C96,SUP!$B$54:$Q$104,MATCH($B96&amp;"-"&amp;J$7,SUP!$B$54:$Q$54,0),FALSE),"")="","",IFERROR(VLOOKUP($C96,SUP!$B$54:$Q$104,MATCH($B96&amp;"-"&amp;J$7,SUP!$B$54:$Q$54,0),FALSE),""))</f>
        <v/>
      </c>
      <c r="K96" s="441" t="str">
        <f ca="1">IF(IFERROR(VLOOKUP($C96,SUP!$B$54:$Q$104,MATCH($B96&amp;"-"&amp;K$7,SUP!$B$54:$Q$54,0),FALSE),"")="","",IFERROR(VLOOKUP($C96,SUP!$B$54:$Q$104,MATCH($B96&amp;"-"&amp;K$7,SUP!$B$54:$Q$54,0),FALSE),""))</f>
        <v/>
      </c>
      <c r="L96" s="441" t="str">
        <f ca="1">IF(IFERROR(VLOOKUP($C96,SUP!$B$54:$Q$104,MATCH($B96&amp;"-"&amp;L$7,SUP!$B$54:$Q$54,0),FALSE),"")="","",IFERROR(VLOOKUP($C96,SUP!$B$54:$Q$104,MATCH($B96&amp;"-"&amp;L$7,SUP!$B$54:$Q$54,0),FALSE),""))</f>
        <v/>
      </c>
      <c r="M96" s="441" t="str">
        <f ca="1">IF(IFERROR(VLOOKUP($C96,SUP!$B$54:$Q$104,MATCH($B96&amp;"-"&amp;M$7,SUP!$B$54:$Q$54,0),FALSE),"")="","",IFERROR(VLOOKUP($C96,SUP!$B$54:$Q$104,MATCH($B96&amp;"-"&amp;M$7,SUP!$B$54:$Q$54,0),FALSE),""))</f>
        <v/>
      </c>
      <c r="N96" s="441" t="str">
        <f ca="1">IF(IFERROR(VLOOKUP($C96,SUP!$B$54:$Q$104,MATCH($B96&amp;"-"&amp;N$7,SUP!$B$54:$Q$54,0),FALSE),"")="","",IFERROR(VLOOKUP($C96,SUP!$B$54:$Q$104,MATCH($B96&amp;"-"&amp;N$7,SUP!$B$54:$Q$54,0),FALSE),""))</f>
        <v/>
      </c>
      <c r="O96" s="441" t="str">
        <f ca="1">IF(IFERROR(VLOOKUP($C96,SUP!$B$54:$Q$104,MATCH($B96&amp;"-"&amp;O$7,SUP!$B$54:$Q$54,0),FALSE),"")="","",IFERROR(VLOOKUP($C96,SUP!$B$54:$Q$104,MATCH($B96&amp;"-"&amp;O$7,SUP!$B$54:$Q$54,0),FALSE),""))</f>
        <v/>
      </c>
      <c r="P96" s="441" t="str">
        <f ca="1">IF(IFERROR(VLOOKUP($C96,SUP!$B$54:$Q$104,MATCH($B96&amp;"-"&amp;P$7,SUP!$B$54:$Q$54,0),FALSE),"")="","",IFERROR(VLOOKUP($C96,SUP!$B$54:$Q$104,MATCH($B96&amp;"-"&amp;P$7,SUP!$B$54:$Q$54,0),FALSE),""))</f>
        <v/>
      </c>
      <c r="Q96" s="441" t="str">
        <f ca="1">IF(IFERROR(VLOOKUP($C96,SUP!$B$54:$Q$104,MATCH($B96&amp;"-"&amp;Q$7,SUP!$B$54:$Q$54,0),FALSE),"")="","",IFERROR(VLOOKUP($C96,SUP!$B$54:$Q$104,MATCH($B96&amp;"-"&amp;Q$7,SUP!$B$54:$Q$54,0),FALSE),""))</f>
        <v/>
      </c>
      <c r="R96" s="441" t="str">
        <f ca="1">IF(IFERROR(VLOOKUP($C96,SUP!$B$54:$Q$104,MATCH($B96&amp;"-"&amp;R$7,SUP!$B$54:$Q$54,0),FALSE),"")="","",IFERROR(VLOOKUP($C96,SUP!$B$54:$Q$104,MATCH($B96&amp;"-"&amp;R$7,SUP!$B$54:$Q$54,0),FALSE),""))</f>
        <v/>
      </c>
      <c r="S96" s="441" t="str">
        <f ca="1">IF(IFERROR(VLOOKUP($C96,SUP!$B$54:$Q$104,MATCH($B96&amp;"-"&amp;S$7,SUP!$B$54:$Q$54,0),FALSE),"")="","",IFERROR(VLOOKUP($C96,SUP!$B$54:$Q$104,MATCH($B96&amp;"-"&amp;S$7,SUP!$B$54:$Q$54,0),FALSE),""))</f>
        <v/>
      </c>
      <c r="T96" s="441" t="str">
        <f ca="1">IF(IFERROR(VLOOKUP($C96,SUP!$B$54:$Q$104,MATCH($B96&amp;"-"&amp;T$7,SUP!$B$54:$Q$54,0),FALSE),"")="","",IFERROR(VLOOKUP($C96,SUP!$B$54:$Q$104,MATCH($B96&amp;"-"&amp;T$7,SUP!$B$54:$Q$54,0),FALSE),""))</f>
        <v/>
      </c>
      <c r="U96" s="441" t="str">
        <f ca="1">IF(IFERROR(VLOOKUP($C96,SUP!$B$54:$Q$104,MATCH($B96&amp;"-"&amp;U$7,SUP!$B$54:$Q$54,0),FALSE),"")="","",IFERROR(VLOOKUP($C96,SUP!$B$54:$Q$104,MATCH($B96&amp;"-"&amp;U$7,SUP!$B$54:$Q$54,0),FALSE),""))</f>
        <v/>
      </c>
      <c r="V96" s="441" t="str">
        <f ca="1">IF(IFERROR(VLOOKUP($C96,SUP!$B$54:$Q$104,MATCH($B96&amp;"-"&amp;V$7,SUP!$B$54:$Q$54,0),FALSE),"")="","",IFERROR(VLOOKUP($C96,SUP!$B$54:$Q$104,MATCH($B96&amp;"-"&amp;V$7,SUP!$B$54:$Q$54,0),FALSE),""))</f>
        <v/>
      </c>
      <c r="W96" s="441" t="str">
        <f ca="1">IF(IFERROR(VLOOKUP($C96,SUP!$B$54:$Q$104,MATCH($B96&amp;"-"&amp;W$7,SUP!$B$54:$Q$54,0),FALSE),"")="","",IFERROR(VLOOKUP($C96,SUP!$B$54:$Q$104,MATCH($B96&amp;"-"&amp;W$7,SUP!$B$54:$Q$54,0),FALSE),""))</f>
        <v/>
      </c>
      <c r="X96" s="441" t="str">
        <f ca="1">IF(IFERROR(VLOOKUP($C96,SUP!$B$54:$Q$104,MATCH($B96&amp;"-"&amp;X$7,SUP!$B$54:$Q$54,0),FALSE),"")="","",IFERROR(VLOOKUP($C96,SUP!$B$54:$Q$104,MATCH($B96&amp;"-"&amp;X$7,SUP!$B$54:$Q$54,0),FALSE),""))</f>
        <v/>
      </c>
      <c r="Y96" s="441" t="str">
        <f ca="1">IF(IFERROR(VLOOKUP($C96,SUP!$B$54:$Q$104,MATCH($B96&amp;"-"&amp;Y$7,SUP!$B$54:$Q$54,0),FALSE),"")="","",IFERROR(VLOOKUP($C96,SUP!$B$54:$Q$104,MATCH($B96&amp;"-"&amp;Y$7,SUP!$B$54:$Q$54,0),FALSE),""))</f>
        <v/>
      </c>
      <c r="Z96" s="441" t="str">
        <f ca="1">IF(IFERROR(VLOOKUP($C96,SUP!$B$54:$Q$104,MATCH($B96&amp;"-"&amp;Z$7,SUP!$B$54:$Q$54,0),FALSE),"")="","",IFERROR(VLOOKUP($C96,SUP!$B$54:$Q$104,MATCH($B96&amp;"-"&amp;Z$7,SUP!$B$54:$Q$54,0),FALSE),""))</f>
        <v/>
      </c>
      <c r="AA96" s="441" t="str">
        <f ca="1">IF(IFERROR(VLOOKUP($C96,SUP!$B$54:$Q$104,MATCH($B96&amp;"-"&amp;AA$7,SUP!$B$54:$Q$54,0),FALSE),"")="","",IFERROR(VLOOKUP($C96,SUP!$B$54:$Q$104,MATCH($B96&amp;"-"&amp;AA$7,SUP!$B$54:$Q$54,0),FALSE),""))</f>
        <v/>
      </c>
      <c r="AB96" s="441" t="str">
        <f ca="1">IF(IFERROR(VLOOKUP($C96,SUP!$B$54:$Q$104,MATCH($B96&amp;"-"&amp;AB$7,SUP!$B$54:$Q$54,0),FALSE),"")="","",IFERROR(VLOOKUP($C96,SUP!$B$54:$Q$104,MATCH($B96&amp;"-"&amp;AB$7,SUP!$B$54:$Q$54,0),FALSE),""))</f>
        <v/>
      </c>
      <c r="AC96" s="441" t="str">
        <f ca="1">IF(IFERROR(VLOOKUP($C96,SUP!$B$54:$Q$104,MATCH($B96&amp;"-"&amp;AC$7,SUP!$B$54:$Q$54,0),FALSE),"")="","",IFERROR(VLOOKUP($C96,SUP!$B$54:$Q$104,MATCH($B96&amp;"-"&amp;AC$7,SUP!$B$54:$Q$54,0),FALSE),""))</f>
        <v/>
      </c>
      <c r="AD96" s="441" t="str">
        <f ca="1">IF(IFERROR(VLOOKUP($C96,SUP!$B$54:$Q$104,MATCH($B96&amp;"-"&amp;AD$7,SUP!$B$54:$Q$54,0),FALSE),"")="","",IFERROR(VLOOKUP($C96,SUP!$B$54:$Q$104,MATCH($B96&amp;"-"&amp;AD$7,SUP!$B$54:$Q$54,0),FALSE),""))</f>
        <v/>
      </c>
      <c r="AE96" s="441" t="str">
        <f ca="1">IF(IFERROR(VLOOKUP($C96,SUP!$B$54:$Q$104,MATCH($B96&amp;"-"&amp;AE$7,SUP!$B$54:$Q$54,0),FALSE),"")="","",IFERROR(VLOOKUP($C96,SUP!$B$54:$Q$104,MATCH($B96&amp;"-"&amp;AE$7,SUP!$B$54:$Q$54,0),FALSE),""))</f>
        <v/>
      </c>
      <c r="AF96" s="441" t="str">
        <f ca="1">IF(IFERROR(VLOOKUP($C96,SUP!$B$54:$Q$104,MATCH($B96&amp;"-"&amp;AF$7,SUP!$B$54:$Q$54,0),FALSE),"")="","",IFERROR(VLOOKUP($C96,SUP!$B$54:$Q$104,MATCH($B96&amp;"-"&amp;AF$7,SUP!$B$54:$Q$54,0),FALSE),""))</f>
        <v/>
      </c>
      <c r="AG96" s="441" t="str">
        <f ca="1">IF(IFERROR(VLOOKUP($C96,SUP!$B$54:$Q$104,MATCH($B96&amp;"-"&amp;AG$7,SUP!$B$54:$Q$54,0),FALSE),"")="","",IFERROR(VLOOKUP($C96,SUP!$B$54:$Q$104,MATCH($B96&amp;"-"&amp;AG$7,SUP!$B$54:$Q$54,0),FALSE),""))</f>
        <v/>
      </c>
      <c r="AH96" s="441" t="str">
        <f ca="1">IF(IFERROR(VLOOKUP($C96,SUP!$B$54:$Q$104,MATCH($B96&amp;"-"&amp;AH$7,SUP!$B$54:$Q$54,0),FALSE),"")="","",IFERROR(VLOOKUP($C96,SUP!$B$54:$Q$104,MATCH($B96&amp;"-"&amp;AH$7,SUP!$B$54:$Q$54,0),FALSE),""))</f>
        <v/>
      </c>
      <c r="AI96" s="441"/>
      <c r="AJ96" s="441"/>
      <c r="AK96" s="441"/>
      <c r="AL96" s="441"/>
      <c r="AM96" s="441" t="str">
        <f ca="1">IF(IFERROR(VLOOKUP($C96,SUP!$B$54:$Q$104,MATCH($B96&amp;"-"&amp;AM$7,SUP!$B$54:$Q$54,0),FALSE),"")="","",IFERROR(VLOOKUP($C96,SUP!$B$54:$Q$104,MATCH($B96&amp;"-"&amp;AM$7,SUP!$B$54:$Q$54,0),FALSE),""))</f>
        <v/>
      </c>
      <c r="AN96" s="441"/>
      <c r="AO96" s="441"/>
      <c r="AR96" s="42">
        <f>IF(AS95=SUP!$B$104,AR95+1,AR95)</f>
        <v>2</v>
      </c>
      <c r="AS96" s="42">
        <f t="shared" si="11"/>
        <v>37</v>
      </c>
    </row>
    <row r="97" spans="1:45">
      <c r="A97" s="42" t="str">
        <f ca="1">IF(LEFT(OFFSET(SUP!$A$57,AS97,0),2)="\I","*","")</f>
        <v/>
      </c>
      <c r="B97" s="440" t="str">
        <f t="shared" ca="1" si="9"/>
        <v>ACT_BND</v>
      </c>
      <c r="C97" s="440" t="str">
        <f ca="1">IF($A97="*","",OFFSET(SUP!$B$57,AS97,0))</f>
        <v>PEXELC</v>
      </c>
      <c r="D97" s="440" t="str">
        <f t="shared" ca="1" si="12"/>
        <v>-</v>
      </c>
      <c r="E97" s="440" t="str">
        <f t="shared" ca="1" si="12"/>
        <v>-</v>
      </c>
      <c r="F97" s="440" t="str">
        <f t="shared" ca="1" si="12"/>
        <v>-</v>
      </c>
      <c r="G97" s="440" t="str">
        <f t="shared" ca="1" si="12"/>
        <v>ANNUAL</v>
      </c>
      <c r="H97" s="440" t="str">
        <f t="shared" ca="1" si="10"/>
        <v>FX</v>
      </c>
      <c r="I97" s="441">
        <f ca="1">IF(IFERROR(VLOOKUP($C97,SUP!$B$54:$Q$104,MATCH($B97&amp;"-"&amp;I$7,SUP!$B$54:$Q$54,0),FALSE),"")="","",IFERROR(VLOOKUP($C97,SUP!$B$54:$Q$104,MATCH($B97&amp;"-"&amp;I$7,SUP!$B$54:$Q$54,0),FALSE),""))</f>
        <v>0</v>
      </c>
      <c r="J97" s="441">
        <f ca="1">IF(IFERROR(VLOOKUP($C97,SUP!$B$54:$Q$104,MATCH($B97&amp;"-"&amp;J$7,SUP!$B$54:$Q$54,0),FALSE),"")="","",IFERROR(VLOOKUP($C97,SUP!$B$54:$Q$104,MATCH($B97&amp;"-"&amp;J$7,SUP!$B$54:$Q$54,0),FALSE),""))</f>
        <v>54.125999999999998</v>
      </c>
      <c r="K97" s="441" t="str">
        <f ca="1">IF(IFERROR(VLOOKUP($C97,SUP!$B$54:$Q$104,MATCH($B97&amp;"-"&amp;K$7,SUP!$B$54:$Q$54,0),FALSE),"")="","",IFERROR(VLOOKUP($C97,SUP!$B$54:$Q$104,MATCH($B97&amp;"-"&amp;K$7,SUP!$B$54:$Q$54,0),FALSE),""))</f>
        <v/>
      </c>
      <c r="L97" s="441" t="str">
        <f ca="1">IF(IFERROR(VLOOKUP($C97,SUP!$B$54:$Q$104,MATCH($B97&amp;"-"&amp;L$7,SUP!$B$54:$Q$54,0),FALSE),"")="","",IFERROR(VLOOKUP($C97,SUP!$B$54:$Q$104,MATCH($B97&amp;"-"&amp;L$7,SUP!$B$54:$Q$54,0),FALSE),""))</f>
        <v/>
      </c>
      <c r="M97" s="441" t="str">
        <f ca="1">IF(IFERROR(VLOOKUP($C97,SUP!$B$54:$Q$104,MATCH($B97&amp;"-"&amp;M$7,SUP!$B$54:$Q$54,0),FALSE),"")="","",IFERROR(VLOOKUP($C97,SUP!$B$54:$Q$104,MATCH($B97&amp;"-"&amp;M$7,SUP!$B$54:$Q$54,0),FALSE),""))</f>
        <v/>
      </c>
      <c r="N97" s="441" t="str">
        <f ca="1">IF(IFERROR(VLOOKUP($C97,SUP!$B$54:$Q$104,MATCH($B97&amp;"-"&amp;N$7,SUP!$B$54:$Q$54,0),FALSE),"")="","",IFERROR(VLOOKUP($C97,SUP!$B$54:$Q$104,MATCH($B97&amp;"-"&amp;N$7,SUP!$B$54:$Q$54,0),FALSE),""))</f>
        <v/>
      </c>
      <c r="O97" s="441" t="str">
        <f ca="1">IF(IFERROR(VLOOKUP($C97,SUP!$B$54:$Q$104,MATCH($B97&amp;"-"&amp;O$7,SUP!$B$54:$Q$54,0),FALSE),"")="","",IFERROR(VLOOKUP($C97,SUP!$B$54:$Q$104,MATCH($B97&amp;"-"&amp;O$7,SUP!$B$54:$Q$54,0),FALSE),""))</f>
        <v/>
      </c>
      <c r="P97" s="441" t="str">
        <f ca="1">IF(IFERROR(VLOOKUP($C97,SUP!$B$54:$Q$104,MATCH($B97&amp;"-"&amp;P$7,SUP!$B$54:$Q$54,0),FALSE),"")="","",IFERROR(VLOOKUP($C97,SUP!$B$54:$Q$104,MATCH($B97&amp;"-"&amp;P$7,SUP!$B$54:$Q$54,0),FALSE),""))</f>
        <v/>
      </c>
      <c r="Q97" s="441" t="str">
        <f ca="1">IF(IFERROR(VLOOKUP($C97,SUP!$B$54:$Q$104,MATCH($B97&amp;"-"&amp;Q$7,SUP!$B$54:$Q$54,0),FALSE),"")="","",IFERROR(VLOOKUP($C97,SUP!$B$54:$Q$104,MATCH($B97&amp;"-"&amp;Q$7,SUP!$B$54:$Q$54,0),FALSE),""))</f>
        <v/>
      </c>
      <c r="R97" s="1651" t="str">
        <f ca="1">IF(IFERROR(VLOOKUP($C97,SUP!$B$54:$Q$104,MATCH($B97&amp;"-"&amp;R$7,SUP!$B$54:$Q$54,0),FALSE),"")="","",IFERROR(VLOOKUP($C97,SUP!$B$54:$Q$104,MATCH($B97&amp;"-"&amp;R$7,SUP!$B$54:$Q$54,0),FALSE),""))</f>
        <v/>
      </c>
      <c r="S97" s="441" t="str">
        <f ca="1">IF(IFERROR(VLOOKUP($C97,SUP!$B$54:$Q$104,MATCH($B97&amp;"-"&amp;S$7,SUP!$B$54:$Q$54,0),FALSE),"")="","",IFERROR(VLOOKUP($C97,SUP!$B$54:$Q$104,MATCH($B97&amp;"-"&amp;S$7,SUP!$B$54:$Q$54,0),FALSE),""))</f>
        <v/>
      </c>
      <c r="T97" s="441" t="str">
        <f ca="1">IF(IFERROR(VLOOKUP($C97,SUP!$B$54:$Q$104,MATCH($B97&amp;"-"&amp;T$7,SUP!$B$54:$Q$54,0),FALSE),"")="","",IFERROR(VLOOKUP($C97,SUP!$B$54:$Q$104,MATCH($B97&amp;"-"&amp;T$7,SUP!$B$54:$Q$54,0),FALSE),""))</f>
        <v/>
      </c>
      <c r="U97" s="441" t="str">
        <f ca="1">IF(IFERROR(VLOOKUP($C97,SUP!$B$54:$Q$104,MATCH($B97&amp;"-"&amp;U$7,SUP!$B$54:$Q$54,0),FALSE),"")="","",IFERROR(VLOOKUP($C97,SUP!$B$54:$Q$104,MATCH($B97&amp;"-"&amp;U$7,SUP!$B$54:$Q$54,0),FALSE),""))</f>
        <v/>
      </c>
      <c r="V97" s="441" t="str">
        <f ca="1">IF(IFERROR(VLOOKUP($C97,SUP!$B$54:$Q$104,MATCH($B97&amp;"-"&amp;V$7,SUP!$B$54:$Q$54,0),FALSE),"")="","",IFERROR(VLOOKUP($C97,SUP!$B$54:$Q$104,MATCH($B97&amp;"-"&amp;V$7,SUP!$B$54:$Q$54,0),FALSE),""))</f>
        <v/>
      </c>
      <c r="W97" s="441" t="str">
        <f ca="1">IF(IFERROR(VLOOKUP($C97,SUP!$B$54:$Q$104,MATCH($B97&amp;"-"&amp;W$7,SUP!$B$54:$Q$54,0),FALSE),"")="","",IFERROR(VLOOKUP($C97,SUP!$B$54:$Q$104,MATCH($B97&amp;"-"&amp;W$7,SUP!$B$54:$Q$54,0),FALSE),""))</f>
        <v/>
      </c>
      <c r="X97" s="441" t="str">
        <f ca="1">IF(IFERROR(VLOOKUP($C97,SUP!$B$54:$Q$104,MATCH($B97&amp;"-"&amp;X$7,SUP!$B$54:$Q$54,0),FALSE),"")="","",IFERROR(VLOOKUP($C97,SUP!$B$54:$Q$104,MATCH($B97&amp;"-"&amp;X$7,SUP!$B$54:$Q$54,0),FALSE),""))</f>
        <v/>
      </c>
      <c r="Y97" s="441" t="str">
        <f ca="1">IF(IFERROR(VLOOKUP($C97,SUP!$B$54:$Q$104,MATCH($B97&amp;"-"&amp;Y$7,SUP!$B$54:$Q$54,0),FALSE),"")="","",IFERROR(VLOOKUP($C97,SUP!$B$54:$Q$104,MATCH($B97&amp;"-"&amp;Y$7,SUP!$B$54:$Q$54,0),FALSE),""))</f>
        <v/>
      </c>
      <c r="Z97" s="441" t="str">
        <f ca="1">IF(IFERROR(VLOOKUP($C97,SUP!$B$54:$Q$104,MATCH($B97&amp;"-"&amp;Z$7,SUP!$B$54:$Q$54,0),FALSE),"")="","",IFERROR(VLOOKUP($C97,SUP!$B$54:$Q$104,MATCH($B97&amp;"-"&amp;Z$7,SUP!$B$54:$Q$54,0),FALSE),""))</f>
        <v/>
      </c>
      <c r="AA97" s="441" t="str">
        <f ca="1">IF(IFERROR(VLOOKUP($C97,SUP!$B$54:$Q$104,MATCH($B97&amp;"-"&amp;AA$7,SUP!$B$54:$Q$54,0),FALSE),"")="","",IFERROR(VLOOKUP($C97,SUP!$B$54:$Q$104,MATCH($B97&amp;"-"&amp;AA$7,SUP!$B$54:$Q$54,0),FALSE),""))</f>
        <v/>
      </c>
      <c r="AB97" s="441" t="str">
        <f ca="1">IF(IFERROR(VLOOKUP($C97,SUP!$B$54:$Q$104,MATCH($B97&amp;"-"&amp;AB$7,SUP!$B$54:$Q$54,0),FALSE),"")="","",IFERROR(VLOOKUP($C97,SUP!$B$54:$Q$104,MATCH($B97&amp;"-"&amp;AB$7,SUP!$B$54:$Q$54,0),FALSE),""))</f>
        <v/>
      </c>
      <c r="AC97" s="441" t="str">
        <f ca="1">IF(IFERROR(VLOOKUP($C97,SUP!$B$54:$Q$104,MATCH($B97&amp;"-"&amp;AC$7,SUP!$B$54:$Q$54,0),FALSE),"")="","",IFERROR(VLOOKUP($C97,SUP!$B$54:$Q$104,MATCH($B97&amp;"-"&amp;AC$7,SUP!$B$54:$Q$54,0),FALSE),""))</f>
        <v/>
      </c>
      <c r="AD97" s="441" t="str">
        <f ca="1">IF(IFERROR(VLOOKUP($C97,SUP!$B$54:$Q$104,MATCH($B97&amp;"-"&amp;AD$7,SUP!$B$54:$Q$54,0),FALSE),"")="","",IFERROR(VLOOKUP($C97,SUP!$B$54:$Q$104,MATCH($B97&amp;"-"&amp;AD$7,SUP!$B$54:$Q$54,0),FALSE),""))</f>
        <v/>
      </c>
      <c r="AE97" s="441" t="str">
        <f ca="1">IF(IFERROR(VLOOKUP($C97,SUP!$B$54:$Q$104,MATCH($B97&amp;"-"&amp;AE$7,SUP!$B$54:$Q$54,0),FALSE),"")="","",IFERROR(VLOOKUP($C97,SUP!$B$54:$Q$104,MATCH($B97&amp;"-"&amp;AE$7,SUP!$B$54:$Q$54,0),FALSE),""))</f>
        <v/>
      </c>
      <c r="AF97" s="441" t="str">
        <f ca="1">IF(IFERROR(VLOOKUP($C97,SUP!$B$54:$Q$104,MATCH($B97&amp;"-"&amp;AF$7,SUP!$B$54:$Q$54,0),FALSE),"")="","",IFERROR(VLOOKUP($C97,SUP!$B$54:$Q$104,MATCH($B97&amp;"-"&amp;AF$7,SUP!$B$54:$Q$54,0),FALSE),""))</f>
        <v/>
      </c>
      <c r="AG97" s="441" t="str">
        <f ca="1">IF(IFERROR(VLOOKUP($C97,SUP!$B$54:$Q$104,MATCH($B97&amp;"-"&amp;AG$7,SUP!$B$54:$Q$54,0),FALSE),"")="","",IFERROR(VLOOKUP($C97,SUP!$B$54:$Q$104,MATCH($B97&amp;"-"&amp;AG$7,SUP!$B$54:$Q$54,0),FALSE),""))</f>
        <v/>
      </c>
      <c r="AH97" s="441" t="str">
        <f ca="1">IF(IFERROR(VLOOKUP($C97,SUP!$B$54:$Q$104,MATCH($B97&amp;"-"&amp;AH$7,SUP!$B$54:$Q$54,0),FALSE),"")="","",IFERROR(VLOOKUP($C97,SUP!$B$54:$Q$104,MATCH($B97&amp;"-"&amp;AH$7,SUP!$B$54:$Q$54,0),FALSE),""))</f>
        <v/>
      </c>
      <c r="AI97" s="441"/>
      <c r="AJ97" s="441"/>
      <c r="AK97" s="441"/>
      <c r="AL97" s="441"/>
      <c r="AM97" s="441" t="str">
        <f ca="1">IF(IFERROR(VLOOKUP($C97,SUP!$B$54:$Q$104,MATCH($B97&amp;"-"&amp;AM$7,SUP!$B$54:$Q$54,0),FALSE),"")="","",IFERROR(VLOOKUP($C97,SUP!$B$54:$Q$104,MATCH($B97&amp;"-"&amp;AM$7,SUP!$B$54:$Q$54,0),FALSE),""))</f>
        <v/>
      </c>
      <c r="AN97" s="441"/>
      <c r="AO97" s="441"/>
      <c r="AR97" s="42">
        <f>IF(AS96=SUP!$B$104,AR96+1,AR96)</f>
        <v>2</v>
      </c>
      <c r="AS97" s="42">
        <f t="shared" si="11"/>
        <v>38</v>
      </c>
    </row>
    <row r="98" spans="1:45">
      <c r="A98" s="42" t="str">
        <f ca="1">IF(LEFT(OFFSET(SUP!$A$57,AS98,0),2)="\I","*","")</f>
        <v/>
      </c>
      <c r="B98" s="440" t="str">
        <f t="shared" ca="1" si="9"/>
        <v>ACT_BND</v>
      </c>
      <c r="C98" s="440" t="str">
        <f ca="1">IF($A98="*","",OFFSET(SUP!$B$57,AS98,0))</f>
        <v>PEXCOA</v>
      </c>
      <c r="D98" s="440" t="str">
        <f t="shared" ca="1" si="12"/>
        <v>-</v>
      </c>
      <c r="E98" s="440" t="str">
        <f t="shared" ca="1" si="12"/>
        <v>-</v>
      </c>
      <c r="F98" s="440" t="str">
        <f t="shared" ca="1" si="12"/>
        <v>-</v>
      </c>
      <c r="G98" s="440" t="str">
        <f t="shared" ca="1" si="12"/>
        <v>ANNUAL</v>
      </c>
      <c r="H98" s="440" t="str">
        <f t="shared" ca="1" si="10"/>
        <v>FX</v>
      </c>
      <c r="I98" s="441">
        <f ca="1">IF(IFERROR(VLOOKUP($C98,SUP!$B$54:$Q$104,MATCH($B98&amp;"-"&amp;I$7,SUP!$B$54:$Q$54,0),FALSE),"")="","",IFERROR(VLOOKUP($C98,SUP!$B$54:$Q$104,MATCH($B98&amp;"-"&amp;I$7,SUP!$B$54:$Q$54,0),FALSE),""))</f>
        <v>3</v>
      </c>
      <c r="J98" s="441">
        <f ca="1">IF(IFERROR(VLOOKUP($C98,SUP!$B$54:$Q$104,MATCH($B98&amp;"-"&amp;J$7,SUP!$B$54:$Q$54,0),FALSE),"")="","",IFERROR(VLOOKUP($C98,SUP!$B$54:$Q$104,MATCH($B98&amp;"-"&amp;J$7,SUP!$B$54:$Q$54,0),FALSE),""))</f>
        <v>2129.9962500000001</v>
      </c>
      <c r="K98" s="441" t="str">
        <f ca="1">IF(IFERROR(VLOOKUP($C98,SUP!$B$54:$Q$104,MATCH($B98&amp;"-"&amp;K$7,SUP!$B$54:$Q$54,0),FALSE),"")="","",IFERROR(VLOOKUP($C98,SUP!$B$54:$Q$104,MATCH($B98&amp;"-"&amp;K$7,SUP!$B$54:$Q$54,0),FALSE),""))</f>
        <v/>
      </c>
      <c r="L98" s="441" t="str">
        <f ca="1">IF(IFERROR(VLOOKUP($C98,SUP!$B$54:$Q$104,MATCH($B98&amp;"-"&amp;L$7,SUP!$B$54:$Q$54,0),FALSE),"")="","",IFERROR(VLOOKUP($C98,SUP!$B$54:$Q$104,MATCH($B98&amp;"-"&amp;L$7,SUP!$B$54:$Q$54,0),FALSE),""))</f>
        <v/>
      </c>
      <c r="M98" s="441">
        <f ca="1">IF(IFERROR(VLOOKUP($C98,SUP!$B$54:$Q$104,MATCH($B98&amp;"-"&amp;M$7,SUP!$B$54:$Q$54,0),FALSE),"")="","",IFERROR(VLOOKUP($C98,SUP!$B$54:$Q$104,MATCH($B98&amp;"-"&amp;M$7,SUP!$B$54:$Q$54,0),FALSE),""))</f>
        <v>1727</v>
      </c>
      <c r="N98" s="441" t="str">
        <f ca="1">IF(IFERROR(VLOOKUP($C98,SUP!$B$54:$Q$104,MATCH($B98&amp;"-"&amp;N$7,SUP!$B$54:$Q$54,0),FALSE),"")="","",IFERROR(VLOOKUP($C98,SUP!$B$54:$Q$104,MATCH($B98&amp;"-"&amp;N$7,SUP!$B$54:$Q$54,0),FALSE),""))</f>
        <v/>
      </c>
      <c r="O98" s="441" t="str">
        <f ca="1">IF(IFERROR(VLOOKUP($C98,SUP!$B$54:$Q$104,MATCH($B98&amp;"-"&amp;O$7,SUP!$B$54:$Q$54,0),FALSE),"")="","",IFERROR(VLOOKUP($C98,SUP!$B$54:$Q$104,MATCH($B98&amp;"-"&amp;O$7,SUP!$B$54:$Q$54,0),FALSE),""))</f>
        <v/>
      </c>
      <c r="P98" s="441" t="str">
        <f ca="1">IF(IFERROR(VLOOKUP($C98,SUP!$B$54:$Q$104,MATCH($B98&amp;"-"&amp;P$7,SUP!$B$54:$Q$54,0),FALSE),"")="","",IFERROR(VLOOKUP($C98,SUP!$B$54:$Q$104,MATCH($B98&amp;"-"&amp;P$7,SUP!$B$54:$Q$54,0),FALSE),""))</f>
        <v/>
      </c>
      <c r="Q98" s="441" t="str">
        <f ca="1">IF(IFERROR(VLOOKUP($C98,SUP!$B$54:$Q$104,MATCH($B98&amp;"-"&amp;Q$7,SUP!$B$54:$Q$54,0),FALSE),"")="","",IFERROR(VLOOKUP($C98,SUP!$B$54:$Q$104,MATCH($B98&amp;"-"&amp;Q$7,SUP!$B$54:$Q$54,0),FALSE),""))</f>
        <v/>
      </c>
      <c r="R98" s="441">
        <f ca="1">IF(IFERROR(VLOOKUP($C98,SUP!$B$54:$Q$104,MATCH($B98&amp;"-"&amp;R$7,SUP!$B$54:$Q$54,0),FALSE),"")="","",IFERROR(VLOOKUP($C98,SUP!$B$54:$Q$104,MATCH($B98&amp;"-"&amp;R$7,SUP!$B$54:$Q$54,0),FALSE),""))</f>
        <v>1727</v>
      </c>
      <c r="S98" s="441" t="str">
        <f ca="1">IF(IFERROR(VLOOKUP($C98,SUP!$B$54:$Q$104,MATCH($B98&amp;"-"&amp;S$7,SUP!$B$54:$Q$54,0),FALSE),"")="","",IFERROR(VLOOKUP($C98,SUP!$B$54:$Q$104,MATCH($B98&amp;"-"&amp;S$7,SUP!$B$54:$Q$54,0),FALSE),""))</f>
        <v/>
      </c>
      <c r="T98" s="441" t="str">
        <f ca="1">IF(IFERROR(VLOOKUP($C98,SUP!$B$54:$Q$104,MATCH($B98&amp;"-"&amp;T$7,SUP!$B$54:$Q$54,0),FALSE),"")="","",IFERROR(VLOOKUP($C98,SUP!$B$54:$Q$104,MATCH($B98&amp;"-"&amp;T$7,SUP!$B$54:$Q$54,0),FALSE),""))</f>
        <v/>
      </c>
      <c r="U98" s="441" t="str">
        <f ca="1">IF(IFERROR(VLOOKUP($C98,SUP!$B$54:$Q$104,MATCH($B98&amp;"-"&amp;U$7,SUP!$B$54:$Q$54,0),FALSE),"")="","",IFERROR(VLOOKUP($C98,SUP!$B$54:$Q$104,MATCH($B98&amp;"-"&amp;U$7,SUP!$B$54:$Q$54,0),FALSE),""))</f>
        <v/>
      </c>
      <c r="V98" s="441" t="str">
        <f ca="1">IF(IFERROR(VLOOKUP($C98,SUP!$B$54:$Q$104,MATCH($B98&amp;"-"&amp;V$7,SUP!$B$54:$Q$54,0),FALSE),"")="","",IFERROR(VLOOKUP($C98,SUP!$B$54:$Q$104,MATCH($B98&amp;"-"&amp;V$7,SUP!$B$54:$Q$54,0),FALSE),""))</f>
        <v/>
      </c>
      <c r="W98" s="441" t="str">
        <f ca="1">IF(IFERROR(VLOOKUP($C98,SUP!$B$54:$Q$104,MATCH($B98&amp;"-"&amp;W$7,SUP!$B$54:$Q$54,0),FALSE),"")="","",IFERROR(VLOOKUP($C98,SUP!$B$54:$Q$104,MATCH($B98&amp;"-"&amp;W$7,SUP!$B$54:$Q$54,0),FALSE),""))</f>
        <v/>
      </c>
      <c r="X98" s="441" t="str">
        <f ca="1">IF(IFERROR(VLOOKUP($C98,SUP!$B$54:$Q$104,MATCH($B98&amp;"-"&amp;X$7,SUP!$B$54:$Q$54,0),FALSE),"")="","",IFERROR(VLOOKUP($C98,SUP!$B$54:$Q$104,MATCH($B98&amp;"-"&amp;X$7,SUP!$B$54:$Q$54,0),FALSE),""))</f>
        <v/>
      </c>
      <c r="Y98" s="441" t="str">
        <f ca="1">IF(IFERROR(VLOOKUP($C98,SUP!$B$54:$Q$104,MATCH($B98&amp;"-"&amp;Y$7,SUP!$B$54:$Q$54,0),FALSE),"")="","",IFERROR(VLOOKUP($C98,SUP!$B$54:$Q$104,MATCH($B98&amp;"-"&amp;Y$7,SUP!$B$54:$Q$54,0),FALSE),""))</f>
        <v/>
      </c>
      <c r="Z98" s="441" t="str">
        <f ca="1">IF(IFERROR(VLOOKUP($C98,SUP!$B$54:$Q$104,MATCH($B98&amp;"-"&amp;Z$7,SUP!$B$54:$Q$54,0),FALSE),"")="","",IFERROR(VLOOKUP($C98,SUP!$B$54:$Q$104,MATCH($B98&amp;"-"&amp;Z$7,SUP!$B$54:$Q$54,0),FALSE),""))</f>
        <v/>
      </c>
      <c r="AA98" s="441" t="str">
        <f ca="1">IF(IFERROR(VLOOKUP($C98,SUP!$B$54:$Q$104,MATCH($B98&amp;"-"&amp;AA$7,SUP!$B$54:$Q$54,0),FALSE),"")="","",IFERROR(VLOOKUP($C98,SUP!$B$54:$Q$104,MATCH($B98&amp;"-"&amp;AA$7,SUP!$B$54:$Q$54,0),FALSE),""))</f>
        <v/>
      </c>
      <c r="AB98" s="441">
        <f ca="1">IF(IFERROR(VLOOKUP($C98,SUP!$B$54:$Q$104,MATCH($B98&amp;"-"&amp;AB$7,SUP!$B$54:$Q$54,0),FALSE),"")="","",IFERROR(VLOOKUP($C98,SUP!$B$54:$Q$104,MATCH($B98&amp;"-"&amp;AB$7,SUP!$B$54:$Q$54,0),FALSE),""))</f>
        <v>1000</v>
      </c>
      <c r="AC98" s="441" t="str">
        <f ca="1">IF(IFERROR(VLOOKUP($C98,SUP!$B$54:$Q$104,MATCH($B98&amp;"-"&amp;AC$7,SUP!$B$54:$Q$54,0),FALSE),"")="","",IFERROR(VLOOKUP($C98,SUP!$B$54:$Q$104,MATCH($B98&amp;"-"&amp;AC$7,SUP!$B$54:$Q$54,0),FALSE),""))</f>
        <v/>
      </c>
      <c r="AD98" s="441" t="str">
        <f ca="1">IF(IFERROR(VLOOKUP($C98,SUP!$B$54:$Q$104,MATCH($B98&amp;"-"&amp;AD$7,SUP!$B$54:$Q$54,0),FALSE),"")="","",IFERROR(VLOOKUP($C98,SUP!$B$54:$Q$104,MATCH($B98&amp;"-"&amp;AD$7,SUP!$B$54:$Q$54,0),FALSE),""))</f>
        <v/>
      </c>
      <c r="AE98" s="441" t="str">
        <f ca="1">IF(IFERROR(VLOOKUP($C98,SUP!$B$54:$Q$104,MATCH($B98&amp;"-"&amp;AE$7,SUP!$B$54:$Q$54,0),FALSE),"")="","",IFERROR(VLOOKUP($C98,SUP!$B$54:$Q$104,MATCH($B98&amp;"-"&amp;AE$7,SUP!$B$54:$Q$54,0),FALSE),""))</f>
        <v/>
      </c>
      <c r="AF98" s="441" t="str">
        <f ca="1">IF(IFERROR(VLOOKUP($C98,SUP!$B$54:$Q$104,MATCH($B98&amp;"-"&amp;AF$7,SUP!$B$54:$Q$54,0),FALSE),"")="","",IFERROR(VLOOKUP($C98,SUP!$B$54:$Q$104,MATCH($B98&amp;"-"&amp;AF$7,SUP!$B$54:$Q$54,0),FALSE),""))</f>
        <v/>
      </c>
      <c r="AG98" s="441" t="str">
        <f ca="1">IF(IFERROR(VLOOKUP($C98,SUP!$B$54:$Q$104,MATCH($B98&amp;"-"&amp;AG$7,SUP!$B$54:$Q$54,0),FALSE),"")="","",IFERROR(VLOOKUP($C98,SUP!$B$54:$Q$104,MATCH($B98&amp;"-"&amp;AG$7,SUP!$B$54:$Q$54,0),FALSE),""))</f>
        <v/>
      </c>
      <c r="AH98" s="441" t="str">
        <f ca="1">IF(IFERROR(VLOOKUP($C98,SUP!$B$54:$Q$104,MATCH($B98&amp;"-"&amp;AH$7,SUP!$B$54:$Q$54,0),FALSE),"")="","",IFERROR(VLOOKUP($C98,SUP!$B$54:$Q$104,MATCH($B98&amp;"-"&amp;AH$7,SUP!$B$54:$Q$54,0),FALSE),""))</f>
        <v/>
      </c>
      <c r="AI98" s="441"/>
      <c r="AJ98" s="441"/>
      <c r="AK98" s="441"/>
      <c r="AL98" s="1651">
        <v>1000</v>
      </c>
      <c r="AM98" s="1651"/>
      <c r="AN98" s="441">
        <f ca="1">IF(IFERROR(VLOOKUP($C98,SUP!$B$54:$Q$104,MATCH($B98&amp;"-"&amp;AN$7,SUP!$B$54:$Q$54,0),FALSE),"")="","",IFERROR(VLOOKUP($C98,SUP!$B$54:$Q$104,MATCH($B98&amp;"-"&amp;AN$7,SUP!$B$54:$Q$54,0),FALSE),""))</f>
        <v>500</v>
      </c>
      <c r="AO98" s="441"/>
      <c r="AR98" s="42">
        <f>IF(AS97=SUP!$B$104,AR97+1,AR97)</f>
        <v>2</v>
      </c>
      <c r="AS98" s="42">
        <f t="shared" si="11"/>
        <v>39</v>
      </c>
    </row>
    <row r="99" spans="1:45">
      <c r="A99" s="42" t="str">
        <f ca="1">IF(LEFT(OFFSET(SUP!$A$57,AS99,0),2)="\I","*","")</f>
        <v/>
      </c>
      <c r="B99" s="440" t="str">
        <f t="shared" ca="1" si="9"/>
        <v>ACT_BND</v>
      </c>
      <c r="C99" s="440" t="str">
        <f ca="1">IF($A99="*","",OFFSET(SUP!$B$57,AS99,0))</f>
        <v>PEXCOK</v>
      </c>
      <c r="D99" s="440" t="str">
        <f t="shared" ca="1" si="12"/>
        <v>-</v>
      </c>
      <c r="E99" s="440" t="str">
        <f t="shared" ca="1" si="12"/>
        <v>-</v>
      </c>
      <c r="F99" s="440" t="str">
        <f t="shared" ca="1" si="12"/>
        <v>-</v>
      </c>
      <c r="G99" s="440" t="str">
        <f t="shared" ca="1" si="12"/>
        <v>ANNUAL</v>
      </c>
      <c r="H99" s="440" t="str">
        <f t="shared" ca="1" si="10"/>
        <v>FX</v>
      </c>
      <c r="I99" s="441">
        <f ca="1">IF(IFERROR(VLOOKUP($C99,SUP!$B$54:$Q$104,MATCH($B99&amp;"-"&amp;I$7,SUP!$B$54:$Q$54,0),FALSE),"")="","",IFERROR(VLOOKUP($C99,SUP!$B$54:$Q$104,MATCH($B99&amp;"-"&amp;I$7,SUP!$B$54:$Q$54,0),FALSE),""))</f>
        <v>0</v>
      </c>
      <c r="J99" s="441">
        <f ca="1">IF(IFERROR(VLOOKUP($C99,SUP!$B$54:$Q$104,MATCH($B99&amp;"-"&amp;J$7,SUP!$B$54:$Q$54,0),FALSE),"")="","",IFERROR(VLOOKUP($C99,SUP!$B$54:$Q$104,MATCH($B99&amp;"-"&amp;J$7,SUP!$B$54:$Q$54,0),FALSE),""))</f>
        <v>20.834015000000001</v>
      </c>
      <c r="K99" s="441" t="str">
        <f ca="1">IF(IFERROR(VLOOKUP($C99,SUP!$B$54:$Q$104,MATCH($B99&amp;"-"&amp;K$7,SUP!$B$54:$Q$54,0),FALSE),"")="","",IFERROR(VLOOKUP($C99,SUP!$B$54:$Q$104,MATCH($B99&amp;"-"&amp;K$7,SUP!$B$54:$Q$54,0),FALSE),""))</f>
        <v/>
      </c>
      <c r="L99" s="441" t="str">
        <f ca="1">IF(IFERROR(VLOOKUP($C99,SUP!$B$54:$Q$104,MATCH($B99&amp;"-"&amp;L$7,SUP!$B$54:$Q$54,0),FALSE),"")="","",IFERROR(VLOOKUP($C99,SUP!$B$54:$Q$104,MATCH($B99&amp;"-"&amp;L$7,SUP!$B$54:$Q$54,0),FALSE),""))</f>
        <v/>
      </c>
      <c r="M99" s="441" t="str">
        <f ca="1">IF(IFERROR(VLOOKUP($C99,SUP!$B$54:$Q$104,MATCH($B99&amp;"-"&amp;M$7,SUP!$B$54:$Q$54,0),FALSE),"")="","",IFERROR(VLOOKUP($C99,SUP!$B$54:$Q$104,MATCH($B99&amp;"-"&amp;M$7,SUP!$B$54:$Q$54,0),FALSE),""))</f>
        <v/>
      </c>
      <c r="N99" s="441" t="str">
        <f ca="1">IF(IFERROR(VLOOKUP($C99,SUP!$B$54:$Q$104,MATCH($B99&amp;"-"&amp;N$7,SUP!$B$54:$Q$54,0),FALSE),"")="","",IFERROR(VLOOKUP($C99,SUP!$B$54:$Q$104,MATCH($B99&amp;"-"&amp;N$7,SUP!$B$54:$Q$54,0),FALSE),""))</f>
        <v/>
      </c>
      <c r="O99" s="441" t="str">
        <f ca="1">IF(IFERROR(VLOOKUP($C99,SUP!$B$54:$Q$104,MATCH($B99&amp;"-"&amp;O$7,SUP!$B$54:$Q$54,0),FALSE),"")="","",IFERROR(VLOOKUP($C99,SUP!$B$54:$Q$104,MATCH($B99&amp;"-"&amp;O$7,SUP!$B$54:$Q$54,0),FALSE),""))</f>
        <v/>
      </c>
      <c r="P99" s="441" t="str">
        <f ca="1">IF(IFERROR(VLOOKUP($C99,SUP!$B$54:$Q$104,MATCH($B99&amp;"-"&amp;P$7,SUP!$B$54:$Q$54,0),FALSE),"")="","",IFERROR(VLOOKUP($C99,SUP!$B$54:$Q$104,MATCH($B99&amp;"-"&amp;P$7,SUP!$B$54:$Q$54,0),FALSE),""))</f>
        <v/>
      </c>
      <c r="Q99" s="441" t="str">
        <f ca="1">IF(IFERROR(VLOOKUP($C99,SUP!$B$54:$Q$104,MATCH($B99&amp;"-"&amp;Q$7,SUP!$B$54:$Q$54,0),FALSE),"")="","",IFERROR(VLOOKUP($C99,SUP!$B$54:$Q$104,MATCH($B99&amp;"-"&amp;Q$7,SUP!$B$54:$Q$54,0),FALSE),""))</f>
        <v/>
      </c>
      <c r="R99" s="441" t="str">
        <f ca="1">IF(IFERROR(VLOOKUP($C99,SUP!$B$54:$Q$104,MATCH($B99&amp;"-"&amp;R$7,SUP!$B$54:$Q$54,0),FALSE),"")="","",IFERROR(VLOOKUP($C99,SUP!$B$54:$Q$104,MATCH($B99&amp;"-"&amp;R$7,SUP!$B$54:$Q$54,0),FALSE),""))</f>
        <v/>
      </c>
      <c r="S99" s="441" t="str">
        <f ca="1">IF(IFERROR(VLOOKUP($C99,SUP!$B$54:$Q$104,MATCH($B99&amp;"-"&amp;S$7,SUP!$B$54:$Q$54,0),FALSE),"")="","",IFERROR(VLOOKUP($C99,SUP!$B$54:$Q$104,MATCH($B99&amp;"-"&amp;S$7,SUP!$B$54:$Q$54,0),FALSE),""))</f>
        <v/>
      </c>
      <c r="T99" s="441" t="str">
        <f ca="1">IF(IFERROR(VLOOKUP($C99,SUP!$B$54:$Q$104,MATCH($B99&amp;"-"&amp;T$7,SUP!$B$54:$Q$54,0),FALSE),"")="","",IFERROR(VLOOKUP($C99,SUP!$B$54:$Q$104,MATCH($B99&amp;"-"&amp;T$7,SUP!$B$54:$Q$54,0),FALSE),""))</f>
        <v/>
      </c>
      <c r="U99" s="441" t="str">
        <f ca="1">IF(IFERROR(VLOOKUP($C99,SUP!$B$54:$Q$104,MATCH($B99&amp;"-"&amp;U$7,SUP!$B$54:$Q$54,0),FALSE),"")="","",IFERROR(VLOOKUP($C99,SUP!$B$54:$Q$104,MATCH($B99&amp;"-"&amp;U$7,SUP!$B$54:$Q$54,0),FALSE),""))</f>
        <v/>
      </c>
      <c r="V99" s="441" t="str">
        <f ca="1">IF(IFERROR(VLOOKUP($C99,SUP!$B$54:$Q$104,MATCH($B99&amp;"-"&amp;V$7,SUP!$B$54:$Q$54,0),FALSE),"")="","",IFERROR(VLOOKUP($C99,SUP!$B$54:$Q$104,MATCH($B99&amp;"-"&amp;V$7,SUP!$B$54:$Q$54,0),FALSE),""))</f>
        <v/>
      </c>
      <c r="W99" s="441" t="str">
        <f ca="1">IF(IFERROR(VLOOKUP($C99,SUP!$B$54:$Q$104,MATCH($B99&amp;"-"&amp;W$7,SUP!$B$54:$Q$54,0),FALSE),"")="","",IFERROR(VLOOKUP($C99,SUP!$B$54:$Q$104,MATCH($B99&amp;"-"&amp;W$7,SUP!$B$54:$Q$54,0),FALSE),""))</f>
        <v/>
      </c>
      <c r="X99" s="441" t="str">
        <f ca="1">IF(IFERROR(VLOOKUP($C99,SUP!$B$54:$Q$104,MATCH($B99&amp;"-"&amp;X$7,SUP!$B$54:$Q$54,0),FALSE),"")="","",IFERROR(VLOOKUP($C99,SUP!$B$54:$Q$104,MATCH($B99&amp;"-"&amp;X$7,SUP!$B$54:$Q$54,0),FALSE),""))</f>
        <v/>
      </c>
      <c r="Y99" s="441" t="str">
        <f ca="1">IF(IFERROR(VLOOKUP($C99,SUP!$B$54:$Q$104,MATCH($B99&amp;"-"&amp;Y$7,SUP!$B$54:$Q$54,0),FALSE),"")="","",IFERROR(VLOOKUP($C99,SUP!$B$54:$Q$104,MATCH($B99&amp;"-"&amp;Y$7,SUP!$B$54:$Q$54,0),FALSE),""))</f>
        <v/>
      </c>
      <c r="Z99" s="441" t="str">
        <f ca="1">IF(IFERROR(VLOOKUP($C99,SUP!$B$54:$Q$104,MATCH($B99&amp;"-"&amp;Z$7,SUP!$B$54:$Q$54,0),FALSE),"")="","",IFERROR(VLOOKUP($C99,SUP!$B$54:$Q$104,MATCH($B99&amp;"-"&amp;Z$7,SUP!$B$54:$Q$54,0),FALSE),""))</f>
        <v/>
      </c>
      <c r="AA99" s="441" t="str">
        <f ca="1">IF(IFERROR(VLOOKUP($C99,SUP!$B$54:$Q$104,MATCH($B99&amp;"-"&amp;AA$7,SUP!$B$54:$Q$54,0),FALSE),"")="","",IFERROR(VLOOKUP($C99,SUP!$B$54:$Q$104,MATCH($B99&amp;"-"&amp;AA$7,SUP!$B$54:$Q$54,0),FALSE),""))</f>
        <v/>
      </c>
      <c r="AB99" s="441" t="str">
        <f ca="1">IF(IFERROR(VLOOKUP($C99,SUP!$B$54:$Q$104,MATCH($B99&amp;"-"&amp;AB$7,SUP!$B$54:$Q$54,0),FALSE),"")="","",IFERROR(VLOOKUP($C99,SUP!$B$54:$Q$104,MATCH($B99&amp;"-"&amp;AB$7,SUP!$B$54:$Q$54,0),FALSE),""))</f>
        <v/>
      </c>
      <c r="AC99" s="441" t="str">
        <f ca="1">IF(IFERROR(VLOOKUP($C99,SUP!$B$54:$Q$104,MATCH($B99&amp;"-"&amp;AC$7,SUP!$B$54:$Q$54,0),FALSE),"")="","",IFERROR(VLOOKUP($C99,SUP!$B$54:$Q$104,MATCH($B99&amp;"-"&amp;AC$7,SUP!$B$54:$Q$54,0),FALSE),""))</f>
        <v/>
      </c>
      <c r="AD99" s="441" t="str">
        <f ca="1">IF(IFERROR(VLOOKUP($C99,SUP!$B$54:$Q$104,MATCH($B99&amp;"-"&amp;AD$7,SUP!$B$54:$Q$54,0),FALSE),"")="","",IFERROR(VLOOKUP($C99,SUP!$B$54:$Q$104,MATCH($B99&amp;"-"&amp;AD$7,SUP!$B$54:$Q$54,0),FALSE),""))</f>
        <v/>
      </c>
      <c r="AE99" s="441" t="str">
        <f ca="1">IF(IFERROR(VLOOKUP($C99,SUP!$B$54:$Q$104,MATCH($B99&amp;"-"&amp;AE$7,SUP!$B$54:$Q$54,0),FALSE),"")="","",IFERROR(VLOOKUP($C99,SUP!$B$54:$Q$104,MATCH($B99&amp;"-"&amp;AE$7,SUP!$B$54:$Q$54,0),FALSE),""))</f>
        <v/>
      </c>
      <c r="AF99" s="441" t="str">
        <f ca="1">IF(IFERROR(VLOOKUP($C99,SUP!$B$54:$Q$104,MATCH($B99&amp;"-"&amp;AF$7,SUP!$B$54:$Q$54,0),FALSE),"")="","",IFERROR(VLOOKUP($C99,SUP!$B$54:$Q$104,MATCH($B99&amp;"-"&amp;AF$7,SUP!$B$54:$Q$54,0),FALSE),""))</f>
        <v/>
      </c>
      <c r="AG99" s="441" t="str">
        <f ca="1">IF(IFERROR(VLOOKUP($C99,SUP!$B$54:$Q$104,MATCH($B99&amp;"-"&amp;AG$7,SUP!$B$54:$Q$54,0),FALSE),"")="","",IFERROR(VLOOKUP($C99,SUP!$B$54:$Q$104,MATCH($B99&amp;"-"&amp;AG$7,SUP!$B$54:$Q$54,0),FALSE),""))</f>
        <v/>
      </c>
      <c r="AH99" s="441" t="str">
        <f ca="1">IF(IFERROR(VLOOKUP($C99,SUP!$B$54:$Q$104,MATCH($B99&amp;"-"&amp;AH$7,SUP!$B$54:$Q$54,0),FALSE),"")="","",IFERROR(VLOOKUP($C99,SUP!$B$54:$Q$104,MATCH($B99&amp;"-"&amp;AH$7,SUP!$B$54:$Q$54,0),FALSE),""))</f>
        <v/>
      </c>
      <c r="AI99" s="441"/>
      <c r="AJ99" s="441"/>
      <c r="AK99" s="441"/>
      <c r="AL99" s="441"/>
      <c r="AM99" s="441" t="str">
        <f ca="1">IF(IFERROR(VLOOKUP($C99,SUP!$B$54:$Q$104,MATCH($B99&amp;"-"&amp;AM$7,SUP!$B$54:$Q$54,0),FALSE),"")="","",IFERROR(VLOOKUP($C99,SUP!$B$54:$Q$104,MATCH($B99&amp;"-"&amp;AM$7,SUP!$B$54:$Q$54,0),FALSE),""))</f>
        <v/>
      </c>
      <c r="AN99" s="441"/>
      <c r="AO99" s="441"/>
      <c r="AR99" s="42">
        <f>IF(AS98=SUP!$B$104,AR98+1,AR98)</f>
        <v>2</v>
      </c>
      <c r="AS99" s="42">
        <f t="shared" si="11"/>
        <v>40</v>
      </c>
    </row>
    <row r="100" spans="1:45">
      <c r="A100" s="42" t="str">
        <f ca="1">IF(LEFT(OFFSET(SUP!$A$57,AS100,0),2)="\I","*","")</f>
        <v/>
      </c>
      <c r="B100" s="440" t="str">
        <f t="shared" ca="1" si="9"/>
        <v>ACT_BND</v>
      </c>
      <c r="C100" s="440" t="str">
        <f ca="1">IF($A100="*","",OFFSET(SUP!$B$57,AS100,0))</f>
        <v>PEXOAG</v>
      </c>
      <c r="D100" s="440" t="str">
        <f t="shared" ca="1" si="12"/>
        <v>-</v>
      </c>
      <c r="E100" s="440" t="str">
        <f t="shared" ca="1" si="12"/>
        <v>-</v>
      </c>
      <c r="F100" s="440" t="str">
        <f t="shared" ca="1" si="12"/>
        <v>-</v>
      </c>
      <c r="G100" s="440" t="str">
        <f t="shared" ca="1" si="12"/>
        <v>ANNUAL</v>
      </c>
      <c r="H100" s="440" t="str">
        <f t="shared" ca="1" si="10"/>
        <v>FX</v>
      </c>
      <c r="I100" s="441">
        <f ca="1">IF(IFERROR(VLOOKUP($C100,SUP!$B$54:$Q$104,MATCH($B100&amp;"-"&amp;I$7,SUP!$B$54:$Q$54,0),FALSE),"")="","",IFERROR(VLOOKUP($C100,SUP!$B$54:$Q$104,MATCH($B100&amp;"-"&amp;I$7,SUP!$B$54:$Q$54,0),FALSE),""))</f>
        <v>0</v>
      </c>
      <c r="J100" s="441">
        <f ca="1">IF(IFERROR(VLOOKUP($C100,SUP!$B$54:$Q$104,MATCH($B100&amp;"-"&amp;J$7,SUP!$B$54:$Q$54,0),FALSE),"")="","",IFERROR(VLOOKUP($C100,SUP!$B$54:$Q$104,MATCH($B100&amp;"-"&amp;J$7,SUP!$B$54:$Q$54,0),FALSE),""))</f>
        <v>0.22564281164383562</v>
      </c>
      <c r="K100" s="441" t="str">
        <f ca="1">IF(IFERROR(VLOOKUP($C100,SUP!$B$54:$Q$104,MATCH($B100&amp;"-"&amp;K$7,SUP!$B$54:$Q$54,0),FALSE),"")="","",IFERROR(VLOOKUP($C100,SUP!$B$54:$Q$104,MATCH($B100&amp;"-"&amp;K$7,SUP!$B$54:$Q$54,0),FALSE),""))</f>
        <v/>
      </c>
      <c r="L100" s="441" t="str">
        <f ca="1">IF(IFERROR(VLOOKUP($C100,SUP!$B$54:$Q$104,MATCH($B100&amp;"-"&amp;L$7,SUP!$B$54:$Q$54,0),FALSE),"")="","",IFERROR(VLOOKUP($C100,SUP!$B$54:$Q$104,MATCH($B100&amp;"-"&amp;L$7,SUP!$B$54:$Q$54,0),FALSE),""))</f>
        <v/>
      </c>
      <c r="M100" s="441" t="str">
        <f ca="1">IF(IFERROR(VLOOKUP($C100,SUP!$B$54:$Q$104,MATCH($B100&amp;"-"&amp;M$7,SUP!$B$54:$Q$54,0),FALSE),"")="","",IFERROR(VLOOKUP($C100,SUP!$B$54:$Q$104,MATCH($B100&amp;"-"&amp;M$7,SUP!$B$54:$Q$54,0),FALSE),""))</f>
        <v/>
      </c>
      <c r="N100" s="441" t="str">
        <f ca="1">IF(IFERROR(VLOOKUP($C100,SUP!$B$54:$Q$104,MATCH($B100&amp;"-"&amp;N$7,SUP!$B$54:$Q$54,0),FALSE),"")="","",IFERROR(VLOOKUP($C100,SUP!$B$54:$Q$104,MATCH($B100&amp;"-"&amp;N$7,SUP!$B$54:$Q$54,0),FALSE),""))</f>
        <v/>
      </c>
      <c r="O100" s="441" t="str">
        <f ca="1">IF(IFERROR(VLOOKUP($C100,SUP!$B$54:$Q$104,MATCH($B100&amp;"-"&amp;O$7,SUP!$B$54:$Q$54,0),FALSE),"")="","",IFERROR(VLOOKUP($C100,SUP!$B$54:$Q$104,MATCH($B100&amp;"-"&amp;O$7,SUP!$B$54:$Q$54,0),FALSE),""))</f>
        <v/>
      </c>
      <c r="P100" s="441" t="str">
        <f ca="1">IF(IFERROR(VLOOKUP($C100,SUP!$B$54:$Q$104,MATCH($B100&amp;"-"&amp;P$7,SUP!$B$54:$Q$54,0),FALSE),"")="","",IFERROR(VLOOKUP($C100,SUP!$B$54:$Q$104,MATCH($B100&amp;"-"&amp;P$7,SUP!$B$54:$Q$54,0),FALSE),""))</f>
        <v/>
      </c>
      <c r="Q100" s="441" t="str">
        <f ca="1">IF(IFERROR(VLOOKUP($C100,SUP!$B$54:$Q$104,MATCH($B100&amp;"-"&amp;Q$7,SUP!$B$54:$Q$54,0),FALSE),"")="","",IFERROR(VLOOKUP($C100,SUP!$B$54:$Q$104,MATCH($B100&amp;"-"&amp;Q$7,SUP!$B$54:$Q$54,0),FALSE),""))</f>
        <v/>
      </c>
      <c r="R100" s="441" t="str">
        <f ca="1">IF(IFERROR(VLOOKUP($C100,SUP!$B$54:$Q$104,MATCH($B100&amp;"-"&amp;R$7,SUP!$B$54:$Q$54,0),FALSE),"")="","",IFERROR(VLOOKUP($C100,SUP!$B$54:$Q$104,MATCH($B100&amp;"-"&amp;R$7,SUP!$B$54:$Q$54,0),FALSE),""))</f>
        <v/>
      </c>
      <c r="S100" s="441" t="str">
        <f ca="1">IF(IFERROR(VLOOKUP($C100,SUP!$B$54:$Q$104,MATCH($B100&amp;"-"&amp;S$7,SUP!$B$54:$Q$54,0),FALSE),"")="","",IFERROR(VLOOKUP($C100,SUP!$B$54:$Q$104,MATCH($B100&amp;"-"&amp;S$7,SUP!$B$54:$Q$54,0),FALSE),""))</f>
        <v/>
      </c>
      <c r="T100" s="441" t="str">
        <f ca="1">IF(IFERROR(VLOOKUP($C100,SUP!$B$54:$Q$104,MATCH($B100&amp;"-"&amp;T$7,SUP!$B$54:$Q$54,0),FALSE),"")="","",IFERROR(VLOOKUP($C100,SUP!$B$54:$Q$104,MATCH($B100&amp;"-"&amp;T$7,SUP!$B$54:$Q$54,0),FALSE),""))</f>
        <v/>
      </c>
      <c r="U100" s="441" t="str">
        <f ca="1">IF(IFERROR(VLOOKUP($C100,SUP!$B$54:$Q$104,MATCH($B100&amp;"-"&amp;U$7,SUP!$B$54:$Q$54,0),FALSE),"")="","",IFERROR(VLOOKUP($C100,SUP!$B$54:$Q$104,MATCH($B100&amp;"-"&amp;U$7,SUP!$B$54:$Q$54,0),FALSE),""))</f>
        <v/>
      </c>
      <c r="V100" s="441" t="str">
        <f ca="1">IF(IFERROR(VLOOKUP($C100,SUP!$B$54:$Q$104,MATCH($B100&amp;"-"&amp;V$7,SUP!$B$54:$Q$54,0),FALSE),"")="","",IFERROR(VLOOKUP($C100,SUP!$B$54:$Q$104,MATCH($B100&amp;"-"&amp;V$7,SUP!$B$54:$Q$54,0),FALSE),""))</f>
        <v/>
      </c>
      <c r="W100" s="441" t="str">
        <f ca="1">IF(IFERROR(VLOOKUP($C100,SUP!$B$54:$Q$104,MATCH($B100&amp;"-"&amp;W$7,SUP!$B$54:$Q$54,0),FALSE),"")="","",IFERROR(VLOOKUP($C100,SUP!$B$54:$Q$104,MATCH($B100&amp;"-"&amp;W$7,SUP!$B$54:$Q$54,0),FALSE),""))</f>
        <v/>
      </c>
      <c r="X100" s="441" t="str">
        <f ca="1">IF(IFERROR(VLOOKUP($C100,SUP!$B$54:$Q$104,MATCH($B100&amp;"-"&amp;X$7,SUP!$B$54:$Q$54,0),FALSE),"")="","",IFERROR(VLOOKUP($C100,SUP!$B$54:$Q$104,MATCH($B100&amp;"-"&amp;X$7,SUP!$B$54:$Q$54,0),FALSE),""))</f>
        <v/>
      </c>
      <c r="Y100" s="441" t="str">
        <f ca="1">IF(IFERROR(VLOOKUP($C100,SUP!$B$54:$Q$104,MATCH($B100&amp;"-"&amp;Y$7,SUP!$B$54:$Q$54,0),FALSE),"")="","",IFERROR(VLOOKUP($C100,SUP!$B$54:$Q$104,MATCH($B100&amp;"-"&amp;Y$7,SUP!$B$54:$Q$54,0),FALSE),""))</f>
        <v/>
      </c>
      <c r="Z100" s="441" t="str">
        <f ca="1">IF(IFERROR(VLOOKUP($C100,SUP!$B$54:$Q$104,MATCH($B100&amp;"-"&amp;Z$7,SUP!$B$54:$Q$54,0),FALSE),"")="","",IFERROR(VLOOKUP($C100,SUP!$B$54:$Q$104,MATCH($B100&amp;"-"&amp;Z$7,SUP!$B$54:$Q$54,0),FALSE),""))</f>
        <v/>
      </c>
      <c r="AA100" s="441" t="str">
        <f ca="1">IF(IFERROR(VLOOKUP($C100,SUP!$B$54:$Q$104,MATCH($B100&amp;"-"&amp;AA$7,SUP!$B$54:$Q$54,0),FALSE),"")="","",IFERROR(VLOOKUP($C100,SUP!$B$54:$Q$104,MATCH($B100&amp;"-"&amp;AA$7,SUP!$B$54:$Q$54,0),FALSE),""))</f>
        <v/>
      </c>
      <c r="AB100" s="441" t="str">
        <f ca="1">IF(IFERROR(VLOOKUP($C100,SUP!$B$54:$Q$104,MATCH($B100&amp;"-"&amp;AB$7,SUP!$B$54:$Q$54,0),FALSE),"")="","",IFERROR(VLOOKUP($C100,SUP!$B$54:$Q$104,MATCH($B100&amp;"-"&amp;AB$7,SUP!$B$54:$Q$54,0),FALSE),""))</f>
        <v/>
      </c>
      <c r="AC100" s="441" t="str">
        <f ca="1">IF(IFERROR(VLOOKUP($C100,SUP!$B$54:$Q$104,MATCH($B100&amp;"-"&amp;AC$7,SUP!$B$54:$Q$54,0),FALSE),"")="","",IFERROR(VLOOKUP($C100,SUP!$B$54:$Q$104,MATCH($B100&amp;"-"&amp;AC$7,SUP!$B$54:$Q$54,0),FALSE),""))</f>
        <v/>
      </c>
      <c r="AD100" s="441" t="str">
        <f ca="1">IF(IFERROR(VLOOKUP($C100,SUP!$B$54:$Q$104,MATCH($B100&amp;"-"&amp;AD$7,SUP!$B$54:$Q$54,0),FALSE),"")="","",IFERROR(VLOOKUP($C100,SUP!$B$54:$Q$104,MATCH($B100&amp;"-"&amp;AD$7,SUP!$B$54:$Q$54,0),FALSE),""))</f>
        <v/>
      </c>
      <c r="AE100" s="441" t="str">
        <f ca="1">IF(IFERROR(VLOOKUP($C100,SUP!$B$54:$Q$104,MATCH($B100&amp;"-"&amp;AE$7,SUP!$B$54:$Q$54,0),FALSE),"")="","",IFERROR(VLOOKUP($C100,SUP!$B$54:$Q$104,MATCH($B100&amp;"-"&amp;AE$7,SUP!$B$54:$Q$54,0),FALSE),""))</f>
        <v/>
      </c>
      <c r="AF100" s="441" t="str">
        <f ca="1">IF(IFERROR(VLOOKUP($C100,SUP!$B$54:$Q$104,MATCH($B100&amp;"-"&amp;AF$7,SUP!$B$54:$Q$54,0),FALSE),"")="","",IFERROR(VLOOKUP($C100,SUP!$B$54:$Q$104,MATCH($B100&amp;"-"&amp;AF$7,SUP!$B$54:$Q$54,0),FALSE),""))</f>
        <v/>
      </c>
      <c r="AG100" s="441" t="str">
        <f ca="1">IF(IFERROR(VLOOKUP($C100,SUP!$B$54:$Q$104,MATCH($B100&amp;"-"&amp;AG$7,SUP!$B$54:$Q$54,0),FALSE),"")="","",IFERROR(VLOOKUP($C100,SUP!$B$54:$Q$104,MATCH($B100&amp;"-"&amp;AG$7,SUP!$B$54:$Q$54,0),FALSE),""))</f>
        <v/>
      </c>
      <c r="AH100" s="441" t="str">
        <f ca="1">IF(IFERROR(VLOOKUP($C100,SUP!$B$54:$Q$104,MATCH($B100&amp;"-"&amp;AH$7,SUP!$B$54:$Q$54,0),FALSE),"")="","",IFERROR(VLOOKUP($C100,SUP!$B$54:$Q$104,MATCH($B100&amp;"-"&amp;AH$7,SUP!$B$54:$Q$54,0),FALSE),""))</f>
        <v/>
      </c>
      <c r="AI100" s="441"/>
      <c r="AJ100" s="441"/>
      <c r="AK100" s="441"/>
      <c r="AL100" s="441"/>
      <c r="AM100" s="441" t="str">
        <f ca="1">IF(IFERROR(VLOOKUP($C100,SUP!$B$54:$Q$104,MATCH($B100&amp;"-"&amp;AM$7,SUP!$B$54:$Q$54,0),FALSE),"")="","",IFERROR(VLOOKUP($C100,SUP!$B$54:$Q$104,MATCH($B100&amp;"-"&amp;AM$7,SUP!$B$54:$Q$54,0),FALSE),""))</f>
        <v/>
      </c>
      <c r="AN100" s="441"/>
      <c r="AO100" s="441"/>
      <c r="AR100" s="42">
        <f>IF(AS99=SUP!$B$104,AR99+1,AR99)</f>
        <v>2</v>
      </c>
      <c r="AS100" s="42">
        <f t="shared" si="11"/>
        <v>41</v>
      </c>
    </row>
    <row r="101" spans="1:45">
      <c r="A101" s="42" t="str">
        <f ca="1">IF(LEFT(OFFSET(SUP!$A$57,AS101,0),2)="\I","*","")</f>
        <v/>
      </c>
      <c r="B101" s="440" t="str">
        <f t="shared" ca="1" si="9"/>
        <v>ACT_BND</v>
      </c>
      <c r="C101" s="440" t="str">
        <f ca="1">IF($A101="*","",OFFSET(SUP!$B$57,AS101,0))</f>
        <v>PEXOCR</v>
      </c>
      <c r="D101" s="440" t="str">
        <f t="shared" ca="1" si="12"/>
        <v>-</v>
      </c>
      <c r="E101" s="440" t="str">
        <f t="shared" ca="1" si="12"/>
        <v>-</v>
      </c>
      <c r="F101" s="440" t="str">
        <f t="shared" ca="1" si="12"/>
        <v>-</v>
      </c>
      <c r="G101" s="440" t="str">
        <f t="shared" ca="1" si="12"/>
        <v>ANNUAL</v>
      </c>
      <c r="H101" s="440" t="str">
        <f t="shared" ca="1" si="10"/>
        <v>FX</v>
      </c>
      <c r="I101" s="441">
        <f ca="1">IF(IFERROR(VLOOKUP($C101,SUP!$B$54:$Q$104,MATCH($B101&amp;"-"&amp;I$7,SUP!$B$54:$Q$54,0),FALSE),"")="","",IFERROR(VLOOKUP($C101,SUP!$B$54:$Q$104,MATCH($B101&amp;"-"&amp;I$7,SUP!$B$54:$Q$54,0),FALSE),""))</f>
        <v>0</v>
      </c>
      <c r="J101" s="441">
        <f ca="1">IF(IFERROR(VLOOKUP($C101,SUP!$B$54:$Q$104,MATCH($B101&amp;"-"&amp;J$7,SUP!$B$54:$Q$54,0),FALSE),"")="","",IFERROR(VLOOKUP($C101,SUP!$B$54:$Q$104,MATCH($B101&amp;"-"&amp;J$7,SUP!$B$54:$Q$54,0),FALSE),""))</f>
        <v>20.83803412968</v>
      </c>
      <c r="K101" s="441" t="str">
        <f ca="1">IF(IFERROR(VLOOKUP($C101,SUP!$B$54:$Q$104,MATCH($B101&amp;"-"&amp;K$7,SUP!$B$54:$Q$54,0),FALSE),"")="","",IFERROR(VLOOKUP($C101,SUP!$B$54:$Q$104,MATCH($B101&amp;"-"&amp;K$7,SUP!$B$54:$Q$54,0),FALSE),""))</f>
        <v/>
      </c>
      <c r="L101" s="441" t="str">
        <f ca="1">IF(IFERROR(VLOOKUP($C101,SUP!$B$54:$Q$104,MATCH($B101&amp;"-"&amp;L$7,SUP!$B$54:$Q$54,0),FALSE),"")="","",IFERROR(VLOOKUP($C101,SUP!$B$54:$Q$104,MATCH($B101&amp;"-"&amp;L$7,SUP!$B$54:$Q$54,0),FALSE),""))</f>
        <v/>
      </c>
      <c r="M101" s="441" t="str">
        <f ca="1">IF(IFERROR(VLOOKUP($C101,SUP!$B$54:$Q$104,MATCH($B101&amp;"-"&amp;M$7,SUP!$B$54:$Q$54,0),FALSE),"")="","",IFERROR(VLOOKUP($C101,SUP!$B$54:$Q$104,MATCH($B101&amp;"-"&amp;M$7,SUP!$B$54:$Q$54,0),FALSE),""))</f>
        <v/>
      </c>
      <c r="N101" s="441" t="str">
        <f ca="1">IF(IFERROR(VLOOKUP($C101,SUP!$B$54:$Q$104,MATCH($B101&amp;"-"&amp;N$7,SUP!$B$54:$Q$54,0),FALSE),"")="","",IFERROR(VLOOKUP($C101,SUP!$B$54:$Q$104,MATCH($B101&amp;"-"&amp;N$7,SUP!$B$54:$Q$54,0),FALSE),""))</f>
        <v/>
      </c>
      <c r="O101" s="441" t="str">
        <f ca="1">IF(IFERROR(VLOOKUP($C101,SUP!$B$54:$Q$104,MATCH($B101&amp;"-"&amp;O$7,SUP!$B$54:$Q$54,0),FALSE),"")="","",IFERROR(VLOOKUP($C101,SUP!$B$54:$Q$104,MATCH($B101&amp;"-"&amp;O$7,SUP!$B$54:$Q$54,0),FALSE),""))</f>
        <v/>
      </c>
      <c r="P101" s="441" t="str">
        <f ca="1">IF(IFERROR(VLOOKUP($C101,SUP!$B$54:$Q$104,MATCH($B101&amp;"-"&amp;P$7,SUP!$B$54:$Q$54,0),FALSE),"")="","",IFERROR(VLOOKUP($C101,SUP!$B$54:$Q$104,MATCH($B101&amp;"-"&amp;P$7,SUP!$B$54:$Q$54,0),FALSE),""))</f>
        <v/>
      </c>
      <c r="Q101" s="441" t="str">
        <f ca="1">IF(IFERROR(VLOOKUP($C101,SUP!$B$54:$Q$104,MATCH($B101&amp;"-"&amp;Q$7,SUP!$B$54:$Q$54,0),FALSE),"")="","",IFERROR(VLOOKUP($C101,SUP!$B$54:$Q$104,MATCH($B101&amp;"-"&amp;Q$7,SUP!$B$54:$Q$54,0),FALSE),""))</f>
        <v/>
      </c>
      <c r="R101" s="441" t="str">
        <f ca="1">IF(IFERROR(VLOOKUP($C101,SUP!$B$54:$Q$104,MATCH($B101&amp;"-"&amp;R$7,SUP!$B$54:$Q$54,0),FALSE),"")="","",IFERROR(VLOOKUP($C101,SUP!$B$54:$Q$104,MATCH($B101&amp;"-"&amp;R$7,SUP!$B$54:$Q$54,0),FALSE),""))</f>
        <v/>
      </c>
      <c r="S101" s="441" t="str">
        <f ca="1">IF(IFERROR(VLOOKUP($C101,SUP!$B$54:$Q$104,MATCH($B101&amp;"-"&amp;S$7,SUP!$B$54:$Q$54,0),FALSE),"")="","",IFERROR(VLOOKUP($C101,SUP!$B$54:$Q$104,MATCH($B101&amp;"-"&amp;S$7,SUP!$B$54:$Q$54,0),FALSE),""))</f>
        <v/>
      </c>
      <c r="T101" s="441" t="str">
        <f ca="1">IF(IFERROR(VLOOKUP($C101,SUP!$B$54:$Q$104,MATCH($B101&amp;"-"&amp;T$7,SUP!$B$54:$Q$54,0),FALSE),"")="","",IFERROR(VLOOKUP($C101,SUP!$B$54:$Q$104,MATCH($B101&amp;"-"&amp;T$7,SUP!$B$54:$Q$54,0),FALSE),""))</f>
        <v/>
      </c>
      <c r="U101" s="441" t="str">
        <f ca="1">IF(IFERROR(VLOOKUP($C101,SUP!$B$54:$Q$104,MATCH($B101&amp;"-"&amp;U$7,SUP!$B$54:$Q$54,0),FALSE),"")="","",IFERROR(VLOOKUP($C101,SUP!$B$54:$Q$104,MATCH($B101&amp;"-"&amp;U$7,SUP!$B$54:$Q$54,0),FALSE),""))</f>
        <v/>
      </c>
      <c r="V101" s="441" t="str">
        <f ca="1">IF(IFERROR(VLOOKUP($C101,SUP!$B$54:$Q$104,MATCH($B101&amp;"-"&amp;V$7,SUP!$B$54:$Q$54,0),FALSE),"")="","",IFERROR(VLOOKUP($C101,SUP!$B$54:$Q$104,MATCH($B101&amp;"-"&amp;V$7,SUP!$B$54:$Q$54,0),FALSE),""))</f>
        <v/>
      </c>
      <c r="W101" s="441" t="str">
        <f ca="1">IF(IFERROR(VLOOKUP($C101,SUP!$B$54:$Q$104,MATCH($B101&amp;"-"&amp;W$7,SUP!$B$54:$Q$54,0),FALSE),"")="","",IFERROR(VLOOKUP($C101,SUP!$B$54:$Q$104,MATCH($B101&amp;"-"&amp;W$7,SUP!$B$54:$Q$54,0),FALSE),""))</f>
        <v/>
      </c>
      <c r="X101" s="441" t="str">
        <f ca="1">IF(IFERROR(VLOOKUP($C101,SUP!$B$54:$Q$104,MATCH($B101&amp;"-"&amp;X$7,SUP!$B$54:$Q$54,0),FALSE),"")="","",IFERROR(VLOOKUP($C101,SUP!$B$54:$Q$104,MATCH($B101&amp;"-"&amp;X$7,SUP!$B$54:$Q$54,0),FALSE),""))</f>
        <v/>
      </c>
      <c r="Y101" s="441" t="str">
        <f ca="1">IF(IFERROR(VLOOKUP($C101,SUP!$B$54:$Q$104,MATCH($B101&amp;"-"&amp;Y$7,SUP!$B$54:$Q$54,0),FALSE),"")="","",IFERROR(VLOOKUP($C101,SUP!$B$54:$Q$104,MATCH($B101&amp;"-"&amp;Y$7,SUP!$B$54:$Q$54,0),FALSE),""))</f>
        <v/>
      </c>
      <c r="Z101" s="441" t="str">
        <f ca="1">IF(IFERROR(VLOOKUP($C101,SUP!$B$54:$Q$104,MATCH($B101&amp;"-"&amp;Z$7,SUP!$B$54:$Q$54,0),FALSE),"")="","",IFERROR(VLOOKUP($C101,SUP!$B$54:$Q$104,MATCH($B101&amp;"-"&amp;Z$7,SUP!$B$54:$Q$54,0),FALSE),""))</f>
        <v/>
      </c>
      <c r="AA101" s="441" t="str">
        <f ca="1">IF(IFERROR(VLOOKUP($C101,SUP!$B$54:$Q$104,MATCH($B101&amp;"-"&amp;AA$7,SUP!$B$54:$Q$54,0),FALSE),"")="","",IFERROR(VLOOKUP($C101,SUP!$B$54:$Q$104,MATCH($B101&amp;"-"&amp;AA$7,SUP!$B$54:$Q$54,0),FALSE),""))</f>
        <v/>
      </c>
      <c r="AB101" s="441" t="str">
        <f ca="1">IF(IFERROR(VLOOKUP($C101,SUP!$B$54:$Q$104,MATCH($B101&amp;"-"&amp;AB$7,SUP!$B$54:$Q$54,0),FALSE),"")="","",IFERROR(VLOOKUP($C101,SUP!$B$54:$Q$104,MATCH($B101&amp;"-"&amp;AB$7,SUP!$B$54:$Q$54,0),FALSE),""))</f>
        <v/>
      </c>
      <c r="AC101" s="441" t="str">
        <f ca="1">IF(IFERROR(VLOOKUP($C101,SUP!$B$54:$Q$104,MATCH($B101&amp;"-"&amp;AC$7,SUP!$B$54:$Q$54,0),FALSE),"")="","",IFERROR(VLOOKUP($C101,SUP!$B$54:$Q$104,MATCH($B101&amp;"-"&amp;AC$7,SUP!$B$54:$Q$54,0),FALSE),""))</f>
        <v/>
      </c>
      <c r="AD101" s="441" t="str">
        <f ca="1">IF(IFERROR(VLOOKUP($C101,SUP!$B$54:$Q$104,MATCH($B101&amp;"-"&amp;AD$7,SUP!$B$54:$Q$54,0),FALSE),"")="","",IFERROR(VLOOKUP($C101,SUP!$B$54:$Q$104,MATCH($B101&amp;"-"&amp;AD$7,SUP!$B$54:$Q$54,0),FALSE),""))</f>
        <v/>
      </c>
      <c r="AE101" s="441" t="str">
        <f ca="1">IF(IFERROR(VLOOKUP($C101,SUP!$B$54:$Q$104,MATCH($B101&amp;"-"&amp;AE$7,SUP!$B$54:$Q$54,0),FALSE),"")="","",IFERROR(VLOOKUP($C101,SUP!$B$54:$Q$104,MATCH($B101&amp;"-"&amp;AE$7,SUP!$B$54:$Q$54,0),FALSE),""))</f>
        <v/>
      </c>
      <c r="AF101" s="441" t="str">
        <f ca="1">IF(IFERROR(VLOOKUP($C101,SUP!$B$54:$Q$104,MATCH($B101&amp;"-"&amp;AF$7,SUP!$B$54:$Q$54,0),FALSE),"")="","",IFERROR(VLOOKUP($C101,SUP!$B$54:$Q$104,MATCH($B101&amp;"-"&amp;AF$7,SUP!$B$54:$Q$54,0),FALSE),""))</f>
        <v/>
      </c>
      <c r="AG101" s="441" t="str">
        <f ca="1">IF(IFERROR(VLOOKUP($C101,SUP!$B$54:$Q$104,MATCH($B101&amp;"-"&amp;AG$7,SUP!$B$54:$Q$54,0),FALSE),"")="","",IFERROR(VLOOKUP($C101,SUP!$B$54:$Q$104,MATCH($B101&amp;"-"&amp;AG$7,SUP!$B$54:$Q$54,0),FALSE),""))</f>
        <v/>
      </c>
      <c r="AH101" s="441" t="str">
        <f ca="1">IF(IFERROR(VLOOKUP($C101,SUP!$B$54:$Q$104,MATCH($B101&amp;"-"&amp;AH$7,SUP!$B$54:$Q$54,0),FALSE),"")="","",IFERROR(VLOOKUP($C101,SUP!$B$54:$Q$104,MATCH($B101&amp;"-"&amp;AH$7,SUP!$B$54:$Q$54,0),FALSE),""))</f>
        <v/>
      </c>
      <c r="AI101" s="441"/>
      <c r="AJ101" s="441"/>
      <c r="AK101" s="441"/>
      <c r="AL101" s="441"/>
      <c r="AM101" s="441" t="str">
        <f ca="1">IF(IFERROR(VLOOKUP($C101,SUP!$B$54:$Q$104,MATCH($B101&amp;"-"&amp;AM$7,SUP!$B$54:$Q$54,0),FALSE),"")="","",IFERROR(VLOOKUP($C101,SUP!$B$54:$Q$104,MATCH($B101&amp;"-"&amp;AM$7,SUP!$B$54:$Q$54,0),FALSE),""))</f>
        <v/>
      </c>
      <c r="AN101" s="441"/>
      <c r="AO101" s="441"/>
      <c r="AR101" s="42">
        <f>IF(AS100=SUP!$B$104,AR100+1,AR100)</f>
        <v>2</v>
      </c>
      <c r="AS101" s="42">
        <f t="shared" si="11"/>
        <v>42</v>
      </c>
    </row>
    <row r="102" spans="1:45">
      <c r="A102" s="42" t="str">
        <f ca="1">IF(LEFT(OFFSET(SUP!$A$57,AS102,0),2)="\I","*","")</f>
        <v/>
      </c>
      <c r="B102" s="440" t="str">
        <f t="shared" ca="1" si="9"/>
        <v>ACT_BND</v>
      </c>
      <c r="C102" s="440" t="str">
        <f ca="1">IF($A102="*","",OFFSET(SUP!$B$57,AS102,0))</f>
        <v>PEXODS</v>
      </c>
      <c r="D102" s="440" t="str">
        <f t="shared" ca="1" si="12"/>
        <v>-</v>
      </c>
      <c r="E102" s="440" t="str">
        <f t="shared" ca="1" si="12"/>
        <v>-</v>
      </c>
      <c r="F102" s="440" t="str">
        <f t="shared" ca="1" si="12"/>
        <v>-</v>
      </c>
      <c r="G102" s="440" t="str">
        <f t="shared" ca="1" si="12"/>
        <v>ANNUAL</v>
      </c>
      <c r="H102" s="440" t="str">
        <f t="shared" ca="1" si="10"/>
        <v>FX</v>
      </c>
      <c r="I102" s="441">
        <f ca="1">IF(IFERROR(VLOOKUP($C102,SUP!$B$54:$Q$104,MATCH($B102&amp;"-"&amp;I$7,SUP!$B$54:$Q$54,0),FALSE),"")="","",IFERROR(VLOOKUP($C102,SUP!$B$54:$Q$104,MATCH($B102&amp;"-"&amp;I$7,SUP!$B$54:$Q$54,0),FALSE),""))</f>
        <v>0</v>
      </c>
      <c r="J102" s="441">
        <f ca="1">IF(IFERROR(VLOOKUP($C102,SUP!$B$54:$Q$104,MATCH($B102&amp;"-"&amp;J$7,SUP!$B$54:$Q$54,0),FALSE),"")="","",IFERROR(VLOOKUP($C102,SUP!$B$54:$Q$104,MATCH($B102&amp;"-"&amp;J$7,SUP!$B$54:$Q$54,0),FALSE),""))</f>
        <v>28.73659252275862</v>
      </c>
      <c r="K102" s="441" t="str">
        <f ca="1">IF(IFERROR(VLOOKUP($C102,SUP!$B$54:$Q$104,MATCH($B102&amp;"-"&amp;K$7,SUP!$B$54:$Q$54,0),FALSE),"")="","",IFERROR(VLOOKUP($C102,SUP!$B$54:$Q$104,MATCH($B102&amp;"-"&amp;K$7,SUP!$B$54:$Q$54,0),FALSE),""))</f>
        <v/>
      </c>
      <c r="L102" s="441" t="str">
        <f ca="1">IF(IFERROR(VLOOKUP($C102,SUP!$B$54:$Q$104,MATCH($B102&amp;"-"&amp;L$7,SUP!$B$54:$Q$54,0),FALSE),"")="","",IFERROR(VLOOKUP($C102,SUP!$B$54:$Q$104,MATCH($B102&amp;"-"&amp;L$7,SUP!$B$54:$Q$54,0),FALSE),""))</f>
        <v/>
      </c>
      <c r="M102" s="441" t="str">
        <f ca="1">IF(IFERROR(VLOOKUP($C102,SUP!$B$54:$Q$104,MATCH($B102&amp;"-"&amp;M$7,SUP!$B$54:$Q$54,0),FALSE),"")="","",IFERROR(VLOOKUP($C102,SUP!$B$54:$Q$104,MATCH($B102&amp;"-"&amp;M$7,SUP!$B$54:$Q$54,0),FALSE),""))</f>
        <v/>
      </c>
      <c r="N102" s="441" t="str">
        <f ca="1">IF(IFERROR(VLOOKUP($C102,SUP!$B$54:$Q$104,MATCH($B102&amp;"-"&amp;N$7,SUP!$B$54:$Q$54,0),FALSE),"")="","",IFERROR(VLOOKUP($C102,SUP!$B$54:$Q$104,MATCH($B102&amp;"-"&amp;N$7,SUP!$B$54:$Q$54,0),FALSE),""))</f>
        <v/>
      </c>
      <c r="O102" s="441" t="str">
        <f ca="1">IF(IFERROR(VLOOKUP($C102,SUP!$B$54:$Q$104,MATCH($B102&amp;"-"&amp;O$7,SUP!$B$54:$Q$54,0),FALSE),"")="","",IFERROR(VLOOKUP($C102,SUP!$B$54:$Q$104,MATCH($B102&amp;"-"&amp;O$7,SUP!$B$54:$Q$54,0),FALSE),""))</f>
        <v/>
      </c>
      <c r="P102" s="441" t="str">
        <f ca="1">IF(IFERROR(VLOOKUP($C102,SUP!$B$54:$Q$104,MATCH($B102&amp;"-"&amp;P$7,SUP!$B$54:$Q$54,0),FALSE),"")="","",IFERROR(VLOOKUP($C102,SUP!$B$54:$Q$104,MATCH($B102&amp;"-"&amp;P$7,SUP!$B$54:$Q$54,0),FALSE),""))</f>
        <v/>
      </c>
      <c r="Q102" s="441" t="str">
        <f ca="1">IF(IFERROR(VLOOKUP($C102,SUP!$B$54:$Q$104,MATCH($B102&amp;"-"&amp;Q$7,SUP!$B$54:$Q$54,0),FALSE),"")="","",IFERROR(VLOOKUP($C102,SUP!$B$54:$Q$104,MATCH($B102&amp;"-"&amp;Q$7,SUP!$B$54:$Q$54,0),FALSE),""))</f>
        <v/>
      </c>
      <c r="R102" s="441" t="str">
        <f ca="1">IF(IFERROR(VLOOKUP($C102,SUP!$B$54:$Q$104,MATCH($B102&amp;"-"&amp;R$7,SUP!$B$54:$Q$54,0),FALSE),"")="","",IFERROR(VLOOKUP($C102,SUP!$B$54:$Q$104,MATCH($B102&amp;"-"&amp;R$7,SUP!$B$54:$Q$54,0),FALSE),""))</f>
        <v/>
      </c>
      <c r="S102" s="441" t="str">
        <f ca="1">IF(IFERROR(VLOOKUP($C102,SUP!$B$54:$Q$104,MATCH($B102&amp;"-"&amp;S$7,SUP!$B$54:$Q$54,0),FALSE),"")="","",IFERROR(VLOOKUP($C102,SUP!$B$54:$Q$104,MATCH($B102&amp;"-"&amp;S$7,SUP!$B$54:$Q$54,0),FALSE),""))</f>
        <v/>
      </c>
      <c r="T102" s="441" t="str">
        <f ca="1">IF(IFERROR(VLOOKUP($C102,SUP!$B$54:$Q$104,MATCH($B102&amp;"-"&amp;T$7,SUP!$B$54:$Q$54,0),FALSE),"")="","",IFERROR(VLOOKUP($C102,SUP!$B$54:$Q$104,MATCH($B102&amp;"-"&amp;T$7,SUP!$B$54:$Q$54,0),FALSE),""))</f>
        <v/>
      </c>
      <c r="U102" s="441" t="str">
        <f ca="1">IF(IFERROR(VLOOKUP($C102,SUP!$B$54:$Q$104,MATCH($B102&amp;"-"&amp;U$7,SUP!$B$54:$Q$54,0),FALSE),"")="","",IFERROR(VLOOKUP($C102,SUP!$B$54:$Q$104,MATCH($B102&amp;"-"&amp;U$7,SUP!$B$54:$Q$54,0),FALSE),""))</f>
        <v/>
      </c>
      <c r="V102" s="441" t="str">
        <f ca="1">IF(IFERROR(VLOOKUP($C102,SUP!$B$54:$Q$104,MATCH($B102&amp;"-"&amp;V$7,SUP!$B$54:$Q$54,0),FALSE),"")="","",IFERROR(VLOOKUP($C102,SUP!$B$54:$Q$104,MATCH($B102&amp;"-"&amp;V$7,SUP!$B$54:$Q$54,0),FALSE),""))</f>
        <v/>
      </c>
      <c r="W102" s="441" t="str">
        <f ca="1">IF(IFERROR(VLOOKUP($C102,SUP!$B$54:$Q$104,MATCH($B102&amp;"-"&amp;W$7,SUP!$B$54:$Q$54,0),FALSE),"")="","",IFERROR(VLOOKUP($C102,SUP!$B$54:$Q$104,MATCH($B102&amp;"-"&amp;W$7,SUP!$B$54:$Q$54,0),FALSE),""))</f>
        <v/>
      </c>
      <c r="X102" s="441" t="str">
        <f ca="1">IF(IFERROR(VLOOKUP($C102,SUP!$B$54:$Q$104,MATCH($B102&amp;"-"&amp;X$7,SUP!$B$54:$Q$54,0),FALSE),"")="","",IFERROR(VLOOKUP($C102,SUP!$B$54:$Q$104,MATCH($B102&amp;"-"&amp;X$7,SUP!$B$54:$Q$54,0),FALSE),""))</f>
        <v/>
      </c>
      <c r="Y102" s="441" t="str">
        <f ca="1">IF(IFERROR(VLOOKUP($C102,SUP!$B$54:$Q$104,MATCH($B102&amp;"-"&amp;Y$7,SUP!$B$54:$Q$54,0),FALSE),"")="","",IFERROR(VLOOKUP($C102,SUP!$B$54:$Q$104,MATCH($B102&amp;"-"&amp;Y$7,SUP!$B$54:$Q$54,0),FALSE),""))</f>
        <v/>
      </c>
      <c r="Z102" s="441" t="str">
        <f ca="1">IF(IFERROR(VLOOKUP($C102,SUP!$B$54:$Q$104,MATCH($B102&amp;"-"&amp;Z$7,SUP!$B$54:$Q$54,0),FALSE),"")="","",IFERROR(VLOOKUP($C102,SUP!$B$54:$Q$104,MATCH($B102&amp;"-"&amp;Z$7,SUP!$B$54:$Q$54,0),FALSE),""))</f>
        <v/>
      </c>
      <c r="AA102" s="441" t="str">
        <f ca="1">IF(IFERROR(VLOOKUP($C102,SUP!$B$54:$Q$104,MATCH($B102&amp;"-"&amp;AA$7,SUP!$B$54:$Q$54,0),FALSE),"")="","",IFERROR(VLOOKUP($C102,SUP!$B$54:$Q$104,MATCH($B102&amp;"-"&amp;AA$7,SUP!$B$54:$Q$54,0),FALSE),""))</f>
        <v/>
      </c>
      <c r="AB102" s="441" t="str">
        <f ca="1">IF(IFERROR(VLOOKUP($C102,SUP!$B$54:$Q$104,MATCH($B102&amp;"-"&amp;AB$7,SUP!$B$54:$Q$54,0),FALSE),"")="","",IFERROR(VLOOKUP($C102,SUP!$B$54:$Q$104,MATCH($B102&amp;"-"&amp;AB$7,SUP!$B$54:$Q$54,0),FALSE),""))</f>
        <v/>
      </c>
      <c r="AC102" s="441" t="str">
        <f ca="1">IF(IFERROR(VLOOKUP($C102,SUP!$B$54:$Q$104,MATCH($B102&amp;"-"&amp;AC$7,SUP!$B$54:$Q$54,0),FALSE),"")="","",IFERROR(VLOOKUP($C102,SUP!$B$54:$Q$104,MATCH($B102&amp;"-"&amp;AC$7,SUP!$B$54:$Q$54,0),FALSE),""))</f>
        <v/>
      </c>
      <c r="AD102" s="441" t="str">
        <f ca="1">IF(IFERROR(VLOOKUP($C102,SUP!$B$54:$Q$104,MATCH($B102&amp;"-"&amp;AD$7,SUP!$B$54:$Q$54,0),FALSE),"")="","",IFERROR(VLOOKUP($C102,SUP!$B$54:$Q$104,MATCH($B102&amp;"-"&amp;AD$7,SUP!$B$54:$Q$54,0),FALSE),""))</f>
        <v/>
      </c>
      <c r="AE102" s="441" t="str">
        <f ca="1">IF(IFERROR(VLOOKUP($C102,SUP!$B$54:$Q$104,MATCH($B102&amp;"-"&amp;AE$7,SUP!$B$54:$Q$54,0),FALSE),"")="","",IFERROR(VLOOKUP($C102,SUP!$B$54:$Q$104,MATCH($B102&amp;"-"&amp;AE$7,SUP!$B$54:$Q$54,0),FALSE),""))</f>
        <v/>
      </c>
      <c r="AF102" s="441" t="str">
        <f ca="1">IF(IFERROR(VLOOKUP($C102,SUP!$B$54:$Q$104,MATCH($B102&amp;"-"&amp;AF$7,SUP!$B$54:$Q$54,0),FALSE),"")="","",IFERROR(VLOOKUP($C102,SUP!$B$54:$Q$104,MATCH($B102&amp;"-"&amp;AF$7,SUP!$B$54:$Q$54,0),FALSE),""))</f>
        <v/>
      </c>
      <c r="AG102" s="441" t="str">
        <f ca="1">IF(IFERROR(VLOOKUP($C102,SUP!$B$54:$Q$104,MATCH($B102&amp;"-"&amp;AG$7,SUP!$B$54:$Q$54,0),FALSE),"")="","",IFERROR(VLOOKUP($C102,SUP!$B$54:$Q$104,MATCH($B102&amp;"-"&amp;AG$7,SUP!$B$54:$Q$54,0),FALSE),""))</f>
        <v/>
      </c>
      <c r="AH102" s="441" t="str">
        <f ca="1">IF(IFERROR(VLOOKUP($C102,SUP!$B$54:$Q$104,MATCH($B102&amp;"-"&amp;AH$7,SUP!$B$54:$Q$54,0),FALSE),"")="","",IFERROR(VLOOKUP($C102,SUP!$B$54:$Q$104,MATCH($B102&amp;"-"&amp;AH$7,SUP!$B$54:$Q$54,0),FALSE),""))</f>
        <v/>
      </c>
      <c r="AI102" s="441"/>
      <c r="AJ102" s="441"/>
      <c r="AK102" s="441"/>
      <c r="AL102" s="441"/>
      <c r="AM102" s="441" t="str">
        <f ca="1">IF(IFERROR(VLOOKUP($C102,SUP!$B$54:$Q$104,MATCH($B102&amp;"-"&amp;AM$7,SUP!$B$54:$Q$54,0),FALSE),"")="","",IFERROR(VLOOKUP($C102,SUP!$B$54:$Q$104,MATCH($B102&amp;"-"&amp;AM$7,SUP!$B$54:$Q$54,0),FALSE),""))</f>
        <v/>
      </c>
      <c r="AN102" s="441"/>
      <c r="AO102" s="441"/>
      <c r="AR102" s="42">
        <f>IF(AS101=SUP!$B$104,AR101+1,AR101)</f>
        <v>2</v>
      </c>
      <c r="AS102" s="42">
        <f t="shared" si="11"/>
        <v>43</v>
      </c>
    </row>
    <row r="103" spans="1:45">
      <c r="A103" s="42" t="str">
        <f ca="1">IF(LEFT(OFFSET(SUP!$A$57,AS103,0),2)="\I","*","")</f>
        <v/>
      </c>
      <c r="B103" s="440" t="str">
        <f t="shared" ca="1" si="9"/>
        <v>ACT_BND</v>
      </c>
      <c r="C103" s="440" t="str">
        <f ca="1">IF($A103="*","",OFFSET(SUP!$B$57,AS103,0))</f>
        <v>PEXOGS</v>
      </c>
      <c r="D103" s="440" t="str">
        <f t="shared" ca="1" si="12"/>
        <v>-</v>
      </c>
      <c r="E103" s="440" t="str">
        <f t="shared" ca="1" si="12"/>
        <v>-</v>
      </c>
      <c r="F103" s="440" t="str">
        <f t="shared" ca="1" si="12"/>
        <v>-</v>
      </c>
      <c r="G103" s="440" t="str">
        <f t="shared" ca="1" si="12"/>
        <v>ANNUAL</v>
      </c>
      <c r="H103" s="440" t="str">
        <f t="shared" ca="1" si="10"/>
        <v>FX</v>
      </c>
      <c r="I103" s="441">
        <f ca="1">IF(IFERROR(VLOOKUP($C103,SUP!$B$54:$Q$104,MATCH($B103&amp;"-"&amp;I$7,SUP!$B$54:$Q$54,0),FALSE),"")="","",IFERROR(VLOOKUP($C103,SUP!$B$54:$Q$104,MATCH($B103&amp;"-"&amp;I$7,SUP!$B$54:$Q$54,0),FALSE),""))</f>
        <v>0</v>
      </c>
      <c r="J103" s="441">
        <f ca="1">IF(IFERROR(VLOOKUP($C103,SUP!$B$54:$Q$104,MATCH($B103&amp;"-"&amp;J$7,SUP!$B$54:$Q$54,0),FALSE),"")="","",IFERROR(VLOOKUP($C103,SUP!$B$54:$Q$104,MATCH($B103&amp;"-"&amp;J$7,SUP!$B$54:$Q$54,0),FALSE),""))</f>
        <v>3.5488458656756761</v>
      </c>
      <c r="K103" s="441" t="str">
        <f ca="1">IF(IFERROR(VLOOKUP($C103,SUP!$B$54:$Q$104,MATCH($B103&amp;"-"&amp;K$7,SUP!$B$54:$Q$54,0),FALSE),"")="","",IFERROR(VLOOKUP($C103,SUP!$B$54:$Q$104,MATCH($B103&amp;"-"&amp;K$7,SUP!$B$54:$Q$54,0),FALSE),""))</f>
        <v/>
      </c>
      <c r="L103" s="441" t="str">
        <f ca="1">IF(IFERROR(VLOOKUP($C103,SUP!$B$54:$Q$104,MATCH($B103&amp;"-"&amp;L$7,SUP!$B$54:$Q$54,0),FALSE),"")="","",IFERROR(VLOOKUP($C103,SUP!$B$54:$Q$104,MATCH($B103&amp;"-"&amp;L$7,SUP!$B$54:$Q$54,0),FALSE),""))</f>
        <v/>
      </c>
      <c r="M103" s="441" t="str">
        <f ca="1">IF(IFERROR(VLOOKUP($C103,SUP!$B$54:$Q$104,MATCH($B103&amp;"-"&amp;M$7,SUP!$B$54:$Q$54,0),FALSE),"")="","",IFERROR(VLOOKUP($C103,SUP!$B$54:$Q$104,MATCH($B103&amp;"-"&amp;M$7,SUP!$B$54:$Q$54,0),FALSE),""))</f>
        <v/>
      </c>
      <c r="N103" s="441" t="str">
        <f ca="1">IF(IFERROR(VLOOKUP($C103,SUP!$B$54:$Q$104,MATCH($B103&amp;"-"&amp;N$7,SUP!$B$54:$Q$54,0),FALSE),"")="","",IFERROR(VLOOKUP($C103,SUP!$B$54:$Q$104,MATCH($B103&amp;"-"&amp;N$7,SUP!$B$54:$Q$54,0),FALSE),""))</f>
        <v/>
      </c>
      <c r="O103" s="441" t="str">
        <f ca="1">IF(IFERROR(VLOOKUP($C103,SUP!$B$54:$Q$104,MATCH($B103&amp;"-"&amp;O$7,SUP!$B$54:$Q$54,0),FALSE),"")="","",IFERROR(VLOOKUP($C103,SUP!$B$54:$Q$104,MATCH($B103&amp;"-"&amp;O$7,SUP!$B$54:$Q$54,0),FALSE),""))</f>
        <v/>
      </c>
      <c r="P103" s="441" t="str">
        <f ca="1">IF(IFERROR(VLOOKUP($C103,SUP!$B$54:$Q$104,MATCH($B103&amp;"-"&amp;P$7,SUP!$B$54:$Q$54,0),FALSE),"")="","",IFERROR(VLOOKUP($C103,SUP!$B$54:$Q$104,MATCH($B103&amp;"-"&amp;P$7,SUP!$B$54:$Q$54,0),FALSE),""))</f>
        <v/>
      </c>
      <c r="Q103" s="441" t="str">
        <f ca="1">IF(IFERROR(VLOOKUP($C103,SUP!$B$54:$Q$104,MATCH($B103&amp;"-"&amp;Q$7,SUP!$B$54:$Q$54,0),FALSE),"")="","",IFERROR(VLOOKUP($C103,SUP!$B$54:$Q$104,MATCH($B103&amp;"-"&amp;Q$7,SUP!$B$54:$Q$54,0),FALSE),""))</f>
        <v/>
      </c>
      <c r="R103" s="441" t="str">
        <f ca="1">IF(IFERROR(VLOOKUP($C103,SUP!$B$54:$Q$104,MATCH($B103&amp;"-"&amp;R$7,SUP!$B$54:$Q$54,0),FALSE),"")="","",IFERROR(VLOOKUP($C103,SUP!$B$54:$Q$104,MATCH($B103&amp;"-"&amp;R$7,SUP!$B$54:$Q$54,0),FALSE),""))</f>
        <v/>
      </c>
      <c r="S103" s="441" t="str">
        <f ca="1">IF(IFERROR(VLOOKUP($C103,SUP!$B$54:$Q$104,MATCH($B103&amp;"-"&amp;S$7,SUP!$B$54:$Q$54,0),FALSE),"")="","",IFERROR(VLOOKUP($C103,SUP!$B$54:$Q$104,MATCH($B103&amp;"-"&amp;S$7,SUP!$B$54:$Q$54,0),FALSE),""))</f>
        <v/>
      </c>
      <c r="T103" s="441" t="str">
        <f ca="1">IF(IFERROR(VLOOKUP($C103,SUP!$B$54:$Q$104,MATCH($B103&amp;"-"&amp;T$7,SUP!$B$54:$Q$54,0),FALSE),"")="","",IFERROR(VLOOKUP($C103,SUP!$B$54:$Q$104,MATCH($B103&amp;"-"&amp;T$7,SUP!$B$54:$Q$54,0),FALSE),""))</f>
        <v/>
      </c>
      <c r="U103" s="441" t="str">
        <f ca="1">IF(IFERROR(VLOOKUP($C103,SUP!$B$54:$Q$104,MATCH($B103&amp;"-"&amp;U$7,SUP!$B$54:$Q$54,0),FALSE),"")="","",IFERROR(VLOOKUP($C103,SUP!$B$54:$Q$104,MATCH($B103&amp;"-"&amp;U$7,SUP!$B$54:$Q$54,0),FALSE),""))</f>
        <v/>
      </c>
      <c r="V103" s="441" t="str">
        <f ca="1">IF(IFERROR(VLOOKUP($C103,SUP!$B$54:$Q$104,MATCH($B103&amp;"-"&amp;V$7,SUP!$B$54:$Q$54,0),FALSE),"")="","",IFERROR(VLOOKUP($C103,SUP!$B$54:$Q$104,MATCH($B103&amp;"-"&amp;V$7,SUP!$B$54:$Q$54,0),FALSE),""))</f>
        <v/>
      </c>
      <c r="W103" s="441" t="str">
        <f ca="1">IF(IFERROR(VLOOKUP($C103,SUP!$B$54:$Q$104,MATCH($B103&amp;"-"&amp;W$7,SUP!$B$54:$Q$54,0),FALSE),"")="","",IFERROR(VLOOKUP($C103,SUP!$B$54:$Q$104,MATCH($B103&amp;"-"&amp;W$7,SUP!$B$54:$Q$54,0),FALSE),""))</f>
        <v/>
      </c>
      <c r="X103" s="441" t="str">
        <f ca="1">IF(IFERROR(VLOOKUP($C103,SUP!$B$54:$Q$104,MATCH($B103&amp;"-"&amp;X$7,SUP!$B$54:$Q$54,0),FALSE),"")="","",IFERROR(VLOOKUP($C103,SUP!$B$54:$Q$104,MATCH($B103&amp;"-"&amp;X$7,SUP!$B$54:$Q$54,0),FALSE),""))</f>
        <v/>
      </c>
      <c r="Y103" s="441" t="str">
        <f ca="1">IF(IFERROR(VLOOKUP($C103,SUP!$B$54:$Q$104,MATCH($B103&amp;"-"&amp;Y$7,SUP!$B$54:$Q$54,0),FALSE),"")="","",IFERROR(VLOOKUP($C103,SUP!$B$54:$Q$104,MATCH($B103&amp;"-"&amp;Y$7,SUP!$B$54:$Q$54,0),FALSE),""))</f>
        <v/>
      </c>
      <c r="Z103" s="441" t="str">
        <f ca="1">IF(IFERROR(VLOOKUP($C103,SUP!$B$54:$Q$104,MATCH($B103&amp;"-"&amp;Z$7,SUP!$B$54:$Q$54,0),FALSE),"")="","",IFERROR(VLOOKUP($C103,SUP!$B$54:$Q$104,MATCH($B103&amp;"-"&amp;Z$7,SUP!$B$54:$Q$54,0),FALSE),""))</f>
        <v/>
      </c>
      <c r="AA103" s="441" t="str">
        <f ca="1">IF(IFERROR(VLOOKUP($C103,SUP!$B$54:$Q$104,MATCH($B103&amp;"-"&amp;AA$7,SUP!$B$54:$Q$54,0),FALSE),"")="","",IFERROR(VLOOKUP($C103,SUP!$B$54:$Q$104,MATCH($B103&amp;"-"&amp;AA$7,SUP!$B$54:$Q$54,0),FALSE),""))</f>
        <v/>
      </c>
      <c r="AB103" s="441" t="str">
        <f ca="1">IF(IFERROR(VLOOKUP($C103,SUP!$B$54:$Q$104,MATCH($B103&amp;"-"&amp;AB$7,SUP!$B$54:$Q$54,0),FALSE),"")="","",IFERROR(VLOOKUP($C103,SUP!$B$54:$Q$104,MATCH($B103&amp;"-"&amp;AB$7,SUP!$B$54:$Q$54,0),FALSE),""))</f>
        <v/>
      </c>
      <c r="AC103" s="441" t="str">
        <f ca="1">IF(IFERROR(VLOOKUP($C103,SUP!$B$54:$Q$104,MATCH($B103&amp;"-"&amp;AC$7,SUP!$B$54:$Q$54,0),FALSE),"")="","",IFERROR(VLOOKUP($C103,SUP!$B$54:$Q$104,MATCH($B103&amp;"-"&amp;AC$7,SUP!$B$54:$Q$54,0),FALSE),""))</f>
        <v/>
      </c>
      <c r="AD103" s="441" t="str">
        <f ca="1">IF(IFERROR(VLOOKUP($C103,SUP!$B$54:$Q$104,MATCH($B103&amp;"-"&amp;AD$7,SUP!$B$54:$Q$54,0),FALSE),"")="","",IFERROR(VLOOKUP($C103,SUP!$B$54:$Q$104,MATCH($B103&amp;"-"&amp;AD$7,SUP!$B$54:$Q$54,0),FALSE),""))</f>
        <v/>
      </c>
      <c r="AE103" s="441" t="str">
        <f ca="1">IF(IFERROR(VLOOKUP($C103,SUP!$B$54:$Q$104,MATCH($B103&amp;"-"&amp;AE$7,SUP!$B$54:$Q$54,0),FALSE),"")="","",IFERROR(VLOOKUP($C103,SUP!$B$54:$Q$104,MATCH($B103&amp;"-"&amp;AE$7,SUP!$B$54:$Q$54,0),FALSE),""))</f>
        <v/>
      </c>
      <c r="AF103" s="441" t="str">
        <f ca="1">IF(IFERROR(VLOOKUP($C103,SUP!$B$54:$Q$104,MATCH($B103&amp;"-"&amp;AF$7,SUP!$B$54:$Q$54,0),FALSE),"")="","",IFERROR(VLOOKUP($C103,SUP!$B$54:$Q$104,MATCH($B103&amp;"-"&amp;AF$7,SUP!$B$54:$Q$54,0),FALSE),""))</f>
        <v/>
      </c>
      <c r="AG103" s="441" t="str">
        <f ca="1">IF(IFERROR(VLOOKUP($C103,SUP!$B$54:$Q$104,MATCH($B103&amp;"-"&amp;AG$7,SUP!$B$54:$Q$54,0),FALSE),"")="","",IFERROR(VLOOKUP($C103,SUP!$B$54:$Q$104,MATCH($B103&amp;"-"&amp;AG$7,SUP!$B$54:$Q$54,0),FALSE),""))</f>
        <v/>
      </c>
      <c r="AH103" s="441" t="str">
        <f ca="1">IF(IFERROR(VLOOKUP($C103,SUP!$B$54:$Q$104,MATCH($B103&amp;"-"&amp;AH$7,SUP!$B$54:$Q$54,0),FALSE),"")="","",IFERROR(VLOOKUP($C103,SUP!$B$54:$Q$104,MATCH($B103&amp;"-"&amp;AH$7,SUP!$B$54:$Q$54,0),FALSE),""))</f>
        <v/>
      </c>
      <c r="AI103" s="441"/>
      <c r="AJ103" s="441"/>
      <c r="AK103" s="441"/>
      <c r="AL103" s="441"/>
      <c r="AM103" s="441" t="str">
        <f ca="1">IF(IFERROR(VLOOKUP($C103,SUP!$B$54:$Q$104,MATCH($B103&amp;"-"&amp;AM$7,SUP!$B$54:$Q$54,0),FALSE),"")="","",IFERROR(VLOOKUP($C103,SUP!$B$54:$Q$104,MATCH($B103&amp;"-"&amp;AM$7,SUP!$B$54:$Q$54,0),FALSE),""))</f>
        <v/>
      </c>
      <c r="AN103" s="441"/>
      <c r="AO103" s="441"/>
      <c r="AR103" s="42">
        <f>IF(AS102=SUP!$B$104,AR102+1,AR102)</f>
        <v>2</v>
      </c>
      <c r="AS103" s="42">
        <f t="shared" si="11"/>
        <v>44</v>
      </c>
    </row>
    <row r="104" spans="1:45">
      <c r="A104" s="42" t="str">
        <f ca="1">IF(LEFT(OFFSET(SUP!$A$57,AS104,0),2)="\I","*","")</f>
        <v/>
      </c>
      <c r="B104" s="440" t="str">
        <f t="shared" ca="1" si="9"/>
        <v>ACT_BND</v>
      </c>
      <c r="C104" s="440" t="str">
        <f ca="1">IF($A104="*","",OFFSET(SUP!$B$57,AS104,0))</f>
        <v>PEXOHF</v>
      </c>
      <c r="D104" s="440" t="str">
        <f t="shared" ca="1" si="12"/>
        <v>-</v>
      </c>
      <c r="E104" s="440" t="str">
        <f t="shared" ca="1" si="12"/>
        <v>-</v>
      </c>
      <c r="F104" s="440" t="str">
        <f t="shared" ca="1" si="12"/>
        <v>-</v>
      </c>
      <c r="G104" s="440" t="str">
        <f t="shared" ca="1" si="12"/>
        <v>ANNUAL</v>
      </c>
      <c r="H104" s="440" t="str">
        <f t="shared" ca="1" si="10"/>
        <v>FX</v>
      </c>
      <c r="I104" s="441">
        <f ca="1">IF(IFERROR(VLOOKUP($C104,SUP!$B$54:$Q$104,MATCH($B104&amp;"-"&amp;I$7,SUP!$B$54:$Q$54,0),FALSE),"")="","",IFERROR(VLOOKUP($C104,SUP!$B$54:$Q$104,MATCH($B104&amp;"-"&amp;I$7,SUP!$B$54:$Q$54,0),FALSE),""))</f>
        <v>0</v>
      </c>
      <c r="J104" s="441" t="str">
        <f ca="1">IF(IFERROR(VLOOKUP($C104,SUP!$B$54:$Q$104,MATCH($B104&amp;"-"&amp;J$7,SUP!$B$54:$Q$54,0),FALSE),"")="","",IFERROR(VLOOKUP($C104,SUP!$B$54:$Q$104,MATCH($B104&amp;"-"&amp;J$7,SUP!$B$54:$Q$54,0),FALSE),""))</f>
        <v/>
      </c>
      <c r="K104" s="441" t="str">
        <f ca="1">IF(IFERROR(VLOOKUP($C104,SUP!$B$54:$Q$104,MATCH($B104&amp;"-"&amp;K$7,SUP!$B$54:$Q$54,0),FALSE),"")="","",IFERROR(VLOOKUP($C104,SUP!$B$54:$Q$104,MATCH($B104&amp;"-"&amp;K$7,SUP!$B$54:$Q$54,0),FALSE),""))</f>
        <v/>
      </c>
      <c r="L104" s="441" t="str">
        <f ca="1">IF(IFERROR(VLOOKUP($C104,SUP!$B$54:$Q$104,MATCH($B104&amp;"-"&amp;L$7,SUP!$B$54:$Q$54,0),FALSE),"")="","",IFERROR(VLOOKUP($C104,SUP!$B$54:$Q$104,MATCH($B104&amp;"-"&amp;L$7,SUP!$B$54:$Q$54,0),FALSE),""))</f>
        <v/>
      </c>
      <c r="M104" s="441" t="str">
        <f ca="1">IF(IFERROR(VLOOKUP($C104,SUP!$B$54:$Q$104,MATCH($B104&amp;"-"&amp;M$7,SUP!$B$54:$Q$54,0),FALSE),"")="","",IFERROR(VLOOKUP($C104,SUP!$B$54:$Q$104,MATCH($B104&amp;"-"&amp;M$7,SUP!$B$54:$Q$54,0),FALSE),""))</f>
        <v/>
      </c>
      <c r="N104" s="441" t="str">
        <f ca="1">IF(IFERROR(VLOOKUP($C104,SUP!$B$54:$Q$104,MATCH($B104&amp;"-"&amp;N$7,SUP!$B$54:$Q$54,0),FALSE),"")="","",IFERROR(VLOOKUP($C104,SUP!$B$54:$Q$104,MATCH($B104&amp;"-"&amp;N$7,SUP!$B$54:$Q$54,0),FALSE),""))</f>
        <v/>
      </c>
      <c r="O104" s="441" t="str">
        <f ca="1">IF(IFERROR(VLOOKUP($C104,SUP!$B$54:$Q$104,MATCH($B104&amp;"-"&amp;O$7,SUP!$B$54:$Q$54,0),FALSE),"")="","",IFERROR(VLOOKUP($C104,SUP!$B$54:$Q$104,MATCH($B104&amp;"-"&amp;O$7,SUP!$B$54:$Q$54,0),FALSE),""))</f>
        <v/>
      </c>
      <c r="P104" s="441" t="str">
        <f ca="1">IF(IFERROR(VLOOKUP($C104,SUP!$B$54:$Q$104,MATCH($B104&amp;"-"&amp;P$7,SUP!$B$54:$Q$54,0),FALSE),"")="","",IFERROR(VLOOKUP($C104,SUP!$B$54:$Q$104,MATCH($B104&amp;"-"&amp;P$7,SUP!$B$54:$Q$54,0),FALSE),""))</f>
        <v/>
      </c>
      <c r="Q104" s="441" t="str">
        <f ca="1">IF(IFERROR(VLOOKUP($C104,SUP!$B$54:$Q$104,MATCH($B104&amp;"-"&amp;Q$7,SUP!$B$54:$Q$54,0),FALSE),"")="","",IFERROR(VLOOKUP($C104,SUP!$B$54:$Q$104,MATCH($B104&amp;"-"&amp;Q$7,SUP!$B$54:$Q$54,0),FALSE),""))</f>
        <v/>
      </c>
      <c r="R104" s="441" t="str">
        <f ca="1">IF(IFERROR(VLOOKUP($C104,SUP!$B$54:$Q$104,MATCH($B104&amp;"-"&amp;R$7,SUP!$B$54:$Q$54,0),FALSE),"")="","",IFERROR(VLOOKUP($C104,SUP!$B$54:$Q$104,MATCH($B104&amp;"-"&amp;R$7,SUP!$B$54:$Q$54,0),FALSE),""))</f>
        <v/>
      </c>
      <c r="S104" s="441" t="str">
        <f ca="1">IF(IFERROR(VLOOKUP($C104,SUP!$B$54:$Q$104,MATCH($B104&amp;"-"&amp;S$7,SUP!$B$54:$Q$54,0),FALSE),"")="","",IFERROR(VLOOKUP($C104,SUP!$B$54:$Q$104,MATCH($B104&amp;"-"&amp;S$7,SUP!$B$54:$Q$54,0),FALSE),""))</f>
        <v/>
      </c>
      <c r="T104" s="441" t="str">
        <f ca="1">IF(IFERROR(VLOOKUP($C104,SUP!$B$54:$Q$104,MATCH($B104&amp;"-"&amp;T$7,SUP!$B$54:$Q$54,0),FALSE),"")="","",IFERROR(VLOOKUP($C104,SUP!$B$54:$Q$104,MATCH($B104&amp;"-"&amp;T$7,SUP!$B$54:$Q$54,0),FALSE),""))</f>
        <v/>
      </c>
      <c r="U104" s="441" t="str">
        <f ca="1">IF(IFERROR(VLOOKUP($C104,SUP!$B$54:$Q$104,MATCH($B104&amp;"-"&amp;U$7,SUP!$B$54:$Q$54,0),FALSE),"")="","",IFERROR(VLOOKUP($C104,SUP!$B$54:$Q$104,MATCH($B104&amp;"-"&amp;U$7,SUP!$B$54:$Q$54,0),FALSE),""))</f>
        <v/>
      </c>
      <c r="V104" s="441" t="str">
        <f ca="1">IF(IFERROR(VLOOKUP($C104,SUP!$B$54:$Q$104,MATCH($B104&amp;"-"&amp;V$7,SUP!$B$54:$Q$54,0),FALSE),"")="","",IFERROR(VLOOKUP($C104,SUP!$B$54:$Q$104,MATCH($B104&amp;"-"&amp;V$7,SUP!$B$54:$Q$54,0),FALSE),""))</f>
        <v/>
      </c>
      <c r="W104" s="441" t="str">
        <f ca="1">IF(IFERROR(VLOOKUP($C104,SUP!$B$54:$Q$104,MATCH($B104&amp;"-"&amp;W$7,SUP!$B$54:$Q$54,0),FALSE),"")="","",IFERROR(VLOOKUP($C104,SUP!$B$54:$Q$104,MATCH($B104&amp;"-"&amp;W$7,SUP!$B$54:$Q$54,0),FALSE),""))</f>
        <v/>
      </c>
      <c r="X104" s="441" t="str">
        <f ca="1">IF(IFERROR(VLOOKUP($C104,SUP!$B$54:$Q$104,MATCH($B104&amp;"-"&amp;X$7,SUP!$B$54:$Q$54,0),FALSE),"")="","",IFERROR(VLOOKUP($C104,SUP!$B$54:$Q$104,MATCH($B104&amp;"-"&amp;X$7,SUP!$B$54:$Q$54,0),FALSE),""))</f>
        <v/>
      </c>
      <c r="Y104" s="441" t="str">
        <f ca="1">IF(IFERROR(VLOOKUP($C104,SUP!$B$54:$Q$104,MATCH($B104&amp;"-"&amp;Y$7,SUP!$B$54:$Q$54,0),FALSE),"")="","",IFERROR(VLOOKUP($C104,SUP!$B$54:$Q$104,MATCH($B104&amp;"-"&amp;Y$7,SUP!$B$54:$Q$54,0),FALSE),""))</f>
        <v/>
      </c>
      <c r="Z104" s="441" t="str">
        <f ca="1">IF(IFERROR(VLOOKUP($C104,SUP!$B$54:$Q$104,MATCH($B104&amp;"-"&amp;Z$7,SUP!$B$54:$Q$54,0),FALSE),"")="","",IFERROR(VLOOKUP($C104,SUP!$B$54:$Q$104,MATCH($B104&amp;"-"&amp;Z$7,SUP!$B$54:$Q$54,0),FALSE),""))</f>
        <v/>
      </c>
      <c r="AA104" s="441" t="str">
        <f ca="1">IF(IFERROR(VLOOKUP($C104,SUP!$B$54:$Q$104,MATCH($B104&amp;"-"&amp;AA$7,SUP!$B$54:$Q$54,0),FALSE),"")="","",IFERROR(VLOOKUP($C104,SUP!$B$54:$Q$104,MATCH($B104&amp;"-"&amp;AA$7,SUP!$B$54:$Q$54,0),FALSE),""))</f>
        <v/>
      </c>
      <c r="AB104" s="441" t="str">
        <f ca="1">IF(IFERROR(VLOOKUP($C104,SUP!$B$54:$Q$104,MATCH($B104&amp;"-"&amp;AB$7,SUP!$B$54:$Q$54,0),FALSE),"")="","",IFERROR(VLOOKUP($C104,SUP!$B$54:$Q$104,MATCH($B104&amp;"-"&amp;AB$7,SUP!$B$54:$Q$54,0),FALSE),""))</f>
        <v/>
      </c>
      <c r="AC104" s="441" t="str">
        <f ca="1">IF(IFERROR(VLOOKUP($C104,SUP!$B$54:$Q$104,MATCH($B104&amp;"-"&amp;AC$7,SUP!$B$54:$Q$54,0),FALSE),"")="","",IFERROR(VLOOKUP($C104,SUP!$B$54:$Q$104,MATCH($B104&amp;"-"&amp;AC$7,SUP!$B$54:$Q$54,0),FALSE),""))</f>
        <v/>
      </c>
      <c r="AD104" s="441" t="str">
        <f ca="1">IF(IFERROR(VLOOKUP($C104,SUP!$B$54:$Q$104,MATCH($B104&amp;"-"&amp;AD$7,SUP!$B$54:$Q$54,0),FALSE),"")="","",IFERROR(VLOOKUP($C104,SUP!$B$54:$Q$104,MATCH($B104&amp;"-"&amp;AD$7,SUP!$B$54:$Q$54,0),FALSE),""))</f>
        <v/>
      </c>
      <c r="AE104" s="441" t="str">
        <f ca="1">IF(IFERROR(VLOOKUP($C104,SUP!$B$54:$Q$104,MATCH($B104&amp;"-"&amp;AE$7,SUP!$B$54:$Q$54,0),FALSE),"")="","",IFERROR(VLOOKUP($C104,SUP!$B$54:$Q$104,MATCH($B104&amp;"-"&amp;AE$7,SUP!$B$54:$Q$54,0),FALSE),""))</f>
        <v/>
      </c>
      <c r="AF104" s="441" t="str">
        <f ca="1">IF(IFERROR(VLOOKUP($C104,SUP!$B$54:$Q$104,MATCH($B104&amp;"-"&amp;AF$7,SUP!$B$54:$Q$54,0),FALSE),"")="","",IFERROR(VLOOKUP($C104,SUP!$B$54:$Q$104,MATCH($B104&amp;"-"&amp;AF$7,SUP!$B$54:$Q$54,0),FALSE),""))</f>
        <v/>
      </c>
      <c r="AG104" s="441" t="str">
        <f ca="1">IF(IFERROR(VLOOKUP($C104,SUP!$B$54:$Q$104,MATCH($B104&amp;"-"&amp;AG$7,SUP!$B$54:$Q$54,0),FALSE),"")="","",IFERROR(VLOOKUP($C104,SUP!$B$54:$Q$104,MATCH($B104&amp;"-"&amp;AG$7,SUP!$B$54:$Q$54,0),FALSE),""))</f>
        <v/>
      </c>
      <c r="AH104" s="441" t="str">
        <f ca="1">IF(IFERROR(VLOOKUP($C104,SUP!$B$54:$Q$104,MATCH($B104&amp;"-"&amp;AH$7,SUP!$B$54:$Q$54,0),FALSE),"")="","",IFERROR(VLOOKUP($C104,SUP!$B$54:$Q$104,MATCH($B104&amp;"-"&amp;AH$7,SUP!$B$54:$Q$54,0),FALSE),""))</f>
        <v/>
      </c>
      <c r="AI104" s="441"/>
      <c r="AJ104" s="441"/>
      <c r="AK104" s="441"/>
      <c r="AL104" s="441"/>
      <c r="AM104" s="441" t="str">
        <f ca="1">IF(IFERROR(VLOOKUP($C104,SUP!$B$54:$Q$104,MATCH($B104&amp;"-"&amp;AM$7,SUP!$B$54:$Q$54,0),FALSE),"")="","",IFERROR(VLOOKUP($C104,SUP!$B$54:$Q$104,MATCH($B104&amp;"-"&amp;AM$7,SUP!$B$54:$Q$54,0),FALSE),""))</f>
        <v/>
      </c>
      <c r="AN104" s="441"/>
      <c r="AO104" s="441"/>
      <c r="AR104" s="42">
        <f>IF(AS103=SUP!$B$104,AR103+1,AR103)</f>
        <v>2</v>
      </c>
      <c r="AS104" s="42">
        <f t="shared" si="11"/>
        <v>45</v>
      </c>
    </row>
    <row r="105" spans="1:45">
      <c r="A105" s="42" t="str">
        <f ca="1">IF(LEFT(OFFSET(SUP!$A$57,AS105,0),2)="\I","*","")</f>
        <v/>
      </c>
      <c r="B105" s="440" t="str">
        <f t="shared" ca="1" si="9"/>
        <v>ACT_BND</v>
      </c>
      <c r="C105" s="440" t="str">
        <f ca="1">IF($A105="*","",OFFSET(SUP!$B$57,AS105,0))</f>
        <v>PEXOKE</v>
      </c>
      <c r="D105" s="440" t="str">
        <f t="shared" ca="1" si="12"/>
        <v>-</v>
      </c>
      <c r="E105" s="440" t="str">
        <f t="shared" ca="1" si="12"/>
        <v>-</v>
      </c>
      <c r="F105" s="440" t="str">
        <f t="shared" ca="1" si="12"/>
        <v>-</v>
      </c>
      <c r="G105" s="440" t="str">
        <f t="shared" ca="1" si="12"/>
        <v>ANNUAL</v>
      </c>
      <c r="H105" s="440" t="str">
        <f t="shared" ca="1" si="10"/>
        <v>FX</v>
      </c>
      <c r="I105" s="441">
        <f ca="1">IF(IFERROR(VLOOKUP($C105,SUP!$B$54:$Q$104,MATCH($B105&amp;"-"&amp;I$7,SUP!$B$54:$Q$54,0),FALSE),"")="","",IFERROR(VLOOKUP($C105,SUP!$B$54:$Q$104,MATCH($B105&amp;"-"&amp;I$7,SUP!$B$54:$Q$54,0),FALSE),""))</f>
        <v>0</v>
      </c>
      <c r="J105" s="441">
        <f ca="1">IF(IFERROR(VLOOKUP($C105,SUP!$B$54:$Q$104,MATCH($B105&amp;"-"&amp;J$7,SUP!$B$54:$Q$54,0),FALSE),"")="","",IFERROR(VLOOKUP($C105,SUP!$B$54:$Q$104,MATCH($B105&amp;"-"&amp;J$7,SUP!$B$54:$Q$54,0),FALSE),""))</f>
        <v>5.0273560461728382</v>
      </c>
      <c r="K105" s="441" t="str">
        <f ca="1">IF(IFERROR(VLOOKUP($C105,SUP!$B$54:$Q$104,MATCH($B105&amp;"-"&amp;K$7,SUP!$B$54:$Q$54,0),FALSE),"")="","",IFERROR(VLOOKUP($C105,SUP!$B$54:$Q$104,MATCH($B105&amp;"-"&amp;K$7,SUP!$B$54:$Q$54,0),FALSE),""))</f>
        <v/>
      </c>
      <c r="L105" s="441" t="str">
        <f ca="1">IF(IFERROR(VLOOKUP($C105,SUP!$B$54:$Q$104,MATCH($B105&amp;"-"&amp;L$7,SUP!$B$54:$Q$54,0),FALSE),"")="","",IFERROR(VLOOKUP($C105,SUP!$B$54:$Q$104,MATCH($B105&amp;"-"&amp;L$7,SUP!$B$54:$Q$54,0),FALSE),""))</f>
        <v/>
      </c>
      <c r="M105" s="441" t="str">
        <f ca="1">IF(IFERROR(VLOOKUP($C105,SUP!$B$54:$Q$104,MATCH($B105&amp;"-"&amp;M$7,SUP!$B$54:$Q$54,0),FALSE),"")="","",IFERROR(VLOOKUP($C105,SUP!$B$54:$Q$104,MATCH($B105&amp;"-"&amp;M$7,SUP!$B$54:$Q$54,0),FALSE),""))</f>
        <v/>
      </c>
      <c r="N105" s="441" t="str">
        <f ca="1">IF(IFERROR(VLOOKUP($C105,SUP!$B$54:$Q$104,MATCH($B105&amp;"-"&amp;N$7,SUP!$B$54:$Q$54,0),FALSE),"")="","",IFERROR(VLOOKUP($C105,SUP!$B$54:$Q$104,MATCH($B105&amp;"-"&amp;N$7,SUP!$B$54:$Q$54,0),FALSE),""))</f>
        <v/>
      </c>
      <c r="O105" s="441" t="str">
        <f ca="1">IF(IFERROR(VLOOKUP($C105,SUP!$B$54:$Q$104,MATCH($B105&amp;"-"&amp;O$7,SUP!$B$54:$Q$54,0),FALSE),"")="","",IFERROR(VLOOKUP($C105,SUP!$B$54:$Q$104,MATCH($B105&amp;"-"&amp;O$7,SUP!$B$54:$Q$54,0),FALSE),""))</f>
        <v/>
      </c>
      <c r="P105" s="441" t="str">
        <f ca="1">IF(IFERROR(VLOOKUP($C105,SUP!$B$54:$Q$104,MATCH($B105&amp;"-"&amp;P$7,SUP!$B$54:$Q$54,0),FALSE),"")="","",IFERROR(VLOOKUP($C105,SUP!$B$54:$Q$104,MATCH($B105&amp;"-"&amp;P$7,SUP!$B$54:$Q$54,0),FALSE),""))</f>
        <v/>
      </c>
      <c r="Q105" s="441" t="str">
        <f ca="1">IF(IFERROR(VLOOKUP($C105,SUP!$B$54:$Q$104,MATCH($B105&amp;"-"&amp;Q$7,SUP!$B$54:$Q$54,0),FALSE),"")="","",IFERROR(VLOOKUP($C105,SUP!$B$54:$Q$104,MATCH($B105&amp;"-"&amp;Q$7,SUP!$B$54:$Q$54,0),FALSE),""))</f>
        <v/>
      </c>
      <c r="R105" s="441" t="str">
        <f ca="1">IF(IFERROR(VLOOKUP($C105,SUP!$B$54:$Q$104,MATCH($B105&amp;"-"&amp;R$7,SUP!$B$54:$Q$54,0),FALSE),"")="","",IFERROR(VLOOKUP($C105,SUP!$B$54:$Q$104,MATCH($B105&amp;"-"&amp;R$7,SUP!$B$54:$Q$54,0),FALSE),""))</f>
        <v/>
      </c>
      <c r="S105" s="441" t="str">
        <f ca="1">IF(IFERROR(VLOOKUP($C105,SUP!$B$54:$Q$104,MATCH($B105&amp;"-"&amp;S$7,SUP!$B$54:$Q$54,0),FALSE),"")="","",IFERROR(VLOOKUP($C105,SUP!$B$54:$Q$104,MATCH($B105&amp;"-"&amp;S$7,SUP!$B$54:$Q$54,0),FALSE),""))</f>
        <v/>
      </c>
      <c r="T105" s="441" t="str">
        <f ca="1">IF(IFERROR(VLOOKUP($C105,SUP!$B$54:$Q$104,MATCH($B105&amp;"-"&amp;T$7,SUP!$B$54:$Q$54,0),FALSE),"")="","",IFERROR(VLOOKUP($C105,SUP!$B$54:$Q$104,MATCH($B105&amp;"-"&amp;T$7,SUP!$B$54:$Q$54,0),FALSE),""))</f>
        <v/>
      </c>
      <c r="U105" s="441" t="str">
        <f ca="1">IF(IFERROR(VLOOKUP($C105,SUP!$B$54:$Q$104,MATCH($B105&amp;"-"&amp;U$7,SUP!$B$54:$Q$54,0),FALSE),"")="","",IFERROR(VLOOKUP($C105,SUP!$B$54:$Q$104,MATCH($B105&amp;"-"&amp;U$7,SUP!$B$54:$Q$54,0),FALSE),""))</f>
        <v/>
      </c>
      <c r="V105" s="441" t="str">
        <f ca="1">IF(IFERROR(VLOOKUP($C105,SUP!$B$54:$Q$104,MATCH($B105&amp;"-"&amp;V$7,SUP!$B$54:$Q$54,0),FALSE),"")="","",IFERROR(VLOOKUP($C105,SUP!$B$54:$Q$104,MATCH($B105&amp;"-"&amp;V$7,SUP!$B$54:$Q$54,0),FALSE),""))</f>
        <v/>
      </c>
      <c r="W105" s="441" t="str">
        <f ca="1">IF(IFERROR(VLOOKUP($C105,SUP!$B$54:$Q$104,MATCH($B105&amp;"-"&amp;W$7,SUP!$B$54:$Q$54,0),FALSE),"")="","",IFERROR(VLOOKUP($C105,SUP!$B$54:$Q$104,MATCH($B105&amp;"-"&amp;W$7,SUP!$B$54:$Q$54,0),FALSE),""))</f>
        <v/>
      </c>
      <c r="X105" s="441" t="str">
        <f ca="1">IF(IFERROR(VLOOKUP($C105,SUP!$B$54:$Q$104,MATCH($B105&amp;"-"&amp;X$7,SUP!$B$54:$Q$54,0),FALSE),"")="","",IFERROR(VLOOKUP($C105,SUP!$B$54:$Q$104,MATCH($B105&amp;"-"&amp;X$7,SUP!$B$54:$Q$54,0),FALSE),""))</f>
        <v/>
      </c>
      <c r="Y105" s="441" t="str">
        <f ca="1">IF(IFERROR(VLOOKUP($C105,SUP!$B$54:$Q$104,MATCH($B105&amp;"-"&amp;Y$7,SUP!$B$54:$Q$54,0),FALSE),"")="","",IFERROR(VLOOKUP($C105,SUP!$B$54:$Q$104,MATCH($B105&amp;"-"&amp;Y$7,SUP!$B$54:$Q$54,0),FALSE),""))</f>
        <v/>
      </c>
      <c r="Z105" s="441" t="str">
        <f ca="1">IF(IFERROR(VLOOKUP($C105,SUP!$B$54:$Q$104,MATCH($B105&amp;"-"&amp;Z$7,SUP!$B$54:$Q$54,0),FALSE),"")="","",IFERROR(VLOOKUP($C105,SUP!$B$54:$Q$104,MATCH($B105&amp;"-"&amp;Z$7,SUP!$B$54:$Q$54,0),FALSE),""))</f>
        <v/>
      </c>
      <c r="AA105" s="441" t="str">
        <f ca="1">IF(IFERROR(VLOOKUP($C105,SUP!$B$54:$Q$104,MATCH($B105&amp;"-"&amp;AA$7,SUP!$B$54:$Q$54,0),FALSE),"")="","",IFERROR(VLOOKUP($C105,SUP!$B$54:$Q$104,MATCH($B105&amp;"-"&amp;AA$7,SUP!$B$54:$Q$54,0),FALSE),""))</f>
        <v/>
      </c>
      <c r="AB105" s="441" t="str">
        <f ca="1">IF(IFERROR(VLOOKUP($C105,SUP!$B$54:$Q$104,MATCH($B105&amp;"-"&amp;AB$7,SUP!$B$54:$Q$54,0),FALSE),"")="","",IFERROR(VLOOKUP($C105,SUP!$B$54:$Q$104,MATCH($B105&amp;"-"&amp;AB$7,SUP!$B$54:$Q$54,0),FALSE),""))</f>
        <v/>
      </c>
      <c r="AC105" s="441" t="str">
        <f ca="1">IF(IFERROR(VLOOKUP($C105,SUP!$B$54:$Q$104,MATCH($B105&amp;"-"&amp;AC$7,SUP!$B$54:$Q$54,0),FALSE),"")="","",IFERROR(VLOOKUP($C105,SUP!$B$54:$Q$104,MATCH($B105&amp;"-"&amp;AC$7,SUP!$B$54:$Q$54,0),FALSE),""))</f>
        <v/>
      </c>
      <c r="AD105" s="441" t="str">
        <f ca="1">IF(IFERROR(VLOOKUP($C105,SUP!$B$54:$Q$104,MATCH($B105&amp;"-"&amp;AD$7,SUP!$B$54:$Q$54,0),FALSE),"")="","",IFERROR(VLOOKUP($C105,SUP!$B$54:$Q$104,MATCH($B105&amp;"-"&amp;AD$7,SUP!$B$54:$Q$54,0),FALSE),""))</f>
        <v/>
      </c>
      <c r="AE105" s="441" t="str">
        <f ca="1">IF(IFERROR(VLOOKUP($C105,SUP!$B$54:$Q$104,MATCH($B105&amp;"-"&amp;AE$7,SUP!$B$54:$Q$54,0),FALSE),"")="","",IFERROR(VLOOKUP($C105,SUP!$B$54:$Q$104,MATCH($B105&amp;"-"&amp;AE$7,SUP!$B$54:$Q$54,0),FALSE),""))</f>
        <v/>
      </c>
      <c r="AF105" s="441" t="str">
        <f ca="1">IF(IFERROR(VLOOKUP($C105,SUP!$B$54:$Q$104,MATCH($B105&amp;"-"&amp;AF$7,SUP!$B$54:$Q$54,0),FALSE),"")="","",IFERROR(VLOOKUP($C105,SUP!$B$54:$Q$104,MATCH($B105&amp;"-"&amp;AF$7,SUP!$B$54:$Q$54,0),FALSE),""))</f>
        <v/>
      </c>
      <c r="AG105" s="441" t="str">
        <f ca="1">IF(IFERROR(VLOOKUP($C105,SUP!$B$54:$Q$104,MATCH($B105&amp;"-"&amp;AG$7,SUP!$B$54:$Q$54,0),FALSE),"")="","",IFERROR(VLOOKUP($C105,SUP!$B$54:$Q$104,MATCH($B105&amp;"-"&amp;AG$7,SUP!$B$54:$Q$54,0),FALSE),""))</f>
        <v/>
      </c>
      <c r="AH105" s="441" t="str">
        <f ca="1">IF(IFERROR(VLOOKUP($C105,SUP!$B$54:$Q$104,MATCH($B105&amp;"-"&amp;AH$7,SUP!$B$54:$Q$54,0),FALSE),"")="","",IFERROR(VLOOKUP($C105,SUP!$B$54:$Q$104,MATCH($B105&amp;"-"&amp;AH$7,SUP!$B$54:$Q$54,0),FALSE),""))</f>
        <v/>
      </c>
      <c r="AI105" s="441"/>
      <c r="AJ105" s="441"/>
      <c r="AK105" s="441"/>
      <c r="AL105" s="441"/>
      <c r="AM105" s="441" t="str">
        <f ca="1">IF(IFERROR(VLOOKUP($C105,SUP!$B$54:$Q$104,MATCH($B105&amp;"-"&amp;AM$7,SUP!$B$54:$Q$54,0),FALSE),"")="","",IFERROR(VLOOKUP($C105,SUP!$B$54:$Q$104,MATCH($B105&amp;"-"&amp;AM$7,SUP!$B$54:$Q$54,0),FALSE),""))</f>
        <v/>
      </c>
      <c r="AN105" s="441"/>
      <c r="AO105" s="441"/>
      <c r="AR105" s="42">
        <f>IF(AS104=SUP!$B$104,AR104+1,AR104)</f>
        <v>2</v>
      </c>
      <c r="AS105" s="42">
        <f t="shared" si="11"/>
        <v>46</v>
      </c>
    </row>
    <row r="106" spans="1:45">
      <c r="A106" s="42" t="str">
        <f ca="1">IF(LEFT(OFFSET(SUP!$A$57,AS106,0),2)="\I","*","")</f>
        <v>*</v>
      </c>
      <c r="B106" s="440" t="str">
        <f t="shared" ca="1" si="9"/>
        <v/>
      </c>
      <c r="C106" s="440" t="str">
        <f ca="1">IF($A106="*","",OFFSET(SUP!$B$57,AS106,0))</f>
        <v/>
      </c>
      <c r="D106" s="440" t="str">
        <f t="shared" ca="1" si="12"/>
        <v/>
      </c>
      <c r="E106" s="440" t="str">
        <f t="shared" ca="1" si="12"/>
        <v/>
      </c>
      <c r="F106" s="440" t="str">
        <f t="shared" ca="1" si="12"/>
        <v/>
      </c>
      <c r="G106" s="440" t="str">
        <f t="shared" ca="1" si="12"/>
        <v/>
      </c>
      <c r="H106" s="440" t="str">
        <f t="shared" ca="1" si="10"/>
        <v/>
      </c>
      <c r="I106" s="441" t="str">
        <f ca="1">IF(IFERROR(VLOOKUP($C106,SUP!$B$54:$Q$104,MATCH($B106&amp;"-"&amp;I$7,SUP!$B$54:$Q$54,0),FALSE),"")="","",IFERROR(VLOOKUP($C106,SUP!$B$54:$Q$104,MATCH($B106&amp;"-"&amp;I$7,SUP!$B$54:$Q$54,0),FALSE),""))</f>
        <v/>
      </c>
      <c r="J106" s="441" t="str">
        <f ca="1">IF(IFERROR(VLOOKUP($C106,SUP!$B$54:$Q$104,MATCH($B106&amp;"-"&amp;J$7,SUP!$B$54:$Q$54,0),FALSE),"")="","",IFERROR(VLOOKUP($C106,SUP!$B$54:$Q$104,MATCH($B106&amp;"-"&amp;J$7,SUP!$B$54:$Q$54,0),FALSE),""))</f>
        <v/>
      </c>
      <c r="K106" s="441" t="str">
        <f ca="1">IF(IFERROR(VLOOKUP($C106,SUP!$B$54:$Q$104,MATCH($B106&amp;"-"&amp;K$7,SUP!$B$54:$Q$54,0),FALSE),"")="","",IFERROR(VLOOKUP($C106,SUP!$B$54:$Q$104,MATCH($B106&amp;"-"&amp;K$7,SUP!$B$54:$Q$54,0),FALSE),""))</f>
        <v/>
      </c>
      <c r="L106" s="441" t="str">
        <f ca="1">IF(IFERROR(VLOOKUP($C106,SUP!$B$54:$Q$104,MATCH($B106&amp;"-"&amp;L$7,SUP!$B$54:$Q$54,0),FALSE),"")="","",IFERROR(VLOOKUP($C106,SUP!$B$54:$Q$104,MATCH($B106&amp;"-"&amp;L$7,SUP!$B$54:$Q$54,0),FALSE),""))</f>
        <v/>
      </c>
      <c r="M106" s="441" t="str">
        <f ca="1">IF(IFERROR(VLOOKUP($C106,SUP!$B$54:$Q$104,MATCH($B106&amp;"-"&amp;M$7,SUP!$B$54:$Q$54,0),FALSE),"")="","",IFERROR(VLOOKUP($C106,SUP!$B$54:$Q$104,MATCH($B106&amp;"-"&amp;M$7,SUP!$B$54:$Q$54,0),FALSE),""))</f>
        <v/>
      </c>
      <c r="N106" s="441" t="str">
        <f ca="1">IF(IFERROR(VLOOKUP($C106,SUP!$B$54:$Q$104,MATCH($B106&amp;"-"&amp;N$7,SUP!$B$54:$Q$54,0),FALSE),"")="","",IFERROR(VLOOKUP($C106,SUP!$B$54:$Q$104,MATCH($B106&amp;"-"&amp;N$7,SUP!$B$54:$Q$54,0),FALSE),""))</f>
        <v/>
      </c>
      <c r="O106" s="441" t="str">
        <f ca="1">IF(IFERROR(VLOOKUP($C106,SUP!$B$54:$Q$104,MATCH($B106&amp;"-"&amp;O$7,SUP!$B$54:$Q$54,0),FALSE),"")="","",IFERROR(VLOOKUP($C106,SUP!$B$54:$Q$104,MATCH($B106&amp;"-"&amp;O$7,SUP!$B$54:$Q$54,0),FALSE),""))</f>
        <v/>
      </c>
      <c r="P106" s="441" t="str">
        <f ca="1">IF(IFERROR(VLOOKUP($C106,SUP!$B$54:$Q$104,MATCH($B106&amp;"-"&amp;P$7,SUP!$B$54:$Q$54,0),FALSE),"")="","",IFERROR(VLOOKUP($C106,SUP!$B$54:$Q$104,MATCH($B106&amp;"-"&amp;P$7,SUP!$B$54:$Q$54,0),FALSE),""))</f>
        <v/>
      </c>
      <c r="Q106" s="441" t="str">
        <f ca="1">IF(IFERROR(VLOOKUP($C106,SUP!$B$54:$Q$104,MATCH($B106&amp;"-"&amp;Q$7,SUP!$B$54:$Q$54,0),FALSE),"")="","",IFERROR(VLOOKUP($C106,SUP!$B$54:$Q$104,MATCH($B106&amp;"-"&amp;Q$7,SUP!$B$54:$Q$54,0),FALSE),""))</f>
        <v/>
      </c>
      <c r="R106" s="441" t="str">
        <f ca="1">IF(IFERROR(VLOOKUP($C106,SUP!$B$54:$Q$104,MATCH($B106&amp;"-"&amp;R$7,SUP!$B$54:$Q$54,0),FALSE),"")="","",IFERROR(VLOOKUP($C106,SUP!$B$54:$Q$104,MATCH($B106&amp;"-"&amp;R$7,SUP!$B$54:$Q$54,0),FALSE),""))</f>
        <v/>
      </c>
      <c r="S106" s="441" t="str">
        <f ca="1">IF(IFERROR(VLOOKUP($C106,SUP!$B$54:$Q$104,MATCH($B106&amp;"-"&amp;S$7,SUP!$B$54:$Q$54,0),FALSE),"")="","",IFERROR(VLOOKUP($C106,SUP!$B$54:$Q$104,MATCH($B106&amp;"-"&amp;S$7,SUP!$B$54:$Q$54,0),FALSE),""))</f>
        <v/>
      </c>
      <c r="T106" s="441" t="str">
        <f ca="1">IF(IFERROR(VLOOKUP($C106,SUP!$B$54:$Q$104,MATCH($B106&amp;"-"&amp;T$7,SUP!$B$54:$Q$54,0),FALSE),"")="","",IFERROR(VLOOKUP($C106,SUP!$B$54:$Q$104,MATCH($B106&amp;"-"&amp;T$7,SUP!$B$54:$Q$54,0),FALSE),""))</f>
        <v/>
      </c>
      <c r="U106" s="441" t="str">
        <f ca="1">IF(IFERROR(VLOOKUP($C106,SUP!$B$54:$Q$104,MATCH($B106&amp;"-"&amp;U$7,SUP!$B$54:$Q$54,0),FALSE),"")="","",IFERROR(VLOOKUP($C106,SUP!$B$54:$Q$104,MATCH($B106&amp;"-"&amp;U$7,SUP!$B$54:$Q$54,0),FALSE),""))</f>
        <v/>
      </c>
      <c r="V106" s="441" t="str">
        <f ca="1">IF(IFERROR(VLOOKUP($C106,SUP!$B$54:$Q$104,MATCH($B106&amp;"-"&amp;V$7,SUP!$B$54:$Q$54,0),FALSE),"")="","",IFERROR(VLOOKUP($C106,SUP!$B$54:$Q$104,MATCH($B106&amp;"-"&amp;V$7,SUP!$B$54:$Q$54,0),FALSE),""))</f>
        <v/>
      </c>
      <c r="W106" s="441" t="str">
        <f ca="1">IF(IFERROR(VLOOKUP($C106,SUP!$B$54:$Q$104,MATCH($B106&amp;"-"&amp;W$7,SUP!$B$54:$Q$54,0),FALSE),"")="","",IFERROR(VLOOKUP($C106,SUP!$B$54:$Q$104,MATCH($B106&amp;"-"&amp;W$7,SUP!$B$54:$Q$54,0),FALSE),""))</f>
        <v/>
      </c>
      <c r="X106" s="441" t="str">
        <f ca="1">IF(IFERROR(VLOOKUP($C106,SUP!$B$54:$Q$104,MATCH($B106&amp;"-"&amp;X$7,SUP!$B$54:$Q$54,0),FALSE),"")="","",IFERROR(VLOOKUP($C106,SUP!$B$54:$Q$104,MATCH($B106&amp;"-"&amp;X$7,SUP!$B$54:$Q$54,0),FALSE),""))</f>
        <v/>
      </c>
      <c r="Y106" s="441" t="str">
        <f ca="1">IF(IFERROR(VLOOKUP($C106,SUP!$B$54:$Q$104,MATCH($B106&amp;"-"&amp;Y$7,SUP!$B$54:$Q$54,0),FALSE),"")="","",IFERROR(VLOOKUP($C106,SUP!$B$54:$Q$104,MATCH($B106&amp;"-"&amp;Y$7,SUP!$B$54:$Q$54,0),FALSE),""))</f>
        <v/>
      </c>
      <c r="Z106" s="441" t="str">
        <f ca="1">IF(IFERROR(VLOOKUP($C106,SUP!$B$54:$Q$104,MATCH($B106&amp;"-"&amp;Z$7,SUP!$B$54:$Q$54,0),FALSE),"")="","",IFERROR(VLOOKUP($C106,SUP!$B$54:$Q$104,MATCH($B106&amp;"-"&amp;Z$7,SUP!$B$54:$Q$54,0),FALSE),""))</f>
        <v/>
      </c>
      <c r="AA106" s="441" t="str">
        <f ca="1">IF(IFERROR(VLOOKUP($C106,SUP!$B$54:$Q$104,MATCH($B106&amp;"-"&amp;AA$7,SUP!$B$54:$Q$54,0),FALSE),"")="","",IFERROR(VLOOKUP($C106,SUP!$B$54:$Q$104,MATCH($B106&amp;"-"&amp;AA$7,SUP!$B$54:$Q$54,0),FALSE),""))</f>
        <v/>
      </c>
      <c r="AB106" s="441" t="str">
        <f ca="1">IF(IFERROR(VLOOKUP($C106,SUP!$B$54:$Q$104,MATCH($B106&amp;"-"&amp;AB$7,SUP!$B$54:$Q$54,0),FALSE),"")="","",IFERROR(VLOOKUP($C106,SUP!$B$54:$Q$104,MATCH($B106&amp;"-"&amp;AB$7,SUP!$B$54:$Q$54,0),FALSE),""))</f>
        <v/>
      </c>
      <c r="AC106" s="441" t="str">
        <f ca="1">IF(IFERROR(VLOOKUP($C106,SUP!$B$54:$Q$104,MATCH($B106&amp;"-"&amp;AC$7,SUP!$B$54:$Q$54,0),FALSE),"")="","",IFERROR(VLOOKUP($C106,SUP!$B$54:$Q$104,MATCH($B106&amp;"-"&amp;AC$7,SUP!$B$54:$Q$54,0),FALSE),""))</f>
        <v/>
      </c>
      <c r="AD106" s="441" t="str">
        <f ca="1">IF(IFERROR(VLOOKUP($C106,SUP!$B$54:$Q$104,MATCH($B106&amp;"-"&amp;AD$7,SUP!$B$54:$Q$54,0),FALSE),"")="","",IFERROR(VLOOKUP($C106,SUP!$B$54:$Q$104,MATCH($B106&amp;"-"&amp;AD$7,SUP!$B$54:$Q$54,0),FALSE),""))</f>
        <v/>
      </c>
      <c r="AE106" s="441" t="str">
        <f ca="1">IF(IFERROR(VLOOKUP($C106,SUP!$B$54:$Q$104,MATCH($B106&amp;"-"&amp;AE$7,SUP!$B$54:$Q$54,0),FALSE),"")="","",IFERROR(VLOOKUP($C106,SUP!$B$54:$Q$104,MATCH($B106&amp;"-"&amp;AE$7,SUP!$B$54:$Q$54,0),FALSE),""))</f>
        <v/>
      </c>
      <c r="AF106" s="441" t="str">
        <f ca="1">IF(IFERROR(VLOOKUP($C106,SUP!$B$54:$Q$104,MATCH($B106&amp;"-"&amp;AF$7,SUP!$B$54:$Q$54,0),FALSE),"")="","",IFERROR(VLOOKUP($C106,SUP!$B$54:$Q$104,MATCH($B106&amp;"-"&amp;AF$7,SUP!$B$54:$Q$54,0),FALSE),""))</f>
        <v/>
      </c>
      <c r="AG106" s="441" t="str">
        <f ca="1">IF(IFERROR(VLOOKUP($C106,SUP!$B$54:$Q$104,MATCH($B106&amp;"-"&amp;AG$7,SUP!$B$54:$Q$54,0),FALSE),"")="","",IFERROR(VLOOKUP($C106,SUP!$B$54:$Q$104,MATCH($B106&amp;"-"&amp;AG$7,SUP!$B$54:$Q$54,0),FALSE),""))</f>
        <v/>
      </c>
      <c r="AH106" s="441" t="str">
        <f ca="1">IF(IFERROR(VLOOKUP($C106,SUP!$B$54:$Q$104,MATCH($B106&amp;"-"&amp;AH$7,SUP!$B$54:$Q$54,0),FALSE),"")="","",IFERROR(VLOOKUP($C106,SUP!$B$54:$Q$104,MATCH($B106&amp;"-"&amp;AH$7,SUP!$B$54:$Q$54,0),FALSE),""))</f>
        <v/>
      </c>
      <c r="AI106" s="441"/>
      <c r="AJ106" s="441"/>
      <c r="AK106" s="441"/>
      <c r="AL106" s="441"/>
      <c r="AM106" s="441" t="str">
        <f ca="1">IF(IFERROR(VLOOKUP($C106,SUP!$B$54:$Q$104,MATCH($B106&amp;"-"&amp;AM$7,SUP!$B$54:$Q$54,0),FALSE),"")="","",IFERROR(VLOOKUP($C106,SUP!$B$54:$Q$104,MATCH($B106&amp;"-"&amp;AM$7,SUP!$B$54:$Q$54,0),FALSE),""))</f>
        <v/>
      </c>
      <c r="AN106" s="441"/>
      <c r="AO106" s="441"/>
      <c r="AR106" s="42">
        <f>IF(AS105=SUP!$B$104,AR105+1,AR105)</f>
        <v>2</v>
      </c>
      <c r="AS106" s="42">
        <f t="shared" si="11"/>
        <v>47</v>
      </c>
    </row>
    <row r="113" spans="1:41">
      <c r="A113" s="1044" t="s">
        <v>310</v>
      </c>
      <c r="B113" s="1044" t="str">
        <f ca="1">B37</f>
        <v>ACT_COST</v>
      </c>
      <c r="C113" s="1044" t="str">
        <f ca="1">C37</f>
        <v>IMPODS</v>
      </c>
      <c r="D113" s="1044" t="s">
        <v>13979</v>
      </c>
    </row>
    <row r="114" spans="1:41">
      <c r="A114" s="1044" t="s">
        <v>310</v>
      </c>
      <c r="B114" s="1044" t="str">
        <f ca="1">B38</f>
        <v>ACT_COST</v>
      </c>
      <c r="C114" s="1044" t="str">
        <f ca="1">C38</f>
        <v>IMPOGS</v>
      </c>
      <c r="D114" s="1044" t="s">
        <v>13980</v>
      </c>
    </row>
    <row r="115" spans="1:41" ht="45">
      <c r="A115" s="1044" t="s">
        <v>310</v>
      </c>
      <c r="B115" s="1379" t="s">
        <v>332</v>
      </c>
      <c r="C115" s="1379" t="s">
        <v>13978</v>
      </c>
      <c r="D115" s="1379" t="s">
        <v>13979</v>
      </c>
      <c r="E115" s="1388" t="s">
        <v>13994</v>
      </c>
      <c r="J115" s="42">
        <f ca="1">IF(SUMIFS(J$8:J$106,$C$8:$C$106,$C115,$B$8:$B$106,$B115),SUMIFS(J$8:J$106,$C$8:$C$106,$C115,$B$8:$B$106,$B115)*'Liq Fuel Prices'!$AR$71+'Liq Fuel Prices'!$AR$72,"")</f>
        <v>97.180711932237799</v>
      </c>
      <c r="K115" s="42" t="str">
        <f ca="1">IF(SUMIFS(K$8:K$106,$C$8:$C$106,$C115,$B$8:$B$106,$B115),SUMIFS(K$8:K$106,$C$8:$C$106,$C115,$B$8:$B$106,$B115)*'Liq Fuel Prices'!$AR$71+'Liq Fuel Prices'!$AR$72,"")</f>
        <v/>
      </c>
      <c r="L115" s="42" t="str">
        <f ca="1">IF(SUMIFS(L$8:L$106,$C$8:$C$106,$C115,$B$8:$B$106,$B115),SUMIFS(L$8:L$106,$C$8:$C$106,$C115,$B$8:$B$106,$B115)*'Liq Fuel Prices'!$AR$71+'Liq Fuel Prices'!$AR$72,"")</f>
        <v/>
      </c>
      <c r="M115" s="42">
        <f ca="1">IF(SUMIFS(M$8:M$106,$C$8:$C$106,$C115,$B$8:$B$106,$B115),SUMIFS(M$8:M$106,$C$8:$C$106,$C115,$B$8:$B$106,$B115)*'Liq Fuel Prices'!$AR$71+'Liq Fuel Prices'!$AR$72,"")</f>
        <v>83.851206167714878</v>
      </c>
      <c r="N115" s="42" t="str">
        <f ca="1">IF(SUMIFS(N$8:N$106,$C$8:$C$106,$C115,$B$8:$B$106,$B115),SUMIFS(N$8:N$106,$C$8:$C$106,$C115,$B$8:$B$106,$B115)*'Liq Fuel Prices'!$AR$71+'Liq Fuel Prices'!$AR$72,"")</f>
        <v/>
      </c>
      <c r="O115" s="42" t="str">
        <f ca="1">IF(SUMIFS(O$8:O$106,$C$8:$C$106,$C115,$B$8:$B$106,$B115),SUMIFS(O$8:O$106,$C$8:$C$106,$C115,$B$8:$B$106,$B115)*'Liq Fuel Prices'!$AR$71+'Liq Fuel Prices'!$AR$72,"")</f>
        <v/>
      </c>
      <c r="P115" s="42" t="str">
        <f ca="1">IF(SUMIFS(P$8:P$106,$C$8:$C$106,$C115,$B$8:$B$106,$B115),SUMIFS(P$8:P$106,$C$8:$C$106,$C115,$B$8:$B$106,$B115)*'Liq Fuel Prices'!$AR$71+'Liq Fuel Prices'!$AR$72,"")</f>
        <v/>
      </c>
      <c r="Q115" s="42" t="str">
        <f ca="1">IF(SUMIFS(Q$8:Q$106,$C$8:$C$106,$C115,$B$8:$B$106,$B115),SUMIFS(Q$8:Q$106,$C$8:$C$106,$C115,$B$8:$B$106,$B115)*'Liq Fuel Prices'!$AR$71+'Liq Fuel Prices'!$AR$72,"")</f>
        <v/>
      </c>
      <c r="R115" s="42">
        <f ca="1">IF(SUMIFS(R$8:R$106,$C$8:$C$106,$C115,$B$8:$B$106,$B115),SUMIFS(R$8:R$106,$C$8:$C$106,$C115,$B$8:$B$106,$B115)*'Liq Fuel Prices'!$AR$71+'Liq Fuel Prices'!$AR$72,"")</f>
        <v>88.457097210342411</v>
      </c>
      <c r="S115" s="42" t="str">
        <f ca="1">IF(SUMIFS(S$8:S$106,$C$8:$C$106,$C115,$B$8:$B$106,$B115),SUMIFS(S$8:S$106,$C$8:$C$106,$C115,$B$8:$B$106,$B115)*'Liq Fuel Prices'!$AR$71+'Liq Fuel Prices'!$AR$72,"")</f>
        <v/>
      </c>
      <c r="T115" s="42" t="str">
        <f ca="1">IF(SUMIFS(T$8:T$106,$C$8:$C$106,$C115,$B$8:$B$106,$B115),SUMIFS(T$8:T$106,$C$8:$C$106,$C115,$B$8:$B$106,$B115)*'Liq Fuel Prices'!$AR$71+'Liq Fuel Prices'!$AR$72,"")</f>
        <v/>
      </c>
      <c r="U115" s="42" t="str">
        <f ca="1">IF(SUMIFS(U$8:U$106,$C$8:$C$106,$C115,$B$8:$B$106,$B115),SUMIFS(U$8:U$106,$C$8:$C$106,$C115,$B$8:$B$106,$B115)*'Liq Fuel Prices'!$AR$71+'Liq Fuel Prices'!$AR$72,"")</f>
        <v/>
      </c>
      <c r="V115" s="42" t="str">
        <f ca="1">IF(SUMIFS(V$8:V$106,$C$8:$C$106,$C115,$B$8:$B$106,$B115),SUMIFS(V$8:V$106,$C$8:$C$106,$C115,$B$8:$B$106,$B115)*'Liq Fuel Prices'!$AR$71+'Liq Fuel Prices'!$AR$72,"")</f>
        <v/>
      </c>
      <c r="W115" s="42" t="str">
        <f ca="1">IF(SUMIFS(W$8:W$106,$C$8:$C$106,$C115,$B$8:$B$106,$B115),SUMIFS(W$8:W$106,$C$8:$C$106,$C115,$B$8:$B$106,$B115)*'Liq Fuel Prices'!$AR$71+'Liq Fuel Prices'!$AR$72,"")</f>
        <v/>
      </c>
      <c r="X115" s="42" t="str">
        <f ca="1">IF(SUMIFS(X$8:X$106,$C$8:$C$106,$C115,$B$8:$B$106,$B115),SUMIFS(X$8:X$106,$C$8:$C$106,$C115,$B$8:$B$106,$B115)*'Liq Fuel Prices'!$AR$71+'Liq Fuel Prices'!$AR$72,"")</f>
        <v/>
      </c>
      <c r="Y115" s="42" t="str">
        <f ca="1">IF(SUMIFS(Y$8:Y$106,$C$8:$C$106,$C115,$B$8:$B$106,$B115),SUMIFS(Y$8:Y$106,$C$8:$C$106,$C115,$B$8:$B$106,$B115)*'Liq Fuel Prices'!$AR$71+'Liq Fuel Prices'!$AR$72,"")</f>
        <v/>
      </c>
      <c r="Z115" s="42" t="str">
        <f ca="1">IF(SUMIFS(Z$8:Z$106,$C$8:$C$106,$C115,$B$8:$B$106,$B115),SUMIFS(Z$8:Z$106,$C$8:$C$106,$C115,$B$8:$B$106,$B115)*'Liq Fuel Prices'!$AR$71+'Liq Fuel Prices'!$AR$72,"")</f>
        <v/>
      </c>
      <c r="AA115" s="42" t="str">
        <f ca="1">IF(SUMIFS(AA$8:AA$106,$C$8:$C$106,$C115,$B$8:$B$106,$B115),SUMIFS(AA$8:AA$106,$C$8:$C$106,$C115,$B$8:$B$106,$B115)*'Liq Fuel Prices'!$AR$71+'Liq Fuel Prices'!$AR$72,"")</f>
        <v/>
      </c>
      <c r="AB115" s="42">
        <f ca="1">IF(SUMIFS(AB$8:AB$106,$C$8:$C$106,$C115,$B$8:$B$106,$B115),SUMIFS(AB$8:AB$106,$C$8:$C$106,$C115,$B$8:$B$106,$B115)*'Liq Fuel Prices'!$AR$71+'Liq Fuel Prices'!$AR$72,"")</f>
        <v>86.921800196133233</v>
      </c>
      <c r="AC115" s="42" t="str">
        <f ca="1">IF(SUMIFS(AC$8:AC$106,$C$8:$C$106,$C115,$B$8:$B$106,$B115),SUMIFS(AC$8:AC$106,$C$8:$C$106,$C115,$B$8:$B$106,$B115)*'Liq Fuel Prices'!$AR$71+'Liq Fuel Prices'!$AR$72,"")</f>
        <v/>
      </c>
      <c r="AD115" s="42" t="str">
        <f ca="1">IF(SUMIFS(AD$8:AD$106,$C$8:$C$106,$C115,$B$8:$B$106,$B115),SUMIFS(AD$8:AD$106,$C$8:$C$106,$C115,$B$8:$B$106,$B115)*'Liq Fuel Prices'!$AR$71+'Liq Fuel Prices'!$AR$72,"")</f>
        <v/>
      </c>
      <c r="AE115" s="42" t="str">
        <f ca="1">IF(SUMIFS(AE$8:AE$106,$C$8:$C$106,$C115,$B$8:$B$106,$B115),SUMIFS(AE$8:AE$106,$C$8:$C$106,$C115,$B$8:$B$106,$B115)*'Liq Fuel Prices'!$AR$71+'Liq Fuel Prices'!$AR$72,"")</f>
        <v/>
      </c>
      <c r="AF115" s="42" t="str">
        <f ca="1">IF(SUMIFS(AF$8:AF$106,$C$8:$C$106,$C115,$B$8:$B$106,$B115),SUMIFS(AF$8:AF$106,$C$8:$C$106,$C115,$B$8:$B$106,$B115)*'Liq Fuel Prices'!$AR$71+'Liq Fuel Prices'!$AR$72,"")</f>
        <v/>
      </c>
      <c r="AG115" s="42" t="str">
        <f ca="1">IF(SUMIFS(AG$8:AG$106,$C$8:$C$106,$C115,$B$8:$B$106,$B115),SUMIFS(AG$8:AG$106,$C$8:$C$106,$C115,$B$8:$B$106,$B115)*'Liq Fuel Prices'!$AR$71+'Liq Fuel Prices'!$AR$72,"")</f>
        <v/>
      </c>
      <c r="AH115" s="42" t="str">
        <f ca="1">IF(SUMIFS(AH$8:AH$106,$C$8:$C$106,$C115,$B$8:$B$106,$B115),SUMIFS(AH$8:AH$106,$C$8:$C$106,$C115,$B$8:$B$106,$B115)*'Liq Fuel Prices'!$AR$71+'Liq Fuel Prices'!$AR$72,"")</f>
        <v/>
      </c>
      <c r="AI115" s="42" t="str">
        <f ca="1">IF(SUMIFS(AI$8:AI$106,$C$8:$C$106,$C115,$B$8:$B$106,$B115),SUMIFS(AI$8:AI$106,$C$8:$C$106,$C115,$B$8:$B$106,$B115)*'Liq Fuel Prices'!$AR$71+'Liq Fuel Prices'!$AR$72,"")</f>
        <v/>
      </c>
      <c r="AJ115" s="42" t="str">
        <f ca="1">IF(SUMIFS(AJ$8:AJ$106,$C$8:$C$106,$C115,$B$8:$B$106,$B115),SUMIFS(AJ$8:AJ$106,$C$8:$C$106,$C115,$B$8:$B$106,$B115)*'Liq Fuel Prices'!$AR$71+'Liq Fuel Prices'!$AR$72,"")</f>
        <v/>
      </c>
      <c r="AK115" s="42" t="str">
        <f ca="1">IF(SUMIFS(AK$8:AK$106,$C$8:$C$106,$C115,$B$8:$B$106,$B115),SUMIFS(AK$8:AK$106,$C$8:$C$106,$C115,$B$8:$B$106,$B115)*'Liq Fuel Prices'!$AR$71+'Liq Fuel Prices'!$AR$72,"")</f>
        <v/>
      </c>
      <c r="AL115" s="42" t="str">
        <f ca="1">IF(SUMIFS(AL$8:AL$106,$C$8:$C$106,$C115,$B$8:$B$106,$B115),SUMIFS(AL$8:AL$106,$C$8:$C$106,$C115,$B$8:$B$106,$B115)*'Liq Fuel Prices'!$AR$71+'Liq Fuel Prices'!$AR$72,"")</f>
        <v/>
      </c>
      <c r="AM115" s="42" t="str">
        <f ca="1">IF(SUMIFS(AM$8:AM$106,$C$8:$C$106,$C115,$B$8:$B$106,$B115),SUMIFS(AM$8:AM$106,$C$8:$C$106,$C115,$B$8:$B$106,$B115)*'Liq Fuel Prices'!$AR$71+'Liq Fuel Prices'!$AR$72,"")</f>
        <v/>
      </c>
      <c r="AN115" s="42">
        <f ca="1">IF(SUMIFS(AN$8:AN$106,$C$8:$C$106,$C115,$B$8:$B$106,$B115),SUMIFS(AN$8:AN$106,$C$8:$C$106,$C115,$B$8:$B$106,$B115)*'Liq Fuel Prices'!$AR$71+'Liq Fuel Prices'!$AR$72,"")</f>
        <v>83.412549877940819</v>
      </c>
      <c r="AO115" s="42" t="str">
        <f ca="1">IF(SUMIFS(AO$8:AO$106,$C$8:$C$106,$C115,$B$8:$B$106,$B115),SUMIFS(AO$8:AO$106,$C$8:$C$106,$C115,$B$8:$B$106,$B115)*'Liq Fuel Prices'!$AR$71+'Liq Fuel Prices'!$AR$72,"")</f>
        <v/>
      </c>
    </row>
    <row r="116" spans="1:41" ht="45">
      <c r="A116" s="1044" t="s">
        <v>310</v>
      </c>
      <c r="B116" s="1379" t="s">
        <v>332</v>
      </c>
      <c r="C116" s="1379" t="s">
        <v>13978</v>
      </c>
      <c r="D116" s="1379" t="s">
        <v>13980</v>
      </c>
      <c r="E116" s="1388" t="s">
        <v>13993</v>
      </c>
      <c r="J116" s="42">
        <f ca="1">IF(SUMIFS(J$8:J$106,$C$8:$C$106,$C116,$B$8:$B$106,$B116),SUMIFS(J$8:J$106,$C$8:$C$106,$C116,$B$8:$B$106,$B116)*'Liq Fuel Prices'!$AQ$71+'Liq Fuel Prices'!$AQ$72,"")</f>
        <v>143.10453483626083</v>
      </c>
      <c r="K116" s="42" t="str">
        <f ca="1">IF(SUMIFS(K$8:K$106,$C$8:$C$106,$C116,$B$8:$B$106,$B116),SUMIFS(K$8:K$106,$C$8:$C$106,$C116,$B$8:$B$106,$B116)*'Liq Fuel Prices'!$AQ$71+'Liq Fuel Prices'!$AQ$72,"")</f>
        <v/>
      </c>
      <c r="L116" s="42" t="str">
        <f ca="1">IF(SUMIFS(L$8:L$106,$C$8:$C$106,$C116,$B$8:$B$106,$B116),SUMIFS(L$8:L$106,$C$8:$C$106,$C116,$B$8:$B$106,$B116)*'Liq Fuel Prices'!$AQ$71+'Liq Fuel Prices'!$AQ$72,"")</f>
        <v/>
      </c>
      <c r="M116" s="42">
        <f ca="1">IF(SUMIFS(M$8:M$106,$C$8:$C$106,$C116,$B$8:$B$106,$B116),SUMIFS(M$8:M$106,$C$8:$C$106,$C116,$B$8:$B$106,$B116)*'Liq Fuel Prices'!$AQ$71+'Liq Fuel Prices'!$AQ$72,"")</f>
        <v>124.32350066624738</v>
      </c>
      <c r="N116" s="42" t="str">
        <f ca="1">IF(SUMIFS(N$8:N$106,$C$8:$C$106,$C116,$B$8:$B$106,$B116),SUMIFS(N$8:N$106,$C$8:$C$106,$C116,$B$8:$B$106,$B116)*'Liq Fuel Prices'!$AQ$71+'Liq Fuel Prices'!$AQ$72,"")</f>
        <v/>
      </c>
      <c r="O116" s="42" t="str">
        <f ca="1">IF(SUMIFS(O$8:O$106,$C$8:$C$106,$C116,$B$8:$B$106,$B116),SUMIFS(O$8:O$106,$C$8:$C$106,$C116,$B$8:$B$106,$B116)*'Liq Fuel Prices'!$AQ$71+'Liq Fuel Prices'!$AQ$72,"")</f>
        <v/>
      </c>
      <c r="P116" s="42" t="str">
        <f ca="1">IF(SUMIFS(P$8:P$106,$C$8:$C$106,$C116,$B$8:$B$106,$B116),SUMIFS(P$8:P$106,$C$8:$C$106,$C116,$B$8:$B$106,$B116)*'Liq Fuel Prices'!$AQ$71+'Liq Fuel Prices'!$AQ$72,"")</f>
        <v/>
      </c>
      <c r="Q116" s="42" t="str">
        <f ca="1">IF(SUMIFS(Q$8:Q$106,$C$8:$C$106,$C116,$B$8:$B$106,$B116),SUMIFS(Q$8:Q$106,$C$8:$C$106,$C116,$B$8:$B$106,$B116)*'Liq Fuel Prices'!$AQ$71+'Liq Fuel Prices'!$AQ$72,"")</f>
        <v/>
      </c>
      <c r="R116" s="42">
        <f ca="1">IF(SUMIFS(R$8:R$106,$C$8:$C$106,$C116,$B$8:$B$106,$B116),SUMIFS(R$8:R$106,$C$8:$C$106,$C116,$B$8:$B$106,$B116)*'Liq Fuel Prices'!$AQ$71+'Liq Fuel Prices'!$AQ$72,"")</f>
        <v>130.81311840475192</v>
      </c>
      <c r="S116" s="42" t="str">
        <f ca="1">IF(SUMIFS(S$8:S$106,$C$8:$C$106,$C116,$B$8:$B$106,$B116),SUMIFS(S$8:S$106,$C$8:$C$106,$C116,$B$8:$B$106,$B116)*'Liq Fuel Prices'!$AQ$71+'Liq Fuel Prices'!$AQ$72,"")</f>
        <v/>
      </c>
      <c r="T116" s="42" t="str">
        <f ca="1">IF(SUMIFS(T$8:T$106,$C$8:$C$106,$C116,$B$8:$B$106,$B116),SUMIFS(T$8:T$106,$C$8:$C$106,$C116,$B$8:$B$106,$B116)*'Liq Fuel Prices'!$AQ$71+'Liq Fuel Prices'!$AQ$72,"")</f>
        <v/>
      </c>
      <c r="U116" s="42" t="str">
        <f ca="1">IF(SUMIFS(U$8:U$106,$C$8:$C$106,$C116,$B$8:$B$106,$B116),SUMIFS(U$8:U$106,$C$8:$C$106,$C116,$B$8:$B$106,$B116)*'Liq Fuel Prices'!$AQ$71+'Liq Fuel Prices'!$AQ$72,"")</f>
        <v/>
      </c>
      <c r="V116" s="42" t="str">
        <f ca="1">IF(SUMIFS(V$8:V$106,$C$8:$C$106,$C116,$B$8:$B$106,$B116),SUMIFS(V$8:V$106,$C$8:$C$106,$C116,$B$8:$B$106,$B116)*'Liq Fuel Prices'!$AQ$71+'Liq Fuel Prices'!$AQ$72,"")</f>
        <v/>
      </c>
      <c r="W116" s="42" t="str">
        <f ca="1">IF(SUMIFS(W$8:W$106,$C$8:$C$106,$C116,$B$8:$B$106,$B116),SUMIFS(W$8:W$106,$C$8:$C$106,$C116,$B$8:$B$106,$B116)*'Liq Fuel Prices'!$AQ$71+'Liq Fuel Prices'!$AQ$72,"")</f>
        <v/>
      </c>
      <c r="X116" s="42" t="str">
        <f ca="1">IF(SUMIFS(X$8:X$106,$C$8:$C$106,$C116,$B$8:$B$106,$B116),SUMIFS(X$8:X$106,$C$8:$C$106,$C116,$B$8:$B$106,$B116)*'Liq Fuel Prices'!$AQ$71+'Liq Fuel Prices'!$AQ$72,"")</f>
        <v/>
      </c>
      <c r="Y116" s="42" t="str">
        <f ca="1">IF(SUMIFS(Y$8:Y$106,$C$8:$C$106,$C116,$B$8:$B$106,$B116),SUMIFS(Y$8:Y$106,$C$8:$C$106,$C116,$B$8:$B$106,$B116)*'Liq Fuel Prices'!$AQ$71+'Liq Fuel Prices'!$AQ$72,"")</f>
        <v/>
      </c>
      <c r="Z116" s="42" t="str">
        <f ca="1">IF(SUMIFS(Z$8:Z$106,$C$8:$C$106,$C116,$B$8:$B$106,$B116),SUMIFS(Z$8:Z$106,$C$8:$C$106,$C116,$B$8:$B$106,$B116)*'Liq Fuel Prices'!$AQ$71+'Liq Fuel Prices'!$AQ$72,"")</f>
        <v/>
      </c>
      <c r="AA116" s="42" t="str">
        <f ca="1">IF(SUMIFS(AA$8:AA$106,$C$8:$C$106,$C116,$B$8:$B$106,$B116),SUMIFS(AA$8:AA$106,$C$8:$C$106,$C116,$B$8:$B$106,$B116)*'Liq Fuel Prices'!$AQ$71+'Liq Fuel Prices'!$AQ$72,"")</f>
        <v/>
      </c>
      <c r="AB116" s="42">
        <f ca="1">IF(SUMIFS(AB$8:AB$106,$C$8:$C$106,$C116,$B$8:$B$106,$B116),SUMIFS(AB$8:AB$106,$C$8:$C$106,$C116,$B$8:$B$106,$B116)*'Liq Fuel Prices'!$AQ$71+'Liq Fuel Prices'!$AQ$72,"")</f>
        <v>128.64991249191706</v>
      </c>
      <c r="AC116" s="42" t="str">
        <f ca="1">IF(SUMIFS(AC$8:AC$106,$C$8:$C$106,$C116,$B$8:$B$106,$B116),SUMIFS(AC$8:AC$106,$C$8:$C$106,$C116,$B$8:$B$106,$B116)*'Liq Fuel Prices'!$AQ$71+'Liq Fuel Prices'!$AQ$72,"")</f>
        <v/>
      </c>
      <c r="AD116" s="42" t="str">
        <f ca="1">IF(SUMIFS(AD$8:AD$106,$C$8:$C$106,$C116,$B$8:$B$106,$B116),SUMIFS(AD$8:AD$106,$C$8:$C$106,$C116,$B$8:$B$106,$B116)*'Liq Fuel Prices'!$AQ$71+'Liq Fuel Prices'!$AQ$72,"")</f>
        <v/>
      </c>
      <c r="AE116" s="42" t="str">
        <f ca="1">IF(SUMIFS(AE$8:AE$106,$C$8:$C$106,$C116,$B$8:$B$106,$B116),SUMIFS(AE$8:AE$106,$C$8:$C$106,$C116,$B$8:$B$106,$B116)*'Liq Fuel Prices'!$AQ$71+'Liq Fuel Prices'!$AQ$72,"")</f>
        <v/>
      </c>
      <c r="AF116" s="42" t="str">
        <f ca="1">IF(SUMIFS(AF$8:AF$106,$C$8:$C$106,$C116,$B$8:$B$106,$B116),SUMIFS(AF$8:AF$106,$C$8:$C$106,$C116,$B$8:$B$106,$B116)*'Liq Fuel Prices'!$AQ$71+'Liq Fuel Prices'!$AQ$72,"")</f>
        <v/>
      </c>
      <c r="AG116" s="42" t="str">
        <f ca="1">IF(SUMIFS(AG$8:AG$106,$C$8:$C$106,$C116,$B$8:$B$106,$B116),SUMIFS(AG$8:AG$106,$C$8:$C$106,$C116,$B$8:$B$106,$B116)*'Liq Fuel Prices'!$AQ$71+'Liq Fuel Prices'!$AQ$72,"")</f>
        <v/>
      </c>
      <c r="AH116" s="42" t="str">
        <f ca="1">IF(SUMIFS(AH$8:AH$106,$C$8:$C$106,$C116,$B$8:$B$106,$B116),SUMIFS(AH$8:AH$106,$C$8:$C$106,$C116,$B$8:$B$106,$B116)*'Liq Fuel Prices'!$AQ$71+'Liq Fuel Prices'!$AQ$72,"")</f>
        <v/>
      </c>
      <c r="AI116" s="42" t="str">
        <f ca="1">IF(SUMIFS(AI$8:AI$106,$C$8:$C$106,$C116,$B$8:$B$106,$B116),SUMIFS(AI$8:AI$106,$C$8:$C$106,$C116,$B$8:$B$106,$B116)*'Liq Fuel Prices'!$AQ$71+'Liq Fuel Prices'!$AQ$72,"")</f>
        <v/>
      </c>
      <c r="AJ116" s="42" t="str">
        <f ca="1">IF(SUMIFS(AJ$8:AJ$106,$C$8:$C$106,$C116,$B$8:$B$106,$B116),SUMIFS(AJ$8:AJ$106,$C$8:$C$106,$C116,$B$8:$B$106,$B116)*'Liq Fuel Prices'!$AQ$71+'Liq Fuel Prices'!$AQ$72,"")</f>
        <v/>
      </c>
      <c r="AK116" s="42" t="str">
        <f ca="1">IF(SUMIFS(AK$8:AK$106,$C$8:$C$106,$C116,$B$8:$B$106,$B116),SUMIFS(AK$8:AK$106,$C$8:$C$106,$C116,$B$8:$B$106,$B116)*'Liq Fuel Prices'!$AQ$71+'Liq Fuel Prices'!$AQ$72,"")</f>
        <v/>
      </c>
      <c r="AL116" s="42" t="str">
        <f ca="1">IF(SUMIFS(AL$8:AL$106,$C$8:$C$106,$C116,$B$8:$B$106,$B116),SUMIFS(AL$8:AL$106,$C$8:$C$106,$C116,$B$8:$B$106,$B116)*'Liq Fuel Prices'!$AQ$71+'Liq Fuel Prices'!$AQ$72,"")</f>
        <v/>
      </c>
      <c r="AM116" s="42" t="str">
        <f ca="1">IF(SUMIFS(AM$8:AM$106,$C$8:$C$106,$C116,$B$8:$B$106,$B116),SUMIFS(AM$8:AM$106,$C$8:$C$106,$C116,$B$8:$B$106,$B116)*'Liq Fuel Prices'!$AQ$71+'Liq Fuel Prices'!$AQ$72,"")</f>
        <v/>
      </c>
      <c r="AN116" s="42">
        <f ca="1">IF(SUMIFS(AN$8:AN$106,$C$8:$C$106,$C116,$B$8:$B$106,$B116),SUMIFS(AN$8:AN$106,$C$8:$C$106,$C116,$B$8:$B$106,$B116)*'Liq Fuel Prices'!$AQ$71+'Liq Fuel Prices'!$AQ$72,"")</f>
        <v>123.70544183400885</v>
      </c>
      <c r="AO116" s="42" t="str">
        <f ca="1">IF(SUMIFS(AO$8:AO$106,$C$8:$C$106,$C116,$B$8:$B$106,$B116),SUMIFS(AO$8:AO$106,$C$8:$C$106,$C116,$B$8:$B$106,$B116)*'Liq Fuel Prices'!$AQ$71+'Liq Fuel Prices'!$AQ$72,"")</f>
        <v/>
      </c>
    </row>
    <row r="117" spans="1:41" ht="33.75">
      <c r="A117" s="1044" t="s">
        <v>310</v>
      </c>
      <c r="D117" s="1385" t="s">
        <v>13979</v>
      </c>
      <c r="E117" s="1385" t="s">
        <v>13992</v>
      </c>
      <c r="F117" s="1381" t="s">
        <v>941</v>
      </c>
      <c r="I117" s="1376"/>
      <c r="J117" s="1384">
        <f>135.440599169946*1</f>
        <v>135.44059916994601</v>
      </c>
      <c r="M117" s="1388">
        <f>152.5*1</f>
        <v>152.5</v>
      </c>
      <c r="N117" s="1387"/>
      <c r="R117" s="1388">
        <f>1*166.034676362835</f>
        <v>166.034676362835</v>
      </c>
      <c r="S117" s="42" t="str">
        <f ca="1">IF(SUMIFS(S$8:S$106,$C$8:$C$106,$C117,$B$8:$B$106,$B117),SUMIFS(S$8:S$106,$C$8:$C$106,$C117,$B$8:$B$106,$B117)*'Liq Fuel Prices'!$AQ$71+'Liq Fuel Prices'!$AQ$72,"")</f>
        <v/>
      </c>
      <c r="W117" s="1380" t="str">
        <f ca="1">S117</f>
        <v/>
      </c>
      <c r="AG117" s="1380" t="str">
        <f ca="1">W117</f>
        <v/>
      </c>
    </row>
    <row r="118" spans="1:41" ht="33.75">
      <c r="A118" s="1044" t="s">
        <v>310</v>
      </c>
      <c r="D118" s="1385" t="s">
        <v>13980</v>
      </c>
      <c r="E118" s="1385" t="s">
        <v>13992</v>
      </c>
      <c r="F118" s="1381" t="s">
        <v>941</v>
      </c>
      <c r="J118" s="1385">
        <f>157.111095037138*1</f>
        <v>157.111095037138</v>
      </c>
      <c r="M118" s="1388">
        <f>1*167.5</f>
        <v>167.5</v>
      </c>
      <c r="N118" s="1386"/>
      <c r="R118" s="1388">
        <f>1*177.922600684757</f>
        <v>177.92260068475699</v>
      </c>
      <c r="S118" s="42" t="str">
        <f ca="1">IF(SUMIFS(S$8:S$106,$C$8:$C$106,$C118,$B$8:$B$106,$B118),SUMIFS(S$8:S$106,$C$8:$C$106,$C118,$B$8:$B$106,$B118)*'Liq Fuel Prices'!$AQ$71+'Liq Fuel Prices'!$AQ$72,"")</f>
        <v/>
      </c>
      <c r="W118" s="1380" t="str">
        <f ca="1">S118</f>
        <v/>
      </c>
      <c r="AG118" s="1380" t="str">
        <f ca="1">W118</f>
        <v/>
      </c>
    </row>
    <row r="119" spans="1:41">
      <c r="A119" s="1044" t="s">
        <v>310</v>
      </c>
      <c r="B119" s="1044" t="s">
        <v>332</v>
      </c>
      <c r="C119" s="1044" t="s">
        <v>13978</v>
      </c>
      <c r="D119" s="1044" t="s">
        <v>13979</v>
      </c>
      <c r="F119" s="164" t="s">
        <v>705</v>
      </c>
      <c r="I119" s="1376">
        <f ca="1">J119/J115</f>
        <v>0.38930121881514396</v>
      </c>
      <c r="J119" s="42">
        <f ca="1">IF(SUMIFS(J$8:J$106,$C$8:$C$106,$C119,$B$8:$B$106,$B119),J117/'Liq Fuel Prices'!$AN$9*10,"")</f>
        <v>37.832569600543579</v>
      </c>
      <c r="K119" s="42" t="str">
        <f ca="1">IF(SUMIFS(K$8:K$106,$C$8:$C$106,$C119,$B$8:$B$106,$B119),K117/'Liq Fuel Prices'!$AN$9*10,"")</f>
        <v/>
      </c>
      <c r="L119" s="42" t="str">
        <f ca="1">IF(SUMIFS(L$8:L$106,$C$8:$C$106,$C119,$B$8:$B$106,$B119),L117/'Liq Fuel Prices'!$AN$9*10,"")</f>
        <v/>
      </c>
      <c r="M119" s="42">
        <f ca="1">IF(SUMIFS(M$8:M$106,$C$8:$C$106,$C119,$B$8:$B$106,$B119),M117/'Liq Fuel Prices'!$AN$9*10,"")</f>
        <v>42.597765363128495</v>
      </c>
      <c r="N119" s="42" t="str">
        <f ca="1">IF(SUMIFS(N$8:N$106,$C$8:$C$106,$C119,$B$8:$B$106,$B119),N117/'Liq Fuel Prices'!$AN$9*10,"")</f>
        <v/>
      </c>
      <c r="O119" s="42" t="str">
        <f ca="1">IF(SUMIFS(O$8:O$106,$C$8:$C$106,$C119,$B$8:$B$106,$B119),O117/'Liq Fuel Prices'!$AN$9*10,"")</f>
        <v/>
      </c>
      <c r="P119" s="42" t="str">
        <f ca="1">IF(SUMIFS(P$8:P$106,$C$8:$C$106,$C119,$B$8:$B$106,$B119),P117/'Liq Fuel Prices'!$AN$9*10,"")</f>
        <v/>
      </c>
      <c r="Q119" s="42" t="str">
        <f ca="1">IF(SUMIFS(Q$8:Q$106,$C$8:$C$106,$C119,$B$8:$B$106,$B119),Q117/'Liq Fuel Prices'!$AN$9*10,"")</f>
        <v/>
      </c>
      <c r="R119" s="42">
        <f ca="1">IF(SUMIFS(R$8:R$106,$C$8:$C$106,$C119,$B$8:$B$106,$B119),R117/'Liq Fuel Prices'!$AN$9*10,"")</f>
        <v>46.378401218668998</v>
      </c>
      <c r="S119" s="42" t="str">
        <f ca="1">IF(SUMIFS(S$8:S$106,$C$8:$C$106,$C119,$B$8:$B$106,$B119),SUMIFS(S$8:S$106,$C$8:$C$106,$C119,$B$8:$B$106,$B119)*'Liq Fuel Prices'!$AQ$71+'Liq Fuel Prices'!$AQ$72,"")</f>
        <v/>
      </c>
      <c r="T119" s="42" t="str">
        <f ca="1">IF(SUMIFS(T$8:T$106,$C$8:$C$106,$C119,$B$8:$B$106,$B119),T117/'Liq Fuel Prices'!$AN$9*10,"")</f>
        <v/>
      </c>
      <c r="U119" s="42" t="str">
        <f ca="1">IF(SUMIFS(U$8:U$106,$C$8:$C$106,$C119,$B$8:$B$106,$B119),U117/'Liq Fuel Prices'!$AN$9*10,"")</f>
        <v/>
      </c>
      <c r="V119" s="42" t="str">
        <f ca="1">IF(SUMIFS(V$8:V$106,$C$8:$C$106,$C119,$B$8:$B$106,$B119),V117/'Liq Fuel Prices'!$AN$9*10,"")</f>
        <v/>
      </c>
      <c r="W119" s="42" t="str">
        <f ca="1">IF(SUMIFS(W$8:W$106,$C$8:$C$106,$C119,$B$8:$B$106,$B119),#REF!/'Liq Fuel Prices'!$AN$9*10,"")</f>
        <v/>
      </c>
      <c r="X119" s="42" t="str">
        <f ca="1">IF(SUMIFS(X$8:X$106,$C$8:$C$106,$C119,$B$8:$B$106,$B119),W117/'Liq Fuel Prices'!$AN$9*10,"")</f>
        <v/>
      </c>
      <c r="Y119" s="42" t="str">
        <f ca="1">IF(SUMIFS(Y$8:Y$106,$C$8:$C$106,$C119,$B$8:$B$106,$B119),Y117/'Liq Fuel Prices'!$AN$9*10,"")</f>
        <v/>
      </c>
      <c r="Z119" s="42" t="str">
        <f ca="1">IF(SUMIFS(Z$8:Z$106,$C$8:$C$106,$C119,$B$8:$B$106,$B119),Z117/'Liq Fuel Prices'!$AN$9*10,"")</f>
        <v/>
      </c>
      <c r="AA119" s="42" t="str">
        <f ca="1">IF(SUMIFS(AA$8:AA$106,$C$8:$C$106,$C119,$B$8:$B$106,$B119),AA117/'Liq Fuel Prices'!$AN$9*10,"")</f>
        <v/>
      </c>
      <c r="AB119" s="42">
        <f ca="1">IF(SUMIFS(AB$8:AB$106,$C$8:$C$106,$C119,$B$8:$B$106,$B119),AB117/'Liq Fuel Prices'!$AN$9*10,"")</f>
        <v>0</v>
      </c>
      <c r="AC119" s="42" t="str">
        <f ca="1">IF(SUMIFS(AC$8:AC$106,$C$8:$C$106,$C119,$B$8:$B$106,$B119),AC117/'Liq Fuel Prices'!$AN$9*10,"")</f>
        <v/>
      </c>
      <c r="AD119" s="42" t="str">
        <f ca="1">IF(SUMIFS(AD$8:AD$106,$C$8:$C$106,$C119,$B$8:$B$106,$B119),AD117/'Liq Fuel Prices'!$AN$9*10,"")</f>
        <v/>
      </c>
      <c r="AE119" s="42" t="str">
        <f ca="1">IF(SUMIFS(AE$8:AE$106,$C$8:$C$106,$C119,$B$8:$B$106,$B119),AE117/'Liq Fuel Prices'!$AN$9*10,"")</f>
        <v/>
      </c>
      <c r="AF119" s="42" t="str">
        <f ca="1">IF(SUMIFS(AF$8:AF$106,$C$8:$C$106,$C119,$B$8:$B$106,$B119),AF117/'Liq Fuel Prices'!$AN$9*10,"")</f>
        <v/>
      </c>
      <c r="AG119" s="42" t="str">
        <f ca="1">IF(SUMIFS(AG$8:AG$106,$C$8:$C$106,$C119,$B$8:$B$106,$B119),#REF!/'Liq Fuel Prices'!$AN$9*10,"")</f>
        <v/>
      </c>
      <c r="AH119" s="42" t="str">
        <f ca="1">IF(SUMIFS(AH$8:AH$106,$C$8:$C$106,$C119,$B$8:$B$106,$B119),AG117/'Liq Fuel Prices'!$AN$9*10,"")</f>
        <v/>
      </c>
      <c r="AI119" s="42" t="str">
        <f ca="1">IF(SUMIFS(AI$8:AI$106,$C$8:$C$106,$C119,$B$8:$B$106,$B119),AI117/'Liq Fuel Prices'!$AN$9*10,"")</f>
        <v/>
      </c>
      <c r="AJ119" s="42" t="str">
        <f ca="1">IF(SUMIFS(AJ$8:AJ$106,$C$8:$C$106,$C119,$B$8:$B$106,$B119),AJ117/'Liq Fuel Prices'!$AN$9*10,"")</f>
        <v/>
      </c>
      <c r="AK119" s="42" t="str">
        <f ca="1">IF(SUMIFS(AK$8:AK$106,$C$8:$C$106,$C119,$B$8:$B$106,$B119),AK117/'Liq Fuel Prices'!$AN$9*10,"")</f>
        <v/>
      </c>
      <c r="AL119" s="42" t="str">
        <f ca="1">IF(SUMIFS(AL$8:AL$106,$C$8:$C$106,$C119,$B$8:$B$106,$B119),AL117/'Liq Fuel Prices'!$AN$9*10,"")</f>
        <v/>
      </c>
      <c r="AM119" s="42" t="str">
        <f ca="1">IF(SUMIFS(AM$8:AM$106,$C$8:$C$106,$C119,$B$8:$B$106,$B119),AM117/'Liq Fuel Prices'!$AN$9*10,"")</f>
        <v/>
      </c>
      <c r="AN119" s="42">
        <f ca="1">IF(SUMIFS(AN$8:AN$106,$C$8:$C$106,$C119,$B$8:$B$106,$B119),AN117/'Liq Fuel Prices'!$AN$9*10,"")</f>
        <v>0</v>
      </c>
      <c r="AO119" s="42" t="str">
        <f ca="1">IF(SUMIFS(AO$8:AO$106,$C$8:$C$106,$C119,$B$8:$B$106,$B119),AO117/'Liq Fuel Prices'!$AN$9*10,"")</f>
        <v/>
      </c>
    </row>
    <row r="120" spans="1:41">
      <c r="A120" s="1044" t="s">
        <v>310</v>
      </c>
      <c r="B120" s="1044" t="s">
        <v>332</v>
      </c>
      <c r="C120" s="1044" t="s">
        <v>13978</v>
      </c>
      <c r="D120" s="1044" t="s">
        <v>13980</v>
      </c>
      <c r="F120" s="164" t="s">
        <v>705</v>
      </c>
      <c r="I120" s="1376">
        <f ca="1">J120/J116</f>
        <v>0.34201757772883529</v>
      </c>
      <c r="J120" s="42">
        <f ca="1">IF(SUMIFS(J$8:J$106,$C$8:$C$106,$C120,$B$8:$B$106,$B120),J118/'Liq Fuel Prices'!$AN$8*10,"")</f>
        <v>48.944266366709655</v>
      </c>
      <c r="K120" s="42" t="str">
        <f ca="1">IF(SUMIFS(K$8:K$106,$C$8:$C$106,$C120,$B$8:$B$106,$B120),K118/'Liq Fuel Prices'!$AN$9*10,"")</f>
        <v/>
      </c>
      <c r="L120" s="42" t="str">
        <f ca="1">IF(SUMIFS(L$8:L$106,$C$8:$C$106,$C120,$B$8:$B$106,$B120),L118/'Liq Fuel Prices'!$AN$8*10,"")</f>
        <v/>
      </c>
      <c r="M120" s="42">
        <f ca="1">IF(SUMIFS(M$8:M$106,$C$8:$C$106,$C120,$B$8:$B$106,$B120),M118/'Liq Fuel Prices'!$AN$8*10,"")</f>
        <v>52.180685358255445</v>
      </c>
      <c r="N120" s="42" t="str">
        <f ca="1">IF(SUMIFS(N$8:N$106,$C$8:$C$106,$C120,$B$8:$B$106,$B120),N118/'Liq Fuel Prices'!$AN$8*10,"")</f>
        <v/>
      </c>
      <c r="O120" s="42" t="str">
        <f ca="1">IF(SUMIFS(O$8:O$106,$C$8:$C$106,$C120,$B$8:$B$106,$B120),O118/'Liq Fuel Prices'!$AN$8*10,"")</f>
        <v/>
      </c>
      <c r="P120" s="42" t="str">
        <f ca="1">IF(SUMIFS(P$8:P$106,$C$8:$C$106,$C120,$B$8:$B$106,$B120),P118/'Liq Fuel Prices'!$AN$8*10,"")</f>
        <v/>
      </c>
      <c r="Q120" s="42" t="str">
        <f ca="1">IF(SUMIFS(Q$8:Q$106,$C$8:$C$106,$C120,$B$8:$B$106,$B120),Q118/'Liq Fuel Prices'!$AN$8*10,"")</f>
        <v/>
      </c>
      <c r="R120" s="42">
        <f ca="1">IF(SUMIFS(R$8:R$106,$C$8:$C$106,$C120,$B$8:$B$106,$B120),R118/'Liq Fuel Prices'!$AN$8*10,"")</f>
        <v>55.427601459425844</v>
      </c>
      <c r="S120" s="42" t="str">
        <f ca="1">IF(SUMIFS(S$8:S$106,$C$8:$C$106,$C120,$B$8:$B$106,$B120),S118/'Liq Fuel Prices'!$AN$8*10,"")</f>
        <v/>
      </c>
      <c r="T120" s="42" t="str">
        <f ca="1">IF(SUMIFS(T$8:T$106,$C$8:$C$106,$C120,$B$8:$B$106,$B120),T118/'Liq Fuel Prices'!$AN$8*10,"")</f>
        <v/>
      </c>
      <c r="U120" s="42" t="str">
        <f ca="1">IF(SUMIFS(U$8:U$106,$C$8:$C$106,$C120,$B$8:$B$106,$B120),U118/'Liq Fuel Prices'!$AN$8*10,"")</f>
        <v/>
      </c>
      <c r="V120" s="42" t="str">
        <f ca="1">IF(SUMIFS(V$8:V$106,$C$8:$C$106,$C120,$B$8:$B$106,$B120),V118/'Liq Fuel Prices'!$AN$8*10,"")</f>
        <v/>
      </c>
      <c r="W120" s="42" t="str">
        <f ca="1">IF(SUMIFS(W$8:W$106,$C$8:$C$106,$C120,$B$8:$B$106,$B120),#REF!/'Liq Fuel Prices'!$AN$8*10,"")</f>
        <v/>
      </c>
      <c r="X120" s="42" t="str">
        <f ca="1">IF(SUMIFS(X$8:X$106,$C$8:$C$106,$C120,$B$8:$B$106,$B120),W118/'Liq Fuel Prices'!$AN$8*10,"")</f>
        <v/>
      </c>
      <c r="Y120" s="42" t="str">
        <f ca="1">IF(SUMIFS(Y$8:Y$106,$C$8:$C$106,$C120,$B$8:$B$106,$B120),Y118/'Liq Fuel Prices'!$AN$8*10,"")</f>
        <v/>
      </c>
      <c r="Z120" s="42" t="str">
        <f ca="1">IF(SUMIFS(Z$8:Z$106,$C$8:$C$106,$C120,$B$8:$B$106,$B120),Z118/'Liq Fuel Prices'!$AN$8*10,"")</f>
        <v/>
      </c>
      <c r="AA120" s="42" t="str">
        <f ca="1">IF(SUMIFS(AA$8:AA$106,$C$8:$C$106,$C120,$B$8:$B$106,$B120),AA118/'Liq Fuel Prices'!$AN$8*10,"")</f>
        <v/>
      </c>
      <c r="AB120" s="42">
        <f ca="1">IF(SUMIFS(AB$8:AB$106,$C$8:$C$106,$C120,$B$8:$B$106,$B120),AB118/'Liq Fuel Prices'!$AN$8*10,"")</f>
        <v>0</v>
      </c>
      <c r="AC120" s="42" t="str">
        <f ca="1">IF(SUMIFS(AC$8:AC$106,$C$8:$C$106,$C120,$B$8:$B$106,$B120),AC118/'Liq Fuel Prices'!$AN$8*10,"")</f>
        <v/>
      </c>
      <c r="AD120" s="42" t="str">
        <f ca="1">IF(SUMIFS(AD$8:AD$106,$C$8:$C$106,$C120,$B$8:$B$106,$B120),AD118/'Liq Fuel Prices'!$AN$8*10,"")</f>
        <v/>
      </c>
      <c r="AE120" s="42" t="str">
        <f ca="1">IF(SUMIFS(AE$8:AE$106,$C$8:$C$106,$C120,$B$8:$B$106,$B120),AE118/'Liq Fuel Prices'!$AN$8*10,"")</f>
        <v/>
      </c>
      <c r="AF120" s="42" t="str">
        <f ca="1">IF(SUMIFS(AF$8:AF$106,$C$8:$C$106,$C120,$B$8:$B$106,$B120),AF118/'Liq Fuel Prices'!$AN$8*10,"")</f>
        <v/>
      </c>
      <c r="AG120" s="42" t="str">
        <f ca="1">IF(SUMIFS(AG$8:AG$106,$C$8:$C$106,$C120,$B$8:$B$106,$B120),#REF!/'Liq Fuel Prices'!$AN$8*10,"")</f>
        <v/>
      </c>
      <c r="AH120" s="42" t="str">
        <f ca="1">IF(SUMIFS(AH$8:AH$106,$C$8:$C$106,$C120,$B$8:$B$106,$B120),AG118/'Liq Fuel Prices'!$AN$8*10,"")</f>
        <v/>
      </c>
      <c r="AI120" s="42" t="str">
        <f ca="1">IF(SUMIFS(AI$8:AI$106,$C$8:$C$106,$C120,$B$8:$B$106,$B120),AI118/'Liq Fuel Prices'!$AN$8*10,"")</f>
        <v/>
      </c>
      <c r="AJ120" s="42" t="str">
        <f ca="1">IF(SUMIFS(AJ$8:AJ$106,$C$8:$C$106,$C120,$B$8:$B$106,$B120),AJ118/'Liq Fuel Prices'!$AN$8*10,"")</f>
        <v/>
      </c>
      <c r="AK120" s="42" t="str">
        <f ca="1">IF(SUMIFS(AK$8:AK$106,$C$8:$C$106,$C120,$B$8:$B$106,$B120),AK118/'Liq Fuel Prices'!$AN$8*10,"")</f>
        <v/>
      </c>
      <c r="AL120" s="42" t="str">
        <f ca="1">IF(SUMIFS(AL$8:AL$106,$C$8:$C$106,$C120,$B$8:$B$106,$B120),AL118/'Liq Fuel Prices'!$AN$8*10,"")</f>
        <v/>
      </c>
      <c r="AM120" s="42" t="str">
        <f ca="1">IF(SUMIFS(AM$8:AM$106,$C$8:$C$106,$C120,$B$8:$B$106,$B120),AM118/'Liq Fuel Prices'!$AN$8*10,"")</f>
        <v/>
      </c>
      <c r="AN120" s="42">
        <f ca="1">IF(SUMIFS(AN$8:AN$106,$C$8:$C$106,$C120,$B$8:$B$106,$B120),AN118/'Liq Fuel Prices'!$AN$8*10,"")</f>
        <v>0</v>
      </c>
      <c r="AO120" s="42" t="str">
        <f ca="1">IF(SUMIFS(AO$8:AO$106,$C$8:$C$106,$C120,$B$8:$B$106,$B120),AO118/'Liq Fuel Prices'!$AN$8*10,"")</f>
        <v/>
      </c>
    </row>
    <row r="122" spans="1:41">
      <c r="A122" s="1044" t="s">
        <v>310</v>
      </c>
      <c r="D122" s="1044" t="s">
        <v>13981</v>
      </c>
      <c r="I122" s="1376">
        <f>50%</f>
        <v>0.5</v>
      </c>
      <c r="J122" s="42">
        <f t="shared" ref="J122:AO122" ca="1" si="13">IFERROR((1-$I122)*J119,"")</f>
        <v>18.916284800271789</v>
      </c>
      <c r="K122" s="42" t="str">
        <f t="shared" ca="1" si="13"/>
        <v/>
      </c>
      <c r="L122" s="42" t="str">
        <f t="shared" ca="1" si="13"/>
        <v/>
      </c>
      <c r="M122" s="42">
        <f t="shared" ca="1" si="13"/>
        <v>21.298882681564248</v>
      </c>
      <c r="N122" s="42" t="str">
        <f t="shared" ca="1" si="13"/>
        <v/>
      </c>
      <c r="O122" s="42" t="str">
        <f t="shared" ca="1" si="13"/>
        <v/>
      </c>
      <c r="P122" s="42" t="str">
        <f t="shared" ca="1" si="13"/>
        <v/>
      </c>
      <c r="Q122" s="42" t="str">
        <f t="shared" ca="1" si="13"/>
        <v/>
      </c>
      <c r="R122" s="42">
        <f t="shared" ca="1" si="13"/>
        <v>23.189200609334499</v>
      </c>
      <c r="S122" s="42" t="str">
        <f t="shared" ca="1" si="13"/>
        <v/>
      </c>
      <c r="T122" s="42" t="str">
        <f t="shared" ca="1" si="13"/>
        <v/>
      </c>
      <c r="U122" s="42" t="str">
        <f t="shared" ca="1" si="13"/>
        <v/>
      </c>
      <c r="V122" s="42" t="str">
        <f t="shared" ca="1" si="13"/>
        <v/>
      </c>
      <c r="W122" s="42" t="str">
        <f t="shared" ca="1" si="13"/>
        <v/>
      </c>
      <c r="X122" s="42" t="str">
        <f t="shared" ca="1" si="13"/>
        <v/>
      </c>
      <c r="Y122" s="42" t="str">
        <f t="shared" ca="1" si="13"/>
        <v/>
      </c>
      <c r="Z122" s="42" t="str">
        <f t="shared" ca="1" si="13"/>
        <v/>
      </c>
      <c r="AA122" s="42" t="str">
        <f t="shared" ca="1" si="13"/>
        <v/>
      </c>
      <c r="AB122" s="42">
        <f t="shared" ca="1" si="13"/>
        <v>0</v>
      </c>
      <c r="AC122" s="42" t="str">
        <f t="shared" ca="1" si="13"/>
        <v/>
      </c>
      <c r="AD122" s="42" t="str">
        <f t="shared" ca="1" si="13"/>
        <v/>
      </c>
      <c r="AE122" s="42" t="str">
        <f t="shared" ca="1" si="13"/>
        <v/>
      </c>
      <c r="AF122" s="42" t="str">
        <f t="shared" ca="1" si="13"/>
        <v/>
      </c>
      <c r="AG122" s="42" t="str">
        <f t="shared" ca="1" si="13"/>
        <v/>
      </c>
      <c r="AH122" s="42" t="str">
        <f t="shared" ca="1" si="13"/>
        <v/>
      </c>
      <c r="AI122" s="42" t="str">
        <f t="shared" ca="1" si="13"/>
        <v/>
      </c>
      <c r="AJ122" s="42" t="str">
        <f t="shared" ca="1" si="13"/>
        <v/>
      </c>
      <c r="AK122" s="42" t="str">
        <f t="shared" ca="1" si="13"/>
        <v/>
      </c>
      <c r="AL122" s="42" t="str">
        <f t="shared" ca="1" si="13"/>
        <v/>
      </c>
      <c r="AM122" s="42" t="str">
        <f t="shared" ca="1" si="13"/>
        <v/>
      </c>
      <c r="AN122" s="42">
        <f t="shared" ca="1" si="13"/>
        <v>0</v>
      </c>
      <c r="AO122" s="42" t="str">
        <f t="shared" ca="1" si="13"/>
        <v/>
      </c>
    </row>
    <row r="123" spans="1:41">
      <c r="A123" s="1044" t="s">
        <v>310</v>
      </c>
      <c r="D123" s="1044" t="s">
        <v>13982</v>
      </c>
      <c r="I123" s="1376">
        <f>100%</f>
        <v>1</v>
      </c>
      <c r="J123" s="42">
        <f t="shared" ref="J123:AO123" ca="1" si="14">IFERROR((1-$I123)*J120,"")</f>
        <v>0</v>
      </c>
      <c r="K123" s="42" t="str">
        <f t="shared" ca="1" si="14"/>
        <v/>
      </c>
      <c r="L123" s="42" t="str">
        <f t="shared" ca="1" si="14"/>
        <v/>
      </c>
      <c r="M123" s="42">
        <f t="shared" ca="1" si="14"/>
        <v>0</v>
      </c>
      <c r="N123" s="42" t="str">
        <f t="shared" ca="1" si="14"/>
        <v/>
      </c>
      <c r="O123" s="42" t="str">
        <f t="shared" ca="1" si="14"/>
        <v/>
      </c>
      <c r="P123" s="42" t="str">
        <f t="shared" ca="1" si="14"/>
        <v/>
      </c>
      <c r="Q123" s="42" t="str">
        <f t="shared" ca="1" si="14"/>
        <v/>
      </c>
      <c r="R123" s="42">
        <f t="shared" ca="1" si="14"/>
        <v>0</v>
      </c>
      <c r="S123" s="42" t="str">
        <f t="shared" ca="1" si="14"/>
        <v/>
      </c>
      <c r="T123" s="42" t="str">
        <f t="shared" ca="1" si="14"/>
        <v/>
      </c>
      <c r="U123" s="42" t="str">
        <f t="shared" ca="1" si="14"/>
        <v/>
      </c>
      <c r="V123" s="42" t="str">
        <f t="shared" ca="1" si="14"/>
        <v/>
      </c>
      <c r="W123" s="42" t="str">
        <f t="shared" ca="1" si="14"/>
        <v/>
      </c>
      <c r="X123" s="42" t="str">
        <f t="shared" ca="1" si="14"/>
        <v/>
      </c>
      <c r="Y123" s="42" t="str">
        <f t="shared" ca="1" si="14"/>
        <v/>
      </c>
      <c r="Z123" s="42" t="str">
        <f t="shared" ca="1" si="14"/>
        <v/>
      </c>
      <c r="AA123" s="42" t="str">
        <f t="shared" ca="1" si="14"/>
        <v/>
      </c>
      <c r="AB123" s="42">
        <f t="shared" ca="1" si="14"/>
        <v>0</v>
      </c>
      <c r="AC123" s="42" t="str">
        <f t="shared" ca="1" si="14"/>
        <v/>
      </c>
      <c r="AD123" s="42" t="str">
        <f t="shared" ca="1" si="14"/>
        <v/>
      </c>
      <c r="AE123" s="42" t="str">
        <f t="shared" ca="1" si="14"/>
        <v/>
      </c>
      <c r="AF123" s="42" t="str">
        <f t="shared" ca="1" si="14"/>
        <v/>
      </c>
      <c r="AG123" s="42" t="str">
        <f t="shared" ca="1" si="14"/>
        <v/>
      </c>
      <c r="AH123" s="42" t="str">
        <f t="shared" ca="1" si="14"/>
        <v/>
      </c>
      <c r="AI123" s="42" t="str">
        <f t="shared" ca="1" si="14"/>
        <v/>
      </c>
      <c r="AJ123" s="42" t="str">
        <f t="shared" ca="1" si="14"/>
        <v/>
      </c>
      <c r="AK123" s="42" t="str">
        <f t="shared" ca="1" si="14"/>
        <v/>
      </c>
      <c r="AL123" s="42" t="str">
        <f t="shared" ca="1" si="14"/>
        <v/>
      </c>
      <c r="AM123" s="42" t="str">
        <f t="shared" ca="1" si="14"/>
        <v/>
      </c>
      <c r="AN123" s="42">
        <f t="shared" ca="1" si="14"/>
        <v>0</v>
      </c>
      <c r="AO123" s="42" t="str">
        <f t="shared" ca="1" si="14"/>
        <v/>
      </c>
    </row>
    <row r="124" spans="1:41">
      <c r="A124" s="42" t="s">
        <v>310</v>
      </c>
    </row>
    <row r="125" spans="1:41">
      <c r="A125" s="42" t="s">
        <v>310</v>
      </c>
      <c r="F125" s="1383"/>
    </row>
    <row r="126" spans="1:41">
      <c r="A126" s="42" t="s">
        <v>310</v>
      </c>
    </row>
    <row r="127" spans="1:41">
      <c r="Y127" s="1771"/>
      <c r="Z127" s="1771"/>
      <c r="AA127" s="1771"/>
      <c r="AB127" s="1771"/>
      <c r="AC127" s="1771"/>
    </row>
  </sheetData>
  <pageMargins left="0.75" right="0.75" top="1" bottom="1" header="0.5" footer="0.5"/>
  <pageSetup paperSize="9" orientation="portrait" horizontalDpi="4294967292" verticalDpi="4294967292" r:id="rId1"/>
  <headerFooter alignWithMargins="0"/>
  <drawing r:id="rId2"/>
  <legacyDrawing r:id="rId3"/>
  <controls>
    <mc:AlternateContent xmlns:mc="http://schemas.openxmlformats.org/markup-compatibility/2006">
      <mc:Choice Requires="x14">
        <control shapeId="5121" r:id="rId4" name="cmdCheckTSandTIDDataSheet">
          <controlPr defaultSize="0" autoLine="0" r:id="rId5">
            <anchor moveWithCells="1">
              <from>
                <xdr:col>0</xdr:col>
                <xdr:colOff>0</xdr:colOff>
                <xdr:row>2</xdr:row>
                <xdr:rowOff>0</xdr:rowOff>
              </from>
              <to>
                <xdr:col>1</xdr:col>
                <xdr:colOff>0</xdr:colOff>
                <xdr:row>3</xdr:row>
                <xdr:rowOff>47625</xdr:rowOff>
              </to>
            </anchor>
          </controlPr>
        </control>
      </mc:Choice>
      <mc:Fallback>
        <control shapeId="5121" r:id="rId4" name="cmdCheckTSandTIDDataSheet"/>
      </mc:Fallback>
    </mc:AlternateContent>
    <mc:AlternateContent xmlns:mc="http://schemas.openxmlformats.org/markup-compatibility/2006">
      <mc:Choice Requires="x14">
        <control shapeId="5122" r:id="rId6" name="cmdSpecifyParameter">
          <controlPr defaultSize="0" autoLine="0" r:id="rId7">
            <anchor moveWithCells="1">
              <from>
                <xdr:col>1</xdr:col>
                <xdr:colOff>0</xdr:colOff>
                <xdr:row>3</xdr:row>
                <xdr:rowOff>0</xdr:rowOff>
              </from>
              <to>
                <xdr:col>2</xdr:col>
                <xdr:colOff>19050</xdr:colOff>
                <xdr:row>4</xdr:row>
                <xdr:rowOff>104775</xdr:rowOff>
              </to>
            </anchor>
          </controlPr>
        </control>
      </mc:Choice>
      <mc:Fallback>
        <control shapeId="5122" r:id="rId6" name="cmdSpecifyParameter"/>
      </mc:Fallback>
    </mc:AlternateContent>
    <mc:AlternateContent xmlns:mc="http://schemas.openxmlformats.org/markup-compatibility/2006">
      <mc:Choice Requires="x14">
        <control shapeId="5123" r:id="rId8" name="cmdSpecifyArg1">
          <controlPr defaultSize="0" autoLine="0" r:id="rId9">
            <anchor moveWithCells="1">
              <from>
                <xdr:col>2</xdr:col>
                <xdr:colOff>0</xdr:colOff>
                <xdr:row>3</xdr:row>
                <xdr:rowOff>0</xdr:rowOff>
              </from>
              <to>
                <xdr:col>2</xdr:col>
                <xdr:colOff>619125</xdr:colOff>
                <xdr:row>4</xdr:row>
                <xdr:rowOff>104775</xdr:rowOff>
              </to>
            </anchor>
          </controlPr>
        </control>
      </mc:Choice>
      <mc:Fallback>
        <control shapeId="5123" r:id="rId8" name="cmdSpecifyArg1"/>
      </mc:Fallback>
    </mc:AlternateContent>
    <mc:AlternateContent xmlns:mc="http://schemas.openxmlformats.org/markup-compatibility/2006">
      <mc:Choice Requires="x14">
        <control shapeId="5124" r:id="rId10" name="cmdSpecifyArg2">
          <controlPr defaultSize="0" autoLine="0" r:id="rId11">
            <anchor moveWithCells="1">
              <from>
                <xdr:col>3</xdr:col>
                <xdr:colOff>0</xdr:colOff>
                <xdr:row>3</xdr:row>
                <xdr:rowOff>0</xdr:rowOff>
              </from>
              <to>
                <xdr:col>3</xdr:col>
                <xdr:colOff>619125</xdr:colOff>
                <xdr:row>4</xdr:row>
                <xdr:rowOff>104775</xdr:rowOff>
              </to>
            </anchor>
          </controlPr>
        </control>
      </mc:Choice>
      <mc:Fallback>
        <control shapeId="5124" r:id="rId10" name="cmdSpecifyArg2"/>
      </mc:Fallback>
    </mc:AlternateContent>
    <mc:AlternateContent xmlns:mc="http://schemas.openxmlformats.org/markup-compatibility/2006">
      <mc:Choice Requires="x14">
        <control shapeId="5125" r:id="rId12" name="cmdSpecifyArg3">
          <controlPr defaultSize="0" autoLine="0" autoPict="0" r:id="rId13">
            <anchor moveWithCells="1">
              <from>
                <xdr:col>4</xdr:col>
                <xdr:colOff>0</xdr:colOff>
                <xdr:row>3</xdr:row>
                <xdr:rowOff>0</xdr:rowOff>
              </from>
              <to>
                <xdr:col>5</xdr:col>
                <xdr:colOff>19050</xdr:colOff>
                <xdr:row>4</xdr:row>
                <xdr:rowOff>95250</xdr:rowOff>
              </to>
            </anchor>
          </controlPr>
        </control>
      </mc:Choice>
      <mc:Fallback>
        <control shapeId="5125" r:id="rId12" name="cmdSpecifyArg3"/>
      </mc:Fallback>
    </mc:AlternateContent>
    <mc:AlternateContent xmlns:mc="http://schemas.openxmlformats.org/markup-compatibility/2006">
      <mc:Choice Requires="x14">
        <control shapeId="5126" r:id="rId14" name="cmdSpecifyArg4">
          <controlPr defaultSize="0" autoLine="0" autoPict="0" r:id="rId15">
            <anchor moveWithCells="1">
              <from>
                <xdr:col>5</xdr:col>
                <xdr:colOff>0</xdr:colOff>
                <xdr:row>3</xdr:row>
                <xdr:rowOff>0</xdr:rowOff>
              </from>
              <to>
                <xdr:col>6</xdr:col>
                <xdr:colOff>19050</xdr:colOff>
                <xdr:row>4</xdr:row>
                <xdr:rowOff>95250</xdr:rowOff>
              </to>
            </anchor>
          </controlPr>
        </control>
      </mc:Choice>
      <mc:Fallback>
        <control shapeId="5126" r:id="rId14" name="cmdSpecifyArg4"/>
      </mc:Fallback>
    </mc:AlternateContent>
    <mc:AlternateContent xmlns:mc="http://schemas.openxmlformats.org/markup-compatibility/2006">
      <mc:Choice Requires="x14">
        <control shapeId="5127" r:id="rId16" name="cmdSpecifyArg5">
          <controlPr defaultSize="0" autoLine="0" autoPict="0" r:id="rId17">
            <anchor moveWithCells="1">
              <from>
                <xdr:col>6</xdr:col>
                <xdr:colOff>0</xdr:colOff>
                <xdr:row>3</xdr:row>
                <xdr:rowOff>0</xdr:rowOff>
              </from>
              <to>
                <xdr:col>7</xdr:col>
                <xdr:colOff>19050</xdr:colOff>
                <xdr:row>4</xdr:row>
                <xdr:rowOff>95250</xdr:rowOff>
              </to>
            </anchor>
          </controlPr>
        </control>
      </mc:Choice>
      <mc:Fallback>
        <control shapeId="5127" r:id="rId16" name="cmdSpecifyArg5"/>
      </mc:Fallback>
    </mc:AlternateContent>
    <mc:AlternateContent xmlns:mc="http://schemas.openxmlformats.org/markup-compatibility/2006">
      <mc:Choice Requires="x14">
        <control shapeId="5128" r:id="rId18" name="cmdSpecifyArg6">
          <controlPr defaultSize="0" autoLine="0" autoPict="0" r:id="rId19">
            <anchor moveWithCells="1">
              <from>
                <xdr:col>7</xdr:col>
                <xdr:colOff>0</xdr:colOff>
                <xdr:row>3</xdr:row>
                <xdr:rowOff>0</xdr:rowOff>
              </from>
              <to>
                <xdr:col>8</xdr:col>
                <xdr:colOff>19050</xdr:colOff>
                <xdr:row>4</xdr:row>
                <xdr:rowOff>95250</xdr:rowOff>
              </to>
            </anchor>
          </controlPr>
        </control>
      </mc:Choice>
      <mc:Fallback>
        <control shapeId="5128" r:id="rId18" name="cmdSpecifyArg6"/>
      </mc:Fallback>
    </mc:AlternateContent>
    <mc:AlternateContent xmlns:mc="http://schemas.openxmlformats.org/markup-compatibility/2006">
      <mc:Choice Requires="x14">
        <control shapeId="5129" r:id="rId20" name="cmdSpecifyIEOptcode">
          <controlPr defaultSize="0" autoLine="0" r:id="rId21">
            <anchor moveWithCells="1">
              <from>
                <xdr:col>8</xdr:col>
                <xdr:colOff>57150</xdr:colOff>
                <xdr:row>3</xdr:row>
                <xdr:rowOff>0</xdr:rowOff>
              </from>
              <to>
                <xdr:col>8</xdr:col>
                <xdr:colOff>476250</xdr:colOff>
                <xdr:row>4</xdr:row>
                <xdr:rowOff>104775</xdr:rowOff>
              </to>
            </anchor>
          </controlPr>
        </control>
      </mc:Choice>
      <mc:Fallback>
        <control shapeId="5129" r:id="rId20" name="cmdSpecifyIEOptcode"/>
      </mc:Fallback>
    </mc:AlternateContent>
  </control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1">
    <tabColor theme="9" tint="-0.249977111117893"/>
  </sheetPr>
  <dimension ref="A1:AT23"/>
  <sheetViews>
    <sheetView workbookViewId="0"/>
  </sheetViews>
  <sheetFormatPr defaultColWidth="11.42578125" defaultRowHeight="11.25"/>
  <cols>
    <col min="1" max="1" width="12.28515625" style="42" customWidth="1"/>
    <col min="2" max="2" width="12" style="42" customWidth="1"/>
    <col min="3" max="3" width="11.28515625" style="42" customWidth="1"/>
    <col min="4" max="8" width="11.42578125" style="42" customWidth="1"/>
    <col min="9" max="9" width="7.42578125" style="164" customWidth="1"/>
    <col min="10" max="10" width="5.42578125" style="42" customWidth="1"/>
    <col min="11" max="53" width="6.28515625" style="42" customWidth="1"/>
    <col min="54" max="16384" width="11.42578125" style="42"/>
  </cols>
  <sheetData>
    <row r="1" spans="1:46">
      <c r="A1" s="41" t="str">
        <f>IF(Index!B5=1,"","TS DATA")</f>
        <v>TS DATA</v>
      </c>
      <c r="B1" s="42" t="s">
        <v>308</v>
      </c>
      <c r="AR1" s="42" t="s">
        <v>310</v>
      </c>
      <c r="AS1" s="42" t="s">
        <v>310</v>
      </c>
      <c r="AT1" s="42" t="s">
        <v>310</v>
      </c>
    </row>
    <row r="2" spans="1:46">
      <c r="A2" s="42" t="s">
        <v>310</v>
      </c>
      <c r="AR2" s="42" t="s">
        <v>320</v>
      </c>
      <c r="AS2" s="42" t="s">
        <v>321</v>
      </c>
      <c r="AT2" s="42" t="s">
        <v>322</v>
      </c>
    </row>
    <row r="3" spans="1:46" ht="15" customHeight="1">
      <c r="A3" s="42" t="s">
        <v>310</v>
      </c>
    </row>
    <row r="4" spans="1:46">
      <c r="A4" s="42" t="s">
        <v>310</v>
      </c>
    </row>
    <row r="5" spans="1:46">
      <c r="A5" s="42" t="s">
        <v>310</v>
      </c>
    </row>
    <row r="6" spans="1:46">
      <c r="A6" s="42" t="s">
        <v>310</v>
      </c>
    </row>
    <row r="7" spans="1:46" ht="22.5" customHeight="1">
      <c r="A7" s="42" t="s">
        <v>310</v>
      </c>
      <c r="B7" s="41" t="s">
        <v>323</v>
      </c>
      <c r="C7" s="41" t="s">
        <v>324</v>
      </c>
      <c r="D7" s="41" t="s">
        <v>325</v>
      </c>
      <c r="E7" s="41" t="s">
        <v>326</v>
      </c>
      <c r="F7" s="41" t="s">
        <v>327</v>
      </c>
      <c r="G7" s="41" t="s">
        <v>328</v>
      </c>
      <c r="H7" s="41" t="s">
        <v>329</v>
      </c>
      <c r="I7" s="165">
        <v>0</v>
      </c>
      <c r="J7" s="560">
        <v>2012</v>
      </c>
      <c r="K7" s="560">
        <v>2013</v>
      </c>
      <c r="L7" s="560">
        <v>2014</v>
      </c>
      <c r="M7" s="560">
        <v>2015</v>
      </c>
      <c r="N7" s="560">
        <v>2016</v>
      </c>
      <c r="O7" s="560">
        <v>2017</v>
      </c>
      <c r="P7" s="560">
        <v>2018</v>
      </c>
      <c r="Q7" s="560">
        <v>2019</v>
      </c>
      <c r="R7" s="560">
        <v>2020</v>
      </c>
      <c r="S7" s="560">
        <v>2021</v>
      </c>
      <c r="T7" s="560">
        <v>2022</v>
      </c>
      <c r="U7" s="560">
        <v>2023</v>
      </c>
      <c r="V7" s="560">
        <v>2024</v>
      </c>
      <c r="W7" s="560">
        <v>2025</v>
      </c>
      <c r="X7" s="560">
        <v>2026</v>
      </c>
      <c r="Y7" s="560">
        <v>2027</v>
      </c>
      <c r="Z7" s="560">
        <v>2028</v>
      </c>
      <c r="AA7" s="560">
        <v>2029</v>
      </c>
      <c r="AB7" s="560">
        <v>2030</v>
      </c>
      <c r="AC7" s="560">
        <v>2031</v>
      </c>
      <c r="AD7" s="560">
        <v>2032</v>
      </c>
      <c r="AE7" s="560">
        <v>2033</v>
      </c>
      <c r="AF7" s="560">
        <v>2034</v>
      </c>
      <c r="AG7" s="560">
        <v>2035</v>
      </c>
      <c r="AH7" s="560">
        <v>2036</v>
      </c>
      <c r="AI7" s="560">
        <v>2037</v>
      </c>
      <c r="AJ7" s="560">
        <v>2038</v>
      </c>
      <c r="AK7" s="560">
        <v>2039</v>
      </c>
      <c r="AL7" s="560">
        <v>2040</v>
      </c>
      <c r="AM7" s="560">
        <v>2045</v>
      </c>
      <c r="AN7" s="560">
        <v>2050</v>
      </c>
      <c r="AO7" s="560">
        <v>2060</v>
      </c>
    </row>
    <row r="8" spans="1:46">
      <c r="A8" s="42" t="s">
        <v>310</v>
      </c>
      <c r="B8" s="41"/>
      <c r="C8" s="41"/>
      <c r="D8" s="41"/>
      <c r="E8" s="41"/>
      <c r="F8" s="41"/>
      <c r="G8" s="41"/>
      <c r="H8" s="41"/>
      <c r="I8" s="165"/>
    </row>
    <row r="9" spans="1:46">
      <c r="A9" s="42" t="s">
        <v>310</v>
      </c>
      <c r="B9" s="164">
        <v>1</v>
      </c>
      <c r="C9" s="164">
        <f>B9+1</f>
        <v>2</v>
      </c>
      <c r="D9" s="164">
        <f t="shared" ref="D9:J9" si="0">C9+1</f>
        <v>3</v>
      </c>
      <c r="E9" s="164">
        <f t="shared" si="0"/>
        <v>4</v>
      </c>
      <c r="F9" s="164">
        <f t="shared" si="0"/>
        <v>5</v>
      </c>
      <c r="G9" s="164">
        <f t="shared" si="0"/>
        <v>6</v>
      </c>
      <c r="H9" s="164">
        <f t="shared" si="0"/>
        <v>7</v>
      </c>
      <c r="I9" s="164">
        <f t="shared" si="0"/>
        <v>8</v>
      </c>
      <c r="J9" s="164">
        <f t="shared" si="0"/>
        <v>9</v>
      </c>
      <c r="K9" s="164"/>
    </row>
    <row r="10" spans="1:46">
      <c r="A10" s="42" t="s">
        <v>331</v>
      </c>
      <c r="B10" s="438" t="s">
        <v>332</v>
      </c>
      <c r="C10" s="438" t="s">
        <v>333</v>
      </c>
      <c r="D10" s="438" t="s">
        <v>334</v>
      </c>
      <c r="E10" s="438" t="s">
        <v>334</v>
      </c>
      <c r="F10" s="438" t="s">
        <v>334</v>
      </c>
      <c r="G10" s="438" t="s">
        <v>334</v>
      </c>
      <c r="H10" s="438" t="s">
        <v>334</v>
      </c>
      <c r="I10" s="439"/>
      <c r="AT10" s="42">
        <f>SUP!F57</f>
        <v>4</v>
      </c>
    </row>
    <row r="11" spans="1:46">
      <c r="A11" s="42" t="s">
        <v>335</v>
      </c>
      <c r="B11" s="438" t="s">
        <v>336</v>
      </c>
      <c r="C11" s="438" t="s">
        <v>333</v>
      </c>
      <c r="D11" s="438" t="s">
        <v>334</v>
      </c>
      <c r="E11" s="438" t="s">
        <v>334</v>
      </c>
      <c r="F11" s="438" t="s">
        <v>334</v>
      </c>
      <c r="G11" s="438" t="s">
        <v>337</v>
      </c>
      <c r="H11" s="438" t="s">
        <v>338</v>
      </c>
      <c r="I11" s="439"/>
      <c r="AT11" s="42">
        <f>SUP!M57</f>
        <v>11</v>
      </c>
    </row>
    <row r="12" spans="1:46">
      <c r="A12" s="42" t="s">
        <v>310</v>
      </c>
      <c r="B12" s="438"/>
      <c r="C12" s="438"/>
      <c r="D12" s="438"/>
      <c r="E12" s="438"/>
      <c r="F12" s="438"/>
      <c r="G12" s="438"/>
      <c r="H12" s="438"/>
      <c r="I12" s="439"/>
    </row>
    <row r="13" spans="1:46">
      <c r="A13" s="42" t="str">
        <f ca="1">IF(LEFT(OFFSET(SUP!$A$57,AS13,0),2)="\I","*","")</f>
        <v>*</v>
      </c>
      <c r="B13" s="440" t="str">
        <f t="shared" ref="B13:B23" ca="1" si="1">IF(A13="*","",VLOOKUP("*"&amp;AR13,$A$9:$B$11,2,FALSE))</f>
        <v/>
      </c>
      <c r="C13" s="440" t="str">
        <f ca="1">IF($A13="*","",OFFSET(SUP!$B$57,AS13,0))</f>
        <v/>
      </c>
      <c r="D13" s="440" t="str">
        <f t="shared" ref="D13:G23" ca="1" si="2">IF($A13="*","",VLOOKUP($B13,$B$10:$I$11,D$9,FALSE))</f>
        <v/>
      </c>
      <c r="E13" s="440" t="str">
        <f t="shared" ca="1" si="2"/>
        <v/>
      </c>
      <c r="F13" s="440" t="str">
        <f t="shared" ca="1" si="2"/>
        <v/>
      </c>
      <c r="G13" s="440" t="str">
        <f t="shared" ca="1" si="2"/>
        <v/>
      </c>
      <c r="H13" s="440" t="str">
        <f ca="1">IF($A13="*","",IF(AND(B13="ACT_BND",LEFT(C13,3)="PEX"),"FX",VLOOKUP($B13,$B$10:$I$11,H$9,FALSE)))</f>
        <v/>
      </c>
      <c r="I13" s="441" t="str">
        <f ca="1">IF(IFERROR(VLOOKUP($C13,SUP!$B$54:$Q$104,MATCH($B13&amp;"-"&amp;I$7,SUP!$B$54:$Q$54,0),FALSE),"")="","",IFERROR(VLOOKUP($C13,SUP!$B$54:$Q$104,MATCH($B13&amp;"-"&amp;I$7,SUP!$B$54:$Q$54,0),FALSE),""))</f>
        <v/>
      </c>
      <c r="J13" s="441" t="str">
        <f ca="1">IF(IFERROR(VLOOKUP($C13,SUP!$B$54:$Q$104,MATCH($B13&amp;"-"&amp;J$7,SUP!$B$54:$Q$54,0),FALSE),"")="","",IFERROR(VLOOKUP($C13,SUP!$B$54:$Q$104,MATCH($B13&amp;"-"&amp;J$7,SUP!$B$54:$Q$54,0),FALSE),""))</f>
        <v/>
      </c>
      <c r="K13" s="441" t="str">
        <f ca="1">IF(IFERROR(VLOOKUP($C13,SUP!$B$54:$Q$104,MATCH($B13&amp;"-"&amp;K$7,SUP!$B$54:$Q$54,0),FALSE),"")="","",IFERROR(VLOOKUP($C13,SUP!$B$54:$Q$104,MATCH($B13&amp;"-"&amp;K$7,SUP!$B$54:$Q$54,0),FALSE),""))</f>
        <v/>
      </c>
      <c r="L13" s="441" t="str">
        <f ca="1">IF(IFERROR(VLOOKUP($C13,SUP!$B$54:$Q$104,MATCH($B13&amp;"-"&amp;L$7,SUP!$B$54:$Q$54,0),FALSE),"")="","",IFERROR(VLOOKUP($C13,SUP!$B$54:$Q$104,MATCH($B13&amp;"-"&amp;L$7,SUP!$B$54:$Q$54,0),FALSE),""))</f>
        <v/>
      </c>
      <c r="M13" s="441" t="str">
        <f ca="1">IF(IFERROR(VLOOKUP($C13,SUP!$B$54:$Q$104,MATCH($B13&amp;"-"&amp;M$7,SUP!$B$54:$Q$54,0),FALSE),"")="","",IFERROR(VLOOKUP($C13,SUP!$B$54:$Q$104,MATCH($B13&amp;"-"&amp;M$7,SUP!$B$54:$Q$54,0),FALSE),""))</f>
        <v/>
      </c>
      <c r="N13" s="441" t="str">
        <f ca="1">IF(IFERROR(VLOOKUP($C13,SUP!$B$54:$Q$104,MATCH($B13&amp;"-"&amp;N$7,SUP!$B$54:$Q$54,0),FALSE),"")="","",IFERROR(VLOOKUP($C13,SUP!$B$54:$Q$104,MATCH($B13&amp;"-"&amp;N$7,SUP!$B$54:$Q$54,0),FALSE),""))</f>
        <v/>
      </c>
      <c r="O13" s="441" t="str">
        <f ca="1">IF(IFERROR(VLOOKUP($C13,SUP!$B$54:$Q$104,MATCH($B13&amp;"-"&amp;O$7,SUP!$B$54:$Q$54,0),FALSE),"")="","",IFERROR(VLOOKUP($C13,SUP!$B$54:$Q$104,MATCH($B13&amp;"-"&amp;O$7,SUP!$B$54:$Q$54,0),FALSE),""))</f>
        <v/>
      </c>
      <c r="P13" s="441" t="str">
        <f ca="1">IF(IFERROR(VLOOKUP($C13,SUP!$B$54:$Q$104,MATCH($B13&amp;"-"&amp;P$7,SUP!$B$54:$Q$54,0),FALSE),"")="","",IFERROR(VLOOKUP($C13,SUP!$B$54:$Q$104,MATCH($B13&amp;"-"&amp;P$7,SUP!$B$54:$Q$54,0),FALSE),""))</f>
        <v/>
      </c>
      <c r="Q13" s="441" t="str">
        <f ca="1">IF(IFERROR(VLOOKUP($C13,SUP!$B$54:$Q$104,MATCH($B13&amp;"-"&amp;Q$7,SUP!$B$54:$Q$54,0),FALSE),"")="","",IFERROR(VLOOKUP($C13,SUP!$B$54:$Q$104,MATCH($B13&amp;"-"&amp;Q$7,SUP!$B$54:$Q$54,0),FALSE),""))</f>
        <v/>
      </c>
      <c r="R13" s="441" t="str">
        <f ca="1">IF(IFERROR(VLOOKUP($C13,SUP!$B$54:$Q$104,MATCH($B13&amp;"-"&amp;R$7,SUP!$B$54:$Q$54,0),FALSE),"")="","",IFERROR(VLOOKUP($C13,SUP!$B$54:$Q$104,MATCH($B13&amp;"-"&amp;R$7,SUP!$B$54:$Q$54,0),FALSE),""))</f>
        <v/>
      </c>
      <c r="S13" s="441" t="str">
        <f ca="1">IF(IFERROR(VLOOKUP($C13,SUP!$B$54:$Q$104,MATCH($B13&amp;"-"&amp;S$7,SUP!$B$54:$Q$54,0),FALSE),"")="","",IFERROR(VLOOKUP($C13,SUP!$B$54:$Q$104,MATCH($B13&amp;"-"&amp;S$7,SUP!$B$54:$Q$54,0),FALSE),""))</f>
        <v/>
      </c>
      <c r="T13" s="441" t="str">
        <f ca="1">IF(IFERROR(VLOOKUP($C13,SUP!$B$54:$Q$104,MATCH($B13&amp;"-"&amp;T$7,SUP!$B$54:$Q$54,0),FALSE),"")="","",IFERROR(VLOOKUP($C13,SUP!$B$54:$Q$104,MATCH($B13&amp;"-"&amp;T$7,SUP!$B$54:$Q$54,0),FALSE),""))</f>
        <v/>
      </c>
      <c r="U13" s="441" t="str">
        <f ca="1">IF(IFERROR(VLOOKUP($C13,SUP!$B$54:$Q$104,MATCH($B13&amp;"-"&amp;U$7,SUP!$B$54:$Q$54,0),FALSE),"")="","",IFERROR(VLOOKUP($C13,SUP!$B$54:$Q$104,MATCH($B13&amp;"-"&amp;U$7,SUP!$B$54:$Q$54,0),FALSE),""))</f>
        <v/>
      </c>
      <c r="V13" s="441" t="str">
        <f ca="1">IF(IFERROR(VLOOKUP($C13,SUP!$B$54:$Q$104,MATCH($B13&amp;"-"&amp;V$7,SUP!$B$54:$Q$54,0),FALSE),"")="","",IFERROR(VLOOKUP($C13,SUP!$B$54:$Q$104,MATCH($B13&amp;"-"&amp;V$7,SUP!$B$54:$Q$54,0),FALSE),""))</f>
        <v/>
      </c>
      <c r="W13" s="441" t="str">
        <f ca="1">IF(IFERROR(VLOOKUP($C13,SUP!$B$54:$Q$104,MATCH($B13&amp;"-"&amp;W$7,SUP!$B$54:$Q$54,0),FALSE),"")="","",IFERROR(VLOOKUP($C13,SUP!$B$54:$Q$104,MATCH($B13&amp;"-"&amp;W$7,SUP!$B$54:$Q$54,0),FALSE),""))</f>
        <v/>
      </c>
      <c r="X13" s="441" t="str">
        <f ca="1">IF(IFERROR(VLOOKUP($C13,SUP!$B$54:$Q$104,MATCH($B13&amp;"-"&amp;X$7,SUP!$B$54:$Q$54,0),FALSE),"")="","",IFERROR(VLOOKUP($C13,SUP!$B$54:$Q$104,MATCH($B13&amp;"-"&amp;X$7,SUP!$B$54:$Q$54,0),FALSE),""))</f>
        <v/>
      </c>
      <c r="Y13" s="441" t="str">
        <f ca="1">IF(IFERROR(VLOOKUP($C13,SUP!$B$54:$Q$104,MATCH($B13&amp;"-"&amp;Y$7,SUP!$B$54:$Q$54,0),FALSE),"")="","",IFERROR(VLOOKUP($C13,SUP!$B$54:$Q$104,MATCH($B13&amp;"-"&amp;Y$7,SUP!$B$54:$Q$54,0),FALSE),""))</f>
        <v/>
      </c>
      <c r="Z13" s="441" t="str">
        <f ca="1">IF(IFERROR(VLOOKUP($C13,SUP!$B$54:$Q$104,MATCH($B13&amp;"-"&amp;Z$7,SUP!$B$54:$Q$54,0),FALSE),"")="","",IFERROR(VLOOKUP($C13,SUP!$B$54:$Q$104,MATCH($B13&amp;"-"&amp;Z$7,SUP!$B$54:$Q$54,0),FALSE),""))</f>
        <v/>
      </c>
      <c r="AA13" s="441" t="str">
        <f ca="1">IF(IFERROR(VLOOKUP($C13,SUP!$B$54:$Q$104,MATCH($B13&amp;"-"&amp;AA$7,SUP!$B$54:$Q$54,0),FALSE),"")="","",IFERROR(VLOOKUP($C13,SUP!$B$54:$Q$104,MATCH($B13&amp;"-"&amp;AA$7,SUP!$B$54:$Q$54,0),FALSE),""))</f>
        <v/>
      </c>
      <c r="AB13" s="441" t="str">
        <f ca="1">IF(IFERROR(VLOOKUP($C13,SUP!$B$54:$Q$104,MATCH($B13&amp;"-"&amp;AB$7,SUP!$B$54:$Q$54,0),FALSE),"")="","",IFERROR(VLOOKUP($C13,SUP!$B$54:$Q$104,MATCH($B13&amp;"-"&amp;AB$7,SUP!$B$54:$Q$54,0),FALSE),""))</f>
        <v/>
      </c>
      <c r="AC13" s="441" t="str">
        <f ca="1">IF(IFERROR(VLOOKUP($C13,SUP!$B$54:$Q$104,MATCH($B13&amp;"-"&amp;AC$7,SUP!$B$54:$Q$54,0),FALSE),"")="","",IFERROR(VLOOKUP($C13,SUP!$B$54:$Q$104,MATCH($B13&amp;"-"&amp;AC$7,SUP!$B$54:$Q$54,0),FALSE),""))</f>
        <v/>
      </c>
      <c r="AD13" s="441" t="str">
        <f ca="1">IF(IFERROR(VLOOKUP($C13,SUP!$B$54:$Q$104,MATCH($B13&amp;"-"&amp;AD$7,SUP!$B$54:$Q$54,0),FALSE),"")="","",IFERROR(VLOOKUP($C13,SUP!$B$54:$Q$104,MATCH($B13&amp;"-"&amp;AD$7,SUP!$B$54:$Q$54,0),FALSE),""))</f>
        <v/>
      </c>
      <c r="AE13" s="441" t="str">
        <f ca="1">IF(IFERROR(VLOOKUP($C13,SUP!$B$54:$Q$104,MATCH($B13&amp;"-"&amp;AE$7,SUP!$B$54:$Q$54,0),FALSE),"")="","",IFERROR(VLOOKUP($C13,SUP!$B$54:$Q$104,MATCH($B13&amp;"-"&amp;AE$7,SUP!$B$54:$Q$54,0),FALSE),""))</f>
        <v/>
      </c>
      <c r="AF13" s="441" t="str">
        <f ca="1">IF(IFERROR(VLOOKUP($C13,SUP!$B$54:$Q$104,MATCH($B13&amp;"-"&amp;AF$7,SUP!$B$54:$Q$54,0),FALSE),"")="","",IFERROR(VLOOKUP($C13,SUP!$B$54:$Q$104,MATCH($B13&amp;"-"&amp;AF$7,SUP!$B$54:$Q$54,0),FALSE),""))</f>
        <v/>
      </c>
      <c r="AG13" s="441" t="str">
        <f ca="1">IF(IFERROR(VLOOKUP($C13,SUP!$B$54:$Q$104,MATCH($B13&amp;"-"&amp;AG$7,SUP!$B$54:$Q$54,0),FALSE),"")="","",IFERROR(VLOOKUP($C13,SUP!$B$54:$Q$104,MATCH($B13&amp;"-"&amp;AG$7,SUP!$B$54:$Q$54,0),FALSE),""))</f>
        <v/>
      </c>
      <c r="AH13" s="441" t="str">
        <f ca="1">IF(IFERROR(VLOOKUP($C13,SUP!$B$54:$Q$104,MATCH($B13&amp;"-"&amp;AH$7,SUP!$B$54:$Q$54,0),FALSE),"")="","",IFERROR(VLOOKUP($C13,SUP!$B$54:$Q$104,MATCH($B13&amp;"-"&amp;AH$7,SUP!$B$54:$Q$54,0),FALSE),""))</f>
        <v/>
      </c>
      <c r="AI13" s="441"/>
      <c r="AJ13" s="441"/>
      <c r="AK13" s="441"/>
      <c r="AL13" s="441"/>
      <c r="AM13" s="441" t="str">
        <f ca="1">IF(IFERROR(VLOOKUP($C13,SUP!$B$54:$Q$104,MATCH($B13&amp;"-"&amp;AM$7,SUP!$B$54:$Q$54,0),FALSE),"")="","",IFERROR(VLOOKUP($C13,SUP!$B$54:$Q$104,MATCH($B13&amp;"-"&amp;AM$7,SUP!$B$54:$Q$54,0),FALSE),""))</f>
        <v/>
      </c>
      <c r="AN13" s="441"/>
      <c r="AO13" s="441"/>
      <c r="AR13" s="42">
        <v>2</v>
      </c>
      <c r="AS13" s="42">
        <v>37</v>
      </c>
    </row>
    <row r="14" spans="1:46">
      <c r="A14" s="42" t="str">
        <f ca="1">IF(LEFT(OFFSET(SUP!$A$57,AS14,0),2)="\I","*","")</f>
        <v/>
      </c>
      <c r="B14" s="440" t="str">
        <f t="shared" ca="1" si="1"/>
        <v>ACT_BND</v>
      </c>
      <c r="C14" s="440" t="str">
        <f ca="1">IF($A14="*","",OFFSET(SUP!$B$57,AS14,0))</f>
        <v>PEXELC</v>
      </c>
      <c r="D14" s="440" t="str">
        <f t="shared" ca="1" si="2"/>
        <v>-</v>
      </c>
      <c r="E14" s="440" t="str">
        <f t="shared" ca="1" si="2"/>
        <v>-</v>
      </c>
      <c r="F14" s="440" t="str">
        <f t="shared" ca="1" si="2"/>
        <v>-</v>
      </c>
      <c r="G14" s="440" t="str">
        <f t="shared" ca="1" si="2"/>
        <v>ANNUAL</v>
      </c>
      <c r="H14" s="440" t="str">
        <f>$H$11</f>
        <v>UP</v>
      </c>
      <c r="I14" s="441">
        <v>3</v>
      </c>
      <c r="J14" s="441">
        <f ca="1">IF(IFERROR(VLOOKUP($C14,SUP!$B$54:$Q$104,MATCH($B14&amp;"-"&amp;J$7,SUP!$B$54:$Q$54,0),FALSE),"")="","",IFERROR(VLOOKUP($C14,SUP!$B$54:$Q$104,MATCH($B14&amp;"-"&amp;J$7,SUP!$B$54:$Q$54,0),FALSE),""))</f>
        <v>54.125999999999998</v>
      </c>
      <c r="K14" s="441" t="str">
        <f ca="1">IF(IFERROR(VLOOKUP($C14,SUP!$B$54:$Q$104,MATCH($B14&amp;"-"&amp;K$7,SUP!$B$54:$Q$54,0),FALSE),"")="","",IFERROR(VLOOKUP($C14,SUP!$B$54:$Q$104,MATCH($B14&amp;"-"&amp;K$7,SUP!$B$54:$Q$54,0),FALSE),""))</f>
        <v/>
      </c>
      <c r="L14" s="441" t="str">
        <f ca="1">IF(IFERROR(VLOOKUP($C14,SUP!$B$54:$Q$104,MATCH($B14&amp;"-"&amp;L$7,SUP!$B$54:$Q$54,0),FALSE),"")="","",IFERROR(VLOOKUP($C14,SUP!$B$54:$Q$104,MATCH($B14&amp;"-"&amp;L$7,SUP!$B$54:$Q$54,0),FALSE),""))</f>
        <v/>
      </c>
      <c r="M14" s="441" t="str">
        <f ca="1">IF(IFERROR(VLOOKUP($C14,SUP!$B$54:$Q$104,MATCH($B14&amp;"-"&amp;M$7,SUP!$B$54:$Q$54,0),FALSE),"")="","",IFERROR(VLOOKUP($C14,SUP!$B$54:$Q$104,MATCH($B14&amp;"-"&amp;M$7,SUP!$B$54:$Q$54,0),FALSE),""))</f>
        <v/>
      </c>
      <c r="N14" s="441" t="str">
        <f ca="1">IF(IFERROR(VLOOKUP($C14,SUP!$B$54:$Q$104,MATCH($B14&amp;"-"&amp;N$7,SUP!$B$54:$Q$54,0),FALSE),"")="","",IFERROR(VLOOKUP($C14,SUP!$B$54:$Q$104,MATCH($B14&amp;"-"&amp;N$7,SUP!$B$54:$Q$54,0),FALSE),""))</f>
        <v/>
      </c>
      <c r="O14" s="441" t="str">
        <f ca="1">IF(IFERROR(VLOOKUP($C14,SUP!$B$54:$Q$104,MATCH($B14&amp;"-"&amp;O$7,SUP!$B$54:$Q$54,0),FALSE),"")="","",IFERROR(VLOOKUP($C14,SUP!$B$54:$Q$104,MATCH($B14&amp;"-"&amp;O$7,SUP!$B$54:$Q$54,0),FALSE),""))</f>
        <v/>
      </c>
      <c r="P14" s="441" t="str">
        <f ca="1">IF(IFERROR(VLOOKUP($C14,SUP!$B$54:$Q$104,MATCH($B14&amp;"-"&amp;P$7,SUP!$B$54:$Q$54,0),FALSE),"")="","",IFERROR(VLOOKUP($C14,SUP!$B$54:$Q$104,MATCH($B14&amp;"-"&amp;P$7,SUP!$B$54:$Q$54,0),FALSE),""))</f>
        <v/>
      </c>
      <c r="Q14" s="441" t="str">
        <f ca="1">IF(IFERROR(VLOOKUP($C14,SUP!$B$54:$Q$104,MATCH($B14&amp;"-"&amp;Q$7,SUP!$B$54:$Q$54,0),FALSE),"")="","",IFERROR(VLOOKUP($C14,SUP!$B$54:$Q$104,MATCH($B14&amp;"-"&amp;Q$7,SUP!$B$54:$Q$54,0),FALSE),""))</f>
        <v/>
      </c>
      <c r="R14" s="441" t="str">
        <f ca="1">IF(IFERROR(VLOOKUP($C14,SUP!$B$54:$Q$104,MATCH($B14&amp;"-"&amp;R$7,SUP!$B$54:$Q$54,0),FALSE),"")="","",IFERROR(VLOOKUP($C14,SUP!$B$54:$Q$104,MATCH($B14&amp;"-"&amp;R$7,SUP!$B$54:$Q$54,0),FALSE),""))</f>
        <v/>
      </c>
      <c r="S14" s="441" t="str">
        <f ca="1">IF(IFERROR(VLOOKUP($C14,SUP!$B$54:$Q$104,MATCH($B14&amp;"-"&amp;S$7,SUP!$B$54:$Q$54,0),FALSE),"")="","",IFERROR(VLOOKUP($C14,SUP!$B$54:$Q$104,MATCH($B14&amp;"-"&amp;S$7,SUP!$B$54:$Q$54,0),FALSE),""))</f>
        <v/>
      </c>
      <c r="T14" s="441" t="str">
        <f ca="1">IF(IFERROR(VLOOKUP($C14,SUP!$B$54:$Q$104,MATCH($B14&amp;"-"&amp;T$7,SUP!$B$54:$Q$54,0),FALSE),"")="","",IFERROR(VLOOKUP($C14,SUP!$B$54:$Q$104,MATCH($B14&amp;"-"&amp;T$7,SUP!$B$54:$Q$54,0),FALSE),""))</f>
        <v/>
      </c>
      <c r="U14" s="441" t="str">
        <f ca="1">IF(IFERROR(VLOOKUP($C14,SUP!$B$54:$Q$104,MATCH($B14&amp;"-"&amp;U$7,SUP!$B$54:$Q$54,0),FALSE),"")="","",IFERROR(VLOOKUP($C14,SUP!$B$54:$Q$104,MATCH($B14&amp;"-"&amp;U$7,SUP!$B$54:$Q$54,0),FALSE),""))</f>
        <v/>
      </c>
      <c r="V14" s="441" t="str">
        <f ca="1">IF(IFERROR(VLOOKUP($C14,SUP!$B$54:$Q$104,MATCH($B14&amp;"-"&amp;V$7,SUP!$B$54:$Q$54,0),FALSE),"")="","",IFERROR(VLOOKUP($C14,SUP!$B$54:$Q$104,MATCH($B14&amp;"-"&amp;V$7,SUP!$B$54:$Q$54,0),FALSE),""))</f>
        <v/>
      </c>
      <c r="W14" s="441" t="str">
        <f ca="1">IF(IFERROR(VLOOKUP($C14,SUP!$B$54:$Q$104,MATCH($B14&amp;"-"&amp;W$7,SUP!$B$54:$Q$54,0),FALSE),"")="","",IFERROR(VLOOKUP($C14,SUP!$B$54:$Q$104,MATCH($B14&amp;"-"&amp;W$7,SUP!$B$54:$Q$54,0),FALSE),""))</f>
        <v/>
      </c>
      <c r="X14" s="441" t="str">
        <f ca="1">IF(IFERROR(VLOOKUP($C14,SUP!$B$54:$Q$104,MATCH($B14&amp;"-"&amp;X$7,SUP!$B$54:$Q$54,0),FALSE),"")="","",IFERROR(VLOOKUP($C14,SUP!$B$54:$Q$104,MATCH($B14&amp;"-"&amp;X$7,SUP!$B$54:$Q$54,0),FALSE),""))</f>
        <v/>
      </c>
      <c r="Y14" s="441" t="str">
        <f ca="1">IF(IFERROR(VLOOKUP($C14,SUP!$B$54:$Q$104,MATCH($B14&amp;"-"&amp;Y$7,SUP!$B$54:$Q$54,0),FALSE),"")="","",IFERROR(VLOOKUP($C14,SUP!$B$54:$Q$104,MATCH($B14&amp;"-"&amp;Y$7,SUP!$B$54:$Q$54,0),FALSE),""))</f>
        <v/>
      </c>
      <c r="Z14" s="441" t="str">
        <f ca="1">IF(IFERROR(VLOOKUP($C14,SUP!$B$54:$Q$104,MATCH($B14&amp;"-"&amp;Z$7,SUP!$B$54:$Q$54,0),FALSE),"")="","",IFERROR(VLOOKUP($C14,SUP!$B$54:$Q$104,MATCH($B14&amp;"-"&amp;Z$7,SUP!$B$54:$Q$54,0),FALSE),""))</f>
        <v/>
      </c>
      <c r="AA14" s="441" t="str">
        <f ca="1">IF(IFERROR(VLOOKUP($C14,SUP!$B$54:$Q$104,MATCH($B14&amp;"-"&amp;AA$7,SUP!$B$54:$Q$54,0),FALSE),"")="","",IFERROR(VLOOKUP($C14,SUP!$B$54:$Q$104,MATCH($B14&amp;"-"&amp;AA$7,SUP!$B$54:$Q$54,0),FALSE),""))</f>
        <v/>
      </c>
      <c r="AB14" s="441" t="str">
        <f ca="1">IF(IFERROR(VLOOKUP($C14,SUP!$B$54:$Q$104,MATCH($B14&amp;"-"&amp;AB$7,SUP!$B$54:$Q$54,0),FALSE),"")="","",IFERROR(VLOOKUP($C14,SUP!$B$54:$Q$104,MATCH($B14&amp;"-"&amp;AB$7,SUP!$B$54:$Q$54,0),FALSE),""))</f>
        <v/>
      </c>
      <c r="AC14" s="441" t="str">
        <f ca="1">IF(IFERROR(VLOOKUP($C14,SUP!$B$54:$Q$104,MATCH($B14&amp;"-"&amp;AC$7,SUP!$B$54:$Q$54,0),FALSE),"")="","",IFERROR(VLOOKUP($C14,SUP!$B$54:$Q$104,MATCH($B14&amp;"-"&amp;AC$7,SUP!$B$54:$Q$54,0),FALSE),""))</f>
        <v/>
      </c>
      <c r="AD14" s="441" t="str">
        <f ca="1">IF(IFERROR(VLOOKUP($C14,SUP!$B$54:$Q$104,MATCH($B14&amp;"-"&amp;AD$7,SUP!$B$54:$Q$54,0),FALSE),"")="","",IFERROR(VLOOKUP($C14,SUP!$B$54:$Q$104,MATCH($B14&amp;"-"&amp;AD$7,SUP!$B$54:$Q$54,0),FALSE),""))</f>
        <v/>
      </c>
      <c r="AE14" s="441" t="str">
        <f ca="1">IF(IFERROR(VLOOKUP($C14,SUP!$B$54:$Q$104,MATCH($B14&amp;"-"&amp;AE$7,SUP!$B$54:$Q$54,0),FALSE),"")="","",IFERROR(VLOOKUP($C14,SUP!$B$54:$Q$104,MATCH($B14&amp;"-"&amp;AE$7,SUP!$B$54:$Q$54,0),FALSE),""))</f>
        <v/>
      </c>
      <c r="AF14" s="441" t="str">
        <f ca="1">IF(IFERROR(VLOOKUP($C14,SUP!$B$54:$Q$104,MATCH($B14&amp;"-"&amp;AF$7,SUP!$B$54:$Q$54,0),FALSE),"")="","",IFERROR(VLOOKUP($C14,SUP!$B$54:$Q$104,MATCH($B14&amp;"-"&amp;AF$7,SUP!$B$54:$Q$54,0),FALSE),""))</f>
        <v/>
      </c>
      <c r="AG14" s="441" t="str">
        <f ca="1">IF(IFERROR(VLOOKUP($C14,SUP!$B$54:$Q$104,MATCH($B14&amp;"-"&amp;AG$7,SUP!$B$54:$Q$54,0),FALSE),"")="","",IFERROR(VLOOKUP($C14,SUP!$B$54:$Q$104,MATCH($B14&amp;"-"&amp;AG$7,SUP!$B$54:$Q$54,0),FALSE),""))</f>
        <v/>
      </c>
      <c r="AH14" s="441" t="str">
        <f ca="1">IF(IFERROR(VLOOKUP($C14,SUP!$B$54:$Q$104,MATCH($B14&amp;"-"&amp;AH$7,SUP!$B$54:$Q$54,0),FALSE),"")="","",IFERROR(VLOOKUP($C14,SUP!$B$54:$Q$104,MATCH($B14&amp;"-"&amp;AH$7,SUP!$B$54:$Q$54,0),FALSE),""))</f>
        <v/>
      </c>
      <c r="AI14" s="441"/>
      <c r="AJ14" s="441"/>
      <c r="AK14" s="441"/>
      <c r="AL14" s="441"/>
      <c r="AM14" s="441" t="str">
        <f ca="1">IF(IFERROR(VLOOKUP($C14,SUP!$B$54:$Q$104,MATCH($B14&amp;"-"&amp;AM$7,SUP!$B$54:$Q$54,0),FALSE),"")="","",IFERROR(VLOOKUP($C14,SUP!$B$54:$Q$104,MATCH($B14&amp;"-"&amp;AM$7,SUP!$B$54:$Q$54,0),FALSE),""))</f>
        <v/>
      </c>
      <c r="AN14" s="441"/>
      <c r="AO14" s="441"/>
      <c r="AR14" s="42">
        <f>IF(AS13=SUP!$B$104,AR13+1,AR13)</f>
        <v>2</v>
      </c>
      <c r="AS14" s="42">
        <f t="shared" ref="AS14:AS23" si="3">IF(AR14=AR13,AS13+1,1)</f>
        <v>38</v>
      </c>
    </row>
    <row r="15" spans="1:46">
      <c r="A15" s="42" t="str">
        <f ca="1">IF(LEFT(OFFSET(SUP!$A$57,AS15,0),2)="\I","*","")</f>
        <v/>
      </c>
      <c r="B15" s="440" t="str">
        <f t="shared" ca="1" si="1"/>
        <v>ACT_BND</v>
      </c>
      <c r="C15" s="440" t="str">
        <f ca="1">IF($A15="*","",OFFSET(SUP!$B$57,AS15,0))</f>
        <v>PEXCOA</v>
      </c>
      <c r="D15" s="440" t="str">
        <f t="shared" ca="1" si="2"/>
        <v>-</v>
      </c>
      <c r="E15" s="440" t="str">
        <f t="shared" ca="1" si="2"/>
        <v>-</v>
      </c>
      <c r="F15" s="440" t="str">
        <f t="shared" ca="1" si="2"/>
        <v>-</v>
      </c>
      <c r="G15" s="440" t="str">
        <f t="shared" ca="1" si="2"/>
        <v>ANNUAL</v>
      </c>
      <c r="H15" s="440" t="str">
        <f t="shared" ref="H15:H22" si="4">$H$11</f>
        <v>UP</v>
      </c>
      <c r="I15" s="441">
        <v>3</v>
      </c>
      <c r="J15" s="441">
        <f ca="1">IF(IFERROR(VLOOKUP($C15,SUP!$B$54:$Q$104,MATCH($B15&amp;"-"&amp;J$7,SUP!$B$54:$Q$54,0),FALSE),"")="","",IFERROR(VLOOKUP($C15,SUP!$B$54:$Q$104,MATCH($B15&amp;"-"&amp;J$7,SUP!$B$54:$Q$54,0),FALSE),""))</f>
        <v>2129.9962500000001</v>
      </c>
      <c r="K15" s="441" t="str">
        <f ca="1">IF(IFERROR(VLOOKUP($C15,SUP!$B$54:$Q$104,MATCH($B15&amp;"-"&amp;K$7,SUP!$B$54:$Q$54,0),FALSE),"")="","",IFERROR(VLOOKUP($C15,SUP!$B$54:$Q$104,MATCH($B15&amp;"-"&amp;K$7,SUP!$B$54:$Q$54,0),FALSE),""))</f>
        <v/>
      </c>
      <c r="L15" s="441" t="str">
        <f ca="1">IF(IFERROR(VLOOKUP($C15,SUP!$B$54:$Q$104,MATCH($B15&amp;"-"&amp;L$7,SUP!$B$54:$Q$54,0),FALSE),"")="","",IFERROR(VLOOKUP($C15,SUP!$B$54:$Q$104,MATCH($B15&amp;"-"&amp;L$7,SUP!$B$54:$Q$54,0),FALSE),""))</f>
        <v/>
      </c>
      <c r="M15" s="441">
        <f ca="1">IF(IFERROR(VLOOKUP($C15,SUP!$B$54:$Q$104,MATCH($B15&amp;"-"&amp;M$7,SUP!$B$54:$Q$54,0),FALSE),"")="","",IFERROR(VLOOKUP($C15,SUP!$B$54:$Q$104,MATCH($B15&amp;"-"&amp;M$7,SUP!$B$54:$Q$54,0),FALSE),""))</f>
        <v>1727</v>
      </c>
      <c r="N15" s="441" t="str">
        <f ca="1">IF(IFERROR(VLOOKUP($C15,SUP!$B$54:$Q$104,MATCH($B15&amp;"-"&amp;N$7,SUP!$B$54:$Q$54,0),FALSE),"")="","",IFERROR(VLOOKUP($C15,SUP!$B$54:$Q$104,MATCH($B15&amp;"-"&amp;N$7,SUP!$B$54:$Q$54,0),FALSE),""))</f>
        <v/>
      </c>
      <c r="O15" s="441" t="str">
        <f ca="1">IF(IFERROR(VLOOKUP($C15,SUP!$B$54:$Q$104,MATCH($B15&amp;"-"&amp;O$7,SUP!$B$54:$Q$54,0),FALSE),"")="","",IFERROR(VLOOKUP($C15,SUP!$B$54:$Q$104,MATCH($B15&amp;"-"&amp;O$7,SUP!$B$54:$Q$54,0),FALSE),""))</f>
        <v/>
      </c>
      <c r="P15" s="441" t="str">
        <f ca="1">IF(IFERROR(VLOOKUP($C15,SUP!$B$54:$Q$104,MATCH($B15&amp;"-"&amp;P$7,SUP!$B$54:$Q$54,0),FALSE),"")="","",IFERROR(VLOOKUP($C15,SUP!$B$54:$Q$104,MATCH($B15&amp;"-"&amp;P$7,SUP!$B$54:$Q$54,0),FALSE),""))</f>
        <v/>
      </c>
      <c r="Q15" s="441" t="str">
        <f ca="1">IF(IFERROR(VLOOKUP($C15,SUP!$B$54:$Q$104,MATCH($B15&amp;"-"&amp;Q$7,SUP!$B$54:$Q$54,0),FALSE),"")="","",IFERROR(VLOOKUP($C15,SUP!$B$54:$Q$104,MATCH($B15&amp;"-"&amp;Q$7,SUP!$B$54:$Q$54,0),FALSE),""))</f>
        <v/>
      </c>
      <c r="R15" s="441">
        <f ca="1">IF(IFERROR(VLOOKUP($C15,SUP!$B$54:$Q$104,MATCH($B15&amp;"-"&amp;R$7,SUP!$B$54:$Q$54,0),FALSE),"")="","",IFERROR(VLOOKUP($C15,SUP!$B$54:$Q$104,MATCH($B15&amp;"-"&amp;R$7,SUP!$B$54:$Q$54,0),FALSE),""))</f>
        <v>1727</v>
      </c>
      <c r="S15" s="441" t="str">
        <f ca="1">IF(IFERROR(VLOOKUP($C15,SUP!$B$54:$Q$104,MATCH($B15&amp;"-"&amp;S$7,SUP!$B$54:$Q$54,0),FALSE),"")="","",IFERROR(VLOOKUP($C15,SUP!$B$54:$Q$104,MATCH($B15&amp;"-"&amp;S$7,SUP!$B$54:$Q$54,0),FALSE),""))</f>
        <v/>
      </c>
      <c r="T15" s="441" t="str">
        <f ca="1">IF(IFERROR(VLOOKUP($C15,SUP!$B$54:$Q$104,MATCH($B15&amp;"-"&amp;T$7,SUP!$B$54:$Q$54,0),FALSE),"")="","",IFERROR(VLOOKUP($C15,SUP!$B$54:$Q$104,MATCH($B15&amp;"-"&amp;T$7,SUP!$B$54:$Q$54,0),FALSE),""))</f>
        <v/>
      </c>
      <c r="U15" s="441" t="str">
        <f ca="1">IF(IFERROR(VLOOKUP($C15,SUP!$B$54:$Q$104,MATCH($B15&amp;"-"&amp;U$7,SUP!$B$54:$Q$54,0),FALSE),"")="","",IFERROR(VLOOKUP($C15,SUP!$B$54:$Q$104,MATCH($B15&amp;"-"&amp;U$7,SUP!$B$54:$Q$54,0),FALSE),""))</f>
        <v/>
      </c>
      <c r="V15" s="441" t="str">
        <f ca="1">IF(IFERROR(VLOOKUP($C15,SUP!$B$54:$Q$104,MATCH($B15&amp;"-"&amp;V$7,SUP!$B$54:$Q$54,0),FALSE),"")="","",IFERROR(VLOOKUP($C15,SUP!$B$54:$Q$104,MATCH($B15&amp;"-"&amp;V$7,SUP!$B$54:$Q$54,0),FALSE),""))</f>
        <v/>
      </c>
      <c r="W15" s="441" t="str">
        <f ca="1">IF(IFERROR(VLOOKUP($C15,SUP!$B$54:$Q$104,MATCH($B15&amp;"-"&amp;W$7,SUP!$B$54:$Q$54,0),FALSE),"")="","",IFERROR(VLOOKUP($C15,SUP!$B$54:$Q$104,MATCH($B15&amp;"-"&amp;W$7,SUP!$B$54:$Q$54,0),FALSE),""))</f>
        <v/>
      </c>
      <c r="X15" s="441" t="str">
        <f ca="1">IF(IFERROR(VLOOKUP($C15,SUP!$B$54:$Q$104,MATCH($B15&amp;"-"&amp;X$7,SUP!$B$54:$Q$54,0),FALSE),"")="","",IFERROR(VLOOKUP($C15,SUP!$B$54:$Q$104,MATCH($B15&amp;"-"&amp;X$7,SUP!$B$54:$Q$54,0),FALSE),""))</f>
        <v/>
      </c>
      <c r="Y15" s="441" t="str">
        <f ca="1">IF(IFERROR(VLOOKUP($C15,SUP!$B$54:$Q$104,MATCH($B15&amp;"-"&amp;Y$7,SUP!$B$54:$Q$54,0),FALSE),"")="","",IFERROR(VLOOKUP($C15,SUP!$B$54:$Q$104,MATCH($B15&amp;"-"&amp;Y$7,SUP!$B$54:$Q$54,0),FALSE),""))</f>
        <v/>
      </c>
      <c r="Z15" s="441" t="str">
        <f ca="1">IF(IFERROR(VLOOKUP($C15,SUP!$B$54:$Q$104,MATCH($B15&amp;"-"&amp;Z$7,SUP!$B$54:$Q$54,0),FALSE),"")="","",IFERROR(VLOOKUP($C15,SUP!$B$54:$Q$104,MATCH($B15&amp;"-"&amp;Z$7,SUP!$B$54:$Q$54,0),FALSE),""))</f>
        <v/>
      </c>
      <c r="AA15" s="441" t="str">
        <f ca="1">IF(IFERROR(VLOOKUP($C15,SUP!$B$54:$Q$104,MATCH($B15&amp;"-"&amp;AA$7,SUP!$B$54:$Q$54,0),FALSE),"")="","",IFERROR(VLOOKUP($C15,SUP!$B$54:$Q$104,MATCH($B15&amp;"-"&amp;AA$7,SUP!$B$54:$Q$54,0),FALSE),""))</f>
        <v/>
      </c>
      <c r="AB15" s="441">
        <f ca="1">IF(IFERROR(VLOOKUP($C15,SUP!$B$54:$Q$104,MATCH($B15&amp;"-"&amp;AB$7,SUP!$B$54:$Q$54,0),FALSE),"")="","",IFERROR(VLOOKUP($C15,SUP!$B$54:$Q$104,MATCH($B15&amp;"-"&amp;AB$7,SUP!$B$54:$Q$54,0),FALSE),""))</f>
        <v>1000</v>
      </c>
      <c r="AC15" s="441" t="str">
        <f ca="1">IF(IFERROR(VLOOKUP($C15,SUP!$B$54:$Q$104,MATCH($B15&amp;"-"&amp;AC$7,SUP!$B$54:$Q$54,0),FALSE),"")="","",IFERROR(VLOOKUP($C15,SUP!$B$54:$Q$104,MATCH($B15&amp;"-"&amp;AC$7,SUP!$B$54:$Q$54,0),FALSE),""))</f>
        <v/>
      </c>
      <c r="AD15" s="441" t="str">
        <f ca="1">IF(IFERROR(VLOOKUP($C15,SUP!$B$54:$Q$104,MATCH($B15&amp;"-"&amp;AD$7,SUP!$B$54:$Q$54,0),FALSE),"")="","",IFERROR(VLOOKUP($C15,SUP!$B$54:$Q$104,MATCH($B15&amp;"-"&amp;AD$7,SUP!$B$54:$Q$54,0),FALSE),""))</f>
        <v/>
      </c>
      <c r="AE15" s="441" t="str">
        <f ca="1">IF(IFERROR(VLOOKUP($C15,SUP!$B$54:$Q$104,MATCH($B15&amp;"-"&amp;AE$7,SUP!$B$54:$Q$54,0),FALSE),"")="","",IFERROR(VLOOKUP($C15,SUP!$B$54:$Q$104,MATCH($B15&amp;"-"&amp;AE$7,SUP!$B$54:$Q$54,0),FALSE),""))</f>
        <v/>
      </c>
      <c r="AF15" s="441" t="str">
        <f ca="1">IF(IFERROR(VLOOKUP($C15,SUP!$B$54:$Q$104,MATCH($B15&amp;"-"&amp;AF$7,SUP!$B$54:$Q$54,0),FALSE),"")="","",IFERROR(VLOOKUP($C15,SUP!$B$54:$Q$104,MATCH($B15&amp;"-"&amp;AF$7,SUP!$B$54:$Q$54,0),FALSE),""))</f>
        <v/>
      </c>
      <c r="AG15" s="441" t="str">
        <f ca="1">IF(IFERROR(VLOOKUP($C15,SUP!$B$54:$Q$104,MATCH($B15&amp;"-"&amp;AG$7,SUP!$B$54:$Q$54,0),FALSE),"")="","",IFERROR(VLOOKUP($C15,SUP!$B$54:$Q$104,MATCH($B15&amp;"-"&amp;AG$7,SUP!$B$54:$Q$54,0),FALSE),""))</f>
        <v/>
      </c>
      <c r="AH15" s="441" t="str">
        <f ca="1">IF(IFERROR(VLOOKUP($C15,SUP!$B$54:$Q$104,MATCH($B15&amp;"-"&amp;AH$7,SUP!$B$54:$Q$54,0),FALSE),"")="","",IFERROR(VLOOKUP($C15,SUP!$B$54:$Q$104,MATCH($B15&amp;"-"&amp;AH$7,SUP!$B$54:$Q$54,0),FALSE),""))</f>
        <v/>
      </c>
      <c r="AI15" s="441"/>
      <c r="AJ15" s="441"/>
      <c r="AK15" s="441"/>
      <c r="AL15" s="441"/>
      <c r="AM15" s="441" t="str">
        <f ca="1">IF(IFERROR(VLOOKUP($C15,SUP!$B$54:$Q$104,MATCH($B15&amp;"-"&amp;AM$7,SUP!$B$54:$Q$54,0),FALSE),"")="","",IFERROR(VLOOKUP($C15,SUP!$B$54:$Q$104,MATCH($B15&amp;"-"&amp;AM$7,SUP!$B$54:$Q$54,0),FALSE),""))</f>
        <v/>
      </c>
      <c r="AN15" s="441"/>
      <c r="AO15" s="441"/>
      <c r="AR15" s="42">
        <f>IF(AS14=SUP!$B$104,AR14+1,AR14)</f>
        <v>2</v>
      </c>
      <c r="AS15" s="42">
        <f t="shared" si="3"/>
        <v>39</v>
      </c>
    </row>
    <row r="16" spans="1:46">
      <c r="A16" s="42" t="str">
        <f ca="1">IF(LEFT(OFFSET(SUP!$A$57,AS16,0),2)="\I","*","")</f>
        <v/>
      </c>
      <c r="B16" s="440" t="str">
        <f t="shared" ca="1" si="1"/>
        <v>ACT_BND</v>
      </c>
      <c r="C16" s="440" t="str">
        <f ca="1">IF($A16="*","",OFFSET(SUP!$B$57,AS16,0))</f>
        <v>PEXCOK</v>
      </c>
      <c r="D16" s="440" t="str">
        <f t="shared" ca="1" si="2"/>
        <v>-</v>
      </c>
      <c r="E16" s="440" t="str">
        <f t="shared" ca="1" si="2"/>
        <v>-</v>
      </c>
      <c r="F16" s="440" t="str">
        <f t="shared" ca="1" si="2"/>
        <v>-</v>
      </c>
      <c r="G16" s="440" t="str">
        <f t="shared" ca="1" si="2"/>
        <v>ANNUAL</v>
      </c>
      <c r="H16" s="440" t="str">
        <f t="shared" si="4"/>
        <v>UP</v>
      </c>
      <c r="I16" s="441">
        <v>3</v>
      </c>
      <c r="J16" s="441">
        <f ca="1">IF(IFERROR(VLOOKUP($C16,SUP!$B$54:$Q$104,MATCH($B16&amp;"-"&amp;J$7,SUP!$B$54:$Q$54,0),FALSE),"")="","",IFERROR(VLOOKUP($C16,SUP!$B$54:$Q$104,MATCH($B16&amp;"-"&amp;J$7,SUP!$B$54:$Q$54,0),FALSE),""))</f>
        <v>20.834015000000001</v>
      </c>
      <c r="K16" s="441" t="str">
        <f ca="1">IF(IFERROR(VLOOKUP($C16,SUP!$B$54:$Q$104,MATCH($B16&amp;"-"&amp;K$7,SUP!$B$54:$Q$54,0),FALSE),"")="","",IFERROR(VLOOKUP($C16,SUP!$B$54:$Q$104,MATCH($B16&amp;"-"&amp;K$7,SUP!$B$54:$Q$54,0),FALSE),""))</f>
        <v/>
      </c>
      <c r="L16" s="441" t="str">
        <f ca="1">IF(IFERROR(VLOOKUP($C16,SUP!$B$54:$Q$104,MATCH($B16&amp;"-"&amp;L$7,SUP!$B$54:$Q$54,0),FALSE),"")="","",IFERROR(VLOOKUP($C16,SUP!$B$54:$Q$104,MATCH($B16&amp;"-"&amp;L$7,SUP!$B$54:$Q$54,0),FALSE),""))</f>
        <v/>
      </c>
      <c r="M16" s="441" t="str">
        <f ca="1">IF(IFERROR(VLOOKUP($C16,SUP!$B$54:$Q$104,MATCH($B16&amp;"-"&amp;M$7,SUP!$B$54:$Q$54,0),FALSE),"")="","",IFERROR(VLOOKUP($C16,SUP!$B$54:$Q$104,MATCH($B16&amp;"-"&amp;M$7,SUP!$B$54:$Q$54,0),FALSE),""))</f>
        <v/>
      </c>
      <c r="N16" s="441" t="str">
        <f ca="1">IF(IFERROR(VLOOKUP($C16,SUP!$B$54:$Q$104,MATCH($B16&amp;"-"&amp;N$7,SUP!$B$54:$Q$54,0),FALSE),"")="","",IFERROR(VLOOKUP($C16,SUP!$B$54:$Q$104,MATCH($B16&amp;"-"&amp;N$7,SUP!$B$54:$Q$54,0),FALSE),""))</f>
        <v/>
      </c>
      <c r="O16" s="441" t="str">
        <f ca="1">IF(IFERROR(VLOOKUP($C16,SUP!$B$54:$Q$104,MATCH($B16&amp;"-"&amp;O$7,SUP!$B$54:$Q$54,0),FALSE),"")="","",IFERROR(VLOOKUP($C16,SUP!$B$54:$Q$104,MATCH($B16&amp;"-"&amp;O$7,SUP!$B$54:$Q$54,0),FALSE),""))</f>
        <v/>
      </c>
      <c r="P16" s="441" t="str">
        <f ca="1">IF(IFERROR(VLOOKUP($C16,SUP!$B$54:$Q$104,MATCH($B16&amp;"-"&amp;P$7,SUP!$B$54:$Q$54,0),FALSE),"")="","",IFERROR(VLOOKUP($C16,SUP!$B$54:$Q$104,MATCH($B16&amp;"-"&amp;P$7,SUP!$B$54:$Q$54,0),FALSE),""))</f>
        <v/>
      </c>
      <c r="Q16" s="441" t="str">
        <f ca="1">IF(IFERROR(VLOOKUP($C16,SUP!$B$54:$Q$104,MATCH($B16&amp;"-"&amp;Q$7,SUP!$B$54:$Q$54,0),FALSE),"")="","",IFERROR(VLOOKUP($C16,SUP!$B$54:$Q$104,MATCH($B16&amp;"-"&amp;Q$7,SUP!$B$54:$Q$54,0),FALSE),""))</f>
        <v/>
      </c>
      <c r="R16" s="441" t="str">
        <f ca="1">IF(IFERROR(VLOOKUP($C16,SUP!$B$54:$Q$104,MATCH($B16&amp;"-"&amp;R$7,SUP!$B$54:$Q$54,0),FALSE),"")="","",IFERROR(VLOOKUP($C16,SUP!$B$54:$Q$104,MATCH($B16&amp;"-"&amp;R$7,SUP!$B$54:$Q$54,0),FALSE),""))</f>
        <v/>
      </c>
      <c r="S16" s="441" t="str">
        <f ca="1">IF(IFERROR(VLOOKUP($C16,SUP!$B$54:$Q$104,MATCH($B16&amp;"-"&amp;S$7,SUP!$B$54:$Q$54,0),FALSE),"")="","",IFERROR(VLOOKUP($C16,SUP!$B$54:$Q$104,MATCH($B16&amp;"-"&amp;S$7,SUP!$B$54:$Q$54,0),FALSE),""))</f>
        <v/>
      </c>
      <c r="T16" s="441" t="str">
        <f ca="1">IF(IFERROR(VLOOKUP($C16,SUP!$B$54:$Q$104,MATCH($B16&amp;"-"&amp;T$7,SUP!$B$54:$Q$54,0),FALSE),"")="","",IFERROR(VLOOKUP($C16,SUP!$B$54:$Q$104,MATCH($B16&amp;"-"&amp;T$7,SUP!$B$54:$Q$54,0),FALSE),""))</f>
        <v/>
      </c>
      <c r="U16" s="441" t="str">
        <f ca="1">IF(IFERROR(VLOOKUP($C16,SUP!$B$54:$Q$104,MATCH($B16&amp;"-"&amp;U$7,SUP!$B$54:$Q$54,0),FALSE),"")="","",IFERROR(VLOOKUP($C16,SUP!$B$54:$Q$104,MATCH($B16&amp;"-"&amp;U$7,SUP!$B$54:$Q$54,0),FALSE),""))</f>
        <v/>
      </c>
      <c r="V16" s="441" t="str">
        <f ca="1">IF(IFERROR(VLOOKUP($C16,SUP!$B$54:$Q$104,MATCH($B16&amp;"-"&amp;V$7,SUP!$B$54:$Q$54,0),FALSE),"")="","",IFERROR(VLOOKUP($C16,SUP!$B$54:$Q$104,MATCH($B16&amp;"-"&amp;V$7,SUP!$B$54:$Q$54,0),FALSE),""))</f>
        <v/>
      </c>
      <c r="W16" s="441" t="str">
        <f ca="1">IF(IFERROR(VLOOKUP($C16,SUP!$B$54:$Q$104,MATCH($B16&amp;"-"&amp;W$7,SUP!$B$54:$Q$54,0),FALSE),"")="","",IFERROR(VLOOKUP($C16,SUP!$B$54:$Q$104,MATCH($B16&amp;"-"&amp;W$7,SUP!$B$54:$Q$54,0),FALSE),""))</f>
        <v/>
      </c>
      <c r="X16" s="441" t="str">
        <f ca="1">IF(IFERROR(VLOOKUP($C16,SUP!$B$54:$Q$104,MATCH($B16&amp;"-"&amp;X$7,SUP!$B$54:$Q$54,0),FALSE),"")="","",IFERROR(VLOOKUP($C16,SUP!$B$54:$Q$104,MATCH($B16&amp;"-"&amp;X$7,SUP!$B$54:$Q$54,0),FALSE),""))</f>
        <v/>
      </c>
      <c r="Y16" s="441" t="str">
        <f ca="1">IF(IFERROR(VLOOKUP($C16,SUP!$B$54:$Q$104,MATCH($B16&amp;"-"&amp;Y$7,SUP!$B$54:$Q$54,0),FALSE),"")="","",IFERROR(VLOOKUP($C16,SUP!$B$54:$Q$104,MATCH($B16&amp;"-"&amp;Y$7,SUP!$B$54:$Q$54,0),FALSE),""))</f>
        <v/>
      </c>
      <c r="Z16" s="441" t="str">
        <f ca="1">IF(IFERROR(VLOOKUP($C16,SUP!$B$54:$Q$104,MATCH($B16&amp;"-"&amp;Z$7,SUP!$B$54:$Q$54,0),FALSE),"")="","",IFERROR(VLOOKUP($C16,SUP!$B$54:$Q$104,MATCH($B16&amp;"-"&amp;Z$7,SUP!$B$54:$Q$54,0),FALSE),""))</f>
        <v/>
      </c>
      <c r="AA16" s="441" t="str">
        <f ca="1">IF(IFERROR(VLOOKUP($C16,SUP!$B$54:$Q$104,MATCH($B16&amp;"-"&amp;AA$7,SUP!$B$54:$Q$54,0),FALSE),"")="","",IFERROR(VLOOKUP($C16,SUP!$B$54:$Q$104,MATCH($B16&amp;"-"&amp;AA$7,SUP!$B$54:$Q$54,0),FALSE),""))</f>
        <v/>
      </c>
      <c r="AB16" s="441" t="str">
        <f ca="1">IF(IFERROR(VLOOKUP($C16,SUP!$B$54:$Q$104,MATCH($B16&amp;"-"&amp;AB$7,SUP!$B$54:$Q$54,0),FALSE),"")="","",IFERROR(VLOOKUP($C16,SUP!$B$54:$Q$104,MATCH($B16&amp;"-"&amp;AB$7,SUP!$B$54:$Q$54,0),FALSE),""))</f>
        <v/>
      </c>
      <c r="AC16" s="441" t="str">
        <f ca="1">IF(IFERROR(VLOOKUP($C16,SUP!$B$54:$Q$104,MATCH($B16&amp;"-"&amp;AC$7,SUP!$B$54:$Q$54,0),FALSE),"")="","",IFERROR(VLOOKUP($C16,SUP!$B$54:$Q$104,MATCH($B16&amp;"-"&amp;AC$7,SUP!$B$54:$Q$54,0),FALSE),""))</f>
        <v/>
      </c>
      <c r="AD16" s="441" t="str">
        <f ca="1">IF(IFERROR(VLOOKUP($C16,SUP!$B$54:$Q$104,MATCH($B16&amp;"-"&amp;AD$7,SUP!$B$54:$Q$54,0),FALSE),"")="","",IFERROR(VLOOKUP($C16,SUP!$B$54:$Q$104,MATCH($B16&amp;"-"&amp;AD$7,SUP!$B$54:$Q$54,0),FALSE),""))</f>
        <v/>
      </c>
      <c r="AE16" s="441" t="str">
        <f ca="1">IF(IFERROR(VLOOKUP($C16,SUP!$B$54:$Q$104,MATCH($B16&amp;"-"&amp;AE$7,SUP!$B$54:$Q$54,0),FALSE),"")="","",IFERROR(VLOOKUP($C16,SUP!$B$54:$Q$104,MATCH($B16&amp;"-"&amp;AE$7,SUP!$B$54:$Q$54,0),FALSE),""))</f>
        <v/>
      </c>
      <c r="AF16" s="441" t="str">
        <f ca="1">IF(IFERROR(VLOOKUP($C16,SUP!$B$54:$Q$104,MATCH($B16&amp;"-"&amp;AF$7,SUP!$B$54:$Q$54,0),FALSE),"")="","",IFERROR(VLOOKUP($C16,SUP!$B$54:$Q$104,MATCH($B16&amp;"-"&amp;AF$7,SUP!$B$54:$Q$54,0),FALSE),""))</f>
        <v/>
      </c>
      <c r="AG16" s="441" t="str">
        <f ca="1">IF(IFERROR(VLOOKUP($C16,SUP!$B$54:$Q$104,MATCH($B16&amp;"-"&amp;AG$7,SUP!$B$54:$Q$54,0),FALSE),"")="","",IFERROR(VLOOKUP($C16,SUP!$B$54:$Q$104,MATCH($B16&amp;"-"&amp;AG$7,SUP!$B$54:$Q$54,0),FALSE),""))</f>
        <v/>
      </c>
      <c r="AH16" s="441" t="str">
        <f ca="1">IF(IFERROR(VLOOKUP($C16,SUP!$B$54:$Q$104,MATCH($B16&amp;"-"&amp;AH$7,SUP!$B$54:$Q$54,0),FALSE),"")="","",IFERROR(VLOOKUP($C16,SUP!$B$54:$Q$104,MATCH($B16&amp;"-"&amp;AH$7,SUP!$B$54:$Q$54,0),FALSE),""))</f>
        <v/>
      </c>
      <c r="AI16" s="441"/>
      <c r="AJ16" s="441"/>
      <c r="AK16" s="441"/>
      <c r="AL16" s="441"/>
      <c r="AM16" s="441" t="str">
        <f ca="1">IF(IFERROR(VLOOKUP($C16,SUP!$B$54:$Q$104,MATCH($B16&amp;"-"&amp;AM$7,SUP!$B$54:$Q$54,0),FALSE),"")="","",IFERROR(VLOOKUP($C16,SUP!$B$54:$Q$104,MATCH($B16&amp;"-"&amp;AM$7,SUP!$B$54:$Q$54,0),FALSE),""))</f>
        <v/>
      </c>
      <c r="AN16" s="441"/>
      <c r="AO16" s="441"/>
      <c r="AR16" s="42">
        <f>IF(AS15=SUP!$B$104,AR15+1,AR15)</f>
        <v>2</v>
      </c>
      <c r="AS16" s="42">
        <f t="shared" si="3"/>
        <v>40</v>
      </c>
    </row>
    <row r="17" spans="1:45">
      <c r="A17" s="42" t="str">
        <f ca="1">IF(LEFT(OFFSET(SUP!$A$57,AS17,0),2)="\I","*","")</f>
        <v/>
      </c>
      <c r="B17" s="440" t="str">
        <f t="shared" ca="1" si="1"/>
        <v>ACT_BND</v>
      </c>
      <c r="C17" s="440" t="str">
        <f ca="1">IF($A17="*","",OFFSET(SUP!$B$57,AS17,0))</f>
        <v>PEXOAG</v>
      </c>
      <c r="D17" s="440" t="str">
        <f t="shared" ca="1" si="2"/>
        <v>-</v>
      </c>
      <c r="E17" s="440" t="str">
        <f t="shared" ca="1" si="2"/>
        <v>-</v>
      </c>
      <c r="F17" s="440" t="str">
        <f t="shared" ca="1" si="2"/>
        <v>-</v>
      </c>
      <c r="G17" s="440" t="str">
        <f t="shared" ca="1" si="2"/>
        <v>ANNUAL</v>
      </c>
      <c r="H17" s="440" t="str">
        <f t="shared" si="4"/>
        <v>UP</v>
      </c>
      <c r="I17" s="441">
        <v>3</v>
      </c>
      <c r="J17" s="441">
        <f ca="1">IF(IFERROR(VLOOKUP($C17,SUP!$B$54:$Q$104,MATCH($B17&amp;"-"&amp;J$7,SUP!$B$54:$Q$54,0),FALSE),"")="","",IFERROR(VLOOKUP($C17,SUP!$B$54:$Q$104,MATCH($B17&amp;"-"&amp;J$7,SUP!$B$54:$Q$54,0),FALSE),""))</f>
        <v>0.22564281164383562</v>
      </c>
      <c r="K17" s="441" t="str">
        <f ca="1">IF(IFERROR(VLOOKUP($C17,SUP!$B$54:$Q$104,MATCH($B17&amp;"-"&amp;K$7,SUP!$B$54:$Q$54,0),FALSE),"")="","",IFERROR(VLOOKUP($C17,SUP!$B$54:$Q$104,MATCH($B17&amp;"-"&amp;K$7,SUP!$B$54:$Q$54,0),FALSE),""))</f>
        <v/>
      </c>
      <c r="L17" s="441" t="str">
        <f ca="1">IF(IFERROR(VLOOKUP($C17,SUP!$B$54:$Q$104,MATCH($B17&amp;"-"&amp;L$7,SUP!$B$54:$Q$54,0),FALSE),"")="","",IFERROR(VLOOKUP($C17,SUP!$B$54:$Q$104,MATCH($B17&amp;"-"&amp;L$7,SUP!$B$54:$Q$54,0),FALSE),""))</f>
        <v/>
      </c>
      <c r="M17" s="441" t="str">
        <f ca="1">IF(IFERROR(VLOOKUP($C17,SUP!$B$54:$Q$104,MATCH($B17&amp;"-"&amp;M$7,SUP!$B$54:$Q$54,0),FALSE),"")="","",IFERROR(VLOOKUP($C17,SUP!$B$54:$Q$104,MATCH($B17&amp;"-"&amp;M$7,SUP!$B$54:$Q$54,0),FALSE),""))</f>
        <v/>
      </c>
      <c r="N17" s="441" t="str">
        <f ca="1">IF(IFERROR(VLOOKUP($C17,SUP!$B$54:$Q$104,MATCH($B17&amp;"-"&amp;N$7,SUP!$B$54:$Q$54,0),FALSE),"")="","",IFERROR(VLOOKUP($C17,SUP!$B$54:$Q$104,MATCH($B17&amp;"-"&amp;N$7,SUP!$B$54:$Q$54,0),FALSE),""))</f>
        <v/>
      </c>
      <c r="O17" s="441" t="str">
        <f ca="1">IF(IFERROR(VLOOKUP($C17,SUP!$B$54:$Q$104,MATCH($B17&amp;"-"&amp;O$7,SUP!$B$54:$Q$54,0),FALSE),"")="","",IFERROR(VLOOKUP($C17,SUP!$B$54:$Q$104,MATCH($B17&amp;"-"&amp;O$7,SUP!$B$54:$Q$54,0),FALSE),""))</f>
        <v/>
      </c>
      <c r="P17" s="441" t="str">
        <f ca="1">IF(IFERROR(VLOOKUP($C17,SUP!$B$54:$Q$104,MATCH($B17&amp;"-"&amp;P$7,SUP!$B$54:$Q$54,0),FALSE),"")="","",IFERROR(VLOOKUP($C17,SUP!$B$54:$Q$104,MATCH($B17&amp;"-"&amp;P$7,SUP!$B$54:$Q$54,0),FALSE),""))</f>
        <v/>
      </c>
      <c r="Q17" s="441" t="str">
        <f ca="1">IF(IFERROR(VLOOKUP($C17,SUP!$B$54:$Q$104,MATCH($B17&amp;"-"&amp;Q$7,SUP!$B$54:$Q$54,0),FALSE),"")="","",IFERROR(VLOOKUP($C17,SUP!$B$54:$Q$104,MATCH($B17&amp;"-"&amp;Q$7,SUP!$B$54:$Q$54,0),FALSE),""))</f>
        <v/>
      </c>
      <c r="R17" s="441" t="str">
        <f ca="1">IF(IFERROR(VLOOKUP($C17,SUP!$B$54:$Q$104,MATCH($B17&amp;"-"&amp;R$7,SUP!$B$54:$Q$54,0),FALSE),"")="","",IFERROR(VLOOKUP($C17,SUP!$B$54:$Q$104,MATCH($B17&amp;"-"&amp;R$7,SUP!$B$54:$Q$54,0),FALSE),""))</f>
        <v/>
      </c>
      <c r="S17" s="441" t="str">
        <f ca="1">IF(IFERROR(VLOOKUP($C17,SUP!$B$54:$Q$104,MATCH($B17&amp;"-"&amp;S$7,SUP!$B$54:$Q$54,0),FALSE),"")="","",IFERROR(VLOOKUP($C17,SUP!$B$54:$Q$104,MATCH($B17&amp;"-"&amp;S$7,SUP!$B$54:$Q$54,0),FALSE),""))</f>
        <v/>
      </c>
      <c r="T17" s="441" t="str">
        <f ca="1">IF(IFERROR(VLOOKUP($C17,SUP!$B$54:$Q$104,MATCH($B17&amp;"-"&amp;T$7,SUP!$B$54:$Q$54,0),FALSE),"")="","",IFERROR(VLOOKUP($C17,SUP!$B$54:$Q$104,MATCH($B17&amp;"-"&amp;T$7,SUP!$B$54:$Q$54,0),FALSE),""))</f>
        <v/>
      </c>
      <c r="U17" s="441" t="str">
        <f ca="1">IF(IFERROR(VLOOKUP($C17,SUP!$B$54:$Q$104,MATCH($B17&amp;"-"&amp;U$7,SUP!$B$54:$Q$54,0),FALSE),"")="","",IFERROR(VLOOKUP($C17,SUP!$B$54:$Q$104,MATCH($B17&amp;"-"&amp;U$7,SUP!$B$54:$Q$54,0),FALSE),""))</f>
        <v/>
      </c>
      <c r="V17" s="441" t="str">
        <f ca="1">IF(IFERROR(VLOOKUP($C17,SUP!$B$54:$Q$104,MATCH($B17&amp;"-"&amp;V$7,SUP!$B$54:$Q$54,0),FALSE),"")="","",IFERROR(VLOOKUP($C17,SUP!$B$54:$Q$104,MATCH($B17&amp;"-"&amp;V$7,SUP!$B$54:$Q$54,0),FALSE),""))</f>
        <v/>
      </c>
      <c r="W17" s="441" t="str">
        <f ca="1">IF(IFERROR(VLOOKUP($C17,SUP!$B$54:$Q$104,MATCH($B17&amp;"-"&amp;W$7,SUP!$B$54:$Q$54,0),FALSE),"")="","",IFERROR(VLOOKUP($C17,SUP!$B$54:$Q$104,MATCH($B17&amp;"-"&amp;W$7,SUP!$B$54:$Q$54,0),FALSE),""))</f>
        <v/>
      </c>
      <c r="X17" s="441" t="str">
        <f ca="1">IF(IFERROR(VLOOKUP($C17,SUP!$B$54:$Q$104,MATCH($B17&amp;"-"&amp;X$7,SUP!$B$54:$Q$54,0),FALSE),"")="","",IFERROR(VLOOKUP($C17,SUP!$B$54:$Q$104,MATCH($B17&amp;"-"&amp;X$7,SUP!$B$54:$Q$54,0),FALSE),""))</f>
        <v/>
      </c>
      <c r="Y17" s="441" t="str">
        <f ca="1">IF(IFERROR(VLOOKUP($C17,SUP!$B$54:$Q$104,MATCH($B17&amp;"-"&amp;Y$7,SUP!$B$54:$Q$54,0),FALSE),"")="","",IFERROR(VLOOKUP($C17,SUP!$B$54:$Q$104,MATCH($B17&amp;"-"&amp;Y$7,SUP!$B$54:$Q$54,0),FALSE),""))</f>
        <v/>
      </c>
      <c r="Z17" s="441" t="str">
        <f ca="1">IF(IFERROR(VLOOKUP($C17,SUP!$B$54:$Q$104,MATCH($B17&amp;"-"&amp;Z$7,SUP!$B$54:$Q$54,0),FALSE),"")="","",IFERROR(VLOOKUP($C17,SUP!$B$54:$Q$104,MATCH($B17&amp;"-"&amp;Z$7,SUP!$B$54:$Q$54,0),FALSE),""))</f>
        <v/>
      </c>
      <c r="AA17" s="441" t="str">
        <f ca="1">IF(IFERROR(VLOOKUP($C17,SUP!$B$54:$Q$104,MATCH($B17&amp;"-"&amp;AA$7,SUP!$B$54:$Q$54,0),FALSE),"")="","",IFERROR(VLOOKUP($C17,SUP!$B$54:$Q$104,MATCH($B17&amp;"-"&amp;AA$7,SUP!$B$54:$Q$54,0),FALSE),""))</f>
        <v/>
      </c>
      <c r="AB17" s="441" t="str">
        <f ca="1">IF(IFERROR(VLOOKUP($C17,SUP!$B$54:$Q$104,MATCH($B17&amp;"-"&amp;AB$7,SUP!$B$54:$Q$54,0),FALSE),"")="","",IFERROR(VLOOKUP($C17,SUP!$B$54:$Q$104,MATCH($B17&amp;"-"&amp;AB$7,SUP!$B$54:$Q$54,0),FALSE),""))</f>
        <v/>
      </c>
      <c r="AC17" s="441" t="str">
        <f ca="1">IF(IFERROR(VLOOKUP($C17,SUP!$B$54:$Q$104,MATCH($B17&amp;"-"&amp;AC$7,SUP!$B$54:$Q$54,0),FALSE),"")="","",IFERROR(VLOOKUP($C17,SUP!$B$54:$Q$104,MATCH($B17&amp;"-"&amp;AC$7,SUP!$B$54:$Q$54,0),FALSE),""))</f>
        <v/>
      </c>
      <c r="AD17" s="441" t="str">
        <f ca="1">IF(IFERROR(VLOOKUP($C17,SUP!$B$54:$Q$104,MATCH($B17&amp;"-"&amp;AD$7,SUP!$B$54:$Q$54,0),FALSE),"")="","",IFERROR(VLOOKUP($C17,SUP!$B$54:$Q$104,MATCH($B17&amp;"-"&amp;AD$7,SUP!$B$54:$Q$54,0),FALSE),""))</f>
        <v/>
      </c>
      <c r="AE17" s="441" t="str">
        <f ca="1">IF(IFERROR(VLOOKUP($C17,SUP!$B$54:$Q$104,MATCH($B17&amp;"-"&amp;AE$7,SUP!$B$54:$Q$54,0),FALSE),"")="","",IFERROR(VLOOKUP($C17,SUP!$B$54:$Q$104,MATCH($B17&amp;"-"&amp;AE$7,SUP!$B$54:$Q$54,0),FALSE),""))</f>
        <v/>
      </c>
      <c r="AF17" s="441" t="str">
        <f ca="1">IF(IFERROR(VLOOKUP($C17,SUP!$B$54:$Q$104,MATCH($B17&amp;"-"&amp;AF$7,SUP!$B$54:$Q$54,0),FALSE),"")="","",IFERROR(VLOOKUP($C17,SUP!$B$54:$Q$104,MATCH($B17&amp;"-"&amp;AF$7,SUP!$B$54:$Q$54,0),FALSE),""))</f>
        <v/>
      </c>
      <c r="AG17" s="441" t="str">
        <f ca="1">IF(IFERROR(VLOOKUP($C17,SUP!$B$54:$Q$104,MATCH($B17&amp;"-"&amp;AG$7,SUP!$B$54:$Q$54,0),FALSE),"")="","",IFERROR(VLOOKUP($C17,SUP!$B$54:$Q$104,MATCH($B17&amp;"-"&amp;AG$7,SUP!$B$54:$Q$54,0),FALSE),""))</f>
        <v/>
      </c>
      <c r="AH17" s="441" t="str">
        <f ca="1">IF(IFERROR(VLOOKUP($C17,SUP!$B$54:$Q$104,MATCH($B17&amp;"-"&amp;AH$7,SUP!$B$54:$Q$54,0),FALSE),"")="","",IFERROR(VLOOKUP($C17,SUP!$B$54:$Q$104,MATCH($B17&amp;"-"&amp;AH$7,SUP!$B$54:$Q$54,0),FALSE),""))</f>
        <v/>
      </c>
      <c r="AI17" s="441"/>
      <c r="AJ17" s="441"/>
      <c r="AK17" s="441"/>
      <c r="AL17" s="441"/>
      <c r="AM17" s="441" t="str">
        <f ca="1">IF(IFERROR(VLOOKUP($C17,SUP!$B$54:$Q$104,MATCH($B17&amp;"-"&amp;AM$7,SUP!$B$54:$Q$54,0),FALSE),"")="","",IFERROR(VLOOKUP($C17,SUP!$B$54:$Q$104,MATCH($B17&amp;"-"&amp;AM$7,SUP!$B$54:$Q$54,0),FALSE),""))</f>
        <v/>
      </c>
      <c r="AN17" s="441"/>
      <c r="AO17" s="441"/>
      <c r="AR17" s="42">
        <f>IF(AS16=SUP!$B$104,AR16+1,AR16)</f>
        <v>2</v>
      </c>
      <c r="AS17" s="42">
        <f t="shared" si="3"/>
        <v>41</v>
      </c>
    </row>
    <row r="18" spans="1:45">
      <c r="A18" s="42" t="str">
        <f ca="1">IF(LEFT(OFFSET(SUP!$A$57,AS18,0),2)="\I","*","")</f>
        <v/>
      </c>
      <c r="B18" s="440" t="str">
        <f t="shared" ca="1" si="1"/>
        <v>ACT_BND</v>
      </c>
      <c r="C18" s="440" t="str">
        <f ca="1">IF($A18="*","",OFFSET(SUP!$B$57,AS18,0))</f>
        <v>PEXOCR</v>
      </c>
      <c r="D18" s="440" t="str">
        <f t="shared" ca="1" si="2"/>
        <v>-</v>
      </c>
      <c r="E18" s="440" t="str">
        <f t="shared" ca="1" si="2"/>
        <v>-</v>
      </c>
      <c r="F18" s="440" t="str">
        <f t="shared" ca="1" si="2"/>
        <v>-</v>
      </c>
      <c r="G18" s="440" t="str">
        <f t="shared" ca="1" si="2"/>
        <v>ANNUAL</v>
      </c>
      <c r="H18" s="440" t="str">
        <f t="shared" si="4"/>
        <v>UP</v>
      </c>
      <c r="I18" s="441">
        <v>3</v>
      </c>
      <c r="J18" s="441">
        <f ca="1">IF(IFERROR(VLOOKUP($C18,SUP!$B$54:$Q$104,MATCH($B18&amp;"-"&amp;J$7,SUP!$B$54:$Q$54,0),FALSE),"")="","",IFERROR(VLOOKUP($C18,SUP!$B$54:$Q$104,MATCH($B18&amp;"-"&amp;J$7,SUP!$B$54:$Q$54,0),FALSE),""))</f>
        <v>20.83803412968</v>
      </c>
      <c r="K18" s="441" t="str">
        <f ca="1">IF(IFERROR(VLOOKUP($C18,SUP!$B$54:$Q$104,MATCH($B18&amp;"-"&amp;K$7,SUP!$B$54:$Q$54,0),FALSE),"")="","",IFERROR(VLOOKUP($C18,SUP!$B$54:$Q$104,MATCH($B18&amp;"-"&amp;K$7,SUP!$B$54:$Q$54,0),FALSE),""))</f>
        <v/>
      </c>
      <c r="L18" s="441" t="str">
        <f ca="1">IF(IFERROR(VLOOKUP($C18,SUP!$B$54:$Q$104,MATCH($B18&amp;"-"&amp;L$7,SUP!$B$54:$Q$54,0),FALSE),"")="","",IFERROR(VLOOKUP($C18,SUP!$B$54:$Q$104,MATCH($B18&amp;"-"&amp;L$7,SUP!$B$54:$Q$54,0),FALSE),""))</f>
        <v/>
      </c>
      <c r="M18" s="441" t="str">
        <f ca="1">IF(IFERROR(VLOOKUP($C18,SUP!$B$54:$Q$104,MATCH($B18&amp;"-"&amp;M$7,SUP!$B$54:$Q$54,0),FALSE),"")="","",IFERROR(VLOOKUP($C18,SUP!$B$54:$Q$104,MATCH($B18&amp;"-"&amp;M$7,SUP!$B$54:$Q$54,0),FALSE),""))</f>
        <v/>
      </c>
      <c r="N18" s="441" t="str">
        <f ca="1">IF(IFERROR(VLOOKUP($C18,SUP!$B$54:$Q$104,MATCH($B18&amp;"-"&amp;N$7,SUP!$B$54:$Q$54,0),FALSE),"")="","",IFERROR(VLOOKUP($C18,SUP!$B$54:$Q$104,MATCH($B18&amp;"-"&amp;N$7,SUP!$B$54:$Q$54,0),FALSE),""))</f>
        <v/>
      </c>
      <c r="O18" s="441" t="str">
        <f ca="1">IF(IFERROR(VLOOKUP($C18,SUP!$B$54:$Q$104,MATCH($B18&amp;"-"&amp;O$7,SUP!$B$54:$Q$54,0),FALSE),"")="","",IFERROR(VLOOKUP($C18,SUP!$B$54:$Q$104,MATCH($B18&amp;"-"&amp;O$7,SUP!$B$54:$Q$54,0),FALSE),""))</f>
        <v/>
      </c>
      <c r="P18" s="441" t="str">
        <f ca="1">IF(IFERROR(VLOOKUP($C18,SUP!$B$54:$Q$104,MATCH($B18&amp;"-"&amp;P$7,SUP!$B$54:$Q$54,0),FALSE),"")="","",IFERROR(VLOOKUP($C18,SUP!$B$54:$Q$104,MATCH($B18&amp;"-"&amp;P$7,SUP!$B$54:$Q$54,0),FALSE),""))</f>
        <v/>
      </c>
      <c r="Q18" s="441" t="str">
        <f ca="1">IF(IFERROR(VLOOKUP($C18,SUP!$B$54:$Q$104,MATCH($B18&amp;"-"&amp;Q$7,SUP!$B$54:$Q$54,0),FALSE),"")="","",IFERROR(VLOOKUP($C18,SUP!$B$54:$Q$104,MATCH($B18&amp;"-"&amp;Q$7,SUP!$B$54:$Q$54,0),FALSE),""))</f>
        <v/>
      </c>
      <c r="R18" s="441" t="str">
        <f ca="1">IF(IFERROR(VLOOKUP($C18,SUP!$B$54:$Q$104,MATCH($B18&amp;"-"&amp;R$7,SUP!$B$54:$Q$54,0),FALSE),"")="","",IFERROR(VLOOKUP($C18,SUP!$B$54:$Q$104,MATCH($B18&amp;"-"&amp;R$7,SUP!$B$54:$Q$54,0),FALSE),""))</f>
        <v/>
      </c>
      <c r="S18" s="441" t="str">
        <f ca="1">IF(IFERROR(VLOOKUP($C18,SUP!$B$54:$Q$104,MATCH($B18&amp;"-"&amp;S$7,SUP!$B$54:$Q$54,0),FALSE),"")="","",IFERROR(VLOOKUP($C18,SUP!$B$54:$Q$104,MATCH($B18&amp;"-"&amp;S$7,SUP!$B$54:$Q$54,0),FALSE),""))</f>
        <v/>
      </c>
      <c r="T18" s="441" t="str">
        <f ca="1">IF(IFERROR(VLOOKUP($C18,SUP!$B$54:$Q$104,MATCH($B18&amp;"-"&amp;T$7,SUP!$B$54:$Q$54,0),FALSE),"")="","",IFERROR(VLOOKUP($C18,SUP!$B$54:$Q$104,MATCH($B18&amp;"-"&amp;T$7,SUP!$B$54:$Q$54,0),FALSE),""))</f>
        <v/>
      </c>
      <c r="U18" s="441" t="str">
        <f ca="1">IF(IFERROR(VLOOKUP($C18,SUP!$B$54:$Q$104,MATCH($B18&amp;"-"&amp;U$7,SUP!$B$54:$Q$54,0),FALSE),"")="","",IFERROR(VLOOKUP($C18,SUP!$B$54:$Q$104,MATCH($B18&amp;"-"&amp;U$7,SUP!$B$54:$Q$54,0),FALSE),""))</f>
        <v/>
      </c>
      <c r="V18" s="441" t="str">
        <f ca="1">IF(IFERROR(VLOOKUP($C18,SUP!$B$54:$Q$104,MATCH($B18&amp;"-"&amp;V$7,SUP!$B$54:$Q$54,0),FALSE),"")="","",IFERROR(VLOOKUP($C18,SUP!$B$54:$Q$104,MATCH($B18&amp;"-"&amp;V$7,SUP!$B$54:$Q$54,0),FALSE),""))</f>
        <v/>
      </c>
      <c r="W18" s="441" t="str">
        <f ca="1">IF(IFERROR(VLOOKUP($C18,SUP!$B$54:$Q$104,MATCH($B18&amp;"-"&amp;W$7,SUP!$B$54:$Q$54,0),FALSE),"")="","",IFERROR(VLOOKUP($C18,SUP!$B$54:$Q$104,MATCH($B18&amp;"-"&amp;W$7,SUP!$B$54:$Q$54,0),FALSE),""))</f>
        <v/>
      </c>
      <c r="X18" s="441" t="str">
        <f ca="1">IF(IFERROR(VLOOKUP($C18,SUP!$B$54:$Q$104,MATCH($B18&amp;"-"&amp;X$7,SUP!$B$54:$Q$54,0),FALSE),"")="","",IFERROR(VLOOKUP($C18,SUP!$B$54:$Q$104,MATCH($B18&amp;"-"&amp;X$7,SUP!$B$54:$Q$54,0),FALSE),""))</f>
        <v/>
      </c>
      <c r="Y18" s="441" t="str">
        <f ca="1">IF(IFERROR(VLOOKUP($C18,SUP!$B$54:$Q$104,MATCH($B18&amp;"-"&amp;Y$7,SUP!$B$54:$Q$54,0),FALSE),"")="","",IFERROR(VLOOKUP($C18,SUP!$B$54:$Q$104,MATCH($B18&amp;"-"&amp;Y$7,SUP!$B$54:$Q$54,0),FALSE),""))</f>
        <v/>
      </c>
      <c r="Z18" s="441" t="str">
        <f ca="1">IF(IFERROR(VLOOKUP($C18,SUP!$B$54:$Q$104,MATCH($B18&amp;"-"&amp;Z$7,SUP!$B$54:$Q$54,0),FALSE),"")="","",IFERROR(VLOOKUP($C18,SUP!$B$54:$Q$104,MATCH($B18&amp;"-"&amp;Z$7,SUP!$B$54:$Q$54,0),FALSE),""))</f>
        <v/>
      </c>
      <c r="AA18" s="441" t="str">
        <f ca="1">IF(IFERROR(VLOOKUP($C18,SUP!$B$54:$Q$104,MATCH($B18&amp;"-"&amp;AA$7,SUP!$B$54:$Q$54,0),FALSE),"")="","",IFERROR(VLOOKUP($C18,SUP!$B$54:$Q$104,MATCH($B18&amp;"-"&amp;AA$7,SUP!$B$54:$Q$54,0),FALSE),""))</f>
        <v/>
      </c>
      <c r="AB18" s="441" t="str">
        <f ca="1">IF(IFERROR(VLOOKUP($C18,SUP!$B$54:$Q$104,MATCH($B18&amp;"-"&amp;AB$7,SUP!$B$54:$Q$54,0),FALSE),"")="","",IFERROR(VLOOKUP($C18,SUP!$B$54:$Q$104,MATCH($B18&amp;"-"&amp;AB$7,SUP!$B$54:$Q$54,0),FALSE),""))</f>
        <v/>
      </c>
      <c r="AC18" s="441" t="str">
        <f ca="1">IF(IFERROR(VLOOKUP($C18,SUP!$B$54:$Q$104,MATCH($B18&amp;"-"&amp;AC$7,SUP!$B$54:$Q$54,0),FALSE),"")="","",IFERROR(VLOOKUP($C18,SUP!$B$54:$Q$104,MATCH($B18&amp;"-"&amp;AC$7,SUP!$B$54:$Q$54,0),FALSE),""))</f>
        <v/>
      </c>
      <c r="AD18" s="441" t="str">
        <f ca="1">IF(IFERROR(VLOOKUP($C18,SUP!$B$54:$Q$104,MATCH($B18&amp;"-"&amp;AD$7,SUP!$B$54:$Q$54,0),FALSE),"")="","",IFERROR(VLOOKUP($C18,SUP!$B$54:$Q$104,MATCH($B18&amp;"-"&amp;AD$7,SUP!$B$54:$Q$54,0),FALSE),""))</f>
        <v/>
      </c>
      <c r="AE18" s="441" t="str">
        <f ca="1">IF(IFERROR(VLOOKUP($C18,SUP!$B$54:$Q$104,MATCH($B18&amp;"-"&amp;AE$7,SUP!$B$54:$Q$54,0),FALSE),"")="","",IFERROR(VLOOKUP($C18,SUP!$B$54:$Q$104,MATCH($B18&amp;"-"&amp;AE$7,SUP!$B$54:$Q$54,0),FALSE),""))</f>
        <v/>
      </c>
      <c r="AF18" s="441" t="str">
        <f ca="1">IF(IFERROR(VLOOKUP($C18,SUP!$B$54:$Q$104,MATCH($B18&amp;"-"&amp;AF$7,SUP!$B$54:$Q$54,0),FALSE),"")="","",IFERROR(VLOOKUP($C18,SUP!$B$54:$Q$104,MATCH($B18&amp;"-"&amp;AF$7,SUP!$B$54:$Q$54,0),FALSE),""))</f>
        <v/>
      </c>
      <c r="AG18" s="441" t="str">
        <f ca="1">IF(IFERROR(VLOOKUP($C18,SUP!$B$54:$Q$104,MATCH($B18&amp;"-"&amp;AG$7,SUP!$B$54:$Q$54,0),FALSE),"")="","",IFERROR(VLOOKUP($C18,SUP!$B$54:$Q$104,MATCH($B18&amp;"-"&amp;AG$7,SUP!$B$54:$Q$54,0),FALSE),""))</f>
        <v/>
      </c>
      <c r="AH18" s="441" t="str">
        <f ca="1">IF(IFERROR(VLOOKUP($C18,SUP!$B$54:$Q$104,MATCH($B18&amp;"-"&amp;AH$7,SUP!$B$54:$Q$54,0),FALSE),"")="","",IFERROR(VLOOKUP($C18,SUP!$B$54:$Q$104,MATCH($B18&amp;"-"&amp;AH$7,SUP!$B$54:$Q$54,0),FALSE),""))</f>
        <v/>
      </c>
      <c r="AI18" s="441"/>
      <c r="AJ18" s="441"/>
      <c r="AK18" s="441"/>
      <c r="AL18" s="441"/>
      <c r="AM18" s="441" t="str">
        <f ca="1">IF(IFERROR(VLOOKUP($C18,SUP!$B$54:$Q$104,MATCH($B18&amp;"-"&amp;AM$7,SUP!$B$54:$Q$54,0),FALSE),"")="","",IFERROR(VLOOKUP($C18,SUP!$B$54:$Q$104,MATCH($B18&amp;"-"&amp;AM$7,SUP!$B$54:$Q$54,0),FALSE),""))</f>
        <v/>
      </c>
      <c r="AN18" s="441"/>
      <c r="AO18" s="441"/>
      <c r="AR18" s="42">
        <f>IF(AS17=SUP!$B$104,AR17+1,AR17)</f>
        <v>2</v>
      </c>
      <c r="AS18" s="42">
        <f t="shared" si="3"/>
        <v>42</v>
      </c>
    </row>
    <row r="19" spans="1:45">
      <c r="A19" s="42" t="str">
        <f ca="1">IF(LEFT(OFFSET(SUP!$A$57,AS19,0),2)="\I","*","")</f>
        <v/>
      </c>
      <c r="B19" s="440" t="str">
        <f t="shared" ca="1" si="1"/>
        <v>ACT_BND</v>
      </c>
      <c r="C19" s="440" t="str">
        <f ca="1">IF($A19="*","",OFFSET(SUP!$B$57,AS19,0))</f>
        <v>PEXODS</v>
      </c>
      <c r="D19" s="440" t="str">
        <f t="shared" ca="1" si="2"/>
        <v>-</v>
      </c>
      <c r="E19" s="440" t="str">
        <f t="shared" ca="1" si="2"/>
        <v>-</v>
      </c>
      <c r="F19" s="440" t="str">
        <f t="shared" ca="1" si="2"/>
        <v>-</v>
      </c>
      <c r="G19" s="440" t="str">
        <f t="shared" ca="1" si="2"/>
        <v>ANNUAL</v>
      </c>
      <c r="H19" s="440" t="str">
        <f t="shared" si="4"/>
        <v>UP</v>
      </c>
      <c r="I19" s="441">
        <v>3</v>
      </c>
      <c r="J19" s="441">
        <f ca="1">IF(IFERROR(VLOOKUP($C19,SUP!$B$54:$Q$104,MATCH($B19&amp;"-"&amp;J$7,SUP!$B$54:$Q$54,0),FALSE),"")="","",IFERROR(VLOOKUP($C19,SUP!$B$54:$Q$104,MATCH($B19&amp;"-"&amp;J$7,SUP!$B$54:$Q$54,0),FALSE),""))</f>
        <v>28.73659252275862</v>
      </c>
      <c r="K19" s="441" t="str">
        <f ca="1">IF(IFERROR(VLOOKUP($C19,SUP!$B$54:$Q$104,MATCH($B19&amp;"-"&amp;K$7,SUP!$B$54:$Q$54,0),FALSE),"")="","",IFERROR(VLOOKUP($C19,SUP!$B$54:$Q$104,MATCH($B19&amp;"-"&amp;K$7,SUP!$B$54:$Q$54,0),FALSE),""))</f>
        <v/>
      </c>
      <c r="L19" s="441" t="str">
        <f ca="1">IF(IFERROR(VLOOKUP($C19,SUP!$B$54:$Q$104,MATCH($B19&amp;"-"&amp;L$7,SUP!$B$54:$Q$54,0),FALSE),"")="","",IFERROR(VLOOKUP($C19,SUP!$B$54:$Q$104,MATCH($B19&amp;"-"&amp;L$7,SUP!$B$54:$Q$54,0),FALSE),""))</f>
        <v/>
      </c>
      <c r="M19" s="441" t="str">
        <f ca="1">IF(IFERROR(VLOOKUP($C19,SUP!$B$54:$Q$104,MATCH($B19&amp;"-"&amp;M$7,SUP!$B$54:$Q$54,0),FALSE),"")="","",IFERROR(VLOOKUP($C19,SUP!$B$54:$Q$104,MATCH($B19&amp;"-"&amp;M$7,SUP!$B$54:$Q$54,0),FALSE),""))</f>
        <v/>
      </c>
      <c r="N19" s="441" t="str">
        <f ca="1">IF(IFERROR(VLOOKUP($C19,SUP!$B$54:$Q$104,MATCH($B19&amp;"-"&amp;N$7,SUP!$B$54:$Q$54,0),FALSE),"")="","",IFERROR(VLOOKUP($C19,SUP!$B$54:$Q$104,MATCH($B19&amp;"-"&amp;N$7,SUP!$B$54:$Q$54,0),FALSE),""))</f>
        <v/>
      </c>
      <c r="O19" s="441" t="str">
        <f ca="1">IF(IFERROR(VLOOKUP($C19,SUP!$B$54:$Q$104,MATCH($B19&amp;"-"&amp;O$7,SUP!$B$54:$Q$54,0),FALSE),"")="","",IFERROR(VLOOKUP($C19,SUP!$B$54:$Q$104,MATCH($B19&amp;"-"&amp;O$7,SUP!$B$54:$Q$54,0),FALSE),""))</f>
        <v/>
      </c>
      <c r="P19" s="441" t="str">
        <f ca="1">IF(IFERROR(VLOOKUP($C19,SUP!$B$54:$Q$104,MATCH($B19&amp;"-"&amp;P$7,SUP!$B$54:$Q$54,0),FALSE),"")="","",IFERROR(VLOOKUP($C19,SUP!$B$54:$Q$104,MATCH($B19&amp;"-"&amp;P$7,SUP!$B$54:$Q$54,0),FALSE),""))</f>
        <v/>
      </c>
      <c r="Q19" s="441" t="str">
        <f ca="1">IF(IFERROR(VLOOKUP($C19,SUP!$B$54:$Q$104,MATCH($B19&amp;"-"&amp;Q$7,SUP!$B$54:$Q$54,0),FALSE),"")="","",IFERROR(VLOOKUP($C19,SUP!$B$54:$Q$104,MATCH($B19&amp;"-"&amp;Q$7,SUP!$B$54:$Q$54,0),FALSE),""))</f>
        <v/>
      </c>
      <c r="R19" s="441" t="str">
        <f ca="1">IF(IFERROR(VLOOKUP($C19,SUP!$B$54:$Q$104,MATCH($B19&amp;"-"&amp;R$7,SUP!$B$54:$Q$54,0),FALSE),"")="","",IFERROR(VLOOKUP($C19,SUP!$B$54:$Q$104,MATCH($B19&amp;"-"&amp;R$7,SUP!$B$54:$Q$54,0),FALSE),""))</f>
        <v/>
      </c>
      <c r="S19" s="441" t="str">
        <f ca="1">IF(IFERROR(VLOOKUP($C19,SUP!$B$54:$Q$104,MATCH($B19&amp;"-"&amp;S$7,SUP!$B$54:$Q$54,0),FALSE),"")="","",IFERROR(VLOOKUP($C19,SUP!$B$54:$Q$104,MATCH($B19&amp;"-"&amp;S$7,SUP!$B$54:$Q$54,0),FALSE),""))</f>
        <v/>
      </c>
      <c r="T19" s="441" t="str">
        <f ca="1">IF(IFERROR(VLOOKUP($C19,SUP!$B$54:$Q$104,MATCH($B19&amp;"-"&amp;T$7,SUP!$B$54:$Q$54,0),FALSE),"")="","",IFERROR(VLOOKUP($C19,SUP!$B$54:$Q$104,MATCH($B19&amp;"-"&amp;T$7,SUP!$B$54:$Q$54,0),FALSE),""))</f>
        <v/>
      </c>
      <c r="U19" s="441" t="str">
        <f ca="1">IF(IFERROR(VLOOKUP($C19,SUP!$B$54:$Q$104,MATCH($B19&amp;"-"&amp;U$7,SUP!$B$54:$Q$54,0),FALSE),"")="","",IFERROR(VLOOKUP($C19,SUP!$B$54:$Q$104,MATCH($B19&amp;"-"&amp;U$7,SUP!$B$54:$Q$54,0),FALSE),""))</f>
        <v/>
      </c>
      <c r="V19" s="441" t="str">
        <f ca="1">IF(IFERROR(VLOOKUP($C19,SUP!$B$54:$Q$104,MATCH($B19&amp;"-"&amp;V$7,SUP!$B$54:$Q$54,0),FALSE),"")="","",IFERROR(VLOOKUP($C19,SUP!$B$54:$Q$104,MATCH($B19&amp;"-"&amp;V$7,SUP!$B$54:$Q$54,0),FALSE),""))</f>
        <v/>
      </c>
      <c r="W19" s="441" t="str">
        <f ca="1">IF(IFERROR(VLOOKUP($C19,SUP!$B$54:$Q$104,MATCH($B19&amp;"-"&amp;W$7,SUP!$B$54:$Q$54,0),FALSE),"")="","",IFERROR(VLOOKUP($C19,SUP!$B$54:$Q$104,MATCH($B19&amp;"-"&amp;W$7,SUP!$B$54:$Q$54,0),FALSE),""))</f>
        <v/>
      </c>
      <c r="X19" s="441" t="str">
        <f ca="1">IF(IFERROR(VLOOKUP($C19,SUP!$B$54:$Q$104,MATCH($B19&amp;"-"&amp;X$7,SUP!$B$54:$Q$54,0),FALSE),"")="","",IFERROR(VLOOKUP($C19,SUP!$B$54:$Q$104,MATCH($B19&amp;"-"&amp;X$7,SUP!$B$54:$Q$54,0),FALSE),""))</f>
        <v/>
      </c>
      <c r="Y19" s="441" t="str">
        <f ca="1">IF(IFERROR(VLOOKUP($C19,SUP!$B$54:$Q$104,MATCH($B19&amp;"-"&amp;Y$7,SUP!$B$54:$Q$54,0),FALSE),"")="","",IFERROR(VLOOKUP($C19,SUP!$B$54:$Q$104,MATCH($B19&amp;"-"&amp;Y$7,SUP!$B$54:$Q$54,0),FALSE),""))</f>
        <v/>
      </c>
      <c r="Z19" s="441" t="str">
        <f ca="1">IF(IFERROR(VLOOKUP($C19,SUP!$B$54:$Q$104,MATCH($B19&amp;"-"&amp;Z$7,SUP!$B$54:$Q$54,0),FALSE),"")="","",IFERROR(VLOOKUP($C19,SUP!$B$54:$Q$104,MATCH($B19&amp;"-"&amp;Z$7,SUP!$B$54:$Q$54,0),FALSE),""))</f>
        <v/>
      </c>
      <c r="AA19" s="441" t="str">
        <f ca="1">IF(IFERROR(VLOOKUP($C19,SUP!$B$54:$Q$104,MATCH($B19&amp;"-"&amp;AA$7,SUP!$B$54:$Q$54,0),FALSE),"")="","",IFERROR(VLOOKUP($C19,SUP!$B$54:$Q$104,MATCH($B19&amp;"-"&amp;AA$7,SUP!$B$54:$Q$54,0),FALSE),""))</f>
        <v/>
      </c>
      <c r="AB19" s="441" t="str">
        <f ca="1">IF(IFERROR(VLOOKUP($C19,SUP!$B$54:$Q$104,MATCH($B19&amp;"-"&amp;AB$7,SUP!$B$54:$Q$54,0),FALSE),"")="","",IFERROR(VLOOKUP($C19,SUP!$B$54:$Q$104,MATCH($B19&amp;"-"&amp;AB$7,SUP!$B$54:$Q$54,0),FALSE),""))</f>
        <v/>
      </c>
      <c r="AC19" s="441" t="str">
        <f ca="1">IF(IFERROR(VLOOKUP($C19,SUP!$B$54:$Q$104,MATCH($B19&amp;"-"&amp;AC$7,SUP!$B$54:$Q$54,0),FALSE),"")="","",IFERROR(VLOOKUP($C19,SUP!$B$54:$Q$104,MATCH($B19&amp;"-"&amp;AC$7,SUP!$B$54:$Q$54,0),FALSE),""))</f>
        <v/>
      </c>
      <c r="AD19" s="441" t="str">
        <f ca="1">IF(IFERROR(VLOOKUP($C19,SUP!$B$54:$Q$104,MATCH($B19&amp;"-"&amp;AD$7,SUP!$B$54:$Q$54,0),FALSE),"")="","",IFERROR(VLOOKUP($C19,SUP!$B$54:$Q$104,MATCH($B19&amp;"-"&amp;AD$7,SUP!$B$54:$Q$54,0),FALSE),""))</f>
        <v/>
      </c>
      <c r="AE19" s="441" t="str">
        <f ca="1">IF(IFERROR(VLOOKUP($C19,SUP!$B$54:$Q$104,MATCH($B19&amp;"-"&amp;AE$7,SUP!$B$54:$Q$54,0),FALSE),"")="","",IFERROR(VLOOKUP($C19,SUP!$B$54:$Q$104,MATCH($B19&amp;"-"&amp;AE$7,SUP!$B$54:$Q$54,0),FALSE),""))</f>
        <v/>
      </c>
      <c r="AF19" s="441" t="str">
        <f ca="1">IF(IFERROR(VLOOKUP($C19,SUP!$B$54:$Q$104,MATCH($B19&amp;"-"&amp;AF$7,SUP!$B$54:$Q$54,0),FALSE),"")="","",IFERROR(VLOOKUP($C19,SUP!$B$54:$Q$104,MATCH($B19&amp;"-"&amp;AF$7,SUP!$B$54:$Q$54,0),FALSE),""))</f>
        <v/>
      </c>
      <c r="AG19" s="441" t="str">
        <f ca="1">IF(IFERROR(VLOOKUP($C19,SUP!$B$54:$Q$104,MATCH($B19&amp;"-"&amp;AG$7,SUP!$B$54:$Q$54,0),FALSE),"")="","",IFERROR(VLOOKUP($C19,SUP!$B$54:$Q$104,MATCH($B19&amp;"-"&amp;AG$7,SUP!$B$54:$Q$54,0),FALSE),""))</f>
        <v/>
      </c>
      <c r="AH19" s="441" t="str">
        <f ca="1">IF(IFERROR(VLOOKUP($C19,SUP!$B$54:$Q$104,MATCH($B19&amp;"-"&amp;AH$7,SUP!$B$54:$Q$54,0),FALSE),"")="","",IFERROR(VLOOKUP($C19,SUP!$B$54:$Q$104,MATCH($B19&amp;"-"&amp;AH$7,SUP!$B$54:$Q$54,0),FALSE),""))</f>
        <v/>
      </c>
      <c r="AI19" s="441"/>
      <c r="AJ19" s="441"/>
      <c r="AK19" s="441"/>
      <c r="AL19" s="441"/>
      <c r="AM19" s="441" t="str">
        <f ca="1">IF(IFERROR(VLOOKUP($C19,SUP!$B$54:$Q$104,MATCH($B19&amp;"-"&amp;AM$7,SUP!$B$54:$Q$54,0),FALSE),"")="","",IFERROR(VLOOKUP($C19,SUP!$B$54:$Q$104,MATCH($B19&amp;"-"&amp;AM$7,SUP!$B$54:$Q$54,0),FALSE),""))</f>
        <v/>
      </c>
      <c r="AN19" s="441"/>
      <c r="AO19" s="441"/>
      <c r="AR19" s="42">
        <f>IF(AS18=SUP!$B$104,AR18+1,AR18)</f>
        <v>2</v>
      </c>
      <c r="AS19" s="42">
        <f t="shared" si="3"/>
        <v>43</v>
      </c>
    </row>
    <row r="20" spans="1:45">
      <c r="A20" s="42" t="str">
        <f ca="1">IF(LEFT(OFFSET(SUP!$A$57,AS20,0),2)="\I","*","")</f>
        <v/>
      </c>
      <c r="B20" s="440" t="str">
        <f t="shared" ca="1" si="1"/>
        <v>ACT_BND</v>
      </c>
      <c r="C20" s="440" t="str">
        <f ca="1">IF($A20="*","",OFFSET(SUP!$B$57,AS20,0))</f>
        <v>PEXOGS</v>
      </c>
      <c r="D20" s="440" t="str">
        <f t="shared" ca="1" si="2"/>
        <v>-</v>
      </c>
      <c r="E20" s="440" t="str">
        <f t="shared" ca="1" si="2"/>
        <v>-</v>
      </c>
      <c r="F20" s="440" t="str">
        <f t="shared" ca="1" si="2"/>
        <v>-</v>
      </c>
      <c r="G20" s="440" t="str">
        <f t="shared" ca="1" si="2"/>
        <v>ANNUAL</v>
      </c>
      <c r="H20" s="440" t="str">
        <f t="shared" si="4"/>
        <v>UP</v>
      </c>
      <c r="I20" s="441">
        <v>3</v>
      </c>
      <c r="J20" s="441">
        <f ca="1">IF(IFERROR(VLOOKUP($C20,SUP!$B$54:$Q$104,MATCH($B20&amp;"-"&amp;J$7,SUP!$B$54:$Q$54,0),FALSE),"")="","",IFERROR(VLOOKUP($C20,SUP!$B$54:$Q$104,MATCH($B20&amp;"-"&amp;J$7,SUP!$B$54:$Q$54,0),FALSE),""))</f>
        <v>3.5488458656756761</v>
      </c>
      <c r="K20" s="441" t="str">
        <f ca="1">IF(IFERROR(VLOOKUP($C20,SUP!$B$54:$Q$104,MATCH($B20&amp;"-"&amp;K$7,SUP!$B$54:$Q$54,0),FALSE),"")="","",IFERROR(VLOOKUP($C20,SUP!$B$54:$Q$104,MATCH($B20&amp;"-"&amp;K$7,SUP!$B$54:$Q$54,0),FALSE),""))</f>
        <v/>
      </c>
      <c r="L20" s="441" t="str">
        <f ca="1">IF(IFERROR(VLOOKUP($C20,SUP!$B$54:$Q$104,MATCH($B20&amp;"-"&amp;L$7,SUP!$B$54:$Q$54,0),FALSE),"")="","",IFERROR(VLOOKUP($C20,SUP!$B$54:$Q$104,MATCH($B20&amp;"-"&amp;L$7,SUP!$B$54:$Q$54,0),FALSE),""))</f>
        <v/>
      </c>
      <c r="M20" s="441" t="str">
        <f ca="1">IF(IFERROR(VLOOKUP($C20,SUP!$B$54:$Q$104,MATCH($B20&amp;"-"&amp;M$7,SUP!$B$54:$Q$54,0),FALSE),"")="","",IFERROR(VLOOKUP($C20,SUP!$B$54:$Q$104,MATCH($B20&amp;"-"&amp;M$7,SUP!$B$54:$Q$54,0),FALSE),""))</f>
        <v/>
      </c>
      <c r="N20" s="441" t="str">
        <f ca="1">IF(IFERROR(VLOOKUP($C20,SUP!$B$54:$Q$104,MATCH($B20&amp;"-"&amp;N$7,SUP!$B$54:$Q$54,0),FALSE),"")="","",IFERROR(VLOOKUP($C20,SUP!$B$54:$Q$104,MATCH($B20&amp;"-"&amp;N$7,SUP!$B$54:$Q$54,0),FALSE),""))</f>
        <v/>
      </c>
      <c r="O20" s="441" t="str">
        <f ca="1">IF(IFERROR(VLOOKUP($C20,SUP!$B$54:$Q$104,MATCH($B20&amp;"-"&amp;O$7,SUP!$B$54:$Q$54,0),FALSE),"")="","",IFERROR(VLOOKUP($C20,SUP!$B$54:$Q$104,MATCH($B20&amp;"-"&amp;O$7,SUP!$B$54:$Q$54,0),FALSE),""))</f>
        <v/>
      </c>
      <c r="P20" s="441" t="str">
        <f ca="1">IF(IFERROR(VLOOKUP($C20,SUP!$B$54:$Q$104,MATCH($B20&amp;"-"&amp;P$7,SUP!$B$54:$Q$54,0),FALSE),"")="","",IFERROR(VLOOKUP($C20,SUP!$B$54:$Q$104,MATCH($B20&amp;"-"&amp;P$7,SUP!$B$54:$Q$54,0),FALSE),""))</f>
        <v/>
      </c>
      <c r="Q20" s="441" t="str">
        <f ca="1">IF(IFERROR(VLOOKUP($C20,SUP!$B$54:$Q$104,MATCH($B20&amp;"-"&amp;Q$7,SUP!$B$54:$Q$54,0),FALSE),"")="","",IFERROR(VLOOKUP($C20,SUP!$B$54:$Q$104,MATCH($B20&amp;"-"&amp;Q$7,SUP!$B$54:$Q$54,0),FALSE),""))</f>
        <v/>
      </c>
      <c r="R20" s="441" t="str">
        <f ca="1">IF(IFERROR(VLOOKUP($C20,SUP!$B$54:$Q$104,MATCH($B20&amp;"-"&amp;R$7,SUP!$B$54:$Q$54,0),FALSE),"")="","",IFERROR(VLOOKUP($C20,SUP!$B$54:$Q$104,MATCH($B20&amp;"-"&amp;R$7,SUP!$B$54:$Q$54,0),FALSE),""))</f>
        <v/>
      </c>
      <c r="S20" s="441" t="str">
        <f ca="1">IF(IFERROR(VLOOKUP($C20,SUP!$B$54:$Q$104,MATCH($B20&amp;"-"&amp;S$7,SUP!$B$54:$Q$54,0),FALSE),"")="","",IFERROR(VLOOKUP($C20,SUP!$B$54:$Q$104,MATCH($B20&amp;"-"&amp;S$7,SUP!$B$54:$Q$54,0),FALSE),""))</f>
        <v/>
      </c>
      <c r="T20" s="441" t="str">
        <f ca="1">IF(IFERROR(VLOOKUP($C20,SUP!$B$54:$Q$104,MATCH($B20&amp;"-"&amp;T$7,SUP!$B$54:$Q$54,0),FALSE),"")="","",IFERROR(VLOOKUP($C20,SUP!$B$54:$Q$104,MATCH($B20&amp;"-"&amp;T$7,SUP!$B$54:$Q$54,0),FALSE),""))</f>
        <v/>
      </c>
      <c r="U20" s="441" t="str">
        <f ca="1">IF(IFERROR(VLOOKUP($C20,SUP!$B$54:$Q$104,MATCH($B20&amp;"-"&amp;U$7,SUP!$B$54:$Q$54,0),FALSE),"")="","",IFERROR(VLOOKUP($C20,SUP!$B$54:$Q$104,MATCH($B20&amp;"-"&amp;U$7,SUP!$B$54:$Q$54,0),FALSE),""))</f>
        <v/>
      </c>
      <c r="V20" s="441" t="str">
        <f ca="1">IF(IFERROR(VLOOKUP($C20,SUP!$B$54:$Q$104,MATCH($B20&amp;"-"&amp;V$7,SUP!$B$54:$Q$54,0),FALSE),"")="","",IFERROR(VLOOKUP($C20,SUP!$B$54:$Q$104,MATCH($B20&amp;"-"&amp;V$7,SUP!$B$54:$Q$54,0),FALSE),""))</f>
        <v/>
      </c>
      <c r="W20" s="441" t="str">
        <f ca="1">IF(IFERROR(VLOOKUP($C20,SUP!$B$54:$Q$104,MATCH($B20&amp;"-"&amp;W$7,SUP!$B$54:$Q$54,0),FALSE),"")="","",IFERROR(VLOOKUP($C20,SUP!$B$54:$Q$104,MATCH($B20&amp;"-"&amp;W$7,SUP!$B$54:$Q$54,0),FALSE),""))</f>
        <v/>
      </c>
      <c r="X20" s="441" t="str">
        <f ca="1">IF(IFERROR(VLOOKUP($C20,SUP!$B$54:$Q$104,MATCH($B20&amp;"-"&amp;X$7,SUP!$B$54:$Q$54,0),FALSE),"")="","",IFERROR(VLOOKUP($C20,SUP!$B$54:$Q$104,MATCH($B20&amp;"-"&amp;X$7,SUP!$B$54:$Q$54,0),FALSE),""))</f>
        <v/>
      </c>
      <c r="Y20" s="441" t="str">
        <f ca="1">IF(IFERROR(VLOOKUP($C20,SUP!$B$54:$Q$104,MATCH($B20&amp;"-"&amp;Y$7,SUP!$B$54:$Q$54,0),FALSE),"")="","",IFERROR(VLOOKUP($C20,SUP!$B$54:$Q$104,MATCH($B20&amp;"-"&amp;Y$7,SUP!$B$54:$Q$54,0),FALSE),""))</f>
        <v/>
      </c>
      <c r="Z20" s="441" t="str">
        <f ca="1">IF(IFERROR(VLOOKUP($C20,SUP!$B$54:$Q$104,MATCH($B20&amp;"-"&amp;Z$7,SUP!$B$54:$Q$54,0),FALSE),"")="","",IFERROR(VLOOKUP($C20,SUP!$B$54:$Q$104,MATCH($B20&amp;"-"&amp;Z$7,SUP!$B$54:$Q$54,0),FALSE),""))</f>
        <v/>
      </c>
      <c r="AA20" s="441" t="str">
        <f ca="1">IF(IFERROR(VLOOKUP($C20,SUP!$B$54:$Q$104,MATCH($B20&amp;"-"&amp;AA$7,SUP!$B$54:$Q$54,0),FALSE),"")="","",IFERROR(VLOOKUP($C20,SUP!$B$54:$Q$104,MATCH($B20&amp;"-"&amp;AA$7,SUP!$B$54:$Q$54,0),FALSE),""))</f>
        <v/>
      </c>
      <c r="AB20" s="441" t="str">
        <f ca="1">IF(IFERROR(VLOOKUP($C20,SUP!$B$54:$Q$104,MATCH($B20&amp;"-"&amp;AB$7,SUP!$B$54:$Q$54,0),FALSE),"")="","",IFERROR(VLOOKUP($C20,SUP!$B$54:$Q$104,MATCH($B20&amp;"-"&amp;AB$7,SUP!$B$54:$Q$54,0),FALSE),""))</f>
        <v/>
      </c>
      <c r="AC20" s="441" t="str">
        <f ca="1">IF(IFERROR(VLOOKUP($C20,SUP!$B$54:$Q$104,MATCH($B20&amp;"-"&amp;AC$7,SUP!$B$54:$Q$54,0),FALSE),"")="","",IFERROR(VLOOKUP($C20,SUP!$B$54:$Q$104,MATCH($B20&amp;"-"&amp;AC$7,SUP!$B$54:$Q$54,0),FALSE),""))</f>
        <v/>
      </c>
      <c r="AD20" s="441" t="str">
        <f ca="1">IF(IFERROR(VLOOKUP($C20,SUP!$B$54:$Q$104,MATCH($B20&amp;"-"&amp;AD$7,SUP!$B$54:$Q$54,0),FALSE),"")="","",IFERROR(VLOOKUP($C20,SUP!$B$54:$Q$104,MATCH($B20&amp;"-"&amp;AD$7,SUP!$B$54:$Q$54,0),FALSE),""))</f>
        <v/>
      </c>
      <c r="AE20" s="441" t="str">
        <f ca="1">IF(IFERROR(VLOOKUP($C20,SUP!$B$54:$Q$104,MATCH($B20&amp;"-"&amp;AE$7,SUP!$B$54:$Q$54,0),FALSE),"")="","",IFERROR(VLOOKUP($C20,SUP!$B$54:$Q$104,MATCH($B20&amp;"-"&amp;AE$7,SUP!$B$54:$Q$54,0),FALSE),""))</f>
        <v/>
      </c>
      <c r="AF20" s="441" t="str">
        <f ca="1">IF(IFERROR(VLOOKUP($C20,SUP!$B$54:$Q$104,MATCH($B20&amp;"-"&amp;AF$7,SUP!$B$54:$Q$54,0),FALSE),"")="","",IFERROR(VLOOKUP($C20,SUP!$B$54:$Q$104,MATCH($B20&amp;"-"&amp;AF$7,SUP!$B$54:$Q$54,0),FALSE),""))</f>
        <v/>
      </c>
      <c r="AG20" s="441" t="str">
        <f ca="1">IF(IFERROR(VLOOKUP($C20,SUP!$B$54:$Q$104,MATCH($B20&amp;"-"&amp;AG$7,SUP!$B$54:$Q$54,0),FALSE),"")="","",IFERROR(VLOOKUP($C20,SUP!$B$54:$Q$104,MATCH($B20&amp;"-"&amp;AG$7,SUP!$B$54:$Q$54,0),FALSE),""))</f>
        <v/>
      </c>
      <c r="AH20" s="441" t="str">
        <f ca="1">IF(IFERROR(VLOOKUP($C20,SUP!$B$54:$Q$104,MATCH($B20&amp;"-"&amp;AH$7,SUP!$B$54:$Q$54,0),FALSE),"")="","",IFERROR(VLOOKUP($C20,SUP!$B$54:$Q$104,MATCH($B20&amp;"-"&amp;AH$7,SUP!$B$54:$Q$54,0),FALSE),""))</f>
        <v/>
      </c>
      <c r="AI20" s="441"/>
      <c r="AJ20" s="441"/>
      <c r="AK20" s="441"/>
      <c r="AL20" s="441"/>
      <c r="AM20" s="441" t="str">
        <f ca="1">IF(IFERROR(VLOOKUP($C20,SUP!$B$54:$Q$104,MATCH($B20&amp;"-"&amp;AM$7,SUP!$B$54:$Q$54,0),FALSE),"")="","",IFERROR(VLOOKUP($C20,SUP!$B$54:$Q$104,MATCH($B20&amp;"-"&amp;AM$7,SUP!$B$54:$Q$54,0),FALSE),""))</f>
        <v/>
      </c>
      <c r="AN20" s="441"/>
      <c r="AO20" s="441"/>
      <c r="AR20" s="42">
        <f>IF(AS19=SUP!$B$104,AR19+1,AR19)</f>
        <v>2</v>
      </c>
      <c r="AS20" s="42">
        <f t="shared" si="3"/>
        <v>44</v>
      </c>
    </row>
    <row r="21" spans="1:45">
      <c r="A21" s="42" t="str">
        <f ca="1">IF(LEFT(OFFSET(SUP!$A$57,AS21,0),2)="\I","*","")</f>
        <v/>
      </c>
      <c r="B21" s="440" t="str">
        <f t="shared" ca="1" si="1"/>
        <v>ACT_BND</v>
      </c>
      <c r="C21" s="440" t="str">
        <f ca="1">IF($A21="*","",OFFSET(SUP!$B$57,AS21,0))</f>
        <v>PEXOHF</v>
      </c>
      <c r="D21" s="440" t="str">
        <f t="shared" ca="1" si="2"/>
        <v>-</v>
      </c>
      <c r="E21" s="440" t="str">
        <f t="shared" ca="1" si="2"/>
        <v>-</v>
      </c>
      <c r="F21" s="440" t="str">
        <f t="shared" ca="1" si="2"/>
        <v>-</v>
      </c>
      <c r="G21" s="440" t="str">
        <f t="shared" ca="1" si="2"/>
        <v>ANNUAL</v>
      </c>
      <c r="H21" s="440" t="str">
        <f t="shared" si="4"/>
        <v>UP</v>
      </c>
      <c r="I21" s="441">
        <v>3</v>
      </c>
      <c r="J21" s="441" t="str">
        <f ca="1">IF(IFERROR(VLOOKUP($C21,SUP!$B$54:$Q$104,MATCH($B21&amp;"-"&amp;J$7,SUP!$B$54:$Q$54,0),FALSE),"")="","",IFERROR(VLOOKUP($C21,SUP!$B$54:$Q$104,MATCH($B21&amp;"-"&amp;J$7,SUP!$B$54:$Q$54,0),FALSE),""))</f>
        <v/>
      </c>
      <c r="K21" s="441" t="str">
        <f ca="1">IF(IFERROR(VLOOKUP($C21,SUP!$B$54:$Q$104,MATCH($B21&amp;"-"&amp;K$7,SUP!$B$54:$Q$54,0),FALSE),"")="","",IFERROR(VLOOKUP($C21,SUP!$B$54:$Q$104,MATCH($B21&amp;"-"&amp;K$7,SUP!$B$54:$Q$54,0),FALSE),""))</f>
        <v/>
      </c>
      <c r="L21" s="441" t="str">
        <f ca="1">IF(IFERROR(VLOOKUP($C21,SUP!$B$54:$Q$104,MATCH($B21&amp;"-"&amp;L$7,SUP!$B$54:$Q$54,0),FALSE),"")="","",IFERROR(VLOOKUP($C21,SUP!$B$54:$Q$104,MATCH($B21&amp;"-"&amp;L$7,SUP!$B$54:$Q$54,0),FALSE),""))</f>
        <v/>
      </c>
      <c r="M21" s="441" t="str">
        <f ca="1">IF(IFERROR(VLOOKUP($C21,SUP!$B$54:$Q$104,MATCH($B21&amp;"-"&amp;M$7,SUP!$B$54:$Q$54,0),FALSE),"")="","",IFERROR(VLOOKUP($C21,SUP!$B$54:$Q$104,MATCH($B21&amp;"-"&amp;M$7,SUP!$B$54:$Q$54,0),FALSE),""))</f>
        <v/>
      </c>
      <c r="N21" s="441" t="str">
        <f ca="1">IF(IFERROR(VLOOKUP($C21,SUP!$B$54:$Q$104,MATCH($B21&amp;"-"&amp;N$7,SUP!$B$54:$Q$54,0),FALSE),"")="","",IFERROR(VLOOKUP($C21,SUP!$B$54:$Q$104,MATCH($B21&amp;"-"&amp;N$7,SUP!$B$54:$Q$54,0),FALSE),""))</f>
        <v/>
      </c>
      <c r="O21" s="441" t="str">
        <f ca="1">IF(IFERROR(VLOOKUP($C21,SUP!$B$54:$Q$104,MATCH($B21&amp;"-"&amp;O$7,SUP!$B$54:$Q$54,0),FALSE),"")="","",IFERROR(VLOOKUP($C21,SUP!$B$54:$Q$104,MATCH($B21&amp;"-"&amp;O$7,SUP!$B$54:$Q$54,0),FALSE),""))</f>
        <v/>
      </c>
      <c r="P21" s="441" t="str">
        <f ca="1">IF(IFERROR(VLOOKUP($C21,SUP!$B$54:$Q$104,MATCH($B21&amp;"-"&amp;P$7,SUP!$B$54:$Q$54,0),FALSE),"")="","",IFERROR(VLOOKUP($C21,SUP!$B$54:$Q$104,MATCH($B21&amp;"-"&amp;P$7,SUP!$B$54:$Q$54,0),FALSE),""))</f>
        <v/>
      </c>
      <c r="Q21" s="441" t="str">
        <f ca="1">IF(IFERROR(VLOOKUP($C21,SUP!$B$54:$Q$104,MATCH($B21&amp;"-"&amp;Q$7,SUP!$B$54:$Q$54,0),FALSE),"")="","",IFERROR(VLOOKUP($C21,SUP!$B$54:$Q$104,MATCH($B21&amp;"-"&amp;Q$7,SUP!$B$54:$Q$54,0),FALSE),""))</f>
        <v/>
      </c>
      <c r="R21" s="441" t="str">
        <f ca="1">IF(IFERROR(VLOOKUP($C21,SUP!$B$54:$Q$104,MATCH($B21&amp;"-"&amp;R$7,SUP!$B$54:$Q$54,0),FALSE),"")="","",IFERROR(VLOOKUP($C21,SUP!$B$54:$Q$104,MATCH($B21&amp;"-"&amp;R$7,SUP!$B$54:$Q$54,0),FALSE),""))</f>
        <v/>
      </c>
      <c r="S21" s="441" t="str">
        <f ca="1">IF(IFERROR(VLOOKUP($C21,SUP!$B$54:$Q$104,MATCH($B21&amp;"-"&amp;S$7,SUP!$B$54:$Q$54,0),FALSE),"")="","",IFERROR(VLOOKUP($C21,SUP!$B$54:$Q$104,MATCH($B21&amp;"-"&amp;S$7,SUP!$B$54:$Q$54,0),FALSE),""))</f>
        <v/>
      </c>
      <c r="T21" s="441" t="str">
        <f ca="1">IF(IFERROR(VLOOKUP($C21,SUP!$B$54:$Q$104,MATCH($B21&amp;"-"&amp;T$7,SUP!$B$54:$Q$54,0),FALSE),"")="","",IFERROR(VLOOKUP($C21,SUP!$B$54:$Q$104,MATCH($B21&amp;"-"&amp;T$7,SUP!$B$54:$Q$54,0),FALSE),""))</f>
        <v/>
      </c>
      <c r="U21" s="441" t="str">
        <f ca="1">IF(IFERROR(VLOOKUP($C21,SUP!$B$54:$Q$104,MATCH($B21&amp;"-"&amp;U$7,SUP!$B$54:$Q$54,0),FALSE),"")="","",IFERROR(VLOOKUP($C21,SUP!$B$54:$Q$104,MATCH($B21&amp;"-"&amp;U$7,SUP!$B$54:$Q$54,0),FALSE),""))</f>
        <v/>
      </c>
      <c r="V21" s="441" t="str">
        <f ca="1">IF(IFERROR(VLOOKUP($C21,SUP!$B$54:$Q$104,MATCH($B21&amp;"-"&amp;V$7,SUP!$B$54:$Q$54,0),FALSE),"")="","",IFERROR(VLOOKUP($C21,SUP!$B$54:$Q$104,MATCH($B21&amp;"-"&amp;V$7,SUP!$B$54:$Q$54,0),FALSE),""))</f>
        <v/>
      </c>
      <c r="W21" s="441" t="str">
        <f ca="1">IF(IFERROR(VLOOKUP($C21,SUP!$B$54:$Q$104,MATCH($B21&amp;"-"&amp;W$7,SUP!$B$54:$Q$54,0),FALSE),"")="","",IFERROR(VLOOKUP($C21,SUP!$B$54:$Q$104,MATCH($B21&amp;"-"&amp;W$7,SUP!$B$54:$Q$54,0),FALSE),""))</f>
        <v/>
      </c>
      <c r="X21" s="441" t="str">
        <f ca="1">IF(IFERROR(VLOOKUP($C21,SUP!$B$54:$Q$104,MATCH($B21&amp;"-"&amp;X$7,SUP!$B$54:$Q$54,0),FALSE),"")="","",IFERROR(VLOOKUP($C21,SUP!$B$54:$Q$104,MATCH($B21&amp;"-"&amp;X$7,SUP!$B$54:$Q$54,0),FALSE),""))</f>
        <v/>
      </c>
      <c r="Y21" s="441" t="str">
        <f ca="1">IF(IFERROR(VLOOKUP($C21,SUP!$B$54:$Q$104,MATCH($B21&amp;"-"&amp;Y$7,SUP!$B$54:$Q$54,0),FALSE),"")="","",IFERROR(VLOOKUP($C21,SUP!$B$54:$Q$104,MATCH($B21&amp;"-"&amp;Y$7,SUP!$B$54:$Q$54,0),FALSE),""))</f>
        <v/>
      </c>
      <c r="Z21" s="441" t="str">
        <f ca="1">IF(IFERROR(VLOOKUP($C21,SUP!$B$54:$Q$104,MATCH($B21&amp;"-"&amp;Z$7,SUP!$B$54:$Q$54,0),FALSE),"")="","",IFERROR(VLOOKUP($C21,SUP!$B$54:$Q$104,MATCH($B21&amp;"-"&amp;Z$7,SUP!$B$54:$Q$54,0),FALSE),""))</f>
        <v/>
      </c>
      <c r="AA21" s="441" t="str">
        <f ca="1">IF(IFERROR(VLOOKUP($C21,SUP!$B$54:$Q$104,MATCH($B21&amp;"-"&amp;AA$7,SUP!$B$54:$Q$54,0),FALSE),"")="","",IFERROR(VLOOKUP($C21,SUP!$B$54:$Q$104,MATCH($B21&amp;"-"&amp;AA$7,SUP!$B$54:$Q$54,0),FALSE),""))</f>
        <v/>
      </c>
      <c r="AB21" s="441" t="str">
        <f ca="1">IF(IFERROR(VLOOKUP($C21,SUP!$B$54:$Q$104,MATCH($B21&amp;"-"&amp;AB$7,SUP!$B$54:$Q$54,0),FALSE),"")="","",IFERROR(VLOOKUP($C21,SUP!$B$54:$Q$104,MATCH($B21&amp;"-"&amp;AB$7,SUP!$B$54:$Q$54,0),FALSE),""))</f>
        <v/>
      </c>
      <c r="AC21" s="441" t="str">
        <f ca="1">IF(IFERROR(VLOOKUP($C21,SUP!$B$54:$Q$104,MATCH($B21&amp;"-"&amp;AC$7,SUP!$B$54:$Q$54,0),FALSE),"")="","",IFERROR(VLOOKUP($C21,SUP!$B$54:$Q$104,MATCH($B21&amp;"-"&amp;AC$7,SUP!$B$54:$Q$54,0),FALSE),""))</f>
        <v/>
      </c>
      <c r="AD21" s="441" t="str">
        <f ca="1">IF(IFERROR(VLOOKUP($C21,SUP!$B$54:$Q$104,MATCH($B21&amp;"-"&amp;AD$7,SUP!$B$54:$Q$54,0),FALSE),"")="","",IFERROR(VLOOKUP($C21,SUP!$B$54:$Q$104,MATCH($B21&amp;"-"&amp;AD$7,SUP!$B$54:$Q$54,0),FALSE),""))</f>
        <v/>
      </c>
      <c r="AE21" s="441" t="str">
        <f ca="1">IF(IFERROR(VLOOKUP($C21,SUP!$B$54:$Q$104,MATCH($B21&amp;"-"&amp;AE$7,SUP!$B$54:$Q$54,0),FALSE),"")="","",IFERROR(VLOOKUP($C21,SUP!$B$54:$Q$104,MATCH($B21&amp;"-"&amp;AE$7,SUP!$B$54:$Q$54,0),FALSE),""))</f>
        <v/>
      </c>
      <c r="AF21" s="441" t="str">
        <f ca="1">IF(IFERROR(VLOOKUP($C21,SUP!$B$54:$Q$104,MATCH($B21&amp;"-"&amp;AF$7,SUP!$B$54:$Q$54,0),FALSE),"")="","",IFERROR(VLOOKUP($C21,SUP!$B$54:$Q$104,MATCH($B21&amp;"-"&amp;AF$7,SUP!$B$54:$Q$54,0),FALSE),""))</f>
        <v/>
      </c>
      <c r="AG21" s="441" t="str">
        <f ca="1">IF(IFERROR(VLOOKUP($C21,SUP!$B$54:$Q$104,MATCH($B21&amp;"-"&amp;AG$7,SUP!$B$54:$Q$54,0),FALSE),"")="","",IFERROR(VLOOKUP($C21,SUP!$B$54:$Q$104,MATCH($B21&amp;"-"&amp;AG$7,SUP!$B$54:$Q$54,0),FALSE),""))</f>
        <v/>
      </c>
      <c r="AH21" s="441" t="str">
        <f ca="1">IF(IFERROR(VLOOKUP($C21,SUP!$B$54:$Q$104,MATCH($B21&amp;"-"&amp;AH$7,SUP!$B$54:$Q$54,0),FALSE),"")="","",IFERROR(VLOOKUP($C21,SUP!$B$54:$Q$104,MATCH($B21&amp;"-"&amp;AH$7,SUP!$B$54:$Q$54,0),FALSE),""))</f>
        <v/>
      </c>
      <c r="AI21" s="441"/>
      <c r="AJ21" s="441"/>
      <c r="AK21" s="441"/>
      <c r="AL21" s="441"/>
      <c r="AM21" s="441" t="str">
        <f ca="1">IF(IFERROR(VLOOKUP($C21,SUP!$B$54:$Q$104,MATCH($B21&amp;"-"&amp;AM$7,SUP!$B$54:$Q$54,0),FALSE),"")="","",IFERROR(VLOOKUP($C21,SUP!$B$54:$Q$104,MATCH($B21&amp;"-"&amp;AM$7,SUP!$B$54:$Q$54,0),FALSE),""))</f>
        <v/>
      </c>
      <c r="AN21" s="441"/>
      <c r="AO21" s="441"/>
      <c r="AR21" s="42">
        <f>IF(AS20=SUP!$B$104,AR20+1,AR20)</f>
        <v>2</v>
      </c>
      <c r="AS21" s="42">
        <f t="shared" si="3"/>
        <v>45</v>
      </c>
    </row>
    <row r="22" spans="1:45">
      <c r="A22" s="42" t="str">
        <f ca="1">IF(LEFT(OFFSET(SUP!$A$57,AS22,0),2)="\I","*","")</f>
        <v/>
      </c>
      <c r="B22" s="440" t="str">
        <f t="shared" ca="1" si="1"/>
        <v>ACT_BND</v>
      </c>
      <c r="C22" s="440" t="str">
        <f ca="1">IF($A22="*","",OFFSET(SUP!$B$57,AS22,0))</f>
        <v>PEXOKE</v>
      </c>
      <c r="D22" s="440" t="str">
        <f t="shared" ca="1" si="2"/>
        <v>-</v>
      </c>
      <c r="E22" s="440" t="str">
        <f t="shared" ca="1" si="2"/>
        <v>-</v>
      </c>
      <c r="F22" s="440" t="str">
        <f t="shared" ca="1" si="2"/>
        <v>-</v>
      </c>
      <c r="G22" s="440" t="str">
        <f t="shared" ca="1" si="2"/>
        <v>ANNUAL</v>
      </c>
      <c r="H22" s="440" t="str">
        <f t="shared" si="4"/>
        <v>UP</v>
      </c>
      <c r="I22" s="441">
        <v>3</v>
      </c>
      <c r="J22" s="441">
        <f ca="1">IF(IFERROR(VLOOKUP($C22,SUP!$B$54:$Q$104,MATCH($B22&amp;"-"&amp;J$7,SUP!$B$54:$Q$54,0),FALSE),"")="","",IFERROR(VLOOKUP($C22,SUP!$B$54:$Q$104,MATCH($B22&amp;"-"&amp;J$7,SUP!$B$54:$Q$54,0),FALSE),""))</f>
        <v>5.0273560461728382</v>
      </c>
      <c r="K22" s="441" t="str">
        <f ca="1">IF(IFERROR(VLOOKUP($C22,SUP!$B$54:$Q$104,MATCH($B22&amp;"-"&amp;K$7,SUP!$B$54:$Q$54,0),FALSE),"")="","",IFERROR(VLOOKUP($C22,SUP!$B$54:$Q$104,MATCH($B22&amp;"-"&amp;K$7,SUP!$B$54:$Q$54,0),FALSE),""))</f>
        <v/>
      </c>
      <c r="L22" s="441" t="str">
        <f ca="1">IF(IFERROR(VLOOKUP($C22,SUP!$B$54:$Q$104,MATCH($B22&amp;"-"&amp;L$7,SUP!$B$54:$Q$54,0),FALSE),"")="","",IFERROR(VLOOKUP($C22,SUP!$B$54:$Q$104,MATCH($B22&amp;"-"&amp;L$7,SUP!$B$54:$Q$54,0),FALSE),""))</f>
        <v/>
      </c>
      <c r="M22" s="441" t="str">
        <f ca="1">IF(IFERROR(VLOOKUP($C22,SUP!$B$54:$Q$104,MATCH($B22&amp;"-"&amp;M$7,SUP!$B$54:$Q$54,0),FALSE),"")="","",IFERROR(VLOOKUP($C22,SUP!$B$54:$Q$104,MATCH($B22&amp;"-"&amp;M$7,SUP!$B$54:$Q$54,0),FALSE),""))</f>
        <v/>
      </c>
      <c r="N22" s="441" t="str">
        <f ca="1">IF(IFERROR(VLOOKUP($C22,SUP!$B$54:$Q$104,MATCH($B22&amp;"-"&amp;N$7,SUP!$B$54:$Q$54,0),FALSE),"")="","",IFERROR(VLOOKUP($C22,SUP!$B$54:$Q$104,MATCH($B22&amp;"-"&amp;N$7,SUP!$B$54:$Q$54,0),FALSE),""))</f>
        <v/>
      </c>
      <c r="O22" s="441" t="str">
        <f ca="1">IF(IFERROR(VLOOKUP($C22,SUP!$B$54:$Q$104,MATCH($B22&amp;"-"&amp;O$7,SUP!$B$54:$Q$54,0),FALSE),"")="","",IFERROR(VLOOKUP($C22,SUP!$B$54:$Q$104,MATCH($B22&amp;"-"&amp;O$7,SUP!$B$54:$Q$54,0),FALSE),""))</f>
        <v/>
      </c>
      <c r="P22" s="441" t="str">
        <f ca="1">IF(IFERROR(VLOOKUP($C22,SUP!$B$54:$Q$104,MATCH($B22&amp;"-"&amp;P$7,SUP!$B$54:$Q$54,0),FALSE),"")="","",IFERROR(VLOOKUP($C22,SUP!$B$54:$Q$104,MATCH($B22&amp;"-"&amp;P$7,SUP!$B$54:$Q$54,0),FALSE),""))</f>
        <v/>
      </c>
      <c r="Q22" s="441" t="str">
        <f ca="1">IF(IFERROR(VLOOKUP($C22,SUP!$B$54:$Q$104,MATCH($B22&amp;"-"&amp;Q$7,SUP!$B$54:$Q$54,0),FALSE),"")="","",IFERROR(VLOOKUP($C22,SUP!$B$54:$Q$104,MATCH($B22&amp;"-"&amp;Q$7,SUP!$B$54:$Q$54,0),FALSE),""))</f>
        <v/>
      </c>
      <c r="R22" s="441" t="str">
        <f ca="1">IF(IFERROR(VLOOKUP($C22,SUP!$B$54:$Q$104,MATCH($B22&amp;"-"&amp;R$7,SUP!$B$54:$Q$54,0),FALSE),"")="","",IFERROR(VLOOKUP($C22,SUP!$B$54:$Q$104,MATCH($B22&amp;"-"&amp;R$7,SUP!$B$54:$Q$54,0),FALSE),""))</f>
        <v/>
      </c>
      <c r="S22" s="441" t="str">
        <f ca="1">IF(IFERROR(VLOOKUP($C22,SUP!$B$54:$Q$104,MATCH($B22&amp;"-"&amp;S$7,SUP!$B$54:$Q$54,0),FALSE),"")="","",IFERROR(VLOOKUP($C22,SUP!$B$54:$Q$104,MATCH($B22&amp;"-"&amp;S$7,SUP!$B$54:$Q$54,0),FALSE),""))</f>
        <v/>
      </c>
      <c r="T22" s="441" t="str">
        <f ca="1">IF(IFERROR(VLOOKUP($C22,SUP!$B$54:$Q$104,MATCH($B22&amp;"-"&amp;T$7,SUP!$B$54:$Q$54,0),FALSE),"")="","",IFERROR(VLOOKUP($C22,SUP!$B$54:$Q$104,MATCH($B22&amp;"-"&amp;T$7,SUP!$B$54:$Q$54,0),FALSE),""))</f>
        <v/>
      </c>
      <c r="U22" s="441" t="str">
        <f ca="1">IF(IFERROR(VLOOKUP($C22,SUP!$B$54:$Q$104,MATCH($B22&amp;"-"&amp;U$7,SUP!$B$54:$Q$54,0),FALSE),"")="","",IFERROR(VLOOKUP($C22,SUP!$B$54:$Q$104,MATCH($B22&amp;"-"&amp;U$7,SUP!$B$54:$Q$54,0),FALSE),""))</f>
        <v/>
      </c>
      <c r="V22" s="441" t="str">
        <f ca="1">IF(IFERROR(VLOOKUP($C22,SUP!$B$54:$Q$104,MATCH($B22&amp;"-"&amp;V$7,SUP!$B$54:$Q$54,0),FALSE),"")="","",IFERROR(VLOOKUP($C22,SUP!$B$54:$Q$104,MATCH($B22&amp;"-"&amp;V$7,SUP!$B$54:$Q$54,0),FALSE),""))</f>
        <v/>
      </c>
      <c r="W22" s="441" t="str">
        <f ca="1">IF(IFERROR(VLOOKUP($C22,SUP!$B$54:$Q$104,MATCH($B22&amp;"-"&amp;W$7,SUP!$B$54:$Q$54,0),FALSE),"")="","",IFERROR(VLOOKUP($C22,SUP!$B$54:$Q$104,MATCH($B22&amp;"-"&amp;W$7,SUP!$B$54:$Q$54,0),FALSE),""))</f>
        <v/>
      </c>
      <c r="X22" s="441" t="str">
        <f ca="1">IF(IFERROR(VLOOKUP($C22,SUP!$B$54:$Q$104,MATCH($B22&amp;"-"&amp;X$7,SUP!$B$54:$Q$54,0),FALSE),"")="","",IFERROR(VLOOKUP($C22,SUP!$B$54:$Q$104,MATCH($B22&amp;"-"&amp;X$7,SUP!$B$54:$Q$54,0),FALSE),""))</f>
        <v/>
      </c>
      <c r="Y22" s="441" t="str">
        <f ca="1">IF(IFERROR(VLOOKUP($C22,SUP!$B$54:$Q$104,MATCH($B22&amp;"-"&amp;Y$7,SUP!$B$54:$Q$54,0),FALSE),"")="","",IFERROR(VLOOKUP($C22,SUP!$B$54:$Q$104,MATCH($B22&amp;"-"&amp;Y$7,SUP!$B$54:$Q$54,0),FALSE),""))</f>
        <v/>
      </c>
      <c r="Z22" s="441" t="str">
        <f ca="1">IF(IFERROR(VLOOKUP($C22,SUP!$B$54:$Q$104,MATCH($B22&amp;"-"&amp;Z$7,SUP!$B$54:$Q$54,0),FALSE),"")="","",IFERROR(VLOOKUP($C22,SUP!$B$54:$Q$104,MATCH($B22&amp;"-"&amp;Z$7,SUP!$B$54:$Q$54,0),FALSE),""))</f>
        <v/>
      </c>
      <c r="AA22" s="441" t="str">
        <f ca="1">IF(IFERROR(VLOOKUP($C22,SUP!$B$54:$Q$104,MATCH($B22&amp;"-"&amp;AA$7,SUP!$B$54:$Q$54,0),FALSE),"")="","",IFERROR(VLOOKUP($C22,SUP!$B$54:$Q$104,MATCH($B22&amp;"-"&amp;AA$7,SUP!$B$54:$Q$54,0),FALSE),""))</f>
        <v/>
      </c>
      <c r="AB22" s="441" t="str">
        <f ca="1">IF(IFERROR(VLOOKUP($C22,SUP!$B$54:$Q$104,MATCH($B22&amp;"-"&amp;AB$7,SUP!$B$54:$Q$54,0),FALSE),"")="","",IFERROR(VLOOKUP($C22,SUP!$B$54:$Q$104,MATCH($B22&amp;"-"&amp;AB$7,SUP!$B$54:$Q$54,0),FALSE),""))</f>
        <v/>
      </c>
      <c r="AC22" s="441" t="str">
        <f ca="1">IF(IFERROR(VLOOKUP($C22,SUP!$B$54:$Q$104,MATCH($B22&amp;"-"&amp;AC$7,SUP!$B$54:$Q$54,0),FALSE),"")="","",IFERROR(VLOOKUP($C22,SUP!$B$54:$Q$104,MATCH($B22&amp;"-"&amp;AC$7,SUP!$B$54:$Q$54,0),FALSE),""))</f>
        <v/>
      </c>
      <c r="AD22" s="441" t="str">
        <f ca="1">IF(IFERROR(VLOOKUP($C22,SUP!$B$54:$Q$104,MATCH($B22&amp;"-"&amp;AD$7,SUP!$B$54:$Q$54,0),FALSE),"")="","",IFERROR(VLOOKUP($C22,SUP!$B$54:$Q$104,MATCH($B22&amp;"-"&amp;AD$7,SUP!$B$54:$Q$54,0),FALSE),""))</f>
        <v/>
      </c>
      <c r="AE22" s="441" t="str">
        <f ca="1">IF(IFERROR(VLOOKUP($C22,SUP!$B$54:$Q$104,MATCH($B22&amp;"-"&amp;AE$7,SUP!$B$54:$Q$54,0),FALSE),"")="","",IFERROR(VLOOKUP($C22,SUP!$B$54:$Q$104,MATCH($B22&amp;"-"&amp;AE$7,SUP!$B$54:$Q$54,0),FALSE),""))</f>
        <v/>
      </c>
      <c r="AF22" s="441" t="str">
        <f ca="1">IF(IFERROR(VLOOKUP($C22,SUP!$B$54:$Q$104,MATCH($B22&amp;"-"&amp;AF$7,SUP!$B$54:$Q$54,0),FALSE),"")="","",IFERROR(VLOOKUP($C22,SUP!$B$54:$Q$104,MATCH($B22&amp;"-"&amp;AF$7,SUP!$B$54:$Q$54,0),FALSE),""))</f>
        <v/>
      </c>
      <c r="AG22" s="441" t="str">
        <f ca="1">IF(IFERROR(VLOOKUP($C22,SUP!$B$54:$Q$104,MATCH($B22&amp;"-"&amp;AG$7,SUP!$B$54:$Q$54,0),FALSE),"")="","",IFERROR(VLOOKUP($C22,SUP!$B$54:$Q$104,MATCH($B22&amp;"-"&amp;AG$7,SUP!$B$54:$Q$54,0),FALSE),""))</f>
        <v/>
      </c>
      <c r="AH22" s="441" t="str">
        <f ca="1">IF(IFERROR(VLOOKUP($C22,SUP!$B$54:$Q$104,MATCH($B22&amp;"-"&amp;AH$7,SUP!$B$54:$Q$54,0),FALSE),"")="","",IFERROR(VLOOKUP($C22,SUP!$B$54:$Q$104,MATCH($B22&amp;"-"&amp;AH$7,SUP!$B$54:$Q$54,0),FALSE),""))</f>
        <v/>
      </c>
      <c r="AI22" s="441"/>
      <c r="AJ22" s="441"/>
      <c r="AK22" s="441"/>
      <c r="AL22" s="441"/>
      <c r="AM22" s="441" t="str">
        <f ca="1">IF(IFERROR(VLOOKUP($C22,SUP!$B$54:$Q$104,MATCH($B22&amp;"-"&amp;AM$7,SUP!$B$54:$Q$54,0),FALSE),"")="","",IFERROR(VLOOKUP($C22,SUP!$B$54:$Q$104,MATCH($B22&amp;"-"&amp;AM$7,SUP!$B$54:$Q$54,0),FALSE),""))</f>
        <v/>
      </c>
      <c r="AN22" s="441"/>
      <c r="AO22" s="441"/>
      <c r="AR22" s="42">
        <f>IF(AS21=SUP!$B$104,AR21+1,AR21)</f>
        <v>2</v>
      </c>
      <c r="AS22" s="42">
        <f t="shared" si="3"/>
        <v>46</v>
      </c>
    </row>
    <row r="23" spans="1:45">
      <c r="A23" s="42" t="str">
        <f ca="1">IF(LEFT(OFFSET(SUP!$A$57,AS23,0),2)="\I","*","")</f>
        <v>*</v>
      </c>
      <c r="B23" s="440" t="str">
        <f t="shared" ca="1" si="1"/>
        <v/>
      </c>
      <c r="C23" s="440" t="str">
        <f ca="1">IF($A23="*","",OFFSET(SUP!$B$57,AS23,0))</f>
        <v/>
      </c>
      <c r="D23" s="440" t="str">
        <f t="shared" ca="1" si="2"/>
        <v/>
      </c>
      <c r="E23" s="440" t="str">
        <f t="shared" ca="1" si="2"/>
        <v/>
      </c>
      <c r="F23" s="440" t="str">
        <f t="shared" ca="1" si="2"/>
        <v/>
      </c>
      <c r="G23" s="440" t="str">
        <f t="shared" ca="1" si="2"/>
        <v/>
      </c>
      <c r="H23" s="440" t="str">
        <f ca="1">IF($A23="*","",IF(AND(B23="ACT_BND",LEFT(C23,3)="PEX"),"FX",VLOOKUP($B23,$B$10:$I$11,H$9,FALSE)))</f>
        <v/>
      </c>
      <c r="I23" s="441"/>
      <c r="J23" s="441" t="str">
        <f ca="1">IF(IFERROR(VLOOKUP($C23,SUP!$B$54:$Q$104,MATCH($B23&amp;"-"&amp;J$7,SUP!$B$54:$Q$54,0),FALSE),"")="","",IFERROR(VLOOKUP($C23,SUP!$B$54:$Q$104,MATCH($B23&amp;"-"&amp;J$7,SUP!$B$54:$Q$54,0),FALSE),""))</f>
        <v/>
      </c>
      <c r="K23" s="441" t="str">
        <f ca="1">IF(IFERROR(VLOOKUP($C23,SUP!$B$54:$Q$104,MATCH($B23&amp;"-"&amp;K$7,SUP!$B$54:$Q$54,0),FALSE),"")="","",IFERROR(VLOOKUP($C23,SUP!$B$54:$Q$104,MATCH($B23&amp;"-"&amp;K$7,SUP!$B$54:$Q$54,0),FALSE),""))</f>
        <v/>
      </c>
      <c r="L23" s="441" t="str">
        <f ca="1">IF(IFERROR(VLOOKUP($C23,SUP!$B$54:$Q$104,MATCH($B23&amp;"-"&amp;L$7,SUP!$B$54:$Q$54,0),FALSE),"")="","",IFERROR(VLOOKUP($C23,SUP!$B$54:$Q$104,MATCH($B23&amp;"-"&amp;L$7,SUP!$B$54:$Q$54,0),FALSE),""))</f>
        <v/>
      </c>
      <c r="M23" s="441" t="str">
        <f ca="1">IF(IFERROR(VLOOKUP($C23,SUP!$B$54:$Q$104,MATCH($B23&amp;"-"&amp;M$7,SUP!$B$54:$Q$54,0),FALSE),"")="","",IFERROR(VLOOKUP($C23,SUP!$B$54:$Q$104,MATCH($B23&amp;"-"&amp;M$7,SUP!$B$54:$Q$54,0),FALSE),""))</f>
        <v/>
      </c>
      <c r="N23" s="441" t="str">
        <f ca="1">IF(IFERROR(VLOOKUP($C23,SUP!$B$54:$Q$104,MATCH($B23&amp;"-"&amp;N$7,SUP!$B$54:$Q$54,0),FALSE),"")="","",IFERROR(VLOOKUP($C23,SUP!$B$54:$Q$104,MATCH($B23&amp;"-"&amp;N$7,SUP!$B$54:$Q$54,0),FALSE),""))</f>
        <v/>
      </c>
      <c r="O23" s="441" t="str">
        <f ca="1">IF(IFERROR(VLOOKUP($C23,SUP!$B$54:$Q$104,MATCH($B23&amp;"-"&amp;O$7,SUP!$B$54:$Q$54,0),FALSE),"")="","",IFERROR(VLOOKUP($C23,SUP!$B$54:$Q$104,MATCH($B23&amp;"-"&amp;O$7,SUP!$B$54:$Q$54,0),FALSE),""))</f>
        <v/>
      </c>
      <c r="P23" s="441" t="str">
        <f ca="1">IF(IFERROR(VLOOKUP($C23,SUP!$B$54:$Q$104,MATCH($B23&amp;"-"&amp;P$7,SUP!$B$54:$Q$54,0),FALSE),"")="","",IFERROR(VLOOKUP($C23,SUP!$B$54:$Q$104,MATCH($B23&amp;"-"&amp;P$7,SUP!$B$54:$Q$54,0),FALSE),""))</f>
        <v/>
      </c>
      <c r="Q23" s="441" t="str">
        <f ca="1">IF(IFERROR(VLOOKUP($C23,SUP!$B$54:$Q$104,MATCH($B23&amp;"-"&amp;Q$7,SUP!$B$54:$Q$54,0),FALSE),"")="","",IFERROR(VLOOKUP($C23,SUP!$B$54:$Q$104,MATCH($B23&amp;"-"&amp;Q$7,SUP!$B$54:$Q$54,0),FALSE),""))</f>
        <v/>
      </c>
      <c r="R23" s="441" t="str">
        <f ca="1">IF(IFERROR(VLOOKUP($C23,SUP!$B$54:$Q$104,MATCH($B23&amp;"-"&amp;R$7,SUP!$B$54:$Q$54,0),FALSE),"")="","",IFERROR(VLOOKUP($C23,SUP!$B$54:$Q$104,MATCH($B23&amp;"-"&amp;R$7,SUP!$B$54:$Q$54,0),FALSE),""))</f>
        <v/>
      </c>
      <c r="S23" s="441" t="str">
        <f ca="1">IF(IFERROR(VLOOKUP($C23,SUP!$B$54:$Q$104,MATCH($B23&amp;"-"&amp;S$7,SUP!$B$54:$Q$54,0),FALSE),"")="","",IFERROR(VLOOKUP($C23,SUP!$B$54:$Q$104,MATCH($B23&amp;"-"&amp;S$7,SUP!$B$54:$Q$54,0),FALSE),""))</f>
        <v/>
      </c>
      <c r="T23" s="441" t="str">
        <f ca="1">IF(IFERROR(VLOOKUP($C23,SUP!$B$54:$Q$104,MATCH($B23&amp;"-"&amp;T$7,SUP!$B$54:$Q$54,0),FALSE),"")="","",IFERROR(VLOOKUP($C23,SUP!$B$54:$Q$104,MATCH($B23&amp;"-"&amp;T$7,SUP!$B$54:$Q$54,0),FALSE),""))</f>
        <v/>
      </c>
      <c r="U23" s="441" t="str">
        <f ca="1">IF(IFERROR(VLOOKUP($C23,SUP!$B$54:$Q$104,MATCH($B23&amp;"-"&amp;U$7,SUP!$B$54:$Q$54,0),FALSE),"")="","",IFERROR(VLOOKUP($C23,SUP!$B$54:$Q$104,MATCH($B23&amp;"-"&amp;U$7,SUP!$B$54:$Q$54,0),FALSE),""))</f>
        <v/>
      </c>
      <c r="V23" s="441" t="str">
        <f ca="1">IF(IFERROR(VLOOKUP($C23,SUP!$B$54:$Q$104,MATCH($B23&amp;"-"&amp;V$7,SUP!$B$54:$Q$54,0),FALSE),"")="","",IFERROR(VLOOKUP($C23,SUP!$B$54:$Q$104,MATCH($B23&amp;"-"&amp;V$7,SUP!$B$54:$Q$54,0),FALSE),""))</f>
        <v/>
      </c>
      <c r="W23" s="441" t="str">
        <f ca="1">IF(IFERROR(VLOOKUP($C23,SUP!$B$54:$Q$104,MATCH($B23&amp;"-"&amp;W$7,SUP!$B$54:$Q$54,0),FALSE),"")="","",IFERROR(VLOOKUP($C23,SUP!$B$54:$Q$104,MATCH($B23&amp;"-"&amp;W$7,SUP!$B$54:$Q$54,0),FALSE),""))</f>
        <v/>
      </c>
      <c r="X23" s="441" t="str">
        <f ca="1">IF(IFERROR(VLOOKUP($C23,SUP!$B$54:$Q$104,MATCH($B23&amp;"-"&amp;X$7,SUP!$B$54:$Q$54,0),FALSE),"")="","",IFERROR(VLOOKUP($C23,SUP!$B$54:$Q$104,MATCH($B23&amp;"-"&amp;X$7,SUP!$B$54:$Q$54,0),FALSE),""))</f>
        <v/>
      </c>
      <c r="Y23" s="441" t="str">
        <f ca="1">IF(IFERROR(VLOOKUP($C23,SUP!$B$54:$Q$104,MATCH($B23&amp;"-"&amp;Y$7,SUP!$B$54:$Q$54,0),FALSE),"")="","",IFERROR(VLOOKUP($C23,SUP!$B$54:$Q$104,MATCH($B23&amp;"-"&amp;Y$7,SUP!$B$54:$Q$54,0),FALSE),""))</f>
        <v/>
      </c>
      <c r="Z23" s="441" t="str">
        <f ca="1">IF(IFERROR(VLOOKUP($C23,SUP!$B$54:$Q$104,MATCH($B23&amp;"-"&amp;Z$7,SUP!$B$54:$Q$54,0),FALSE),"")="","",IFERROR(VLOOKUP($C23,SUP!$B$54:$Q$104,MATCH($B23&amp;"-"&amp;Z$7,SUP!$B$54:$Q$54,0),FALSE),""))</f>
        <v/>
      </c>
      <c r="AA23" s="441" t="str">
        <f ca="1">IF(IFERROR(VLOOKUP($C23,SUP!$B$54:$Q$104,MATCH($B23&amp;"-"&amp;AA$7,SUP!$B$54:$Q$54,0),FALSE),"")="","",IFERROR(VLOOKUP($C23,SUP!$B$54:$Q$104,MATCH($B23&amp;"-"&amp;AA$7,SUP!$B$54:$Q$54,0),FALSE),""))</f>
        <v/>
      </c>
      <c r="AB23" s="441" t="str">
        <f ca="1">IF(IFERROR(VLOOKUP($C23,SUP!$B$54:$Q$104,MATCH($B23&amp;"-"&amp;AB$7,SUP!$B$54:$Q$54,0),FALSE),"")="","",IFERROR(VLOOKUP($C23,SUP!$B$54:$Q$104,MATCH($B23&amp;"-"&amp;AB$7,SUP!$B$54:$Q$54,0),FALSE),""))</f>
        <v/>
      </c>
      <c r="AC23" s="441" t="str">
        <f ca="1">IF(IFERROR(VLOOKUP($C23,SUP!$B$54:$Q$104,MATCH($B23&amp;"-"&amp;AC$7,SUP!$B$54:$Q$54,0),FALSE),"")="","",IFERROR(VLOOKUP($C23,SUP!$B$54:$Q$104,MATCH($B23&amp;"-"&amp;AC$7,SUP!$B$54:$Q$54,0),FALSE),""))</f>
        <v/>
      </c>
      <c r="AD23" s="441" t="str">
        <f ca="1">IF(IFERROR(VLOOKUP($C23,SUP!$B$54:$Q$104,MATCH($B23&amp;"-"&amp;AD$7,SUP!$B$54:$Q$54,0),FALSE),"")="","",IFERROR(VLOOKUP($C23,SUP!$B$54:$Q$104,MATCH($B23&amp;"-"&amp;AD$7,SUP!$B$54:$Q$54,0),FALSE),""))</f>
        <v/>
      </c>
      <c r="AE23" s="441" t="str">
        <f ca="1">IF(IFERROR(VLOOKUP($C23,SUP!$B$54:$Q$104,MATCH($B23&amp;"-"&amp;AE$7,SUP!$B$54:$Q$54,0),FALSE),"")="","",IFERROR(VLOOKUP($C23,SUP!$B$54:$Q$104,MATCH($B23&amp;"-"&amp;AE$7,SUP!$B$54:$Q$54,0),FALSE),""))</f>
        <v/>
      </c>
      <c r="AF23" s="441" t="str">
        <f ca="1">IF(IFERROR(VLOOKUP($C23,SUP!$B$54:$Q$104,MATCH($B23&amp;"-"&amp;AF$7,SUP!$B$54:$Q$54,0),FALSE),"")="","",IFERROR(VLOOKUP($C23,SUP!$B$54:$Q$104,MATCH($B23&amp;"-"&amp;AF$7,SUP!$B$54:$Q$54,0),FALSE),""))</f>
        <v/>
      </c>
      <c r="AG23" s="441" t="str">
        <f ca="1">IF(IFERROR(VLOOKUP($C23,SUP!$B$54:$Q$104,MATCH($B23&amp;"-"&amp;AG$7,SUP!$B$54:$Q$54,0),FALSE),"")="","",IFERROR(VLOOKUP($C23,SUP!$B$54:$Q$104,MATCH($B23&amp;"-"&amp;AG$7,SUP!$B$54:$Q$54,0),FALSE),""))</f>
        <v/>
      </c>
      <c r="AH23" s="441" t="str">
        <f ca="1">IF(IFERROR(VLOOKUP($C23,SUP!$B$54:$Q$104,MATCH($B23&amp;"-"&amp;AH$7,SUP!$B$54:$Q$54,0),FALSE),"")="","",IFERROR(VLOOKUP($C23,SUP!$B$54:$Q$104,MATCH($B23&amp;"-"&amp;AH$7,SUP!$B$54:$Q$54,0),FALSE),""))</f>
        <v/>
      </c>
      <c r="AI23" s="441"/>
      <c r="AJ23" s="441"/>
      <c r="AK23" s="441"/>
      <c r="AL23" s="441"/>
      <c r="AM23" s="441" t="str">
        <f ca="1">IF(IFERROR(VLOOKUP($C23,SUP!$B$54:$Q$104,MATCH($B23&amp;"-"&amp;AM$7,SUP!$B$54:$Q$54,0),FALSE),"")="","",IFERROR(VLOOKUP($C23,SUP!$B$54:$Q$104,MATCH($B23&amp;"-"&amp;AM$7,SUP!$B$54:$Q$54,0),FALSE),""))</f>
        <v/>
      </c>
      <c r="AN23" s="441"/>
      <c r="AO23" s="441"/>
      <c r="AR23" s="42">
        <f>IF(AS22=SUP!$B$104,AR22+1,AR22)</f>
        <v>2</v>
      </c>
      <c r="AS23" s="42">
        <f t="shared" si="3"/>
        <v>47</v>
      </c>
    </row>
  </sheetData>
  <pageMargins left="0.75" right="0.75" top="1" bottom="1" header="0.5" footer="0.5"/>
  <pageSetup paperSize="9" orientation="portrait" horizontalDpi="4294967292" verticalDpi="4294967292" r:id="rId1"/>
  <headerFooter alignWithMargins="0"/>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1">
    <tabColor theme="9" tint="-0.249977111117893"/>
  </sheetPr>
  <dimension ref="A1:M249"/>
  <sheetViews>
    <sheetView workbookViewId="0"/>
  </sheetViews>
  <sheetFormatPr defaultColWidth="11.42578125" defaultRowHeight="11.25"/>
  <cols>
    <col min="1" max="1" width="15.42578125" style="42" customWidth="1"/>
    <col min="2" max="2" width="12" style="42" customWidth="1"/>
    <col min="3" max="3" width="13.7109375" style="42" customWidth="1"/>
    <col min="4" max="16384" width="11.42578125" style="42"/>
  </cols>
  <sheetData>
    <row r="1" spans="1:13">
      <c r="A1" s="41" t="str">
        <f>IF(Index!B8=0,"TID DATA","")</f>
        <v>TID DATA</v>
      </c>
      <c r="B1" s="42" t="s">
        <v>308</v>
      </c>
      <c r="K1" s="42" t="s">
        <v>310</v>
      </c>
      <c r="L1" s="42" t="s">
        <v>310</v>
      </c>
      <c r="M1" s="42" t="s">
        <v>310</v>
      </c>
    </row>
    <row r="2" spans="1:13">
      <c r="A2" s="42" t="s">
        <v>310</v>
      </c>
      <c r="K2" s="42" t="s">
        <v>320</v>
      </c>
      <c r="L2" s="42" t="s">
        <v>321</v>
      </c>
      <c r="M2" s="42" t="s">
        <v>322</v>
      </c>
    </row>
    <row r="3" spans="1:13" ht="15.75" customHeight="1">
      <c r="A3" s="42" t="s">
        <v>310</v>
      </c>
    </row>
    <row r="4" spans="1:13" ht="12.75" customHeight="1">
      <c r="A4" s="42" t="s">
        <v>310</v>
      </c>
    </row>
    <row r="5" spans="1:13">
      <c r="A5" s="42" t="s">
        <v>310</v>
      </c>
    </row>
    <row r="6" spans="1:13">
      <c r="A6" s="42" t="s">
        <v>310</v>
      </c>
      <c r="B6" s="42">
        <v>2</v>
      </c>
      <c r="C6" s="42">
        <f>B6+1</f>
        <v>3</v>
      </c>
      <c r="D6" s="42">
        <f t="shared" ref="D6:I6" si="0">C6+1</f>
        <v>4</v>
      </c>
      <c r="E6" s="42">
        <f t="shared" si="0"/>
        <v>5</v>
      </c>
      <c r="F6" s="42">
        <f t="shared" si="0"/>
        <v>6</v>
      </c>
      <c r="G6" s="42">
        <f t="shared" si="0"/>
        <v>7</v>
      </c>
      <c r="H6" s="42">
        <f t="shared" si="0"/>
        <v>8</v>
      </c>
      <c r="I6" s="42">
        <f t="shared" si="0"/>
        <v>9</v>
      </c>
    </row>
    <row r="7" spans="1:13">
      <c r="A7" s="42" t="s">
        <v>310</v>
      </c>
      <c r="B7" s="41" t="s">
        <v>323</v>
      </c>
      <c r="C7" s="41" t="s">
        <v>324</v>
      </c>
      <c r="D7" s="41" t="s">
        <v>325</v>
      </c>
      <c r="E7" s="41" t="s">
        <v>326</v>
      </c>
      <c r="F7" s="41" t="s">
        <v>327</v>
      </c>
      <c r="G7" s="41" t="s">
        <v>328</v>
      </c>
      <c r="H7" s="41" t="s">
        <v>329</v>
      </c>
      <c r="I7" s="41" t="s">
        <v>339</v>
      </c>
      <c r="J7" s="41"/>
    </row>
    <row r="8" spans="1:13">
      <c r="A8" s="42" t="s">
        <v>310</v>
      </c>
    </row>
    <row r="9" spans="1:13">
      <c r="A9" s="42" t="s">
        <v>13431</v>
      </c>
      <c r="B9" s="162" t="s">
        <v>340</v>
      </c>
      <c r="C9" s="162" t="s">
        <v>333</v>
      </c>
      <c r="D9" s="162" t="s">
        <v>334</v>
      </c>
      <c r="E9" s="162" t="s">
        <v>341</v>
      </c>
      <c r="F9" s="162" t="s">
        <v>334</v>
      </c>
      <c r="G9" s="162" t="s">
        <v>334</v>
      </c>
      <c r="H9" s="162" t="s">
        <v>334</v>
      </c>
      <c r="I9" s="162">
        <v>1</v>
      </c>
      <c r="J9" s="167"/>
      <c r="M9" s="42">
        <f>SUP!$D$57</f>
        <v>2</v>
      </c>
    </row>
    <row r="10" spans="1:13">
      <c r="A10" s="42" t="s">
        <v>13432</v>
      </c>
      <c r="B10" s="162" t="s">
        <v>342</v>
      </c>
      <c r="C10" s="162" t="s">
        <v>333</v>
      </c>
      <c r="D10" s="162" t="s">
        <v>334</v>
      </c>
      <c r="E10" s="162" t="s">
        <v>334</v>
      </c>
      <c r="F10" s="162" t="s">
        <v>334</v>
      </c>
      <c r="G10" s="162" t="s">
        <v>334</v>
      </c>
      <c r="H10" s="162" t="s">
        <v>334</v>
      </c>
      <c r="I10" s="162">
        <v>1</v>
      </c>
      <c r="J10" s="167"/>
    </row>
    <row r="11" spans="1:13">
      <c r="A11" s="42" t="s">
        <v>13433</v>
      </c>
      <c r="B11" s="162" t="s">
        <v>344</v>
      </c>
      <c r="C11" s="162" t="s">
        <v>333</v>
      </c>
      <c r="D11" s="162" t="s">
        <v>345</v>
      </c>
      <c r="E11" s="162" t="s">
        <v>334</v>
      </c>
      <c r="F11" s="162" t="s">
        <v>334</v>
      </c>
      <c r="G11" s="162" t="s">
        <v>334</v>
      </c>
      <c r="H11" s="162" t="s">
        <v>334</v>
      </c>
      <c r="I11" s="162">
        <v>1</v>
      </c>
      <c r="J11" s="167"/>
      <c r="M11" s="42">
        <v>42</v>
      </c>
    </row>
    <row r="12" spans="1:13">
      <c r="A12" s="42" t="s">
        <v>13434</v>
      </c>
      <c r="B12" s="438" t="s">
        <v>13416</v>
      </c>
      <c r="C12" s="438" t="s">
        <v>333</v>
      </c>
      <c r="D12" s="438" t="s">
        <v>334</v>
      </c>
      <c r="E12" s="438" t="s">
        <v>334</v>
      </c>
      <c r="F12" s="438" t="s">
        <v>334</v>
      </c>
      <c r="G12" s="438" t="s">
        <v>334</v>
      </c>
      <c r="H12" s="438" t="s">
        <v>334</v>
      </c>
      <c r="I12" s="438" t="s">
        <v>1168</v>
      </c>
      <c r="J12" s="440"/>
      <c r="M12" s="42">
        <f>SUP!$R$57</f>
        <v>16</v>
      </c>
    </row>
    <row r="13" spans="1:13">
      <c r="A13" s="42" t="s">
        <v>13435</v>
      </c>
      <c r="B13" s="162" t="s">
        <v>347</v>
      </c>
      <c r="C13" s="162" t="s">
        <v>333</v>
      </c>
      <c r="D13" s="162" t="s">
        <v>334</v>
      </c>
      <c r="E13" s="162" t="s">
        <v>334</v>
      </c>
      <c r="F13" s="162" t="s">
        <v>348</v>
      </c>
      <c r="G13" s="162" t="s">
        <v>349</v>
      </c>
      <c r="H13" s="162" t="s">
        <v>338</v>
      </c>
      <c r="I13" s="438" t="s">
        <v>1168</v>
      </c>
      <c r="J13" s="167"/>
      <c r="M13" s="42">
        <f>SUP!S57</f>
        <v>17</v>
      </c>
    </row>
    <row r="14" spans="1:13">
      <c r="A14" s="42" t="s">
        <v>310</v>
      </c>
    </row>
    <row r="15" spans="1:13">
      <c r="A15" s="42" t="str">
        <f ca="1">IF(OR(LEFT(OFFSET(SUP!$A$57,L15,0),2)="\I",I15=""),"*","")</f>
        <v/>
      </c>
      <c r="B15" s="167" t="str">
        <f ca="1">IF(AND(VLOOKUP("*"&amp;K15,$A$9:$B$15,2,FALSE)="TOP-OUT",LEFT(C15,3)="PEX"),"TOP-IN",VLOOKUP("*"&amp;K15,$A$9:$B$15,2,FALSE))</f>
        <v>PRC_ACTUNT</v>
      </c>
      <c r="C15" s="167" t="str">
        <f ca="1">OFFSET(SUP!$B$57,L15,0)</f>
        <v>MINCOA</v>
      </c>
      <c r="D15" s="167" t="str">
        <f ca="1">IF($A15="*","",IF(LEFT($B15,3)="TOP",OFFSET(SUP!$D$57,$L15,0),"-"))</f>
        <v>-</v>
      </c>
      <c r="E15" s="167" t="str">
        <f ca="1">IF($A15="*","",IF($B15="PRC_ACTUNT",OFFSET(SUP!$B$57,$L15,SUMIF($B$9:$B$12,$B15,$M$9:$M$12)),"-"))</f>
        <v>COA</v>
      </c>
      <c r="F15" s="440" t="str">
        <f ca="1">OFFSET(F$8,K15,0)</f>
        <v>-</v>
      </c>
      <c r="G15" s="440" t="str">
        <f ca="1">IF($A15="*","",IF($B15="PRC_NOFF","BOH",OFFSET(G$8,K15,0)))</f>
        <v>-</v>
      </c>
      <c r="H15" s="440" t="str">
        <f ca="1">IF($A15="*","",IF($B15="PRC_NOFF",OFFSET(SUP!$B$57,$L15,SUMIF($B$9:$B$12,$B15,$M$9:$M$12))-1,OFFSET(H$8,K15,0)))</f>
        <v>-</v>
      </c>
      <c r="I15" s="440">
        <f ca="1">IF(LEFT(VLOOKUP("*#"&amp;K15,$A$9:$I$13,I$6,0),1)="#",OFFSET(SUP!$B$57,$L15,SUMIF($A$9:$A$13,"*#"&amp;$K15,$M$9:$M$13)),1)</f>
        <v>1</v>
      </c>
      <c r="J15" s="167"/>
      <c r="K15" s="163">
        <v>1</v>
      </c>
      <c r="L15" s="42">
        <v>1</v>
      </c>
    </row>
    <row r="16" spans="1:13">
      <c r="A16" s="42" t="str">
        <f ca="1">IF(OR(LEFT(OFFSET(SUP!$A$57,L16,0),2)="\I",I16=""),"*","")</f>
        <v/>
      </c>
      <c r="B16" s="440" t="str">
        <f t="shared" ref="B16:B23" ca="1" si="1">IF(AND(VLOOKUP("*"&amp;K16,$A$9:$B$15,2,FALSE)="TOP-OUT",LEFT(C16,3)="PEX"),"TOP-IN",VLOOKUP("*"&amp;K16,$A$9:$B$15,2,FALSE))</f>
        <v>PRC_ACTUNT</v>
      </c>
      <c r="C16" s="440" t="str">
        <f ca="1">OFFSET(SUP!$B$57,L16,0)</f>
        <v>MINCLE</v>
      </c>
      <c r="D16" s="167" t="str">
        <f ca="1">IF($A16="*","",IF(LEFT($B16,3)="TOP",OFFSET(SUP!$D$57,$L16,0),"-"))</f>
        <v>-</v>
      </c>
      <c r="E16" s="167" t="str">
        <f ca="1">IF($A16="*","",IF($B16="PRC_ACTUNT",OFFSET(SUP!$B$57,$L16,SUMIF($B$9:$B$11,$B16,$M$9:$M$11)),"-"))</f>
        <v>CLE</v>
      </c>
      <c r="F16" s="440" t="str">
        <f t="shared" ref="F16:F23" ca="1" si="2">OFFSET(F$8,K16,0)</f>
        <v>-</v>
      </c>
      <c r="G16" s="440" t="str">
        <f t="shared" ref="G16:G23" ca="1" si="3">IF($A16="*","",IF($B16="PRC_NOFF","BOH",OFFSET(G$8,K16,0)))</f>
        <v>-</v>
      </c>
      <c r="H16" s="440" t="str">
        <f ca="1">IF($A16="*","",IF($B16="PRC_NOFF",OFFSET(SUP!$B$57,$L16,SUMIF($B$9:$B$12,$B16,$M$9:$M$12))-1,OFFSET(H$8,K16,0)))</f>
        <v>-</v>
      </c>
      <c r="I16" s="440">
        <f ca="1">IF(LEFT(VLOOKUP("*#"&amp;K16,$A$9:$I$13,I$6,0),1)="#",OFFSET(SUP!$B$57,$L16,SUMIF($A$9:$A$13,"*#"&amp;$K16,$M$9:$M$13)),1)</f>
        <v>1</v>
      </c>
      <c r="J16" s="167"/>
      <c r="K16" s="42">
        <f>IF(L15=SUP!$B$104,K15+1,K15)</f>
        <v>1</v>
      </c>
      <c r="L16" s="42">
        <f>IF(K16=K15,L15+1,1)</f>
        <v>2</v>
      </c>
    </row>
    <row r="17" spans="1:12">
      <c r="A17" s="42" t="str">
        <f ca="1">IF(OR(LEFT(OFFSET(SUP!$A$57,L17,0),2)="\I",I17=""),"*","")</f>
        <v/>
      </c>
      <c r="B17" s="440" t="str">
        <f t="shared" ca="1" si="1"/>
        <v>PRC_ACTUNT</v>
      </c>
      <c r="C17" s="440" t="str">
        <f ca="1">OFFSET(SUP!$B$57,L17,0)</f>
        <v>MINCLD</v>
      </c>
      <c r="D17" s="440" t="str">
        <f ca="1">IF($A17="*","",IF(LEFT($B17,3)="TOP",OFFSET(SUP!$D$57,$L17,0),"-"))</f>
        <v>-</v>
      </c>
      <c r="E17" s="440" t="str">
        <f ca="1">IF($A17="*","",IF($B17="PRC_ACTUNT",OFFSET(SUP!$B$57,$L17,SUMIF($B$9:$B$11,$B17,$M$9:$M$11)),"-"))</f>
        <v>CLD</v>
      </c>
      <c r="F17" s="440" t="str">
        <f t="shared" ca="1" si="2"/>
        <v>-</v>
      </c>
      <c r="G17" s="440" t="str">
        <f t="shared" ca="1" si="3"/>
        <v>-</v>
      </c>
      <c r="H17" s="440" t="str">
        <f ca="1">IF($A17="*","",IF($B17="PRC_NOFF",OFFSET(SUP!$B$57,$L17,SUMIF($B$9:$B$12,$B17,$M$9:$M$12))-1,OFFSET(H$8,K17,0)))</f>
        <v>-</v>
      </c>
      <c r="I17" s="440">
        <f ca="1">IF(LEFT(VLOOKUP("*#"&amp;K17,$A$9:$I$13,I$6,0),1)="#",OFFSET(SUP!$B$57,$L17,SUMIF($A$9:$A$13,"*#"&amp;$K17,$M$9:$M$13)),1)</f>
        <v>1</v>
      </c>
      <c r="J17" s="440"/>
      <c r="K17" s="42">
        <f>IF(L16=SUP!$B$104,K16+1,K16)</f>
        <v>1</v>
      </c>
      <c r="L17" s="42">
        <f>IF(K17=K16,L16+1,1)</f>
        <v>3</v>
      </c>
    </row>
    <row r="18" spans="1:12">
      <c r="A18" s="42" t="str">
        <f ca="1">IF(OR(LEFT(OFFSET(SUP!$A$57,L18,0),2)="\I",I18=""),"*","")</f>
        <v/>
      </c>
      <c r="B18" s="440" t="str">
        <f t="shared" ca="1" si="1"/>
        <v>PRC_ACTUNT</v>
      </c>
      <c r="C18" s="440" t="str">
        <f ca="1">OFFSET(SUP!$B$57,L18,0)</f>
        <v>MINOCR</v>
      </c>
      <c r="D18" s="440" t="str">
        <f ca="1">IF($A18="*","",IF(LEFT($B18,3)="TOP",OFFSET(SUP!$D$57,$L18,0),"-"))</f>
        <v>-</v>
      </c>
      <c r="E18" s="440" t="str">
        <f ca="1">IF($A18="*","",IF($B18="PRC_ACTUNT",OFFSET(SUP!$B$57,$L18,SUMIF($B$9:$B$11,$B18,$M$9:$M$11)),"-"))</f>
        <v>OCR</v>
      </c>
      <c r="F18" s="440" t="str">
        <f t="shared" ca="1" si="2"/>
        <v>-</v>
      </c>
      <c r="G18" s="440" t="str">
        <f t="shared" ca="1" si="3"/>
        <v>-</v>
      </c>
      <c r="H18" s="440" t="str">
        <f ca="1">IF($A18="*","",IF($B18="PRC_NOFF",OFFSET(SUP!$B$57,$L18,SUMIF($B$9:$B$12,$B18,$M$9:$M$12))-1,OFFSET(H$8,K18,0)))</f>
        <v>-</v>
      </c>
      <c r="I18" s="440">
        <f ca="1">IF(LEFT(VLOOKUP("*#"&amp;K18,$A$9:$I$13,I$6,0),1)="#",OFFSET(SUP!$B$57,$L18,SUMIF($A$9:$A$13,"*#"&amp;$K18,$M$9:$M$13)),1)</f>
        <v>1</v>
      </c>
      <c r="J18" s="440"/>
      <c r="K18" s="42">
        <f>IF(L17=SUP!$B$104,K17+1,K17)</f>
        <v>1</v>
      </c>
      <c r="L18" s="42">
        <f t="shared" ref="L18:L23" si="4">IF(K18=K17,L17+1,1)</f>
        <v>4</v>
      </c>
    </row>
    <row r="19" spans="1:12">
      <c r="A19" s="42" t="str">
        <f ca="1">IF(OR(LEFT(OFFSET(SUP!$A$57,L19,0),2)="\I",I19=""),"*","")</f>
        <v/>
      </c>
      <c r="B19" s="440" t="str">
        <f t="shared" ca="1" si="1"/>
        <v>PRC_ACTUNT</v>
      </c>
      <c r="C19" s="440" t="str">
        <f ca="1">OFFSET(SUP!$B$57,L19,0)</f>
        <v>MINGIC</v>
      </c>
      <c r="D19" s="440" t="str">
        <f ca="1">IF($A19="*","",IF(LEFT($B19,3)="TOP",OFFSET(SUP!$D$57,$L19,0),"-"))</f>
        <v>-</v>
      </c>
      <c r="E19" s="440" t="str">
        <f ca="1">IF($A19="*","",IF($B19="PRC_ACTUNT",OFFSET(SUP!$B$57,$L19,SUMIF($B$9:$B$11,$B19,$M$9:$M$11)),"-"))</f>
        <v>GIC</v>
      </c>
      <c r="F19" s="440" t="str">
        <f t="shared" ca="1" si="2"/>
        <v>-</v>
      </c>
      <c r="G19" s="440" t="str">
        <f t="shared" ca="1" si="3"/>
        <v>-</v>
      </c>
      <c r="H19" s="440" t="str">
        <f ca="1">IF($A19="*","",IF($B19="PRC_NOFF",OFFSET(SUP!$B$57,$L19,SUMIF($B$9:$B$12,$B19,$M$9:$M$12))-1,OFFSET(H$8,K19,0)))</f>
        <v>-</v>
      </c>
      <c r="I19" s="440">
        <f ca="1">IF(LEFT(VLOOKUP("*#"&amp;K19,$A$9:$I$13,I$6,0),1)="#",OFFSET(SUP!$B$57,$L19,SUMIF($A$9:$A$13,"*#"&amp;$K19,$M$9:$M$13)),1)</f>
        <v>1</v>
      </c>
      <c r="J19" s="440"/>
      <c r="K19" s="42">
        <f>IF(L18=SUP!$B$104,K18+1,K18)</f>
        <v>1</v>
      </c>
      <c r="L19" s="42">
        <f t="shared" si="4"/>
        <v>5</v>
      </c>
    </row>
    <row r="20" spans="1:12">
      <c r="A20" s="42" t="str">
        <f ca="1">IF(OR(LEFT(OFFSET(SUP!$A$57,L20,0),2)="\I",I20=""),"*","")</f>
        <v/>
      </c>
      <c r="B20" s="440" t="str">
        <f t="shared" ca="1" si="1"/>
        <v>PRC_ACTUNT</v>
      </c>
      <c r="C20" s="440" t="str">
        <f ca="1">OFFSET(SUP!$B$57,L20,0)</f>
        <v>MINGIB</v>
      </c>
      <c r="D20" s="440" t="str">
        <f ca="1">IF($A20="*","",IF(LEFT($B20,3)="TOP",OFFSET(SUP!$D$57,$L20,0),"-"))</f>
        <v>-</v>
      </c>
      <c r="E20" s="440" t="str">
        <f ca="1">IF($A20="*","",IF($B20="PRC_ACTUNT",OFFSET(SUP!$B$57,$L20,SUMIF($B$9:$B$11,$B20,$M$9:$M$11)),"-"))</f>
        <v>GIB</v>
      </c>
      <c r="F20" s="440" t="str">
        <f t="shared" ca="1" si="2"/>
        <v>-</v>
      </c>
      <c r="G20" s="440" t="str">
        <f t="shared" ca="1" si="3"/>
        <v>-</v>
      </c>
      <c r="H20" s="440" t="str">
        <f ca="1">IF($A20="*","",IF($B20="PRC_NOFF",OFFSET(SUP!$B$57,$L20,SUMIF($B$9:$B$12,$B20,$M$9:$M$12))-1,OFFSET(H$8,K20,0)))</f>
        <v>-</v>
      </c>
      <c r="I20" s="440">
        <f ca="1">IF(LEFT(VLOOKUP("*#"&amp;K20,$A$9:$I$13,I$6,0),1)="#",OFFSET(SUP!$B$57,$L20,SUMIF($A$9:$A$13,"*#"&amp;$K20,$M$9:$M$13)),1)</f>
        <v>1</v>
      </c>
      <c r="J20" s="440"/>
      <c r="K20" s="42">
        <f>IF(L19=SUP!$B$104,K19+1,K19)</f>
        <v>1</v>
      </c>
      <c r="L20" s="42">
        <f t="shared" si="4"/>
        <v>6</v>
      </c>
    </row>
    <row r="21" spans="1:12">
      <c r="A21" s="42" t="str">
        <f ca="1">IF(OR(LEFT(OFFSET(SUP!$A$57,L21,0),2)="\I",I21=""),"*","")</f>
        <v/>
      </c>
      <c r="B21" s="440" t="str">
        <f t="shared" ca="1" si="1"/>
        <v>PRC_ACTUNT</v>
      </c>
      <c r="C21" s="440" t="str">
        <f ca="1">OFFSET(SUP!$B$57,L21,0)</f>
        <v>MINGAS</v>
      </c>
      <c r="D21" s="440" t="str">
        <f ca="1">IF($A21="*","",IF(LEFT($B21,3)="TOP",OFFSET(SUP!$D$57,$L21,0),"-"))</f>
        <v>-</v>
      </c>
      <c r="E21" s="440" t="str">
        <f ca="1">IF($A21="*","",IF($B21="PRC_ACTUNT",OFFSET(SUP!$B$57,$L21,SUMIF($B$9:$B$11,$B21,$M$9:$M$11)),"-"))</f>
        <v>GAS</v>
      </c>
      <c r="F21" s="440" t="str">
        <f t="shared" ca="1" si="2"/>
        <v>-</v>
      </c>
      <c r="G21" s="440" t="str">
        <f t="shared" ca="1" si="3"/>
        <v>-</v>
      </c>
      <c r="H21" s="440" t="str">
        <f ca="1">IF($A21="*","",IF($B21="PRC_NOFF",OFFSET(SUP!$B$57,$L21,SUMIF($B$9:$B$12,$B21,$M$9:$M$12))-1,OFFSET(H$8,K21,0)))</f>
        <v>-</v>
      </c>
      <c r="I21" s="440">
        <f ca="1">IF(LEFT(VLOOKUP("*#"&amp;K21,$A$9:$I$13,I$6,0),1)="#",OFFSET(SUP!$B$57,$L21,SUMIF($A$9:$A$13,"*#"&amp;$K21,$M$9:$M$13)),1)</f>
        <v>1</v>
      </c>
      <c r="J21" s="440"/>
      <c r="K21" s="42">
        <f>IF(L20=SUP!$B$104,K20+1,K20)</f>
        <v>1</v>
      </c>
      <c r="L21" s="42">
        <f t="shared" si="4"/>
        <v>7</v>
      </c>
    </row>
    <row r="22" spans="1:12">
      <c r="A22" s="42" t="str">
        <f ca="1">IF(OR(LEFT(OFFSET(SUP!$A$57,L22,0),2)="\I",I22=""),"*","")</f>
        <v/>
      </c>
      <c r="B22" s="440" t="str">
        <f t="shared" ca="1" si="1"/>
        <v>PRC_ACTUNT</v>
      </c>
      <c r="C22" s="440" t="str">
        <f ca="1">OFFSET(SUP!$B$57,L22,0)</f>
        <v>MINGIH</v>
      </c>
      <c r="D22" s="440" t="str">
        <f ca="1">IF($A22="*","",IF(LEFT($B22,3)="TOP",OFFSET(SUP!$D$57,$L22,0),"-"))</f>
        <v>-</v>
      </c>
      <c r="E22" s="440" t="str">
        <f ca="1">IF($A22="*","",IF($B22="PRC_ACTUNT",OFFSET(SUP!$B$57,$L22,SUMIF($B$9:$B$11,$B22,$M$9:$M$11)),"-"))</f>
        <v>GIH</v>
      </c>
      <c r="F22" s="440" t="str">
        <f t="shared" ca="1" si="2"/>
        <v>-</v>
      </c>
      <c r="G22" s="440" t="str">
        <f t="shared" ca="1" si="3"/>
        <v>-</v>
      </c>
      <c r="H22" s="440" t="str">
        <f ca="1">IF($A22="*","",IF($B22="PRC_NOFF",OFFSET(SUP!$B$57,$L22,SUMIF($B$9:$B$12,$B22,$M$9:$M$12))-1,OFFSET(H$8,K22,0)))</f>
        <v>-</v>
      </c>
      <c r="I22" s="440">
        <f ca="1">IF(LEFT(VLOOKUP("*#"&amp;K22,$A$9:$I$13,I$6,0),1)="#",OFFSET(SUP!$B$57,$L22,SUMIF($A$9:$A$13,"*#"&amp;$K22,$M$9:$M$13)),1)</f>
        <v>1</v>
      </c>
      <c r="J22" s="440"/>
      <c r="K22" s="42">
        <f>IF(L21=SUP!$B$104,K21+1,K21)</f>
        <v>1</v>
      </c>
      <c r="L22" s="42">
        <f t="shared" si="4"/>
        <v>8</v>
      </c>
    </row>
    <row r="23" spans="1:12">
      <c r="A23" s="42" t="str">
        <f ca="1">IF(OR(LEFT(OFFSET(SUP!$A$57,L23,0),2)="\I",I23=""),"*","")</f>
        <v>*</v>
      </c>
      <c r="B23" s="440" t="str">
        <f t="shared" ca="1" si="1"/>
        <v>PRC_ACTUNT</v>
      </c>
      <c r="C23" s="440">
        <f ca="1">OFFSET(SUP!$B$57,L23,0)</f>
        <v>0</v>
      </c>
      <c r="D23" s="440" t="str">
        <f ca="1">IF($A23="*","",IF(LEFT($B23,3)="TOP",OFFSET(SUP!$D$57,$L23,0),"-"))</f>
        <v/>
      </c>
      <c r="E23" s="440" t="str">
        <f ca="1">IF($A23="*","",IF($B23="PRC_ACTUNT",OFFSET(SUP!$B$57,$L23,SUMIF($B$9:$B$11,$B23,$M$9:$M$11)),"-"))</f>
        <v/>
      </c>
      <c r="F23" s="440" t="str">
        <f t="shared" ca="1" si="2"/>
        <v>-</v>
      </c>
      <c r="G23" s="440" t="str">
        <f t="shared" ca="1" si="3"/>
        <v/>
      </c>
      <c r="H23" s="440" t="str">
        <f ca="1">IF($A23="*","",IF($B23="PRC_NOFF",OFFSET(SUP!$B$57,$L23,SUMIF($B$9:$B$12,$B23,$M$9:$M$12))-1,OFFSET(H$8,K23,0)))</f>
        <v/>
      </c>
      <c r="I23" s="440">
        <f ca="1">IF(LEFT(VLOOKUP("*#"&amp;K23,$A$9:$I$13,I$6,0),1)="#",OFFSET(SUP!$B$57,$L23,SUMIF($A$9:$A$13,"*#"&amp;$K23,$M$9:$M$13)),1)</f>
        <v>1</v>
      </c>
      <c r="J23" s="440"/>
      <c r="K23" s="42">
        <f>IF(L22=SUP!$B$104,K22+1,K22)</f>
        <v>1</v>
      </c>
      <c r="L23" s="42">
        <f t="shared" si="4"/>
        <v>9</v>
      </c>
    </row>
    <row r="24" spans="1:12">
      <c r="A24" s="42" t="str">
        <f ca="1">IF(OR(LEFT(OFFSET(SUP!$A$57,L24,0),2)="\I",I24=""),"*","")</f>
        <v/>
      </c>
      <c r="B24" s="440" t="str">
        <f t="shared" ref="B24:B87" ca="1" si="5">IF(AND(VLOOKUP("*"&amp;K24,$A$9:$B$15,2,FALSE)="TOP-OUT",LEFT(C24,3)="PEX"),"TOP-IN",VLOOKUP("*"&amp;K24,$A$9:$B$15,2,FALSE))</f>
        <v>PRC_ACTUNT</v>
      </c>
      <c r="C24" s="440" t="str">
        <f ca="1">OFFSET(SUP!$B$57,L24,0)</f>
        <v>MINBIG</v>
      </c>
      <c r="D24" s="440" t="str">
        <f ca="1">IF($A24="*","",IF(LEFT($B24,3)="TOP",OFFSET(SUP!$D$57,$L24,0),"-"))</f>
        <v>-</v>
      </c>
      <c r="E24" s="440" t="str">
        <f ca="1">IF($A24="*","",IF($B24="PRC_ACTUNT",OFFSET(SUP!$B$57,$L24,SUMIF($B$9:$B$11,$B24,$M$9:$M$11)),"-"))</f>
        <v>BIG</v>
      </c>
      <c r="F24" s="440" t="str">
        <f t="shared" ref="F24:F87" ca="1" si="6">OFFSET(F$8,K24,0)</f>
        <v>-</v>
      </c>
      <c r="G24" s="440" t="str">
        <f t="shared" ref="G24:G87" ca="1" si="7">IF($A24="*","",IF($B24="PRC_NOFF","BOH",OFFSET(G$8,K24,0)))</f>
        <v>-</v>
      </c>
      <c r="H24" s="440" t="str">
        <f ca="1">IF($A24="*","",IF($B24="PRC_NOFF",OFFSET(SUP!$B$57,$L24,SUMIF($B$9:$B$12,$B24,$M$9:$M$12))-1,OFFSET(H$8,K24,0)))</f>
        <v>-</v>
      </c>
      <c r="I24" s="440">
        <f ca="1">IF(LEFT(VLOOKUP("*#"&amp;K24,$A$9:$I$13,I$6,0),1)="#",OFFSET(SUP!$B$57,$L24,SUMIF($A$9:$A$13,"*#"&amp;$K24,$M$9:$M$13)),1)</f>
        <v>1</v>
      </c>
      <c r="J24" s="440"/>
      <c r="K24" s="42">
        <f>IF(L23=SUP!$B$104,K23+1,K23)</f>
        <v>1</v>
      </c>
      <c r="L24" s="42">
        <f t="shared" ref="L24:L87" si="8">IF(K24=K23,L23+1,1)</f>
        <v>10</v>
      </c>
    </row>
    <row r="25" spans="1:12">
      <c r="A25" s="42" t="str">
        <f ca="1">IF(OR(LEFT(OFFSET(SUP!$A$57,L25,0),2)="\I",I25=""),"*","")</f>
        <v/>
      </c>
      <c r="B25" s="440" t="str">
        <f t="shared" ca="1" si="5"/>
        <v>PRC_ACTUNT</v>
      </c>
      <c r="C25" s="440" t="str">
        <f ca="1">OFFSET(SUP!$B$57,L25,0)</f>
        <v>MINBIB</v>
      </c>
      <c r="D25" s="440" t="str">
        <f ca="1">IF($A25="*","",IF(LEFT($B25,3)="TOP",OFFSET(SUP!$D$57,$L25,0),"-"))</f>
        <v>-</v>
      </c>
      <c r="E25" s="440" t="str">
        <f ca="1">IF($A25="*","",IF($B25="PRC_ACTUNT",OFFSET(SUP!$B$57,$L25,SUMIF($B$9:$B$11,$B25,$M$9:$M$11)),"-"))</f>
        <v>BIB</v>
      </c>
      <c r="F25" s="440" t="str">
        <f t="shared" ca="1" si="6"/>
        <v>-</v>
      </c>
      <c r="G25" s="440" t="str">
        <f t="shared" ca="1" si="7"/>
        <v>-</v>
      </c>
      <c r="H25" s="440" t="str">
        <f ca="1">IF($A25="*","",IF($B25="PRC_NOFF",OFFSET(SUP!$B$57,$L25,SUMIF($B$9:$B$12,$B25,$M$9:$M$12))-1,OFFSET(H$8,K25,0)))</f>
        <v>-</v>
      </c>
      <c r="I25" s="440">
        <f ca="1">IF(LEFT(VLOOKUP("*#"&amp;K25,$A$9:$I$13,I$6,0),1)="#",OFFSET(SUP!$B$57,$L25,SUMIF($A$9:$A$13,"*#"&amp;$K25,$M$9:$M$13)),1)</f>
        <v>1</v>
      </c>
      <c r="J25" s="440"/>
      <c r="K25" s="42">
        <f>IF(L24=SUP!$B$104,K24+1,K24)</f>
        <v>1</v>
      </c>
      <c r="L25" s="42">
        <f t="shared" si="8"/>
        <v>11</v>
      </c>
    </row>
    <row r="26" spans="1:12">
      <c r="A26" s="42" t="str">
        <f ca="1">IF(OR(LEFT(OFFSET(SUP!$A$57,L26,0),2)="\I",I26=""),"*","")</f>
        <v/>
      </c>
      <c r="B26" s="440" t="str">
        <f t="shared" ca="1" si="5"/>
        <v>PRC_ACTUNT</v>
      </c>
      <c r="C26" s="440" t="str">
        <f ca="1">OFFSET(SUP!$B$57,L26,0)</f>
        <v>MINBIO</v>
      </c>
      <c r="D26" s="440" t="str">
        <f ca="1">IF($A26="*","",IF(LEFT($B26,3)="TOP",OFFSET(SUP!$D$57,$L26,0),"-"))</f>
        <v>-</v>
      </c>
      <c r="E26" s="440" t="str">
        <f ca="1">IF($A26="*","",IF($B26="PRC_ACTUNT",OFFSET(SUP!$B$57,$L26,SUMIF($B$9:$B$11,$B26,$M$9:$M$11)),"-"))</f>
        <v>BIO</v>
      </c>
      <c r="F26" s="440" t="str">
        <f t="shared" ca="1" si="6"/>
        <v>-</v>
      </c>
      <c r="G26" s="440" t="str">
        <f t="shared" ca="1" si="7"/>
        <v>-</v>
      </c>
      <c r="H26" s="440" t="str">
        <f ca="1">IF($A26="*","",IF($B26="PRC_NOFF",OFFSET(SUP!$B$57,$L26,SUMIF($B$9:$B$12,$B26,$M$9:$M$12))-1,OFFSET(H$8,K26,0)))</f>
        <v>-</v>
      </c>
      <c r="I26" s="440">
        <f ca="1">IF(LEFT(VLOOKUP("*#"&amp;K26,$A$9:$I$13,I$6,0),1)="#",OFFSET(SUP!$B$57,$L26,SUMIF($A$9:$A$13,"*#"&amp;$K26,$M$9:$M$13)),1)</f>
        <v>1</v>
      </c>
      <c r="J26" s="440"/>
      <c r="K26" s="42">
        <f>IF(L25=SUP!$B$104,K25+1,K25)</f>
        <v>1</v>
      </c>
      <c r="L26" s="42">
        <f t="shared" si="8"/>
        <v>12</v>
      </c>
    </row>
    <row r="27" spans="1:12">
      <c r="A27" s="42" t="str">
        <f ca="1">IF(OR(LEFT(OFFSET(SUP!$A$57,L27,0),2)="\I",I27=""),"*","")</f>
        <v/>
      </c>
      <c r="B27" s="440" t="str">
        <f t="shared" ca="1" si="5"/>
        <v>PRC_ACTUNT</v>
      </c>
      <c r="C27" s="440" t="str">
        <f ca="1">OFFSET(SUP!$B$57,L27,0)</f>
        <v>MINBIW</v>
      </c>
      <c r="D27" s="440" t="str">
        <f ca="1">IF($A27="*","",IF(LEFT($B27,3)="TOP",OFFSET(SUP!$D$57,$L27,0),"-"))</f>
        <v>-</v>
      </c>
      <c r="E27" s="440" t="str">
        <f ca="1">IF($A27="*","",IF($B27="PRC_ACTUNT",OFFSET(SUP!$B$57,$L27,SUMIF($B$9:$B$11,$B27,$M$9:$M$11)),"-"))</f>
        <v>BIW</v>
      </c>
      <c r="F27" s="440" t="str">
        <f t="shared" ca="1" si="6"/>
        <v>-</v>
      </c>
      <c r="G27" s="440" t="str">
        <f t="shared" ca="1" si="7"/>
        <v>-</v>
      </c>
      <c r="H27" s="440" t="str">
        <f ca="1">IF($A27="*","",IF($B27="PRC_NOFF",OFFSET(SUP!$B$57,$L27,SUMIF($B$9:$B$12,$B27,$M$9:$M$12))-1,OFFSET(H$8,K27,0)))</f>
        <v>-</v>
      </c>
      <c r="I27" s="440">
        <f ca="1">IF(LEFT(VLOOKUP("*#"&amp;K27,$A$9:$I$13,I$6,0),1)="#",OFFSET(SUP!$B$57,$L27,SUMIF($A$9:$A$13,"*#"&amp;$K27,$M$9:$M$13)),1)</f>
        <v>1</v>
      </c>
      <c r="J27" s="440"/>
      <c r="K27" s="42">
        <f>IF(L26=SUP!$B$104,K26+1,K26)</f>
        <v>1</v>
      </c>
      <c r="L27" s="42">
        <f t="shared" si="8"/>
        <v>13</v>
      </c>
    </row>
    <row r="28" spans="1:12">
      <c r="A28" s="42" t="str">
        <f ca="1">IF(OR(LEFT(OFFSET(SUP!$A$57,L28,0),2)="\I",I28=""),"*","")</f>
        <v/>
      </c>
      <c r="B28" s="440" t="str">
        <f t="shared" ca="1" si="5"/>
        <v>PRC_ACTUNT</v>
      </c>
      <c r="C28" s="440" t="str">
        <f ca="1">OFFSET(SUP!$B$57,L28,0)</f>
        <v>MINWAS</v>
      </c>
      <c r="D28" s="440" t="str">
        <f ca="1">IF($A28="*","",IF(LEFT($B28,3)="TOP",OFFSET(SUP!$D$57,$L28,0),"-"))</f>
        <v>-</v>
      </c>
      <c r="E28" s="440" t="str">
        <f ca="1">IF($A28="*","",IF($B28="PRC_ACTUNT",OFFSET(SUP!$B$57,$L28,SUMIF($B$9:$B$11,$B28,$M$9:$M$11)),"-"))</f>
        <v>WAS</v>
      </c>
      <c r="F28" s="440" t="str">
        <f t="shared" ca="1" si="6"/>
        <v>-</v>
      </c>
      <c r="G28" s="440" t="str">
        <f t="shared" ca="1" si="7"/>
        <v>-</v>
      </c>
      <c r="H28" s="440" t="str">
        <f ca="1">IF($A28="*","",IF($B28="PRC_NOFF",OFFSET(SUP!$B$57,$L28,SUMIF($B$9:$B$12,$B28,$M$9:$M$12))-1,OFFSET(H$8,K28,0)))</f>
        <v>-</v>
      </c>
      <c r="I28" s="440">
        <f ca="1">IF(LEFT(VLOOKUP("*#"&amp;K28,$A$9:$I$13,I$6,0),1)="#",OFFSET(SUP!$B$57,$L28,SUMIF($A$9:$A$13,"*#"&amp;$K28,$M$9:$M$13)),1)</f>
        <v>1</v>
      </c>
      <c r="J28" s="440"/>
      <c r="K28" s="42">
        <f>IF(L27=SUP!$B$104,K27+1,K27)</f>
        <v>1</v>
      </c>
      <c r="L28" s="42">
        <f t="shared" si="8"/>
        <v>14</v>
      </c>
    </row>
    <row r="29" spans="1:12">
      <c r="A29" s="42" t="str">
        <f ca="1">IF(OR(LEFT(OFFSET(SUP!$A$57,L29,0),2)="\I",I29=""),"*","")</f>
        <v/>
      </c>
      <c r="B29" s="440" t="str">
        <f t="shared" ca="1" si="5"/>
        <v>PRC_ACTUNT</v>
      </c>
      <c r="C29" s="440" t="str">
        <f ca="1">OFFSET(SUP!$B$57,L29,0)</f>
        <v>MINHYD</v>
      </c>
      <c r="D29" s="440" t="str">
        <f ca="1">IF($A29="*","",IF(LEFT($B29,3)="TOP",OFFSET(SUP!$D$57,$L29,0),"-"))</f>
        <v>-</v>
      </c>
      <c r="E29" s="440" t="str">
        <f ca="1">IF($A29="*","",IF($B29="PRC_ACTUNT",OFFSET(SUP!$B$57,$L29,SUMIF($B$9:$B$11,$B29,$M$9:$M$11)),"-"))</f>
        <v>HYD</v>
      </c>
      <c r="F29" s="440" t="str">
        <f t="shared" ca="1" si="6"/>
        <v>-</v>
      </c>
      <c r="G29" s="440" t="str">
        <f t="shared" ca="1" si="7"/>
        <v>-</v>
      </c>
      <c r="H29" s="440" t="str">
        <f ca="1">IF($A29="*","",IF($B29="PRC_NOFF",OFFSET(SUP!$B$57,$L29,SUMIF($B$9:$B$12,$B29,$M$9:$M$12))-1,OFFSET(H$8,K29,0)))</f>
        <v>-</v>
      </c>
      <c r="I29" s="440">
        <f ca="1">IF(LEFT(VLOOKUP("*#"&amp;K29,$A$9:$I$13,I$6,0),1)="#",OFFSET(SUP!$B$57,$L29,SUMIF($A$9:$A$13,"*#"&amp;$K29,$M$9:$M$13)),1)</f>
        <v>1</v>
      </c>
      <c r="J29" s="440"/>
      <c r="K29" s="42">
        <f>IF(L28=SUP!$B$104,K28+1,K28)</f>
        <v>1</v>
      </c>
      <c r="L29" s="42">
        <f t="shared" si="8"/>
        <v>15</v>
      </c>
    </row>
    <row r="30" spans="1:12">
      <c r="A30" s="42" t="str">
        <f ca="1">IF(OR(LEFT(OFFSET(SUP!$A$57,L30,0),2)="\I",I30=""),"*","")</f>
        <v/>
      </c>
      <c r="B30" s="440" t="str">
        <f t="shared" ca="1" si="5"/>
        <v>PRC_ACTUNT</v>
      </c>
      <c r="C30" s="440" t="str">
        <f ca="1">OFFSET(SUP!$B$57,L30,0)</f>
        <v>MINSOL</v>
      </c>
      <c r="D30" s="440" t="str">
        <f ca="1">IF($A30="*","",IF(LEFT($B30,3)="TOP",OFFSET(SUP!$D$57,$L30,0),"-"))</f>
        <v>-</v>
      </c>
      <c r="E30" s="440" t="str">
        <f ca="1">IF($A30="*","",IF($B30="PRC_ACTUNT",OFFSET(SUP!$B$57,$L30,SUMIF($B$9:$B$11,$B30,$M$9:$M$11)),"-"))</f>
        <v>SOL</v>
      </c>
      <c r="F30" s="440" t="str">
        <f t="shared" ca="1" si="6"/>
        <v>-</v>
      </c>
      <c r="G30" s="440" t="str">
        <f t="shared" ca="1" si="7"/>
        <v>-</v>
      </c>
      <c r="H30" s="440" t="str">
        <f ca="1">IF($A30="*","",IF($B30="PRC_NOFF",OFFSET(SUP!$B$57,$L30,SUMIF($B$9:$B$12,$B30,$M$9:$M$12))-1,OFFSET(H$8,K30,0)))</f>
        <v>-</v>
      </c>
      <c r="I30" s="440">
        <f ca="1">IF(LEFT(VLOOKUP("*#"&amp;K30,$A$9:$I$13,I$6,0),1)="#",OFFSET(SUP!$B$57,$L30,SUMIF($A$9:$A$13,"*#"&amp;$K30,$M$9:$M$13)),1)</f>
        <v>1</v>
      </c>
      <c r="J30" s="440"/>
      <c r="K30" s="42">
        <f>IF(L29=SUP!$B$104,K29+1,K29)</f>
        <v>1</v>
      </c>
      <c r="L30" s="42">
        <f t="shared" si="8"/>
        <v>16</v>
      </c>
    </row>
    <row r="31" spans="1:12">
      <c r="A31" s="42" t="str">
        <f ca="1">IF(OR(LEFT(OFFSET(SUP!$A$57,L31,0),2)="\I",I31=""),"*","")</f>
        <v/>
      </c>
      <c r="B31" s="440" t="str">
        <f t="shared" ca="1" si="5"/>
        <v>PRC_ACTUNT</v>
      </c>
      <c r="C31" s="440" t="str">
        <f ca="1">OFFSET(SUP!$B$57,L31,0)</f>
        <v>MINWND</v>
      </c>
      <c r="D31" s="440" t="str">
        <f ca="1">IF($A31="*","",IF(LEFT($B31,3)="TOP",OFFSET(SUP!$D$57,$L31,0),"-"))</f>
        <v>-</v>
      </c>
      <c r="E31" s="440" t="str">
        <f ca="1">IF($A31="*","",IF($B31="PRC_ACTUNT",OFFSET(SUP!$B$57,$L31,SUMIF($B$9:$B$11,$B31,$M$9:$M$11)),"-"))</f>
        <v>WND</v>
      </c>
      <c r="F31" s="440" t="str">
        <f t="shared" ca="1" si="6"/>
        <v>-</v>
      </c>
      <c r="G31" s="440" t="str">
        <f t="shared" ca="1" si="7"/>
        <v>-</v>
      </c>
      <c r="H31" s="440" t="str">
        <f ca="1">IF($A31="*","",IF($B31="PRC_NOFF",OFFSET(SUP!$B$57,$L31,SUMIF($B$9:$B$12,$B31,$M$9:$M$12))-1,OFFSET(H$8,K31,0)))</f>
        <v>-</v>
      </c>
      <c r="I31" s="440">
        <f ca="1">IF(LEFT(VLOOKUP("*#"&amp;K31,$A$9:$I$13,I$6,0),1)="#",OFFSET(SUP!$B$57,$L31,SUMIF($A$9:$A$13,"*#"&amp;$K31,$M$9:$M$13)),1)</f>
        <v>1</v>
      </c>
      <c r="J31" s="440"/>
      <c r="K31" s="42">
        <f>IF(L30=SUP!$B$104,K30+1,K30)</f>
        <v>1</v>
      </c>
      <c r="L31" s="42">
        <f t="shared" si="8"/>
        <v>17</v>
      </c>
    </row>
    <row r="32" spans="1:12">
      <c r="A32" s="42" t="str">
        <f ca="1">IF(OR(LEFT(OFFSET(SUP!$A$57,L32,0),2)="\I",I32=""),"*","")</f>
        <v>*</v>
      </c>
      <c r="B32" s="440" t="str">
        <f t="shared" ca="1" si="5"/>
        <v>PRC_ACTUNT</v>
      </c>
      <c r="C32" s="440">
        <f ca="1">OFFSET(SUP!$B$57,L32,0)</f>
        <v>0</v>
      </c>
      <c r="D32" s="440" t="str">
        <f ca="1">IF($A32="*","",IF(LEFT($B32,3)="TOP",OFFSET(SUP!$D$57,$L32,0),"-"))</f>
        <v/>
      </c>
      <c r="E32" s="440" t="str">
        <f ca="1">IF($A32="*","",IF($B32="PRC_ACTUNT",OFFSET(SUP!$B$57,$L32,SUMIF($B$9:$B$11,$B32,$M$9:$M$11)),"-"))</f>
        <v/>
      </c>
      <c r="F32" s="440" t="str">
        <f t="shared" ca="1" si="6"/>
        <v>-</v>
      </c>
      <c r="G32" s="440" t="str">
        <f t="shared" ca="1" si="7"/>
        <v/>
      </c>
      <c r="H32" s="440" t="str">
        <f ca="1">IF($A32="*","",IF($B32="PRC_NOFF",OFFSET(SUP!$B$57,$L32,SUMIF($B$9:$B$12,$B32,$M$9:$M$12))-1,OFFSET(H$8,K32,0)))</f>
        <v/>
      </c>
      <c r="I32" s="440">
        <f ca="1">IF(LEFT(VLOOKUP("*#"&amp;K32,$A$9:$I$13,I$6,0),1)="#",OFFSET(SUP!$B$57,$L32,SUMIF($A$9:$A$13,"*#"&amp;$K32,$M$9:$M$13)),1)</f>
        <v>1</v>
      </c>
      <c r="J32" s="440"/>
      <c r="K32" s="42">
        <f>IF(L31=SUP!$B$104,K31+1,K31)</f>
        <v>1</v>
      </c>
      <c r="L32" s="42">
        <f t="shared" si="8"/>
        <v>18</v>
      </c>
    </row>
    <row r="33" spans="1:12">
      <c r="A33" s="42" t="str">
        <f ca="1">IF(OR(LEFT(OFFSET(SUP!$A$57,L33,0),2)="\I",I33=""),"*","")</f>
        <v/>
      </c>
      <c r="B33" s="440" t="str">
        <f t="shared" ca="1" si="5"/>
        <v>PRC_ACTUNT</v>
      </c>
      <c r="C33" s="440" t="str">
        <f ca="1">OFFSET(SUP!$B$57,L33,0)</f>
        <v>IMPCOK</v>
      </c>
      <c r="D33" s="440" t="str">
        <f ca="1">IF($A33="*","",IF(LEFT($B33,3)="TOP",OFFSET(SUP!$D$57,$L33,0),"-"))</f>
        <v>-</v>
      </c>
      <c r="E33" s="440" t="str">
        <f ca="1">IF($A33="*","",IF($B33="PRC_ACTUNT",OFFSET(SUP!$B$57,$L33,SUMIF($B$9:$B$11,$B33,$M$9:$M$11)),"-"))</f>
        <v>COK</v>
      </c>
      <c r="F33" s="440" t="str">
        <f t="shared" ca="1" si="6"/>
        <v>-</v>
      </c>
      <c r="G33" s="440" t="str">
        <f t="shared" ca="1" si="7"/>
        <v>-</v>
      </c>
      <c r="H33" s="440" t="str">
        <f ca="1">IF($A33="*","",IF($B33="PRC_NOFF",OFFSET(SUP!$B$57,$L33,SUMIF($B$9:$B$12,$B33,$M$9:$M$12))-1,OFFSET(H$8,K33,0)))</f>
        <v>-</v>
      </c>
      <c r="I33" s="440">
        <f ca="1">IF(LEFT(VLOOKUP("*#"&amp;K33,$A$9:$I$13,I$6,0),1)="#",OFFSET(SUP!$B$57,$L33,SUMIF($A$9:$A$13,"*#"&amp;$K33,$M$9:$M$13)),1)</f>
        <v>1</v>
      </c>
      <c r="J33" s="440"/>
      <c r="K33" s="42">
        <f>IF(L32=SUP!$B$104,K32+1,K32)</f>
        <v>1</v>
      </c>
      <c r="L33" s="42">
        <f t="shared" si="8"/>
        <v>19</v>
      </c>
    </row>
    <row r="34" spans="1:12">
      <c r="A34" s="42" t="str">
        <f ca="1">IF(OR(LEFT(OFFSET(SUP!$A$57,L34,0),2)="\I",I34=""),"*","")</f>
        <v/>
      </c>
      <c r="B34" s="440" t="str">
        <f t="shared" ca="1" si="5"/>
        <v>PRC_ACTUNT</v>
      </c>
      <c r="C34" s="440" t="str">
        <f ca="1">OFFSET(SUP!$B$57,L34,0)</f>
        <v>IMPGRL</v>
      </c>
      <c r="D34" s="440" t="str">
        <f ca="1">IF($A34="*","",IF(LEFT($B34,3)="TOP",OFFSET(SUP!$D$57,$L34,0),"-"))</f>
        <v>-</v>
      </c>
      <c r="E34" s="440" t="str">
        <f ca="1">IF($A34="*","",IF($B34="PRC_ACTUNT",OFFSET(SUP!$B$57,$L34,SUMIF($B$9:$B$11,$B34,$M$9:$M$11)),"-"))</f>
        <v>GRL</v>
      </c>
      <c r="F34" s="440" t="str">
        <f t="shared" ca="1" si="6"/>
        <v>-</v>
      </c>
      <c r="G34" s="440" t="str">
        <f t="shared" ca="1" si="7"/>
        <v>-</v>
      </c>
      <c r="H34" s="440" t="str">
        <f ca="1">IF($A34="*","",IF($B34="PRC_NOFF",OFFSET(SUP!$B$57,$L34,SUMIF($B$9:$B$12,$B34,$M$9:$M$12))-1,OFFSET(H$8,K34,0)))</f>
        <v>-</v>
      </c>
      <c r="I34" s="440">
        <f ca="1">IF(LEFT(VLOOKUP("*#"&amp;K34,$A$9:$I$13,I$6,0),1)="#",OFFSET(SUP!$B$57,$L34,SUMIF($A$9:$A$13,"*#"&amp;$K34,$M$9:$M$13)),1)</f>
        <v>1</v>
      </c>
      <c r="J34" s="440"/>
      <c r="K34" s="42">
        <f>IF(L33=SUP!$B$104,K33+1,K33)</f>
        <v>1</v>
      </c>
      <c r="L34" s="42">
        <f t="shared" si="8"/>
        <v>20</v>
      </c>
    </row>
    <row r="35" spans="1:12">
      <c r="A35" s="42" t="str">
        <f ca="1">IF(OR(LEFT(OFFSET(SUP!$A$57,L35,0),2)="\I",I35=""),"*","")</f>
        <v/>
      </c>
      <c r="B35" s="440" t="str">
        <f t="shared" ca="1" si="5"/>
        <v>PRC_ACTUNT</v>
      </c>
      <c r="C35" s="440" t="str">
        <f ca="1">OFFSET(SUP!$B$57,L35,0)</f>
        <v>IMPGWL</v>
      </c>
      <c r="D35" s="440" t="str">
        <f ca="1">IF($A35="*","",IF(LEFT($B35,3)="TOP",OFFSET(SUP!$D$57,$L35,0),"-"))</f>
        <v>-</v>
      </c>
      <c r="E35" s="440" t="str">
        <f ca="1">IF($A35="*","",IF($B35="PRC_ACTUNT",OFFSET(SUP!$B$57,$L35,SUMIF($B$9:$B$11,$B35,$M$9:$M$11)),"-"))</f>
        <v>GRL</v>
      </c>
      <c r="F35" s="440" t="str">
        <f t="shared" ca="1" si="6"/>
        <v>-</v>
      </c>
      <c r="G35" s="440" t="str">
        <f t="shared" ca="1" si="7"/>
        <v>-</v>
      </c>
      <c r="H35" s="440" t="str">
        <f ca="1">IF($A35="*","",IF($B35="PRC_NOFF",OFFSET(SUP!$B$57,$L35,SUMIF($B$9:$B$12,$B35,$M$9:$M$12))-1,OFFSET(H$8,K35,0)))</f>
        <v>-</v>
      </c>
      <c r="I35" s="440">
        <f ca="1">IF(LEFT(VLOOKUP("*#"&amp;K35,$A$9:$I$13,I$6,0),1)="#",OFFSET(SUP!$B$57,$L35,SUMIF($A$9:$A$13,"*#"&amp;$K35,$M$9:$M$13)),1)</f>
        <v>1</v>
      </c>
      <c r="J35" s="440"/>
      <c r="K35" s="42">
        <f>IF(L34=SUP!$B$104,K34+1,K34)</f>
        <v>1</v>
      </c>
      <c r="L35" s="42">
        <f t="shared" si="8"/>
        <v>21</v>
      </c>
    </row>
    <row r="36" spans="1:12">
      <c r="A36" s="42" t="str">
        <f ca="1">IF(OR(LEFT(OFFSET(SUP!$A$57,L36,0),2)="\I",I36=""),"*","")</f>
        <v/>
      </c>
      <c r="B36" s="440" t="str">
        <f t="shared" ca="1" si="5"/>
        <v>PRC_ACTUNT</v>
      </c>
      <c r="C36" s="440" t="str">
        <f ca="1">OFFSET(SUP!$B$57,L36,0)</f>
        <v>IMPNUC</v>
      </c>
      <c r="D36" s="440" t="str">
        <f ca="1">IF($A36="*","",IF(LEFT($B36,3)="TOP",OFFSET(SUP!$D$57,$L36,0),"-"))</f>
        <v>-</v>
      </c>
      <c r="E36" s="440" t="str">
        <f ca="1">IF($A36="*","",IF($B36="PRC_ACTUNT",OFFSET(SUP!$B$57,$L36,SUMIF($B$9:$B$11,$B36,$M$9:$M$11)),"-"))</f>
        <v>NUC</v>
      </c>
      <c r="F36" s="440" t="str">
        <f t="shared" ca="1" si="6"/>
        <v>-</v>
      </c>
      <c r="G36" s="440" t="str">
        <f t="shared" ca="1" si="7"/>
        <v>-</v>
      </c>
      <c r="H36" s="440" t="str">
        <f ca="1">IF($A36="*","",IF($B36="PRC_NOFF",OFFSET(SUP!$B$57,$L36,SUMIF($B$9:$B$12,$B36,$M$9:$M$12))-1,OFFSET(H$8,K36,0)))</f>
        <v>-</v>
      </c>
      <c r="I36" s="440">
        <f ca="1">IF(LEFT(VLOOKUP("*#"&amp;K36,$A$9:$I$13,I$6,0),1)="#",OFFSET(SUP!$B$57,$L36,SUMIF($A$9:$A$13,"*#"&amp;$K36,$M$9:$M$13)),1)</f>
        <v>1</v>
      </c>
      <c r="J36" s="440"/>
      <c r="K36" s="42">
        <f>IF(L35=SUP!$B$104,K35+1,K35)</f>
        <v>1</v>
      </c>
      <c r="L36" s="42">
        <f t="shared" si="8"/>
        <v>22</v>
      </c>
    </row>
    <row r="37" spans="1:12">
      <c r="A37" s="42" t="str">
        <f ca="1">IF(OR(LEFT(OFFSET(SUP!$A$57,L37,0),2)="\I",I37=""),"*","")</f>
        <v/>
      </c>
      <c r="B37" s="440" t="str">
        <f t="shared" ca="1" si="5"/>
        <v>PRC_ACTUNT</v>
      </c>
      <c r="C37" s="440" t="str">
        <f ca="1">OFFSET(SUP!$B$57,L37,0)</f>
        <v>IMPOAG</v>
      </c>
      <c r="D37" s="440" t="str">
        <f ca="1">IF($A37="*","",IF(LEFT($B37,3)="TOP",OFFSET(SUP!$D$57,$L37,0),"-"))</f>
        <v>-</v>
      </c>
      <c r="E37" s="440" t="str">
        <f ca="1">IF($A37="*","",IF($B37="PRC_ACTUNT",OFFSET(SUP!$B$57,$L37,SUMIF($B$9:$B$11,$B37,$M$9:$M$11)),"-"))</f>
        <v>OAG</v>
      </c>
      <c r="F37" s="440" t="str">
        <f t="shared" ca="1" si="6"/>
        <v>-</v>
      </c>
      <c r="G37" s="440" t="str">
        <f t="shared" ca="1" si="7"/>
        <v>-</v>
      </c>
      <c r="H37" s="440" t="str">
        <f ca="1">IF($A37="*","",IF($B37="PRC_NOFF",OFFSET(SUP!$B$57,$L37,SUMIF($B$9:$B$12,$B37,$M$9:$M$12))-1,OFFSET(H$8,K37,0)))</f>
        <v>-</v>
      </c>
      <c r="I37" s="440">
        <f ca="1">IF(LEFT(VLOOKUP("*#"&amp;K37,$A$9:$I$13,I$6,0),1)="#",OFFSET(SUP!$B$57,$L37,SUMIF($A$9:$A$13,"*#"&amp;$K37,$M$9:$M$13)),1)</f>
        <v>1</v>
      </c>
      <c r="J37" s="440"/>
      <c r="K37" s="42">
        <f>IF(L36=SUP!$B$104,K36+1,K36)</f>
        <v>1</v>
      </c>
      <c r="L37" s="42">
        <f t="shared" si="8"/>
        <v>23</v>
      </c>
    </row>
    <row r="38" spans="1:12">
      <c r="A38" s="42" t="str">
        <f ca="1">IF(OR(LEFT(OFFSET(SUP!$A$57,L38,0),2)="\I",I38=""),"*","")</f>
        <v/>
      </c>
      <c r="B38" s="440" t="str">
        <f t="shared" ca="1" si="5"/>
        <v>PRC_ACTUNT</v>
      </c>
      <c r="C38" s="440" t="str">
        <f ca="1">OFFSET(SUP!$B$57,L38,0)</f>
        <v>IMPOCR</v>
      </c>
      <c r="D38" s="440" t="str">
        <f ca="1">IF($A38="*","",IF(LEFT($B38,3)="TOP",OFFSET(SUP!$D$57,$L38,0),"-"))</f>
        <v>-</v>
      </c>
      <c r="E38" s="440" t="str">
        <f ca="1">IF($A38="*","",IF($B38="PRC_ACTUNT",OFFSET(SUP!$B$57,$L38,SUMIF($B$9:$B$11,$B38,$M$9:$M$11)),"-"))</f>
        <v>OCR</v>
      </c>
      <c r="F38" s="440" t="str">
        <f t="shared" ca="1" si="6"/>
        <v>-</v>
      </c>
      <c r="G38" s="440" t="str">
        <f t="shared" ca="1" si="7"/>
        <v>-</v>
      </c>
      <c r="H38" s="440" t="str">
        <f ca="1">IF($A38="*","",IF($B38="PRC_NOFF",OFFSET(SUP!$B$57,$L38,SUMIF($B$9:$B$12,$B38,$M$9:$M$12))-1,OFFSET(H$8,K38,0)))</f>
        <v>-</v>
      </c>
      <c r="I38" s="440">
        <f ca="1">IF(LEFT(VLOOKUP("*#"&amp;K38,$A$9:$I$13,I$6,0),1)="#",OFFSET(SUP!$B$57,$L38,SUMIF($A$9:$A$13,"*#"&amp;$K38,$M$9:$M$13)),1)</f>
        <v>1</v>
      </c>
      <c r="J38" s="440"/>
      <c r="K38" s="42">
        <f>IF(L37=SUP!$B$104,K37+1,K37)</f>
        <v>1</v>
      </c>
      <c r="L38" s="42">
        <f t="shared" si="8"/>
        <v>24</v>
      </c>
    </row>
    <row r="39" spans="1:12">
      <c r="A39" s="42" t="str">
        <f ca="1">IF(OR(LEFT(OFFSET(SUP!$A$57,L39,0),2)="\I",I39=""),"*","")</f>
        <v/>
      </c>
      <c r="B39" s="440" t="str">
        <f t="shared" ca="1" si="5"/>
        <v>PRC_ACTUNT</v>
      </c>
      <c r="C39" s="440" t="str">
        <f ca="1">OFFSET(SUP!$B$57,L39,0)</f>
        <v>IMPODS</v>
      </c>
      <c r="D39" s="440" t="str">
        <f ca="1">IF($A39="*","",IF(LEFT($B39,3)="TOP",OFFSET(SUP!$D$57,$L39,0),"-"))</f>
        <v>-</v>
      </c>
      <c r="E39" s="440" t="str">
        <f ca="1">IF($A39="*","",IF($B39="PRC_ACTUNT",OFFSET(SUP!$B$57,$L39,SUMIF($B$9:$B$11,$B39,$M$9:$M$11)),"-"))</f>
        <v>ODS</v>
      </c>
      <c r="F39" s="440" t="str">
        <f t="shared" ca="1" si="6"/>
        <v>-</v>
      </c>
      <c r="G39" s="440" t="str">
        <f t="shared" ca="1" si="7"/>
        <v>-</v>
      </c>
      <c r="H39" s="440" t="str">
        <f ca="1">IF($A39="*","",IF($B39="PRC_NOFF",OFFSET(SUP!$B$57,$L39,SUMIF($B$9:$B$12,$B39,$M$9:$M$12))-1,OFFSET(H$8,K39,0)))</f>
        <v>-</v>
      </c>
      <c r="I39" s="440">
        <f ca="1">IF(LEFT(VLOOKUP("*#"&amp;K39,$A$9:$I$13,I$6,0),1)="#",OFFSET(SUP!$B$57,$L39,SUMIF($A$9:$A$13,"*#"&amp;$K39,$M$9:$M$13)),1)</f>
        <v>1</v>
      </c>
      <c r="J39" s="440"/>
      <c r="K39" s="42">
        <f>IF(L38=SUP!$B$104,K38+1,K38)</f>
        <v>1</v>
      </c>
      <c r="L39" s="42">
        <f t="shared" si="8"/>
        <v>25</v>
      </c>
    </row>
    <row r="40" spans="1:12">
      <c r="A40" s="42" t="str">
        <f ca="1">IF(OR(LEFT(OFFSET(SUP!$A$57,L40,0),2)="\I",I40=""),"*","")</f>
        <v/>
      </c>
      <c r="B40" s="440" t="str">
        <f t="shared" ca="1" si="5"/>
        <v>PRC_ACTUNT</v>
      </c>
      <c r="C40" s="440" t="str">
        <f ca="1">OFFSET(SUP!$B$57,L40,0)</f>
        <v>IMPOGS</v>
      </c>
      <c r="D40" s="440" t="str">
        <f ca="1">IF($A40="*","",IF(LEFT($B40,3)="TOP",OFFSET(SUP!$D$57,$L40,0),"-"))</f>
        <v>-</v>
      </c>
      <c r="E40" s="440" t="str">
        <f ca="1">IF($A40="*","",IF($B40="PRC_ACTUNT",OFFSET(SUP!$B$57,$L40,SUMIF($B$9:$B$11,$B40,$M$9:$M$11)),"-"))</f>
        <v>OGS</v>
      </c>
      <c r="F40" s="440" t="str">
        <f t="shared" ca="1" si="6"/>
        <v>-</v>
      </c>
      <c r="G40" s="440" t="str">
        <f t="shared" ca="1" si="7"/>
        <v>-</v>
      </c>
      <c r="H40" s="440" t="str">
        <f ca="1">IF($A40="*","",IF($B40="PRC_NOFF",OFFSET(SUP!$B$57,$L40,SUMIF($B$9:$B$12,$B40,$M$9:$M$12))-1,OFFSET(H$8,K40,0)))</f>
        <v>-</v>
      </c>
      <c r="I40" s="440">
        <f ca="1">IF(LEFT(VLOOKUP("*#"&amp;K40,$A$9:$I$13,I$6,0),1)="#",OFFSET(SUP!$B$57,$L40,SUMIF($A$9:$A$13,"*#"&amp;$K40,$M$9:$M$13)),1)</f>
        <v>1</v>
      </c>
      <c r="J40" s="440"/>
      <c r="K40" s="42">
        <f>IF(L39=SUP!$B$104,K39+1,K39)</f>
        <v>1</v>
      </c>
      <c r="L40" s="42">
        <f t="shared" si="8"/>
        <v>26</v>
      </c>
    </row>
    <row r="41" spans="1:12">
      <c r="A41" s="42" t="str">
        <f ca="1">IF(OR(LEFT(OFFSET(SUP!$A$57,L41,0),2)="\I",I41=""),"*","")</f>
        <v/>
      </c>
      <c r="B41" s="440" t="str">
        <f t="shared" ca="1" si="5"/>
        <v>PRC_ACTUNT</v>
      </c>
      <c r="C41" s="440" t="str">
        <f ca="1">OFFSET(SUP!$B$57,L41,0)</f>
        <v>IMPOHF</v>
      </c>
      <c r="D41" s="440" t="str">
        <f ca="1">IF($A41="*","",IF(LEFT($B41,3)="TOP",OFFSET(SUP!$D$57,$L41,0),"-"))</f>
        <v>-</v>
      </c>
      <c r="E41" s="440" t="str">
        <f ca="1">IF($A41="*","",IF($B41="PRC_ACTUNT",OFFSET(SUP!$B$57,$L41,SUMIF($B$9:$B$11,$B41,$M$9:$M$11)),"-"))</f>
        <v>OHF</v>
      </c>
      <c r="F41" s="440" t="str">
        <f t="shared" ca="1" si="6"/>
        <v>-</v>
      </c>
      <c r="G41" s="440" t="str">
        <f t="shared" ca="1" si="7"/>
        <v>-</v>
      </c>
      <c r="H41" s="440" t="str">
        <f ca="1">IF($A41="*","",IF($B41="PRC_NOFF",OFFSET(SUP!$B$57,$L41,SUMIF($B$9:$B$12,$B41,$M$9:$M$12))-1,OFFSET(H$8,K41,0)))</f>
        <v>-</v>
      </c>
      <c r="I41" s="440">
        <f ca="1">IF(LEFT(VLOOKUP("*#"&amp;K41,$A$9:$I$13,I$6,0),1)="#",OFFSET(SUP!$B$57,$L41,SUMIF($A$9:$A$13,"*#"&amp;$K41,$M$9:$M$13)),1)</f>
        <v>1</v>
      </c>
      <c r="J41" s="440"/>
      <c r="K41" s="42">
        <f>IF(L40=SUP!$B$104,K40+1,K40)</f>
        <v>1</v>
      </c>
      <c r="L41" s="42">
        <f t="shared" si="8"/>
        <v>27</v>
      </c>
    </row>
    <row r="42" spans="1:12">
      <c r="A42" s="42" t="str">
        <f ca="1">IF(OR(LEFT(OFFSET(SUP!$A$57,L42,0),2)="\I",I42=""),"*","")</f>
        <v/>
      </c>
      <c r="B42" s="440" t="str">
        <f t="shared" ca="1" si="5"/>
        <v>PRC_ACTUNT</v>
      </c>
      <c r="C42" s="440" t="str">
        <f ca="1">OFFSET(SUP!$B$57,L42,0)</f>
        <v>IMPOLP</v>
      </c>
      <c r="D42" s="440" t="str">
        <f ca="1">IF($A42="*","",IF(LEFT($B42,3)="TOP",OFFSET(SUP!$D$57,$L42,0),"-"))</f>
        <v>-</v>
      </c>
      <c r="E42" s="440" t="str">
        <f ca="1">IF($A42="*","",IF($B42="PRC_ACTUNT",OFFSET(SUP!$B$57,$L42,SUMIF($B$9:$B$11,$B42,$M$9:$M$11)),"-"))</f>
        <v>OLP</v>
      </c>
      <c r="F42" s="440" t="str">
        <f t="shared" ca="1" si="6"/>
        <v>-</v>
      </c>
      <c r="G42" s="440" t="str">
        <f t="shared" ca="1" si="7"/>
        <v>-</v>
      </c>
      <c r="H42" s="440" t="str">
        <f ca="1">IF($A42="*","",IF($B42="PRC_NOFF",OFFSET(SUP!$B$57,$L42,SUMIF($B$9:$B$12,$B42,$M$9:$M$12))-1,OFFSET(H$8,K42,0)))</f>
        <v>-</v>
      </c>
      <c r="I42" s="440">
        <f ca="1">IF(LEFT(VLOOKUP("*#"&amp;K42,$A$9:$I$13,I$6,0),1)="#",OFFSET(SUP!$B$57,$L42,SUMIF($A$9:$A$13,"*#"&amp;$K42,$M$9:$M$13)),1)</f>
        <v>1</v>
      </c>
      <c r="J42" s="440"/>
      <c r="K42" s="42">
        <f>IF(L41=SUP!$B$104,K41+1,K41)</f>
        <v>1</v>
      </c>
      <c r="L42" s="42">
        <f t="shared" si="8"/>
        <v>28</v>
      </c>
    </row>
    <row r="43" spans="1:12">
      <c r="A43" s="42" t="str">
        <f ca="1">IF(OR(LEFT(OFFSET(SUP!$A$57,L43,0),2)="\I",I43=""),"*","")</f>
        <v/>
      </c>
      <c r="B43" s="440" t="str">
        <f t="shared" ca="1" si="5"/>
        <v>PRC_ACTUNT</v>
      </c>
      <c r="C43" s="440" t="str">
        <f ca="1">OFFSET(SUP!$B$57,L43,0)</f>
        <v>IMPOKE</v>
      </c>
      <c r="D43" s="440" t="str">
        <f ca="1">IF($A43="*","",IF(LEFT($B43,3)="TOP",OFFSET(SUP!$D$57,$L43,0),"-"))</f>
        <v>-</v>
      </c>
      <c r="E43" s="440" t="str">
        <f ca="1">IF($A43="*","",IF($B43="PRC_ACTUNT",OFFSET(SUP!$B$57,$L43,SUMIF($B$9:$B$11,$B43,$M$9:$M$11)),"-"))</f>
        <v>OKE</v>
      </c>
      <c r="F43" s="440" t="str">
        <f t="shared" ca="1" si="6"/>
        <v>-</v>
      </c>
      <c r="G43" s="440" t="str">
        <f t="shared" ca="1" si="7"/>
        <v>-</v>
      </c>
      <c r="H43" s="440" t="str">
        <f ca="1">IF($A43="*","",IF($B43="PRC_NOFF",OFFSET(SUP!$B$57,$L43,SUMIF($B$9:$B$12,$B43,$M$9:$M$12))-1,OFFSET(H$8,K43,0)))</f>
        <v>-</v>
      </c>
      <c r="I43" s="440">
        <f ca="1">IF(LEFT(VLOOKUP("*#"&amp;K43,$A$9:$I$13,I$6,0),1)="#",OFFSET(SUP!$B$57,$L43,SUMIF($A$9:$A$13,"*#"&amp;$K43,$M$9:$M$13)),1)</f>
        <v>1</v>
      </c>
      <c r="J43" s="440"/>
      <c r="K43" s="42">
        <f>IF(L42=SUP!$B$104,K42+1,K42)</f>
        <v>1</v>
      </c>
      <c r="L43" s="42">
        <f t="shared" si="8"/>
        <v>29</v>
      </c>
    </row>
    <row r="44" spans="1:12">
      <c r="A44" s="42" t="str">
        <f ca="1">IF(OR(LEFT(OFFSET(SUP!$A$57,L44,0),2)="\I",I44=""),"*","")</f>
        <v/>
      </c>
      <c r="B44" s="440" t="str">
        <f t="shared" ca="1" si="5"/>
        <v>PRC_ACTUNT</v>
      </c>
      <c r="C44" s="440" t="str">
        <f ca="1">OFFSET(SUP!$B$57,L44,0)</f>
        <v>IMPBID</v>
      </c>
      <c r="D44" s="440" t="str">
        <f ca="1">IF($A44="*","",IF(LEFT($B44,3)="TOP",OFFSET(SUP!$D$57,$L44,0),"-"))</f>
        <v>-</v>
      </c>
      <c r="E44" s="440" t="str">
        <f ca="1">IF($A44="*","",IF($B44="PRC_ACTUNT",OFFSET(SUP!$B$57,$L44,SUMIF($B$9:$B$11,$B44,$M$9:$M$11)),"-"))</f>
        <v>BID</v>
      </c>
      <c r="F44" s="440" t="str">
        <f t="shared" ca="1" si="6"/>
        <v>-</v>
      </c>
      <c r="G44" s="440" t="str">
        <f t="shared" ca="1" si="7"/>
        <v>-</v>
      </c>
      <c r="H44" s="440" t="str">
        <f ca="1">IF($A44="*","",IF($B44="PRC_NOFF",OFFSET(SUP!$B$57,$L44,SUMIF($B$9:$B$12,$B44,$M$9:$M$12))-1,OFFSET(H$8,K44,0)))</f>
        <v>-</v>
      </c>
      <c r="I44" s="440">
        <f ca="1">IF(LEFT(VLOOKUP("*#"&amp;K44,$A$9:$I$13,I$6,0),1)="#",OFFSET(SUP!$B$57,$L44,SUMIF($A$9:$A$13,"*#"&amp;$K44,$M$9:$M$13)),1)</f>
        <v>1</v>
      </c>
      <c r="J44" s="440"/>
      <c r="K44" s="42">
        <f>IF(L43=SUP!$B$104,K43+1,K43)</f>
        <v>1</v>
      </c>
      <c r="L44" s="42">
        <f t="shared" si="8"/>
        <v>30</v>
      </c>
    </row>
    <row r="45" spans="1:12">
      <c r="A45" s="42" t="str">
        <f ca="1">IF(OR(LEFT(OFFSET(SUP!$A$57,L45,0),2)="\I",I45=""),"*","")</f>
        <v/>
      </c>
      <c r="B45" s="440" t="str">
        <f t="shared" ca="1" si="5"/>
        <v>PRC_ACTUNT</v>
      </c>
      <c r="C45" s="440" t="str">
        <f ca="1">OFFSET(SUP!$B$57,L45,0)</f>
        <v>IMPBIE</v>
      </c>
      <c r="D45" s="440" t="str">
        <f ca="1">IF($A45="*","",IF(LEFT($B45,3)="TOP",OFFSET(SUP!$D$57,$L45,0),"-"))</f>
        <v>-</v>
      </c>
      <c r="E45" s="440" t="str">
        <f ca="1">IF($A45="*","",IF($B45="PRC_ACTUNT",OFFSET(SUP!$B$57,$L45,SUMIF($B$9:$B$11,$B45,$M$9:$M$11)),"-"))</f>
        <v>BIE</v>
      </c>
      <c r="F45" s="440" t="str">
        <f t="shared" ca="1" si="6"/>
        <v>-</v>
      </c>
      <c r="G45" s="440" t="str">
        <f t="shared" ca="1" si="7"/>
        <v>-</v>
      </c>
      <c r="H45" s="440" t="str">
        <f ca="1">IF($A45="*","",IF($B45="PRC_NOFF",OFFSET(SUP!$B$57,$L45,SUMIF($B$9:$B$12,$B45,$M$9:$M$12))-1,OFFSET(H$8,K45,0)))</f>
        <v>-</v>
      </c>
      <c r="I45" s="440">
        <f ca="1">IF(LEFT(VLOOKUP("*#"&amp;K45,$A$9:$I$13,I$6,0),1)="#",OFFSET(SUP!$B$57,$L45,SUMIF($A$9:$A$13,"*#"&amp;$K45,$M$9:$M$13)),1)</f>
        <v>1</v>
      </c>
      <c r="J45" s="440"/>
      <c r="K45" s="42">
        <f>IF(L44=SUP!$B$104,K44+1,K44)</f>
        <v>1</v>
      </c>
      <c r="L45" s="42">
        <f t="shared" si="8"/>
        <v>31</v>
      </c>
    </row>
    <row r="46" spans="1:12">
      <c r="A46" s="42" t="str">
        <f ca="1">IF(OR(LEFT(OFFSET(SUP!$A$57,L46,0),2)="\I",I46=""),"*","")</f>
        <v>*</v>
      </c>
      <c r="B46" s="440" t="str">
        <f t="shared" ca="1" si="5"/>
        <v>PRC_ACTUNT</v>
      </c>
      <c r="C46" s="440">
        <f ca="1">OFFSET(SUP!$B$57,L46,0)</f>
        <v>0</v>
      </c>
      <c r="D46" s="440" t="str">
        <f ca="1">IF($A46="*","",IF(LEFT($B46,3)="TOP",OFFSET(SUP!$D$57,$L46,0),"-"))</f>
        <v/>
      </c>
      <c r="E46" s="440" t="str">
        <f ca="1">IF($A46="*","",IF($B46="PRC_ACTUNT",OFFSET(SUP!$B$57,$L46,SUMIF($B$9:$B$11,$B46,$M$9:$M$11)),"-"))</f>
        <v/>
      </c>
      <c r="F46" s="440" t="str">
        <f t="shared" ca="1" si="6"/>
        <v>-</v>
      </c>
      <c r="G46" s="440" t="str">
        <f t="shared" ca="1" si="7"/>
        <v/>
      </c>
      <c r="H46" s="440" t="str">
        <f ca="1">IF($A46="*","",IF($B46="PRC_NOFF",OFFSET(SUP!$B$57,$L46,SUMIF($B$9:$B$12,$B46,$M$9:$M$12))-1,OFFSET(H$8,K46,0)))</f>
        <v/>
      </c>
      <c r="I46" s="440">
        <f ca="1">IF(LEFT(VLOOKUP("*#"&amp;K46,$A$9:$I$13,I$6,0),1)="#",OFFSET(SUP!$B$57,$L46,SUMIF($A$9:$A$13,"*#"&amp;$K46,$M$9:$M$13)),1)</f>
        <v>1</v>
      </c>
      <c r="J46" s="440"/>
      <c r="K46" s="42">
        <f>IF(L45=SUP!$B$104,K45+1,K45)</f>
        <v>1</v>
      </c>
      <c r="L46" s="42">
        <f t="shared" si="8"/>
        <v>32</v>
      </c>
    </row>
    <row r="47" spans="1:12">
      <c r="A47" s="42" t="str">
        <f ca="1">IF(OR(LEFT(OFFSET(SUP!$A$57,L47,0),2)="\I",I47=""),"*","")</f>
        <v/>
      </c>
      <c r="B47" s="440" t="str">
        <f t="shared" ca="1" si="5"/>
        <v>PRC_ACTUNT</v>
      </c>
      <c r="C47" s="440" t="str">
        <f ca="1">OFFSET(SUP!$B$57,L47,0)</f>
        <v>MIRCRB</v>
      </c>
      <c r="D47" s="440" t="str">
        <f ca="1">IF($A47="*","",IF(LEFT($B47,3)="TOP",OFFSET(SUP!$D$57,$L47,0),"-"))</f>
        <v>-</v>
      </c>
      <c r="E47" s="440" t="str">
        <f ca="1">IF($A47="*","",IF($B47="PRC_ACTUNT",OFFSET(SUP!$B$57,$L47,SUMIF($B$9:$B$11,$B47,$M$9:$M$11)),"-"))</f>
        <v>CRB</v>
      </c>
      <c r="F47" s="440" t="str">
        <f t="shared" ca="1" si="6"/>
        <v>-</v>
      </c>
      <c r="G47" s="440" t="str">
        <f t="shared" ca="1" si="7"/>
        <v>-</v>
      </c>
      <c r="H47" s="440" t="str">
        <f ca="1">IF($A47="*","",IF($B47="PRC_NOFF",OFFSET(SUP!$B$57,$L47,SUMIF($B$9:$B$12,$B47,$M$9:$M$12))-1,OFFSET(H$8,K47,0)))</f>
        <v>-</v>
      </c>
      <c r="I47" s="440">
        <f ca="1">IF(LEFT(VLOOKUP("*#"&amp;K47,$A$9:$I$13,I$6,0),1)="#",OFFSET(SUP!$B$57,$L47,SUMIF($A$9:$A$13,"*#"&amp;$K47,$M$9:$M$13)),1)</f>
        <v>1</v>
      </c>
      <c r="J47" s="440"/>
      <c r="K47" s="42">
        <f>IF(L46=SUP!$B$104,K46+1,K46)</f>
        <v>1</v>
      </c>
      <c r="L47" s="42">
        <f t="shared" si="8"/>
        <v>33</v>
      </c>
    </row>
    <row r="48" spans="1:12">
      <c r="A48" s="42" t="str">
        <f ca="1">IF(OR(LEFT(OFFSET(SUP!$A$57,L48,0),2)="\I",I48=""),"*","")</f>
        <v/>
      </c>
      <c r="B48" s="440" t="str">
        <f t="shared" ca="1" si="5"/>
        <v>PRC_ACTUNT</v>
      </c>
      <c r="C48" s="440" t="str">
        <f ca="1">OFFSET(SUP!$B$57,L48,0)</f>
        <v>MIRGRN</v>
      </c>
      <c r="D48" s="440" t="str">
        <f ca="1">IF($A48="*","",IF(LEFT($B48,3)="TOP",OFFSET(SUP!$D$57,$L48,0),"-"))</f>
        <v>-</v>
      </c>
      <c r="E48" s="440" t="str">
        <f ca="1">IF($A48="*","",IF($B48="PRC_ACTUNT",OFFSET(SUP!$B$57,$L48,SUMIF($B$9:$B$11,$B48,$M$9:$M$11)),"-"))</f>
        <v>GRN</v>
      </c>
      <c r="F48" s="440" t="str">
        <f t="shared" ca="1" si="6"/>
        <v>-</v>
      </c>
      <c r="G48" s="440" t="str">
        <f t="shared" ca="1" si="7"/>
        <v>-</v>
      </c>
      <c r="H48" s="440" t="str">
        <f ca="1">IF($A48="*","",IF($B48="PRC_NOFF",OFFSET(SUP!$B$57,$L48,SUMIF($B$9:$B$12,$B48,$M$9:$M$12))-1,OFFSET(H$8,K48,0)))</f>
        <v>-</v>
      </c>
      <c r="I48" s="440">
        <f ca="1">IF(LEFT(VLOOKUP("*#"&amp;K48,$A$9:$I$13,I$6,0),1)="#",OFFSET(SUP!$B$57,$L48,SUMIF($A$9:$A$13,"*#"&amp;$K48,$M$9:$M$13)),1)</f>
        <v>1</v>
      </c>
      <c r="J48" s="440"/>
      <c r="K48" s="42">
        <f>IF(L47=SUP!$B$104,K47+1,K47)</f>
        <v>1</v>
      </c>
      <c r="L48" s="42">
        <f t="shared" si="8"/>
        <v>34</v>
      </c>
    </row>
    <row r="49" spans="1:12">
      <c r="A49" s="42" t="str">
        <f ca="1">IF(OR(LEFT(OFFSET(SUP!$A$57,L49,0),2)="\I",I49=""),"*","")</f>
        <v/>
      </c>
      <c r="B49" s="440" t="str">
        <f t="shared" ca="1" si="5"/>
        <v>PRC_ACTUNT</v>
      </c>
      <c r="C49" s="440" t="str">
        <f ca="1">OFFSET(SUP!$B$57,L49,0)</f>
        <v>MIRGRS</v>
      </c>
      <c r="D49" s="440" t="str">
        <f ca="1">IF($A49="*","",IF(LEFT($B49,3)="TOP",OFFSET(SUP!$D$57,$L49,0),"-"))</f>
        <v>-</v>
      </c>
      <c r="E49" s="440" t="str">
        <f ca="1">IF($A49="*","",IF($B49="PRC_ACTUNT",OFFSET(SUP!$B$57,$L49,SUMIF($B$9:$B$11,$B49,$M$9:$M$11)),"-"))</f>
        <v>GRS</v>
      </c>
      <c r="F49" s="440" t="str">
        <f t="shared" ca="1" si="6"/>
        <v>-</v>
      </c>
      <c r="G49" s="440" t="str">
        <f t="shared" ca="1" si="7"/>
        <v>-</v>
      </c>
      <c r="H49" s="440" t="str">
        <f ca="1">IF($A49="*","",IF($B49="PRC_NOFF",OFFSET(SUP!$B$57,$L49,SUMIF($B$9:$B$12,$B49,$M$9:$M$12))-1,OFFSET(H$8,K49,0)))</f>
        <v>-</v>
      </c>
      <c r="I49" s="440">
        <f ca="1">IF(LEFT(VLOOKUP("*#"&amp;K49,$A$9:$I$13,I$6,0),1)="#",OFFSET(SUP!$B$57,$L49,SUMIF($A$9:$A$13,"*#"&amp;$K49,$M$9:$M$13)),1)</f>
        <v>1</v>
      </c>
      <c r="J49" s="440"/>
      <c r="K49" s="42">
        <f>IF(L48=SUP!$B$104,K48+1,K48)</f>
        <v>1</v>
      </c>
      <c r="L49" s="42">
        <f t="shared" si="8"/>
        <v>35</v>
      </c>
    </row>
    <row r="50" spans="1:12">
      <c r="A50" s="42" t="str">
        <f ca="1">IF(OR(LEFT(OFFSET(SUP!$A$57,L50,0),2)="\I",I50=""),"*","")</f>
        <v/>
      </c>
      <c r="B50" s="440" t="str">
        <f t="shared" ca="1" si="5"/>
        <v>PRC_ACTUNT</v>
      </c>
      <c r="C50" s="440" t="str">
        <f ca="1">OFFSET(SUP!$B$57,L50,0)</f>
        <v>MIRGRM</v>
      </c>
      <c r="D50" s="440" t="str">
        <f ca="1">IF($A50="*","",IF(LEFT($B50,3)="TOP",OFFSET(SUP!$D$57,$L50,0),"-"))</f>
        <v>-</v>
      </c>
      <c r="E50" s="440" t="str">
        <f ca="1">IF($A50="*","",IF($B50="PRC_ACTUNT",OFFSET(SUP!$B$57,$L50,SUMIF($B$9:$B$11,$B50,$M$9:$M$11)),"-"))</f>
        <v>GRM</v>
      </c>
      <c r="F50" s="440" t="str">
        <f t="shared" ca="1" si="6"/>
        <v>-</v>
      </c>
      <c r="G50" s="440" t="str">
        <f t="shared" ca="1" si="7"/>
        <v>-</v>
      </c>
      <c r="H50" s="440" t="str">
        <f ca="1">IF($A50="*","",IF($B50="PRC_NOFF",OFFSET(SUP!$B$57,$L50,SUMIF($B$9:$B$12,$B50,$M$9:$M$12))-1,OFFSET(H$8,K50,0)))</f>
        <v>-</v>
      </c>
      <c r="I50" s="440">
        <f ca="1">IF(LEFT(VLOOKUP("*#"&amp;K50,$A$9:$I$13,I$6,0),1)="#",OFFSET(SUP!$B$57,$L50,SUMIF($A$9:$A$13,"*#"&amp;$K50,$M$9:$M$13)),1)</f>
        <v>1</v>
      </c>
      <c r="J50" s="440"/>
      <c r="K50" s="42">
        <f>IF(L49=SUP!$B$104,K49+1,K49)</f>
        <v>1</v>
      </c>
      <c r="L50" s="42">
        <f t="shared" si="8"/>
        <v>36</v>
      </c>
    </row>
    <row r="51" spans="1:12">
      <c r="A51" s="42" t="str">
        <f ca="1">IF(OR(LEFT(OFFSET(SUP!$A$57,L51,0),2)="\I",I51=""),"*","")</f>
        <v>*</v>
      </c>
      <c r="B51" s="440" t="str">
        <f t="shared" ca="1" si="5"/>
        <v>PRC_ACTUNT</v>
      </c>
      <c r="C51" s="440">
        <f ca="1">OFFSET(SUP!$B$57,L51,0)</f>
        <v>-0.95</v>
      </c>
      <c r="D51" s="440" t="str">
        <f ca="1">IF($A51="*","",IF(LEFT($B51,3)="TOP",OFFSET(SUP!$D$57,$L51,0),"-"))</f>
        <v/>
      </c>
      <c r="E51" s="440" t="str">
        <f ca="1">IF($A51="*","",IF($B51="PRC_ACTUNT",OFFSET(SUP!$B$57,$L51,SUMIF($B$9:$B$11,$B51,$M$9:$M$11)),"-"))</f>
        <v/>
      </c>
      <c r="F51" s="440" t="str">
        <f t="shared" ca="1" si="6"/>
        <v>-</v>
      </c>
      <c r="G51" s="440" t="str">
        <f t="shared" ca="1" si="7"/>
        <v/>
      </c>
      <c r="H51" s="440" t="str">
        <f ca="1">IF($A51="*","",IF($B51="PRC_NOFF",OFFSET(SUP!$B$57,$L51,SUMIF($B$9:$B$12,$B51,$M$9:$M$12))-1,OFFSET(H$8,K51,0)))</f>
        <v/>
      </c>
      <c r="I51" s="440">
        <f ca="1">IF(LEFT(VLOOKUP("*#"&amp;K51,$A$9:$I$13,I$6,0),1)="#",OFFSET(SUP!$B$57,$L51,SUMIF($A$9:$A$13,"*#"&amp;$K51,$M$9:$M$13)),1)</f>
        <v>1</v>
      </c>
      <c r="J51" s="440"/>
      <c r="K51" s="42">
        <f>IF(L50=SUP!$B$104,K50+1,K50)</f>
        <v>1</v>
      </c>
      <c r="L51" s="42">
        <f t="shared" si="8"/>
        <v>37</v>
      </c>
    </row>
    <row r="52" spans="1:12">
      <c r="A52" s="42" t="str">
        <f ca="1">IF(OR(LEFT(OFFSET(SUP!$A$57,L52,0),2)="\I",I52=""),"*","")</f>
        <v/>
      </c>
      <c r="B52" s="440" t="str">
        <f t="shared" ca="1" si="5"/>
        <v>PRC_ACTUNT</v>
      </c>
      <c r="C52" s="440" t="str">
        <f ca="1">OFFSET(SUP!$B$57,L52,0)</f>
        <v>PEXELC</v>
      </c>
      <c r="D52" s="440" t="str">
        <f ca="1">IF($A52="*","",IF(LEFT($B52,3)="TOP",OFFSET(SUP!$D$57,$L52,0),"-"))</f>
        <v>-</v>
      </c>
      <c r="E52" s="440" t="str">
        <f ca="1">IF($A52="*","",IF($B52="PRC_ACTUNT",OFFSET(SUP!$B$57,$L52,SUMIF($B$9:$B$11,$B52,$M$9:$M$11)),"-"))</f>
        <v>ELC</v>
      </c>
      <c r="F52" s="440" t="str">
        <f t="shared" ca="1" si="6"/>
        <v>-</v>
      </c>
      <c r="G52" s="440" t="str">
        <f t="shared" ca="1" si="7"/>
        <v>-</v>
      </c>
      <c r="H52" s="440" t="str">
        <f ca="1">IF($A52="*","",IF($B52="PRC_NOFF",OFFSET(SUP!$B$57,$L52,SUMIF($B$9:$B$12,$B52,$M$9:$M$12))-1,OFFSET(H$8,K52,0)))</f>
        <v>-</v>
      </c>
      <c r="I52" s="440">
        <f ca="1">IF(LEFT(VLOOKUP("*#"&amp;K52,$A$9:$I$13,I$6,0),1)="#",OFFSET(SUP!$B$57,$L52,SUMIF($A$9:$A$13,"*#"&amp;$K52,$M$9:$M$13)),1)</f>
        <v>1</v>
      </c>
      <c r="J52" s="440"/>
      <c r="K52" s="42">
        <f>IF(L51=SUP!$B$104,K51+1,K51)</f>
        <v>1</v>
      </c>
      <c r="L52" s="42">
        <f t="shared" si="8"/>
        <v>38</v>
      </c>
    </row>
    <row r="53" spans="1:12">
      <c r="A53" s="42" t="str">
        <f ca="1">IF(OR(LEFT(OFFSET(SUP!$A$57,L53,0),2)="\I",I53=""),"*","")</f>
        <v/>
      </c>
      <c r="B53" s="440" t="str">
        <f t="shared" ca="1" si="5"/>
        <v>PRC_ACTUNT</v>
      </c>
      <c r="C53" s="440" t="str">
        <f ca="1">OFFSET(SUP!$B$57,L53,0)</f>
        <v>PEXCOA</v>
      </c>
      <c r="D53" s="440" t="str">
        <f ca="1">IF($A53="*","",IF(LEFT($B53,3)="TOP",OFFSET(SUP!$D$57,$L53,0),"-"))</f>
        <v>-</v>
      </c>
      <c r="E53" s="440" t="str">
        <f ca="1">IF($A53="*","",IF($B53="PRC_ACTUNT",OFFSET(SUP!$B$57,$L53,SUMIF($B$9:$B$11,$B53,$M$9:$M$11)),"-"))</f>
        <v>COA</v>
      </c>
      <c r="F53" s="440" t="str">
        <f t="shared" ca="1" si="6"/>
        <v>-</v>
      </c>
      <c r="G53" s="440" t="str">
        <f t="shared" ca="1" si="7"/>
        <v>-</v>
      </c>
      <c r="H53" s="440" t="str">
        <f ca="1">IF($A53="*","",IF($B53="PRC_NOFF",OFFSET(SUP!$B$57,$L53,SUMIF($B$9:$B$12,$B53,$M$9:$M$12))-1,OFFSET(H$8,K53,0)))</f>
        <v>-</v>
      </c>
      <c r="I53" s="440">
        <f ca="1">IF(LEFT(VLOOKUP("*#"&amp;K53,$A$9:$I$13,I$6,0),1)="#",OFFSET(SUP!$B$57,$L53,SUMIF($A$9:$A$13,"*#"&amp;$K53,$M$9:$M$13)),1)</f>
        <v>1</v>
      </c>
      <c r="J53" s="440"/>
      <c r="K53" s="42">
        <f>IF(L52=SUP!$B$104,K52+1,K52)</f>
        <v>1</v>
      </c>
      <c r="L53" s="42">
        <f t="shared" si="8"/>
        <v>39</v>
      </c>
    </row>
    <row r="54" spans="1:12">
      <c r="A54" s="42" t="str">
        <f ca="1">IF(OR(LEFT(OFFSET(SUP!$A$57,L54,0),2)="\I",I54=""),"*","")</f>
        <v/>
      </c>
      <c r="B54" s="440" t="str">
        <f t="shared" ca="1" si="5"/>
        <v>PRC_ACTUNT</v>
      </c>
      <c r="C54" s="440" t="str">
        <f ca="1">OFFSET(SUP!$B$57,L54,0)</f>
        <v>PEXCOK</v>
      </c>
      <c r="D54" s="440" t="str">
        <f ca="1">IF($A54="*","",IF(LEFT($B54,3)="TOP",OFFSET(SUP!$D$57,$L54,0),"-"))</f>
        <v>-</v>
      </c>
      <c r="E54" s="440" t="str">
        <f ca="1">IF($A54="*","",IF($B54="PRC_ACTUNT",OFFSET(SUP!$B$57,$L54,SUMIF($B$9:$B$11,$B54,$M$9:$M$11)),"-"))</f>
        <v>COK</v>
      </c>
      <c r="F54" s="440" t="str">
        <f t="shared" ca="1" si="6"/>
        <v>-</v>
      </c>
      <c r="G54" s="440" t="str">
        <f t="shared" ca="1" si="7"/>
        <v>-</v>
      </c>
      <c r="H54" s="440" t="str">
        <f ca="1">IF($A54="*","",IF($B54="PRC_NOFF",OFFSET(SUP!$B$57,$L54,SUMIF($B$9:$B$12,$B54,$M$9:$M$12))-1,OFFSET(H$8,K54,0)))</f>
        <v>-</v>
      </c>
      <c r="I54" s="440">
        <f ca="1">IF(LEFT(VLOOKUP("*#"&amp;K54,$A$9:$I$13,I$6,0),1)="#",OFFSET(SUP!$B$57,$L54,SUMIF($A$9:$A$13,"*#"&amp;$K54,$M$9:$M$13)),1)</f>
        <v>1</v>
      </c>
      <c r="J54" s="440"/>
      <c r="K54" s="42">
        <f>IF(L53=SUP!$B$104,K53+1,K53)</f>
        <v>1</v>
      </c>
      <c r="L54" s="42">
        <f t="shared" si="8"/>
        <v>40</v>
      </c>
    </row>
    <row r="55" spans="1:12">
      <c r="A55" s="42" t="str">
        <f ca="1">IF(OR(LEFT(OFFSET(SUP!$A$57,L55,0),2)="\I",I55=""),"*","")</f>
        <v/>
      </c>
      <c r="B55" s="440" t="str">
        <f t="shared" ca="1" si="5"/>
        <v>PRC_ACTUNT</v>
      </c>
      <c r="C55" s="440" t="str">
        <f ca="1">OFFSET(SUP!$B$57,L55,0)</f>
        <v>PEXOAG</v>
      </c>
      <c r="D55" s="440" t="str">
        <f ca="1">IF($A55="*","",IF(LEFT($B55,3)="TOP",OFFSET(SUP!$D$57,$L55,0),"-"))</f>
        <v>-</v>
      </c>
      <c r="E55" s="440" t="str">
        <f ca="1">IF($A55="*","",IF($B55="PRC_ACTUNT",OFFSET(SUP!$B$57,$L55,SUMIF($B$9:$B$11,$B55,$M$9:$M$11)),"-"))</f>
        <v>OAG</v>
      </c>
      <c r="F55" s="440" t="str">
        <f t="shared" ca="1" si="6"/>
        <v>-</v>
      </c>
      <c r="G55" s="440" t="str">
        <f t="shared" ca="1" si="7"/>
        <v>-</v>
      </c>
      <c r="H55" s="440" t="str">
        <f ca="1">IF($A55="*","",IF($B55="PRC_NOFF",OFFSET(SUP!$B$57,$L55,SUMIF($B$9:$B$12,$B55,$M$9:$M$12))-1,OFFSET(H$8,K55,0)))</f>
        <v>-</v>
      </c>
      <c r="I55" s="440">
        <f ca="1">IF(LEFT(VLOOKUP("*#"&amp;K55,$A$9:$I$13,I$6,0),1)="#",OFFSET(SUP!$B$57,$L55,SUMIF($A$9:$A$13,"*#"&amp;$K55,$M$9:$M$13)),1)</f>
        <v>1</v>
      </c>
      <c r="J55" s="440"/>
      <c r="K55" s="42">
        <f>IF(L54=SUP!$B$104,K54+1,K54)</f>
        <v>1</v>
      </c>
      <c r="L55" s="42">
        <f t="shared" si="8"/>
        <v>41</v>
      </c>
    </row>
    <row r="56" spans="1:12">
      <c r="A56" s="42" t="str">
        <f ca="1">IF(OR(LEFT(OFFSET(SUP!$A$57,L56,0),2)="\I",I56=""),"*","")</f>
        <v/>
      </c>
      <c r="B56" s="440" t="str">
        <f t="shared" ca="1" si="5"/>
        <v>PRC_ACTUNT</v>
      </c>
      <c r="C56" s="440" t="str">
        <f ca="1">OFFSET(SUP!$B$57,L56,0)</f>
        <v>PEXOCR</v>
      </c>
      <c r="D56" s="440" t="str">
        <f ca="1">IF($A56="*","",IF(LEFT($B56,3)="TOP",OFFSET(SUP!$D$57,$L56,0),"-"))</f>
        <v>-</v>
      </c>
      <c r="E56" s="440" t="str">
        <f ca="1">IF($A56="*","",IF($B56="PRC_ACTUNT",OFFSET(SUP!$B$57,$L56,SUMIF($B$9:$B$11,$B56,$M$9:$M$11)),"-"))</f>
        <v>OCR</v>
      </c>
      <c r="F56" s="440" t="str">
        <f t="shared" ca="1" si="6"/>
        <v>-</v>
      </c>
      <c r="G56" s="440" t="str">
        <f t="shared" ca="1" si="7"/>
        <v>-</v>
      </c>
      <c r="H56" s="440" t="str">
        <f ca="1">IF($A56="*","",IF($B56="PRC_NOFF",OFFSET(SUP!$B$57,$L56,SUMIF($B$9:$B$12,$B56,$M$9:$M$12))-1,OFFSET(H$8,K56,0)))</f>
        <v>-</v>
      </c>
      <c r="I56" s="440">
        <f ca="1">IF(LEFT(VLOOKUP("*#"&amp;K56,$A$9:$I$13,I$6,0),1)="#",OFFSET(SUP!$B$57,$L56,SUMIF($A$9:$A$13,"*#"&amp;$K56,$M$9:$M$13)),1)</f>
        <v>1</v>
      </c>
      <c r="J56" s="440"/>
      <c r="K56" s="42">
        <f>IF(L55=SUP!$B$104,K55+1,K55)</f>
        <v>1</v>
      </c>
      <c r="L56" s="42">
        <f t="shared" si="8"/>
        <v>42</v>
      </c>
    </row>
    <row r="57" spans="1:12">
      <c r="A57" s="42" t="str">
        <f ca="1">IF(OR(LEFT(OFFSET(SUP!$A$57,L57,0),2)="\I",I57=""),"*","")</f>
        <v/>
      </c>
      <c r="B57" s="440" t="str">
        <f t="shared" ca="1" si="5"/>
        <v>PRC_ACTUNT</v>
      </c>
      <c r="C57" s="440" t="str">
        <f ca="1">OFFSET(SUP!$B$57,L57,0)</f>
        <v>PEXODS</v>
      </c>
      <c r="D57" s="440" t="str">
        <f ca="1">IF($A57="*","",IF(LEFT($B57,3)="TOP",OFFSET(SUP!$D$57,$L57,0),"-"))</f>
        <v>-</v>
      </c>
      <c r="E57" s="440" t="str">
        <f ca="1">IF($A57="*","",IF($B57="PRC_ACTUNT",OFFSET(SUP!$B$57,$L57,SUMIF($B$9:$B$11,$B57,$M$9:$M$11)),"-"))</f>
        <v>ODS</v>
      </c>
      <c r="F57" s="440" t="str">
        <f t="shared" ca="1" si="6"/>
        <v>-</v>
      </c>
      <c r="G57" s="440" t="str">
        <f t="shared" ca="1" si="7"/>
        <v>-</v>
      </c>
      <c r="H57" s="440" t="str">
        <f ca="1">IF($A57="*","",IF($B57="PRC_NOFF",OFFSET(SUP!$B$57,$L57,SUMIF($B$9:$B$12,$B57,$M$9:$M$12))-1,OFFSET(H$8,K57,0)))</f>
        <v>-</v>
      </c>
      <c r="I57" s="440">
        <f ca="1">IF(LEFT(VLOOKUP("*#"&amp;K57,$A$9:$I$13,I$6,0),1)="#",OFFSET(SUP!$B$57,$L57,SUMIF($A$9:$A$13,"*#"&amp;$K57,$M$9:$M$13)),1)</f>
        <v>1</v>
      </c>
      <c r="J57" s="440"/>
      <c r="K57" s="42">
        <f>IF(L56=SUP!$B$104,K56+1,K56)</f>
        <v>1</v>
      </c>
      <c r="L57" s="42">
        <f t="shared" si="8"/>
        <v>43</v>
      </c>
    </row>
    <row r="58" spans="1:12">
      <c r="A58" s="42" t="str">
        <f ca="1">IF(OR(LEFT(OFFSET(SUP!$A$57,L58,0),2)="\I",I58=""),"*","")</f>
        <v/>
      </c>
      <c r="B58" s="440" t="str">
        <f t="shared" ca="1" si="5"/>
        <v>PRC_ACTUNT</v>
      </c>
      <c r="C58" s="440" t="str">
        <f ca="1">OFFSET(SUP!$B$57,L58,0)</f>
        <v>PEXOGS</v>
      </c>
      <c r="D58" s="440" t="str">
        <f ca="1">IF($A58="*","",IF(LEFT($B58,3)="TOP",OFFSET(SUP!$D$57,$L58,0),"-"))</f>
        <v>-</v>
      </c>
      <c r="E58" s="440" t="str">
        <f ca="1">IF($A58="*","",IF($B58="PRC_ACTUNT",OFFSET(SUP!$B$57,$L58,SUMIF($B$9:$B$11,$B58,$M$9:$M$11)),"-"))</f>
        <v>OGS</v>
      </c>
      <c r="F58" s="440" t="str">
        <f t="shared" ca="1" si="6"/>
        <v>-</v>
      </c>
      <c r="G58" s="440" t="str">
        <f t="shared" ca="1" si="7"/>
        <v>-</v>
      </c>
      <c r="H58" s="440" t="str">
        <f ca="1">IF($A58="*","",IF($B58="PRC_NOFF",OFFSET(SUP!$B$57,$L58,SUMIF($B$9:$B$12,$B58,$M$9:$M$12))-1,OFFSET(H$8,K58,0)))</f>
        <v>-</v>
      </c>
      <c r="I58" s="440">
        <f ca="1">IF(LEFT(VLOOKUP("*#"&amp;K58,$A$9:$I$13,I$6,0),1)="#",OFFSET(SUP!$B$57,$L58,SUMIF($A$9:$A$13,"*#"&amp;$K58,$M$9:$M$13)),1)</f>
        <v>1</v>
      </c>
      <c r="J58" s="440"/>
      <c r="K58" s="42">
        <f>IF(L57=SUP!$B$104,K57+1,K57)</f>
        <v>1</v>
      </c>
      <c r="L58" s="42">
        <f t="shared" si="8"/>
        <v>44</v>
      </c>
    </row>
    <row r="59" spans="1:12">
      <c r="A59" s="42" t="str">
        <f ca="1">IF(OR(LEFT(OFFSET(SUP!$A$57,L59,0),2)="\I",I59=""),"*","")</f>
        <v/>
      </c>
      <c r="B59" s="440" t="str">
        <f t="shared" ca="1" si="5"/>
        <v>PRC_ACTUNT</v>
      </c>
      <c r="C59" s="440" t="str">
        <f ca="1">OFFSET(SUP!$B$57,L59,0)</f>
        <v>PEXOHF</v>
      </c>
      <c r="D59" s="440" t="str">
        <f ca="1">IF($A59="*","",IF(LEFT($B59,3)="TOP",OFFSET(SUP!$D$57,$L59,0),"-"))</f>
        <v>-</v>
      </c>
      <c r="E59" s="440" t="str">
        <f ca="1">IF($A59="*","",IF($B59="PRC_ACTUNT",OFFSET(SUP!$B$57,$L59,SUMIF($B$9:$B$11,$B59,$M$9:$M$11)),"-"))</f>
        <v>OHF</v>
      </c>
      <c r="F59" s="440" t="str">
        <f t="shared" ca="1" si="6"/>
        <v>-</v>
      </c>
      <c r="G59" s="440" t="str">
        <f t="shared" ca="1" si="7"/>
        <v>-</v>
      </c>
      <c r="H59" s="440" t="str">
        <f ca="1">IF($A59="*","",IF($B59="PRC_NOFF",OFFSET(SUP!$B$57,$L59,SUMIF($B$9:$B$12,$B59,$M$9:$M$12))-1,OFFSET(H$8,K59,0)))</f>
        <v>-</v>
      </c>
      <c r="I59" s="440">
        <f ca="1">IF(LEFT(VLOOKUP("*#"&amp;K59,$A$9:$I$13,I$6,0),1)="#",OFFSET(SUP!$B$57,$L59,SUMIF($A$9:$A$13,"*#"&amp;$K59,$M$9:$M$13)),1)</f>
        <v>1</v>
      </c>
      <c r="J59" s="440"/>
      <c r="K59" s="42">
        <f>IF(L58=SUP!$B$104,K58+1,K58)</f>
        <v>1</v>
      </c>
      <c r="L59" s="42">
        <f t="shared" si="8"/>
        <v>45</v>
      </c>
    </row>
    <row r="60" spans="1:12">
      <c r="A60" s="42" t="str">
        <f ca="1">IF(OR(LEFT(OFFSET(SUP!$A$57,L60,0),2)="\I",I60=""),"*","")</f>
        <v/>
      </c>
      <c r="B60" s="440" t="str">
        <f t="shared" ca="1" si="5"/>
        <v>PRC_ACTUNT</v>
      </c>
      <c r="C60" s="440" t="str">
        <f ca="1">OFFSET(SUP!$B$57,L60,0)</f>
        <v>PEXOKE</v>
      </c>
      <c r="D60" s="440" t="str">
        <f ca="1">IF($A60="*","",IF(LEFT($B60,3)="TOP",OFFSET(SUP!$D$57,$L60,0),"-"))</f>
        <v>-</v>
      </c>
      <c r="E60" s="440" t="str">
        <f ca="1">IF($A60="*","",IF($B60="PRC_ACTUNT",OFFSET(SUP!$B$57,$L60,SUMIF($B$9:$B$11,$B60,$M$9:$M$11)),"-"))</f>
        <v>OKE</v>
      </c>
      <c r="F60" s="440" t="str">
        <f t="shared" ca="1" si="6"/>
        <v>-</v>
      </c>
      <c r="G60" s="440" t="str">
        <f t="shared" ca="1" si="7"/>
        <v>-</v>
      </c>
      <c r="H60" s="440" t="str">
        <f ca="1">IF($A60="*","",IF($B60="PRC_NOFF",OFFSET(SUP!$B$57,$L60,SUMIF($B$9:$B$12,$B60,$M$9:$M$12))-1,OFFSET(H$8,K60,0)))</f>
        <v>-</v>
      </c>
      <c r="I60" s="440">
        <f ca="1">IF(LEFT(VLOOKUP("*#"&amp;K60,$A$9:$I$13,I$6,0),1)="#",OFFSET(SUP!$B$57,$L60,SUMIF($A$9:$A$13,"*#"&amp;$K60,$M$9:$M$13)),1)</f>
        <v>1</v>
      </c>
      <c r="J60" s="440"/>
      <c r="K60" s="42">
        <f>IF(L59=SUP!$B$104,K59+1,K59)</f>
        <v>1</v>
      </c>
      <c r="L60" s="42">
        <f t="shared" si="8"/>
        <v>46</v>
      </c>
    </row>
    <row r="61" spans="1:12">
      <c r="A61" s="42" t="str">
        <f ca="1">IF(OR(LEFT(OFFSET(SUP!$A$57,L61,0),2)="\I",I61=""),"*","")</f>
        <v>*</v>
      </c>
      <c r="B61" s="440" t="str">
        <f t="shared" ca="1" si="5"/>
        <v>PRC_ACTUNT</v>
      </c>
      <c r="C61" s="440">
        <f ca="1">OFFSET(SUP!$B$57,L61,0)</f>
        <v>47</v>
      </c>
      <c r="D61" s="440" t="str">
        <f ca="1">IF($A61="*","",IF(LEFT($B61,3)="TOP",OFFSET(SUP!$D$57,$L61,0),"-"))</f>
        <v/>
      </c>
      <c r="E61" s="440" t="str">
        <f ca="1">IF($A61="*","",IF($B61="PRC_ACTUNT",OFFSET(SUP!$B$57,$L61,SUMIF($B$9:$B$11,$B61,$M$9:$M$11)),"-"))</f>
        <v/>
      </c>
      <c r="F61" s="440" t="str">
        <f t="shared" ca="1" si="6"/>
        <v>-</v>
      </c>
      <c r="G61" s="440" t="str">
        <f t="shared" ca="1" si="7"/>
        <v/>
      </c>
      <c r="H61" s="440" t="str">
        <f ca="1">IF($A61="*","",IF($B61="PRC_NOFF",OFFSET(SUP!$B$57,$L61,SUMIF($B$9:$B$12,$B61,$M$9:$M$12))-1,OFFSET(H$8,K61,0)))</f>
        <v/>
      </c>
      <c r="I61" s="440">
        <f ca="1">IF(LEFT(VLOOKUP("*#"&amp;K61,$A$9:$I$13,I$6,0),1)="#",OFFSET(SUP!$B$57,$L61,SUMIF($A$9:$A$13,"*#"&amp;$K61,$M$9:$M$13)),1)</f>
        <v>1</v>
      </c>
      <c r="J61" s="440"/>
      <c r="K61" s="42">
        <f>IF(L60=SUP!$B$104,K60+1,K60)</f>
        <v>1</v>
      </c>
      <c r="L61" s="42">
        <f t="shared" si="8"/>
        <v>47</v>
      </c>
    </row>
    <row r="62" spans="1:12">
      <c r="A62" s="42" t="str">
        <f ca="1">IF(OR(LEFT(OFFSET(SUP!$A$57,L62,0),2)="\I",I62=""),"*","")</f>
        <v/>
      </c>
      <c r="B62" s="440" t="str">
        <f t="shared" ca="1" si="5"/>
        <v>PRC_CAPACT</v>
      </c>
      <c r="C62" s="440" t="str">
        <f ca="1">OFFSET(SUP!$B$57,L62,0)</f>
        <v>MINCOA</v>
      </c>
      <c r="D62" s="440" t="str">
        <f ca="1">IF($A62="*","",IF(LEFT($B62,3)="TOP",OFFSET(SUP!$D$57,$L62,0),"-"))</f>
        <v>-</v>
      </c>
      <c r="E62" s="440" t="str">
        <f ca="1">IF($A62="*","",IF($B62="PRC_ACTUNT",OFFSET(SUP!$B$57,$L62,SUMIF($B$9:$B$11,$B62,$M$9:$M$11)),"-"))</f>
        <v>-</v>
      </c>
      <c r="F62" s="440" t="str">
        <f t="shared" ca="1" si="6"/>
        <v>-</v>
      </c>
      <c r="G62" s="440" t="str">
        <f t="shared" ca="1" si="7"/>
        <v>-</v>
      </c>
      <c r="H62" s="440" t="str">
        <f ca="1">IF($A62="*","",IF($B62="PRC_NOFF",OFFSET(SUP!$B$57,$L62,SUMIF($B$9:$B$12,$B62,$M$9:$M$12))-1,OFFSET(H$8,K62,0)))</f>
        <v>-</v>
      </c>
      <c r="I62" s="440">
        <f ca="1">IF(LEFT(VLOOKUP("*#"&amp;K62,$A$9:$I$13,I$6,0),1)="#",OFFSET(SUP!$B$57,$L62,SUMIF($A$9:$A$13,"*#"&amp;$K62,$M$9:$M$13)),1)</f>
        <v>1</v>
      </c>
      <c r="J62" s="440"/>
      <c r="K62" s="42">
        <f>IF(L61=SUP!$B$104,K61+1,K61)</f>
        <v>2</v>
      </c>
      <c r="L62" s="42">
        <f t="shared" si="8"/>
        <v>1</v>
      </c>
    </row>
    <row r="63" spans="1:12">
      <c r="A63" s="42" t="str">
        <f ca="1">IF(OR(LEFT(OFFSET(SUP!$A$57,L63,0),2)="\I",I63=""),"*","")</f>
        <v/>
      </c>
      <c r="B63" s="440" t="str">
        <f t="shared" ca="1" si="5"/>
        <v>PRC_CAPACT</v>
      </c>
      <c r="C63" s="440" t="str">
        <f ca="1">OFFSET(SUP!$B$57,L63,0)</f>
        <v>MINCLE</v>
      </c>
      <c r="D63" s="440" t="str">
        <f ca="1">IF($A63="*","",IF(LEFT($B63,3)="TOP",OFFSET(SUP!$D$57,$L63,0),"-"))</f>
        <v>-</v>
      </c>
      <c r="E63" s="440" t="str">
        <f ca="1">IF($A63="*","",IF($B63="PRC_ACTUNT",OFFSET(SUP!$B$57,$L63,SUMIF($B$9:$B$11,$B63,$M$9:$M$11)),"-"))</f>
        <v>-</v>
      </c>
      <c r="F63" s="440" t="str">
        <f t="shared" ca="1" si="6"/>
        <v>-</v>
      </c>
      <c r="G63" s="440" t="str">
        <f t="shared" ca="1" si="7"/>
        <v>-</v>
      </c>
      <c r="H63" s="440" t="str">
        <f ca="1">IF($A63="*","",IF($B63="PRC_NOFF",OFFSET(SUP!$B$57,$L63,SUMIF($B$9:$B$12,$B63,$M$9:$M$12))-1,OFFSET(H$8,K63,0)))</f>
        <v>-</v>
      </c>
      <c r="I63" s="440">
        <f ca="1">IF(LEFT(VLOOKUP("*#"&amp;K63,$A$9:$I$13,I$6,0),1)="#",OFFSET(SUP!$B$57,$L63,SUMIF($A$9:$A$13,"*#"&amp;$K63,$M$9:$M$13)),1)</f>
        <v>1</v>
      </c>
      <c r="J63" s="440"/>
      <c r="K63" s="42">
        <f>IF(L62=SUP!$B$104,K62+1,K62)</f>
        <v>2</v>
      </c>
      <c r="L63" s="42">
        <f t="shared" si="8"/>
        <v>2</v>
      </c>
    </row>
    <row r="64" spans="1:12">
      <c r="A64" s="42" t="str">
        <f ca="1">IF(OR(LEFT(OFFSET(SUP!$A$57,L64,0),2)="\I",I64=""),"*","")</f>
        <v/>
      </c>
      <c r="B64" s="440" t="str">
        <f t="shared" ca="1" si="5"/>
        <v>PRC_CAPACT</v>
      </c>
      <c r="C64" s="440" t="str">
        <f ca="1">OFFSET(SUP!$B$57,L64,0)</f>
        <v>MINCLD</v>
      </c>
      <c r="D64" s="440" t="str">
        <f ca="1">IF($A64="*","",IF(LEFT($B64,3)="TOP",OFFSET(SUP!$D$57,$L64,0),"-"))</f>
        <v>-</v>
      </c>
      <c r="E64" s="440" t="str">
        <f ca="1">IF($A64="*","",IF($B64="PRC_ACTUNT",OFFSET(SUP!$B$57,$L64,SUMIF($B$9:$B$11,$B64,$M$9:$M$11)),"-"))</f>
        <v>-</v>
      </c>
      <c r="F64" s="440" t="str">
        <f t="shared" ca="1" si="6"/>
        <v>-</v>
      </c>
      <c r="G64" s="440" t="str">
        <f t="shared" ca="1" si="7"/>
        <v>-</v>
      </c>
      <c r="H64" s="440" t="str">
        <f ca="1">IF($A64="*","",IF($B64="PRC_NOFF",OFFSET(SUP!$B$57,$L64,SUMIF($B$9:$B$12,$B64,$M$9:$M$12))-1,OFFSET(H$8,K64,0)))</f>
        <v>-</v>
      </c>
      <c r="I64" s="440">
        <f ca="1">IF(LEFT(VLOOKUP("*#"&amp;K64,$A$9:$I$13,I$6,0),1)="#",OFFSET(SUP!$B$57,$L64,SUMIF($A$9:$A$13,"*#"&amp;$K64,$M$9:$M$13)),1)</f>
        <v>1</v>
      </c>
      <c r="J64" s="440"/>
      <c r="K64" s="42">
        <f>IF(L63=SUP!$B$104,K63+1,K63)</f>
        <v>2</v>
      </c>
      <c r="L64" s="42">
        <f t="shared" si="8"/>
        <v>3</v>
      </c>
    </row>
    <row r="65" spans="1:12">
      <c r="A65" s="42" t="str">
        <f ca="1">IF(OR(LEFT(OFFSET(SUP!$A$57,L65,0),2)="\I",I65=""),"*","")</f>
        <v/>
      </c>
      <c r="B65" s="440" t="str">
        <f t="shared" ca="1" si="5"/>
        <v>PRC_CAPACT</v>
      </c>
      <c r="C65" s="440" t="str">
        <f ca="1">OFFSET(SUP!$B$57,L65,0)</f>
        <v>MINOCR</v>
      </c>
      <c r="D65" s="440" t="str">
        <f ca="1">IF($A65="*","",IF(LEFT($B65,3)="TOP",OFFSET(SUP!$D$57,$L65,0),"-"))</f>
        <v>-</v>
      </c>
      <c r="E65" s="440" t="str">
        <f ca="1">IF($A65="*","",IF($B65="PRC_ACTUNT",OFFSET(SUP!$B$57,$L65,SUMIF($B$9:$B$11,$B65,$M$9:$M$11)),"-"))</f>
        <v>-</v>
      </c>
      <c r="F65" s="440" t="str">
        <f t="shared" ca="1" si="6"/>
        <v>-</v>
      </c>
      <c r="G65" s="440" t="str">
        <f t="shared" ca="1" si="7"/>
        <v>-</v>
      </c>
      <c r="H65" s="440" t="str">
        <f ca="1">IF($A65="*","",IF($B65="PRC_NOFF",OFFSET(SUP!$B$57,$L65,SUMIF($B$9:$B$12,$B65,$M$9:$M$12))-1,OFFSET(H$8,K65,0)))</f>
        <v>-</v>
      </c>
      <c r="I65" s="440">
        <f ca="1">IF(LEFT(VLOOKUP("*#"&amp;K65,$A$9:$I$13,I$6,0),1)="#",OFFSET(SUP!$B$57,$L65,SUMIF($A$9:$A$13,"*#"&amp;$K65,$M$9:$M$13)),1)</f>
        <v>1</v>
      </c>
      <c r="J65" s="440"/>
      <c r="K65" s="42">
        <f>IF(L64=SUP!$B$104,K64+1,K64)</f>
        <v>2</v>
      </c>
      <c r="L65" s="42">
        <f t="shared" si="8"/>
        <v>4</v>
      </c>
    </row>
    <row r="66" spans="1:12">
      <c r="A66" s="42" t="str">
        <f ca="1">IF(OR(LEFT(OFFSET(SUP!$A$57,L66,0),2)="\I",I66=""),"*","")</f>
        <v/>
      </c>
      <c r="B66" s="440" t="str">
        <f t="shared" ca="1" si="5"/>
        <v>PRC_CAPACT</v>
      </c>
      <c r="C66" s="440" t="str">
        <f ca="1">OFFSET(SUP!$B$57,L66,0)</f>
        <v>MINGIC</v>
      </c>
      <c r="D66" s="440" t="str">
        <f ca="1">IF($A66="*","",IF(LEFT($B66,3)="TOP",OFFSET(SUP!$D$57,$L66,0),"-"))</f>
        <v>-</v>
      </c>
      <c r="E66" s="440" t="str">
        <f ca="1">IF($A66="*","",IF($B66="PRC_ACTUNT",OFFSET(SUP!$B$57,$L66,SUMIF($B$9:$B$11,$B66,$M$9:$M$11)),"-"))</f>
        <v>-</v>
      </c>
      <c r="F66" s="440" t="str">
        <f t="shared" ca="1" si="6"/>
        <v>-</v>
      </c>
      <c r="G66" s="440" t="str">
        <f t="shared" ca="1" si="7"/>
        <v>-</v>
      </c>
      <c r="H66" s="440" t="str">
        <f ca="1">IF($A66="*","",IF($B66="PRC_NOFF",OFFSET(SUP!$B$57,$L66,SUMIF($B$9:$B$12,$B66,$M$9:$M$12))-1,OFFSET(H$8,K66,0)))</f>
        <v>-</v>
      </c>
      <c r="I66" s="440">
        <f ca="1">IF(LEFT(VLOOKUP("*#"&amp;K66,$A$9:$I$13,I$6,0),1)="#",OFFSET(SUP!$B$57,$L66,SUMIF($A$9:$A$13,"*#"&amp;$K66,$M$9:$M$13)),1)</f>
        <v>1</v>
      </c>
      <c r="J66" s="440"/>
      <c r="K66" s="42">
        <f>IF(L65=SUP!$B$104,K65+1,K65)</f>
        <v>2</v>
      </c>
      <c r="L66" s="42">
        <f t="shared" si="8"/>
        <v>5</v>
      </c>
    </row>
    <row r="67" spans="1:12">
      <c r="A67" s="42" t="str">
        <f ca="1">IF(OR(LEFT(OFFSET(SUP!$A$57,L67,0),2)="\I",I67=""),"*","")</f>
        <v/>
      </c>
      <c r="B67" s="440" t="str">
        <f t="shared" ca="1" si="5"/>
        <v>PRC_CAPACT</v>
      </c>
      <c r="C67" s="440" t="str">
        <f ca="1">OFFSET(SUP!$B$57,L67,0)</f>
        <v>MINGIB</v>
      </c>
      <c r="D67" s="440" t="str">
        <f ca="1">IF($A67="*","",IF(LEFT($B67,3)="TOP",OFFSET(SUP!$D$57,$L67,0),"-"))</f>
        <v>-</v>
      </c>
      <c r="E67" s="440" t="str">
        <f ca="1">IF($A67="*","",IF($B67="PRC_ACTUNT",OFFSET(SUP!$B$57,$L67,SUMIF($B$9:$B$11,$B67,$M$9:$M$11)),"-"))</f>
        <v>-</v>
      </c>
      <c r="F67" s="440" t="str">
        <f t="shared" ca="1" si="6"/>
        <v>-</v>
      </c>
      <c r="G67" s="440" t="str">
        <f t="shared" ca="1" si="7"/>
        <v>-</v>
      </c>
      <c r="H67" s="440" t="str">
        <f ca="1">IF($A67="*","",IF($B67="PRC_NOFF",OFFSET(SUP!$B$57,$L67,SUMIF($B$9:$B$12,$B67,$M$9:$M$12))-1,OFFSET(H$8,K67,0)))</f>
        <v>-</v>
      </c>
      <c r="I67" s="440">
        <f ca="1">IF(LEFT(VLOOKUP("*#"&amp;K67,$A$9:$I$13,I$6,0),1)="#",OFFSET(SUP!$B$57,$L67,SUMIF($A$9:$A$13,"*#"&amp;$K67,$M$9:$M$13)),1)</f>
        <v>1</v>
      </c>
      <c r="J67" s="440"/>
      <c r="K67" s="42">
        <f>IF(L66=SUP!$B$104,K66+1,K66)</f>
        <v>2</v>
      </c>
      <c r="L67" s="42">
        <f t="shared" si="8"/>
        <v>6</v>
      </c>
    </row>
    <row r="68" spans="1:12">
      <c r="A68" s="42" t="str">
        <f ca="1">IF(OR(LEFT(OFFSET(SUP!$A$57,L68,0),2)="\I",I68=""),"*","")</f>
        <v/>
      </c>
      <c r="B68" s="440" t="str">
        <f t="shared" ca="1" si="5"/>
        <v>PRC_CAPACT</v>
      </c>
      <c r="C68" s="440" t="str">
        <f ca="1">OFFSET(SUP!$B$57,L68,0)</f>
        <v>MINGAS</v>
      </c>
      <c r="D68" s="440" t="str">
        <f ca="1">IF($A68="*","",IF(LEFT($B68,3)="TOP",OFFSET(SUP!$D$57,$L68,0),"-"))</f>
        <v>-</v>
      </c>
      <c r="E68" s="440" t="str">
        <f ca="1">IF($A68="*","",IF($B68="PRC_ACTUNT",OFFSET(SUP!$B$57,$L68,SUMIF($B$9:$B$11,$B68,$M$9:$M$11)),"-"))</f>
        <v>-</v>
      </c>
      <c r="F68" s="440" t="str">
        <f t="shared" ca="1" si="6"/>
        <v>-</v>
      </c>
      <c r="G68" s="440" t="str">
        <f t="shared" ca="1" si="7"/>
        <v>-</v>
      </c>
      <c r="H68" s="440" t="str">
        <f ca="1">IF($A68="*","",IF($B68="PRC_NOFF",OFFSET(SUP!$B$57,$L68,SUMIF($B$9:$B$12,$B68,$M$9:$M$12))-1,OFFSET(H$8,K68,0)))</f>
        <v>-</v>
      </c>
      <c r="I68" s="440">
        <f ca="1">IF(LEFT(VLOOKUP("*#"&amp;K68,$A$9:$I$13,I$6,0),1)="#",OFFSET(SUP!$B$57,$L68,SUMIF($A$9:$A$13,"*#"&amp;$K68,$M$9:$M$13)),1)</f>
        <v>1</v>
      </c>
      <c r="J68" s="440"/>
      <c r="K68" s="42">
        <f>IF(L67=SUP!$B$104,K67+1,K67)</f>
        <v>2</v>
      </c>
      <c r="L68" s="42">
        <f t="shared" si="8"/>
        <v>7</v>
      </c>
    </row>
    <row r="69" spans="1:12">
      <c r="A69" s="42" t="str">
        <f ca="1">IF(OR(LEFT(OFFSET(SUP!$A$57,L69,0),2)="\I",I69=""),"*","")</f>
        <v/>
      </c>
      <c r="B69" s="440" t="str">
        <f t="shared" ca="1" si="5"/>
        <v>PRC_CAPACT</v>
      </c>
      <c r="C69" s="440" t="str">
        <f ca="1">OFFSET(SUP!$B$57,L69,0)</f>
        <v>MINGIH</v>
      </c>
      <c r="D69" s="440" t="str">
        <f ca="1">IF($A69="*","",IF(LEFT($B69,3)="TOP",OFFSET(SUP!$D$57,$L69,0),"-"))</f>
        <v>-</v>
      </c>
      <c r="E69" s="440" t="str">
        <f ca="1">IF($A69="*","",IF($B69="PRC_ACTUNT",OFFSET(SUP!$B$57,$L69,SUMIF($B$9:$B$11,$B69,$M$9:$M$11)),"-"))</f>
        <v>-</v>
      </c>
      <c r="F69" s="440" t="str">
        <f t="shared" ca="1" si="6"/>
        <v>-</v>
      </c>
      <c r="G69" s="440" t="str">
        <f t="shared" ca="1" si="7"/>
        <v>-</v>
      </c>
      <c r="H69" s="440" t="str">
        <f ca="1">IF($A69="*","",IF($B69="PRC_NOFF",OFFSET(SUP!$B$57,$L69,SUMIF($B$9:$B$12,$B69,$M$9:$M$12))-1,OFFSET(H$8,K69,0)))</f>
        <v>-</v>
      </c>
      <c r="I69" s="440">
        <f ca="1">IF(LEFT(VLOOKUP("*#"&amp;K69,$A$9:$I$13,I$6,0),1)="#",OFFSET(SUP!$B$57,$L69,SUMIF($A$9:$A$13,"*#"&amp;$K69,$M$9:$M$13)),1)</f>
        <v>1</v>
      </c>
      <c r="J69" s="440"/>
      <c r="K69" s="42">
        <f>IF(L68=SUP!$B$104,K68+1,K68)</f>
        <v>2</v>
      </c>
      <c r="L69" s="42">
        <f t="shared" si="8"/>
        <v>8</v>
      </c>
    </row>
    <row r="70" spans="1:12">
      <c r="A70" s="42" t="str">
        <f ca="1">IF(OR(LEFT(OFFSET(SUP!$A$57,L70,0),2)="\I",I70=""),"*","")</f>
        <v>*</v>
      </c>
      <c r="B70" s="440" t="str">
        <f t="shared" ca="1" si="5"/>
        <v>PRC_CAPACT</v>
      </c>
      <c r="C70" s="440">
        <f ca="1">OFFSET(SUP!$B$57,L70,0)</f>
        <v>0</v>
      </c>
      <c r="D70" s="440" t="str">
        <f ca="1">IF($A70="*","",IF(LEFT($B70,3)="TOP",OFFSET(SUP!$D$57,$L70,0),"-"))</f>
        <v/>
      </c>
      <c r="E70" s="440" t="str">
        <f ca="1">IF($A70="*","",IF($B70="PRC_ACTUNT",OFFSET(SUP!$B$57,$L70,SUMIF($B$9:$B$11,$B70,$M$9:$M$11)),"-"))</f>
        <v/>
      </c>
      <c r="F70" s="440" t="str">
        <f t="shared" ca="1" si="6"/>
        <v>-</v>
      </c>
      <c r="G70" s="440" t="str">
        <f t="shared" ca="1" si="7"/>
        <v/>
      </c>
      <c r="H70" s="440" t="str">
        <f ca="1">IF($A70="*","",IF($B70="PRC_NOFF",OFFSET(SUP!$B$57,$L70,SUMIF($B$9:$B$12,$B70,$M$9:$M$12))-1,OFFSET(H$8,K70,0)))</f>
        <v/>
      </c>
      <c r="I70" s="440">
        <f ca="1">IF(LEFT(VLOOKUP("*#"&amp;K70,$A$9:$I$13,I$6,0),1)="#",OFFSET(SUP!$B$57,$L70,SUMIF($A$9:$A$13,"*#"&amp;$K70,$M$9:$M$13)),1)</f>
        <v>1</v>
      </c>
      <c r="J70" s="440"/>
      <c r="K70" s="42">
        <f>IF(L69=SUP!$B$104,K69+1,K69)</f>
        <v>2</v>
      </c>
      <c r="L70" s="42">
        <f t="shared" si="8"/>
        <v>9</v>
      </c>
    </row>
    <row r="71" spans="1:12">
      <c r="A71" s="42" t="str">
        <f ca="1">IF(OR(LEFT(OFFSET(SUP!$A$57,L71,0),2)="\I",I71=""),"*","")</f>
        <v/>
      </c>
      <c r="B71" s="440" t="str">
        <f t="shared" ca="1" si="5"/>
        <v>PRC_CAPACT</v>
      </c>
      <c r="C71" s="440" t="str">
        <f ca="1">OFFSET(SUP!$B$57,L71,0)</f>
        <v>MINBIG</v>
      </c>
      <c r="D71" s="440" t="str">
        <f ca="1">IF($A71="*","",IF(LEFT($B71,3)="TOP",OFFSET(SUP!$D$57,$L71,0),"-"))</f>
        <v>-</v>
      </c>
      <c r="E71" s="440" t="str">
        <f ca="1">IF($A71="*","",IF($B71="PRC_ACTUNT",OFFSET(SUP!$B$57,$L71,SUMIF($B$9:$B$11,$B71,$M$9:$M$11)),"-"))</f>
        <v>-</v>
      </c>
      <c r="F71" s="440" t="str">
        <f t="shared" ca="1" si="6"/>
        <v>-</v>
      </c>
      <c r="G71" s="440" t="str">
        <f t="shared" ca="1" si="7"/>
        <v>-</v>
      </c>
      <c r="H71" s="440" t="str">
        <f ca="1">IF($A71="*","",IF($B71="PRC_NOFF",OFFSET(SUP!$B$57,$L71,SUMIF($B$9:$B$12,$B71,$M$9:$M$12))-1,OFFSET(H$8,K71,0)))</f>
        <v>-</v>
      </c>
      <c r="I71" s="440">
        <f ca="1">IF(LEFT(VLOOKUP("*#"&amp;K71,$A$9:$I$13,I$6,0),1)="#",OFFSET(SUP!$B$57,$L71,SUMIF($A$9:$A$13,"*#"&amp;$K71,$M$9:$M$13)),1)</f>
        <v>1</v>
      </c>
      <c r="J71" s="440"/>
      <c r="K71" s="42">
        <f>IF(L70=SUP!$B$104,K70+1,K70)</f>
        <v>2</v>
      </c>
      <c r="L71" s="42">
        <f t="shared" si="8"/>
        <v>10</v>
      </c>
    </row>
    <row r="72" spans="1:12">
      <c r="A72" s="42" t="str">
        <f ca="1">IF(OR(LEFT(OFFSET(SUP!$A$57,L72,0),2)="\I",I72=""),"*","")</f>
        <v/>
      </c>
      <c r="B72" s="440" t="str">
        <f t="shared" ca="1" si="5"/>
        <v>PRC_CAPACT</v>
      </c>
      <c r="C72" s="440" t="str">
        <f ca="1">OFFSET(SUP!$B$57,L72,0)</f>
        <v>MINBIB</v>
      </c>
      <c r="D72" s="440" t="str">
        <f ca="1">IF($A72="*","",IF(LEFT($B72,3)="TOP",OFFSET(SUP!$D$57,$L72,0),"-"))</f>
        <v>-</v>
      </c>
      <c r="E72" s="440" t="str">
        <f ca="1">IF($A72="*","",IF($B72="PRC_ACTUNT",OFFSET(SUP!$B$57,$L72,SUMIF($B$9:$B$11,$B72,$M$9:$M$11)),"-"))</f>
        <v>-</v>
      </c>
      <c r="F72" s="440" t="str">
        <f t="shared" ca="1" si="6"/>
        <v>-</v>
      </c>
      <c r="G72" s="440" t="str">
        <f t="shared" ca="1" si="7"/>
        <v>-</v>
      </c>
      <c r="H72" s="440" t="str">
        <f ca="1">IF($A72="*","",IF($B72="PRC_NOFF",OFFSET(SUP!$B$57,$L72,SUMIF($B$9:$B$12,$B72,$M$9:$M$12))-1,OFFSET(H$8,K72,0)))</f>
        <v>-</v>
      </c>
      <c r="I72" s="440">
        <f ca="1">IF(LEFT(VLOOKUP("*#"&amp;K72,$A$9:$I$13,I$6,0),1)="#",OFFSET(SUP!$B$57,$L72,SUMIF($A$9:$A$13,"*#"&amp;$K72,$M$9:$M$13)),1)</f>
        <v>1</v>
      </c>
      <c r="J72" s="440"/>
      <c r="K72" s="42">
        <f>IF(L71=SUP!$B$104,K71+1,K71)</f>
        <v>2</v>
      </c>
      <c r="L72" s="42">
        <f t="shared" si="8"/>
        <v>11</v>
      </c>
    </row>
    <row r="73" spans="1:12">
      <c r="A73" s="42" t="str">
        <f ca="1">IF(OR(LEFT(OFFSET(SUP!$A$57,L73,0),2)="\I",I73=""),"*","")</f>
        <v/>
      </c>
      <c r="B73" s="440" t="str">
        <f t="shared" ca="1" si="5"/>
        <v>PRC_CAPACT</v>
      </c>
      <c r="C73" s="440" t="str">
        <f ca="1">OFFSET(SUP!$B$57,L73,0)</f>
        <v>MINBIO</v>
      </c>
      <c r="D73" s="440" t="str">
        <f ca="1">IF($A73="*","",IF(LEFT($B73,3)="TOP",OFFSET(SUP!$D$57,$L73,0),"-"))</f>
        <v>-</v>
      </c>
      <c r="E73" s="440" t="str">
        <f ca="1">IF($A73="*","",IF($B73="PRC_ACTUNT",OFFSET(SUP!$B$57,$L73,SUMIF($B$9:$B$11,$B73,$M$9:$M$11)),"-"))</f>
        <v>-</v>
      </c>
      <c r="F73" s="440" t="str">
        <f t="shared" ca="1" si="6"/>
        <v>-</v>
      </c>
      <c r="G73" s="440" t="str">
        <f t="shared" ca="1" si="7"/>
        <v>-</v>
      </c>
      <c r="H73" s="440" t="str">
        <f ca="1">IF($A73="*","",IF($B73="PRC_NOFF",OFFSET(SUP!$B$57,$L73,SUMIF($B$9:$B$12,$B73,$M$9:$M$12))-1,OFFSET(H$8,K73,0)))</f>
        <v>-</v>
      </c>
      <c r="I73" s="440">
        <f ca="1">IF(LEFT(VLOOKUP("*#"&amp;K73,$A$9:$I$13,I$6,0),1)="#",OFFSET(SUP!$B$57,$L73,SUMIF($A$9:$A$13,"*#"&amp;$K73,$M$9:$M$13)),1)</f>
        <v>1</v>
      </c>
      <c r="J73" s="440"/>
      <c r="K73" s="42">
        <f>IF(L72=SUP!$B$104,K72+1,K72)</f>
        <v>2</v>
      </c>
      <c r="L73" s="42">
        <f t="shared" si="8"/>
        <v>12</v>
      </c>
    </row>
    <row r="74" spans="1:12">
      <c r="A74" s="42" t="str">
        <f ca="1">IF(OR(LEFT(OFFSET(SUP!$A$57,L74,0),2)="\I",I74=""),"*","")</f>
        <v/>
      </c>
      <c r="B74" s="440" t="str">
        <f t="shared" ca="1" si="5"/>
        <v>PRC_CAPACT</v>
      </c>
      <c r="C74" s="440" t="str">
        <f ca="1">OFFSET(SUP!$B$57,L74,0)</f>
        <v>MINBIW</v>
      </c>
      <c r="D74" s="440" t="str">
        <f ca="1">IF($A74="*","",IF(LEFT($B74,3)="TOP",OFFSET(SUP!$D$57,$L74,0),"-"))</f>
        <v>-</v>
      </c>
      <c r="E74" s="440" t="str">
        <f ca="1">IF($A74="*","",IF($B74="PRC_ACTUNT",OFFSET(SUP!$B$57,$L74,SUMIF($B$9:$B$11,$B74,$M$9:$M$11)),"-"))</f>
        <v>-</v>
      </c>
      <c r="F74" s="440" t="str">
        <f t="shared" ca="1" si="6"/>
        <v>-</v>
      </c>
      <c r="G74" s="440" t="str">
        <f t="shared" ca="1" si="7"/>
        <v>-</v>
      </c>
      <c r="H74" s="440" t="str">
        <f ca="1">IF($A74="*","",IF($B74="PRC_NOFF",OFFSET(SUP!$B$57,$L74,SUMIF($B$9:$B$12,$B74,$M$9:$M$12))-1,OFFSET(H$8,K74,0)))</f>
        <v>-</v>
      </c>
      <c r="I74" s="440">
        <f ca="1">IF(LEFT(VLOOKUP("*#"&amp;K74,$A$9:$I$13,I$6,0),1)="#",OFFSET(SUP!$B$57,$L74,SUMIF($A$9:$A$13,"*#"&amp;$K74,$M$9:$M$13)),1)</f>
        <v>1</v>
      </c>
      <c r="J74" s="440"/>
      <c r="K74" s="42">
        <f>IF(L73=SUP!$B$104,K73+1,K73)</f>
        <v>2</v>
      </c>
      <c r="L74" s="42">
        <f t="shared" si="8"/>
        <v>13</v>
      </c>
    </row>
    <row r="75" spans="1:12">
      <c r="A75" s="42" t="str">
        <f ca="1">IF(OR(LEFT(OFFSET(SUP!$A$57,L75,0),2)="\I",I75=""),"*","")</f>
        <v/>
      </c>
      <c r="B75" s="440" t="str">
        <f t="shared" ca="1" si="5"/>
        <v>PRC_CAPACT</v>
      </c>
      <c r="C75" s="440" t="str">
        <f ca="1">OFFSET(SUP!$B$57,L75,0)</f>
        <v>MINWAS</v>
      </c>
      <c r="D75" s="440" t="str">
        <f ca="1">IF($A75="*","",IF(LEFT($B75,3)="TOP",OFFSET(SUP!$D$57,$L75,0),"-"))</f>
        <v>-</v>
      </c>
      <c r="E75" s="440" t="str">
        <f ca="1">IF($A75="*","",IF($B75="PRC_ACTUNT",OFFSET(SUP!$B$57,$L75,SUMIF($B$9:$B$11,$B75,$M$9:$M$11)),"-"))</f>
        <v>-</v>
      </c>
      <c r="F75" s="440" t="str">
        <f t="shared" ca="1" si="6"/>
        <v>-</v>
      </c>
      <c r="G75" s="440" t="str">
        <f t="shared" ca="1" si="7"/>
        <v>-</v>
      </c>
      <c r="H75" s="440" t="str">
        <f ca="1">IF($A75="*","",IF($B75="PRC_NOFF",OFFSET(SUP!$B$57,$L75,SUMIF($B$9:$B$12,$B75,$M$9:$M$12))-1,OFFSET(H$8,K75,0)))</f>
        <v>-</v>
      </c>
      <c r="I75" s="440">
        <f ca="1">IF(LEFT(VLOOKUP("*#"&amp;K75,$A$9:$I$13,I$6,0),1)="#",OFFSET(SUP!$B$57,$L75,SUMIF($A$9:$A$13,"*#"&amp;$K75,$M$9:$M$13)),1)</f>
        <v>1</v>
      </c>
      <c r="J75" s="440"/>
      <c r="K75" s="42">
        <f>IF(L74=SUP!$B$104,K74+1,K74)</f>
        <v>2</v>
      </c>
      <c r="L75" s="42">
        <f t="shared" si="8"/>
        <v>14</v>
      </c>
    </row>
    <row r="76" spans="1:12">
      <c r="A76" s="42" t="str">
        <f ca="1">IF(OR(LEFT(OFFSET(SUP!$A$57,L76,0),2)="\I",I76=""),"*","")</f>
        <v/>
      </c>
      <c r="B76" s="440" t="str">
        <f t="shared" ca="1" si="5"/>
        <v>PRC_CAPACT</v>
      </c>
      <c r="C76" s="440" t="str">
        <f ca="1">OFFSET(SUP!$B$57,L76,0)</f>
        <v>MINHYD</v>
      </c>
      <c r="D76" s="440" t="str">
        <f ca="1">IF($A76="*","",IF(LEFT($B76,3)="TOP",OFFSET(SUP!$D$57,$L76,0),"-"))</f>
        <v>-</v>
      </c>
      <c r="E76" s="440" t="str">
        <f ca="1">IF($A76="*","",IF($B76="PRC_ACTUNT",OFFSET(SUP!$B$57,$L76,SUMIF($B$9:$B$11,$B76,$M$9:$M$11)),"-"))</f>
        <v>-</v>
      </c>
      <c r="F76" s="440" t="str">
        <f t="shared" ca="1" si="6"/>
        <v>-</v>
      </c>
      <c r="G76" s="440" t="str">
        <f t="shared" ca="1" si="7"/>
        <v>-</v>
      </c>
      <c r="H76" s="440" t="str">
        <f ca="1">IF($A76="*","",IF($B76="PRC_NOFF",OFFSET(SUP!$B$57,$L76,SUMIF($B$9:$B$12,$B76,$M$9:$M$12))-1,OFFSET(H$8,K76,0)))</f>
        <v>-</v>
      </c>
      <c r="I76" s="440">
        <f ca="1">IF(LEFT(VLOOKUP("*#"&amp;K76,$A$9:$I$13,I$6,0),1)="#",OFFSET(SUP!$B$57,$L76,SUMIF($A$9:$A$13,"*#"&amp;$K76,$M$9:$M$13)),1)</f>
        <v>1</v>
      </c>
      <c r="J76" s="440"/>
      <c r="K76" s="42">
        <f>IF(L75=SUP!$B$104,K75+1,K75)</f>
        <v>2</v>
      </c>
      <c r="L76" s="42">
        <f t="shared" si="8"/>
        <v>15</v>
      </c>
    </row>
    <row r="77" spans="1:12">
      <c r="A77" s="42" t="str">
        <f ca="1">IF(OR(LEFT(OFFSET(SUP!$A$57,L77,0),2)="\I",I77=""),"*","")</f>
        <v/>
      </c>
      <c r="B77" s="440" t="str">
        <f t="shared" ca="1" si="5"/>
        <v>PRC_CAPACT</v>
      </c>
      <c r="C77" s="440" t="str">
        <f ca="1">OFFSET(SUP!$B$57,L77,0)</f>
        <v>MINSOL</v>
      </c>
      <c r="D77" s="440" t="str">
        <f ca="1">IF($A77="*","",IF(LEFT($B77,3)="TOP",OFFSET(SUP!$D$57,$L77,0),"-"))</f>
        <v>-</v>
      </c>
      <c r="E77" s="440" t="str">
        <f ca="1">IF($A77="*","",IF($B77="PRC_ACTUNT",OFFSET(SUP!$B$57,$L77,SUMIF($B$9:$B$11,$B77,$M$9:$M$11)),"-"))</f>
        <v>-</v>
      </c>
      <c r="F77" s="440" t="str">
        <f t="shared" ca="1" si="6"/>
        <v>-</v>
      </c>
      <c r="G77" s="440" t="str">
        <f t="shared" ca="1" si="7"/>
        <v>-</v>
      </c>
      <c r="H77" s="440" t="str">
        <f ca="1">IF($A77="*","",IF($B77="PRC_NOFF",OFFSET(SUP!$B$57,$L77,SUMIF($B$9:$B$12,$B77,$M$9:$M$12))-1,OFFSET(H$8,K77,0)))</f>
        <v>-</v>
      </c>
      <c r="I77" s="440">
        <f ca="1">IF(LEFT(VLOOKUP("*#"&amp;K77,$A$9:$I$13,I$6,0),1)="#",OFFSET(SUP!$B$57,$L77,SUMIF($A$9:$A$13,"*#"&amp;$K77,$M$9:$M$13)),1)</f>
        <v>1</v>
      </c>
      <c r="J77" s="440"/>
      <c r="K77" s="42">
        <f>IF(L76=SUP!$B$104,K76+1,K76)</f>
        <v>2</v>
      </c>
      <c r="L77" s="42">
        <f t="shared" si="8"/>
        <v>16</v>
      </c>
    </row>
    <row r="78" spans="1:12">
      <c r="A78" s="42" t="str">
        <f ca="1">IF(OR(LEFT(OFFSET(SUP!$A$57,L78,0),2)="\I",I78=""),"*","")</f>
        <v/>
      </c>
      <c r="B78" s="440" t="str">
        <f t="shared" ca="1" si="5"/>
        <v>PRC_CAPACT</v>
      </c>
      <c r="C78" s="440" t="str">
        <f ca="1">OFFSET(SUP!$B$57,L78,0)</f>
        <v>MINWND</v>
      </c>
      <c r="D78" s="440" t="str">
        <f ca="1">IF($A78="*","",IF(LEFT($B78,3)="TOP",OFFSET(SUP!$D$57,$L78,0),"-"))</f>
        <v>-</v>
      </c>
      <c r="E78" s="440" t="str">
        <f ca="1">IF($A78="*","",IF($B78="PRC_ACTUNT",OFFSET(SUP!$B$57,$L78,SUMIF($B$9:$B$11,$B78,$M$9:$M$11)),"-"))</f>
        <v>-</v>
      </c>
      <c r="F78" s="440" t="str">
        <f t="shared" ca="1" si="6"/>
        <v>-</v>
      </c>
      <c r="G78" s="440" t="str">
        <f t="shared" ca="1" si="7"/>
        <v>-</v>
      </c>
      <c r="H78" s="440" t="str">
        <f ca="1">IF($A78="*","",IF($B78="PRC_NOFF",OFFSET(SUP!$B$57,$L78,SUMIF($B$9:$B$12,$B78,$M$9:$M$12))-1,OFFSET(H$8,K78,0)))</f>
        <v>-</v>
      </c>
      <c r="I78" s="440">
        <f ca="1">IF(LEFT(VLOOKUP("*#"&amp;K78,$A$9:$I$13,I$6,0),1)="#",OFFSET(SUP!$B$57,$L78,SUMIF($A$9:$A$13,"*#"&amp;$K78,$M$9:$M$13)),1)</f>
        <v>1</v>
      </c>
      <c r="J78" s="440"/>
      <c r="K78" s="42">
        <f>IF(L77=SUP!$B$104,K77+1,K77)</f>
        <v>2</v>
      </c>
      <c r="L78" s="42">
        <f t="shared" si="8"/>
        <v>17</v>
      </c>
    </row>
    <row r="79" spans="1:12">
      <c r="A79" s="42" t="str">
        <f ca="1">IF(OR(LEFT(OFFSET(SUP!$A$57,L79,0),2)="\I",I79=""),"*","")</f>
        <v>*</v>
      </c>
      <c r="B79" s="440" t="str">
        <f t="shared" ca="1" si="5"/>
        <v>PRC_CAPACT</v>
      </c>
      <c r="C79" s="440">
        <f ca="1">OFFSET(SUP!$B$57,L79,0)</f>
        <v>0</v>
      </c>
      <c r="D79" s="440" t="str">
        <f ca="1">IF($A79="*","",IF(LEFT($B79,3)="TOP",OFFSET(SUP!$D$57,$L79,0),"-"))</f>
        <v/>
      </c>
      <c r="E79" s="440" t="str">
        <f ca="1">IF($A79="*","",IF($B79="PRC_ACTUNT",OFFSET(SUP!$B$57,$L79,SUMIF($B$9:$B$11,$B79,$M$9:$M$11)),"-"))</f>
        <v/>
      </c>
      <c r="F79" s="440" t="str">
        <f t="shared" ca="1" si="6"/>
        <v>-</v>
      </c>
      <c r="G79" s="440" t="str">
        <f t="shared" ca="1" si="7"/>
        <v/>
      </c>
      <c r="H79" s="440" t="str">
        <f ca="1">IF($A79="*","",IF($B79="PRC_NOFF",OFFSET(SUP!$B$57,$L79,SUMIF($B$9:$B$12,$B79,$M$9:$M$12))-1,OFFSET(H$8,K79,0)))</f>
        <v/>
      </c>
      <c r="I79" s="440">
        <f ca="1">IF(LEFT(VLOOKUP("*#"&amp;K79,$A$9:$I$13,I$6,0),1)="#",OFFSET(SUP!$B$57,$L79,SUMIF($A$9:$A$13,"*#"&amp;$K79,$M$9:$M$13)),1)</f>
        <v>1</v>
      </c>
      <c r="J79" s="440"/>
      <c r="K79" s="42">
        <f>IF(L78=SUP!$B$104,K78+1,K78)</f>
        <v>2</v>
      </c>
      <c r="L79" s="42">
        <f t="shared" si="8"/>
        <v>18</v>
      </c>
    </row>
    <row r="80" spans="1:12">
      <c r="A80" s="42" t="str">
        <f ca="1">IF(OR(LEFT(OFFSET(SUP!$A$57,L80,0),2)="\I",I80=""),"*","")</f>
        <v/>
      </c>
      <c r="B80" s="440" t="str">
        <f t="shared" ca="1" si="5"/>
        <v>PRC_CAPACT</v>
      </c>
      <c r="C80" s="440" t="str">
        <f ca="1">OFFSET(SUP!$B$57,L80,0)</f>
        <v>IMPCOK</v>
      </c>
      <c r="D80" s="440" t="str">
        <f ca="1">IF($A80="*","",IF(LEFT($B80,3)="TOP",OFFSET(SUP!$D$57,$L80,0),"-"))</f>
        <v>-</v>
      </c>
      <c r="E80" s="440" t="str">
        <f ca="1">IF($A80="*","",IF($B80="PRC_ACTUNT",OFFSET(SUP!$B$57,$L80,SUMIF($B$9:$B$11,$B80,$M$9:$M$11)),"-"))</f>
        <v>-</v>
      </c>
      <c r="F80" s="440" t="str">
        <f t="shared" ca="1" si="6"/>
        <v>-</v>
      </c>
      <c r="G80" s="440" t="str">
        <f t="shared" ca="1" si="7"/>
        <v>-</v>
      </c>
      <c r="H80" s="440" t="str">
        <f ca="1">IF($A80="*","",IF($B80="PRC_NOFF",OFFSET(SUP!$B$57,$L80,SUMIF($B$9:$B$12,$B80,$M$9:$M$12))-1,OFFSET(H$8,K80,0)))</f>
        <v>-</v>
      </c>
      <c r="I80" s="440">
        <f ca="1">IF(LEFT(VLOOKUP("*#"&amp;K80,$A$9:$I$13,I$6,0),1)="#",OFFSET(SUP!$B$57,$L80,SUMIF($A$9:$A$13,"*#"&amp;$K80,$M$9:$M$13)),1)</f>
        <v>1</v>
      </c>
      <c r="J80" s="440"/>
      <c r="K80" s="42">
        <f>IF(L79=SUP!$B$104,K79+1,K79)</f>
        <v>2</v>
      </c>
      <c r="L80" s="42">
        <f t="shared" si="8"/>
        <v>19</v>
      </c>
    </row>
    <row r="81" spans="1:12">
      <c r="A81" s="42" t="str">
        <f ca="1">IF(OR(LEFT(OFFSET(SUP!$A$57,L81,0),2)="\I",I81=""),"*","")</f>
        <v/>
      </c>
      <c r="B81" s="440" t="str">
        <f t="shared" ca="1" si="5"/>
        <v>PRC_CAPACT</v>
      </c>
      <c r="C81" s="440" t="str">
        <f ca="1">OFFSET(SUP!$B$57,L81,0)</f>
        <v>IMPGRL</v>
      </c>
      <c r="D81" s="440" t="str">
        <f ca="1">IF($A81="*","",IF(LEFT($B81,3)="TOP",OFFSET(SUP!$D$57,$L81,0),"-"))</f>
        <v>-</v>
      </c>
      <c r="E81" s="440" t="str">
        <f ca="1">IF($A81="*","",IF($B81="PRC_ACTUNT",OFFSET(SUP!$B$57,$L81,SUMIF($B$9:$B$11,$B81,$M$9:$M$11)),"-"))</f>
        <v>-</v>
      </c>
      <c r="F81" s="440" t="str">
        <f t="shared" ca="1" si="6"/>
        <v>-</v>
      </c>
      <c r="G81" s="440" t="str">
        <f t="shared" ca="1" si="7"/>
        <v>-</v>
      </c>
      <c r="H81" s="440" t="str">
        <f ca="1">IF($A81="*","",IF($B81="PRC_NOFF",OFFSET(SUP!$B$57,$L81,SUMIF($B$9:$B$12,$B81,$M$9:$M$12))-1,OFFSET(H$8,K81,0)))</f>
        <v>-</v>
      </c>
      <c r="I81" s="440">
        <f ca="1">IF(LEFT(VLOOKUP("*#"&amp;K81,$A$9:$I$13,I$6,0),1)="#",OFFSET(SUP!$B$57,$L81,SUMIF($A$9:$A$13,"*#"&amp;$K81,$M$9:$M$13)),1)</f>
        <v>1</v>
      </c>
      <c r="J81" s="440"/>
      <c r="K81" s="42">
        <f>IF(L80=SUP!$B$104,K80+1,K80)</f>
        <v>2</v>
      </c>
      <c r="L81" s="42">
        <f t="shared" si="8"/>
        <v>20</v>
      </c>
    </row>
    <row r="82" spans="1:12">
      <c r="A82" s="42" t="str">
        <f ca="1">IF(OR(LEFT(OFFSET(SUP!$A$57,L82,0),2)="\I",I82=""),"*","")</f>
        <v/>
      </c>
      <c r="B82" s="440" t="str">
        <f t="shared" ca="1" si="5"/>
        <v>PRC_CAPACT</v>
      </c>
      <c r="C82" s="440" t="str">
        <f ca="1">OFFSET(SUP!$B$57,L82,0)</f>
        <v>IMPGWL</v>
      </c>
      <c r="D82" s="440" t="str">
        <f ca="1">IF($A82="*","",IF(LEFT($B82,3)="TOP",OFFSET(SUP!$D$57,$L82,0),"-"))</f>
        <v>-</v>
      </c>
      <c r="E82" s="440" t="str">
        <f ca="1">IF($A82="*","",IF($B82="PRC_ACTUNT",OFFSET(SUP!$B$57,$L82,SUMIF($B$9:$B$11,$B82,$M$9:$M$11)),"-"))</f>
        <v>-</v>
      </c>
      <c r="F82" s="440" t="str">
        <f t="shared" ca="1" si="6"/>
        <v>-</v>
      </c>
      <c r="G82" s="440" t="str">
        <f t="shared" ca="1" si="7"/>
        <v>-</v>
      </c>
      <c r="H82" s="440" t="str">
        <f ca="1">IF($A82="*","",IF($B82="PRC_NOFF",OFFSET(SUP!$B$57,$L82,SUMIF($B$9:$B$12,$B82,$M$9:$M$12))-1,OFFSET(H$8,K82,0)))</f>
        <v>-</v>
      </c>
      <c r="I82" s="440">
        <f ca="1">IF(LEFT(VLOOKUP("*#"&amp;K82,$A$9:$I$13,I$6,0),1)="#",OFFSET(SUP!$B$57,$L82,SUMIF($A$9:$A$13,"*#"&amp;$K82,$M$9:$M$13)),1)</f>
        <v>1</v>
      </c>
      <c r="J82" s="440"/>
      <c r="K82" s="42">
        <f>IF(L81=SUP!$B$104,K81+1,K81)</f>
        <v>2</v>
      </c>
      <c r="L82" s="42">
        <f t="shared" si="8"/>
        <v>21</v>
      </c>
    </row>
    <row r="83" spans="1:12">
      <c r="A83" s="42" t="str">
        <f ca="1">IF(OR(LEFT(OFFSET(SUP!$A$57,L83,0),2)="\I",I83=""),"*","")</f>
        <v/>
      </c>
      <c r="B83" s="440" t="str">
        <f t="shared" ca="1" si="5"/>
        <v>PRC_CAPACT</v>
      </c>
      <c r="C83" s="440" t="str">
        <f ca="1">OFFSET(SUP!$B$57,L83,0)</f>
        <v>IMPNUC</v>
      </c>
      <c r="D83" s="440" t="str">
        <f ca="1">IF($A83="*","",IF(LEFT($B83,3)="TOP",OFFSET(SUP!$D$57,$L83,0),"-"))</f>
        <v>-</v>
      </c>
      <c r="E83" s="440" t="str">
        <f ca="1">IF($A83="*","",IF($B83="PRC_ACTUNT",OFFSET(SUP!$B$57,$L83,SUMIF($B$9:$B$11,$B83,$M$9:$M$11)),"-"))</f>
        <v>-</v>
      </c>
      <c r="F83" s="440" t="str">
        <f t="shared" ca="1" si="6"/>
        <v>-</v>
      </c>
      <c r="G83" s="440" t="str">
        <f t="shared" ca="1" si="7"/>
        <v>-</v>
      </c>
      <c r="H83" s="440" t="str">
        <f ca="1">IF($A83="*","",IF($B83="PRC_NOFF",OFFSET(SUP!$B$57,$L83,SUMIF($B$9:$B$12,$B83,$M$9:$M$12))-1,OFFSET(H$8,K83,0)))</f>
        <v>-</v>
      </c>
      <c r="I83" s="440">
        <f ca="1">IF(LEFT(VLOOKUP("*#"&amp;K83,$A$9:$I$13,I$6,0),1)="#",OFFSET(SUP!$B$57,$L83,SUMIF($A$9:$A$13,"*#"&amp;$K83,$M$9:$M$13)),1)</f>
        <v>1</v>
      </c>
      <c r="J83" s="440"/>
      <c r="K83" s="42">
        <f>IF(L82=SUP!$B$104,K82+1,K82)</f>
        <v>2</v>
      </c>
      <c r="L83" s="42">
        <f t="shared" si="8"/>
        <v>22</v>
      </c>
    </row>
    <row r="84" spans="1:12">
      <c r="A84" s="42" t="str">
        <f ca="1">IF(OR(LEFT(OFFSET(SUP!$A$57,L84,0),2)="\I",I84=""),"*","")</f>
        <v/>
      </c>
      <c r="B84" s="440" t="str">
        <f t="shared" ca="1" si="5"/>
        <v>PRC_CAPACT</v>
      </c>
      <c r="C84" s="440" t="str">
        <f ca="1">OFFSET(SUP!$B$57,L84,0)</f>
        <v>IMPOAG</v>
      </c>
      <c r="D84" s="440" t="str">
        <f ca="1">IF($A84="*","",IF(LEFT($B84,3)="TOP",OFFSET(SUP!$D$57,$L84,0),"-"))</f>
        <v>-</v>
      </c>
      <c r="E84" s="440" t="str">
        <f ca="1">IF($A84="*","",IF($B84="PRC_ACTUNT",OFFSET(SUP!$B$57,$L84,SUMIF($B$9:$B$11,$B84,$M$9:$M$11)),"-"))</f>
        <v>-</v>
      </c>
      <c r="F84" s="440" t="str">
        <f t="shared" ca="1" si="6"/>
        <v>-</v>
      </c>
      <c r="G84" s="440" t="str">
        <f t="shared" ca="1" si="7"/>
        <v>-</v>
      </c>
      <c r="H84" s="440" t="str">
        <f ca="1">IF($A84="*","",IF($B84="PRC_NOFF",OFFSET(SUP!$B$57,$L84,SUMIF($B$9:$B$12,$B84,$M$9:$M$12))-1,OFFSET(H$8,K84,0)))</f>
        <v>-</v>
      </c>
      <c r="I84" s="440">
        <f ca="1">IF(LEFT(VLOOKUP("*#"&amp;K84,$A$9:$I$13,I$6,0),1)="#",OFFSET(SUP!$B$57,$L84,SUMIF($A$9:$A$13,"*#"&amp;$K84,$M$9:$M$13)),1)</f>
        <v>1</v>
      </c>
      <c r="J84" s="440"/>
      <c r="K84" s="42">
        <f>IF(L83=SUP!$B$104,K83+1,K83)</f>
        <v>2</v>
      </c>
      <c r="L84" s="42">
        <f t="shared" si="8"/>
        <v>23</v>
      </c>
    </row>
    <row r="85" spans="1:12">
      <c r="A85" s="42" t="str">
        <f ca="1">IF(OR(LEFT(OFFSET(SUP!$A$57,L85,0),2)="\I",I85=""),"*","")</f>
        <v/>
      </c>
      <c r="B85" s="440" t="str">
        <f t="shared" ca="1" si="5"/>
        <v>PRC_CAPACT</v>
      </c>
      <c r="C85" s="440" t="str">
        <f ca="1">OFFSET(SUP!$B$57,L85,0)</f>
        <v>IMPOCR</v>
      </c>
      <c r="D85" s="440" t="str">
        <f ca="1">IF($A85="*","",IF(LEFT($B85,3)="TOP",OFFSET(SUP!$D$57,$L85,0),"-"))</f>
        <v>-</v>
      </c>
      <c r="E85" s="440" t="str">
        <f ca="1">IF($A85="*","",IF($B85="PRC_ACTUNT",OFFSET(SUP!$B$57,$L85,SUMIF($B$9:$B$11,$B85,$M$9:$M$11)),"-"))</f>
        <v>-</v>
      </c>
      <c r="F85" s="440" t="str">
        <f t="shared" ca="1" si="6"/>
        <v>-</v>
      </c>
      <c r="G85" s="440" t="str">
        <f t="shared" ca="1" si="7"/>
        <v>-</v>
      </c>
      <c r="H85" s="440" t="str">
        <f ca="1">IF($A85="*","",IF($B85="PRC_NOFF",OFFSET(SUP!$B$57,$L85,SUMIF($B$9:$B$12,$B85,$M$9:$M$12))-1,OFFSET(H$8,K85,0)))</f>
        <v>-</v>
      </c>
      <c r="I85" s="440">
        <f ca="1">IF(LEFT(VLOOKUP("*#"&amp;K85,$A$9:$I$13,I$6,0),1)="#",OFFSET(SUP!$B$57,$L85,SUMIF($A$9:$A$13,"*#"&amp;$K85,$M$9:$M$13)),1)</f>
        <v>1</v>
      </c>
      <c r="J85" s="440"/>
      <c r="K85" s="42">
        <f>IF(L84=SUP!$B$104,K84+1,K84)</f>
        <v>2</v>
      </c>
      <c r="L85" s="42">
        <f t="shared" si="8"/>
        <v>24</v>
      </c>
    </row>
    <row r="86" spans="1:12">
      <c r="A86" s="42" t="str">
        <f ca="1">IF(OR(LEFT(OFFSET(SUP!$A$57,L86,0),2)="\I",I86=""),"*","")</f>
        <v/>
      </c>
      <c r="B86" s="440" t="str">
        <f t="shared" ca="1" si="5"/>
        <v>PRC_CAPACT</v>
      </c>
      <c r="C86" s="440" t="str">
        <f ca="1">OFFSET(SUP!$B$57,L86,0)</f>
        <v>IMPODS</v>
      </c>
      <c r="D86" s="440" t="str">
        <f ca="1">IF($A86="*","",IF(LEFT($B86,3)="TOP",OFFSET(SUP!$D$57,$L86,0),"-"))</f>
        <v>-</v>
      </c>
      <c r="E86" s="440" t="str">
        <f ca="1">IF($A86="*","",IF($B86="PRC_ACTUNT",OFFSET(SUP!$B$57,$L86,SUMIF($B$9:$B$11,$B86,$M$9:$M$11)),"-"))</f>
        <v>-</v>
      </c>
      <c r="F86" s="440" t="str">
        <f t="shared" ca="1" si="6"/>
        <v>-</v>
      </c>
      <c r="G86" s="440" t="str">
        <f t="shared" ca="1" si="7"/>
        <v>-</v>
      </c>
      <c r="H86" s="440" t="str">
        <f ca="1">IF($A86="*","",IF($B86="PRC_NOFF",OFFSET(SUP!$B$57,$L86,SUMIF($B$9:$B$12,$B86,$M$9:$M$12))-1,OFFSET(H$8,K86,0)))</f>
        <v>-</v>
      </c>
      <c r="I86" s="440">
        <f ca="1">IF(LEFT(VLOOKUP("*#"&amp;K86,$A$9:$I$13,I$6,0),1)="#",OFFSET(SUP!$B$57,$L86,SUMIF($A$9:$A$13,"*#"&amp;$K86,$M$9:$M$13)),1)</f>
        <v>1</v>
      </c>
      <c r="J86" s="440"/>
      <c r="K86" s="42">
        <f>IF(L85=SUP!$B$104,K85+1,K85)</f>
        <v>2</v>
      </c>
      <c r="L86" s="42">
        <f t="shared" si="8"/>
        <v>25</v>
      </c>
    </row>
    <row r="87" spans="1:12">
      <c r="A87" s="42" t="str">
        <f ca="1">IF(OR(LEFT(OFFSET(SUP!$A$57,L87,0),2)="\I",I87=""),"*","")</f>
        <v/>
      </c>
      <c r="B87" s="440" t="str">
        <f t="shared" ca="1" si="5"/>
        <v>PRC_CAPACT</v>
      </c>
      <c r="C87" s="440" t="str">
        <f ca="1">OFFSET(SUP!$B$57,L87,0)</f>
        <v>IMPOGS</v>
      </c>
      <c r="D87" s="440" t="str">
        <f ca="1">IF($A87="*","",IF(LEFT($B87,3)="TOP",OFFSET(SUP!$D$57,$L87,0),"-"))</f>
        <v>-</v>
      </c>
      <c r="E87" s="440" t="str">
        <f ca="1">IF($A87="*","",IF($B87="PRC_ACTUNT",OFFSET(SUP!$B$57,$L87,SUMIF($B$9:$B$11,$B87,$M$9:$M$11)),"-"))</f>
        <v>-</v>
      </c>
      <c r="F87" s="440" t="str">
        <f t="shared" ca="1" si="6"/>
        <v>-</v>
      </c>
      <c r="G87" s="440" t="str">
        <f t="shared" ca="1" si="7"/>
        <v>-</v>
      </c>
      <c r="H87" s="440" t="str">
        <f ca="1">IF($A87="*","",IF($B87="PRC_NOFF",OFFSET(SUP!$B$57,$L87,SUMIF($B$9:$B$12,$B87,$M$9:$M$12))-1,OFFSET(H$8,K87,0)))</f>
        <v>-</v>
      </c>
      <c r="I87" s="440">
        <f ca="1">IF(LEFT(VLOOKUP("*#"&amp;K87,$A$9:$I$13,I$6,0),1)="#",OFFSET(SUP!$B$57,$L87,SUMIF($A$9:$A$13,"*#"&amp;$K87,$M$9:$M$13)),1)</f>
        <v>1</v>
      </c>
      <c r="J87" s="440"/>
      <c r="K87" s="42">
        <f>IF(L86=SUP!$B$104,K86+1,K86)</f>
        <v>2</v>
      </c>
      <c r="L87" s="42">
        <f t="shared" si="8"/>
        <v>26</v>
      </c>
    </row>
    <row r="88" spans="1:12">
      <c r="A88" s="42" t="str">
        <f ca="1">IF(OR(LEFT(OFFSET(SUP!$A$57,L88,0),2)="\I",I88=""),"*","")</f>
        <v/>
      </c>
      <c r="B88" s="440" t="str">
        <f t="shared" ref="B88:B151" ca="1" si="9">IF(AND(VLOOKUP("*"&amp;K88,$A$9:$B$15,2,FALSE)="TOP-OUT",LEFT(C88,3)="PEX"),"TOP-IN",VLOOKUP("*"&amp;K88,$A$9:$B$15,2,FALSE))</f>
        <v>PRC_CAPACT</v>
      </c>
      <c r="C88" s="440" t="str">
        <f ca="1">OFFSET(SUP!$B$57,L88,0)</f>
        <v>IMPOHF</v>
      </c>
      <c r="D88" s="440" t="str">
        <f ca="1">IF($A88="*","",IF(LEFT($B88,3)="TOP",OFFSET(SUP!$D$57,$L88,0),"-"))</f>
        <v>-</v>
      </c>
      <c r="E88" s="440" t="str">
        <f ca="1">IF($A88="*","",IF($B88="PRC_ACTUNT",OFFSET(SUP!$B$57,$L88,SUMIF($B$9:$B$11,$B88,$M$9:$M$11)),"-"))</f>
        <v>-</v>
      </c>
      <c r="F88" s="440" t="str">
        <f t="shared" ref="F88:F151" ca="1" si="10">OFFSET(F$8,K88,0)</f>
        <v>-</v>
      </c>
      <c r="G88" s="440" t="str">
        <f t="shared" ref="G88:G151" ca="1" si="11">IF($A88="*","",IF($B88="PRC_NOFF","BOH",OFFSET(G$8,K88,0)))</f>
        <v>-</v>
      </c>
      <c r="H88" s="440" t="str">
        <f ca="1">IF($A88="*","",IF($B88="PRC_NOFF",OFFSET(SUP!$B$57,$L88,SUMIF($B$9:$B$12,$B88,$M$9:$M$12))-1,OFFSET(H$8,K88,0)))</f>
        <v>-</v>
      </c>
      <c r="I88" s="440">
        <f ca="1">IF(LEFT(VLOOKUP("*#"&amp;K88,$A$9:$I$13,I$6,0),1)="#",OFFSET(SUP!$B$57,$L88,SUMIF($A$9:$A$13,"*#"&amp;$K88,$M$9:$M$13)),1)</f>
        <v>1</v>
      </c>
      <c r="J88" s="440"/>
      <c r="K88" s="42">
        <f>IF(L87=SUP!$B$104,K87+1,K87)</f>
        <v>2</v>
      </c>
      <c r="L88" s="42">
        <f t="shared" ref="L88:L151" si="12">IF(K88=K87,L87+1,1)</f>
        <v>27</v>
      </c>
    </row>
    <row r="89" spans="1:12">
      <c r="A89" s="42" t="str">
        <f ca="1">IF(OR(LEFT(OFFSET(SUP!$A$57,L89,0),2)="\I",I89=""),"*","")</f>
        <v/>
      </c>
      <c r="B89" s="440" t="str">
        <f t="shared" ca="1" si="9"/>
        <v>PRC_CAPACT</v>
      </c>
      <c r="C89" s="440" t="str">
        <f ca="1">OFFSET(SUP!$B$57,L89,0)</f>
        <v>IMPOLP</v>
      </c>
      <c r="D89" s="440" t="str">
        <f ca="1">IF($A89="*","",IF(LEFT($B89,3)="TOP",OFFSET(SUP!$D$57,$L89,0),"-"))</f>
        <v>-</v>
      </c>
      <c r="E89" s="440" t="str">
        <f ca="1">IF($A89="*","",IF($B89="PRC_ACTUNT",OFFSET(SUP!$B$57,$L89,SUMIF($B$9:$B$11,$B89,$M$9:$M$11)),"-"))</f>
        <v>-</v>
      </c>
      <c r="F89" s="440" t="str">
        <f t="shared" ca="1" si="10"/>
        <v>-</v>
      </c>
      <c r="G89" s="440" t="str">
        <f t="shared" ca="1" si="11"/>
        <v>-</v>
      </c>
      <c r="H89" s="440" t="str">
        <f ca="1">IF($A89="*","",IF($B89="PRC_NOFF",OFFSET(SUP!$B$57,$L89,SUMIF($B$9:$B$12,$B89,$M$9:$M$12))-1,OFFSET(H$8,K89,0)))</f>
        <v>-</v>
      </c>
      <c r="I89" s="440">
        <f ca="1">IF(LEFT(VLOOKUP("*#"&amp;K89,$A$9:$I$13,I$6,0),1)="#",OFFSET(SUP!$B$57,$L89,SUMIF($A$9:$A$13,"*#"&amp;$K89,$M$9:$M$13)),1)</f>
        <v>1</v>
      </c>
      <c r="J89" s="440"/>
      <c r="K89" s="42">
        <f>IF(L88=SUP!$B$104,K88+1,K88)</f>
        <v>2</v>
      </c>
      <c r="L89" s="42">
        <f t="shared" si="12"/>
        <v>28</v>
      </c>
    </row>
    <row r="90" spans="1:12">
      <c r="A90" s="42" t="str">
        <f ca="1">IF(OR(LEFT(OFFSET(SUP!$A$57,L90,0),2)="\I",I90=""),"*","")</f>
        <v/>
      </c>
      <c r="B90" s="440" t="str">
        <f t="shared" ca="1" si="9"/>
        <v>PRC_CAPACT</v>
      </c>
      <c r="C90" s="440" t="str">
        <f ca="1">OFFSET(SUP!$B$57,L90,0)</f>
        <v>IMPOKE</v>
      </c>
      <c r="D90" s="440" t="str">
        <f ca="1">IF($A90="*","",IF(LEFT($B90,3)="TOP",OFFSET(SUP!$D$57,$L90,0),"-"))</f>
        <v>-</v>
      </c>
      <c r="E90" s="440" t="str">
        <f ca="1">IF($A90="*","",IF($B90="PRC_ACTUNT",OFFSET(SUP!$B$57,$L90,SUMIF($B$9:$B$11,$B90,$M$9:$M$11)),"-"))</f>
        <v>-</v>
      </c>
      <c r="F90" s="440" t="str">
        <f t="shared" ca="1" si="10"/>
        <v>-</v>
      </c>
      <c r="G90" s="440" t="str">
        <f t="shared" ca="1" si="11"/>
        <v>-</v>
      </c>
      <c r="H90" s="440" t="str">
        <f ca="1">IF($A90="*","",IF($B90="PRC_NOFF",OFFSET(SUP!$B$57,$L90,SUMIF($B$9:$B$12,$B90,$M$9:$M$12))-1,OFFSET(H$8,K90,0)))</f>
        <v>-</v>
      </c>
      <c r="I90" s="440">
        <f ca="1">IF(LEFT(VLOOKUP("*#"&amp;K90,$A$9:$I$13,I$6,0),1)="#",OFFSET(SUP!$B$57,$L90,SUMIF($A$9:$A$13,"*#"&amp;$K90,$M$9:$M$13)),1)</f>
        <v>1</v>
      </c>
      <c r="J90" s="440"/>
      <c r="K90" s="42">
        <f>IF(L89=SUP!$B$104,K89+1,K89)</f>
        <v>2</v>
      </c>
      <c r="L90" s="42">
        <f t="shared" si="12"/>
        <v>29</v>
      </c>
    </row>
    <row r="91" spans="1:12">
      <c r="A91" s="42" t="str">
        <f ca="1">IF(OR(LEFT(OFFSET(SUP!$A$57,L91,0),2)="\I",I91=""),"*","")</f>
        <v/>
      </c>
      <c r="B91" s="440" t="str">
        <f t="shared" ca="1" si="9"/>
        <v>PRC_CAPACT</v>
      </c>
      <c r="C91" s="440" t="str">
        <f ca="1">OFFSET(SUP!$B$57,L91,0)</f>
        <v>IMPBID</v>
      </c>
      <c r="D91" s="440" t="str">
        <f ca="1">IF($A91="*","",IF(LEFT($B91,3)="TOP",OFFSET(SUP!$D$57,$L91,0),"-"))</f>
        <v>-</v>
      </c>
      <c r="E91" s="440" t="str">
        <f ca="1">IF($A91="*","",IF($B91="PRC_ACTUNT",OFFSET(SUP!$B$57,$L91,SUMIF($B$9:$B$11,$B91,$M$9:$M$11)),"-"))</f>
        <v>-</v>
      </c>
      <c r="F91" s="440" t="str">
        <f t="shared" ca="1" si="10"/>
        <v>-</v>
      </c>
      <c r="G91" s="440" t="str">
        <f t="shared" ca="1" si="11"/>
        <v>-</v>
      </c>
      <c r="H91" s="440" t="str">
        <f ca="1">IF($A91="*","",IF($B91="PRC_NOFF",OFFSET(SUP!$B$57,$L91,SUMIF($B$9:$B$12,$B91,$M$9:$M$12))-1,OFFSET(H$8,K91,0)))</f>
        <v>-</v>
      </c>
      <c r="I91" s="440">
        <f ca="1">IF(LEFT(VLOOKUP("*#"&amp;K91,$A$9:$I$13,I$6,0),1)="#",OFFSET(SUP!$B$57,$L91,SUMIF($A$9:$A$13,"*#"&amp;$K91,$M$9:$M$13)),1)</f>
        <v>1</v>
      </c>
      <c r="J91" s="440"/>
      <c r="K91" s="42">
        <f>IF(L90=SUP!$B$104,K90+1,K90)</f>
        <v>2</v>
      </c>
      <c r="L91" s="42">
        <f t="shared" si="12"/>
        <v>30</v>
      </c>
    </row>
    <row r="92" spans="1:12">
      <c r="A92" s="42" t="str">
        <f ca="1">IF(OR(LEFT(OFFSET(SUP!$A$57,L92,0),2)="\I",I92=""),"*","")</f>
        <v/>
      </c>
      <c r="B92" s="440" t="str">
        <f t="shared" ca="1" si="9"/>
        <v>PRC_CAPACT</v>
      </c>
      <c r="C92" s="440" t="str">
        <f ca="1">OFFSET(SUP!$B$57,L92,0)</f>
        <v>IMPBIE</v>
      </c>
      <c r="D92" s="440" t="str">
        <f ca="1">IF($A92="*","",IF(LEFT($B92,3)="TOP",OFFSET(SUP!$D$57,$L92,0),"-"))</f>
        <v>-</v>
      </c>
      <c r="E92" s="440" t="str">
        <f ca="1">IF($A92="*","",IF($B92="PRC_ACTUNT",OFFSET(SUP!$B$57,$L92,SUMIF($B$9:$B$11,$B92,$M$9:$M$11)),"-"))</f>
        <v>-</v>
      </c>
      <c r="F92" s="440" t="str">
        <f t="shared" ca="1" si="10"/>
        <v>-</v>
      </c>
      <c r="G92" s="440" t="str">
        <f t="shared" ca="1" si="11"/>
        <v>-</v>
      </c>
      <c r="H92" s="440" t="str">
        <f ca="1">IF($A92="*","",IF($B92="PRC_NOFF",OFFSET(SUP!$B$57,$L92,SUMIF($B$9:$B$12,$B92,$M$9:$M$12))-1,OFFSET(H$8,K92,0)))</f>
        <v>-</v>
      </c>
      <c r="I92" s="440">
        <f ca="1">IF(LEFT(VLOOKUP("*#"&amp;K92,$A$9:$I$13,I$6,0),1)="#",OFFSET(SUP!$B$57,$L92,SUMIF($A$9:$A$13,"*#"&amp;$K92,$M$9:$M$13)),1)</f>
        <v>1</v>
      </c>
      <c r="J92" s="440"/>
      <c r="K92" s="42">
        <f>IF(L91=SUP!$B$104,K91+1,K91)</f>
        <v>2</v>
      </c>
      <c r="L92" s="42">
        <f t="shared" si="12"/>
        <v>31</v>
      </c>
    </row>
    <row r="93" spans="1:12">
      <c r="A93" s="42" t="str">
        <f ca="1">IF(OR(LEFT(OFFSET(SUP!$A$57,L93,0),2)="\I",I93=""),"*","")</f>
        <v>*</v>
      </c>
      <c r="B93" s="440" t="str">
        <f t="shared" ca="1" si="9"/>
        <v>PRC_CAPACT</v>
      </c>
      <c r="C93" s="440">
        <f ca="1">OFFSET(SUP!$B$57,L93,0)</f>
        <v>0</v>
      </c>
      <c r="D93" s="440" t="str">
        <f ca="1">IF($A93="*","",IF(LEFT($B93,3)="TOP",OFFSET(SUP!$D$57,$L93,0),"-"))</f>
        <v/>
      </c>
      <c r="E93" s="440" t="str">
        <f ca="1">IF($A93="*","",IF($B93="PRC_ACTUNT",OFFSET(SUP!$B$57,$L93,SUMIF($B$9:$B$11,$B93,$M$9:$M$11)),"-"))</f>
        <v/>
      </c>
      <c r="F93" s="440" t="str">
        <f t="shared" ca="1" si="10"/>
        <v>-</v>
      </c>
      <c r="G93" s="440" t="str">
        <f t="shared" ca="1" si="11"/>
        <v/>
      </c>
      <c r="H93" s="440" t="str">
        <f ca="1">IF($A93="*","",IF($B93="PRC_NOFF",OFFSET(SUP!$B$57,$L93,SUMIF($B$9:$B$12,$B93,$M$9:$M$12))-1,OFFSET(H$8,K93,0)))</f>
        <v/>
      </c>
      <c r="I93" s="440">
        <f ca="1">IF(LEFT(VLOOKUP("*#"&amp;K93,$A$9:$I$13,I$6,0),1)="#",OFFSET(SUP!$B$57,$L93,SUMIF($A$9:$A$13,"*#"&amp;$K93,$M$9:$M$13)),1)</f>
        <v>1</v>
      </c>
      <c r="J93" s="440"/>
      <c r="K93" s="42">
        <f>IF(L92=SUP!$B$104,K92+1,K92)</f>
        <v>2</v>
      </c>
      <c r="L93" s="42">
        <f t="shared" si="12"/>
        <v>32</v>
      </c>
    </row>
    <row r="94" spans="1:12">
      <c r="A94" s="42" t="str">
        <f ca="1">IF(OR(LEFT(OFFSET(SUP!$A$57,L94,0),2)="\I",I94=""),"*","")</f>
        <v/>
      </c>
      <c r="B94" s="440" t="str">
        <f t="shared" ca="1" si="9"/>
        <v>PRC_CAPACT</v>
      </c>
      <c r="C94" s="440" t="str">
        <f ca="1">OFFSET(SUP!$B$57,L94,0)</f>
        <v>MIRCRB</v>
      </c>
      <c r="D94" s="440" t="str">
        <f ca="1">IF($A94="*","",IF(LEFT($B94,3)="TOP",OFFSET(SUP!$D$57,$L94,0),"-"))</f>
        <v>-</v>
      </c>
      <c r="E94" s="440" t="str">
        <f ca="1">IF($A94="*","",IF($B94="PRC_ACTUNT",OFFSET(SUP!$B$57,$L94,SUMIF($B$9:$B$11,$B94,$M$9:$M$11)),"-"))</f>
        <v>-</v>
      </c>
      <c r="F94" s="440" t="str">
        <f t="shared" ca="1" si="10"/>
        <v>-</v>
      </c>
      <c r="G94" s="440" t="str">
        <f t="shared" ca="1" si="11"/>
        <v>-</v>
      </c>
      <c r="H94" s="440" t="str">
        <f ca="1">IF($A94="*","",IF($B94="PRC_NOFF",OFFSET(SUP!$B$57,$L94,SUMIF($B$9:$B$12,$B94,$M$9:$M$12))-1,OFFSET(H$8,K94,0)))</f>
        <v>-</v>
      </c>
      <c r="I94" s="440">
        <f ca="1">IF(LEFT(VLOOKUP("*#"&amp;K94,$A$9:$I$13,I$6,0),1)="#",OFFSET(SUP!$B$57,$L94,SUMIF($A$9:$A$13,"*#"&amp;$K94,$M$9:$M$13)),1)</f>
        <v>1</v>
      </c>
      <c r="J94" s="440"/>
      <c r="K94" s="42">
        <f>IF(L93=SUP!$B$104,K93+1,K93)</f>
        <v>2</v>
      </c>
      <c r="L94" s="42">
        <f t="shared" si="12"/>
        <v>33</v>
      </c>
    </row>
    <row r="95" spans="1:12">
      <c r="A95" s="42" t="str">
        <f ca="1">IF(OR(LEFT(OFFSET(SUP!$A$57,L95,0),2)="\I",I95=""),"*","")</f>
        <v/>
      </c>
      <c r="B95" s="440" t="str">
        <f t="shared" ca="1" si="9"/>
        <v>PRC_CAPACT</v>
      </c>
      <c r="C95" s="440" t="str">
        <f ca="1">OFFSET(SUP!$B$57,L95,0)</f>
        <v>MIRGRN</v>
      </c>
      <c r="D95" s="440" t="str">
        <f ca="1">IF($A95="*","",IF(LEFT($B95,3)="TOP",OFFSET(SUP!$D$57,$L95,0),"-"))</f>
        <v>-</v>
      </c>
      <c r="E95" s="440" t="str">
        <f ca="1">IF($A95="*","",IF($B95="PRC_ACTUNT",OFFSET(SUP!$B$57,$L95,SUMIF($B$9:$B$11,$B95,$M$9:$M$11)),"-"))</f>
        <v>-</v>
      </c>
      <c r="F95" s="440" t="str">
        <f t="shared" ca="1" si="10"/>
        <v>-</v>
      </c>
      <c r="G95" s="440" t="str">
        <f t="shared" ca="1" si="11"/>
        <v>-</v>
      </c>
      <c r="H95" s="440" t="str">
        <f ca="1">IF($A95="*","",IF($B95="PRC_NOFF",OFFSET(SUP!$B$57,$L95,SUMIF($B$9:$B$12,$B95,$M$9:$M$12))-1,OFFSET(H$8,K95,0)))</f>
        <v>-</v>
      </c>
      <c r="I95" s="440">
        <f ca="1">IF(LEFT(VLOOKUP("*#"&amp;K95,$A$9:$I$13,I$6,0),1)="#",OFFSET(SUP!$B$57,$L95,SUMIF($A$9:$A$13,"*#"&amp;$K95,$M$9:$M$13)),1)</f>
        <v>1</v>
      </c>
      <c r="J95" s="440"/>
      <c r="K95" s="42">
        <f>IF(L94=SUP!$B$104,K94+1,K94)</f>
        <v>2</v>
      </c>
      <c r="L95" s="42">
        <f t="shared" si="12"/>
        <v>34</v>
      </c>
    </row>
    <row r="96" spans="1:12">
      <c r="A96" s="42" t="str">
        <f ca="1">IF(OR(LEFT(OFFSET(SUP!$A$57,L96,0),2)="\I",I96=""),"*","")</f>
        <v/>
      </c>
      <c r="B96" s="440" t="str">
        <f t="shared" ca="1" si="9"/>
        <v>PRC_CAPACT</v>
      </c>
      <c r="C96" s="440" t="str">
        <f ca="1">OFFSET(SUP!$B$57,L96,0)</f>
        <v>MIRGRS</v>
      </c>
      <c r="D96" s="440" t="str">
        <f ca="1">IF($A96="*","",IF(LEFT($B96,3)="TOP",OFFSET(SUP!$D$57,$L96,0),"-"))</f>
        <v>-</v>
      </c>
      <c r="E96" s="440" t="str">
        <f ca="1">IF($A96="*","",IF($B96="PRC_ACTUNT",OFFSET(SUP!$B$57,$L96,SUMIF($B$9:$B$11,$B96,$M$9:$M$11)),"-"))</f>
        <v>-</v>
      </c>
      <c r="F96" s="440" t="str">
        <f t="shared" ca="1" si="10"/>
        <v>-</v>
      </c>
      <c r="G96" s="440" t="str">
        <f t="shared" ca="1" si="11"/>
        <v>-</v>
      </c>
      <c r="H96" s="440" t="str">
        <f ca="1">IF($A96="*","",IF($B96="PRC_NOFF",OFFSET(SUP!$B$57,$L96,SUMIF($B$9:$B$12,$B96,$M$9:$M$12))-1,OFFSET(H$8,K96,0)))</f>
        <v>-</v>
      </c>
      <c r="I96" s="440">
        <f ca="1">IF(LEFT(VLOOKUP("*#"&amp;K96,$A$9:$I$13,I$6,0),1)="#",OFFSET(SUP!$B$57,$L96,SUMIF($A$9:$A$13,"*#"&amp;$K96,$M$9:$M$13)),1)</f>
        <v>1</v>
      </c>
      <c r="J96" s="440"/>
      <c r="K96" s="42">
        <f>IF(L95=SUP!$B$104,K95+1,K95)</f>
        <v>2</v>
      </c>
      <c r="L96" s="42">
        <f t="shared" si="12"/>
        <v>35</v>
      </c>
    </row>
    <row r="97" spans="1:12">
      <c r="A97" s="42" t="str">
        <f ca="1">IF(OR(LEFT(OFFSET(SUP!$A$57,L97,0),2)="\I",I97=""),"*","")</f>
        <v/>
      </c>
      <c r="B97" s="440" t="str">
        <f t="shared" ca="1" si="9"/>
        <v>PRC_CAPACT</v>
      </c>
      <c r="C97" s="440" t="str">
        <f ca="1">OFFSET(SUP!$B$57,L97,0)</f>
        <v>MIRGRM</v>
      </c>
      <c r="D97" s="440" t="str">
        <f ca="1">IF($A97="*","",IF(LEFT($B97,3)="TOP",OFFSET(SUP!$D$57,$L97,0),"-"))</f>
        <v>-</v>
      </c>
      <c r="E97" s="440" t="str">
        <f ca="1">IF($A97="*","",IF($B97="PRC_ACTUNT",OFFSET(SUP!$B$57,$L97,SUMIF($B$9:$B$11,$B97,$M$9:$M$11)),"-"))</f>
        <v>-</v>
      </c>
      <c r="F97" s="440" t="str">
        <f t="shared" ca="1" si="10"/>
        <v>-</v>
      </c>
      <c r="G97" s="440" t="str">
        <f t="shared" ca="1" si="11"/>
        <v>-</v>
      </c>
      <c r="H97" s="440" t="str">
        <f ca="1">IF($A97="*","",IF($B97="PRC_NOFF",OFFSET(SUP!$B$57,$L97,SUMIF($B$9:$B$12,$B97,$M$9:$M$12))-1,OFFSET(H$8,K97,0)))</f>
        <v>-</v>
      </c>
      <c r="I97" s="440">
        <f ca="1">IF(LEFT(VLOOKUP("*#"&amp;K97,$A$9:$I$13,I$6,0),1)="#",OFFSET(SUP!$B$57,$L97,SUMIF($A$9:$A$13,"*#"&amp;$K97,$M$9:$M$13)),1)</f>
        <v>1</v>
      </c>
      <c r="J97" s="440"/>
      <c r="K97" s="42">
        <f>IF(L96=SUP!$B$104,K96+1,K96)</f>
        <v>2</v>
      </c>
      <c r="L97" s="42">
        <f t="shared" si="12"/>
        <v>36</v>
      </c>
    </row>
    <row r="98" spans="1:12">
      <c r="A98" s="42" t="str">
        <f ca="1">IF(OR(LEFT(OFFSET(SUP!$A$57,L98,0),2)="\I",I98=""),"*","")</f>
        <v>*</v>
      </c>
      <c r="B98" s="440" t="str">
        <f t="shared" ca="1" si="9"/>
        <v>PRC_CAPACT</v>
      </c>
      <c r="C98" s="440">
        <f ca="1">OFFSET(SUP!$B$57,L98,0)</f>
        <v>-0.95</v>
      </c>
      <c r="D98" s="440" t="str">
        <f ca="1">IF($A98="*","",IF(LEFT($B98,3)="TOP",OFFSET(SUP!$D$57,$L98,0),"-"))</f>
        <v/>
      </c>
      <c r="E98" s="440" t="str">
        <f ca="1">IF($A98="*","",IF($B98="PRC_ACTUNT",OFFSET(SUP!$B$57,$L98,SUMIF($B$9:$B$11,$B98,$M$9:$M$11)),"-"))</f>
        <v/>
      </c>
      <c r="F98" s="440" t="str">
        <f t="shared" ca="1" si="10"/>
        <v>-</v>
      </c>
      <c r="G98" s="440" t="str">
        <f t="shared" ca="1" si="11"/>
        <v/>
      </c>
      <c r="H98" s="440" t="str">
        <f ca="1">IF($A98="*","",IF($B98="PRC_NOFF",OFFSET(SUP!$B$57,$L98,SUMIF($B$9:$B$12,$B98,$M$9:$M$12))-1,OFFSET(H$8,K98,0)))</f>
        <v/>
      </c>
      <c r="I98" s="440">
        <f ca="1">IF(LEFT(VLOOKUP("*#"&amp;K98,$A$9:$I$13,I$6,0),1)="#",OFFSET(SUP!$B$57,$L98,SUMIF($A$9:$A$13,"*#"&amp;$K98,$M$9:$M$13)),1)</f>
        <v>1</v>
      </c>
      <c r="J98" s="440"/>
      <c r="K98" s="42">
        <f>IF(L97=SUP!$B$104,K97+1,K97)</f>
        <v>2</v>
      </c>
      <c r="L98" s="42">
        <f t="shared" si="12"/>
        <v>37</v>
      </c>
    </row>
    <row r="99" spans="1:12">
      <c r="A99" s="42" t="str">
        <f ca="1">IF(OR(LEFT(OFFSET(SUP!$A$57,L99,0),2)="\I",I99=""),"*","")</f>
        <v/>
      </c>
      <c r="B99" s="440" t="str">
        <f t="shared" ca="1" si="9"/>
        <v>PRC_CAPACT</v>
      </c>
      <c r="C99" s="440" t="str">
        <f ca="1">OFFSET(SUP!$B$57,L99,0)</f>
        <v>PEXELC</v>
      </c>
      <c r="D99" s="440" t="str">
        <f ca="1">IF($A99="*","",IF(LEFT($B99,3)="TOP",OFFSET(SUP!$D$57,$L99,0),"-"))</f>
        <v>-</v>
      </c>
      <c r="E99" s="440" t="str">
        <f ca="1">IF($A99="*","",IF($B99="PRC_ACTUNT",OFFSET(SUP!$B$57,$L99,SUMIF($B$9:$B$11,$B99,$M$9:$M$11)),"-"))</f>
        <v>-</v>
      </c>
      <c r="F99" s="440" t="str">
        <f t="shared" ca="1" si="10"/>
        <v>-</v>
      </c>
      <c r="G99" s="440" t="str">
        <f t="shared" ca="1" si="11"/>
        <v>-</v>
      </c>
      <c r="H99" s="440" t="str">
        <f ca="1">IF($A99="*","",IF($B99="PRC_NOFF",OFFSET(SUP!$B$57,$L99,SUMIF($B$9:$B$12,$B99,$M$9:$M$12))-1,OFFSET(H$8,K99,0)))</f>
        <v>-</v>
      </c>
      <c r="I99" s="440">
        <f ca="1">IF(LEFT(VLOOKUP("*#"&amp;K99,$A$9:$I$13,I$6,0),1)="#",OFFSET(SUP!$B$57,$L99,SUMIF($A$9:$A$13,"*#"&amp;$K99,$M$9:$M$13)),1)</f>
        <v>1</v>
      </c>
      <c r="J99" s="440"/>
      <c r="K99" s="42">
        <f>IF(L98=SUP!$B$104,K98+1,K98)</f>
        <v>2</v>
      </c>
      <c r="L99" s="42">
        <f t="shared" si="12"/>
        <v>38</v>
      </c>
    </row>
    <row r="100" spans="1:12">
      <c r="A100" s="42" t="str">
        <f ca="1">IF(OR(LEFT(OFFSET(SUP!$A$57,L100,0),2)="\I",I100=""),"*","")</f>
        <v/>
      </c>
      <c r="B100" s="440" t="str">
        <f t="shared" ca="1" si="9"/>
        <v>PRC_CAPACT</v>
      </c>
      <c r="C100" s="440" t="str">
        <f ca="1">OFFSET(SUP!$B$57,L100,0)</f>
        <v>PEXCOA</v>
      </c>
      <c r="D100" s="440" t="str">
        <f ca="1">IF($A100="*","",IF(LEFT($B100,3)="TOP",OFFSET(SUP!$D$57,$L100,0),"-"))</f>
        <v>-</v>
      </c>
      <c r="E100" s="440" t="str">
        <f ca="1">IF($A100="*","",IF($B100="PRC_ACTUNT",OFFSET(SUP!$B$57,$L100,SUMIF($B$9:$B$11,$B100,$M$9:$M$11)),"-"))</f>
        <v>-</v>
      </c>
      <c r="F100" s="440" t="str">
        <f t="shared" ca="1" si="10"/>
        <v>-</v>
      </c>
      <c r="G100" s="440" t="str">
        <f t="shared" ca="1" si="11"/>
        <v>-</v>
      </c>
      <c r="H100" s="440" t="str">
        <f ca="1">IF($A100="*","",IF($B100="PRC_NOFF",OFFSET(SUP!$B$57,$L100,SUMIF($B$9:$B$12,$B100,$M$9:$M$12))-1,OFFSET(H$8,K100,0)))</f>
        <v>-</v>
      </c>
      <c r="I100" s="440">
        <f ca="1">IF(LEFT(VLOOKUP("*#"&amp;K100,$A$9:$I$13,I$6,0),1)="#",OFFSET(SUP!$B$57,$L100,SUMIF($A$9:$A$13,"*#"&amp;$K100,$M$9:$M$13)),1)</f>
        <v>1</v>
      </c>
      <c r="J100" s="440"/>
      <c r="K100" s="42">
        <f>IF(L99=SUP!$B$104,K99+1,K99)</f>
        <v>2</v>
      </c>
      <c r="L100" s="42">
        <f t="shared" si="12"/>
        <v>39</v>
      </c>
    </row>
    <row r="101" spans="1:12">
      <c r="A101" s="42" t="str">
        <f ca="1">IF(OR(LEFT(OFFSET(SUP!$A$57,L101,0),2)="\I",I101=""),"*","")</f>
        <v/>
      </c>
      <c r="B101" s="440" t="str">
        <f t="shared" ca="1" si="9"/>
        <v>PRC_CAPACT</v>
      </c>
      <c r="C101" s="440" t="str">
        <f ca="1">OFFSET(SUP!$B$57,L101,0)</f>
        <v>PEXCOK</v>
      </c>
      <c r="D101" s="440" t="str">
        <f ca="1">IF($A101="*","",IF(LEFT($B101,3)="TOP",OFFSET(SUP!$D$57,$L101,0),"-"))</f>
        <v>-</v>
      </c>
      <c r="E101" s="440" t="str">
        <f ca="1">IF($A101="*","",IF($B101="PRC_ACTUNT",OFFSET(SUP!$B$57,$L101,SUMIF($B$9:$B$11,$B101,$M$9:$M$11)),"-"))</f>
        <v>-</v>
      </c>
      <c r="F101" s="440" t="str">
        <f t="shared" ca="1" si="10"/>
        <v>-</v>
      </c>
      <c r="G101" s="440" t="str">
        <f t="shared" ca="1" si="11"/>
        <v>-</v>
      </c>
      <c r="H101" s="440" t="str">
        <f ca="1">IF($A101="*","",IF($B101="PRC_NOFF",OFFSET(SUP!$B$57,$L101,SUMIF($B$9:$B$12,$B101,$M$9:$M$12))-1,OFFSET(H$8,K101,0)))</f>
        <v>-</v>
      </c>
      <c r="I101" s="440">
        <f ca="1">IF(LEFT(VLOOKUP("*#"&amp;K101,$A$9:$I$13,I$6,0),1)="#",OFFSET(SUP!$B$57,$L101,SUMIF($A$9:$A$13,"*#"&amp;$K101,$M$9:$M$13)),1)</f>
        <v>1</v>
      </c>
      <c r="J101" s="440"/>
      <c r="K101" s="42">
        <f>IF(L100=SUP!$B$104,K100+1,K100)</f>
        <v>2</v>
      </c>
      <c r="L101" s="42">
        <f t="shared" si="12"/>
        <v>40</v>
      </c>
    </row>
    <row r="102" spans="1:12">
      <c r="A102" s="42" t="str">
        <f ca="1">IF(OR(LEFT(OFFSET(SUP!$A$57,L102,0),2)="\I",I102=""),"*","")</f>
        <v/>
      </c>
      <c r="B102" s="440" t="str">
        <f t="shared" ca="1" si="9"/>
        <v>PRC_CAPACT</v>
      </c>
      <c r="C102" s="440" t="str">
        <f ca="1">OFFSET(SUP!$B$57,L102,0)</f>
        <v>PEXOAG</v>
      </c>
      <c r="D102" s="440" t="str">
        <f ca="1">IF($A102="*","",IF(LEFT($B102,3)="TOP",OFFSET(SUP!$D$57,$L102,0),"-"))</f>
        <v>-</v>
      </c>
      <c r="E102" s="440" t="str">
        <f ca="1">IF($A102="*","",IF($B102="PRC_ACTUNT",OFFSET(SUP!$B$57,$L102,SUMIF($B$9:$B$11,$B102,$M$9:$M$11)),"-"))</f>
        <v>-</v>
      </c>
      <c r="F102" s="440" t="str">
        <f t="shared" ca="1" si="10"/>
        <v>-</v>
      </c>
      <c r="G102" s="440" t="str">
        <f t="shared" ca="1" si="11"/>
        <v>-</v>
      </c>
      <c r="H102" s="440" t="str">
        <f ca="1">IF($A102="*","",IF($B102="PRC_NOFF",OFFSET(SUP!$B$57,$L102,SUMIF($B$9:$B$12,$B102,$M$9:$M$12))-1,OFFSET(H$8,K102,0)))</f>
        <v>-</v>
      </c>
      <c r="I102" s="440">
        <f ca="1">IF(LEFT(VLOOKUP("*#"&amp;K102,$A$9:$I$13,I$6,0),1)="#",OFFSET(SUP!$B$57,$L102,SUMIF($A$9:$A$13,"*#"&amp;$K102,$M$9:$M$13)),1)</f>
        <v>1</v>
      </c>
      <c r="J102" s="440"/>
      <c r="K102" s="42">
        <f>IF(L101=SUP!$B$104,K101+1,K101)</f>
        <v>2</v>
      </c>
      <c r="L102" s="42">
        <f t="shared" si="12"/>
        <v>41</v>
      </c>
    </row>
    <row r="103" spans="1:12">
      <c r="A103" s="42" t="str">
        <f ca="1">IF(OR(LEFT(OFFSET(SUP!$A$57,L103,0),2)="\I",I103=""),"*","")</f>
        <v/>
      </c>
      <c r="B103" s="440" t="str">
        <f t="shared" ca="1" si="9"/>
        <v>PRC_CAPACT</v>
      </c>
      <c r="C103" s="440" t="str">
        <f ca="1">OFFSET(SUP!$B$57,L103,0)</f>
        <v>PEXOCR</v>
      </c>
      <c r="D103" s="440" t="str">
        <f ca="1">IF($A103="*","",IF(LEFT($B103,3)="TOP",OFFSET(SUP!$D$57,$L103,0),"-"))</f>
        <v>-</v>
      </c>
      <c r="E103" s="440" t="str">
        <f ca="1">IF($A103="*","",IF($B103="PRC_ACTUNT",OFFSET(SUP!$B$57,$L103,SUMIF($B$9:$B$11,$B103,$M$9:$M$11)),"-"))</f>
        <v>-</v>
      </c>
      <c r="F103" s="440" t="str">
        <f t="shared" ca="1" si="10"/>
        <v>-</v>
      </c>
      <c r="G103" s="440" t="str">
        <f t="shared" ca="1" si="11"/>
        <v>-</v>
      </c>
      <c r="H103" s="440" t="str">
        <f ca="1">IF($A103="*","",IF($B103="PRC_NOFF",OFFSET(SUP!$B$57,$L103,SUMIF($B$9:$B$12,$B103,$M$9:$M$12))-1,OFFSET(H$8,K103,0)))</f>
        <v>-</v>
      </c>
      <c r="I103" s="440">
        <f ca="1">IF(LEFT(VLOOKUP("*#"&amp;K103,$A$9:$I$13,I$6,0),1)="#",OFFSET(SUP!$B$57,$L103,SUMIF($A$9:$A$13,"*#"&amp;$K103,$M$9:$M$13)),1)</f>
        <v>1</v>
      </c>
      <c r="J103" s="440"/>
      <c r="K103" s="42">
        <f>IF(L102=SUP!$B$104,K102+1,K102)</f>
        <v>2</v>
      </c>
      <c r="L103" s="42">
        <f t="shared" si="12"/>
        <v>42</v>
      </c>
    </row>
    <row r="104" spans="1:12">
      <c r="A104" s="42" t="str">
        <f ca="1">IF(OR(LEFT(OFFSET(SUP!$A$57,L104,0),2)="\I",I104=""),"*","")</f>
        <v/>
      </c>
      <c r="B104" s="440" t="str">
        <f t="shared" ca="1" si="9"/>
        <v>PRC_CAPACT</v>
      </c>
      <c r="C104" s="440" t="str">
        <f ca="1">OFFSET(SUP!$B$57,L104,0)</f>
        <v>PEXODS</v>
      </c>
      <c r="D104" s="440" t="str">
        <f ca="1">IF($A104="*","",IF(LEFT($B104,3)="TOP",OFFSET(SUP!$D$57,$L104,0),"-"))</f>
        <v>-</v>
      </c>
      <c r="E104" s="440" t="str">
        <f ca="1">IF($A104="*","",IF($B104="PRC_ACTUNT",OFFSET(SUP!$B$57,$L104,SUMIF($B$9:$B$11,$B104,$M$9:$M$11)),"-"))</f>
        <v>-</v>
      </c>
      <c r="F104" s="440" t="str">
        <f t="shared" ca="1" si="10"/>
        <v>-</v>
      </c>
      <c r="G104" s="440" t="str">
        <f t="shared" ca="1" si="11"/>
        <v>-</v>
      </c>
      <c r="H104" s="440" t="str">
        <f ca="1">IF($A104="*","",IF($B104="PRC_NOFF",OFFSET(SUP!$B$57,$L104,SUMIF($B$9:$B$12,$B104,$M$9:$M$12))-1,OFFSET(H$8,K104,0)))</f>
        <v>-</v>
      </c>
      <c r="I104" s="440">
        <f ca="1">IF(LEFT(VLOOKUP("*#"&amp;K104,$A$9:$I$13,I$6,0),1)="#",OFFSET(SUP!$B$57,$L104,SUMIF($A$9:$A$13,"*#"&amp;$K104,$M$9:$M$13)),1)</f>
        <v>1</v>
      </c>
      <c r="J104" s="440"/>
      <c r="K104" s="42">
        <f>IF(L103=SUP!$B$104,K103+1,K103)</f>
        <v>2</v>
      </c>
      <c r="L104" s="42">
        <f t="shared" si="12"/>
        <v>43</v>
      </c>
    </row>
    <row r="105" spans="1:12">
      <c r="A105" s="42" t="str">
        <f ca="1">IF(OR(LEFT(OFFSET(SUP!$A$57,L105,0),2)="\I",I105=""),"*","")</f>
        <v/>
      </c>
      <c r="B105" s="440" t="str">
        <f t="shared" ca="1" si="9"/>
        <v>PRC_CAPACT</v>
      </c>
      <c r="C105" s="440" t="str">
        <f ca="1">OFFSET(SUP!$B$57,L105,0)</f>
        <v>PEXOGS</v>
      </c>
      <c r="D105" s="440" t="str">
        <f ca="1">IF($A105="*","",IF(LEFT($B105,3)="TOP",OFFSET(SUP!$D$57,$L105,0),"-"))</f>
        <v>-</v>
      </c>
      <c r="E105" s="440" t="str">
        <f ca="1">IF($A105="*","",IF($B105="PRC_ACTUNT",OFFSET(SUP!$B$57,$L105,SUMIF($B$9:$B$11,$B105,$M$9:$M$11)),"-"))</f>
        <v>-</v>
      </c>
      <c r="F105" s="440" t="str">
        <f t="shared" ca="1" si="10"/>
        <v>-</v>
      </c>
      <c r="G105" s="440" t="str">
        <f t="shared" ca="1" si="11"/>
        <v>-</v>
      </c>
      <c r="H105" s="440" t="str">
        <f ca="1">IF($A105="*","",IF($B105="PRC_NOFF",OFFSET(SUP!$B$57,$L105,SUMIF($B$9:$B$12,$B105,$M$9:$M$12))-1,OFFSET(H$8,K105,0)))</f>
        <v>-</v>
      </c>
      <c r="I105" s="440">
        <f ca="1">IF(LEFT(VLOOKUP("*#"&amp;K105,$A$9:$I$13,I$6,0),1)="#",OFFSET(SUP!$B$57,$L105,SUMIF($A$9:$A$13,"*#"&amp;$K105,$M$9:$M$13)),1)</f>
        <v>1</v>
      </c>
      <c r="J105" s="440"/>
      <c r="K105" s="42">
        <f>IF(L104=SUP!$B$104,K104+1,K104)</f>
        <v>2</v>
      </c>
      <c r="L105" s="42">
        <f t="shared" si="12"/>
        <v>44</v>
      </c>
    </row>
    <row r="106" spans="1:12">
      <c r="A106" s="42" t="str">
        <f ca="1">IF(OR(LEFT(OFFSET(SUP!$A$57,L106,0),2)="\I",I106=""),"*","")</f>
        <v/>
      </c>
      <c r="B106" s="440" t="str">
        <f t="shared" ca="1" si="9"/>
        <v>PRC_CAPACT</v>
      </c>
      <c r="C106" s="440" t="str">
        <f ca="1">OFFSET(SUP!$B$57,L106,0)</f>
        <v>PEXOHF</v>
      </c>
      <c r="D106" s="440" t="str">
        <f ca="1">IF($A106="*","",IF(LEFT($B106,3)="TOP",OFFSET(SUP!$D$57,$L106,0),"-"))</f>
        <v>-</v>
      </c>
      <c r="E106" s="440" t="str">
        <f ca="1">IF($A106="*","",IF($B106="PRC_ACTUNT",OFFSET(SUP!$B$57,$L106,SUMIF($B$9:$B$11,$B106,$M$9:$M$11)),"-"))</f>
        <v>-</v>
      </c>
      <c r="F106" s="440" t="str">
        <f t="shared" ca="1" si="10"/>
        <v>-</v>
      </c>
      <c r="G106" s="440" t="str">
        <f t="shared" ca="1" si="11"/>
        <v>-</v>
      </c>
      <c r="H106" s="440" t="str">
        <f ca="1">IF($A106="*","",IF($B106="PRC_NOFF",OFFSET(SUP!$B$57,$L106,SUMIF($B$9:$B$12,$B106,$M$9:$M$12))-1,OFFSET(H$8,K106,0)))</f>
        <v>-</v>
      </c>
      <c r="I106" s="440">
        <f ca="1">IF(LEFT(VLOOKUP("*#"&amp;K106,$A$9:$I$13,I$6,0),1)="#",OFFSET(SUP!$B$57,$L106,SUMIF($A$9:$A$13,"*#"&amp;$K106,$M$9:$M$13)),1)</f>
        <v>1</v>
      </c>
      <c r="J106" s="440"/>
      <c r="K106" s="42">
        <f>IF(L105=SUP!$B$104,K105+1,K105)</f>
        <v>2</v>
      </c>
      <c r="L106" s="42">
        <f t="shared" si="12"/>
        <v>45</v>
      </c>
    </row>
    <row r="107" spans="1:12">
      <c r="A107" s="42" t="str">
        <f ca="1">IF(OR(LEFT(OFFSET(SUP!$A$57,L107,0),2)="\I",I107=""),"*","")</f>
        <v/>
      </c>
      <c r="B107" s="440" t="str">
        <f t="shared" ca="1" si="9"/>
        <v>PRC_CAPACT</v>
      </c>
      <c r="C107" s="440" t="str">
        <f ca="1">OFFSET(SUP!$B$57,L107,0)</f>
        <v>PEXOKE</v>
      </c>
      <c r="D107" s="440" t="str">
        <f ca="1">IF($A107="*","",IF(LEFT($B107,3)="TOP",OFFSET(SUP!$D$57,$L107,0),"-"))</f>
        <v>-</v>
      </c>
      <c r="E107" s="440" t="str">
        <f ca="1">IF($A107="*","",IF($B107="PRC_ACTUNT",OFFSET(SUP!$B$57,$L107,SUMIF($B$9:$B$11,$B107,$M$9:$M$11)),"-"))</f>
        <v>-</v>
      </c>
      <c r="F107" s="440" t="str">
        <f t="shared" ca="1" si="10"/>
        <v>-</v>
      </c>
      <c r="G107" s="440" t="str">
        <f t="shared" ca="1" si="11"/>
        <v>-</v>
      </c>
      <c r="H107" s="440" t="str">
        <f ca="1">IF($A107="*","",IF($B107="PRC_NOFF",OFFSET(SUP!$B$57,$L107,SUMIF($B$9:$B$12,$B107,$M$9:$M$12))-1,OFFSET(H$8,K107,0)))</f>
        <v>-</v>
      </c>
      <c r="I107" s="440">
        <f ca="1">IF(LEFT(VLOOKUP("*#"&amp;K107,$A$9:$I$13,I$6,0),1)="#",OFFSET(SUP!$B$57,$L107,SUMIF($A$9:$A$13,"*#"&amp;$K107,$M$9:$M$13)),1)</f>
        <v>1</v>
      </c>
      <c r="J107" s="440"/>
      <c r="K107" s="42">
        <f>IF(L106=SUP!$B$104,K106+1,K106)</f>
        <v>2</v>
      </c>
      <c r="L107" s="42">
        <f t="shared" si="12"/>
        <v>46</v>
      </c>
    </row>
    <row r="108" spans="1:12">
      <c r="A108" s="42" t="str">
        <f ca="1">IF(OR(LEFT(OFFSET(SUP!$A$57,L108,0),2)="\I",I108=""),"*","")</f>
        <v>*</v>
      </c>
      <c r="B108" s="440" t="str">
        <f t="shared" ca="1" si="9"/>
        <v>PRC_CAPACT</v>
      </c>
      <c r="C108" s="440">
        <f ca="1">OFFSET(SUP!$B$57,L108,0)</f>
        <v>47</v>
      </c>
      <c r="D108" s="440" t="str">
        <f ca="1">IF($A108="*","",IF(LEFT($B108,3)="TOP",OFFSET(SUP!$D$57,$L108,0),"-"))</f>
        <v/>
      </c>
      <c r="E108" s="440" t="str">
        <f ca="1">IF($A108="*","",IF($B108="PRC_ACTUNT",OFFSET(SUP!$B$57,$L108,SUMIF($B$9:$B$11,$B108,$M$9:$M$11)),"-"))</f>
        <v/>
      </c>
      <c r="F108" s="440" t="str">
        <f t="shared" ca="1" si="10"/>
        <v>-</v>
      </c>
      <c r="G108" s="440" t="str">
        <f t="shared" ca="1" si="11"/>
        <v/>
      </c>
      <c r="H108" s="440" t="str">
        <f ca="1">IF($A108="*","",IF($B108="PRC_NOFF",OFFSET(SUP!$B$57,$L108,SUMIF($B$9:$B$12,$B108,$M$9:$M$12))-1,OFFSET(H$8,K108,0)))</f>
        <v/>
      </c>
      <c r="I108" s="440">
        <f ca="1">IF(LEFT(VLOOKUP("*#"&amp;K108,$A$9:$I$13,I$6,0),1)="#",OFFSET(SUP!$B$57,$L108,SUMIF($A$9:$A$13,"*#"&amp;$K108,$M$9:$M$13)),1)</f>
        <v>1</v>
      </c>
      <c r="J108" s="440"/>
      <c r="K108" s="42">
        <f>IF(L107=SUP!$B$104,K107+1,K107)</f>
        <v>2</v>
      </c>
      <c r="L108" s="42">
        <f t="shared" si="12"/>
        <v>47</v>
      </c>
    </row>
    <row r="109" spans="1:12">
      <c r="A109" s="42" t="str">
        <f ca="1">IF(OR(LEFT(OFFSET(SUP!$A$57,L109,0),2)="\I",I109=""),"*","")</f>
        <v/>
      </c>
      <c r="B109" s="440" t="str">
        <f t="shared" ca="1" si="9"/>
        <v>TOP-OUT</v>
      </c>
      <c r="C109" s="440" t="str">
        <f ca="1">OFFSET(SUP!$B$57,L109,0)</f>
        <v>MINCOA</v>
      </c>
      <c r="D109" s="440" t="str">
        <f ca="1">IF($A109="*","",IF(LEFT($B109,3)="TOP",OFFSET(SUP!$D$57,$L109,0),"-"))</f>
        <v>COA</v>
      </c>
      <c r="E109" s="440" t="str">
        <f ca="1">IF($A109="*","",IF($B109="PRC_ACTUNT",OFFSET(SUP!$B$57,$L109,SUMIF($B$9:$B$11,$B109,$M$9:$M$11)),"-"))</f>
        <v>-</v>
      </c>
      <c r="F109" s="440" t="str">
        <f t="shared" ca="1" si="10"/>
        <v>-</v>
      </c>
      <c r="G109" s="440" t="str">
        <f t="shared" ca="1" si="11"/>
        <v>-</v>
      </c>
      <c r="H109" s="440" t="str">
        <f ca="1">IF($A109="*","",IF($B109="PRC_NOFF",OFFSET(SUP!$B$57,$L109,SUMIF($B$9:$B$12,$B109,$M$9:$M$12))-1,OFFSET(H$8,K109,0)))</f>
        <v>-</v>
      </c>
      <c r="I109" s="440">
        <f ca="1">IF(LEFT(VLOOKUP("*#"&amp;K109,$A$9:$I$13,I$6,0),1)="#",OFFSET(SUP!$B$57,$L109,SUMIF($A$9:$A$13,"*#"&amp;$K109,$M$9:$M$13)),1)</f>
        <v>1</v>
      </c>
      <c r="J109" s="440"/>
      <c r="K109" s="42">
        <f>IF(L108=SUP!$B$104,K108+1,K108)</f>
        <v>3</v>
      </c>
      <c r="L109" s="42">
        <f t="shared" si="12"/>
        <v>1</v>
      </c>
    </row>
    <row r="110" spans="1:12">
      <c r="A110" s="42" t="str">
        <f ca="1">IF(OR(LEFT(OFFSET(SUP!$A$57,L110,0),2)="\I",I110=""),"*","")</f>
        <v/>
      </c>
      <c r="B110" s="440" t="str">
        <f t="shared" ca="1" si="9"/>
        <v>TOP-OUT</v>
      </c>
      <c r="C110" s="440" t="str">
        <f ca="1">OFFSET(SUP!$B$57,L110,0)</f>
        <v>MINCLE</v>
      </c>
      <c r="D110" s="440" t="str">
        <f ca="1">IF($A110="*","",IF(LEFT($B110,3)="TOP",OFFSET(SUP!$D$57,$L110,0),"-"))</f>
        <v>CLE</v>
      </c>
      <c r="E110" s="440" t="str">
        <f ca="1">IF($A110="*","",IF($B110="PRC_ACTUNT",OFFSET(SUP!$B$57,$L110,SUMIF($B$9:$B$11,$B110,$M$9:$M$11)),"-"))</f>
        <v>-</v>
      </c>
      <c r="F110" s="440" t="str">
        <f t="shared" ca="1" si="10"/>
        <v>-</v>
      </c>
      <c r="G110" s="440" t="str">
        <f t="shared" ca="1" si="11"/>
        <v>-</v>
      </c>
      <c r="H110" s="440" t="str">
        <f ca="1">IF($A110="*","",IF($B110="PRC_NOFF",OFFSET(SUP!$B$57,$L110,SUMIF($B$9:$B$12,$B110,$M$9:$M$12))-1,OFFSET(H$8,K110,0)))</f>
        <v>-</v>
      </c>
      <c r="I110" s="440">
        <f ca="1">IF(LEFT(VLOOKUP("*#"&amp;K110,$A$9:$I$13,I$6,0),1)="#",OFFSET(SUP!$B$57,$L110,SUMIF($A$9:$A$13,"*#"&amp;$K110,$M$9:$M$13)),1)</f>
        <v>1</v>
      </c>
      <c r="J110" s="440"/>
      <c r="K110" s="42">
        <f>IF(L109=SUP!$B$104,K109+1,K109)</f>
        <v>3</v>
      </c>
      <c r="L110" s="42">
        <f t="shared" si="12"/>
        <v>2</v>
      </c>
    </row>
    <row r="111" spans="1:12">
      <c r="A111" s="42" t="str">
        <f ca="1">IF(OR(LEFT(OFFSET(SUP!$A$57,L111,0),2)="\I",I111=""),"*","")</f>
        <v/>
      </c>
      <c r="B111" s="440" t="str">
        <f t="shared" ca="1" si="9"/>
        <v>TOP-OUT</v>
      </c>
      <c r="C111" s="440" t="str">
        <f ca="1">OFFSET(SUP!$B$57,L111,0)</f>
        <v>MINCLD</v>
      </c>
      <c r="D111" s="440" t="str">
        <f ca="1">IF($A111="*","",IF(LEFT($B111,3)="TOP",OFFSET(SUP!$D$57,$L111,0),"-"))</f>
        <v>CLD</v>
      </c>
      <c r="E111" s="440" t="str">
        <f ca="1">IF($A111="*","",IF($B111="PRC_ACTUNT",OFFSET(SUP!$B$57,$L111,SUMIF($B$9:$B$11,$B111,$M$9:$M$11)),"-"))</f>
        <v>-</v>
      </c>
      <c r="F111" s="440" t="str">
        <f t="shared" ca="1" si="10"/>
        <v>-</v>
      </c>
      <c r="G111" s="440" t="str">
        <f t="shared" ca="1" si="11"/>
        <v>-</v>
      </c>
      <c r="H111" s="440" t="str">
        <f ca="1">IF($A111="*","",IF($B111="PRC_NOFF",OFFSET(SUP!$B$57,$L111,SUMIF($B$9:$B$12,$B111,$M$9:$M$12))-1,OFFSET(H$8,K111,0)))</f>
        <v>-</v>
      </c>
      <c r="I111" s="440">
        <f ca="1">IF(LEFT(VLOOKUP("*#"&amp;K111,$A$9:$I$13,I$6,0),1)="#",OFFSET(SUP!$B$57,$L111,SUMIF($A$9:$A$13,"*#"&amp;$K111,$M$9:$M$13)),1)</f>
        <v>1</v>
      </c>
      <c r="J111" s="440"/>
      <c r="K111" s="42">
        <f>IF(L110=SUP!$B$104,K110+1,K110)</f>
        <v>3</v>
      </c>
      <c r="L111" s="42">
        <f t="shared" si="12"/>
        <v>3</v>
      </c>
    </row>
    <row r="112" spans="1:12">
      <c r="A112" s="42" t="str">
        <f ca="1">IF(OR(LEFT(OFFSET(SUP!$A$57,L112,0),2)="\I",I112=""),"*","")</f>
        <v/>
      </c>
      <c r="B112" s="440" t="str">
        <f t="shared" ca="1" si="9"/>
        <v>TOP-OUT</v>
      </c>
      <c r="C112" s="440" t="str">
        <f ca="1">OFFSET(SUP!$B$57,L112,0)</f>
        <v>MINOCR</v>
      </c>
      <c r="D112" s="440" t="str">
        <f ca="1">IF($A112="*","",IF(LEFT($B112,3)="TOP",OFFSET(SUP!$D$57,$L112,0),"-"))</f>
        <v>OCR</v>
      </c>
      <c r="E112" s="440" t="str">
        <f ca="1">IF($A112="*","",IF($B112="PRC_ACTUNT",OFFSET(SUP!$B$57,$L112,SUMIF($B$9:$B$11,$B112,$M$9:$M$11)),"-"))</f>
        <v>-</v>
      </c>
      <c r="F112" s="440" t="str">
        <f t="shared" ca="1" si="10"/>
        <v>-</v>
      </c>
      <c r="G112" s="440" t="str">
        <f t="shared" ca="1" si="11"/>
        <v>-</v>
      </c>
      <c r="H112" s="440" t="str">
        <f ca="1">IF($A112="*","",IF($B112="PRC_NOFF",OFFSET(SUP!$B$57,$L112,SUMIF($B$9:$B$12,$B112,$M$9:$M$12))-1,OFFSET(H$8,K112,0)))</f>
        <v>-</v>
      </c>
      <c r="I112" s="440">
        <f ca="1">IF(LEFT(VLOOKUP("*#"&amp;K112,$A$9:$I$13,I$6,0),1)="#",OFFSET(SUP!$B$57,$L112,SUMIF($A$9:$A$13,"*#"&amp;$K112,$M$9:$M$13)),1)</f>
        <v>1</v>
      </c>
      <c r="J112" s="440"/>
      <c r="K112" s="42">
        <f>IF(L111=SUP!$B$104,K111+1,K111)</f>
        <v>3</v>
      </c>
      <c r="L112" s="42">
        <f t="shared" si="12"/>
        <v>4</v>
      </c>
    </row>
    <row r="113" spans="1:12">
      <c r="A113" s="42" t="str">
        <f ca="1">IF(OR(LEFT(OFFSET(SUP!$A$57,L113,0),2)="\I",I113=""),"*","")</f>
        <v/>
      </c>
      <c r="B113" s="440" t="str">
        <f t="shared" ca="1" si="9"/>
        <v>TOP-OUT</v>
      </c>
      <c r="C113" s="440" t="str">
        <f ca="1">OFFSET(SUP!$B$57,L113,0)</f>
        <v>MINGIC</v>
      </c>
      <c r="D113" s="440" t="str">
        <f ca="1">IF($A113="*","",IF(LEFT($B113,3)="TOP",OFFSET(SUP!$D$57,$L113,0),"-"))</f>
        <v>GIC</v>
      </c>
      <c r="E113" s="440" t="str">
        <f ca="1">IF($A113="*","",IF($B113="PRC_ACTUNT",OFFSET(SUP!$B$57,$L113,SUMIF($B$9:$B$11,$B113,$M$9:$M$11)),"-"))</f>
        <v>-</v>
      </c>
      <c r="F113" s="440" t="str">
        <f t="shared" ca="1" si="10"/>
        <v>-</v>
      </c>
      <c r="G113" s="440" t="str">
        <f t="shared" ca="1" si="11"/>
        <v>-</v>
      </c>
      <c r="H113" s="440" t="str">
        <f ca="1">IF($A113="*","",IF($B113="PRC_NOFF",OFFSET(SUP!$B$57,$L113,SUMIF($B$9:$B$12,$B113,$M$9:$M$12))-1,OFFSET(H$8,K113,0)))</f>
        <v>-</v>
      </c>
      <c r="I113" s="440">
        <f ca="1">IF(LEFT(VLOOKUP("*#"&amp;K113,$A$9:$I$13,I$6,0),1)="#",OFFSET(SUP!$B$57,$L113,SUMIF($A$9:$A$13,"*#"&amp;$K113,$M$9:$M$13)),1)</f>
        <v>1</v>
      </c>
      <c r="J113" s="440"/>
      <c r="K113" s="42">
        <f>IF(L112=SUP!$B$104,K112+1,K112)</f>
        <v>3</v>
      </c>
      <c r="L113" s="42">
        <f t="shared" si="12"/>
        <v>5</v>
      </c>
    </row>
    <row r="114" spans="1:12">
      <c r="A114" s="42" t="str">
        <f ca="1">IF(OR(LEFT(OFFSET(SUP!$A$57,L114,0),2)="\I",I114=""),"*","")</f>
        <v/>
      </c>
      <c r="B114" s="440" t="str">
        <f t="shared" ca="1" si="9"/>
        <v>TOP-OUT</v>
      </c>
      <c r="C114" s="440" t="str">
        <f ca="1">OFFSET(SUP!$B$57,L114,0)</f>
        <v>MINGIB</v>
      </c>
      <c r="D114" s="440" t="str">
        <f ca="1">IF($A114="*","",IF(LEFT($B114,3)="TOP",OFFSET(SUP!$D$57,$L114,0),"-"))</f>
        <v>GIB</v>
      </c>
      <c r="E114" s="440" t="str">
        <f ca="1">IF($A114="*","",IF($B114="PRC_ACTUNT",OFFSET(SUP!$B$57,$L114,SUMIF($B$9:$B$11,$B114,$M$9:$M$11)),"-"))</f>
        <v>-</v>
      </c>
      <c r="F114" s="440" t="str">
        <f t="shared" ca="1" si="10"/>
        <v>-</v>
      </c>
      <c r="G114" s="440" t="str">
        <f t="shared" ca="1" si="11"/>
        <v>-</v>
      </c>
      <c r="H114" s="440" t="str">
        <f ca="1">IF($A114="*","",IF($B114="PRC_NOFF",OFFSET(SUP!$B$57,$L114,SUMIF($B$9:$B$12,$B114,$M$9:$M$12))-1,OFFSET(H$8,K114,0)))</f>
        <v>-</v>
      </c>
      <c r="I114" s="440">
        <f ca="1">IF(LEFT(VLOOKUP("*#"&amp;K114,$A$9:$I$13,I$6,0),1)="#",OFFSET(SUP!$B$57,$L114,SUMIF($A$9:$A$13,"*#"&amp;$K114,$M$9:$M$13)),1)</f>
        <v>1</v>
      </c>
      <c r="J114" s="440"/>
      <c r="K114" s="42">
        <f>IF(L113=SUP!$B$104,K113+1,K113)</f>
        <v>3</v>
      </c>
      <c r="L114" s="42">
        <f t="shared" si="12"/>
        <v>6</v>
      </c>
    </row>
    <row r="115" spans="1:12">
      <c r="A115" s="42" t="str">
        <f ca="1">IF(OR(LEFT(OFFSET(SUP!$A$57,L115,0),2)="\I",I115=""),"*","")</f>
        <v/>
      </c>
      <c r="B115" s="440" t="str">
        <f t="shared" ca="1" si="9"/>
        <v>TOP-OUT</v>
      </c>
      <c r="C115" s="440" t="str">
        <f ca="1">OFFSET(SUP!$B$57,L115,0)</f>
        <v>MINGAS</v>
      </c>
      <c r="D115" s="440" t="str">
        <f ca="1">IF($A115="*","",IF(LEFT($B115,3)="TOP",OFFSET(SUP!$D$57,$L115,0),"-"))</f>
        <v>GAS</v>
      </c>
      <c r="E115" s="440" t="str">
        <f ca="1">IF($A115="*","",IF($B115="PRC_ACTUNT",OFFSET(SUP!$B$57,$L115,SUMIF($B$9:$B$11,$B115,$M$9:$M$11)),"-"))</f>
        <v>-</v>
      </c>
      <c r="F115" s="440" t="str">
        <f t="shared" ca="1" si="10"/>
        <v>-</v>
      </c>
      <c r="G115" s="440" t="str">
        <f t="shared" ca="1" si="11"/>
        <v>-</v>
      </c>
      <c r="H115" s="440" t="str">
        <f ca="1">IF($A115="*","",IF($B115="PRC_NOFF",OFFSET(SUP!$B$57,$L115,SUMIF($B$9:$B$12,$B115,$M$9:$M$12))-1,OFFSET(H$8,K115,0)))</f>
        <v>-</v>
      </c>
      <c r="I115" s="440">
        <f ca="1">IF(LEFT(VLOOKUP("*#"&amp;K115,$A$9:$I$13,I$6,0),1)="#",OFFSET(SUP!$B$57,$L115,SUMIF($A$9:$A$13,"*#"&amp;$K115,$M$9:$M$13)),1)</f>
        <v>1</v>
      </c>
      <c r="J115" s="440"/>
      <c r="K115" s="42">
        <f>IF(L114=SUP!$B$104,K114+1,K114)</f>
        <v>3</v>
      </c>
      <c r="L115" s="42">
        <f t="shared" si="12"/>
        <v>7</v>
      </c>
    </row>
    <row r="116" spans="1:12">
      <c r="A116" s="42" t="str">
        <f ca="1">IF(OR(LEFT(OFFSET(SUP!$A$57,L116,0),2)="\I",I116=""),"*","")</f>
        <v/>
      </c>
      <c r="B116" s="440" t="str">
        <f t="shared" ca="1" si="9"/>
        <v>TOP-OUT</v>
      </c>
      <c r="C116" s="440" t="str">
        <f ca="1">OFFSET(SUP!$B$57,L116,0)</f>
        <v>MINGIH</v>
      </c>
      <c r="D116" s="440" t="str">
        <f ca="1">IF($A116="*","",IF(LEFT($B116,3)="TOP",OFFSET(SUP!$D$57,$L116,0),"-"))</f>
        <v>GIH</v>
      </c>
      <c r="E116" s="440" t="str">
        <f ca="1">IF($A116="*","",IF($B116="PRC_ACTUNT",OFFSET(SUP!$B$57,$L116,SUMIF($B$9:$B$11,$B116,$M$9:$M$11)),"-"))</f>
        <v>-</v>
      </c>
      <c r="F116" s="440" t="str">
        <f t="shared" ca="1" si="10"/>
        <v>-</v>
      </c>
      <c r="G116" s="440" t="str">
        <f t="shared" ca="1" si="11"/>
        <v>-</v>
      </c>
      <c r="H116" s="440" t="str">
        <f ca="1">IF($A116="*","",IF($B116="PRC_NOFF",OFFSET(SUP!$B$57,$L116,SUMIF($B$9:$B$12,$B116,$M$9:$M$12))-1,OFFSET(H$8,K116,0)))</f>
        <v>-</v>
      </c>
      <c r="I116" s="440">
        <f ca="1">IF(LEFT(VLOOKUP("*#"&amp;K116,$A$9:$I$13,I$6,0),1)="#",OFFSET(SUP!$B$57,$L116,SUMIF($A$9:$A$13,"*#"&amp;$K116,$M$9:$M$13)),1)</f>
        <v>1</v>
      </c>
      <c r="J116" s="440"/>
      <c r="K116" s="42">
        <f>IF(L115=SUP!$B$104,K115+1,K115)</f>
        <v>3</v>
      </c>
      <c r="L116" s="42">
        <f t="shared" si="12"/>
        <v>8</v>
      </c>
    </row>
    <row r="117" spans="1:12">
      <c r="A117" s="42" t="str">
        <f ca="1">IF(OR(LEFT(OFFSET(SUP!$A$57,L117,0),2)="\I",I117=""),"*","")</f>
        <v>*</v>
      </c>
      <c r="B117" s="440" t="str">
        <f t="shared" ca="1" si="9"/>
        <v>TOP-OUT</v>
      </c>
      <c r="C117" s="440">
        <f ca="1">OFFSET(SUP!$B$57,L117,0)</f>
        <v>0</v>
      </c>
      <c r="D117" s="440" t="str">
        <f ca="1">IF($A117="*","",IF(LEFT($B117,3)="TOP",OFFSET(SUP!$D$57,$L117,0),"-"))</f>
        <v/>
      </c>
      <c r="E117" s="440" t="str">
        <f ca="1">IF($A117="*","",IF($B117="PRC_ACTUNT",OFFSET(SUP!$B$57,$L117,SUMIF($B$9:$B$11,$B117,$M$9:$M$11)),"-"))</f>
        <v/>
      </c>
      <c r="F117" s="440" t="str">
        <f t="shared" ca="1" si="10"/>
        <v>-</v>
      </c>
      <c r="G117" s="440" t="str">
        <f t="shared" ca="1" si="11"/>
        <v/>
      </c>
      <c r="H117" s="440" t="str">
        <f ca="1">IF($A117="*","",IF($B117="PRC_NOFF",OFFSET(SUP!$B$57,$L117,SUMIF($B$9:$B$12,$B117,$M$9:$M$12))-1,OFFSET(H$8,K117,0)))</f>
        <v/>
      </c>
      <c r="I117" s="440">
        <f ca="1">IF(LEFT(VLOOKUP("*#"&amp;K117,$A$9:$I$13,I$6,0),1)="#",OFFSET(SUP!$B$57,$L117,SUMIF($A$9:$A$13,"*#"&amp;$K117,$M$9:$M$13)),1)</f>
        <v>1</v>
      </c>
      <c r="J117" s="440"/>
      <c r="K117" s="42">
        <f>IF(L116=SUP!$B$104,K116+1,K116)</f>
        <v>3</v>
      </c>
      <c r="L117" s="42">
        <f t="shared" si="12"/>
        <v>9</v>
      </c>
    </row>
    <row r="118" spans="1:12">
      <c r="A118" s="42" t="str">
        <f ca="1">IF(OR(LEFT(OFFSET(SUP!$A$57,L118,0),2)="\I",I118=""),"*","")</f>
        <v/>
      </c>
      <c r="B118" s="440" t="str">
        <f t="shared" ca="1" si="9"/>
        <v>TOP-OUT</v>
      </c>
      <c r="C118" s="440" t="str">
        <f ca="1">OFFSET(SUP!$B$57,L118,0)</f>
        <v>MINBIG</v>
      </c>
      <c r="D118" s="440" t="str">
        <f ca="1">IF($A118="*","",IF(LEFT($B118,3)="TOP",OFFSET(SUP!$D$57,$L118,0),"-"))</f>
        <v>BIG</v>
      </c>
      <c r="E118" s="440" t="str">
        <f ca="1">IF($A118="*","",IF($B118="PRC_ACTUNT",OFFSET(SUP!$B$57,$L118,SUMIF($B$9:$B$11,$B118,$M$9:$M$11)),"-"))</f>
        <v>-</v>
      </c>
      <c r="F118" s="440" t="str">
        <f t="shared" ca="1" si="10"/>
        <v>-</v>
      </c>
      <c r="G118" s="440" t="str">
        <f t="shared" ca="1" si="11"/>
        <v>-</v>
      </c>
      <c r="H118" s="440" t="str">
        <f ca="1">IF($A118="*","",IF($B118="PRC_NOFF",OFFSET(SUP!$B$57,$L118,SUMIF($B$9:$B$12,$B118,$M$9:$M$12))-1,OFFSET(H$8,K118,0)))</f>
        <v>-</v>
      </c>
      <c r="I118" s="440">
        <f ca="1">IF(LEFT(VLOOKUP("*#"&amp;K118,$A$9:$I$13,I$6,0),1)="#",OFFSET(SUP!$B$57,$L118,SUMIF($A$9:$A$13,"*#"&amp;$K118,$M$9:$M$13)),1)</f>
        <v>1</v>
      </c>
      <c r="J118" s="440"/>
      <c r="K118" s="42">
        <f>IF(L117=SUP!$B$104,K117+1,K117)</f>
        <v>3</v>
      </c>
      <c r="L118" s="42">
        <f t="shared" si="12"/>
        <v>10</v>
      </c>
    </row>
    <row r="119" spans="1:12">
      <c r="A119" s="42" t="str">
        <f ca="1">IF(OR(LEFT(OFFSET(SUP!$A$57,L119,0),2)="\I",I119=""),"*","")</f>
        <v/>
      </c>
      <c r="B119" s="440" t="str">
        <f t="shared" ca="1" si="9"/>
        <v>TOP-OUT</v>
      </c>
      <c r="C119" s="440" t="str">
        <f ca="1">OFFSET(SUP!$B$57,L119,0)</f>
        <v>MINBIB</v>
      </c>
      <c r="D119" s="440" t="str">
        <f ca="1">IF($A119="*","",IF(LEFT($B119,3)="TOP",OFFSET(SUP!$D$57,$L119,0),"-"))</f>
        <v>BIB</v>
      </c>
      <c r="E119" s="440" t="str">
        <f ca="1">IF($A119="*","",IF($B119="PRC_ACTUNT",OFFSET(SUP!$B$57,$L119,SUMIF($B$9:$B$11,$B119,$M$9:$M$11)),"-"))</f>
        <v>-</v>
      </c>
      <c r="F119" s="440" t="str">
        <f t="shared" ca="1" si="10"/>
        <v>-</v>
      </c>
      <c r="G119" s="440" t="str">
        <f t="shared" ca="1" si="11"/>
        <v>-</v>
      </c>
      <c r="H119" s="440" t="str">
        <f ca="1">IF($A119="*","",IF($B119="PRC_NOFF",OFFSET(SUP!$B$57,$L119,SUMIF($B$9:$B$12,$B119,$M$9:$M$12))-1,OFFSET(H$8,K119,0)))</f>
        <v>-</v>
      </c>
      <c r="I119" s="440">
        <f ca="1">IF(LEFT(VLOOKUP("*#"&amp;K119,$A$9:$I$13,I$6,0),1)="#",OFFSET(SUP!$B$57,$L119,SUMIF($A$9:$A$13,"*#"&amp;$K119,$M$9:$M$13)),1)</f>
        <v>1</v>
      </c>
      <c r="J119" s="440"/>
      <c r="K119" s="42">
        <f>IF(L118=SUP!$B$104,K118+1,K118)</f>
        <v>3</v>
      </c>
      <c r="L119" s="42">
        <f t="shared" si="12"/>
        <v>11</v>
      </c>
    </row>
    <row r="120" spans="1:12">
      <c r="A120" s="42" t="str">
        <f ca="1">IF(OR(LEFT(OFFSET(SUP!$A$57,L120,0),2)="\I",I120=""),"*","")</f>
        <v/>
      </c>
      <c r="B120" s="440" t="str">
        <f t="shared" ca="1" si="9"/>
        <v>TOP-OUT</v>
      </c>
      <c r="C120" s="440" t="str">
        <f ca="1">OFFSET(SUP!$B$57,L120,0)</f>
        <v>MINBIO</v>
      </c>
      <c r="D120" s="440" t="str">
        <f ca="1">IF($A120="*","",IF(LEFT($B120,3)="TOP",OFFSET(SUP!$D$57,$L120,0),"-"))</f>
        <v>BIO</v>
      </c>
      <c r="E120" s="440" t="str">
        <f ca="1">IF($A120="*","",IF($B120="PRC_ACTUNT",OFFSET(SUP!$B$57,$L120,SUMIF($B$9:$B$11,$B120,$M$9:$M$11)),"-"))</f>
        <v>-</v>
      </c>
      <c r="F120" s="440" t="str">
        <f t="shared" ca="1" si="10"/>
        <v>-</v>
      </c>
      <c r="G120" s="440" t="str">
        <f t="shared" ca="1" si="11"/>
        <v>-</v>
      </c>
      <c r="H120" s="440" t="str">
        <f ca="1">IF($A120="*","",IF($B120="PRC_NOFF",OFFSET(SUP!$B$57,$L120,SUMIF($B$9:$B$12,$B120,$M$9:$M$12))-1,OFFSET(H$8,K120,0)))</f>
        <v>-</v>
      </c>
      <c r="I120" s="440">
        <f ca="1">IF(LEFT(VLOOKUP("*#"&amp;K120,$A$9:$I$13,I$6,0),1)="#",OFFSET(SUP!$B$57,$L120,SUMIF($A$9:$A$13,"*#"&amp;$K120,$M$9:$M$13)),1)</f>
        <v>1</v>
      </c>
      <c r="J120" s="440"/>
      <c r="K120" s="42">
        <f>IF(L119=SUP!$B$104,K119+1,K119)</f>
        <v>3</v>
      </c>
      <c r="L120" s="42">
        <f t="shared" si="12"/>
        <v>12</v>
      </c>
    </row>
    <row r="121" spans="1:12">
      <c r="A121" s="42" t="str">
        <f ca="1">IF(OR(LEFT(OFFSET(SUP!$A$57,L121,0),2)="\I",I121=""),"*","")</f>
        <v/>
      </c>
      <c r="B121" s="440" t="str">
        <f t="shared" ca="1" si="9"/>
        <v>TOP-OUT</v>
      </c>
      <c r="C121" s="440" t="str">
        <f ca="1">OFFSET(SUP!$B$57,L121,0)</f>
        <v>MINBIW</v>
      </c>
      <c r="D121" s="440" t="str">
        <f ca="1">IF($A121="*","",IF(LEFT($B121,3)="TOP",OFFSET(SUP!$D$57,$L121,0),"-"))</f>
        <v>BIW</v>
      </c>
      <c r="E121" s="440" t="str">
        <f ca="1">IF($A121="*","",IF($B121="PRC_ACTUNT",OFFSET(SUP!$B$57,$L121,SUMIF($B$9:$B$11,$B121,$M$9:$M$11)),"-"))</f>
        <v>-</v>
      </c>
      <c r="F121" s="440" t="str">
        <f t="shared" ca="1" si="10"/>
        <v>-</v>
      </c>
      <c r="G121" s="440" t="str">
        <f t="shared" ca="1" si="11"/>
        <v>-</v>
      </c>
      <c r="H121" s="440" t="str">
        <f ca="1">IF($A121="*","",IF($B121="PRC_NOFF",OFFSET(SUP!$B$57,$L121,SUMIF($B$9:$B$12,$B121,$M$9:$M$12))-1,OFFSET(H$8,K121,0)))</f>
        <v>-</v>
      </c>
      <c r="I121" s="440">
        <f ca="1">IF(LEFT(VLOOKUP("*#"&amp;K121,$A$9:$I$13,I$6,0),1)="#",OFFSET(SUP!$B$57,$L121,SUMIF($A$9:$A$13,"*#"&amp;$K121,$M$9:$M$13)),1)</f>
        <v>1</v>
      </c>
      <c r="J121" s="440"/>
      <c r="K121" s="42">
        <f>IF(L120=SUP!$B$104,K120+1,K120)</f>
        <v>3</v>
      </c>
      <c r="L121" s="42">
        <f t="shared" si="12"/>
        <v>13</v>
      </c>
    </row>
    <row r="122" spans="1:12">
      <c r="A122" s="42" t="str">
        <f ca="1">IF(OR(LEFT(OFFSET(SUP!$A$57,L122,0),2)="\I",I122=""),"*","")</f>
        <v/>
      </c>
      <c r="B122" s="440" t="str">
        <f t="shared" ca="1" si="9"/>
        <v>TOP-OUT</v>
      </c>
      <c r="C122" s="440" t="str">
        <f ca="1">OFFSET(SUP!$B$57,L122,0)</f>
        <v>MINWAS</v>
      </c>
      <c r="D122" s="440" t="str">
        <f ca="1">IF($A122="*","",IF(LEFT($B122,3)="TOP",OFFSET(SUP!$D$57,$L122,0),"-"))</f>
        <v>WAS</v>
      </c>
      <c r="E122" s="440" t="str">
        <f ca="1">IF($A122="*","",IF($B122="PRC_ACTUNT",OFFSET(SUP!$B$57,$L122,SUMIF($B$9:$B$11,$B122,$M$9:$M$11)),"-"))</f>
        <v>-</v>
      </c>
      <c r="F122" s="440" t="str">
        <f t="shared" ca="1" si="10"/>
        <v>-</v>
      </c>
      <c r="G122" s="440" t="str">
        <f t="shared" ca="1" si="11"/>
        <v>-</v>
      </c>
      <c r="H122" s="440" t="str">
        <f ca="1">IF($A122="*","",IF($B122="PRC_NOFF",OFFSET(SUP!$B$57,$L122,SUMIF($B$9:$B$12,$B122,$M$9:$M$12))-1,OFFSET(H$8,K122,0)))</f>
        <v>-</v>
      </c>
      <c r="I122" s="440">
        <f ca="1">IF(LEFT(VLOOKUP("*#"&amp;K122,$A$9:$I$13,I$6,0),1)="#",OFFSET(SUP!$B$57,$L122,SUMIF($A$9:$A$13,"*#"&amp;$K122,$M$9:$M$13)),1)</f>
        <v>1</v>
      </c>
      <c r="J122" s="440"/>
      <c r="K122" s="42">
        <f>IF(L121=SUP!$B$104,K121+1,K121)</f>
        <v>3</v>
      </c>
      <c r="L122" s="42">
        <f t="shared" si="12"/>
        <v>14</v>
      </c>
    </row>
    <row r="123" spans="1:12">
      <c r="A123" s="42" t="str">
        <f ca="1">IF(OR(LEFT(OFFSET(SUP!$A$57,L123,0),2)="\I",I123=""),"*","")</f>
        <v/>
      </c>
      <c r="B123" s="440" t="str">
        <f t="shared" ca="1" si="9"/>
        <v>TOP-OUT</v>
      </c>
      <c r="C123" s="440" t="str">
        <f ca="1">OFFSET(SUP!$B$57,L123,0)</f>
        <v>MINHYD</v>
      </c>
      <c r="D123" s="440" t="str">
        <f ca="1">IF($A123="*","",IF(LEFT($B123,3)="TOP",OFFSET(SUP!$D$57,$L123,0),"-"))</f>
        <v>HYD</v>
      </c>
      <c r="E123" s="440" t="str">
        <f ca="1">IF($A123="*","",IF($B123="PRC_ACTUNT",OFFSET(SUP!$B$57,$L123,SUMIF($B$9:$B$11,$B123,$M$9:$M$11)),"-"))</f>
        <v>-</v>
      </c>
      <c r="F123" s="440" t="str">
        <f t="shared" ca="1" si="10"/>
        <v>-</v>
      </c>
      <c r="G123" s="440" t="str">
        <f t="shared" ca="1" si="11"/>
        <v>-</v>
      </c>
      <c r="H123" s="440" t="str">
        <f ca="1">IF($A123="*","",IF($B123="PRC_NOFF",OFFSET(SUP!$B$57,$L123,SUMIF($B$9:$B$12,$B123,$M$9:$M$12))-1,OFFSET(H$8,K123,0)))</f>
        <v>-</v>
      </c>
      <c r="I123" s="440">
        <f ca="1">IF(LEFT(VLOOKUP("*#"&amp;K123,$A$9:$I$13,I$6,0),1)="#",OFFSET(SUP!$B$57,$L123,SUMIF($A$9:$A$13,"*#"&amp;$K123,$M$9:$M$13)),1)</f>
        <v>1</v>
      </c>
      <c r="J123" s="440"/>
      <c r="K123" s="42">
        <f>IF(L122=SUP!$B$104,K122+1,K122)</f>
        <v>3</v>
      </c>
      <c r="L123" s="42">
        <f t="shared" si="12"/>
        <v>15</v>
      </c>
    </row>
    <row r="124" spans="1:12">
      <c r="A124" s="42" t="str">
        <f ca="1">IF(OR(LEFT(OFFSET(SUP!$A$57,L124,0),2)="\I",I124=""),"*","")</f>
        <v/>
      </c>
      <c r="B124" s="440" t="str">
        <f t="shared" ca="1" si="9"/>
        <v>TOP-OUT</v>
      </c>
      <c r="C124" s="440" t="str">
        <f ca="1">OFFSET(SUP!$B$57,L124,0)</f>
        <v>MINSOL</v>
      </c>
      <c r="D124" s="440" t="str">
        <f ca="1">IF($A124="*","",IF(LEFT($B124,3)="TOP",OFFSET(SUP!$D$57,$L124,0),"-"))</f>
        <v>SOL</v>
      </c>
      <c r="E124" s="440" t="str">
        <f ca="1">IF($A124="*","",IF($B124="PRC_ACTUNT",OFFSET(SUP!$B$57,$L124,SUMIF($B$9:$B$11,$B124,$M$9:$M$11)),"-"))</f>
        <v>-</v>
      </c>
      <c r="F124" s="440" t="str">
        <f t="shared" ca="1" si="10"/>
        <v>-</v>
      </c>
      <c r="G124" s="440" t="str">
        <f t="shared" ca="1" si="11"/>
        <v>-</v>
      </c>
      <c r="H124" s="440" t="str">
        <f ca="1">IF($A124="*","",IF($B124="PRC_NOFF",OFFSET(SUP!$B$57,$L124,SUMIF($B$9:$B$12,$B124,$M$9:$M$12))-1,OFFSET(H$8,K124,0)))</f>
        <v>-</v>
      </c>
      <c r="I124" s="440">
        <f ca="1">IF(LEFT(VLOOKUP("*#"&amp;K124,$A$9:$I$13,I$6,0),1)="#",OFFSET(SUP!$B$57,$L124,SUMIF($A$9:$A$13,"*#"&amp;$K124,$M$9:$M$13)),1)</f>
        <v>1</v>
      </c>
      <c r="J124" s="440"/>
      <c r="K124" s="42">
        <f>IF(L123=SUP!$B$104,K123+1,K123)</f>
        <v>3</v>
      </c>
      <c r="L124" s="42">
        <f t="shared" si="12"/>
        <v>16</v>
      </c>
    </row>
    <row r="125" spans="1:12">
      <c r="A125" s="42" t="str">
        <f ca="1">IF(OR(LEFT(OFFSET(SUP!$A$57,L125,0),2)="\I",I125=""),"*","")</f>
        <v/>
      </c>
      <c r="B125" s="440" t="str">
        <f t="shared" ca="1" si="9"/>
        <v>TOP-OUT</v>
      </c>
      <c r="C125" s="440" t="str">
        <f ca="1">OFFSET(SUP!$B$57,L125,0)</f>
        <v>MINWND</v>
      </c>
      <c r="D125" s="440" t="str">
        <f ca="1">IF($A125="*","",IF(LEFT($B125,3)="TOP",OFFSET(SUP!$D$57,$L125,0),"-"))</f>
        <v>WND</v>
      </c>
      <c r="E125" s="440" t="str">
        <f ca="1">IF($A125="*","",IF($B125="PRC_ACTUNT",OFFSET(SUP!$B$57,$L125,SUMIF($B$9:$B$11,$B125,$M$9:$M$11)),"-"))</f>
        <v>-</v>
      </c>
      <c r="F125" s="440" t="str">
        <f t="shared" ca="1" si="10"/>
        <v>-</v>
      </c>
      <c r="G125" s="440" t="str">
        <f t="shared" ca="1" si="11"/>
        <v>-</v>
      </c>
      <c r="H125" s="440" t="str">
        <f ca="1">IF($A125="*","",IF($B125="PRC_NOFF",OFFSET(SUP!$B$57,$L125,SUMIF($B$9:$B$12,$B125,$M$9:$M$12))-1,OFFSET(H$8,K125,0)))</f>
        <v>-</v>
      </c>
      <c r="I125" s="440">
        <f ca="1">IF(LEFT(VLOOKUP("*#"&amp;K125,$A$9:$I$13,I$6,0),1)="#",OFFSET(SUP!$B$57,$L125,SUMIF($A$9:$A$13,"*#"&amp;$K125,$M$9:$M$13)),1)</f>
        <v>1</v>
      </c>
      <c r="J125" s="440"/>
      <c r="K125" s="42">
        <f>IF(L124=SUP!$B$104,K124+1,K124)</f>
        <v>3</v>
      </c>
      <c r="L125" s="42">
        <f t="shared" si="12"/>
        <v>17</v>
      </c>
    </row>
    <row r="126" spans="1:12">
      <c r="A126" s="42" t="str">
        <f ca="1">IF(OR(LEFT(OFFSET(SUP!$A$57,L126,0),2)="\I",I126=""),"*","")</f>
        <v>*</v>
      </c>
      <c r="B126" s="440" t="str">
        <f t="shared" ca="1" si="9"/>
        <v>TOP-OUT</v>
      </c>
      <c r="C126" s="440">
        <f ca="1">OFFSET(SUP!$B$57,L126,0)</f>
        <v>0</v>
      </c>
      <c r="D126" s="440" t="str">
        <f ca="1">IF($A126="*","",IF(LEFT($B126,3)="TOP",OFFSET(SUP!$D$57,$L126,0),"-"))</f>
        <v/>
      </c>
      <c r="E126" s="440" t="str">
        <f ca="1">IF($A126="*","",IF($B126="PRC_ACTUNT",OFFSET(SUP!$B$57,$L126,SUMIF($B$9:$B$11,$B126,$M$9:$M$11)),"-"))</f>
        <v/>
      </c>
      <c r="F126" s="440" t="str">
        <f t="shared" ca="1" si="10"/>
        <v>-</v>
      </c>
      <c r="G126" s="440" t="str">
        <f t="shared" ca="1" si="11"/>
        <v/>
      </c>
      <c r="H126" s="440" t="str">
        <f ca="1">IF($A126="*","",IF($B126="PRC_NOFF",OFFSET(SUP!$B$57,$L126,SUMIF($B$9:$B$12,$B126,$M$9:$M$12))-1,OFFSET(H$8,K126,0)))</f>
        <v/>
      </c>
      <c r="I126" s="440">
        <f ca="1">IF(LEFT(VLOOKUP("*#"&amp;K126,$A$9:$I$13,I$6,0),1)="#",OFFSET(SUP!$B$57,$L126,SUMIF($A$9:$A$13,"*#"&amp;$K126,$M$9:$M$13)),1)</f>
        <v>1</v>
      </c>
      <c r="J126" s="440"/>
      <c r="K126" s="42">
        <f>IF(L125=SUP!$B$104,K125+1,K125)</f>
        <v>3</v>
      </c>
      <c r="L126" s="42">
        <f t="shared" si="12"/>
        <v>18</v>
      </c>
    </row>
    <row r="127" spans="1:12">
      <c r="A127" s="42" t="str">
        <f ca="1">IF(OR(LEFT(OFFSET(SUP!$A$57,L127,0),2)="\I",I127=""),"*","")</f>
        <v/>
      </c>
      <c r="B127" s="440" t="str">
        <f t="shared" ca="1" si="9"/>
        <v>TOP-OUT</v>
      </c>
      <c r="C127" s="440" t="str">
        <f ca="1">OFFSET(SUP!$B$57,L127,0)</f>
        <v>IMPCOK</v>
      </c>
      <c r="D127" s="440" t="str">
        <f ca="1">IF($A127="*","",IF(LEFT($B127,3)="TOP",OFFSET(SUP!$D$57,$L127,0),"-"))</f>
        <v>COK</v>
      </c>
      <c r="E127" s="440" t="str">
        <f ca="1">IF($A127="*","",IF($B127="PRC_ACTUNT",OFFSET(SUP!$B$57,$L127,SUMIF($B$9:$B$11,$B127,$M$9:$M$11)),"-"))</f>
        <v>-</v>
      </c>
      <c r="F127" s="440" t="str">
        <f t="shared" ca="1" si="10"/>
        <v>-</v>
      </c>
      <c r="G127" s="440" t="str">
        <f t="shared" ca="1" si="11"/>
        <v>-</v>
      </c>
      <c r="H127" s="440" t="str">
        <f ca="1">IF($A127="*","",IF($B127="PRC_NOFF",OFFSET(SUP!$B$57,$L127,SUMIF($B$9:$B$12,$B127,$M$9:$M$12))-1,OFFSET(H$8,K127,0)))</f>
        <v>-</v>
      </c>
      <c r="I127" s="440">
        <f ca="1">IF(LEFT(VLOOKUP("*#"&amp;K127,$A$9:$I$13,I$6,0),1)="#",OFFSET(SUP!$B$57,$L127,SUMIF($A$9:$A$13,"*#"&amp;$K127,$M$9:$M$13)),1)</f>
        <v>1</v>
      </c>
      <c r="J127" s="440"/>
      <c r="K127" s="42">
        <f>IF(L126=SUP!$B$104,K126+1,K126)</f>
        <v>3</v>
      </c>
      <c r="L127" s="42">
        <f t="shared" si="12"/>
        <v>19</v>
      </c>
    </row>
    <row r="128" spans="1:12">
      <c r="A128" s="42" t="str">
        <f ca="1">IF(OR(LEFT(OFFSET(SUP!$A$57,L128,0),2)="\I",I128=""),"*","")</f>
        <v/>
      </c>
      <c r="B128" s="440" t="str">
        <f t="shared" ca="1" si="9"/>
        <v>TOP-OUT</v>
      </c>
      <c r="C128" s="440" t="str">
        <f ca="1">OFFSET(SUP!$B$57,L128,0)</f>
        <v>IMPGRL</v>
      </c>
      <c r="D128" s="440" t="str">
        <f ca="1">IF($A128="*","",IF(LEFT($B128,3)="TOP",OFFSET(SUP!$D$57,$L128,0),"-"))</f>
        <v>GRL</v>
      </c>
      <c r="E128" s="440" t="str">
        <f ca="1">IF($A128="*","",IF($B128="PRC_ACTUNT",OFFSET(SUP!$B$57,$L128,SUMIF($B$9:$B$11,$B128,$M$9:$M$11)),"-"))</f>
        <v>-</v>
      </c>
      <c r="F128" s="440" t="str">
        <f t="shared" ca="1" si="10"/>
        <v>-</v>
      </c>
      <c r="G128" s="440" t="str">
        <f t="shared" ca="1" si="11"/>
        <v>-</v>
      </c>
      <c r="H128" s="440" t="str">
        <f ca="1">IF($A128="*","",IF($B128="PRC_NOFF",OFFSET(SUP!$B$57,$L128,SUMIF($B$9:$B$12,$B128,$M$9:$M$12))-1,OFFSET(H$8,K128,0)))</f>
        <v>-</v>
      </c>
      <c r="I128" s="440">
        <f ca="1">IF(LEFT(VLOOKUP("*#"&amp;K128,$A$9:$I$13,I$6,0),1)="#",OFFSET(SUP!$B$57,$L128,SUMIF($A$9:$A$13,"*#"&amp;$K128,$M$9:$M$13)),1)</f>
        <v>1</v>
      </c>
      <c r="J128" s="440"/>
      <c r="K128" s="42">
        <f>IF(L127=SUP!$B$104,K127+1,K127)</f>
        <v>3</v>
      </c>
      <c r="L128" s="42">
        <f t="shared" si="12"/>
        <v>20</v>
      </c>
    </row>
    <row r="129" spans="1:12">
      <c r="A129" s="42" t="str">
        <f ca="1">IF(OR(LEFT(OFFSET(SUP!$A$57,L129,0),2)="\I",I129=""),"*","")</f>
        <v/>
      </c>
      <c r="B129" s="440" t="str">
        <f t="shared" ca="1" si="9"/>
        <v>TOP-OUT</v>
      </c>
      <c r="C129" s="440" t="str">
        <f ca="1">OFFSET(SUP!$B$57,L129,0)</f>
        <v>IMPGWL</v>
      </c>
      <c r="D129" s="440" t="str">
        <f ca="1">IF($A129="*","",IF(LEFT($B129,3)="TOP",OFFSET(SUP!$D$57,$L129,0),"-"))</f>
        <v>GRL</v>
      </c>
      <c r="E129" s="440" t="str">
        <f ca="1">IF($A129="*","",IF($B129="PRC_ACTUNT",OFFSET(SUP!$B$57,$L129,SUMIF($B$9:$B$11,$B129,$M$9:$M$11)),"-"))</f>
        <v>-</v>
      </c>
      <c r="F129" s="440" t="str">
        <f t="shared" ca="1" si="10"/>
        <v>-</v>
      </c>
      <c r="G129" s="440" t="str">
        <f t="shared" ca="1" si="11"/>
        <v>-</v>
      </c>
      <c r="H129" s="440" t="str">
        <f ca="1">IF($A129="*","",IF($B129="PRC_NOFF",OFFSET(SUP!$B$57,$L129,SUMIF($B$9:$B$12,$B129,$M$9:$M$12))-1,OFFSET(H$8,K129,0)))</f>
        <v>-</v>
      </c>
      <c r="I129" s="440">
        <f ca="1">IF(LEFT(VLOOKUP("*#"&amp;K129,$A$9:$I$13,I$6,0),1)="#",OFFSET(SUP!$B$57,$L129,SUMIF($A$9:$A$13,"*#"&amp;$K129,$M$9:$M$13)),1)</f>
        <v>1</v>
      </c>
      <c r="J129" s="440"/>
      <c r="K129" s="42">
        <f>IF(L128=SUP!$B$104,K128+1,K128)</f>
        <v>3</v>
      </c>
      <c r="L129" s="42">
        <f t="shared" si="12"/>
        <v>21</v>
      </c>
    </row>
    <row r="130" spans="1:12">
      <c r="A130" s="42" t="str">
        <f ca="1">IF(OR(LEFT(OFFSET(SUP!$A$57,L130,0),2)="\I",I130=""),"*","")</f>
        <v/>
      </c>
      <c r="B130" s="440" t="str">
        <f t="shared" ca="1" si="9"/>
        <v>TOP-OUT</v>
      </c>
      <c r="C130" s="440" t="str">
        <f ca="1">OFFSET(SUP!$B$57,L130,0)</f>
        <v>IMPNUC</v>
      </c>
      <c r="D130" s="440" t="str">
        <f ca="1">IF($A130="*","",IF(LEFT($B130,3)="TOP",OFFSET(SUP!$D$57,$L130,0),"-"))</f>
        <v>NUC</v>
      </c>
      <c r="E130" s="440" t="str">
        <f ca="1">IF($A130="*","",IF($B130="PRC_ACTUNT",OFFSET(SUP!$B$57,$L130,SUMIF($B$9:$B$11,$B130,$M$9:$M$11)),"-"))</f>
        <v>-</v>
      </c>
      <c r="F130" s="440" t="str">
        <f t="shared" ca="1" si="10"/>
        <v>-</v>
      </c>
      <c r="G130" s="440" t="str">
        <f t="shared" ca="1" si="11"/>
        <v>-</v>
      </c>
      <c r="H130" s="440" t="str">
        <f ca="1">IF($A130="*","",IF($B130="PRC_NOFF",OFFSET(SUP!$B$57,$L130,SUMIF($B$9:$B$12,$B130,$M$9:$M$12))-1,OFFSET(H$8,K130,0)))</f>
        <v>-</v>
      </c>
      <c r="I130" s="440">
        <f ca="1">IF(LEFT(VLOOKUP("*#"&amp;K130,$A$9:$I$13,I$6,0),1)="#",OFFSET(SUP!$B$57,$L130,SUMIF($A$9:$A$13,"*#"&amp;$K130,$M$9:$M$13)),1)</f>
        <v>1</v>
      </c>
      <c r="J130" s="440"/>
      <c r="K130" s="42">
        <f>IF(L129=SUP!$B$104,K129+1,K129)</f>
        <v>3</v>
      </c>
      <c r="L130" s="42">
        <f t="shared" si="12"/>
        <v>22</v>
      </c>
    </row>
    <row r="131" spans="1:12">
      <c r="A131" s="42" t="str">
        <f ca="1">IF(OR(LEFT(OFFSET(SUP!$A$57,L131,0),2)="\I",I131=""),"*","")</f>
        <v/>
      </c>
      <c r="B131" s="440" t="str">
        <f t="shared" ca="1" si="9"/>
        <v>TOP-OUT</v>
      </c>
      <c r="C131" s="440" t="str">
        <f ca="1">OFFSET(SUP!$B$57,L131,0)</f>
        <v>IMPOAG</v>
      </c>
      <c r="D131" s="440" t="str">
        <f ca="1">IF($A131="*","",IF(LEFT($B131,3)="TOP",OFFSET(SUP!$D$57,$L131,0),"-"))</f>
        <v>OAG</v>
      </c>
      <c r="E131" s="440" t="str">
        <f ca="1">IF($A131="*","",IF($B131="PRC_ACTUNT",OFFSET(SUP!$B$57,$L131,SUMIF($B$9:$B$11,$B131,$M$9:$M$11)),"-"))</f>
        <v>-</v>
      </c>
      <c r="F131" s="440" t="str">
        <f t="shared" ca="1" si="10"/>
        <v>-</v>
      </c>
      <c r="G131" s="440" t="str">
        <f t="shared" ca="1" si="11"/>
        <v>-</v>
      </c>
      <c r="H131" s="440" t="str">
        <f ca="1">IF($A131="*","",IF($B131="PRC_NOFF",OFFSET(SUP!$B$57,$L131,SUMIF($B$9:$B$12,$B131,$M$9:$M$12))-1,OFFSET(H$8,K131,0)))</f>
        <v>-</v>
      </c>
      <c r="I131" s="440">
        <f ca="1">IF(LEFT(VLOOKUP("*#"&amp;K131,$A$9:$I$13,I$6,0),1)="#",OFFSET(SUP!$B$57,$L131,SUMIF($A$9:$A$13,"*#"&amp;$K131,$M$9:$M$13)),1)</f>
        <v>1</v>
      </c>
      <c r="J131" s="440"/>
      <c r="K131" s="42">
        <f>IF(L130=SUP!$B$104,K130+1,K130)</f>
        <v>3</v>
      </c>
      <c r="L131" s="42">
        <f t="shared" si="12"/>
        <v>23</v>
      </c>
    </row>
    <row r="132" spans="1:12">
      <c r="A132" s="42" t="str">
        <f ca="1">IF(OR(LEFT(OFFSET(SUP!$A$57,L132,0),2)="\I",I132=""),"*","")</f>
        <v/>
      </c>
      <c r="B132" s="440" t="str">
        <f t="shared" ca="1" si="9"/>
        <v>TOP-OUT</v>
      </c>
      <c r="C132" s="440" t="str">
        <f ca="1">OFFSET(SUP!$B$57,L132,0)</f>
        <v>IMPOCR</v>
      </c>
      <c r="D132" s="440" t="str">
        <f ca="1">IF($A132="*","",IF(LEFT($B132,3)="TOP",OFFSET(SUP!$D$57,$L132,0),"-"))</f>
        <v>OCR</v>
      </c>
      <c r="E132" s="440" t="str">
        <f ca="1">IF($A132="*","",IF($B132="PRC_ACTUNT",OFFSET(SUP!$B$57,$L132,SUMIF($B$9:$B$11,$B132,$M$9:$M$11)),"-"))</f>
        <v>-</v>
      </c>
      <c r="F132" s="440" t="str">
        <f t="shared" ca="1" si="10"/>
        <v>-</v>
      </c>
      <c r="G132" s="440" t="str">
        <f t="shared" ca="1" si="11"/>
        <v>-</v>
      </c>
      <c r="H132" s="440" t="str">
        <f ca="1">IF($A132="*","",IF($B132="PRC_NOFF",OFFSET(SUP!$B$57,$L132,SUMIF($B$9:$B$12,$B132,$M$9:$M$12))-1,OFFSET(H$8,K132,0)))</f>
        <v>-</v>
      </c>
      <c r="I132" s="440">
        <f ca="1">IF(LEFT(VLOOKUP("*#"&amp;K132,$A$9:$I$13,I$6,0),1)="#",OFFSET(SUP!$B$57,$L132,SUMIF($A$9:$A$13,"*#"&amp;$K132,$M$9:$M$13)),1)</f>
        <v>1</v>
      </c>
      <c r="J132" s="440"/>
      <c r="K132" s="42">
        <f>IF(L131=SUP!$B$104,K131+1,K131)</f>
        <v>3</v>
      </c>
      <c r="L132" s="42">
        <f t="shared" si="12"/>
        <v>24</v>
      </c>
    </row>
    <row r="133" spans="1:12">
      <c r="A133" s="42" t="str">
        <f ca="1">IF(OR(LEFT(OFFSET(SUP!$A$57,L133,0),2)="\I",I133=""),"*","")</f>
        <v/>
      </c>
      <c r="B133" s="440" t="str">
        <f t="shared" ca="1" si="9"/>
        <v>TOP-OUT</v>
      </c>
      <c r="C133" s="440" t="str">
        <f ca="1">OFFSET(SUP!$B$57,L133,0)</f>
        <v>IMPODS</v>
      </c>
      <c r="D133" s="440" t="str">
        <f ca="1">IF($A133="*","",IF(LEFT($B133,3)="TOP",OFFSET(SUP!$D$57,$L133,0),"-"))</f>
        <v>ODS</v>
      </c>
      <c r="E133" s="440" t="str">
        <f ca="1">IF($A133="*","",IF($B133="PRC_ACTUNT",OFFSET(SUP!$B$57,$L133,SUMIF($B$9:$B$11,$B133,$M$9:$M$11)),"-"))</f>
        <v>-</v>
      </c>
      <c r="F133" s="440" t="str">
        <f t="shared" ca="1" si="10"/>
        <v>-</v>
      </c>
      <c r="G133" s="440" t="str">
        <f t="shared" ca="1" si="11"/>
        <v>-</v>
      </c>
      <c r="H133" s="440" t="str">
        <f ca="1">IF($A133="*","",IF($B133="PRC_NOFF",OFFSET(SUP!$B$57,$L133,SUMIF($B$9:$B$12,$B133,$M$9:$M$12))-1,OFFSET(H$8,K133,0)))</f>
        <v>-</v>
      </c>
      <c r="I133" s="440">
        <f ca="1">IF(LEFT(VLOOKUP("*#"&amp;K133,$A$9:$I$13,I$6,0),1)="#",OFFSET(SUP!$B$57,$L133,SUMIF($A$9:$A$13,"*#"&amp;$K133,$M$9:$M$13)),1)</f>
        <v>1</v>
      </c>
      <c r="J133" s="440"/>
      <c r="K133" s="42">
        <f>IF(L132=SUP!$B$104,K132+1,K132)</f>
        <v>3</v>
      </c>
      <c r="L133" s="42">
        <f t="shared" si="12"/>
        <v>25</v>
      </c>
    </row>
    <row r="134" spans="1:12">
      <c r="A134" s="42" t="str">
        <f ca="1">IF(OR(LEFT(OFFSET(SUP!$A$57,L134,0),2)="\I",I134=""),"*","")</f>
        <v/>
      </c>
      <c r="B134" s="440" t="str">
        <f t="shared" ca="1" si="9"/>
        <v>TOP-OUT</v>
      </c>
      <c r="C134" s="440" t="str">
        <f ca="1">OFFSET(SUP!$B$57,L134,0)</f>
        <v>IMPOGS</v>
      </c>
      <c r="D134" s="440" t="str">
        <f ca="1">IF($A134="*","",IF(LEFT($B134,3)="TOP",OFFSET(SUP!$D$57,$L134,0),"-"))</f>
        <v>OGS</v>
      </c>
      <c r="E134" s="440" t="str">
        <f ca="1">IF($A134="*","",IF($B134="PRC_ACTUNT",OFFSET(SUP!$B$57,$L134,SUMIF($B$9:$B$11,$B134,$M$9:$M$11)),"-"))</f>
        <v>-</v>
      </c>
      <c r="F134" s="440" t="str">
        <f t="shared" ca="1" si="10"/>
        <v>-</v>
      </c>
      <c r="G134" s="440" t="str">
        <f t="shared" ca="1" si="11"/>
        <v>-</v>
      </c>
      <c r="H134" s="440" t="str">
        <f ca="1">IF($A134="*","",IF($B134="PRC_NOFF",OFFSET(SUP!$B$57,$L134,SUMIF($B$9:$B$12,$B134,$M$9:$M$12))-1,OFFSET(H$8,K134,0)))</f>
        <v>-</v>
      </c>
      <c r="I134" s="440">
        <f ca="1">IF(LEFT(VLOOKUP("*#"&amp;K134,$A$9:$I$13,I$6,0),1)="#",OFFSET(SUP!$B$57,$L134,SUMIF($A$9:$A$13,"*#"&amp;$K134,$M$9:$M$13)),1)</f>
        <v>1</v>
      </c>
      <c r="J134" s="440"/>
      <c r="K134" s="42">
        <f>IF(L133=SUP!$B$104,K133+1,K133)</f>
        <v>3</v>
      </c>
      <c r="L134" s="42">
        <f t="shared" si="12"/>
        <v>26</v>
      </c>
    </row>
    <row r="135" spans="1:12">
      <c r="A135" s="42" t="str">
        <f ca="1">IF(OR(LEFT(OFFSET(SUP!$A$57,L135,0),2)="\I",I135=""),"*","")</f>
        <v/>
      </c>
      <c r="B135" s="440" t="str">
        <f t="shared" ca="1" si="9"/>
        <v>TOP-OUT</v>
      </c>
      <c r="C135" s="440" t="str">
        <f ca="1">OFFSET(SUP!$B$57,L135,0)</f>
        <v>IMPOHF</v>
      </c>
      <c r="D135" s="440" t="str">
        <f ca="1">IF($A135="*","",IF(LEFT($B135,3)="TOP",OFFSET(SUP!$D$57,$L135,0),"-"))</f>
        <v>OHF</v>
      </c>
      <c r="E135" s="440" t="str">
        <f ca="1">IF($A135="*","",IF($B135="PRC_ACTUNT",OFFSET(SUP!$B$57,$L135,SUMIF($B$9:$B$11,$B135,$M$9:$M$11)),"-"))</f>
        <v>-</v>
      </c>
      <c r="F135" s="440" t="str">
        <f t="shared" ca="1" si="10"/>
        <v>-</v>
      </c>
      <c r="G135" s="440" t="str">
        <f t="shared" ca="1" si="11"/>
        <v>-</v>
      </c>
      <c r="H135" s="440" t="str">
        <f ca="1">IF($A135="*","",IF($B135="PRC_NOFF",OFFSET(SUP!$B$57,$L135,SUMIF($B$9:$B$12,$B135,$M$9:$M$12))-1,OFFSET(H$8,K135,0)))</f>
        <v>-</v>
      </c>
      <c r="I135" s="440">
        <f ca="1">IF(LEFT(VLOOKUP("*#"&amp;K135,$A$9:$I$13,I$6,0),1)="#",OFFSET(SUP!$B$57,$L135,SUMIF($A$9:$A$13,"*#"&amp;$K135,$M$9:$M$13)),1)</f>
        <v>1</v>
      </c>
      <c r="J135" s="440"/>
      <c r="K135" s="42">
        <f>IF(L134=SUP!$B$104,K134+1,K134)</f>
        <v>3</v>
      </c>
      <c r="L135" s="42">
        <f t="shared" si="12"/>
        <v>27</v>
      </c>
    </row>
    <row r="136" spans="1:12">
      <c r="A136" s="42" t="str">
        <f ca="1">IF(OR(LEFT(OFFSET(SUP!$A$57,L136,0),2)="\I",I136=""),"*","")</f>
        <v/>
      </c>
      <c r="B136" s="440" t="str">
        <f t="shared" ca="1" si="9"/>
        <v>TOP-OUT</v>
      </c>
      <c r="C136" s="440" t="str">
        <f ca="1">OFFSET(SUP!$B$57,L136,0)</f>
        <v>IMPOLP</v>
      </c>
      <c r="D136" s="440" t="str">
        <f ca="1">IF($A136="*","",IF(LEFT($B136,3)="TOP",OFFSET(SUP!$D$57,$L136,0),"-"))</f>
        <v>OLP</v>
      </c>
      <c r="E136" s="440" t="str">
        <f ca="1">IF($A136="*","",IF($B136="PRC_ACTUNT",OFFSET(SUP!$B$57,$L136,SUMIF($B$9:$B$11,$B136,$M$9:$M$11)),"-"))</f>
        <v>-</v>
      </c>
      <c r="F136" s="440" t="str">
        <f t="shared" ca="1" si="10"/>
        <v>-</v>
      </c>
      <c r="G136" s="440" t="str">
        <f t="shared" ca="1" si="11"/>
        <v>-</v>
      </c>
      <c r="H136" s="440" t="str">
        <f ca="1">IF($A136="*","",IF($B136="PRC_NOFF",OFFSET(SUP!$B$57,$L136,SUMIF($B$9:$B$12,$B136,$M$9:$M$12))-1,OFFSET(H$8,K136,0)))</f>
        <v>-</v>
      </c>
      <c r="I136" s="440">
        <f ca="1">IF(LEFT(VLOOKUP("*#"&amp;K136,$A$9:$I$13,I$6,0),1)="#",OFFSET(SUP!$B$57,$L136,SUMIF($A$9:$A$13,"*#"&amp;$K136,$M$9:$M$13)),1)</f>
        <v>1</v>
      </c>
      <c r="J136" s="440"/>
      <c r="K136" s="42">
        <f>IF(L135=SUP!$B$104,K135+1,K135)</f>
        <v>3</v>
      </c>
      <c r="L136" s="42">
        <f t="shared" si="12"/>
        <v>28</v>
      </c>
    </row>
    <row r="137" spans="1:12">
      <c r="A137" s="42" t="str">
        <f ca="1">IF(OR(LEFT(OFFSET(SUP!$A$57,L137,0),2)="\I",I137=""),"*","")</f>
        <v/>
      </c>
      <c r="B137" s="440" t="str">
        <f t="shared" ca="1" si="9"/>
        <v>TOP-OUT</v>
      </c>
      <c r="C137" s="440" t="str">
        <f ca="1">OFFSET(SUP!$B$57,L137,0)</f>
        <v>IMPOKE</v>
      </c>
      <c r="D137" s="440" t="str">
        <f ca="1">IF($A137="*","",IF(LEFT($B137,3)="TOP",OFFSET(SUP!$D$57,$L137,0),"-"))</f>
        <v>OKE</v>
      </c>
      <c r="E137" s="440" t="str">
        <f ca="1">IF($A137="*","",IF($B137="PRC_ACTUNT",OFFSET(SUP!$B$57,$L137,SUMIF($B$9:$B$11,$B137,$M$9:$M$11)),"-"))</f>
        <v>-</v>
      </c>
      <c r="F137" s="440" t="str">
        <f t="shared" ca="1" si="10"/>
        <v>-</v>
      </c>
      <c r="G137" s="440" t="str">
        <f t="shared" ca="1" si="11"/>
        <v>-</v>
      </c>
      <c r="H137" s="440" t="str">
        <f ca="1">IF($A137="*","",IF($B137="PRC_NOFF",OFFSET(SUP!$B$57,$L137,SUMIF($B$9:$B$12,$B137,$M$9:$M$12))-1,OFFSET(H$8,K137,0)))</f>
        <v>-</v>
      </c>
      <c r="I137" s="440">
        <f ca="1">IF(LEFT(VLOOKUP("*#"&amp;K137,$A$9:$I$13,I$6,0),1)="#",OFFSET(SUP!$B$57,$L137,SUMIF($A$9:$A$13,"*#"&amp;$K137,$M$9:$M$13)),1)</f>
        <v>1</v>
      </c>
      <c r="J137" s="440"/>
      <c r="K137" s="42">
        <f>IF(L136=SUP!$B$104,K136+1,K136)</f>
        <v>3</v>
      </c>
      <c r="L137" s="42">
        <f t="shared" si="12"/>
        <v>29</v>
      </c>
    </row>
    <row r="138" spans="1:12">
      <c r="A138" s="42" t="str">
        <f ca="1">IF(OR(LEFT(OFFSET(SUP!$A$57,L138,0),2)="\I",I138=""),"*","")</f>
        <v/>
      </c>
      <c r="B138" s="440" t="str">
        <f t="shared" ca="1" si="9"/>
        <v>TOP-OUT</v>
      </c>
      <c r="C138" s="440" t="str">
        <f ca="1">OFFSET(SUP!$B$57,L138,0)</f>
        <v>IMPBID</v>
      </c>
      <c r="D138" s="440" t="str">
        <f ca="1">IF($A138="*","",IF(LEFT($B138,3)="TOP",OFFSET(SUP!$D$57,$L138,0),"-"))</f>
        <v>BID</v>
      </c>
      <c r="E138" s="440" t="str">
        <f ca="1">IF($A138="*","",IF($B138="PRC_ACTUNT",OFFSET(SUP!$B$57,$L138,SUMIF($B$9:$B$11,$B138,$M$9:$M$11)),"-"))</f>
        <v>-</v>
      </c>
      <c r="F138" s="440" t="str">
        <f t="shared" ca="1" si="10"/>
        <v>-</v>
      </c>
      <c r="G138" s="440" t="str">
        <f t="shared" ca="1" si="11"/>
        <v>-</v>
      </c>
      <c r="H138" s="440" t="str">
        <f ca="1">IF($A138="*","",IF($B138="PRC_NOFF",OFFSET(SUP!$B$57,$L138,SUMIF($B$9:$B$12,$B138,$M$9:$M$12))-1,OFFSET(H$8,K138,0)))</f>
        <v>-</v>
      </c>
      <c r="I138" s="440">
        <f ca="1">IF(LEFT(VLOOKUP("*#"&amp;K138,$A$9:$I$13,I$6,0),1)="#",OFFSET(SUP!$B$57,$L138,SUMIF($A$9:$A$13,"*#"&amp;$K138,$M$9:$M$13)),1)</f>
        <v>1</v>
      </c>
      <c r="J138" s="440"/>
      <c r="K138" s="42">
        <f>IF(L137=SUP!$B$104,K137+1,K137)</f>
        <v>3</v>
      </c>
      <c r="L138" s="42">
        <f t="shared" si="12"/>
        <v>30</v>
      </c>
    </row>
    <row r="139" spans="1:12">
      <c r="A139" s="42" t="str">
        <f ca="1">IF(OR(LEFT(OFFSET(SUP!$A$57,L139,0),2)="\I",I139=""),"*","")</f>
        <v/>
      </c>
      <c r="B139" s="440" t="str">
        <f t="shared" ca="1" si="9"/>
        <v>TOP-OUT</v>
      </c>
      <c r="C139" s="440" t="str">
        <f ca="1">OFFSET(SUP!$B$57,L139,0)</f>
        <v>IMPBIE</v>
      </c>
      <c r="D139" s="440" t="str">
        <f ca="1">IF($A139="*","",IF(LEFT($B139,3)="TOP",OFFSET(SUP!$D$57,$L139,0),"-"))</f>
        <v>BIE</v>
      </c>
      <c r="E139" s="440" t="str">
        <f ca="1">IF($A139="*","",IF($B139="PRC_ACTUNT",OFFSET(SUP!$B$57,$L139,SUMIF($B$9:$B$11,$B139,$M$9:$M$11)),"-"))</f>
        <v>-</v>
      </c>
      <c r="F139" s="440" t="str">
        <f t="shared" ca="1" si="10"/>
        <v>-</v>
      </c>
      <c r="G139" s="440" t="str">
        <f t="shared" ca="1" si="11"/>
        <v>-</v>
      </c>
      <c r="H139" s="440" t="str">
        <f ca="1">IF($A139="*","",IF($B139="PRC_NOFF",OFFSET(SUP!$B$57,$L139,SUMIF($B$9:$B$12,$B139,$M$9:$M$12))-1,OFFSET(H$8,K139,0)))</f>
        <v>-</v>
      </c>
      <c r="I139" s="440">
        <f ca="1">IF(LEFT(VLOOKUP("*#"&amp;K139,$A$9:$I$13,I$6,0),1)="#",OFFSET(SUP!$B$57,$L139,SUMIF($A$9:$A$13,"*#"&amp;$K139,$M$9:$M$13)),1)</f>
        <v>1</v>
      </c>
      <c r="J139" s="440"/>
      <c r="K139" s="42">
        <f>IF(L138=SUP!$B$104,K138+1,K138)</f>
        <v>3</v>
      </c>
      <c r="L139" s="42">
        <f t="shared" si="12"/>
        <v>31</v>
      </c>
    </row>
    <row r="140" spans="1:12">
      <c r="A140" s="42" t="str">
        <f ca="1">IF(OR(LEFT(OFFSET(SUP!$A$57,L140,0),2)="\I",I140=""),"*","")</f>
        <v>*</v>
      </c>
      <c r="B140" s="440" t="str">
        <f t="shared" ca="1" si="9"/>
        <v>TOP-OUT</v>
      </c>
      <c r="C140" s="440">
        <f ca="1">OFFSET(SUP!$B$57,L140,0)</f>
        <v>0</v>
      </c>
      <c r="D140" s="440" t="str">
        <f ca="1">IF($A140="*","",IF(LEFT($B140,3)="TOP",OFFSET(SUP!$D$57,$L140,0),"-"))</f>
        <v/>
      </c>
      <c r="E140" s="440" t="str">
        <f ca="1">IF($A140="*","",IF($B140="PRC_ACTUNT",OFFSET(SUP!$B$57,$L140,SUMIF($B$9:$B$11,$B140,$M$9:$M$11)),"-"))</f>
        <v/>
      </c>
      <c r="F140" s="440" t="str">
        <f t="shared" ca="1" si="10"/>
        <v>-</v>
      </c>
      <c r="G140" s="440" t="str">
        <f t="shared" ca="1" si="11"/>
        <v/>
      </c>
      <c r="H140" s="440" t="str">
        <f ca="1">IF($A140="*","",IF($B140="PRC_NOFF",OFFSET(SUP!$B$57,$L140,SUMIF($B$9:$B$12,$B140,$M$9:$M$12))-1,OFFSET(H$8,K140,0)))</f>
        <v/>
      </c>
      <c r="I140" s="440">
        <f ca="1">IF(LEFT(VLOOKUP("*#"&amp;K140,$A$9:$I$13,I$6,0),1)="#",OFFSET(SUP!$B$57,$L140,SUMIF($A$9:$A$13,"*#"&amp;$K140,$M$9:$M$13)),1)</f>
        <v>1</v>
      </c>
      <c r="J140" s="440"/>
      <c r="K140" s="42">
        <f>IF(L139=SUP!$B$104,K139+1,K139)</f>
        <v>3</v>
      </c>
      <c r="L140" s="42">
        <f t="shared" si="12"/>
        <v>32</v>
      </c>
    </row>
    <row r="141" spans="1:12">
      <c r="A141" s="42" t="str">
        <f ca="1">IF(OR(LEFT(OFFSET(SUP!$A$57,L141,0),2)="\I",I141=""),"*","")</f>
        <v/>
      </c>
      <c r="B141" s="440" t="str">
        <f t="shared" ca="1" si="9"/>
        <v>TOP-OUT</v>
      </c>
      <c r="C141" s="440" t="str">
        <f ca="1">OFFSET(SUP!$B$57,L141,0)</f>
        <v>MIRCRB</v>
      </c>
      <c r="D141" s="440" t="str">
        <f ca="1">IF($A141="*","",IF(LEFT($B141,3)="TOP",OFFSET(SUP!$D$57,$L141,0),"-"))</f>
        <v>CRB</v>
      </c>
      <c r="E141" s="440" t="str">
        <f ca="1">IF($A141="*","",IF($B141="PRC_ACTUNT",OFFSET(SUP!$B$57,$L141,SUMIF($B$9:$B$11,$B141,$M$9:$M$11)),"-"))</f>
        <v>-</v>
      </c>
      <c r="F141" s="440" t="str">
        <f t="shared" ca="1" si="10"/>
        <v>-</v>
      </c>
      <c r="G141" s="440" t="str">
        <f t="shared" ca="1" si="11"/>
        <v>-</v>
      </c>
      <c r="H141" s="440" t="str">
        <f ca="1">IF($A141="*","",IF($B141="PRC_NOFF",OFFSET(SUP!$B$57,$L141,SUMIF($B$9:$B$12,$B141,$M$9:$M$12))-1,OFFSET(H$8,K141,0)))</f>
        <v>-</v>
      </c>
      <c r="I141" s="440">
        <f ca="1">IF(LEFT(VLOOKUP("*#"&amp;K141,$A$9:$I$13,I$6,0),1)="#",OFFSET(SUP!$B$57,$L141,SUMIF($A$9:$A$13,"*#"&amp;$K141,$M$9:$M$13)),1)</f>
        <v>1</v>
      </c>
      <c r="J141" s="440"/>
      <c r="K141" s="42">
        <f>IF(L140=SUP!$B$104,K140+1,K140)</f>
        <v>3</v>
      </c>
      <c r="L141" s="42">
        <f t="shared" si="12"/>
        <v>33</v>
      </c>
    </row>
    <row r="142" spans="1:12">
      <c r="A142" s="42" t="str">
        <f ca="1">IF(OR(LEFT(OFFSET(SUP!$A$57,L142,0),2)="\I",I142=""),"*","")</f>
        <v/>
      </c>
      <c r="B142" s="440" t="str">
        <f t="shared" ca="1" si="9"/>
        <v>TOP-OUT</v>
      </c>
      <c r="C142" s="440" t="str">
        <f ca="1">OFFSET(SUP!$B$57,L142,0)</f>
        <v>MIRGRN</v>
      </c>
      <c r="D142" s="440" t="str">
        <f ca="1">IF($A142="*","",IF(LEFT($B142,3)="TOP",OFFSET(SUP!$D$57,$L142,0),"-"))</f>
        <v>GRN</v>
      </c>
      <c r="E142" s="440" t="str">
        <f ca="1">IF($A142="*","",IF($B142="PRC_ACTUNT",OFFSET(SUP!$B$57,$L142,SUMIF($B$9:$B$11,$B142,$M$9:$M$11)),"-"))</f>
        <v>-</v>
      </c>
      <c r="F142" s="440" t="str">
        <f t="shared" ca="1" si="10"/>
        <v>-</v>
      </c>
      <c r="G142" s="440" t="str">
        <f t="shared" ca="1" si="11"/>
        <v>-</v>
      </c>
      <c r="H142" s="440" t="str">
        <f ca="1">IF($A142="*","",IF($B142="PRC_NOFF",OFFSET(SUP!$B$57,$L142,SUMIF($B$9:$B$12,$B142,$M$9:$M$12))-1,OFFSET(H$8,K142,0)))</f>
        <v>-</v>
      </c>
      <c r="I142" s="440">
        <f ca="1">IF(LEFT(VLOOKUP("*#"&amp;K142,$A$9:$I$13,I$6,0),1)="#",OFFSET(SUP!$B$57,$L142,SUMIF($A$9:$A$13,"*#"&amp;$K142,$M$9:$M$13)),1)</f>
        <v>1</v>
      </c>
      <c r="J142" s="440"/>
      <c r="K142" s="42">
        <f>IF(L141=SUP!$B$104,K141+1,K141)</f>
        <v>3</v>
      </c>
      <c r="L142" s="42">
        <f t="shared" si="12"/>
        <v>34</v>
      </c>
    </row>
    <row r="143" spans="1:12">
      <c r="A143" s="42" t="str">
        <f ca="1">IF(OR(LEFT(OFFSET(SUP!$A$57,L143,0),2)="\I",I143=""),"*","")</f>
        <v/>
      </c>
      <c r="B143" s="440" t="str">
        <f t="shared" ca="1" si="9"/>
        <v>TOP-OUT</v>
      </c>
      <c r="C143" s="440" t="str">
        <f ca="1">OFFSET(SUP!$B$57,L143,0)</f>
        <v>MIRGRS</v>
      </c>
      <c r="D143" s="440" t="str">
        <f ca="1">IF($A143="*","",IF(LEFT($B143,3)="TOP",OFFSET(SUP!$D$57,$L143,0),"-"))</f>
        <v>GRS</v>
      </c>
      <c r="E143" s="440" t="str">
        <f ca="1">IF($A143="*","",IF($B143="PRC_ACTUNT",OFFSET(SUP!$B$57,$L143,SUMIF($B$9:$B$11,$B143,$M$9:$M$11)),"-"))</f>
        <v>-</v>
      </c>
      <c r="F143" s="440" t="str">
        <f t="shared" ca="1" si="10"/>
        <v>-</v>
      </c>
      <c r="G143" s="440" t="str">
        <f t="shared" ca="1" si="11"/>
        <v>-</v>
      </c>
      <c r="H143" s="440" t="str">
        <f ca="1">IF($A143="*","",IF($B143="PRC_NOFF",OFFSET(SUP!$B$57,$L143,SUMIF($B$9:$B$12,$B143,$M$9:$M$12))-1,OFFSET(H$8,K143,0)))</f>
        <v>-</v>
      </c>
      <c r="I143" s="440">
        <f ca="1">IF(LEFT(VLOOKUP("*#"&amp;K143,$A$9:$I$13,I$6,0),1)="#",OFFSET(SUP!$B$57,$L143,SUMIF($A$9:$A$13,"*#"&amp;$K143,$M$9:$M$13)),1)</f>
        <v>1</v>
      </c>
      <c r="J143" s="440"/>
      <c r="K143" s="42">
        <f>IF(L142=SUP!$B$104,K142+1,K142)</f>
        <v>3</v>
      </c>
      <c r="L143" s="42">
        <f t="shared" si="12"/>
        <v>35</v>
      </c>
    </row>
    <row r="144" spans="1:12">
      <c r="A144" s="42" t="str">
        <f ca="1">IF(OR(LEFT(OFFSET(SUP!$A$57,L144,0),2)="\I",I144=""),"*","")</f>
        <v/>
      </c>
      <c r="B144" s="440" t="str">
        <f t="shared" ca="1" si="9"/>
        <v>TOP-OUT</v>
      </c>
      <c r="C144" s="440" t="str">
        <f ca="1">OFFSET(SUP!$B$57,L144,0)</f>
        <v>MIRGRM</v>
      </c>
      <c r="D144" s="440" t="str">
        <f ca="1">IF($A144="*","",IF(LEFT($B144,3)="TOP",OFFSET(SUP!$D$57,$L144,0),"-"))</f>
        <v>GRM</v>
      </c>
      <c r="E144" s="440" t="str">
        <f ca="1">IF($A144="*","",IF($B144="PRC_ACTUNT",OFFSET(SUP!$B$57,$L144,SUMIF($B$9:$B$11,$B144,$M$9:$M$11)),"-"))</f>
        <v>-</v>
      </c>
      <c r="F144" s="440" t="str">
        <f t="shared" ca="1" si="10"/>
        <v>-</v>
      </c>
      <c r="G144" s="440" t="str">
        <f t="shared" ca="1" si="11"/>
        <v>-</v>
      </c>
      <c r="H144" s="440" t="str">
        <f ca="1">IF($A144="*","",IF($B144="PRC_NOFF",OFFSET(SUP!$B$57,$L144,SUMIF($B$9:$B$12,$B144,$M$9:$M$12))-1,OFFSET(H$8,K144,0)))</f>
        <v>-</v>
      </c>
      <c r="I144" s="440">
        <f ca="1">IF(LEFT(VLOOKUP("*#"&amp;K144,$A$9:$I$13,I$6,0),1)="#",OFFSET(SUP!$B$57,$L144,SUMIF($A$9:$A$13,"*#"&amp;$K144,$M$9:$M$13)),1)</f>
        <v>1</v>
      </c>
      <c r="J144" s="440"/>
      <c r="K144" s="42">
        <f>IF(L143=SUP!$B$104,K143+1,K143)</f>
        <v>3</v>
      </c>
      <c r="L144" s="42">
        <f t="shared" si="12"/>
        <v>36</v>
      </c>
    </row>
    <row r="145" spans="1:12">
      <c r="A145" s="42" t="str">
        <f ca="1">IF(OR(LEFT(OFFSET(SUP!$A$57,L145,0),2)="\I",I145=""),"*","")</f>
        <v>*</v>
      </c>
      <c r="B145" s="440" t="str">
        <f t="shared" ca="1" si="9"/>
        <v>TOP-OUT</v>
      </c>
      <c r="C145" s="440">
        <f ca="1">OFFSET(SUP!$B$57,L145,0)</f>
        <v>-0.95</v>
      </c>
      <c r="D145" s="440" t="str">
        <f ca="1">IF($A145="*","",IF(LEFT($B145,3)="TOP",OFFSET(SUP!$D$57,$L145,0),"-"))</f>
        <v/>
      </c>
      <c r="E145" s="440" t="str">
        <f ca="1">IF($A145="*","",IF($B145="PRC_ACTUNT",OFFSET(SUP!$B$57,$L145,SUMIF($B$9:$B$11,$B145,$M$9:$M$11)),"-"))</f>
        <v/>
      </c>
      <c r="F145" s="440" t="str">
        <f t="shared" ca="1" si="10"/>
        <v>-</v>
      </c>
      <c r="G145" s="440" t="str">
        <f t="shared" ca="1" si="11"/>
        <v/>
      </c>
      <c r="H145" s="440" t="str">
        <f ca="1">IF($A145="*","",IF($B145="PRC_NOFF",OFFSET(SUP!$B$57,$L145,SUMIF($B$9:$B$12,$B145,$M$9:$M$12))-1,OFFSET(H$8,K145,0)))</f>
        <v/>
      </c>
      <c r="I145" s="440">
        <f ca="1">IF(LEFT(VLOOKUP("*#"&amp;K145,$A$9:$I$13,I$6,0),1)="#",OFFSET(SUP!$B$57,$L145,SUMIF($A$9:$A$13,"*#"&amp;$K145,$M$9:$M$13)),1)</f>
        <v>1</v>
      </c>
      <c r="J145" s="440"/>
      <c r="K145" s="42">
        <f>IF(L144=SUP!$B$104,K144+1,K144)</f>
        <v>3</v>
      </c>
      <c r="L145" s="42">
        <f t="shared" si="12"/>
        <v>37</v>
      </c>
    </row>
    <row r="146" spans="1:12">
      <c r="A146" s="42" t="str">
        <f ca="1">IF(OR(LEFT(OFFSET(SUP!$A$57,L146,0),2)="\I",I146=""),"*","")</f>
        <v/>
      </c>
      <c r="B146" s="440" t="str">
        <f t="shared" ca="1" si="9"/>
        <v>TOP-IN</v>
      </c>
      <c r="C146" s="440" t="str">
        <f ca="1">OFFSET(SUP!$B$57,L146,0)</f>
        <v>PEXELC</v>
      </c>
      <c r="D146" s="440" t="str">
        <f ca="1">IF($A146="*","",IF(LEFT($B146,3)="TOP",OFFSET(SUP!$D$57,$L146,0),"-"))</f>
        <v>ELC</v>
      </c>
      <c r="E146" s="440" t="str">
        <f ca="1">IF($A146="*","",IF($B146="PRC_ACTUNT",OFFSET(SUP!$B$57,$L146,SUMIF($B$9:$B$11,$B146,$M$9:$M$11)),"-"))</f>
        <v>-</v>
      </c>
      <c r="F146" s="440" t="str">
        <f t="shared" ca="1" si="10"/>
        <v>-</v>
      </c>
      <c r="G146" s="440" t="str">
        <f t="shared" ca="1" si="11"/>
        <v>-</v>
      </c>
      <c r="H146" s="440" t="str">
        <f ca="1">IF($A146="*","",IF($B146="PRC_NOFF",OFFSET(SUP!$B$57,$L146,SUMIF($B$9:$B$12,$B146,$M$9:$M$12))-1,OFFSET(H$8,K146,0)))</f>
        <v>-</v>
      </c>
      <c r="I146" s="440">
        <f ca="1">IF(LEFT(VLOOKUP("*#"&amp;K146,$A$9:$I$13,I$6,0),1)="#",OFFSET(SUP!$B$57,$L146,SUMIF($A$9:$A$13,"*#"&amp;$K146,$M$9:$M$13)),1)</f>
        <v>1</v>
      </c>
      <c r="J146" s="440"/>
      <c r="K146" s="42">
        <f>IF(L145=SUP!$B$104,K145+1,K145)</f>
        <v>3</v>
      </c>
      <c r="L146" s="42">
        <f t="shared" si="12"/>
        <v>38</v>
      </c>
    </row>
    <row r="147" spans="1:12">
      <c r="A147" s="42" t="str">
        <f ca="1">IF(OR(LEFT(OFFSET(SUP!$A$57,L147,0),2)="\I",I147=""),"*","")</f>
        <v/>
      </c>
      <c r="B147" s="440" t="str">
        <f t="shared" ca="1" si="9"/>
        <v>TOP-IN</v>
      </c>
      <c r="C147" s="440" t="str">
        <f ca="1">OFFSET(SUP!$B$57,L147,0)</f>
        <v>PEXCOA</v>
      </c>
      <c r="D147" s="440" t="str">
        <f ca="1">IF($A147="*","",IF(LEFT($B147,3)="TOP",OFFSET(SUP!$D$57,$L147,0),"-"))</f>
        <v>COA</v>
      </c>
      <c r="E147" s="440" t="str">
        <f ca="1">IF($A147="*","",IF($B147="PRC_ACTUNT",OFFSET(SUP!$B$57,$L147,SUMIF($B$9:$B$11,$B147,$M$9:$M$11)),"-"))</f>
        <v>-</v>
      </c>
      <c r="F147" s="440" t="str">
        <f t="shared" ca="1" si="10"/>
        <v>-</v>
      </c>
      <c r="G147" s="440" t="str">
        <f t="shared" ca="1" si="11"/>
        <v>-</v>
      </c>
      <c r="H147" s="440" t="str">
        <f ca="1">IF($A147="*","",IF($B147="PRC_NOFF",OFFSET(SUP!$B$57,$L147,SUMIF($B$9:$B$12,$B147,$M$9:$M$12))-1,OFFSET(H$8,K147,0)))</f>
        <v>-</v>
      </c>
      <c r="I147" s="440">
        <f ca="1">IF(LEFT(VLOOKUP("*#"&amp;K147,$A$9:$I$13,I$6,0),1)="#",OFFSET(SUP!$B$57,$L147,SUMIF($A$9:$A$13,"*#"&amp;$K147,$M$9:$M$13)),1)</f>
        <v>1</v>
      </c>
      <c r="J147" s="440"/>
      <c r="K147" s="42">
        <f>IF(L146=SUP!$B$104,K146+1,K146)</f>
        <v>3</v>
      </c>
      <c r="L147" s="42">
        <f t="shared" si="12"/>
        <v>39</v>
      </c>
    </row>
    <row r="148" spans="1:12">
      <c r="A148" s="42" t="str">
        <f ca="1">IF(OR(LEFT(OFFSET(SUP!$A$57,L148,0),2)="\I",I148=""),"*","")</f>
        <v/>
      </c>
      <c r="B148" s="440" t="str">
        <f t="shared" ca="1" si="9"/>
        <v>TOP-IN</v>
      </c>
      <c r="C148" s="440" t="str">
        <f ca="1">OFFSET(SUP!$B$57,L148,0)</f>
        <v>PEXCOK</v>
      </c>
      <c r="D148" s="440" t="str">
        <f ca="1">IF($A148="*","",IF(LEFT($B148,3)="TOP",OFFSET(SUP!$D$57,$L148,0),"-"))</f>
        <v>COK</v>
      </c>
      <c r="E148" s="440" t="str">
        <f ca="1">IF($A148="*","",IF($B148="PRC_ACTUNT",OFFSET(SUP!$B$57,$L148,SUMIF($B$9:$B$11,$B148,$M$9:$M$11)),"-"))</f>
        <v>-</v>
      </c>
      <c r="F148" s="440" t="str">
        <f t="shared" ca="1" si="10"/>
        <v>-</v>
      </c>
      <c r="G148" s="440" t="str">
        <f t="shared" ca="1" si="11"/>
        <v>-</v>
      </c>
      <c r="H148" s="440" t="str">
        <f ca="1">IF($A148="*","",IF($B148="PRC_NOFF",OFFSET(SUP!$B$57,$L148,SUMIF($B$9:$B$12,$B148,$M$9:$M$12))-1,OFFSET(H$8,K148,0)))</f>
        <v>-</v>
      </c>
      <c r="I148" s="440">
        <f ca="1">IF(LEFT(VLOOKUP("*#"&amp;K148,$A$9:$I$13,I$6,0),1)="#",OFFSET(SUP!$B$57,$L148,SUMIF($A$9:$A$13,"*#"&amp;$K148,$M$9:$M$13)),1)</f>
        <v>1</v>
      </c>
      <c r="J148" s="440"/>
      <c r="K148" s="42">
        <f>IF(L147=SUP!$B$104,K147+1,K147)</f>
        <v>3</v>
      </c>
      <c r="L148" s="42">
        <f t="shared" si="12"/>
        <v>40</v>
      </c>
    </row>
    <row r="149" spans="1:12">
      <c r="A149" s="42" t="str">
        <f ca="1">IF(OR(LEFT(OFFSET(SUP!$A$57,L149,0),2)="\I",I149=""),"*","")</f>
        <v/>
      </c>
      <c r="B149" s="440" t="str">
        <f t="shared" ca="1" si="9"/>
        <v>TOP-IN</v>
      </c>
      <c r="C149" s="440" t="str">
        <f ca="1">OFFSET(SUP!$B$57,L149,0)</f>
        <v>PEXOAG</v>
      </c>
      <c r="D149" s="440" t="str">
        <f ca="1">IF($A149="*","",IF(LEFT($B149,3)="TOP",OFFSET(SUP!$D$57,$L149,0),"-"))</f>
        <v>OAG</v>
      </c>
      <c r="E149" s="440" t="str">
        <f ca="1">IF($A149="*","",IF($B149="PRC_ACTUNT",OFFSET(SUP!$B$57,$L149,SUMIF($B$9:$B$11,$B149,$M$9:$M$11)),"-"))</f>
        <v>-</v>
      </c>
      <c r="F149" s="440" t="str">
        <f t="shared" ca="1" si="10"/>
        <v>-</v>
      </c>
      <c r="G149" s="440" t="str">
        <f t="shared" ca="1" si="11"/>
        <v>-</v>
      </c>
      <c r="H149" s="440" t="str">
        <f ca="1">IF($A149="*","",IF($B149="PRC_NOFF",OFFSET(SUP!$B$57,$L149,SUMIF($B$9:$B$12,$B149,$M$9:$M$12))-1,OFFSET(H$8,K149,0)))</f>
        <v>-</v>
      </c>
      <c r="I149" s="440">
        <f ca="1">IF(LEFT(VLOOKUP("*#"&amp;K149,$A$9:$I$13,I$6,0),1)="#",OFFSET(SUP!$B$57,$L149,SUMIF($A$9:$A$13,"*#"&amp;$K149,$M$9:$M$13)),1)</f>
        <v>1</v>
      </c>
      <c r="J149" s="440"/>
      <c r="K149" s="42">
        <f>IF(L148=SUP!$B$104,K148+1,K148)</f>
        <v>3</v>
      </c>
      <c r="L149" s="42">
        <f t="shared" si="12"/>
        <v>41</v>
      </c>
    </row>
    <row r="150" spans="1:12">
      <c r="A150" s="42" t="str">
        <f ca="1">IF(OR(LEFT(OFFSET(SUP!$A$57,L150,0),2)="\I",I150=""),"*","")</f>
        <v/>
      </c>
      <c r="B150" s="440" t="str">
        <f t="shared" ca="1" si="9"/>
        <v>TOP-IN</v>
      </c>
      <c r="C150" s="440" t="str">
        <f ca="1">OFFSET(SUP!$B$57,L150,0)</f>
        <v>PEXOCR</v>
      </c>
      <c r="D150" s="440" t="str">
        <f ca="1">IF($A150="*","",IF(LEFT($B150,3)="TOP",OFFSET(SUP!$D$57,$L150,0),"-"))</f>
        <v>OCR</v>
      </c>
      <c r="E150" s="440" t="str">
        <f ca="1">IF($A150="*","",IF($B150="PRC_ACTUNT",OFFSET(SUP!$B$57,$L150,SUMIF($B$9:$B$11,$B150,$M$9:$M$11)),"-"))</f>
        <v>-</v>
      </c>
      <c r="F150" s="440" t="str">
        <f t="shared" ca="1" si="10"/>
        <v>-</v>
      </c>
      <c r="G150" s="440" t="str">
        <f t="shared" ca="1" si="11"/>
        <v>-</v>
      </c>
      <c r="H150" s="440" t="str">
        <f ca="1">IF($A150="*","",IF($B150="PRC_NOFF",OFFSET(SUP!$B$57,$L150,SUMIF($B$9:$B$12,$B150,$M$9:$M$12))-1,OFFSET(H$8,K150,0)))</f>
        <v>-</v>
      </c>
      <c r="I150" s="440">
        <f ca="1">IF(LEFT(VLOOKUP("*#"&amp;K150,$A$9:$I$13,I$6,0),1)="#",OFFSET(SUP!$B$57,$L150,SUMIF($A$9:$A$13,"*#"&amp;$K150,$M$9:$M$13)),1)</f>
        <v>1</v>
      </c>
      <c r="J150" s="440"/>
      <c r="K150" s="42">
        <f>IF(L149=SUP!$B$104,K149+1,K149)</f>
        <v>3</v>
      </c>
      <c r="L150" s="42">
        <f t="shared" si="12"/>
        <v>42</v>
      </c>
    </row>
    <row r="151" spans="1:12">
      <c r="A151" s="42" t="str">
        <f ca="1">IF(OR(LEFT(OFFSET(SUP!$A$57,L151,0),2)="\I",I151=""),"*","")</f>
        <v/>
      </c>
      <c r="B151" s="440" t="str">
        <f t="shared" ca="1" si="9"/>
        <v>TOP-IN</v>
      </c>
      <c r="C151" s="440" t="str">
        <f ca="1">OFFSET(SUP!$B$57,L151,0)</f>
        <v>PEXODS</v>
      </c>
      <c r="D151" s="440" t="str">
        <f ca="1">IF($A151="*","",IF(LEFT($B151,3)="TOP",OFFSET(SUP!$D$57,$L151,0),"-"))</f>
        <v>ODS</v>
      </c>
      <c r="E151" s="440" t="str">
        <f ca="1">IF($A151="*","",IF($B151="PRC_ACTUNT",OFFSET(SUP!$B$57,$L151,SUMIF($B$9:$B$11,$B151,$M$9:$M$11)),"-"))</f>
        <v>-</v>
      </c>
      <c r="F151" s="440" t="str">
        <f t="shared" ca="1" si="10"/>
        <v>-</v>
      </c>
      <c r="G151" s="440" t="str">
        <f t="shared" ca="1" si="11"/>
        <v>-</v>
      </c>
      <c r="H151" s="440" t="str">
        <f ca="1">IF($A151="*","",IF($B151="PRC_NOFF",OFFSET(SUP!$B$57,$L151,SUMIF($B$9:$B$12,$B151,$M$9:$M$12))-1,OFFSET(H$8,K151,0)))</f>
        <v>-</v>
      </c>
      <c r="I151" s="440">
        <f ca="1">IF(LEFT(VLOOKUP("*#"&amp;K151,$A$9:$I$13,I$6,0),1)="#",OFFSET(SUP!$B$57,$L151,SUMIF($A$9:$A$13,"*#"&amp;$K151,$M$9:$M$13)),1)</f>
        <v>1</v>
      </c>
      <c r="J151" s="440"/>
      <c r="K151" s="42">
        <f>IF(L150=SUP!$B$104,K150+1,K150)</f>
        <v>3</v>
      </c>
      <c r="L151" s="42">
        <f t="shared" si="12"/>
        <v>43</v>
      </c>
    </row>
    <row r="152" spans="1:12">
      <c r="A152" s="42" t="str">
        <f ca="1">IF(OR(LEFT(OFFSET(SUP!$A$57,L152,0),2)="\I",I152=""),"*","")</f>
        <v/>
      </c>
      <c r="B152" s="440" t="str">
        <f t="shared" ref="B152:B215" ca="1" si="13">IF(AND(VLOOKUP("*"&amp;K152,$A$9:$B$15,2,FALSE)="TOP-OUT",LEFT(C152,3)="PEX"),"TOP-IN",VLOOKUP("*"&amp;K152,$A$9:$B$15,2,FALSE))</f>
        <v>TOP-IN</v>
      </c>
      <c r="C152" s="440" t="str">
        <f ca="1">OFFSET(SUP!$B$57,L152,0)</f>
        <v>PEXOGS</v>
      </c>
      <c r="D152" s="440" t="str">
        <f ca="1">IF($A152="*","",IF(LEFT($B152,3)="TOP",OFFSET(SUP!$D$57,$L152,0),"-"))</f>
        <v>OGS</v>
      </c>
      <c r="E152" s="440" t="str">
        <f ca="1">IF($A152="*","",IF($B152="PRC_ACTUNT",OFFSET(SUP!$B$57,$L152,SUMIF($B$9:$B$11,$B152,$M$9:$M$11)),"-"))</f>
        <v>-</v>
      </c>
      <c r="F152" s="440" t="str">
        <f t="shared" ref="F152:F215" ca="1" si="14">OFFSET(F$8,K152,0)</f>
        <v>-</v>
      </c>
      <c r="G152" s="440" t="str">
        <f t="shared" ref="G152:G215" ca="1" si="15">IF($A152="*","",IF($B152="PRC_NOFF","BOH",OFFSET(G$8,K152,0)))</f>
        <v>-</v>
      </c>
      <c r="H152" s="440" t="str">
        <f ca="1">IF($A152="*","",IF($B152="PRC_NOFF",OFFSET(SUP!$B$57,$L152,SUMIF($B$9:$B$12,$B152,$M$9:$M$12))-1,OFFSET(H$8,K152,0)))</f>
        <v>-</v>
      </c>
      <c r="I152" s="440">
        <f ca="1">IF(LEFT(VLOOKUP("*#"&amp;K152,$A$9:$I$13,I$6,0),1)="#",OFFSET(SUP!$B$57,$L152,SUMIF($A$9:$A$13,"*#"&amp;$K152,$M$9:$M$13)),1)</f>
        <v>1</v>
      </c>
      <c r="J152" s="440"/>
      <c r="K152" s="42">
        <f>IF(L151=SUP!$B$104,K151+1,K151)</f>
        <v>3</v>
      </c>
      <c r="L152" s="42">
        <f t="shared" ref="L152:L215" si="16">IF(K152=K151,L151+1,1)</f>
        <v>44</v>
      </c>
    </row>
    <row r="153" spans="1:12">
      <c r="A153" s="42" t="str">
        <f ca="1">IF(OR(LEFT(OFFSET(SUP!$A$57,L153,0),2)="\I",I153=""),"*","")</f>
        <v/>
      </c>
      <c r="B153" s="440" t="str">
        <f t="shared" ca="1" si="13"/>
        <v>TOP-IN</v>
      </c>
      <c r="C153" s="440" t="str">
        <f ca="1">OFFSET(SUP!$B$57,L153,0)</f>
        <v>PEXOHF</v>
      </c>
      <c r="D153" s="440" t="str">
        <f ca="1">IF($A153="*","",IF(LEFT($B153,3)="TOP",OFFSET(SUP!$D$57,$L153,0),"-"))</f>
        <v>OHF</v>
      </c>
      <c r="E153" s="440" t="str">
        <f ca="1">IF($A153="*","",IF($B153="PRC_ACTUNT",OFFSET(SUP!$B$57,$L153,SUMIF($B$9:$B$11,$B153,$M$9:$M$11)),"-"))</f>
        <v>-</v>
      </c>
      <c r="F153" s="440" t="str">
        <f t="shared" ca="1" si="14"/>
        <v>-</v>
      </c>
      <c r="G153" s="440" t="str">
        <f t="shared" ca="1" si="15"/>
        <v>-</v>
      </c>
      <c r="H153" s="440" t="str">
        <f ca="1">IF($A153="*","",IF($B153="PRC_NOFF",OFFSET(SUP!$B$57,$L153,SUMIF($B$9:$B$12,$B153,$M$9:$M$12))-1,OFFSET(H$8,K153,0)))</f>
        <v>-</v>
      </c>
      <c r="I153" s="440">
        <f ca="1">IF(LEFT(VLOOKUP("*#"&amp;K153,$A$9:$I$13,I$6,0),1)="#",OFFSET(SUP!$B$57,$L153,SUMIF($A$9:$A$13,"*#"&amp;$K153,$M$9:$M$13)),1)</f>
        <v>1</v>
      </c>
      <c r="J153" s="440"/>
      <c r="K153" s="42">
        <f>IF(L152=SUP!$B$104,K152+1,K152)</f>
        <v>3</v>
      </c>
      <c r="L153" s="42">
        <f t="shared" si="16"/>
        <v>45</v>
      </c>
    </row>
    <row r="154" spans="1:12">
      <c r="A154" s="42" t="str">
        <f ca="1">IF(OR(LEFT(OFFSET(SUP!$A$57,L154,0),2)="\I",I154=""),"*","")</f>
        <v/>
      </c>
      <c r="B154" s="440" t="str">
        <f t="shared" ca="1" si="13"/>
        <v>TOP-IN</v>
      </c>
      <c r="C154" s="440" t="str">
        <f ca="1">OFFSET(SUP!$B$57,L154,0)</f>
        <v>PEXOKE</v>
      </c>
      <c r="D154" s="440" t="str">
        <f ca="1">IF($A154="*","",IF(LEFT($B154,3)="TOP",OFFSET(SUP!$D$57,$L154,0),"-"))</f>
        <v>OKE</v>
      </c>
      <c r="E154" s="440" t="str">
        <f ca="1">IF($A154="*","",IF($B154="PRC_ACTUNT",OFFSET(SUP!$B$57,$L154,SUMIF($B$9:$B$11,$B154,$M$9:$M$11)),"-"))</f>
        <v>-</v>
      </c>
      <c r="F154" s="440" t="str">
        <f t="shared" ca="1" si="14"/>
        <v>-</v>
      </c>
      <c r="G154" s="440" t="str">
        <f t="shared" ca="1" si="15"/>
        <v>-</v>
      </c>
      <c r="H154" s="440" t="str">
        <f ca="1">IF($A154="*","",IF($B154="PRC_NOFF",OFFSET(SUP!$B$57,$L154,SUMIF($B$9:$B$12,$B154,$M$9:$M$12))-1,OFFSET(H$8,K154,0)))</f>
        <v>-</v>
      </c>
      <c r="I154" s="440">
        <f ca="1">IF(LEFT(VLOOKUP("*#"&amp;K154,$A$9:$I$13,I$6,0),1)="#",OFFSET(SUP!$B$57,$L154,SUMIF($A$9:$A$13,"*#"&amp;$K154,$M$9:$M$13)),1)</f>
        <v>1</v>
      </c>
      <c r="J154" s="440"/>
      <c r="K154" s="42">
        <f>IF(L153=SUP!$B$104,K153+1,K153)</f>
        <v>3</v>
      </c>
      <c r="L154" s="42">
        <f t="shared" si="16"/>
        <v>46</v>
      </c>
    </row>
    <row r="155" spans="1:12">
      <c r="A155" s="42" t="str">
        <f ca="1">IF(OR(LEFT(OFFSET(SUP!$A$57,L155,0),2)="\I",I155=""),"*","")</f>
        <v>*</v>
      </c>
      <c r="B155" s="440" t="str">
        <f t="shared" ca="1" si="13"/>
        <v>TOP-OUT</v>
      </c>
      <c r="C155" s="440">
        <f ca="1">OFFSET(SUP!$B$57,L155,0)</f>
        <v>47</v>
      </c>
      <c r="D155" s="440" t="str">
        <f ca="1">IF($A155="*","",IF(LEFT($B155,3)="TOP",OFFSET(SUP!$D$57,$L155,0),"-"))</f>
        <v/>
      </c>
      <c r="E155" s="440" t="str">
        <f ca="1">IF($A155="*","",IF($B155="PRC_ACTUNT",OFFSET(SUP!$B$57,$L155,SUMIF($B$9:$B$11,$B155,$M$9:$M$11)),"-"))</f>
        <v/>
      </c>
      <c r="F155" s="440" t="str">
        <f t="shared" ca="1" si="14"/>
        <v>-</v>
      </c>
      <c r="G155" s="440" t="str">
        <f t="shared" ca="1" si="15"/>
        <v/>
      </c>
      <c r="H155" s="440" t="str">
        <f ca="1">IF($A155="*","",IF($B155="PRC_NOFF",OFFSET(SUP!$B$57,$L155,SUMIF($B$9:$B$12,$B155,$M$9:$M$12))-1,OFFSET(H$8,K155,0)))</f>
        <v/>
      </c>
      <c r="I155" s="440">
        <f ca="1">IF(LEFT(VLOOKUP("*#"&amp;K155,$A$9:$I$13,I$6,0),1)="#",OFFSET(SUP!$B$57,$L155,SUMIF($A$9:$A$13,"*#"&amp;$K155,$M$9:$M$13)),1)</f>
        <v>1</v>
      </c>
      <c r="J155" s="440"/>
      <c r="K155" s="42">
        <f>IF(L154=SUP!$B$104,K154+1,K154)</f>
        <v>3</v>
      </c>
      <c r="L155" s="42">
        <f t="shared" si="16"/>
        <v>47</v>
      </c>
    </row>
    <row r="156" spans="1:12">
      <c r="A156" s="42" t="str">
        <f ca="1">IF(OR(LEFT(OFFSET(SUP!$A$57,L156,0),2)="\I",I156=""),"*","")</f>
        <v/>
      </c>
      <c r="B156" s="440" t="str">
        <f t="shared" ca="1" si="13"/>
        <v>NCAP_START</v>
      </c>
      <c r="C156" s="440" t="str">
        <f ca="1">OFFSET(SUP!$B$57,L156,0)</f>
        <v>MINCOA</v>
      </c>
      <c r="D156" s="440" t="str">
        <f ca="1">IF($A156="*","",IF(LEFT($B156,3)="TOP",OFFSET(SUP!$D$57,$L156,0),"-"))</f>
        <v>-</v>
      </c>
      <c r="E156" s="440" t="str">
        <f ca="1">IF($A156="*","",IF($B156="PRC_ACTUNT",OFFSET(SUP!$B$57,$L156,SUMIF($B$9:$B$11,$B156,$M$9:$M$11)),"-"))</f>
        <v>-</v>
      </c>
      <c r="F156" s="440" t="str">
        <f t="shared" ca="1" si="14"/>
        <v>-</v>
      </c>
      <c r="G156" s="440" t="str">
        <f t="shared" ca="1" si="15"/>
        <v>-</v>
      </c>
      <c r="H156" s="440" t="str">
        <f ca="1">IF($A156="*","",IF($B156="PRC_NOFF",OFFSET(SUP!$B$57,$L156,SUMIF($B$9:$B$12,$B156,$M$9:$M$12))-1,OFFSET(H$8,K156,0)))</f>
        <v>-</v>
      </c>
      <c r="I156" s="440">
        <f ca="1">IF(LEFT(VLOOKUP("*#"&amp;K156,$A$9:$I$13,I$6,0),1)="#",OFFSET(SUP!$B$57,$L156,SUMIF($A$9:$A$13,"*#"&amp;$K156,$M$9:$M$13)),1)</f>
        <v>2012</v>
      </c>
      <c r="J156" s="440"/>
      <c r="K156" s="42">
        <f>IF(L155=SUP!$B$104,K155+1,K155)</f>
        <v>4</v>
      </c>
      <c r="L156" s="42">
        <f t="shared" si="16"/>
        <v>1</v>
      </c>
    </row>
    <row r="157" spans="1:12">
      <c r="A157" s="42" t="str">
        <f ca="1">IF(OR(LEFT(OFFSET(SUP!$A$57,L157,0),2)="\I",I157=""),"*","")</f>
        <v/>
      </c>
      <c r="B157" s="440" t="str">
        <f t="shared" ca="1" si="13"/>
        <v>NCAP_START</v>
      </c>
      <c r="C157" s="440" t="str">
        <f ca="1">OFFSET(SUP!$B$57,L157,0)</f>
        <v>MINCLE</v>
      </c>
      <c r="D157" s="440" t="str">
        <f ca="1">IF($A157="*","",IF(LEFT($B157,3)="TOP",OFFSET(SUP!$D$57,$L157,0),"-"))</f>
        <v>-</v>
      </c>
      <c r="E157" s="440" t="str">
        <f ca="1">IF($A157="*","",IF($B157="PRC_ACTUNT",OFFSET(SUP!$B$57,$L157,SUMIF($B$9:$B$11,$B157,$M$9:$M$11)),"-"))</f>
        <v>-</v>
      </c>
      <c r="F157" s="440" t="str">
        <f t="shared" ca="1" si="14"/>
        <v>-</v>
      </c>
      <c r="G157" s="440" t="str">
        <f t="shared" ca="1" si="15"/>
        <v>-</v>
      </c>
      <c r="H157" s="440" t="str">
        <f ca="1">IF($A157="*","",IF($B157="PRC_NOFF",OFFSET(SUP!$B$57,$L157,SUMIF($B$9:$B$12,$B157,$M$9:$M$12))-1,OFFSET(H$8,K157,0)))</f>
        <v>-</v>
      </c>
      <c r="I157" s="440">
        <f ca="1">IF(LEFT(VLOOKUP("*#"&amp;K157,$A$9:$I$13,I$6,0),1)="#",OFFSET(SUP!$B$57,$L157,SUMIF($A$9:$A$13,"*#"&amp;$K157,$M$9:$M$13)),1)</f>
        <v>2012</v>
      </c>
      <c r="J157" s="440"/>
      <c r="K157" s="42">
        <f>IF(L156=SUP!$B$104,K156+1,K156)</f>
        <v>4</v>
      </c>
      <c r="L157" s="42">
        <f t="shared" si="16"/>
        <v>2</v>
      </c>
    </row>
    <row r="158" spans="1:12">
      <c r="A158" s="42" t="str">
        <f ca="1">IF(OR(LEFT(OFFSET(SUP!$A$57,L158,0),2)="\I",I158=""),"*","")</f>
        <v/>
      </c>
      <c r="B158" s="440" t="str">
        <f t="shared" ca="1" si="13"/>
        <v>NCAP_START</v>
      </c>
      <c r="C158" s="440" t="str">
        <f ca="1">OFFSET(SUP!$B$57,L158,0)</f>
        <v>MINCLD</v>
      </c>
      <c r="D158" s="440" t="str">
        <f ca="1">IF($A158="*","",IF(LEFT($B158,3)="TOP",OFFSET(SUP!$D$57,$L158,0),"-"))</f>
        <v>-</v>
      </c>
      <c r="E158" s="440" t="str">
        <f ca="1">IF($A158="*","",IF($B158="PRC_ACTUNT",OFFSET(SUP!$B$57,$L158,SUMIF($B$9:$B$11,$B158,$M$9:$M$11)),"-"))</f>
        <v>-</v>
      </c>
      <c r="F158" s="440" t="str">
        <f t="shared" ca="1" si="14"/>
        <v>-</v>
      </c>
      <c r="G158" s="440" t="str">
        <f t="shared" ca="1" si="15"/>
        <v>-</v>
      </c>
      <c r="H158" s="440" t="str">
        <f ca="1">IF($A158="*","",IF($B158="PRC_NOFF",OFFSET(SUP!$B$57,$L158,SUMIF($B$9:$B$12,$B158,$M$9:$M$12))-1,OFFSET(H$8,K158,0)))</f>
        <v>-</v>
      </c>
      <c r="I158" s="440">
        <f ca="1">IF(LEFT(VLOOKUP("*#"&amp;K158,$A$9:$I$13,I$6,0),1)="#",OFFSET(SUP!$B$57,$L158,SUMIF($A$9:$A$13,"*#"&amp;$K158,$M$9:$M$13)),1)</f>
        <v>2012</v>
      </c>
      <c r="J158" s="440"/>
      <c r="K158" s="42">
        <f>IF(L157=SUP!$B$104,K157+1,K157)</f>
        <v>4</v>
      </c>
      <c r="L158" s="42">
        <f t="shared" si="16"/>
        <v>3</v>
      </c>
    </row>
    <row r="159" spans="1:12">
      <c r="A159" s="42" t="str">
        <f ca="1">IF(OR(LEFT(OFFSET(SUP!$A$57,L159,0),2)="\I",I159=""),"*","")</f>
        <v/>
      </c>
      <c r="B159" s="440" t="str">
        <f t="shared" ca="1" si="13"/>
        <v>NCAP_START</v>
      </c>
      <c r="C159" s="440" t="str">
        <f ca="1">OFFSET(SUP!$B$57,L159,0)</f>
        <v>MINOCR</v>
      </c>
      <c r="D159" s="440" t="str">
        <f ca="1">IF($A159="*","",IF(LEFT($B159,3)="TOP",OFFSET(SUP!$D$57,$L159,0),"-"))</f>
        <v>-</v>
      </c>
      <c r="E159" s="440" t="str">
        <f ca="1">IF($A159="*","",IF($B159="PRC_ACTUNT",OFFSET(SUP!$B$57,$L159,SUMIF($B$9:$B$11,$B159,$M$9:$M$11)),"-"))</f>
        <v>-</v>
      </c>
      <c r="F159" s="440" t="str">
        <f t="shared" ca="1" si="14"/>
        <v>-</v>
      </c>
      <c r="G159" s="440" t="str">
        <f t="shared" ca="1" si="15"/>
        <v>-</v>
      </c>
      <c r="H159" s="440" t="str">
        <f ca="1">IF($A159="*","",IF($B159="PRC_NOFF",OFFSET(SUP!$B$57,$L159,SUMIF($B$9:$B$12,$B159,$M$9:$M$12))-1,OFFSET(H$8,K159,0)))</f>
        <v>-</v>
      </c>
      <c r="I159" s="440">
        <f ca="1">IF(LEFT(VLOOKUP("*#"&amp;K159,$A$9:$I$13,I$6,0),1)="#",OFFSET(SUP!$B$57,$L159,SUMIF($A$9:$A$13,"*#"&amp;$K159,$M$9:$M$13)),1)</f>
        <v>2012</v>
      </c>
      <c r="J159" s="440"/>
      <c r="K159" s="42">
        <f>IF(L158=SUP!$B$104,K158+1,K158)</f>
        <v>4</v>
      </c>
      <c r="L159" s="42">
        <f t="shared" si="16"/>
        <v>4</v>
      </c>
    </row>
    <row r="160" spans="1:12">
      <c r="A160" s="42" t="str">
        <f ca="1">IF(OR(LEFT(OFFSET(SUP!$A$57,L160,0),2)="\I",I160=""),"*","")</f>
        <v/>
      </c>
      <c r="B160" s="440" t="str">
        <f t="shared" ca="1" si="13"/>
        <v>NCAP_START</v>
      </c>
      <c r="C160" s="440" t="str">
        <f ca="1">OFFSET(SUP!$B$57,L160,0)</f>
        <v>MINGIC</v>
      </c>
      <c r="D160" s="440" t="str">
        <f ca="1">IF($A160="*","",IF(LEFT($B160,3)="TOP",OFFSET(SUP!$D$57,$L160,0),"-"))</f>
        <v>-</v>
      </c>
      <c r="E160" s="440" t="str">
        <f ca="1">IF($A160="*","",IF($B160="PRC_ACTUNT",OFFSET(SUP!$B$57,$L160,SUMIF($B$9:$B$11,$B160,$M$9:$M$11)),"-"))</f>
        <v>-</v>
      </c>
      <c r="F160" s="440" t="str">
        <f t="shared" ca="1" si="14"/>
        <v>-</v>
      </c>
      <c r="G160" s="440" t="str">
        <f t="shared" ca="1" si="15"/>
        <v>-</v>
      </c>
      <c r="H160" s="440" t="str">
        <f ca="1">IF($A160="*","",IF($B160="PRC_NOFF",OFFSET(SUP!$B$57,$L160,SUMIF($B$9:$B$12,$B160,$M$9:$M$12))-1,OFFSET(H$8,K160,0)))</f>
        <v>-</v>
      </c>
      <c r="I160" s="440">
        <f ca="1">IF(LEFT(VLOOKUP("*#"&amp;K160,$A$9:$I$13,I$6,0),1)="#",OFFSET(SUP!$B$57,$L160,SUMIF($A$9:$A$13,"*#"&amp;$K160,$M$9:$M$13)),1)</f>
        <v>2012</v>
      </c>
      <c r="J160" s="440"/>
      <c r="K160" s="42">
        <f>IF(L159=SUP!$B$104,K159+1,K159)</f>
        <v>4</v>
      </c>
      <c r="L160" s="42">
        <f t="shared" si="16"/>
        <v>5</v>
      </c>
    </row>
    <row r="161" spans="1:12">
      <c r="A161" s="42" t="str">
        <f ca="1">IF(OR(LEFT(OFFSET(SUP!$A$57,L161,0),2)="\I",I161=""),"*","")</f>
        <v/>
      </c>
      <c r="B161" s="440" t="str">
        <f t="shared" ca="1" si="13"/>
        <v>NCAP_START</v>
      </c>
      <c r="C161" s="440" t="str">
        <f ca="1">OFFSET(SUP!$B$57,L161,0)</f>
        <v>MINGIB</v>
      </c>
      <c r="D161" s="440" t="str">
        <f ca="1">IF($A161="*","",IF(LEFT($B161,3)="TOP",OFFSET(SUP!$D$57,$L161,0),"-"))</f>
        <v>-</v>
      </c>
      <c r="E161" s="440" t="str">
        <f ca="1">IF($A161="*","",IF($B161="PRC_ACTUNT",OFFSET(SUP!$B$57,$L161,SUMIF($B$9:$B$11,$B161,$M$9:$M$11)),"-"))</f>
        <v>-</v>
      </c>
      <c r="F161" s="440" t="str">
        <f t="shared" ca="1" si="14"/>
        <v>-</v>
      </c>
      <c r="G161" s="440" t="str">
        <f t="shared" ca="1" si="15"/>
        <v>-</v>
      </c>
      <c r="H161" s="440" t="str">
        <f ca="1">IF($A161="*","",IF($B161="PRC_NOFF",OFFSET(SUP!$B$57,$L161,SUMIF($B$9:$B$12,$B161,$M$9:$M$12))-1,OFFSET(H$8,K161,0)))</f>
        <v>-</v>
      </c>
      <c r="I161" s="440">
        <f ca="1">IF(LEFT(VLOOKUP("*#"&amp;K161,$A$9:$I$13,I$6,0),1)="#",OFFSET(SUP!$B$57,$L161,SUMIF($A$9:$A$13,"*#"&amp;$K161,$M$9:$M$13)),1)</f>
        <v>2018</v>
      </c>
      <c r="J161" s="440"/>
      <c r="K161" s="42">
        <f>IF(L160=SUP!$B$104,K160+1,K160)</f>
        <v>4</v>
      </c>
      <c r="L161" s="42">
        <f t="shared" si="16"/>
        <v>6</v>
      </c>
    </row>
    <row r="162" spans="1:12">
      <c r="A162" s="42" t="str">
        <f ca="1">IF(OR(LEFT(OFFSET(SUP!$A$57,L162,0),2)="\I",I162=""),"*","")</f>
        <v/>
      </c>
      <c r="B162" s="440" t="str">
        <f t="shared" ca="1" si="13"/>
        <v>NCAP_START</v>
      </c>
      <c r="C162" s="440" t="str">
        <f ca="1">OFFSET(SUP!$B$57,L162,0)</f>
        <v>MINGAS</v>
      </c>
      <c r="D162" s="440" t="str">
        <f ca="1">IF($A162="*","",IF(LEFT($B162,3)="TOP",OFFSET(SUP!$D$57,$L162,0),"-"))</f>
        <v>-</v>
      </c>
      <c r="E162" s="440" t="str">
        <f ca="1">IF($A162="*","",IF($B162="PRC_ACTUNT",OFFSET(SUP!$B$57,$L162,SUMIF($B$9:$B$11,$B162,$M$9:$M$11)),"-"))</f>
        <v>-</v>
      </c>
      <c r="F162" s="440" t="str">
        <f t="shared" ca="1" si="14"/>
        <v>-</v>
      </c>
      <c r="G162" s="440" t="str">
        <f t="shared" ca="1" si="15"/>
        <v>-</v>
      </c>
      <c r="H162" s="440" t="str">
        <f ca="1">IF($A162="*","",IF($B162="PRC_NOFF",OFFSET(SUP!$B$57,$L162,SUMIF($B$9:$B$12,$B162,$M$9:$M$12))-1,OFFSET(H$8,K162,0)))</f>
        <v>-</v>
      </c>
      <c r="I162" s="440">
        <f ca="1">IF(LEFT(VLOOKUP("*#"&amp;K162,$A$9:$I$13,I$6,0),1)="#",OFFSET(SUP!$B$57,$L162,SUMIF($A$9:$A$13,"*#"&amp;$K162,$M$9:$M$13)),1)</f>
        <v>2020</v>
      </c>
      <c r="J162" s="440"/>
      <c r="K162" s="42">
        <f>IF(L161=SUP!$B$104,K161+1,K161)</f>
        <v>4</v>
      </c>
      <c r="L162" s="42">
        <f t="shared" si="16"/>
        <v>7</v>
      </c>
    </row>
    <row r="163" spans="1:12">
      <c r="A163" s="42" t="str">
        <f ca="1">IF(OR(LEFT(OFFSET(SUP!$A$57,L163,0),2)="\I",I163=""),"*","")</f>
        <v/>
      </c>
      <c r="B163" s="440" t="str">
        <f t="shared" ca="1" si="13"/>
        <v>NCAP_START</v>
      </c>
      <c r="C163" s="440" t="str">
        <f ca="1">OFFSET(SUP!$B$57,L163,0)</f>
        <v>MINGIH</v>
      </c>
      <c r="D163" s="440" t="str">
        <f ca="1">IF($A163="*","",IF(LEFT($B163,3)="TOP",OFFSET(SUP!$D$57,$L163,0),"-"))</f>
        <v>-</v>
      </c>
      <c r="E163" s="440" t="str">
        <f ca="1">IF($A163="*","",IF($B163="PRC_ACTUNT",OFFSET(SUP!$B$57,$L163,SUMIF($B$9:$B$11,$B163,$M$9:$M$11)),"-"))</f>
        <v>-</v>
      </c>
      <c r="F163" s="440" t="str">
        <f t="shared" ca="1" si="14"/>
        <v>-</v>
      </c>
      <c r="G163" s="440" t="str">
        <f t="shared" ca="1" si="15"/>
        <v>-</v>
      </c>
      <c r="H163" s="440" t="str">
        <f ca="1">IF($A163="*","",IF($B163="PRC_NOFF",OFFSET(SUP!$B$57,$L163,SUMIF($B$9:$B$12,$B163,$M$9:$M$12))-1,OFFSET(H$8,K163,0)))</f>
        <v>-</v>
      </c>
      <c r="I163" s="440">
        <f ca="1">IF(LEFT(VLOOKUP("*#"&amp;K163,$A$9:$I$13,I$6,0),1)="#",OFFSET(SUP!$B$57,$L163,SUMIF($A$9:$A$13,"*#"&amp;$K163,$M$9:$M$13)),1)</f>
        <v>2027</v>
      </c>
      <c r="J163" s="440"/>
      <c r="K163" s="42">
        <f>IF(L162=SUP!$B$104,K162+1,K162)</f>
        <v>4</v>
      </c>
      <c r="L163" s="42">
        <f t="shared" si="16"/>
        <v>8</v>
      </c>
    </row>
    <row r="164" spans="1:12">
      <c r="A164" s="42" t="str">
        <f ca="1">IF(OR(LEFT(OFFSET(SUP!$A$57,L164,0),2)="\I",I164=""),"*","")</f>
        <v>*</v>
      </c>
      <c r="B164" s="440" t="str">
        <f t="shared" ca="1" si="13"/>
        <v>NCAP_START</v>
      </c>
      <c r="C164" s="440">
        <f ca="1">OFFSET(SUP!$B$57,L164,0)</f>
        <v>0</v>
      </c>
      <c r="D164" s="440" t="str">
        <f ca="1">IF($A164="*","",IF(LEFT($B164,3)="TOP",OFFSET(SUP!$D$57,$L164,0),"-"))</f>
        <v/>
      </c>
      <c r="E164" s="440" t="str">
        <f ca="1">IF($A164="*","",IF($B164="PRC_ACTUNT",OFFSET(SUP!$B$57,$L164,SUMIF($B$9:$B$11,$B164,$M$9:$M$11)),"-"))</f>
        <v/>
      </c>
      <c r="F164" s="440" t="str">
        <f t="shared" ca="1" si="14"/>
        <v>-</v>
      </c>
      <c r="G164" s="440" t="str">
        <f t="shared" ca="1" si="15"/>
        <v/>
      </c>
      <c r="H164" s="440" t="str">
        <f ca="1">IF($A164="*","",IF($B164="PRC_NOFF",OFFSET(SUP!$B$57,$L164,SUMIF($B$9:$B$12,$B164,$M$9:$M$12))-1,OFFSET(H$8,K164,0)))</f>
        <v/>
      </c>
      <c r="I164" s="440">
        <f ca="1">IF(LEFT(VLOOKUP("*#"&amp;K164,$A$9:$I$13,I$6,0),1)="#",OFFSET(SUP!$B$57,$L164,SUMIF($A$9:$A$13,"*#"&amp;$K164,$M$9:$M$13)),1)</f>
        <v>2012</v>
      </c>
      <c r="J164" s="440"/>
      <c r="K164" s="42">
        <f>IF(L163=SUP!$B$104,K163+1,K163)</f>
        <v>4</v>
      </c>
      <c r="L164" s="42">
        <f t="shared" si="16"/>
        <v>9</v>
      </c>
    </row>
    <row r="165" spans="1:12">
      <c r="A165" s="42" t="str">
        <f ca="1">IF(OR(LEFT(OFFSET(SUP!$A$57,L165,0),2)="\I",I165=""),"*","")</f>
        <v/>
      </c>
      <c r="B165" s="440" t="str">
        <f t="shared" ca="1" si="13"/>
        <v>NCAP_START</v>
      </c>
      <c r="C165" s="440" t="str">
        <f ca="1">OFFSET(SUP!$B$57,L165,0)</f>
        <v>MINBIG</v>
      </c>
      <c r="D165" s="440" t="str">
        <f ca="1">IF($A165="*","",IF(LEFT($B165,3)="TOP",OFFSET(SUP!$D$57,$L165,0),"-"))</f>
        <v>-</v>
      </c>
      <c r="E165" s="440" t="str">
        <f ca="1">IF($A165="*","",IF($B165="PRC_ACTUNT",OFFSET(SUP!$B$57,$L165,SUMIF($B$9:$B$11,$B165,$M$9:$M$11)),"-"))</f>
        <v>-</v>
      </c>
      <c r="F165" s="440" t="str">
        <f t="shared" ca="1" si="14"/>
        <v>-</v>
      </c>
      <c r="G165" s="440" t="str">
        <f t="shared" ca="1" si="15"/>
        <v>-</v>
      </c>
      <c r="H165" s="440" t="str">
        <f ca="1">IF($A165="*","",IF($B165="PRC_NOFF",OFFSET(SUP!$B$57,$L165,SUMIF($B$9:$B$12,$B165,$M$9:$M$12))-1,OFFSET(H$8,K165,0)))</f>
        <v>-</v>
      </c>
      <c r="I165" s="440">
        <f ca="1">IF(LEFT(VLOOKUP("*#"&amp;K165,$A$9:$I$13,I$6,0),1)="#",OFFSET(SUP!$B$57,$L165,SUMIF($A$9:$A$13,"*#"&amp;$K165,$M$9:$M$13)),1)</f>
        <v>2012</v>
      </c>
      <c r="J165" s="440"/>
      <c r="K165" s="42">
        <f>IF(L164=SUP!$B$104,K164+1,K164)</f>
        <v>4</v>
      </c>
      <c r="L165" s="42">
        <f t="shared" si="16"/>
        <v>10</v>
      </c>
    </row>
    <row r="166" spans="1:12">
      <c r="A166" s="42" t="str">
        <f ca="1">IF(OR(LEFT(OFFSET(SUP!$A$57,L166,0),2)="\I",I166=""),"*","")</f>
        <v/>
      </c>
      <c r="B166" s="440" t="str">
        <f t="shared" ca="1" si="13"/>
        <v>NCAP_START</v>
      </c>
      <c r="C166" s="440" t="str">
        <f ca="1">OFFSET(SUP!$B$57,L166,0)</f>
        <v>MINBIB</v>
      </c>
      <c r="D166" s="440" t="str">
        <f ca="1">IF($A166="*","",IF(LEFT($B166,3)="TOP",OFFSET(SUP!$D$57,$L166,0),"-"))</f>
        <v>-</v>
      </c>
      <c r="E166" s="440" t="str">
        <f ca="1">IF($A166="*","",IF($B166="PRC_ACTUNT",OFFSET(SUP!$B$57,$L166,SUMIF($B$9:$B$11,$B166,$M$9:$M$11)),"-"))</f>
        <v>-</v>
      </c>
      <c r="F166" s="440" t="str">
        <f t="shared" ca="1" si="14"/>
        <v>-</v>
      </c>
      <c r="G166" s="440" t="str">
        <f t="shared" ca="1" si="15"/>
        <v>-</v>
      </c>
      <c r="H166" s="440" t="str">
        <f ca="1">IF($A166="*","",IF($B166="PRC_NOFF",OFFSET(SUP!$B$57,$L166,SUMIF($B$9:$B$12,$B166,$M$9:$M$12))-1,OFFSET(H$8,K166,0)))</f>
        <v>-</v>
      </c>
      <c r="I166" s="440">
        <f ca="1">IF(LEFT(VLOOKUP("*#"&amp;K166,$A$9:$I$13,I$6,0),1)="#",OFFSET(SUP!$B$57,$L166,SUMIF($A$9:$A$13,"*#"&amp;$K166,$M$9:$M$13)),1)</f>
        <v>2012</v>
      </c>
      <c r="J166" s="440"/>
      <c r="K166" s="42">
        <f>IF(L165=SUP!$B$104,K165+1,K165)</f>
        <v>4</v>
      </c>
      <c r="L166" s="42">
        <f t="shared" si="16"/>
        <v>11</v>
      </c>
    </row>
    <row r="167" spans="1:12">
      <c r="A167" s="42" t="str">
        <f ca="1">IF(OR(LEFT(OFFSET(SUP!$A$57,L167,0),2)="\I",I167=""),"*","")</f>
        <v/>
      </c>
      <c r="B167" s="440" t="str">
        <f t="shared" ca="1" si="13"/>
        <v>NCAP_START</v>
      </c>
      <c r="C167" s="440" t="str">
        <f ca="1">OFFSET(SUP!$B$57,L167,0)</f>
        <v>MINBIO</v>
      </c>
      <c r="D167" s="440" t="str">
        <f ca="1">IF($A167="*","",IF(LEFT($B167,3)="TOP",OFFSET(SUP!$D$57,$L167,0),"-"))</f>
        <v>-</v>
      </c>
      <c r="E167" s="440" t="str">
        <f ca="1">IF($A167="*","",IF($B167="PRC_ACTUNT",OFFSET(SUP!$B$57,$L167,SUMIF($B$9:$B$11,$B167,$M$9:$M$11)),"-"))</f>
        <v>-</v>
      </c>
      <c r="F167" s="440" t="str">
        <f t="shared" ca="1" si="14"/>
        <v>-</v>
      </c>
      <c r="G167" s="440" t="str">
        <f t="shared" ca="1" si="15"/>
        <v>-</v>
      </c>
      <c r="H167" s="440" t="str">
        <f ca="1">IF($A167="*","",IF($B167="PRC_NOFF",OFFSET(SUP!$B$57,$L167,SUMIF($B$9:$B$12,$B167,$M$9:$M$12))-1,OFFSET(H$8,K167,0)))</f>
        <v>-</v>
      </c>
      <c r="I167" s="440">
        <f ca="1">IF(LEFT(VLOOKUP("*#"&amp;K167,$A$9:$I$13,I$6,0),1)="#",OFFSET(SUP!$B$57,$L167,SUMIF($A$9:$A$13,"*#"&amp;$K167,$M$9:$M$13)),1)</f>
        <v>2012</v>
      </c>
      <c r="J167" s="440"/>
      <c r="K167" s="42">
        <f>IF(L166=SUP!$B$104,K166+1,K166)</f>
        <v>4</v>
      </c>
      <c r="L167" s="42">
        <f t="shared" si="16"/>
        <v>12</v>
      </c>
    </row>
    <row r="168" spans="1:12">
      <c r="A168" s="42" t="str">
        <f ca="1">IF(OR(LEFT(OFFSET(SUP!$A$57,L168,0),2)="\I",I168=""),"*","")</f>
        <v/>
      </c>
      <c r="B168" s="440" t="str">
        <f t="shared" ca="1" si="13"/>
        <v>NCAP_START</v>
      </c>
      <c r="C168" s="440" t="str">
        <f ca="1">OFFSET(SUP!$B$57,L168,0)</f>
        <v>MINBIW</v>
      </c>
      <c r="D168" s="440" t="str">
        <f ca="1">IF($A168="*","",IF(LEFT($B168,3)="TOP",OFFSET(SUP!$D$57,$L168,0),"-"))</f>
        <v>-</v>
      </c>
      <c r="E168" s="440" t="str">
        <f ca="1">IF($A168="*","",IF($B168="PRC_ACTUNT",OFFSET(SUP!$B$57,$L168,SUMIF($B$9:$B$11,$B168,$M$9:$M$11)),"-"))</f>
        <v>-</v>
      </c>
      <c r="F168" s="440" t="str">
        <f t="shared" ca="1" si="14"/>
        <v>-</v>
      </c>
      <c r="G168" s="440" t="str">
        <f t="shared" ca="1" si="15"/>
        <v>-</v>
      </c>
      <c r="H168" s="440" t="str">
        <f ca="1">IF($A168="*","",IF($B168="PRC_NOFF",OFFSET(SUP!$B$57,$L168,SUMIF($B$9:$B$12,$B168,$M$9:$M$12))-1,OFFSET(H$8,K168,0)))</f>
        <v>-</v>
      </c>
      <c r="I168" s="440">
        <f ca="1">IF(LEFT(VLOOKUP("*#"&amp;K168,$A$9:$I$13,I$6,0),1)="#",OFFSET(SUP!$B$57,$L168,SUMIF($A$9:$A$13,"*#"&amp;$K168,$M$9:$M$13)),1)</f>
        <v>2012</v>
      </c>
      <c r="J168" s="440"/>
      <c r="K168" s="42">
        <f>IF(L167=SUP!$B$104,K167+1,K167)</f>
        <v>4</v>
      </c>
      <c r="L168" s="42">
        <f t="shared" si="16"/>
        <v>13</v>
      </c>
    </row>
    <row r="169" spans="1:12">
      <c r="A169" s="42" t="str">
        <f ca="1">IF(OR(LEFT(OFFSET(SUP!$A$57,L169,0),2)="\I",I169=""),"*","")</f>
        <v/>
      </c>
      <c r="B169" s="440" t="str">
        <f t="shared" ca="1" si="13"/>
        <v>NCAP_START</v>
      </c>
      <c r="C169" s="440" t="str">
        <f ca="1">OFFSET(SUP!$B$57,L169,0)</f>
        <v>MINWAS</v>
      </c>
      <c r="D169" s="440" t="str">
        <f ca="1">IF($A169="*","",IF(LEFT($B169,3)="TOP",OFFSET(SUP!$D$57,$L169,0),"-"))</f>
        <v>-</v>
      </c>
      <c r="E169" s="440" t="str">
        <f ca="1">IF($A169="*","",IF($B169="PRC_ACTUNT",OFFSET(SUP!$B$57,$L169,SUMIF($B$9:$B$11,$B169,$M$9:$M$11)),"-"))</f>
        <v>-</v>
      </c>
      <c r="F169" s="440" t="str">
        <f t="shared" ca="1" si="14"/>
        <v>-</v>
      </c>
      <c r="G169" s="440" t="str">
        <f t="shared" ca="1" si="15"/>
        <v>-</v>
      </c>
      <c r="H169" s="440" t="str">
        <f ca="1">IF($A169="*","",IF($B169="PRC_NOFF",OFFSET(SUP!$B$57,$L169,SUMIF($B$9:$B$12,$B169,$M$9:$M$12))-1,OFFSET(H$8,K169,0)))</f>
        <v>-</v>
      </c>
      <c r="I169" s="440">
        <f ca="1">IF(LEFT(VLOOKUP("*#"&amp;K169,$A$9:$I$13,I$6,0),1)="#",OFFSET(SUP!$B$57,$L169,SUMIF($A$9:$A$13,"*#"&amp;$K169,$M$9:$M$13)),1)</f>
        <v>2012</v>
      </c>
      <c r="J169" s="440"/>
      <c r="K169" s="42">
        <f>IF(L168=SUP!$B$104,K168+1,K168)</f>
        <v>4</v>
      </c>
      <c r="L169" s="42">
        <f t="shared" si="16"/>
        <v>14</v>
      </c>
    </row>
    <row r="170" spans="1:12">
      <c r="A170" s="42" t="str">
        <f ca="1">IF(OR(LEFT(OFFSET(SUP!$A$57,L170,0),2)="\I",I170=""),"*","")</f>
        <v/>
      </c>
      <c r="B170" s="440" t="str">
        <f t="shared" ca="1" si="13"/>
        <v>NCAP_START</v>
      </c>
      <c r="C170" s="440" t="str">
        <f ca="1">OFFSET(SUP!$B$57,L170,0)</f>
        <v>MINHYD</v>
      </c>
      <c r="D170" s="440" t="str">
        <f ca="1">IF($A170="*","",IF(LEFT($B170,3)="TOP",OFFSET(SUP!$D$57,$L170,0),"-"))</f>
        <v>-</v>
      </c>
      <c r="E170" s="440" t="str">
        <f ca="1">IF($A170="*","",IF($B170="PRC_ACTUNT",OFFSET(SUP!$B$57,$L170,SUMIF($B$9:$B$11,$B170,$M$9:$M$11)),"-"))</f>
        <v>-</v>
      </c>
      <c r="F170" s="440" t="str">
        <f t="shared" ca="1" si="14"/>
        <v>-</v>
      </c>
      <c r="G170" s="440" t="str">
        <f t="shared" ca="1" si="15"/>
        <v>-</v>
      </c>
      <c r="H170" s="440" t="str">
        <f ca="1">IF($A170="*","",IF($B170="PRC_NOFF",OFFSET(SUP!$B$57,$L170,SUMIF($B$9:$B$12,$B170,$M$9:$M$12))-1,OFFSET(H$8,K170,0)))</f>
        <v>-</v>
      </c>
      <c r="I170" s="440">
        <f ca="1">IF(LEFT(VLOOKUP("*#"&amp;K170,$A$9:$I$13,I$6,0),1)="#",OFFSET(SUP!$B$57,$L170,SUMIF($A$9:$A$13,"*#"&amp;$K170,$M$9:$M$13)),1)</f>
        <v>2012</v>
      </c>
      <c r="J170" s="440"/>
      <c r="K170" s="42">
        <f>IF(L169=SUP!$B$104,K169+1,K169)</f>
        <v>4</v>
      </c>
      <c r="L170" s="42">
        <f t="shared" si="16"/>
        <v>15</v>
      </c>
    </row>
    <row r="171" spans="1:12">
      <c r="A171" s="42" t="str">
        <f ca="1">IF(OR(LEFT(OFFSET(SUP!$A$57,L171,0),2)="\I",I171=""),"*","")</f>
        <v/>
      </c>
      <c r="B171" s="440" t="str">
        <f t="shared" ca="1" si="13"/>
        <v>NCAP_START</v>
      </c>
      <c r="C171" s="440" t="str">
        <f ca="1">OFFSET(SUP!$B$57,L171,0)</f>
        <v>MINSOL</v>
      </c>
      <c r="D171" s="440" t="str">
        <f ca="1">IF($A171="*","",IF(LEFT($B171,3)="TOP",OFFSET(SUP!$D$57,$L171,0),"-"))</f>
        <v>-</v>
      </c>
      <c r="E171" s="440" t="str">
        <f ca="1">IF($A171="*","",IF($B171="PRC_ACTUNT",OFFSET(SUP!$B$57,$L171,SUMIF($B$9:$B$11,$B171,$M$9:$M$11)),"-"))</f>
        <v>-</v>
      </c>
      <c r="F171" s="440" t="str">
        <f t="shared" ca="1" si="14"/>
        <v>-</v>
      </c>
      <c r="G171" s="440" t="str">
        <f t="shared" ca="1" si="15"/>
        <v>-</v>
      </c>
      <c r="H171" s="440" t="str">
        <f ca="1">IF($A171="*","",IF($B171="PRC_NOFF",OFFSET(SUP!$B$57,$L171,SUMIF($B$9:$B$12,$B171,$M$9:$M$12))-1,OFFSET(H$8,K171,0)))</f>
        <v>-</v>
      </c>
      <c r="I171" s="440">
        <f ca="1">IF(LEFT(VLOOKUP("*#"&amp;K171,$A$9:$I$13,I$6,0),1)="#",OFFSET(SUP!$B$57,$L171,SUMIF($A$9:$A$13,"*#"&amp;$K171,$M$9:$M$13)),1)</f>
        <v>2012</v>
      </c>
      <c r="J171" s="440"/>
      <c r="K171" s="42">
        <f>IF(L170=SUP!$B$104,K170+1,K170)</f>
        <v>4</v>
      </c>
      <c r="L171" s="42">
        <f t="shared" si="16"/>
        <v>16</v>
      </c>
    </row>
    <row r="172" spans="1:12">
      <c r="A172" s="42" t="str">
        <f ca="1">IF(OR(LEFT(OFFSET(SUP!$A$57,L172,0),2)="\I",I172=""),"*","")</f>
        <v/>
      </c>
      <c r="B172" s="440" t="str">
        <f t="shared" ca="1" si="13"/>
        <v>NCAP_START</v>
      </c>
      <c r="C172" s="440" t="str">
        <f ca="1">OFFSET(SUP!$B$57,L172,0)</f>
        <v>MINWND</v>
      </c>
      <c r="D172" s="440" t="str">
        <f ca="1">IF($A172="*","",IF(LEFT($B172,3)="TOP",OFFSET(SUP!$D$57,$L172,0),"-"))</f>
        <v>-</v>
      </c>
      <c r="E172" s="440" t="str">
        <f ca="1">IF($A172="*","",IF($B172="PRC_ACTUNT",OFFSET(SUP!$B$57,$L172,SUMIF($B$9:$B$11,$B172,$M$9:$M$11)),"-"))</f>
        <v>-</v>
      </c>
      <c r="F172" s="440" t="str">
        <f t="shared" ca="1" si="14"/>
        <v>-</v>
      </c>
      <c r="G172" s="440" t="str">
        <f t="shared" ca="1" si="15"/>
        <v>-</v>
      </c>
      <c r="H172" s="440" t="str">
        <f ca="1">IF($A172="*","",IF($B172="PRC_NOFF",OFFSET(SUP!$B$57,$L172,SUMIF($B$9:$B$12,$B172,$M$9:$M$12))-1,OFFSET(H$8,K172,0)))</f>
        <v>-</v>
      </c>
      <c r="I172" s="440">
        <f ca="1">IF(LEFT(VLOOKUP("*#"&amp;K172,$A$9:$I$13,I$6,0),1)="#",OFFSET(SUP!$B$57,$L172,SUMIF($A$9:$A$13,"*#"&amp;$K172,$M$9:$M$13)),1)</f>
        <v>2012</v>
      </c>
      <c r="J172" s="440"/>
      <c r="K172" s="42">
        <f>IF(L171=SUP!$B$104,K171+1,K171)</f>
        <v>4</v>
      </c>
      <c r="L172" s="42">
        <f t="shared" si="16"/>
        <v>17</v>
      </c>
    </row>
    <row r="173" spans="1:12">
      <c r="A173" s="42" t="str">
        <f ca="1">IF(OR(LEFT(OFFSET(SUP!$A$57,L173,0),2)="\I",I173=""),"*","")</f>
        <v>*</v>
      </c>
      <c r="B173" s="440" t="str">
        <f t="shared" ca="1" si="13"/>
        <v>NCAP_START</v>
      </c>
      <c r="C173" s="440">
        <f ca="1">OFFSET(SUP!$B$57,L173,0)</f>
        <v>0</v>
      </c>
      <c r="D173" s="440" t="str">
        <f ca="1">IF($A173="*","",IF(LEFT($B173,3)="TOP",OFFSET(SUP!$D$57,$L173,0),"-"))</f>
        <v/>
      </c>
      <c r="E173" s="440" t="str">
        <f ca="1">IF($A173="*","",IF($B173="PRC_ACTUNT",OFFSET(SUP!$B$57,$L173,SUMIF($B$9:$B$11,$B173,$M$9:$M$11)),"-"))</f>
        <v/>
      </c>
      <c r="F173" s="440" t="str">
        <f t="shared" ca="1" si="14"/>
        <v>-</v>
      </c>
      <c r="G173" s="440" t="str">
        <f t="shared" ca="1" si="15"/>
        <v/>
      </c>
      <c r="H173" s="440" t="str">
        <f ca="1">IF($A173="*","",IF($B173="PRC_NOFF",OFFSET(SUP!$B$57,$L173,SUMIF($B$9:$B$12,$B173,$M$9:$M$12))-1,OFFSET(H$8,K173,0)))</f>
        <v/>
      </c>
      <c r="I173" s="440">
        <f ca="1">IF(LEFT(VLOOKUP("*#"&amp;K173,$A$9:$I$13,I$6,0),1)="#",OFFSET(SUP!$B$57,$L173,SUMIF($A$9:$A$13,"*#"&amp;$K173,$M$9:$M$13)),1)</f>
        <v>2012</v>
      </c>
      <c r="J173" s="440"/>
      <c r="K173" s="42">
        <f>IF(L172=SUP!$B$104,K172+1,K172)</f>
        <v>4</v>
      </c>
      <c r="L173" s="42">
        <f t="shared" si="16"/>
        <v>18</v>
      </c>
    </row>
    <row r="174" spans="1:12">
      <c r="A174" s="42" t="str">
        <f ca="1">IF(OR(LEFT(OFFSET(SUP!$A$57,L174,0),2)="\I",I174=""),"*","")</f>
        <v/>
      </c>
      <c r="B174" s="440" t="str">
        <f t="shared" ca="1" si="13"/>
        <v>NCAP_START</v>
      </c>
      <c r="C174" s="440" t="str">
        <f ca="1">OFFSET(SUP!$B$57,L174,0)</f>
        <v>IMPCOK</v>
      </c>
      <c r="D174" s="440" t="str">
        <f ca="1">IF($A174="*","",IF(LEFT($B174,3)="TOP",OFFSET(SUP!$D$57,$L174,0),"-"))</f>
        <v>-</v>
      </c>
      <c r="E174" s="440" t="str">
        <f ca="1">IF($A174="*","",IF($B174="PRC_ACTUNT",OFFSET(SUP!$B$57,$L174,SUMIF($B$9:$B$11,$B174,$M$9:$M$11)),"-"))</f>
        <v>-</v>
      </c>
      <c r="F174" s="440" t="str">
        <f t="shared" ca="1" si="14"/>
        <v>-</v>
      </c>
      <c r="G174" s="440" t="str">
        <f t="shared" ca="1" si="15"/>
        <v>-</v>
      </c>
      <c r="H174" s="440" t="str">
        <f ca="1">IF($A174="*","",IF($B174="PRC_NOFF",OFFSET(SUP!$B$57,$L174,SUMIF($B$9:$B$12,$B174,$M$9:$M$12))-1,OFFSET(H$8,K174,0)))</f>
        <v>-</v>
      </c>
      <c r="I174" s="440">
        <f ca="1">IF(LEFT(VLOOKUP("*#"&amp;K174,$A$9:$I$13,I$6,0),1)="#",OFFSET(SUP!$B$57,$L174,SUMIF($A$9:$A$13,"*#"&amp;$K174,$M$9:$M$13)),1)</f>
        <v>2012</v>
      </c>
      <c r="J174" s="440"/>
      <c r="K174" s="42">
        <f>IF(L173=SUP!$B$104,K173+1,K173)</f>
        <v>4</v>
      </c>
      <c r="L174" s="42">
        <f t="shared" si="16"/>
        <v>19</v>
      </c>
    </row>
    <row r="175" spans="1:12">
      <c r="A175" s="42" t="str">
        <f ca="1">IF(OR(LEFT(OFFSET(SUP!$A$57,L175,0),2)="\I",I175=""),"*","")</f>
        <v/>
      </c>
      <c r="B175" s="440" t="str">
        <f t="shared" ca="1" si="13"/>
        <v>NCAP_START</v>
      </c>
      <c r="C175" s="440" t="str">
        <f ca="1">OFFSET(SUP!$B$57,L175,0)</f>
        <v>IMPGRL</v>
      </c>
      <c r="D175" s="440" t="str">
        <f ca="1">IF($A175="*","",IF(LEFT($B175,3)="TOP",OFFSET(SUP!$D$57,$L175,0),"-"))</f>
        <v>-</v>
      </c>
      <c r="E175" s="440" t="str">
        <f ca="1">IF($A175="*","",IF($B175="PRC_ACTUNT",OFFSET(SUP!$B$57,$L175,SUMIF($B$9:$B$11,$B175,$M$9:$M$11)),"-"))</f>
        <v>-</v>
      </c>
      <c r="F175" s="440" t="str">
        <f t="shared" ca="1" si="14"/>
        <v>-</v>
      </c>
      <c r="G175" s="440" t="str">
        <f t="shared" ca="1" si="15"/>
        <v>-</v>
      </c>
      <c r="H175" s="440" t="str">
        <f ca="1">IF($A175="*","",IF($B175="PRC_NOFF",OFFSET(SUP!$B$57,$L175,SUMIF($B$9:$B$12,$B175,$M$9:$M$12))-1,OFFSET(H$8,K175,0)))</f>
        <v>-</v>
      </c>
      <c r="I175" s="440">
        <f ca="1">IF(LEFT(VLOOKUP("*#"&amp;K175,$A$9:$I$13,I$6,0),1)="#",OFFSET(SUP!$B$57,$L175,SUMIF($A$9:$A$13,"*#"&amp;$K175,$M$9:$M$13)),1)</f>
        <v>2021</v>
      </c>
      <c r="J175" s="440"/>
      <c r="K175" s="42">
        <f>IF(L174=SUP!$B$104,K174+1,K174)</f>
        <v>4</v>
      </c>
      <c r="L175" s="42">
        <f t="shared" si="16"/>
        <v>20</v>
      </c>
    </row>
    <row r="176" spans="1:12">
      <c r="A176" s="42" t="str">
        <f ca="1">IF(OR(LEFT(OFFSET(SUP!$A$57,L176,0),2)="\I",I176=""),"*","")</f>
        <v/>
      </c>
      <c r="B176" s="440" t="str">
        <f t="shared" ca="1" si="13"/>
        <v>NCAP_START</v>
      </c>
      <c r="C176" s="440" t="str">
        <f ca="1">OFFSET(SUP!$B$57,L176,0)</f>
        <v>IMPGWL</v>
      </c>
      <c r="D176" s="440" t="str">
        <f ca="1">IF($A176="*","",IF(LEFT($B176,3)="TOP",OFFSET(SUP!$D$57,$L176,0),"-"))</f>
        <v>-</v>
      </c>
      <c r="E176" s="440" t="str">
        <f ca="1">IF($A176="*","",IF($B176="PRC_ACTUNT",OFFSET(SUP!$B$57,$L176,SUMIF($B$9:$B$11,$B176,$M$9:$M$11)),"-"))</f>
        <v>-</v>
      </c>
      <c r="F176" s="440" t="str">
        <f t="shared" ca="1" si="14"/>
        <v>-</v>
      </c>
      <c r="G176" s="440" t="str">
        <f t="shared" ca="1" si="15"/>
        <v>-</v>
      </c>
      <c r="H176" s="440" t="str">
        <f ca="1">IF($A176="*","",IF($B176="PRC_NOFF",OFFSET(SUP!$B$57,$L176,SUMIF($B$9:$B$12,$B176,$M$9:$M$12))-1,OFFSET(H$8,K176,0)))</f>
        <v>-</v>
      </c>
      <c r="I176" s="440">
        <f ca="1">IF(LEFT(VLOOKUP("*#"&amp;K176,$A$9:$I$13,I$6,0),1)="#",OFFSET(SUP!$B$57,$L176,SUMIF($A$9:$A$13,"*#"&amp;$K176,$M$9:$M$13)),1)</f>
        <v>2020</v>
      </c>
      <c r="J176" s="440"/>
      <c r="K176" s="42">
        <f>IF(L175=SUP!$B$104,K175+1,K175)</f>
        <v>4</v>
      </c>
      <c r="L176" s="42">
        <f t="shared" si="16"/>
        <v>21</v>
      </c>
    </row>
    <row r="177" spans="1:12">
      <c r="A177" s="42" t="str">
        <f ca="1">IF(OR(LEFT(OFFSET(SUP!$A$57,L177,0),2)="\I",I177=""),"*","")</f>
        <v/>
      </c>
      <c r="B177" s="440" t="str">
        <f t="shared" ca="1" si="13"/>
        <v>NCAP_START</v>
      </c>
      <c r="C177" s="440" t="str">
        <f ca="1">OFFSET(SUP!$B$57,L177,0)</f>
        <v>IMPNUC</v>
      </c>
      <c r="D177" s="440" t="str">
        <f ca="1">IF($A177="*","",IF(LEFT($B177,3)="TOP",OFFSET(SUP!$D$57,$L177,0),"-"))</f>
        <v>-</v>
      </c>
      <c r="E177" s="440" t="str">
        <f ca="1">IF($A177="*","",IF($B177="PRC_ACTUNT",OFFSET(SUP!$B$57,$L177,SUMIF($B$9:$B$11,$B177,$M$9:$M$11)),"-"))</f>
        <v>-</v>
      </c>
      <c r="F177" s="440" t="str">
        <f t="shared" ca="1" si="14"/>
        <v>-</v>
      </c>
      <c r="G177" s="440" t="str">
        <f t="shared" ca="1" si="15"/>
        <v>-</v>
      </c>
      <c r="H177" s="440" t="str">
        <f ca="1">IF($A177="*","",IF($B177="PRC_NOFF",OFFSET(SUP!$B$57,$L177,SUMIF($B$9:$B$12,$B177,$M$9:$M$12))-1,OFFSET(H$8,K177,0)))</f>
        <v>-</v>
      </c>
      <c r="I177" s="440">
        <f ca="1">IF(LEFT(VLOOKUP("*#"&amp;K177,$A$9:$I$13,I$6,0),1)="#",OFFSET(SUP!$B$57,$L177,SUMIF($A$9:$A$13,"*#"&amp;$K177,$M$9:$M$13)),1)</f>
        <v>2012</v>
      </c>
      <c r="J177" s="440"/>
      <c r="K177" s="42">
        <f>IF(L176=SUP!$B$104,K176+1,K176)</f>
        <v>4</v>
      </c>
      <c r="L177" s="42">
        <f t="shared" si="16"/>
        <v>22</v>
      </c>
    </row>
    <row r="178" spans="1:12">
      <c r="A178" s="42" t="str">
        <f ca="1">IF(OR(LEFT(OFFSET(SUP!$A$57,L178,0),2)="\I",I178=""),"*","")</f>
        <v/>
      </c>
      <c r="B178" s="440" t="str">
        <f t="shared" ca="1" si="13"/>
        <v>NCAP_START</v>
      </c>
      <c r="C178" s="440" t="str">
        <f ca="1">OFFSET(SUP!$B$57,L178,0)</f>
        <v>IMPOAG</v>
      </c>
      <c r="D178" s="440" t="str">
        <f ca="1">IF($A178="*","",IF(LEFT($B178,3)="TOP",OFFSET(SUP!$D$57,$L178,0),"-"))</f>
        <v>-</v>
      </c>
      <c r="E178" s="440" t="str">
        <f ca="1">IF($A178="*","",IF($B178="PRC_ACTUNT",OFFSET(SUP!$B$57,$L178,SUMIF($B$9:$B$11,$B178,$M$9:$M$11)),"-"))</f>
        <v>-</v>
      </c>
      <c r="F178" s="440" t="str">
        <f t="shared" ca="1" si="14"/>
        <v>-</v>
      </c>
      <c r="G178" s="440" t="str">
        <f t="shared" ca="1" si="15"/>
        <v>-</v>
      </c>
      <c r="H178" s="440" t="str">
        <f ca="1">IF($A178="*","",IF($B178="PRC_NOFF",OFFSET(SUP!$B$57,$L178,SUMIF($B$9:$B$12,$B178,$M$9:$M$12))-1,OFFSET(H$8,K178,0)))</f>
        <v>-</v>
      </c>
      <c r="I178" s="440">
        <f ca="1">IF(LEFT(VLOOKUP("*#"&amp;K178,$A$9:$I$13,I$6,0),1)="#",OFFSET(SUP!$B$57,$L178,SUMIF($A$9:$A$13,"*#"&amp;$K178,$M$9:$M$13)),1)</f>
        <v>2012</v>
      </c>
      <c r="J178" s="440"/>
      <c r="K178" s="42">
        <f>IF(L177=SUP!$B$104,K177+1,K177)</f>
        <v>4</v>
      </c>
      <c r="L178" s="42">
        <f t="shared" si="16"/>
        <v>23</v>
      </c>
    </row>
    <row r="179" spans="1:12">
      <c r="A179" s="42" t="str">
        <f ca="1">IF(OR(LEFT(OFFSET(SUP!$A$57,L179,0),2)="\I",I179=""),"*","")</f>
        <v/>
      </c>
      <c r="B179" s="440" t="str">
        <f t="shared" ca="1" si="13"/>
        <v>NCAP_START</v>
      </c>
      <c r="C179" s="440" t="str">
        <f ca="1">OFFSET(SUP!$B$57,L179,0)</f>
        <v>IMPOCR</v>
      </c>
      <c r="D179" s="440" t="str">
        <f ca="1">IF($A179="*","",IF(LEFT($B179,3)="TOP",OFFSET(SUP!$D$57,$L179,0),"-"))</f>
        <v>-</v>
      </c>
      <c r="E179" s="440" t="str">
        <f ca="1">IF($A179="*","",IF($B179="PRC_ACTUNT",OFFSET(SUP!$B$57,$L179,SUMIF($B$9:$B$11,$B179,$M$9:$M$11)),"-"))</f>
        <v>-</v>
      </c>
      <c r="F179" s="440" t="str">
        <f t="shared" ca="1" si="14"/>
        <v>-</v>
      </c>
      <c r="G179" s="440" t="str">
        <f t="shared" ca="1" si="15"/>
        <v>-</v>
      </c>
      <c r="H179" s="440" t="str">
        <f ca="1">IF($A179="*","",IF($B179="PRC_NOFF",OFFSET(SUP!$B$57,$L179,SUMIF($B$9:$B$12,$B179,$M$9:$M$12))-1,OFFSET(H$8,K179,0)))</f>
        <v>-</v>
      </c>
      <c r="I179" s="440">
        <f ca="1">IF(LEFT(VLOOKUP("*#"&amp;K179,$A$9:$I$13,I$6,0),1)="#",OFFSET(SUP!$B$57,$L179,SUMIF($A$9:$A$13,"*#"&amp;$K179,$M$9:$M$13)),1)</f>
        <v>2012</v>
      </c>
      <c r="J179" s="440"/>
      <c r="K179" s="42">
        <f>IF(L178=SUP!$B$104,K178+1,K178)</f>
        <v>4</v>
      </c>
      <c r="L179" s="42">
        <f t="shared" si="16"/>
        <v>24</v>
      </c>
    </row>
    <row r="180" spans="1:12">
      <c r="A180" s="42" t="str">
        <f ca="1">IF(OR(LEFT(OFFSET(SUP!$A$57,L180,0),2)="\I",I180=""),"*","")</f>
        <v/>
      </c>
      <c r="B180" s="440" t="str">
        <f t="shared" ca="1" si="13"/>
        <v>NCAP_START</v>
      </c>
      <c r="C180" s="440" t="str">
        <f ca="1">OFFSET(SUP!$B$57,L180,0)</f>
        <v>IMPODS</v>
      </c>
      <c r="D180" s="440" t="str">
        <f ca="1">IF($A180="*","",IF(LEFT($B180,3)="TOP",OFFSET(SUP!$D$57,$L180,0),"-"))</f>
        <v>-</v>
      </c>
      <c r="E180" s="440" t="str">
        <f ca="1">IF($A180="*","",IF($B180="PRC_ACTUNT",OFFSET(SUP!$B$57,$L180,SUMIF($B$9:$B$11,$B180,$M$9:$M$11)),"-"))</f>
        <v>-</v>
      </c>
      <c r="F180" s="440" t="str">
        <f t="shared" ca="1" si="14"/>
        <v>-</v>
      </c>
      <c r="G180" s="440" t="str">
        <f t="shared" ca="1" si="15"/>
        <v>-</v>
      </c>
      <c r="H180" s="440" t="str">
        <f ca="1">IF($A180="*","",IF($B180="PRC_NOFF",OFFSET(SUP!$B$57,$L180,SUMIF($B$9:$B$12,$B180,$M$9:$M$12))-1,OFFSET(H$8,K180,0)))</f>
        <v>-</v>
      </c>
      <c r="I180" s="440">
        <f ca="1">IF(LEFT(VLOOKUP("*#"&amp;K180,$A$9:$I$13,I$6,0),1)="#",OFFSET(SUP!$B$57,$L180,SUMIF($A$9:$A$13,"*#"&amp;$K180,$M$9:$M$13)),1)</f>
        <v>2012</v>
      </c>
      <c r="J180" s="440"/>
      <c r="K180" s="42">
        <f>IF(L179=SUP!$B$104,K179+1,K179)</f>
        <v>4</v>
      </c>
      <c r="L180" s="42">
        <f t="shared" si="16"/>
        <v>25</v>
      </c>
    </row>
    <row r="181" spans="1:12">
      <c r="A181" s="42" t="str">
        <f ca="1">IF(OR(LEFT(OFFSET(SUP!$A$57,L181,0),2)="\I",I181=""),"*","")</f>
        <v/>
      </c>
      <c r="B181" s="440" t="str">
        <f t="shared" ca="1" si="13"/>
        <v>NCAP_START</v>
      </c>
      <c r="C181" s="440" t="str">
        <f ca="1">OFFSET(SUP!$B$57,L181,0)</f>
        <v>IMPOGS</v>
      </c>
      <c r="D181" s="440" t="str">
        <f ca="1">IF($A181="*","",IF(LEFT($B181,3)="TOP",OFFSET(SUP!$D$57,$L181,0),"-"))</f>
        <v>-</v>
      </c>
      <c r="E181" s="440" t="str">
        <f ca="1">IF($A181="*","",IF($B181="PRC_ACTUNT",OFFSET(SUP!$B$57,$L181,SUMIF($B$9:$B$11,$B181,$M$9:$M$11)),"-"))</f>
        <v>-</v>
      </c>
      <c r="F181" s="440" t="str">
        <f t="shared" ca="1" si="14"/>
        <v>-</v>
      </c>
      <c r="G181" s="440" t="str">
        <f t="shared" ca="1" si="15"/>
        <v>-</v>
      </c>
      <c r="H181" s="440" t="str">
        <f ca="1">IF($A181="*","",IF($B181="PRC_NOFF",OFFSET(SUP!$B$57,$L181,SUMIF($B$9:$B$12,$B181,$M$9:$M$12))-1,OFFSET(H$8,K181,0)))</f>
        <v>-</v>
      </c>
      <c r="I181" s="440">
        <f ca="1">IF(LEFT(VLOOKUP("*#"&amp;K181,$A$9:$I$13,I$6,0),1)="#",OFFSET(SUP!$B$57,$L181,SUMIF($A$9:$A$13,"*#"&amp;$K181,$M$9:$M$13)),1)</f>
        <v>2012</v>
      </c>
      <c r="J181" s="440"/>
      <c r="K181" s="42">
        <f>IF(L180=SUP!$B$104,K180+1,K180)</f>
        <v>4</v>
      </c>
      <c r="L181" s="42">
        <f t="shared" si="16"/>
        <v>26</v>
      </c>
    </row>
    <row r="182" spans="1:12">
      <c r="A182" s="42" t="str">
        <f ca="1">IF(OR(LEFT(OFFSET(SUP!$A$57,L182,0),2)="\I",I182=""),"*","")</f>
        <v/>
      </c>
      <c r="B182" s="440" t="str">
        <f t="shared" ca="1" si="13"/>
        <v>NCAP_START</v>
      </c>
      <c r="C182" s="440" t="str">
        <f ca="1">OFFSET(SUP!$B$57,L182,0)</f>
        <v>IMPOHF</v>
      </c>
      <c r="D182" s="440" t="str">
        <f ca="1">IF($A182="*","",IF(LEFT($B182,3)="TOP",OFFSET(SUP!$D$57,$L182,0),"-"))</f>
        <v>-</v>
      </c>
      <c r="E182" s="440" t="str">
        <f ca="1">IF($A182="*","",IF($B182="PRC_ACTUNT",OFFSET(SUP!$B$57,$L182,SUMIF($B$9:$B$11,$B182,$M$9:$M$11)),"-"))</f>
        <v>-</v>
      </c>
      <c r="F182" s="440" t="str">
        <f t="shared" ca="1" si="14"/>
        <v>-</v>
      </c>
      <c r="G182" s="440" t="str">
        <f t="shared" ca="1" si="15"/>
        <v>-</v>
      </c>
      <c r="H182" s="440" t="str">
        <f ca="1">IF($A182="*","",IF($B182="PRC_NOFF",OFFSET(SUP!$B$57,$L182,SUMIF($B$9:$B$12,$B182,$M$9:$M$12))-1,OFFSET(H$8,K182,0)))</f>
        <v>-</v>
      </c>
      <c r="I182" s="440">
        <f ca="1">IF(LEFT(VLOOKUP("*#"&amp;K182,$A$9:$I$13,I$6,0),1)="#",OFFSET(SUP!$B$57,$L182,SUMIF($A$9:$A$13,"*#"&amp;$K182,$M$9:$M$13)),1)</f>
        <v>2012</v>
      </c>
      <c r="J182" s="440"/>
      <c r="K182" s="42">
        <f>IF(L181=SUP!$B$104,K181+1,K181)</f>
        <v>4</v>
      </c>
      <c r="L182" s="42">
        <f t="shared" si="16"/>
        <v>27</v>
      </c>
    </row>
    <row r="183" spans="1:12">
      <c r="A183" s="42" t="str">
        <f ca="1">IF(OR(LEFT(OFFSET(SUP!$A$57,L183,0),2)="\I",I183=""),"*","")</f>
        <v/>
      </c>
      <c r="B183" s="440" t="str">
        <f t="shared" ca="1" si="13"/>
        <v>NCAP_START</v>
      </c>
      <c r="C183" s="440" t="str">
        <f ca="1">OFFSET(SUP!$B$57,L183,0)</f>
        <v>IMPOLP</v>
      </c>
      <c r="D183" s="440" t="str">
        <f ca="1">IF($A183="*","",IF(LEFT($B183,3)="TOP",OFFSET(SUP!$D$57,$L183,0),"-"))</f>
        <v>-</v>
      </c>
      <c r="E183" s="440" t="str">
        <f ca="1">IF($A183="*","",IF($B183="PRC_ACTUNT",OFFSET(SUP!$B$57,$L183,SUMIF($B$9:$B$11,$B183,$M$9:$M$11)),"-"))</f>
        <v>-</v>
      </c>
      <c r="F183" s="440" t="str">
        <f t="shared" ca="1" si="14"/>
        <v>-</v>
      </c>
      <c r="G183" s="440" t="str">
        <f t="shared" ca="1" si="15"/>
        <v>-</v>
      </c>
      <c r="H183" s="440" t="str">
        <f ca="1">IF($A183="*","",IF($B183="PRC_NOFF",OFFSET(SUP!$B$57,$L183,SUMIF($B$9:$B$12,$B183,$M$9:$M$12))-1,OFFSET(H$8,K183,0)))</f>
        <v>-</v>
      </c>
      <c r="I183" s="440">
        <f ca="1">IF(LEFT(VLOOKUP("*#"&amp;K183,$A$9:$I$13,I$6,0),1)="#",OFFSET(SUP!$B$57,$L183,SUMIF($A$9:$A$13,"*#"&amp;$K183,$M$9:$M$13)),1)</f>
        <v>2012</v>
      </c>
      <c r="J183" s="440"/>
      <c r="K183" s="42">
        <f>IF(L182=SUP!$B$104,K182+1,K182)</f>
        <v>4</v>
      </c>
      <c r="L183" s="42">
        <f t="shared" si="16"/>
        <v>28</v>
      </c>
    </row>
    <row r="184" spans="1:12">
      <c r="A184" s="42" t="str">
        <f ca="1">IF(OR(LEFT(OFFSET(SUP!$A$57,L184,0),2)="\I",I184=""),"*","")</f>
        <v/>
      </c>
      <c r="B184" s="440" t="str">
        <f t="shared" ca="1" si="13"/>
        <v>NCAP_START</v>
      </c>
      <c r="C184" s="440" t="str">
        <f ca="1">OFFSET(SUP!$B$57,L184,0)</f>
        <v>IMPOKE</v>
      </c>
      <c r="D184" s="440" t="str">
        <f ca="1">IF($A184="*","",IF(LEFT($B184,3)="TOP",OFFSET(SUP!$D$57,$L184,0),"-"))</f>
        <v>-</v>
      </c>
      <c r="E184" s="440" t="str">
        <f ca="1">IF($A184="*","",IF($B184="PRC_ACTUNT",OFFSET(SUP!$B$57,$L184,SUMIF($B$9:$B$11,$B184,$M$9:$M$11)),"-"))</f>
        <v>-</v>
      </c>
      <c r="F184" s="440" t="str">
        <f t="shared" ca="1" si="14"/>
        <v>-</v>
      </c>
      <c r="G184" s="440" t="str">
        <f t="shared" ca="1" si="15"/>
        <v>-</v>
      </c>
      <c r="H184" s="440" t="str">
        <f ca="1">IF($A184="*","",IF($B184="PRC_NOFF",OFFSET(SUP!$B$57,$L184,SUMIF($B$9:$B$12,$B184,$M$9:$M$12))-1,OFFSET(H$8,K184,0)))</f>
        <v>-</v>
      </c>
      <c r="I184" s="440">
        <f ca="1">IF(LEFT(VLOOKUP("*#"&amp;K184,$A$9:$I$13,I$6,0),1)="#",OFFSET(SUP!$B$57,$L184,SUMIF($A$9:$A$13,"*#"&amp;$K184,$M$9:$M$13)),1)</f>
        <v>2012</v>
      </c>
      <c r="J184" s="440"/>
      <c r="K184" s="42">
        <f>IF(L183=SUP!$B$104,K183+1,K183)</f>
        <v>4</v>
      </c>
      <c r="L184" s="42">
        <f t="shared" si="16"/>
        <v>29</v>
      </c>
    </row>
    <row r="185" spans="1:12">
      <c r="A185" s="42" t="str">
        <f ca="1">IF(OR(LEFT(OFFSET(SUP!$A$57,L185,0),2)="\I",I185=""),"*","")</f>
        <v/>
      </c>
      <c r="B185" s="440" t="str">
        <f t="shared" ca="1" si="13"/>
        <v>NCAP_START</v>
      </c>
      <c r="C185" s="440" t="str">
        <f ca="1">OFFSET(SUP!$B$57,L185,0)</f>
        <v>IMPBID</v>
      </c>
      <c r="D185" s="440" t="str">
        <f ca="1">IF($A185="*","",IF(LEFT($B185,3)="TOP",OFFSET(SUP!$D$57,$L185,0),"-"))</f>
        <v>-</v>
      </c>
      <c r="E185" s="440" t="str">
        <f ca="1">IF($A185="*","",IF($B185="PRC_ACTUNT",OFFSET(SUP!$B$57,$L185,SUMIF($B$9:$B$11,$B185,$M$9:$M$11)),"-"))</f>
        <v>-</v>
      </c>
      <c r="F185" s="440" t="str">
        <f t="shared" ca="1" si="14"/>
        <v>-</v>
      </c>
      <c r="G185" s="440" t="str">
        <f t="shared" ca="1" si="15"/>
        <v>-</v>
      </c>
      <c r="H185" s="440" t="str">
        <f ca="1">IF($A185="*","",IF($B185="PRC_NOFF",OFFSET(SUP!$B$57,$L185,SUMIF($B$9:$B$12,$B185,$M$9:$M$12))-1,OFFSET(H$8,K185,0)))</f>
        <v>-</v>
      </c>
      <c r="I185" s="440">
        <f ca="1">IF(LEFT(VLOOKUP("*#"&amp;K185,$A$9:$I$13,I$6,0),1)="#",OFFSET(SUP!$B$57,$L185,SUMIF($A$9:$A$13,"*#"&amp;$K185,$M$9:$M$13)),1)</f>
        <v>2012</v>
      </c>
      <c r="J185" s="440"/>
      <c r="K185" s="42">
        <f>IF(L184=SUP!$B$104,K184+1,K184)</f>
        <v>4</v>
      </c>
      <c r="L185" s="42">
        <f t="shared" si="16"/>
        <v>30</v>
      </c>
    </row>
    <row r="186" spans="1:12">
      <c r="A186" s="42" t="str">
        <f ca="1">IF(OR(LEFT(OFFSET(SUP!$A$57,L186,0),2)="\I",I186=""),"*","")</f>
        <v/>
      </c>
      <c r="B186" s="440" t="str">
        <f t="shared" ca="1" si="13"/>
        <v>NCAP_START</v>
      </c>
      <c r="C186" s="440" t="str">
        <f ca="1">OFFSET(SUP!$B$57,L186,0)</f>
        <v>IMPBIE</v>
      </c>
      <c r="D186" s="440" t="str">
        <f ca="1">IF($A186="*","",IF(LEFT($B186,3)="TOP",OFFSET(SUP!$D$57,$L186,0),"-"))</f>
        <v>-</v>
      </c>
      <c r="E186" s="440" t="str">
        <f ca="1">IF($A186="*","",IF($B186="PRC_ACTUNT",OFFSET(SUP!$B$57,$L186,SUMIF($B$9:$B$11,$B186,$M$9:$M$11)),"-"))</f>
        <v>-</v>
      </c>
      <c r="F186" s="440" t="str">
        <f t="shared" ca="1" si="14"/>
        <v>-</v>
      </c>
      <c r="G186" s="440" t="str">
        <f t="shared" ca="1" si="15"/>
        <v>-</v>
      </c>
      <c r="H186" s="440" t="str">
        <f ca="1">IF($A186="*","",IF($B186="PRC_NOFF",OFFSET(SUP!$B$57,$L186,SUMIF($B$9:$B$12,$B186,$M$9:$M$12))-1,OFFSET(H$8,K186,0)))</f>
        <v>-</v>
      </c>
      <c r="I186" s="440">
        <f ca="1">IF(LEFT(VLOOKUP("*#"&amp;K186,$A$9:$I$13,I$6,0),1)="#",OFFSET(SUP!$B$57,$L186,SUMIF($A$9:$A$13,"*#"&amp;$K186,$M$9:$M$13)),1)</f>
        <v>2012</v>
      </c>
      <c r="J186" s="440"/>
      <c r="K186" s="42">
        <f>IF(L185=SUP!$B$104,K185+1,K185)</f>
        <v>4</v>
      </c>
      <c r="L186" s="42">
        <f t="shared" si="16"/>
        <v>31</v>
      </c>
    </row>
    <row r="187" spans="1:12">
      <c r="A187" s="42" t="str">
        <f ca="1">IF(OR(LEFT(OFFSET(SUP!$A$57,L187,0),2)="\I",I187=""),"*","")</f>
        <v>*</v>
      </c>
      <c r="B187" s="440" t="str">
        <f t="shared" ca="1" si="13"/>
        <v>NCAP_START</v>
      </c>
      <c r="C187" s="440">
        <f ca="1">OFFSET(SUP!$B$57,L187,0)</f>
        <v>0</v>
      </c>
      <c r="D187" s="440" t="str">
        <f ca="1">IF($A187="*","",IF(LEFT($B187,3)="TOP",OFFSET(SUP!$D$57,$L187,0),"-"))</f>
        <v/>
      </c>
      <c r="E187" s="440" t="str">
        <f ca="1">IF($A187="*","",IF($B187="PRC_ACTUNT",OFFSET(SUP!$B$57,$L187,SUMIF($B$9:$B$11,$B187,$M$9:$M$11)),"-"))</f>
        <v/>
      </c>
      <c r="F187" s="440" t="str">
        <f t="shared" ca="1" si="14"/>
        <v>-</v>
      </c>
      <c r="G187" s="440" t="str">
        <f t="shared" ca="1" si="15"/>
        <v/>
      </c>
      <c r="H187" s="440" t="str">
        <f ca="1">IF($A187="*","",IF($B187="PRC_NOFF",OFFSET(SUP!$B$57,$L187,SUMIF($B$9:$B$12,$B187,$M$9:$M$12))-1,OFFSET(H$8,K187,0)))</f>
        <v/>
      </c>
      <c r="I187" s="440">
        <f ca="1">IF(LEFT(VLOOKUP("*#"&amp;K187,$A$9:$I$13,I$6,0),1)="#",OFFSET(SUP!$B$57,$L187,SUMIF($A$9:$A$13,"*#"&amp;$K187,$M$9:$M$13)),1)</f>
        <v>2012</v>
      </c>
      <c r="J187" s="440"/>
      <c r="K187" s="42">
        <f>IF(L186=SUP!$B$104,K186+1,K186)</f>
        <v>4</v>
      </c>
      <c r="L187" s="42">
        <f t="shared" si="16"/>
        <v>32</v>
      </c>
    </row>
    <row r="188" spans="1:12">
      <c r="A188" s="42" t="str">
        <f ca="1">IF(OR(LEFT(OFFSET(SUP!$A$57,L188,0),2)="\I",I188=""),"*","")</f>
        <v/>
      </c>
      <c r="B188" s="440" t="str">
        <f t="shared" ca="1" si="13"/>
        <v>NCAP_START</v>
      </c>
      <c r="C188" s="440" t="str">
        <f ca="1">OFFSET(SUP!$B$57,L188,0)</f>
        <v>MIRCRB</v>
      </c>
      <c r="D188" s="440" t="str">
        <f ca="1">IF($A188="*","",IF(LEFT($B188,3)="TOP",OFFSET(SUP!$D$57,$L188,0),"-"))</f>
        <v>-</v>
      </c>
      <c r="E188" s="440" t="str">
        <f ca="1">IF($A188="*","",IF($B188="PRC_ACTUNT",OFFSET(SUP!$B$57,$L188,SUMIF($B$9:$B$11,$B188,$M$9:$M$11)),"-"))</f>
        <v>-</v>
      </c>
      <c r="F188" s="440" t="str">
        <f t="shared" ca="1" si="14"/>
        <v>-</v>
      </c>
      <c r="G188" s="440" t="str">
        <f t="shared" ca="1" si="15"/>
        <v>-</v>
      </c>
      <c r="H188" s="440" t="str">
        <f ca="1">IF($A188="*","",IF($B188="PRC_NOFF",OFFSET(SUP!$B$57,$L188,SUMIF($B$9:$B$12,$B188,$M$9:$M$12))-1,OFFSET(H$8,K188,0)))</f>
        <v>-</v>
      </c>
      <c r="I188" s="440">
        <f ca="1">IF(LEFT(VLOOKUP("*#"&amp;K188,$A$9:$I$13,I$6,0),1)="#",OFFSET(SUP!$B$57,$L188,SUMIF($A$9:$A$13,"*#"&amp;$K188,$M$9:$M$13)),1)</f>
        <v>2012</v>
      </c>
      <c r="J188" s="440"/>
      <c r="K188" s="42">
        <f>IF(L187=SUP!$B$104,K187+1,K187)</f>
        <v>4</v>
      </c>
      <c r="L188" s="42">
        <f t="shared" si="16"/>
        <v>33</v>
      </c>
    </row>
    <row r="189" spans="1:12">
      <c r="A189" s="42" t="str">
        <f ca="1">IF(OR(LEFT(OFFSET(SUP!$A$57,L189,0),2)="\I",I189=""),"*","")</f>
        <v/>
      </c>
      <c r="B189" s="440" t="str">
        <f t="shared" ca="1" si="13"/>
        <v>NCAP_START</v>
      </c>
      <c r="C189" s="440" t="str">
        <f ca="1">OFFSET(SUP!$B$57,L189,0)</f>
        <v>MIRGRN</v>
      </c>
      <c r="D189" s="440" t="str">
        <f ca="1">IF($A189="*","",IF(LEFT($B189,3)="TOP",OFFSET(SUP!$D$57,$L189,0),"-"))</f>
        <v>-</v>
      </c>
      <c r="E189" s="440" t="str">
        <f ca="1">IF($A189="*","",IF($B189="PRC_ACTUNT",OFFSET(SUP!$B$57,$L189,SUMIF($B$9:$B$11,$B189,$M$9:$M$11)),"-"))</f>
        <v>-</v>
      </c>
      <c r="F189" s="440" t="str">
        <f t="shared" ca="1" si="14"/>
        <v>-</v>
      </c>
      <c r="G189" s="440" t="str">
        <f t="shared" ca="1" si="15"/>
        <v>-</v>
      </c>
      <c r="H189" s="440" t="str">
        <f ca="1">IF($A189="*","",IF($B189="PRC_NOFF",OFFSET(SUP!$B$57,$L189,SUMIF($B$9:$B$12,$B189,$M$9:$M$12))-1,OFFSET(H$8,K189,0)))</f>
        <v>-</v>
      </c>
      <c r="I189" s="440">
        <f ca="1">IF(LEFT(VLOOKUP("*#"&amp;K189,$A$9:$I$13,I$6,0),1)="#",OFFSET(SUP!$B$57,$L189,SUMIF($A$9:$A$13,"*#"&amp;$K189,$M$9:$M$13)),1)</f>
        <v>2012</v>
      </c>
      <c r="J189" s="440"/>
      <c r="K189" s="42">
        <f>IF(L188=SUP!$B$104,K188+1,K188)</f>
        <v>4</v>
      </c>
      <c r="L189" s="42">
        <f t="shared" si="16"/>
        <v>34</v>
      </c>
    </row>
    <row r="190" spans="1:12">
      <c r="A190" s="42" t="str">
        <f ca="1">IF(OR(LEFT(OFFSET(SUP!$A$57,L190,0),2)="\I",I190=""),"*","")</f>
        <v/>
      </c>
      <c r="B190" s="440" t="str">
        <f t="shared" ca="1" si="13"/>
        <v>NCAP_START</v>
      </c>
      <c r="C190" s="440" t="str">
        <f ca="1">OFFSET(SUP!$B$57,L190,0)</f>
        <v>MIRGRS</v>
      </c>
      <c r="D190" s="440" t="str">
        <f ca="1">IF($A190="*","",IF(LEFT($B190,3)="TOP",OFFSET(SUP!$D$57,$L190,0),"-"))</f>
        <v>-</v>
      </c>
      <c r="E190" s="440" t="str">
        <f ca="1">IF($A190="*","",IF($B190="PRC_ACTUNT",OFFSET(SUP!$B$57,$L190,SUMIF($B$9:$B$11,$B190,$M$9:$M$11)),"-"))</f>
        <v>-</v>
      </c>
      <c r="F190" s="440" t="str">
        <f t="shared" ca="1" si="14"/>
        <v>-</v>
      </c>
      <c r="G190" s="440" t="str">
        <f t="shared" ca="1" si="15"/>
        <v>-</v>
      </c>
      <c r="H190" s="440" t="str">
        <f ca="1">IF($A190="*","",IF($B190="PRC_NOFF",OFFSET(SUP!$B$57,$L190,SUMIF($B$9:$B$12,$B190,$M$9:$M$12))-1,OFFSET(H$8,K190,0)))</f>
        <v>-</v>
      </c>
      <c r="I190" s="440">
        <f ca="1">IF(LEFT(VLOOKUP("*#"&amp;K190,$A$9:$I$13,I$6,0),1)="#",OFFSET(SUP!$B$57,$L190,SUMIF($A$9:$A$13,"*#"&amp;$K190,$M$9:$M$13)),1)</f>
        <v>2012</v>
      </c>
      <c r="J190" s="440"/>
      <c r="K190" s="42">
        <f>IF(L189=SUP!$B$104,K189+1,K189)</f>
        <v>4</v>
      </c>
      <c r="L190" s="42">
        <f t="shared" si="16"/>
        <v>35</v>
      </c>
    </row>
    <row r="191" spans="1:12">
      <c r="A191" s="42" t="str">
        <f ca="1">IF(OR(LEFT(OFFSET(SUP!$A$57,L191,0),2)="\I",I191=""),"*","")</f>
        <v/>
      </c>
      <c r="B191" s="440" t="str">
        <f t="shared" ca="1" si="13"/>
        <v>NCAP_START</v>
      </c>
      <c r="C191" s="440" t="str">
        <f ca="1">OFFSET(SUP!$B$57,L191,0)</f>
        <v>MIRGRM</v>
      </c>
      <c r="D191" s="440" t="str">
        <f ca="1">IF($A191="*","",IF(LEFT($B191,3)="TOP",OFFSET(SUP!$D$57,$L191,0),"-"))</f>
        <v>-</v>
      </c>
      <c r="E191" s="440" t="str">
        <f ca="1">IF($A191="*","",IF($B191="PRC_ACTUNT",OFFSET(SUP!$B$57,$L191,SUMIF($B$9:$B$11,$B191,$M$9:$M$11)),"-"))</f>
        <v>-</v>
      </c>
      <c r="F191" s="440" t="str">
        <f t="shared" ca="1" si="14"/>
        <v>-</v>
      </c>
      <c r="G191" s="440" t="str">
        <f t="shared" ca="1" si="15"/>
        <v>-</v>
      </c>
      <c r="H191" s="440" t="str">
        <f ca="1">IF($A191="*","",IF($B191="PRC_NOFF",OFFSET(SUP!$B$57,$L191,SUMIF($B$9:$B$12,$B191,$M$9:$M$12))-1,OFFSET(H$8,K191,0)))</f>
        <v>-</v>
      </c>
      <c r="I191" s="440">
        <f ca="1">IF(LEFT(VLOOKUP("*#"&amp;K191,$A$9:$I$13,I$6,0),1)="#",OFFSET(SUP!$B$57,$L191,SUMIF($A$9:$A$13,"*#"&amp;$K191,$M$9:$M$13)),1)</f>
        <v>2024</v>
      </c>
      <c r="J191" s="440"/>
      <c r="K191" s="42">
        <f>IF(L190=SUP!$B$104,K190+1,K190)</f>
        <v>4</v>
      </c>
      <c r="L191" s="42">
        <f t="shared" si="16"/>
        <v>36</v>
      </c>
    </row>
    <row r="192" spans="1:12">
      <c r="A192" s="42" t="str">
        <f ca="1">IF(OR(LEFT(OFFSET(SUP!$A$57,L192,0),2)="\I",I192=""),"*","")</f>
        <v>*</v>
      </c>
      <c r="B192" s="440" t="str">
        <f t="shared" ca="1" si="13"/>
        <v>NCAP_START</v>
      </c>
      <c r="C192" s="440">
        <f ca="1">OFFSET(SUP!$B$57,L192,0)</f>
        <v>-0.95</v>
      </c>
      <c r="D192" s="440" t="str">
        <f ca="1">IF($A192="*","",IF(LEFT($B192,3)="TOP",OFFSET(SUP!$D$57,$L192,0),"-"))</f>
        <v/>
      </c>
      <c r="E192" s="440" t="str">
        <f ca="1">IF($A192="*","",IF($B192="PRC_ACTUNT",OFFSET(SUP!$B$57,$L192,SUMIF($B$9:$B$11,$B192,$M$9:$M$11)),"-"))</f>
        <v/>
      </c>
      <c r="F192" s="440" t="str">
        <f t="shared" ca="1" si="14"/>
        <v>-</v>
      </c>
      <c r="G192" s="440" t="str">
        <f t="shared" ca="1" si="15"/>
        <v/>
      </c>
      <c r="H192" s="440" t="str">
        <f ca="1">IF($A192="*","",IF($B192="PRC_NOFF",OFFSET(SUP!$B$57,$L192,SUMIF($B$9:$B$12,$B192,$M$9:$M$12))-1,OFFSET(H$8,K192,0)))</f>
        <v/>
      </c>
      <c r="I192" s="440">
        <f ca="1">IF(LEFT(VLOOKUP("*#"&amp;K192,$A$9:$I$13,I$6,0),1)="#",OFFSET(SUP!$B$57,$L192,SUMIF($A$9:$A$13,"*#"&amp;$K192,$M$9:$M$13)),1)</f>
        <v>2012</v>
      </c>
      <c r="J192" s="440"/>
      <c r="K192" s="42">
        <f>IF(L191=SUP!$B$104,K191+1,K191)</f>
        <v>4</v>
      </c>
      <c r="L192" s="42">
        <f t="shared" si="16"/>
        <v>37</v>
      </c>
    </row>
    <row r="193" spans="1:12">
      <c r="A193" s="42" t="str">
        <f ca="1">IF(OR(LEFT(OFFSET(SUP!$A$57,L193,0),2)="\I",I193=""),"*","")</f>
        <v/>
      </c>
      <c r="B193" s="440" t="str">
        <f t="shared" ca="1" si="13"/>
        <v>NCAP_START</v>
      </c>
      <c r="C193" s="440" t="str">
        <f ca="1">OFFSET(SUP!$B$57,L193,0)</f>
        <v>PEXELC</v>
      </c>
      <c r="D193" s="440" t="str">
        <f ca="1">IF($A193="*","",IF(LEFT($B193,3)="TOP",OFFSET(SUP!$D$57,$L193,0),"-"))</f>
        <v>-</v>
      </c>
      <c r="E193" s="440" t="str">
        <f ca="1">IF($A193="*","",IF($B193="PRC_ACTUNT",OFFSET(SUP!$B$57,$L193,SUMIF($B$9:$B$11,$B193,$M$9:$M$11)),"-"))</f>
        <v>-</v>
      </c>
      <c r="F193" s="440" t="str">
        <f t="shared" ca="1" si="14"/>
        <v>-</v>
      </c>
      <c r="G193" s="440" t="str">
        <f t="shared" ca="1" si="15"/>
        <v>-</v>
      </c>
      <c r="H193" s="440" t="str">
        <f ca="1">IF($A193="*","",IF($B193="PRC_NOFF",OFFSET(SUP!$B$57,$L193,SUMIF($B$9:$B$12,$B193,$M$9:$M$12))-1,OFFSET(H$8,K193,0)))</f>
        <v>-</v>
      </c>
      <c r="I193" s="440">
        <f ca="1">IF(LEFT(VLOOKUP("*#"&amp;K193,$A$9:$I$13,I$6,0),1)="#",OFFSET(SUP!$B$57,$L193,SUMIF($A$9:$A$13,"*#"&amp;$K193,$M$9:$M$13)),1)</f>
        <v>2012</v>
      </c>
      <c r="J193" s="440"/>
      <c r="K193" s="42">
        <f>IF(L192=SUP!$B$104,K192+1,K192)</f>
        <v>4</v>
      </c>
      <c r="L193" s="42">
        <f t="shared" si="16"/>
        <v>38</v>
      </c>
    </row>
    <row r="194" spans="1:12">
      <c r="A194" s="42" t="str">
        <f ca="1">IF(OR(LEFT(OFFSET(SUP!$A$57,L194,0),2)="\I",I194=""),"*","")</f>
        <v/>
      </c>
      <c r="B194" s="440" t="str">
        <f t="shared" ca="1" si="13"/>
        <v>NCAP_START</v>
      </c>
      <c r="C194" s="440" t="str">
        <f ca="1">OFFSET(SUP!$B$57,L194,0)</f>
        <v>PEXCOA</v>
      </c>
      <c r="D194" s="440" t="str">
        <f ca="1">IF($A194="*","",IF(LEFT($B194,3)="TOP",OFFSET(SUP!$D$57,$L194,0),"-"))</f>
        <v>-</v>
      </c>
      <c r="E194" s="440" t="str">
        <f ca="1">IF($A194="*","",IF($B194="PRC_ACTUNT",OFFSET(SUP!$B$57,$L194,SUMIF($B$9:$B$11,$B194,$M$9:$M$11)),"-"))</f>
        <v>-</v>
      </c>
      <c r="F194" s="440" t="str">
        <f t="shared" ca="1" si="14"/>
        <v>-</v>
      </c>
      <c r="G194" s="440" t="str">
        <f t="shared" ca="1" si="15"/>
        <v>-</v>
      </c>
      <c r="H194" s="440" t="str">
        <f ca="1">IF($A194="*","",IF($B194="PRC_NOFF",OFFSET(SUP!$B$57,$L194,SUMIF($B$9:$B$12,$B194,$M$9:$M$12))-1,OFFSET(H$8,K194,0)))</f>
        <v>-</v>
      </c>
      <c r="I194" s="440">
        <f ca="1">IF(LEFT(VLOOKUP("*#"&amp;K194,$A$9:$I$13,I$6,0),1)="#",OFFSET(SUP!$B$57,$L194,SUMIF($A$9:$A$13,"*#"&amp;$K194,$M$9:$M$13)),1)</f>
        <v>2012</v>
      </c>
      <c r="J194" s="440"/>
      <c r="K194" s="42">
        <f>IF(L193=SUP!$B$104,K193+1,K193)</f>
        <v>4</v>
      </c>
      <c r="L194" s="42">
        <f t="shared" si="16"/>
        <v>39</v>
      </c>
    </row>
    <row r="195" spans="1:12">
      <c r="A195" s="42" t="str">
        <f ca="1">IF(OR(LEFT(OFFSET(SUP!$A$57,L195,0),2)="\I",I195=""),"*","")</f>
        <v/>
      </c>
      <c r="B195" s="440" t="str">
        <f t="shared" ca="1" si="13"/>
        <v>NCAP_START</v>
      </c>
      <c r="C195" s="440" t="str">
        <f ca="1">OFFSET(SUP!$B$57,L195,0)</f>
        <v>PEXCOK</v>
      </c>
      <c r="D195" s="440" t="str">
        <f ca="1">IF($A195="*","",IF(LEFT($B195,3)="TOP",OFFSET(SUP!$D$57,$L195,0),"-"))</f>
        <v>-</v>
      </c>
      <c r="E195" s="440" t="str">
        <f ca="1">IF($A195="*","",IF($B195="PRC_ACTUNT",OFFSET(SUP!$B$57,$L195,SUMIF($B$9:$B$11,$B195,$M$9:$M$11)),"-"))</f>
        <v>-</v>
      </c>
      <c r="F195" s="440" t="str">
        <f t="shared" ca="1" si="14"/>
        <v>-</v>
      </c>
      <c r="G195" s="440" t="str">
        <f t="shared" ca="1" si="15"/>
        <v>-</v>
      </c>
      <c r="H195" s="440" t="str">
        <f ca="1">IF($A195="*","",IF($B195="PRC_NOFF",OFFSET(SUP!$B$57,$L195,SUMIF($B$9:$B$12,$B195,$M$9:$M$12))-1,OFFSET(H$8,K195,0)))</f>
        <v>-</v>
      </c>
      <c r="I195" s="440">
        <f ca="1">IF(LEFT(VLOOKUP("*#"&amp;K195,$A$9:$I$13,I$6,0),1)="#",OFFSET(SUP!$B$57,$L195,SUMIF($A$9:$A$13,"*#"&amp;$K195,$M$9:$M$13)),1)</f>
        <v>2012</v>
      </c>
      <c r="J195" s="440"/>
      <c r="K195" s="42">
        <f>IF(L194=SUP!$B$104,K194+1,K194)</f>
        <v>4</v>
      </c>
      <c r="L195" s="42">
        <f t="shared" si="16"/>
        <v>40</v>
      </c>
    </row>
    <row r="196" spans="1:12">
      <c r="A196" s="42" t="str">
        <f ca="1">IF(OR(LEFT(OFFSET(SUP!$A$57,L196,0),2)="\I",I196=""),"*","")</f>
        <v/>
      </c>
      <c r="B196" s="440" t="str">
        <f t="shared" ca="1" si="13"/>
        <v>NCAP_START</v>
      </c>
      <c r="C196" s="440" t="str">
        <f ca="1">OFFSET(SUP!$B$57,L196,0)</f>
        <v>PEXOAG</v>
      </c>
      <c r="D196" s="440" t="str">
        <f ca="1">IF($A196="*","",IF(LEFT($B196,3)="TOP",OFFSET(SUP!$D$57,$L196,0),"-"))</f>
        <v>-</v>
      </c>
      <c r="E196" s="440" t="str">
        <f ca="1">IF($A196="*","",IF($B196="PRC_ACTUNT",OFFSET(SUP!$B$57,$L196,SUMIF($B$9:$B$11,$B196,$M$9:$M$11)),"-"))</f>
        <v>-</v>
      </c>
      <c r="F196" s="440" t="str">
        <f t="shared" ca="1" si="14"/>
        <v>-</v>
      </c>
      <c r="G196" s="440" t="str">
        <f t="shared" ca="1" si="15"/>
        <v>-</v>
      </c>
      <c r="H196" s="440" t="str">
        <f ca="1">IF($A196="*","",IF($B196="PRC_NOFF",OFFSET(SUP!$B$57,$L196,SUMIF($B$9:$B$12,$B196,$M$9:$M$12))-1,OFFSET(H$8,K196,0)))</f>
        <v>-</v>
      </c>
      <c r="I196" s="440">
        <f ca="1">IF(LEFT(VLOOKUP("*#"&amp;K196,$A$9:$I$13,I$6,0),1)="#",OFFSET(SUP!$B$57,$L196,SUMIF($A$9:$A$13,"*#"&amp;$K196,$M$9:$M$13)),1)</f>
        <v>2012</v>
      </c>
      <c r="J196" s="440"/>
      <c r="K196" s="42">
        <f>IF(L195=SUP!$B$104,K195+1,K195)</f>
        <v>4</v>
      </c>
      <c r="L196" s="42">
        <f t="shared" si="16"/>
        <v>41</v>
      </c>
    </row>
    <row r="197" spans="1:12">
      <c r="A197" s="42" t="str">
        <f ca="1">IF(OR(LEFT(OFFSET(SUP!$A$57,L197,0),2)="\I",I197=""),"*","")</f>
        <v/>
      </c>
      <c r="B197" s="440" t="str">
        <f t="shared" ca="1" si="13"/>
        <v>NCAP_START</v>
      </c>
      <c r="C197" s="440" t="str">
        <f ca="1">OFFSET(SUP!$B$57,L197,0)</f>
        <v>PEXOCR</v>
      </c>
      <c r="D197" s="440" t="str">
        <f ca="1">IF($A197="*","",IF(LEFT($B197,3)="TOP",OFFSET(SUP!$D$57,$L197,0),"-"))</f>
        <v>-</v>
      </c>
      <c r="E197" s="440" t="str">
        <f ca="1">IF($A197="*","",IF($B197="PRC_ACTUNT",OFFSET(SUP!$B$57,$L197,SUMIF($B$9:$B$11,$B197,$M$9:$M$11)),"-"))</f>
        <v>-</v>
      </c>
      <c r="F197" s="440" t="str">
        <f t="shared" ca="1" si="14"/>
        <v>-</v>
      </c>
      <c r="G197" s="440" t="str">
        <f t="shared" ca="1" si="15"/>
        <v>-</v>
      </c>
      <c r="H197" s="440" t="str">
        <f ca="1">IF($A197="*","",IF($B197="PRC_NOFF",OFFSET(SUP!$B$57,$L197,SUMIF($B$9:$B$12,$B197,$M$9:$M$12))-1,OFFSET(H$8,K197,0)))</f>
        <v>-</v>
      </c>
      <c r="I197" s="440">
        <f ca="1">IF(LEFT(VLOOKUP("*#"&amp;K197,$A$9:$I$13,I$6,0),1)="#",OFFSET(SUP!$B$57,$L197,SUMIF($A$9:$A$13,"*#"&amp;$K197,$M$9:$M$13)),1)</f>
        <v>2012</v>
      </c>
      <c r="J197" s="440"/>
      <c r="K197" s="42">
        <f>IF(L196=SUP!$B$104,K196+1,K196)</f>
        <v>4</v>
      </c>
      <c r="L197" s="42">
        <f t="shared" si="16"/>
        <v>42</v>
      </c>
    </row>
    <row r="198" spans="1:12">
      <c r="A198" s="42" t="str">
        <f ca="1">IF(OR(LEFT(OFFSET(SUP!$A$57,L198,0),2)="\I",I198=""),"*","")</f>
        <v/>
      </c>
      <c r="B198" s="440" t="str">
        <f t="shared" ca="1" si="13"/>
        <v>NCAP_START</v>
      </c>
      <c r="C198" s="440" t="str">
        <f ca="1">OFFSET(SUP!$B$57,L198,0)</f>
        <v>PEXODS</v>
      </c>
      <c r="D198" s="440" t="str">
        <f ca="1">IF($A198="*","",IF(LEFT($B198,3)="TOP",OFFSET(SUP!$D$57,$L198,0),"-"))</f>
        <v>-</v>
      </c>
      <c r="E198" s="440" t="str">
        <f ca="1">IF($A198="*","",IF($B198="PRC_ACTUNT",OFFSET(SUP!$B$57,$L198,SUMIF($B$9:$B$11,$B198,$M$9:$M$11)),"-"))</f>
        <v>-</v>
      </c>
      <c r="F198" s="440" t="str">
        <f t="shared" ca="1" si="14"/>
        <v>-</v>
      </c>
      <c r="G198" s="440" t="str">
        <f t="shared" ca="1" si="15"/>
        <v>-</v>
      </c>
      <c r="H198" s="440" t="str">
        <f ca="1">IF($A198="*","",IF($B198="PRC_NOFF",OFFSET(SUP!$B$57,$L198,SUMIF($B$9:$B$12,$B198,$M$9:$M$12))-1,OFFSET(H$8,K198,0)))</f>
        <v>-</v>
      </c>
      <c r="I198" s="440">
        <f ca="1">IF(LEFT(VLOOKUP("*#"&amp;K198,$A$9:$I$13,I$6,0),1)="#",OFFSET(SUP!$B$57,$L198,SUMIF($A$9:$A$13,"*#"&amp;$K198,$M$9:$M$13)),1)</f>
        <v>2012</v>
      </c>
      <c r="J198" s="440"/>
      <c r="K198" s="42">
        <f>IF(L197=SUP!$B$104,K197+1,K197)</f>
        <v>4</v>
      </c>
      <c r="L198" s="42">
        <f t="shared" si="16"/>
        <v>43</v>
      </c>
    </row>
    <row r="199" spans="1:12">
      <c r="A199" s="42" t="str">
        <f ca="1">IF(OR(LEFT(OFFSET(SUP!$A$57,L199,0),2)="\I",I199=""),"*","")</f>
        <v/>
      </c>
      <c r="B199" s="440" t="str">
        <f t="shared" ca="1" si="13"/>
        <v>NCAP_START</v>
      </c>
      <c r="C199" s="440" t="str">
        <f ca="1">OFFSET(SUP!$B$57,L199,0)</f>
        <v>PEXOGS</v>
      </c>
      <c r="D199" s="440" t="str">
        <f ca="1">IF($A199="*","",IF(LEFT($B199,3)="TOP",OFFSET(SUP!$D$57,$L199,0),"-"))</f>
        <v>-</v>
      </c>
      <c r="E199" s="440" t="str">
        <f ca="1">IF($A199="*","",IF($B199="PRC_ACTUNT",OFFSET(SUP!$B$57,$L199,SUMIF($B$9:$B$11,$B199,$M$9:$M$11)),"-"))</f>
        <v>-</v>
      </c>
      <c r="F199" s="440" t="str">
        <f t="shared" ca="1" si="14"/>
        <v>-</v>
      </c>
      <c r="G199" s="440" t="str">
        <f t="shared" ca="1" si="15"/>
        <v>-</v>
      </c>
      <c r="H199" s="440" t="str">
        <f ca="1">IF($A199="*","",IF($B199="PRC_NOFF",OFFSET(SUP!$B$57,$L199,SUMIF($B$9:$B$12,$B199,$M$9:$M$12))-1,OFFSET(H$8,K199,0)))</f>
        <v>-</v>
      </c>
      <c r="I199" s="440">
        <f ca="1">IF(LEFT(VLOOKUP("*#"&amp;K199,$A$9:$I$13,I$6,0),1)="#",OFFSET(SUP!$B$57,$L199,SUMIF($A$9:$A$13,"*#"&amp;$K199,$M$9:$M$13)),1)</f>
        <v>2012</v>
      </c>
      <c r="J199" s="440"/>
      <c r="K199" s="42">
        <f>IF(L198=SUP!$B$104,K198+1,K198)</f>
        <v>4</v>
      </c>
      <c r="L199" s="42">
        <f t="shared" si="16"/>
        <v>44</v>
      </c>
    </row>
    <row r="200" spans="1:12">
      <c r="A200" s="42" t="str">
        <f ca="1">IF(OR(LEFT(OFFSET(SUP!$A$57,L200,0),2)="\I",I200=""),"*","")</f>
        <v/>
      </c>
      <c r="B200" s="440" t="str">
        <f t="shared" ca="1" si="13"/>
        <v>NCAP_START</v>
      </c>
      <c r="C200" s="440" t="str">
        <f ca="1">OFFSET(SUP!$B$57,L200,0)</f>
        <v>PEXOHF</v>
      </c>
      <c r="D200" s="440" t="str">
        <f ca="1">IF($A200="*","",IF(LEFT($B200,3)="TOP",OFFSET(SUP!$D$57,$L200,0),"-"))</f>
        <v>-</v>
      </c>
      <c r="E200" s="440" t="str">
        <f ca="1">IF($A200="*","",IF($B200="PRC_ACTUNT",OFFSET(SUP!$B$57,$L200,SUMIF($B$9:$B$11,$B200,$M$9:$M$11)),"-"))</f>
        <v>-</v>
      </c>
      <c r="F200" s="440" t="str">
        <f t="shared" ca="1" si="14"/>
        <v>-</v>
      </c>
      <c r="G200" s="440" t="str">
        <f t="shared" ca="1" si="15"/>
        <v>-</v>
      </c>
      <c r="H200" s="440" t="str">
        <f ca="1">IF($A200="*","",IF($B200="PRC_NOFF",OFFSET(SUP!$B$57,$L200,SUMIF($B$9:$B$12,$B200,$M$9:$M$12))-1,OFFSET(H$8,K200,0)))</f>
        <v>-</v>
      </c>
      <c r="I200" s="440">
        <f ca="1">IF(LEFT(VLOOKUP("*#"&amp;K200,$A$9:$I$13,I$6,0),1)="#",OFFSET(SUP!$B$57,$L200,SUMIF($A$9:$A$13,"*#"&amp;$K200,$M$9:$M$13)),1)</f>
        <v>2012</v>
      </c>
      <c r="J200" s="440"/>
      <c r="K200" s="42">
        <f>IF(L199=SUP!$B$104,K199+1,K199)</f>
        <v>4</v>
      </c>
      <c r="L200" s="42">
        <f t="shared" si="16"/>
        <v>45</v>
      </c>
    </row>
    <row r="201" spans="1:12">
      <c r="A201" s="42" t="str">
        <f ca="1">IF(OR(LEFT(OFFSET(SUP!$A$57,L201,0),2)="\I",I201=""),"*","")</f>
        <v/>
      </c>
      <c r="B201" s="440" t="str">
        <f t="shared" ca="1" si="13"/>
        <v>NCAP_START</v>
      </c>
      <c r="C201" s="440" t="str">
        <f ca="1">OFFSET(SUP!$B$57,L201,0)</f>
        <v>PEXOKE</v>
      </c>
      <c r="D201" s="440" t="str">
        <f ca="1">IF($A201="*","",IF(LEFT($B201,3)="TOP",OFFSET(SUP!$D$57,$L201,0),"-"))</f>
        <v>-</v>
      </c>
      <c r="E201" s="440" t="str">
        <f ca="1">IF($A201="*","",IF($B201="PRC_ACTUNT",OFFSET(SUP!$B$57,$L201,SUMIF($B$9:$B$11,$B201,$M$9:$M$11)),"-"))</f>
        <v>-</v>
      </c>
      <c r="F201" s="440" t="str">
        <f t="shared" ca="1" si="14"/>
        <v>-</v>
      </c>
      <c r="G201" s="440" t="str">
        <f t="shared" ca="1" si="15"/>
        <v>-</v>
      </c>
      <c r="H201" s="440" t="str">
        <f ca="1">IF($A201="*","",IF($B201="PRC_NOFF",OFFSET(SUP!$B$57,$L201,SUMIF($B$9:$B$12,$B201,$M$9:$M$12))-1,OFFSET(H$8,K201,0)))</f>
        <v>-</v>
      </c>
      <c r="I201" s="440">
        <f ca="1">IF(LEFT(VLOOKUP("*#"&amp;K201,$A$9:$I$13,I$6,0),1)="#",OFFSET(SUP!$B$57,$L201,SUMIF($A$9:$A$13,"*#"&amp;$K201,$M$9:$M$13)),1)</f>
        <v>2012</v>
      </c>
      <c r="J201" s="440"/>
      <c r="K201" s="42">
        <f>IF(L200=SUP!$B$104,K200+1,K200)</f>
        <v>4</v>
      </c>
      <c r="L201" s="42">
        <f t="shared" si="16"/>
        <v>46</v>
      </c>
    </row>
    <row r="202" spans="1:12">
      <c r="A202" s="42" t="str">
        <f ca="1">IF(OR(LEFT(OFFSET(SUP!$A$57,L202,0),2)="\I",I202=""),"*","")</f>
        <v>*</v>
      </c>
      <c r="B202" s="440" t="str">
        <f t="shared" ca="1" si="13"/>
        <v>NCAP_START</v>
      </c>
      <c r="C202" s="440">
        <f ca="1">OFFSET(SUP!$B$57,L202,0)</f>
        <v>47</v>
      </c>
      <c r="D202" s="440" t="str">
        <f ca="1">IF($A202="*","",IF(LEFT($B202,3)="TOP",OFFSET(SUP!$D$57,$L202,0),"-"))</f>
        <v/>
      </c>
      <c r="E202" s="440" t="str">
        <f ca="1">IF($A202="*","",IF($B202="PRC_ACTUNT",OFFSET(SUP!$B$57,$L202,SUMIF($B$9:$B$11,$B202,$M$9:$M$11)),"-"))</f>
        <v/>
      </c>
      <c r="F202" s="440" t="str">
        <f t="shared" ca="1" si="14"/>
        <v>-</v>
      </c>
      <c r="G202" s="440" t="str">
        <f t="shared" ca="1" si="15"/>
        <v/>
      </c>
      <c r="H202" s="440" t="str">
        <f ca="1">IF($A202="*","",IF($B202="PRC_NOFF",OFFSET(SUP!$B$57,$L202,SUMIF($B$9:$B$12,$B202,$M$9:$M$12))-1,OFFSET(H$8,K202,0)))</f>
        <v/>
      </c>
      <c r="I202" s="440">
        <f ca="1">IF(LEFT(VLOOKUP("*#"&amp;K202,$A$9:$I$13,I$6,0),1)="#",OFFSET(SUP!$B$57,$L202,SUMIF($A$9:$A$13,"*#"&amp;$K202,$M$9:$M$13)),1)</f>
        <v>0</v>
      </c>
      <c r="J202" s="440"/>
      <c r="K202" s="42">
        <f>IF(L201=SUP!$B$104,K201+1,K201)</f>
        <v>4</v>
      </c>
      <c r="L202" s="42">
        <f t="shared" si="16"/>
        <v>47</v>
      </c>
    </row>
    <row r="203" spans="1:12">
      <c r="A203" s="42" t="str">
        <f ca="1">IF(OR(LEFT(OFFSET(SUP!$A$57,L203,0),2)="\I",I203=""),"*","")</f>
        <v>*</v>
      </c>
      <c r="B203" s="440" t="str">
        <f t="shared" ca="1" si="13"/>
        <v>ACT_CUM</v>
      </c>
      <c r="C203" s="440" t="str">
        <f ca="1">OFFSET(SUP!$B$57,L203,0)</f>
        <v>MINCOA</v>
      </c>
      <c r="D203" s="440" t="str">
        <f ca="1">IF($A203="*","",IF(LEFT($B203,3)="TOP",OFFSET(SUP!$D$57,$L203,0),"-"))</f>
        <v/>
      </c>
      <c r="E203" s="440" t="str">
        <f ca="1">IF($A203="*","",IF($B203="PRC_ACTUNT",OFFSET(SUP!$B$57,$L203,SUMIF($B$9:$B$11,$B203,$M$9:$M$11)),"-"))</f>
        <v/>
      </c>
      <c r="F203" s="440" t="str">
        <f t="shared" ca="1" si="14"/>
        <v>BOH</v>
      </c>
      <c r="G203" s="440" t="str">
        <f t="shared" ca="1" si="15"/>
        <v/>
      </c>
      <c r="H203" s="440" t="str">
        <f ca="1">IF($A203="*","",IF($B203="PRC_NOFF",OFFSET(SUP!$B$57,$L203,SUMIF($B$9:$B$12,$B203,$M$9:$M$12))-1,OFFSET(H$8,K203,0)))</f>
        <v/>
      </c>
      <c r="I203" s="440" t="str">
        <f ca="1">IF(LEFT(VLOOKUP("*#"&amp;K203,$A$9:$I$13,I$6,0),1)="#",OFFSET(SUP!$B$57,$L203,SUMIF($A$9:$A$13,"*#"&amp;$K203,$M$9:$M$13)),1)</f>
        <v/>
      </c>
      <c r="J203" s="440"/>
      <c r="K203" s="42">
        <f>IF(L202=SUP!$B$104,K202+1,K202)</f>
        <v>5</v>
      </c>
      <c r="L203" s="42">
        <f t="shared" si="16"/>
        <v>1</v>
      </c>
    </row>
    <row r="204" spans="1:12">
      <c r="A204" s="42" t="str">
        <f ca="1">IF(OR(LEFT(OFFSET(SUP!$A$57,L204,0),2)="\I",I204=""),"*","")</f>
        <v>*</v>
      </c>
      <c r="B204" s="440" t="str">
        <f t="shared" ca="1" si="13"/>
        <v>ACT_CUM</v>
      </c>
      <c r="C204" s="440" t="str">
        <f ca="1">OFFSET(SUP!$B$57,L204,0)</f>
        <v>MINCLE</v>
      </c>
      <c r="D204" s="440" t="str">
        <f ca="1">IF($A204="*","",IF(LEFT($B204,3)="TOP",OFFSET(SUP!$D$57,$L204,0),"-"))</f>
        <v/>
      </c>
      <c r="E204" s="440" t="str">
        <f ca="1">IF($A204="*","",IF($B204="PRC_ACTUNT",OFFSET(SUP!$B$57,$L204,SUMIF($B$9:$B$11,$B204,$M$9:$M$11)),"-"))</f>
        <v/>
      </c>
      <c r="F204" s="440" t="str">
        <f t="shared" ca="1" si="14"/>
        <v>BOH</v>
      </c>
      <c r="G204" s="440" t="str">
        <f t="shared" ca="1" si="15"/>
        <v/>
      </c>
      <c r="H204" s="440" t="str">
        <f ca="1">IF($A204="*","",IF($B204="PRC_NOFF",OFFSET(SUP!$B$57,$L204,SUMIF($B$9:$B$12,$B204,$M$9:$M$12))-1,OFFSET(H$8,K204,0)))</f>
        <v/>
      </c>
      <c r="I204" s="440" t="str">
        <f ca="1">IF(LEFT(VLOOKUP("*#"&amp;K204,$A$9:$I$13,I$6,0),1)="#",OFFSET(SUP!$B$57,$L204,SUMIF($A$9:$A$13,"*#"&amp;$K204,$M$9:$M$13)),1)</f>
        <v/>
      </c>
      <c r="J204" s="440"/>
      <c r="K204" s="42">
        <f>IF(L203=SUP!$B$104,K203+1,K203)</f>
        <v>5</v>
      </c>
      <c r="L204" s="42">
        <f t="shared" si="16"/>
        <v>2</v>
      </c>
    </row>
    <row r="205" spans="1:12">
      <c r="A205" s="42" t="str">
        <f ca="1">IF(OR(LEFT(OFFSET(SUP!$A$57,L205,0),2)="\I",I205=""),"*","")</f>
        <v>*</v>
      </c>
      <c r="B205" s="440" t="str">
        <f t="shared" ca="1" si="13"/>
        <v>ACT_CUM</v>
      </c>
      <c r="C205" s="440" t="str">
        <f ca="1">OFFSET(SUP!$B$57,L205,0)</f>
        <v>MINCLD</v>
      </c>
      <c r="D205" s="440" t="str">
        <f ca="1">IF($A205="*","",IF(LEFT($B205,3)="TOP",OFFSET(SUP!$D$57,$L205,0),"-"))</f>
        <v/>
      </c>
      <c r="E205" s="440" t="str">
        <f ca="1">IF($A205="*","",IF($B205="PRC_ACTUNT",OFFSET(SUP!$B$57,$L205,SUMIF($B$9:$B$11,$B205,$M$9:$M$11)),"-"))</f>
        <v/>
      </c>
      <c r="F205" s="440" t="str">
        <f t="shared" ca="1" si="14"/>
        <v>BOH</v>
      </c>
      <c r="G205" s="440" t="str">
        <f t="shared" ca="1" si="15"/>
        <v/>
      </c>
      <c r="H205" s="440" t="str">
        <f ca="1">IF($A205="*","",IF($B205="PRC_NOFF",OFFSET(SUP!$B$57,$L205,SUMIF($B$9:$B$12,$B205,$M$9:$M$12))-1,OFFSET(H$8,K205,0)))</f>
        <v/>
      </c>
      <c r="I205" s="440" t="str">
        <f ca="1">IF(LEFT(VLOOKUP("*#"&amp;K205,$A$9:$I$13,I$6,0),1)="#",OFFSET(SUP!$B$57,$L205,SUMIF($A$9:$A$13,"*#"&amp;$K205,$M$9:$M$13)),1)</f>
        <v/>
      </c>
      <c r="J205" s="440"/>
      <c r="K205" s="42">
        <f>IF(L204=SUP!$B$104,K204+1,K204)</f>
        <v>5</v>
      </c>
      <c r="L205" s="42">
        <f t="shared" si="16"/>
        <v>3</v>
      </c>
    </row>
    <row r="206" spans="1:12">
      <c r="A206" s="42" t="str">
        <f ca="1">IF(OR(LEFT(OFFSET(SUP!$A$57,L206,0),2)="\I",I206=""),"*","")</f>
        <v>*</v>
      </c>
      <c r="B206" s="440" t="str">
        <f t="shared" ca="1" si="13"/>
        <v>ACT_CUM</v>
      </c>
      <c r="C206" s="440" t="str">
        <f ca="1">OFFSET(SUP!$B$57,L206,0)</f>
        <v>MINOCR</v>
      </c>
      <c r="D206" s="440" t="str">
        <f ca="1">IF($A206="*","",IF(LEFT($B206,3)="TOP",OFFSET(SUP!$D$57,$L206,0),"-"))</f>
        <v/>
      </c>
      <c r="E206" s="440" t="str">
        <f ca="1">IF($A206="*","",IF($B206="PRC_ACTUNT",OFFSET(SUP!$B$57,$L206,SUMIF($B$9:$B$11,$B206,$M$9:$M$11)),"-"))</f>
        <v/>
      </c>
      <c r="F206" s="440" t="str">
        <f t="shared" ca="1" si="14"/>
        <v>BOH</v>
      </c>
      <c r="G206" s="440" t="str">
        <f t="shared" ca="1" si="15"/>
        <v/>
      </c>
      <c r="H206" s="440" t="str">
        <f ca="1">IF($A206="*","",IF($B206="PRC_NOFF",OFFSET(SUP!$B$57,$L206,SUMIF($B$9:$B$12,$B206,$M$9:$M$12))-1,OFFSET(H$8,K206,0)))</f>
        <v/>
      </c>
      <c r="I206" s="440" t="str">
        <f ca="1">IF(LEFT(VLOOKUP("*#"&amp;K206,$A$9:$I$13,I$6,0),1)="#",OFFSET(SUP!$B$57,$L206,SUMIF($A$9:$A$13,"*#"&amp;$K206,$M$9:$M$13)),1)</f>
        <v/>
      </c>
      <c r="J206" s="440"/>
      <c r="K206" s="42">
        <f>IF(L205=SUP!$B$104,K205+1,K205)</f>
        <v>5</v>
      </c>
      <c r="L206" s="42">
        <f t="shared" si="16"/>
        <v>4</v>
      </c>
    </row>
    <row r="207" spans="1:12">
      <c r="A207" s="42" t="str">
        <f ca="1">IF(OR(LEFT(OFFSET(SUP!$A$57,L207,0),2)="\I",I207=""),"*","")</f>
        <v/>
      </c>
      <c r="B207" s="440" t="str">
        <f t="shared" ca="1" si="13"/>
        <v>ACT_CUM</v>
      </c>
      <c r="C207" s="440" t="str">
        <f ca="1">OFFSET(SUP!$B$57,L207,0)</f>
        <v>MINGIC</v>
      </c>
      <c r="D207" s="440" t="str">
        <f ca="1">IF($A207="*","",IF(LEFT($B207,3)="TOP",OFFSET(SUP!$D$57,$L207,0),"-"))</f>
        <v>-</v>
      </c>
      <c r="E207" s="440" t="str">
        <f ca="1">IF($A207="*","",IF($B207="PRC_ACTUNT",OFFSET(SUP!$B$57,$L207,SUMIF($B$9:$B$11,$B207,$M$9:$M$11)),"-"))</f>
        <v>-</v>
      </c>
      <c r="F207" s="440" t="str">
        <f t="shared" ca="1" si="14"/>
        <v>BOH</v>
      </c>
      <c r="G207" s="440" t="str">
        <f t="shared" ca="1" si="15"/>
        <v>EOH</v>
      </c>
      <c r="H207" s="440" t="str">
        <f ca="1">IF($A207="*","",IF($B207="PRC_NOFF",OFFSET(SUP!$B$57,$L207,SUMIF($B$9:$B$12,$B207,$M$9:$M$12))-1,OFFSET(H$8,K207,0)))</f>
        <v>UP</v>
      </c>
      <c r="I207" s="440">
        <f ca="1">IF(LEFT(VLOOKUP("*#"&amp;K207,$A$9:$I$13,I$6,0),1)="#",OFFSET(SUP!$B$57,$L207,SUMIF($A$9:$A$13,"*#"&amp;$K207,$M$9:$M$13)),1)</f>
        <v>700</v>
      </c>
      <c r="J207" s="440"/>
      <c r="K207" s="42">
        <f>IF(L206=SUP!$B$104,K206+1,K206)</f>
        <v>5</v>
      </c>
      <c r="L207" s="42">
        <f t="shared" si="16"/>
        <v>5</v>
      </c>
    </row>
    <row r="208" spans="1:12">
      <c r="A208" s="42" t="str">
        <f ca="1">IF(OR(LEFT(OFFSET(SUP!$A$57,L208,0),2)="\I",I208=""),"*","")</f>
        <v/>
      </c>
      <c r="B208" s="440" t="str">
        <f t="shared" ca="1" si="13"/>
        <v>ACT_CUM</v>
      </c>
      <c r="C208" s="440" t="str">
        <f ca="1">OFFSET(SUP!$B$57,L208,0)</f>
        <v>MINGIB</v>
      </c>
      <c r="D208" s="440" t="str">
        <f ca="1">IF($A208="*","",IF(LEFT($B208,3)="TOP",OFFSET(SUP!$D$57,$L208,0),"-"))</f>
        <v>-</v>
      </c>
      <c r="E208" s="440" t="str">
        <f ca="1">IF($A208="*","",IF($B208="PRC_ACTUNT",OFFSET(SUP!$B$57,$L208,SUMIF($B$9:$B$11,$B208,$M$9:$M$11)),"-"))</f>
        <v>-</v>
      </c>
      <c r="F208" s="440" t="str">
        <f t="shared" ca="1" si="14"/>
        <v>BOH</v>
      </c>
      <c r="G208" s="440" t="str">
        <f t="shared" ca="1" si="15"/>
        <v>EOH</v>
      </c>
      <c r="H208" s="440" t="str">
        <f ca="1">IF($A208="*","",IF($B208="PRC_NOFF",OFFSET(SUP!$B$57,$L208,SUMIF($B$9:$B$12,$B208,$M$9:$M$12))-1,OFFSET(H$8,K208,0)))</f>
        <v>UP</v>
      </c>
      <c r="I208" s="440">
        <f ca="1">IF(LEFT(VLOOKUP("*#"&amp;K208,$A$9:$I$13,I$6,0),1)="#",OFFSET(SUP!$B$57,$L208,SUMIF($A$9:$A$13,"*#"&amp;$K208,$M$9:$M$13)),1)</f>
        <v>450</v>
      </c>
      <c r="J208" s="440"/>
      <c r="K208" s="42">
        <f>IF(L207=SUP!$B$104,K207+1,K207)</f>
        <v>5</v>
      </c>
      <c r="L208" s="42">
        <f t="shared" si="16"/>
        <v>6</v>
      </c>
    </row>
    <row r="209" spans="1:12">
      <c r="A209" s="42" t="str">
        <f ca="1">IF(OR(LEFT(OFFSET(SUP!$A$57,L209,0),2)="\I",I209=""),"*","")</f>
        <v/>
      </c>
      <c r="B209" s="440" t="str">
        <f t="shared" ca="1" si="13"/>
        <v>ACT_CUM</v>
      </c>
      <c r="C209" s="440" t="str">
        <f ca="1">OFFSET(SUP!$B$57,L209,0)</f>
        <v>MINGAS</v>
      </c>
      <c r="D209" s="440" t="str">
        <f ca="1">IF($A209="*","",IF(LEFT($B209,3)="TOP",OFFSET(SUP!$D$57,$L209,0),"-"))</f>
        <v>-</v>
      </c>
      <c r="E209" s="440" t="str">
        <f ca="1">IF($A209="*","",IF($B209="PRC_ACTUNT",OFFSET(SUP!$B$57,$L209,SUMIF($B$9:$B$11,$B209,$M$9:$M$11)),"-"))</f>
        <v>-</v>
      </c>
      <c r="F209" s="440" t="str">
        <f t="shared" ca="1" si="14"/>
        <v>BOH</v>
      </c>
      <c r="G209" s="440" t="str">
        <f t="shared" ca="1" si="15"/>
        <v>EOH</v>
      </c>
      <c r="H209" s="440" t="str">
        <f ca="1">IF($A209="*","",IF($B209="PRC_NOFF",OFFSET(SUP!$B$57,$L209,SUMIF($B$9:$B$12,$B209,$M$9:$M$12))-1,OFFSET(H$8,K209,0)))</f>
        <v>UP</v>
      </c>
      <c r="I209" s="440">
        <f ca="1">IF(LEFT(VLOOKUP("*#"&amp;K209,$A$9:$I$13,I$6,0),1)="#",OFFSET(SUP!$B$57,$L209,SUMIF($A$9:$A$13,"*#"&amp;$K209,$M$9:$M$13)),1)</f>
        <v>6100</v>
      </c>
      <c r="J209" s="440"/>
      <c r="K209" s="42">
        <f>IF(L208=SUP!$B$104,K208+1,K208)</f>
        <v>5</v>
      </c>
      <c r="L209" s="42">
        <f t="shared" si="16"/>
        <v>7</v>
      </c>
    </row>
    <row r="210" spans="1:12">
      <c r="A210" s="42" t="str">
        <f ca="1">IF(OR(LEFT(OFFSET(SUP!$A$57,L210,0),2)="\I",I210=""),"*","")</f>
        <v/>
      </c>
      <c r="B210" s="440" t="str">
        <f t="shared" ca="1" si="13"/>
        <v>ACT_CUM</v>
      </c>
      <c r="C210" s="440" t="str">
        <f ca="1">OFFSET(SUP!$B$57,L210,0)</f>
        <v>MINGIH</v>
      </c>
      <c r="D210" s="440" t="str">
        <f ca="1">IF($A210="*","",IF(LEFT($B210,3)="TOP",OFFSET(SUP!$D$57,$L210,0),"-"))</f>
        <v>-</v>
      </c>
      <c r="E210" s="440" t="str">
        <f ca="1">IF($A210="*","",IF($B210="PRC_ACTUNT",OFFSET(SUP!$B$57,$L210,SUMIF($B$9:$B$11,$B210,$M$9:$M$11)),"-"))</f>
        <v>-</v>
      </c>
      <c r="F210" s="440" t="str">
        <f t="shared" ca="1" si="14"/>
        <v>BOH</v>
      </c>
      <c r="G210" s="440" t="str">
        <f t="shared" ca="1" si="15"/>
        <v>EOH</v>
      </c>
      <c r="H210" s="440" t="str">
        <f ca="1">IF($A210="*","",IF($B210="PRC_NOFF",OFFSET(SUP!$B$57,$L210,SUMIF($B$9:$B$12,$B210,$M$9:$M$12))-1,OFFSET(H$8,K210,0)))</f>
        <v>UP</v>
      </c>
      <c r="I210" s="440">
        <f ca="1">IF(LEFT(VLOOKUP("*#"&amp;K210,$A$9:$I$13,I$6,0),1)="#",OFFSET(SUP!$B$57,$L210,SUMIF($A$9:$A$13,"*#"&amp;$K210,$M$9:$M$13)),1)</f>
        <v>40000</v>
      </c>
      <c r="J210" s="440"/>
      <c r="K210" s="42">
        <f>IF(L209=SUP!$B$104,K209+1,K209)</f>
        <v>5</v>
      </c>
      <c r="L210" s="42">
        <f t="shared" si="16"/>
        <v>8</v>
      </c>
    </row>
    <row r="211" spans="1:12">
      <c r="A211" s="42" t="str">
        <f ca="1">IF(OR(LEFT(OFFSET(SUP!$A$57,L211,0),2)="\I",I211=""),"*","")</f>
        <v>*</v>
      </c>
      <c r="B211" s="440" t="str">
        <f t="shared" ca="1" si="13"/>
        <v>ACT_CUM</v>
      </c>
      <c r="C211" s="440">
        <f ca="1">OFFSET(SUP!$B$57,L211,0)</f>
        <v>0</v>
      </c>
      <c r="D211" s="440" t="str">
        <f ca="1">IF($A211="*","",IF(LEFT($B211,3)="TOP",OFFSET(SUP!$D$57,$L211,0),"-"))</f>
        <v/>
      </c>
      <c r="E211" s="440" t="str">
        <f ca="1">IF($A211="*","",IF($B211="PRC_ACTUNT",OFFSET(SUP!$B$57,$L211,SUMIF($B$9:$B$11,$B211,$M$9:$M$11)),"-"))</f>
        <v/>
      </c>
      <c r="F211" s="440" t="str">
        <f t="shared" ca="1" si="14"/>
        <v>BOH</v>
      </c>
      <c r="G211" s="440" t="str">
        <f t="shared" ca="1" si="15"/>
        <v/>
      </c>
      <c r="H211" s="440" t="str">
        <f ca="1">IF($A211="*","",IF($B211="PRC_NOFF",OFFSET(SUP!$B$57,$L211,SUMIF($B$9:$B$12,$B211,$M$9:$M$12))-1,OFFSET(H$8,K211,0)))</f>
        <v/>
      </c>
      <c r="I211" s="440">
        <f ca="1">IF(LEFT(VLOOKUP("*#"&amp;K211,$A$9:$I$13,I$6,0),1)="#",OFFSET(SUP!$B$57,$L211,SUMIF($A$9:$A$13,"*#"&amp;$K211,$M$9:$M$13)),1)</f>
        <v>0</v>
      </c>
      <c r="J211" s="440"/>
      <c r="K211" s="42">
        <f>IF(L210=SUP!$B$104,K210+1,K210)</f>
        <v>5</v>
      </c>
      <c r="L211" s="42">
        <f t="shared" si="16"/>
        <v>9</v>
      </c>
    </row>
    <row r="212" spans="1:12">
      <c r="A212" s="42" t="str">
        <f ca="1">IF(OR(LEFT(OFFSET(SUP!$A$57,L212,0),2)="\I",I212=""),"*","")</f>
        <v>*</v>
      </c>
      <c r="B212" s="440" t="str">
        <f t="shared" ca="1" si="13"/>
        <v>ACT_CUM</v>
      </c>
      <c r="C212" s="440" t="str">
        <f ca="1">OFFSET(SUP!$B$57,L212,0)</f>
        <v>MINBIG</v>
      </c>
      <c r="D212" s="440" t="str">
        <f ca="1">IF($A212="*","",IF(LEFT($B212,3)="TOP",OFFSET(SUP!$D$57,$L212,0),"-"))</f>
        <v/>
      </c>
      <c r="E212" s="440" t="str">
        <f ca="1">IF($A212="*","",IF($B212="PRC_ACTUNT",OFFSET(SUP!$B$57,$L212,SUMIF($B$9:$B$11,$B212,$M$9:$M$11)),"-"))</f>
        <v/>
      </c>
      <c r="F212" s="440" t="str">
        <f t="shared" ca="1" si="14"/>
        <v>BOH</v>
      </c>
      <c r="G212" s="440" t="str">
        <f t="shared" ca="1" si="15"/>
        <v/>
      </c>
      <c r="H212" s="440" t="str">
        <f ca="1">IF($A212="*","",IF($B212="PRC_NOFF",OFFSET(SUP!$B$57,$L212,SUMIF($B$9:$B$12,$B212,$M$9:$M$12))-1,OFFSET(H$8,K212,0)))</f>
        <v/>
      </c>
      <c r="I212" s="440" t="str">
        <f ca="1">IF(LEFT(VLOOKUP("*#"&amp;K212,$A$9:$I$13,I$6,0),1)="#",OFFSET(SUP!$B$57,$L212,SUMIF($A$9:$A$13,"*#"&amp;$K212,$M$9:$M$13)),1)</f>
        <v/>
      </c>
      <c r="J212" s="440"/>
      <c r="K212" s="42">
        <f>IF(L211=SUP!$B$104,K211+1,K211)</f>
        <v>5</v>
      </c>
      <c r="L212" s="42">
        <f t="shared" si="16"/>
        <v>10</v>
      </c>
    </row>
    <row r="213" spans="1:12">
      <c r="A213" s="42" t="str">
        <f ca="1">IF(OR(LEFT(OFFSET(SUP!$A$57,L213,0),2)="\I",I213=""),"*","")</f>
        <v>*</v>
      </c>
      <c r="B213" s="440" t="str">
        <f t="shared" ca="1" si="13"/>
        <v>ACT_CUM</v>
      </c>
      <c r="C213" s="440" t="str">
        <f ca="1">OFFSET(SUP!$B$57,L213,0)</f>
        <v>MINBIB</v>
      </c>
      <c r="D213" s="440" t="str">
        <f ca="1">IF($A213="*","",IF(LEFT($B213,3)="TOP",OFFSET(SUP!$D$57,$L213,0),"-"))</f>
        <v/>
      </c>
      <c r="E213" s="440" t="str">
        <f ca="1">IF($A213="*","",IF($B213="PRC_ACTUNT",OFFSET(SUP!$B$57,$L213,SUMIF($B$9:$B$11,$B213,$M$9:$M$11)),"-"))</f>
        <v/>
      </c>
      <c r="F213" s="440" t="str">
        <f t="shared" ca="1" si="14"/>
        <v>BOH</v>
      </c>
      <c r="G213" s="440" t="str">
        <f t="shared" ca="1" si="15"/>
        <v/>
      </c>
      <c r="H213" s="440" t="str">
        <f ca="1">IF($A213="*","",IF($B213="PRC_NOFF",OFFSET(SUP!$B$57,$L213,SUMIF($B$9:$B$12,$B213,$M$9:$M$12))-1,OFFSET(H$8,K213,0)))</f>
        <v/>
      </c>
      <c r="I213" s="440" t="str">
        <f ca="1">IF(LEFT(VLOOKUP("*#"&amp;K213,$A$9:$I$13,I$6,0),1)="#",OFFSET(SUP!$B$57,$L213,SUMIF($A$9:$A$13,"*#"&amp;$K213,$M$9:$M$13)),1)</f>
        <v/>
      </c>
      <c r="J213" s="440"/>
      <c r="K213" s="42">
        <f>IF(L212=SUP!$B$104,K212+1,K212)</f>
        <v>5</v>
      </c>
      <c r="L213" s="42">
        <f t="shared" si="16"/>
        <v>11</v>
      </c>
    </row>
    <row r="214" spans="1:12">
      <c r="A214" s="42" t="str">
        <f ca="1">IF(OR(LEFT(OFFSET(SUP!$A$57,L214,0),2)="\I",I214=""),"*","")</f>
        <v>*</v>
      </c>
      <c r="B214" s="440" t="str">
        <f t="shared" ca="1" si="13"/>
        <v>ACT_CUM</v>
      </c>
      <c r="C214" s="440" t="str">
        <f ca="1">OFFSET(SUP!$B$57,L214,0)</f>
        <v>MINBIO</v>
      </c>
      <c r="D214" s="440" t="str">
        <f ca="1">IF($A214="*","",IF(LEFT($B214,3)="TOP",OFFSET(SUP!$D$57,$L214,0),"-"))</f>
        <v/>
      </c>
      <c r="E214" s="440" t="str">
        <f ca="1">IF($A214="*","",IF($B214="PRC_ACTUNT",OFFSET(SUP!$B$57,$L214,SUMIF($B$9:$B$11,$B214,$M$9:$M$11)),"-"))</f>
        <v/>
      </c>
      <c r="F214" s="440" t="str">
        <f t="shared" ca="1" si="14"/>
        <v>BOH</v>
      </c>
      <c r="G214" s="440" t="str">
        <f t="shared" ca="1" si="15"/>
        <v/>
      </c>
      <c r="H214" s="440" t="str">
        <f ca="1">IF($A214="*","",IF($B214="PRC_NOFF",OFFSET(SUP!$B$57,$L214,SUMIF($B$9:$B$12,$B214,$M$9:$M$12))-1,OFFSET(H$8,K214,0)))</f>
        <v/>
      </c>
      <c r="I214" s="440" t="str">
        <f ca="1">IF(LEFT(VLOOKUP("*#"&amp;K214,$A$9:$I$13,I$6,0),1)="#",OFFSET(SUP!$B$57,$L214,SUMIF($A$9:$A$13,"*#"&amp;$K214,$M$9:$M$13)),1)</f>
        <v/>
      </c>
      <c r="J214" s="440"/>
      <c r="K214" s="42">
        <f>IF(L213=SUP!$B$104,K213+1,K213)</f>
        <v>5</v>
      </c>
      <c r="L214" s="42">
        <f t="shared" si="16"/>
        <v>12</v>
      </c>
    </row>
    <row r="215" spans="1:12">
      <c r="A215" s="42" t="str">
        <f ca="1">IF(OR(LEFT(OFFSET(SUP!$A$57,L215,0),2)="\I",I215=""),"*","")</f>
        <v>*</v>
      </c>
      <c r="B215" s="440" t="str">
        <f t="shared" ca="1" si="13"/>
        <v>ACT_CUM</v>
      </c>
      <c r="C215" s="440" t="str">
        <f ca="1">OFFSET(SUP!$B$57,L215,0)</f>
        <v>MINBIW</v>
      </c>
      <c r="D215" s="440" t="str">
        <f ca="1">IF($A215="*","",IF(LEFT($B215,3)="TOP",OFFSET(SUP!$D$57,$L215,0),"-"))</f>
        <v/>
      </c>
      <c r="E215" s="440" t="str">
        <f ca="1">IF($A215="*","",IF($B215="PRC_ACTUNT",OFFSET(SUP!$B$57,$L215,SUMIF($B$9:$B$11,$B215,$M$9:$M$11)),"-"))</f>
        <v/>
      </c>
      <c r="F215" s="440" t="str">
        <f t="shared" ca="1" si="14"/>
        <v>BOH</v>
      </c>
      <c r="G215" s="440" t="str">
        <f t="shared" ca="1" si="15"/>
        <v/>
      </c>
      <c r="H215" s="440" t="str">
        <f ca="1">IF($A215="*","",IF($B215="PRC_NOFF",OFFSET(SUP!$B$57,$L215,SUMIF($B$9:$B$12,$B215,$M$9:$M$12))-1,OFFSET(H$8,K215,0)))</f>
        <v/>
      </c>
      <c r="I215" s="440" t="str">
        <f ca="1">IF(LEFT(VLOOKUP("*#"&amp;K215,$A$9:$I$13,I$6,0),1)="#",OFFSET(SUP!$B$57,$L215,SUMIF($A$9:$A$13,"*#"&amp;$K215,$M$9:$M$13)),1)</f>
        <v/>
      </c>
      <c r="J215" s="440"/>
      <c r="K215" s="42">
        <f>IF(L214=SUP!$B$104,K214+1,K214)</f>
        <v>5</v>
      </c>
      <c r="L215" s="42">
        <f t="shared" si="16"/>
        <v>13</v>
      </c>
    </row>
    <row r="216" spans="1:12">
      <c r="A216" s="42" t="str">
        <f ca="1">IF(OR(LEFT(OFFSET(SUP!$A$57,L216,0),2)="\I",I216=""),"*","")</f>
        <v>*</v>
      </c>
      <c r="B216" s="440" t="str">
        <f t="shared" ref="B216:B249" ca="1" si="17">IF(AND(VLOOKUP("*"&amp;K216,$A$9:$B$15,2,FALSE)="TOP-OUT",LEFT(C216,3)="PEX"),"TOP-IN",VLOOKUP("*"&amp;K216,$A$9:$B$15,2,FALSE))</f>
        <v>ACT_CUM</v>
      </c>
      <c r="C216" s="440" t="str">
        <f ca="1">OFFSET(SUP!$B$57,L216,0)</f>
        <v>MINWAS</v>
      </c>
      <c r="D216" s="440" t="str">
        <f ca="1">IF($A216="*","",IF(LEFT($B216,3)="TOP",OFFSET(SUP!$D$57,$L216,0),"-"))</f>
        <v/>
      </c>
      <c r="E216" s="440" t="str">
        <f ca="1">IF($A216="*","",IF($B216="PRC_ACTUNT",OFFSET(SUP!$B$57,$L216,SUMIF($B$9:$B$11,$B216,$M$9:$M$11)),"-"))</f>
        <v/>
      </c>
      <c r="F216" s="440" t="str">
        <f t="shared" ref="F216:F249" ca="1" si="18">OFFSET(F$8,K216,0)</f>
        <v>BOH</v>
      </c>
      <c r="G216" s="440" t="str">
        <f t="shared" ref="G216:G249" ca="1" si="19">IF($A216="*","",IF($B216="PRC_NOFF","BOH",OFFSET(G$8,K216,0)))</f>
        <v/>
      </c>
      <c r="H216" s="440" t="str">
        <f ca="1">IF($A216="*","",IF($B216="PRC_NOFF",OFFSET(SUP!$B$57,$L216,SUMIF($B$9:$B$12,$B216,$M$9:$M$12))-1,OFFSET(H$8,K216,0)))</f>
        <v/>
      </c>
      <c r="I216" s="440" t="str">
        <f ca="1">IF(LEFT(VLOOKUP("*#"&amp;K216,$A$9:$I$13,I$6,0),1)="#",OFFSET(SUP!$B$57,$L216,SUMIF($A$9:$A$13,"*#"&amp;$K216,$M$9:$M$13)),1)</f>
        <v/>
      </c>
      <c r="J216" s="440"/>
      <c r="K216" s="42">
        <f>IF(L215=SUP!$B$104,K215+1,K215)</f>
        <v>5</v>
      </c>
      <c r="L216" s="42">
        <f t="shared" ref="L216:L249" si="20">IF(K216=K215,L215+1,1)</f>
        <v>14</v>
      </c>
    </row>
    <row r="217" spans="1:12">
      <c r="A217" s="42" t="str">
        <f ca="1">IF(OR(LEFT(OFFSET(SUP!$A$57,L217,0),2)="\I",I217=""),"*","")</f>
        <v>*</v>
      </c>
      <c r="B217" s="440" t="str">
        <f t="shared" ca="1" si="17"/>
        <v>ACT_CUM</v>
      </c>
      <c r="C217" s="440" t="str">
        <f ca="1">OFFSET(SUP!$B$57,L217,0)</f>
        <v>MINHYD</v>
      </c>
      <c r="D217" s="440" t="str">
        <f ca="1">IF($A217="*","",IF(LEFT($B217,3)="TOP",OFFSET(SUP!$D$57,$L217,0),"-"))</f>
        <v/>
      </c>
      <c r="E217" s="440" t="str">
        <f ca="1">IF($A217="*","",IF($B217="PRC_ACTUNT",OFFSET(SUP!$B$57,$L217,SUMIF($B$9:$B$11,$B217,$M$9:$M$11)),"-"))</f>
        <v/>
      </c>
      <c r="F217" s="440" t="str">
        <f t="shared" ca="1" si="18"/>
        <v>BOH</v>
      </c>
      <c r="G217" s="440" t="str">
        <f t="shared" ca="1" si="19"/>
        <v/>
      </c>
      <c r="H217" s="440" t="str">
        <f ca="1">IF($A217="*","",IF($B217="PRC_NOFF",OFFSET(SUP!$B$57,$L217,SUMIF($B$9:$B$12,$B217,$M$9:$M$12))-1,OFFSET(H$8,K217,0)))</f>
        <v/>
      </c>
      <c r="I217" s="440" t="str">
        <f ca="1">IF(LEFT(VLOOKUP("*#"&amp;K217,$A$9:$I$13,I$6,0),1)="#",OFFSET(SUP!$B$57,$L217,SUMIF($A$9:$A$13,"*#"&amp;$K217,$M$9:$M$13)),1)</f>
        <v/>
      </c>
      <c r="J217" s="440"/>
      <c r="K217" s="42">
        <f>IF(L216=SUP!$B$104,K216+1,K216)</f>
        <v>5</v>
      </c>
      <c r="L217" s="42">
        <f t="shared" si="20"/>
        <v>15</v>
      </c>
    </row>
    <row r="218" spans="1:12">
      <c r="A218" s="42" t="str">
        <f ca="1">IF(OR(LEFT(OFFSET(SUP!$A$57,L218,0),2)="\I",I218=""),"*","")</f>
        <v>*</v>
      </c>
      <c r="B218" s="440" t="str">
        <f t="shared" ca="1" si="17"/>
        <v>ACT_CUM</v>
      </c>
      <c r="C218" s="440" t="str">
        <f ca="1">OFFSET(SUP!$B$57,L218,0)</f>
        <v>MINSOL</v>
      </c>
      <c r="D218" s="440" t="str">
        <f ca="1">IF($A218="*","",IF(LEFT($B218,3)="TOP",OFFSET(SUP!$D$57,$L218,0),"-"))</f>
        <v/>
      </c>
      <c r="E218" s="440" t="str">
        <f ca="1">IF($A218="*","",IF($B218="PRC_ACTUNT",OFFSET(SUP!$B$57,$L218,SUMIF($B$9:$B$11,$B218,$M$9:$M$11)),"-"))</f>
        <v/>
      </c>
      <c r="F218" s="440" t="str">
        <f t="shared" ca="1" si="18"/>
        <v>BOH</v>
      </c>
      <c r="G218" s="440" t="str">
        <f t="shared" ca="1" si="19"/>
        <v/>
      </c>
      <c r="H218" s="440" t="str">
        <f ca="1">IF($A218="*","",IF($B218="PRC_NOFF",OFFSET(SUP!$B$57,$L218,SUMIF($B$9:$B$12,$B218,$M$9:$M$12))-1,OFFSET(H$8,K218,0)))</f>
        <v/>
      </c>
      <c r="I218" s="440" t="str">
        <f ca="1">IF(LEFT(VLOOKUP("*#"&amp;K218,$A$9:$I$13,I$6,0),1)="#",OFFSET(SUP!$B$57,$L218,SUMIF($A$9:$A$13,"*#"&amp;$K218,$M$9:$M$13)),1)</f>
        <v/>
      </c>
      <c r="J218" s="440"/>
      <c r="K218" s="42">
        <f>IF(L217=SUP!$B$104,K217+1,K217)</f>
        <v>5</v>
      </c>
      <c r="L218" s="42">
        <f t="shared" si="20"/>
        <v>16</v>
      </c>
    </row>
    <row r="219" spans="1:12">
      <c r="A219" s="42" t="str">
        <f ca="1">IF(OR(LEFT(OFFSET(SUP!$A$57,L219,0),2)="\I",I219=""),"*","")</f>
        <v>*</v>
      </c>
      <c r="B219" s="440" t="str">
        <f t="shared" ca="1" si="17"/>
        <v>ACT_CUM</v>
      </c>
      <c r="C219" s="440" t="str">
        <f ca="1">OFFSET(SUP!$B$57,L219,0)</f>
        <v>MINWND</v>
      </c>
      <c r="D219" s="440" t="str">
        <f ca="1">IF($A219="*","",IF(LEFT($B219,3)="TOP",OFFSET(SUP!$D$57,$L219,0),"-"))</f>
        <v/>
      </c>
      <c r="E219" s="440" t="str">
        <f ca="1">IF($A219="*","",IF($B219="PRC_ACTUNT",OFFSET(SUP!$B$57,$L219,SUMIF($B$9:$B$11,$B219,$M$9:$M$11)),"-"))</f>
        <v/>
      </c>
      <c r="F219" s="440" t="str">
        <f t="shared" ca="1" si="18"/>
        <v>BOH</v>
      </c>
      <c r="G219" s="440" t="str">
        <f t="shared" ca="1" si="19"/>
        <v/>
      </c>
      <c r="H219" s="440" t="str">
        <f ca="1">IF($A219="*","",IF($B219="PRC_NOFF",OFFSET(SUP!$B$57,$L219,SUMIF($B$9:$B$12,$B219,$M$9:$M$12))-1,OFFSET(H$8,K219,0)))</f>
        <v/>
      </c>
      <c r="I219" s="440" t="str">
        <f ca="1">IF(LEFT(VLOOKUP("*#"&amp;K219,$A$9:$I$13,I$6,0),1)="#",OFFSET(SUP!$B$57,$L219,SUMIF($A$9:$A$13,"*#"&amp;$K219,$M$9:$M$13)),1)</f>
        <v/>
      </c>
      <c r="J219" s="440"/>
      <c r="K219" s="42">
        <f>IF(L218=SUP!$B$104,K218+1,K218)</f>
        <v>5</v>
      </c>
      <c r="L219" s="42">
        <f t="shared" si="20"/>
        <v>17</v>
      </c>
    </row>
    <row r="220" spans="1:12">
      <c r="A220" s="42" t="str">
        <f ca="1">IF(OR(LEFT(OFFSET(SUP!$A$57,L220,0),2)="\I",I220=""),"*","")</f>
        <v>*</v>
      </c>
      <c r="B220" s="440" t="str">
        <f t="shared" ca="1" si="17"/>
        <v>ACT_CUM</v>
      </c>
      <c r="C220" s="440">
        <f ca="1">OFFSET(SUP!$B$57,L220,0)</f>
        <v>0</v>
      </c>
      <c r="D220" s="440" t="str">
        <f ca="1">IF($A220="*","",IF(LEFT($B220,3)="TOP",OFFSET(SUP!$D$57,$L220,0),"-"))</f>
        <v/>
      </c>
      <c r="E220" s="440" t="str">
        <f ca="1">IF($A220="*","",IF($B220="PRC_ACTUNT",OFFSET(SUP!$B$57,$L220,SUMIF($B$9:$B$11,$B220,$M$9:$M$11)),"-"))</f>
        <v/>
      </c>
      <c r="F220" s="440" t="str">
        <f t="shared" ca="1" si="18"/>
        <v>BOH</v>
      </c>
      <c r="G220" s="440" t="str">
        <f t="shared" ca="1" si="19"/>
        <v/>
      </c>
      <c r="H220" s="440" t="str">
        <f ca="1">IF($A220="*","",IF($B220="PRC_NOFF",OFFSET(SUP!$B$57,$L220,SUMIF($B$9:$B$12,$B220,$M$9:$M$12))-1,OFFSET(H$8,K220,0)))</f>
        <v/>
      </c>
      <c r="I220" s="440">
        <f ca="1">IF(LEFT(VLOOKUP("*#"&amp;K220,$A$9:$I$13,I$6,0),1)="#",OFFSET(SUP!$B$57,$L220,SUMIF($A$9:$A$13,"*#"&amp;$K220,$M$9:$M$13)),1)</f>
        <v>0</v>
      </c>
      <c r="J220" s="440"/>
      <c r="K220" s="42">
        <f>IF(L219=SUP!$B$104,K219+1,K219)</f>
        <v>5</v>
      </c>
      <c r="L220" s="42">
        <f t="shared" si="20"/>
        <v>18</v>
      </c>
    </row>
    <row r="221" spans="1:12">
      <c r="A221" s="42" t="str">
        <f ca="1">IF(OR(LEFT(OFFSET(SUP!$A$57,L221,0),2)="\I",I221=""),"*","")</f>
        <v>*</v>
      </c>
      <c r="B221" s="440" t="str">
        <f t="shared" ca="1" si="17"/>
        <v>ACT_CUM</v>
      </c>
      <c r="C221" s="440" t="str">
        <f ca="1">OFFSET(SUP!$B$57,L221,0)</f>
        <v>IMPCOK</v>
      </c>
      <c r="D221" s="440" t="str">
        <f ca="1">IF($A221="*","",IF(LEFT($B221,3)="TOP",OFFSET(SUP!$D$57,$L221,0),"-"))</f>
        <v/>
      </c>
      <c r="E221" s="440" t="str">
        <f ca="1">IF($A221="*","",IF($B221="PRC_ACTUNT",OFFSET(SUP!$B$57,$L221,SUMIF($B$9:$B$11,$B221,$M$9:$M$11)),"-"))</f>
        <v/>
      </c>
      <c r="F221" s="440" t="str">
        <f t="shared" ca="1" si="18"/>
        <v>BOH</v>
      </c>
      <c r="G221" s="440" t="str">
        <f t="shared" ca="1" si="19"/>
        <v/>
      </c>
      <c r="H221" s="440" t="str">
        <f ca="1">IF($A221="*","",IF($B221="PRC_NOFF",OFFSET(SUP!$B$57,$L221,SUMIF($B$9:$B$12,$B221,$M$9:$M$12))-1,OFFSET(H$8,K221,0)))</f>
        <v/>
      </c>
      <c r="I221" s="440" t="str">
        <f ca="1">IF(LEFT(VLOOKUP("*#"&amp;K221,$A$9:$I$13,I$6,0),1)="#",OFFSET(SUP!$B$57,$L221,SUMIF($A$9:$A$13,"*#"&amp;$K221,$M$9:$M$13)),1)</f>
        <v/>
      </c>
      <c r="J221" s="440"/>
      <c r="K221" s="42">
        <f>IF(L220=SUP!$B$104,K220+1,K220)</f>
        <v>5</v>
      </c>
      <c r="L221" s="42">
        <f t="shared" si="20"/>
        <v>19</v>
      </c>
    </row>
    <row r="222" spans="1:12">
      <c r="A222" s="42" t="str">
        <f ca="1">IF(OR(LEFT(OFFSET(SUP!$A$57,L222,0),2)="\I",I222=""),"*","")</f>
        <v>*</v>
      </c>
      <c r="B222" s="440" t="str">
        <f t="shared" ca="1" si="17"/>
        <v>ACT_CUM</v>
      </c>
      <c r="C222" s="440" t="str">
        <f ca="1">OFFSET(SUP!$B$57,L222,0)</f>
        <v>IMPGRL</v>
      </c>
      <c r="D222" s="440" t="str">
        <f ca="1">IF($A222="*","",IF(LEFT($B222,3)="TOP",OFFSET(SUP!$D$57,$L222,0),"-"))</f>
        <v/>
      </c>
      <c r="E222" s="440" t="str">
        <f ca="1">IF($A222="*","",IF($B222="PRC_ACTUNT",OFFSET(SUP!$B$57,$L222,SUMIF($B$9:$B$11,$B222,$M$9:$M$11)),"-"))</f>
        <v/>
      </c>
      <c r="F222" s="440" t="str">
        <f t="shared" ca="1" si="18"/>
        <v>BOH</v>
      </c>
      <c r="G222" s="440" t="str">
        <f t="shared" ca="1" si="19"/>
        <v/>
      </c>
      <c r="H222" s="440" t="str">
        <f ca="1">IF($A222="*","",IF($B222="PRC_NOFF",OFFSET(SUP!$B$57,$L222,SUMIF($B$9:$B$12,$B222,$M$9:$M$12))-1,OFFSET(H$8,K222,0)))</f>
        <v/>
      </c>
      <c r="I222" s="440" t="str">
        <f ca="1">IF(LEFT(VLOOKUP("*#"&amp;K222,$A$9:$I$13,I$6,0),1)="#",OFFSET(SUP!$B$57,$L222,SUMIF($A$9:$A$13,"*#"&amp;$K222,$M$9:$M$13)),1)</f>
        <v/>
      </c>
      <c r="J222" s="440"/>
      <c r="K222" s="42">
        <f>IF(L221=SUP!$B$104,K221+1,K221)</f>
        <v>5</v>
      </c>
      <c r="L222" s="42">
        <f t="shared" si="20"/>
        <v>20</v>
      </c>
    </row>
    <row r="223" spans="1:12">
      <c r="A223" s="42" t="str">
        <f ca="1">IF(OR(LEFT(OFFSET(SUP!$A$57,L223,0),2)="\I",I223=""),"*","")</f>
        <v>*</v>
      </c>
      <c r="B223" s="440" t="str">
        <f t="shared" ca="1" si="17"/>
        <v>ACT_CUM</v>
      </c>
      <c r="C223" s="440" t="str">
        <f ca="1">OFFSET(SUP!$B$57,L223,0)</f>
        <v>IMPGWL</v>
      </c>
      <c r="D223" s="440" t="str">
        <f ca="1">IF($A223="*","",IF(LEFT($B223,3)="TOP",OFFSET(SUP!$D$57,$L223,0),"-"))</f>
        <v/>
      </c>
      <c r="E223" s="440" t="str">
        <f ca="1">IF($A223="*","",IF($B223="PRC_ACTUNT",OFFSET(SUP!$B$57,$L223,SUMIF($B$9:$B$11,$B223,$M$9:$M$11)),"-"))</f>
        <v/>
      </c>
      <c r="F223" s="440" t="str">
        <f t="shared" ca="1" si="18"/>
        <v>BOH</v>
      </c>
      <c r="G223" s="440" t="str">
        <f t="shared" ca="1" si="19"/>
        <v/>
      </c>
      <c r="H223" s="440" t="str">
        <f ca="1">IF($A223="*","",IF($B223="PRC_NOFF",OFFSET(SUP!$B$57,$L223,SUMIF($B$9:$B$12,$B223,$M$9:$M$12))-1,OFFSET(H$8,K223,0)))</f>
        <v/>
      </c>
      <c r="I223" s="440" t="str">
        <f ca="1">IF(LEFT(VLOOKUP("*#"&amp;K223,$A$9:$I$13,I$6,0),1)="#",OFFSET(SUP!$B$57,$L223,SUMIF($A$9:$A$13,"*#"&amp;$K223,$M$9:$M$13)),1)</f>
        <v/>
      </c>
      <c r="J223" s="440"/>
      <c r="K223" s="42">
        <f>IF(L222=SUP!$B$104,K222+1,K222)</f>
        <v>5</v>
      </c>
      <c r="L223" s="42">
        <f t="shared" si="20"/>
        <v>21</v>
      </c>
    </row>
    <row r="224" spans="1:12">
      <c r="A224" s="42" t="str">
        <f ca="1">IF(OR(LEFT(OFFSET(SUP!$A$57,L224,0),2)="\I",I224=""),"*","")</f>
        <v>*</v>
      </c>
      <c r="B224" s="440" t="str">
        <f t="shared" ca="1" si="17"/>
        <v>ACT_CUM</v>
      </c>
      <c r="C224" s="440" t="str">
        <f ca="1">OFFSET(SUP!$B$57,L224,0)</f>
        <v>IMPNUC</v>
      </c>
      <c r="D224" s="440" t="str">
        <f ca="1">IF($A224="*","",IF(LEFT($B224,3)="TOP",OFFSET(SUP!$D$57,$L224,0),"-"))</f>
        <v/>
      </c>
      <c r="E224" s="440" t="str">
        <f ca="1">IF($A224="*","",IF($B224="PRC_ACTUNT",OFFSET(SUP!$B$57,$L224,SUMIF($B$9:$B$11,$B224,$M$9:$M$11)),"-"))</f>
        <v/>
      </c>
      <c r="F224" s="440" t="str">
        <f t="shared" ca="1" si="18"/>
        <v>BOH</v>
      </c>
      <c r="G224" s="440" t="str">
        <f t="shared" ca="1" si="19"/>
        <v/>
      </c>
      <c r="H224" s="440" t="str">
        <f ca="1">IF($A224="*","",IF($B224="PRC_NOFF",OFFSET(SUP!$B$57,$L224,SUMIF($B$9:$B$12,$B224,$M$9:$M$12))-1,OFFSET(H$8,K224,0)))</f>
        <v/>
      </c>
      <c r="I224" s="440" t="str">
        <f ca="1">IF(LEFT(VLOOKUP("*#"&amp;K224,$A$9:$I$13,I$6,0),1)="#",OFFSET(SUP!$B$57,$L224,SUMIF($A$9:$A$13,"*#"&amp;$K224,$M$9:$M$13)),1)</f>
        <v/>
      </c>
      <c r="J224" s="440"/>
      <c r="K224" s="42">
        <f>IF(L223=SUP!$B$104,K223+1,K223)</f>
        <v>5</v>
      </c>
      <c r="L224" s="42">
        <f t="shared" si="20"/>
        <v>22</v>
      </c>
    </row>
    <row r="225" spans="1:12">
      <c r="A225" s="42" t="str">
        <f ca="1">IF(OR(LEFT(OFFSET(SUP!$A$57,L225,0),2)="\I",I225=""),"*","")</f>
        <v>*</v>
      </c>
      <c r="B225" s="440" t="str">
        <f t="shared" ca="1" si="17"/>
        <v>ACT_CUM</v>
      </c>
      <c r="C225" s="440" t="str">
        <f ca="1">OFFSET(SUP!$B$57,L225,0)</f>
        <v>IMPOAG</v>
      </c>
      <c r="D225" s="440" t="str">
        <f ca="1">IF($A225="*","",IF(LEFT($B225,3)="TOP",OFFSET(SUP!$D$57,$L225,0),"-"))</f>
        <v/>
      </c>
      <c r="E225" s="440" t="str">
        <f ca="1">IF($A225="*","",IF($B225="PRC_ACTUNT",OFFSET(SUP!$B$57,$L225,SUMIF($B$9:$B$11,$B225,$M$9:$M$11)),"-"))</f>
        <v/>
      </c>
      <c r="F225" s="440" t="str">
        <f t="shared" ca="1" si="18"/>
        <v>BOH</v>
      </c>
      <c r="G225" s="440" t="str">
        <f t="shared" ca="1" si="19"/>
        <v/>
      </c>
      <c r="H225" s="440" t="str">
        <f ca="1">IF($A225="*","",IF($B225="PRC_NOFF",OFFSET(SUP!$B$57,$L225,SUMIF($B$9:$B$12,$B225,$M$9:$M$12))-1,OFFSET(H$8,K225,0)))</f>
        <v/>
      </c>
      <c r="I225" s="440" t="str">
        <f ca="1">IF(LEFT(VLOOKUP("*#"&amp;K225,$A$9:$I$13,I$6,0),1)="#",OFFSET(SUP!$B$57,$L225,SUMIF($A$9:$A$13,"*#"&amp;$K225,$M$9:$M$13)),1)</f>
        <v/>
      </c>
      <c r="J225" s="440"/>
      <c r="K225" s="42">
        <f>IF(L224=SUP!$B$104,K224+1,K224)</f>
        <v>5</v>
      </c>
      <c r="L225" s="42">
        <f t="shared" si="20"/>
        <v>23</v>
      </c>
    </row>
    <row r="226" spans="1:12">
      <c r="A226" s="42" t="str">
        <f ca="1">IF(OR(LEFT(OFFSET(SUP!$A$57,L226,0),2)="\I",I226=""),"*","")</f>
        <v>*</v>
      </c>
      <c r="B226" s="440" t="str">
        <f t="shared" ca="1" si="17"/>
        <v>ACT_CUM</v>
      </c>
      <c r="C226" s="440" t="str">
        <f ca="1">OFFSET(SUP!$B$57,L226,0)</f>
        <v>IMPOCR</v>
      </c>
      <c r="D226" s="440" t="str">
        <f ca="1">IF($A226="*","",IF(LEFT($B226,3)="TOP",OFFSET(SUP!$D$57,$L226,0),"-"))</f>
        <v/>
      </c>
      <c r="E226" s="440" t="str">
        <f ca="1">IF($A226="*","",IF($B226="PRC_ACTUNT",OFFSET(SUP!$B$57,$L226,SUMIF($B$9:$B$11,$B226,$M$9:$M$11)),"-"))</f>
        <v/>
      </c>
      <c r="F226" s="440" t="str">
        <f t="shared" ca="1" si="18"/>
        <v>BOH</v>
      </c>
      <c r="G226" s="440" t="str">
        <f t="shared" ca="1" si="19"/>
        <v/>
      </c>
      <c r="H226" s="440" t="str">
        <f ca="1">IF($A226="*","",IF($B226="PRC_NOFF",OFFSET(SUP!$B$57,$L226,SUMIF($B$9:$B$12,$B226,$M$9:$M$12))-1,OFFSET(H$8,K226,0)))</f>
        <v/>
      </c>
      <c r="I226" s="440" t="str">
        <f ca="1">IF(LEFT(VLOOKUP("*#"&amp;K226,$A$9:$I$13,I$6,0),1)="#",OFFSET(SUP!$B$57,$L226,SUMIF($A$9:$A$13,"*#"&amp;$K226,$M$9:$M$13)),1)</f>
        <v/>
      </c>
      <c r="J226" s="440"/>
      <c r="K226" s="42">
        <f>IF(L225=SUP!$B$104,K225+1,K225)</f>
        <v>5</v>
      </c>
      <c r="L226" s="42">
        <f t="shared" si="20"/>
        <v>24</v>
      </c>
    </row>
    <row r="227" spans="1:12">
      <c r="A227" s="42" t="str">
        <f ca="1">IF(OR(LEFT(OFFSET(SUP!$A$57,L227,0),2)="\I",I227=""),"*","")</f>
        <v>*</v>
      </c>
      <c r="B227" s="440" t="str">
        <f t="shared" ca="1" si="17"/>
        <v>ACT_CUM</v>
      </c>
      <c r="C227" s="440" t="str">
        <f ca="1">OFFSET(SUP!$B$57,L227,0)</f>
        <v>IMPODS</v>
      </c>
      <c r="D227" s="440" t="str">
        <f ca="1">IF($A227="*","",IF(LEFT($B227,3)="TOP",OFFSET(SUP!$D$57,$L227,0),"-"))</f>
        <v/>
      </c>
      <c r="E227" s="440" t="str">
        <f ca="1">IF($A227="*","",IF($B227="PRC_ACTUNT",OFFSET(SUP!$B$57,$L227,SUMIF($B$9:$B$11,$B227,$M$9:$M$11)),"-"))</f>
        <v/>
      </c>
      <c r="F227" s="440" t="str">
        <f t="shared" ca="1" si="18"/>
        <v>BOH</v>
      </c>
      <c r="G227" s="440" t="str">
        <f t="shared" ca="1" si="19"/>
        <v/>
      </c>
      <c r="H227" s="440" t="str">
        <f ca="1">IF($A227="*","",IF($B227="PRC_NOFF",OFFSET(SUP!$B$57,$L227,SUMIF($B$9:$B$12,$B227,$M$9:$M$12))-1,OFFSET(H$8,K227,0)))</f>
        <v/>
      </c>
      <c r="I227" s="440" t="str">
        <f ca="1">IF(LEFT(VLOOKUP("*#"&amp;K227,$A$9:$I$13,I$6,0),1)="#",OFFSET(SUP!$B$57,$L227,SUMIF($A$9:$A$13,"*#"&amp;$K227,$M$9:$M$13)),1)</f>
        <v/>
      </c>
      <c r="J227" s="440"/>
      <c r="K227" s="42">
        <f>IF(L226=SUP!$B$104,K226+1,K226)</f>
        <v>5</v>
      </c>
      <c r="L227" s="42">
        <f t="shared" si="20"/>
        <v>25</v>
      </c>
    </row>
    <row r="228" spans="1:12">
      <c r="A228" s="42" t="str">
        <f ca="1">IF(OR(LEFT(OFFSET(SUP!$A$57,L228,0),2)="\I",I228=""),"*","")</f>
        <v>*</v>
      </c>
      <c r="B228" s="440" t="str">
        <f t="shared" ca="1" si="17"/>
        <v>ACT_CUM</v>
      </c>
      <c r="C228" s="440" t="str">
        <f ca="1">OFFSET(SUP!$B$57,L228,0)</f>
        <v>IMPOGS</v>
      </c>
      <c r="D228" s="440" t="str">
        <f ca="1">IF($A228="*","",IF(LEFT($B228,3)="TOP",OFFSET(SUP!$D$57,$L228,0),"-"))</f>
        <v/>
      </c>
      <c r="E228" s="440" t="str">
        <f ca="1">IF($A228="*","",IF($B228="PRC_ACTUNT",OFFSET(SUP!$B$57,$L228,SUMIF($B$9:$B$11,$B228,$M$9:$M$11)),"-"))</f>
        <v/>
      </c>
      <c r="F228" s="440" t="str">
        <f t="shared" ca="1" si="18"/>
        <v>BOH</v>
      </c>
      <c r="G228" s="440" t="str">
        <f t="shared" ca="1" si="19"/>
        <v/>
      </c>
      <c r="H228" s="440" t="str">
        <f ca="1">IF($A228="*","",IF($B228="PRC_NOFF",OFFSET(SUP!$B$57,$L228,SUMIF($B$9:$B$12,$B228,$M$9:$M$12))-1,OFFSET(H$8,K228,0)))</f>
        <v/>
      </c>
      <c r="I228" s="440" t="str">
        <f ca="1">IF(LEFT(VLOOKUP("*#"&amp;K228,$A$9:$I$13,I$6,0),1)="#",OFFSET(SUP!$B$57,$L228,SUMIF($A$9:$A$13,"*#"&amp;$K228,$M$9:$M$13)),1)</f>
        <v/>
      </c>
      <c r="J228" s="440"/>
      <c r="K228" s="42">
        <f>IF(L227=SUP!$B$104,K227+1,K227)</f>
        <v>5</v>
      </c>
      <c r="L228" s="42">
        <f t="shared" si="20"/>
        <v>26</v>
      </c>
    </row>
    <row r="229" spans="1:12">
      <c r="A229" s="42" t="str">
        <f ca="1">IF(OR(LEFT(OFFSET(SUP!$A$57,L229,0),2)="\I",I229=""),"*","")</f>
        <v>*</v>
      </c>
      <c r="B229" s="440" t="str">
        <f t="shared" ca="1" si="17"/>
        <v>ACT_CUM</v>
      </c>
      <c r="C229" s="440" t="str">
        <f ca="1">OFFSET(SUP!$B$57,L229,0)</f>
        <v>IMPOHF</v>
      </c>
      <c r="D229" s="440" t="str">
        <f ca="1">IF($A229="*","",IF(LEFT($B229,3)="TOP",OFFSET(SUP!$D$57,$L229,0),"-"))</f>
        <v/>
      </c>
      <c r="E229" s="440" t="str">
        <f ca="1">IF($A229="*","",IF($B229="PRC_ACTUNT",OFFSET(SUP!$B$57,$L229,SUMIF($B$9:$B$11,$B229,$M$9:$M$11)),"-"))</f>
        <v/>
      </c>
      <c r="F229" s="440" t="str">
        <f t="shared" ca="1" si="18"/>
        <v>BOH</v>
      </c>
      <c r="G229" s="440" t="str">
        <f t="shared" ca="1" si="19"/>
        <v/>
      </c>
      <c r="H229" s="440" t="str">
        <f ca="1">IF($A229="*","",IF($B229="PRC_NOFF",OFFSET(SUP!$B$57,$L229,SUMIF($B$9:$B$12,$B229,$M$9:$M$12))-1,OFFSET(H$8,K229,0)))</f>
        <v/>
      </c>
      <c r="I229" s="440" t="str">
        <f ca="1">IF(LEFT(VLOOKUP("*#"&amp;K229,$A$9:$I$13,I$6,0),1)="#",OFFSET(SUP!$B$57,$L229,SUMIF($A$9:$A$13,"*#"&amp;$K229,$M$9:$M$13)),1)</f>
        <v/>
      </c>
      <c r="J229" s="440"/>
      <c r="K229" s="42">
        <f>IF(L228=SUP!$B$104,K228+1,K228)</f>
        <v>5</v>
      </c>
      <c r="L229" s="42">
        <f t="shared" si="20"/>
        <v>27</v>
      </c>
    </row>
    <row r="230" spans="1:12">
      <c r="A230" s="42" t="str">
        <f ca="1">IF(OR(LEFT(OFFSET(SUP!$A$57,L230,0),2)="\I",I230=""),"*","")</f>
        <v>*</v>
      </c>
      <c r="B230" s="440" t="str">
        <f t="shared" ca="1" si="17"/>
        <v>ACT_CUM</v>
      </c>
      <c r="C230" s="440" t="str">
        <f ca="1">OFFSET(SUP!$B$57,L230,0)</f>
        <v>IMPOLP</v>
      </c>
      <c r="D230" s="440" t="str">
        <f ca="1">IF($A230="*","",IF(LEFT($B230,3)="TOP",OFFSET(SUP!$D$57,$L230,0),"-"))</f>
        <v/>
      </c>
      <c r="E230" s="440" t="str">
        <f ca="1">IF($A230="*","",IF($B230="PRC_ACTUNT",OFFSET(SUP!$B$57,$L230,SUMIF($B$9:$B$11,$B230,$M$9:$M$11)),"-"))</f>
        <v/>
      </c>
      <c r="F230" s="440" t="str">
        <f t="shared" ca="1" si="18"/>
        <v>BOH</v>
      </c>
      <c r="G230" s="440" t="str">
        <f t="shared" ca="1" si="19"/>
        <v/>
      </c>
      <c r="H230" s="440" t="str">
        <f ca="1">IF($A230="*","",IF($B230="PRC_NOFF",OFFSET(SUP!$B$57,$L230,SUMIF($B$9:$B$12,$B230,$M$9:$M$12))-1,OFFSET(H$8,K230,0)))</f>
        <v/>
      </c>
      <c r="I230" s="440" t="str">
        <f ca="1">IF(LEFT(VLOOKUP("*#"&amp;K230,$A$9:$I$13,I$6,0),1)="#",OFFSET(SUP!$B$57,$L230,SUMIF($A$9:$A$13,"*#"&amp;$K230,$M$9:$M$13)),1)</f>
        <v/>
      </c>
      <c r="J230" s="440"/>
      <c r="K230" s="42">
        <f>IF(L229=SUP!$B$104,K229+1,K229)</f>
        <v>5</v>
      </c>
      <c r="L230" s="42">
        <f t="shared" si="20"/>
        <v>28</v>
      </c>
    </row>
    <row r="231" spans="1:12">
      <c r="A231" s="42" t="str">
        <f ca="1">IF(OR(LEFT(OFFSET(SUP!$A$57,L231,0),2)="\I",I231=""),"*","")</f>
        <v>*</v>
      </c>
      <c r="B231" s="440" t="str">
        <f t="shared" ca="1" si="17"/>
        <v>ACT_CUM</v>
      </c>
      <c r="C231" s="440" t="str">
        <f ca="1">OFFSET(SUP!$B$57,L231,0)</f>
        <v>IMPOKE</v>
      </c>
      <c r="D231" s="440" t="str">
        <f ca="1">IF($A231="*","",IF(LEFT($B231,3)="TOP",OFFSET(SUP!$D$57,$L231,0),"-"))</f>
        <v/>
      </c>
      <c r="E231" s="440" t="str">
        <f ca="1">IF($A231="*","",IF($B231="PRC_ACTUNT",OFFSET(SUP!$B$57,$L231,SUMIF($B$9:$B$11,$B231,$M$9:$M$11)),"-"))</f>
        <v/>
      </c>
      <c r="F231" s="440" t="str">
        <f t="shared" ca="1" si="18"/>
        <v>BOH</v>
      </c>
      <c r="G231" s="440" t="str">
        <f t="shared" ca="1" si="19"/>
        <v/>
      </c>
      <c r="H231" s="440" t="str">
        <f ca="1">IF($A231="*","",IF($B231="PRC_NOFF",OFFSET(SUP!$B$57,$L231,SUMIF($B$9:$B$12,$B231,$M$9:$M$12))-1,OFFSET(H$8,K231,0)))</f>
        <v/>
      </c>
      <c r="I231" s="440" t="str">
        <f ca="1">IF(LEFT(VLOOKUP("*#"&amp;K231,$A$9:$I$13,I$6,0),1)="#",OFFSET(SUP!$B$57,$L231,SUMIF($A$9:$A$13,"*#"&amp;$K231,$M$9:$M$13)),1)</f>
        <v/>
      </c>
      <c r="J231" s="440"/>
      <c r="K231" s="42">
        <f>IF(L230=SUP!$B$104,K230+1,K230)</f>
        <v>5</v>
      </c>
      <c r="L231" s="42">
        <f t="shared" si="20"/>
        <v>29</v>
      </c>
    </row>
    <row r="232" spans="1:12">
      <c r="A232" s="42" t="str">
        <f ca="1">IF(OR(LEFT(OFFSET(SUP!$A$57,L232,0),2)="\I",I232=""),"*","")</f>
        <v>*</v>
      </c>
      <c r="B232" s="440" t="str">
        <f t="shared" ca="1" si="17"/>
        <v>ACT_CUM</v>
      </c>
      <c r="C232" s="440" t="str">
        <f ca="1">OFFSET(SUP!$B$57,L232,0)</f>
        <v>IMPBID</v>
      </c>
      <c r="D232" s="440" t="str">
        <f ca="1">IF($A232="*","",IF(LEFT($B232,3)="TOP",OFFSET(SUP!$D$57,$L232,0),"-"))</f>
        <v/>
      </c>
      <c r="E232" s="440" t="str">
        <f ca="1">IF($A232="*","",IF($B232="PRC_ACTUNT",OFFSET(SUP!$B$57,$L232,SUMIF($B$9:$B$11,$B232,$M$9:$M$11)),"-"))</f>
        <v/>
      </c>
      <c r="F232" s="440" t="str">
        <f t="shared" ca="1" si="18"/>
        <v>BOH</v>
      </c>
      <c r="G232" s="440" t="str">
        <f t="shared" ca="1" si="19"/>
        <v/>
      </c>
      <c r="H232" s="440" t="str">
        <f ca="1">IF($A232="*","",IF($B232="PRC_NOFF",OFFSET(SUP!$B$57,$L232,SUMIF($B$9:$B$12,$B232,$M$9:$M$12))-1,OFFSET(H$8,K232,0)))</f>
        <v/>
      </c>
      <c r="I232" s="440" t="str">
        <f ca="1">IF(LEFT(VLOOKUP("*#"&amp;K232,$A$9:$I$13,I$6,0),1)="#",OFFSET(SUP!$B$57,$L232,SUMIF($A$9:$A$13,"*#"&amp;$K232,$M$9:$M$13)),1)</f>
        <v/>
      </c>
      <c r="J232" s="440"/>
      <c r="K232" s="42">
        <f>IF(L231=SUP!$B$104,K231+1,K231)</f>
        <v>5</v>
      </c>
      <c r="L232" s="42">
        <f t="shared" si="20"/>
        <v>30</v>
      </c>
    </row>
    <row r="233" spans="1:12">
      <c r="A233" s="42" t="str">
        <f ca="1">IF(OR(LEFT(OFFSET(SUP!$A$57,L233,0),2)="\I",I233=""),"*","")</f>
        <v>*</v>
      </c>
      <c r="B233" s="440" t="str">
        <f t="shared" ca="1" si="17"/>
        <v>ACT_CUM</v>
      </c>
      <c r="C233" s="440" t="str">
        <f ca="1">OFFSET(SUP!$B$57,L233,0)</f>
        <v>IMPBIE</v>
      </c>
      <c r="D233" s="440" t="str">
        <f ca="1">IF($A233="*","",IF(LEFT($B233,3)="TOP",OFFSET(SUP!$D$57,$L233,0),"-"))</f>
        <v/>
      </c>
      <c r="E233" s="440" t="str">
        <f ca="1">IF($A233="*","",IF($B233="PRC_ACTUNT",OFFSET(SUP!$B$57,$L233,SUMIF($B$9:$B$11,$B233,$M$9:$M$11)),"-"))</f>
        <v/>
      </c>
      <c r="F233" s="440" t="str">
        <f t="shared" ca="1" si="18"/>
        <v>BOH</v>
      </c>
      <c r="G233" s="440" t="str">
        <f t="shared" ca="1" si="19"/>
        <v/>
      </c>
      <c r="H233" s="440" t="str">
        <f ca="1">IF($A233="*","",IF($B233="PRC_NOFF",OFFSET(SUP!$B$57,$L233,SUMIF($B$9:$B$12,$B233,$M$9:$M$12))-1,OFFSET(H$8,K233,0)))</f>
        <v/>
      </c>
      <c r="I233" s="440" t="str">
        <f ca="1">IF(LEFT(VLOOKUP("*#"&amp;K233,$A$9:$I$13,I$6,0),1)="#",OFFSET(SUP!$B$57,$L233,SUMIF($A$9:$A$13,"*#"&amp;$K233,$M$9:$M$13)),1)</f>
        <v/>
      </c>
      <c r="J233" s="440"/>
      <c r="K233" s="42">
        <f>IF(L232=SUP!$B$104,K232+1,K232)</f>
        <v>5</v>
      </c>
      <c r="L233" s="42">
        <f t="shared" si="20"/>
        <v>31</v>
      </c>
    </row>
    <row r="234" spans="1:12">
      <c r="A234" s="42" t="str">
        <f ca="1">IF(OR(LEFT(OFFSET(SUP!$A$57,L234,0),2)="\I",I234=""),"*","")</f>
        <v>*</v>
      </c>
      <c r="B234" s="440" t="str">
        <f t="shared" ca="1" si="17"/>
        <v>ACT_CUM</v>
      </c>
      <c r="C234" s="440">
        <f ca="1">OFFSET(SUP!$B$57,L234,0)</f>
        <v>0</v>
      </c>
      <c r="D234" s="440" t="str">
        <f ca="1">IF($A234="*","",IF(LEFT($B234,3)="TOP",OFFSET(SUP!$D$57,$L234,0),"-"))</f>
        <v/>
      </c>
      <c r="E234" s="440" t="str">
        <f ca="1">IF($A234="*","",IF($B234="PRC_ACTUNT",OFFSET(SUP!$B$57,$L234,SUMIF($B$9:$B$11,$B234,$M$9:$M$11)),"-"))</f>
        <v/>
      </c>
      <c r="F234" s="440" t="str">
        <f t="shared" ca="1" si="18"/>
        <v>BOH</v>
      </c>
      <c r="G234" s="440" t="str">
        <f t="shared" ca="1" si="19"/>
        <v/>
      </c>
      <c r="H234" s="440" t="str">
        <f ca="1">IF($A234="*","",IF($B234="PRC_NOFF",OFFSET(SUP!$B$57,$L234,SUMIF($B$9:$B$12,$B234,$M$9:$M$12))-1,OFFSET(H$8,K234,0)))</f>
        <v/>
      </c>
      <c r="I234" s="440">
        <f ca="1">IF(LEFT(VLOOKUP("*#"&amp;K234,$A$9:$I$13,I$6,0),1)="#",OFFSET(SUP!$B$57,$L234,SUMIF($A$9:$A$13,"*#"&amp;$K234,$M$9:$M$13)),1)</f>
        <v>0</v>
      </c>
      <c r="J234" s="440"/>
      <c r="K234" s="42">
        <f>IF(L233=SUP!$B$104,K233+1,K233)</f>
        <v>5</v>
      </c>
      <c r="L234" s="42">
        <f t="shared" si="20"/>
        <v>32</v>
      </c>
    </row>
    <row r="235" spans="1:12">
      <c r="A235" s="42" t="str">
        <f ca="1">IF(OR(LEFT(OFFSET(SUP!$A$57,L235,0),2)="\I",I235=""),"*","")</f>
        <v>*</v>
      </c>
      <c r="B235" s="440" t="str">
        <f t="shared" ca="1" si="17"/>
        <v>ACT_CUM</v>
      </c>
      <c r="C235" s="440" t="str">
        <f ca="1">OFFSET(SUP!$B$57,L235,0)</f>
        <v>MIRCRB</v>
      </c>
      <c r="D235" s="440" t="str">
        <f ca="1">IF($A235="*","",IF(LEFT($B235,3)="TOP",OFFSET(SUP!$D$57,$L235,0),"-"))</f>
        <v/>
      </c>
      <c r="E235" s="440" t="str">
        <f ca="1">IF($A235="*","",IF($B235="PRC_ACTUNT",OFFSET(SUP!$B$57,$L235,SUMIF($B$9:$B$11,$B235,$M$9:$M$11)),"-"))</f>
        <v/>
      </c>
      <c r="F235" s="440" t="str">
        <f t="shared" ca="1" si="18"/>
        <v>BOH</v>
      </c>
      <c r="G235" s="440" t="str">
        <f t="shared" ca="1" si="19"/>
        <v/>
      </c>
      <c r="H235" s="440" t="str">
        <f ca="1">IF($A235="*","",IF($B235="PRC_NOFF",OFFSET(SUP!$B$57,$L235,SUMIF($B$9:$B$12,$B235,$M$9:$M$12))-1,OFFSET(H$8,K235,0)))</f>
        <v/>
      </c>
      <c r="I235" s="440" t="str">
        <f ca="1">IF(LEFT(VLOOKUP("*#"&amp;K235,$A$9:$I$13,I$6,0),1)="#",OFFSET(SUP!$B$57,$L235,SUMIF($A$9:$A$13,"*#"&amp;$K235,$M$9:$M$13)),1)</f>
        <v/>
      </c>
      <c r="J235" s="440"/>
      <c r="K235" s="42">
        <f>IF(L234=SUP!$B$104,K234+1,K234)</f>
        <v>5</v>
      </c>
      <c r="L235" s="42">
        <f t="shared" si="20"/>
        <v>33</v>
      </c>
    </row>
    <row r="236" spans="1:12">
      <c r="A236" s="42" t="str">
        <f ca="1">IF(OR(LEFT(OFFSET(SUP!$A$57,L236,0),2)="\I",I236=""),"*","")</f>
        <v>*</v>
      </c>
      <c r="B236" s="440" t="str">
        <f t="shared" ca="1" si="17"/>
        <v>ACT_CUM</v>
      </c>
      <c r="C236" s="440" t="str">
        <f ca="1">OFFSET(SUP!$B$57,L236,0)</f>
        <v>MIRGRN</v>
      </c>
      <c r="D236" s="440" t="str">
        <f ca="1">IF($A236="*","",IF(LEFT($B236,3)="TOP",OFFSET(SUP!$D$57,$L236,0),"-"))</f>
        <v/>
      </c>
      <c r="E236" s="440" t="str">
        <f ca="1">IF($A236="*","",IF($B236="PRC_ACTUNT",OFFSET(SUP!$B$57,$L236,SUMIF($B$9:$B$11,$B236,$M$9:$M$11)),"-"))</f>
        <v/>
      </c>
      <c r="F236" s="440" t="str">
        <f t="shared" ca="1" si="18"/>
        <v>BOH</v>
      </c>
      <c r="G236" s="440" t="str">
        <f t="shared" ca="1" si="19"/>
        <v/>
      </c>
      <c r="H236" s="440" t="str">
        <f ca="1">IF($A236="*","",IF($B236="PRC_NOFF",OFFSET(SUP!$B$57,$L236,SUMIF($B$9:$B$12,$B236,$M$9:$M$12))-1,OFFSET(H$8,K236,0)))</f>
        <v/>
      </c>
      <c r="I236" s="440" t="str">
        <f ca="1">IF(LEFT(VLOOKUP("*#"&amp;K236,$A$9:$I$13,I$6,0),1)="#",OFFSET(SUP!$B$57,$L236,SUMIF($A$9:$A$13,"*#"&amp;$K236,$M$9:$M$13)),1)</f>
        <v/>
      </c>
      <c r="J236" s="440"/>
      <c r="K236" s="42">
        <f>IF(L235=SUP!$B$104,K235+1,K235)</f>
        <v>5</v>
      </c>
      <c r="L236" s="42">
        <f t="shared" si="20"/>
        <v>34</v>
      </c>
    </row>
    <row r="237" spans="1:12">
      <c r="A237" s="42" t="str">
        <f ca="1">IF(OR(LEFT(OFFSET(SUP!$A$57,L237,0),2)="\I",I237=""),"*","")</f>
        <v/>
      </c>
      <c r="B237" s="440" t="str">
        <f t="shared" ca="1" si="17"/>
        <v>ACT_CUM</v>
      </c>
      <c r="C237" s="440" t="str">
        <f ca="1">OFFSET(SUP!$B$57,L237,0)</f>
        <v>MIRGRS</v>
      </c>
      <c r="D237" s="440" t="str">
        <f ca="1">IF($A237="*","",IF(LEFT($B237,3)="TOP",OFFSET(SUP!$D$57,$L237,0),"-"))</f>
        <v>-</v>
      </c>
      <c r="E237" s="440" t="str">
        <f ca="1">IF($A237="*","",IF($B237="PRC_ACTUNT",OFFSET(SUP!$B$57,$L237,SUMIF($B$9:$B$11,$B237,$M$9:$M$11)),"-"))</f>
        <v>-</v>
      </c>
      <c r="F237" s="440" t="str">
        <f t="shared" ca="1" si="18"/>
        <v>BOH</v>
      </c>
      <c r="G237" s="440" t="str">
        <f t="shared" ca="1" si="19"/>
        <v>EOH</v>
      </c>
      <c r="H237" s="440" t="str">
        <f ca="1">IF($A237="*","",IF($B237="PRC_NOFF",OFFSET(SUP!$B$57,$L237,SUMIF($B$9:$B$12,$B237,$M$9:$M$12))-1,OFFSET(H$8,K237,0)))</f>
        <v>UP</v>
      </c>
      <c r="I237" s="440">
        <f ca="1">IF(LEFT(VLOOKUP("*#"&amp;K237,$A$9:$I$13,I$6,0),1)="#",OFFSET(SUP!$B$57,$L237,SUMIF($A$9:$A$13,"*#"&amp;$K237,$M$9:$M$13)),1)</f>
        <v>4500</v>
      </c>
      <c r="J237" s="440"/>
      <c r="K237" s="42">
        <f>IF(L236=SUP!$B$104,K236+1,K236)</f>
        <v>5</v>
      </c>
      <c r="L237" s="42">
        <f t="shared" si="20"/>
        <v>35</v>
      </c>
    </row>
    <row r="238" spans="1:12">
      <c r="A238" s="42" t="str">
        <f ca="1">IF(OR(LEFT(OFFSET(SUP!$A$57,L238,0),2)="\I",I238=""),"*","")</f>
        <v/>
      </c>
      <c r="B238" s="440" t="str">
        <f t="shared" ca="1" si="17"/>
        <v>ACT_CUM</v>
      </c>
      <c r="C238" s="440" t="str">
        <f ca="1">OFFSET(SUP!$B$57,L238,0)</f>
        <v>MIRGRM</v>
      </c>
      <c r="D238" s="440" t="str">
        <f ca="1">IF($A238="*","",IF(LEFT($B238,3)="TOP",OFFSET(SUP!$D$57,$L238,0),"-"))</f>
        <v>-</v>
      </c>
      <c r="E238" s="440" t="str">
        <f ca="1">IF($A238="*","",IF($B238="PRC_ACTUNT",OFFSET(SUP!$B$57,$L238,SUMIF($B$9:$B$11,$B238,$M$9:$M$11)),"-"))</f>
        <v>-</v>
      </c>
      <c r="F238" s="440" t="str">
        <f t="shared" ca="1" si="18"/>
        <v>BOH</v>
      </c>
      <c r="G238" s="440" t="str">
        <f t="shared" ca="1" si="19"/>
        <v>EOH</v>
      </c>
      <c r="H238" s="440" t="str">
        <f ca="1">IF($A238="*","",IF($B238="PRC_NOFF",OFFSET(SUP!$B$57,$L238,SUMIF($B$9:$B$12,$B238,$M$9:$M$12))-1,OFFSET(H$8,K238,0)))</f>
        <v>UP</v>
      </c>
      <c r="I238" s="440">
        <f ca="1">IF(LEFT(VLOOKUP("*#"&amp;K238,$A$9:$I$13,I$6,0),1)="#",OFFSET(SUP!$B$57,$L238,SUMIF($A$9:$A$13,"*#"&amp;$K238,$M$9:$M$13)),1)</f>
        <v>170000</v>
      </c>
      <c r="J238" s="440"/>
      <c r="K238" s="42">
        <f>IF(L237=SUP!$B$104,K237+1,K237)</f>
        <v>5</v>
      </c>
      <c r="L238" s="42">
        <f t="shared" si="20"/>
        <v>36</v>
      </c>
    </row>
    <row r="239" spans="1:12">
      <c r="A239" s="42" t="str">
        <f ca="1">IF(OR(LEFT(OFFSET(SUP!$A$57,L239,0),2)="\I",I239=""),"*","")</f>
        <v>*</v>
      </c>
      <c r="B239" s="440" t="str">
        <f t="shared" ca="1" si="17"/>
        <v>ACT_CUM</v>
      </c>
      <c r="C239" s="440">
        <f ca="1">OFFSET(SUP!$B$57,L239,0)</f>
        <v>-0.95</v>
      </c>
      <c r="D239" s="440" t="str">
        <f ca="1">IF($A239="*","",IF(LEFT($B239,3)="TOP",OFFSET(SUP!$D$57,$L239,0),"-"))</f>
        <v/>
      </c>
      <c r="E239" s="440" t="str">
        <f ca="1">IF($A239="*","",IF($B239="PRC_ACTUNT",OFFSET(SUP!$B$57,$L239,SUMIF($B$9:$B$11,$B239,$M$9:$M$11)),"-"))</f>
        <v/>
      </c>
      <c r="F239" s="440" t="str">
        <f t="shared" ca="1" si="18"/>
        <v>BOH</v>
      </c>
      <c r="G239" s="440" t="str">
        <f t="shared" ca="1" si="19"/>
        <v/>
      </c>
      <c r="H239" s="440" t="str">
        <f ca="1">IF($A239="*","",IF($B239="PRC_NOFF",OFFSET(SUP!$B$57,$L239,SUMIF($B$9:$B$12,$B239,$M$9:$M$12))-1,OFFSET(H$8,K239,0)))</f>
        <v/>
      </c>
      <c r="I239" s="440">
        <f ca="1">IF(LEFT(VLOOKUP("*#"&amp;K239,$A$9:$I$13,I$6,0),1)="#",OFFSET(SUP!$B$57,$L239,SUMIF($A$9:$A$13,"*#"&amp;$K239,$M$9:$M$13)),1)</f>
        <v>0</v>
      </c>
      <c r="J239" s="440"/>
      <c r="K239" s="42">
        <f>IF(L238=SUP!$B$104,K238+1,K238)</f>
        <v>5</v>
      </c>
      <c r="L239" s="42">
        <f t="shared" si="20"/>
        <v>37</v>
      </c>
    </row>
    <row r="240" spans="1:12">
      <c r="A240" s="42" t="str">
        <f ca="1">IF(OR(LEFT(OFFSET(SUP!$A$57,L240,0),2)="\I",I240=""),"*","")</f>
        <v>*</v>
      </c>
      <c r="B240" s="440" t="str">
        <f t="shared" ca="1" si="17"/>
        <v>ACT_CUM</v>
      </c>
      <c r="C240" s="440" t="str">
        <f ca="1">OFFSET(SUP!$B$57,L240,0)</f>
        <v>PEXELC</v>
      </c>
      <c r="D240" s="440" t="str">
        <f ca="1">IF($A240="*","",IF(LEFT($B240,3)="TOP",OFFSET(SUP!$D$57,$L240,0),"-"))</f>
        <v/>
      </c>
      <c r="E240" s="440" t="str">
        <f ca="1">IF($A240="*","",IF($B240="PRC_ACTUNT",OFFSET(SUP!$B$57,$L240,SUMIF($B$9:$B$11,$B240,$M$9:$M$11)),"-"))</f>
        <v/>
      </c>
      <c r="F240" s="440" t="str">
        <f t="shared" ca="1" si="18"/>
        <v>BOH</v>
      </c>
      <c r="G240" s="440" t="str">
        <f t="shared" ca="1" si="19"/>
        <v/>
      </c>
      <c r="H240" s="440" t="str">
        <f ca="1">IF($A240="*","",IF($B240="PRC_NOFF",OFFSET(SUP!$B$57,$L240,SUMIF($B$9:$B$12,$B240,$M$9:$M$12))-1,OFFSET(H$8,K240,0)))</f>
        <v/>
      </c>
      <c r="I240" s="440" t="str">
        <f ca="1">IF(LEFT(VLOOKUP("*#"&amp;K240,$A$9:$I$13,I$6,0),1)="#",OFFSET(SUP!$B$57,$L240,SUMIF($A$9:$A$13,"*#"&amp;$K240,$M$9:$M$13)),1)</f>
        <v/>
      </c>
      <c r="J240" s="440"/>
      <c r="K240" s="42">
        <f>IF(L239=SUP!$B$104,K239+1,K239)</f>
        <v>5</v>
      </c>
      <c r="L240" s="42">
        <f t="shared" si="20"/>
        <v>38</v>
      </c>
    </row>
    <row r="241" spans="1:12">
      <c r="A241" s="42" t="str">
        <f ca="1">IF(OR(LEFT(OFFSET(SUP!$A$57,L241,0),2)="\I",I241=""),"*","")</f>
        <v>*</v>
      </c>
      <c r="B241" s="440" t="str">
        <f t="shared" ca="1" si="17"/>
        <v>ACT_CUM</v>
      </c>
      <c r="C241" s="440" t="str">
        <f ca="1">OFFSET(SUP!$B$57,L241,0)</f>
        <v>PEXCOA</v>
      </c>
      <c r="D241" s="440" t="str">
        <f ca="1">IF($A241="*","",IF(LEFT($B241,3)="TOP",OFFSET(SUP!$D$57,$L241,0),"-"))</f>
        <v/>
      </c>
      <c r="E241" s="440" t="str">
        <f ca="1">IF($A241="*","",IF($B241="PRC_ACTUNT",OFFSET(SUP!$B$57,$L241,SUMIF($B$9:$B$11,$B241,$M$9:$M$11)),"-"))</f>
        <v/>
      </c>
      <c r="F241" s="440" t="str">
        <f t="shared" ca="1" si="18"/>
        <v>BOH</v>
      </c>
      <c r="G241" s="440" t="str">
        <f t="shared" ca="1" si="19"/>
        <v/>
      </c>
      <c r="H241" s="440" t="str">
        <f ca="1">IF($A241="*","",IF($B241="PRC_NOFF",OFFSET(SUP!$B$57,$L241,SUMIF($B$9:$B$12,$B241,$M$9:$M$12))-1,OFFSET(H$8,K241,0)))</f>
        <v/>
      </c>
      <c r="I241" s="440" t="str">
        <f ca="1">IF(LEFT(VLOOKUP("*#"&amp;K241,$A$9:$I$13,I$6,0),1)="#",OFFSET(SUP!$B$57,$L241,SUMIF($A$9:$A$13,"*#"&amp;$K241,$M$9:$M$13)),1)</f>
        <v/>
      </c>
      <c r="J241" s="440"/>
      <c r="K241" s="42">
        <f>IF(L240=SUP!$B$104,K240+1,K240)</f>
        <v>5</v>
      </c>
      <c r="L241" s="42">
        <f t="shared" si="20"/>
        <v>39</v>
      </c>
    </row>
    <row r="242" spans="1:12">
      <c r="A242" s="42" t="str">
        <f ca="1">IF(OR(LEFT(OFFSET(SUP!$A$57,L242,0),2)="\I",I242=""),"*","")</f>
        <v>*</v>
      </c>
      <c r="B242" s="440" t="str">
        <f t="shared" ca="1" si="17"/>
        <v>ACT_CUM</v>
      </c>
      <c r="C242" s="440" t="str">
        <f ca="1">OFFSET(SUP!$B$57,L242,0)</f>
        <v>PEXCOK</v>
      </c>
      <c r="D242" s="440" t="str">
        <f ca="1">IF($A242="*","",IF(LEFT($B242,3)="TOP",OFFSET(SUP!$D$57,$L242,0),"-"))</f>
        <v/>
      </c>
      <c r="E242" s="440" t="str">
        <f ca="1">IF($A242="*","",IF($B242="PRC_ACTUNT",OFFSET(SUP!$B$57,$L242,SUMIF($B$9:$B$11,$B242,$M$9:$M$11)),"-"))</f>
        <v/>
      </c>
      <c r="F242" s="440" t="str">
        <f t="shared" ca="1" si="18"/>
        <v>BOH</v>
      </c>
      <c r="G242" s="440" t="str">
        <f t="shared" ca="1" si="19"/>
        <v/>
      </c>
      <c r="H242" s="440" t="str">
        <f ca="1">IF($A242="*","",IF($B242="PRC_NOFF",OFFSET(SUP!$B$57,$L242,SUMIF($B$9:$B$12,$B242,$M$9:$M$12))-1,OFFSET(H$8,K242,0)))</f>
        <v/>
      </c>
      <c r="I242" s="440" t="str">
        <f ca="1">IF(LEFT(VLOOKUP("*#"&amp;K242,$A$9:$I$13,I$6,0),1)="#",OFFSET(SUP!$B$57,$L242,SUMIF($A$9:$A$13,"*#"&amp;$K242,$M$9:$M$13)),1)</f>
        <v/>
      </c>
      <c r="J242" s="440"/>
      <c r="K242" s="42">
        <f>IF(L241=SUP!$B$104,K241+1,K241)</f>
        <v>5</v>
      </c>
      <c r="L242" s="42">
        <f t="shared" si="20"/>
        <v>40</v>
      </c>
    </row>
    <row r="243" spans="1:12">
      <c r="A243" s="42" t="str">
        <f ca="1">IF(OR(LEFT(OFFSET(SUP!$A$57,L243,0),2)="\I",I243=""),"*","")</f>
        <v>*</v>
      </c>
      <c r="B243" s="440" t="str">
        <f t="shared" ca="1" si="17"/>
        <v>ACT_CUM</v>
      </c>
      <c r="C243" s="440" t="str">
        <f ca="1">OFFSET(SUP!$B$57,L243,0)</f>
        <v>PEXOAG</v>
      </c>
      <c r="D243" s="440" t="str">
        <f ca="1">IF($A243="*","",IF(LEFT($B243,3)="TOP",OFFSET(SUP!$D$57,$L243,0),"-"))</f>
        <v/>
      </c>
      <c r="E243" s="440" t="str">
        <f ca="1">IF($A243="*","",IF($B243="PRC_ACTUNT",OFFSET(SUP!$B$57,$L243,SUMIF($B$9:$B$11,$B243,$M$9:$M$11)),"-"))</f>
        <v/>
      </c>
      <c r="F243" s="440" t="str">
        <f t="shared" ca="1" si="18"/>
        <v>BOH</v>
      </c>
      <c r="G243" s="440" t="str">
        <f t="shared" ca="1" si="19"/>
        <v/>
      </c>
      <c r="H243" s="440" t="str">
        <f ca="1">IF($A243="*","",IF($B243="PRC_NOFF",OFFSET(SUP!$B$57,$L243,SUMIF($B$9:$B$12,$B243,$M$9:$M$12))-1,OFFSET(H$8,K243,0)))</f>
        <v/>
      </c>
      <c r="I243" s="440" t="str">
        <f ca="1">IF(LEFT(VLOOKUP("*#"&amp;K243,$A$9:$I$13,I$6,0),1)="#",OFFSET(SUP!$B$57,$L243,SUMIF($A$9:$A$13,"*#"&amp;$K243,$M$9:$M$13)),1)</f>
        <v/>
      </c>
      <c r="J243" s="440"/>
      <c r="K243" s="42">
        <f>IF(L242=SUP!$B$104,K242+1,K242)</f>
        <v>5</v>
      </c>
      <c r="L243" s="42">
        <f t="shared" si="20"/>
        <v>41</v>
      </c>
    </row>
    <row r="244" spans="1:12">
      <c r="A244" s="42" t="str">
        <f ca="1">IF(OR(LEFT(OFFSET(SUP!$A$57,L244,0),2)="\I",I244=""),"*","")</f>
        <v>*</v>
      </c>
      <c r="B244" s="440" t="str">
        <f t="shared" ca="1" si="17"/>
        <v>ACT_CUM</v>
      </c>
      <c r="C244" s="440" t="str">
        <f ca="1">OFFSET(SUP!$B$57,L244,0)</f>
        <v>PEXOCR</v>
      </c>
      <c r="D244" s="440" t="str">
        <f ca="1">IF($A244="*","",IF(LEFT($B244,3)="TOP",OFFSET(SUP!$D$57,$L244,0),"-"))</f>
        <v/>
      </c>
      <c r="E244" s="440" t="str">
        <f ca="1">IF($A244="*","",IF($B244="PRC_ACTUNT",OFFSET(SUP!$B$57,$L244,SUMIF($B$9:$B$11,$B244,$M$9:$M$11)),"-"))</f>
        <v/>
      </c>
      <c r="F244" s="440" t="str">
        <f t="shared" ca="1" si="18"/>
        <v>BOH</v>
      </c>
      <c r="G244" s="440" t="str">
        <f t="shared" ca="1" si="19"/>
        <v/>
      </c>
      <c r="H244" s="440" t="str">
        <f ca="1">IF($A244="*","",IF($B244="PRC_NOFF",OFFSET(SUP!$B$57,$L244,SUMIF($B$9:$B$12,$B244,$M$9:$M$12))-1,OFFSET(H$8,K244,0)))</f>
        <v/>
      </c>
      <c r="I244" s="440" t="str">
        <f ca="1">IF(LEFT(VLOOKUP("*#"&amp;K244,$A$9:$I$13,I$6,0),1)="#",OFFSET(SUP!$B$57,$L244,SUMIF($A$9:$A$13,"*#"&amp;$K244,$M$9:$M$13)),1)</f>
        <v/>
      </c>
      <c r="J244" s="440"/>
      <c r="K244" s="42">
        <f>IF(L243=SUP!$B$104,K243+1,K243)</f>
        <v>5</v>
      </c>
      <c r="L244" s="42">
        <f t="shared" si="20"/>
        <v>42</v>
      </c>
    </row>
    <row r="245" spans="1:12">
      <c r="A245" s="42" t="str">
        <f ca="1">IF(OR(LEFT(OFFSET(SUP!$A$57,L245,0),2)="\I",I245=""),"*","")</f>
        <v>*</v>
      </c>
      <c r="B245" s="440" t="str">
        <f t="shared" ca="1" si="17"/>
        <v>ACT_CUM</v>
      </c>
      <c r="C245" s="440" t="str">
        <f ca="1">OFFSET(SUP!$B$57,L245,0)</f>
        <v>PEXODS</v>
      </c>
      <c r="D245" s="440" t="str">
        <f ca="1">IF($A245="*","",IF(LEFT($B245,3)="TOP",OFFSET(SUP!$D$57,$L245,0),"-"))</f>
        <v/>
      </c>
      <c r="E245" s="440" t="str">
        <f ca="1">IF($A245="*","",IF($B245="PRC_ACTUNT",OFFSET(SUP!$B$57,$L245,SUMIF($B$9:$B$11,$B245,$M$9:$M$11)),"-"))</f>
        <v/>
      </c>
      <c r="F245" s="440" t="str">
        <f t="shared" ca="1" si="18"/>
        <v>BOH</v>
      </c>
      <c r="G245" s="440" t="str">
        <f t="shared" ca="1" si="19"/>
        <v/>
      </c>
      <c r="H245" s="440" t="str">
        <f ca="1">IF($A245="*","",IF($B245="PRC_NOFF",OFFSET(SUP!$B$57,$L245,SUMIF($B$9:$B$12,$B245,$M$9:$M$12))-1,OFFSET(H$8,K245,0)))</f>
        <v/>
      </c>
      <c r="I245" s="440" t="str">
        <f ca="1">IF(LEFT(VLOOKUP("*#"&amp;K245,$A$9:$I$13,I$6,0),1)="#",OFFSET(SUP!$B$57,$L245,SUMIF($A$9:$A$13,"*#"&amp;$K245,$M$9:$M$13)),1)</f>
        <v/>
      </c>
      <c r="J245" s="440"/>
      <c r="K245" s="42">
        <f>IF(L244=SUP!$B$104,K244+1,K244)</f>
        <v>5</v>
      </c>
      <c r="L245" s="42">
        <f t="shared" si="20"/>
        <v>43</v>
      </c>
    </row>
    <row r="246" spans="1:12">
      <c r="A246" s="42" t="str">
        <f ca="1">IF(OR(LEFT(OFFSET(SUP!$A$57,L246,0),2)="\I",I246=""),"*","")</f>
        <v>*</v>
      </c>
      <c r="B246" s="440" t="str">
        <f t="shared" ca="1" si="17"/>
        <v>ACT_CUM</v>
      </c>
      <c r="C246" s="440" t="str">
        <f ca="1">OFFSET(SUP!$B$57,L246,0)</f>
        <v>PEXOGS</v>
      </c>
      <c r="D246" s="440" t="str">
        <f ca="1">IF($A246="*","",IF(LEFT($B246,3)="TOP",OFFSET(SUP!$D$57,$L246,0),"-"))</f>
        <v/>
      </c>
      <c r="E246" s="440" t="str">
        <f ca="1">IF($A246="*","",IF($B246="PRC_ACTUNT",OFFSET(SUP!$B$57,$L246,SUMIF($B$9:$B$11,$B246,$M$9:$M$11)),"-"))</f>
        <v/>
      </c>
      <c r="F246" s="440" t="str">
        <f t="shared" ca="1" si="18"/>
        <v>BOH</v>
      </c>
      <c r="G246" s="440" t="str">
        <f t="shared" ca="1" si="19"/>
        <v/>
      </c>
      <c r="H246" s="440" t="str">
        <f ca="1">IF($A246="*","",IF($B246="PRC_NOFF",OFFSET(SUP!$B$57,$L246,SUMIF($B$9:$B$12,$B246,$M$9:$M$12))-1,OFFSET(H$8,K246,0)))</f>
        <v/>
      </c>
      <c r="I246" s="440" t="str">
        <f ca="1">IF(LEFT(VLOOKUP("*#"&amp;K246,$A$9:$I$13,I$6,0),1)="#",OFFSET(SUP!$B$57,$L246,SUMIF($A$9:$A$13,"*#"&amp;$K246,$M$9:$M$13)),1)</f>
        <v/>
      </c>
      <c r="J246" s="440"/>
      <c r="K246" s="42">
        <f>IF(L245=SUP!$B$104,K245+1,K245)</f>
        <v>5</v>
      </c>
      <c r="L246" s="42">
        <f t="shared" si="20"/>
        <v>44</v>
      </c>
    </row>
    <row r="247" spans="1:12">
      <c r="A247" s="42" t="str">
        <f ca="1">IF(OR(LEFT(OFFSET(SUP!$A$57,L247,0),2)="\I",I247=""),"*","")</f>
        <v>*</v>
      </c>
      <c r="B247" s="440" t="str">
        <f t="shared" ca="1" si="17"/>
        <v>ACT_CUM</v>
      </c>
      <c r="C247" s="440" t="str">
        <f ca="1">OFFSET(SUP!$B$57,L247,0)</f>
        <v>PEXOHF</v>
      </c>
      <c r="D247" s="440" t="str">
        <f ca="1">IF($A247="*","",IF(LEFT($B247,3)="TOP",OFFSET(SUP!$D$57,$L247,0),"-"))</f>
        <v/>
      </c>
      <c r="E247" s="440" t="str">
        <f ca="1">IF($A247="*","",IF($B247="PRC_ACTUNT",OFFSET(SUP!$B$57,$L247,SUMIF($B$9:$B$11,$B247,$M$9:$M$11)),"-"))</f>
        <v/>
      </c>
      <c r="F247" s="440" t="str">
        <f t="shared" ca="1" si="18"/>
        <v>BOH</v>
      </c>
      <c r="G247" s="440" t="str">
        <f t="shared" ca="1" si="19"/>
        <v/>
      </c>
      <c r="H247" s="440" t="str">
        <f ca="1">IF($A247="*","",IF($B247="PRC_NOFF",OFFSET(SUP!$B$57,$L247,SUMIF($B$9:$B$12,$B247,$M$9:$M$12))-1,OFFSET(H$8,K247,0)))</f>
        <v/>
      </c>
      <c r="I247" s="440" t="str">
        <f ca="1">IF(LEFT(VLOOKUP("*#"&amp;K247,$A$9:$I$13,I$6,0),1)="#",OFFSET(SUP!$B$57,$L247,SUMIF($A$9:$A$13,"*#"&amp;$K247,$M$9:$M$13)),1)</f>
        <v/>
      </c>
      <c r="J247" s="440"/>
      <c r="K247" s="42">
        <f>IF(L246=SUP!$B$104,K246+1,K246)</f>
        <v>5</v>
      </c>
      <c r="L247" s="42">
        <f t="shared" si="20"/>
        <v>45</v>
      </c>
    </row>
    <row r="248" spans="1:12">
      <c r="A248" s="42" t="str">
        <f ca="1">IF(OR(LEFT(OFFSET(SUP!$A$57,L248,0),2)="\I",I248=""),"*","")</f>
        <v>*</v>
      </c>
      <c r="B248" s="440" t="str">
        <f t="shared" ca="1" si="17"/>
        <v>ACT_CUM</v>
      </c>
      <c r="C248" s="440" t="str">
        <f ca="1">OFFSET(SUP!$B$57,L248,0)</f>
        <v>PEXOKE</v>
      </c>
      <c r="D248" s="440" t="str">
        <f ca="1">IF($A248="*","",IF(LEFT($B248,3)="TOP",OFFSET(SUP!$D$57,$L248,0),"-"))</f>
        <v/>
      </c>
      <c r="E248" s="440" t="str">
        <f ca="1">IF($A248="*","",IF($B248="PRC_ACTUNT",OFFSET(SUP!$B$57,$L248,SUMIF($B$9:$B$11,$B248,$M$9:$M$11)),"-"))</f>
        <v/>
      </c>
      <c r="F248" s="440" t="str">
        <f t="shared" ca="1" si="18"/>
        <v>BOH</v>
      </c>
      <c r="G248" s="440" t="str">
        <f t="shared" ca="1" si="19"/>
        <v/>
      </c>
      <c r="H248" s="440" t="str">
        <f ca="1">IF($A248="*","",IF($B248="PRC_NOFF",OFFSET(SUP!$B$57,$L248,SUMIF($B$9:$B$12,$B248,$M$9:$M$12))-1,OFFSET(H$8,K248,0)))</f>
        <v/>
      </c>
      <c r="I248" s="440" t="str">
        <f ca="1">IF(LEFT(VLOOKUP("*#"&amp;K248,$A$9:$I$13,I$6,0),1)="#",OFFSET(SUP!$B$57,$L248,SUMIF($A$9:$A$13,"*#"&amp;$K248,$M$9:$M$13)),1)</f>
        <v/>
      </c>
      <c r="J248" s="440"/>
      <c r="K248" s="42">
        <f>IF(L247=SUP!$B$104,K247+1,K247)</f>
        <v>5</v>
      </c>
      <c r="L248" s="42">
        <f t="shared" si="20"/>
        <v>46</v>
      </c>
    </row>
    <row r="249" spans="1:12">
      <c r="A249" s="42" t="str">
        <f ca="1">IF(OR(LEFT(OFFSET(SUP!$A$57,L249,0),2)="\I",I249=""),"*","")</f>
        <v>*</v>
      </c>
      <c r="B249" s="440" t="str">
        <f t="shared" ca="1" si="17"/>
        <v>ACT_CUM</v>
      </c>
      <c r="C249" s="440">
        <f ca="1">OFFSET(SUP!$B$57,L249,0)</f>
        <v>47</v>
      </c>
      <c r="D249" s="440" t="str">
        <f ca="1">IF($A249="*","",IF(LEFT($B249,3)="TOP",OFFSET(SUP!$D$57,$L249,0),"-"))</f>
        <v/>
      </c>
      <c r="E249" s="440" t="str">
        <f ca="1">IF($A249="*","",IF($B249="PRC_ACTUNT",OFFSET(SUP!$B$57,$L249,SUMIF($B$9:$B$11,$B249,$M$9:$M$11)),"-"))</f>
        <v/>
      </c>
      <c r="F249" s="440" t="str">
        <f t="shared" ca="1" si="18"/>
        <v>BOH</v>
      </c>
      <c r="G249" s="440" t="str">
        <f t="shared" ca="1" si="19"/>
        <v/>
      </c>
      <c r="H249" s="440" t="str">
        <f ca="1">IF($A249="*","",IF($B249="PRC_NOFF",OFFSET(SUP!$B$57,$L249,SUMIF($B$9:$B$12,$B249,$M$9:$M$12))-1,OFFSET(H$8,K249,0)))</f>
        <v/>
      </c>
      <c r="I249" s="440">
        <f ca="1">IF(LEFT(VLOOKUP("*#"&amp;K249,$A$9:$I$13,I$6,0),1)="#",OFFSET(SUP!$B$57,$L249,SUMIF($A$9:$A$13,"*#"&amp;$K249,$M$9:$M$13)),1)</f>
        <v>0</v>
      </c>
      <c r="J249" s="440"/>
      <c r="K249" s="42">
        <f>IF(L248=SUP!$B$104,K248+1,K248)</f>
        <v>5</v>
      </c>
      <c r="L249" s="42">
        <f t="shared" si="20"/>
        <v>47</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614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6145" r:id="rId4" name="cmdCheckTIDDataSheet"/>
      </mc:Fallback>
    </mc:AlternateContent>
    <mc:AlternateContent xmlns:mc="http://schemas.openxmlformats.org/markup-compatibility/2006">
      <mc:Choice Requires="x14">
        <control shapeId="614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6146" r:id="rId6" name="cmdSpecifyParameter"/>
      </mc:Fallback>
    </mc:AlternateContent>
    <mc:AlternateContent xmlns:mc="http://schemas.openxmlformats.org/markup-compatibility/2006">
      <mc:Choice Requires="x14">
        <control shapeId="614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6147" r:id="rId8" name="cmdSpecifyArg1"/>
      </mc:Fallback>
    </mc:AlternateContent>
    <mc:AlternateContent xmlns:mc="http://schemas.openxmlformats.org/markup-compatibility/2006">
      <mc:Choice Requires="x14">
        <control shapeId="614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6148" r:id="rId10" name="cmdSpecifyArg2"/>
      </mc:Fallback>
    </mc:AlternateContent>
    <mc:AlternateContent xmlns:mc="http://schemas.openxmlformats.org/markup-compatibility/2006">
      <mc:Choice Requires="x14">
        <control shapeId="614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6149" r:id="rId12" name="cmdSpecifyArg3"/>
      </mc:Fallback>
    </mc:AlternateContent>
    <mc:AlternateContent xmlns:mc="http://schemas.openxmlformats.org/markup-compatibility/2006">
      <mc:Choice Requires="x14">
        <control shapeId="615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6150" r:id="rId14" name="cmdSpecifyArg4"/>
      </mc:Fallback>
    </mc:AlternateContent>
    <mc:AlternateContent xmlns:mc="http://schemas.openxmlformats.org/markup-compatibility/2006">
      <mc:Choice Requires="x14">
        <control shapeId="615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6151" r:id="rId16" name="cmdSpecifyArg5"/>
      </mc:Fallback>
    </mc:AlternateContent>
    <mc:AlternateContent xmlns:mc="http://schemas.openxmlformats.org/markup-compatibility/2006">
      <mc:Choice Requires="x14">
        <control shapeId="615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6152" r:id="rId18" name="cmdSpecifyArg6"/>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P56"/>
  <sheetViews>
    <sheetView topLeftCell="A11" workbookViewId="0">
      <selection activeCell="B48" sqref="B48:F48"/>
    </sheetView>
  </sheetViews>
  <sheetFormatPr defaultColWidth="11.42578125" defaultRowHeight="11.25"/>
  <cols>
    <col min="1" max="1" width="12.42578125" style="42" customWidth="1"/>
    <col min="2" max="2" width="11.42578125" style="42" customWidth="1"/>
    <col min="3" max="3" width="11" style="42" customWidth="1"/>
    <col min="4" max="4" width="41" style="42" customWidth="1"/>
    <col min="5" max="5" width="10.28515625" style="42" customWidth="1"/>
    <col min="6" max="6" width="28.7109375" style="42" customWidth="1"/>
    <col min="7" max="16384" width="11.42578125" style="42"/>
  </cols>
  <sheetData>
    <row r="1" spans="1:16">
      <c r="A1" s="41" t="str">
        <f>IF(Index!B8=0,"ITEMS","")</f>
        <v>ITEMS</v>
      </c>
      <c r="B1" s="42" t="s">
        <v>308</v>
      </c>
      <c r="H1" s="42" t="s">
        <v>350</v>
      </c>
    </row>
    <row r="2" spans="1:16">
      <c r="A2" s="42" t="s">
        <v>310</v>
      </c>
    </row>
    <row r="3" spans="1:16" ht="18.75" customHeight="1">
      <c r="A3" s="42" t="s">
        <v>310</v>
      </c>
    </row>
    <row r="4" spans="1:16">
      <c r="A4" s="42" t="s">
        <v>310</v>
      </c>
    </row>
    <row r="5" spans="1:16">
      <c r="A5" s="42" t="s">
        <v>310</v>
      </c>
    </row>
    <row r="6" spans="1:16" s="526" customFormat="1">
      <c r="A6" s="422" t="s">
        <v>310</v>
      </c>
      <c r="B6" s="422"/>
      <c r="D6" s="422"/>
      <c r="E6" s="422"/>
      <c r="F6" s="422"/>
      <c r="G6" s="422"/>
      <c r="H6" s="422"/>
      <c r="M6" s="526" t="s">
        <v>14572</v>
      </c>
    </row>
    <row r="7" spans="1:16" s="526" customFormat="1">
      <c r="A7" s="422" t="s">
        <v>310</v>
      </c>
      <c r="B7" s="422"/>
      <c r="D7" s="422"/>
      <c r="E7" s="422"/>
      <c r="F7" s="422"/>
      <c r="G7" s="422"/>
      <c r="H7" s="422"/>
      <c r="L7" s="1679" t="s">
        <v>14571</v>
      </c>
      <c r="M7" s="1678" t="s">
        <v>277</v>
      </c>
      <c r="N7" s="1678" t="s">
        <v>1199</v>
      </c>
      <c r="O7" s="1677" t="s">
        <v>14569</v>
      </c>
      <c r="P7" s="1677" t="s">
        <v>14570</v>
      </c>
    </row>
    <row r="8" spans="1:16" s="526" customFormat="1">
      <c r="A8" s="422" t="s">
        <v>310</v>
      </c>
      <c r="B8" s="422"/>
      <c r="C8" s="422"/>
      <c r="D8" s="422"/>
      <c r="E8" s="422"/>
      <c r="F8" s="422"/>
      <c r="G8" s="422"/>
      <c r="H8" s="422"/>
      <c r="L8" s="526" t="s">
        <v>14575</v>
      </c>
      <c r="M8" s="526" t="s">
        <v>277</v>
      </c>
      <c r="N8" s="526" t="s">
        <v>14574</v>
      </c>
      <c r="O8" s="526" t="s">
        <v>14574</v>
      </c>
      <c r="P8" s="526" t="s">
        <v>14574</v>
      </c>
    </row>
    <row r="9" spans="1:16">
      <c r="A9" s="42" t="s">
        <v>310</v>
      </c>
    </row>
    <row r="10" spans="1:16">
      <c r="A10" s="42" t="s">
        <v>310</v>
      </c>
      <c r="B10" s="41" t="s">
        <v>311</v>
      </c>
      <c r="C10" s="161" t="s">
        <v>312</v>
      </c>
      <c r="D10" s="41" t="s">
        <v>313</v>
      </c>
      <c r="E10" s="41" t="s">
        <v>314</v>
      </c>
      <c r="F10" s="41" t="s">
        <v>315</v>
      </c>
      <c r="G10" s="41" t="s">
        <v>316</v>
      </c>
    </row>
    <row r="11" spans="1:16">
      <c r="A11" s="42" t="s">
        <v>310</v>
      </c>
      <c r="B11" s="162" t="s">
        <v>562</v>
      </c>
      <c r="E11" s="162"/>
      <c r="F11" s="162"/>
    </row>
    <row r="12" spans="1:16">
      <c r="B12" s="162" t="s">
        <v>352</v>
      </c>
      <c r="C12" s="42" t="s">
        <v>567</v>
      </c>
      <c r="D12" s="42" t="s">
        <v>563</v>
      </c>
      <c r="E12" s="162" t="s">
        <v>248</v>
      </c>
      <c r="F12" s="162" t="s">
        <v>353</v>
      </c>
    </row>
    <row r="13" spans="1:16">
      <c r="A13" s="42" t="s">
        <v>310</v>
      </c>
      <c r="B13" s="162" t="s">
        <v>1169</v>
      </c>
      <c r="E13" s="162"/>
      <c r="F13" s="162"/>
    </row>
    <row r="14" spans="1:16">
      <c r="B14" s="162" t="s">
        <v>352</v>
      </c>
      <c r="C14" s="42" t="str">
        <f>NameConv!C5</f>
        <v>BIG</v>
      </c>
      <c r="D14" s="42" t="str">
        <f>NameConv!B5</f>
        <v>Biogas</v>
      </c>
      <c r="E14" s="162" t="s">
        <v>248</v>
      </c>
      <c r="F14" s="438" t="str">
        <f>IF($L14,"COM,NRG,DAYNITE,"&amp;INDEX($M$8:$P$8,MATCH($L14,$M14:$P14,0)),"COM,NRG,ANNUAL,FOSSIL")</f>
        <v>COM,NRG,ANNUAL,FOSSIL</v>
      </c>
      <c r="H14" s="42">
        <v>1</v>
      </c>
      <c r="L14" s="526">
        <f>SUMPRODUCT(M14:P14)</f>
        <v>0</v>
      </c>
      <c r="M14" s="526">
        <f>IFERROR(IF(FIND(M$7,$C14)&gt;0,1,0),0)</f>
        <v>0</v>
      </c>
      <c r="N14" s="526">
        <f t="shared" ref="N14:P29" si="0">IFERROR(IF(FIND(N$7,$C14)&gt;0,1,0),0)</f>
        <v>0</v>
      </c>
      <c r="O14" s="526">
        <f t="shared" si="0"/>
        <v>0</v>
      </c>
      <c r="P14" s="526">
        <f>IFERROR(IF(FIND(P$7,$C14)&gt;0,1,0),0)</f>
        <v>0</v>
      </c>
    </row>
    <row r="15" spans="1:16">
      <c r="B15" s="162" t="s">
        <v>352</v>
      </c>
      <c r="C15" s="42" t="str">
        <f>NameConv!C6</f>
        <v>BIE</v>
      </c>
      <c r="D15" s="42" t="str">
        <f>NameConv!B6</f>
        <v>Bioethanol</v>
      </c>
      <c r="E15" s="162" t="s">
        <v>248</v>
      </c>
      <c r="F15" s="438" t="str">
        <f t="shared" ref="F15:F53" si="1">IF($L15,"COM,NRG,DAYNITE,"&amp;INDEX($M$8:$P$8,MATCH($L15,$M15:$P15,0)),"COM,NRG,ANNUAL,FOSSIL")</f>
        <v>COM,NRG,ANNUAL,FOSSIL</v>
      </c>
      <c r="H15" s="42">
        <f t="shared" ref="H15:H53" si="2">H14+1</f>
        <v>2</v>
      </c>
      <c r="L15" s="526">
        <f t="shared" ref="L15:L17" si="3">SUMPRODUCT(M15:P15)</f>
        <v>0</v>
      </c>
      <c r="M15" s="526">
        <f t="shared" ref="M15:P30" si="4">IFERROR(IF(FIND(M$7,$C15)&gt;0,1,0),0)</f>
        <v>0</v>
      </c>
      <c r="N15" s="526">
        <f t="shared" si="0"/>
        <v>0</v>
      </c>
      <c r="O15" s="526">
        <f t="shared" si="0"/>
        <v>0</v>
      </c>
      <c r="P15" s="526">
        <f t="shared" si="0"/>
        <v>0</v>
      </c>
    </row>
    <row r="16" spans="1:16">
      <c r="B16" s="162" t="s">
        <v>352</v>
      </c>
      <c r="C16" s="42" t="str">
        <f>NameConv!C7</f>
        <v>BID</v>
      </c>
      <c r="D16" s="42" t="str">
        <f>NameConv!B7</f>
        <v>Biodiesel</v>
      </c>
      <c r="E16" s="162" t="s">
        <v>248</v>
      </c>
      <c r="F16" s="438" t="str">
        <f t="shared" si="1"/>
        <v>COM,NRG,ANNUAL,FOSSIL</v>
      </c>
      <c r="H16" s="42">
        <f t="shared" si="2"/>
        <v>3</v>
      </c>
      <c r="L16" s="526">
        <f t="shared" si="3"/>
        <v>0</v>
      </c>
      <c r="M16" s="526">
        <f>IFERROR(IF(FIND(M$7,$C16)&gt;0,1,0),0)</f>
        <v>0</v>
      </c>
      <c r="N16" s="526">
        <f t="shared" si="0"/>
        <v>0</v>
      </c>
      <c r="O16" s="526">
        <f t="shared" si="0"/>
        <v>0</v>
      </c>
      <c r="P16" s="526">
        <f t="shared" si="0"/>
        <v>0</v>
      </c>
    </row>
    <row r="17" spans="2:16">
      <c r="B17" s="162" t="s">
        <v>352</v>
      </c>
      <c r="C17" s="42" t="str">
        <f>NameConv!C8</f>
        <v>BIB</v>
      </c>
      <c r="D17" s="42" t="str">
        <f>NameConv!B8</f>
        <v>Biomass bagasse</v>
      </c>
      <c r="E17" s="162" t="s">
        <v>248</v>
      </c>
      <c r="F17" s="438" t="str">
        <f t="shared" si="1"/>
        <v>COM,NRG,ANNUAL,FOSSIL</v>
      </c>
      <c r="H17" s="42">
        <f t="shared" si="2"/>
        <v>4</v>
      </c>
      <c r="L17" s="526">
        <f t="shared" si="3"/>
        <v>0</v>
      </c>
      <c r="M17" s="526">
        <f t="shared" ref="M17" si="5">IFERROR(IF(FIND(M$7,$C17)&gt;0,1,0),0)</f>
        <v>0</v>
      </c>
      <c r="N17" s="526">
        <f t="shared" si="0"/>
        <v>0</v>
      </c>
      <c r="O17" s="526">
        <f t="shared" si="0"/>
        <v>0</v>
      </c>
      <c r="P17" s="526">
        <f t="shared" si="0"/>
        <v>0</v>
      </c>
    </row>
    <row r="18" spans="2:16">
      <c r="B18" s="162" t="s">
        <v>352</v>
      </c>
      <c r="C18" s="42" t="str">
        <f>NameConv!C9</f>
        <v>BIO</v>
      </c>
      <c r="D18" s="42" t="str">
        <f>NameConv!B9</f>
        <v>Biomass Other</v>
      </c>
      <c r="E18" s="162" t="s">
        <v>248</v>
      </c>
      <c r="F18" s="438" t="str">
        <f t="shared" si="1"/>
        <v>COM,NRG,ANNUAL,FOSSIL</v>
      </c>
      <c r="H18" s="42">
        <f t="shared" si="2"/>
        <v>5</v>
      </c>
      <c r="L18" s="526">
        <f t="shared" ref="L18:L53" si="6">SUMPRODUCT(M18:P18)</f>
        <v>0</v>
      </c>
      <c r="M18" s="526">
        <f t="shared" si="4"/>
        <v>0</v>
      </c>
      <c r="N18" s="526">
        <f t="shared" si="0"/>
        <v>0</v>
      </c>
      <c r="O18" s="526">
        <f t="shared" si="0"/>
        <v>0</v>
      </c>
      <c r="P18" s="526">
        <f t="shared" si="0"/>
        <v>0</v>
      </c>
    </row>
    <row r="19" spans="2:16">
      <c r="B19" s="162" t="s">
        <v>352</v>
      </c>
      <c r="C19" s="42" t="str">
        <f>NameConv!C10</f>
        <v>BIW</v>
      </c>
      <c r="D19" s="42" t="str">
        <f>NameConv!B10</f>
        <v>Biomass Wood</v>
      </c>
      <c r="E19" s="162" t="s">
        <v>248</v>
      </c>
      <c r="F19" s="438" t="str">
        <f t="shared" si="1"/>
        <v>COM,NRG,ANNUAL,FOSSIL</v>
      </c>
      <c r="H19" s="42">
        <f t="shared" si="2"/>
        <v>6</v>
      </c>
      <c r="L19" s="526">
        <f t="shared" si="6"/>
        <v>0</v>
      </c>
      <c r="M19" s="526">
        <f t="shared" si="4"/>
        <v>0</v>
      </c>
      <c r="N19" s="526">
        <f t="shared" si="0"/>
        <v>0</v>
      </c>
      <c r="O19" s="526">
        <f t="shared" si="0"/>
        <v>0</v>
      </c>
      <c r="P19" s="526">
        <f t="shared" si="0"/>
        <v>0</v>
      </c>
    </row>
    <row r="20" spans="2:16">
      <c r="B20" s="162" t="s">
        <v>352</v>
      </c>
      <c r="C20" s="42" t="str">
        <f>NameConv!C11</f>
        <v>COA</v>
      </c>
      <c r="D20" s="42" t="str">
        <f>NameConv!B11</f>
        <v>Coal</v>
      </c>
      <c r="E20" s="162" t="s">
        <v>248</v>
      </c>
      <c r="F20" s="438" t="str">
        <f t="shared" si="1"/>
        <v>COM,NRG,ANNUAL,FOSSIL</v>
      </c>
      <c r="H20" s="42">
        <f t="shared" si="2"/>
        <v>7</v>
      </c>
      <c r="L20" s="526">
        <f t="shared" si="6"/>
        <v>0</v>
      </c>
      <c r="M20" s="526">
        <f t="shared" si="4"/>
        <v>0</v>
      </c>
      <c r="N20" s="526">
        <f t="shared" si="0"/>
        <v>0</v>
      </c>
      <c r="O20" s="526">
        <f t="shared" si="0"/>
        <v>0</v>
      </c>
      <c r="P20" s="526">
        <f t="shared" si="0"/>
        <v>0</v>
      </c>
    </row>
    <row r="21" spans="2:16">
      <c r="B21" s="162" t="s">
        <v>352</v>
      </c>
      <c r="C21" s="42" t="str">
        <f>NameConv!C12</f>
        <v>COK</v>
      </c>
      <c r="D21" s="42" t="str">
        <f>NameConv!B12</f>
        <v>Coal Coking</v>
      </c>
      <c r="E21" s="162" t="s">
        <v>248</v>
      </c>
      <c r="F21" s="438" t="str">
        <f t="shared" si="1"/>
        <v>COM,NRG,ANNUAL,FOSSIL</v>
      </c>
      <c r="H21" s="42">
        <f t="shared" si="2"/>
        <v>8</v>
      </c>
      <c r="L21" s="526">
        <f t="shared" si="6"/>
        <v>0</v>
      </c>
      <c r="M21" s="526">
        <f t="shared" si="4"/>
        <v>0</v>
      </c>
      <c r="N21" s="526">
        <f t="shared" si="0"/>
        <v>0</v>
      </c>
      <c r="O21" s="526">
        <f t="shared" si="0"/>
        <v>0</v>
      </c>
      <c r="P21" s="526">
        <f t="shared" si="0"/>
        <v>0</v>
      </c>
    </row>
    <row r="22" spans="2:16">
      <c r="B22" s="162" t="s">
        <v>352</v>
      </c>
      <c r="C22" s="42" t="str">
        <f>NameConv!C13</f>
        <v>CLD</v>
      </c>
      <c r="D22" s="42" t="str">
        <f>NameConv!B13</f>
        <v>Coal Discard</v>
      </c>
      <c r="E22" s="162" t="s">
        <v>248</v>
      </c>
      <c r="F22" s="438" t="str">
        <f t="shared" si="1"/>
        <v>COM,NRG,ANNUAL,FOSSIL</v>
      </c>
      <c r="H22" s="42">
        <f t="shared" si="2"/>
        <v>9</v>
      </c>
      <c r="L22" s="526">
        <f t="shared" si="6"/>
        <v>0</v>
      </c>
      <c r="M22" s="526">
        <f t="shared" si="4"/>
        <v>0</v>
      </c>
      <c r="N22" s="526">
        <f t="shared" si="0"/>
        <v>0</v>
      </c>
      <c r="O22" s="526">
        <f t="shared" si="0"/>
        <v>0</v>
      </c>
      <c r="P22" s="526">
        <f t="shared" si="0"/>
        <v>0</v>
      </c>
    </row>
    <row r="23" spans="2:16">
      <c r="B23" s="162" t="s">
        <v>352</v>
      </c>
      <c r="C23" s="42" t="str">
        <f>NameConv!C14</f>
        <v>CLE</v>
      </c>
      <c r="D23" s="42" t="str">
        <f>NameConv!B14</f>
        <v>Coal low grade</v>
      </c>
      <c r="E23" s="162" t="s">
        <v>248</v>
      </c>
      <c r="F23" s="438" t="str">
        <f t="shared" si="1"/>
        <v>COM,NRG,ANNUAL,FOSSIL</v>
      </c>
      <c r="H23" s="42">
        <f t="shared" si="2"/>
        <v>10</v>
      </c>
      <c r="L23" s="526">
        <f t="shared" si="6"/>
        <v>0</v>
      </c>
      <c r="M23" s="526">
        <f t="shared" si="4"/>
        <v>0</v>
      </c>
      <c r="N23" s="526">
        <f t="shared" si="0"/>
        <v>0</v>
      </c>
      <c r="O23" s="526">
        <f t="shared" si="0"/>
        <v>0</v>
      </c>
      <c r="P23" s="526">
        <f t="shared" si="0"/>
        <v>0</v>
      </c>
    </row>
    <row r="24" spans="2:16">
      <c r="B24" s="162" t="s">
        <v>352</v>
      </c>
      <c r="C24" s="42" t="str">
        <f>NameConv!C15</f>
        <v>CRB</v>
      </c>
      <c r="D24" s="42" t="str">
        <f>NameConv!B15</f>
        <v>Coal for plants in Botswana</v>
      </c>
      <c r="E24" s="162" t="s">
        <v>248</v>
      </c>
      <c r="F24" s="438" t="str">
        <f t="shared" si="1"/>
        <v>COM,NRG,ANNUAL,FOSSIL</v>
      </c>
      <c r="H24" s="42">
        <f t="shared" si="2"/>
        <v>11</v>
      </c>
      <c r="L24" s="526">
        <f t="shared" si="6"/>
        <v>0</v>
      </c>
      <c r="M24" s="526">
        <f t="shared" si="4"/>
        <v>0</v>
      </c>
      <c r="N24" s="526">
        <f t="shared" si="0"/>
        <v>0</v>
      </c>
      <c r="O24" s="526">
        <f t="shared" si="0"/>
        <v>0</v>
      </c>
      <c r="P24" s="526">
        <f t="shared" si="0"/>
        <v>0</v>
      </c>
    </row>
    <row r="25" spans="2:16">
      <c r="B25" s="438" t="s">
        <v>352</v>
      </c>
      <c r="C25" s="42" t="str">
        <f>NameConv!C16</f>
        <v>ELC</v>
      </c>
      <c r="D25" s="42" t="str">
        <f>NameConv!B16</f>
        <v>Electricity</v>
      </c>
      <c r="E25" s="438" t="s">
        <v>248</v>
      </c>
      <c r="F25" s="438" t="str">
        <f t="shared" si="1"/>
        <v>COM,NRG,DAYNITE,ELC</v>
      </c>
      <c r="H25" s="42">
        <f t="shared" si="2"/>
        <v>12</v>
      </c>
      <c r="L25" s="526">
        <f t="shared" si="6"/>
        <v>1</v>
      </c>
      <c r="M25" s="526">
        <f t="shared" si="4"/>
        <v>1</v>
      </c>
      <c r="N25" s="526">
        <f t="shared" si="0"/>
        <v>0</v>
      </c>
      <c r="O25" s="526">
        <f t="shared" si="0"/>
        <v>0</v>
      </c>
      <c r="P25" s="526">
        <f t="shared" si="0"/>
        <v>0</v>
      </c>
    </row>
    <row r="26" spans="2:16">
      <c r="B26" s="438" t="s">
        <v>352</v>
      </c>
      <c r="C26" s="42" t="str">
        <f>NameConv!C17</f>
        <v>ELCC</v>
      </c>
      <c r="D26" s="42" t="str">
        <f>NameConv!B17</f>
        <v>Electricity Upstream Transmission</v>
      </c>
      <c r="E26" s="438" t="s">
        <v>248</v>
      </c>
      <c r="F26" s="438" t="str">
        <f t="shared" si="1"/>
        <v>COM,NRG,DAYNITE,ELC</v>
      </c>
      <c r="H26" s="42">
        <f t="shared" si="2"/>
        <v>13</v>
      </c>
      <c r="L26" s="526">
        <f t="shared" si="6"/>
        <v>1</v>
      </c>
      <c r="M26" s="526">
        <f t="shared" si="4"/>
        <v>1</v>
      </c>
      <c r="N26" s="526">
        <f t="shared" si="0"/>
        <v>0</v>
      </c>
      <c r="O26" s="526">
        <f t="shared" si="0"/>
        <v>0</v>
      </c>
      <c r="P26" s="526">
        <f t="shared" si="0"/>
        <v>0</v>
      </c>
    </row>
    <row r="27" spans="2:16">
      <c r="B27" s="438" t="s">
        <v>352</v>
      </c>
      <c r="C27" s="42" t="str">
        <f>NameConv!C18</f>
        <v>GAS</v>
      </c>
      <c r="D27" s="42" t="str">
        <f>NameConv!B18</f>
        <v>Gas South Africa</v>
      </c>
      <c r="E27" s="438" t="s">
        <v>248</v>
      </c>
      <c r="F27" s="438" t="str">
        <f>IF($L27,"COM,NRG,DAYNITE,"&amp;INDEX($M$8:$P$8,MATCH($L27,$M27:$P27,0)),"COM,NRG,ANNUAL,FOSSIL")</f>
        <v>COM,NRG,ANNUAL,FOSSIL</v>
      </c>
      <c r="H27" s="42">
        <f t="shared" si="2"/>
        <v>14</v>
      </c>
      <c r="L27" s="526">
        <f t="shared" si="6"/>
        <v>0</v>
      </c>
      <c r="M27" s="526">
        <f t="shared" si="4"/>
        <v>0</v>
      </c>
      <c r="N27" s="526">
        <f t="shared" si="0"/>
        <v>0</v>
      </c>
      <c r="O27" s="526">
        <f t="shared" si="0"/>
        <v>0</v>
      </c>
      <c r="P27" s="526">
        <f t="shared" si="0"/>
        <v>0</v>
      </c>
    </row>
    <row r="28" spans="2:16">
      <c r="B28" s="438" t="s">
        <v>352</v>
      </c>
      <c r="C28" s="42" t="str">
        <f>NameConv!C19</f>
        <v>GRS</v>
      </c>
      <c r="D28" s="42" t="str">
        <f>NameConv!B19</f>
        <v>Gas Southern Mozambique</v>
      </c>
      <c r="E28" s="438" t="s">
        <v>248</v>
      </c>
      <c r="F28" s="438" t="str">
        <f t="shared" si="1"/>
        <v>COM,NRG,ANNUAL,FOSSIL</v>
      </c>
      <c r="H28" s="42">
        <f t="shared" si="2"/>
        <v>15</v>
      </c>
      <c r="L28" s="526">
        <f t="shared" si="6"/>
        <v>0</v>
      </c>
      <c r="M28" s="526">
        <f t="shared" si="4"/>
        <v>0</v>
      </c>
      <c r="N28" s="526">
        <f t="shared" si="0"/>
        <v>0</v>
      </c>
      <c r="O28" s="526">
        <f t="shared" si="0"/>
        <v>0</v>
      </c>
      <c r="P28" s="526">
        <f t="shared" si="0"/>
        <v>0</v>
      </c>
    </row>
    <row r="29" spans="2:16">
      <c r="B29" s="438" t="s">
        <v>352</v>
      </c>
      <c r="C29" s="42" t="str">
        <f>NameConv!C20</f>
        <v>GRN</v>
      </c>
      <c r="D29" s="42" t="str">
        <f>NameConv!B20</f>
        <v>Gas Namibia</v>
      </c>
      <c r="E29" s="438" t="s">
        <v>248</v>
      </c>
      <c r="F29" s="438" t="str">
        <f t="shared" si="1"/>
        <v>COM,NRG,ANNUAL,FOSSIL</v>
      </c>
      <c r="H29" s="42">
        <f t="shared" si="2"/>
        <v>16</v>
      </c>
      <c r="L29" s="526">
        <f t="shared" si="6"/>
        <v>0</v>
      </c>
      <c r="M29" s="526">
        <f t="shared" si="4"/>
        <v>0</v>
      </c>
      <c r="N29" s="526">
        <f t="shared" si="0"/>
        <v>0</v>
      </c>
      <c r="O29" s="526">
        <f t="shared" si="0"/>
        <v>0</v>
      </c>
      <c r="P29" s="526">
        <f t="shared" si="0"/>
        <v>0</v>
      </c>
    </row>
    <row r="30" spans="2:16">
      <c r="B30" s="438" t="s">
        <v>352</v>
      </c>
      <c r="C30" s="42" t="str">
        <f>NameConv!C21</f>
        <v>GRL</v>
      </c>
      <c r="D30" s="42" t="str">
        <f>NameConv!B21</f>
        <v>Gas Regional LNG</v>
      </c>
      <c r="E30" s="438" t="s">
        <v>248</v>
      </c>
      <c r="F30" s="438" t="str">
        <f t="shared" si="1"/>
        <v>COM,NRG,ANNUAL,FOSSIL</v>
      </c>
      <c r="H30" s="42">
        <f t="shared" si="2"/>
        <v>17</v>
      </c>
      <c r="L30" s="526">
        <f t="shared" si="6"/>
        <v>0</v>
      </c>
      <c r="M30" s="526">
        <f t="shared" si="4"/>
        <v>0</v>
      </c>
      <c r="N30" s="526">
        <f t="shared" si="4"/>
        <v>0</v>
      </c>
      <c r="O30" s="526">
        <f t="shared" si="4"/>
        <v>0</v>
      </c>
      <c r="P30" s="526">
        <f t="shared" si="4"/>
        <v>0</v>
      </c>
    </row>
    <row r="31" spans="2:16">
      <c r="B31" s="438" t="s">
        <v>352</v>
      </c>
      <c r="C31" s="42" t="str">
        <f>NameConv!C22</f>
        <v>GWL</v>
      </c>
      <c r="D31" s="42" t="str">
        <f>NameConv!B22</f>
        <v>Gas International LNG</v>
      </c>
      <c r="E31" s="438" t="s">
        <v>248</v>
      </c>
      <c r="F31" s="438" t="str">
        <f t="shared" si="1"/>
        <v>COM,NRG,ANNUAL,FOSSIL</v>
      </c>
      <c r="H31" s="42">
        <f t="shared" si="2"/>
        <v>18</v>
      </c>
      <c r="L31" s="526">
        <f t="shared" si="6"/>
        <v>0</v>
      </c>
      <c r="M31" s="526">
        <f t="shared" ref="M31:P53" si="7">IFERROR(IF(FIND(M$7,$C31)&gt;0,1,0),0)</f>
        <v>0</v>
      </c>
      <c r="N31" s="526">
        <f t="shared" si="7"/>
        <v>0</v>
      </c>
      <c r="O31" s="526">
        <f t="shared" si="7"/>
        <v>0</v>
      </c>
      <c r="P31" s="526">
        <f t="shared" si="7"/>
        <v>0</v>
      </c>
    </row>
    <row r="32" spans="2:16">
      <c r="B32" s="438" t="s">
        <v>352</v>
      </c>
      <c r="C32" s="42" t="str">
        <f>NameConv!C23</f>
        <v>GRM</v>
      </c>
      <c r="D32" s="42" t="str">
        <f>NameConv!B23</f>
        <v>Gas Northern Mozambique</v>
      </c>
      <c r="E32" s="438" t="s">
        <v>248</v>
      </c>
      <c r="F32" s="438" t="str">
        <f t="shared" si="1"/>
        <v>COM,NRG,ANNUAL,FOSSIL</v>
      </c>
      <c r="H32" s="42">
        <f t="shared" si="2"/>
        <v>19</v>
      </c>
      <c r="L32" s="526">
        <f t="shared" si="6"/>
        <v>0</v>
      </c>
      <c r="M32" s="526">
        <f t="shared" si="7"/>
        <v>0</v>
      </c>
      <c r="N32" s="526">
        <f t="shared" si="7"/>
        <v>0</v>
      </c>
      <c r="O32" s="526">
        <f t="shared" si="7"/>
        <v>0</v>
      </c>
      <c r="P32" s="526">
        <f t="shared" si="7"/>
        <v>0</v>
      </c>
    </row>
    <row r="33" spans="2:16">
      <c r="B33" s="438" t="s">
        <v>352</v>
      </c>
      <c r="C33" s="42" t="str">
        <f>NameConv!C24</f>
        <v>GIB</v>
      </c>
      <c r="D33" s="42" t="str">
        <f>NameConv!B24</f>
        <v>Gas Indigenous Ibhubezi</v>
      </c>
      <c r="E33" s="438" t="s">
        <v>248</v>
      </c>
      <c r="F33" s="438" t="str">
        <f t="shared" si="1"/>
        <v>COM,NRG,ANNUAL,FOSSIL</v>
      </c>
      <c r="H33" s="42">
        <f t="shared" si="2"/>
        <v>20</v>
      </c>
      <c r="L33" s="526">
        <f t="shared" si="6"/>
        <v>0</v>
      </c>
      <c r="M33" s="526">
        <f t="shared" si="7"/>
        <v>0</v>
      </c>
      <c r="N33" s="526">
        <f t="shared" si="7"/>
        <v>0</v>
      </c>
      <c r="O33" s="526">
        <f t="shared" si="7"/>
        <v>0</v>
      </c>
      <c r="P33" s="526">
        <f t="shared" si="7"/>
        <v>0</v>
      </c>
    </row>
    <row r="34" spans="2:16">
      <c r="B34" s="438" t="s">
        <v>352</v>
      </c>
      <c r="C34" s="42" t="str">
        <f>NameConv!C25</f>
        <v>GIH</v>
      </c>
      <c r="D34" s="42" t="str">
        <f>NameConv!B25</f>
        <v>Gas Indigenous Shale</v>
      </c>
      <c r="E34" s="438" t="s">
        <v>248</v>
      </c>
      <c r="F34" s="438" t="str">
        <f t="shared" si="1"/>
        <v>COM,NRG,ANNUAL,FOSSIL</v>
      </c>
      <c r="H34" s="42">
        <f t="shared" si="2"/>
        <v>21</v>
      </c>
      <c r="L34" s="526">
        <f t="shared" si="6"/>
        <v>0</v>
      </c>
      <c r="M34" s="526">
        <f t="shared" si="7"/>
        <v>0</v>
      </c>
      <c r="N34" s="526">
        <f t="shared" si="7"/>
        <v>0</v>
      </c>
      <c r="O34" s="526">
        <f t="shared" si="7"/>
        <v>0</v>
      </c>
      <c r="P34" s="526">
        <f t="shared" si="7"/>
        <v>0</v>
      </c>
    </row>
    <row r="35" spans="2:16">
      <c r="B35" s="438" t="s">
        <v>352</v>
      </c>
      <c r="C35" s="42" t="str">
        <f>NameConv!C26</f>
        <v>GIC</v>
      </c>
      <c r="D35" s="42" t="str">
        <f>NameConv!B26</f>
        <v>Coastal Gas</v>
      </c>
      <c r="E35" s="438" t="s">
        <v>248</v>
      </c>
      <c r="F35" s="438" t="str">
        <f t="shared" si="1"/>
        <v>COM,NRG,ANNUAL,FOSSIL</v>
      </c>
      <c r="H35" s="42">
        <f t="shared" si="2"/>
        <v>22</v>
      </c>
      <c r="L35" s="526">
        <f t="shared" si="6"/>
        <v>0</v>
      </c>
      <c r="M35" s="526">
        <f t="shared" si="7"/>
        <v>0</v>
      </c>
      <c r="N35" s="526">
        <f t="shared" si="7"/>
        <v>0</v>
      </c>
      <c r="O35" s="526">
        <f t="shared" si="7"/>
        <v>0</v>
      </c>
      <c r="P35" s="526">
        <f t="shared" si="7"/>
        <v>0</v>
      </c>
    </row>
    <row r="36" spans="2:16">
      <c r="B36" s="438" t="s">
        <v>352</v>
      </c>
      <c r="C36" s="42" t="str">
        <f>NameConv!C27</f>
        <v>GIM</v>
      </c>
      <c r="D36" s="42" t="str">
        <f>NameConv!B27</f>
        <v>Gas Methane Rich</v>
      </c>
      <c r="E36" s="438" t="s">
        <v>248</v>
      </c>
      <c r="F36" s="438" t="str">
        <f t="shared" si="1"/>
        <v>COM,NRG,ANNUAL,FOSSIL</v>
      </c>
      <c r="H36" s="42">
        <f t="shared" si="2"/>
        <v>23</v>
      </c>
      <c r="L36" s="526">
        <f t="shared" si="6"/>
        <v>0</v>
      </c>
      <c r="M36" s="526">
        <f t="shared" si="7"/>
        <v>0</v>
      </c>
      <c r="N36" s="526">
        <f t="shared" si="7"/>
        <v>0</v>
      </c>
      <c r="O36" s="526">
        <f t="shared" si="7"/>
        <v>0</v>
      </c>
      <c r="P36" s="526">
        <f t="shared" si="7"/>
        <v>0</v>
      </c>
    </row>
    <row r="37" spans="2:16">
      <c r="B37" s="438" t="s">
        <v>352</v>
      </c>
      <c r="C37" s="42" t="str">
        <f>NameConv!C28</f>
        <v>HET</v>
      </c>
      <c r="D37" s="42" t="str">
        <f>NameConv!B28</f>
        <v>Heat-Steam</v>
      </c>
      <c r="E37" s="438" t="s">
        <v>248</v>
      </c>
      <c r="F37" s="438" t="str">
        <f t="shared" si="1"/>
        <v>COM,NRG,ANNUAL,FOSSIL</v>
      </c>
      <c r="H37" s="42">
        <f t="shared" si="2"/>
        <v>24</v>
      </c>
      <c r="L37" s="526">
        <f t="shared" si="6"/>
        <v>0</v>
      </c>
      <c r="M37" s="526">
        <f t="shared" si="7"/>
        <v>0</v>
      </c>
      <c r="N37" s="526">
        <f t="shared" si="7"/>
        <v>0</v>
      </c>
      <c r="O37" s="526">
        <f t="shared" si="7"/>
        <v>0</v>
      </c>
      <c r="P37" s="526">
        <f t="shared" si="7"/>
        <v>0</v>
      </c>
    </row>
    <row r="38" spans="2:16">
      <c r="B38" s="438" t="s">
        <v>352</v>
      </c>
      <c r="C38" s="42" t="str">
        <f>NameConv!C29</f>
        <v>HEE</v>
      </c>
      <c r="D38" s="42" t="str">
        <f>NameConv!B29</f>
        <v>Heat-Steam Existing</v>
      </c>
      <c r="E38" s="438" t="s">
        <v>248</v>
      </c>
      <c r="F38" s="438" t="str">
        <f t="shared" si="1"/>
        <v>COM,NRG,ANNUAL,FOSSIL</v>
      </c>
      <c r="H38" s="42">
        <f t="shared" si="2"/>
        <v>25</v>
      </c>
      <c r="L38" s="526">
        <f t="shared" si="6"/>
        <v>0</v>
      </c>
      <c r="M38" s="526">
        <f t="shared" si="7"/>
        <v>0</v>
      </c>
      <c r="N38" s="526">
        <f t="shared" si="7"/>
        <v>0</v>
      </c>
      <c r="O38" s="526">
        <f t="shared" si="7"/>
        <v>0</v>
      </c>
      <c r="P38" s="526">
        <f t="shared" si="7"/>
        <v>0</v>
      </c>
    </row>
    <row r="39" spans="2:16">
      <c r="B39" s="438" t="s">
        <v>352</v>
      </c>
      <c r="C39" s="42" t="str">
        <f>NameConv!C30</f>
        <v>HEN</v>
      </c>
      <c r="D39" s="42" t="str">
        <f>NameConv!B30</f>
        <v>Heat-Steam New</v>
      </c>
      <c r="E39" s="438" t="s">
        <v>248</v>
      </c>
      <c r="F39" s="438" t="str">
        <f t="shared" si="1"/>
        <v>COM,NRG,ANNUAL,FOSSIL</v>
      </c>
      <c r="H39" s="42">
        <f t="shared" si="2"/>
        <v>26</v>
      </c>
      <c r="L39" s="526">
        <f t="shared" si="6"/>
        <v>0</v>
      </c>
      <c r="M39" s="526">
        <f t="shared" si="7"/>
        <v>0</v>
      </c>
      <c r="N39" s="526">
        <f t="shared" si="7"/>
        <v>0</v>
      </c>
      <c r="O39" s="526">
        <f t="shared" si="7"/>
        <v>0</v>
      </c>
      <c r="P39" s="526">
        <f t="shared" si="7"/>
        <v>0</v>
      </c>
    </row>
    <row r="40" spans="2:16">
      <c r="B40" s="438" t="s">
        <v>352</v>
      </c>
      <c r="C40" s="42" t="str">
        <f>NameConv!C31</f>
        <v>HYD</v>
      </c>
      <c r="D40" s="42" t="str">
        <f>NameConv!B31</f>
        <v>Hydro</v>
      </c>
      <c r="E40" s="438" t="s">
        <v>248</v>
      </c>
      <c r="F40" s="438" t="str">
        <f t="shared" si="1"/>
        <v>COM,NRG,ANNUAL,FOSSIL</v>
      </c>
      <c r="H40" s="42">
        <f t="shared" si="2"/>
        <v>27</v>
      </c>
      <c r="L40" s="526">
        <f t="shared" si="6"/>
        <v>0</v>
      </c>
      <c r="M40" s="526">
        <f t="shared" si="7"/>
        <v>0</v>
      </c>
      <c r="N40" s="526">
        <f t="shared" si="7"/>
        <v>0</v>
      </c>
      <c r="O40" s="526">
        <f t="shared" si="7"/>
        <v>0</v>
      </c>
      <c r="P40" s="526">
        <f t="shared" si="7"/>
        <v>0</v>
      </c>
    </row>
    <row r="41" spans="2:16">
      <c r="B41" s="438" t="s">
        <v>352</v>
      </c>
      <c r="C41" s="42" t="str">
        <f>NameConv!C32</f>
        <v>HGN</v>
      </c>
      <c r="D41" s="42" t="str">
        <f>NameConv!B32</f>
        <v>Hydrogen</v>
      </c>
      <c r="E41" s="438" t="s">
        <v>248</v>
      </c>
      <c r="F41" s="438" t="str">
        <f t="shared" si="1"/>
        <v>COM,NRG,DAYNITE,FOSSIL</v>
      </c>
      <c r="H41" s="42">
        <f t="shared" si="2"/>
        <v>28</v>
      </c>
      <c r="L41" s="526">
        <f t="shared" si="6"/>
        <v>1</v>
      </c>
      <c r="M41" s="526">
        <f t="shared" si="7"/>
        <v>0</v>
      </c>
      <c r="N41" s="526">
        <f t="shared" si="7"/>
        <v>1</v>
      </c>
      <c r="O41" s="526">
        <f t="shared" si="7"/>
        <v>0</v>
      </c>
      <c r="P41" s="526">
        <f t="shared" si="7"/>
        <v>0</v>
      </c>
    </row>
    <row r="42" spans="2:16">
      <c r="B42" s="438" t="s">
        <v>352</v>
      </c>
      <c r="C42" s="42" t="str">
        <f>NameConv!C33</f>
        <v>NUC</v>
      </c>
      <c r="D42" s="42" t="str">
        <f>NameConv!B33</f>
        <v>Nuclear</v>
      </c>
      <c r="E42" s="438" t="s">
        <v>248</v>
      </c>
      <c r="F42" s="438" t="str">
        <f t="shared" si="1"/>
        <v>COM,NRG,ANNUAL,FOSSIL</v>
      </c>
      <c r="H42" s="42">
        <f t="shared" si="2"/>
        <v>29</v>
      </c>
      <c r="L42" s="526">
        <f t="shared" si="6"/>
        <v>0</v>
      </c>
      <c r="M42" s="526">
        <f t="shared" si="7"/>
        <v>0</v>
      </c>
      <c r="N42" s="526">
        <f t="shared" si="7"/>
        <v>0</v>
      </c>
      <c r="O42" s="526">
        <f t="shared" si="7"/>
        <v>0</v>
      </c>
      <c r="P42" s="526">
        <f t="shared" si="7"/>
        <v>0</v>
      </c>
    </row>
    <row r="43" spans="2:16">
      <c r="B43" s="438" t="s">
        <v>352</v>
      </c>
      <c r="C43" s="42" t="str">
        <f>NameConv!C34</f>
        <v>OAG</v>
      </c>
      <c r="D43" s="42" t="str">
        <f>NameConv!B34</f>
        <v>Oil Av Gasoline</v>
      </c>
      <c r="E43" s="438" t="s">
        <v>248</v>
      </c>
      <c r="F43" s="438" t="str">
        <f t="shared" si="1"/>
        <v>COM,NRG,ANNUAL,FOSSIL</v>
      </c>
      <c r="H43" s="42">
        <f t="shared" si="2"/>
        <v>30</v>
      </c>
      <c r="L43" s="526">
        <f t="shared" si="6"/>
        <v>0</v>
      </c>
      <c r="M43" s="526">
        <f t="shared" si="7"/>
        <v>0</v>
      </c>
      <c r="N43" s="526">
        <f t="shared" si="7"/>
        <v>0</v>
      </c>
      <c r="O43" s="526">
        <f t="shared" si="7"/>
        <v>0</v>
      </c>
      <c r="P43" s="526">
        <f t="shared" si="7"/>
        <v>0</v>
      </c>
    </row>
    <row r="44" spans="2:16">
      <c r="B44" s="438" t="s">
        <v>352</v>
      </c>
      <c r="C44" s="42" t="str">
        <f>NameConv!C35</f>
        <v>OCR</v>
      </c>
      <c r="D44" s="42" t="str">
        <f>NameConv!B35</f>
        <v>Oil Crude</v>
      </c>
      <c r="E44" s="438" t="s">
        <v>248</v>
      </c>
      <c r="F44" s="438" t="str">
        <f t="shared" si="1"/>
        <v>COM,NRG,ANNUAL,FOSSIL</v>
      </c>
      <c r="H44" s="42">
        <f t="shared" si="2"/>
        <v>31</v>
      </c>
      <c r="L44" s="526">
        <f t="shared" si="6"/>
        <v>0</v>
      </c>
      <c r="M44" s="526">
        <f t="shared" si="7"/>
        <v>0</v>
      </c>
      <c r="N44" s="526">
        <f t="shared" si="7"/>
        <v>0</v>
      </c>
      <c r="O44" s="526">
        <f t="shared" si="7"/>
        <v>0</v>
      </c>
      <c r="P44" s="526">
        <f t="shared" si="7"/>
        <v>0</v>
      </c>
    </row>
    <row r="45" spans="2:16">
      <c r="B45" s="438" t="s">
        <v>352</v>
      </c>
      <c r="C45" s="42" t="str">
        <f>NameConv!C36</f>
        <v>ODS</v>
      </c>
      <c r="D45" s="42" t="str">
        <f>NameConv!B36</f>
        <v>Oil Diesel</v>
      </c>
      <c r="E45" s="438" t="s">
        <v>248</v>
      </c>
      <c r="F45" s="438" t="str">
        <f t="shared" si="1"/>
        <v>COM,NRG,ANNUAL,FOSSIL</v>
      </c>
      <c r="H45" s="42">
        <f t="shared" si="2"/>
        <v>32</v>
      </c>
      <c r="L45" s="526">
        <f t="shared" si="6"/>
        <v>0</v>
      </c>
      <c r="M45" s="526">
        <f t="shared" si="7"/>
        <v>0</v>
      </c>
      <c r="N45" s="526">
        <f t="shared" si="7"/>
        <v>0</v>
      </c>
      <c r="O45" s="526">
        <f t="shared" si="7"/>
        <v>0</v>
      </c>
      <c r="P45" s="526">
        <f t="shared" si="7"/>
        <v>0</v>
      </c>
    </row>
    <row r="46" spans="2:16">
      <c r="B46" s="438" t="s">
        <v>352</v>
      </c>
      <c r="C46" s="42" t="str">
        <f>NameConv!C37</f>
        <v>OGS</v>
      </c>
      <c r="D46" s="42" t="str">
        <f>NameConv!B37</f>
        <v>Oil Gasoline</v>
      </c>
      <c r="E46" s="438" t="s">
        <v>248</v>
      </c>
      <c r="F46" s="438" t="str">
        <f t="shared" si="1"/>
        <v>COM,NRG,ANNUAL,FOSSIL</v>
      </c>
      <c r="H46" s="42">
        <f t="shared" si="2"/>
        <v>33</v>
      </c>
      <c r="L46" s="526">
        <f t="shared" si="6"/>
        <v>0</v>
      </c>
      <c r="M46" s="526">
        <f t="shared" si="7"/>
        <v>0</v>
      </c>
      <c r="N46" s="526">
        <f t="shared" si="7"/>
        <v>0</v>
      </c>
      <c r="O46" s="526">
        <f t="shared" si="7"/>
        <v>0</v>
      </c>
      <c r="P46" s="526">
        <f t="shared" si="7"/>
        <v>0</v>
      </c>
    </row>
    <row r="47" spans="2:16">
      <c r="B47" s="438" t="s">
        <v>352</v>
      </c>
      <c r="C47" s="42" t="str">
        <f>NameConv!C38</f>
        <v>OHF</v>
      </c>
      <c r="D47" s="42" t="str">
        <f>NameConv!B38</f>
        <v>Oil HFO</v>
      </c>
      <c r="E47" s="438" t="s">
        <v>248</v>
      </c>
      <c r="F47" s="438" t="str">
        <f t="shared" si="1"/>
        <v>COM,NRG,ANNUAL,FOSSIL</v>
      </c>
      <c r="H47" s="42">
        <f t="shared" si="2"/>
        <v>34</v>
      </c>
      <c r="L47" s="526">
        <f t="shared" si="6"/>
        <v>0</v>
      </c>
      <c r="M47" s="526">
        <f t="shared" si="7"/>
        <v>0</v>
      </c>
      <c r="N47" s="526">
        <f t="shared" si="7"/>
        <v>0</v>
      </c>
      <c r="O47" s="526">
        <f t="shared" si="7"/>
        <v>0</v>
      </c>
      <c r="P47" s="526">
        <f t="shared" si="7"/>
        <v>0</v>
      </c>
    </row>
    <row r="48" spans="2:16">
      <c r="B48" s="438" t="s">
        <v>352</v>
      </c>
      <c r="C48" s="42" t="str">
        <f>NameConv!C39</f>
        <v>OKE</v>
      </c>
      <c r="D48" s="42" t="str">
        <f>NameConv!B39</f>
        <v>Oil Kerosene</v>
      </c>
      <c r="E48" s="438" t="s">
        <v>248</v>
      </c>
      <c r="F48" s="438" t="str">
        <f t="shared" si="1"/>
        <v>COM,NRG,ANNUAL,FOSSIL</v>
      </c>
      <c r="H48" s="42">
        <f t="shared" si="2"/>
        <v>35</v>
      </c>
      <c r="L48" s="526">
        <f t="shared" si="6"/>
        <v>0</v>
      </c>
      <c r="M48" s="526">
        <f t="shared" si="7"/>
        <v>0</v>
      </c>
      <c r="N48" s="526">
        <f t="shared" si="7"/>
        <v>0</v>
      </c>
      <c r="O48" s="526">
        <f t="shared" si="7"/>
        <v>0</v>
      </c>
      <c r="P48" s="526">
        <f t="shared" si="7"/>
        <v>0</v>
      </c>
    </row>
    <row r="49" spans="1:16">
      <c r="B49" s="438" t="s">
        <v>352</v>
      </c>
      <c r="C49" s="42" t="str">
        <f>NameConv!C40</f>
        <v>OLP</v>
      </c>
      <c r="D49" s="42" t="str">
        <f>NameConv!B40</f>
        <v>Oil LPG</v>
      </c>
      <c r="E49" s="438" t="s">
        <v>248</v>
      </c>
      <c r="F49" s="438" t="str">
        <f t="shared" si="1"/>
        <v>COM,NRG,ANNUAL,FOSSIL</v>
      </c>
      <c r="H49" s="42">
        <f t="shared" si="2"/>
        <v>36</v>
      </c>
      <c r="L49" s="526">
        <f t="shared" si="6"/>
        <v>0</v>
      </c>
      <c r="M49" s="526">
        <f t="shared" si="7"/>
        <v>0</v>
      </c>
      <c r="N49" s="526">
        <f t="shared" si="7"/>
        <v>0</v>
      </c>
      <c r="O49" s="526">
        <f t="shared" si="7"/>
        <v>0</v>
      </c>
      <c r="P49" s="526">
        <f t="shared" si="7"/>
        <v>0</v>
      </c>
    </row>
    <row r="50" spans="1:16">
      <c r="B50" s="438" t="s">
        <v>352</v>
      </c>
      <c r="C50" s="42" t="str">
        <f>NameConv!C41</f>
        <v>OTH</v>
      </c>
      <c r="D50" s="42" t="str">
        <f>NameConv!B41</f>
        <v>Oil Other</v>
      </c>
      <c r="E50" s="438" t="s">
        <v>248</v>
      </c>
      <c r="F50" s="438" t="str">
        <f t="shared" si="1"/>
        <v>COM,NRG,ANNUAL,FOSSIL</v>
      </c>
      <c r="H50" s="42">
        <f t="shared" si="2"/>
        <v>37</v>
      </c>
      <c r="L50" s="526">
        <f t="shared" si="6"/>
        <v>0</v>
      </c>
      <c r="M50" s="526">
        <f t="shared" si="7"/>
        <v>0</v>
      </c>
      <c r="N50" s="526">
        <f t="shared" si="7"/>
        <v>0</v>
      </c>
      <c r="O50" s="526">
        <f t="shared" si="7"/>
        <v>0</v>
      </c>
      <c r="P50" s="526">
        <f t="shared" si="7"/>
        <v>0</v>
      </c>
    </row>
    <row r="51" spans="1:16">
      <c r="B51" s="438" t="s">
        <v>352</v>
      </c>
      <c r="C51" s="42" t="str">
        <f>NameConv!C42</f>
        <v>SOL</v>
      </c>
      <c r="D51" s="42" t="str">
        <f>NameConv!B42</f>
        <v>Solar</v>
      </c>
      <c r="E51" s="438" t="s">
        <v>248</v>
      </c>
      <c r="F51" s="438" t="str">
        <f t="shared" si="1"/>
        <v>COM,NRG,ANNUAL,FOSSIL</v>
      </c>
      <c r="H51" s="42">
        <f t="shared" si="2"/>
        <v>38</v>
      </c>
      <c r="L51" s="526">
        <f t="shared" si="6"/>
        <v>0</v>
      </c>
      <c r="M51" s="526">
        <f t="shared" si="7"/>
        <v>0</v>
      </c>
      <c r="N51" s="526">
        <f t="shared" si="7"/>
        <v>0</v>
      </c>
      <c r="O51" s="526">
        <f t="shared" si="7"/>
        <v>0</v>
      </c>
      <c r="P51" s="526">
        <f t="shared" si="7"/>
        <v>0</v>
      </c>
    </row>
    <row r="52" spans="1:16">
      <c r="B52" s="438" t="s">
        <v>352</v>
      </c>
      <c r="C52" s="42" t="str">
        <f>NameConv!C43</f>
        <v>WND</v>
      </c>
      <c r="D52" s="42" t="str">
        <f>NameConv!B43</f>
        <v>Wind</v>
      </c>
      <c r="E52" s="438" t="s">
        <v>248</v>
      </c>
      <c r="F52" s="438" t="str">
        <f t="shared" si="1"/>
        <v>COM,NRG,ANNUAL,FOSSIL</v>
      </c>
      <c r="H52" s="42">
        <f t="shared" si="2"/>
        <v>39</v>
      </c>
      <c r="L52" s="526">
        <f t="shared" si="6"/>
        <v>0</v>
      </c>
      <c r="M52" s="526">
        <f t="shared" si="7"/>
        <v>0</v>
      </c>
      <c r="N52" s="526">
        <f t="shared" si="7"/>
        <v>0</v>
      </c>
      <c r="O52" s="526">
        <f t="shared" si="7"/>
        <v>0</v>
      </c>
      <c r="P52" s="526">
        <f t="shared" si="7"/>
        <v>0</v>
      </c>
    </row>
    <row r="53" spans="1:16">
      <c r="B53" s="438" t="s">
        <v>352</v>
      </c>
      <c r="C53" s="42" t="str">
        <f>NameConv!C44</f>
        <v>WAS</v>
      </c>
      <c r="D53" s="42" t="str">
        <f>NameConv!B44</f>
        <v>Waste</v>
      </c>
      <c r="E53" s="438" t="s">
        <v>248</v>
      </c>
      <c r="F53" s="438" t="str">
        <f t="shared" si="1"/>
        <v>COM,NRG,ANNUAL,FOSSIL</v>
      </c>
      <c r="H53" s="42">
        <f t="shared" si="2"/>
        <v>40</v>
      </c>
      <c r="L53" s="526">
        <f t="shared" si="6"/>
        <v>0</v>
      </c>
      <c r="M53" s="526">
        <f t="shared" si="7"/>
        <v>0</v>
      </c>
      <c r="N53" s="526">
        <f t="shared" si="7"/>
        <v>0</v>
      </c>
      <c r="O53" s="526">
        <f t="shared" si="7"/>
        <v>0</v>
      </c>
      <c r="P53" s="526">
        <f t="shared" si="7"/>
        <v>0</v>
      </c>
    </row>
    <row r="54" spans="1:16">
      <c r="A54" s="42" t="s">
        <v>310</v>
      </c>
      <c r="B54" s="162" t="s">
        <v>564</v>
      </c>
    </row>
    <row r="55" spans="1:16">
      <c r="B55" s="162" t="s">
        <v>352</v>
      </c>
      <c r="C55" s="42" t="s">
        <v>295</v>
      </c>
      <c r="D55" s="42" t="s">
        <v>294</v>
      </c>
      <c r="E55" s="162" t="s">
        <v>355</v>
      </c>
      <c r="F55" s="162" t="s">
        <v>356</v>
      </c>
    </row>
    <row r="56" spans="1:16">
      <c r="B56" s="42" t="s">
        <v>352</v>
      </c>
      <c r="C56" s="42" t="s">
        <v>14783</v>
      </c>
      <c r="D56" s="42" t="s">
        <v>14784</v>
      </c>
      <c r="E56" s="438" t="s">
        <v>248</v>
      </c>
      <c r="F56" s="438" t="str">
        <f t="shared" ref="F56" si="8">IF($L56,"COM,NRG,DAYNITE,"&amp;INDEX($M$8:$P$8,MATCH($L56,$M56:$P56,0)),"COM,NRG,ANNUAL,FOSSIL")</f>
        <v>COM,NRG,ANNUAL,FOSSIL</v>
      </c>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7169"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7169" r:id="rId4" name="cmdCheckItemsSheet"/>
      </mc:Fallback>
    </mc:AlternateContent>
    <mc:AlternateContent xmlns:mc="http://schemas.openxmlformats.org/markup-compatibility/2006">
      <mc:Choice Requires="x14">
        <control shapeId="7170"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7170" r:id="rId6" name="cmdSpecifyComponent"/>
      </mc:Fallback>
    </mc:AlternateContent>
    <mc:AlternateContent xmlns:mc="http://schemas.openxmlformats.org/markup-compatibility/2006">
      <mc:Choice Requires="x14">
        <control shapeId="7171" r:id="rId8" name="cmdSpecifyUnits">
          <controlPr defaultSize="0" autoLine="0" r:id="rId9">
            <anchor moveWithCells="1">
              <from>
                <xdr:col>4</xdr:col>
                <xdr:colOff>19050</xdr:colOff>
                <xdr:row>3</xdr:row>
                <xdr:rowOff>0</xdr:rowOff>
              </from>
              <to>
                <xdr:col>5</xdr:col>
                <xdr:colOff>0</xdr:colOff>
                <xdr:row>4</xdr:row>
                <xdr:rowOff>95250</xdr:rowOff>
              </to>
            </anchor>
          </controlPr>
        </control>
      </mc:Choice>
      <mc:Fallback>
        <control shapeId="7171" r:id="rId8" name="cmdSpecifyUnits"/>
      </mc:Fallback>
    </mc:AlternateContent>
    <mc:AlternateContent xmlns:mc="http://schemas.openxmlformats.org/markup-compatibility/2006">
      <mc:Choice Requires="x14">
        <control shapeId="7172"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7172" r:id="rId10" name="cmdSpecifySets"/>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dimension ref="A1:N17"/>
  <sheetViews>
    <sheetView workbookViewId="0"/>
  </sheetViews>
  <sheetFormatPr defaultColWidth="11.42578125" defaultRowHeight="11.25"/>
  <cols>
    <col min="1" max="1" width="12.28515625" style="169" customWidth="1"/>
    <col min="2" max="2" width="12" style="169" customWidth="1"/>
    <col min="3" max="3" width="11.28515625" style="169" customWidth="1"/>
    <col min="4" max="8" width="11.42578125" style="169" customWidth="1"/>
    <col min="9" max="9" width="7.42578125" style="170" customWidth="1"/>
    <col min="10" max="11" width="5.42578125" style="169" customWidth="1"/>
    <col min="12" max="16384" width="11.42578125" style="169"/>
  </cols>
  <sheetData>
    <row r="1" spans="1:14">
      <c r="A1" s="168" t="str">
        <f>IF(Index!B8=0,"TS DATA","")</f>
        <v>TS DATA</v>
      </c>
      <c r="B1" s="169" t="s">
        <v>308</v>
      </c>
      <c r="L1" s="169" t="s">
        <v>310</v>
      </c>
      <c r="M1" s="169" t="s">
        <v>310</v>
      </c>
      <c r="N1" s="169" t="s">
        <v>310</v>
      </c>
    </row>
    <row r="2" spans="1:14">
      <c r="A2" s="169" t="s">
        <v>310</v>
      </c>
      <c r="L2" s="169" t="s">
        <v>320</v>
      </c>
      <c r="M2" s="169" t="s">
        <v>321</v>
      </c>
      <c r="N2" s="169" t="s">
        <v>322</v>
      </c>
    </row>
    <row r="3" spans="1:14" ht="15" customHeight="1">
      <c r="A3" s="169" t="s">
        <v>310</v>
      </c>
    </row>
    <row r="4" spans="1:14">
      <c r="A4" s="169" t="s">
        <v>310</v>
      </c>
    </row>
    <row r="5" spans="1:14">
      <c r="A5" s="169" t="s">
        <v>310</v>
      </c>
    </row>
    <row r="6" spans="1:14">
      <c r="A6" s="169" t="s">
        <v>310</v>
      </c>
    </row>
    <row r="7" spans="1:14" ht="22.5" customHeight="1">
      <c r="A7" s="169" t="s">
        <v>310</v>
      </c>
      <c r="B7" s="168" t="s">
        <v>323</v>
      </c>
      <c r="C7" s="168" t="s">
        <v>324</v>
      </c>
      <c r="D7" s="168" t="s">
        <v>325</v>
      </c>
      <c r="E7" s="168" t="s">
        <v>326</v>
      </c>
      <c r="F7" s="168" t="s">
        <v>327</v>
      </c>
      <c r="G7" s="168" t="s">
        <v>328</v>
      </c>
      <c r="H7" s="168" t="s">
        <v>329</v>
      </c>
      <c r="I7" s="171" t="s">
        <v>330</v>
      </c>
      <c r="J7" s="169">
        <v>2012</v>
      </c>
    </row>
    <row r="8" spans="1:14">
      <c r="A8" s="169" t="s">
        <v>310</v>
      </c>
      <c r="B8" s="168"/>
      <c r="C8" s="168"/>
      <c r="D8" s="168"/>
      <c r="E8" s="168"/>
      <c r="F8" s="168"/>
      <c r="G8" s="168"/>
      <c r="H8" s="168"/>
      <c r="I8" s="171"/>
    </row>
    <row r="9" spans="1:14">
      <c r="A9" s="169" t="s">
        <v>310</v>
      </c>
      <c r="B9" s="170">
        <v>1</v>
      </c>
      <c r="C9" s="170">
        <v>2</v>
      </c>
      <c r="D9" s="170">
        <v>3</v>
      </c>
      <c r="E9" s="170">
        <v>4</v>
      </c>
      <c r="F9" s="170">
        <v>5</v>
      </c>
      <c r="G9" s="170">
        <v>6</v>
      </c>
      <c r="H9" s="170">
        <v>7</v>
      </c>
      <c r="I9" s="172">
        <v>8</v>
      </c>
      <c r="J9" s="169">
        <f>I9+1</f>
        <v>9</v>
      </c>
    </row>
    <row r="10" spans="1:14">
      <c r="A10" s="169" t="s">
        <v>331</v>
      </c>
      <c r="B10" s="173" t="s">
        <v>359</v>
      </c>
      <c r="C10" s="173" t="s">
        <v>333</v>
      </c>
      <c r="D10" s="173" t="s">
        <v>334</v>
      </c>
      <c r="E10" s="173" t="s">
        <v>360</v>
      </c>
      <c r="F10" s="173" t="s">
        <v>334</v>
      </c>
      <c r="G10" s="173" t="s">
        <v>337</v>
      </c>
      <c r="H10" s="173" t="s">
        <v>334</v>
      </c>
      <c r="I10" s="174">
        <v>0</v>
      </c>
      <c r="J10" s="169">
        <v>1</v>
      </c>
    </row>
    <row r="11" spans="1:14">
      <c r="A11" s="169" t="s">
        <v>335</v>
      </c>
      <c r="B11" s="173" t="s">
        <v>332</v>
      </c>
      <c r="C11" s="173" t="s">
        <v>333</v>
      </c>
      <c r="D11" s="173" t="s">
        <v>334</v>
      </c>
      <c r="E11" s="173" t="s">
        <v>334</v>
      </c>
      <c r="F11" s="173" t="s">
        <v>334</v>
      </c>
      <c r="G11" s="173" t="s">
        <v>334</v>
      </c>
      <c r="H11" s="173" t="s">
        <v>334</v>
      </c>
      <c r="I11" s="174">
        <v>0</v>
      </c>
      <c r="J11" s="169">
        <v>99999</v>
      </c>
    </row>
    <row r="12" spans="1:14">
      <c r="A12" s="169" t="s">
        <v>310</v>
      </c>
      <c r="B12" s="173"/>
    </row>
    <row r="13" spans="1:14">
      <c r="B13" s="175" t="s">
        <v>332</v>
      </c>
      <c r="C13" s="175" t="str">
        <f>ITEMS_STech!C13</f>
        <v>MNZZZ</v>
      </c>
      <c r="D13" s="175" t="s">
        <v>334</v>
      </c>
      <c r="E13" s="175" t="s">
        <v>334</v>
      </c>
      <c r="F13" s="175" t="s">
        <v>334</v>
      </c>
      <c r="G13" s="175" t="s">
        <v>334</v>
      </c>
      <c r="H13" s="175" t="s">
        <v>334</v>
      </c>
      <c r="I13" s="395">
        <v>0</v>
      </c>
      <c r="J13" s="169">
        <v>99999</v>
      </c>
    </row>
    <row r="14" spans="1:14">
      <c r="B14" s="175" t="s">
        <v>359</v>
      </c>
      <c r="C14" s="175" t="str">
        <f>ITEMS_STech!$C$9</f>
        <v>ZZBKELCC</v>
      </c>
      <c r="D14" s="175" t="s">
        <v>334</v>
      </c>
      <c r="E14" s="175" t="s">
        <v>360</v>
      </c>
      <c r="F14" s="175" t="s">
        <v>334</v>
      </c>
      <c r="G14" s="175" t="s">
        <v>337</v>
      </c>
      <c r="H14" s="175" t="s">
        <v>334</v>
      </c>
      <c r="I14" s="176">
        <v>0</v>
      </c>
      <c r="J14" s="175">
        <v>1</v>
      </c>
      <c r="K14" s="175"/>
    </row>
    <row r="15" spans="1:14">
      <c r="B15" s="169" t="s">
        <v>1029</v>
      </c>
      <c r="C15" s="175" t="str">
        <f>C14</f>
        <v>ZZBKELCC</v>
      </c>
      <c r="D15" s="169" t="s">
        <v>334</v>
      </c>
      <c r="E15" s="169" t="s">
        <v>334</v>
      </c>
      <c r="F15" s="169" t="s">
        <v>334</v>
      </c>
      <c r="G15" s="169" t="s">
        <v>337</v>
      </c>
      <c r="H15" s="169" t="s">
        <v>334</v>
      </c>
      <c r="I15" s="176">
        <v>0</v>
      </c>
      <c r="J15" s="169">
        <v>1</v>
      </c>
      <c r="K15" s="175"/>
    </row>
    <row r="16" spans="1:14">
      <c r="B16" s="173" t="s">
        <v>839</v>
      </c>
      <c r="C16" s="175" t="str">
        <f>ITEMS_STech!$C$9</f>
        <v>ZZBKELCC</v>
      </c>
      <c r="D16" s="173" t="s">
        <v>334</v>
      </c>
      <c r="E16" s="173" t="s">
        <v>334</v>
      </c>
      <c r="F16" s="173" t="s">
        <v>334</v>
      </c>
      <c r="G16" s="173" t="s">
        <v>334</v>
      </c>
      <c r="H16" s="169" t="s">
        <v>334</v>
      </c>
      <c r="I16" s="176">
        <v>0</v>
      </c>
      <c r="J16" s="169">
        <v>99999</v>
      </c>
      <c r="K16" s="175"/>
    </row>
    <row r="17" spans="2:11">
      <c r="B17" s="175" t="s">
        <v>359</v>
      </c>
      <c r="C17" s="175" t="str">
        <f>ITEMS_STech!C11</f>
        <v>ZZBKNRG</v>
      </c>
      <c r="D17" s="175" t="s">
        <v>334</v>
      </c>
      <c r="E17" s="175" t="s">
        <v>360</v>
      </c>
      <c r="F17" s="175" t="s">
        <v>334</v>
      </c>
      <c r="G17" s="175" t="s">
        <v>337</v>
      </c>
      <c r="H17" s="175" t="s">
        <v>334</v>
      </c>
      <c r="I17" s="176">
        <v>0</v>
      </c>
      <c r="J17" s="175">
        <v>1</v>
      </c>
      <c r="K17" s="175"/>
    </row>
  </sheetData>
  <pageMargins left="0.75" right="0.75" top="1" bottom="1" header="0.5" footer="0.5"/>
  <headerFooter alignWithMargins="0"/>
  <drawing r:id="rId1"/>
  <legacyDrawing r:id="rId2"/>
  <controls>
    <mc:AlternateContent xmlns:mc="http://schemas.openxmlformats.org/markup-compatibility/2006">
      <mc:Choice Requires="x14">
        <control shapeId="10241" r:id="rId3" name="cmdCheckTSandTIDDataSheet">
          <controlPr defaultSize="0" autoLine="0" r:id="rId4">
            <anchor moveWithCells="1">
              <from>
                <xdr:col>1</xdr:col>
                <xdr:colOff>438150</xdr:colOff>
                <xdr:row>2</xdr:row>
                <xdr:rowOff>19050</xdr:rowOff>
              </from>
              <to>
                <xdr:col>2</xdr:col>
                <xdr:colOff>457200</xdr:colOff>
                <xdr:row>3</xdr:row>
                <xdr:rowOff>66675</xdr:rowOff>
              </to>
            </anchor>
          </controlPr>
        </control>
      </mc:Choice>
      <mc:Fallback>
        <control shapeId="10241" r:id="rId3" name="cmdCheckTSandTIDDataSheet"/>
      </mc:Fallback>
    </mc:AlternateContent>
    <mc:AlternateContent xmlns:mc="http://schemas.openxmlformats.org/markup-compatibility/2006">
      <mc:Choice Requires="x14">
        <control shapeId="1024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0242" r:id="rId5" name="cmdSpecifyParameter"/>
      </mc:Fallback>
    </mc:AlternateContent>
    <mc:AlternateContent xmlns:mc="http://schemas.openxmlformats.org/markup-compatibility/2006">
      <mc:Choice Requires="x14">
        <control shapeId="1024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0243" r:id="rId7" name="cmdSpecifyArg1"/>
      </mc:Fallback>
    </mc:AlternateContent>
    <mc:AlternateContent xmlns:mc="http://schemas.openxmlformats.org/markup-compatibility/2006">
      <mc:Choice Requires="x14">
        <control shapeId="10244" r:id="rId9" name="cmdSpecifyArg2">
          <controlPr defaultSize="0" autoLine="0" autoPict="0" r:id="rId10">
            <anchor moveWithCells="1">
              <from>
                <xdr:col>3</xdr:col>
                <xdr:colOff>0</xdr:colOff>
                <xdr:row>3</xdr:row>
                <xdr:rowOff>0</xdr:rowOff>
              </from>
              <to>
                <xdr:col>4</xdr:col>
                <xdr:colOff>19050</xdr:colOff>
                <xdr:row>4</xdr:row>
                <xdr:rowOff>95250</xdr:rowOff>
              </to>
            </anchor>
          </controlPr>
        </control>
      </mc:Choice>
      <mc:Fallback>
        <control shapeId="10244" r:id="rId9" name="cmdSpecifyArg2"/>
      </mc:Fallback>
    </mc:AlternateContent>
    <mc:AlternateContent xmlns:mc="http://schemas.openxmlformats.org/markup-compatibility/2006">
      <mc:Choice Requires="x14">
        <control shapeId="10245" r:id="rId11" name="cmdSpecifyArg3">
          <controlPr defaultSize="0" autoLine="0" autoPict="0" r:id="rId12">
            <anchor moveWithCells="1">
              <from>
                <xdr:col>4</xdr:col>
                <xdr:colOff>0</xdr:colOff>
                <xdr:row>3</xdr:row>
                <xdr:rowOff>0</xdr:rowOff>
              </from>
              <to>
                <xdr:col>5</xdr:col>
                <xdr:colOff>19050</xdr:colOff>
                <xdr:row>4</xdr:row>
                <xdr:rowOff>95250</xdr:rowOff>
              </to>
            </anchor>
          </controlPr>
        </control>
      </mc:Choice>
      <mc:Fallback>
        <control shapeId="10245" r:id="rId11" name="cmdSpecifyArg3"/>
      </mc:Fallback>
    </mc:AlternateContent>
    <mc:AlternateContent xmlns:mc="http://schemas.openxmlformats.org/markup-compatibility/2006">
      <mc:Choice Requires="x14">
        <control shapeId="10246" r:id="rId13" name="cmdSpecifyArg4">
          <controlPr defaultSize="0" autoLine="0" autoPict="0" r:id="rId14">
            <anchor moveWithCells="1">
              <from>
                <xdr:col>5</xdr:col>
                <xdr:colOff>0</xdr:colOff>
                <xdr:row>3</xdr:row>
                <xdr:rowOff>0</xdr:rowOff>
              </from>
              <to>
                <xdr:col>6</xdr:col>
                <xdr:colOff>19050</xdr:colOff>
                <xdr:row>4</xdr:row>
                <xdr:rowOff>95250</xdr:rowOff>
              </to>
            </anchor>
          </controlPr>
        </control>
      </mc:Choice>
      <mc:Fallback>
        <control shapeId="10246" r:id="rId13" name="cmdSpecifyArg4"/>
      </mc:Fallback>
    </mc:AlternateContent>
    <mc:AlternateContent xmlns:mc="http://schemas.openxmlformats.org/markup-compatibility/2006">
      <mc:Choice Requires="x14">
        <control shapeId="10247" r:id="rId15" name="cmdSpecifyArg5">
          <controlPr defaultSize="0" autoLine="0" autoPict="0" r:id="rId16">
            <anchor moveWithCells="1">
              <from>
                <xdr:col>6</xdr:col>
                <xdr:colOff>0</xdr:colOff>
                <xdr:row>3</xdr:row>
                <xdr:rowOff>0</xdr:rowOff>
              </from>
              <to>
                <xdr:col>7</xdr:col>
                <xdr:colOff>19050</xdr:colOff>
                <xdr:row>4</xdr:row>
                <xdr:rowOff>95250</xdr:rowOff>
              </to>
            </anchor>
          </controlPr>
        </control>
      </mc:Choice>
      <mc:Fallback>
        <control shapeId="10247" r:id="rId15" name="cmdSpecifyArg5"/>
      </mc:Fallback>
    </mc:AlternateContent>
    <mc:AlternateContent xmlns:mc="http://schemas.openxmlformats.org/markup-compatibility/2006">
      <mc:Choice Requires="x14">
        <control shapeId="10248" r:id="rId17" name="cmdSpecifyArg6">
          <controlPr defaultSize="0" autoLine="0" autoPict="0" r:id="rId18">
            <anchor moveWithCells="1">
              <from>
                <xdr:col>7</xdr:col>
                <xdr:colOff>0</xdr:colOff>
                <xdr:row>3</xdr:row>
                <xdr:rowOff>0</xdr:rowOff>
              </from>
              <to>
                <xdr:col>8</xdr:col>
                <xdr:colOff>19050</xdr:colOff>
                <xdr:row>4</xdr:row>
                <xdr:rowOff>95250</xdr:rowOff>
              </to>
            </anchor>
          </controlPr>
        </control>
      </mc:Choice>
      <mc:Fallback>
        <control shapeId="10248" r:id="rId17" name="cmdSpecifyArg6"/>
      </mc:Fallback>
    </mc:AlternateContent>
    <mc:AlternateContent xmlns:mc="http://schemas.openxmlformats.org/markup-compatibility/2006">
      <mc:Choice Requires="x14">
        <control shapeId="10249" r:id="rId19" name="cmdSpecifyIEOptcode">
          <controlPr defaultSize="0" autoLine="0" r:id="rId20">
            <anchor moveWithCells="1">
              <from>
                <xdr:col>8</xdr:col>
                <xdr:colOff>57150</xdr:colOff>
                <xdr:row>3</xdr:row>
                <xdr:rowOff>0</xdr:rowOff>
              </from>
              <to>
                <xdr:col>8</xdr:col>
                <xdr:colOff>476250</xdr:colOff>
                <xdr:row>4</xdr:row>
                <xdr:rowOff>104775</xdr:rowOff>
              </to>
            </anchor>
          </controlPr>
        </control>
      </mc:Choice>
      <mc:Fallback>
        <control shapeId="10249" r:id="rId19" name="cmdSpecifyIEOptcode"/>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4"/>
  <dimension ref="A1:J60"/>
  <sheetViews>
    <sheetView workbookViewId="0"/>
  </sheetViews>
  <sheetFormatPr defaultColWidth="11.42578125" defaultRowHeight="11.25"/>
  <cols>
    <col min="1" max="1" width="15.42578125" style="169" customWidth="1"/>
    <col min="2" max="2" width="12" style="169" customWidth="1"/>
    <col min="3" max="3" width="13.7109375" style="169" customWidth="1"/>
    <col min="4" max="16384" width="11.42578125" style="169"/>
  </cols>
  <sheetData>
    <row r="1" spans="1:10">
      <c r="A1" s="168" t="str">
        <f>IF(Index!B8=0,"TID DATA","")</f>
        <v>TID DATA</v>
      </c>
      <c r="B1" s="169" t="s">
        <v>308</v>
      </c>
    </row>
    <row r="2" spans="1:10">
      <c r="A2" s="169" t="s">
        <v>310</v>
      </c>
    </row>
    <row r="3" spans="1:10" ht="15.75" customHeight="1">
      <c r="A3" s="169" t="s">
        <v>310</v>
      </c>
    </row>
    <row r="4" spans="1:10" ht="12.75" customHeight="1">
      <c r="A4" s="169" t="s">
        <v>310</v>
      </c>
    </row>
    <row r="5" spans="1:10">
      <c r="A5" s="169" t="s">
        <v>310</v>
      </c>
    </row>
    <row r="6" spans="1:10">
      <c r="A6" s="169" t="s">
        <v>310</v>
      </c>
    </row>
    <row r="7" spans="1:10">
      <c r="A7" s="169" t="s">
        <v>310</v>
      </c>
      <c r="B7" s="168" t="s">
        <v>323</v>
      </c>
      <c r="C7" s="168" t="s">
        <v>324</v>
      </c>
      <c r="D7" s="168" t="s">
        <v>325</v>
      </c>
      <c r="E7" s="168" t="s">
        <v>326</v>
      </c>
      <c r="F7" s="168" t="s">
        <v>327</v>
      </c>
      <c r="G7" s="168" t="s">
        <v>328</v>
      </c>
      <c r="H7" s="168" t="s">
        <v>329</v>
      </c>
      <c r="I7" s="168" t="s">
        <v>339</v>
      </c>
      <c r="J7" s="168"/>
    </row>
    <row r="8" spans="1:10">
      <c r="A8" s="169" t="s">
        <v>310</v>
      </c>
    </row>
    <row r="9" spans="1:10">
      <c r="A9" s="169" t="s">
        <v>310</v>
      </c>
    </row>
    <row r="10" spans="1:10">
      <c r="B10" s="175" t="s">
        <v>340</v>
      </c>
      <c r="C10" s="175" t="str">
        <f>ITEMS_STech!$C$14</f>
        <v>MINWAT</v>
      </c>
      <c r="D10" s="175" t="s">
        <v>334</v>
      </c>
      <c r="E10" s="175" t="str">
        <f>ITEMS_Comm!C55</f>
        <v>WAT</v>
      </c>
      <c r="F10" s="175" t="s">
        <v>334</v>
      </c>
      <c r="G10" s="175" t="s">
        <v>334</v>
      </c>
      <c r="H10" s="175" t="s">
        <v>334</v>
      </c>
      <c r="I10" s="175">
        <v>1</v>
      </c>
    </row>
    <row r="11" spans="1:10">
      <c r="B11" s="175" t="s">
        <v>342</v>
      </c>
      <c r="C11" s="175" t="str">
        <f>ITEMS_STech!$C$14</f>
        <v>MINWAT</v>
      </c>
      <c r="D11" s="175" t="s">
        <v>334</v>
      </c>
      <c r="E11" s="175" t="s">
        <v>334</v>
      </c>
      <c r="F11" s="175" t="s">
        <v>334</v>
      </c>
      <c r="G11" s="175" t="s">
        <v>334</v>
      </c>
      <c r="H11" s="175" t="s">
        <v>334</v>
      </c>
      <c r="I11" s="175">
        <v>1</v>
      </c>
    </row>
    <row r="12" spans="1:10">
      <c r="B12" s="175" t="s">
        <v>344</v>
      </c>
      <c r="C12" s="175" t="str">
        <f>ITEMS_STech!$C$14</f>
        <v>MINWAT</v>
      </c>
      <c r="D12" s="175" t="str">
        <f>E10</f>
        <v>WAT</v>
      </c>
      <c r="E12" s="175" t="s">
        <v>334</v>
      </c>
      <c r="F12" s="175" t="s">
        <v>334</v>
      </c>
      <c r="G12" s="175" t="s">
        <v>334</v>
      </c>
      <c r="H12" s="175" t="s">
        <v>334</v>
      </c>
      <c r="I12" s="175">
        <v>1</v>
      </c>
    </row>
    <row r="13" spans="1:10">
      <c r="B13" s="175" t="s">
        <v>340</v>
      </c>
      <c r="C13" s="175" t="str">
        <f>ITEMS_STech!C11</f>
        <v>ZZBKNRG</v>
      </c>
      <c r="D13" s="175" t="s">
        <v>334</v>
      </c>
      <c r="E13" s="175" t="str">
        <f>ITEMS_Comm!C12</f>
        <v>ZZZ</v>
      </c>
      <c r="F13" s="175" t="s">
        <v>334</v>
      </c>
      <c r="G13" s="175" t="s">
        <v>334</v>
      </c>
      <c r="H13" s="175" t="s">
        <v>334</v>
      </c>
      <c r="I13" s="175">
        <v>1</v>
      </c>
      <c r="J13" s="175"/>
    </row>
    <row r="14" spans="1:10">
      <c r="B14" s="175" t="s">
        <v>340</v>
      </c>
      <c r="C14" s="175" t="str">
        <f>ITEMS_STech!C9</f>
        <v>ZZBKELCC</v>
      </c>
      <c r="D14" s="175" t="s">
        <v>334</v>
      </c>
      <c r="E14" s="175" t="str">
        <f>E13</f>
        <v>ZZZ</v>
      </c>
      <c r="F14" s="175" t="s">
        <v>334</v>
      </c>
      <c r="G14" s="175" t="s">
        <v>334</v>
      </c>
      <c r="H14" s="175" t="s">
        <v>334</v>
      </c>
      <c r="I14" s="175">
        <v>1</v>
      </c>
      <c r="J14" s="175"/>
    </row>
    <row r="15" spans="1:10">
      <c r="B15" s="175" t="s">
        <v>340</v>
      </c>
      <c r="C15" s="175" t="str">
        <f>ITEMS_STech!C13</f>
        <v>MNZZZ</v>
      </c>
      <c r="D15" s="175" t="s">
        <v>334</v>
      </c>
      <c r="E15" s="175" t="str">
        <f>E13</f>
        <v>ZZZ</v>
      </c>
      <c r="F15" s="175" t="s">
        <v>334</v>
      </c>
      <c r="G15" s="175" t="s">
        <v>334</v>
      </c>
      <c r="H15" s="175" t="s">
        <v>334</v>
      </c>
      <c r="I15" s="175">
        <v>1</v>
      </c>
      <c r="J15" s="175"/>
    </row>
    <row r="16" spans="1:10">
      <c r="B16" s="175" t="s">
        <v>342</v>
      </c>
      <c r="C16" s="175" t="str">
        <f>C13</f>
        <v>ZZBKNRG</v>
      </c>
      <c r="D16" s="175" t="s">
        <v>334</v>
      </c>
      <c r="E16" s="175" t="s">
        <v>334</v>
      </c>
      <c r="F16" s="175" t="s">
        <v>334</v>
      </c>
      <c r="G16" s="175" t="s">
        <v>334</v>
      </c>
      <c r="H16" s="175" t="s">
        <v>334</v>
      </c>
      <c r="I16" s="175">
        <v>1</v>
      </c>
      <c r="J16" s="175"/>
    </row>
    <row r="17" spans="2:10">
      <c r="B17" s="175" t="s">
        <v>342</v>
      </c>
      <c r="C17" s="175" t="str">
        <f>C14</f>
        <v>ZZBKELCC</v>
      </c>
      <c r="D17" s="175" t="s">
        <v>334</v>
      </c>
      <c r="E17" s="175" t="s">
        <v>334</v>
      </c>
      <c r="F17" s="175" t="s">
        <v>334</v>
      </c>
      <c r="G17" s="175" t="s">
        <v>334</v>
      </c>
      <c r="H17" s="175" t="s">
        <v>334</v>
      </c>
      <c r="I17" s="175">
        <v>31.536000000000001</v>
      </c>
      <c r="J17" s="175"/>
    </row>
    <row r="18" spans="2:10">
      <c r="B18" s="175" t="s">
        <v>342</v>
      </c>
      <c r="C18" s="175" t="str">
        <f>C15</f>
        <v>MNZZZ</v>
      </c>
      <c r="D18" s="175" t="s">
        <v>334</v>
      </c>
      <c r="E18" s="175" t="s">
        <v>334</v>
      </c>
      <c r="F18" s="175" t="s">
        <v>334</v>
      </c>
      <c r="G18" s="175" t="s">
        <v>334</v>
      </c>
      <c r="H18" s="175" t="s">
        <v>334</v>
      </c>
      <c r="I18" s="175">
        <v>1</v>
      </c>
      <c r="J18" s="175"/>
    </row>
    <row r="19" spans="2:10">
      <c r="B19" s="175" t="s">
        <v>344</v>
      </c>
      <c r="C19" s="169" t="str">
        <f t="shared" ref="C19:C56" si="0">$C$13</f>
        <v>ZZBKNRG</v>
      </c>
      <c r="D19" s="175" t="str">
        <f>NameConv!C5</f>
        <v>BIG</v>
      </c>
      <c r="E19" s="175" t="s">
        <v>334</v>
      </c>
      <c r="F19" s="175" t="s">
        <v>334</v>
      </c>
      <c r="G19" s="175" t="s">
        <v>334</v>
      </c>
      <c r="H19" s="175" t="s">
        <v>334</v>
      </c>
      <c r="I19" s="175">
        <v>1</v>
      </c>
      <c r="J19" s="175"/>
    </row>
    <row r="20" spans="2:10">
      <c r="B20" s="175" t="s">
        <v>344</v>
      </c>
      <c r="C20" s="169" t="str">
        <f t="shared" si="0"/>
        <v>ZZBKNRG</v>
      </c>
      <c r="D20" s="175" t="str">
        <f>NameConv!C6</f>
        <v>BIE</v>
      </c>
      <c r="E20" s="175" t="s">
        <v>334</v>
      </c>
      <c r="F20" s="175" t="s">
        <v>334</v>
      </c>
      <c r="G20" s="175" t="s">
        <v>334</v>
      </c>
      <c r="H20" s="175" t="s">
        <v>334</v>
      </c>
      <c r="I20" s="175">
        <v>1</v>
      </c>
      <c r="J20" s="175"/>
    </row>
    <row r="21" spans="2:10">
      <c r="B21" s="175" t="s">
        <v>344</v>
      </c>
      <c r="C21" s="169" t="str">
        <f t="shared" si="0"/>
        <v>ZZBKNRG</v>
      </c>
      <c r="D21" s="175" t="str">
        <f>NameConv!C7</f>
        <v>BID</v>
      </c>
      <c r="E21" s="175" t="s">
        <v>334</v>
      </c>
      <c r="F21" s="175" t="s">
        <v>334</v>
      </c>
      <c r="G21" s="175" t="s">
        <v>334</v>
      </c>
      <c r="H21" s="175" t="s">
        <v>334</v>
      </c>
      <c r="I21" s="175">
        <v>1</v>
      </c>
      <c r="J21" s="175"/>
    </row>
    <row r="22" spans="2:10">
      <c r="B22" s="175" t="s">
        <v>344</v>
      </c>
      <c r="C22" s="169" t="str">
        <f t="shared" si="0"/>
        <v>ZZBKNRG</v>
      </c>
      <c r="D22" s="175" t="str">
        <f>NameConv!C8</f>
        <v>BIB</v>
      </c>
      <c r="E22" s="175" t="s">
        <v>334</v>
      </c>
      <c r="F22" s="175" t="s">
        <v>334</v>
      </c>
      <c r="G22" s="175" t="s">
        <v>334</v>
      </c>
      <c r="H22" s="175" t="s">
        <v>334</v>
      </c>
      <c r="I22" s="175">
        <v>1</v>
      </c>
      <c r="J22" s="175"/>
    </row>
    <row r="23" spans="2:10">
      <c r="B23" s="175" t="s">
        <v>344</v>
      </c>
      <c r="C23" s="169" t="str">
        <f t="shared" si="0"/>
        <v>ZZBKNRG</v>
      </c>
      <c r="D23" s="175" t="str">
        <f>NameConv!C9</f>
        <v>BIO</v>
      </c>
      <c r="E23" s="175" t="s">
        <v>334</v>
      </c>
      <c r="F23" s="175" t="s">
        <v>334</v>
      </c>
      <c r="G23" s="175" t="s">
        <v>334</v>
      </c>
      <c r="H23" s="175" t="s">
        <v>334</v>
      </c>
      <c r="I23" s="175">
        <v>1</v>
      </c>
      <c r="J23" s="175"/>
    </row>
    <row r="24" spans="2:10">
      <c r="B24" s="175" t="s">
        <v>344</v>
      </c>
      <c r="C24" s="169" t="str">
        <f t="shared" si="0"/>
        <v>ZZBKNRG</v>
      </c>
      <c r="D24" s="175" t="str">
        <f>NameConv!C10</f>
        <v>BIW</v>
      </c>
      <c r="E24" s="175" t="s">
        <v>334</v>
      </c>
      <c r="F24" s="175" t="s">
        <v>334</v>
      </c>
      <c r="G24" s="175" t="s">
        <v>334</v>
      </c>
      <c r="H24" s="175" t="s">
        <v>334</v>
      </c>
      <c r="I24" s="175">
        <v>1</v>
      </c>
      <c r="J24" s="175"/>
    </row>
    <row r="25" spans="2:10">
      <c r="B25" s="175" t="s">
        <v>344</v>
      </c>
      <c r="C25" s="169" t="str">
        <f t="shared" si="0"/>
        <v>ZZBKNRG</v>
      </c>
      <c r="D25" s="175" t="str">
        <f>NameConv!C11</f>
        <v>COA</v>
      </c>
      <c r="E25" s="175" t="s">
        <v>334</v>
      </c>
      <c r="F25" s="175" t="s">
        <v>334</v>
      </c>
      <c r="G25" s="175" t="s">
        <v>334</v>
      </c>
      <c r="H25" s="175" t="s">
        <v>334</v>
      </c>
      <c r="I25" s="175">
        <v>1</v>
      </c>
      <c r="J25" s="175"/>
    </row>
    <row r="26" spans="2:10">
      <c r="B26" s="175" t="s">
        <v>344</v>
      </c>
      <c r="C26" s="169" t="str">
        <f t="shared" si="0"/>
        <v>ZZBKNRG</v>
      </c>
      <c r="D26" s="175" t="str">
        <f>NameConv!C12</f>
        <v>COK</v>
      </c>
      <c r="E26" s="175" t="s">
        <v>334</v>
      </c>
      <c r="F26" s="175" t="s">
        <v>334</v>
      </c>
      <c r="G26" s="175" t="s">
        <v>334</v>
      </c>
      <c r="H26" s="175" t="s">
        <v>334</v>
      </c>
      <c r="I26" s="175">
        <v>1</v>
      </c>
      <c r="J26" s="175"/>
    </row>
    <row r="27" spans="2:10">
      <c r="B27" s="175" t="s">
        <v>344</v>
      </c>
      <c r="C27" s="169" t="str">
        <f t="shared" si="0"/>
        <v>ZZBKNRG</v>
      </c>
      <c r="D27" s="175" t="str">
        <f>NameConv!C13</f>
        <v>CLD</v>
      </c>
      <c r="E27" s="175" t="s">
        <v>334</v>
      </c>
      <c r="F27" s="175" t="s">
        <v>334</v>
      </c>
      <c r="G27" s="175" t="s">
        <v>334</v>
      </c>
      <c r="H27" s="175" t="s">
        <v>334</v>
      </c>
      <c r="I27" s="175">
        <v>1</v>
      </c>
      <c r="J27" s="175"/>
    </row>
    <row r="28" spans="2:10">
      <c r="B28" s="175" t="s">
        <v>344</v>
      </c>
      <c r="C28" s="169" t="str">
        <f t="shared" si="0"/>
        <v>ZZBKNRG</v>
      </c>
      <c r="D28" s="175" t="str">
        <f>NameConv!C14</f>
        <v>CLE</v>
      </c>
      <c r="E28" s="175" t="s">
        <v>334</v>
      </c>
      <c r="F28" s="175" t="s">
        <v>334</v>
      </c>
      <c r="G28" s="175" t="s">
        <v>334</v>
      </c>
      <c r="H28" s="175" t="s">
        <v>334</v>
      </c>
      <c r="I28" s="175">
        <v>1</v>
      </c>
      <c r="J28" s="175"/>
    </row>
    <row r="29" spans="2:10">
      <c r="B29" s="175" t="s">
        <v>344</v>
      </c>
      <c r="C29" s="169" t="str">
        <f t="shared" si="0"/>
        <v>ZZBKNRG</v>
      </c>
      <c r="D29" s="175" t="str">
        <f>NameConv!C15</f>
        <v>CRB</v>
      </c>
      <c r="E29" s="175" t="s">
        <v>334</v>
      </c>
      <c r="F29" s="175" t="s">
        <v>334</v>
      </c>
      <c r="G29" s="175" t="s">
        <v>334</v>
      </c>
      <c r="H29" s="175" t="s">
        <v>334</v>
      </c>
      <c r="I29" s="175">
        <v>1</v>
      </c>
      <c r="J29" s="175"/>
    </row>
    <row r="30" spans="2:10">
      <c r="B30" s="175" t="s">
        <v>344</v>
      </c>
      <c r="C30" s="169" t="str">
        <f t="shared" si="0"/>
        <v>ZZBKNRG</v>
      </c>
      <c r="D30" s="175" t="str">
        <f>NameConv!C18</f>
        <v>GAS</v>
      </c>
      <c r="E30" s="175" t="s">
        <v>334</v>
      </c>
      <c r="F30" s="175" t="s">
        <v>334</v>
      </c>
      <c r="G30" s="175" t="s">
        <v>334</v>
      </c>
      <c r="H30" s="175" t="s">
        <v>334</v>
      </c>
      <c r="I30" s="175">
        <v>1</v>
      </c>
      <c r="J30" s="175"/>
    </row>
    <row r="31" spans="2:10">
      <c r="B31" s="175" t="s">
        <v>344</v>
      </c>
      <c r="C31" s="169" t="str">
        <f t="shared" si="0"/>
        <v>ZZBKNRG</v>
      </c>
      <c r="D31" s="175" t="str">
        <f>NameConv!C19</f>
        <v>GRS</v>
      </c>
      <c r="E31" s="175" t="s">
        <v>334</v>
      </c>
      <c r="F31" s="175" t="s">
        <v>334</v>
      </c>
      <c r="G31" s="175" t="s">
        <v>334</v>
      </c>
      <c r="H31" s="175" t="s">
        <v>334</v>
      </c>
      <c r="I31" s="175">
        <v>1</v>
      </c>
      <c r="J31" s="175"/>
    </row>
    <row r="32" spans="2:10">
      <c r="B32" s="175" t="s">
        <v>344</v>
      </c>
      <c r="C32" s="169" t="str">
        <f t="shared" si="0"/>
        <v>ZZBKNRG</v>
      </c>
      <c r="D32" s="175" t="str">
        <f>NameConv!C20</f>
        <v>GRN</v>
      </c>
      <c r="E32" s="175" t="s">
        <v>334</v>
      </c>
      <c r="F32" s="175" t="s">
        <v>334</v>
      </c>
      <c r="G32" s="175" t="s">
        <v>334</v>
      </c>
      <c r="H32" s="175" t="s">
        <v>334</v>
      </c>
      <c r="I32" s="175">
        <v>1</v>
      </c>
      <c r="J32" s="175"/>
    </row>
    <row r="33" spans="2:10">
      <c r="B33" s="175" t="s">
        <v>344</v>
      </c>
      <c r="C33" s="169" t="str">
        <f t="shared" si="0"/>
        <v>ZZBKNRG</v>
      </c>
      <c r="D33" s="175" t="str">
        <f>NameConv!C21</f>
        <v>GRL</v>
      </c>
      <c r="E33" s="175" t="s">
        <v>334</v>
      </c>
      <c r="F33" s="175" t="s">
        <v>334</v>
      </c>
      <c r="G33" s="175" t="s">
        <v>334</v>
      </c>
      <c r="H33" s="175" t="s">
        <v>334</v>
      </c>
      <c r="I33" s="175">
        <v>1</v>
      </c>
      <c r="J33" s="175"/>
    </row>
    <row r="34" spans="2:10">
      <c r="B34" s="175" t="s">
        <v>344</v>
      </c>
      <c r="C34" s="169" t="str">
        <f t="shared" si="0"/>
        <v>ZZBKNRG</v>
      </c>
      <c r="D34" s="175" t="str">
        <f>NameConv!C22</f>
        <v>GWL</v>
      </c>
      <c r="E34" s="175" t="s">
        <v>334</v>
      </c>
      <c r="F34" s="175" t="s">
        <v>334</v>
      </c>
      <c r="G34" s="175" t="s">
        <v>334</v>
      </c>
      <c r="H34" s="175" t="s">
        <v>334</v>
      </c>
      <c r="I34" s="175">
        <v>1</v>
      </c>
      <c r="J34" s="175"/>
    </row>
    <row r="35" spans="2:10">
      <c r="B35" s="175" t="s">
        <v>344</v>
      </c>
      <c r="C35" s="169" t="str">
        <f t="shared" si="0"/>
        <v>ZZBKNRG</v>
      </c>
      <c r="D35" s="175" t="str">
        <f>NameConv!C23</f>
        <v>GRM</v>
      </c>
      <c r="E35" s="175" t="s">
        <v>334</v>
      </c>
      <c r="F35" s="175" t="s">
        <v>334</v>
      </c>
      <c r="G35" s="175" t="s">
        <v>334</v>
      </c>
      <c r="H35" s="175" t="s">
        <v>334</v>
      </c>
      <c r="I35" s="175">
        <v>1</v>
      </c>
      <c r="J35" s="175"/>
    </row>
    <row r="36" spans="2:10">
      <c r="B36" s="175" t="s">
        <v>344</v>
      </c>
      <c r="C36" s="169" t="str">
        <f t="shared" si="0"/>
        <v>ZZBKNRG</v>
      </c>
      <c r="D36" s="175" t="str">
        <f>NameConv!C24</f>
        <v>GIB</v>
      </c>
      <c r="E36" s="175" t="s">
        <v>334</v>
      </c>
      <c r="F36" s="175" t="s">
        <v>334</v>
      </c>
      <c r="G36" s="175" t="s">
        <v>334</v>
      </c>
      <c r="H36" s="175" t="s">
        <v>334</v>
      </c>
      <c r="I36" s="175">
        <v>1</v>
      </c>
      <c r="J36" s="175"/>
    </row>
    <row r="37" spans="2:10">
      <c r="B37" s="175" t="s">
        <v>344</v>
      </c>
      <c r="C37" s="169" t="str">
        <f t="shared" si="0"/>
        <v>ZZBKNRG</v>
      </c>
      <c r="D37" s="175" t="str">
        <f>NameConv!C25</f>
        <v>GIH</v>
      </c>
      <c r="E37" s="175" t="s">
        <v>334</v>
      </c>
      <c r="F37" s="175" t="s">
        <v>334</v>
      </c>
      <c r="G37" s="175" t="s">
        <v>334</v>
      </c>
      <c r="H37" s="175" t="s">
        <v>334</v>
      </c>
      <c r="I37" s="175">
        <v>1</v>
      </c>
      <c r="J37" s="175"/>
    </row>
    <row r="38" spans="2:10">
      <c r="B38" s="175" t="s">
        <v>344</v>
      </c>
      <c r="C38" s="169" t="str">
        <f t="shared" si="0"/>
        <v>ZZBKNRG</v>
      </c>
      <c r="D38" s="175" t="str">
        <f>NameConv!C26</f>
        <v>GIC</v>
      </c>
      <c r="E38" s="175" t="s">
        <v>334</v>
      </c>
      <c r="F38" s="175" t="s">
        <v>334</v>
      </c>
      <c r="G38" s="175" t="s">
        <v>334</v>
      </c>
      <c r="H38" s="175" t="s">
        <v>334</v>
      </c>
      <c r="I38" s="175">
        <v>1</v>
      </c>
      <c r="J38" s="175"/>
    </row>
    <row r="39" spans="2:10">
      <c r="B39" s="175" t="s">
        <v>344</v>
      </c>
      <c r="C39" s="169" t="str">
        <f t="shared" si="0"/>
        <v>ZZBKNRG</v>
      </c>
      <c r="D39" s="175" t="str">
        <f>NameConv!C27</f>
        <v>GIM</v>
      </c>
      <c r="E39" s="175" t="s">
        <v>334</v>
      </c>
      <c r="F39" s="175" t="s">
        <v>334</v>
      </c>
      <c r="G39" s="175" t="s">
        <v>334</v>
      </c>
      <c r="H39" s="175" t="s">
        <v>334</v>
      </c>
      <c r="I39" s="175">
        <v>1</v>
      </c>
      <c r="J39" s="175"/>
    </row>
    <row r="40" spans="2:10">
      <c r="B40" s="175" t="s">
        <v>344</v>
      </c>
      <c r="C40" s="169" t="str">
        <f t="shared" si="0"/>
        <v>ZZBKNRG</v>
      </c>
      <c r="D40" s="175" t="str">
        <f>NameConv!C28</f>
        <v>HET</v>
      </c>
      <c r="E40" s="175" t="s">
        <v>334</v>
      </c>
      <c r="F40" s="175" t="s">
        <v>334</v>
      </c>
      <c r="G40" s="175" t="s">
        <v>334</v>
      </c>
      <c r="H40" s="175" t="s">
        <v>334</v>
      </c>
      <c r="I40" s="175">
        <v>1</v>
      </c>
      <c r="J40" s="175"/>
    </row>
    <row r="41" spans="2:10">
      <c r="B41" s="175" t="s">
        <v>344</v>
      </c>
      <c r="C41" s="169" t="str">
        <f t="shared" si="0"/>
        <v>ZZBKNRG</v>
      </c>
      <c r="D41" s="175" t="str">
        <f>NameConv!C29</f>
        <v>HEE</v>
      </c>
      <c r="E41" s="175" t="s">
        <v>334</v>
      </c>
      <c r="F41" s="175" t="s">
        <v>334</v>
      </c>
      <c r="G41" s="175" t="s">
        <v>334</v>
      </c>
      <c r="H41" s="175" t="s">
        <v>334</v>
      </c>
      <c r="I41" s="175">
        <v>1</v>
      </c>
      <c r="J41" s="175"/>
    </row>
    <row r="42" spans="2:10">
      <c r="B42" s="175" t="s">
        <v>344</v>
      </c>
      <c r="C42" s="169" t="str">
        <f t="shared" si="0"/>
        <v>ZZBKNRG</v>
      </c>
      <c r="D42" s="175" t="str">
        <f>NameConv!C30</f>
        <v>HEN</v>
      </c>
      <c r="E42" s="175" t="s">
        <v>334</v>
      </c>
      <c r="F42" s="175" t="s">
        <v>334</v>
      </c>
      <c r="G42" s="175" t="s">
        <v>334</v>
      </c>
      <c r="H42" s="175" t="s">
        <v>334</v>
      </c>
      <c r="I42" s="175">
        <v>1</v>
      </c>
      <c r="J42" s="175"/>
    </row>
    <row r="43" spans="2:10">
      <c r="B43" s="175" t="s">
        <v>344</v>
      </c>
      <c r="C43" s="169" t="str">
        <f t="shared" si="0"/>
        <v>ZZBKNRG</v>
      </c>
      <c r="D43" s="175" t="str">
        <f>NameConv!C31</f>
        <v>HYD</v>
      </c>
      <c r="E43" s="175" t="s">
        <v>334</v>
      </c>
      <c r="F43" s="175" t="s">
        <v>334</v>
      </c>
      <c r="G43" s="175" t="s">
        <v>334</v>
      </c>
      <c r="H43" s="175" t="s">
        <v>334</v>
      </c>
      <c r="I43" s="175">
        <v>1</v>
      </c>
      <c r="J43" s="175"/>
    </row>
    <row r="44" spans="2:10">
      <c r="B44" s="175" t="s">
        <v>344</v>
      </c>
      <c r="C44" s="169" t="str">
        <f t="shared" si="0"/>
        <v>ZZBKNRG</v>
      </c>
      <c r="D44" s="175" t="str">
        <f>NameConv!C32</f>
        <v>HGN</v>
      </c>
      <c r="E44" s="175" t="s">
        <v>334</v>
      </c>
      <c r="F44" s="175" t="s">
        <v>334</v>
      </c>
      <c r="G44" s="175" t="s">
        <v>334</v>
      </c>
      <c r="H44" s="175" t="s">
        <v>334</v>
      </c>
      <c r="I44" s="175">
        <v>1</v>
      </c>
      <c r="J44" s="175"/>
    </row>
    <row r="45" spans="2:10">
      <c r="B45" s="175" t="s">
        <v>344</v>
      </c>
      <c r="C45" s="169" t="str">
        <f t="shared" si="0"/>
        <v>ZZBKNRG</v>
      </c>
      <c r="D45" s="175" t="str">
        <f>NameConv!C33</f>
        <v>NUC</v>
      </c>
      <c r="E45" s="175" t="s">
        <v>334</v>
      </c>
      <c r="F45" s="175" t="s">
        <v>334</v>
      </c>
      <c r="G45" s="175" t="s">
        <v>334</v>
      </c>
      <c r="H45" s="175" t="s">
        <v>334</v>
      </c>
      <c r="I45" s="175">
        <v>1</v>
      </c>
      <c r="J45" s="175"/>
    </row>
    <row r="46" spans="2:10">
      <c r="B46" s="175" t="s">
        <v>344</v>
      </c>
      <c r="C46" s="169" t="str">
        <f t="shared" si="0"/>
        <v>ZZBKNRG</v>
      </c>
      <c r="D46" s="175" t="str">
        <f>NameConv!C34</f>
        <v>OAG</v>
      </c>
      <c r="E46" s="175" t="s">
        <v>334</v>
      </c>
      <c r="F46" s="175" t="s">
        <v>334</v>
      </c>
      <c r="G46" s="175" t="s">
        <v>334</v>
      </c>
      <c r="H46" s="175" t="s">
        <v>334</v>
      </c>
      <c r="I46" s="175">
        <v>1</v>
      </c>
      <c r="J46" s="175"/>
    </row>
    <row r="47" spans="2:10">
      <c r="B47" s="175" t="s">
        <v>344</v>
      </c>
      <c r="C47" s="169" t="str">
        <f t="shared" si="0"/>
        <v>ZZBKNRG</v>
      </c>
      <c r="D47" s="175" t="str">
        <f>NameConv!C35</f>
        <v>OCR</v>
      </c>
      <c r="E47" s="175" t="s">
        <v>334</v>
      </c>
      <c r="F47" s="175" t="s">
        <v>334</v>
      </c>
      <c r="G47" s="175" t="s">
        <v>334</v>
      </c>
      <c r="H47" s="175" t="s">
        <v>334</v>
      </c>
      <c r="I47" s="175">
        <v>1</v>
      </c>
      <c r="J47" s="175"/>
    </row>
    <row r="48" spans="2:10">
      <c r="B48" s="175" t="s">
        <v>344</v>
      </c>
      <c r="C48" s="169" t="str">
        <f t="shared" si="0"/>
        <v>ZZBKNRG</v>
      </c>
      <c r="D48" s="175" t="str">
        <f>NameConv!C36</f>
        <v>ODS</v>
      </c>
      <c r="E48" s="175" t="s">
        <v>334</v>
      </c>
      <c r="F48" s="175" t="s">
        <v>334</v>
      </c>
      <c r="G48" s="175" t="s">
        <v>334</v>
      </c>
      <c r="H48" s="175" t="s">
        <v>334</v>
      </c>
      <c r="I48" s="175">
        <v>1</v>
      </c>
      <c r="J48" s="175"/>
    </row>
    <row r="49" spans="2:10">
      <c r="B49" s="175" t="s">
        <v>344</v>
      </c>
      <c r="C49" s="169" t="str">
        <f t="shared" si="0"/>
        <v>ZZBKNRG</v>
      </c>
      <c r="D49" s="175" t="str">
        <f>NameConv!C37</f>
        <v>OGS</v>
      </c>
      <c r="E49" s="175" t="s">
        <v>334</v>
      </c>
      <c r="F49" s="175" t="s">
        <v>334</v>
      </c>
      <c r="G49" s="175" t="s">
        <v>334</v>
      </c>
      <c r="H49" s="175" t="s">
        <v>334</v>
      </c>
      <c r="I49" s="175">
        <v>1</v>
      </c>
      <c r="J49" s="175"/>
    </row>
    <row r="50" spans="2:10">
      <c r="B50" s="175" t="s">
        <v>344</v>
      </c>
      <c r="C50" s="169" t="str">
        <f t="shared" si="0"/>
        <v>ZZBKNRG</v>
      </c>
      <c r="D50" s="175" t="str">
        <f>NameConv!C38</f>
        <v>OHF</v>
      </c>
      <c r="E50" s="175" t="s">
        <v>334</v>
      </c>
      <c r="F50" s="175" t="s">
        <v>334</v>
      </c>
      <c r="G50" s="175" t="s">
        <v>334</v>
      </c>
      <c r="H50" s="175" t="s">
        <v>334</v>
      </c>
      <c r="I50" s="175">
        <v>1</v>
      </c>
      <c r="J50" s="175"/>
    </row>
    <row r="51" spans="2:10">
      <c r="B51" s="175" t="s">
        <v>344</v>
      </c>
      <c r="C51" s="169" t="str">
        <f t="shared" si="0"/>
        <v>ZZBKNRG</v>
      </c>
      <c r="D51" s="175" t="str">
        <f>NameConv!C39</f>
        <v>OKE</v>
      </c>
      <c r="E51" s="175" t="s">
        <v>334</v>
      </c>
      <c r="F51" s="175" t="s">
        <v>334</v>
      </c>
      <c r="G51" s="175" t="s">
        <v>334</v>
      </c>
      <c r="H51" s="175" t="s">
        <v>334</v>
      </c>
      <c r="I51" s="175">
        <v>1</v>
      </c>
      <c r="J51" s="175"/>
    </row>
    <row r="52" spans="2:10">
      <c r="B52" s="175" t="s">
        <v>344</v>
      </c>
      <c r="C52" s="169" t="str">
        <f t="shared" si="0"/>
        <v>ZZBKNRG</v>
      </c>
      <c r="D52" s="175" t="str">
        <f>NameConv!C40</f>
        <v>OLP</v>
      </c>
      <c r="E52" s="175" t="s">
        <v>334</v>
      </c>
      <c r="F52" s="175" t="s">
        <v>334</v>
      </c>
      <c r="G52" s="175" t="s">
        <v>334</v>
      </c>
      <c r="H52" s="175" t="s">
        <v>334</v>
      </c>
      <c r="I52" s="175">
        <v>1</v>
      </c>
      <c r="J52" s="175"/>
    </row>
    <row r="53" spans="2:10">
      <c r="B53" s="175" t="s">
        <v>344</v>
      </c>
      <c r="C53" s="169" t="str">
        <f t="shared" si="0"/>
        <v>ZZBKNRG</v>
      </c>
      <c r="D53" s="175" t="str">
        <f>NameConv!C41</f>
        <v>OTH</v>
      </c>
      <c r="E53" s="175" t="s">
        <v>334</v>
      </c>
      <c r="F53" s="175" t="s">
        <v>334</v>
      </c>
      <c r="G53" s="175" t="s">
        <v>334</v>
      </c>
      <c r="H53" s="175" t="s">
        <v>334</v>
      </c>
      <c r="I53" s="175">
        <v>1</v>
      </c>
      <c r="J53" s="175"/>
    </row>
    <row r="54" spans="2:10">
      <c r="B54" s="175" t="s">
        <v>344</v>
      </c>
      <c r="C54" s="169" t="str">
        <f t="shared" si="0"/>
        <v>ZZBKNRG</v>
      </c>
      <c r="D54" s="175" t="str">
        <f>NameConv!C42</f>
        <v>SOL</v>
      </c>
      <c r="E54" s="175" t="s">
        <v>334</v>
      </c>
      <c r="F54" s="175" t="s">
        <v>334</v>
      </c>
      <c r="G54" s="175" t="s">
        <v>334</v>
      </c>
      <c r="H54" s="175" t="s">
        <v>334</v>
      </c>
      <c r="I54" s="175">
        <v>1</v>
      </c>
      <c r="J54" s="175"/>
    </row>
    <row r="55" spans="2:10">
      <c r="B55" s="175" t="s">
        <v>344</v>
      </c>
      <c r="C55" s="169" t="str">
        <f t="shared" si="0"/>
        <v>ZZBKNRG</v>
      </c>
      <c r="D55" s="175" t="str">
        <f>NameConv!C43</f>
        <v>WND</v>
      </c>
      <c r="E55" s="175" t="s">
        <v>334</v>
      </c>
      <c r="F55" s="175" t="s">
        <v>334</v>
      </c>
      <c r="G55" s="175" t="s">
        <v>334</v>
      </c>
      <c r="H55" s="175" t="s">
        <v>334</v>
      </c>
      <c r="I55" s="175">
        <v>1</v>
      </c>
      <c r="J55" s="175"/>
    </row>
    <row r="56" spans="2:10">
      <c r="B56" s="175" t="s">
        <v>344</v>
      </c>
      <c r="C56" s="169" t="str">
        <f t="shared" si="0"/>
        <v>ZZBKNRG</v>
      </c>
      <c r="D56" s="175" t="str">
        <f>NameConv!C44</f>
        <v>WAS</v>
      </c>
      <c r="E56" s="175" t="s">
        <v>334</v>
      </c>
      <c r="F56" s="175" t="s">
        <v>334</v>
      </c>
      <c r="G56" s="175" t="s">
        <v>334</v>
      </c>
      <c r="H56" s="175" t="s">
        <v>334</v>
      </c>
      <c r="I56" s="175">
        <v>1</v>
      </c>
      <c r="J56" s="175"/>
    </row>
    <row r="57" spans="2:10">
      <c r="B57" s="175" t="s">
        <v>344</v>
      </c>
      <c r="C57" s="175" t="str">
        <f>C18</f>
        <v>MNZZZ</v>
      </c>
      <c r="D57" s="175" t="str">
        <f>IF($A57="*","",IF($B57="TOP-OUT",RIGHT(C57,LEN(C57)-2),IF($B57="TOP-IN","ZZZ","-")))</f>
        <v>ZZZ</v>
      </c>
      <c r="E57" s="175" t="s">
        <v>334</v>
      </c>
      <c r="F57" s="175" t="s">
        <v>334</v>
      </c>
      <c r="G57" s="175" t="s">
        <v>334</v>
      </c>
      <c r="H57" s="175" t="s">
        <v>334</v>
      </c>
      <c r="I57" s="175">
        <v>1</v>
      </c>
      <c r="J57" s="175"/>
    </row>
    <row r="58" spans="2:10">
      <c r="B58" s="175" t="s">
        <v>344</v>
      </c>
      <c r="C58" s="175" t="str">
        <f>C17</f>
        <v>ZZBKELCC</v>
      </c>
      <c r="D58" s="175" t="str">
        <f>ITEMS_Comm!C26</f>
        <v>ELCC</v>
      </c>
      <c r="E58" s="175" t="s">
        <v>334</v>
      </c>
      <c r="F58" s="175" t="s">
        <v>334</v>
      </c>
      <c r="G58" s="175" t="s">
        <v>334</v>
      </c>
      <c r="H58" s="175" t="s">
        <v>334</v>
      </c>
      <c r="I58" s="175">
        <v>1</v>
      </c>
      <c r="J58" s="175"/>
    </row>
    <row r="59" spans="2:10">
      <c r="B59" s="175" t="s">
        <v>361</v>
      </c>
      <c r="C59" s="175" t="str">
        <f>C16</f>
        <v>ZZBKNRG</v>
      </c>
      <c r="D59" s="175" t="str">
        <f>IF($A59="*","",IF($B59="TOP-OUT",RIGHT(C59,LEN(C59)-2),IF($B59="TOP-IN","ZZZ","-")))</f>
        <v>ZZZ</v>
      </c>
      <c r="E59" s="175" t="s">
        <v>334</v>
      </c>
      <c r="F59" s="175" t="s">
        <v>334</v>
      </c>
      <c r="G59" s="175" t="s">
        <v>334</v>
      </c>
      <c r="H59" s="175" t="s">
        <v>334</v>
      </c>
      <c r="I59" s="175">
        <v>1</v>
      </c>
      <c r="J59" s="175"/>
    </row>
    <row r="60" spans="2:10">
      <c r="B60" s="175" t="s">
        <v>361</v>
      </c>
      <c r="C60" s="175" t="str">
        <f>C17</f>
        <v>ZZBKELCC</v>
      </c>
      <c r="D60" s="175" t="str">
        <f>IF($A60="*","",IF($B60="TOP-OUT",RIGHT(C60,LEN(C60)-2),IF($B60="TOP-IN","ZZZ","-")))</f>
        <v>ZZZ</v>
      </c>
      <c r="E60" s="175" t="s">
        <v>334</v>
      </c>
      <c r="F60" s="175" t="s">
        <v>334</v>
      </c>
      <c r="G60" s="175" t="s">
        <v>334</v>
      </c>
      <c r="H60" s="175" t="s">
        <v>334</v>
      </c>
      <c r="I60" s="175">
        <v>1</v>
      </c>
      <c r="J60" s="175"/>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1265" r:id="rId4" name="cmdCheckTIDDataSheet">
          <controlPr defaultSize="0" autoLine="0" r:id="rId5">
            <anchor moveWithCells="1">
              <from>
                <xdr:col>0</xdr:col>
                <xdr:colOff>0</xdr:colOff>
                <xdr:row>2</xdr:row>
                <xdr:rowOff>0</xdr:rowOff>
              </from>
              <to>
                <xdr:col>0</xdr:col>
                <xdr:colOff>819150</xdr:colOff>
                <xdr:row>3</xdr:row>
                <xdr:rowOff>38100</xdr:rowOff>
              </to>
            </anchor>
          </controlPr>
        </control>
      </mc:Choice>
      <mc:Fallback>
        <control shapeId="11265" r:id="rId4" name="cmdCheckTIDDataSheet"/>
      </mc:Fallback>
    </mc:AlternateContent>
    <mc:AlternateContent xmlns:mc="http://schemas.openxmlformats.org/markup-compatibility/2006">
      <mc:Choice Requires="x14">
        <control shapeId="11266" r:id="rId6" name="cmdSpecifyParameter">
          <controlPr defaultSize="0" autoLine="0" r:id="rId7">
            <anchor moveWithCells="1">
              <from>
                <xdr:col>1</xdr:col>
                <xdr:colOff>0</xdr:colOff>
                <xdr:row>3</xdr:row>
                <xdr:rowOff>19050</xdr:rowOff>
              </from>
              <to>
                <xdr:col>2</xdr:col>
                <xdr:colOff>19050</xdr:colOff>
                <xdr:row>4</xdr:row>
                <xdr:rowOff>104775</xdr:rowOff>
              </to>
            </anchor>
          </controlPr>
        </control>
      </mc:Choice>
      <mc:Fallback>
        <control shapeId="11266" r:id="rId6" name="cmdSpecifyParameter"/>
      </mc:Fallback>
    </mc:AlternateContent>
    <mc:AlternateContent xmlns:mc="http://schemas.openxmlformats.org/markup-compatibility/2006">
      <mc:Choice Requires="x14">
        <control shapeId="11267" r:id="rId8" name="cmdSpecifyArg1">
          <controlPr defaultSize="0" autoLine="0" r:id="rId9">
            <anchor moveWithCells="1">
              <from>
                <xdr:col>2</xdr:col>
                <xdr:colOff>0</xdr:colOff>
                <xdr:row>3</xdr:row>
                <xdr:rowOff>19050</xdr:rowOff>
              </from>
              <to>
                <xdr:col>2</xdr:col>
                <xdr:colOff>619125</xdr:colOff>
                <xdr:row>4</xdr:row>
                <xdr:rowOff>95250</xdr:rowOff>
              </to>
            </anchor>
          </controlPr>
        </control>
      </mc:Choice>
      <mc:Fallback>
        <control shapeId="11267" r:id="rId8" name="cmdSpecifyArg1"/>
      </mc:Fallback>
    </mc:AlternateContent>
    <mc:AlternateContent xmlns:mc="http://schemas.openxmlformats.org/markup-compatibility/2006">
      <mc:Choice Requires="x14">
        <control shapeId="11268" r:id="rId10" name="cmdSpecifyArg2">
          <controlPr defaultSize="0" autoLine="0" autoPict="0" r:id="rId11">
            <anchor moveWithCells="1">
              <from>
                <xdr:col>3</xdr:col>
                <xdr:colOff>0</xdr:colOff>
                <xdr:row>3</xdr:row>
                <xdr:rowOff>19050</xdr:rowOff>
              </from>
              <to>
                <xdr:col>4</xdr:col>
                <xdr:colOff>19050</xdr:colOff>
                <xdr:row>4</xdr:row>
                <xdr:rowOff>95250</xdr:rowOff>
              </to>
            </anchor>
          </controlPr>
        </control>
      </mc:Choice>
      <mc:Fallback>
        <control shapeId="11268" r:id="rId10" name="cmdSpecifyArg2"/>
      </mc:Fallback>
    </mc:AlternateContent>
    <mc:AlternateContent xmlns:mc="http://schemas.openxmlformats.org/markup-compatibility/2006">
      <mc:Choice Requires="x14">
        <control shapeId="11269" r:id="rId12" name="cmdSpecifyArg3">
          <controlPr defaultSize="0" autoLine="0" autoPict="0" r:id="rId13">
            <anchor moveWithCells="1">
              <from>
                <xdr:col>4</xdr:col>
                <xdr:colOff>0</xdr:colOff>
                <xdr:row>3</xdr:row>
                <xdr:rowOff>19050</xdr:rowOff>
              </from>
              <to>
                <xdr:col>5</xdr:col>
                <xdr:colOff>19050</xdr:colOff>
                <xdr:row>4</xdr:row>
                <xdr:rowOff>95250</xdr:rowOff>
              </to>
            </anchor>
          </controlPr>
        </control>
      </mc:Choice>
      <mc:Fallback>
        <control shapeId="11269" r:id="rId12" name="cmdSpecifyArg3"/>
      </mc:Fallback>
    </mc:AlternateContent>
    <mc:AlternateContent xmlns:mc="http://schemas.openxmlformats.org/markup-compatibility/2006">
      <mc:Choice Requires="x14">
        <control shapeId="11270" r:id="rId14" name="cmdSpecifyArg4">
          <controlPr defaultSize="0" autoLine="0" autoPict="0" r:id="rId15">
            <anchor moveWithCells="1">
              <from>
                <xdr:col>5</xdr:col>
                <xdr:colOff>0</xdr:colOff>
                <xdr:row>3</xdr:row>
                <xdr:rowOff>19050</xdr:rowOff>
              </from>
              <to>
                <xdr:col>6</xdr:col>
                <xdr:colOff>19050</xdr:colOff>
                <xdr:row>4</xdr:row>
                <xdr:rowOff>95250</xdr:rowOff>
              </to>
            </anchor>
          </controlPr>
        </control>
      </mc:Choice>
      <mc:Fallback>
        <control shapeId="11270" r:id="rId14" name="cmdSpecifyArg4"/>
      </mc:Fallback>
    </mc:AlternateContent>
    <mc:AlternateContent xmlns:mc="http://schemas.openxmlformats.org/markup-compatibility/2006">
      <mc:Choice Requires="x14">
        <control shapeId="11271" r:id="rId16" name="cmdSpecifyArg5">
          <controlPr defaultSize="0" autoLine="0" autoPict="0" r:id="rId17">
            <anchor moveWithCells="1">
              <from>
                <xdr:col>6</xdr:col>
                <xdr:colOff>0</xdr:colOff>
                <xdr:row>3</xdr:row>
                <xdr:rowOff>19050</xdr:rowOff>
              </from>
              <to>
                <xdr:col>7</xdr:col>
                <xdr:colOff>19050</xdr:colOff>
                <xdr:row>4</xdr:row>
                <xdr:rowOff>95250</xdr:rowOff>
              </to>
            </anchor>
          </controlPr>
        </control>
      </mc:Choice>
      <mc:Fallback>
        <control shapeId="11271" r:id="rId16" name="cmdSpecifyArg5"/>
      </mc:Fallback>
    </mc:AlternateContent>
    <mc:AlternateContent xmlns:mc="http://schemas.openxmlformats.org/markup-compatibility/2006">
      <mc:Choice Requires="x14">
        <control shapeId="11272" r:id="rId18" name="cmdSpecifyArg6">
          <controlPr defaultSize="0" autoLine="0" autoPict="0" r:id="rId19">
            <anchor moveWithCells="1">
              <from>
                <xdr:col>7</xdr:col>
                <xdr:colOff>0</xdr:colOff>
                <xdr:row>3</xdr:row>
                <xdr:rowOff>19050</xdr:rowOff>
              </from>
              <to>
                <xdr:col>8</xdr:col>
                <xdr:colOff>19050</xdr:colOff>
                <xdr:row>4</xdr:row>
                <xdr:rowOff>95250</xdr:rowOff>
              </to>
            </anchor>
          </controlPr>
        </control>
      </mc:Choice>
      <mc:Fallback>
        <control shapeId="11272" r:id="rId18" name="cmdSpecifyArg6"/>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dimension ref="A1:AD76"/>
  <sheetViews>
    <sheetView workbookViewId="0"/>
  </sheetViews>
  <sheetFormatPr defaultColWidth="11.42578125" defaultRowHeight="12.75"/>
  <cols>
    <col min="1" max="1" width="14.42578125" style="255" customWidth="1"/>
    <col min="2" max="2" width="5.7109375" style="255" bestFit="1" customWidth="1"/>
    <col min="3" max="4" width="9.7109375" style="255" bestFit="1" customWidth="1"/>
    <col min="5" max="5" width="11.42578125" style="261" bestFit="1" customWidth="1"/>
    <col min="6" max="6" width="9.7109375" style="257" customWidth="1"/>
    <col min="7" max="7" width="10.42578125" style="259" bestFit="1" customWidth="1"/>
    <col min="8" max="8" width="14.28515625" style="258" bestFit="1" customWidth="1"/>
    <col min="9" max="9" width="9.7109375" style="257" bestFit="1" customWidth="1"/>
    <col min="10" max="10" width="9.7109375" style="259" bestFit="1" customWidth="1"/>
    <col min="11" max="11" width="12.42578125" style="258" bestFit="1" customWidth="1"/>
    <col min="12" max="12" width="10.7109375" style="257" bestFit="1" customWidth="1"/>
    <col min="13" max="13" width="10.7109375" style="260" bestFit="1" customWidth="1"/>
    <col min="14" max="14" width="12.42578125" style="261" bestFit="1" customWidth="1"/>
    <col min="15" max="15" width="24.7109375" style="261" customWidth="1"/>
    <col min="16" max="16" width="17.28515625" style="255" bestFit="1" customWidth="1"/>
    <col min="17" max="17" width="13.7109375" style="255" customWidth="1"/>
    <col min="18" max="18" width="12.7109375" style="255" customWidth="1"/>
    <col min="19" max="19" width="14.28515625" style="255" customWidth="1"/>
    <col min="20" max="20" width="10.5703125" style="255" customWidth="1"/>
    <col min="21" max="21" width="11.7109375" style="255" customWidth="1"/>
    <col min="22" max="23" width="19.7109375" style="255" customWidth="1"/>
    <col min="24" max="25" width="12.7109375" style="255" customWidth="1"/>
    <col min="26" max="26" width="20.42578125" style="255" customWidth="1"/>
    <col min="27" max="27" width="16.42578125" style="255" customWidth="1"/>
    <col min="28" max="16384" width="11.42578125" style="255"/>
  </cols>
  <sheetData>
    <row r="1" spans="1:30">
      <c r="C1" s="256" t="s">
        <v>408</v>
      </c>
      <c r="D1" s="257"/>
      <c r="E1" s="258"/>
      <c r="F1" s="256" t="s">
        <v>408</v>
      </c>
      <c r="I1" s="256" t="s">
        <v>408</v>
      </c>
      <c r="J1" s="259" t="s">
        <v>162</v>
      </c>
      <c r="L1" s="256" t="s">
        <v>409</v>
      </c>
      <c r="Y1" s="255" t="s">
        <v>573</v>
      </c>
      <c r="Z1" s="257">
        <v>4652</v>
      </c>
      <c r="AB1" s="257">
        <v>1241</v>
      </c>
    </row>
    <row r="2" spans="1:30" s="262" customFormat="1">
      <c r="C2" s="1846" t="s">
        <v>410</v>
      </c>
      <c r="D2" s="1847"/>
      <c r="E2" s="1847"/>
      <c r="F2" s="1848" t="s">
        <v>411</v>
      </c>
      <c r="G2" s="1849"/>
      <c r="H2" s="1850"/>
      <c r="I2" s="1848" t="s">
        <v>412</v>
      </c>
      <c r="J2" s="1849"/>
      <c r="K2" s="1850"/>
      <c r="L2" s="1848" t="s">
        <v>413</v>
      </c>
      <c r="M2" s="1849"/>
      <c r="N2" s="1850"/>
      <c r="O2" s="263"/>
      <c r="P2" s="264"/>
      <c r="Y2" s="262" t="s">
        <v>572</v>
      </c>
      <c r="Z2" s="264">
        <v>1105</v>
      </c>
    </row>
    <row r="3" spans="1:30">
      <c r="C3" s="265">
        <v>1997</v>
      </c>
      <c r="D3" s="266">
        <v>2006</v>
      </c>
      <c r="E3" s="261" t="s">
        <v>414</v>
      </c>
      <c r="F3" s="265">
        <v>1997</v>
      </c>
      <c r="G3" s="266">
        <v>2006</v>
      </c>
      <c r="H3" s="261" t="s">
        <v>414</v>
      </c>
      <c r="I3" s="265">
        <v>1997</v>
      </c>
      <c r="J3" s="266">
        <v>2006</v>
      </c>
      <c r="K3" s="261" t="s">
        <v>414</v>
      </c>
      <c r="L3" s="265">
        <v>1997</v>
      </c>
      <c r="M3" s="266">
        <v>2006</v>
      </c>
      <c r="N3" s="267" t="s">
        <v>414</v>
      </c>
      <c r="P3" s="268"/>
      <c r="Y3" s="255" t="s">
        <v>571</v>
      </c>
    </row>
    <row r="4" spans="1:30">
      <c r="A4" s="260" t="s">
        <v>415</v>
      </c>
      <c r="B4" s="255" t="s">
        <v>416</v>
      </c>
      <c r="C4" s="269">
        <v>4982000</v>
      </c>
      <c r="D4" s="270">
        <f>C4*D5/C5</f>
        <v>4982000</v>
      </c>
      <c r="E4" s="258"/>
      <c r="F4" s="271">
        <v>9329000</v>
      </c>
      <c r="G4" s="259">
        <f>F4*G5/F5</f>
        <v>9329000</v>
      </c>
      <c r="H4" s="272"/>
      <c r="I4" s="271">
        <v>5288000</v>
      </c>
      <c r="J4" s="259">
        <f>I4*J5/I5</f>
        <v>5288000</v>
      </c>
      <c r="K4" s="272"/>
      <c r="L4" s="271">
        <v>5039000</v>
      </c>
      <c r="M4" s="259">
        <v>6267729</v>
      </c>
      <c r="N4" s="267"/>
      <c r="O4" s="259">
        <f>(M4*L7+I4*J5/I5*I7+F4*G5/F5*F7+C4*D5/C5*C7)/1000</f>
        <v>22126935.192000002</v>
      </c>
      <c r="Y4" s="255" t="s">
        <v>574</v>
      </c>
      <c r="Z4" s="258">
        <f>(D4*C7+G4*F7+J4*I7)/1000000</f>
        <v>16811.901000000002</v>
      </c>
      <c r="AB4" s="258">
        <f>(M6*L7)/1000000</f>
        <v>5071.3381978021971</v>
      </c>
    </row>
    <row r="5" spans="1:30">
      <c r="B5" s="255" t="s">
        <v>417</v>
      </c>
      <c r="C5" s="269">
        <v>85611</v>
      </c>
      <c r="D5" s="270">
        <f>C5</f>
        <v>85611</v>
      </c>
      <c r="E5" s="258"/>
      <c r="F5" s="271">
        <v>165000</v>
      </c>
      <c r="G5" s="259">
        <f>F5</f>
        <v>165000</v>
      </c>
      <c r="H5" s="272" t="s">
        <v>418</v>
      </c>
      <c r="I5" s="271">
        <v>104900</v>
      </c>
      <c r="J5" s="259">
        <f>I5</f>
        <v>104900</v>
      </c>
      <c r="K5" s="272" t="s">
        <v>418</v>
      </c>
      <c r="L5" s="271">
        <v>91000</v>
      </c>
      <c r="M5" s="259">
        <v>108000</v>
      </c>
      <c r="N5" s="272" t="s">
        <v>418</v>
      </c>
      <c r="O5" s="258">
        <f>J5+G5+D5</f>
        <v>355511</v>
      </c>
      <c r="P5" s="257"/>
      <c r="Y5" s="255" t="s">
        <v>575</v>
      </c>
      <c r="Z5" s="258">
        <f>Z4*42.66</f>
        <v>717195.69666000002</v>
      </c>
      <c r="AB5" s="258">
        <f>AB4*42.66</f>
        <v>216343.2875182417</v>
      </c>
    </row>
    <row r="6" spans="1:30">
      <c r="B6" s="255" t="s">
        <v>419</v>
      </c>
      <c r="C6" s="273"/>
      <c r="D6" s="399">
        <f>D5/(D5+G5)</f>
        <v>0.341609107341657</v>
      </c>
      <c r="E6" s="258"/>
      <c r="F6" s="273"/>
      <c r="H6" s="272" t="s">
        <v>420</v>
      </c>
      <c r="I6" s="273"/>
      <c r="J6" s="493">
        <f>J5/(J5+G5+D5)</f>
        <v>0.29506822573703767</v>
      </c>
      <c r="K6" s="272"/>
      <c r="L6" s="273"/>
      <c r="M6" s="259">
        <f>L4*M5/L5</f>
        <v>5980351.6483516479</v>
      </c>
      <c r="N6" s="272"/>
      <c r="P6" s="258"/>
      <c r="Y6" s="255" t="s">
        <v>3</v>
      </c>
      <c r="Z6" s="400">
        <f>Z26/(Z5+Z2+Z1)</f>
        <v>0.93202743955627865</v>
      </c>
      <c r="AB6" s="400">
        <f>AB26/(AB5+AB2+AB1)</f>
        <v>0.93499810209992607</v>
      </c>
    </row>
    <row r="7" spans="1:30">
      <c r="A7" s="255" t="s">
        <v>421</v>
      </c>
      <c r="C7" s="269">
        <v>858</v>
      </c>
      <c r="D7" s="270"/>
      <c r="E7" s="258"/>
      <c r="F7" s="273">
        <v>857</v>
      </c>
      <c r="H7" s="272"/>
      <c r="I7" s="273">
        <v>859</v>
      </c>
      <c r="K7" s="272"/>
      <c r="L7" s="273">
        <v>848</v>
      </c>
      <c r="M7" s="259"/>
      <c r="N7" s="272"/>
      <c r="P7" s="257"/>
    </row>
    <row r="8" spans="1:30">
      <c r="A8" s="255" t="s">
        <v>422</v>
      </c>
      <c r="B8" s="255" t="s">
        <v>423</v>
      </c>
      <c r="C8" s="269">
        <v>325</v>
      </c>
      <c r="D8" s="270"/>
      <c r="E8" s="258"/>
      <c r="F8" s="273">
        <v>358</v>
      </c>
      <c r="H8" s="272"/>
      <c r="I8" s="273">
        <v>317</v>
      </c>
      <c r="K8" s="272"/>
      <c r="L8" s="273">
        <v>350</v>
      </c>
      <c r="M8" s="259"/>
      <c r="N8" s="267"/>
      <c r="Y8" s="255" t="s">
        <v>577</v>
      </c>
      <c r="Z8" s="399">
        <f>(C8+F8+I8)/(365*3)</f>
        <v>0.91324200913242004</v>
      </c>
    </row>
    <row r="9" spans="1:30" ht="14.25" customHeight="1">
      <c r="A9" s="1851" t="s">
        <v>424</v>
      </c>
      <c r="B9" s="1852"/>
      <c r="C9" s="273"/>
      <c r="D9" s="493">
        <f>D5/$O$5</f>
        <v>0.24081111414274101</v>
      </c>
      <c r="E9" s="258"/>
      <c r="F9" s="273"/>
      <c r="G9" s="493">
        <f>G5/$O$5</f>
        <v>0.4641206601202213</v>
      </c>
      <c r="H9" s="272"/>
      <c r="I9" s="273"/>
      <c r="J9" s="493">
        <f>J5/$O$5</f>
        <v>0.29506822573703767</v>
      </c>
      <c r="K9" s="272"/>
      <c r="L9" s="273"/>
      <c r="M9" s="259"/>
      <c r="N9" s="267"/>
      <c r="O9" s="261">
        <v>788</v>
      </c>
      <c r="Q9" s="1840" t="s">
        <v>425</v>
      </c>
      <c r="S9" s="1844" t="s">
        <v>426</v>
      </c>
      <c r="V9" s="1842" t="s">
        <v>427</v>
      </c>
      <c r="W9" s="1842" t="s">
        <v>428</v>
      </c>
      <c r="X9" s="1842" t="s">
        <v>429</v>
      </c>
      <c r="Y9" s="1842" t="s">
        <v>430</v>
      </c>
      <c r="Z9" s="1842" t="s">
        <v>431</v>
      </c>
      <c r="AA9" s="1842" t="s">
        <v>576</v>
      </c>
      <c r="AB9" s="1842" t="s">
        <v>432</v>
      </c>
    </row>
    <row r="10" spans="1:30" ht="12" customHeight="1">
      <c r="A10" s="1853"/>
      <c r="B10" s="1854"/>
      <c r="C10" s="273"/>
      <c r="D10" s="257">
        <f>D9*788</f>
        <v>189.75915794447991</v>
      </c>
      <c r="E10" s="258"/>
      <c r="F10" s="271"/>
      <c r="G10" s="257">
        <f>G9*788</f>
        <v>365.7270801747344</v>
      </c>
      <c r="H10" s="272"/>
      <c r="I10" s="273"/>
      <c r="J10" s="257">
        <f>J9*788</f>
        <v>232.51376188078569</v>
      </c>
      <c r="K10" s="272"/>
      <c r="L10" s="274"/>
      <c r="M10" s="275"/>
      <c r="N10" s="276"/>
      <c r="O10" s="258">
        <f>O9-G10</f>
        <v>422.2729198252656</v>
      </c>
      <c r="Q10" s="1841"/>
      <c r="R10" s="277" t="s">
        <v>414</v>
      </c>
      <c r="S10" s="1845"/>
      <c r="U10" s="277" t="s">
        <v>414</v>
      </c>
      <c r="V10" s="1843"/>
      <c r="W10" s="1843"/>
      <c r="X10" s="1843"/>
      <c r="Y10" s="1843"/>
      <c r="Z10" s="1843"/>
      <c r="AA10" s="1843"/>
      <c r="AB10" s="1843"/>
    </row>
    <row r="11" spans="1:30">
      <c r="A11" s="278" t="s">
        <v>390</v>
      </c>
      <c r="B11" s="279"/>
      <c r="C11" s="280"/>
      <c r="D11" s="281"/>
      <c r="E11" s="282">
        <f>D11/$D$26</f>
        <v>0</v>
      </c>
      <c r="F11" s="283">
        <v>42900</v>
      </c>
      <c r="G11" s="281">
        <f t="shared" ref="G11:G25" si="0">F11/$F$5*$G$5</f>
        <v>42900</v>
      </c>
      <c r="H11" s="282">
        <f>G11/G$26</f>
        <v>4.7749432349405638E-3</v>
      </c>
      <c r="I11" s="284">
        <v>16900</v>
      </c>
      <c r="J11" s="281">
        <f>I11/$I$5*$J$5</f>
        <v>16900</v>
      </c>
      <c r="K11" s="282">
        <f t="shared" ref="K11:K25" si="1">J11/J$26</f>
        <v>3.4195989559094313E-3</v>
      </c>
      <c r="L11" s="284"/>
      <c r="M11" s="281"/>
      <c r="N11" s="282">
        <f t="shared" ref="N11:N25" si="2">M11/M$26</f>
        <v>0</v>
      </c>
      <c r="O11" s="1440">
        <f>O10-J10</f>
        <v>189.75915794447991</v>
      </c>
      <c r="P11" s="278" t="s">
        <v>390</v>
      </c>
      <c r="Q11" s="279">
        <f>0.7172*1000</f>
        <v>717.19999999999993</v>
      </c>
      <c r="R11" s="286" t="s">
        <v>433</v>
      </c>
      <c r="S11" s="248">
        <v>44799</v>
      </c>
      <c r="T11" s="287"/>
      <c r="U11" s="286" t="s">
        <v>433</v>
      </c>
      <c r="V11" s="288">
        <f t="shared" ref="V11:V25" si="3">SUM(D11,G11,J11)</f>
        <v>59800</v>
      </c>
      <c r="W11" s="288">
        <f>M11</f>
        <v>0</v>
      </c>
      <c r="X11" s="248">
        <f t="shared" ref="X11:X23" si="4">V11*Q11/1000</f>
        <v>42888.55999999999</v>
      </c>
      <c r="Y11" s="248">
        <f>W11*Q11/1000</f>
        <v>0</v>
      </c>
      <c r="Z11" s="289">
        <f t="shared" ref="Z11:Z18" si="5">X11*10^3*S11/10^9</f>
        <v>1921.3645994399997</v>
      </c>
      <c r="AA11" s="401">
        <f>Z11/$Z$26</f>
        <v>2.8514857409240738E-3</v>
      </c>
      <c r="AB11" s="289">
        <f t="shared" ref="AB11:AB25" si="6">Y11*10^3*S11/10^9</f>
        <v>0</v>
      </c>
    </row>
    <row r="12" spans="1:30" ht="25.5">
      <c r="A12" s="251" t="s">
        <v>434</v>
      </c>
      <c r="C12" s="269">
        <v>43800</v>
      </c>
      <c r="D12" s="290">
        <f t="shared" ref="D12:D18" si="7">C12/$C$5*$D$5</f>
        <v>43800</v>
      </c>
      <c r="E12" s="282">
        <f>D12/$D$26</f>
        <v>9.2001344311880354E-3</v>
      </c>
      <c r="F12" s="271">
        <v>79300</v>
      </c>
      <c r="G12" s="290">
        <f t="shared" si="0"/>
        <v>79300</v>
      </c>
      <c r="H12" s="282">
        <f t="shared" ref="H12:H25" si="8">G12/G$26</f>
        <v>8.8264102221628608E-3</v>
      </c>
      <c r="I12" s="291">
        <v>123700</v>
      </c>
      <c r="J12" s="290">
        <f>I12/$I$5*$J$5</f>
        <v>123700</v>
      </c>
      <c r="K12" s="282">
        <f t="shared" si="1"/>
        <v>2.5029845612189152E-2</v>
      </c>
      <c r="L12" s="291">
        <v>157700</v>
      </c>
      <c r="M12" s="290">
        <f>L12/$L$5*$M$5</f>
        <v>187160.43956043955</v>
      </c>
      <c r="N12" s="282">
        <f t="shared" si="2"/>
        <v>3.2811784777995089E-2</v>
      </c>
      <c r="O12" s="285"/>
      <c r="P12" s="251" t="s">
        <v>434</v>
      </c>
      <c r="Q12" s="255">
        <f>1.0132*1000</f>
        <v>1013.2</v>
      </c>
      <c r="R12" s="272" t="s">
        <v>433</v>
      </c>
      <c r="S12" s="249">
        <v>40193</v>
      </c>
      <c r="T12" s="292"/>
      <c r="U12" s="272" t="s">
        <v>433</v>
      </c>
      <c r="V12" s="288">
        <f t="shared" si="3"/>
        <v>246800</v>
      </c>
      <c r="W12" s="288">
        <f t="shared" ref="W12:W25" si="9">M12</f>
        <v>187160.43956043955</v>
      </c>
      <c r="X12" s="249">
        <f t="shared" si="4"/>
        <v>250057.76</v>
      </c>
      <c r="Y12" s="248">
        <f t="shared" ref="Y12:Y25" si="10">W12*Q12/1000</f>
        <v>189630.95736263736</v>
      </c>
      <c r="Z12" s="293">
        <f t="shared" si="5"/>
        <v>10050.57154768</v>
      </c>
      <c r="AA12" s="401">
        <f t="shared" ref="AA12:AA25" si="11">Z12/$Z$26</f>
        <v>1.491599328138953E-2</v>
      </c>
      <c r="AB12" s="289">
        <f t="shared" si="6"/>
        <v>7621.8370692764838</v>
      </c>
    </row>
    <row r="13" spans="1:30" ht="25.5">
      <c r="A13" s="251" t="s">
        <v>435</v>
      </c>
      <c r="C13" s="269">
        <v>47800</v>
      </c>
      <c r="D13" s="290">
        <f t="shared" si="7"/>
        <v>47800</v>
      </c>
      <c r="E13" s="282">
        <f t="shared" ref="E13:E25" si="12">D13/$D$26</f>
        <v>1.0040329356410688E-2</v>
      </c>
      <c r="F13" s="271">
        <v>11200</v>
      </c>
      <c r="G13" s="290">
        <f t="shared" si="0"/>
        <v>11200.000000000002</v>
      </c>
      <c r="H13" s="282">
        <f t="shared" si="8"/>
        <v>1.2466052268376299E-3</v>
      </c>
      <c r="I13" s="291"/>
      <c r="J13" s="290"/>
      <c r="K13" s="282">
        <f t="shared" si="1"/>
        <v>0</v>
      </c>
      <c r="L13" s="291"/>
      <c r="M13" s="290"/>
      <c r="N13" s="282">
        <f t="shared" si="2"/>
        <v>0</v>
      </c>
      <c r="O13" s="285"/>
      <c r="P13" s="251" t="s">
        <v>435</v>
      </c>
      <c r="Q13" s="255">
        <f>0.718*1000</f>
        <v>718</v>
      </c>
      <c r="R13" s="272" t="s">
        <v>433</v>
      </c>
      <c r="S13" s="249">
        <v>45008</v>
      </c>
      <c r="T13" s="292"/>
      <c r="U13" s="272" t="s">
        <v>433</v>
      </c>
      <c r="V13" s="288">
        <f t="shared" si="3"/>
        <v>59000</v>
      </c>
      <c r="W13" s="288">
        <f t="shared" si="9"/>
        <v>0</v>
      </c>
      <c r="X13" s="249">
        <f t="shared" si="4"/>
        <v>42362</v>
      </c>
      <c r="Y13" s="248">
        <f t="shared" si="10"/>
        <v>0</v>
      </c>
      <c r="Z13" s="293">
        <f t="shared" si="5"/>
        <v>1906.6288959999999</v>
      </c>
      <c r="AA13" s="401">
        <f t="shared" si="11"/>
        <v>2.8296165713485068E-3</v>
      </c>
      <c r="AB13" s="289">
        <f t="shared" si="6"/>
        <v>0</v>
      </c>
    </row>
    <row r="14" spans="1:30">
      <c r="A14" s="251" t="s">
        <v>32</v>
      </c>
      <c r="C14" s="269">
        <v>1488600</v>
      </c>
      <c r="D14" s="290">
        <f t="shared" si="7"/>
        <v>1488600</v>
      </c>
      <c r="E14" s="282">
        <f t="shared" si="12"/>
        <v>0.31267854142160983</v>
      </c>
      <c r="F14" s="271">
        <v>2643000</v>
      </c>
      <c r="G14" s="290">
        <f t="shared" si="0"/>
        <v>2643000</v>
      </c>
      <c r="H14" s="282">
        <f t="shared" si="8"/>
        <v>0.29417657272605852</v>
      </c>
      <c r="I14" s="291">
        <v>1308800</v>
      </c>
      <c r="J14" s="290">
        <f>I14/$I$5*$J$5</f>
        <v>1308800</v>
      </c>
      <c r="K14" s="282">
        <f t="shared" si="1"/>
        <v>0.26482669310616946</v>
      </c>
      <c r="L14" s="291">
        <v>1605000</v>
      </c>
      <c r="M14" s="290">
        <f>L14/$L$5*$M$5</f>
        <v>1904835.164835165</v>
      </c>
      <c r="N14" s="282">
        <f t="shared" si="2"/>
        <v>0.3339436561108568</v>
      </c>
      <c r="O14" s="285"/>
      <c r="P14" s="251" t="s">
        <v>32</v>
      </c>
      <c r="Q14" s="294">
        <f>AVERAGE(54.6,53,59.9)*(3.2808)^3*0.453593</f>
        <v>894.33282118473073</v>
      </c>
      <c r="R14" s="272" t="s">
        <v>436</v>
      </c>
      <c r="S14" s="249">
        <f>46*1000</f>
        <v>46000</v>
      </c>
      <c r="T14" s="294"/>
      <c r="U14" s="272" t="s">
        <v>437</v>
      </c>
      <c r="V14" s="288">
        <f t="shared" si="3"/>
        <v>5440400</v>
      </c>
      <c r="W14" s="288">
        <f t="shared" si="9"/>
        <v>1904835.164835165</v>
      </c>
      <c r="X14" s="249">
        <f t="shared" si="4"/>
        <v>4865528.2803734094</v>
      </c>
      <c r="Y14" s="248">
        <f t="shared" si="10"/>
        <v>1703556.6068589147</v>
      </c>
      <c r="Z14" s="293">
        <f t="shared" si="5"/>
        <v>223814.30089717681</v>
      </c>
      <c r="AA14" s="401">
        <f t="shared" si="11"/>
        <v>0.33216146888997561</v>
      </c>
      <c r="AB14" s="289">
        <f t="shared" si="6"/>
        <v>78363.603915510073</v>
      </c>
      <c r="AC14" s="368">
        <f>AB14+Z14</f>
        <v>302177.9048126869</v>
      </c>
      <c r="AD14" s="368">
        <f>AC14+'GTL and CTL'!U18</f>
        <v>374973.91345866042</v>
      </c>
    </row>
    <row r="15" spans="1:30">
      <c r="A15" s="251" t="s">
        <v>391</v>
      </c>
      <c r="C15" s="269">
        <v>920700</v>
      </c>
      <c r="D15" s="290">
        <f t="shared" si="7"/>
        <v>920700</v>
      </c>
      <c r="E15" s="282">
        <f t="shared" si="12"/>
        <v>0.19339186691312385</v>
      </c>
      <c r="F15" s="271">
        <v>2041200</v>
      </c>
      <c r="G15" s="290">
        <f t="shared" si="0"/>
        <v>2041200</v>
      </c>
      <c r="H15" s="282">
        <f t="shared" si="8"/>
        <v>0.22719380259115801</v>
      </c>
      <c r="I15" s="291">
        <v>1079800</v>
      </c>
      <c r="J15" s="290">
        <f>I15/$I$5*$J$5</f>
        <v>1079800</v>
      </c>
      <c r="K15" s="282">
        <f t="shared" si="1"/>
        <v>0.21849011553792921</v>
      </c>
      <c r="L15" s="291">
        <v>166800</v>
      </c>
      <c r="M15" s="290">
        <f>L15/$L$5*$M$5</f>
        <v>197960.43956043955</v>
      </c>
      <c r="N15" s="282">
        <f t="shared" si="2"/>
        <v>3.4705172485539504E-2</v>
      </c>
      <c r="O15" s="285"/>
      <c r="P15" s="251" t="s">
        <v>391</v>
      </c>
      <c r="Q15" s="255">
        <f>0.9475*1000</f>
        <v>947.5</v>
      </c>
      <c r="R15" s="272" t="s">
        <v>433</v>
      </c>
      <c r="S15" s="249">
        <v>40193</v>
      </c>
      <c r="T15" s="292"/>
      <c r="U15" s="272" t="s">
        <v>433</v>
      </c>
      <c r="V15" s="288">
        <f t="shared" si="3"/>
        <v>4041700</v>
      </c>
      <c r="W15" s="288">
        <f t="shared" si="9"/>
        <v>197960.43956043955</v>
      </c>
      <c r="X15" s="249">
        <f>V15*Q15/1000</f>
        <v>3829510.75</v>
      </c>
      <c r="Y15" s="248">
        <f t="shared" si="10"/>
        <v>187567.51648351649</v>
      </c>
      <c r="Z15" s="293">
        <f>X15*10^3*S15/10^9</f>
        <v>153919.52557475001</v>
      </c>
      <c r="AA15" s="401">
        <f t="shared" si="11"/>
        <v>0.22843104976229886</v>
      </c>
      <c r="AB15" s="289">
        <f t="shared" si="6"/>
        <v>7538.9011900219784</v>
      </c>
    </row>
    <row r="16" spans="1:30">
      <c r="A16" s="251" t="s">
        <v>140</v>
      </c>
      <c r="C16" s="269">
        <v>37900</v>
      </c>
      <c r="D16" s="290">
        <f t="shared" si="7"/>
        <v>37900</v>
      </c>
      <c r="E16" s="282">
        <f t="shared" si="12"/>
        <v>7.9608469164846249E-3</v>
      </c>
      <c r="F16" s="271">
        <v>24300</v>
      </c>
      <c r="G16" s="290">
        <f t="shared" si="0"/>
        <v>24300</v>
      </c>
      <c r="H16" s="282">
        <f t="shared" si="8"/>
        <v>2.7046881260852145E-3</v>
      </c>
      <c r="I16" s="291"/>
      <c r="J16" s="290"/>
      <c r="K16" s="282">
        <f t="shared" si="1"/>
        <v>0</v>
      </c>
      <c r="L16" s="291"/>
      <c r="M16" s="290"/>
      <c r="N16" s="282">
        <f t="shared" si="2"/>
        <v>0</v>
      </c>
      <c r="O16" s="285"/>
      <c r="P16" s="251" t="s">
        <v>140</v>
      </c>
      <c r="Q16" s="255">
        <f>0.6948*1000</f>
        <v>694.8</v>
      </c>
      <c r="R16" s="272" t="s">
        <v>433</v>
      </c>
      <c r="S16" s="249">
        <v>48148</v>
      </c>
      <c r="T16" s="292"/>
      <c r="U16" s="272" t="s">
        <v>433</v>
      </c>
      <c r="V16" s="288">
        <f t="shared" si="3"/>
        <v>62200</v>
      </c>
      <c r="W16" s="288">
        <f t="shared" si="9"/>
        <v>0</v>
      </c>
      <c r="X16" s="249">
        <f t="shared" si="4"/>
        <v>43216.56</v>
      </c>
      <c r="Y16" s="248">
        <f t="shared" si="10"/>
        <v>0</v>
      </c>
      <c r="Z16" s="293">
        <f t="shared" si="5"/>
        <v>2080.7909308799999</v>
      </c>
      <c r="AA16" s="401">
        <f t="shared" si="11"/>
        <v>3.0880894084224209E-3</v>
      </c>
      <c r="AB16" s="289">
        <f t="shared" si="6"/>
        <v>0</v>
      </c>
    </row>
    <row r="17" spans="1:30" ht="25.5">
      <c r="A17" s="251" t="s">
        <v>438</v>
      </c>
      <c r="C17" s="269">
        <v>611800</v>
      </c>
      <c r="D17" s="290">
        <f t="shared" si="7"/>
        <v>611800</v>
      </c>
      <c r="E17" s="282">
        <f t="shared" si="12"/>
        <v>0.12850781381280457</v>
      </c>
      <c r="F17" s="271">
        <v>931000</v>
      </c>
      <c r="G17" s="290">
        <f t="shared" si="0"/>
        <v>931000</v>
      </c>
      <c r="H17" s="282">
        <f t="shared" si="8"/>
        <v>0.10362405948087797</v>
      </c>
      <c r="I17" s="291">
        <v>472200</v>
      </c>
      <c r="J17" s="290">
        <f t="shared" ref="J17:J23" si="13">I17/$I$5*$J$5</f>
        <v>472200</v>
      </c>
      <c r="K17" s="282">
        <f t="shared" si="1"/>
        <v>9.5546427631978306E-2</v>
      </c>
      <c r="L17" s="291">
        <v>1031000</v>
      </c>
      <c r="M17" s="290">
        <f>L17/$L$5*$M$5</f>
        <v>1223604.3956043958</v>
      </c>
      <c r="N17" s="282">
        <f t="shared" si="2"/>
        <v>0.2145145853272856</v>
      </c>
      <c r="O17" s="285"/>
      <c r="P17" s="251" t="s">
        <v>438</v>
      </c>
      <c r="Q17" s="255">
        <f>0.797*1000</f>
        <v>797</v>
      </c>
      <c r="R17" s="272" t="s">
        <v>433</v>
      </c>
      <c r="S17" s="249">
        <v>44590</v>
      </c>
      <c r="T17" s="292"/>
      <c r="U17" s="272" t="s">
        <v>433</v>
      </c>
      <c r="V17" s="288">
        <f t="shared" si="3"/>
        <v>2015000</v>
      </c>
      <c r="W17" s="288">
        <f t="shared" si="9"/>
        <v>1223604.3956043958</v>
      </c>
      <c r="X17" s="249">
        <f t="shared" si="4"/>
        <v>1605955</v>
      </c>
      <c r="Y17" s="248">
        <f t="shared" si="10"/>
        <v>975212.7032967034</v>
      </c>
      <c r="Z17" s="293">
        <f t="shared" si="5"/>
        <v>71609.533450000003</v>
      </c>
      <c r="AA17" s="401">
        <f t="shared" si="11"/>
        <v>0.10627528143612863</v>
      </c>
      <c r="AB17" s="289">
        <f t="shared" si="6"/>
        <v>43484.734440000007</v>
      </c>
    </row>
    <row r="18" spans="1:30">
      <c r="A18" s="251" t="s">
        <v>34</v>
      </c>
      <c r="C18" s="269">
        <v>83200</v>
      </c>
      <c r="D18" s="290">
        <f t="shared" si="7"/>
        <v>83200</v>
      </c>
      <c r="E18" s="282">
        <f t="shared" si="12"/>
        <v>1.7476054444631156E-2</v>
      </c>
      <c r="F18" s="271">
        <v>303200</v>
      </c>
      <c r="G18" s="290">
        <f t="shared" si="0"/>
        <v>303200</v>
      </c>
      <c r="H18" s="282">
        <f t="shared" si="8"/>
        <v>3.3747384355104403E-2</v>
      </c>
      <c r="I18" s="291">
        <v>106800</v>
      </c>
      <c r="J18" s="290">
        <f t="shared" si="13"/>
        <v>106800</v>
      </c>
      <c r="K18" s="282">
        <f t="shared" si="1"/>
        <v>2.1610246656279718E-2</v>
      </c>
      <c r="L18" s="291">
        <v>17100</v>
      </c>
      <c r="M18" s="290">
        <f>L18/$L$5*$M$5</f>
        <v>20294.505494505494</v>
      </c>
      <c r="N18" s="282">
        <f t="shared" si="2"/>
        <v>3.5579043735175396E-3</v>
      </c>
      <c r="O18" s="285"/>
      <c r="P18" s="251" t="s">
        <v>34</v>
      </c>
      <c r="Q18" s="255">
        <f>0.562*1000</f>
        <v>562</v>
      </c>
      <c r="R18" s="272" t="s">
        <v>433</v>
      </c>
      <c r="S18" s="249">
        <v>47311</v>
      </c>
      <c r="T18" s="292"/>
      <c r="U18" s="272" t="s">
        <v>433</v>
      </c>
      <c r="V18" s="288">
        <f t="shared" si="3"/>
        <v>493200</v>
      </c>
      <c r="W18" s="288">
        <f t="shared" si="9"/>
        <v>20294.505494505494</v>
      </c>
      <c r="X18" s="249">
        <f t="shared" si="4"/>
        <v>277178.40000000002</v>
      </c>
      <c r="Y18" s="248">
        <f t="shared" si="10"/>
        <v>11405.512087912088</v>
      </c>
      <c r="Z18" s="293">
        <f t="shared" si="5"/>
        <v>13113.5872824</v>
      </c>
      <c r="AA18" s="401">
        <f t="shared" si="11"/>
        <v>1.9461796662135593E-2</v>
      </c>
      <c r="AB18" s="289">
        <f t="shared" si="6"/>
        <v>539.60618239120879</v>
      </c>
    </row>
    <row r="19" spans="1:30" ht="25.5">
      <c r="A19" s="251" t="s">
        <v>439</v>
      </c>
      <c r="C19" s="295"/>
      <c r="D19" s="296"/>
      <c r="E19" s="282">
        <f t="shared" si="12"/>
        <v>0</v>
      </c>
      <c r="F19" s="271">
        <v>196000</v>
      </c>
      <c r="G19" s="290">
        <f t="shared" si="0"/>
        <v>196000.00000000003</v>
      </c>
      <c r="H19" s="282">
        <f t="shared" si="8"/>
        <v>2.1815591469658523E-2</v>
      </c>
      <c r="I19" s="291">
        <v>156000</v>
      </c>
      <c r="J19" s="290">
        <f t="shared" si="13"/>
        <v>156000</v>
      </c>
      <c r="K19" s="282">
        <f t="shared" si="1"/>
        <v>3.1565528823779367E-2</v>
      </c>
      <c r="L19" s="291"/>
      <c r="M19" s="290"/>
      <c r="N19" s="282">
        <f t="shared" si="2"/>
        <v>0</v>
      </c>
      <c r="O19" s="285"/>
      <c r="P19" s="251" t="s">
        <v>439</v>
      </c>
      <c r="Q19" s="255">
        <f>0.891*1000</f>
        <v>891</v>
      </c>
      <c r="R19" s="272" t="s">
        <v>433</v>
      </c>
      <c r="S19" s="297"/>
      <c r="T19" s="298"/>
      <c r="U19" s="299"/>
      <c r="V19" s="288">
        <f t="shared" si="3"/>
        <v>352000</v>
      </c>
      <c r="W19" s="288">
        <f t="shared" si="9"/>
        <v>0</v>
      </c>
      <c r="X19" s="249">
        <f t="shared" si="4"/>
        <v>313632</v>
      </c>
      <c r="Y19" s="248">
        <f t="shared" si="10"/>
        <v>0</v>
      </c>
      <c r="Z19" s="300">
        <f>X19*S19/10^9</f>
        <v>0</v>
      </c>
      <c r="AA19" s="401">
        <f t="shared" si="11"/>
        <v>0</v>
      </c>
      <c r="AB19" s="289">
        <f t="shared" si="6"/>
        <v>0</v>
      </c>
    </row>
    <row r="20" spans="1:30" ht="14.25">
      <c r="A20" s="251" t="s">
        <v>440</v>
      </c>
      <c r="C20" s="269"/>
      <c r="D20" s="290"/>
      <c r="E20" s="282">
        <f t="shared" si="12"/>
        <v>0</v>
      </c>
      <c r="F20" s="271">
        <v>49400</v>
      </c>
      <c r="G20" s="290">
        <f t="shared" si="0"/>
        <v>49400</v>
      </c>
      <c r="H20" s="282">
        <f t="shared" si="8"/>
        <v>5.4984194826588305E-3</v>
      </c>
      <c r="I20" s="291">
        <v>4200</v>
      </c>
      <c r="J20" s="290">
        <f t="shared" si="13"/>
        <v>4200</v>
      </c>
      <c r="K20" s="282">
        <f t="shared" si="1"/>
        <v>8.4984116064021364E-4</v>
      </c>
      <c r="L20" s="291"/>
      <c r="M20" s="290"/>
      <c r="N20" s="282">
        <f t="shared" si="2"/>
        <v>0</v>
      </c>
      <c r="O20" s="285"/>
      <c r="P20" s="251" t="s">
        <v>440</v>
      </c>
      <c r="Q20" s="255">
        <v>723</v>
      </c>
      <c r="R20" s="272" t="s">
        <v>441</v>
      </c>
      <c r="S20" s="249">
        <v>47300</v>
      </c>
      <c r="T20" s="294"/>
      <c r="U20" s="272" t="s">
        <v>441</v>
      </c>
      <c r="V20" s="288">
        <f t="shared" si="3"/>
        <v>53600</v>
      </c>
      <c r="W20" s="288">
        <f t="shared" si="9"/>
        <v>0</v>
      </c>
      <c r="X20" s="249">
        <f t="shared" si="4"/>
        <v>38752.800000000003</v>
      </c>
      <c r="Y20" s="248">
        <f t="shared" si="10"/>
        <v>0</v>
      </c>
      <c r="Z20" s="293">
        <f>X20*10^3*S20/10^9</f>
        <v>1833.0074400000001</v>
      </c>
      <c r="AA20" s="401">
        <f t="shared" si="11"/>
        <v>2.7203554076572142E-3</v>
      </c>
      <c r="AB20" s="289">
        <f t="shared" si="6"/>
        <v>0</v>
      </c>
    </row>
    <row r="21" spans="1:30" ht="14.25">
      <c r="A21" s="251" t="s">
        <v>442</v>
      </c>
      <c r="C21" s="269">
        <v>250100</v>
      </c>
      <c r="D21" s="290">
        <f>C21/$C$5*$D$5</f>
        <v>250100</v>
      </c>
      <c r="E21" s="282">
        <f t="shared" si="12"/>
        <v>5.2533187699546298E-2</v>
      </c>
      <c r="F21" s="271">
        <v>1086000</v>
      </c>
      <c r="G21" s="290">
        <f t="shared" si="0"/>
        <v>1086000</v>
      </c>
      <c r="H21" s="282">
        <f t="shared" si="8"/>
        <v>0.12087618538800587</v>
      </c>
      <c r="I21" s="291">
        <v>603900</v>
      </c>
      <c r="J21" s="290">
        <f t="shared" si="13"/>
        <v>603900</v>
      </c>
      <c r="K21" s="282">
        <f t="shared" si="1"/>
        <v>0.12219501831205358</v>
      </c>
      <c r="L21" s="291">
        <v>544200</v>
      </c>
      <c r="M21" s="290">
        <f>L21/$L$5*$M$5</f>
        <v>645863.73626373627</v>
      </c>
      <c r="N21" s="282">
        <f t="shared" si="2"/>
        <v>0.11322874620282135</v>
      </c>
      <c r="O21" s="285"/>
      <c r="P21" s="251" t="s">
        <v>442</v>
      </c>
      <c r="Q21" s="255">
        <v>723</v>
      </c>
      <c r="R21" s="272" t="s">
        <v>441</v>
      </c>
      <c r="S21" s="249">
        <v>47300</v>
      </c>
      <c r="T21" s="294"/>
      <c r="U21" s="272" t="s">
        <v>441</v>
      </c>
      <c r="V21" s="288">
        <f t="shared" si="3"/>
        <v>1940000</v>
      </c>
      <c r="W21" s="288">
        <f t="shared" si="9"/>
        <v>645863.73626373627</v>
      </c>
      <c r="X21" s="249">
        <f t="shared" si="4"/>
        <v>1402620</v>
      </c>
      <c r="Y21" s="248">
        <f t="shared" si="10"/>
        <v>466959.48131868133</v>
      </c>
      <c r="Z21" s="293">
        <f>X21*10^3*S21/10^9</f>
        <v>66343.926000000007</v>
      </c>
      <c r="AA21" s="401">
        <f t="shared" si="11"/>
        <v>9.8460624829384252E-2</v>
      </c>
      <c r="AB21" s="289">
        <f t="shared" si="6"/>
        <v>22087.183466373626</v>
      </c>
      <c r="AC21" s="368">
        <f>SUM(Z21:Z23)+SUM(AB21:AB23)</f>
        <v>259189.00324912087</v>
      </c>
      <c r="AD21" s="368">
        <f>AC21+'GTL and CTL'!U25</f>
        <v>415719.63112912088</v>
      </c>
    </row>
    <row r="22" spans="1:30" ht="14.25">
      <c r="A22" s="251" t="s">
        <v>443</v>
      </c>
      <c r="C22" s="269">
        <v>133000</v>
      </c>
      <c r="D22" s="290">
        <f>C22/$C$5*$D$5</f>
        <v>133000</v>
      </c>
      <c r="E22" s="282">
        <f t="shared" si="12"/>
        <v>2.7936481263653168E-2</v>
      </c>
      <c r="F22" s="271">
        <v>116600</v>
      </c>
      <c r="G22" s="290">
        <f t="shared" si="0"/>
        <v>116600</v>
      </c>
      <c r="H22" s="282">
        <f t="shared" si="8"/>
        <v>1.297805084368461E-2</v>
      </c>
      <c r="I22" s="291">
        <v>64000</v>
      </c>
      <c r="J22" s="290">
        <f t="shared" si="13"/>
        <v>64000.000000000007</v>
      </c>
      <c r="K22" s="282">
        <f t="shared" si="1"/>
        <v>1.2949960543088971E-2</v>
      </c>
      <c r="L22" s="291">
        <v>1061200</v>
      </c>
      <c r="M22" s="290">
        <f>L22/$L$5*$M$5</f>
        <v>1259446.1538461538</v>
      </c>
      <c r="N22" s="282">
        <f t="shared" si="2"/>
        <v>0.22079813574133408</v>
      </c>
      <c r="O22" s="285"/>
      <c r="P22" s="251" t="s">
        <v>443</v>
      </c>
      <c r="Q22" s="255">
        <v>723</v>
      </c>
      <c r="R22" s="272" t="s">
        <v>441</v>
      </c>
      <c r="S22" s="249">
        <v>47300</v>
      </c>
      <c r="T22" s="294"/>
      <c r="U22" s="272" t="s">
        <v>441</v>
      </c>
      <c r="V22" s="288">
        <f t="shared" si="3"/>
        <v>313600</v>
      </c>
      <c r="W22" s="288">
        <f t="shared" si="9"/>
        <v>1259446.1538461538</v>
      </c>
      <c r="X22" s="249">
        <f t="shared" si="4"/>
        <v>226732.79999999999</v>
      </c>
      <c r="Y22" s="248">
        <f t="shared" si="10"/>
        <v>910579.56923076918</v>
      </c>
      <c r="Z22" s="293">
        <f>X22*10^3*S22/10^9</f>
        <v>10724.461439999999</v>
      </c>
      <c r="AA22" s="401">
        <f t="shared" si="11"/>
        <v>1.5916109250770565E-2</v>
      </c>
      <c r="AB22" s="289">
        <f t="shared" si="6"/>
        <v>43070.413624615379</v>
      </c>
    </row>
    <row r="23" spans="1:30" ht="14.25">
      <c r="A23" s="251" t="s">
        <v>444</v>
      </c>
      <c r="C23" s="269">
        <v>1140900</v>
      </c>
      <c r="D23" s="290">
        <f>C23/$C$5*$D$5</f>
        <v>1140900</v>
      </c>
      <c r="E23" s="282">
        <f t="shared" si="12"/>
        <v>0.23964459754663081</v>
      </c>
      <c r="F23" s="271">
        <v>1380000</v>
      </c>
      <c r="G23" s="290">
        <f t="shared" si="0"/>
        <v>1380000</v>
      </c>
      <c r="H23" s="282">
        <f t="shared" si="8"/>
        <v>0.15359957259249366</v>
      </c>
      <c r="I23" s="291">
        <v>877800</v>
      </c>
      <c r="J23" s="290">
        <f t="shared" si="13"/>
        <v>877800</v>
      </c>
      <c r="K23" s="282">
        <f t="shared" si="1"/>
        <v>0.17761680257380466</v>
      </c>
      <c r="L23" s="291">
        <v>18100</v>
      </c>
      <c r="M23" s="290">
        <f>L23/$L$5*$M$5</f>
        <v>21481.31868131868</v>
      </c>
      <c r="N23" s="282">
        <f t="shared" si="2"/>
        <v>3.7659689567641789E-3</v>
      </c>
      <c r="O23" s="285"/>
      <c r="P23" s="251" t="s">
        <v>444</v>
      </c>
      <c r="Q23" s="255">
        <v>723</v>
      </c>
      <c r="R23" s="272" t="s">
        <v>441</v>
      </c>
      <c r="S23" s="249">
        <v>47300</v>
      </c>
      <c r="T23" s="294"/>
      <c r="U23" s="272" t="s">
        <v>441</v>
      </c>
      <c r="V23" s="288">
        <f t="shared" si="3"/>
        <v>3398700</v>
      </c>
      <c r="W23" s="288">
        <f t="shared" si="9"/>
        <v>21481.31868131868</v>
      </c>
      <c r="X23" s="249">
        <f t="shared" si="4"/>
        <v>2457260.1</v>
      </c>
      <c r="Y23" s="248">
        <f t="shared" si="10"/>
        <v>15530.993406593407</v>
      </c>
      <c r="Z23" s="293">
        <f>X23*10^3*S23/10^9</f>
        <v>116228.40273</v>
      </c>
      <c r="AA23" s="401">
        <f t="shared" si="11"/>
        <v>0.17249387917918982</v>
      </c>
      <c r="AB23" s="289">
        <f t="shared" si="6"/>
        <v>734.61598813186811</v>
      </c>
    </row>
    <row r="24" spans="1:30">
      <c r="A24" s="251" t="s">
        <v>393</v>
      </c>
      <c r="C24" s="269">
        <v>3000</v>
      </c>
      <c r="D24" s="290">
        <f>C24/$C$5*$D$5</f>
        <v>3000</v>
      </c>
      <c r="E24" s="282">
        <f t="shared" si="12"/>
        <v>6.3014619391698874E-4</v>
      </c>
      <c r="F24" s="271">
        <v>4700</v>
      </c>
      <c r="G24" s="290">
        <f t="shared" si="0"/>
        <v>4700</v>
      </c>
      <c r="H24" s="282">
        <f t="shared" si="8"/>
        <v>5.231289791193625E-4</v>
      </c>
      <c r="I24" s="291"/>
      <c r="J24" s="301"/>
      <c r="K24" s="282">
        <f t="shared" si="1"/>
        <v>0</v>
      </c>
      <c r="L24" s="291"/>
      <c r="M24" s="290"/>
      <c r="N24" s="282">
        <f t="shared" si="2"/>
        <v>0</v>
      </c>
      <c r="O24" s="285"/>
      <c r="P24" s="251" t="s">
        <v>393</v>
      </c>
      <c r="Q24" s="302"/>
      <c r="R24" s="303"/>
      <c r="S24" s="304">
        <v>34.5</v>
      </c>
      <c r="T24" s="305" t="s">
        <v>445</v>
      </c>
      <c r="U24" s="272" t="s">
        <v>446</v>
      </c>
      <c r="V24" s="288">
        <f t="shared" si="3"/>
        <v>7700</v>
      </c>
      <c r="W24" s="288">
        <f t="shared" si="9"/>
        <v>0</v>
      </c>
      <c r="X24" s="222"/>
      <c r="Y24" s="248">
        <f t="shared" si="10"/>
        <v>0</v>
      </c>
      <c r="Z24" s="306">
        <f>V24*10^3*S24/10^6</f>
        <v>265.64999999999998</v>
      </c>
      <c r="AA24" s="401">
        <f t="shared" si="11"/>
        <v>3.9424958037493772E-4</v>
      </c>
      <c r="AB24" s="289">
        <f t="shared" si="6"/>
        <v>0</v>
      </c>
    </row>
    <row r="25" spans="1:30">
      <c r="A25" s="307" t="s">
        <v>447</v>
      </c>
      <c r="B25" s="308"/>
      <c r="C25" s="309"/>
      <c r="D25" s="310"/>
      <c r="E25" s="282">
        <f t="shared" si="12"/>
        <v>0</v>
      </c>
      <c r="F25" s="311">
        <v>75600</v>
      </c>
      <c r="G25" s="310">
        <f t="shared" si="0"/>
        <v>75600</v>
      </c>
      <c r="H25" s="282">
        <f t="shared" si="8"/>
        <v>8.4145852811539999E-3</v>
      </c>
      <c r="I25" s="312">
        <v>128000</v>
      </c>
      <c r="J25" s="310">
        <f>I25/$I$5*$J$5</f>
        <v>128000.00000000001</v>
      </c>
      <c r="K25" s="282">
        <f t="shared" si="1"/>
        <v>2.5899921086177943E-2</v>
      </c>
      <c r="L25" s="312">
        <v>205100</v>
      </c>
      <c r="M25" s="310">
        <f>L25/$L$5*$M$5</f>
        <v>243415.38461538462</v>
      </c>
      <c r="N25" s="282">
        <f t="shared" si="2"/>
        <v>4.267404602388581E-2</v>
      </c>
      <c r="O25" s="285"/>
      <c r="P25" s="307" t="s">
        <v>447</v>
      </c>
      <c r="Q25" s="313"/>
      <c r="R25" s="314"/>
      <c r="S25" s="315"/>
      <c r="T25" s="316"/>
      <c r="U25" s="317"/>
      <c r="V25" s="288">
        <f t="shared" si="3"/>
        <v>203600</v>
      </c>
      <c r="W25" s="288">
        <f t="shared" si="9"/>
        <v>243415.38461538462</v>
      </c>
      <c r="X25" s="318">
        <f>SUM(G25,J25,M25)*Q25/1000</f>
        <v>0</v>
      </c>
      <c r="Y25" s="248">
        <f t="shared" si="10"/>
        <v>0</v>
      </c>
      <c r="Z25" s="319">
        <f>X25*S25/10^9</f>
        <v>0</v>
      </c>
      <c r="AA25" s="401">
        <f t="shared" si="11"/>
        <v>0</v>
      </c>
      <c r="AB25" s="289">
        <f t="shared" si="6"/>
        <v>0</v>
      </c>
    </row>
    <row r="26" spans="1:30">
      <c r="A26" s="255" t="s">
        <v>448</v>
      </c>
      <c r="C26" s="257">
        <f>SUM(C11:C25)</f>
        <v>4760800</v>
      </c>
      <c r="D26" s="257">
        <f>SUM(D11:D25)</f>
        <v>4760800</v>
      </c>
      <c r="E26" s="258"/>
      <c r="F26" s="257">
        <f>SUM(F11:F25)</f>
        <v>8984400</v>
      </c>
      <c r="G26" s="257">
        <f>SUM(G11:G25)</f>
        <v>8984400</v>
      </c>
      <c r="H26" s="272"/>
      <c r="I26" s="273"/>
      <c r="J26" s="257">
        <f>SUM(J11:J25)</f>
        <v>4942100</v>
      </c>
      <c r="K26" s="272"/>
      <c r="L26" s="257">
        <f>SUM(L11:L25)</f>
        <v>4806200</v>
      </c>
      <c r="M26" s="257">
        <f>SUM(M11:M25)</f>
        <v>5704061.538461539</v>
      </c>
      <c r="N26" s="267"/>
      <c r="O26" s="320"/>
      <c r="V26" s="294">
        <f>SUM(V11:V25)</f>
        <v>18687300</v>
      </c>
      <c r="W26" s="294"/>
      <c r="X26" s="294">
        <f>SUM(X11:X25)</f>
        <v>15395695.010373412</v>
      </c>
      <c r="Y26" s="294">
        <f>SUM(Y11:Y25)</f>
        <v>4460443.3400457287</v>
      </c>
      <c r="Z26" s="294">
        <f>SUM(Z11:Z25)</f>
        <v>673811.75078832684</v>
      </c>
      <c r="AB26" s="294">
        <f>SUM(AB11:AB25)</f>
        <v>203440.89587632063</v>
      </c>
    </row>
    <row r="27" spans="1:30">
      <c r="C27" s="257"/>
      <c r="D27" s="493">
        <f>D26/C4</f>
        <v>0.95560016057808106</v>
      </c>
      <c r="E27" s="258"/>
      <c r="G27" s="493">
        <f>G26/F4</f>
        <v>0.96306142137420947</v>
      </c>
      <c r="J27" s="493">
        <f>J26/I4</f>
        <v>0.93458774583963689</v>
      </c>
      <c r="M27" s="493">
        <f>M26/L4</f>
        <v>1.1319828415283864</v>
      </c>
    </row>
    <row r="28" spans="1:30">
      <c r="A28" s="321" t="s">
        <v>449</v>
      </c>
      <c r="C28" s="257"/>
      <c r="D28" s="257"/>
      <c r="E28" s="258"/>
      <c r="M28" s="259"/>
    </row>
    <row r="29" spans="1:30">
      <c r="A29" s="255" t="s">
        <v>570</v>
      </c>
      <c r="C29" s="257"/>
      <c r="D29" s="257"/>
      <c r="E29" s="258"/>
      <c r="J29" s="259">
        <f>30*I8</f>
        <v>9510</v>
      </c>
      <c r="K29" s="258">
        <f>J29*S16/1000000</f>
        <v>457.88747999999998</v>
      </c>
      <c r="L29" s="257">
        <f>J29*Z16/X16</f>
        <v>457.88747999999998</v>
      </c>
      <c r="M29" s="259"/>
    </row>
    <row r="30" spans="1:30" s="322" customFormat="1" ht="25.5" customHeight="1">
      <c r="A30" s="322" t="s">
        <v>450</v>
      </c>
      <c r="C30" s="302"/>
      <c r="D30" s="302"/>
      <c r="E30" s="323"/>
      <c r="F30" s="302"/>
      <c r="G30" s="324"/>
      <c r="H30" s="323"/>
      <c r="I30" s="302"/>
      <c r="J30" s="324"/>
      <c r="K30" s="323"/>
      <c r="L30" s="302"/>
      <c r="M30" s="324"/>
      <c r="N30" s="325"/>
      <c r="O30" s="325"/>
      <c r="Q30" s="322" t="s">
        <v>451</v>
      </c>
      <c r="R30" s="322" t="s">
        <v>452</v>
      </c>
    </row>
    <row r="31" spans="1:30" s="322" customFormat="1" ht="25.5" customHeight="1">
      <c r="A31" s="322" t="s">
        <v>453</v>
      </c>
      <c r="C31" s="302"/>
      <c r="D31" s="302"/>
      <c r="E31" s="323"/>
      <c r="F31" s="302"/>
      <c r="G31" s="324"/>
      <c r="H31" s="323"/>
      <c r="I31" s="302"/>
      <c r="J31" s="324"/>
      <c r="K31" s="323"/>
      <c r="L31" s="302"/>
      <c r="M31" s="324"/>
      <c r="N31" s="325"/>
      <c r="O31" s="325"/>
      <c r="P31" s="278" t="s">
        <v>390</v>
      </c>
      <c r="Q31" s="326">
        <f>Q11*S11</f>
        <v>32129842.799999997</v>
      </c>
      <c r="S31" s="326">
        <f>Q31*R31/1000000000</f>
        <v>0</v>
      </c>
      <c r="W31" s="322">
        <v>5560968</v>
      </c>
    </row>
    <row r="32" spans="1:30" s="322" customFormat="1" ht="25.5" customHeight="1">
      <c r="A32" s="322" t="s">
        <v>454</v>
      </c>
      <c r="C32" s="302"/>
      <c r="D32" s="302"/>
      <c r="E32" s="323"/>
      <c r="F32" s="302"/>
      <c r="G32" s="324"/>
      <c r="H32" s="323"/>
      <c r="I32" s="302"/>
      <c r="J32" s="324"/>
      <c r="K32" s="323"/>
      <c r="L32" s="302"/>
      <c r="M32" s="324"/>
      <c r="N32" s="325"/>
      <c r="O32" s="325"/>
      <c r="P32" s="251" t="s">
        <v>434</v>
      </c>
      <c r="Q32" s="326">
        <f t="shared" ref="Q32:Q43" si="14">Q12*S12</f>
        <v>40723547.600000001</v>
      </c>
      <c r="R32" s="269">
        <v>43800</v>
      </c>
      <c r="S32" s="326">
        <f t="shared" ref="S32:S45" si="15">Q32*R32/1000000000</f>
        <v>1783.69138488</v>
      </c>
      <c r="W32" s="326">
        <f>W31*AVERAGE(Q31:Q43)/1000000000</f>
        <v>178277.42795287311</v>
      </c>
    </row>
    <row r="33" spans="1:23" s="322" customFormat="1" ht="25.5" customHeight="1">
      <c r="A33" s="322" t="s">
        <v>455</v>
      </c>
      <c r="C33" s="302"/>
      <c r="D33" s="302"/>
      <c r="E33" s="323"/>
      <c r="F33" s="302"/>
      <c r="G33" s="324"/>
      <c r="H33" s="323"/>
      <c r="I33" s="302"/>
      <c r="J33" s="324"/>
      <c r="K33" s="323"/>
      <c r="L33" s="302"/>
      <c r="M33" s="324"/>
      <c r="N33" s="325"/>
      <c r="O33" s="325"/>
      <c r="P33" s="251" t="s">
        <v>435</v>
      </c>
      <c r="Q33" s="326">
        <f t="shared" si="14"/>
        <v>32315744</v>
      </c>
      <c r="R33" s="269">
        <v>47800</v>
      </c>
      <c r="S33" s="326">
        <f t="shared" si="15"/>
        <v>1544.6925632</v>
      </c>
      <c r="W33" s="322">
        <v>4982000</v>
      </c>
    </row>
    <row r="34" spans="1:23" s="322" customFormat="1" ht="25.5" customHeight="1">
      <c r="A34" s="322" t="s">
        <v>456</v>
      </c>
      <c r="C34" s="302"/>
      <c r="D34" s="302"/>
      <c r="E34" s="323"/>
      <c r="F34" s="302"/>
      <c r="G34" s="324"/>
      <c r="H34" s="323"/>
      <c r="I34" s="302"/>
      <c r="J34" s="324"/>
      <c r="K34" s="323"/>
      <c r="L34" s="302"/>
      <c r="M34" s="324"/>
      <c r="N34" s="325"/>
      <c r="O34" s="325"/>
      <c r="P34" s="251" t="s">
        <v>32</v>
      </c>
      <c r="Q34" s="326">
        <f t="shared" si="14"/>
        <v>41139309.774497613</v>
      </c>
      <c r="R34" s="269">
        <v>1488600</v>
      </c>
      <c r="S34" s="326">
        <f t="shared" si="15"/>
        <v>61239.976530317152</v>
      </c>
      <c r="W34" s="326">
        <f>W33*AVERAGE(Q31:Q43)/1000000000</f>
        <v>159716.4641230113</v>
      </c>
    </row>
    <row r="35" spans="1:23" s="322" customFormat="1" ht="25.5" customHeight="1">
      <c r="A35" s="322" t="s">
        <v>457</v>
      </c>
      <c r="C35" s="302"/>
      <c r="D35" s="302"/>
      <c r="E35" s="323"/>
      <c r="F35" s="302"/>
      <c r="G35" s="324"/>
      <c r="H35" s="323"/>
      <c r="I35" s="302"/>
      <c r="J35" s="324"/>
      <c r="K35" s="323"/>
      <c r="L35" s="302"/>
      <c r="M35" s="324"/>
      <c r="N35" s="325"/>
      <c r="O35" s="325"/>
      <c r="P35" s="251" t="s">
        <v>391</v>
      </c>
      <c r="Q35" s="326">
        <f t="shared" si="14"/>
        <v>38082867.5</v>
      </c>
      <c r="R35" s="269">
        <v>920700</v>
      </c>
      <c r="S35" s="326">
        <f t="shared" si="15"/>
        <v>35062.896107250002</v>
      </c>
    </row>
    <row r="36" spans="1:23" s="322" customFormat="1" ht="25.5" customHeight="1">
      <c r="C36" s="302"/>
      <c r="D36" s="302"/>
      <c r="E36" s="323"/>
      <c r="F36" s="302"/>
      <c r="G36" s="324"/>
      <c r="H36" s="323"/>
      <c r="I36" s="302"/>
      <c r="J36" s="324"/>
      <c r="K36" s="323"/>
      <c r="L36" s="302"/>
      <c r="M36" s="324"/>
      <c r="N36" s="325"/>
      <c r="O36" s="325"/>
      <c r="P36" s="251" t="s">
        <v>140</v>
      </c>
      <c r="Q36" s="326">
        <f t="shared" si="14"/>
        <v>33453230.399999999</v>
      </c>
      <c r="R36" s="269">
        <v>37900</v>
      </c>
      <c r="S36" s="326">
        <f t="shared" si="15"/>
        <v>1267.8774321599999</v>
      </c>
    </row>
    <row r="37" spans="1:23" s="322" customFormat="1" ht="25.5" customHeight="1">
      <c r="C37" s="302"/>
      <c r="D37" s="302"/>
      <c r="E37" s="323"/>
      <c r="F37" s="302"/>
      <c r="G37" s="324"/>
      <c r="H37" s="323"/>
      <c r="I37" s="302"/>
      <c r="J37" s="324"/>
      <c r="K37" s="323"/>
      <c r="L37" s="302"/>
      <c r="M37" s="324"/>
      <c r="N37" s="325"/>
      <c r="O37" s="325"/>
      <c r="P37" s="251" t="s">
        <v>438</v>
      </c>
      <c r="Q37" s="326">
        <f t="shared" si="14"/>
        <v>35538230</v>
      </c>
      <c r="R37" s="269">
        <v>611800</v>
      </c>
      <c r="S37" s="326">
        <f t="shared" si="15"/>
        <v>21742.289113999999</v>
      </c>
    </row>
    <row r="38" spans="1:23" s="322" customFormat="1" ht="25.5" customHeight="1">
      <c r="C38" s="302"/>
      <c r="D38" s="302"/>
      <c r="E38" s="323"/>
      <c r="F38" s="302"/>
      <c r="G38" s="324"/>
      <c r="H38" s="323"/>
      <c r="I38" s="302"/>
      <c r="J38" s="324"/>
      <c r="K38" s="323"/>
      <c r="L38" s="302"/>
      <c r="M38" s="324"/>
      <c r="N38" s="325"/>
      <c r="O38" s="325"/>
      <c r="P38" s="251" t="s">
        <v>34</v>
      </c>
      <c r="Q38" s="326">
        <f t="shared" si="14"/>
        <v>26588782</v>
      </c>
      <c r="R38" s="269">
        <v>83200</v>
      </c>
      <c r="S38" s="326">
        <f t="shared" si="15"/>
        <v>2212.1866623999999</v>
      </c>
    </row>
    <row r="39" spans="1:23" s="322" customFormat="1">
      <c r="C39" s="302"/>
      <c r="D39" s="302"/>
      <c r="E39" s="323"/>
      <c r="F39" s="302"/>
      <c r="G39" s="324"/>
      <c r="H39" s="323"/>
      <c r="I39" s="302"/>
      <c r="J39" s="324"/>
      <c r="K39" s="323"/>
      <c r="L39" s="302"/>
      <c r="M39" s="324"/>
      <c r="N39" s="325"/>
      <c r="O39" s="325"/>
      <c r="P39" s="251" t="s">
        <v>439</v>
      </c>
      <c r="Q39" s="326">
        <f t="shared" si="14"/>
        <v>0</v>
      </c>
      <c r="R39" s="295"/>
      <c r="S39" s="326">
        <f t="shared" si="15"/>
        <v>0</v>
      </c>
    </row>
    <row r="40" spans="1:23" s="322" customFormat="1" ht="14.25">
      <c r="C40" s="302"/>
      <c r="D40" s="302"/>
      <c r="E40" s="323"/>
      <c r="F40" s="302"/>
      <c r="G40" s="324"/>
      <c r="H40" s="323"/>
      <c r="I40" s="302"/>
      <c r="J40" s="324"/>
      <c r="K40" s="323"/>
      <c r="L40" s="302"/>
      <c r="M40" s="324"/>
      <c r="N40" s="325"/>
      <c r="O40" s="325"/>
      <c r="P40" s="251" t="s">
        <v>440</v>
      </c>
      <c r="Q40" s="326">
        <f t="shared" si="14"/>
        <v>34197900</v>
      </c>
      <c r="R40" s="269"/>
      <c r="S40" s="326">
        <f t="shared" si="15"/>
        <v>0</v>
      </c>
    </row>
    <row r="41" spans="1:23" s="322" customFormat="1" ht="14.25">
      <c r="C41" s="302"/>
      <c r="D41" s="302"/>
      <c r="E41" s="323"/>
      <c r="F41" s="302"/>
      <c r="G41" s="324"/>
      <c r="H41" s="323"/>
      <c r="I41" s="302"/>
      <c r="J41" s="324"/>
      <c r="K41" s="323"/>
      <c r="L41" s="302"/>
      <c r="M41" s="324"/>
      <c r="N41" s="325"/>
      <c r="O41" s="325"/>
      <c r="P41" s="251" t="s">
        <v>442</v>
      </c>
      <c r="Q41" s="326">
        <f t="shared" si="14"/>
        <v>34197900</v>
      </c>
      <c r="R41" s="269">
        <v>250100</v>
      </c>
      <c r="S41" s="326">
        <f t="shared" si="15"/>
        <v>8552.8947900000003</v>
      </c>
    </row>
    <row r="42" spans="1:23" s="322" customFormat="1" ht="14.25">
      <c r="C42" s="302"/>
      <c r="D42" s="302"/>
      <c r="E42" s="323"/>
      <c r="F42" s="302"/>
      <c r="G42" s="324"/>
      <c r="H42" s="323"/>
      <c r="I42" s="302"/>
      <c r="J42" s="324"/>
      <c r="K42" s="323"/>
      <c r="L42" s="302"/>
      <c r="M42" s="324"/>
      <c r="N42" s="325"/>
      <c r="O42" s="325"/>
      <c r="P42" s="251" t="s">
        <v>443</v>
      </c>
      <c r="Q42" s="326">
        <f t="shared" si="14"/>
        <v>34197900</v>
      </c>
      <c r="R42" s="269">
        <v>133000</v>
      </c>
      <c r="S42" s="326">
        <f t="shared" si="15"/>
        <v>4548.3207000000002</v>
      </c>
    </row>
    <row r="43" spans="1:23" s="322" customFormat="1" ht="14.25">
      <c r="C43" s="302"/>
      <c r="D43" s="302"/>
      <c r="E43" s="323"/>
      <c r="F43" s="302"/>
      <c r="G43" s="324"/>
      <c r="H43" s="323"/>
      <c r="I43" s="302"/>
      <c r="J43" s="324"/>
      <c r="K43" s="323"/>
      <c r="L43" s="302"/>
      <c r="M43" s="324"/>
      <c r="N43" s="325"/>
      <c r="O43" s="325"/>
      <c r="P43" s="251" t="s">
        <v>444</v>
      </c>
      <c r="Q43" s="326">
        <f t="shared" si="14"/>
        <v>34197900</v>
      </c>
      <c r="R43" s="269">
        <v>1140900</v>
      </c>
      <c r="S43" s="326">
        <f t="shared" si="15"/>
        <v>39016.384109999999</v>
      </c>
    </row>
    <row r="44" spans="1:23" s="322" customFormat="1">
      <c r="C44" s="302"/>
      <c r="D44" s="302"/>
      <c r="E44" s="323"/>
      <c r="F44" s="302"/>
      <c r="G44" s="324"/>
      <c r="H44" s="323"/>
      <c r="I44" s="302"/>
      <c r="J44" s="324"/>
      <c r="K44" s="323"/>
      <c r="L44" s="302"/>
      <c r="M44" s="324"/>
      <c r="N44" s="325"/>
      <c r="O44" s="325"/>
      <c r="P44" s="251" t="s">
        <v>393</v>
      </c>
      <c r="Q44" s="326"/>
      <c r="R44" s="269">
        <v>3000</v>
      </c>
      <c r="S44" s="326">
        <f t="shared" si="15"/>
        <v>0</v>
      </c>
    </row>
    <row r="45" spans="1:23" s="322" customFormat="1">
      <c r="C45" s="302"/>
      <c r="D45" s="302"/>
      <c r="E45" s="323"/>
      <c r="F45" s="302"/>
      <c r="G45" s="324"/>
      <c r="H45" s="323"/>
      <c r="I45" s="302"/>
      <c r="J45" s="324"/>
      <c r="K45" s="323"/>
      <c r="L45" s="302"/>
      <c r="M45" s="324"/>
      <c r="N45" s="325"/>
      <c r="O45" s="325"/>
      <c r="P45" s="307" t="s">
        <v>447</v>
      </c>
      <c r="Q45" s="326"/>
      <c r="R45" s="309"/>
      <c r="S45" s="326">
        <f t="shared" si="15"/>
        <v>0</v>
      </c>
    </row>
    <row r="46" spans="1:23" s="322" customFormat="1">
      <c r="E46" s="325"/>
      <c r="F46" s="302"/>
      <c r="G46" s="324"/>
      <c r="H46" s="323"/>
      <c r="I46" s="302"/>
      <c r="J46" s="324"/>
      <c r="K46" s="323"/>
      <c r="L46" s="302"/>
      <c r="M46" s="327"/>
      <c r="N46" s="325"/>
      <c r="O46" s="325"/>
      <c r="Q46" s="326"/>
    </row>
    <row r="47" spans="1:23" s="322" customFormat="1">
      <c r="D47" s="322" t="s">
        <v>112</v>
      </c>
      <c r="E47" s="1770" t="s">
        <v>14772</v>
      </c>
      <c r="F47" s="302"/>
      <c r="G47" s="324"/>
      <c r="H47" s="323"/>
      <c r="I47" s="302"/>
      <c r="J47" s="324"/>
      <c r="K47" s="323"/>
      <c r="L47" s="302"/>
      <c r="M47" s="327"/>
      <c r="N47" s="325"/>
      <c r="O47" s="325"/>
      <c r="R47" s="322" t="s">
        <v>458</v>
      </c>
      <c r="S47" s="328">
        <f>SUM(S31:S46)</f>
        <v>176971.20939420717</v>
      </c>
      <c r="T47" s="322" t="s">
        <v>459</v>
      </c>
    </row>
    <row r="48" spans="1:23" s="322" customFormat="1">
      <c r="D48" s="526" t="s">
        <v>14767</v>
      </c>
      <c r="E48" s="325"/>
      <c r="F48" s="302"/>
      <c r="G48" s="324"/>
      <c r="H48" s="323"/>
      <c r="I48" s="302"/>
      <c r="J48" s="324"/>
      <c r="K48" s="323"/>
      <c r="L48" s="302"/>
      <c r="M48" s="327"/>
      <c r="N48" s="325"/>
      <c r="O48" s="325"/>
    </row>
    <row r="49" spans="3:22" s="322" customFormat="1">
      <c r="D49" s="322" t="s">
        <v>14047</v>
      </c>
      <c r="E49" s="325"/>
      <c r="F49" s="302"/>
      <c r="G49" s="324"/>
      <c r="H49" s="323"/>
      <c r="I49" s="302"/>
      <c r="J49" s="324"/>
      <c r="K49" s="323"/>
      <c r="L49" s="302"/>
      <c r="M49" s="327"/>
      <c r="N49" s="325"/>
      <c r="O49" s="325"/>
    </row>
    <row r="50" spans="3:22" s="322" customFormat="1">
      <c r="E50" s="325">
        <v>2019</v>
      </c>
      <c r="F50" s="1764">
        <v>2020</v>
      </c>
      <c r="G50" s="1764">
        <v>2021</v>
      </c>
      <c r="H50" s="1760">
        <v>2022</v>
      </c>
      <c r="I50" s="1768">
        <v>2025</v>
      </c>
      <c r="J50" s="1769">
        <v>2030</v>
      </c>
      <c r="K50" s="1770">
        <v>2035</v>
      </c>
      <c r="L50" s="1761">
        <v>2040</v>
      </c>
      <c r="M50" s="327"/>
      <c r="N50" s="325"/>
      <c r="O50" s="325"/>
      <c r="S50" s="322">
        <v>85611</v>
      </c>
      <c r="T50" s="322" t="s">
        <v>460</v>
      </c>
    </row>
    <row r="51" spans="3:22" s="322" customFormat="1">
      <c r="C51" s="1637">
        <f>E51/$E$55</f>
        <v>0.19120458891013384</v>
      </c>
      <c r="D51" s="322" t="str">
        <f>C2</f>
        <v>CHEVREF</v>
      </c>
      <c r="E51" s="323">
        <v>100000</v>
      </c>
      <c r="F51" s="1765">
        <v>0</v>
      </c>
      <c r="G51" s="1765">
        <v>0</v>
      </c>
      <c r="H51" s="1761">
        <f>E51</f>
        <v>100000</v>
      </c>
      <c r="I51" s="1761">
        <f>H51</f>
        <v>100000</v>
      </c>
      <c r="J51" s="1761">
        <f>E51</f>
        <v>100000</v>
      </c>
      <c r="K51" s="1761">
        <f>J51</f>
        <v>100000</v>
      </c>
      <c r="L51" s="1761">
        <f>K51</f>
        <v>100000</v>
      </c>
      <c r="M51" s="327"/>
      <c r="N51" s="325"/>
      <c r="O51" s="325"/>
      <c r="S51" s="329">
        <v>7.33</v>
      </c>
      <c r="T51" s="330" t="s">
        <v>461</v>
      </c>
    </row>
    <row r="52" spans="3:22" s="322" customFormat="1" ht="13.5" thickBot="1">
      <c r="C52" s="1637">
        <f t="shared" ref="C52:C54" si="16">E52/$E$55</f>
        <v>0.34416826003824091</v>
      </c>
      <c r="D52" s="302" t="str">
        <f>F2</f>
        <v>SAPREF</v>
      </c>
      <c r="E52" s="323">
        <v>180000</v>
      </c>
      <c r="F52" s="1765">
        <f t="shared" ref="F52" si="17">E52</f>
        <v>180000</v>
      </c>
      <c r="G52" s="1765">
        <f t="shared" ref="G52" si="18">F52</f>
        <v>180000</v>
      </c>
      <c r="H52" s="1761">
        <f>F52</f>
        <v>180000</v>
      </c>
      <c r="I52" s="1761">
        <f>E52</f>
        <v>180000</v>
      </c>
      <c r="J52" s="1761">
        <f>I52</f>
        <v>180000</v>
      </c>
      <c r="K52" s="1761">
        <f>J52</f>
        <v>180000</v>
      </c>
      <c r="L52" s="1761">
        <f>K52</f>
        <v>180000</v>
      </c>
      <c r="M52" s="327"/>
      <c r="N52" s="325"/>
      <c r="O52" s="325"/>
      <c r="S52" s="331">
        <f>41.9/1000</f>
        <v>4.19E-2</v>
      </c>
      <c r="T52" s="332" t="s">
        <v>462</v>
      </c>
      <c r="V52" s="322">
        <f>S52/S51</f>
        <v>5.7162346521145973E-3</v>
      </c>
    </row>
    <row r="53" spans="3:22" s="322" customFormat="1">
      <c r="C53" s="1637">
        <f t="shared" si="16"/>
        <v>0.25812619502868067</v>
      </c>
      <c r="D53" s="257" t="str">
        <f>I2</f>
        <v>ENREF</v>
      </c>
      <c r="E53" s="323">
        <v>135000</v>
      </c>
      <c r="F53" s="1765">
        <v>0</v>
      </c>
      <c r="G53" s="1765">
        <v>0</v>
      </c>
      <c r="H53" s="1761">
        <f>F53</f>
        <v>0</v>
      </c>
      <c r="I53" s="1761">
        <v>0</v>
      </c>
      <c r="J53" s="1761">
        <f>I53</f>
        <v>0</v>
      </c>
      <c r="K53" s="1761">
        <v>0</v>
      </c>
      <c r="L53" s="1761">
        <v>0</v>
      </c>
      <c r="M53" s="327"/>
      <c r="N53" s="325"/>
      <c r="O53" s="325"/>
    </row>
    <row r="54" spans="3:22">
      <c r="C54" s="1637">
        <f t="shared" si="16"/>
        <v>0.20650095602294455</v>
      </c>
      <c r="D54" s="257" t="str">
        <f>L2</f>
        <v>NATREF</v>
      </c>
      <c r="E54" s="258">
        <v>108000</v>
      </c>
      <c r="F54" s="1766">
        <v>0</v>
      </c>
      <c r="G54" s="1766">
        <f>E54</f>
        <v>108000</v>
      </c>
      <c r="H54" s="1762">
        <f>E54</f>
        <v>108000</v>
      </c>
      <c r="I54" s="1762">
        <f>H54</f>
        <v>108000</v>
      </c>
      <c r="J54" s="1762">
        <f t="shared" ref="J54:L54" si="19">I54</f>
        <v>108000</v>
      </c>
      <c r="K54" s="1762">
        <f t="shared" si="19"/>
        <v>108000</v>
      </c>
      <c r="L54" s="1762">
        <f t="shared" si="19"/>
        <v>108000</v>
      </c>
      <c r="S54" s="255">
        <f>S50/S51*S52*365</f>
        <v>178620.98615279672</v>
      </c>
      <c r="T54" s="255" t="s">
        <v>459</v>
      </c>
    </row>
    <row r="55" spans="3:22">
      <c r="E55" s="258">
        <f>SUM(E51:E54)</f>
        <v>523000</v>
      </c>
      <c r="F55" s="1766">
        <f t="shared" ref="F55:G55" si="20">SUM(F51:F54)</f>
        <v>180000</v>
      </c>
      <c r="G55" s="1766">
        <f t="shared" si="20"/>
        <v>288000</v>
      </c>
      <c r="H55" s="1762">
        <f>SUM(H51:H54)</f>
        <v>388000</v>
      </c>
      <c r="I55" s="1762">
        <f>SUM(I51:I54)</f>
        <v>388000</v>
      </c>
      <c r="J55" s="1762">
        <f t="shared" ref="J55:L55" si="21">SUM(J51:J54)</f>
        <v>388000</v>
      </c>
      <c r="K55" s="1762">
        <f t="shared" si="21"/>
        <v>388000</v>
      </c>
      <c r="L55" s="1762">
        <f t="shared" si="21"/>
        <v>388000</v>
      </c>
      <c r="S55" s="333">
        <f>S54*365</f>
        <v>65196659.9457708</v>
      </c>
    </row>
    <row r="56" spans="3:22">
      <c r="E56" s="261">
        <f>E55/$E$55</f>
        <v>1</v>
      </c>
      <c r="F56" s="1767">
        <f t="shared" ref="F56:G56" si="22">F55/$E$55</f>
        <v>0.34416826003824091</v>
      </c>
      <c r="G56" s="1767">
        <f t="shared" si="22"/>
        <v>0.55066921606118546</v>
      </c>
      <c r="H56" s="1763">
        <f>H55/$E$55</f>
        <v>0.74187380497131927</v>
      </c>
      <c r="I56" s="1763">
        <f t="shared" ref="I56:L56" si="23">I55/$E$55</f>
        <v>0.74187380497131927</v>
      </c>
      <c r="J56" s="1763">
        <f t="shared" si="23"/>
        <v>0.74187380497131927</v>
      </c>
      <c r="K56" s="1763">
        <f t="shared" si="23"/>
        <v>0.74187380497131927</v>
      </c>
      <c r="L56" s="1763">
        <f t="shared" si="23"/>
        <v>0.74187380497131927</v>
      </c>
    </row>
    <row r="59" spans="3:22">
      <c r="D59" s="255" t="s">
        <v>14069</v>
      </c>
    </row>
    <row r="60" spans="3:22" ht="15">
      <c r="D60" s="1410" t="s">
        <v>14048</v>
      </c>
      <c r="E60" s="1409"/>
      <c r="F60" s="1409"/>
      <c r="G60" s="1409"/>
      <c r="H60" s="1409"/>
      <c r="I60" s="1409"/>
      <c r="J60" s="1409"/>
      <c r="K60" s="1409"/>
      <c r="L60" s="1409"/>
      <c r="M60" s="1443" t="s">
        <v>14049</v>
      </c>
      <c r="N60" s="6">
        <v>14</v>
      </c>
    </row>
    <row r="61" spans="3:22" ht="15">
      <c r="D61" s="1409"/>
      <c r="E61" s="1409"/>
      <c r="F61" s="1410" t="s">
        <v>14050</v>
      </c>
      <c r="G61" s="1410"/>
      <c r="H61" s="1410" t="s">
        <v>153</v>
      </c>
      <c r="I61" s="1410" t="s">
        <v>1984</v>
      </c>
      <c r="J61" s="1410" t="s">
        <v>14051</v>
      </c>
      <c r="K61" s="1409"/>
      <c r="L61" s="1410"/>
      <c r="M61" s="1409"/>
      <c r="N61" s="1409"/>
    </row>
    <row r="62" spans="3:22" ht="15">
      <c r="D62" s="1409"/>
      <c r="E62" s="1409"/>
      <c r="F62" s="1410" t="s">
        <v>14052</v>
      </c>
      <c r="G62" s="1410" t="s">
        <v>14053</v>
      </c>
      <c r="H62" s="1410" t="s">
        <v>14054</v>
      </c>
      <c r="I62" s="1410" t="s">
        <v>14055</v>
      </c>
      <c r="J62" s="1410" t="s">
        <v>14056</v>
      </c>
      <c r="K62" s="1839" t="s">
        <v>14057</v>
      </c>
      <c r="L62" s="1839"/>
      <c r="M62" s="1839"/>
      <c r="N62" s="1409"/>
    </row>
    <row r="63" spans="3:22" ht="15">
      <c r="D63" s="1409"/>
      <c r="E63" s="1409"/>
      <c r="F63" s="728" t="s">
        <v>14058</v>
      </c>
      <c r="G63" s="1409"/>
      <c r="H63" s="1409"/>
      <c r="I63" s="728" t="s">
        <v>14059</v>
      </c>
      <c r="J63" s="1409" t="s">
        <v>760</v>
      </c>
      <c r="K63" s="1409" t="s">
        <v>14060</v>
      </c>
      <c r="L63" s="1409" t="s">
        <v>14061</v>
      </c>
      <c r="M63" s="1409" t="s">
        <v>14062</v>
      </c>
      <c r="N63" s="1409"/>
    </row>
    <row r="64" spans="3:22" ht="15">
      <c r="D64" s="1409"/>
      <c r="E64" s="1409" t="s">
        <v>14063</v>
      </c>
      <c r="F64" s="6">
        <v>100</v>
      </c>
      <c r="G64" s="1444">
        <v>0.88</v>
      </c>
      <c r="H64" s="6">
        <v>88</v>
      </c>
      <c r="I64" s="6"/>
      <c r="J64" s="6">
        <v>5</v>
      </c>
      <c r="K64" s="6">
        <v>440</v>
      </c>
      <c r="L64" s="1022">
        <v>160.6</v>
      </c>
      <c r="M64" s="1445">
        <v>2248.4</v>
      </c>
      <c r="N64" s="1409"/>
    </row>
    <row r="65" spans="4:14" ht="15">
      <c r="E65" s="1409" t="s">
        <v>14064</v>
      </c>
      <c r="F65" s="6">
        <v>120</v>
      </c>
      <c r="G65" s="1444">
        <v>0.85</v>
      </c>
      <c r="H65" s="6">
        <v>102</v>
      </c>
      <c r="I65" s="6"/>
      <c r="J65" s="6">
        <v>5</v>
      </c>
      <c r="K65" s="6">
        <v>510</v>
      </c>
      <c r="L65" s="1022">
        <v>186.15</v>
      </c>
      <c r="M65" s="1445">
        <v>2606.1</v>
      </c>
      <c r="N65" s="1409"/>
    </row>
    <row r="66" spans="4:14" ht="15">
      <c r="D66" s="1409"/>
      <c r="E66" s="1409" t="s">
        <v>35</v>
      </c>
      <c r="F66" s="6">
        <v>105</v>
      </c>
      <c r="G66" s="1444">
        <v>0.88</v>
      </c>
      <c r="H66" s="6">
        <v>92.4</v>
      </c>
      <c r="I66" s="6"/>
      <c r="J66" s="6">
        <v>8</v>
      </c>
      <c r="K66" s="6">
        <v>739.2</v>
      </c>
      <c r="L66" s="1022">
        <v>269.80799999999999</v>
      </c>
      <c r="M66" s="1445">
        <v>3777.3119999999999</v>
      </c>
      <c r="N66" s="1409"/>
    </row>
    <row r="67" spans="4:14" ht="15">
      <c r="D67" s="1409"/>
      <c r="E67" s="1409" t="s">
        <v>14065</v>
      </c>
      <c r="F67" s="6">
        <v>180</v>
      </c>
      <c r="G67" s="1444">
        <v>0.88</v>
      </c>
      <c r="H67" s="6">
        <v>158.4</v>
      </c>
      <c r="I67" s="6"/>
      <c r="J67" s="6">
        <v>5</v>
      </c>
      <c r="K67" s="6">
        <v>792</v>
      </c>
      <c r="L67" s="1022">
        <v>289.08</v>
      </c>
      <c r="M67" s="1445">
        <v>4047.12</v>
      </c>
      <c r="N67" s="1409"/>
    </row>
    <row r="68" spans="4:14" ht="15">
      <c r="D68" s="1409"/>
      <c r="E68" s="1409" t="s">
        <v>14066</v>
      </c>
      <c r="F68" s="6">
        <v>100</v>
      </c>
      <c r="G68" s="1444">
        <v>1</v>
      </c>
      <c r="H68" s="6"/>
      <c r="I68" s="6">
        <v>100</v>
      </c>
      <c r="J68" s="6">
        <v>60</v>
      </c>
      <c r="K68" s="6">
        <v>6000</v>
      </c>
      <c r="L68" s="1022">
        <v>2190</v>
      </c>
      <c r="M68" s="1445">
        <v>30660</v>
      </c>
      <c r="N68" s="1409" t="s">
        <v>14067</v>
      </c>
    </row>
    <row r="69" spans="4:14" ht="15">
      <c r="D69" s="1409"/>
      <c r="E69" s="1409" t="s">
        <v>463</v>
      </c>
      <c r="F69" s="1022">
        <v>10.666666666666666</v>
      </c>
      <c r="G69" s="1444">
        <v>1</v>
      </c>
      <c r="H69" s="6"/>
      <c r="I69" s="1022">
        <v>10.666666666666666</v>
      </c>
      <c r="J69" s="6">
        <v>0</v>
      </c>
      <c r="K69" s="6"/>
      <c r="L69" s="1022">
        <v>0</v>
      </c>
      <c r="M69" s="1445">
        <v>0</v>
      </c>
      <c r="N69" s="1409" t="s">
        <v>14068</v>
      </c>
    </row>
    <row r="70" spans="4:14">
      <c r="F70" s="264">
        <f>SUM(F64:F67)</f>
        <v>505</v>
      </c>
    </row>
    <row r="72" spans="4:14">
      <c r="H72" s="258" t="s">
        <v>14072</v>
      </c>
      <c r="I72" s="258" t="s">
        <v>1926</v>
      </c>
    </row>
    <row r="73" spans="4:14">
      <c r="H73" s="258">
        <f>H67+H65</f>
        <v>260.39999999999998</v>
      </c>
      <c r="I73" s="258">
        <f>RefineriesData!F255</f>
        <v>787.96154470864383</v>
      </c>
    </row>
    <row r="74" spans="4:14">
      <c r="E74" s="261" t="s">
        <v>14070</v>
      </c>
      <c r="H74" s="1446">
        <f>H65/H73</f>
        <v>0.39170506912442399</v>
      </c>
      <c r="I74" s="258">
        <f>H74*I73</f>
        <v>308.64853133748721</v>
      </c>
    </row>
    <row r="75" spans="4:14">
      <c r="E75" s="261" t="s">
        <v>14071</v>
      </c>
      <c r="H75" s="1446">
        <f>H67/H73</f>
        <v>0.60829493087557607</v>
      </c>
      <c r="I75" s="258">
        <f>H75*I73</f>
        <v>479.31301337115661</v>
      </c>
    </row>
    <row r="76" spans="4:14">
      <c r="I76" s="258"/>
    </row>
  </sheetData>
  <mergeCells count="15">
    <mergeCell ref="C2:E2"/>
    <mergeCell ref="F2:H2"/>
    <mergeCell ref="I2:K2"/>
    <mergeCell ref="L2:N2"/>
    <mergeCell ref="A9:B10"/>
    <mergeCell ref="K62:M62"/>
    <mergeCell ref="Q9:Q10"/>
    <mergeCell ref="AB9:AB10"/>
    <mergeCell ref="S9:S10"/>
    <mergeCell ref="V9:V10"/>
    <mergeCell ref="W9:W10"/>
    <mergeCell ref="X9:X10"/>
    <mergeCell ref="Y9:Y10"/>
    <mergeCell ref="Z9:Z10"/>
    <mergeCell ref="AA9:AA10"/>
  </mergeCells>
  <pageMargins left="0.75" right="0.75" top="1" bottom="1" header="0.5" footer="0.5"/>
  <pageSetup paperSize="9" orientation="portrait"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5"/>
  <dimension ref="A1:AK66"/>
  <sheetViews>
    <sheetView workbookViewId="0"/>
  </sheetViews>
  <sheetFormatPr defaultRowHeight="15"/>
  <cols>
    <col min="7" max="7" width="9.5703125" bestFit="1" customWidth="1"/>
    <col min="9" max="9" width="15.5703125" customWidth="1"/>
    <col min="10" max="10" width="21" customWidth="1"/>
    <col min="11" max="11" width="11.5703125" customWidth="1"/>
  </cols>
  <sheetData>
    <row r="1" spans="1:14">
      <c r="N1" t="s">
        <v>14361</v>
      </c>
    </row>
    <row r="16" spans="1:14">
      <c r="A16" t="s">
        <v>14011</v>
      </c>
      <c r="B16" s="430" t="str">
        <f>"mZAR"&amp;$C$19</f>
        <v>mZAR2009</v>
      </c>
      <c r="C16" t="str">
        <f>"ZAR"&amp;$C$20</f>
        <v>ZAR2015</v>
      </c>
      <c r="K16" s="430" t="s">
        <v>14015</v>
      </c>
    </row>
    <row r="17" spans="1:22">
      <c r="A17" s="93">
        <v>3.7</v>
      </c>
      <c r="B17" s="93">
        <f>A17*$B$18*1000</f>
        <v>29600</v>
      </c>
      <c r="C17" s="1393">
        <f>B17*B24</f>
        <v>41220.110704365674</v>
      </c>
      <c r="K17">
        <v>1000.5256730032611</v>
      </c>
    </row>
    <row r="18" spans="1:22">
      <c r="A18" t="s">
        <v>14012</v>
      </c>
      <c r="B18">
        <v>8</v>
      </c>
      <c r="H18" t="s">
        <v>14017</v>
      </c>
      <c r="K18" s="388">
        <v>2006</v>
      </c>
      <c r="L18" s="388">
        <v>2025</v>
      </c>
    </row>
    <row r="19" spans="1:22">
      <c r="A19" s="98" t="s">
        <v>375</v>
      </c>
      <c r="B19" s="93"/>
      <c r="C19" s="1414">
        <v>2009</v>
      </c>
      <c r="D19" s="98" t="s">
        <v>376</v>
      </c>
      <c r="E19" s="93"/>
      <c r="F19" s="93"/>
      <c r="G19" s="93"/>
      <c r="H19" s="1256">
        <v>0.03</v>
      </c>
      <c r="I19" t="s">
        <v>14013</v>
      </c>
      <c r="J19" t="s">
        <v>860</v>
      </c>
      <c r="K19">
        <v>788.36588158938378</v>
      </c>
      <c r="L19">
        <v>0</v>
      </c>
      <c r="O19" s="1404" t="s">
        <v>14029</v>
      </c>
      <c r="Q19" s="1403" t="s">
        <v>14018</v>
      </c>
      <c r="R19" s="1397">
        <v>8.1742858161615556E-2</v>
      </c>
      <c r="S19" s="1397" t="s">
        <v>14019</v>
      </c>
      <c r="T19" s="1396">
        <v>50</v>
      </c>
      <c r="U19" s="1396" t="s">
        <v>14020</v>
      </c>
      <c r="V19" s="1406"/>
    </row>
    <row r="20" spans="1:22">
      <c r="A20" s="98" t="s">
        <v>377</v>
      </c>
      <c r="B20" s="93"/>
      <c r="C20" s="1414">
        <v>2015</v>
      </c>
      <c r="D20" s="98" t="s">
        <v>376</v>
      </c>
      <c r="E20" s="93"/>
      <c r="H20" s="93"/>
      <c r="J20" s="430" t="s">
        <v>14016</v>
      </c>
      <c r="K20">
        <v>0</v>
      </c>
      <c r="L20" s="1395">
        <f>$C$17/$K$17</f>
        <v>41.19845378943247</v>
      </c>
      <c r="P20" s="1396"/>
      <c r="Q20" s="1399" t="s">
        <v>14021</v>
      </c>
      <c r="R20" s="1399" t="s">
        <v>14022</v>
      </c>
      <c r="S20" s="1398" t="s">
        <v>14023</v>
      </c>
      <c r="T20" s="1399" t="s">
        <v>14024</v>
      </c>
      <c r="U20" s="1404" t="s">
        <v>14025</v>
      </c>
      <c r="V20" s="1399"/>
    </row>
    <row r="21" spans="1:22">
      <c r="C21" s="93"/>
      <c r="D21" s="93"/>
      <c r="E21" s="93"/>
      <c r="F21" s="93"/>
      <c r="G21" s="93"/>
      <c r="H21" s="93"/>
      <c r="J21" s="430" t="s">
        <v>849</v>
      </c>
      <c r="K21">
        <v>0</v>
      </c>
      <c r="L21" s="1395">
        <f>$H$19*$L20</f>
        <v>1.2359536136829741</v>
      </c>
      <c r="O21">
        <v>1</v>
      </c>
      <c r="P21" s="1399" t="s">
        <v>14026</v>
      </c>
      <c r="Q21" s="1403">
        <v>77.819316220058653</v>
      </c>
      <c r="R21" s="1403">
        <v>14.860789614639822</v>
      </c>
      <c r="S21" s="1412">
        <v>21.221962942649984</v>
      </c>
      <c r="T21" s="1399">
        <v>4</v>
      </c>
      <c r="U21" s="1405">
        <v>1.6918520442297563E-2</v>
      </c>
    </row>
    <row r="22" spans="1:22">
      <c r="A22" s="93"/>
      <c r="D22" s="93"/>
      <c r="F22" s="93"/>
      <c r="H22" s="93"/>
      <c r="J22" s="430" t="s">
        <v>332</v>
      </c>
      <c r="K22" s="430"/>
      <c r="L22" s="430">
        <v>0</v>
      </c>
      <c r="O22">
        <v>2</v>
      </c>
      <c r="P22" s="1399" t="s">
        <v>14027</v>
      </c>
      <c r="Q22" s="1403">
        <v>102.73136356784289</v>
      </c>
      <c r="R22" s="1403">
        <v>9.4089023003932599</v>
      </c>
      <c r="S22" s="1397">
        <v>17.806457581268802</v>
      </c>
      <c r="T22" s="1407">
        <v>6.3478260869565215</v>
      </c>
      <c r="U22" s="1408">
        <v>2.6848956354080914E-2</v>
      </c>
    </row>
    <row r="23" spans="1:22">
      <c r="A23" s="98" t="s">
        <v>378</v>
      </c>
      <c r="B23" s="93"/>
      <c r="C23" s="93"/>
      <c r="D23" s="93"/>
      <c r="E23" s="93"/>
      <c r="F23" s="93"/>
      <c r="G23" s="93"/>
      <c r="H23" s="93"/>
    </row>
    <row r="24" spans="1:22">
      <c r="A24" s="98" t="s">
        <v>379</v>
      </c>
      <c r="B24" s="1392">
        <v>1.3925713075799215</v>
      </c>
      <c r="C24" s="93"/>
      <c r="D24" s="93"/>
      <c r="E24" s="93"/>
      <c r="H24" s="1402">
        <f>H19</f>
        <v>0.03</v>
      </c>
      <c r="I24" t="s">
        <v>13554</v>
      </c>
      <c r="J24" s="430" t="s">
        <v>860</v>
      </c>
      <c r="K24">
        <v>212.15979141387726</v>
      </c>
      <c r="L24">
        <v>0</v>
      </c>
      <c r="O24" s="1410" t="s">
        <v>14028</v>
      </c>
      <c r="P24" s="1396" t="str">
        <f>P21</f>
        <v>semi-dry CFB-FGD</v>
      </c>
      <c r="Q24" s="1396">
        <f t="shared" ref="Q24:S25" si="0">zar.2010*Q21</f>
        <v>101.89741482890707</v>
      </c>
      <c r="R24">
        <f t="shared" si="0"/>
        <v>19.458871108118903</v>
      </c>
      <c r="S24" s="1410">
        <f t="shared" si="0"/>
        <v>27.788257035513553</v>
      </c>
    </row>
    <row r="25" spans="1:22">
      <c r="A25" s="98" t="s">
        <v>380</v>
      </c>
      <c r="B25" s="1392">
        <v>0.71809608208706299</v>
      </c>
      <c r="C25" s="93"/>
      <c r="D25" s="93"/>
      <c r="E25" s="93"/>
      <c r="F25" s="93"/>
      <c r="G25" s="93"/>
      <c r="H25" s="93"/>
      <c r="J25" s="430" t="s">
        <v>14016</v>
      </c>
      <c r="K25">
        <v>0</v>
      </c>
      <c r="L25" s="1395">
        <f>$C$17/$K$17</f>
        <v>41.19845378943247</v>
      </c>
      <c r="P25" s="1396" t="str">
        <f>P22</f>
        <v>WFGD</v>
      </c>
      <c r="Q25" s="1396">
        <f t="shared" si="0"/>
        <v>134.51750642231315</v>
      </c>
      <c r="R25" s="1396">
        <f t="shared" si="0"/>
        <v>12.320113660169955</v>
      </c>
      <c r="S25" s="1396">
        <f t="shared" si="0"/>
        <v>23.315959107903311</v>
      </c>
    </row>
    <row r="26" spans="1:22">
      <c r="J26" s="430" t="s">
        <v>849</v>
      </c>
      <c r="L26" s="1395">
        <f>$H$19*$L25</f>
        <v>1.2359536136829741</v>
      </c>
    </row>
    <row r="27" spans="1:22">
      <c r="J27" t="s">
        <v>332</v>
      </c>
      <c r="L27">
        <v>0</v>
      </c>
    </row>
    <row r="29" spans="1:22">
      <c r="H29" s="1402">
        <f>H19</f>
        <v>0.03</v>
      </c>
      <c r="I29" s="430" t="s">
        <v>14014</v>
      </c>
      <c r="J29" s="430" t="s">
        <v>14016</v>
      </c>
      <c r="L29" s="406">
        <f>UPS!M114</f>
        <v>183.21573476698075</v>
      </c>
      <c r="P29" s="1409"/>
      <c r="Q29" s="1409"/>
      <c r="R29" s="1409"/>
      <c r="S29" s="1410" t="s">
        <v>14023</v>
      </c>
    </row>
    <row r="30" spans="1:22">
      <c r="J30" s="430" t="s">
        <v>849</v>
      </c>
      <c r="L30">
        <f>$H$19*L29</f>
        <v>5.4964720430094225</v>
      </c>
      <c r="P30" s="1409" t="s">
        <v>14031</v>
      </c>
      <c r="Q30" s="1409"/>
      <c r="R30" s="1409" t="s">
        <v>14032</v>
      </c>
      <c r="S30" s="1411">
        <v>0.91917562558741583</v>
      </c>
    </row>
    <row r="31" spans="1:22">
      <c r="J31" s="430" t="s">
        <v>332</v>
      </c>
      <c r="K31" s="430"/>
      <c r="L31" s="430">
        <v>0</v>
      </c>
      <c r="R31" s="1398" t="s">
        <v>14028</v>
      </c>
      <c r="S31">
        <f>zar.2010*S30</f>
        <v>1.203578039111052</v>
      </c>
    </row>
    <row r="33" spans="1:37">
      <c r="H33" s="1256">
        <v>0.08</v>
      </c>
      <c r="I33" t="s">
        <v>14030</v>
      </c>
      <c r="J33" s="1396" t="s">
        <v>849</v>
      </c>
      <c r="L33" s="1401">
        <f>UPS!M102*H33</f>
        <v>46.096660297695209</v>
      </c>
    </row>
    <row r="34" spans="1:37">
      <c r="J34" s="1396" t="s">
        <v>332</v>
      </c>
      <c r="L34">
        <v>0</v>
      </c>
      <c r="M34" s="1400"/>
    </row>
    <row r="35" spans="1:37">
      <c r="J35" s="1396" t="s">
        <v>14033</v>
      </c>
      <c r="L35" s="1401">
        <f>L33+S24+S31</f>
        <v>75.088495372319812</v>
      </c>
    </row>
    <row r="37" spans="1:37">
      <c r="M37" s="1397"/>
    </row>
    <row r="38" spans="1:37">
      <c r="M38" s="1399"/>
    </row>
    <row r="42" spans="1:37">
      <c r="B42" s="255" t="s">
        <v>14362</v>
      </c>
      <c r="D42" s="255"/>
      <c r="E42" s="255"/>
      <c r="F42" s="261"/>
      <c r="G42" s="257"/>
      <c r="H42" s="259"/>
      <c r="I42" s="258"/>
      <c r="J42" s="257"/>
      <c r="K42" s="259"/>
      <c r="L42" s="258"/>
      <c r="M42" s="257"/>
      <c r="N42" s="260"/>
      <c r="O42" s="261"/>
      <c r="P42" s="261"/>
      <c r="Q42" s="255"/>
      <c r="R42" s="255"/>
      <c r="S42" s="255"/>
      <c r="T42" s="255"/>
      <c r="U42" s="255"/>
      <c r="V42" s="255"/>
      <c r="W42" s="255"/>
      <c r="X42" s="255"/>
      <c r="Y42" s="255"/>
      <c r="Z42" s="255"/>
      <c r="AA42" s="255"/>
      <c r="AB42" s="255"/>
      <c r="AC42" s="255"/>
      <c r="AD42" s="255"/>
      <c r="AE42" s="255"/>
      <c r="AF42" s="255"/>
      <c r="AG42" s="255"/>
      <c r="AH42" s="255"/>
      <c r="AI42" s="255"/>
      <c r="AJ42" s="255"/>
      <c r="AK42" s="255"/>
    </row>
    <row r="43" spans="1:37">
      <c r="A43" s="255"/>
      <c r="B43" s="255"/>
      <c r="C43" s="255"/>
      <c r="D43" s="255"/>
      <c r="E43" s="255">
        <v>2012</v>
      </c>
      <c r="F43" s="255">
        <v>2013</v>
      </c>
      <c r="G43" s="255">
        <v>2014</v>
      </c>
      <c r="H43" s="255">
        <v>2015</v>
      </c>
      <c r="I43" s="255">
        <v>2016</v>
      </c>
      <c r="J43" s="255">
        <v>2017</v>
      </c>
      <c r="K43" s="255">
        <v>2018</v>
      </c>
      <c r="L43" s="255">
        <v>2019</v>
      </c>
      <c r="M43" s="255">
        <v>2020</v>
      </c>
      <c r="N43" s="255">
        <v>2021</v>
      </c>
      <c r="O43" s="255">
        <v>2022</v>
      </c>
      <c r="P43" s="255">
        <v>2023</v>
      </c>
      <c r="Q43" s="255">
        <v>2024</v>
      </c>
      <c r="R43" s="255">
        <v>2025</v>
      </c>
      <c r="S43" s="255">
        <v>2026</v>
      </c>
      <c r="T43" s="255">
        <v>2027</v>
      </c>
      <c r="U43" s="255">
        <v>2028</v>
      </c>
      <c r="V43" s="255">
        <v>2029</v>
      </c>
      <c r="W43" s="255">
        <v>2030</v>
      </c>
      <c r="X43" s="255">
        <v>2031</v>
      </c>
      <c r="Y43" s="255">
        <v>2032</v>
      </c>
      <c r="Z43" s="255">
        <v>2033</v>
      </c>
      <c r="AA43" s="255">
        <v>2034</v>
      </c>
      <c r="AB43" s="255">
        <v>2035</v>
      </c>
      <c r="AC43" s="255">
        <v>2036</v>
      </c>
      <c r="AD43" s="255">
        <v>2037</v>
      </c>
      <c r="AE43" s="255">
        <v>2038</v>
      </c>
      <c r="AF43" s="255">
        <v>2039</v>
      </c>
      <c r="AG43" s="255">
        <v>2040</v>
      </c>
      <c r="AH43" s="255">
        <v>2045</v>
      </c>
      <c r="AI43" s="255">
        <v>2050</v>
      </c>
      <c r="AJ43" s="255">
        <v>2060</v>
      </c>
      <c r="AK43" s="255">
        <v>2070</v>
      </c>
    </row>
    <row r="44" spans="1:37">
      <c r="A44" s="1638"/>
      <c r="B44" s="1639" t="s">
        <v>14365</v>
      </c>
      <c r="C44" s="255" t="s">
        <v>14363</v>
      </c>
      <c r="D44" s="255"/>
      <c r="E44" s="666">
        <f>RefineriesData!N172</f>
        <v>787.96154470864383</v>
      </c>
      <c r="F44" s="1397">
        <f t="shared" ref="F44:AK44" si="1">E44</f>
        <v>787.96154470864383</v>
      </c>
      <c r="G44" s="1397">
        <f t="shared" si="1"/>
        <v>787.96154470864383</v>
      </c>
      <c r="H44" s="1397">
        <f t="shared" si="1"/>
        <v>787.96154470864383</v>
      </c>
      <c r="I44" s="1397">
        <f t="shared" si="1"/>
        <v>787.96154470864383</v>
      </c>
      <c r="J44" s="1397">
        <f t="shared" si="1"/>
        <v>787.96154470864383</v>
      </c>
      <c r="K44" s="1397">
        <f t="shared" si="1"/>
        <v>787.96154470864383</v>
      </c>
      <c r="L44" s="1397">
        <f t="shared" si="1"/>
        <v>787.96154470864383</v>
      </c>
      <c r="M44" s="1397">
        <f t="shared" si="1"/>
        <v>787.96154470864383</v>
      </c>
      <c r="N44" s="1397">
        <f t="shared" si="1"/>
        <v>787.96154470864383</v>
      </c>
      <c r="O44" s="1397">
        <f t="shared" si="1"/>
        <v>787.96154470864383</v>
      </c>
      <c r="P44" s="1397">
        <f t="shared" si="1"/>
        <v>787.96154470864383</v>
      </c>
      <c r="Q44" s="1397">
        <f t="shared" si="1"/>
        <v>787.96154470864383</v>
      </c>
      <c r="R44" s="1397">
        <f t="shared" si="1"/>
        <v>787.96154470864383</v>
      </c>
      <c r="S44" s="1397">
        <f t="shared" si="1"/>
        <v>787.96154470864383</v>
      </c>
      <c r="T44" s="1397">
        <f t="shared" si="1"/>
        <v>787.96154470864383</v>
      </c>
      <c r="U44" s="1397">
        <f t="shared" si="1"/>
        <v>787.96154470864383</v>
      </c>
      <c r="V44" s="1397">
        <f t="shared" si="1"/>
        <v>787.96154470864383</v>
      </c>
      <c r="W44" s="1397">
        <f t="shared" si="1"/>
        <v>787.96154470864383</v>
      </c>
      <c r="X44" s="1397">
        <f t="shared" si="1"/>
        <v>787.96154470864383</v>
      </c>
      <c r="Y44" s="1397">
        <f t="shared" si="1"/>
        <v>787.96154470864383</v>
      </c>
      <c r="Z44" s="1397">
        <f t="shared" si="1"/>
        <v>787.96154470864383</v>
      </c>
      <c r="AA44" s="1397">
        <f t="shared" si="1"/>
        <v>787.96154470864383</v>
      </c>
      <c r="AB44" s="1397">
        <f t="shared" si="1"/>
        <v>787.96154470864383</v>
      </c>
      <c r="AC44" s="1397">
        <f t="shared" si="1"/>
        <v>787.96154470864383</v>
      </c>
      <c r="AD44" s="1397">
        <f t="shared" si="1"/>
        <v>787.96154470864383</v>
      </c>
      <c r="AE44" s="1397">
        <f t="shared" si="1"/>
        <v>787.96154470864383</v>
      </c>
      <c r="AF44" s="1397">
        <f t="shared" si="1"/>
        <v>787.96154470864383</v>
      </c>
      <c r="AG44" s="1397">
        <f t="shared" si="1"/>
        <v>787.96154470864383</v>
      </c>
      <c r="AH44" s="1397">
        <f t="shared" si="1"/>
        <v>787.96154470864383</v>
      </c>
      <c r="AI44" s="1397">
        <f t="shared" si="1"/>
        <v>787.96154470864383</v>
      </c>
      <c r="AJ44" s="1397">
        <f t="shared" si="1"/>
        <v>787.96154470864383</v>
      </c>
      <c r="AK44" s="1397">
        <f t="shared" si="1"/>
        <v>787.96154470864383</v>
      </c>
    </row>
    <row r="45" spans="1:37">
      <c r="A45" s="255"/>
      <c r="B45" s="1639" t="s">
        <v>14365</v>
      </c>
      <c r="C45" s="255" t="s">
        <v>14364</v>
      </c>
      <c r="D45" s="255"/>
      <c r="E45" s="1397">
        <f>RefineriesData!N86</f>
        <v>212.15979141387726</v>
      </c>
      <c r="F45" s="1397">
        <f t="shared" ref="F45:AK45" si="2">E45</f>
        <v>212.15979141387726</v>
      </c>
      <c r="G45" s="1397">
        <f t="shared" si="2"/>
        <v>212.15979141387726</v>
      </c>
      <c r="H45" s="1397">
        <f t="shared" si="2"/>
        <v>212.15979141387726</v>
      </c>
      <c r="I45" s="1397">
        <f t="shared" si="2"/>
        <v>212.15979141387726</v>
      </c>
      <c r="J45" s="1397">
        <f t="shared" si="2"/>
        <v>212.15979141387726</v>
      </c>
      <c r="K45" s="1397">
        <f t="shared" si="2"/>
        <v>212.15979141387726</v>
      </c>
      <c r="L45" s="1397">
        <f t="shared" si="2"/>
        <v>212.15979141387726</v>
      </c>
      <c r="M45" s="1397">
        <f t="shared" si="2"/>
        <v>212.15979141387726</v>
      </c>
      <c r="N45" s="1397">
        <f t="shared" si="2"/>
        <v>212.15979141387726</v>
      </c>
      <c r="O45" s="1397">
        <f t="shared" si="2"/>
        <v>212.15979141387726</v>
      </c>
      <c r="P45" s="1397">
        <f t="shared" si="2"/>
        <v>212.15979141387726</v>
      </c>
      <c r="Q45" s="1397">
        <f t="shared" si="2"/>
        <v>212.15979141387726</v>
      </c>
      <c r="R45" s="1397">
        <f t="shared" si="2"/>
        <v>212.15979141387726</v>
      </c>
      <c r="S45" s="1397">
        <f t="shared" si="2"/>
        <v>212.15979141387726</v>
      </c>
      <c r="T45" s="1397">
        <f t="shared" si="2"/>
        <v>212.15979141387726</v>
      </c>
      <c r="U45" s="1397">
        <f t="shared" si="2"/>
        <v>212.15979141387726</v>
      </c>
      <c r="V45" s="1397">
        <f t="shared" si="2"/>
        <v>212.15979141387726</v>
      </c>
      <c r="W45" s="1397">
        <f t="shared" si="2"/>
        <v>212.15979141387726</v>
      </c>
      <c r="X45" s="1397">
        <f t="shared" si="2"/>
        <v>212.15979141387726</v>
      </c>
      <c r="Y45" s="1397">
        <f t="shared" si="2"/>
        <v>212.15979141387726</v>
      </c>
      <c r="Z45" s="1397">
        <f t="shared" si="2"/>
        <v>212.15979141387726</v>
      </c>
      <c r="AA45" s="1397">
        <f t="shared" si="2"/>
        <v>212.15979141387726</v>
      </c>
      <c r="AB45" s="1397">
        <f t="shared" si="2"/>
        <v>212.15979141387726</v>
      </c>
      <c r="AC45" s="1397">
        <f t="shared" si="2"/>
        <v>212.15979141387726</v>
      </c>
      <c r="AD45" s="1397">
        <f t="shared" si="2"/>
        <v>212.15979141387726</v>
      </c>
      <c r="AE45" s="1397">
        <f t="shared" si="2"/>
        <v>212.15979141387726</v>
      </c>
      <c r="AF45" s="1397">
        <f t="shared" si="2"/>
        <v>212.15979141387726</v>
      </c>
      <c r="AG45" s="1397">
        <f t="shared" si="2"/>
        <v>212.15979141387726</v>
      </c>
      <c r="AH45" s="1397">
        <f t="shared" si="2"/>
        <v>212.15979141387726</v>
      </c>
      <c r="AI45" s="1397">
        <f t="shared" si="2"/>
        <v>212.15979141387726</v>
      </c>
      <c r="AJ45" s="1397">
        <f t="shared" si="2"/>
        <v>212.15979141387726</v>
      </c>
      <c r="AK45" s="1397">
        <f t="shared" si="2"/>
        <v>212.15979141387726</v>
      </c>
    </row>
    <row r="46" spans="1:37">
      <c r="A46" s="255"/>
      <c r="B46" s="255"/>
      <c r="C46" s="255"/>
      <c r="D46" s="255"/>
      <c r="E46" s="255"/>
      <c r="F46" s="261"/>
      <c r="G46" s="257"/>
      <c r="H46" s="259"/>
      <c r="I46" s="258"/>
      <c r="J46" s="257"/>
      <c r="K46" s="259"/>
      <c r="L46" s="258"/>
      <c r="M46" s="257"/>
      <c r="N46" s="260"/>
      <c r="O46" s="261"/>
      <c r="P46" s="261"/>
      <c r="Q46" s="255"/>
      <c r="R46" s="255"/>
      <c r="S46" s="255"/>
      <c r="T46" s="255"/>
      <c r="U46" s="255"/>
      <c r="V46" s="255"/>
      <c r="W46" s="255"/>
      <c r="X46" s="255"/>
      <c r="Y46" s="255"/>
      <c r="Z46" s="255"/>
      <c r="AA46" s="255"/>
      <c r="AB46" s="255"/>
      <c r="AC46" s="255"/>
      <c r="AD46" s="255"/>
      <c r="AE46" s="255"/>
      <c r="AF46" s="255"/>
      <c r="AG46" s="255"/>
      <c r="AH46" s="255"/>
      <c r="AI46" s="255"/>
      <c r="AJ46" s="255"/>
      <c r="AK46" s="255"/>
    </row>
    <row r="47" spans="1:37">
      <c r="A47" s="255"/>
      <c r="B47" s="255"/>
      <c r="C47" s="255"/>
      <c r="D47" s="255"/>
      <c r="E47" s="261"/>
      <c r="F47" s="257"/>
      <c r="G47" s="259"/>
      <c r="H47" s="258"/>
      <c r="I47" s="257"/>
      <c r="J47" s="259"/>
      <c r="K47" s="258"/>
      <c r="L47" s="257"/>
      <c r="M47" s="260"/>
      <c r="N47" s="261"/>
      <c r="O47" s="261"/>
      <c r="P47" s="255"/>
      <c r="Q47" s="255"/>
      <c r="R47" s="255"/>
      <c r="S47" s="255"/>
      <c r="T47" s="255"/>
      <c r="U47" s="255"/>
      <c r="V47" s="255"/>
      <c r="W47" s="255"/>
      <c r="X47" s="255"/>
      <c r="Y47" s="255"/>
      <c r="Z47" s="255"/>
      <c r="AA47" s="255"/>
      <c r="AB47" s="255"/>
      <c r="AC47" s="255"/>
      <c r="AD47" s="255"/>
      <c r="AE47" s="255"/>
      <c r="AF47" s="255"/>
      <c r="AG47" s="255"/>
      <c r="AH47" s="255"/>
      <c r="AI47" s="255"/>
      <c r="AJ47" s="255"/>
      <c r="AK47" s="255"/>
    </row>
    <row r="48" spans="1:37">
      <c r="A48" s="255"/>
      <c r="B48" s="255"/>
      <c r="C48" s="1639" t="s">
        <v>13554</v>
      </c>
      <c r="D48" s="1638" t="s">
        <v>860</v>
      </c>
      <c r="E48" s="1642">
        <f t="shared" ref="E48:AK48" si="3">SUMPRODUCT($C$57,E$57)*E$45</f>
        <v>212.15979141387726</v>
      </c>
      <c r="F48" s="1642">
        <f t="shared" si="3"/>
        <v>212.15979141387726</v>
      </c>
      <c r="G48" s="1642">
        <f t="shared" si="3"/>
        <v>212.15979141387726</v>
      </c>
      <c r="H48" s="1642">
        <f t="shared" si="3"/>
        <v>212.15979141387726</v>
      </c>
      <c r="I48" s="1642">
        <f t="shared" si="3"/>
        <v>212.15979141387726</v>
      </c>
      <c r="J48" s="1642">
        <f t="shared" si="3"/>
        <v>212.15979141387726</v>
      </c>
      <c r="K48" s="1642">
        <f t="shared" si="3"/>
        <v>212.15979141387726</v>
      </c>
      <c r="L48" s="1642">
        <f t="shared" si="3"/>
        <v>212.15979141387726</v>
      </c>
      <c r="M48" s="1642">
        <f t="shared" si="3"/>
        <v>212.15979141387726</v>
      </c>
      <c r="N48" s="1642">
        <f t="shared" si="3"/>
        <v>212.15979141387726</v>
      </c>
      <c r="O48" s="1642">
        <f t="shared" si="3"/>
        <v>212.15979141387726</v>
      </c>
      <c r="P48" s="1642">
        <f t="shared" si="3"/>
        <v>212.15979141387726</v>
      </c>
      <c r="Q48" s="1642">
        <f t="shared" si="3"/>
        <v>212.15979141387726</v>
      </c>
      <c r="R48" s="1642">
        <f t="shared" si="3"/>
        <v>212.15979141387726</v>
      </c>
      <c r="S48" s="1642">
        <f t="shared" si="3"/>
        <v>212.15979141387726</v>
      </c>
      <c r="T48" s="1642">
        <f t="shared" si="3"/>
        <v>212.15979141387726</v>
      </c>
      <c r="U48" s="1642">
        <f t="shared" si="3"/>
        <v>212.15979141387726</v>
      </c>
      <c r="V48" s="1642">
        <f t="shared" si="3"/>
        <v>212.15979141387726</v>
      </c>
      <c r="W48" s="1642">
        <f t="shared" si="3"/>
        <v>212.15979141387726</v>
      </c>
      <c r="X48" s="1642">
        <f t="shared" si="3"/>
        <v>2.1215979141387727E-2</v>
      </c>
      <c r="Y48" s="1642">
        <f t="shared" si="3"/>
        <v>2.1215979141387727E-2</v>
      </c>
      <c r="Z48" s="1642">
        <f t="shared" si="3"/>
        <v>2.1215979141387727E-2</v>
      </c>
      <c r="AA48" s="1642">
        <f t="shared" si="3"/>
        <v>2.1215979141387727E-2</v>
      </c>
      <c r="AB48" s="1642">
        <f t="shared" si="3"/>
        <v>2.1215979141387727E-2</v>
      </c>
      <c r="AC48" s="1642">
        <f t="shared" si="3"/>
        <v>2.1215979141387727E-2</v>
      </c>
      <c r="AD48" s="1642">
        <f t="shared" si="3"/>
        <v>2.1215979141387727E-2</v>
      </c>
      <c r="AE48" s="1642">
        <f t="shared" si="3"/>
        <v>2.1215979141387727E-2</v>
      </c>
      <c r="AF48" s="1642">
        <f t="shared" si="3"/>
        <v>2.1215979141387727E-2</v>
      </c>
      <c r="AG48" s="1642">
        <f t="shared" si="3"/>
        <v>2.1215979141387727E-2</v>
      </c>
      <c r="AH48" s="1642">
        <f t="shared" si="3"/>
        <v>2.1215979141387727E-2</v>
      </c>
      <c r="AI48" s="1642">
        <f t="shared" si="3"/>
        <v>2.1215979141387727E-2</v>
      </c>
      <c r="AJ48" s="1642">
        <f t="shared" si="3"/>
        <v>2.1215979141387727E-2</v>
      </c>
      <c r="AK48" s="1642">
        <f t="shared" si="3"/>
        <v>2.1215979141387727E-2</v>
      </c>
    </row>
    <row r="49" spans="1:37">
      <c r="A49" s="255"/>
      <c r="B49" s="255"/>
      <c r="C49" s="1639" t="s">
        <v>13554</v>
      </c>
      <c r="D49" s="255" t="s">
        <v>13544</v>
      </c>
      <c r="E49" s="1642">
        <f t="shared" ref="E49:AK49" si="4">E50+E48</f>
        <v>212.15979141387726</v>
      </c>
      <c r="F49" s="1642">
        <f t="shared" si="4"/>
        <v>212.15979141387726</v>
      </c>
      <c r="G49" s="1642">
        <f t="shared" si="4"/>
        <v>212.15979141387726</v>
      </c>
      <c r="H49" s="1642">
        <f t="shared" si="4"/>
        <v>212.15979141387726</v>
      </c>
      <c r="I49" s="1642">
        <f t="shared" si="4"/>
        <v>212.15979141387726</v>
      </c>
      <c r="J49" s="1642">
        <f t="shared" si="4"/>
        <v>212.15979141387726</v>
      </c>
      <c r="K49" s="1642">
        <f t="shared" si="4"/>
        <v>212.15979141387726</v>
      </c>
      <c r="L49" s="1642">
        <f t="shared" si="4"/>
        <v>212.15979141387726</v>
      </c>
      <c r="M49" s="1642">
        <f t="shared" si="4"/>
        <v>212.15979141387726</v>
      </c>
      <c r="N49" s="1642">
        <f t="shared" si="4"/>
        <v>212.15979141387726</v>
      </c>
      <c r="O49" s="1642">
        <f t="shared" si="4"/>
        <v>212.15979141387726</v>
      </c>
      <c r="P49" s="1642">
        <f t="shared" si="4"/>
        <v>212.15979141387726</v>
      </c>
      <c r="Q49" s="1642">
        <f t="shared" si="4"/>
        <v>212.15979141387726</v>
      </c>
      <c r="R49" s="1642">
        <f t="shared" si="4"/>
        <v>212.15979141387726</v>
      </c>
      <c r="S49" s="1642">
        <f t="shared" si="4"/>
        <v>212.15979141387726</v>
      </c>
      <c r="T49" s="1642">
        <f t="shared" si="4"/>
        <v>212.15979141387726</v>
      </c>
      <c r="U49" s="1642">
        <f t="shared" si="4"/>
        <v>212.15979141387726</v>
      </c>
      <c r="V49" s="1642">
        <f t="shared" si="4"/>
        <v>212.15979141387726</v>
      </c>
      <c r="W49" s="1642">
        <f t="shared" si="4"/>
        <v>212.15979141387726</v>
      </c>
      <c r="X49" s="1642">
        <f t="shared" si="4"/>
        <v>212.15979141387726</v>
      </c>
      <c r="Y49" s="1642">
        <f t="shared" si="4"/>
        <v>212.15979141387726</v>
      </c>
      <c r="Z49" s="1642">
        <f t="shared" si="4"/>
        <v>2.1215979141387727E-2</v>
      </c>
      <c r="AA49" s="1642">
        <f t="shared" si="4"/>
        <v>2.1215979141387727E-2</v>
      </c>
      <c r="AB49" s="1642">
        <f t="shared" si="4"/>
        <v>2.1215979141387727E-2</v>
      </c>
      <c r="AC49" s="1642">
        <f t="shared" si="4"/>
        <v>2.1215979141387727E-2</v>
      </c>
      <c r="AD49" s="1642">
        <f t="shared" si="4"/>
        <v>2.1215979141387727E-2</v>
      </c>
      <c r="AE49" s="1642">
        <f t="shared" si="4"/>
        <v>2.1215979141387727E-2</v>
      </c>
      <c r="AF49" s="1642">
        <f t="shared" si="4"/>
        <v>2.1215979141387727E-2</v>
      </c>
      <c r="AG49" s="1642">
        <f t="shared" si="4"/>
        <v>2.1215979141387727E-2</v>
      </c>
      <c r="AH49" s="1642">
        <f t="shared" si="4"/>
        <v>2.1215979141387727E-2</v>
      </c>
      <c r="AI49" s="1642">
        <f t="shared" si="4"/>
        <v>2.1215979141387727E-2</v>
      </c>
      <c r="AJ49" s="1642">
        <f t="shared" si="4"/>
        <v>2.1215979141387727E-2</v>
      </c>
      <c r="AK49" s="1642">
        <f t="shared" si="4"/>
        <v>2.1215979141387727E-2</v>
      </c>
    </row>
    <row r="50" spans="1:37">
      <c r="A50" s="255"/>
      <c r="B50" s="255"/>
      <c r="C50" s="1639" t="s">
        <v>13554</v>
      </c>
      <c r="D50" s="255" t="s">
        <v>850</v>
      </c>
      <c r="E50" s="1640">
        <f>ABS(E48-E48)</f>
        <v>0</v>
      </c>
      <c r="F50" s="1640">
        <f t="shared" ref="F50:X50" si="5">ABS(F48-E48)</f>
        <v>0</v>
      </c>
      <c r="G50" s="1640">
        <f t="shared" si="5"/>
        <v>0</v>
      </c>
      <c r="H50" s="1640">
        <f t="shared" si="5"/>
        <v>0</v>
      </c>
      <c r="I50" s="1640">
        <f t="shared" si="5"/>
        <v>0</v>
      </c>
      <c r="J50" s="1640">
        <f t="shared" si="5"/>
        <v>0</v>
      </c>
      <c r="K50" s="1640">
        <f t="shared" si="5"/>
        <v>0</v>
      </c>
      <c r="L50" s="1640">
        <f t="shared" si="5"/>
        <v>0</v>
      </c>
      <c r="M50" s="1640">
        <f t="shared" si="5"/>
        <v>0</v>
      </c>
      <c r="N50" s="1640">
        <f t="shared" si="5"/>
        <v>0</v>
      </c>
      <c r="O50" s="1640">
        <f t="shared" si="5"/>
        <v>0</v>
      </c>
      <c r="P50" s="1640">
        <f t="shared" si="5"/>
        <v>0</v>
      </c>
      <c r="Q50" s="1640">
        <f t="shared" si="5"/>
        <v>0</v>
      </c>
      <c r="R50" s="1640">
        <f t="shared" si="5"/>
        <v>0</v>
      </c>
      <c r="S50" s="1640">
        <f t="shared" si="5"/>
        <v>0</v>
      </c>
      <c r="T50" s="1640">
        <f t="shared" si="5"/>
        <v>0</v>
      </c>
      <c r="U50" s="1640">
        <f t="shared" si="5"/>
        <v>0</v>
      </c>
      <c r="V50" s="1640">
        <f t="shared" si="5"/>
        <v>0</v>
      </c>
      <c r="W50" s="1640">
        <f t="shared" si="5"/>
        <v>0</v>
      </c>
      <c r="X50" s="1640">
        <f t="shared" si="5"/>
        <v>212.13857543473588</v>
      </c>
      <c r="Y50" s="1640">
        <f>X50</f>
        <v>212.13857543473588</v>
      </c>
      <c r="Z50" s="1640">
        <f t="shared" ref="Z50:AK50" si="6">ABS(Z48-Y48)</f>
        <v>0</v>
      </c>
      <c r="AA50" s="1640">
        <f t="shared" si="6"/>
        <v>0</v>
      </c>
      <c r="AB50" s="1640">
        <f t="shared" si="6"/>
        <v>0</v>
      </c>
      <c r="AC50" s="1640">
        <f t="shared" si="6"/>
        <v>0</v>
      </c>
      <c r="AD50" s="1640">
        <f t="shared" si="6"/>
        <v>0</v>
      </c>
      <c r="AE50" s="1640">
        <f t="shared" si="6"/>
        <v>0</v>
      </c>
      <c r="AF50" s="1640">
        <f t="shared" si="6"/>
        <v>0</v>
      </c>
      <c r="AG50" s="1640">
        <f t="shared" si="6"/>
        <v>0</v>
      </c>
      <c r="AH50" s="1640">
        <f t="shared" si="6"/>
        <v>0</v>
      </c>
      <c r="AI50" s="1640">
        <f t="shared" si="6"/>
        <v>0</v>
      </c>
      <c r="AJ50" s="1640">
        <f t="shared" si="6"/>
        <v>0</v>
      </c>
      <c r="AK50" s="1640">
        <f t="shared" si="6"/>
        <v>0</v>
      </c>
    </row>
    <row r="51" spans="1:37">
      <c r="A51" s="255"/>
      <c r="B51" s="255"/>
      <c r="C51" s="1639"/>
      <c r="D51" s="255"/>
      <c r="E51" s="1640"/>
      <c r="F51" s="1640"/>
      <c r="G51" s="1640"/>
      <c r="H51" s="1640"/>
      <c r="I51" s="1640"/>
      <c r="J51" s="1640"/>
      <c r="K51" s="1640"/>
      <c r="L51" s="1640"/>
      <c r="M51" s="1640"/>
      <c r="N51" s="1640"/>
      <c r="O51" s="1640"/>
      <c r="P51" s="1640"/>
      <c r="Q51" s="1640"/>
      <c r="R51" s="1640"/>
      <c r="S51" s="1640"/>
      <c r="T51" s="1640"/>
      <c r="U51" s="1640"/>
      <c r="V51" s="1640"/>
      <c r="W51" s="1640"/>
      <c r="X51" s="1640"/>
      <c r="Y51" s="1640"/>
      <c r="Z51" s="1640"/>
      <c r="AA51" s="1640"/>
      <c r="AB51" s="1640"/>
      <c r="AC51" s="1640"/>
      <c r="AD51" s="1640"/>
      <c r="AE51" s="1640"/>
      <c r="AF51" s="1640"/>
      <c r="AG51" s="1640"/>
      <c r="AH51" s="1640"/>
      <c r="AI51" s="1640"/>
      <c r="AJ51" s="1640"/>
      <c r="AK51" s="1640"/>
    </row>
    <row r="52" spans="1:37">
      <c r="A52" s="255"/>
      <c r="B52" s="255"/>
      <c r="C52" s="1639" t="s">
        <v>14013</v>
      </c>
      <c r="D52" s="1638" t="s">
        <v>860</v>
      </c>
      <c r="E52" s="1642">
        <f t="shared" ref="E52:AK52" si="7">SUMPRODUCT($C$58:$C$60,E$58:E$60)*E$44</f>
        <v>787.96154470864383</v>
      </c>
      <c r="F52" s="1642">
        <f t="shared" si="7"/>
        <v>787.96154470864383</v>
      </c>
      <c r="G52" s="1642">
        <f t="shared" si="7"/>
        <v>787.96154470864383</v>
      </c>
      <c r="H52" s="1642">
        <f t="shared" si="7"/>
        <v>787.96154470864383</v>
      </c>
      <c r="I52" s="1642">
        <f t="shared" si="7"/>
        <v>787.96154470864383</v>
      </c>
      <c r="J52" s="1642">
        <f t="shared" si="7"/>
        <v>787.96154470864383</v>
      </c>
      <c r="K52" s="1642">
        <f t="shared" si="7"/>
        <v>787.96154470864383</v>
      </c>
      <c r="L52" s="1642">
        <f t="shared" si="7"/>
        <v>787.96154470864383</v>
      </c>
      <c r="M52" s="1642">
        <f t="shared" si="7"/>
        <v>787.96154470864383</v>
      </c>
      <c r="N52" s="1642">
        <f t="shared" si="7"/>
        <v>787.96154470864383</v>
      </c>
      <c r="O52" s="1642">
        <f t="shared" si="7"/>
        <v>787.96154470864383</v>
      </c>
      <c r="P52" s="1642">
        <f t="shared" si="7"/>
        <v>787.96154470864383</v>
      </c>
      <c r="Q52" s="1642">
        <f t="shared" si="7"/>
        <v>787.96154470864383</v>
      </c>
      <c r="R52" s="1642">
        <f t="shared" si="7"/>
        <v>787.96154470864383</v>
      </c>
      <c r="S52" s="1642">
        <f t="shared" si="7"/>
        <v>787.96154470864383</v>
      </c>
      <c r="T52" s="1642">
        <f t="shared" si="7"/>
        <v>787.96154470864383</v>
      </c>
      <c r="U52" s="1642">
        <f t="shared" si="7"/>
        <v>787.96154470864383</v>
      </c>
      <c r="V52" s="1642">
        <f t="shared" si="7"/>
        <v>787.96154470864383</v>
      </c>
      <c r="W52" s="1642">
        <f t="shared" si="7"/>
        <v>787.96154470864383</v>
      </c>
      <c r="X52" s="1642">
        <f t="shared" si="7"/>
        <v>787.96154470864383</v>
      </c>
      <c r="Y52" s="1642">
        <f t="shared" si="7"/>
        <v>787.96154470864383</v>
      </c>
      <c r="Z52" s="1642">
        <f t="shared" si="7"/>
        <v>787.96154470864383</v>
      </c>
      <c r="AA52" s="1642">
        <f t="shared" si="7"/>
        <v>598.09129297162121</v>
      </c>
      <c r="AB52" s="1642">
        <f t="shared" si="7"/>
        <v>598.09129297162121</v>
      </c>
      <c r="AC52" s="1642">
        <f t="shared" si="7"/>
        <v>598.09129297162121</v>
      </c>
      <c r="AD52" s="1642">
        <f t="shared" si="7"/>
        <v>341.76645312664073</v>
      </c>
      <c r="AE52" s="1642">
        <f t="shared" si="7"/>
        <v>341.76645312664073</v>
      </c>
      <c r="AF52" s="1642">
        <f t="shared" si="7"/>
        <v>341.76645312664073</v>
      </c>
      <c r="AG52" s="1642">
        <f t="shared" si="7"/>
        <v>3.4176645312664074E-2</v>
      </c>
      <c r="AH52" s="1642">
        <f t="shared" si="7"/>
        <v>3.4176645312664074E-2</v>
      </c>
      <c r="AI52" s="1642">
        <f t="shared" si="7"/>
        <v>3.4176645312664074E-2</v>
      </c>
      <c r="AJ52" s="1642">
        <f t="shared" si="7"/>
        <v>3.4176645312664074E-2</v>
      </c>
      <c r="AK52" s="1642">
        <f t="shared" si="7"/>
        <v>3.4176645312664074E-2</v>
      </c>
    </row>
    <row r="53" spans="1:37">
      <c r="A53" s="255"/>
      <c r="B53" s="255"/>
      <c r="C53" s="1639" t="s">
        <v>14013</v>
      </c>
      <c r="D53" s="255" t="s">
        <v>13544</v>
      </c>
      <c r="E53" s="1642">
        <f t="shared" ref="E53:AK53" si="8">E54+E52</f>
        <v>787.96154470864383</v>
      </c>
      <c r="F53" s="1642">
        <f t="shared" si="8"/>
        <v>787.96154470864383</v>
      </c>
      <c r="G53" s="1642">
        <f t="shared" si="8"/>
        <v>787.96154470864383</v>
      </c>
      <c r="H53" s="1642">
        <f t="shared" si="8"/>
        <v>787.96154470864383</v>
      </c>
      <c r="I53" s="1642">
        <f t="shared" si="8"/>
        <v>787.96154470864383</v>
      </c>
      <c r="J53" s="1642">
        <f t="shared" si="8"/>
        <v>787.96154470864383</v>
      </c>
      <c r="K53" s="1642">
        <f t="shared" si="8"/>
        <v>787.96154470864383</v>
      </c>
      <c r="L53" s="1642">
        <f t="shared" si="8"/>
        <v>787.96154470864383</v>
      </c>
      <c r="M53" s="1642">
        <f t="shared" si="8"/>
        <v>787.96154470864383</v>
      </c>
      <c r="N53" s="1642">
        <f t="shared" si="8"/>
        <v>787.96154470864383</v>
      </c>
      <c r="O53" s="1642">
        <f t="shared" si="8"/>
        <v>787.96154470864383</v>
      </c>
      <c r="P53" s="1642">
        <f t="shared" si="8"/>
        <v>787.96154470864383</v>
      </c>
      <c r="Q53" s="1642">
        <f t="shared" si="8"/>
        <v>787.96154470864383</v>
      </c>
      <c r="R53" s="1642">
        <f t="shared" si="8"/>
        <v>787.96154470864383</v>
      </c>
      <c r="S53" s="1642">
        <f t="shared" si="8"/>
        <v>787.96154470864383</v>
      </c>
      <c r="T53" s="1642">
        <f t="shared" si="8"/>
        <v>787.96154470864383</v>
      </c>
      <c r="U53" s="1642">
        <f t="shared" si="8"/>
        <v>787.96154470864383</v>
      </c>
      <c r="V53" s="1642">
        <f t="shared" si="8"/>
        <v>787.96154470864383</v>
      </c>
      <c r="W53" s="1642">
        <f t="shared" si="8"/>
        <v>787.96154470864383</v>
      </c>
      <c r="X53" s="1642">
        <f t="shared" si="8"/>
        <v>787.96154470864383</v>
      </c>
      <c r="Y53" s="1642">
        <f t="shared" si="8"/>
        <v>787.96154470864383</v>
      </c>
      <c r="Z53" s="1642">
        <f t="shared" si="8"/>
        <v>787.96154470864383</v>
      </c>
      <c r="AA53" s="1642">
        <f t="shared" si="8"/>
        <v>787.96154470864383</v>
      </c>
      <c r="AB53" s="1642">
        <f t="shared" si="8"/>
        <v>787.96154470864383</v>
      </c>
      <c r="AC53" s="1642">
        <f t="shared" si="8"/>
        <v>598.09129297162121</v>
      </c>
      <c r="AD53" s="1642">
        <f t="shared" si="8"/>
        <v>598.09129297162121</v>
      </c>
      <c r="AE53" s="1642">
        <f t="shared" si="8"/>
        <v>598.09129297162121</v>
      </c>
      <c r="AF53" s="1642">
        <f t="shared" si="8"/>
        <v>341.76645312664073</v>
      </c>
      <c r="AG53" s="1642">
        <f t="shared" si="8"/>
        <v>341.76645312664073</v>
      </c>
      <c r="AH53" s="1642">
        <f t="shared" si="8"/>
        <v>341.76645312664073</v>
      </c>
      <c r="AI53" s="1642">
        <f t="shared" si="8"/>
        <v>3.4176645312664074E-2</v>
      </c>
      <c r="AJ53" s="1642">
        <f t="shared" si="8"/>
        <v>3.4176645312664074E-2</v>
      </c>
      <c r="AK53" s="1642">
        <f t="shared" si="8"/>
        <v>3.4176645312664074E-2</v>
      </c>
    </row>
    <row r="54" spans="1:37">
      <c r="A54" s="255"/>
      <c r="B54" s="255"/>
      <c r="C54" s="1639" t="s">
        <v>14013</v>
      </c>
      <c r="D54" s="255" t="s">
        <v>850</v>
      </c>
      <c r="E54" s="1640">
        <f>ABS(E52-E52)</f>
        <v>0</v>
      </c>
      <c r="F54" s="1640">
        <f t="shared" ref="F54:AA54" si="9">ABS(F52-E52)</f>
        <v>0</v>
      </c>
      <c r="G54" s="1640">
        <f t="shared" si="9"/>
        <v>0</v>
      </c>
      <c r="H54" s="1640">
        <f t="shared" si="9"/>
        <v>0</v>
      </c>
      <c r="I54" s="1640">
        <f t="shared" si="9"/>
        <v>0</v>
      </c>
      <c r="J54" s="1640">
        <f t="shared" si="9"/>
        <v>0</v>
      </c>
      <c r="K54" s="1640">
        <f t="shared" si="9"/>
        <v>0</v>
      </c>
      <c r="L54" s="1640">
        <f t="shared" si="9"/>
        <v>0</v>
      </c>
      <c r="M54" s="1640">
        <f t="shared" si="9"/>
        <v>0</v>
      </c>
      <c r="N54" s="1640">
        <f t="shared" si="9"/>
        <v>0</v>
      </c>
      <c r="O54" s="1640">
        <f t="shared" si="9"/>
        <v>0</v>
      </c>
      <c r="P54" s="1640">
        <f t="shared" si="9"/>
        <v>0</v>
      </c>
      <c r="Q54" s="1640">
        <f t="shared" si="9"/>
        <v>0</v>
      </c>
      <c r="R54" s="1640">
        <f t="shared" si="9"/>
        <v>0</v>
      </c>
      <c r="S54" s="1640">
        <f t="shared" si="9"/>
        <v>0</v>
      </c>
      <c r="T54" s="1640">
        <f t="shared" si="9"/>
        <v>0</v>
      </c>
      <c r="U54" s="1640">
        <f t="shared" si="9"/>
        <v>0</v>
      </c>
      <c r="V54" s="1640">
        <f t="shared" si="9"/>
        <v>0</v>
      </c>
      <c r="W54" s="1640">
        <f t="shared" si="9"/>
        <v>0</v>
      </c>
      <c r="X54" s="1640">
        <f t="shared" si="9"/>
        <v>0</v>
      </c>
      <c r="Y54" s="1640">
        <f t="shared" si="9"/>
        <v>0</v>
      </c>
      <c r="Z54" s="1640">
        <f t="shared" si="9"/>
        <v>0</v>
      </c>
      <c r="AA54" s="1640">
        <f t="shared" si="9"/>
        <v>189.87025173702261</v>
      </c>
      <c r="AB54" s="1640">
        <f>AA54</f>
        <v>189.87025173702261</v>
      </c>
      <c r="AC54" s="1640">
        <f>ABS(AC52-AB52)</f>
        <v>0</v>
      </c>
      <c r="AD54" s="1640">
        <f>ABS(AD52-AC52)</f>
        <v>256.32483984498049</v>
      </c>
      <c r="AE54" s="1640">
        <f>AD54</f>
        <v>256.32483984498049</v>
      </c>
      <c r="AF54" s="1640">
        <f>ABS(AF52-AE52)</f>
        <v>0</v>
      </c>
      <c r="AG54" s="1640">
        <f>ABS(AG52-AF52)</f>
        <v>341.73227648132809</v>
      </c>
      <c r="AH54" s="1640">
        <f>AG54</f>
        <v>341.73227648132809</v>
      </c>
      <c r="AI54" s="1640">
        <f>ABS(AI52-AH52)</f>
        <v>0</v>
      </c>
      <c r="AJ54" s="1640">
        <f>ABS(AJ52-AI52)</f>
        <v>0</v>
      </c>
      <c r="AK54" s="1640">
        <f>ABS(AK52-AJ52)</f>
        <v>0</v>
      </c>
    </row>
    <row r="55" spans="1:37">
      <c r="A55" s="255"/>
      <c r="B55" s="255"/>
      <c r="C55" s="255"/>
      <c r="D55" s="255"/>
      <c r="E55" s="261"/>
      <c r="F55" s="257"/>
      <c r="G55" s="259"/>
      <c r="H55" s="258"/>
      <c r="I55" s="257"/>
      <c r="J55" s="259"/>
      <c r="K55" s="258"/>
      <c r="L55" s="257"/>
      <c r="M55" s="260"/>
      <c r="N55" s="261"/>
      <c r="O55" s="261"/>
      <c r="P55" s="255"/>
      <c r="Q55" s="255"/>
      <c r="R55" s="255"/>
      <c r="S55" s="255"/>
      <c r="T55" s="255"/>
      <c r="U55" s="255"/>
      <c r="V55" s="255"/>
      <c r="W55" s="255"/>
      <c r="X55" s="255"/>
      <c r="Y55" s="255"/>
      <c r="Z55" s="255"/>
      <c r="AA55" s="255"/>
      <c r="AB55" s="255"/>
      <c r="AC55" s="255"/>
      <c r="AD55" s="255"/>
      <c r="AE55" s="255"/>
      <c r="AF55" s="255"/>
      <c r="AG55" s="255"/>
      <c r="AH55" s="255"/>
      <c r="AI55" s="255"/>
      <c r="AJ55" s="255"/>
      <c r="AK55" s="255"/>
    </row>
    <row r="56" spans="1:37">
      <c r="A56" s="255"/>
      <c r="B56" s="255"/>
      <c r="C56" s="255"/>
      <c r="D56" s="255"/>
      <c r="E56" s="1397"/>
      <c r="F56" s="1397"/>
      <c r="G56" s="1397"/>
      <c r="H56" s="1397"/>
      <c r="I56" s="1397"/>
      <c r="J56" s="1397"/>
      <c r="K56" s="1397"/>
      <c r="L56" s="1397"/>
      <c r="M56" s="1397"/>
      <c r="N56" s="1397"/>
      <c r="O56" s="1397"/>
      <c r="P56" s="1397"/>
      <c r="Q56" s="1397"/>
      <c r="R56" s="1397"/>
      <c r="S56" s="1397"/>
      <c r="T56" s="1397"/>
      <c r="U56" s="1397"/>
      <c r="V56" s="1397"/>
      <c r="W56" s="1397"/>
      <c r="X56" s="1397"/>
      <c r="Y56" s="1397"/>
      <c r="Z56" s="1397"/>
      <c r="AA56" s="1397"/>
      <c r="AB56" s="1397"/>
      <c r="AC56" s="1397"/>
      <c r="AD56" s="1397"/>
      <c r="AE56" s="1397"/>
      <c r="AF56" s="1397"/>
      <c r="AG56" s="1397"/>
      <c r="AH56" s="1397"/>
      <c r="AI56" s="1397"/>
      <c r="AJ56" s="1397"/>
      <c r="AK56" s="1397"/>
    </row>
    <row r="57" spans="1:37">
      <c r="A57" s="255"/>
      <c r="B57" s="255"/>
      <c r="C57" s="399">
        <v>1</v>
      </c>
      <c r="D57" s="255" t="str">
        <f>'Crude refineries'!D54</f>
        <v>NATREF</v>
      </c>
      <c r="E57" s="338">
        <v>1</v>
      </c>
      <c r="F57" s="338">
        <v>1</v>
      </c>
      <c r="G57" s="338">
        <v>1</v>
      </c>
      <c r="H57" s="338">
        <v>1</v>
      </c>
      <c r="I57" s="338">
        <v>1</v>
      </c>
      <c r="J57" s="338">
        <v>1</v>
      </c>
      <c r="K57" s="338">
        <v>1</v>
      </c>
      <c r="L57" s="338">
        <v>1</v>
      </c>
      <c r="M57" s="338">
        <v>1</v>
      </c>
      <c r="N57" s="338">
        <v>1</v>
      </c>
      <c r="O57" s="338">
        <v>1</v>
      </c>
      <c r="P57" s="338">
        <v>1</v>
      </c>
      <c r="Q57" s="338">
        <v>1</v>
      </c>
      <c r="R57" s="338">
        <v>1</v>
      </c>
      <c r="S57" s="338">
        <v>1</v>
      </c>
      <c r="T57" s="338">
        <v>1</v>
      </c>
      <c r="U57" s="338">
        <v>1</v>
      </c>
      <c r="V57" s="338">
        <v>1</v>
      </c>
      <c r="W57" s="338">
        <v>1</v>
      </c>
      <c r="X57" s="1641">
        <v>1E-4</v>
      </c>
      <c r="Y57" s="1641">
        <v>1E-4</v>
      </c>
      <c r="Z57" s="1641">
        <v>1E-4</v>
      </c>
      <c r="AA57" s="1641">
        <v>1E-4</v>
      </c>
      <c r="AB57" s="1641">
        <v>1E-4</v>
      </c>
      <c r="AC57" s="1641">
        <v>1E-4</v>
      </c>
      <c r="AD57" s="1641">
        <v>1E-4</v>
      </c>
      <c r="AE57" s="1641">
        <v>1E-4</v>
      </c>
      <c r="AF57" s="1641">
        <v>1E-4</v>
      </c>
      <c r="AG57" s="1641">
        <v>1E-4</v>
      </c>
      <c r="AH57" s="1641">
        <v>1E-4</v>
      </c>
      <c r="AI57" s="1641">
        <v>1E-4</v>
      </c>
      <c r="AJ57" s="1641">
        <v>1E-4</v>
      </c>
      <c r="AK57" s="1641">
        <v>1E-4</v>
      </c>
    </row>
    <row r="58" spans="1:37">
      <c r="A58" s="255"/>
      <c r="B58" s="255"/>
      <c r="C58" s="399">
        <f>'Crude refineries'!E51/SUM('Crude refineries'!$E$51:$E$53)</f>
        <v>0.24096385542168675</v>
      </c>
      <c r="D58" s="255" t="str">
        <f>'Crude refineries'!D51</f>
        <v>CHEVREF</v>
      </c>
      <c r="E58" s="338">
        <v>1</v>
      </c>
      <c r="F58" s="338">
        <v>1</v>
      </c>
      <c r="G58" s="338">
        <v>1</v>
      </c>
      <c r="H58" s="338">
        <v>1</v>
      </c>
      <c r="I58" s="338">
        <v>1</v>
      </c>
      <c r="J58" s="338">
        <v>1</v>
      </c>
      <c r="K58" s="338">
        <v>1</v>
      </c>
      <c r="L58" s="338">
        <v>1</v>
      </c>
      <c r="M58" s="338">
        <v>1</v>
      </c>
      <c r="N58" s="338">
        <v>1</v>
      </c>
      <c r="O58" s="338">
        <v>1</v>
      </c>
      <c r="P58" s="338">
        <v>1</v>
      </c>
      <c r="Q58" s="338">
        <v>1</v>
      </c>
      <c r="R58" s="338">
        <v>1</v>
      </c>
      <c r="S58" s="338">
        <v>1</v>
      </c>
      <c r="T58" s="338">
        <v>1</v>
      </c>
      <c r="U58" s="338">
        <v>1</v>
      </c>
      <c r="V58" s="338">
        <v>1</v>
      </c>
      <c r="W58" s="338">
        <v>1</v>
      </c>
      <c r="X58" s="338">
        <v>1</v>
      </c>
      <c r="Y58" s="338">
        <v>1</v>
      </c>
      <c r="Z58" s="338">
        <v>1</v>
      </c>
      <c r="AA58" s="1641">
        <v>0</v>
      </c>
      <c r="AB58" s="1641">
        <v>0</v>
      </c>
      <c r="AC58" s="1641">
        <v>0</v>
      </c>
      <c r="AD58" s="1641">
        <v>0</v>
      </c>
      <c r="AE58" s="1641">
        <v>0</v>
      </c>
      <c r="AF58" s="1641">
        <v>0</v>
      </c>
      <c r="AG58" s="1641">
        <v>0</v>
      </c>
      <c r="AH58" s="1641">
        <v>0</v>
      </c>
      <c r="AI58" s="1641">
        <v>0</v>
      </c>
      <c r="AJ58" s="1641">
        <v>0</v>
      </c>
      <c r="AK58" s="1641">
        <v>0</v>
      </c>
    </row>
    <row r="59" spans="1:37">
      <c r="A59" s="255"/>
      <c r="B59" s="255"/>
      <c r="C59" s="399">
        <f>'Crude refineries'!E53/SUM('Crude refineries'!$E$51:$E$53)</f>
        <v>0.3253012048192771</v>
      </c>
      <c r="D59" s="255" t="str">
        <f>'Crude refineries'!D53</f>
        <v>ENREF</v>
      </c>
      <c r="E59" s="338">
        <v>1</v>
      </c>
      <c r="F59" s="338">
        <v>1</v>
      </c>
      <c r="G59" s="338">
        <v>1</v>
      </c>
      <c r="H59" s="338">
        <v>1</v>
      </c>
      <c r="I59" s="338">
        <v>1</v>
      </c>
      <c r="J59" s="338">
        <v>1</v>
      </c>
      <c r="K59" s="338">
        <v>1</v>
      </c>
      <c r="L59" s="338">
        <v>1</v>
      </c>
      <c r="M59" s="338">
        <v>1</v>
      </c>
      <c r="N59" s="338">
        <v>1</v>
      </c>
      <c r="O59" s="338">
        <v>1</v>
      </c>
      <c r="P59" s="338">
        <v>1</v>
      </c>
      <c r="Q59" s="338">
        <v>1</v>
      </c>
      <c r="R59" s="338">
        <v>1</v>
      </c>
      <c r="S59" s="338">
        <v>1</v>
      </c>
      <c r="T59" s="338">
        <v>1</v>
      </c>
      <c r="U59" s="338">
        <v>1</v>
      </c>
      <c r="V59" s="338">
        <v>1</v>
      </c>
      <c r="W59" s="338">
        <v>1</v>
      </c>
      <c r="X59" s="338">
        <v>1</v>
      </c>
      <c r="Y59" s="338">
        <v>1</v>
      </c>
      <c r="Z59" s="338">
        <v>1</v>
      </c>
      <c r="AA59" s="338">
        <v>1</v>
      </c>
      <c r="AB59" s="338">
        <v>1</v>
      </c>
      <c r="AC59" s="338">
        <v>1</v>
      </c>
      <c r="AD59" s="1641">
        <v>0</v>
      </c>
      <c r="AE59" s="1641">
        <v>0</v>
      </c>
      <c r="AF59" s="1641">
        <v>0</v>
      </c>
      <c r="AG59" s="1641">
        <v>0</v>
      </c>
      <c r="AH59" s="1641">
        <v>0</v>
      </c>
      <c r="AI59" s="1641">
        <v>0</v>
      </c>
      <c r="AJ59" s="1641">
        <v>0</v>
      </c>
      <c r="AK59" s="1641">
        <v>0</v>
      </c>
    </row>
    <row r="60" spans="1:37">
      <c r="A60" s="255"/>
      <c r="B60" s="255"/>
      <c r="C60" s="399">
        <f>'Crude refineries'!E52/SUM('Crude refineries'!$E$51:$E$53)</f>
        <v>0.43373493975903615</v>
      </c>
      <c r="D60" s="255" t="str">
        <f>'Crude refineries'!D52</f>
        <v>SAPREF</v>
      </c>
      <c r="E60" s="338">
        <v>1</v>
      </c>
      <c r="F60" s="338">
        <v>1</v>
      </c>
      <c r="G60" s="338">
        <v>1</v>
      </c>
      <c r="H60" s="338">
        <v>1</v>
      </c>
      <c r="I60" s="338">
        <v>1</v>
      </c>
      <c r="J60" s="338">
        <v>1</v>
      </c>
      <c r="K60" s="338">
        <v>1</v>
      </c>
      <c r="L60" s="338">
        <v>1</v>
      </c>
      <c r="M60" s="338">
        <v>1</v>
      </c>
      <c r="N60" s="338">
        <v>1</v>
      </c>
      <c r="O60" s="338">
        <v>1</v>
      </c>
      <c r="P60" s="338">
        <v>1</v>
      </c>
      <c r="Q60" s="338">
        <v>1</v>
      </c>
      <c r="R60" s="338">
        <v>1</v>
      </c>
      <c r="S60" s="338">
        <v>1</v>
      </c>
      <c r="T60" s="338">
        <v>1</v>
      </c>
      <c r="U60" s="338">
        <v>1</v>
      </c>
      <c r="V60" s="338">
        <v>1</v>
      </c>
      <c r="W60" s="338">
        <v>1</v>
      </c>
      <c r="X60" s="338">
        <v>1</v>
      </c>
      <c r="Y60" s="338">
        <v>1</v>
      </c>
      <c r="Z60" s="338">
        <v>1</v>
      </c>
      <c r="AA60" s="338">
        <v>1</v>
      </c>
      <c r="AB60" s="338">
        <v>1</v>
      </c>
      <c r="AC60" s="338">
        <v>1</v>
      </c>
      <c r="AD60" s="338">
        <v>1</v>
      </c>
      <c r="AE60" s="338">
        <v>1</v>
      </c>
      <c r="AF60" s="338">
        <v>1</v>
      </c>
      <c r="AG60" s="1641">
        <v>1E-4</v>
      </c>
      <c r="AH60" s="1641">
        <v>1E-4</v>
      </c>
      <c r="AI60" s="1641">
        <v>1E-4</v>
      </c>
      <c r="AJ60" s="1641">
        <v>1E-4</v>
      </c>
      <c r="AK60" s="1641">
        <v>1E-4</v>
      </c>
    </row>
    <row r="61" spans="1:37">
      <c r="A61" s="255"/>
      <c r="B61" s="255"/>
      <c r="C61" s="255"/>
      <c r="D61" s="255"/>
      <c r="E61" s="255"/>
      <c r="F61" s="257"/>
      <c r="G61" s="259"/>
      <c r="H61" s="258"/>
      <c r="I61" s="257"/>
      <c r="J61" s="259"/>
      <c r="K61" s="258"/>
      <c r="L61" s="257"/>
      <c r="M61" s="260"/>
      <c r="N61" s="261"/>
      <c r="O61" s="261"/>
      <c r="P61" s="255"/>
      <c r="Q61" s="255"/>
      <c r="R61" s="255"/>
      <c r="S61" s="255"/>
      <c r="T61" s="255"/>
      <c r="U61" s="255"/>
      <c r="V61" s="255"/>
      <c r="W61" s="255"/>
      <c r="X61" s="255"/>
      <c r="Y61" s="255"/>
      <c r="Z61" s="255"/>
      <c r="AA61" s="255"/>
      <c r="AB61" s="255"/>
      <c r="AC61" s="255"/>
      <c r="AD61" s="255"/>
      <c r="AE61" s="255"/>
      <c r="AF61" s="255"/>
      <c r="AG61" s="255"/>
      <c r="AH61" s="255"/>
      <c r="AI61" s="255"/>
      <c r="AJ61" s="255"/>
      <c r="AK61" s="255"/>
    </row>
    <row r="62" spans="1:37">
      <c r="A62" s="255"/>
      <c r="B62" s="255"/>
      <c r="C62" s="255"/>
      <c r="D62" s="255"/>
      <c r="E62" s="261"/>
      <c r="F62" s="257"/>
      <c r="G62" s="259"/>
      <c r="H62" s="258"/>
      <c r="I62" s="257"/>
      <c r="J62" s="259"/>
      <c r="K62" s="258"/>
      <c r="L62" s="257"/>
      <c r="M62" s="260"/>
      <c r="N62" s="261"/>
      <c r="O62" s="261"/>
      <c r="P62" s="255"/>
      <c r="Q62" s="255"/>
      <c r="R62" s="255"/>
      <c r="S62" s="255"/>
      <c r="T62" s="255"/>
      <c r="U62" s="255"/>
      <c r="V62" s="255"/>
      <c r="W62" s="255"/>
      <c r="X62" s="255"/>
      <c r="Y62" s="255"/>
      <c r="Z62" s="255"/>
      <c r="AA62" s="255"/>
      <c r="AB62" s="255"/>
      <c r="AC62" s="255"/>
      <c r="AD62" s="255"/>
      <c r="AE62" s="255"/>
      <c r="AF62" s="255"/>
      <c r="AG62" s="255"/>
      <c r="AH62" s="255"/>
      <c r="AI62" s="255"/>
      <c r="AJ62" s="255"/>
      <c r="AK62" s="255"/>
    </row>
    <row r="63" spans="1:37">
      <c r="A63" s="255"/>
      <c r="B63" s="1643" t="s">
        <v>14366</v>
      </c>
      <c r="C63" s="1643"/>
      <c r="D63" s="1643"/>
      <c r="E63" s="1644"/>
      <c r="F63" s="1645"/>
      <c r="G63" s="1646"/>
      <c r="H63" s="1647"/>
      <c r="I63" s="1645"/>
      <c r="J63" s="1646"/>
      <c r="K63" s="258" t="s">
        <v>14369</v>
      </c>
      <c r="L63" s="257"/>
      <c r="M63" s="260"/>
      <c r="N63" s="261"/>
      <c r="O63" s="261"/>
      <c r="P63" s="255"/>
      <c r="Q63" s="255"/>
      <c r="R63" s="255"/>
      <c r="S63" s="255"/>
      <c r="T63" s="255"/>
      <c r="U63" s="255"/>
      <c r="V63" s="255"/>
      <c r="W63" s="255"/>
      <c r="X63" s="255"/>
      <c r="Y63" s="255"/>
      <c r="Z63" s="255"/>
      <c r="AA63" s="255"/>
      <c r="AB63" s="255"/>
      <c r="AC63" s="255"/>
      <c r="AD63" s="255"/>
      <c r="AE63" s="255"/>
      <c r="AF63" s="255"/>
      <c r="AG63" s="255"/>
      <c r="AH63" s="255"/>
      <c r="AI63" s="255"/>
      <c r="AJ63" s="255"/>
      <c r="AK63" s="255"/>
    </row>
    <row r="64" spans="1:37">
      <c r="A64" s="255"/>
      <c r="B64" s="1643" t="s">
        <v>14367</v>
      </c>
      <c r="C64" s="1643"/>
      <c r="D64" s="1643"/>
      <c r="E64" s="1644"/>
      <c r="F64" s="1645"/>
      <c r="G64" s="1646"/>
      <c r="H64" s="1647"/>
      <c r="I64" s="1645"/>
      <c r="J64" s="1646"/>
      <c r="K64" s="258" t="s">
        <v>14368</v>
      </c>
      <c r="L64" s="257"/>
      <c r="M64" s="260"/>
      <c r="N64" s="261"/>
      <c r="O64" s="261"/>
      <c r="P64" s="255"/>
      <c r="Q64" s="255"/>
      <c r="R64" s="255"/>
      <c r="S64" s="255"/>
      <c r="T64" s="255"/>
      <c r="U64" s="255"/>
      <c r="V64" s="255"/>
      <c r="W64" s="255"/>
      <c r="X64" s="255"/>
      <c r="Y64" s="255"/>
      <c r="Z64" s="255"/>
      <c r="AA64" s="255"/>
      <c r="AB64" s="255"/>
      <c r="AC64" s="255"/>
      <c r="AD64" s="255"/>
      <c r="AE64" s="255"/>
      <c r="AF64" s="255"/>
      <c r="AG64" s="255"/>
      <c r="AH64" s="255"/>
      <c r="AI64" s="255"/>
      <c r="AJ64" s="255"/>
      <c r="AK64" s="255"/>
    </row>
    <row r="65" spans="1:37">
      <c r="A65" s="255"/>
      <c r="B65" s="255"/>
      <c r="C65" s="255"/>
      <c r="D65" s="255"/>
      <c r="E65" s="261"/>
      <c r="F65" s="257"/>
      <c r="G65" s="259"/>
      <c r="H65" s="258"/>
      <c r="I65" s="257"/>
      <c r="J65" s="259"/>
      <c r="K65" s="258"/>
      <c r="L65" s="257"/>
      <c r="M65" s="260"/>
      <c r="N65" s="261"/>
      <c r="O65" s="261"/>
      <c r="P65" s="255"/>
      <c r="Q65" s="255"/>
      <c r="R65" s="255"/>
      <c r="S65" s="255"/>
      <c r="T65" s="255"/>
      <c r="U65" s="255"/>
      <c r="V65" s="255"/>
      <c r="W65" s="255"/>
      <c r="X65" s="255"/>
      <c r="Y65" s="255"/>
      <c r="Z65" s="255"/>
      <c r="AA65" s="255"/>
      <c r="AB65" s="255"/>
      <c r="AC65" s="255"/>
      <c r="AD65" s="255"/>
      <c r="AE65" s="255"/>
      <c r="AF65" s="255"/>
      <c r="AG65" s="255"/>
      <c r="AH65" s="255"/>
      <c r="AI65" s="255"/>
      <c r="AJ65" s="255"/>
      <c r="AK65" s="255"/>
    </row>
    <row r="66" spans="1:37">
      <c r="A66" s="255"/>
      <c r="B66" s="255"/>
      <c r="C66" s="255"/>
      <c r="D66" s="255"/>
      <c r="E66" s="261"/>
      <c r="F66" s="257"/>
      <c r="G66" s="259"/>
      <c r="H66" s="258"/>
      <c r="I66" s="257"/>
      <c r="J66" s="259"/>
      <c r="K66" s="258"/>
      <c r="L66" s="257"/>
      <c r="M66" s="260"/>
      <c r="N66" s="261"/>
      <c r="O66" s="261"/>
      <c r="P66" s="255"/>
      <c r="Q66" s="255"/>
      <c r="R66" s="255"/>
      <c r="S66" s="255"/>
      <c r="T66" s="255"/>
      <c r="U66" s="255"/>
      <c r="V66" s="255"/>
      <c r="W66" s="255"/>
      <c r="X66" s="255"/>
      <c r="Y66" s="255"/>
      <c r="Z66" s="255"/>
      <c r="AA66" s="255"/>
      <c r="AB66" s="255"/>
      <c r="AC66" s="255"/>
      <c r="AD66" s="255"/>
      <c r="AE66" s="255"/>
      <c r="AF66" s="255"/>
      <c r="AG66" s="255"/>
      <c r="AH66" s="255"/>
      <c r="AI66" s="255"/>
      <c r="AJ66" s="255"/>
      <c r="AK66" s="255"/>
    </row>
  </sheetData>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
  <dimension ref="A1:V45"/>
  <sheetViews>
    <sheetView workbookViewId="0"/>
  </sheetViews>
  <sheetFormatPr defaultColWidth="11.42578125" defaultRowHeight="12.75"/>
  <cols>
    <col min="1" max="1" width="19.7109375" style="255" customWidth="1"/>
    <col min="2" max="2" width="7.28515625" style="255" customWidth="1"/>
    <col min="3" max="4" width="9.7109375" style="255" bestFit="1" customWidth="1"/>
    <col min="5" max="5" width="10.42578125" style="261" customWidth="1"/>
    <col min="6" max="7" width="10.7109375" style="255" bestFit="1" customWidth="1"/>
    <col min="8" max="8" width="9.7109375" style="261" customWidth="1"/>
    <col min="9" max="9" width="17.28515625" style="255" bestFit="1" customWidth="1"/>
    <col min="10" max="10" width="13.28515625" style="255" customWidth="1"/>
    <col min="11" max="11" width="12.28515625" style="255" customWidth="1"/>
    <col min="12" max="12" width="14.42578125" style="255" customWidth="1"/>
    <col min="13" max="13" width="5.28515625" style="255" customWidth="1"/>
    <col min="14" max="14" width="15.28515625" style="255" customWidth="1"/>
    <col min="15" max="15" width="10.28515625" style="255" customWidth="1"/>
    <col min="16" max="16" width="10.7109375" style="255" customWidth="1"/>
    <col min="17" max="17" width="13.42578125" style="255" customWidth="1"/>
    <col min="18" max="18" width="11.28515625" style="255" customWidth="1"/>
    <col min="19" max="19" width="12.28515625" style="255" customWidth="1"/>
    <col min="20" max="20" width="9.42578125" style="255" customWidth="1"/>
    <col min="21" max="21" width="11.28515625" style="255" bestFit="1" customWidth="1"/>
    <col min="22" max="16384" width="11.42578125" style="255"/>
  </cols>
  <sheetData>
    <row r="1" spans="1:20">
      <c r="D1" s="334" t="s">
        <v>408</v>
      </c>
      <c r="E1" s="258"/>
      <c r="G1" s="335" t="s">
        <v>409</v>
      </c>
    </row>
    <row r="2" spans="1:20">
      <c r="A2" s="336"/>
      <c r="B2" s="279"/>
      <c r="C2" s="1859" t="s">
        <v>463</v>
      </c>
      <c r="D2" s="1860"/>
      <c r="E2" s="1861"/>
      <c r="F2" s="1862" t="s">
        <v>464</v>
      </c>
      <c r="G2" s="1863"/>
      <c r="H2" s="1850"/>
      <c r="I2" s="257"/>
    </row>
    <row r="3" spans="1:20">
      <c r="A3" s="337"/>
      <c r="C3" s="265">
        <v>1997</v>
      </c>
      <c r="D3" s="266">
        <v>2006</v>
      </c>
      <c r="E3" s="338" t="s">
        <v>414</v>
      </c>
      <c r="F3" s="265">
        <v>1997</v>
      </c>
      <c r="G3" s="266">
        <v>2006</v>
      </c>
      <c r="H3" s="339" t="s">
        <v>414</v>
      </c>
    </row>
    <row r="4" spans="1:20">
      <c r="A4" s="337"/>
      <c r="C4" s="273"/>
      <c r="D4" s="259"/>
      <c r="E4" s="258"/>
      <c r="F4" s="340"/>
      <c r="G4" s="259"/>
      <c r="H4" s="272"/>
      <c r="I4" s="257"/>
    </row>
    <row r="5" spans="1:20" ht="15">
      <c r="A5" s="341" t="s">
        <v>465</v>
      </c>
      <c r="B5" s="255" t="s">
        <v>416</v>
      </c>
      <c r="C5" s="342">
        <v>1633000</v>
      </c>
      <c r="D5" s="259"/>
      <c r="E5" s="258"/>
      <c r="F5" s="343">
        <v>68640008</v>
      </c>
      <c r="G5" s="344">
        <v>68640008</v>
      </c>
      <c r="H5" s="345"/>
      <c r="O5" s="255" t="s">
        <v>162</v>
      </c>
    </row>
    <row r="6" spans="1:20" ht="15">
      <c r="A6" s="341" t="s">
        <v>466</v>
      </c>
      <c r="B6" s="255" t="s">
        <v>467</v>
      </c>
      <c r="C6" s="273"/>
      <c r="D6" s="259"/>
      <c r="E6" s="258"/>
      <c r="F6" s="343" t="s">
        <v>468</v>
      </c>
      <c r="G6" s="344">
        <v>25000000</v>
      </c>
      <c r="H6" s="345">
        <f>G6*-L6</f>
        <v>547500</v>
      </c>
      <c r="I6" s="257"/>
      <c r="L6" s="255">
        <v>-2.1899999999999999E-2</v>
      </c>
      <c r="O6" s="255">
        <f>G6/H6</f>
        <v>45.662100456621005</v>
      </c>
      <c r="S6" s="255">
        <f>T31/H6</f>
        <v>0.40760425174125903</v>
      </c>
    </row>
    <row r="7" spans="1:20" ht="15">
      <c r="A7" s="341" t="s">
        <v>469</v>
      </c>
      <c r="B7" s="255" t="s">
        <v>417</v>
      </c>
      <c r="C7" s="273">
        <v>45000</v>
      </c>
      <c r="D7" s="259">
        <v>45000</v>
      </c>
      <c r="E7" s="258"/>
      <c r="F7" s="343">
        <v>150000</v>
      </c>
      <c r="G7" s="344">
        <v>150000</v>
      </c>
      <c r="H7" s="345"/>
      <c r="I7" s="257"/>
      <c r="O7" s="255">
        <f>1/O6</f>
        <v>2.1899999999999999E-2</v>
      </c>
      <c r="Q7" s="255">
        <f>1/2.8571</f>
        <v>0.35000525007875116</v>
      </c>
      <c r="S7" s="255">
        <f>223/958</f>
        <v>0.23277661795407098</v>
      </c>
    </row>
    <row r="8" spans="1:20">
      <c r="A8" s="337" t="s">
        <v>470</v>
      </c>
      <c r="C8" s="273"/>
      <c r="D8" s="259"/>
      <c r="E8" s="258"/>
      <c r="F8" s="273"/>
      <c r="G8" s="259"/>
      <c r="H8" s="272"/>
      <c r="I8" s="257"/>
    </row>
    <row r="9" spans="1:20">
      <c r="A9" s="337"/>
      <c r="C9" s="273"/>
      <c r="D9" s="259"/>
      <c r="E9" s="258"/>
      <c r="F9" s="273"/>
      <c r="G9" s="259"/>
      <c r="H9" s="272"/>
      <c r="I9" s="257"/>
    </row>
    <row r="10" spans="1:20">
      <c r="A10" s="346" t="s">
        <v>471</v>
      </c>
      <c r="B10" s="255" t="s">
        <v>472</v>
      </c>
      <c r="C10" s="273"/>
      <c r="D10" s="259">
        <v>10.17</v>
      </c>
      <c r="E10" s="258" t="s">
        <v>473</v>
      </c>
      <c r="F10" s="273"/>
      <c r="G10" s="259"/>
      <c r="H10" s="272"/>
    </row>
    <row r="11" spans="1:20">
      <c r="A11" s="337" t="s">
        <v>422</v>
      </c>
      <c r="B11" s="255" t="s">
        <v>423</v>
      </c>
      <c r="C11" s="273">
        <v>364</v>
      </c>
      <c r="D11" s="259"/>
      <c r="E11" s="258"/>
      <c r="F11" s="343">
        <v>351</v>
      </c>
      <c r="G11" s="344"/>
      <c r="H11" s="345"/>
    </row>
    <row r="12" spans="1:20">
      <c r="A12" s="337"/>
      <c r="C12" s="273"/>
      <c r="D12" s="259"/>
      <c r="E12" s="258"/>
      <c r="F12" s="274"/>
      <c r="G12" s="275"/>
      <c r="H12" s="347"/>
    </row>
    <row r="13" spans="1:20" ht="14.25" customHeight="1">
      <c r="A13" s="336"/>
      <c r="B13" s="279"/>
      <c r="C13" s="348"/>
      <c r="D13" s="349"/>
      <c r="E13" s="350"/>
      <c r="F13" s="257"/>
      <c r="G13" s="259"/>
      <c r="H13" s="272"/>
      <c r="I13" s="336"/>
      <c r="J13" s="1864" t="s">
        <v>425</v>
      </c>
      <c r="K13" s="351"/>
      <c r="L13" s="1865" t="s">
        <v>426</v>
      </c>
      <c r="M13" s="279"/>
      <c r="N13" s="351"/>
      <c r="O13" s="352" t="s">
        <v>474</v>
      </c>
      <c r="P13" s="353" t="s">
        <v>388</v>
      </c>
      <c r="Q13" s="352" t="s">
        <v>474</v>
      </c>
      <c r="R13" s="353" t="s">
        <v>388</v>
      </c>
      <c r="S13" s="352" t="s">
        <v>474</v>
      </c>
      <c r="T13" s="353" t="s">
        <v>388</v>
      </c>
    </row>
    <row r="14" spans="1:20" ht="14.25">
      <c r="A14" s="1855" t="s">
        <v>424</v>
      </c>
      <c r="B14" s="1856"/>
      <c r="C14" s="354"/>
      <c r="D14" s="275"/>
      <c r="E14" s="355"/>
      <c r="F14" s="356"/>
      <c r="G14" s="275"/>
      <c r="H14" s="347"/>
      <c r="I14" s="357"/>
      <c r="J14" s="1845"/>
      <c r="K14" s="358" t="s">
        <v>414</v>
      </c>
      <c r="L14" s="1866"/>
      <c r="M14" s="308"/>
      <c r="N14" s="358" t="s">
        <v>414</v>
      </c>
      <c r="O14" s="1857" t="s">
        <v>475</v>
      </c>
      <c r="P14" s="1858"/>
      <c r="Q14" s="1857" t="s">
        <v>476</v>
      </c>
      <c r="R14" s="1858"/>
      <c r="S14" s="1857" t="s">
        <v>477</v>
      </c>
      <c r="T14" s="1858"/>
    </row>
    <row r="15" spans="1:20">
      <c r="A15" s="251" t="s">
        <v>390</v>
      </c>
      <c r="C15" s="291">
        <v>0</v>
      </c>
      <c r="D15" s="359">
        <v>0</v>
      </c>
      <c r="E15" s="360"/>
      <c r="F15" s="343">
        <v>30900</v>
      </c>
      <c r="G15" s="344">
        <f t="shared" ref="G15:G30" si="0">F15*$G$7/$F$7</f>
        <v>30900</v>
      </c>
      <c r="H15" s="345"/>
      <c r="I15" s="248" t="s">
        <v>390</v>
      </c>
      <c r="J15" s="279">
        <f>0.7172*1000</f>
        <v>717.19999999999993</v>
      </c>
      <c r="K15" s="286" t="s">
        <v>433</v>
      </c>
      <c r="L15" s="248">
        <f>43.71*1000</f>
        <v>43710</v>
      </c>
      <c r="M15" s="288"/>
      <c r="N15" s="361" t="s">
        <v>478</v>
      </c>
      <c r="O15" s="362">
        <f t="shared" ref="O15:O30" si="1">D15</f>
        <v>0</v>
      </c>
      <c r="P15" s="362">
        <f t="shared" ref="P15:P30" si="2">G15</f>
        <v>30900</v>
      </c>
      <c r="Q15" s="289">
        <f>O15*J15/10^3</f>
        <v>0</v>
      </c>
      <c r="R15" s="289">
        <f t="shared" ref="R15:R28" si="3">P15*$J15/10^3</f>
        <v>22161.479999999996</v>
      </c>
      <c r="S15" s="293">
        <f t="shared" ref="S15:T28" si="4">Q15*10^3*$L15/10^9</f>
        <v>0</v>
      </c>
      <c r="T15" s="293">
        <f t="shared" si="4"/>
        <v>968.6782907999999</v>
      </c>
    </row>
    <row r="16" spans="1:20">
      <c r="A16" s="251" t="s">
        <v>434</v>
      </c>
      <c r="C16" s="291">
        <v>0</v>
      </c>
      <c r="D16" s="359">
        <v>0</v>
      </c>
      <c r="E16" s="360"/>
      <c r="F16" s="343">
        <v>0</v>
      </c>
      <c r="G16" s="344">
        <f t="shared" si="0"/>
        <v>0</v>
      </c>
      <c r="H16" s="345"/>
      <c r="I16" s="249" t="s">
        <v>434</v>
      </c>
      <c r="J16" s="255">
        <f>1.0132*1000</f>
        <v>1013.2</v>
      </c>
      <c r="K16" s="272" t="s">
        <v>433</v>
      </c>
      <c r="L16" s="249">
        <v>40193</v>
      </c>
      <c r="M16" s="294"/>
      <c r="N16" s="258" t="s">
        <v>433</v>
      </c>
      <c r="O16" s="363">
        <f t="shared" si="1"/>
        <v>0</v>
      </c>
      <c r="P16" s="363">
        <f t="shared" si="2"/>
        <v>0</v>
      </c>
      <c r="Q16" s="289">
        <f>O16*J16/10^3</f>
        <v>0</v>
      </c>
      <c r="R16" s="249">
        <f t="shared" si="3"/>
        <v>0</v>
      </c>
      <c r="S16" s="293">
        <f t="shared" si="4"/>
        <v>0</v>
      </c>
      <c r="T16" s="293">
        <f t="shared" si="4"/>
        <v>0</v>
      </c>
    </row>
    <row r="17" spans="1:21">
      <c r="A17" s="251" t="s">
        <v>435</v>
      </c>
      <c r="C17" s="291">
        <v>0</v>
      </c>
      <c r="D17" s="359">
        <v>0</v>
      </c>
      <c r="E17" s="360"/>
      <c r="F17" s="343">
        <v>0</v>
      </c>
      <c r="G17" s="344">
        <f t="shared" si="0"/>
        <v>0</v>
      </c>
      <c r="H17" s="345"/>
      <c r="I17" s="249" t="s">
        <v>435</v>
      </c>
      <c r="J17" s="255">
        <f>0.718*1000</f>
        <v>718</v>
      </c>
      <c r="K17" s="258" t="s">
        <v>433</v>
      </c>
      <c r="L17" s="249">
        <v>45008</v>
      </c>
      <c r="M17" s="294"/>
      <c r="N17" s="258" t="s">
        <v>433</v>
      </c>
      <c r="O17" s="363">
        <f t="shared" si="1"/>
        <v>0</v>
      </c>
      <c r="P17" s="273">
        <f t="shared" si="2"/>
        <v>0</v>
      </c>
      <c r="Q17" s="249">
        <f>O17*J17/10^3</f>
        <v>0</v>
      </c>
      <c r="R17" s="249">
        <f t="shared" si="3"/>
        <v>0</v>
      </c>
      <c r="S17" s="293">
        <f t="shared" si="4"/>
        <v>0</v>
      </c>
      <c r="T17" s="293">
        <f t="shared" si="4"/>
        <v>0</v>
      </c>
    </row>
    <row r="18" spans="1:21">
      <c r="A18" s="251" t="s">
        <v>32</v>
      </c>
      <c r="C18" s="291">
        <v>394700</v>
      </c>
      <c r="D18" s="359">
        <v>394700</v>
      </c>
      <c r="E18" s="360"/>
      <c r="F18" s="343">
        <v>1374800</v>
      </c>
      <c r="G18" s="344">
        <f t="shared" si="0"/>
        <v>1374800</v>
      </c>
      <c r="H18" s="345"/>
      <c r="I18" s="249" t="s">
        <v>32</v>
      </c>
      <c r="J18" s="294">
        <f>AVERAGE(54.6,53,59.9)*(3.2808)^3*0.453593</f>
        <v>894.33282118473073</v>
      </c>
      <c r="K18" s="258" t="s">
        <v>436</v>
      </c>
      <c r="L18" s="249">
        <f>46*1000</f>
        <v>46000</v>
      </c>
      <c r="M18" s="294"/>
      <c r="N18" s="258" t="s">
        <v>437</v>
      </c>
      <c r="O18" s="363">
        <f t="shared" si="1"/>
        <v>394700</v>
      </c>
      <c r="P18" s="273">
        <f t="shared" si="2"/>
        <v>1374800</v>
      </c>
      <c r="Q18" s="249">
        <f>O18*J18/10^3</f>
        <v>352993.16452161322</v>
      </c>
      <c r="R18" s="249">
        <f t="shared" si="3"/>
        <v>1229528.7625647679</v>
      </c>
      <c r="S18" s="293">
        <f t="shared" si="4"/>
        <v>16237.685567994209</v>
      </c>
      <c r="T18" s="293">
        <f t="shared" si="4"/>
        <v>56558.323077979323</v>
      </c>
      <c r="U18" s="368">
        <f>T18+S18</f>
        <v>72796.008645973532</v>
      </c>
    </row>
    <row r="19" spans="1:21">
      <c r="A19" s="337" t="s">
        <v>479</v>
      </c>
      <c r="C19" s="342">
        <v>123400</v>
      </c>
      <c r="D19" s="290">
        <v>123400</v>
      </c>
      <c r="E19" s="364"/>
      <c r="F19" s="343">
        <v>816800</v>
      </c>
      <c r="G19" s="344">
        <f t="shared" si="0"/>
        <v>816800</v>
      </c>
      <c r="H19" s="345"/>
      <c r="I19" s="249" t="s">
        <v>479</v>
      </c>
      <c r="J19" s="294">
        <v>794</v>
      </c>
      <c r="K19" s="365" t="s">
        <v>480</v>
      </c>
      <c r="L19" s="249">
        <v>26700</v>
      </c>
      <c r="M19" s="294"/>
      <c r="N19" s="366" t="s">
        <v>480</v>
      </c>
      <c r="O19" s="363">
        <f t="shared" si="1"/>
        <v>123400</v>
      </c>
      <c r="P19" s="273">
        <f t="shared" si="2"/>
        <v>816800</v>
      </c>
      <c r="Q19" s="249">
        <f>O19*$J19/10^3</f>
        <v>97979.6</v>
      </c>
      <c r="R19" s="249">
        <f t="shared" si="3"/>
        <v>648539.19999999995</v>
      </c>
      <c r="S19" s="293">
        <f t="shared" si="4"/>
        <v>2616.0553199999999</v>
      </c>
      <c r="T19" s="293">
        <f t="shared" si="4"/>
        <v>17315.996640000001</v>
      </c>
    </row>
    <row r="20" spans="1:21">
      <c r="A20" s="251" t="s">
        <v>391</v>
      </c>
      <c r="C20" s="291">
        <v>0</v>
      </c>
      <c r="D20" s="359">
        <v>0</v>
      </c>
      <c r="E20" s="360"/>
      <c r="F20" s="343">
        <v>0</v>
      </c>
      <c r="G20" s="344">
        <f t="shared" si="0"/>
        <v>0</v>
      </c>
      <c r="H20" s="345"/>
      <c r="I20" s="249" t="s">
        <v>391</v>
      </c>
      <c r="J20" s="255">
        <f>0.9475*1000</f>
        <v>947.5</v>
      </c>
      <c r="K20" s="258" t="s">
        <v>433</v>
      </c>
      <c r="L20" s="249">
        <v>40193</v>
      </c>
      <c r="M20" s="294"/>
      <c r="N20" s="258" t="s">
        <v>433</v>
      </c>
      <c r="O20" s="363">
        <f t="shared" si="1"/>
        <v>0</v>
      </c>
      <c r="P20" s="273">
        <f t="shared" si="2"/>
        <v>0</v>
      </c>
      <c r="Q20" s="249">
        <f>O20*J20/10^3</f>
        <v>0</v>
      </c>
      <c r="R20" s="249">
        <f t="shared" si="3"/>
        <v>0</v>
      </c>
      <c r="S20" s="293">
        <f t="shared" si="4"/>
        <v>0</v>
      </c>
      <c r="T20" s="293">
        <f t="shared" si="4"/>
        <v>0</v>
      </c>
    </row>
    <row r="21" spans="1:21" ht="15">
      <c r="A21" s="251" t="s">
        <v>140</v>
      </c>
      <c r="C21" s="291">
        <v>14500</v>
      </c>
      <c r="D21" s="359">
        <v>14500</v>
      </c>
      <c r="E21" s="360"/>
      <c r="F21" s="343">
        <v>189400</v>
      </c>
      <c r="G21" s="344">
        <f t="shared" si="0"/>
        <v>189400</v>
      </c>
      <c r="H21" s="345"/>
      <c r="I21" s="251" t="s">
        <v>140</v>
      </c>
      <c r="J21" s="255">
        <f>0.6948*1000</f>
        <v>694.8</v>
      </c>
      <c r="K21" s="258" t="s">
        <v>433</v>
      </c>
      <c r="L21" s="249">
        <v>48148</v>
      </c>
      <c r="M21" s="292"/>
      <c r="N21" s="258" t="s">
        <v>433</v>
      </c>
      <c r="O21" s="363">
        <f t="shared" si="1"/>
        <v>14500</v>
      </c>
      <c r="P21" s="273">
        <f t="shared" si="2"/>
        <v>189400</v>
      </c>
      <c r="Q21" s="249">
        <f>O21*$J21/10^3</f>
        <v>10074.6</v>
      </c>
      <c r="R21" s="249">
        <f t="shared" si="3"/>
        <v>131595.12</v>
      </c>
      <c r="S21" s="293">
        <f t="shared" si="4"/>
        <v>485.07184080000002</v>
      </c>
      <c r="T21" s="386">
        <f>R21*10^3*$L21/10^9</f>
        <v>6336.0418377599999</v>
      </c>
    </row>
    <row r="22" spans="1:21">
      <c r="A22" s="251" t="s">
        <v>438</v>
      </c>
      <c r="C22" s="291">
        <v>200600</v>
      </c>
      <c r="D22" s="359">
        <v>200600</v>
      </c>
      <c r="E22" s="360"/>
      <c r="F22" s="343">
        <v>292400</v>
      </c>
      <c r="G22" s="344">
        <f t="shared" si="0"/>
        <v>292400</v>
      </c>
      <c r="H22" s="345"/>
      <c r="I22" s="249" t="s">
        <v>438</v>
      </c>
      <c r="J22" s="255">
        <f>0.797*1000</f>
        <v>797</v>
      </c>
      <c r="K22" s="258" t="s">
        <v>433</v>
      </c>
      <c r="L22" s="249">
        <f>43.28*1000</f>
        <v>43280</v>
      </c>
      <c r="M22" s="294"/>
      <c r="N22" s="366" t="s">
        <v>478</v>
      </c>
      <c r="O22" s="363">
        <f t="shared" si="1"/>
        <v>200600</v>
      </c>
      <c r="P22" s="273">
        <f t="shared" si="2"/>
        <v>292400</v>
      </c>
      <c r="Q22" s="249">
        <f t="shared" ref="Q22:Q28" si="5">O22*J22/10^3</f>
        <v>159878.20000000001</v>
      </c>
      <c r="R22" s="249">
        <f t="shared" si="3"/>
        <v>233042.8</v>
      </c>
      <c r="S22" s="293">
        <f t="shared" si="4"/>
        <v>6919.5284959999999</v>
      </c>
      <c r="T22" s="293">
        <f t="shared" si="4"/>
        <v>10086.092384</v>
      </c>
    </row>
    <row r="23" spans="1:21">
      <c r="A23" s="251" t="s">
        <v>34</v>
      </c>
      <c r="C23" s="291">
        <v>77900</v>
      </c>
      <c r="D23" s="359">
        <v>77900</v>
      </c>
      <c r="E23" s="360"/>
      <c r="F23" s="343">
        <v>122900</v>
      </c>
      <c r="G23" s="344">
        <f t="shared" si="0"/>
        <v>122900</v>
      </c>
      <c r="H23" s="345"/>
      <c r="I23" s="249" t="s">
        <v>34</v>
      </c>
      <c r="J23" s="255">
        <f>0.562*1000</f>
        <v>562</v>
      </c>
      <c r="K23" s="258" t="s">
        <v>433</v>
      </c>
      <c r="L23" s="249">
        <v>47311</v>
      </c>
      <c r="M23" s="294"/>
      <c r="N23" s="258" t="s">
        <v>433</v>
      </c>
      <c r="O23" s="363">
        <f t="shared" si="1"/>
        <v>77900</v>
      </c>
      <c r="P23" s="273">
        <f t="shared" si="2"/>
        <v>122900</v>
      </c>
      <c r="Q23" s="249">
        <f t="shared" si="5"/>
        <v>43779.8</v>
      </c>
      <c r="R23" s="249">
        <f t="shared" si="3"/>
        <v>69069.8</v>
      </c>
      <c r="S23" s="293">
        <f t="shared" si="4"/>
        <v>2071.2661177999998</v>
      </c>
      <c r="T23" s="293">
        <f t="shared" si="4"/>
        <v>3267.7613077999999</v>
      </c>
    </row>
    <row r="24" spans="1:21">
      <c r="A24" s="251" t="s">
        <v>439</v>
      </c>
      <c r="C24" s="291">
        <v>0</v>
      </c>
      <c r="D24" s="359">
        <v>0</v>
      </c>
      <c r="E24" s="360"/>
      <c r="F24" s="343">
        <v>0</v>
      </c>
      <c r="G24" s="344">
        <f t="shared" si="0"/>
        <v>0</v>
      </c>
      <c r="H24" s="345"/>
      <c r="I24" s="249" t="s">
        <v>439</v>
      </c>
      <c r="J24" s="255">
        <f>0.891*1000</f>
        <v>891</v>
      </c>
      <c r="K24" s="258" t="s">
        <v>433</v>
      </c>
      <c r="L24" s="297"/>
      <c r="M24" s="298"/>
      <c r="N24" s="367"/>
      <c r="O24" s="363">
        <f t="shared" si="1"/>
        <v>0</v>
      </c>
      <c r="P24" s="273">
        <f t="shared" si="2"/>
        <v>0</v>
      </c>
      <c r="Q24" s="249">
        <f t="shared" si="5"/>
        <v>0</v>
      </c>
      <c r="R24" s="249">
        <f t="shared" si="3"/>
        <v>0</v>
      </c>
      <c r="S24" s="293">
        <f t="shared" si="4"/>
        <v>0</v>
      </c>
      <c r="T24" s="293">
        <f t="shared" si="4"/>
        <v>0</v>
      </c>
    </row>
    <row r="25" spans="1:21" ht="14.25">
      <c r="A25" s="251" t="s">
        <v>440</v>
      </c>
      <c r="C25" s="291">
        <v>0</v>
      </c>
      <c r="D25" s="359">
        <v>0</v>
      </c>
      <c r="E25" s="360"/>
      <c r="F25" s="343">
        <v>11700</v>
      </c>
      <c r="G25" s="344">
        <f t="shared" si="0"/>
        <v>11700</v>
      </c>
      <c r="H25" s="345"/>
      <c r="I25" s="249" t="s">
        <v>481</v>
      </c>
      <c r="J25" s="255">
        <v>723</v>
      </c>
      <c r="K25" s="258" t="s">
        <v>441</v>
      </c>
      <c r="L25" s="249">
        <v>47300</v>
      </c>
      <c r="M25" s="294"/>
      <c r="N25" s="258" t="s">
        <v>441</v>
      </c>
      <c r="O25" s="363">
        <f t="shared" si="1"/>
        <v>0</v>
      </c>
      <c r="P25" s="273">
        <f t="shared" si="2"/>
        <v>11700</v>
      </c>
      <c r="Q25" s="249">
        <f t="shared" si="5"/>
        <v>0</v>
      </c>
      <c r="R25" s="249">
        <f t="shared" si="3"/>
        <v>8459.1</v>
      </c>
      <c r="S25" s="293">
        <f t="shared" si="4"/>
        <v>0</v>
      </c>
      <c r="T25" s="293">
        <f t="shared" si="4"/>
        <v>400.11543</v>
      </c>
      <c r="U25" s="368">
        <f>SUM(S25:S28)+SUM(T25:T28)</f>
        <v>156530.62788000001</v>
      </c>
    </row>
    <row r="26" spans="1:21" ht="14.25">
      <c r="A26" s="251" t="s">
        <v>442</v>
      </c>
      <c r="C26" s="291">
        <v>0</v>
      </c>
      <c r="D26" s="359">
        <v>0</v>
      </c>
      <c r="E26" s="360"/>
      <c r="F26" s="343">
        <v>3428400</v>
      </c>
      <c r="G26" s="344">
        <f t="shared" si="0"/>
        <v>3428400</v>
      </c>
      <c r="H26" s="345"/>
      <c r="I26" s="249" t="s">
        <v>482</v>
      </c>
      <c r="J26" s="255">
        <v>723</v>
      </c>
      <c r="K26" s="258" t="s">
        <v>441</v>
      </c>
      <c r="L26" s="249">
        <v>47300</v>
      </c>
      <c r="M26" s="294"/>
      <c r="N26" s="258" t="s">
        <v>441</v>
      </c>
      <c r="O26" s="363">
        <f t="shared" si="1"/>
        <v>0</v>
      </c>
      <c r="P26" s="273">
        <f t="shared" si="2"/>
        <v>3428400</v>
      </c>
      <c r="Q26" s="249">
        <f t="shared" si="5"/>
        <v>0</v>
      </c>
      <c r="R26" s="249">
        <f t="shared" si="3"/>
        <v>2478733.2000000002</v>
      </c>
      <c r="S26" s="293">
        <f t="shared" si="4"/>
        <v>0</v>
      </c>
      <c r="T26" s="293">
        <f t="shared" si="4"/>
        <v>117244.08036000001</v>
      </c>
    </row>
    <row r="27" spans="1:21" ht="14.25">
      <c r="A27" s="251" t="s">
        <v>443</v>
      </c>
      <c r="C27" s="291">
        <v>27100</v>
      </c>
      <c r="D27" s="359">
        <v>27100</v>
      </c>
      <c r="E27" s="360"/>
      <c r="F27" s="343">
        <v>19200</v>
      </c>
      <c r="G27" s="344">
        <f t="shared" si="0"/>
        <v>19200</v>
      </c>
      <c r="H27" s="345"/>
      <c r="I27" s="249" t="s">
        <v>483</v>
      </c>
      <c r="J27" s="255">
        <v>723</v>
      </c>
      <c r="K27" s="258" t="s">
        <v>441</v>
      </c>
      <c r="L27" s="249">
        <v>47300</v>
      </c>
      <c r="M27" s="294"/>
      <c r="N27" s="258" t="s">
        <v>441</v>
      </c>
      <c r="O27" s="363">
        <f t="shared" si="1"/>
        <v>27100</v>
      </c>
      <c r="P27" s="273">
        <f t="shared" si="2"/>
        <v>19200</v>
      </c>
      <c r="Q27" s="249">
        <f t="shared" si="5"/>
        <v>19593.3</v>
      </c>
      <c r="R27" s="249">
        <f t="shared" si="3"/>
        <v>13881.6</v>
      </c>
      <c r="S27" s="293">
        <f t="shared" si="4"/>
        <v>926.76309000000003</v>
      </c>
      <c r="T27" s="293">
        <f t="shared" si="4"/>
        <v>656.59968000000003</v>
      </c>
    </row>
    <row r="28" spans="1:21" ht="14.25">
      <c r="A28" s="251" t="s">
        <v>444</v>
      </c>
      <c r="C28" s="291">
        <v>795000</v>
      </c>
      <c r="D28" s="359">
        <v>795000</v>
      </c>
      <c r="E28" s="360"/>
      <c r="F28" s="343">
        <v>295800</v>
      </c>
      <c r="G28" s="344">
        <f t="shared" si="0"/>
        <v>295800</v>
      </c>
      <c r="H28" s="345"/>
      <c r="I28" s="249" t="s">
        <v>484</v>
      </c>
      <c r="J28" s="255">
        <v>723</v>
      </c>
      <c r="K28" s="258" t="s">
        <v>441</v>
      </c>
      <c r="L28" s="249">
        <v>47300</v>
      </c>
      <c r="M28" s="294"/>
      <c r="N28" s="258" t="s">
        <v>441</v>
      </c>
      <c r="O28" s="363">
        <f t="shared" si="1"/>
        <v>795000</v>
      </c>
      <c r="P28" s="273">
        <f t="shared" si="2"/>
        <v>295800</v>
      </c>
      <c r="Q28" s="249">
        <f t="shared" si="5"/>
        <v>574785</v>
      </c>
      <c r="R28" s="249">
        <f t="shared" si="3"/>
        <v>213863.4</v>
      </c>
      <c r="S28" s="293">
        <f t="shared" si="4"/>
        <v>27187.3305</v>
      </c>
      <c r="T28" s="293">
        <f t="shared" si="4"/>
        <v>10115.73882</v>
      </c>
      <c r="U28" s="368">
        <f>SUM(T25:T28)</f>
        <v>128416.53429000001</v>
      </c>
    </row>
    <row r="29" spans="1:21">
      <c r="A29" s="251" t="s">
        <v>393</v>
      </c>
      <c r="C29" s="291">
        <v>0</v>
      </c>
      <c r="D29" s="359">
        <v>0</v>
      </c>
      <c r="E29" s="360"/>
      <c r="F29" s="343">
        <v>6200</v>
      </c>
      <c r="G29" s="344">
        <f t="shared" si="0"/>
        <v>6200</v>
      </c>
      <c r="H29" s="345"/>
      <c r="I29" s="249" t="s">
        <v>393</v>
      </c>
      <c r="J29" s="369"/>
      <c r="L29" s="370">
        <v>34.5</v>
      </c>
      <c r="M29" s="371" t="s">
        <v>445</v>
      </c>
      <c r="N29" s="258" t="s">
        <v>446</v>
      </c>
      <c r="O29" s="363">
        <f t="shared" si="1"/>
        <v>0</v>
      </c>
      <c r="P29" s="273">
        <f t="shared" si="2"/>
        <v>6200</v>
      </c>
      <c r="Q29" s="372"/>
      <c r="R29" s="222"/>
      <c r="S29" s="293">
        <f>Q29*10^3*$L29/10^9</f>
        <v>0</v>
      </c>
      <c r="T29" s="293">
        <f>L29*P29*10^3/10^6</f>
        <v>213.9</v>
      </c>
    </row>
    <row r="30" spans="1:21">
      <c r="A30" s="307" t="s">
        <v>447</v>
      </c>
      <c r="B30" s="308"/>
      <c r="C30" s="312">
        <v>0</v>
      </c>
      <c r="D30" s="373">
        <v>0</v>
      </c>
      <c r="E30" s="374"/>
      <c r="F30" s="375">
        <v>214800</v>
      </c>
      <c r="G30" s="376">
        <f t="shared" si="0"/>
        <v>214800</v>
      </c>
      <c r="H30" s="377"/>
      <c r="I30" s="252" t="s">
        <v>447</v>
      </c>
      <c r="J30" s="378"/>
      <c r="K30" s="378"/>
      <c r="L30" s="318"/>
      <c r="M30" s="379"/>
      <c r="N30" s="380"/>
      <c r="O30" s="381">
        <f t="shared" si="1"/>
        <v>0</v>
      </c>
      <c r="P30" s="274">
        <f t="shared" si="2"/>
        <v>214800</v>
      </c>
      <c r="Q30" s="318"/>
      <c r="R30" s="318"/>
      <c r="S30" s="319"/>
      <c r="T30" s="319"/>
    </row>
    <row r="31" spans="1:21">
      <c r="C31" s="257"/>
      <c r="D31" s="257">
        <f>SUM(D15:D30)</f>
        <v>1633200</v>
      </c>
      <c r="E31" s="258"/>
      <c r="F31" s="257"/>
      <c r="G31" s="257">
        <f>SUM(G15:G30)</f>
        <v>6803300</v>
      </c>
      <c r="H31" s="258"/>
      <c r="O31" s="257">
        <f t="shared" ref="O31:T31" si="6">SUM(O15:O30)</f>
        <v>1633200</v>
      </c>
      <c r="P31" s="257">
        <f t="shared" si="6"/>
        <v>6803300</v>
      </c>
      <c r="Q31" s="257">
        <f t="shared" si="6"/>
        <v>1259083.6645216134</v>
      </c>
      <c r="R31" s="257">
        <f t="shared" si="6"/>
        <v>5048874.4625647683</v>
      </c>
      <c r="S31" s="257">
        <f t="shared" si="6"/>
        <v>56443.700932594205</v>
      </c>
      <c r="T31" s="257">
        <f t="shared" si="6"/>
        <v>223163.32782833933</v>
      </c>
    </row>
    <row r="32" spans="1:21">
      <c r="C32" s="257"/>
      <c r="D32" s="257"/>
      <c r="E32" s="258"/>
      <c r="F32" s="257"/>
      <c r="G32" s="257"/>
      <c r="H32" s="258"/>
      <c r="Q32" s="1109">
        <f>Q31*2.3</f>
        <v>2895892.4283997105</v>
      </c>
      <c r="T32" s="255">
        <f>7/5*T31</f>
        <v>312428.65895967506</v>
      </c>
    </row>
    <row r="33" spans="1:22" ht="13.5" customHeight="1">
      <c r="A33" s="321" t="s">
        <v>414</v>
      </c>
      <c r="C33" s="257"/>
      <c r="D33" s="257"/>
      <c r="E33" s="258"/>
      <c r="F33" s="257"/>
      <c r="G33" s="257"/>
      <c r="H33" s="258"/>
      <c r="L33" s="257"/>
      <c r="M33" s="257"/>
      <c r="N33" s="257"/>
      <c r="O33" s="257"/>
      <c r="P33" s="257"/>
      <c r="Q33" s="257"/>
      <c r="R33" s="257"/>
    </row>
    <row r="34" spans="1:22">
      <c r="C34" s="257"/>
      <c r="D34" s="257"/>
      <c r="E34" s="258"/>
      <c r="F34" s="257"/>
      <c r="G34" s="257"/>
      <c r="H34" s="258"/>
      <c r="L34" s="257"/>
      <c r="M34" s="257"/>
      <c r="N34" s="257"/>
      <c r="O34" s="257"/>
      <c r="Q34" s="255" t="s">
        <v>1786</v>
      </c>
      <c r="R34" s="257">
        <v>1020000</v>
      </c>
      <c r="S34" s="255" t="s">
        <v>1791</v>
      </c>
      <c r="T34" s="257">
        <f>Q31</f>
        <v>1259083.6645216134</v>
      </c>
      <c r="U34" s="255" t="s">
        <v>1790</v>
      </c>
      <c r="V34" s="255" t="s">
        <v>1789</v>
      </c>
    </row>
    <row r="35" spans="1:22" ht="24" customHeight="1">
      <c r="A35" s="322" t="s">
        <v>450</v>
      </c>
      <c r="C35" s="257"/>
      <c r="P35" s="255" t="s">
        <v>1700</v>
      </c>
      <c r="Q35" s="399">
        <v>0.06</v>
      </c>
      <c r="R35" s="255">
        <f>Q35*$R$34</f>
        <v>61200</v>
      </c>
      <c r="S35" s="1113">
        <f>R35*1000*L18*0.000000001</f>
        <v>2815.2000000000003</v>
      </c>
      <c r="T35" s="1113">
        <f t="shared" ref="T35:T41" si="7">Q35*$T$34</f>
        <v>75545.019871296798</v>
      </c>
      <c r="U35" s="1113">
        <f>T35*1000*L18*0.000000001</f>
        <v>3475.0709140796525</v>
      </c>
      <c r="V35" s="1113">
        <f>RefineriesData!Y236</f>
        <v>1875.9460465116279</v>
      </c>
    </row>
    <row r="36" spans="1:22" ht="24" customHeight="1">
      <c r="A36" s="322" t="s">
        <v>485</v>
      </c>
      <c r="C36" s="257"/>
      <c r="P36" s="255" t="s">
        <v>1783</v>
      </c>
      <c r="Q36" s="1111">
        <v>0.53</v>
      </c>
      <c r="R36" s="255">
        <f t="shared" ref="R36:R41" si="8">Q36*$R$34</f>
        <v>540600</v>
      </c>
      <c r="S36" s="1113">
        <f>R36*L25*0.000001</f>
        <v>25570.379999999997</v>
      </c>
      <c r="T36" s="1113">
        <f t="shared" si="7"/>
        <v>667314.34219645511</v>
      </c>
      <c r="U36" s="1113">
        <f>T36*L25*0.000001</f>
        <v>31563.968385892324</v>
      </c>
      <c r="V36" s="1113">
        <f>RefineriesData!Y237</f>
        <v>16570.856744186047</v>
      </c>
    </row>
    <row r="37" spans="1:22" ht="24" customHeight="1">
      <c r="A37" s="322" t="s">
        <v>486</v>
      </c>
      <c r="C37" s="257"/>
      <c r="P37" s="255" t="s">
        <v>1782</v>
      </c>
      <c r="Q37" s="1111">
        <v>0.11</v>
      </c>
      <c r="R37" s="255">
        <f t="shared" si="8"/>
        <v>112200</v>
      </c>
      <c r="S37" s="1113">
        <f>R37*L22*0.000001</f>
        <v>4856.0159999999996</v>
      </c>
      <c r="T37" s="1113">
        <f t="shared" si="7"/>
        <v>138499.20309737747</v>
      </c>
      <c r="U37" s="1113">
        <f>T37*L22*0.000001</f>
        <v>5994.2455100544967</v>
      </c>
      <c r="V37" s="1113">
        <f>RefineriesData!Y238</f>
        <v>3439.2344186046507</v>
      </c>
    </row>
    <row r="38" spans="1:22" ht="24" customHeight="1">
      <c r="A38" s="322" t="s">
        <v>453</v>
      </c>
      <c r="C38" s="257"/>
      <c r="P38" s="255" t="s">
        <v>1781</v>
      </c>
      <c r="Q38" s="1111">
        <v>0.08</v>
      </c>
      <c r="R38" s="255">
        <f t="shared" si="8"/>
        <v>81600</v>
      </c>
      <c r="S38" s="1113">
        <f>R38*L23*0.000001</f>
        <v>3860.5775999999996</v>
      </c>
      <c r="T38" s="1113">
        <f t="shared" si="7"/>
        <v>100726.69316172907</v>
      </c>
      <c r="U38" s="1113">
        <f>T38*L23*0.000001</f>
        <v>4765.4805801745642</v>
      </c>
      <c r="V38" s="1113">
        <f>RefineriesData!Y239</f>
        <v>2501.2613953488376</v>
      </c>
    </row>
    <row r="39" spans="1:22" ht="24" customHeight="1">
      <c r="A39" s="322" t="s">
        <v>454</v>
      </c>
      <c r="P39" s="255" t="s">
        <v>1780</v>
      </c>
      <c r="Q39" s="1111">
        <v>0.12</v>
      </c>
      <c r="R39" s="255">
        <f t="shared" si="8"/>
        <v>122400</v>
      </c>
      <c r="S39" s="1113">
        <f>R39*L17*0.000001</f>
        <v>5508.9791999999998</v>
      </c>
      <c r="T39" s="1113">
        <f t="shared" si="7"/>
        <v>151090.0397425936</v>
      </c>
      <c r="U39" s="1113">
        <f>T39*L17*0.000001</f>
        <v>6800.2605087346519</v>
      </c>
      <c r="V39" s="1113">
        <f>RefineriesData!Y240</f>
        <v>3751.8920930232557</v>
      </c>
    </row>
    <row r="40" spans="1:22" ht="24" customHeight="1">
      <c r="A40" s="322" t="s">
        <v>455</v>
      </c>
      <c r="P40" s="255" t="s">
        <v>1784</v>
      </c>
      <c r="Q40" s="1111">
        <v>0.06</v>
      </c>
      <c r="R40" s="255">
        <f t="shared" si="8"/>
        <v>61200</v>
      </c>
      <c r="S40" s="1113">
        <f>R40*L19*0.000001</f>
        <v>1634.04</v>
      </c>
      <c r="T40" s="1113">
        <f t="shared" si="7"/>
        <v>75545.019871296798</v>
      </c>
      <c r="U40" s="1113">
        <f>T40*L19*0.000001</f>
        <v>2017.0520305636244</v>
      </c>
      <c r="V40" s="1113">
        <f>RefineriesData!Y241</f>
        <v>1875.9460465116279</v>
      </c>
    </row>
    <row r="41" spans="1:22" ht="24" customHeight="1">
      <c r="A41" s="322" t="s">
        <v>487</v>
      </c>
      <c r="P41" s="255" t="s">
        <v>1785</v>
      </c>
      <c r="Q41" s="1111">
        <v>0.04</v>
      </c>
      <c r="R41" s="255">
        <f t="shared" si="8"/>
        <v>40800</v>
      </c>
      <c r="S41" s="1113">
        <f>R41*L20*0.000001</f>
        <v>1639.8743999999999</v>
      </c>
      <c r="T41" s="1113">
        <f t="shared" si="7"/>
        <v>50363.346580864534</v>
      </c>
      <c r="U41" s="1113">
        <f>T41*L20*0.000001</f>
        <v>2024.2539891246881</v>
      </c>
      <c r="V41" s="1113">
        <f>RefineriesData!Y242</f>
        <v>1250.6306976744188</v>
      </c>
    </row>
    <row r="42" spans="1:22" ht="24" customHeight="1">
      <c r="A42" s="322" t="s">
        <v>456</v>
      </c>
      <c r="S42" s="268">
        <f>SUM(S35:S41)</f>
        <v>45885.067199999998</v>
      </c>
      <c r="T42" s="268"/>
      <c r="U42" s="268">
        <f>SUM(U35:U41)</f>
        <v>56640.331918623997</v>
      </c>
      <c r="V42" s="268">
        <f>SUM(V35:V41)</f>
        <v>31265.767441860466</v>
      </c>
    </row>
    <row r="43" spans="1:22" ht="24" customHeight="1">
      <c r="A43" s="322" t="s">
        <v>457</v>
      </c>
    </row>
    <row r="44" spans="1:22">
      <c r="P44" s="1112" t="s">
        <v>1788</v>
      </c>
    </row>
    <row r="45" spans="1:22">
      <c r="P45" s="322" t="s">
        <v>1787</v>
      </c>
    </row>
  </sheetData>
  <mergeCells count="8">
    <mergeCell ref="A14:B14"/>
    <mergeCell ref="O14:P14"/>
    <mergeCell ref="Q14:R14"/>
    <mergeCell ref="S14:T14"/>
    <mergeCell ref="C2:E2"/>
    <mergeCell ref="F2:H2"/>
    <mergeCell ref="J13:J14"/>
    <mergeCell ref="L13:L14"/>
  </mergeCells>
  <pageMargins left="0.75" right="0.75" top="1" bottom="1" header="0.5" footer="0.5"/>
  <pageSetup orientation="portrait"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dimension ref="A1:P71"/>
  <sheetViews>
    <sheetView workbookViewId="0"/>
  </sheetViews>
  <sheetFormatPr defaultColWidth="11.42578125" defaultRowHeight="12.75"/>
  <cols>
    <col min="1" max="1" width="17.42578125" style="190" bestFit="1" customWidth="1"/>
    <col min="2" max="2" width="13.7109375" style="190" bestFit="1" customWidth="1"/>
    <col min="3" max="3" width="10" style="190" customWidth="1"/>
    <col min="4" max="4" width="12" style="190" bestFit="1" customWidth="1"/>
    <col min="5" max="5" width="10" style="190" customWidth="1"/>
    <col min="6" max="6" width="14.42578125" style="190" customWidth="1"/>
    <col min="7" max="7" width="10" style="190" customWidth="1"/>
    <col min="8" max="8" width="11.42578125" style="190" bestFit="1" customWidth="1"/>
    <col min="9" max="16384" width="11.42578125" style="190"/>
  </cols>
  <sheetData>
    <row r="1" spans="1:8">
      <c r="A1" s="188" t="s">
        <v>385</v>
      </c>
      <c r="B1" s="189"/>
      <c r="C1" s="189"/>
      <c r="D1" s="189"/>
      <c r="E1" s="189"/>
    </row>
    <row r="2" spans="1:8">
      <c r="A2" s="191"/>
      <c r="B2" s="1871" t="s">
        <v>386</v>
      </c>
      <c r="C2" s="1872"/>
      <c r="D2" s="1873" t="s">
        <v>387</v>
      </c>
      <c r="E2" s="1874"/>
      <c r="F2" s="1875" t="s">
        <v>388</v>
      </c>
      <c r="G2" s="1876"/>
    </row>
    <row r="3" spans="1:8" ht="14.25">
      <c r="A3" s="192"/>
      <c r="B3" s="193" t="s">
        <v>389</v>
      </c>
      <c r="C3" s="194" t="s">
        <v>296</v>
      </c>
      <c r="D3" s="193" t="s">
        <v>389</v>
      </c>
      <c r="E3" s="194" t="s">
        <v>296</v>
      </c>
      <c r="F3" s="193" t="s">
        <v>389</v>
      </c>
      <c r="G3" s="194" t="s">
        <v>296</v>
      </c>
    </row>
    <row r="4" spans="1:8">
      <c r="A4" s="195" t="s">
        <v>390</v>
      </c>
      <c r="B4" s="196">
        <f>'Crude refineries'!V11</f>
        <v>59800</v>
      </c>
      <c r="C4" s="197">
        <f t="shared" ref="C4:C10" si="0">B4/$B$12</f>
        <v>3.2000342478581711E-3</v>
      </c>
      <c r="D4" s="198">
        <f>'GTL and CTL'!O15</f>
        <v>0</v>
      </c>
      <c r="E4" s="197">
        <f t="shared" ref="E4:E10" si="1">D4/$D$12</f>
        <v>0</v>
      </c>
      <c r="F4" s="198">
        <f>'GTL and CTL'!P15</f>
        <v>30900</v>
      </c>
      <c r="G4" s="197">
        <f t="shared" ref="G4:G10" si="2">F4/$F$12</f>
        <v>4.5419134831625827E-3</v>
      </c>
    </row>
    <row r="5" spans="1:8">
      <c r="A5" s="195" t="s">
        <v>32</v>
      </c>
      <c r="B5" s="196">
        <f>'Crude refineries'!V14</f>
        <v>5440400</v>
      </c>
      <c r="C5" s="197">
        <f t="shared" si="0"/>
        <v>0.2911281993653444</v>
      </c>
      <c r="D5" s="198">
        <f>'GTL and CTL'!O18</f>
        <v>394700</v>
      </c>
      <c r="E5" s="197">
        <f t="shared" si="1"/>
        <v>0.24167278961547881</v>
      </c>
      <c r="F5" s="198">
        <f>'GTL and CTL'!P18</f>
        <v>1374800</v>
      </c>
      <c r="G5" s="197">
        <f t="shared" si="2"/>
        <v>0.20207840312789382</v>
      </c>
    </row>
    <row r="6" spans="1:8">
      <c r="A6" s="195" t="s">
        <v>391</v>
      </c>
      <c r="B6" s="196">
        <f>'Crude refineries'!V15</f>
        <v>4041700</v>
      </c>
      <c r="C6" s="197">
        <f t="shared" si="0"/>
        <v>0.21628057557806638</v>
      </c>
      <c r="D6" s="198">
        <f>'GTL and CTL'!O20</f>
        <v>0</v>
      </c>
      <c r="E6" s="197">
        <f t="shared" si="1"/>
        <v>0</v>
      </c>
      <c r="F6" s="198">
        <f>'GTL and CTL'!P20</f>
        <v>0</v>
      </c>
      <c r="G6" s="197">
        <f t="shared" si="2"/>
        <v>0</v>
      </c>
    </row>
    <row r="7" spans="1:8">
      <c r="A7" s="195" t="s">
        <v>392</v>
      </c>
      <c r="B7" s="196">
        <f>'Crude refineries'!V17</f>
        <v>2015000</v>
      </c>
      <c r="C7" s="197">
        <f t="shared" si="0"/>
        <v>0.10782724096043837</v>
      </c>
      <c r="D7" s="198">
        <f>'GTL and CTL'!O22</f>
        <v>200600</v>
      </c>
      <c r="E7" s="197">
        <f t="shared" si="1"/>
        <v>0.12282635317168748</v>
      </c>
      <c r="F7" s="198">
        <f>'GTL and CTL'!P22</f>
        <v>292400</v>
      </c>
      <c r="G7" s="197">
        <f t="shared" si="2"/>
        <v>4.2979142474975376E-2</v>
      </c>
    </row>
    <row r="8" spans="1:8">
      <c r="A8" s="195" t="s">
        <v>34</v>
      </c>
      <c r="B8" s="196">
        <f>'Crude refineries'!V18</f>
        <v>493200</v>
      </c>
      <c r="C8" s="197">
        <f t="shared" si="0"/>
        <v>2.639225570307107E-2</v>
      </c>
      <c r="D8" s="198">
        <f>'GTL and CTL'!O23</f>
        <v>77900</v>
      </c>
      <c r="E8" s="197">
        <f t="shared" si="1"/>
        <v>4.7697771246632381E-2</v>
      </c>
      <c r="F8" s="198">
        <f>'GTL and CTL'!P23</f>
        <v>122900</v>
      </c>
      <c r="G8" s="197">
        <f t="shared" si="2"/>
        <v>1.8064762688695193E-2</v>
      </c>
    </row>
    <row r="9" spans="1:8">
      <c r="A9" s="195" t="s">
        <v>393</v>
      </c>
      <c r="B9" s="196">
        <f>'Crude refineries'!V24</f>
        <v>7700</v>
      </c>
      <c r="C9" s="197">
        <f t="shared" si="0"/>
        <v>4.1204454362053371E-4</v>
      </c>
      <c r="D9" s="198">
        <f>'GTL and CTL'!O29</f>
        <v>0</v>
      </c>
      <c r="E9" s="197">
        <f t="shared" si="1"/>
        <v>0</v>
      </c>
      <c r="F9" s="198">
        <f>'GTL and CTL'!P29</f>
        <v>6200</v>
      </c>
      <c r="G9" s="197">
        <f t="shared" si="2"/>
        <v>9.113224464598063E-4</v>
      </c>
    </row>
    <row r="10" spans="1:8">
      <c r="A10" s="195" t="s">
        <v>394</v>
      </c>
      <c r="B10" s="199">
        <f>SUM('Crude refineries'!V20:V23)</f>
        <v>5705900</v>
      </c>
      <c r="C10" s="197">
        <f t="shared" si="0"/>
        <v>0.30533570927849396</v>
      </c>
      <c r="D10" s="198">
        <f>SUM('GTL and CTL'!O25:O28)</f>
        <v>822100</v>
      </c>
      <c r="E10" s="197">
        <f t="shared" si="1"/>
        <v>0.50336762184668138</v>
      </c>
      <c r="F10" s="198">
        <f>SUM('GTL and CTL'!P25:P28)</f>
        <v>3755100</v>
      </c>
      <c r="G10" s="197">
        <f t="shared" si="2"/>
        <v>0.55195272882277713</v>
      </c>
    </row>
    <row r="11" spans="1:8">
      <c r="A11" s="200" t="s">
        <v>395</v>
      </c>
      <c r="B11" s="201">
        <f>SUM(B4:B10)</f>
        <v>17763700</v>
      </c>
      <c r="C11" s="202">
        <f>B11/B12</f>
        <v>0.95057605967689285</v>
      </c>
      <c r="D11" s="201">
        <f>SUM(D4:D10)</f>
        <v>1495300</v>
      </c>
      <c r="E11" s="202">
        <f>D11/D12</f>
        <v>0.91556453588048003</v>
      </c>
      <c r="F11" s="201">
        <f>SUM(F4:F10)</f>
        <v>5582300</v>
      </c>
      <c r="G11" s="202">
        <f>F11/F12</f>
        <v>0.82052827304396392</v>
      </c>
    </row>
    <row r="12" spans="1:8">
      <c r="A12" s="203" t="s">
        <v>396</v>
      </c>
      <c r="B12" s="204">
        <f>SUM('Crude refineries'!V11:V25)</f>
        <v>18687300</v>
      </c>
      <c r="C12" s="205">
        <f>B12/B12</f>
        <v>1</v>
      </c>
      <c r="D12" s="204">
        <f>SUM('GTL and CTL'!O15:O30)</f>
        <v>1633200</v>
      </c>
      <c r="E12" s="205">
        <f>D12/D12</f>
        <v>1</v>
      </c>
      <c r="F12" s="204">
        <f>SUM('GTL and CTL'!P15:P30)</f>
        <v>6803300</v>
      </c>
      <c r="G12" s="205">
        <f>F12/F12</f>
        <v>1</v>
      </c>
    </row>
    <row r="13" spans="1:8" ht="15">
      <c r="A13" s="206"/>
      <c r="D13" s="207"/>
      <c r="E13" s="208"/>
      <c r="F13" s="207"/>
      <c r="G13" s="208"/>
    </row>
    <row r="14" spans="1:8" ht="15">
      <c r="A14" s="209" t="s">
        <v>397</v>
      </c>
      <c r="B14" s="210"/>
      <c r="C14" s="211"/>
      <c r="F14" s="212"/>
      <c r="G14" s="213"/>
      <c r="H14" s="212"/>
    </row>
    <row r="15" spans="1:8" ht="15" customHeight="1">
      <c r="A15" s="214"/>
      <c r="B15" s="1877" t="s">
        <v>386</v>
      </c>
      <c r="C15" s="1878"/>
      <c r="D15" s="1879" t="s">
        <v>387</v>
      </c>
      <c r="E15" s="1880"/>
      <c r="F15" s="1881" t="s">
        <v>388</v>
      </c>
      <c r="G15" s="1882"/>
    </row>
    <row r="16" spans="1:8">
      <c r="A16" s="215"/>
      <c r="B16" s="216" t="s">
        <v>398</v>
      </c>
      <c r="C16" s="217" t="s">
        <v>296</v>
      </c>
      <c r="D16" s="216" t="s">
        <v>398</v>
      </c>
      <c r="E16" s="217" t="s">
        <v>296</v>
      </c>
      <c r="F16" s="216" t="s">
        <v>398</v>
      </c>
      <c r="G16" s="217" t="s">
        <v>296</v>
      </c>
    </row>
    <row r="17" spans="1:9" ht="15">
      <c r="A17" s="195" t="s">
        <v>390</v>
      </c>
      <c r="B17" s="218">
        <f>'Crude refineries'!X11</f>
        <v>42888.55999999999</v>
      </c>
      <c r="C17" s="219">
        <f t="shared" ref="C17:C24" si="3">B17/$B$25</f>
        <v>2.7857501704926122E-3</v>
      </c>
      <c r="D17" s="218">
        <f>'GTL and CTL'!Q15</f>
        <v>0</v>
      </c>
      <c r="E17" s="219">
        <f t="shared" ref="E17:E23" si="4">D17/$D$25</f>
        <v>0</v>
      </c>
      <c r="F17" s="220">
        <f>'GTL and CTL'!R15</f>
        <v>22161.479999999996</v>
      </c>
      <c r="G17" s="221">
        <f>F17/F$25</f>
        <v>4.389390182766047E-3</v>
      </c>
    </row>
    <row r="18" spans="1:9" ht="15">
      <c r="A18" s="195" t="s">
        <v>32</v>
      </c>
      <c r="B18" s="218">
        <f>'Crude refineries'!X14</f>
        <v>4865528.2803734094</v>
      </c>
      <c r="C18" s="219">
        <f t="shared" si="3"/>
        <v>0.31603173985293176</v>
      </c>
      <c r="D18" s="218">
        <f>'GTL and CTL'!Q18</f>
        <v>352993.16452161322</v>
      </c>
      <c r="E18" s="219">
        <f t="shared" si="4"/>
        <v>0.28035719505242912</v>
      </c>
      <c r="F18" s="218">
        <f>'GTL and CTL'!R18</f>
        <v>1229528.7625647679</v>
      </c>
      <c r="G18" s="221">
        <f t="shared" ref="G18:G25" si="5">F18/F$25</f>
        <v>0.24352531869849303</v>
      </c>
    </row>
    <row r="19" spans="1:9" ht="15">
      <c r="A19" s="195" t="s">
        <v>391</v>
      </c>
      <c r="B19" s="218">
        <f>'Crude refineries'!X15</f>
        <v>3829510.75</v>
      </c>
      <c r="C19" s="219">
        <f t="shared" si="3"/>
        <v>0.24873906292763837</v>
      </c>
      <c r="D19" s="218">
        <f>'GTL and CTL'!Q20</f>
        <v>0</v>
      </c>
      <c r="E19" s="219">
        <f t="shared" si="4"/>
        <v>0</v>
      </c>
      <c r="F19" s="218">
        <f>'GTL and CTL'!R20</f>
        <v>0</v>
      </c>
      <c r="G19" s="221">
        <f t="shared" si="5"/>
        <v>0</v>
      </c>
      <c r="H19" s="210"/>
    </row>
    <row r="20" spans="1:9" ht="15">
      <c r="A20" s="195" t="s">
        <v>392</v>
      </c>
      <c r="B20" s="218">
        <f>'Crude refineries'!X17</f>
        <v>1605955</v>
      </c>
      <c r="C20" s="219">
        <f t="shared" si="3"/>
        <v>0.10431195206958369</v>
      </c>
      <c r="D20" s="218">
        <f>'GTL and CTL'!Q22</f>
        <v>159878.20000000001</v>
      </c>
      <c r="E20" s="219">
        <f t="shared" si="4"/>
        <v>0.12697980642989715</v>
      </c>
      <c r="F20" s="218">
        <f>'GTL and CTL'!R22</f>
        <v>233042.8</v>
      </c>
      <c r="G20" s="221">
        <f t="shared" si="5"/>
        <v>4.6157376605006142E-2</v>
      </c>
    </row>
    <row r="21" spans="1:9" ht="15">
      <c r="A21" s="195" t="s">
        <v>34</v>
      </c>
      <c r="B21" s="218">
        <f>'Crude refineries'!X18</f>
        <v>277178.40000000002</v>
      </c>
      <c r="C21" s="219">
        <f t="shared" si="3"/>
        <v>1.8003630223464479E-2</v>
      </c>
      <c r="D21" s="218">
        <f>'GTL and CTL'!Q23</f>
        <v>43779.8</v>
      </c>
      <c r="E21" s="219">
        <f t="shared" si="4"/>
        <v>3.4771160355443149E-2</v>
      </c>
      <c r="F21" s="218">
        <f>'GTL and CTL'!R23</f>
        <v>69069.8</v>
      </c>
      <c r="G21" s="221">
        <f t="shared" si="5"/>
        <v>1.3680237152284702E-2</v>
      </c>
    </row>
    <row r="22" spans="1:9" ht="15">
      <c r="A22" s="195" t="s">
        <v>393</v>
      </c>
      <c r="B22" s="222">
        <f>'Crude refineries'!X24</f>
        <v>0</v>
      </c>
      <c r="C22" s="219">
        <f t="shared" si="3"/>
        <v>0</v>
      </c>
      <c r="D22" s="218">
        <f>'GTL and CTL'!Q29</f>
        <v>0</v>
      </c>
      <c r="E22" s="219">
        <f t="shared" si="4"/>
        <v>0</v>
      </c>
      <c r="F22" s="222">
        <f>'GTL and CTL'!R29</f>
        <v>0</v>
      </c>
      <c r="G22" s="221">
        <f t="shared" si="5"/>
        <v>0</v>
      </c>
    </row>
    <row r="23" spans="1:9" ht="15">
      <c r="A23" s="195" t="s">
        <v>394</v>
      </c>
      <c r="B23" s="199">
        <f>SUM('Crude refineries'!X20:X23)</f>
        <v>4125365.7</v>
      </c>
      <c r="C23" s="219">
        <f t="shared" si="3"/>
        <v>0.2679557952544776</v>
      </c>
      <c r="D23" s="199">
        <f>SUM('GTL and CTL'!Q25:Q28)</f>
        <v>594378.30000000005</v>
      </c>
      <c r="E23" s="219">
        <f t="shared" si="4"/>
        <v>0.47207212415533406</v>
      </c>
      <c r="F23" s="199">
        <f>SUM('GTL and CTL'!R25:R28)</f>
        <v>2714937.3000000003</v>
      </c>
      <c r="G23" s="221">
        <f t="shared" si="5"/>
        <v>0.53773119536445046</v>
      </c>
    </row>
    <row r="24" spans="1:9" ht="15">
      <c r="A24" s="223" t="s">
        <v>395</v>
      </c>
      <c r="B24" s="224">
        <f>SUM(B17:B23)</f>
        <v>14746426.69037341</v>
      </c>
      <c r="C24" s="225">
        <f t="shared" si="3"/>
        <v>0.9578279304985885</v>
      </c>
      <c r="D24" s="224">
        <f>SUM(D17:D23)</f>
        <v>1151029.4645216134</v>
      </c>
      <c r="E24" s="226">
        <f>SUM(E17:E23)</f>
        <v>0.91418028599310341</v>
      </c>
      <c r="F24" s="227">
        <f>SUM(F17:F23)</f>
        <v>4268740.142564768</v>
      </c>
      <c r="G24" s="226">
        <f>SUM(G17:G23)</f>
        <v>0.84548351800300048</v>
      </c>
    </row>
    <row r="25" spans="1:9" ht="15">
      <c r="A25" s="228" t="s">
        <v>396</v>
      </c>
      <c r="B25" s="229">
        <f>SUM('Crude refineries'!X11:X23)</f>
        <v>15395695.010373412</v>
      </c>
      <c r="C25" s="230">
        <v>1</v>
      </c>
      <c r="D25" s="229">
        <f>SUM('GTL and CTL'!Q15:Q30)</f>
        <v>1259083.6645216134</v>
      </c>
      <c r="E25" s="230">
        <v>1</v>
      </c>
      <c r="F25" s="229">
        <f>SUM('GTL and CTL'!R15:R30)</f>
        <v>5048874.4625647683</v>
      </c>
      <c r="G25" s="230">
        <f t="shared" si="5"/>
        <v>1</v>
      </c>
    </row>
    <row r="26" spans="1:9" ht="15">
      <c r="A26" s="206"/>
      <c r="B26" s="207"/>
      <c r="C26" s="208"/>
      <c r="D26" s="207"/>
      <c r="E26" s="208"/>
      <c r="F26" s="207"/>
      <c r="G26" s="208"/>
    </row>
    <row r="27" spans="1:9">
      <c r="A27" s="188" t="s">
        <v>399</v>
      </c>
    </row>
    <row r="28" spans="1:9" ht="15">
      <c r="A28" s="214"/>
      <c r="B28" s="1867" t="s">
        <v>400</v>
      </c>
      <c r="C28" s="1868"/>
      <c r="D28" s="1867" t="s">
        <v>401</v>
      </c>
      <c r="E28" s="1868"/>
      <c r="F28" s="1869" t="s">
        <v>387</v>
      </c>
      <c r="G28" s="1870"/>
      <c r="H28" s="231" t="s">
        <v>388</v>
      </c>
      <c r="I28" s="232"/>
    </row>
    <row r="29" spans="1:9" s="237" customFormat="1">
      <c r="A29" s="215"/>
      <c r="B29" s="233" t="s">
        <v>402</v>
      </c>
      <c r="C29" s="234" t="s">
        <v>162</v>
      </c>
      <c r="D29" s="233" t="s">
        <v>402</v>
      </c>
      <c r="E29" s="234" t="s">
        <v>162</v>
      </c>
      <c r="F29" s="233" t="s">
        <v>402</v>
      </c>
      <c r="G29" s="235"/>
      <c r="H29" s="233" t="s">
        <v>402</v>
      </c>
      <c r="I29" s="236"/>
    </row>
    <row r="30" spans="1:9" ht="15">
      <c r="A30" s="195" t="s">
        <v>390</v>
      </c>
      <c r="B30" s="220">
        <f>'Crude refineries'!Z11</f>
        <v>1921.3645994399997</v>
      </c>
      <c r="C30" s="238">
        <f t="shared" ref="C30:E39" si="6">B30/B$39</f>
        <v>2.8514857409240738E-3</v>
      </c>
      <c r="D30" s="220">
        <f>'Crude refineries'!AB11</f>
        <v>0</v>
      </c>
      <c r="E30" s="238">
        <f t="shared" si="6"/>
        <v>0</v>
      </c>
      <c r="F30" s="220">
        <f>'GTL and CTL'!S15</f>
        <v>0</v>
      </c>
      <c r="G30" s="238">
        <f>F30/F$39</f>
        <v>0</v>
      </c>
      <c r="H30" s="220">
        <f>'GTL and CTL'!T15</f>
        <v>968.6782907999999</v>
      </c>
      <c r="I30" s="239">
        <f>H30/H$39</f>
        <v>4.3406696800341775E-3</v>
      </c>
    </row>
    <row r="31" spans="1:9" ht="15">
      <c r="A31" s="195" t="s">
        <v>32</v>
      </c>
      <c r="B31" s="220">
        <f>'Crude refineries'!Z14</f>
        <v>223814.30089717681</v>
      </c>
      <c r="C31" s="238">
        <f t="shared" si="6"/>
        <v>0.33216146888997561</v>
      </c>
      <c r="D31" s="220">
        <f>'Crude refineries'!AB14</f>
        <v>78363.603915510073</v>
      </c>
      <c r="E31" s="238">
        <f t="shared" si="6"/>
        <v>0.38519100880852519</v>
      </c>
      <c r="F31" s="220">
        <f>'GTL and CTL'!S18</f>
        <v>16237.685567994209</v>
      </c>
      <c r="G31" s="238">
        <f>F31/F$39</f>
        <v>0.28767932115906897</v>
      </c>
      <c r="H31" s="220">
        <f>'GTL and CTL'!T18</f>
        <v>56558.323077979323</v>
      </c>
      <c r="I31" s="239">
        <f>H31/H$39</f>
        <v>0.25343914534866974</v>
      </c>
    </row>
    <row r="32" spans="1:9" ht="15">
      <c r="A32" s="195" t="s">
        <v>391</v>
      </c>
      <c r="B32" s="220">
        <f>'Crude refineries'!Z15</f>
        <v>153919.52557475001</v>
      </c>
      <c r="C32" s="238">
        <f t="shared" si="6"/>
        <v>0.22843104976229886</v>
      </c>
      <c r="D32" s="220">
        <f>'Crude refineries'!AB15</f>
        <v>7538.9011900219784</v>
      </c>
      <c r="E32" s="238">
        <f t="shared" si="6"/>
        <v>3.70569602416869E-2</v>
      </c>
      <c r="F32" s="220">
        <f>'GTL and CTL'!S20</f>
        <v>0</v>
      </c>
      <c r="G32" s="238">
        <f>F32/F$39</f>
        <v>0</v>
      </c>
      <c r="H32" s="220">
        <f>'GTL and CTL'!T20</f>
        <v>0</v>
      </c>
      <c r="I32" s="239">
        <f>H32/H$39</f>
        <v>0</v>
      </c>
    </row>
    <row r="33" spans="1:16" ht="15">
      <c r="A33" s="240" t="s">
        <v>403</v>
      </c>
      <c r="B33" s="220">
        <f>'Crude refineries'!Z16</f>
        <v>2080.7909308799999</v>
      </c>
      <c r="C33" s="238"/>
      <c r="D33" s="220">
        <f>'Crude refineries'!AB16</f>
        <v>0</v>
      </c>
      <c r="E33" s="238"/>
      <c r="F33" s="220"/>
      <c r="G33" s="238"/>
      <c r="H33" s="220"/>
      <c r="I33" s="239"/>
    </row>
    <row r="34" spans="1:16" ht="15">
      <c r="A34" s="195" t="s">
        <v>392</v>
      </c>
      <c r="B34" s="220">
        <f>'Crude refineries'!Z17</f>
        <v>71609.533450000003</v>
      </c>
      <c r="C34" s="238">
        <f t="shared" si="6"/>
        <v>0.10627528143612863</v>
      </c>
      <c r="D34" s="220">
        <f>'Crude refineries'!AB17</f>
        <v>43484.734440000007</v>
      </c>
      <c r="E34" s="238">
        <f t="shared" si="6"/>
        <v>0.21374627875427765</v>
      </c>
      <c r="F34" s="220">
        <f>'GTL and CTL'!S22</f>
        <v>6919.5284959999999</v>
      </c>
      <c r="G34" s="238">
        <f t="shared" ref="G34:G39" si="7">F34/F$39</f>
        <v>0.12259168661288511</v>
      </c>
      <c r="H34" s="220">
        <f>'GTL and CTL'!T22</f>
        <v>10086.092384</v>
      </c>
      <c r="I34" s="239">
        <f t="shared" ref="I34:I39" si="8">H34/H$39</f>
        <v>4.5196011737906945E-2</v>
      </c>
    </row>
    <row r="35" spans="1:16" ht="15">
      <c r="A35" s="195" t="s">
        <v>34</v>
      </c>
      <c r="B35" s="220">
        <f>'Crude refineries'!Z18</f>
        <v>13113.5872824</v>
      </c>
      <c r="C35" s="238">
        <f t="shared" si="6"/>
        <v>1.9461796662135593E-2</v>
      </c>
      <c r="D35" s="220">
        <f>'Crude refineries'!AB18</f>
        <v>539.60618239120879</v>
      </c>
      <c r="E35" s="238">
        <f t="shared" si="6"/>
        <v>2.6523977888853558E-3</v>
      </c>
      <c r="F35" s="220">
        <f>'GTL and CTL'!S23</f>
        <v>2071.2661177999998</v>
      </c>
      <c r="G35" s="238">
        <f t="shared" si="7"/>
        <v>3.6696142945579213E-2</v>
      </c>
      <c r="H35" s="220">
        <f>'GTL and CTL'!T23</f>
        <v>3267.7613077999999</v>
      </c>
      <c r="I35" s="239">
        <f t="shared" si="8"/>
        <v>1.4642913509130015E-2</v>
      </c>
    </row>
    <row r="36" spans="1:16" ht="15">
      <c r="A36" s="195" t="s">
        <v>393</v>
      </c>
      <c r="B36" s="220">
        <f>'Crude refineries'!Z24</f>
        <v>265.64999999999998</v>
      </c>
      <c r="C36" s="238">
        <f t="shared" si="6"/>
        <v>3.9424958037493772E-4</v>
      </c>
      <c r="D36" s="220">
        <f>'Crude refineries'!AB24</f>
        <v>0</v>
      </c>
      <c r="E36" s="238">
        <f t="shared" si="6"/>
        <v>0</v>
      </c>
      <c r="F36" s="241">
        <f>'GTL and CTL'!S29</f>
        <v>0</v>
      </c>
      <c r="G36" s="238">
        <f t="shared" si="7"/>
        <v>0</v>
      </c>
      <c r="H36" s="242">
        <f>'GTL and CTL'!T29</f>
        <v>213.9</v>
      </c>
      <c r="I36" s="239">
        <f t="shared" si="8"/>
        <v>9.5849081514206127E-4</v>
      </c>
    </row>
    <row r="37" spans="1:16" ht="15">
      <c r="A37" s="195" t="s">
        <v>394</v>
      </c>
      <c r="B37" s="220">
        <f>SUM('Crude refineries'!Z20:Z23)</f>
        <v>195129.79761000001</v>
      </c>
      <c r="C37" s="238">
        <f t="shared" si="6"/>
        <v>0.28959096866700185</v>
      </c>
      <c r="D37" s="220">
        <f>SUM('Crude refineries'!AB20:AB23)</f>
        <v>65892.213079120877</v>
      </c>
      <c r="E37" s="238">
        <f t="shared" si="6"/>
        <v>0.32388872844513639</v>
      </c>
      <c r="F37" s="220">
        <f>SUM('GTL and CTL'!S25:S28)</f>
        <v>28114.09359</v>
      </c>
      <c r="G37" s="238">
        <f t="shared" si="7"/>
        <v>0.49809089633534509</v>
      </c>
      <c r="H37" s="220">
        <f>SUM('GTL and CTL'!T25:T28)</f>
        <v>128416.53429000001</v>
      </c>
      <c r="I37" s="239">
        <f t="shared" si="8"/>
        <v>0.57543744099738459</v>
      </c>
    </row>
    <row r="38" spans="1:16" ht="15">
      <c r="A38" s="223" t="s">
        <v>395</v>
      </c>
      <c r="B38" s="224">
        <f>SUM(B30:B37)</f>
        <v>661854.55034464691</v>
      </c>
      <c r="C38" s="243">
        <f t="shared" si="6"/>
        <v>0.98225439014726201</v>
      </c>
      <c r="D38" s="224">
        <f>SUM(D30:D37)</f>
        <v>195819.05880704414</v>
      </c>
      <c r="E38" s="243">
        <f t="shared" si="6"/>
        <v>0.96253537403851142</v>
      </c>
      <c r="F38" s="227">
        <f>SUM(F30:F37)</f>
        <v>53342.57377179421</v>
      </c>
      <c r="G38" s="243">
        <f t="shared" si="7"/>
        <v>0.94505804705287844</v>
      </c>
      <c r="H38" s="227">
        <f>SUM(H30:H37)</f>
        <v>199511.28935057932</v>
      </c>
      <c r="I38" s="244">
        <f t="shared" si="8"/>
        <v>0.89401467208826746</v>
      </c>
      <c r="N38" s="245"/>
      <c r="O38" s="245"/>
    </row>
    <row r="39" spans="1:16" ht="15">
      <c r="A39" s="228" t="s">
        <v>396</v>
      </c>
      <c r="B39" s="229">
        <f>SUM('Crude refineries'!Z11:Z25)</f>
        <v>673811.75078832684</v>
      </c>
      <c r="C39" s="246">
        <f t="shared" si="6"/>
        <v>1</v>
      </c>
      <c r="D39" s="229">
        <f>SUM('Crude refineries'!AB11:AB25)</f>
        <v>203440.89587632063</v>
      </c>
      <c r="E39" s="246">
        <f t="shared" si="6"/>
        <v>1</v>
      </c>
      <c r="F39" s="229">
        <f>SUM('GTL and CTL'!S15:S30)</f>
        <v>56443.700932594205</v>
      </c>
      <c r="G39" s="246">
        <f t="shared" si="7"/>
        <v>1</v>
      </c>
      <c r="H39" s="229">
        <v>223163.32782833933</v>
      </c>
      <c r="I39" s="246">
        <f t="shared" si="8"/>
        <v>1</v>
      </c>
      <c r="P39" s="245"/>
    </row>
    <row r="41" spans="1:16">
      <c r="D41" s="247"/>
    </row>
    <row r="43" spans="1:16" ht="25.5">
      <c r="A43" s="209" t="s">
        <v>404</v>
      </c>
    </row>
    <row r="44" spans="1:16" ht="15">
      <c r="A44" s="214"/>
      <c r="B44" s="1867" t="s">
        <v>400</v>
      </c>
      <c r="C44" s="1868"/>
      <c r="D44" s="1867" t="s">
        <v>401</v>
      </c>
      <c r="E44" s="1868"/>
      <c r="F44" s="1869" t="s">
        <v>387</v>
      </c>
      <c r="G44" s="1870"/>
      <c r="H44" s="231" t="s">
        <v>388</v>
      </c>
      <c r="I44" s="232"/>
    </row>
    <row r="45" spans="1:16">
      <c r="A45" s="215"/>
      <c r="B45" s="233" t="s">
        <v>402</v>
      </c>
      <c r="C45" s="234" t="s">
        <v>162</v>
      </c>
      <c r="D45" s="233" t="s">
        <v>402</v>
      </c>
      <c r="E45" s="234" t="s">
        <v>162</v>
      </c>
      <c r="F45" s="233" t="s">
        <v>402</v>
      </c>
      <c r="G45" s="235"/>
      <c r="H45" s="233" t="s">
        <v>402</v>
      </c>
      <c r="I45" s="236"/>
    </row>
    <row r="46" spans="1:16" ht="15">
      <c r="A46" s="195" t="str">
        <f>'Crude refineries'!P11</f>
        <v>Avgas</v>
      </c>
      <c r="B46" s="220">
        <f>'Crude refineries'!Z11</f>
        <v>1921.3645994399997</v>
      </c>
      <c r="C46" s="238">
        <f>B46/B$63</f>
        <v>2.8514857409240738E-3</v>
      </c>
      <c r="D46" s="220">
        <f>'Crude refineries'!AB11</f>
        <v>0</v>
      </c>
      <c r="E46" s="238">
        <f>D46/D$63</f>
        <v>0</v>
      </c>
      <c r="F46" s="220">
        <f>'GTL and CTL'!S15</f>
        <v>0</v>
      </c>
      <c r="G46" s="238">
        <f>F46/F$63</f>
        <v>0</v>
      </c>
      <c r="H46" s="220">
        <f>'GTL and CTL'!T15</f>
        <v>968.6782907999999</v>
      </c>
      <c r="I46" s="238">
        <f>H46/H$63</f>
        <v>4.3406696800341775E-3</v>
      </c>
      <c r="K46" s="248"/>
    </row>
    <row r="47" spans="1:16" ht="15">
      <c r="A47" s="195" t="str">
        <f>'Crude refineries'!P12</f>
        <v>Bitumen/asphalt</v>
      </c>
      <c r="B47" s="220">
        <f>'Crude refineries'!Z12</f>
        <v>10050.57154768</v>
      </c>
      <c r="C47" s="238">
        <f t="shared" ref="C47:E61" si="9">B47/B$63</f>
        <v>1.491599328138953E-2</v>
      </c>
      <c r="D47" s="220">
        <f>'Crude refineries'!AB12</f>
        <v>7621.8370692764838</v>
      </c>
      <c r="E47" s="238">
        <f t="shared" si="9"/>
        <v>3.7464625961488515E-2</v>
      </c>
      <c r="F47" s="220">
        <f>'GTL and CTL'!S16</f>
        <v>0</v>
      </c>
      <c r="G47" s="238">
        <f>F47/F$63</f>
        <v>0</v>
      </c>
      <c r="H47" s="220">
        <f>'GTL and CTL'!T16</f>
        <v>0</v>
      </c>
      <c r="I47" s="238">
        <f>H47/H$63</f>
        <v>0</v>
      </c>
      <c r="K47" s="249"/>
    </row>
    <row r="48" spans="1:16" ht="15">
      <c r="A48" s="195" t="str">
        <f>'Crude refineries'!P13</f>
        <v>Chemical naphtha</v>
      </c>
      <c r="B48" s="220">
        <f>'Crude refineries'!Z13</f>
        <v>1906.6288959999999</v>
      </c>
      <c r="C48" s="238">
        <f t="shared" si="9"/>
        <v>2.8296165713485068E-3</v>
      </c>
      <c r="D48" s="220">
        <f>'Crude refineries'!AB13</f>
        <v>0</v>
      </c>
      <c r="E48" s="238">
        <f t="shared" si="9"/>
        <v>0</v>
      </c>
      <c r="F48" s="220">
        <f>'GTL and CTL'!S17</f>
        <v>0</v>
      </c>
      <c r="G48" s="238">
        <f>F48/F$63</f>
        <v>0</v>
      </c>
      <c r="H48" s="220">
        <f>'GTL and CTL'!T17</f>
        <v>0</v>
      </c>
      <c r="I48" s="238">
        <f>H48/H$63</f>
        <v>0</v>
      </c>
      <c r="K48" s="249"/>
    </row>
    <row r="49" spans="1:11" ht="15">
      <c r="A49" s="195" t="str">
        <f>'Crude refineries'!P14</f>
        <v>Diesel</v>
      </c>
      <c r="B49" s="220">
        <f>'Crude refineries'!Z14</f>
        <v>223814.30089717681</v>
      </c>
      <c r="C49" s="238">
        <f t="shared" si="9"/>
        <v>0.33216146888997561</v>
      </c>
      <c r="D49" s="220">
        <f>'Crude refineries'!AB14</f>
        <v>78363.603915510073</v>
      </c>
      <c r="E49" s="238">
        <f t="shared" si="9"/>
        <v>0.38519100880852519</v>
      </c>
      <c r="F49" s="220">
        <f>'GTL and CTL'!S18</f>
        <v>16237.685567994209</v>
      </c>
      <c r="G49" s="238">
        <f>F49/F$63</f>
        <v>0.28767932115906897</v>
      </c>
      <c r="H49" s="220">
        <f>'GTL and CTL'!T18</f>
        <v>56558.323077979323</v>
      </c>
      <c r="I49" s="238">
        <f>H49/H$63</f>
        <v>0.25343914534866974</v>
      </c>
      <c r="K49" s="249"/>
    </row>
    <row r="50" spans="1:11" ht="15">
      <c r="A50" s="240" t="s">
        <v>405</v>
      </c>
      <c r="B50" s="250" t="s">
        <v>406</v>
      </c>
      <c r="C50" s="238">
        <v>0</v>
      </c>
      <c r="D50" s="250" t="s">
        <v>406</v>
      </c>
      <c r="E50" s="238">
        <v>0</v>
      </c>
      <c r="F50" s="220">
        <f>'GTL and CTL'!S19</f>
        <v>2616.0553199999999</v>
      </c>
      <c r="G50" s="238">
        <v>0</v>
      </c>
      <c r="H50" s="220">
        <f>'GTL and CTL'!T19</f>
        <v>17315.996640000001</v>
      </c>
      <c r="I50" s="238">
        <v>0</v>
      </c>
      <c r="K50" s="249"/>
    </row>
    <row r="51" spans="1:11" ht="15">
      <c r="A51" s="195" t="str">
        <f>'Crude refineries'!P15</f>
        <v>Fuel oil sales</v>
      </c>
      <c r="B51" s="220">
        <f>'Crude refineries'!Z15</f>
        <v>153919.52557475001</v>
      </c>
      <c r="C51" s="238">
        <f t="shared" si="9"/>
        <v>0.22843104976229886</v>
      </c>
      <c r="D51" s="220">
        <f>'Crude refineries'!AB15</f>
        <v>7538.9011900219784</v>
      </c>
      <c r="E51" s="238">
        <f t="shared" si="9"/>
        <v>3.70569602416869E-2</v>
      </c>
      <c r="F51" s="220">
        <f>'GTL and CTL'!S20</f>
        <v>0</v>
      </c>
      <c r="G51" s="238">
        <f t="shared" ref="G51:G61" si="10">F51/F$63</f>
        <v>0</v>
      </c>
      <c r="H51" s="220">
        <f>'GTL and CTL'!T20</f>
        <v>0</v>
      </c>
      <c r="I51" s="238">
        <f t="shared" ref="I51:I61" si="11">H51/H$63</f>
        <v>0</v>
      </c>
      <c r="K51" s="249"/>
    </row>
    <row r="52" spans="1:11" ht="15">
      <c r="A52" s="195" t="str">
        <f>'Crude refineries'!P16</f>
        <v>Gas</v>
      </c>
      <c r="B52" s="220">
        <f>'Crude refineries'!Z16</f>
        <v>2080.7909308799999</v>
      </c>
      <c r="C52" s="238">
        <f t="shared" si="9"/>
        <v>3.0880894084224209E-3</v>
      </c>
      <c r="D52" s="220">
        <f>'Crude refineries'!AB16</f>
        <v>0</v>
      </c>
      <c r="E52" s="238">
        <f t="shared" si="9"/>
        <v>0</v>
      </c>
      <c r="F52" s="220">
        <f>'GTL and CTL'!S21</f>
        <v>485.07184080000002</v>
      </c>
      <c r="G52" s="238">
        <f t="shared" si="10"/>
        <v>8.5939056579454106E-3</v>
      </c>
      <c r="H52" s="220">
        <f>'GTL and CTL'!T21</f>
        <v>6336.0418377599999</v>
      </c>
      <c r="I52" s="238">
        <f t="shared" si="11"/>
        <v>2.8391949068951781E-2</v>
      </c>
      <c r="K52" s="249"/>
    </row>
    <row r="53" spans="1:11" ht="15">
      <c r="A53" s="195" t="str">
        <f>'Crude refineries'!P17</f>
        <v>Kerosene/jet fuel</v>
      </c>
      <c r="B53" s="220">
        <f>'Crude refineries'!Z17</f>
        <v>71609.533450000003</v>
      </c>
      <c r="C53" s="238">
        <f t="shared" si="9"/>
        <v>0.10627528143612863</v>
      </c>
      <c r="D53" s="220">
        <f>'Crude refineries'!AB17</f>
        <v>43484.734440000007</v>
      </c>
      <c r="E53" s="238">
        <f t="shared" si="9"/>
        <v>0.21374627875427765</v>
      </c>
      <c r="F53" s="220">
        <f>'GTL and CTL'!S22</f>
        <v>6919.5284959999999</v>
      </c>
      <c r="G53" s="238">
        <f t="shared" si="10"/>
        <v>0.12259168661288511</v>
      </c>
      <c r="H53" s="220">
        <f>'GTL and CTL'!T22</f>
        <v>10086.092384</v>
      </c>
      <c r="I53" s="238">
        <f t="shared" si="11"/>
        <v>4.5196011737906945E-2</v>
      </c>
      <c r="K53" s="251"/>
    </row>
    <row r="54" spans="1:11" ht="15">
      <c r="A54" s="195" t="str">
        <f>'Crude refineries'!P18</f>
        <v>LPG</v>
      </c>
      <c r="B54" s="220">
        <f>'Crude refineries'!Z18</f>
        <v>13113.5872824</v>
      </c>
      <c r="C54" s="238">
        <f t="shared" si="9"/>
        <v>1.9461796662135593E-2</v>
      </c>
      <c r="D54" s="220">
        <f>'Crude refineries'!AB18</f>
        <v>539.60618239120879</v>
      </c>
      <c r="E54" s="238">
        <f t="shared" si="9"/>
        <v>2.6523977888853558E-3</v>
      </c>
      <c r="F54" s="220">
        <f>'GTL and CTL'!S23</f>
        <v>2071.2661177999998</v>
      </c>
      <c r="G54" s="238">
        <f t="shared" si="10"/>
        <v>3.6696142945579213E-2</v>
      </c>
      <c r="H54" s="220">
        <f>'GTL and CTL'!T23</f>
        <v>3267.7613077999999</v>
      </c>
      <c r="I54" s="238">
        <f t="shared" si="11"/>
        <v>1.4642913509130015E-2</v>
      </c>
      <c r="K54" s="249"/>
    </row>
    <row r="55" spans="1:11" ht="15">
      <c r="A55" s="195" t="str">
        <f>'Crude refineries'!P19</f>
        <v>Lube oil feedstock</v>
      </c>
      <c r="B55" s="220">
        <f>'Crude refineries'!Z19</f>
        <v>0</v>
      </c>
      <c r="C55" s="238">
        <f t="shared" si="9"/>
        <v>0</v>
      </c>
      <c r="D55" s="220">
        <f>'Crude refineries'!AB19</f>
        <v>0</v>
      </c>
      <c r="E55" s="238">
        <f t="shared" si="9"/>
        <v>0</v>
      </c>
      <c r="F55" s="220">
        <f>'GTL and CTL'!S24</f>
        <v>0</v>
      </c>
      <c r="G55" s="238">
        <f t="shared" si="10"/>
        <v>0</v>
      </c>
      <c r="H55" s="220">
        <f>'GTL and CTL'!T24</f>
        <v>0</v>
      </c>
      <c r="I55" s="238">
        <f t="shared" si="11"/>
        <v>0</v>
      </c>
      <c r="K55" s="249"/>
    </row>
    <row r="56" spans="1:11" ht="15">
      <c r="A56" s="195" t="str">
        <f>'Crude refineries'!P20</f>
        <v>Mogas 916</v>
      </c>
      <c r="B56" s="220">
        <f>'Crude refineries'!Z20</f>
        <v>1833.0074400000001</v>
      </c>
      <c r="C56" s="238">
        <f t="shared" si="9"/>
        <v>2.7203554076572142E-3</v>
      </c>
      <c r="D56" s="220">
        <f>'Crude refineries'!AB20</f>
        <v>0</v>
      </c>
      <c r="E56" s="238">
        <f t="shared" si="9"/>
        <v>0</v>
      </c>
      <c r="F56" s="220">
        <f>'GTL and CTL'!S25</f>
        <v>0</v>
      </c>
      <c r="G56" s="238">
        <f t="shared" si="10"/>
        <v>0</v>
      </c>
      <c r="H56" s="220">
        <f>'GTL and CTL'!T25</f>
        <v>400.11543</v>
      </c>
      <c r="I56" s="238">
        <f t="shared" si="11"/>
        <v>1.7929264359589356E-3</v>
      </c>
      <c r="K56" s="249"/>
    </row>
    <row r="57" spans="1:11" ht="15">
      <c r="A57" s="195" t="str">
        <f>'Crude refineries'!P21</f>
        <v>Mogas 935</v>
      </c>
      <c r="B57" s="220">
        <f>'Crude refineries'!Z21</f>
        <v>66343.926000000007</v>
      </c>
      <c r="C57" s="238">
        <f t="shared" si="9"/>
        <v>9.8460624829384252E-2</v>
      </c>
      <c r="D57" s="220">
        <f>'Crude refineries'!AB21</f>
        <v>22087.183466373626</v>
      </c>
      <c r="E57" s="238">
        <f t="shared" si="9"/>
        <v>0.10856806037563488</v>
      </c>
      <c r="F57" s="220">
        <f>'GTL and CTL'!S26</f>
        <v>0</v>
      </c>
      <c r="G57" s="238">
        <f t="shared" si="10"/>
        <v>0</v>
      </c>
      <c r="H57" s="220">
        <f>'GTL and CTL'!T26</f>
        <v>117244.08036000001</v>
      </c>
      <c r="I57" s="238">
        <f t="shared" si="11"/>
        <v>0.52537341820868511</v>
      </c>
      <c r="K57" s="249"/>
    </row>
    <row r="58" spans="1:11" ht="15">
      <c r="A58" s="195" t="str">
        <f>'Crude refineries'!P22</f>
        <v>Mogas 954</v>
      </c>
      <c r="B58" s="220">
        <f>'Crude refineries'!Z22</f>
        <v>10724.461439999999</v>
      </c>
      <c r="C58" s="238">
        <f t="shared" si="9"/>
        <v>1.5916109250770565E-2</v>
      </c>
      <c r="D58" s="220">
        <f>'Crude refineries'!AB22</f>
        <v>43070.413624615379</v>
      </c>
      <c r="E58" s="238">
        <f t="shared" si="9"/>
        <v>0.21170971273543499</v>
      </c>
      <c r="F58" s="220">
        <f>'GTL and CTL'!S27</f>
        <v>926.76309000000003</v>
      </c>
      <c r="G58" s="238">
        <f t="shared" si="10"/>
        <v>1.6419247403829038E-2</v>
      </c>
      <c r="H58" s="220">
        <f>'GTL and CTL'!T27</f>
        <v>656.59968000000003</v>
      </c>
      <c r="I58" s="238">
        <f t="shared" si="11"/>
        <v>2.9422382538813303E-3</v>
      </c>
      <c r="K58" s="249"/>
    </row>
    <row r="59" spans="1:11" ht="15">
      <c r="A59" s="195" t="str">
        <f>'Crude refineries'!P23</f>
        <v>Mogas 973</v>
      </c>
      <c r="B59" s="220">
        <f>'Crude refineries'!Z23</f>
        <v>116228.40273</v>
      </c>
      <c r="C59" s="238">
        <f t="shared" si="9"/>
        <v>0.17249387917918982</v>
      </c>
      <c r="D59" s="220">
        <f>'Crude refineries'!AB23</f>
        <v>734.61598813186811</v>
      </c>
      <c r="E59" s="238">
        <f t="shared" si="9"/>
        <v>3.6109553340665035E-3</v>
      </c>
      <c r="F59" s="220">
        <f>'GTL and CTL'!S28</f>
        <v>27187.3305</v>
      </c>
      <c r="G59" s="238">
        <f t="shared" si="10"/>
        <v>0.48167164893151604</v>
      </c>
      <c r="H59" s="220">
        <f>'GTL and CTL'!T28</f>
        <v>10115.73882</v>
      </c>
      <c r="I59" s="238">
        <f t="shared" si="11"/>
        <v>4.5328858098859247E-2</v>
      </c>
      <c r="K59" s="249"/>
    </row>
    <row r="60" spans="1:11" ht="15">
      <c r="A60" s="195" t="str">
        <f>'Crude refineries'!P24</f>
        <v>Power paraffin</v>
      </c>
      <c r="B60" s="220">
        <f>'Crude refineries'!Z24</f>
        <v>265.64999999999998</v>
      </c>
      <c r="C60" s="238">
        <f t="shared" si="9"/>
        <v>3.9424958037493772E-4</v>
      </c>
      <c r="D60" s="220">
        <f>'Crude refineries'!AB24</f>
        <v>0</v>
      </c>
      <c r="E60" s="238">
        <f t="shared" si="9"/>
        <v>0</v>
      </c>
      <c r="F60" s="220">
        <f>'GTL and CTL'!S29</f>
        <v>0</v>
      </c>
      <c r="G60" s="238">
        <f t="shared" si="10"/>
        <v>0</v>
      </c>
      <c r="H60" s="220">
        <f>'GTL and CTL'!T29</f>
        <v>213.9</v>
      </c>
      <c r="I60" s="238">
        <f t="shared" si="11"/>
        <v>9.5849081514206127E-4</v>
      </c>
      <c r="K60" s="249"/>
    </row>
    <row r="61" spans="1:11" ht="15">
      <c r="A61" s="195" t="str">
        <f>'Crude refineries'!P25</f>
        <v>Solvents</v>
      </c>
      <c r="B61" s="220">
        <f>'Crude refineries'!Z25</f>
        <v>0</v>
      </c>
      <c r="C61" s="238">
        <f t="shared" si="9"/>
        <v>0</v>
      </c>
      <c r="D61" s="220">
        <f>'Crude refineries'!AB25</f>
        <v>0</v>
      </c>
      <c r="E61" s="238">
        <f t="shared" si="9"/>
        <v>0</v>
      </c>
      <c r="F61" s="220">
        <f>'GTL and CTL'!S30</f>
        <v>0</v>
      </c>
      <c r="G61" s="238">
        <f t="shared" si="10"/>
        <v>0</v>
      </c>
      <c r="H61" s="220">
        <f>'GTL and CTL'!T30</f>
        <v>0</v>
      </c>
      <c r="I61" s="238">
        <f t="shared" si="11"/>
        <v>0</v>
      </c>
      <c r="K61" s="249"/>
    </row>
    <row r="62" spans="1:11" ht="15">
      <c r="A62" s="195"/>
      <c r="F62" s="220"/>
      <c r="K62" s="252"/>
    </row>
    <row r="63" spans="1:11">
      <c r="A63" s="253" t="s">
        <v>407</v>
      </c>
      <c r="B63" s="247">
        <f>SUM(B46:B62)</f>
        <v>673811.75078832684</v>
      </c>
      <c r="D63" s="247">
        <f>SUM(D46:D62)</f>
        <v>203440.89587632063</v>
      </c>
      <c r="F63" s="247">
        <f>SUM(F46:F62)</f>
        <v>56443.700932594205</v>
      </c>
      <c r="H63" s="247">
        <f>SUM(H46:H62)</f>
        <v>223163.32782833933</v>
      </c>
    </row>
    <row r="64" spans="1:11" ht="15">
      <c r="A64" s="195"/>
      <c r="F64" s="220"/>
    </row>
    <row r="69" spans="2:3">
      <c r="C69" s="245"/>
    </row>
    <row r="71" spans="2:3">
      <c r="B71" s="254"/>
      <c r="C71" s="254"/>
    </row>
  </sheetData>
  <mergeCells count="12">
    <mergeCell ref="B2:C2"/>
    <mergeCell ref="D2:E2"/>
    <mergeCell ref="F2:G2"/>
    <mergeCell ref="B15:C15"/>
    <mergeCell ref="D15:E15"/>
    <mergeCell ref="F15:G15"/>
    <mergeCell ref="B28:C28"/>
    <mergeCell ref="D28:E28"/>
    <mergeCell ref="F28:G28"/>
    <mergeCell ref="B44:C44"/>
    <mergeCell ref="D44:E44"/>
    <mergeCell ref="F44:G44"/>
  </mergeCells>
  <pageMargins left="0.7" right="0.7" top="0.75" bottom="0.75" header="0.3" footer="0.3"/>
  <pageSetup paperSize="10" orientation="portrait" horizontalDpi="4294967292" verticalDpi="4294967292"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
  <sheetViews>
    <sheetView workbookViewId="0"/>
  </sheetViews>
  <sheetFormatPr defaultRowHeight="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
    <pageSetUpPr fitToPage="1"/>
  </sheetPr>
  <dimension ref="A2:V75"/>
  <sheetViews>
    <sheetView workbookViewId="0"/>
  </sheetViews>
  <sheetFormatPr defaultRowHeight="15"/>
  <cols>
    <col min="2" max="2" width="9" customWidth="1"/>
    <col min="3" max="3" width="22.28515625" customWidth="1"/>
    <col min="4" max="4" width="9.42578125" bestFit="1" customWidth="1"/>
    <col min="6" max="6" width="9.28515625" customWidth="1"/>
    <col min="7" max="7" width="25.7109375" customWidth="1"/>
    <col min="8" max="8" width="9.42578125" bestFit="1" customWidth="1"/>
    <col min="12" max="12" width="22.42578125" customWidth="1"/>
    <col min="13" max="13" width="12.28515625" customWidth="1"/>
    <col min="15" max="15" width="16.28515625" customWidth="1"/>
    <col min="16" max="16" width="25.7109375" customWidth="1"/>
    <col min="17" max="17" width="25.28515625" customWidth="1"/>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1"/>
      <c r="G6" s="12" t="s">
        <v>8</v>
      </c>
      <c r="H6" s="21" t="s">
        <v>23</v>
      </c>
      <c r="I6" s="19"/>
    </row>
    <row r="7" spans="2:19">
      <c r="B7" t="s">
        <v>522</v>
      </c>
      <c r="G7" s="11" t="s">
        <v>9</v>
      </c>
      <c r="H7" s="22" t="s">
        <v>2</v>
      </c>
      <c r="I7" s="19"/>
    </row>
    <row r="8" spans="2:19">
      <c r="B8" s="8"/>
      <c r="C8" s="8" t="s">
        <v>51</v>
      </c>
      <c r="D8" s="12">
        <f>31016/3.6</f>
        <v>8615.5555555555547</v>
      </c>
      <c r="O8">
        <f>29/1.6</f>
        <v>18.125</v>
      </c>
    </row>
    <row r="9" spans="2:19">
      <c r="B9" s="3" t="s">
        <v>52</v>
      </c>
      <c r="C9" s="3"/>
      <c r="D9" s="384">
        <f>96.25/35%/95%*3.6</f>
        <v>1042.105263157895</v>
      </c>
      <c r="P9" s="1"/>
    </row>
    <row r="10" spans="2:19">
      <c r="B10" s="29"/>
      <c r="C10" s="29" t="s">
        <v>47</v>
      </c>
      <c r="D10" s="30">
        <f>D8*D9/1000</f>
        <v>8978.3157894736869</v>
      </c>
    </row>
    <row r="11" spans="2:19">
      <c r="K11" s="12">
        <f>24%*D8</f>
        <v>2067.7333333333331</v>
      </c>
      <c r="L11" s="9" t="s">
        <v>26</v>
      </c>
      <c r="M11" s="3"/>
    </row>
    <row r="12" spans="2:19">
      <c r="B12" s="8"/>
      <c r="C12" s="8" t="s">
        <v>49</v>
      </c>
      <c r="D12" s="12">
        <v>0</v>
      </c>
      <c r="K12" s="11">
        <f t="shared" ref="K12:K18" si="0">$K$11*M12</f>
        <v>206.77333333333331</v>
      </c>
      <c r="L12" s="3" t="s">
        <v>14</v>
      </c>
      <c r="M12" s="15">
        <v>0.1</v>
      </c>
      <c r="O12" t="s">
        <v>56</v>
      </c>
      <c r="P12" t="s">
        <v>61</v>
      </c>
      <c r="Q12" t="s">
        <v>59</v>
      </c>
      <c r="R12" s="1">
        <f>D26</f>
        <v>958308</v>
      </c>
      <c r="S12" s="1">
        <f>R12/21.9</f>
        <v>43758.356164383564</v>
      </c>
    </row>
    <row r="13" spans="2:19">
      <c r="B13" s="3" t="s">
        <v>45</v>
      </c>
      <c r="C13" s="3"/>
      <c r="D13" s="24">
        <f>96.25/30%/95%*3.6</f>
        <v>1215.7894736842106</v>
      </c>
      <c r="G13" s="6"/>
      <c r="H13" s="25"/>
      <c r="K13" s="11">
        <f t="shared" si="0"/>
        <v>0</v>
      </c>
      <c r="L13" s="3" t="s">
        <v>18</v>
      </c>
      <c r="M13" s="15">
        <v>0</v>
      </c>
      <c r="Q13" t="s">
        <v>60</v>
      </c>
      <c r="R13" s="1">
        <f>F24+F30+F48</f>
        <v>872111.71428571432</v>
      </c>
      <c r="S13" s="1">
        <f>R13/21.9</f>
        <v>39822.452707110242</v>
      </c>
    </row>
    <row r="14" spans="2:19">
      <c r="B14" s="29"/>
      <c r="C14" s="29" t="s">
        <v>47</v>
      </c>
      <c r="D14" s="30">
        <f>D12*D13/1000</f>
        <v>0</v>
      </c>
      <c r="F14">
        <f>275790/(40+1.6*18/11-18)/1000</f>
        <v>11.202695716395866</v>
      </c>
      <c r="G14" s="6"/>
      <c r="H14" s="25"/>
      <c r="K14" s="11">
        <f t="shared" si="0"/>
        <v>82.709333333333333</v>
      </c>
      <c r="L14" s="3" t="s">
        <v>15</v>
      </c>
      <c r="M14" s="15">
        <v>0.04</v>
      </c>
    </row>
    <row r="15" spans="2:19">
      <c r="G15" s="6" t="s">
        <v>496</v>
      </c>
      <c r="H15" s="25"/>
      <c r="K15" s="11">
        <f t="shared" si="0"/>
        <v>723.70666666666659</v>
      </c>
      <c r="L15" s="3" t="s">
        <v>19</v>
      </c>
      <c r="M15" s="15">
        <v>0.35</v>
      </c>
      <c r="P15" t="s">
        <v>71</v>
      </c>
      <c r="Q15" t="s">
        <v>68</v>
      </c>
      <c r="R15" s="1">
        <f>K45</f>
        <v>223163.32782833933</v>
      </c>
      <c r="S15" s="34">
        <f>R15/R16</f>
        <v>0.37423310686522404</v>
      </c>
    </row>
    <row r="16" spans="2:19">
      <c r="G16" s="6"/>
      <c r="H16" s="25"/>
      <c r="K16" s="11">
        <f t="shared" si="0"/>
        <v>723.70666666666659</v>
      </c>
      <c r="L16" s="3" t="s">
        <v>17</v>
      </c>
      <c r="M16" s="15">
        <v>0.35</v>
      </c>
      <c r="Q16" t="s">
        <v>72</v>
      </c>
      <c r="R16" s="1">
        <f>F48</f>
        <v>596321.71428571432</v>
      </c>
    </row>
    <row r="17" spans="1:19">
      <c r="G17" s="6"/>
      <c r="H17" s="25"/>
      <c r="K17" s="11">
        <f t="shared" si="0"/>
        <v>289.48266666666666</v>
      </c>
      <c r="L17" s="3" t="s">
        <v>16</v>
      </c>
      <c r="M17" s="15">
        <v>0.14000000000000001</v>
      </c>
    </row>
    <row r="18" spans="1:19">
      <c r="G18" s="6"/>
      <c r="H18" s="25"/>
      <c r="K18" s="11">
        <f t="shared" si="0"/>
        <v>0</v>
      </c>
      <c r="L18" s="3" t="s">
        <v>27</v>
      </c>
      <c r="M18" s="15">
        <v>0</v>
      </c>
      <c r="P18" t="s">
        <v>62</v>
      </c>
      <c r="Q18" t="s">
        <v>57</v>
      </c>
      <c r="R18" s="1">
        <v>4512</v>
      </c>
    </row>
    <row r="19" spans="1:19">
      <c r="H19" s="33"/>
      <c r="L19" s="3" t="s">
        <v>77</v>
      </c>
      <c r="M19" t="s">
        <v>80</v>
      </c>
      <c r="Q19" t="s">
        <v>58</v>
      </c>
      <c r="R19" s="1">
        <v>5083</v>
      </c>
    </row>
    <row r="20" spans="1:19">
      <c r="F20" s="5"/>
      <c r="G20" s="8" t="s">
        <v>1467</v>
      </c>
      <c r="H20" s="4"/>
      <c r="K20">
        <v>29</v>
      </c>
      <c r="L20" s="3" t="s">
        <v>78</v>
      </c>
      <c r="M20" t="s">
        <v>79</v>
      </c>
    </row>
    <row r="21" spans="1:19">
      <c r="F21" s="5"/>
      <c r="G21" s="13" t="s">
        <v>4</v>
      </c>
      <c r="H21" s="3">
        <f>105+520</f>
        <v>625</v>
      </c>
      <c r="K21" s="12">
        <f>1600*O8*H31-105/625*F24*K31</f>
        <v>17805.599999999999</v>
      </c>
      <c r="L21" s="9" t="s">
        <v>20</v>
      </c>
      <c r="M21" s="3"/>
      <c r="P21" t="s">
        <v>64</v>
      </c>
      <c r="Q21" t="s">
        <v>63</v>
      </c>
      <c r="R21" s="35">
        <v>58604</v>
      </c>
    </row>
    <row r="22" spans="1:19">
      <c r="F22" s="5"/>
      <c r="G22" s="13" t="s">
        <v>5</v>
      </c>
      <c r="H22" s="12">
        <f>H21*2</f>
        <v>1250</v>
      </c>
      <c r="K22" t="s">
        <v>523</v>
      </c>
      <c r="L22" s="33">
        <f>K11*D9/1000</f>
        <v>2154.7957894736846</v>
      </c>
      <c r="M22">
        <v>2142</v>
      </c>
      <c r="Q22" t="s">
        <v>65</v>
      </c>
      <c r="R22" s="1">
        <f>H27+H32+H50</f>
        <v>52157.787499999999</v>
      </c>
    </row>
    <row r="23" spans="1:19">
      <c r="F23" s="4"/>
      <c r="G23" s="5" t="s">
        <v>6</v>
      </c>
      <c r="H23" s="14">
        <v>0.75</v>
      </c>
      <c r="K23" t="s">
        <v>524</v>
      </c>
      <c r="L23" s="33">
        <f>29*D27</f>
        <v>2791.25</v>
      </c>
      <c r="M23" s="33">
        <f>4260-M27</f>
        <v>3700</v>
      </c>
    </row>
    <row r="24" spans="1:19">
      <c r="A24" s="1"/>
      <c r="F24" s="12">
        <f>H25*3.6/K31</f>
        <v>63103.448275862072</v>
      </c>
      <c r="G24" s="7" t="s">
        <v>11</v>
      </c>
      <c r="H24" s="4"/>
      <c r="K24" t="s">
        <v>140</v>
      </c>
      <c r="L24" s="385">
        <f>4.4*56.1</f>
        <v>246.84000000000003</v>
      </c>
      <c r="P24" t="s">
        <v>67</v>
      </c>
      <c r="Q24" t="s">
        <v>63</v>
      </c>
      <c r="R24" s="1">
        <v>8890</v>
      </c>
    </row>
    <row r="25" spans="1:19">
      <c r="B25" s="3"/>
      <c r="C25" s="9" t="s">
        <v>42</v>
      </c>
      <c r="D25" s="3"/>
      <c r="F25" s="5"/>
      <c r="G25" s="26" t="s">
        <v>12</v>
      </c>
      <c r="H25" s="24">
        <f>18300/3.6</f>
        <v>5083.333333333333</v>
      </c>
      <c r="K25" t="s">
        <v>38</v>
      </c>
      <c r="L25" s="385">
        <f>3.256*77.367</f>
        <v>251.90695199999999</v>
      </c>
      <c r="Q25" t="s">
        <v>66</v>
      </c>
      <c r="R25" s="1">
        <f>D10+D61</f>
        <v>10117.675164473687</v>
      </c>
    </row>
    <row r="26" spans="1:19">
      <c r="B26" s="10"/>
      <c r="C26" s="5" t="s">
        <v>0</v>
      </c>
      <c r="D26" s="4">
        <v>958308</v>
      </c>
      <c r="F26" s="3"/>
      <c r="G26" s="26" t="s">
        <v>13</v>
      </c>
      <c r="H26" s="12"/>
      <c r="K26" t="s">
        <v>36</v>
      </c>
      <c r="L26" s="39" t="s">
        <v>525</v>
      </c>
    </row>
    <row r="27" spans="1:19">
      <c r="A27" s="1"/>
      <c r="B27" s="3" t="s">
        <v>45</v>
      </c>
      <c r="C27" s="3"/>
      <c r="D27" s="3">
        <v>96.25</v>
      </c>
      <c r="F27" s="29"/>
      <c r="G27" s="40" t="s">
        <v>47</v>
      </c>
      <c r="H27" s="30">
        <f>F24*$D$27/1000</f>
        <v>6073.7068965517246</v>
      </c>
      <c r="K27" t="s">
        <v>333</v>
      </c>
      <c r="M27" s="33">
        <v>560</v>
      </c>
    </row>
    <row r="28" spans="1:19">
      <c r="F28" t="s">
        <v>497</v>
      </c>
      <c r="O28" t="s">
        <v>69</v>
      </c>
      <c r="Q28" t="s">
        <v>70</v>
      </c>
    </row>
    <row r="29" spans="1:19">
      <c r="F29" s="3"/>
      <c r="G29" s="8" t="s">
        <v>1</v>
      </c>
      <c r="H29" s="3"/>
      <c r="Q29" t="s">
        <v>529</v>
      </c>
    </row>
    <row r="30" spans="1:19">
      <c r="F30" s="35">
        <f>275790-F24</f>
        <v>212686.55172413791</v>
      </c>
      <c r="G30" s="5" t="s">
        <v>0</v>
      </c>
      <c r="H30" s="11">
        <f>F30*H31</f>
        <v>153134.31724137929</v>
      </c>
      <c r="K30" t="s">
        <v>498</v>
      </c>
      <c r="Q30" t="s">
        <v>528</v>
      </c>
      <c r="S30" t="s">
        <v>526</v>
      </c>
    </row>
    <row r="31" spans="1:19">
      <c r="F31" s="11"/>
      <c r="G31" s="5" t="s">
        <v>3</v>
      </c>
      <c r="H31" s="15">
        <v>0.72</v>
      </c>
      <c r="K31" s="382">
        <v>0.28999999999999998</v>
      </c>
      <c r="Q31" t="s">
        <v>73</v>
      </c>
      <c r="S31" t="s">
        <v>527</v>
      </c>
    </row>
    <row r="32" spans="1:19">
      <c r="F32" s="29"/>
      <c r="G32" s="40" t="s">
        <v>47</v>
      </c>
      <c r="H32" s="30">
        <f>F30*$D$27/1000</f>
        <v>20471.080603448274</v>
      </c>
      <c r="K32">
        <f>275790*0.23*K31</f>
        <v>18395.192999999999</v>
      </c>
    </row>
    <row r="33" spans="1:22">
      <c r="K33">
        <f>K32/3.6</f>
        <v>5109.7758333333331</v>
      </c>
      <c r="Q33" t="s">
        <v>84</v>
      </c>
    </row>
    <row r="34" spans="1:22">
      <c r="F34" s="5"/>
      <c r="G34" s="8" t="s">
        <v>31</v>
      </c>
      <c r="H34" s="4"/>
      <c r="P34" s="388" t="s">
        <v>531</v>
      </c>
      <c r="V34" s="388" t="s">
        <v>3</v>
      </c>
    </row>
    <row r="35" spans="1:22">
      <c r="F35" s="5"/>
      <c r="G35" s="27" t="s">
        <v>4</v>
      </c>
      <c r="H35" s="17">
        <f>280+140</f>
        <v>420</v>
      </c>
      <c r="P35" t="s">
        <v>3</v>
      </c>
      <c r="Q35" s="382">
        <v>0.45</v>
      </c>
      <c r="V35" t="s">
        <v>535</v>
      </c>
    </row>
    <row r="36" spans="1:22">
      <c r="F36" s="5"/>
      <c r="G36" s="27" t="s">
        <v>5</v>
      </c>
      <c r="H36" s="12">
        <f>H35*2</f>
        <v>840</v>
      </c>
      <c r="K36" s="18"/>
      <c r="L36" s="9" t="s">
        <v>54</v>
      </c>
      <c r="M36" s="3"/>
      <c r="P36" t="s">
        <v>531</v>
      </c>
      <c r="V36" t="s">
        <v>536</v>
      </c>
    </row>
    <row r="37" spans="1:22">
      <c r="B37" s="10"/>
      <c r="C37" s="9" t="s">
        <v>41</v>
      </c>
      <c r="D37" s="3"/>
      <c r="F37" s="4"/>
      <c r="G37" s="26" t="s">
        <v>6</v>
      </c>
      <c r="H37" s="14">
        <v>0.85</v>
      </c>
      <c r="K37" s="18">
        <v>19000</v>
      </c>
      <c r="L37" s="23" t="s">
        <v>35</v>
      </c>
      <c r="M37" s="3"/>
      <c r="P37" t="s">
        <v>532</v>
      </c>
    </row>
    <row r="38" spans="1:22">
      <c r="B38" s="10"/>
      <c r="C38" s="5" t="s">
        <v>0</v>
      </c>
      <c r="D38" s="1017">
        <f>59.5*1000</f>
        <v>59500</v>
      </c>
      <c r="F38" s="12">
        <v>0</v>
      </c>
      <c r="G38" s="7" t="s">
        <v>39</v>
      </c>
      <c r="H38" s="4"/>
      <c r="K38" s="12">
        <f>F48-H45</f>
        <v>373158.38645737502</v>
      </c>
      <c r="L38" s="23" t="s">
        <v>36</v>
      </c>
      <c r="M38" s="3"/>
      <c r="P38" t="s">
        <v>533</v>
      </c>
      <c r="Q38">
        <f>140*8.76</f>
        <v>1226.3999999999999</v>
      </c>
    </row>
    <row r="39" spans="1:22">
      <c r="B39" s="3" t="s">
        <v>45</v>
      </c>
      <c r="C39" s="3"/>
      <c r="D39" s="3">
        <v>56.1</v>
      </c>
      <c r="F39" s="5"/>
      <c r="G39" s="26" t="s">
        <v>12</v>
      </c>
      <c r="H39" s="11">
        <f>0.5*H37*F38/3.6</f>
        <v>0</v>
      </c>
      <c r="K39" s="34">
        <f>K38/(K38+K45)</f>
        <v>0.62576689313477596</v>
      </c>
      <c r="P39" t="s">
        <v>534</v>
      </c>
      <c r="Q39">
        <f>Q38/Q35*3.6</f>
        <v>9811.1999999999989</v>
      </c>
    </row>
    <row r="40" spans="1:22">
      <c r="F40" s="3"/>
      <c r="G40" s="26" t="s">
        <v>13</v>
      </c>
      <c r="H40" s="11">
        <f>0.5*F38*H37</f>
        <v>0</v>
      </c>
      <c r="P40" s="387" t="s">
        <v>254</v>
      </c>
      <c r="Q40" s="387">
        <f>Q39*56.1/1000</f>
        <v>550.40832</v>
      </c>
    </row>
    <row r="41" spans="1:22">
      <c r="F41" s="29"/>
      <c r="G41" s="40" t="s">
        <v>47</v>
      </c>
      <c r="H41" s="30">
        <f>F38*$D$39/1000</f>
        <v>0</v>
      </c>
      <c r="P41" t="s">
        <v>254</v>
      </c>
    </row>
    <row r="42" spans="1:22">
      <c r="P42" t="s">
        <v>512</v>
      </c>
      <c r="Q42" t="s">
        <v>513</v>
      </c>
    </row>
    <row r="43" spans="1:22">
      <c r="K43" t="s">
        <v>499</v>
      </c>
      <c r="P43" t="s">
        <v>514</v>
      </c>
      <c r="Q43" t="s">
        <v>513</v>
      </c>
    </row>
    <row r="44" spans="1:22">
      <c r="F44" s="35" t="s">
        <v>81</v>
      </c>
      <c r="G44" s="9" t="s">
        <v>28</v>
      </c>
      <c r="H44" s="3"/>
      <c r="K44" s="18">
        <f>K45*6.5/5.05</f>
        <v>287239.92690776353</v>
      </c>
      <c r="L44" s="9" t="s">
        <v>29</v>
      </c>
      <c r="M44" s="3"/>
      <c r="P44" t="s">
        <v>515</v>
      </c>
      <c r="Q44">
        <f>0.35/2627*1000</f>
        <v>0.13323182337266842</v>
      </c>
      <c r="R44" t="s">
        <v>516</v>
      </c>
    </row>
    <row r="45" spans="1:22">
      <c r="F45" s="431">
        <f>39.7*1000</f>
        <v>39700</v>
      </c>
      <c r="G45" s="27" t="s">
        <v>37</v>
      </c>
      <c r="H45" s="12">
        <f>K45</f>
        <v>223163.32782833933</v>
      </c>
      <c r="K45" s="12">
        <v>223163.32782833933</v>
      </c>
      <c r="L45" s="23" t="s">
        <v>53</v>
      </c>
      <c r="M45" s="3"/>
      <c r="P45" t="s">
        <v>503</v>
      </c>
      <c r="Q45" t="s">
        <v>504</v>
      </c>
    </row>
    <row r="46" spans="1:22">
      <c r="A46" s="1"/>
      <c r="F46" s="12">
        <v>3679.0153846153844</v>
      </c>
      <c r="G46" s="23" t="s">
        <v>25</v>
      </c>
      <c r="H46" s="3"/>
      <c r="K46" s="12">
        <v>3679.0153846153844</v>
      </c>
      <c r="L46" s="23" t="s">
        <v>25</v>
      </c>
      <c r="M46" s="3"/>
      <c r="P46" t="s">
        <v>505</v>
      </c>
      <c r="Q46">
        <v>2627</v>
      </c>
      <c r="R46" t="s">
        <v>506</v>
      </c>
    </row>
    <row r="47" spans="1:22">
      <c r="F47" s="12">
        <f>(275790-K21)*39%*H31</f>
        <v>72442.019520000002</v>
      </c>
      <c r="G47" s="23" t="s">
        <v>501</v>
      </c>
      <c r="H47" s="3"/>
      <c r="K47" s="36">
        <f>H30-K21-K56-F47</f>
        <v>62886.697721379285</v>
      </c>
      <c r="L47" s="37" t="s">
        <v>20</v>
      </c>
      <c r="M47" s="38"/>
      <c r="P47" t="s">
        <v>507</v>
      </c>
      <c r="Q47">
        <f>0.35/Q46</f>
        <v>1.3323182337266843E-4</v>
      </c>
      <c r="R47" t="s">
        <v>511</v>
      </c>
    </row>
    <row r="48" spans="1:22">
      <c r="F48" s="434">
        <f>18027/RefineriesData!D20*RefineriesData!D24</f>
        <v>596321.71428571432</v>
      </c>
      <c r="G48" s="23" t="s">
        <v>30</v>
      </c>
      <c r="H48" s="3"/>
      <c r="K48" s="18"/>
      <c r="L48" s="27" t="s">
        <v>32</v>
      </c>
      <c r="M48" s="24">
        <v>56558.323077979323</v>
      </c>
      <c r="N48" s="32">
        <v>74.066699999999997</v>
      </c>
      <c r="P48" t="s">
        <v>508</v>
      </c>
      <c r="Q48">
        <f>96.25/1000</f>
        <v>9.6250000000000002E-2</v>
      </c>
      <c r="R48" t="s">
        <v>509</v>
      </c>
    </row>
    <row r="49" spans="2:17">
      <c r="F49" s="18"/>
      <c r="G49" s="27" t="s">
        <v>40</v>
      </c>
      <c r="H49" s="31">
        <f>H50*1000/F48</f>
        <v>42.951647384968609</v>
      </c>
      <c r="K49" s="18"/>
      <c r="L49" s="27" t="s">
        <v>33</v>
      </c>
      <c r="M49" s="4">
        <v>128417</v>
      </c>
      <c r="N49" s="32">
        <v>69.3</v>
      </c>
      <c r="P49" t="s">
        <v>510</v>
      </c>
      <c r="Q49" s="34">
        <f>Q48/Q44</f>
        <v>0.72242500000000009</v>
      </c>
    </row>
    <row r="50" spans="2:17">
      <c r="F50" s="383">
        <f>F48+F47+F45</f>
        <v>708463.73380571429</v>
      </c>
      <c r="G50" s="40" t="s">
        <v>47</v>
      </c>
      <c r="H50" s="30">
        <v>25613</v>
      </c>
      <c r="K50" s="18"/>
      <c r="L50" s="27" t="s">
        <v>43</v>
      </c>
      <c r="M50" s="4">
        <v>10086</v>
      </c>
      <c r="N50" s="32">
        <v>71.5</v>
      </c>
      <c r="P50" t="s">
        <v>517</v>
      </c>
    </row>
    <row r="51" spans="2:17">
      <c r="F51" s="29"/>
      <c r="G51" s="40" t="s">
        <v>50</v>
      </c>
      <c r="H51" s="30">
        <v>4490</v>
      </c>
      <c r="K51" s="18"/>
      <c r="L51" s="27" t="s">
        <v>34</v>
      </c>
      <c r="M51" s="4">
        <v>3268</v>
      </c>
      <c r="N51" s="32">
        <v>63.066699999999997</v>
      </c>
    </row>
    <row r="52" spans="2:17">
      <c r="G52" t="s">
        <v>74</v>
      </c>
      <c r="K52" s="18"/>
      <c r="L52" s="27" t="s">
        <v>36</v>
      </c>
      <c r="M52" s="28">
        <f>K45-SUM(M48:M51)</f>
        <v>24834.004750360007</v>
      </c>
      <c r="N52" s="32">
        <v>0</v>
      </c>
    </row>
    <row r="53" spans="2:17">
      <c r="K53" s="29"/>
      <c r="L53" s="40" t="s">
        <v>46</v>
      </c>
      <c r="M53" s="30">
        <f>SUMPRODUCT(M48:M52,N48:N52)/1000</f>
        <v>14015.637423519771</v>
      </c>
      <c r="N53" s="32"/>
      <c r="O53" t="s">
        <v>76</v>
      </c>
    </row>
    <row r="54" spans="2:17">
      <c r="N54" s="32"/>
      <c r="O54" t="s">
        <v>75</v>
      </c>
    </row>
    <row r="55" spans="2:17">
      <c r="K55" s="18" t="s">
        <v>502</v>
      </c>
      <c r="L55" s="9" t="s">
        <v>24</v>
      </c>
      <c r="M55" s="39"/>
      <c r="N55" s="32"/>
    </row>
    <row r="56" spans="2:17">
      <c r="K56" s="12"/>
      <c r="L56" s="23" t="s">
        <v>20</v>
      </c>
      <c r="M56" s="3"/>
      <c r="N56" s="32" t="s">
        <v>520</v>
      </c>
      <c r="O56" s="25">
        <f>O57/(8.76)</f>
        <v>37.682763710160955</v>
      </c>
    </row>
    <row r="57" spans="2:17">
      <c r="C57" t="s">
        <v>500</v>
      </c>
      <c r="K57" s="12">
        <f>O57</f>
        <v>330.10101010100999</v>
      </c>
      <c r="L57" s="23" t="s">
        <v>25</v>
      </c>
      <c r="M57" s="3"/>
      <c r="N57" s="32" t="s">
        <v>521</v>
      </c>
      <c r="O57" s="25">
        <f>P57/D10*D8</f>
        <v>330.10101010100999</v>
      </c>
      <c r="P57">
        <v>344</v>
      </c>
      <c r="Q57" t="s">
        <v>518</v>
      </c>
    </row>
    <row r="58" spans="2:17">
      <c r="B58" s="10"/>
      <c r="C58" s="9" t="s">
        <v>55</v>
      </c>
      <c r="D58" s="3"/>
      <c r="K58" s="18">
        <v>4094</v>
      </c>
      <c r="L58" s="23" t="s">
        <v>44</v>
      </c>
      <c r="M58" s="18"/>
      <c r="N58" s="32"/>
      <c r="O58" t="s">
        <v>519</v>
      </c>
    </row>
    <row r="59" spans="2:17">
      <c r="B59" s="10"/>
      <c r="C59" s="5" t="s">
        <v>0</v>
      </c>
      <c r="D59" s="35">
        <v>8523</v>
      </c>
      <c r="K59" s="18"/>
      <c r="L59" s="27" t="s">
        <v>32</v>
      </c>
      <c r="M59" s="4">
        <v>78363.603915510073</v>
      </c>
      <c r="N59" s="32">
        <f>N48</f>
        <v>74.066699999999997</v>
      </c>
    </row>
    <row r="60" spans="2:17">
      <c r="B60" s="3" t="s">
        <v>45</v>
      </c>
      <c r="C60" s="3"/>
      <c r="D60" s="3">
        <f>H32/H30</f>
        <v>0.13368055555555555</v>
      </c>
      <c r="K60" s="18"/>
      <c r="L60" s="27" t="s">
        <v>33</v>
      </c>
      <c r="M60" s="4">
        <v>65892</v>
      </c>
      <c r="N60" s="32">
        <f>N49</f>
        <v>69.3</v>
      </c>
    </row>
    <row r="61" spans="2:17">
      <c r="B61" s="29"/>
      <c r="C61" s="40" t="s">
        <v>47</v>
      </c>
      <c r="D61" s="30">
        <f>D60*D59</f>
        <v>1139.359375</v>
      </c>
      <c r="K61" s="18"/>
      <c r="L61" s="27" t="s">
        <v>43</v>
      </c>
      <c r="M61" s="4">
        <v>43484.734440000007</v>
      </c>
      <c r="N61" s="32">
        <f>N50</f>
        <v>71.5</v>
      </c>
    </row>
    <row r="62" spans="2:17">
      <c r="K62" s="18"/>
      <c r="L62" s="27" t="s">
        <v>34</v>
      </c>
      <c r="M62" s="4">
        <v>539.60618239120879</v>
      </c>
      <c r="N62" s="32">
        <f>N51</f>
        <v>63.066699999999997</v>
      </c>
    </row>
    <row r="63" spans="2:17">
      <c r="K63" s="18"/>
      <c r="L63" s="27" t="s">
        <v>38</v>
      </c>
      <c r="M63" s="4">
        <v>7538.9011900219784</v>
      </c>
      <c r="N63" s="32">
        <v>77.366699999999994</v>
      </c>
    </row>
    <row r="64" spans="2:17">
      <c r="K64" s="18"/>
      <c r="L64" s="27" t="s">
        <v>36</v>
      </c>
      <c r="M64" s="4">
        <f>203441-SUM(M59:M63)</f>
        <v>7622.1542720767611</v>
      </c>
      <c r="N64" s="32">
        <v>0</v>
      </c>
    </row>
    <row r="65" spans="3:13">
      <c r="K65" s="29"/>
      <c r="L65" s="40" t="s">
        <v>46</v>
      </c>
      <c r="M65" s="30">
        <f>SUMPRODUCT(M59:M64,N59:N64)/1000</f>
        <v>14096.898742509997</v>
      </c>
    </row>
    <row r="67" spans="3:13">
      <c r="K67" s="18"/>
      <c r="L67" s="9" t="s">
        <v>48</v>
      </c>
      <c r="M67" s="3"/>
    </row>
    <row r="68" spans="3:13">
      <c r="K68" s="12">
        <f>D38-F38</f>
        <v>59500</v>
      </c>
      <c r="L68" s="23" t="s">
        <v>0</v>
      </c>
      <c r="M68" s="3"/>
    </row>
    <row r="69" spans="3:13">
      <c r="C69" t="s">
        <v>82</v>
      </c>
    </row>
    <row r="70" spans="3:13">
      <c r="L70" t="s">
        <v>530</v>
      </c>
    </row>
    <row r="75" spans="3:13">
      <c r="C75" t="s">
        <v>83</v>
      </c>
    </row>
  </sheetData>
  <pageMargins left="0.7" right="0.7" top="0.75" bottom="0.75" header="0.3" footer="0.3"/>
  <pageSetup paperSize="8" scale="84"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9B56-BFD8-471B-9B9B-E618C9833BFA}">
  <sheetPr codeName="Sheet58">
    <pageSetUpPr fitToPage="1"/>
  </sheetPr>
  <dimension ref="A2:V75"/>
  <sheetViews>
    <sheetView workbookViewId="0"/>
  </sheetViews>
  <sheetFormatPr defaultRowHeight="15"/>
  <cols>
    <col min="1" max="1" width="9.140625" style="1409"/>
    <col min="2" max="2" width="9" style="1409" customWidth="1"/>
    <col min="3" max="3" width="22.28515625" style="1409" customWidth="1"/>
    <col min="4" max="4" width="9.42578125" style="1409" bestFit="1" customWidth="1"/>
    <col min="5" max="5" width="9.140625" style="1409"/>
    <col min="6" max="6" width="9.28515625" style="1409" customWidth="1"/>
    <col min="7" max="7" width="25.7109375" style="1409" customWidth="1"/>
    <col min="8" max="8" width="9.42578125" style="1409" bestFit="1" customWidth="1"/>
    <col min="9" max="11" width="9.140625" style="1409"/>
    <col min="12" max="12" width="22.42578125" style="1409" customWidth="1"/>
    <col min="13" max="13" width="12.28515625" style="1409" customWidth="1"/>
    <col min="14" max="14" width="9.140625" style="1409"/>
    <col min="15" max="15" width="16.28515625" style="1409" customWidth="1"/>
    <col min="16" max="16" width="25.7109375" style="1409" customWidth="1"/>
    <col min="17" max="17" width="25.28515625" style="1409" customWidth="1"/>
    <col min="18" max="16384" width="9.140625" style="1409"/>
  </cols>
  <sheetData>
    <row r="2" spans="2:19" s="16" customFormat="1" ht="20.25" thickBot="1">
      <c r="B2" s="16" t="s">
        <v>21</v>
      </c>
    </row>
    <row r="3" spans="2:19" ht="15.75" thickTop="1"/>
    <row r="4" spans="2:19">
      <c r="B4" s="2"/>
      <c r="C4" s="2"/>
      <c r="D4" s="2"/>
      <c r="E4" s="2"/>
      <c r="G4" s="8" t="s">
        <v>10</v>
      </c>
      <c r="H4" s="19"/>
      <c r="I4" s="19"/>
    </row>
    <row r="5" spans="2:19">
      <c r="G5" s="17" t="s">
        <v>7</v>
      </c>
      <c r="H5" s="20" t="s">
        <v>22</v>
      </c>
      <c r="I5" s="19"/>
    </row>
    <row r="6" spans="2:19">
      <c r="B6" s="431"/>
      <c r="G6" s="12" t="s">
        <v>8</v>
      </c>
      <c r="H6" s="21" t="s">
        <v>23</v>
      </c>
      <c r="I6" s="19"/>
    </row>
    <row r="7" spans="2:19">
      <c r="B7" s="1409" t="s">
        <v>522</v>
      </c>
      <c r="G7" s="11" t="s">
        <v>9</v>
      </c>
      <c r="H7" s="22" t="s">
        <v>2</v>
      </c>
      <c r="I7" s="19"/>
    </row>
    <row r="8" spans="2:19">
      <c r="B8" s="8"/>
      <c r="C8" s="8" t="s">
        <v>51</v>
      </c>
      <c r="D8" s="1471">
        <f>28064/3.6</f>
        <v>7795.5555555555557</v>
      </c>
      <c r="O8" s="1409">
        <f>29/1.6</f>
        <v>18.125</v>
      </c>
    </row>
    <row r="9" spans="2:19">
      <c r="B9" s="3" t="s">
        <v>14100</v>
      </c>
      <c r="C9" s="3"/>
      <c r="D9" s="1472">
        <v>0.92800000000000005</v>
      </c>
      <c r="E9" s="573" t="s">
        <v>14099</v>
      </c>
      <c r="P9" s="431"/>
    </row>
    <row r="10" spans="2:19">
      <c r="B10" s="29"/>
      <c r="C10" s="29" t="s">
        <v>47</v>
      </c>
      <c r="D10" s="432">
        <f>D8*D9</f>
        <v>7234.2755555555559</v>
      </c>
    </row>
    <row r="11" spans="2:19">
      <c r="K11" s="12">
        <f>24%*D8</f>
        <v>1870.9333333333334</v>
      </c>
      <c r="L11" s="9" t="s">
        <v>26</v>
      </c>
      <c r="M11" s="3"/>
    </row>
    <row r="12" spans="2:19">
      <c r="B12" s="8"/>
      <c r="C12" s="8" t="s">
        <v>49</v>
      </c>
      <c r="D12" s="12">
        <v>0</v>
      </c>
      <c r="K12" s="11">
        <f t="shared" ref="K12:K18" si="0">$K$11*M12</f>
        <v>187.09333333333336</v>
      </c>
      <c r="L12" s="3" t="s">
        <v>14</v>
      </c>
      <c r="M12" s="15">
        <v>0.1</v>
      </c>
      <c r="O12" s="1409" t="s">
        <v>56</v>
      </c>
      <c r="P12" s="1409" t="s">
        <v>61</v>
      </c>
      <c r="Q12" s="1409" t="s">
        <v>59</v>
      </c>
      <c r="R12" s="431">
        <f>D26</f>
        <v>861176.88</v>
      </c>
      <c r="S12" s="431">
        <f>R12/21.9</f>
        <v>39323.145205479457</v>
      </c>
    </row>
    <row r="13" spans="2:19">
      <c r="B13" s="3" t="s">
        <v>45</v>
      </c>
      <c r="C13" s="3"/>
      <c r="D13" s="24">
        <f>96.25/30%/95%*3.6</f>
        <v>1215.7894736842106</v>
      </c>
      <c r="G13" s="6"/>
      <c r="H13" s="25"/>
      <c r="K13" s="11">
        <f t="shared" si="0"/>
        <v>0</v>
      </c>
      <c r="L13" s="3" t="s">
        <v>18</v>
      </c>
      <c r="M13" s="15">
        <v>0</v>
      </c>
      <c r="Q13" s="1409" t="s">
        <v>60</v>
      </c>
      <c r="R13" s="431">
        <f>F24+F30+F48</f>
        <v>883442.1884457143</v>
      </c>
      <c r="S13" s="431">
        <f>R13/21.9</f>
        <v>40339.825956425317</v>
      </c>
    </row>
    <row r="14" spans="2:19">
      <c r="B14" s="29"/>
      <c r="C14" s="29" t="s">
        <v>47</v>
      </c>
      <c r="D14" s="432">
        <f>D12*D13/1000</f>
        <v>0</v>
      </c>
      <c r="F14" s="1409">
        <f>275790/(40+1.6*18/11-18)/1000</f>
        <v>11.202695716395866</v>
      </c>
      <c r="G14" s="6"/>
      <c r="H14" s="25"/>
      <c r="K14" s="11">
        <f t="shared" si="0"/>
        <v>74.837333333333333</v>
      </c>
      <c r="L14" s="3" t="s">
        <v>15</v>
      </c>
      <c r="M14" s="15">
        <v>0.04</v>
      </c>
    </row>
    <row r="15" spans="2:19">
      <c r="G15" s="6" t="s">
        <v>496</v>
      </c>
      <c r="H15" s="25"/>
      <c r="K15" s="11">
        <f t="shared" si="0"/>
        <v>654.8266666666666</v>
      </c>
      <c r="L15" s="3" t="s">
        <v>19</v>
      </c>
      <c r="M15" s="15">
        <v>0.35</v>
      </c>
      <c r="P15" s="1409" t="s">
        <v>71</v>
      </c>
      <c r="Q15" s="1409" t="s">
        <v>68</v>
      </c>
      <c r="R15" s="431">
        <f>K45</f>
        <v>223163.32782833933</v>
      </c>
      <c r="S15" s="711">
        <f>R15/R16</f>
        <v>0.37423310686522404</v>
      </c>
    </row>
    <row r="16" spans="2:19">
      <c r="G16" s="6"/>
      <c r="H16" s="25"/>
      <c r="K16" s="11">
        <f t="shared" si="0"/>
        <v>654.8266666666666</v>
      </c>
      <c r="L16" s="3" t="s">
        <v>17</v>
      </c>
      <c r="M16" s="15">
        <v>0.35</v>
      </c>
      <c r="Q16" s="1409" t="s">
        <v>72</v>
      </c>
      <c r="R16" s="431">
        <f>F48</f>
        <v>596321.71428571432</v>
      </c>
    </row>
    <row r="17" spans="1:19">
      <c r="G17" s="6"/>
      <c r="H17" s="25"/>
      <c r="K17" s="11">
        <f t="shared" si="0"/>
        <v>261.9306666666667</v>
      </c>
      <c r="L17" s="3" t="s">
        <v>16</v>
      </c>
      <c r="M17" s="15">
        <v>0.14000000000000001</v>
      </c>
    </row>
    <row r="18" spans="1:19">
      <c r="G18" s="6"/>
      <c r="H18" s="25"/>
      <c r="K18" s="11">
        <f t="shared" si="0"/>
        <v>0</v>
      </c>
      <c r="L18" s="3" t="s">
        <v>27</v>
      </c>
      <c r="M18" s="15">
        <v>0</v>
      </c>
      <c r="P18" s="1409" t="s">
        <v>62</v>
      </c>
      <c r="Q18" s="1409" t="s">
        <v>57</v>
      </c>
      <c r="R18" s="431">
        <v>4512</v>
      </c>
    </row>
    <row r="19" spans="1:19">
      <c r="H19" s="33"/>
      <c r="L19" s="3" t="s">
        <v>77</v>
      </c>
      <c r="M19" s="1409" t="s">
        <v>80</v>
      </c>
      <c r="Q19" s="1409" t="s">
        <v>58</v>
      </c>
      <c r="R19" s="431">
        <v>5083</v>
      </c>
    </row>
    <row r="20" spans="1:19">
      <c r="F20" s="5"/>
      <c r="G20" s="8" t="s">
        <v>1467</v>
      </c>
      <c r="H20" s="4"/>
      <c r="K20" s="1409">
        <v>29</v>
      </c>
      <c r="L20" s="3" t="s">
        <v>78</v>
      </c>
      <c r="M20" s="1409" t="s">
        <v>79</v>
      </c>
    </row>
    <row r="21" spans="1:19">
      <c r="F21" s="5"/>
      <c r="G21" s="13" t="s">
        <v>4</v>
      </c>
      <c r="H21" s="3">
        <f>105+520</f>
        <v>625</v>
      </c>
      <c r="K21" s="12">
        <f>1600*O8*H31-105/625*F24*K31</f>
        <v>16393.056</v>
      </c>
      <c r="L21" s="9" t="s">
        <v>20</v>
      </c>
      <c r="M21" s="3"/>
      <c r="P21" s="1409" t="s">
        <v>64</v>
      </c>
      <c r="Q21" s="1409" t="s">
        <v>63</v>
      </c>
      <c r="R21" s="434">
        <v>58604</v>
      </c>
    </row>
    <row r="22" spans="1:19">
      <c r="F22" s="5"/>
      <c r="G22" s="13" t="s">
        <v>5</v>
      </c>
      <c r="H22" s="12">
        <f>H21*2</f>
        <v>1250</v>
      </c>
      <c r="K22" s="1409" t="s">
        <v>523</v>
      </c>
      <c r="L22" s="33">
        <f>K11*D9/1000</f>
        <v>1.7362261333333335</v>
      </c>
      <c r="M22" s="1409">
        <v>2142</v>
      </c>
      <c r="Q22" s="1409" t="s">
        <v>65</v>
      </c>
      <c r="R22" s="1475">
        <f>H27+H32+H50</f>
        <v>53248.345637900005</v>
      </c>
    </row>
    <row r="23" spans="1:19">
      <c r="F23" s="4"/>
      <c r="G23" s="5" t="s">
        <v>6</v>
      </c>
      <c r="H23" s="14">
        <v>0.75</v>
      </c>
      <c r="K23" s="1409" t="s">
        <v>524</v>
      </c>
      <c r="L23" s="33">
        <f>29*D27</f>
        <v>2791.25</v>
      </c>
      <c r="M23" s="33">
        <f>4260-M27</f>
        <v>3700</v>
      </c>
    </row>
    <row r="24" spans="1:19">
      <c r="A24" s="431"/>
      <c r="F24" s="12">
        <f>H25*3.6/K31</f>
        <v>92096.551724137942</v>
      </c>
      <c r="G24" s="7" t="s">
        <v>11</v>
      </c>
      <c r="H24" s="4"/>
      <c r="K24" s="1409" t="s">
        <v>140</v>
      </c>
      <c r="L24" s="1400">
        <f>4.4*56.1</f>
        <v>246.84000000000003</v>
      </c>
      <c r="P24" s="1409" t="s">
        <v>67</v>
      </c>
      <c r="Q24" s="1409" t="s">
        <v>63</v>
      </c>
      <c r="R24" s="431">
        <v>7659</v>
      </c>
      <c r="S24" s="966">
        <f>1- R24/R25</f>
        <v>-5.8710017496952815E-2</v>
      </c>
    </row>
    <row r="25" spans="1:19">
      <c r="B25" s="3"/>
      <c r="C25" s="9" t="s">
        <v>42</v>
      </c>
      <c r="D25" s="3"/>
      <c r="F25" s="5"/>
      <c r="G25" s="26" t="s">
        <v>12</v>
      </c>
      <c r="H25" s="24">
        <f>26708/3.6</f>
        <v>7418.8888888888887</v>
      </c>
      <c r="K25" s="1409" t="s">
        <v>38</v>
      </c>
      <c r="L25" s="1400">
        <f>3.256*77.367</f>
        <v>251.90695199999999</v>
      </c>
      <c r="Q25" s="1409" t="s">
        <v>66</v>
      </c>
      <c r="R25" s="431">
        <f>D10+D61</f>
        <v>7234.2755555555559</v>
      </c>
    </row>
    <row r="26" spans="1:19">
      <c r="B26" s="10"/>
      <c r="C26" s="5" t="s">
        <v>0</v>
      </c>
      <c r="D26" s="4">
        <v>861176.88</v>
      </c>
      <c r="F26" s="3"/>
      <c r="G26" s="26" t="s">
        <v>13</v>
      </c>
      <c r="H26" s="12"/>
      <c r="K26" s="1409" t="s">
        <v>36</v>
      </c>
      <c r="L26" s="39" t="s">
        <v>525</v>
      </c>
    </row>
    <row r="27" spans="1:19">
      <c r="A27" s="431"/>
      <c r="B27" s="3" t="s">
        <v>45</v>
      </c>
      <c r="C27" s="3"/>
      <c r="D27" s="3">
        <v>96.25</v>
      </c>
      <c r="F27" s="29"/>
      <c r="G27" s="40" t="s">
        <v>47</v>
      </c>
      <c r="H27" s="432">
        <f>F24*$D$27/1000</f>
        <v>8864.2931034482772</v>
      </c>
      <c r="K27" s="1409" t="s">
        <v>333</v>
      </c>
      <c r="M27" s="33">
        <v>560</v>
      </c>
    </row>
    <row r="28" spans="1:19">
      <c r="F28" s="1409" t="s">
        <v>497</v>
      </c>
      <c r="O28" s="1409" t="s">
        <v>69</v>
      </c>
      <c r="Q28" s="1409" t="s">
        <v>70</v>
      </c>
    </row>
    <row r="29" spans="1:19">
      <c r="C29" s="1409" t="s">
        <v>1060</v>
      </c>
      <c r="F29" s="3"/>
      <c r="G29" s="8" t="s">
        <v>1</v>
      </c>
      <c r="H29" s="3"/>
      <c r="Q29" s="1409" t="s">
        <v>529</v>
      </c>
    </row>
    <row r="30" spans="1:19">
      <c r="F30" s="434">
        <f>RefineriesData!D23-F24</f>
        <v>195023.9224358621</v>
      </c>
      <c r="G30" s="5" t="s">
        <v>0</v>
      </c>
      <c r="H30" s="11">
        <f>F30*H31</f>
        <v>140417.22415382072</v>
      </c>
      <c r="K30" s="1409" t="s">
        <v>498</v>
      </c>
      <c r="Q30" s="1409" t="s">
        <v>528</v>
      </c>
      <c r="S30" s="1409" t="s">
        <v>526</v>
      </c>
    </row>
    <row r="31" spans="1:19">
      <c r="F31" s="11"/>
      <c r="G31" s="5" t="s">
        <v>3</v>
      </c>
      <c r="H31" s="15">
        <v>0.72</v>
      </c>
      <c r="K31" s="1402">
        <v>0.28999999999999998</v>
      </c>
      <c r="Q31" s="1409" t="s">
        <v>73</v>
      </c>
      <c r="S31" s="1409" t="s">
        <v>527</v>
      </c>
    </row>
    <row r="32" spans="1:19">
      <c r="F32" s="29"/>
      <c r="G32" s="40" t="s">
        <v>47</v>
      </c>
      <c r="H32" s="432">
        <f>F30*$D$27/1000</f>
        <v>18771.052534451726</v>
      </c>
      <c r="K32" s="1409">
        <f>275790*0.23*K31</f>
        <v>18395.192999999999</v>
      </c>
    </row>
    <row r="33" spans="1:22">
      <c r="K33" s="1409">
        <f>K32/3.6</f>
        <v>5109.7758333333331</v>
      </c>
      <c r="Q33" s="1409" t="s">
        <v>84</v>
      </c>
    </row>
    <row r="34" spans="1:22">
      <c r="F34" s="5"/>
      <c r="G34" s="8" t="s">
        <v>31</v>
      </c>
      <c r="H34" s="4"/>
      <c r="P34" s="1410" t="s">
        <v>531</v>
      </c>
      <c r="V34" s="1410" t="s">
        <v>3</v>
      </c>
    </row>
    <row r="35" spans="1:22">
      <c r="F35" s="5"/>
      <c r="G35" s="27" t="s">
        <v>4</v>
      </c>
      <c r="H35" s="17">
        <v>440</v>
      </c>
      <c r="P35" s="1409" t="s">
        <v>3</v>
      </c>
      <c r="Q35" s="1402">
        <v>0.45</v>
      </c>
      <c r="V35" s="1409" t="s">
        <v>535</v>
      </c>
    </row>
    <row r="36" spans="1:22">
      <c r="F36" s="5"/>
      <c r="G36" s="27" t="s">
        <v>5</v>
      </c>
      <c r="H36" s="12">
        <f>H35*2</f>
        <v>880</v>
      </c>
      <c r="K36" s="18"/>
      <c r="L36" s="9" t="s">
        <v>54</v>
      </c>
      <c r="M36" s="3"/>
      <c r="P36" s="1409" t="s">
        <v>531</v>
      </c>
      <c r="V36" s="1409" t="s">
        <v>536</v>
      </c>
    </row>
    <row r="37" spans="1:22">
      <c r="B37" s="10"/>
      <c r="C37" s="9" t="s">
        <v>41</v>
      </c>
      <c r="D37" s="3"/>
      <c r="F37" s="4"/>
      <c r="G37" s="26" t="s">
        <v>6</v>
      </c>
      <c r="H37" s="14">
        <v>0.85</v>
      </c>
      <c r="K37" s="18">
        <v>19000</v>
      </c>
      <c r="L37" s="23" t="s">
        <v>35</v>
      </c>
      <c r="M37" s="3"/>
      <c r="P37" s="1409" t="s">
        <v>532</v>
      </c>
    </row>
    <row r="38" spans="1:22">
      <c r="B38" s="10"/>
      <c r="C38" s="5" t="s">
        <v>0</v>
      </c>
      <c r="D38" s="1017">
        <v>126.1652</v>
      </c>
      <c r="F38" s="12">
        <v>126</v>
      </c>
      <c r="G38" s="7" t="s">
        <v>39</v>
      </c>
      <c r="H38" s="4"/>
      <c r="K38" s="12">
        <f>F48-H45</f>
        <v>373158.38645737502</v>
      </c>
      <c r="L38" s="23" t="s">
        <v>36</v>
      </c>
      <c r="M38" s="3"/>
      <c r="P38" s="1409" t="s">
        <v>533</v>
      </c>
      <c r="Q38" s="1409">
        <f>140*8.76</f>
        <v>1226.3999999999999</v>
      </c>
    </row>
    <row r="39" spans="1:22">
      <c r="B39" s="3" t="s">
        <v>45</v>
      </c>
      <c r="C39" s="3"/>
      <c r="D39" s="3">
        <v>56.1</v>
      </c>
      <c r="F39" s="5"/>
      <c r="G39" s="26" t="s">
        <v>12</v>
      </c>
      <c r="H39" s="11">
        <f>0.5*H37*F38/3.6</f>
        <v>14.874999999999998</v>
      </c>
      <c r="K39" s="711">
        <f>K38/(K38+K45)</f>
        <v>0.62576689313477596</v>
      </c>
      <c r="P39" s="1409" t="s">
        <v>534</v>
      </c>
      <c r="Q39" s="1409">
        <f>Q38/Q35*3.6</f>
        <v>9811.1999999999989</v>
      </c>
    </row>
    <row r="40" spans="1:22">
      <c r="F40" s="3"/>
      <c r="G40" s="26" t="s">
        <v>13</v>
      </c>
      <c r="H40" s="11">
        <f>0.5*F38*H37</f>
        <v>53.55</v>
      </c>
      <c r="P40" s="387" t="s">
        <v>254</v>
      </c>
      <c r="Q40" s="387">
        <f>Q39*56.1/1000</f>
        <v>550.40832</v>
      </c>
    </row>
    <row r="41" spans="1:22">
      <c r="F41" s="29"/>
      <c r="G41" s="40" t="s">
        <v>47</v>
      </c>
      <c r="H41" s="432">
        <f>F38*$D$39/1000</f>
        <v>7.0686</v>
      </c>
      <c r="P41" s="1409" t="s">
        <v>254</v>
      </c>
    </row>
    <row r="42" spans="1:22">
      <c r="P42" s="1409" t="s">
        <v>512</v>
      </c>
      <c r="Q42" s="1409" t="s">
        <v>513</v>
      </c>
    </row>
    <row r="43" spans="1:22">
      <c r="K43" s="1409" t="s">
        <v>499</v>
      </c>
      <c r="P43" s="1409" t="s">
        <v>514</v>
      </c>
      <c r="Q43" s="1409" t="s">
        <v>513</v>
      </c>
    </row>
    <row r="44" spans="1:22">
      <c r="F44" s="434" t="s">
        <v>81</v>
      </c>
      <c r="G44" s="9" t="s">
        <v>28</v>
      </c>
      <c r="H44" s="3"/>
      <c r="K44" s="18">
        <f>K45*6.5/5.05</f>
        <v>287239.92690776353</v>
      </c>
      <c r="L44" s="9" t="s">
        <v>29</v>
      </c>
      <c r="M44" s="3"/>
      <c r="P44" s="1409" t="s">
        <v>515</v>
      </c>
      <c r="Q44" s="1409">
        <f>0.35/2627*1000</f>
        <v>0.13323182337266842</v>
      </c>
      <c r="R44" s="1409" t="s">
        <v>516</v>
      </c>
    </row>
    <row r="45" spans="1:22">
      <c r="F45" s="431">
        <f>39.7*1000</f>
        <v>39700</v>
      </c>
      <c r="G45" s="27" t="s">
        <v>37</v>
      </c>
      <c r="H45" s="12">
        <f>K45</f>
        <v>223163.32782833933</v>
      </c>
      <c r="K45" s="12">
        <v>223163.32782833933</v>
      </c>
      <c r="L45" s="23" t="s">
        <v>53</v>
      </c>
      <c r="M45" s="3"/>
      <c r="P45" s="1409" t="s">
        <v>503</v>
      </c>
      <c r="Q45" s="1409" t="s">
        <v>504</v>
      </c>
    </row>
    <row r="46" spans="1:22">
      <c r="A46" s="431"/>
      <c r="F46" s="12">
        <v>3679.0153846153798</v>
      </c>
      <c r="G46" s="23" t="s">
        <v>25</v>
      </c>
      <c r="H46" s="3"/>
      <c r="K46" s="12">
        <v>3679.0153846153844</v>
      </c>
      <c r="L46" s="23" t="s">
        <v>25</v>
      </c>
      <c r="M46" s="3"/>
      <c r="P46" s="1409" t="s">
        <v>505</v>
      </c>
      <c r="Q46" s="1409">
        <v>2627</v>
      </c>
      <c r="R46" s="1409" t="s">
        <v>506</v>
      </c>
    </row>
    <row r="47" spans="1:22">
      <c r="F47" s="12">
        <f>(275790-K21)*39%*H31</f>
        <v>72838.661875199992</v>
      </c>
      <c r="G47" s="23" t="s">
        <v>501</v>
      </c>
      <c r="H47" s="3"/>
      <c r="K47" s="36">
        <f>H30-K21-K56-F47</f>
        <v>51185.506278620727</v>
      </c>
      <c r="L47" s="37" t="s">
        <v>20</v>
      </c>
      <c r="M47" s="38"/>
      <c r="P47" s="1409" t="s">
        <v>507</v>
      </c>
      <c r="Q47" s="1409">
        <f>0.35/Q46</f>
        <v>1.3323182337266843E-4</v>
      </c>
      <c r="R47" s="1409" t="s">
        <v>511</v>
      </c>
    </row>
    <row r="48" spans="1:22">
      <c r="F48" s="434">
        <f>18027/RefineriesData!D20*RefineriesData!D24</f>
        <v>596321.71428571432</v>
      </c>
      <c r="G48" s="23" t="s">
        <v>30</v>
      </c>
      <c r="H48" s="3"/>
      <c r="K48" s="18"/>
      <c r="L48" s="27" t="s">
        <v>32</v>
      </c>
      <c r="M48" s="24">
        <v>56558.323077979323</v>
      </c>
      <c r="N48" s="433">
        <v>74.066699999999997</v>
      </c>
      <c r="P48" s="1409" t="s">
        <v>508</v>
      </c>
      <c r="Q48" s="1409">
        <f>96.25/1000</f>
        <v>9.6250000000000002E-2</v>
      </c>
      <c r="R48" s="1409" t="s">
        <v>509</v>
      </c>
    </row>
    <row r="49" spans="2:17">
      <c r="F49" s="18"/>
      <c r="G49" s="27" t="s">
        <v>40</v>
      </c>
      <c r="H49" s="31">
        <f>H50*1000/F48</f>
        <v>42.951647384968609</v>
      </c>
      <c r="K49" s="18"/>
      <c r="L49" s="27" t="s">
        <v>33</v>
      </c>
      <c r="M49" s="4">
        <v>128417</v>
      </c>
      <c r="N49" s="433">
        <v>69.3</v>
      </c>
      <c r="P49" s="1409" t="s">
        <v>510</v>
      </c>
      <c r="Q49" s="711">
        <f>Q48/Q44</f>
        <v>0.72242500000000009</v>
      </c>
    </row>
    <row r="50" spans="2:17">
      <c r="F50" s="383">
        <f>F48+F47+F45</f>
        <v>708860.37616091431</v>
      </c>
      <c r="G50" s="40" t="s">
        <v>47</v>
      </c>
      <c r="H50" s="432">
        <v>25613</v>
      </c>
      <c r="K50" s="18"/>
      <c r="L50" s="27" t="s">
        <v>43</v>
      </c>
      <c r="M50" s="4">
        <v>10086</v>
      </c>
      <c r="N50" s="433">
        <v>71.5</v>
      </c>
      <c r="P50" s="1409" t="s">
        <v>517</v>
      </c>
    </row>
    <row r="51" spans="2:17">
      <c r="F51" s="29"/>
      <c r="G51" s="40" t="s">
        <v>50</v>
      </c>
      <c r="H51" s="432">
        <v>4490</v>
      </c>
      <c r="K51" s="18"/>
      <c r="L51" s="27" t="s">
        <v>34</v>
      </c>
      <c r="M51" s="4">
        <v>3268</v>
      </c>
      <c r="N51" s="433">
        <v>63.066699999999997</v>
      </c>
    </row>
    <row r="52" spans="2:17">
      <c r="G52" s="1409" t="s">
        <v>74</v>
      </c>
      <c r="K52" s="18"/>
      <c r="L52" s="27" t="s">
        <v>36</v>
      </c>
      <c r="M52" s="28">
        <f>K45-SUM(M48:M51)</f>
        <v>24834.004750360007</v>
      </c>
      <c r="N52" s="433">
        <v>0</v>
      </c>
    </row>
    <row r="53" spans="2:17">
      <c r="K53" s="29"/>
      <c r="L53" s="40" t="s">
        <v>46</v>
      </c>
      <c r="M53" s="432">
        <f>SUMPRODUCT(M48:M52,N48:N52)/1000</f>
        <v>14015.637423519771</v>
      </c>
      <c r="N53" s="433"/>
      <c r="O53" s="1409" t="s">
        <v>76</v>
      </c>
    </row>
    <row r="54" spans="2:17">
      <c r="N54" s="433"/>
      <c r="O54" s="1409" t="s">
        <v>75</v>
      </c>
    </row>
    <row r="55" spans="2:17">
      <c r="K55" s="18" t="s">
        <v>502</v>
      </c>
      <c r="L55" s="9" t="s">
        <v>24</v>
      </c>
      <c r="M55" s="39"/>
      <c r="N55" s="433"/>
    </row>
    <row r="56" spans="2:17">
      <c r="K56" s="12"/>
      <c r="L56" s="23" t="s">
        <v>20</v>
      </c>
      <c r="M56" s="3"/>
      <c r="N56" s="433" t="s">
        <v>520</v>
      </c>
      <c r="O56" s="25">
        <f>O57/(8.76)</f>
        <v>42.316170681782395</v>
      </c>
    </row>
    <row r="57" spans="2:17">
      <c r="C57" s="1409" t="s">
        <v>500</v>
      </c>
      <c r="K57" s="12">
        <f>O57</f>
        <v>370.68965517241378</v>
      </c>
      <c r="L57" s="23" t="s">
        <v>25</v>
      </c>
      <c r="M57" s="3"/>
      <c r="N57" s="433" t="s">
        <v>521</v>
      </c>
      <c r="O57" s="25">
        <f>P57/D10*D8</f>
        <v>370.68965517241378</v>
      </c>
      <c r="P57" s="1409">
        <v>344</v>
      </c>
      <c r="Q57" s="1409" t="s">
        <v>518</v>
      </c>
    </row>
    <row r="58" spans="2:17">
      <c r="B58" s="10"/>
      <c r="C58" s="9" t="s">
        <v>55</v>
      </c>
      <c r="D58" s="3"/>
      <c r="K58" s="18">
        <v>4094</v>
      </c>
      <c r="L58" s="23" t="s">
        <v>44</v>
      </c>
      <c r="M58" s="18"/>
      <c r="N58" s="433"/>
      <c r="O58" s="1409" t="s">
        <v>519</v>
      </c>
    </row>
    <row r="59" spans="2:17">
      <c r="B59" s="10"/>
      <c r="C59" s="5" t="s">
        <v>0</v>
      </c>
      <c r="D59" s="434">
        <v>0</v>
      </c>
      <c r="K59" s="18"/>
      <c r="L59" s="27" t="s">
        <v>32</v>
      </c>
      <c r="M59" s="4">
        <v>78363.603915510073</v>
      </c>
      <c r="N59" s="433">
        <f>N48</f>
        <v>74.066699999999997</v>
      </c>
    </row>
    <row r="60" spans="2:17">
      <c r="B60" s="3" t="s">
        <v>45</v>
      </c>
      <c r="C60" s="3"/>
      <c r="D60" s="3">
        <f>H32/H30</f>
        <v>0.13368055555555555</v>
      </c>
      <c r="K60" s="18"/>
      <c r="L60" s="27" t="s">
        <v>33</v>
      </c>
      <c r="M60" s="4">
        <v>65892</v>
      </c>
      <c r="N60" s="433">
        <f>N49</f>
        <v>69.3</v>
      </c>
    </row>
    <row r="61" spans="2:17">
      <c r="B61" s="29"/>
      <c r="C61" s="40" t="s">
        <v>47</v>
      </c>
      <c r="D61" s="432">
        <f>D60*D59</f>
        <v>0</v>
      </c>
      <c r="K61" s="18"/>
      <c r="L61" s="27" t="s">
        <v>43</v>
      </c>
      <c r="M61" s="4">
        <v>43484.734440000007</v>
      </c>
      <c r="N61" s="433">
        <f>N50</f>
        <v>71.5</v>
      </c>
    </row>
    <row r="62" spans="2:17">
      <c r="K62" s="18"/>
      <c r="L62" s="27" t="s">
        <v>34</v>
      </c>
      <c r="M62" s="4">
        <v>539.60618239120879</v>
      </c>
      <c r="N62" s="433">
        <f>N51</f>
        <v>63.066699999999997</v>
      </c>
    </row>
    <row r="63" spans="2:17">
      <c r="K63" s="18"/>
      <c r="L63" s="27" t="s">
        <v>38</v>
      </c>
      <c r="M63" s="4">
        <v>7538.9011900219784</v>
      </c>
      <c r="N63" s="433">
        <v>77.366699999999994</v>
      </c>
    </row>
    <row r="64" spans="2:17">
      <c r="K64" s="18"/>
      <c r="L64" s="27" t="s">
        <v>36</v>
      </c>
      <c r="M64" s="4">
        <f>203441-SUM(M59:M63)</f>
        <v>7622.1542720767611</v>
      </c>
      <c r="N64" s="433">
        <v>0</v>
      </c>
    </row>
    <row r="65" spans="3:13">
      <c r="K65" s="29"/>
      <c r="L65" s="40" t="s">
        <v>46</v>
      </c>
      <c r="M65" s="432">
        <f>SUMPRODUCT(M59:M64,N59:N64)/1000</f>
        <v>14096.898742509997</v>
      </c>
    </row>
    <row r="67" spans="3:13">
      <c r="K67" s="18"/>
      <c r="L67" s="9" t="s">
        <v>48</v>
      </c>
      <c r="M67" s="3"/>
    </row>
    <row r="68" spans="3:13">
      <c r="K68" s="12">
        <f>D38-F38</f>
        <v>0.16519999999999868</v>
      </c>
      <c r="L68" s="23" t="s">
        <v>0</v>
      </c>
      <c r="M68" s="3"/>
    </row>
    <row r="69" spans="3:13">
      <c r="C69" s="1409" t="s">
        <v>82</v>
      </c>
    </row>
    <row r="70" spans="3:13">
      <c r="L70" s="1409" t="s">
        <v>530</v>
      </c>
    </row>
    <row r="75" spans="3:13">
      <c r="C75" s="1409" t="s">
        <v>83</v>
      </c>
    </row>
  </sheetData>
  <pageMargins left="0.7" right="0.7" top="0.75" bottom="0.75" header="0.3" footer="0.3"/>
  <pageSetup paperSize="8" scale="84"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16C19-0601-49CC-A0F3-C9B58715AC2C}">
  <sheetPr codeName="Sheet59"/>
  <dimension ref="A2:AF122"/>
  <sheetViews>
    <sheetView workbookViewId="0"/>
  </sheetViews>
  <sheetFormatPr defaultRowHeight="15"/>
  <cols>
    <col min="1" max="1" width="45.7109375" style="1478" customWidth="1"/>
    <col min="2" max="18" width="9.140625" style="1478"/>
    <col min="19" max="19" width="9.140625" style="1479"/>
    <col min="20" max="256" width="9.140625" style="1478"/>
    <col min="257" max="257" width="45.7109375" style="1478" customWidth="1"/>
    <col min="258" max="512" width="9.140625" style="1478"/>
    <col min="513" max="513" width="45.7109375" style="1478" customWidth="1"/>
    <col min="514" max="768" width="9.140625" style="1478"/>
    <col min="769" max="769" width="45.7109375" style="1478" customWidth="1"/>
    <col min="770" max="1024" width="9.140625" style="1478"/>
    <col min="1025" max="1025" width="45.7109375" style="1478" customWidth="1"/>
    <col min="1026" max="1280" width="9.140625" style="1478"/>
    <col min="1281" max="1281" width="45.7109375" style="1478" customWidth="1"/>
    <col min="1282" max="1536" width="9.140625" style="1478"/>
    <col min="1537" max="1537" width="45.7109375" style="1478" customWidth="1"/>
    <col min="1538" max="1792" width="9.140625" style="1478"/>
    <col min="1793" max="1793" width="45.7109375" style="1478" customWidth="1"/>
    <col min="1794" max="2048" width="9.140625" style="1478"/>
    <col min="2049" max="2049" width="45.7109375" style="1478" customWidth="1"/>
    <col min="2050" max="2304" width="9.140625" style="1478"/>
    <col min="2305" max="2305" width="45.7109375" style="1478" customWidth="1"/>
    <col min="2306" max="2560" width="9.140625" style="1478"/>
    <col min="2561" max="2561" width="45.7109375" style="1478" customWidth="1"/>
    <col min="2562" max="2816" width="9.140625" style="1478"/>
    <col min="2817" max="2817" width="45.7109375" style="1478" customWidth="1"/>
    <col min="2818" max="3072" width="9.140625" style="1478"/>
    <col min="3073" max="3073" width="45.7109375" style="1478" customWidth="1"/>
    <col min="3074" max="3328" width="9.140625" style="1478"/>
    <col min="3329" max="3329" width="45.7109375" style="1478" customWidth="1"/>
    <col min="3330" max="3584" width="9.140625" style="1478"/>
    <col min="3585" max="3585" width="45.7109375" style="1478" customWidth="1"/>
    <col min="3586" max="3840" width="9.140625" style="1478"/>
    <col min="3841" max="3841" width="45.7109375" style="1478" customWidth="1"/>
    <col min="3842" max="4096" width="9.140625" style="1478"/>
    <col min="4097" max="4097" width="45.7109375" style="1478" customWidth="1"/>
    <col min="4098" max="4352" width="9.140625" style="1478"/>
    <col min="4353" max="4353" width="45.7109375" style="1478" customWidth="1"/>
    <col min="4354" max="4608" width="9.140625" style="1478"/>
    <col min="4609" max="4609" width="45.7109375" style="1478" customWidth="1"/>
    <col min="4610" max="4864" width="9.140625" style="1478"/>
    <col min="4865" max="4865" width="45.7109375" style="1478" customWidth="1"/>
    <col min="4866" max="5120" width="9.140625" style="1478"/>
    <col min="5121" max="5121" width="45.7109375" style="1478" customWidth="1"/>
    <col min="5122" max="5376" width="9.140625" style="1478"/>
    <col min="5377" max="5377" width="45.7109375" style="1478" customWidth="1"/>
    <col min="5378" max="5632" width="9.140625" style="1478"/>
    <col min="5633" max="5633" width="45.7109375" style="1478" customWidth="1"/>
    <col min="5634" max="5888" width="9.140625" style="1478"/>
    <col min="5889" max="5889" width="45.7109375" style="1478" customWidth="1"/>
    <col min="5890" max="6144" width="9.140625" style="1478"/>
    <col min="6145" max="6145" width="45.7109375" style="1478" customWidth="1"/>
    <col min="6146" max="6400" width="9.140625" style="1478"/>
    <col min="6401" max="6401" width="45.7109375" style="1478" customWidth="1"/>
    <col min="6402" max="6656" width="9.140625" style="1478"/>
    <col min="6657" max="6657" width="45.7109375" style="1478" customWidth="1"/>
    <col min="6658" max="6912" width="9.140625" style="1478"/>
    <col min="6913" max="6913" width="45.7109375" style="1478" customWidth="1"/>
    <col min="6914" max="7168" width="9.140625" style="1478"/>
    <col min="7169" max="7169" width="45.7109375" style="1478" customWidth="1"/>
    <col min="7170" max="7424" width="9.140625" style="1478"/>
    <col min="7425" max="7425" width="45.7109375" style="1478" customWidth="1"/>
    <col min="7426" max="7680" width="9.140625" style="1478"/>
    <col min="7681" max="7681" width="45.7109375" style="1478" customWidth="1"/>
    <col min="7682" max="7936" width="9.140625" style="1478"/>
    <col min="7937" max="7937" width="45.7109375" style="1478" customWidth="1"/>
    <col min="7938" max="8192" width="9.140625" style="1478"/>
    <col min="8193" max="8193" width="45.7109375" style="1478" customWidth="1"/>
    <col min="8194" max="8448" width="9.140625" style="1478"/>
    <col min="8449" max="8449" width="45.7109375" style="1478" customWidth="1"/>
    <col min="8450" max="8704" width="9.140625" style="1478"/>
    <col min="8705" max="8705" width="45.7109375" style="1478" customWidth="1"/>
    <col min="8706" max="8960" width="9.140625" style="1478"/>
    <col min="8961" max="8961" width="45.7109375" style="1478" customWidth="1"/>
    <col min="8962" max="9216" width="9.140625" style="1478"/>
    <col min="9217" max="9217" width="45.7109375" style="1478" customWidth="1"/>
    <col min="9218" max="9472" width="9.140625" style="1478"/>
    <col min="9473" max="9473" width="45.7109375" style="1478" customWidth="1"/>
    <col min="9474" max="9728" width="9.140625" style="1478"/>
    <col min="9729" max="9729" width="45.7109375" style="1478" customWidth="1"/>
    <col min="9730" max="9984" width="9.140625" style="1478"/>
    <col min="9985" max="9985" width="45.7109375" style="1478" customWidth="1"/>
    <col min="9986" max="10240" width="9.140625" style="1478"/>
    <col min="10241" max="10241" width="45.7109375" style="1478" customWidth="1"/>
    <col min="10242" max="10496" width="9.140625" style="1478"/>
    <col min="10497" max="10497" width="45.7109375" style="1478" customWidth="1"/>
    <col min="10498" max="10752" width="9.140625" style="1478"/>
    <col min="10753" max="10753" width="45.7109375" style="1478" customWidth="1"/>
    <col min="10754" max="11008" width="9.140625" style="1478"/>
    <col min="11009" max="11009" width="45.7109375" style="1478" customWidth="1"/>
    <col min="11010" max="11264" width="9.140625" style="1478"/>
    <col min="11265" max="11265" width="45.7109375" style="1478" customWidth="1"/>
    <col min="11266" max="11520" width="9.140625" style="1478"/>
    <col min="11521" max="11521" width="45.7109375" style="1478" customWidth="1"/>
    <col min="11522" max="11776" width="9.140625" style="1478"/>
    <col min="11777" max="11777" width="45.7109375" style="1478" customWidth="1"/>
    <col min="11778" max="12032" width="9.140625" style="1478"/>
    <col min="12033" max="12033" width="45.7109375" style="1478" customWidth="1"/>
    <col min="12034" max="12288" width="9.140625" style="1478"/>
    <col min="12289" max="12289" width="45.7109375" style="1478" customWidth="1"/>
    <col min="12290" max="12544" width="9.140625" style="1478"/>
    <col min="12545" max="12545" width="45.7109375" style="1478" customWidth="1"/>
    <col min="12546" max="12800" width="9.140625" style="1478"/>
    <col min="12801" max="12801" width="45.7109375" style="1478" customWidth="1"/>
    <col min="12802" max="13056" width="9.140625" style="1478"/>
    <col min="13057" max="13057" width="45.7109375" style="1478" customWidth="1"/>
    <col min="13058" max="13312" width="9.140625" style="1478"/>
    <col min="13313" max="13313" width="45.7109375" style="1478" customWidth="1"/>
    <col min="13314" max="13568" width="9.140625" style="1478"/>
    <col min="13569" max="13569" width="45.7109375" style="1478" customWidth="1"/>
    <col min="13570" max="13824" width="9.140625" style="1478"/>
    <col min="13825" max="13825" width="45.7109375" style="1478" customWidth="1"/>
    <col min="13826" max="14080" width="9.140625" style="1478"/>
    <col min="14081" max="14081" width="45.7109375" style="1478" customWidth="1"/>
    <col min="14082" max="14336" width="9.140625" style="1478"/>
    <col min="14337" max="14337" width="45.7109375" style="1478" customWidth="1"/>
    <col min="14338" max="14592" width="9.140625" style="1478"/>
    <col min="14593" max="14593" width="45.7109375" style="1478" customWidth="1"/>
    <col min="14594" max="14848" width="9.140625" style="1478"/>
    <col min="14849" max="14849" width="45.7109375" style="1478" customWidth="1"/>
    <col min="14850" max="15104" width="9.140625" style="1478"/>
    <col min="15105" max="15105" width="45.7109375" style="1478" customWidth="1"/>
    <col min="15106" max="15360" width="9.140625" style="1478"/>
    <col min="15361" max="15361" width="45.7109375" style="1478" customWidth="1"/>
    <col min="15362" max="15616" width="9.140625" style="1478"/>
    <col min="15617" max="15617" width="45.7109375" style="1478" customWidth="1"/>
    <col min="15618" max="15872" width="9.140625" style="1478"/>
    <col min="15873" max="15873" width="45.7109375" style="1478" customWidth="1"/>
    <col min="15874" max="16128" width="9.140625" style="1478"/>
    <col min="16129" max="16129" width="45.7109375" style="1478" customWidth="1"/>
    <col min="16130" max="16384" width="9.140625" style="1478"/>
  </cols>
  <sheetData>
    <row r="2" spans="1:32" ht="15.75" thickBot="1">
      <c r="A2" s="1477" t="s">
        <v>14113</v>
      </c>
    </row>
    <row r="3" spans="1:32">
      <c r="B3" s="1883" t="s">
        <v>14114</v>
      </c>
      <c r="C3" s="1884"/>
      <c r="D3" s="1884"/>
      <c r="E3" s="1884"/>
      <c r="F3" s="1884"/>
      <c r="G3" s="1884"/>
      <c r="H3" s="1884"/>
      <c r="I3" s="1884"/>
      <c r="J3" s="1884"/>
      <c r="K3" s="1884"/>
      <c r="L3" s="1884"/>
      <c r="M3" s="1884"/>
      <c r="N3" s="1885"/>
      <c r="O3" s="1886" t="s">
        <v>14115</v>
      </c>
      <c r="P3" s="1887"/>
      <c r="Q3" s="1887"/>
      <c r="R3" s="1887"/>
      <c r="S3" s="1887"/>
      <c r="T3" s="1887"/>
      <c r="U3" s="1887"/>
      <c r="V3" s="1887"/>
      <c r="W3" s="1887"/>
      <c r="X3" s="1887"/>
      <c r="Y3" s="1887"/>
      <c r="Z3" s="1887"/>
      <c r="AA3" s="1887"/>
      <c r="AB3" s="1887"/>
      <c r="AC3" s="1887"/>
      <c r="AD3" s="1887"/>
      <c r="AE3" s="1887"/>
    </row>
    <row r="4" spans="1:32">
      <c r="A4" s="1480" t="s">
        <v>14116</v>
      </c>
      <c r="B4" s="1481">
        <v>2000</v>
      </c>
      <c r="C4" s="1482">
        <v>2001</v>
      </c>
      <c r="D4" s="1482">
        <v>2002</v>
      </c>
      <c r="E4" s="1482">
        <v>2003</v>
      </c>
      <c r="F4" s="1482">
        <v>2004</v>
      </c>
      <c r="G4" s="1482">
        <v>2005</v>
      </c>
      <c r="H4" s="1482">
        <v>2006</v>
      </c>
      <c r="I4" s="1482">
        <v>2007</v>
      </c>
      <c r="J4" s="1482">
        <v>2008</v>
      </c>
      <c r="K4" s="1482">
        <v>2009</v>
      </c>
      <c r="L4" s="1482">
        <v>2010</v>
      </c>
      <c r="M4" s="1482">
        <v>2011</v>
      </c>
      <c r="N4" s="1483">
        <v>2012</v>
      </c>
      <c r="O4" s="1480">
        <v>2013</v>
      </c>
      <c r="P4" s="1480">
        <v>2014</v>
      </c>
      <c r="Q4" s="1480">
        <v>2015</v>
      </c>
      <c r="R4" s="1480">
        <v>2016</v>
      </c>
      <c r="S4" s="1484">
        <v>2017</v>
      </c>
      <c r="T4" s="1480">
        <v>2018</v>
      </c>
      <c r="U4" s="1480">
        <v>2019</v>
      </c>
      <c r="V4" s="1480">
        <v>2020</v>
      </c>
      <c r="W4" s="1480">
        <v>2021</v>
      </c>
      <c r="X4" s="1480">
        <v>2022</v>
      </c>
      <c r="Y4" s="1480">
        <v>2023</v>
      </c>
      <c r="Z4" s="1480">
        <v>2024</v>
      </c>
      <c r="AA4" s="1480">
        <v>2025</v>
      </c>
      <c r="AB4" s="1480">
        <v>2026</v>
      </c>
      <c r="AC4" s="1480">
        <v>2027</v>
      </c>
      <c r="AD4" s="1480">
        <v>2028</v>
      </c>
      <c r="AE4" s="1480">
        <v>2029</v>
      </c>
      <c r="AF4" s="1480" t="s">
        <v>162</v>
      </c>
    </row>
    <row r="5" spans="1:32">
      <c r="A5" s="1480"/>
      <c r="B5" s="1481"/>
      <c r="C5" s="1482"/>
      <c r="D5" s="1482"/>
      <c r="E5" s="1482"/>
      <c r="F5" s="1482"/>
      <c r="G5" s="1482"/>
      <c r="H5" s="1482"/>
      <c r="I5" s="1482"/>
      <c r="J5" s="1482"/>
      <c r="K5" s="1482"/>
      <c r="L5" s="1482"/>
      <c r="M5" s="1482"/>
      <c r="N5" s="1485"/>
    </row>
    <row r="6" spans="1:32">
      <c r="A6" s="1478" t="s">
        <v>1764</v>
      </c>
      <c r="B6" s="1486">
        <v>0</v>
      </c>
      <c r="C6" s="1487">
        <v>0</v>
      </c>
      <c r="D6" s="1487">
        <v>0</v>
      </c>
      <c r="E6" s="1487">
        <v>0</v>
      </c>
      <c r="F6" s="1487">
        <v>41.2</v>
      </c>
      <c r="G6" s="1487">
        <v>79.3</v>
      </c>
      <c r="H6" s="1487">
        <v>92.3</v>
      </c>
      <c r="I6" s="1487">
        <v>92.899999999999977</v>
      </c>
      <c r="J6" s="1487">
        <v>104.7</v>
      </c>
      <c r="K6" s="1487">
        <v>96.000000000000014</v>
      </c>
      <c r="L6" s="1487">
        <v>115.39999999999999</v>
      </c>
      <c r="M6" s="1487">
        <v>125.1</v>
      </c>
      <c r="N6" s="1488">
        <v>136.6</v>
      </c>
      <c r="O6" s="1489">
        <v>142.675918</v>
      </c>
      <c r="P6" s="1489">
        <v>149.6564295</v>
      </c>
      <c r="Q6" s="1489">
        <v>154.64507550000002</v>
      </c>
      <c r="R6" s="1489">
        <v>156</v>
      </c>
      <c r="S6" s="1490">
        <v>156</v>
      </c>
      <c r="T6" s="1489">
        <v>156</v>
      </c>
      <c r="U6" s="1489">
        <v>156</v>
      </c>
      <c r="V6" s="1489">
        <v>156</v>
      </c>
      <c r="W6" s="1489">
        <v>156</v>
      </c>
      <c r="X6" s="1489">
        <v>156</v>
      </c>
      <c r="Y6" s="1489">
        <v>156</v>
      </c>
      <c r="Z6" s="1489">
        <v>156</v>
      </c>
      <c r="AA6" s="1489">
        <v>156</v>
      </c>
      <c r="AB6" s="1489">
        <v>156</v>
      </c>
      <c r="AC6" s="1489">
        <v>156</v>
      </c>
      <c r="AD6" s="1489">
        <v>156</v>
      </c>
      <c r="AE6" s="1489">
        <v>156</v>
      </c>
    </row>
    <row r="7" spans="1:32">
      <c r="A7" s="1478" t="s">
        <v>14117</v>
      </c>
      <c r="B7" s="1491">
        <v>16.260000000000002</v>
      </c>
      <c r="C7" s="1492">
        <v>16.72</v>
      </c>
      <c r="D7" s="1492">
        <v>18.800000000000004</v>
      </c>
      <c r="E7" s="1487">
        <v>19.700000000000003</v>
      </c>
      <c r="F7" s="1487">
        <v>17.700000000000003</v>
      </c>
      <c r="G7" s="1487">
        <v>16.600000000000001</v>
      </c>
      <c r="H7" s="1487">
        <v>19.599999999999998</v>
      </c>
      <c r="I7" s="1487">
        <v>22.400000000000002</v>
      </c>
      <c r="J7" s="1487">
        <v>23.2</v>
      </c>
      <c r="K7" s="1487">
        <v>21.6</v>
      </c>
      <c r="L7" s="1487">
        <v>22.100000000000005</v>
      </c>
      <c r="M7" s="1487">
        <v>25.2</v>
      </c>
      <c r="N7" s="1488">
        <v>21.9</v>
      </c>
      <c r="O7" s="1489">
        <v>21</v>
      </c>
      <c r="P7" s="1489">
        <v>21</v>
      </c>
      <c r="Q7" s="1489">
        <v>21</v>
      </c>
      <c r="R7" s="1489">
        <v>21</v>
      </c>
      <c r="S7" s="1490">
        <v>21</v>
      </c>
      <c r="T7" s="1489">
        <v>21</v>
      </c>
      <c r="U7" s="1489">
        <v>21</v>
      </c>
      <c r="V7" s="1489">
        <v>21</v>
      </c>
      <c r="W7" s="1489">
        <v>21</v>
      </c>
      <c r="X7" s="1489">
        <v>21</v>
      </c>
      <c r="Y7" s="1489">
        <v>21</v>
      </c>
      <c r="Z7" s="1489">
        <v>21</v>
      </c>
      <c r="AA7" s="1489">
        <v>21</v>
      </c>
      <c r="AB7" s="1489">
        <v>21</v>
      </c>
      <c r="AC7" s="1489">
        <v>21</v>
      </c>
      <c r="AD7" s="1489">
        <v>21</v>
      </c>
      <c r="AE7" s="1489">
        <v>21</v>
      </c>
    </row>
    <row r="8" spans="1:32">
      <c r="A8" s="1478" t="s">
        <v>14118</v>
      </c>
      <c r="B8" s="1491">
        <v>24.389999999999997</v>
      </c>
      <c r="C8" s="1492">
        <v>25.98</v>
      </c>
      <c r="D8" s="1492">
        <v>27.5</v>
      </c>
      <c r="E8" s="1487">
        <v>28.1</v>
      </c>
      <c r="F8" s="1487">
        <v>11.299999999999999</v>
      </c>
      <c r="G8" s="1487">
        <v>0</v>
      </c>
      <c r="H8" s="1487">
        <v>0</v>
      </c>
      <c r="I8" s="1487">
        <v>0</v>
      </c>
      <c r="J8" s="1487">
        <v>0</v>
      </c>
      <c r="K8" s="1487">
        <v>0</v>
      </c>
      <c r="L8" s="1487">
        <v>0</v>
      </c>
      <c r="M8" s="1487">
        <v>0</v>
      </c>
      <c r="N8" s="1485">
        <v>0</v>
      </c>
      <c r="O8" s="1478">
        <v>0</v>
      </c>
      <c r="P8" s="1478">
        <v>0</v>
      </c>
      <c r="Q8" s="1478">
        <v>0</v>
      </c>
      <c r="R8" s="1478">
        <v>0</v>
      </c>
    </row>
    <row r="9" spans="1:32" ht="15.75" thickBot="1">
      <c r="A9" s="1493" t="s">
        <v>14119</v>
      </c>
      <c r="B9" s="1494">
        <v>40.65</v>
      </c>
      <c r="C9" s="1495">
        <v>42.7</v>
      </c>
      <c r="D9" s="1495">
        <v>46.300000000000004</v>
      </c>
      <c r="E9" s="1495">
        <v>47.800000000000004</v>
      </c>
      <c r="F9" s="1495">
        <v>70.2</v>
      </c>
      <c r="G9" s="1495">
        <v>95.9</v>
      </c>
      <c r="H9" s="1495">
        <v>111.89999999999999</v>
      </c>
      <c r="I9" s="1495">
        <v>115.29999999999998</v>
      </c>
      <c r="J9" s="1495">
        <v>127.9</v>
      </c>
      <c r="K9" s="1495">
        <v>117.60000000000002</v>
      </c>
      <c r="L9" s="1495">
        <v>137.5</v>
      </c>
      <c r="M9" s="1495">
        <v>150.29999999999998</v>
      </c>
      <c r="N9" s="1496">
        <v>158.5</v>
      </c>
      <c r="O9" s="1497">
        <v>163.675918</v>
      </c>
      <c r="P9" s="1497">
        <v>170.6564295</v>
      </c>
      <c r="Q9" s="1497">
        <v>175.64507550000002</v>
      </c>
      <c r="R9" s="1497">
        <v>177</v>
      </c>
      <c r="S9" s="1498">
        <v>177</v>
      </c>
      <c r="T9" s="1497">
        <v>177</v>
      </c>
      <c r="U9" s="1497">
        <v>177</v>
      </c>
      <c r="V9" s="1497">
        <v>177</v>
      </c>
      <c r="W9" s="1497">
        <v>177</v>
      </c>
      <c r="X9" s="1497">
        <v>177</v>
      </c>
      <c r="Y9" s="1497">
        <v>177</v>
      </c>
      <c r="Z9" s="1497">
        <v>177</v>
      </c>
      <c r="AA9" s="1497">
        <v>177</v>
      </c>
      <c r="AB9" s="1497">
        <v>177</v>
      </c>
      <c r="AC9" s="1497">
        <v>177</v>
      </c>
      <c r="AD9" s="1497">
        <v>177</v>
      </c>
      <c r="AE9" s="1497">
        <v>177</v>
      </c>
    </row>
    <row r="10" spans="1:32" ht="15.75" thickTop="1">
      <c r="B10" s="1486"/>
      <c r="C10" s="1487"/>
      <c r="D10" s="1487"/>
      <c r="E10" s="1487"/>
      <c r="F10" s="1487"/>
      <c r="G10" s="1487"/>
      <c r="H10" s="1487"/>
      <c r="I10" s="1487"/>
      <c r="J10" s="1487"/>
      <c r="K10" s="1487"/>
      <c r="L10" s="1487"/>
      <c r="M10" s="1487"/>
      <c r="N10" s="1485"/>
    </row>
    <row r="11" spans="1:32">
      <c r="A11" s="1478" t="s">
        <v>14120</v>
      </c>
      <c r="B11" s="1486">
        <v>0</v>
      </c>
      <c r="C11" s="1487">
        <v>0</v>
      </c>
      <c r="D11" s="1487">
        <v>0</v>
      </c>
      <c r="E11" s="1487">
        <v>0</v>
      </c>
      <c r="F11" s="1492">
        <v>27.7</v>
      </c>
      <c r="G11" s="1492">
        <v>48.3</v>
      </c>
      <c r="H11" s="1492">
        <v>59.5</v>
      </c>
      <c r="I11" s="1492">
        <v>58.600000000000009</v>
      </c>
      <c r="J11" s="1492">
        <v>71.400000000000006</v>
      </c>
      <c r="K11" s="1492">
        <v>56.2</v>
      </c>
      <c r="L11" s="1492">
        <v>78.099999999999994</v>
      </c>
      <c r="M11" s="1492">
        <v>86.100000000000009</v>
      </c>
      <c r="N11" s="1499">
        <v>99.399999999999991</v>
      </c>
      <c r="O11" s="1500">
        <v>99</v>
      </c>
      <c r="P11" s="1500">
        <v>99.084356499999998</v>
      </c>
      <c r="Q11" s="1500">
        <v>101.8810285</v>
      </c>
      <c r="R11" s="1500">
        <v>103.2671685</v>
      </c>
      <c r="S11" s="1501">
        <v>103.50101000000001</v>
      </c>
      <c r="T11" s="1500">
        <v>103.3431315</v>
      </c>
      <c r="U11" s="1500">
        <v>102.92763450000001</v>
      </c>
      <c r="V11" s="1500">
        <v>103.1319915</v>
      </c>
      <c r="W11" s="1500">
        <v>103.22834700000001</v>
      </c>
      <c r="X11" s="1500">
        <v>102.894738</v>
      </c>
      <c r="Y11" s="1500">
        <v>102.894738</v>
      </c>
      <c r="Z11" s="1500">
        <v>102.894738</v>
      </c>
      <c r="AA11" s="1500">
        <v>102.894738</v>
      </c>
      <c r="AB11" s="1500">
        <v>102.894738</v>
      </c>
      <c r="AC11" s="1500">
        <v>102.894738</v>
      </c>
      <c r="AD11" s="1500">
        <v>102.894738</v>
      </c>
      <c r="AE11" s="1500">
        <v>102.9</v>
      </c>
    </row>
    <row r="12" spans="1:32">
      <c r="A12" s="1478" t="s">
        <v>14121</v>
      </c>
      <c r="B12" s="1491">
        <v>40.65</v>
      </c>
      <c r="C12" s="1487">
        <v>42.7</v>
      </c>
      <c r="D12" s="1487">
        <v>46.29999999999999</v>
      </c>
      <c r="E12" s="1487">
        <v>47.800000000000004</v>
      </c>
      <c r="F12" s="1487">
        <v>42.5</v>
      </c>
      <c r="G12" s="1487">
        <v>47.600000000000009</v>
      </c>
      <c r="H12" s="1487">
        <v>52.399999999999991</v>
      </c>
      <c r="I12" s="1487">
        <v>56.699999999999996</v>
      </c>
      <c r="J12" s="1487">
        <v>56.499999999999993</v>
      </c>
      <c r="K12" s="1487">
        <v>61.399999999999991</v>
      </c>
      <c r="L12" s="1487">
        <v>59.4</v>
      </c>
      <c r="M12" s="1487">
        <v>64.2</v>
      </c>
      <c r="N12" s="1488">
        <v>59.099999999999994</v>
      </c>
      <c r="O12" s="1489">
        <v>64.7</v>
      </c>
      <c r="P12" s="1489">
        <v>71.572073000000003</v>
      </c>
      <c r="Q12" s="1489">
        <v>73.764047000000005</v>
      </c>
      <c r="R12" s="1489">
        <v>73.732831500000003</v>
      </c>
      <c r="S12" s="1490">
        <v>73.498989999999992</v>
      </c>
      <c r="T12" s="1489">
        <v>73.656868500000002</v>
      </c>
      <c r="U12" s="1489">
        <v>74.072365499999989</v>
      </c>
      <c r="V12" s="1489">
        <v>73.868008500000002</v>
      </c>
      <c r="W12" s="1489">
        <v>73.771652999999986</v>
      </c>
      <c r="X12" s="1489">
        <v>74.105261999999996</v>
      </c>
      <c r="Y12" s="1489">
        <v>74.105261999999996</v>
      </c>
      <c r="Z12" s="1489">
        <v>74.105261999999996</v>
      </c>
      <c r="AA12" s="1489">
        <v>74.105261999999996</v>
      </c>
      <c r="AB12" s="1489">
        <v>74.105261999999996</v>
      </c>
      <c r="AC12" s="1489">
        <v>74.105261999999996</v>
      </c>
      <c r="AD12" s="1489">
        <v>74.105261999999996</v>
      </c>
      <c r="AE12" s="1489">
        <v>74.099999999999994</v>
      </c>
    </row>
    <row r="13" spans="1:32" ht="15.75" thickBot="1">
      <c r="A13" s="1493" t="s">
        <v>14122</v>
      </c>
      <c r="B13" s="1502">
        <v>40.65</v>
      </c>
      <c r="C13" s="1503">
        <v>42.7</v>
      </c>
      <c r="D13" s="1503">
        <v>46.29999999999999</v>
      </c>
      <c r="E13" s="1503">
        <v>47.800000000000004</v>
      </c>
      <c r="F13" s="1503">
        <v>70.2</v>
      </c>
      <c r="G13" s="1503">
        <v>95.9</v>
      </c>
      <c r="H13" s="1503">
        <v>111.89999999999999</v>
      </c>
      <c r="I13" s="1503">
        <v>115.30000000000001</v>
      </c>
      <c r="J13" s="1503">
        <v>127.9</v>
      </c>
      <c r="K13" s="1503">
        <v>117.6</v>
      </c>
      <c r="L13" s="1503">
        <v>137.5</v>
      </c>
      <c r="M13" s="1504">
        <v>150.30000000000001</v>
      </c>
      <c r="N13" s="1505">
        <v>158.5</v>
      </c>
      <c r="O13" s="1497">
        <v>163.675918</v>
      </c>
      <c r="P13" s="1497">
        <v>170.6564295</v>
      </c>
      <c r="Q13" s="1497">
        <v>175.64507550000002</v>
      </c>
      <c r="R13" s="1497">
        <v>177</v>
      </c>
      <c r="S13" s="1498">
        <v>177</v>
      </c>
      <c r="T13" s="1497">
        <v>177</v>
      </c>
      <c r="U13" s="1497">
        <v>177</v>
      </c>
      <c r="V13" s="1497">
        <v>177</v>
      </c>
      <c r="W13" s="1497">
        <v>177</v>
      </c>
      <c r="X13" s="1497">
        <v>177</v>
      </c>
      <c r="Y13" s="1497">
        <v>177</v>
      </c>
      <c r="Z13" s="1497">
        <v>177</v>
      </c>
      <c r="AA13" s="1497">
        <v>177</v>
      </c>
      <c r="AB13" s="1497">
        <v>177</v>
      </c>
      <c r="AC13" s="1497">
        <v>177</v>
      </c>
      <c r="AD13" s="1497">
        <v>177</v>
      </c>
      <c r="AE13" s="1497">
        <v>177</v>
      </c>
    </row>
    <row r="14" spans="1:32" ht="15.75" thickTop="1">
      <c r="N14" s="1506"/>
      <c r="X14" s="1506" t="s">
        <v>162</v>
      </c>
    </row>
    <row r="15" spans="1:32">
      <c r="A15" s="1507"/>
      <c r="B15" s="1507"/>
      <c r="C15" s="1507"/>
      <c r="D15" s="1507"/>
    </row>
    <row r="16" spans="1:32">
      <c r="A16" s="1480" t="s">
        <v>14123</v>
      </c>
      <c r="B16" s="1480"/>
      <c r="C16" s="1480"/>
      <c r="D16" s="1480"/>
      <c r="E16" s="1480"/>
      <c r="F16" s="1508">
        <v>12.383529411764705</v>
      </c>
      <c r="G16" s="1508">
        <v>18.405658716375999</v>
      </c>
      <c r="H16" s="1508">
        <v>19.814608602355751</v>
      </c>
      <c r="I16" s="1508">
        <v>24.386509827722719</v>
      </c>
      <c r="J16" s="1508">
        <v>30.95831846085872</v>
      </c>
      <c r="K16" s="1508">
        <v>29.277743797845172</v>
      </c>
      <c r="L16" s="1508">
        <v>34.29203757777271</v>
      </c>
      <c r="M16" s="1508">
        <v>49.367247748161347</v>
      </c>
      <c r="N16" s="1509">
        <v>55.426891201513719</v>
      </c>
      <c r="O16" s="1510">
        <v>47</v>
      </c>
      <c r="P16" s="1510">
        <v>44.203977999999999</v>
      </c>
      <c r="Q16" s="1510">
        <v>44.482379999999999</v>
      </c>
      <c r="R16" s="1510">
        <v>44.482379999999999</v>
      </c>
      <c r="S16" s="1511">
        <v>44.482379999999999</v>
      </c>
      <c r="T16" s="1510">
        <v>44.482379999999999</v>
      </c>
      <c r="U16" s="1510">
        <v>44.203978499999998</v>
      </c>
      <c r="V16" s="1510">
        <v>44.203978499999998</v>
      </c>
      <c r="W16" s="1510">
        <v>44.482379999999999</v>
      </c>
      <c r="X16" s="1510">
        <v>44.482379999999999</v>
      </c>
      <c r="Y16" s="1510">
        <v>44.482379999999999</v>
      </c>
      <c r="Z16" s="1510">
        <v>44.482379999999999</v>
      </c>
      <c r="AA16" s="1510">
        <v>44.482379999999999</v>
      </c>
      <c r="AB16" s="1510">
        <v>44.482379999999999</v>
      </c>
      <c r="AC16" s="1510">
        <v>44.482379999999999</v>
      </c>
      <c r="AD16" s="1510">
        <v>44.482379999999999</v>
      </c>
      <c r="AE16" s="1510">
        <v>44.5</v>
      </c>
    </row>
    <row r="17" spans="1:31">
      <c r="A17" s="1512" t="s">
        <v>14124</v>
      </c>
      <c r="B17" s="1512"/>
      <c r="C17" s="1512"/>
      <c r="D17" s="1512"/>
      <c r="F17" s="1513">
        <v>12.383529411764705</v>
      </c>
      <c r="G17" s="1513">
        <v>18.405658716375999</v>
      </c>
      <c r="H17" s="1513">
        <v>19.814608602355751</v>
      </c>
      <c r="I17" s="1513">
        <v>24.386509827722719</v>
      </c>
      <c r="J17" s="1513">
        <v>30.95831846085872</v>
      </c>
      <c r="K17" s="1513">
        <v>29.277743797845172</v>
      </c>
      <c r="L17" s="1513">
        <v>25.692037577772709</v>
      </c>
      <c r="M17" s="1513">
        <v>29.214455771339416</v>
      </c>
      <c r="N17" s="1513">
        <v>35.843917628508351</v>
      </c>
      <c r="O17" s="1513">
        <v>27</v>
      </c>
      <c r="P17" s="1513">
        <v>24.203977999999999</v>
      </c>
      <c r="Q17" s="1513">
        <v>24.482379999999999</v>
      </c>
      <c r="R17" s="1513">
        <v>24.482379999999999</v>
      </c>
      <c r="S17" s="1514">
        <v>24.482379999999999</v>
      </c>
      <c r="T17" s="1513">
        <v>24.482379999999999</v>
      </c>
      <c r="U17" s="1513">
        <v>24.203978499999998</v>
      </c>
      <c r="V17" s="1513">
        <v>24.203978499999998</v>
      </c>
      <c r="W17" s="1513">
        <v>24.482379999999999</v>
      </c>
      <c r="X17" s="1513">
        <v>24.482379999999999</v>
      </c>
      <c r="Y17" s="1513">
        <v>24.482379999999999</v>
      </c>
      <c r="Z17" s="1513">
        <v>24.482379999999999</v>
      </c>
      <c r="AA17" s="1513">
        <v>24.482379999999999</v>
      </c>
      <c r="AB17" s="1513">
        <v>24.482379999999999</v>
      </c>
      <c r="AC17" s="1513">
        <v>24.482379999999999</v>
      </c>
      <c r="AD17" s="1513">
        <v>24.482379999999999</v>
      </c>
      <c r="AE17" s="1513">
        <v>24.5</v>
      </c>
    </row>
    <row r="18" spans="1:31">
      <c r="A18" s="1512" t="s">
        <v>14125</v>
      </c>
      <c r="B18" s="1512"/>
      <c r="C18" s="1512"/>
      <c r="D18" s="1512"/>
      <c r="F18" s="1513">
        <v>0</v>
      </c>
      <c r="G18" s="1513">
        <v>0</v>
      </c>
      <c r="H18" s="1513">
        <v>0</v>
      </c>
      <c r="I18" s="1513">
        <v>0</v>
      </c>
      <c r="J18" s="1513">
        <v>0</v>
      </c>
      <c r="K18" s="1513">
        <v>0</v>
      </c>
      <c r="L18" s="1513">
        <v>8.6</v>
      </c>
      <c r="M18" s="1513">
        <v>17.399999999999999</v>
      </c>
      <c r="N18" s="1515">
        <v>17.899999999999999</v>
      </c>
      <c r="O18" s="1513">
        <v>20</v>
      </c>
      <c r="P18" s="1513">
        <v>20</v>
      </c>
      <c r="Q18" s="1513">
        <v>20</v>
      </c>
      <c r="R18" s="1513">
        <v>20</v>
      </c>
      <c r="S18" s="1514">
        <v>20</v>
      </c>
      <c r="T18" s="1513">
        <v>20</v>
      </c>
      <c r="U18" s="1513">
        <v>20</v>
      </c>
      <c r="V18" s="1513">
        <v>20</v>
      </c>
      <c r="W18" s="1513">
        <v>20</v>
      </c>
      <c r="X18" s="1513">
        <v>20</v>
      </c>
      <c r="Y18" s="1513">
        <v>20</v>
      </c>
      <c r="Z18" s="1513">
        <v>20</v>
      </c>
      <c r="AA18" s="1513">
        <v>20</v>
      </c>
      <c r="AB18" s="1513">
        <v>20</v>
      </c>
      <c r="AC18" s="1513">
        <v>20</v>
      </c>
      <c r="AD18" s="1513">
        <v>20</v>
      </c>
      <c r="AE18" s="1513">
        <v>20</v>
      </c>
    </row>
    <row r="19" spans="1:31">
      <c r="A19" s="1480" t="s">
        <v>14126</v>
      </c>
      <c r="B19" s="1480"/>
      <c r="C19" s="1480"/>
      <c r="D19" s="1480"/>
      <c r="E19" s="1480"/>
      <c r="F19" s="1508">
        <v>0</v>
      </c>
      <c r="G19" s="1508">
        <v>0</v>
      </c>
      <c r="H19" s="1508">
        <v>0</v>
      </c>
      <c r="I19" s="1508">
        <v>0</v>
      </c>
      <c r="J19" s="1508">
        <v>0</v>
      </c>
      <c r="K19" s="1508">
        <v>0</v>
      </c>
      <c r="L19" s="1508">
        <v>0</v>
      </c>
      <c r="M19" s="1508">
        <v>0</v>
      </c>
      <c r="N19" s="1508">
        <v>0.4</v>
      </c>
      <c r="O19" s="1510">
        <v>8.3303775000000009</v>
      </c>
      <c r="P19" s="1510">
        <v>10.911993500000001</v>
      </c>
      <c r="Q19" s="1510">
        <v>10.912750000000001</v>
      </c>
      <c r="R19" s="1510">
        <v>10.912750000000001</v>
      </c>
      <c r="S19" s="1511">
        <v>10.912750000000001</v>
      </c>
      <c r="T19" s="1510">
        <v>10.912750000000001</v>
      </c>
      <c r="U19" s="1510">
        <v>10.912750000000001</v>
      </c>
      <c r="V19" s="1510">
        <v>10.912750000000001</v>
      </c>
      <c r="W19" s="1510">
        <v>10.912750000000001</v>
      </c>
      <c r="X19" s="1510">
        <v>10.912750000000001</v>
      </c>
      <c r="Y19" s="1510">
        <v>10.912750000000001</v>
      </c>
      <c r="Z19" s="1510">
        <v>10.912750000000001</v>
      </c>
      <c r="AA19" s="1510">
        <v>10.912750000000001</v>
      </c>
      <c r="AB19" s="1510">
        <v>10.912750000000001</v>
      </c>
      <c r="AC19" s="1510">
        <v>10.912750000000001</v>
      </c>
      <c r="AD19" s="1510">
        <v>10.912750000000001</v>
      </c>
      <c r="AE19" s="1510">
        <v>10.9</v>
      </c>
    </row>
    <row r="20" spans="1:31">
      <c r="A20" s="1512" t="s">
        <v>14127</v>
      </c>
      <c r="B20" s="1512"/>
      <c r="C20" s="1512"/>
      <c r="D20" s="1512"/>
      <c r="F20" s="1513">
        <v>0</v>
      </c>
      <c r="G20" s="1513">
        <v>0</v>
      </c>
      <c r="H20" s="1513">
        <v>0</v>
      </c>
      <c r="I20" s="1513">
        <v>0</v>
      </c>
      <c r="J20" s="1513">
        <v>0</v>
      </c>
      <c r="K20" s="1513">
        <v>0</v>
      </c>
      <c r="L20" s="1513">
        <v>0</v>
      </c>
      <c r="M20" s="1513">
        <v>0</v>
      </c>
      <c r="N20" s="1513">
        <v>0.4</v>
      </c>
      <c r="O20" s="1513">
        <v>8.3303775000000009</v>
      </c>
      <c r="P20" s="1513">
        <v>10.911993500000001</v>
      </c>
      <c r="Q20" s="1513">
        <v>10.912750000000001</v>
      </c>
      <c r="R20" s="1513">
        <v>10.912750000000001</v>
      </c>
      <c r="S20" s="1514">
        <v>10.912750000000001</v>
      </c>
      <c r="T20" s="1513">
        <v>10.912750000000001</v>
      </c>
      <c r="U20" s="1513">
        <v>10.912750000000001</v>
      </c>
      <c r="V20" s="1513">
        <v>10.912750000000001</v>
      </c>
      <c r="W20" s="1513">
        <v>10.912750000000001</v>
      </c>
      <c r="X20" s="1513">
        <v>10.912750000000001</v>
      </c>
      <c r="Y20" s="1513">
        <v>10.912750000000001</v>
      </c>
      <c r="Z20" s="1513">
        <v>10.912750000000001</v>
      </c>
      <c r="AA20" s="1513">
        <v>10.912750000000001</v>
      </c>
      <c r="AB20" s="1513">
        <v>10.912750000000001</v>
      </c>
      <c r="AC20" s="1513">
        <v>10.912750000000001</v>
      </c>
      <c r="AD20" s="1513">
        <v>10.912750000000001</v>
      </c>
      <c r="AE20" s="1513">
        <v>10.9</v>
      </c>
    </row>
    <row r="21" spans="1:31">
      <c r="A21" s="1480" t="s">
        <v>14128</v>
      </c>
      <c r="B21" s="1480"/>
      <c r="C21" s="1480"/>
      <c r="D21" s="1480"/>
      <c r="F21" s="1508">
        <v>15.316470588235294</v>
      </c>
      <c r="G21" s="1508">
        <v>29.894341283623994</v>
      </c>
      <c r="H21" s="1508">
        <v>39.685391397644246</v>
      </c>
      <c r="I21" s="1508">
        <v>34.213490172277268</v>
      </c>
      <c r="J21" s="1508">
        <v>40.441681539141271</v>
      </c>
      <c r="K21" s="1508">
        <v>26.92225620215482</v>
      </c>
      <c r="L21" s="1508">
        <v>43.807962422227291</v>
      </c>
      <c r="M21" s="1508">
        <v>36.732752251838662</v>
      </c>
      <c r="N21" s="1508">
        <v>43.6</v>
      </c>
      <c r="O21" s="1508">
        <v>43.7</v>
      </c>
      <c r="P21" s="1508">
        <v>43.968384999999998</v>
      </c>
      <c r="Q21" s="1508">
        <v>46.485898500000005</v>
      </c>
      <c r="R21" s="1508">
        <v>47.872038500000002</v>
      </c>
      <c r="S21" s="1516">
        <v>48.105879999999999</v>
      </c>
      <c r="T21" s="1508">
        <v>47.948001500000004</v>
      </c>
      <c r="U21" s="1508">
        <v>47.810906000000003</v>
      </c>
      <c r="V21" s="1508">
        <v>48.015263000000004</v>
      </c>
      <c r="W21" s="1508">
        <v>47.833217000000005</v>
      </c>
      <c r="X21" s="1508">
        <v>47.499608000000002</v>
      </c>
      <c r="Y21" s="1508">
        <v>47.499608000000002</v>
      </c>
      <c r="Z21" s="1508">
        <v>47.499608000000002</v>
      </c>
      <c r="AA21" s="1508">
        <v>47.499608000000002</v>
      </c>
      <c r="AB21" s="1508">
        <v>47.499608000000002</v>
      </c>
      <c r="AC21" s="1508">
        <v>47.499608000000002</v>
      </c>
      <c r="AD21" s="1508">
        <v>47.499608000000002</v>
      </c>
      <c r="AE21" s="1508">
        <v>47.5</v>
      </c>
    </row>
    <row r="22" spans="1:31">
      <c r="A22" s="1512" t="s">
        <v>14129</v>
      </c>
      <c r="B22" s="1512"/>
      <c r="C22" s="1512"/>
      <c r="D22" s="1512"/>
      <c r="F22" s="1513">
        <v>15.316470588235294</v>
      </c>
      <c r="G22" s="1513">
        <v>29.894341283623994</v>
      </c>
      <c r="H22" s="1513">
        <v>39.685391397644246</v>
      </c>
      <c r="I22" s="1513">
        <v>34.213490172277268</v>
      </c>
      <c r="J22" s="1513">
        <v>40.441681539141271</v>
      </c>
      <c r="K22" s="1513">
        <v>26.92225620215482</v>
      </c>
      <c r="L22" s="1513">
        <v>43.807962422227291</v>
      </c>
      <c r="M22" s="1513">
        <v>36.732752251838647</v>
      </c>
      <c r="N22" s="1513">
        <v>43.6</v>
      </c>
      <c r="O22" s="1513">
        <v>43.7</v>
      </c>
      <c r="P22" s="1513">
        <v>43.968384999999998</v>
      </c>
      <c r="Q22" s="1513">
        <v>46.485898500000005</v>
      </c>
      <c r="R22" s="1513">
        <v>47.872038500000002</v>
      </c>
      <c r="S22" s="1514">
        <v>48.105879999999999</v>
      </c>
      <c r="T22" s="1513">
        <v>47.948001500000004</v>
      </c>
      <c r="U22" s="1513">
        <v>47.810906000000003</v>
      </c>
      <c r="V22" s="1513">
        <v>48.015263000000004</v>
      </c>
      <c r="W22" s="1513">
        <v>47.833217000000005</v>
      </c>
      <c r="X22" s="1513">
        <v>47.499608000000002</v>
      </c>
      <c r="Y22" s="1513">
        <v>47.499608000000002</v>
      </c>
      <c r="Z22" s="1513">
        <v>47.499608000000002</v>
      </c>
      <c r="AA22" s="1513">
        <v>47.499608000000002</v>
      </c>
      <c r="AB22" s="1513">
        <v>47.499608000000002</v>
      </c>
      <c r="AC22" s="1513">
        <v>47.499608000000002</v>
      </c>
      <c r="AD22" s="1513">
        <v>47.499608000000002</v>
      </c>
      <c r="AE22" s="1513">
        <v>47.5</v>
      </c>
    </row>
    <row r="23" spans="1:31">
      <c r="A23" s="1507"/>
      <c r="S23" s="1478"/>
    </row>
    <row r="24" spans="1:31">
      <c r="A24" s="1507"/>
      <c r="K24" s="1513" t="s">
        <v>162</v>
      </c>
      <c r="L24" s="1513" t="s">
        <v>162</v>
      </c>
      <c r="M24" s="1513" t="s">
        <v>162</v>
      </c>
      <c r="N24" s="1513" t="s">
        <v>162</v>
      </c>
      <c r="O24" s="1513" t="s">
        <v>162</v>
      </c>
      <c r="S24" s="1478"/>
      <c r="AB24" s="1517" t="s">
        <v>162</v>
      </c>
    </row>
    <row r="25" spans="1:31">
      <c r="A25" s="1507" t="s">
        <v>14130</v>
      </c>
      <c r="S25" s="1478"/>
    </row>
    <row r="26" spans="1:31">
      <c r="S26" s="1478"/>
    </row>
    <row r="27" spans="1:31">
      <c r="A27" s="1478" t="s">
        <v>14131</v>
      </c>
      <c r="S27" s="1478"/>
    </row>
    <row r="28" spans="1:31">
      <c r="A28" s="1478" t="s">
        <v>14132</v>
      </c>
      <c r="S28" s="1478"/>
    </row>
    <row r="29" spans="1:31">
      <c r="A29" s="1478" t="s">
        <v>14133</v>
      </c>
      <c r="S29" s="1478"/>
    </row>
    <row r="30" spans="1:31">
      <c r="A30" s="1478" t="s">
        <v>14134</v>
      </c>
      <c r="S30" s="1478"/>
    </row>
    <row r="31" spans="1:31">
      <c r="A31" s="1478" t="s">
        <v>14135</v>
      </c>
      <c r="S31" s="1478"/>
    </row>
    <row r="32" spans="1:31">
      <c r="A32" s="1478" t="s">
        <v>14136</v>
      </c>
      <c r="S32" s="1478"/>
    </row>
    <row r="33" spans="1:31">
      <c r="A33" s="1478" t="s">
        <v>14137</v>
      </c>
      <c r="S33" s="1478"/>
    </row>
    <row r="34" spans="1:31">
      <c r="S34" s="1478"/>
    </row>
    <row r="35" spans="1:31" s="1518" customFormat="1"/>
    <row r="36" spans="1:31" s="1518" customFormat="1" ht="15.75">
      <c r="A36" s="1519" t="s">
        <v>14138</v>
      </c>
      <c r="S36" s="1520" t="s">
        <v>14139</v>
      </c>
    </row>
    <row r="37" spans="1:31">
      <c r="S37" s="1478"/>
    </row>
    <row r="38" spans="1:31">
      <c r="A38" s="1507" t="s">
        <v>14140</v>
      </c>
      <c r="B38" s="1478" t="s">
        <v>14141</v>
      </c>
      <c r="S38" s="1513">
        <f>S83*$B$70*$B$67</f>
        <v>191.2568</v>
      </c>
    </row>
    <row r="39" spans="1:31">
      <c r="A39" s="1507" t="s">
        <v>14142</v>
      </c>
      <c r="B39" s="1478" t="s">
        <v>14141</v>
      </c>
      <c r="S39" s="1513">
        <f>S84*$B$70*$B$67</f>
        <v>26.633599999999998</v>
      </c>
    </row>
    <row r="40" spans="1:31">
      <c r="A40" s="1507" t="s">
        <v>14143</v>
      </c>
      <c r="C40" s="1507"/>
      <c r="D40" s="1507"/>
      <c r="F40" s="1508"/>
      <c r="G40" s="1508"/>
      <c r="H40" s="1508"/>
      <c r="I40" s="1508"/>
      <c r="J40" s="1508"/>
      <c r="K40" s="1508"/>
      <c r="L40" s="1508"/>
      <c r="M40" s="1508"/>
      <c r="N40" s="1508"/>
      <c r="O40" s="1508"/>
      <c r="P40" s="1508"/>
      <c r="Q40" s="1508"/>
      <c r="R40" s="1508"/>
      <c r="S40" s="1508"/>
      <c r="T40" s="1508"/>
      <c r="U40" s="1508"/>
      <c r="V40" s="1508"/>
      <c r="W40" s="1508"/>
      <c r="X40" s="1508"/>
      <c r="Y40" s="1508"/>
      <c r="Z40" s="1508"/>
      <c r="AA40" s="1508"/>
      <c r="AB40" s="1508"/>
      <c r="AC40" s="1508"/>
      <c r="AD40" s="1508"/>
      <c r="AE40" s="1508"/>
    </row>
    <row r="41" spans="1:31">
      <c r="A41" s="1512" t="s">
        <v>14144</v>
      </c>
      <c r="B41" s="1478" t="s">
        <v>14141</v>
      </c>
      <c r="S41" s="1513">
        <f>S89*$B$70*$B$67</f>
        <v>26.7484</v>
      </c>
    </row>
    <row r="42" spans="1:31">
      <c r="A42" s="1512" t="s">
        <v>14145</v>
      </c>
      <c r="B42" s="1478" t="s">
        <v>14141</v>
      </c>
      <c r="S42" s="1513">
        <f>S90*$B$70*$B$67</f>
        <v>38.458000000000006</v>
      </c>
    </row>
    <row r="43" spans="1:31">
      <c r="S43" s="1513"/>
    </row>
    <row r="44" spans="1:31">
      <c r="A44" s="1507" t="s">
        <v>14120</v>
      </c>
      <c r="S44" s="1513"/>
    </row>
    <row r="45" spans="1:31">
      <c r="A45" s="1478" t="s">
        <v>14146</v>
      </c>
      <c r="B45" s="1478" t="s">
        <v>14141</v>
      </c>
      <c r="S45" s="1513">
        <f>S85*$B$70*$B$67</f>
        <v>34.095599999999997</v>
      </c>
    </row>
    <row r="46" spans="1:31">
      <c r="A46" s="1478" t="s">
        <v>14147</v>
      </c>
      <c r="B46" s="1478" t="s">
        <v>14141</v>
      </c>
      <c r="S46" s="1513">
        <f>S86*$B$70*$B$67</f>
        <v>40.8688</v>
      </c>
    </row>
    <row r="47" spans="1:31">
      <c r="A47" s="1478" t="s">
        <v>14148</v>
      </c>
      <c r="B47" s="1478" t="s">
        <v>14141</v>
      </c>
      <c r="S47" s="1513">
        <f>S87*$B$70*$B$67</f>
        <v>51.200800000000008</v>
      </c>
    </row>
    <row r="48" spans="1:31">
      <c r="S48" s="1513"/>
    </row>
    <row r="49" spans="1:31">
      <c r="A49" s="1521" t="s">
        <v>14149</v>
      </c>
      <c r="S49" s="1508">
        <f>SUM(S45:S47)</f>
        <v>126.1652</v>
      </c>
      <c r="T49" s="1508"/>
    </row>
    <row r="50" spans="1:31">
      <c r="A50" s="1507" t="s">
        <v>14150</v>
      </c>
      <c r="B50" s="1507"/>
      <c r="C50" s="1507"/>
      <c r="D50" s="1507"/>
      <c r="F50" s="1522">
        <f t="shared" ref="F50:AE50" si="0">SUM(F16,F19,F21)</f>
        <v>27.7</v>
      </c>
      <c r="G50" s="1522">
        <f t="shared" si="0"/>
        <v>48.3</v>
      </c>
      <c r="H50" s="1522">
        <f t="shared" si="0"/>
        <v>59.5</v>
      </c>
      <c r="I50" s="1522">
        <f t="shared" si="0"/>
        <v>58.599999999999987</v>
      </c>
      <c r="J50" s="1522">
        <f t="shared" si="0"/>
        <v>71.399999999999991</v>
      </c>
      <c r="K50" s="1522">
        <f t="shared" si="0"/>
        <v>56.199999999999989</v>
      </c>
      <c r="L50" s="1522">
        <f t="shared" si="0"/>
        <v>78.099999999999994</v>
      </c>
      <c r="M50" s="1522">
        <f t="shared" si="0"/>
        <v>86.100000000000009</v>
      </c>
      <c r="N50" s="1522">
        <f t="shared" si="0"/>
        <v>99.426891201513712</v>
      </c>
      <c r="O50" s="1513">
        <f t="shared" si="0"/>
        <v>99.0303775</v>
      </c>
      <c r="P50" s="1513">
        <f t="shared" si="0"/>
        <v>99.084356499999998</v>
      </c>
      <c r="Q50" s="1513">
        <f t="shared" si="0"/>
        <v>101.88102850000001</v>
      </c>
      <c r="R50" s="1513">
        <f t="shared" si="0"/>
        <v>103.2671685</v>
      </c>
      <c r="S50" s="1514">
        <f t="shared" si="0"/>
        <v>103.50101000000001</v>
      </c>
      <c r="T50" s="1513">
        <f t="shared" si="0"/>
        <v>103.3431315</v>
      </c>
      <c r="U50" s="1513">
        <f t="shared" si="0"/>
        <v>102.92763450000001</v>
      </c>
      <c r="V50" s="1513">
        <f t="shared" si="0"/>
        <v>103.1319915</v>
      </c>
      <c r="W50" s="1513">
        <f t="shared" si="0"/>
        <v>103.22834700000001</v>
      </c>
      <c r="X50" s="1513">
        <f t="shared" si="0"/>
        <v>102.894738</v>
      </c>
      <c r="Y50" s="1513">
        <f t="shared" si="0"/>
        <v>102.894738</v>
      </c>
      <c r="Z50" s="1513">
        <f t="shared" si="0"/>
        <v>102.894738</v>
      </c>
      <c r="AA50" s="1513">
        <f t="shared" si="0"/>
        <v>102.894738</v>
      </c>
      <c r="AB50" s="1513">
        <f t="shared" si="0"/>
        <v>102.894738</v>
      </c>
      <c r="AC50" s="1513">
        <f t="shared" si="0"/>
        <v>102.894738</v>
      </c>
      <c r="AD50" s="1513">
        <f t="shared" si="0"/>
        <v>102.894738</v>
      </c>
      <c r="AE50" s="1513">
        <f t="shared" si="0"/>
        <v>102.9</v>
      </c>
    </row>
    <row r="51" spans="1:31">
      <c r="S51" s="1478"/>
    </row>
    <row r="52" spans="1:31">
      <c r="A52" s="1480" t="s">
        <v>14123</v>
      </c>
      <c r="F52" s="1523">
        <f>F16/SUM(F$16,F$19,F$21)</f>
        <v>0.44705882352941173</v>
      </c>
      <c r="G52" s="1523">
        <f t="shared" ref="G52:AE52" si="1">G16/SUM(G$16,G$19,G$21)</f>
        <v>0.38106953864132503</v>
      </c>
      <c r="H52" s="1523">
        <f t="shared" si="1"/>
        <v>0.33301863197236559</v>
      </c>
      <c r="I52" s="1523">
        <f t="shared" si="1"/>
        <v>0.41615204484168472</v>
      </c>
      <c r="J52" s="1523">
        <f t="shared" si="1"/>
        <v>0.43358989440978607</v>
      </c>
      <c r="K52" s="1523">
        <f t="shared" si="1"/>
        <v>0.5209562953353235</v>
      </c>
      <c r="L52" s="1523">
        <f t="shared" si="1"/>
        <v>0.4390785861430565</v>
      </c>
      <c r="M52" s="1523">
        <f t="shared" si="1"/>
        <v>0.57337105398561372</v>
      </c>
      <c r="N52" s="1523">
        <f t="shared" si="1"/>
        <v>0.5574637860211995</v>
      </c>
      <c r="O52" s="1524">
        <f>O16/SUM(O$16,O$19,O$21)</f>
        <v>0.4746018462870143</v>
      </c>
      <c r="P52" s="1524">
        <f t="shared" si="1"/>
        <v>0.44612469174182912</v>
      </c>
      <c r="Q52" s="1524">
        <f t="shared" si="1"/>
        <v>0.43661102223756992</v>
      </c>
      <c r="R52" s="1524">
        <f t="shared" si="1"/>
        <v>0.43075045676303209</v>
      </c>
      <c r="S52" s="1525">
        <f t="shared" si="1"/>
        <v>0.42977725531374039</v>
      </c>
      <c r="T52" s="1524">
        <f t="shared" si="1"/>
        <v>0.43043383100888521</v>
      </c>
      <c r="U52" s="1524">
        <f t="shared" si="1"/>
        <v>0.42946657343028705</v>
      </c>
      <c r="V52" s="1524">
        <f t="shared" si="1"/>
        <v>0.4286155814221817</v>
      </c>
      <c r="W52" s="1524">
        <f t="shared" si="1"/>
        <v>0.43091245082128454</v>
      </c>
      <c r="X52" s="1524">
        <f t="shared" si="1"/>
        <v>0.43230957058270558</v>
      </c>
      <c r="Y52" s="1524">
        <f t="shared" si="1"/>
        <v>0.43230957058270558</v>
      </c>
      <c r="Z52" s="1524">
        <f t="shared" si="1"/>
        <v>0.43230957058270558</v>
      </c>
      <c r="AA52" s="1524">
        <f t="shared" si="1"/>
        <v>0.43230957058270558</v>
      </c>
      <c r="AB52" s="1524">
        <f t="shared" si="1"/>
        <v>0.43230957058270558</v>
      </c>
      <c r="AC52" s="1524">
        <f t="shared" si="1"/>
        <v>0.43230957058270558</v>
      </c>
      <c r="AD52" s="1524">
        <f t="shared" si="1"/>
        <v>0.43230957058270558</v>
      </c>
      <c r="AE52" s="1524">
        <f t="shared" si="1"/>
        <v>0.43245869776482021</v>
      </c>
    </row>
    <row r="53" spans="1:31">
      <c r="A53" s="1512" t="s">
        <v>14124</v>
      </c>
      <c r="F53" s="1526">
        <f>F17/F$16</f>
        <v>1</v>
      </c>
      <c r="G53" s="1526">
        <f t="shared" ref="G53:AE54" si="2">G17/G$16</f>
        <v>1</v>
      </c>
      <c r="H53" s="1526">
        <f t="shared" si="2"/>
        <v>1</v>
      </c>
      <c r="I53" s="1526">
        <f t="shared" si="2"/>
        <v>1</v>
      </c>
      <c r="J53" s="1526">
        <f t="shared" si="2"/>
        <v>1</v>
      </c>
      <c r="K53" s="1526">
        <f t="shared" si="2"/>
        <v>1</v>
      </c>
      <c r="L53" s="1526">
        <f t="shared" si="2"/>
        <v>0.74921291916540067</v>
      </c>
      <c r="M53" s="1526">
        <f t="shared" si="2"/>
        <v>0.59177809385631575</v>
      </c>
      <c r="N53" s="1526">
        <f t="shared" si="2"/>
        <v>0.64668822031154161</v>
      </c>
      <c r="O53" s="1527">
        <f t="shared" si="2"/>
        <v>0.57446808510638303</v>
      </c>
      <c r="P53" s="1527">
        <f t="shared" si="2"/>
        <v>0.54755203253426643</v>
      </c>
      <c r="Q53" s="1527">
        <f t="shared" si="2"/>
        <v>0.55038376993317351</v>
      </c>
      <c r="R53" s="1527">
        <f t="shared" si="2"/>
        <v>0.55038376993317351</v>
      </c>
      <c r="S53" s="1528">
        <f>S17/S$16</f>
        <v>0.55038376993317351</v>
      </c>
      <c r="T53" s="1527">
        <f t="shared" si="2"/>
        <v>0.55038376993317351</v>
      </c>
      <c r="U53" s="1527">
        <f t="shared" si="2"/>
        <v>0.54755203765199545</v>
      </c>
      <c r="V53" s="1527">
        <f t="shared" si="2"/>
        <v>0.54755203765199545</v>
      </c>
      <c r="W53" s="1527">
        <f t="shared" si="2"/>
        <v>0.55038376993317351</v>
      </c>
      <c r="X53" s="1527">
        <f t="shared" si="2"/>
        <v>0.55038376993317351</v>
      </c>
      <c r="Y53" s="1527">
        <f t="shared" si="2"/>
        <v>0.55038376993317351</v>
      </c>
      <c r="Z53" s="1527">
        <f t="shared" si="2"/>
        <v>0.55038376993317351</v>
      </c>
      <c r="AA53" s="1527">
        <f t="shared" si="2"/>
        <v>0.55038376993317351</v>
      </c>
      <c r="AB53" s="1527">
        <f t="shared" si="2"/>
        <v>0.55038376993317351</v>
      </c>
      <c r="AC53" s="1527">
        <f t="shared" si="2"/>
        <v>0.55038376993317351</v>
      </c>
      <c r="AD53" s="1527">
        <f t="shared" si="2"/>
        <v>0.55038376993317351</v>
      </c>
      <c r="AE53" s="1527">
        <f t="shared" si="2"/>
        <v>0.550561797752809</v>
      </c>
    </row>
    <row r="54" spans="1:31">
      <c r="A54" s="1512" t="s">
        <v>14125</v>
      </c>
      <c r="F54" s="1526">
        <f>F18/F$16</f>
        <v>0</v>
      </c>
      <c r="G54" s="1526">
        <f t="shared" si="2"/>
        <v>0</v>
      </c>
      <c r="H54" s="1526">
        <f t="shared" si="2"/>
        <v>0</v>
      </c>
      <c r="I54" s="1526">
        <f t="shared" si="2"/>
        <v>0</v>
      </c>
      <c r="J54" s="1526">
        <f t="shared" si="2"/>
        <v>0</v>
      </c>
      <c r="K54" s="1526">
        <f t="shared" si="2"/>
        <v>0</v>
      </c>
      <c r="L54" s="1526">
        <f t="shared" si="2"/>
        <v>0.25078708083459927</v>
      </c>
      <c r="M54" s="1526">
        <f t="shared" si="2"/>
        <v>0.35246040226433428</v>
      </c>
      <c r="N54" s="1526">
        <f t="shared" si="2"/>
        <v>0.3229479339716449</v>
      </c>
      <c r="O54" s="1527">
        <f t="shared" si="2"/>
        <v>0.42553191489361702</v>
      </c>
      <c r="P54" s="1527">
        <f t="shared" si="2"/>
        <v>0.45244796746573351</v>
      </c>
      <c r="Q54" s="1527">
        <f t="shared" si="2"/>
        <v>0.44961623006682649</v>
      </c>
      <c r="R54" s="1527">
        <f t="shared" si="2"/>
        <v>0.44961623006682649</v>
      </c>
      <c r="S54" s="1528">
        <f t="shared" si="2"/>
        <v>0.44961623006682649</v>
      </c>
      <c r="T54" s="1527">
        <f t="shared" si="2"/>
        <v>0.44961623006682649</v>
      </c>
      <c r="U54" s="1527">
        <f t="shared" si="2"/>
        <v>0.4524479623480045</v>
      </c>
      <c r="V54" s="1527">
        <f t="shared" si="2"/>
        <v>0.4524479623480045</v>
      </c>
      <c r="W54" s="1527">
        <f t="shared" si="2"/>
        <v>0.44961623006682649</v>
      </c>
      <c r="X54" s="1527">
        <f t="shared" si="2"/>
        <v>0.44961623006682649</v>
      </c>
      <c r="Y54" s="1527">
        <f t="shared" si="2"/>
        <v>0.44961623006682649</v>
      </c>
      <c r="Z54" s="1527">
        <f t="shared" si="2"/>
        <v>0.44961623006682649</v>
      </c>
      <c r="AA54" s="1527">
        <f t="shared" si="2"/>
        <v>0.44961623006682649</v>
      </c>
      <c r="AB54" s="1527">
        <f t="shared" si="2"/>
        <v>0.44961623006682649</v>
      </c>
      <c r="AC54" s="1527">
        <f t="shared" si="2"/>
        <v>0.44961623006682649</v>
      </c>
      <c r="AD54" s="1527">
        <f t="shared" si="2"/>
        <v>0.44961623006682649</v>
      </c>
      <c r="AE54" s="1527">
        <f t="shared" si="2"/>
        <v>0.449438202247191</v>
      </c>
    </row>
    <row r="55" spans="1:31">
      <c r="A55" s="1480" t="s">
        <v>14126</v>
      </c>
      <c r="F55" s="1523">
        <f>F19/SUM(F$16,F$19,F$21)</f>
        <v>0</v>
      </c>
      <c r="G55" s="1523">
        <f t="shared" ref="G55:AE55" si="3">G19/SUM(G$16,G$19,G$21)</f>
        <v>0</v>
      </c>
      <c r="H55" s="1523">
        <f t="shared" si="3"/>
        <v>0</v>
      </c>
      <c r="I55" s="1523">
        <f t="shared" si="3"/>
        <v>0</v>
      </c>
      <c r="J55" s="1523">
        <f t="shared" si="3"/>
        <v>0</v>
      </c>
      <c r="K55" s="1523">
        <f t="shared" si="3"/>
        <v>0</v>
      </c>
      <c r="L55" s="1523">
        <f t="shared" si="3"/>
        <v>0</v>
      </c>
      <c r="M55" s="1523">
        <f t="shared" si="3"/>
        <v>0</v>
      </c>
      <c r="N55" s="1523">
        <f t="shared" si="3"/>
        <v>4.0230564907163691E-3</v>
      </c>
      <c r="O55" s="1524">
        <f t="shared" si="3"/>
        <v>8.4119415782293677E-2</v>
      </c>
      <c r="P55" s="1524">
        <f t="shared" si="3"/>
        <v>0.11012831778344345</v>
      </c>
      <c r="Q55" s="1524">
        <f t="shared" si="3"/>
        <v>0.1071126799627862</v>
      </c>
      <c r="R55" s="1524">
        <f t="shared" si="3"/>
        <v>0.10567492222854935</v>
      </c>
      <c r="S55" s="1525">
        <f>S19/SUM(S$16,S$19,S$21)</f>
        <v>0.10543616917361483</v>
      </c>
      <c r="T55" s="1524">
        <f t="shared" si="3"/>
        <v>0.1055972452315324</v>
      </c>
      <c r="U55" s="1524">
        <f t="shared" si="3"/>
        <v>0.10602351888306535</v>
      </c>
      <c r="V55" s="1524">
        <f t="shared" si="3"/>
        <v>0.1058134322946726</v>
      </c>
      <c r="W55" s="1524">
        <f t="shared" si="3"/>
        <v>0.10571466382194418</v>
      </c>
      <c r="X55" s="1524">
        <f t="shared" si="3"/>
        <v>0.10605741568631041</v>
      </c>
      <c r="Y55" s="1524">
        <f t="shared" si="3"/>
        <v>0.10605741568631041</v>
      </c>
      <c r="Z55" s="1524">
        <f t="shared" si="3"/>
        <v>0.10605741568631041</v>
      </c>
      <c r="AA55" s="1524">
        <f t="shared" si="3"/>
        <v>0.10605741568631041</v>
      </c>
      <c r="AB55" s="1524">
        <f t="shared" si="3"/>
        <v>0.10605741568631041</v>
      </c>
      <c r="AC55" s="1524">
        <f t="shared" si="3"/>
        <v>0.10605741568631041</v>
      </c>
      <c r="AD55" s="1524">
        <f t="shared" si="3"/>
        <v>0.10605741568631041</v>
      </c>
      <c r="AE55" s="1524">
        <f t="shared" si="3"/>
        <v>0.10592808551992225</v>
      </c>
    </row>
    <row r="56" spans="1:31">
      <c r="A56" s="1512" t="s">
        <v>14127</v>
      </c>
      <c r="F56" s="1526">
        <f>IFERROR(F20/F$19,0)</f>
        <v>0</v>
      </c>
      <c r="G56" s="1526">
        <f t="shared" ref="G56:AE56" si="4">IFERROR(G20/G$19,0)</f>
        <v>0</v>
      </c>
      <c r="H56" s="1526">
        <f t="shared" si="4"/>
        <v>0</v>
      </c>
      <c r="I56" s="1526">
        <f t="shared" si="4"/>
        <v>0</v>
      </c>
      <c r="J56" s="1526">
        <f t="shared" si="4"/>
        <v>0</v>
      </c>
      <c r="K56" s="1526">
        <f t="shared" si="4"/>
        <v>0</v>
      </c>
      <c r="L56" s="1526">
        <f t="shared" si="4"/>
        <v>0</v>
      </c>
      <c r="M56" s="1526">
        <f t="shared" si="4"/>
        <v>0</v>
      </c>
      <c r="N56" s="1526">
        <f t="shared" si="4"/>
        <v>1</v>
      </c>
      <c r="O56" s="1527">
        <f t="shared" si="4"/>
        <v>1</v>
      </c>
      <c r="P56" s="1527">
        <f t="shared" si="4"/>
        <v>1</v>
      </c>
      <c r="Q56" s="1527">
        <f t="shared" si="4"/>
        <v>1</v>
      </c>
      <c r="R56" s="1527">
        <f t="shared" si="4"/>
        <v>1</v>
      </c>
      <c r="S56" s="1528">
        <f t="shared" si="4"/>
        <v>1</v>
      </c>
      <c r="T56" s="1527">
        <f t="shared" si="4"/>
        <v>1</v>
      </c>
      <c r="U56" s="1527">
        <f t="shared" si="4"/>
        <v>1</v>
      </c>
      <c r="V56" s="1527">
        <f t="shared" si="4"/>
        <v>1</v>
      </c>
      <c r="W56" s="1527">
        <f t="shared" si="4"/>
        <v>1</v>
      </c>
      <c r="X56" s="1527">
        <f t="shared" si="4"/>
        <v>1</v>
      </c>
      <c r="Y56" s="1527">
        <f t="shared" si="4"/>
        <v>1</v>
      </c>
      <c r="Z56" s="1527">
        <f t="shared" si="4"/>
        <v>1</v>
      </c>
      <c r="AA56" s="1527">
        <f t="shared" si="4"/>
        <v>1</v>
      </c>
      <c r="AB56" s="1527">
        <f t="shared" si="4"/>
        <v>1</v>
      </c>
      <c r="AC56" s="1527">
        <f t="shared" si="4"/>
        <v>1</v>
      </c>
      <c r="AD56" s="1527">
        <f t="shared" si="4"/>
        <v>1</v>
      </c>
      <c r="AE56" s="1527">
        <f t="shared" si="4"/>
        <v>1</v>
      </c>
    </row>
    <row r="57" spans="1:31">
      <c r="A57" s="1480" t="s">
        <v>14128</v>
      </c>
      <c r="F57" s="1523">
        <f>F21/SUM(F$16,F$19,F$21)</f>
        <v>0.55294117647058827</v>
      </c>
      <c r="G57" s="1523">
        <f t="shared" ref="G57:AE57" si="5">G21/SUM(G$16,G$19,G$21)</f>
        <v>0.61893046135867491</v>
      </c>
      <c r="H57" s="1523">
        <f t="shared" si="5"/>
        <v>0.66698136802763441</v>
      </c>
      <c r="I57" s="1523">
        <f t="shared" si="5"/>
        <v>0.58384795515831533</v>
      </c>
      <c r="J57" s="1523">
        <f t="shared" si="5"/>
        <v>0.56641010559021399</v>
      </c>
      <c r="K57" s="1523">
        <f t="shared" si="5"/>
        <v>0.47904370466467661</v>
      </c>
      <c r="L57" s="1523">
        <f t="shared" si="5"/>
        <v>0.56092141385694361</v>
      </c>
      <c r="M57" s="1523">
        <f t="shared" si="5"/>
        <v>0.42662894601438628</v>
      </c>
      <c r="N57" s="1523">
        <f t="shared" si="5"/>
        <v>0.43851315748808428</v>
      </c>
      <c r="O57" s="1524">
        <f t="shared" si="5"/>
        <v>0.44127873793069206</v>
      </c>
      <c r="P57" s="1524">
        <f t="shared" si="5"/>
        <v>0.44374699047472743</v>
      </c>
      <c r="Q57" s="1524">
        <f t="shared" si="5"/>
        <v>0.45627629779964379</v>
      </c>
      <c r="R57" s="1524">
        <f t="shared" si="5"/>
        <v>0.46357462100841862</v>
      </c>
      <c r="S57" s="1525">
        <f t="shared" si="5"/>
        <v>0.46478657551264468</v>
      </c>
      <c r="T57" s="1524">
        <f t="shared" si="5"/>
        <v>0.46396892375958249</v>
      </c>
      <c r="U57" s="1524">
        <f t="shared" si="5"/>
        <v>0.46450990768664752</v>
      </c>
      <c r="V57" s="1524">
        <f t="shared" si="5"/>
        <v>0.46557098628314575</v>
      </c>
      <c r="W57" s="1524">
        <f t="shared" si="5"/>
        <v>0.46337288535677124</v>
      </c>
      <c r="X57" s="1524">
        <f t="shared" si="5"/>
        <v>0.46163301373098398</v>
      </c>
      <c r="Y57" s="1524">
        <f t="shared" si="5"/>
        <v>0.46163301373098398</v>
      </c>
      <c r="Z57" s="1524">
        <f t="shared" si="5"/>
        <v>0.46163301373098398</v>
      </c>
      <c r="AA57" s="1524">
        <f t="shared" si="5"/>
        <v>0.46163301373098398</v>
      </c>
      <c r="AB57" s="1524">
        <f t="shared" si="5"/>
        <v>0.46163301373098398</v>
      </c>
      <c r="AC57" s="1524">
        <f t="shared" si="5"/>
        <v>0.46163301373098398</v>
      </c>
      <c r="AD57" s="1524">
        <f t="shared" si="5"/>
        <v>0.46163301373098398</v>
      </c>
      <c r="AE57" s="1524">
        <f t="shared" si="5"/>
        <v>0.46161321671525751</v>
      </c>
    </row>
    <row r="58" spans="1:31">
      <c r="A58" s="1512" t="s">
        <v>14151</v>
      </c>
      <c r="F58" s="1529">
        <f>F22/F21</f>
        <v>1</v>
      </c>
      <c r="G58" s="1529">
        <f t="shared" ref="G58:AE58" si="6">G22/G21</f>
        <v>1</v>
      </c>
      <c r="H58" s="1529">
        <f t="shared" si="6"/>
        <v>1</v>
      </c>
      <c r="I58" s="1529">
        <f t="shared" si="6"/>
        <v>1</v>
      </c>
      <c r="J58" s="1529">
        <f t="shared" si="6"/>
        <v>1</v>
      </c>
      <c r="K58" s="1529">
        <f t="shared" si="6"/>
        <v>1</v>
      </c>
      <c r="L58" s="1529">
        <f t="shared" si="6"/>
        <v>1</v>
      </c>
      <c r="M58" s="1529">
        <f t="shared" si="6"/>
        <v>0.99999999999999967</v>
      </c>
      <c r="N58" s="1529">
        <f t="shared" si="6"/>
        <v>1</v>
      </c>
      <c r="O58" s="1529">
        <f t="shared" si="6"/>
        <v>1</v>
      </c>
      <c r="P58" s="1529">
        <f t="shared" si="6"/>
        <v>1</v>
      </c>
      <c r="Q58" s="1529">
        <f t="shared" si="6"/>
        <v>1</v>
      </c>
      <c r="R58" s="1529">
        <f t="shared" si="6"/>
        <v>1</v>
      </c>
      <c r="S58" s="1529">
        <f t="shared" si="6"/>
        <v>1</v>
      </c>
      <c r="T58" s="1529">
        <f t="shared" si="6"/>
        <v>1</v>
      </c>
      <c r="U58" s="1529">
        <f t="shared" si="6"/>
        <v>1</v>
      </c>
      <c r="V58" s="1529">
        <f t="shared" si="6"/>
        <v>1</v>
      </c>
      <c r="W58" s="1529">
        <f t="shared" si="6"/>
        <v>1</v>
      </c>
      <c r="X58" s="1529">
        <f t="shared" si="6"/>
        <v>1</v>
      </c>
      <c r="Y58" s="1529">
        <f t="shared" si="6"/>
        <v>1</v>
      </c>
      <c r="Z58" s="1529">
        <f t="shared" si="6"/>
        <v>1</v>
      </c>
      <c r="AA58" s="1529">
        <f t="shared" si="6"/>
        <v>1</v>
      </c>
      <c r="AB58" s="1529">
        <f t="shared" si="6"/>
        <v>1</v>
      </c>
      <c r="AC58" s="1529">
        <f t="shared" si="6"/>
        <v>1</v>
      </c>
      <c r="AD58" s="1529">
        <f t="shared" si="6"/>
        <v>1</v>
      </c>
      <c r="AE58" s="1529">
        <f t="shared" si="6"/>
        <v>1</v>
      </c>
    </row>
    <row r="59" spans="1:31">
      <c r="A59" s="1512"/>
      <c r="S59" s="1478"/>
    </row>
    <row r="60" spans="1:31">
      <c r="A60" s="1512"/>
      <c r="S60" s="1478"/>
    </row>
    <row r="61" spans="1:31">
      <c r="A61" s="1512" t="s">
        <v>14124</v>
      </c>
      <c r="N61" s="1528">
        <f>SUMIFS(N$16:N$22,$A$16:$A$22,$A61)/N$50</f>
        <v>0.36050526367018354</v>
      </c>
      <c r="O61" s="1528"/>
      <c r="P61" s="1528"/>
      <c r="Q61" s="1528"/>
      <c r="R61" s="1528"/>
      <c r="S61" s="1528">
        <f>SUMIFS(S$16:S$22,$A$16:$A$22,$A61)/S$50</f>
        <v>0.23654242601110848</v>
      </c>
    </row>
    <row r="62" spans="1:31">
      <c r="A62" s="1512" t="s">
        <v>14125</v>
      </c>
      <c r="N62" s="1528">
        <f>SUMIFS(N$16:N$22,$A$16:$A$22,$A62)/N$50</f>
        <v>0.18003177795955752</v>
      </c>
      <c r="O62" s="1528"/>
      <c r="P62" s="1528"/>
      <c r="Q62" s="1528"/>
      <c r="R62" s="1528"/>
      <c r="S62" s="1528">
        <f>SUMIFS(S$16:S$22,$A$16:$A$22,$A62)/S$50</f>
        <v>0.19323482930263192</v>
      </c>
    </row>
    <row r="63" spans="1:31">
      <c r="A63" s="1512" t="s">
        <v>14127</v>
      </c>
      <c r="N63" s="1528">
        <f>SUMIFS(N$16:N$22,$A$16:$A$22,$A63)/N$50</f>
        <v>4.0230564907163691E-3</v>
      </c>
      <c r="O63" s="1528"/>
      <c r="P63" s="1528"/>
      <c r="Q63" s="1528"/>
      <c r="R63" s="1528"/>
      <c r="S63" s="1528">
        <f>SUMIFS(S$16:S$22,$A$16:$A$22,$A63)/S$50</f>
        <v>0.10543616917361483</v>
      </c>
    </row>
    <row r="64" spans="1:31">
      <c r="A64" s="1512" t="s">
        <v>14129</v>
      </c>
      <c r="N64" s="1528">
        <f>SUMIFS(N$16:N$22,$A$16:$A$22,$A64)/N$50</f>
        <v>0.43851315748808428</v>
      </c>
      <c r="O64" s="1528"/>
      <c r="P64" s="1528"/>
      <c r="Q64" s="1528"/>
      <c r="R64" s="1528"/>
      <c r="S64" s="1528">
        <f>SUMIFS(S$16:S$22,$A$16:$A$22,$A64)/S$50</f>
        <v>0.46478657551264468</v>
      </c>
    </row>
    <row r="65" spans="1:19">
      <c r="S65" s="1478"/>
    </row>
    <row r="66" spans="1:19">
      <c r="S66" s="1530">
        <f>S85*$B$69</f>
        <v>32.135400000000004</v>
      </c>
    </row>
    <row r="67" spans="1:19">
      <c r="A67" s="1531" t="s">
        <v>14152</v>
      </c>
      <c r="B67" s="1532">
        <v>41</v>
      </c>
      <c r="C67" s="1531" t="s">
        <v>14153</v>
      </c>
      <c r="D67" s="1478" t="s">
        <v>14154</v>
      </c>
      <c r="S67" s="1530">
        <f t="shared" ref="S67:S68" si="7">S86*$B$69</f>
        <v>38.519200000000005</v>
      </c>
    </row>
    <row r="68" spans="1:19">
      <c r="A68" s="1478" t="s">
        <v>14155</v>
      </c>
      <c r="B68" s="1478">
        <v>1.0820000000000001</v>
      </c>
      <c r="C68" s="1478" t="s">
        <v>14156</v>
      </c>
      <c r="D68" s="1478" t="s">
        <v>14157</v>
      </c>
      <c r="S68" s="1530">
        <f t="shared" si="7"/>
        <v>48.257200000000005</v>
      </c>
    </row>
    <row r="69" spans="1:19">
      <c r="B69" s="1478">
        <f>B68</f>
        <v>1.0820000000000001</v>
      </c>
      <c r="C69" s="1478" t="s">
        <v>14158</v>
      </c>
      <c r="S69" s="1478"/>
    </row>
    <row r="70" spans="1:19">
      <c r="A70" s="1531"/>
      <c r="B70" s="1533">
        <v>2.8000000000000001E-2</v>
      </c>
      <c r="C70" s="1531" t="s">
        <v>14159</v>
      </c>
      <c r="D70" s="1478" t="s">
        <v>14160</v>
      </c>
      <c r="S70" s="1478"/>
    </row>
    <row r="71" spans="1:19">
      <c r="S71" s="1478"/>
    </row>
    <row r="72" spans="1:19">
      <c r="S72" s="1478"/>
    </row>
    <row r="73" spans="1:19">
      <c r="S73" s="1478"/>
    </row>
    <row r="74" spans="1:19">
      <c r="S74" s="1478"/>
    </row>
    <row r="75" spans="1:19">
      <c r="S75" s="1478"/>
    </row>
    <row r="76" spans="1:19">
      <c r="S76" s="1478"/>
    </row>
    <row r="77" spans="1:19">
      <c r="S77" s="1478"/>
    </row>
    <row r="78" spans="1:19">
      <c r="S78" s="1478"/>
    </row>
    <row r="79" spans="1:19">
      <c r="S79" s="1478"/>
    </row>
    <row r="80" spans="1:19">
      <c r="S80" s="1478"/>
    </row>
    <row r="81" spans="1:19">
      <c r="S81" s="1478"/>
    </row>
    <row r="82" spans="1:19">
      <c r="A82" s="1478" t="s">
        <v>14161</v>
      </c>
      <c r="S82" s="1478"/>
    </row>
    <row r="83" spans="1:19">
      <c r="A83" s="1478" t="s">
        <v>14162</v>
      </c>
      <c r="S83" s="1478">
        <v>166.6</v>
      </c>
    </row>
    <row r="84" spans="1:19">
      <c r="A84" s="1478" t="s">
        <v>14163</v>
      </c>
      <c r="S84" s="1478">
        <v>23.2</v>
      </c>
    </row>
    <row r="85" spans="1:19">
      <c r="A85" s="1534" t="s">
        <v>14146</v>
      </c>
      <c r="S85" s="1478">
        <v>29.7</v>
      </c>
    </row>
    <row r="86" spans="1:19">
      <c r="A86" s="1534" t="s">
        <v>14147</v>
      </c>
      <c r="S86" s="1478">
        <v>35.6</v>
      </c>
    </row>
    <row r="87" spans="1:19">
      <c r="A87" s="1534" t="s">
        <v>14148</v>
      </c>
      <c r="S87" s="1478">
        <v>44.6</v>
      </c>
    </row>
    <row r="88" spans="1:19">
      <c r="A88" s="1478" t="s">
        <v>14164</v>
      </c>
      <c r="S88" s="1478"/>
    </row>
    <row r="89" spans="1:19">
      <c r="A89" s="1478" t="s">
        <v>14165</v>
      </c>
      <c r="S89" s="1478">
        <v>23.3</v>
      </c>
    </row>
    <row r="90" spans="1:19">
      <c r="A90" s="1478" t="s">
        <v>14166</v>
      </c>
      <c r="S90" s="1478">
        <v>33.5</v>
      </c>
    </row>
    <row r="91" spans="1:19">
      <c r="S91" s="1478"/>
    </row>
    <row r="92" spans="1:19">
      <c r="S92" s="1478"/>
    </row>
    <row r="93" spans="1:19">
      <c r="S93" s="1478"/>
    </row>
    <row r="94" spans="1:19">
      <c r="S94" s="1478"/>
    </row>
    <row r="95" spans="1:19">
      <c r="S95" s="1478"/>
    </row>
    <row r="96" spans="1:19">
      <c r="S96" s="1478"/>
    </row>
    <row r="97" spans="19:19">
      <c r="S97" s="1478"/>
    </row>
    <row r="98" spans="19:19">
      <c r="S98" s="1478"/>
    </row>
    <row r="99" spans="19:19">
      <c r="S99" s="1478"/>
    </row>
    <row r="100" spans="19:19">
      <c r="S100" s="1478"/>
    </row>
    <row r="101" spans="19:19">
      <c r="S101" s="1478"/>
    </row>
    <row r="102" spans="19:19">
      <c r="S102" s="1478"/>
    </row>
    <row r="103" spans="19:19">
      <c r="S103" s="1478"/>
    </row>
    <row r="104" spans="19:19">
      <c r="S104" s="1478"/>
    </row>
    <row r="105" spans="19:19">
      <c r="S105" s="1478"/>
    </row>
    <row r="106" spans="19:19">
      <c r="S106" s="1478"/>
    </row>
    <row r="107" spans="19:19">
      <c r="S107" s="1478"/>
    </row>
    <row r="108" spans="19:19">
      <c r="S108" s="1478"/>
    </row>
    <row r="109" spans="19:19">
      <c r="S109" s="1478"/>
    </row>
    <row r="110" spans="19:19">
      <c r="S110" s="1478"/>
    </row>
    <row r="111" spans="19:19">
      <c r="S111" s="1478"/>
    </row>
    <row r="112" spans="19:19">
      <c r="S112" s="1478"/>
    </row>
    <row r="113" spans="19:19">
      <c r="S113" s="1478"/>
    </row>
    <row r="114" spans="19:19">
      <c r="S114" s="1478"/>
    </row>
    <row r="115" spans="19:19">
      <c r="S115" s="1478"/>
    </row>
    <row r="116" spans="19:19">
      <c r="S116" s="1478"/>
    </row>
    <row r="117" spans="19:19">
      <c r="S117" s="1478"/>
    </row>
    <row r="118" spans="19:19">
      <c r="S118" s="1478"/>
    </row>
    <row r="119" spans="19:19">
      <c r="S119" s="1478"/>
    </row>
    <row r="120" spans="19:19">
      <c r="S120" s="1478"/>
    </row>
    <row r="121" spans="19:19">
      <c r="S121" s="1478"/>
    </row>
    <row r="122" spans="19:19">
      <c r="S122" s="1478"/>
    </row>
  </sheetData>
  <mergeCells count="2">
    <mergeCell ref="B3:N3"/>
    <mergeCell ref="O3:AE3"/>
  </mergeCells>
  <pageMargins left="0.7" right="0.7" top="0.75" bottom="0.75" header="0.3" footer="0.3"/>
  <pageSetup orientation="portrait" horizontalDpi="1200" verticalDpi="12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7B149-F13C-4405-8CE0-883B36D555BC}">
  <sheetPr codeName="Sheet60"/>
  <dimension ref="A1:V102"/>
  <sheetViews>
    <sheetView workbookViewId="0">
      <selection sqref="A1:I1"/>
    </sheetView>
  </sheetViews>
  <sheetFormatPr defaultColWidth="7.7109375" defaultRowHeight="12.75"/>
  <cols>
    <col min="1" max="1" width="6.85546875" style="1541" customWidth="1"/>
    <col min="2" max="2" width="34" style="1541" customWidth="1"/>
    <col min="3" max="3" width="12" style="1541" customWidth="1"/>
    <col min="4" max="4" width="8" style="1541" customWidth="1"/>
    <col min="5" max="5" width="10" style="1541" customWidth="1"/>
    <col min="6" max="7" width="8" style="1541" customWidth="1"/>
    <col min="8" max="8" width="8.85546875" style="1541" customWidth="1"/>
    <col min="9" max="9" width="13" style="1541" customWidth="1"/>
    <col min="10" max="20" width="7.7109375" style="1541"/>
    <col min="21" max="21" width="10.28515625" style="1541" customWidth="1"/>
    <col min="22" max="16384" width="7.7109375" style="1541"/>
  </cols>
  <sheetData>
    <row r="1" spans="1:22" ht="85.5" customHeight="1">
      <c r="A1" s="1895" t="s">
        <v>14217</v>
      </c>
      <c r="B1" s="1891"/>
      <c r="C1" s="1891"/>
      <c r="D1" s="1891"/>
      <c r="E1" s="1891"/>
      <c r="F1" s="1891"/>
      <c r="G1" s="1891"/>
      <c r="H1" s="1891"/>
      <c r="I1" s="1891"/>
      <c r="J1" s="1541" t="s">
        <v>14218</v>
      </c>
    </row>
    <row r="2" spans="1:22" ht="31.5" customHeight="1">
      <c r="A2" s="1896" t="s">
        <v>14219</v>
      </c>
      <c r="B2" s="1896"/>
      <c r="C2" s="1896"/>
      <c r="D2" s="1542">
        <v>2019</v>
      </c>
      <c r="E2" s="1543">
        <v>2018</v>
      </c>
      <c r="F2" s="1544">
        <v>2017</v>
      </c>
      <c r="G2" s="1545">
        <v>2016</v>
      </c>
      <c r="H2" s="1546" t="s">
        <v>14220</v>
      </c>
      <c r="J2" s="1542">
        <v>2019</v>
      </c>
      <c r="K2" s="1543">
        <v>2018</v>
      </c>
      <c r="L2" s="1544">
        <v>2017</v>
      </c>
      <c r="M2" s="1545">
        <v>2016</v>
      </c>
      <c r="O2" s="503" t="s">
        <v>14298</v>
      </c>
      <c r="R2" s="503"/>
      <c r="S2" s="503"/>
      <c r="T2" s="427"/>
      <c r="U2" s="427"/>
    </row>
    <row r="3" spans="1:22" ht="12.6" customHeight="1">
      <c r="A3" s="1897" t="s">
        <v>14221</v>
      </c>
      <c r="B3" s="1897"/>
      <c r="C3" s="1547"/>
      <c r="D3" s="1548"/>
      <c r="E3" s="1547"/>
      <c r="F3" s="1547"/>
      <c r="G3" s="1549"/>
      <c r="H3" s="1898" t="s">
        <v>14222</v>
      </c>
      <c r="Q3" s="503"/>
      <c r="R3" s="503"/>
      <c r="S3" s="503"/>
      <c r="T3" s="427"/>
      <c r="U3" s="427"/>
    </row>
    <row r="4" spans="1:22" ht="11.25" customHeight="1">
      <c r="A4" s="1901" t="s">
        <v>14223</v>
      </c>
      <c r="B4" s="1901"/>
      <c r="C4" s="1550">
        <v>1</v>
      </c>
      <c r="D4" s="1551">
        <v>18446</v>
      </c>
      <c r="E4" s="1552">
        <v>17836</v>
      </c>
      <c r="F4" s="1552">
        <v>18472</v>
      </c>
      <c r="G4" s="1553">
        <v>18806</v>
      </c>
      <c r="H4" s="1899"/>
      <c r="J4" s="1541">
        <f>D4/F4</f>
        <v>0.99859246427024684</v>
      </c>
      <c r="K4" s="1541">
        <f>E4/F4</f>
        <v>0.96556951061065399</v>
      </c>
      <c r="L4" s="1541">
        <f>F4/F4</f>
        <v>1</v>
      </c>
      <c r="Q4" s="503"/>
      <c r="S4" s="503"/>
      <c r="T4" s="427"/>
    </row>
    <row r="5" spans="1:22" ht="11.25" customHeight="1">
      <c r="A5" s="1888" t="s">
        <v>14110</v>
      </c>
      <c r="B5" s="1888"/>
      <c r="C5" s="1554"/>
      <c r="D5" s="1551">
        <v>6736</v>
      </c>
      <c r="E5" s="1552">
        <v>6720</v>
      </c>
      <c r="F5" s="1552">
        <v>6974</v>
      </c>
      <c r="G5" s="1553">
        <v>7019</v>
      </c>
      <c r="H5" s="1899"/>
    </row>
    <row r="6" spans="1:22" ht="11.25" customHeight="1">
      <c r="A6" s="1888" t="s">
        <v>14111</v>
      </c>
      <c r="B6" s="1888"/>
      <c r="C6" s="1554"/>
      <c r="D6" s="1551">
        <v>1467</v>
      </c>
      <c r="E6" s="1552">
        <v>1585</v>
      </c>
      <c r="F6" s="1552">
        <v>1561</v>
      </c>
      <c r="G6" s="1553">
        <v>1461</v>
      </c>
      <c r="H6" s="1899"/>
    </row>
    <row r="7" spans="1:22" ht="11.25" customHeight="1">
      <c r="A7" s="1888" t="s">
        <v>14224</v>
      </c>
      <c r="B7" s="1888"/>
      <c r="C7" s="1554"/>
      <c r="D7" s="1551">
        <v>3209</v>
      </c>
      <c r="E7" s="1552">
        <v>3192</v>
      </c>
      <c r="F7" s="1552">
        <v>2976</v>
      </c>
      <c r="G7" s="1553">
        <v>3331</v>
      </c>
      <c r="H7" s="1899"/>
    </row>
    <row r="8" spans="1:22" ht="11.25" customHeight="1">
      <c r="A8" s="1888" t="s">
        <v>14225</v>
      </c>
      <c r="B8" s="1888"/>
      <c r="C8" s="1554"/>
      <c r="D8" s="1551">
        <v>4271</v>
      </c>
      <c r="E8" s="1552">
        <v>3578</v>
      </c>
      <c r="F8" s="1552">
        <v>3964</v>
      </c>
      <c r="G8" s="1553">
        <v>4067</v>
      </c>
      <c r="H8" s="1899"/>
    </row>
    <row r="9" spans="1:22" ht="11.25" customHeight="1">
      <c r="A9" s="1888" t="s">
        <v>14226</v>
      </c>
      <c r="B9" s="1888"/>
      <c r="C9" s="1554"/>
      <c r="D9" s="1551">
        <v>1277</v>
      </c>
      <c r="E9" s="1552">
        <v>1341</v>
      </c>
      <c r="F9" s="1552">
        <v>1345</v>
      </c>
      <c r="G9" s="1553">
        <v>1309</v>
      </c>
      <c r="H9" s="1899"/>
    </row>
    <row r="10" spans="1:22" ht="11.25" customHeight="1">
      <c r="A10" s="1888" t="s">
        <v>14227</v>
      </c>
      <c r="B10" s="1888"/>
      <c r="C10" s="1554"/>
      <c r="D10" s="1555">
        <v>688</v>
      </c>
      <c r="E10" s="1556">
        <v>707</v>
      </c>
      <c r="F10" s="1556">
        <v>811</v>
      </c>
      <c r="G10" s="1557">
        <v>793</v>
      </c>
      <c r="H10" s="1899"/>
    </row>
    <row r="11" spans="1:22" ht="11.25" customHeight="1">
      <c r="A11" s="1888" t="s">
        <v>14228</v>
      </c>
      <c r="B11" s="1888"/>
      <c r="C11" s="1554"/>
      <c r="D11" s="1555">
        <v>53</v>
      </c>
      <c r="E11" s="1556">
        <v>54</v>
      </c>
      <c r="F11" s="1556">
        <v>64</v>
      </c>
      <c r="G11" s="1557">
        <v>62</v>
      </c>
      <c r="H11" s="1899"/>
    </row>
    <row r="12" spans="1:22" ht="12" customHeight="1">
      <c r="A12" s="1889" t="s">
        <v>14229</v>
      </c>
      <c r="B12" s="1889"/>
      <c r="C12" s="1889"/>
      <c r="D12" s="1558">
        <v>745</v>
      </c>
      <c r="E12" s="1559">
        <v>659</v>
      </c>
      <c r="F12" s="1559">
        <v>776</v>
      </c>
      <c r="G12" s="1560">
        <v>763</v>
      </c>
      <c r="H12" s="1900"/>
      <c r="V12" s="1561"/>
    </row>
    <row r="13" spans="1:22" ht="11.45" customHeight="1">
      <c r="A13" s="1902" t="s">
        <v>14230</v>
      </c>
      <c r="B13" s="1902"/>
      <c r="C13" s="1562">
        <v>2</v>
      </c>
      <c r="D13" s="1563"/>
      <c r="E13" s="1564"/>
      <c r="F13" s="1564"/>
      <c r="G13" s="1565"/>
      <c r="H13" s="1566"/>
      <c r="V13" s="1561"/>
    </row>
    <row r="14" spans="1:22" ht="11.25" customHeight="1">
      <c r="A14" s="1891" t="s">
        <v>14231</v>
      </c>
      <c r="B14" s="1891"/>
      <c r="C14" s="1554"/>
      <c r="D14" s="1551">
        <v>105.04</v>
      </c>
      <c r="E14" s="1552">
        <v>109.18</v>
      </c>
      <c r="F14" s="1552">
        <v>110.68</v>
      </c>
      <c r="G14" s="1553">
        <v>119.25</v>
      </c>
      <c r="H14" s="1567" t="s">
        <v>14222</v>
      </c>
      <c r="J14" s="1541">
        <f t="shared" ref="J14:J22" si="0">D14*gwpch4</f>
        <v>2415.92</v>
      </c>
      <c r="K14" s="1541">
        <f t="shared" ref="K14:K22" si="1">E14*gwpch4</f>
        <v>2511.1400000000003</v>
      </c>
      <c r="L14" s="1541">
        <f t="shared" ref="L14:L22" si="2">F14*gwpch4</f>
        <v>2545.6400000000003</v>
      </c>
      <c r="M14" s="1541">
        <f t="shared" ref="M14:M22" si="3">G14*gwpch4</f>
        <v>2742.75</v>
      </c>
    </row>
    <row r="15" spans="1:22" ht="11.25" customHeight="1">
      <c r="A15" s="1888" t="s">
        <v>14110</v>
      </c>
      <c r="B15" s="1888"/>
      <c r="C15" s="1554"/>
      <c r="D15" s="1551">
        <v>96.16</v>
      </c>
      <c r="E15" s="1552">
        <v>98.34</v>
      </c>
      <c r="F15" s="1552">
        <v>99.52</v>
      </c>
      <c r="G15" s="1553">
        <v>100.1</v>
      </c>
      <c r="H15" s="1568"/>
      <c r="J15" s="1541">
        <f t="shared" si="0"/>
        <v>2211.6799999999998</v>
      </c>
      <c r="K15" s="1541">
        <f t="shared" si="1"/>
        <v>2261.8200000000002</v>
      </c>
      <c r="L15" s="1541">
        <f t="shared" si="2"/>
        <v>2288.96</v>
      </c>
      <c r="M15" s="1541">
        <f t="shared" si="3"/>
        <v>2302.2999999999997</v>
      </c>
    </row>
    <row r="16" spans="1:22" ht="11.25" customHeight="1">
      <c r="A16" s="1888" t="s">
        <v>14111</v>
      </c>
      <c r="B16" s="1888"/>
      <c r="C16" s="1554"/>
      <c r="D16" s="1551">
        <v>5.34</v>
      </c>
      <c r="E16" s="1552">
        <v>7.24</v>
      </c>
      <c r="F16" s="1552">
        <v>7.42</v>
      </c>
      <c r="G16" s="1553">
        <v>10.54</v>
      </c>
      <c r="H16" s="1568"/>
      <c r="J16" s="1541">
        <f t="shared" si="0"/>
        <v>122.82</v>
      </c>
      <c r="K16" s="1541">
        <f t="shared" si="1"/>
        <v>166.52</v>
      </c>
      <c r="L16" s="1541">
        <f t="shared" si="2"/>
        <v>170.66</v>
      </c>
      <c r="M16" s="1541">
        <f t="shared" si="3"/>
        <v>242.42</v>
      </c>
    </row>
    <row r="17" spans="1:13" ht="11.25" customHeight="1">
      <c r="A17" s="1888" t="s">
        <v>14224</v>
      </c>
      <c r="B17" s="1888"/>
      <c r="C17" s="1554"/>
      <c r="D17" s="1551">
        <v>3.49</v>
      </c>
      <c r="E17" s="1552">
        <v>3.55</v>
      </c>
      <c r="F17" s="1552">
        <v>3.73</v>
      </c>
      <c r="G17" s="1553">
        <v>4.01</v>
      </c>
      <c r="H17" s="1568"/>
      <c r="J17" s="1541">
        <f t="shared" si="0"/>
        <v>80.27000000000001</v>
      </c>
      <c r="K17" s="1541">
        <f t="shared" si="1"/>
        <v>81.649999999999991</v>
      </c>
      <c r="L17" s="1541">
        <f t="shared" si="2"/>
        <v>85.79</v>
      </c>
      <c r="M17" s="1541">
        <f t="shared" si="3"/>
        <v>92.22999999999999</v>
      </c>
    </row>
    <row r="18" spans="1:13" ht="11.25" customHeight="1">
      <c r="A18" s="1888" t="s">
        <v>14225</v>
      </c>
      <c r="B18" s="1888"/>
      <c r="C18" s="1554"/>
      <c r="D18" s="1569">
        <v>0</v>
      </c>
      <c r="E18" s="1552">
        <v>0</v>
      </c>
      <c r="F18" s="1552">
        <v>0</v>
      </c>
      <c r="G18" s="1553">
        <v>0</v>
      </c>
      <c r="H18" s="1568"/>
      <c r="J18" s="1541">
        <f t="shared" si="0"/>
        <v>0</v>
      </c>
      <c r="K18" s="1541">
        <f t="shared" si="1"/>
        <v>0</v>
      </c>
      <c r="L18" s="1541">
        <f t="shared" si="2"/>
        <v>0</v>
      </c>
      <c r="M18" s="1541">
        <f t="shared" si="3"/>
        <v>0</v>
      </c>
    </row>
    <row r="19" spans="1:13" ht="11.25" customHeight="1">
      <c r="A19" s="1888" t="s">
        <v>14226</v>
      </c>
      <c r="B19" s="1888"/>
      <c r="C19" s="1554"/>
      <c r="D19" s="1551">
        <v>0</v>
      </c>
      <c r="E19" s="1552">
        <v>0</v>
      </c>
      <c r="F19" s="1552">
        <v>0</v>
      </c>
      <c r="G19" s="1553">
        <v>0</v>
      </c>
      <c r="H19" s="1568"/>
      <c r="J19" s="1541">
        <f t="shared" si="0"/>
        <v>0</v>
      </c>
      <c r="K19" s="1541">
        <f t="shared" si="1"/>
        <v>0</v>
      </c>
      <c r="L19" s="1541">
        <f t="shared" si="2"/>
        <v>0</v>
      </c>
      <c r="M19" s="1541">
        <f t="shared" si="3"/>
        <v>0</v>
      </c>
    </row>
    <row r="20" spans="1:13" ht="11.25" customHeight="1">
      <c r="A20" s="1888" t="s">
        <v>14227</v>
      </c>
      <c r="B20" s="1888"/>
      <c r="C20" s="1554"/>
      <c r="D20" s="1551">
        <v>0.04</v>
      </c>
      <c r="E20" s="1552">
        <v>0.04</v>
      </c>
      <c r="F20" s="1552">
        <v>0</v>
      </c>
      <c r="G20" s="1553">
        <v>0</v>
      </c>
      <c r="H20" s="1568"/>
      <c r="J20" s="1541">
        <f t="shared" si="0"/>
        <v>0.92</v>
      </c>
      <c r="K20" s="1541">
        <f t="shared" si="1"/>
        <v>0.92</v>
      </c>
      <c r="L20" s="1541">
        <f t="shared" si="2"/>
        <v>0</v>
      </c>
      <c r="M20" s="1541">
        <f t="shared" si="3"/>
        <v>0</v>
      </c>
    </row>
    <row r="21" spans="1:13" ht="11.25" customHeight="1">
      <c r="A21" s="1888" t="s">
        <v>14228</v>
      </c>
      <c r="B21" s="1888"/>
      <c r="C21" s="1554"/>
      <c r="D21" s="1551">
        <v>0</v>
      </c>
      <c r="E21" s="1552">
        <v>0</v>
      </c>
      <c r="F21" s="1552">
        <v>0</v>
      </c>
      <c r="G21" s="1553">
        <v>0</v>
      </c>
      <c r="H21" s="1568"/>
      <c r="J21" s="1541">
        <f t="shared" si="0"/>
        <v>0</v>
      </c>
      <c r="K21" s="1541">
        <f t="shared" si="1"/>
        <v>0</v>
      </c>
      <c r="L21" s="1541">
        <f t="shared" si="2"/>
        <v>0</v>
      </c>
      <c r="M21" s="1541">
        <f t="shared" si="3"/>
        <v>0</v>
      </c>
    </row>
    <row r="22" spans="1:13" ht="11.85" customHeight="1">
      <c r="A22" s="1888" t="s">
        <v>14229</v>
      </c>
      <c r="B22" s="1888"/>
      <c r="C22" s="1888"/>
      <c r="D22" s="1551">
        <v>0.01</v>
      </c>
      <c r="E22" s="1552">
        <v>0.01</v>
      </c>
      <c r="F22" s="1552">
        <v>0.01</v>
      </c>
      <c r="G22" s="1553">
        <v>4.6100000000000003</v>
      </c>
      <c r="H22" s="1568"/>
      <c r="J22" s="1541">
        <f t="shared" si="0"/>
        <v>0.23</v>
      </c>
      <c r="K22" s="1541">
        <f t="shared" si="1"/>
        <v>0.23</v>
      </c>
      <c r="L22" s="1541">
        <f t="shared" si="2"/>
        <v>0.23</v>
      </c>
      <c r="M22" s="1541">
        <f t="shared" si="3"/>
        <v>106.03</v>
      </c>
    </row>
    <row r="23" spans="1:13" ht="12" customHeight="1">
      <c r="A23" s="1891" t="s">
        <v>14232</v>
      </c>
      <c r="B23" s="1891"/>
      <c r="C23" s="1554"/>
      <c r="D23" s="1551">
        <v>1.64</v>
      </c>
      <c r="E23" s="1552">
        <v>1.44</v>
      </c>
      <c r="F23" s="1552">
        <v>0.51</v>
      </c>
      <c r="G23" s="1553">
        <v>0.45</v>
      </c>
      <c r="H23" s="1567" t="s">
        <v>14222</v>
      </c>
      <c r="J23" s="1541">
        <f t="shared" ref="J23:J31" si="4">D23*gwpn2o</f>
        <v>485.44</v>
      </c>
      <c r="K23" s="1541">
        <f t="shared" ref="K23:K31" si="5">E23*gwpn2o</f>
        <v>426.24</v>
      </c>
      <c r="L23" s="1541">
        <f t="shared" ref="L23:L31" si="6">F23*gwpn2o</f>
        <v>150.96</v>
      </c>
      <c r="M23" s="1541">
        <f t="shared" ref="M23:M31" si="7">G23*gwpn2o</f>
        <v>133.20000000000002</v>
      </c>
    </row>
    <row r="24" spans="1:13" ht="11.25" customHeight="1">
      <c r="A24" s="1888" t="s">
        <v>14110</v>
      </c>
      <c r="B24" s="1888"/>
      <c r="C24" s="1554"/>
      <c r="D24" s="1551">
        <v>0.9</v>
      </c>
      <c r="E24" s="1552">
        <v>1.18</v>
      </c>
      <c r="F24" s="1552">
        <v>0.34</v>
      </c>
      <c r="G24" s="1553">
        <v>0.31</v>
      </c>
      <c r="H24" s="1568"/>
      <c r="J24" s="1541">
        <f t="shared" si="4"/>
        <v>266.40000000000003</v>
      </c>
      <c r="K24" s="1541">
        <f t="shared" si="5"/>
        <v>349.28</v>
      </c>
      <c r="L24" s="1541">
        <f t="shared" si="6"/>
        <v>100.64</v>
      </c>
      <c r="M24" s="1541">
        <f t="shared" si="7"/>
        <v>91.76</v>
      </c>
    </row>
    <row r="25" spans="1:13" ht="11.25" customHeight="1">
      <c r="A25" s="1888" t="s">
        <v>14111</v>
      </c>
      <c r="B25" s="1888"/>
      <c r="C25" s="1554"/>
      <c r="D25" s="1551">
        <v>0.73</v>
      </c>
      <c r="E25" s="1552">
        <v>0.26</v>
      </c>
      <c r="F25" s="1552">
        <v>0.16</v>
      </c>
      <c r="G25" s="1553">
        <v>0.14000000000000001</v>
      </c>
      <c r="H25" s="1568"/>
      <c r="J25" s="1541">
        <f t="shared" si="4"/>
        <v>216.07999999999998</v>
      </c>
      <c r="K25" s="1541">
        <f t="shared" si="5"/>
        <v>76.960000000000008</v>
      </c>
      <c r="L25" s="1541">
        <f t="shared" si="6"/>
        <v>47.36</v>
      </c>
      <c r="M25" s="1541">
        <f t="shared" si="7"/>
        <v>41.440000000000005</v>
      </c>
    </row>
    <row r="26" spans="1:13" ht="11.25" customHeight="1">
      <c r="A26" s="1888" t="s">
        <v>14224</v>
      </c>
      <c r="B26" s="1888"/>
      <c r="C26" s="1554"/>
      <c r="D26" s="1551">
        <v>0</v>
      </c>
      <c r="E26" s="1552">
        <v>0</v>
      </c>
      <c r="F26" s="1552">
        <v>0</v>
      </c>
      <c r="G26" s="1553">
        <v>0</v>
      </c>
      <c r="H26" s="1568"/>
      <c r="J26" s="1541">
        <f t="shared" si="4"/>
        <v>0</v>
      </c>
      <c r="K26" s="1541">
        <f t="shared" si="5"/>
        <v>0</v>
      </c>
      <c r="L26" s="1541">
        <f t="shared" si="6"/>
        <v>0</v>
      </c>
      <c r="M26" s="1541">
        <f t="shared" si="7"/>
        <v>0</v>
      </c>
    </row>
    <row r="27" spans="1:13" ht="11.25" customHeight="1">
      <c r="A27" s="1888" t="s">
        <v>14225</v>
      </c>
      <c r="B27" s="1888"/>
      <c r="C27" s="1554"/>
      <c r="D27" s="1551">
        <v>0</v>
      </c>
      <c r="E27" s="1552">
        <v>0</v>
      </c>
      <c r="F27" s="1552">
        <v>0</v>
      </c>
      <c r="G27" s="1553">
        <v>0</v>
      </c>
      <c r="H27" s="1568"/>
      <c r="J27" s="1541">
        <f t="shared" si="4"/>
        <v>0</v>
      </c>
      <c r="K27" s="1541">
        <f t="shared" si="5"/>
        <v>0</v>
      </c>
      <c r="L27" s="1541">
        <f t="shared" si="6"/>
        <v>0</v>
      </c>
      <c r="M27" s="1541">
        <f t="shared" si="7"/>
        <v>0</v>
      </c>
    </row>
    <row r="28" spans="1:13" ht="11.25" customHeight="1">
      <c r="A28" s="1888" t="s">
        <v>14226</v>
      </c>
      <c r="B28" s="1888"/>
      <c r="C28" s="1554"/>
      <c r="D28" s="1551">
        <v>0</v>
      </c>
      <c r="E28" s="1552">
        <v>0</v>
      </c>
      <c r="F28" s="1552">
        <v>0</v>
      </c>
      <c r="G28" s="1553">
        <v>0</v>
      </c>
      <c r="H28" s="1568"/>
      <c r="J28" s="1541">
        <f t="shared" si="4"/>
        <v>0</v>
      </c>
      <c r="K28" s="1541">
        <f t="shared" si="5"/>
        <v>0</v>
      </c>
      <c r="L28" s="1541">
        <f t="shared" si="6"/>
        <v>0</v>
      </c>
      <c r="M28" s="1541">
        <f t="shared" si="7"/>
        <v>0</v>
      </c>
    </row>
    <row r="29" spans="1:13" ht="11.25" customHeight="1">
      <c r="A29" s="1888" t="s">
        <v>14227</v>
      </c>
      <c r="B29" s="1888"/>
      <c r="C29" s="1554"/>
      <c r="D29" s="1551">
        <v>0.01</v>
      </c>
      <c r="E29" s="1552">
        <v>0.01</v>
      </c>
      <c r="F29" s="1552">
        <v>0</v>
      </c>
      <c r="G29" s="1553">
        <v>0</v>
      </c>
      <c r="H29" s="1568"/>
      <c r="J29" s="1541">
        <f t="shared" si="4"/>
        <v>2.96</v>
      </c>
      <c r="K29" s="1541">
        <f t="shared" si="5"/>
        <v>2.96</v>
      </c>
      <c r="L29" s="1541">
        <f t="shared" si="6"/>
        <v>0</v>
      </c>
      <c r="M29" s="1541">
        <f t="shared" si="7"/>
        <v>0</v>
      </c>
    </row>
    <row r="30" spans="1:13" ht="11.25" customHeight="1">
      <c r="A30" s="1888" t="s">
        <v>14228</v>
      </c>
      <c r="B30" s="1888"/>
      <c r="C30" s="1554"/>
      <c r="D30" s="1551">
        <v>0</v>
      </c>
      <c r="E30" s="1552">
        <v>0</v>
      </c>
      <c r="F30" s="1552">
        <v>0</v>
      </c>
      <c r="G30" s="1553">
        <v>0</v>
      </c>
      <c r="H30" s="1568"/>
      <c r="J30" s="1541">
        <f t="shared" si="4"/>
        <v>0</v>
      </c>
      <c r="K30" s="1541">
        <f t="shared" si="5"/>
        <v>0</v>
      </c>
      <c r="L30" s="1541">
        <f t="shared" si="6"/>
        <v>0</v>
      </c>
      <c r="M30" s="1541">
        <f t="shared" si="7"/>
        <v>0</v>
      </c>
    </row>
    <row r="31" spans="1:13" ht="11.85" customHeight="1">
      <c r="A31" s="1888" t="s">
        <v>14229</v>
      </c>
      <c r="B31" s="1888"/>
      <c r="C31" s="1888"/>
      <c r="D31" s="1551">
        <v>0</v>
      </c>
      <c r="E31" s="1552">
        <v>0</v>
      </c>
      <c r="F31" s="1552">
        <v>0</v>
      </c>
      <c r="G31" s="1553">
        <v>0</v>
      </c>
      <c r="H31" s="1568"/>
      <c r="J31" s="1541">
        <f t="shared" si="4"/>
        <v>0</v>
      </c>
      <c r="K31" s="1541">
        <f t="shared" si="5"/>
        <v>0</v>
      </c>
      <c r="L31" s="1541">
        <f t="shared" si="6"/>
        <v>0</v>
      </c>
      <c r="M31" s="1541">
        <f t="shared" si="7"/>
        <v>0</v>
      </c>
    </row>
    <row r="32" spans="1:13" ht="12" customHeight="1">
      <c r="A32" s="1891" t="s">
        <v>14233</v>
      </c>
      <c r="B32" s="1891"/>
      <c r="C32" s="1554"/>
      <c r="D32" s="1551">
        <v>56004</v>
      </c>
      <c r="E32" s="1552">
        <v>56731</v>
      </c>
      <c r="F32" s="1552">
        <v>57281</v>
      </c>
      <c r="G32" s="1553">
        <v>58329</v>
      </c>
      <c r="H32" s="1567" t="s">
        <v>14222</v>
      </c>
      <c r="J32" s="1541">
        <f>D32</f>
        <v>56004</v>
      </c>
      <c r="K32" s="1541">
        <f>E32</f>
        <v>56731</v>
      </c>
      <c r="L32" s="1541">
        <f>F32</f>
        <v>57281</v>
      </c>
      <c r="M32" s="1541">
        <f>G32</f>
        <v>58329</v>
      </c>
    </row>
    <row r="33" spans="1:16" ht="11.25" customHeight="1">
      <c r="A33" s="1888" t="s">
        <v>14110</v>
      </c>
      <c r="B33" s="1888"/>
      <c r="C33" s="1554"/>
      <c r="D33" s="1551">
        <v>48418</v>
      </c>
      <c r="E33" s="1552">
        <v>49411</v>
      </c>
      <c r="F33" s="1552">
        <v>49284</v>
      </c>
      <c r="G33" s="1553">
        <v>50152</v>
      </c>
      <c r="H33" s="1568"/>
      <c r="J33" s="1541">
        <f t="shared" ref="J33:M40" si="8">D33</f>
        <v>48418</v>
      </c>
      <c r="K33" s="1541">
        <f t="shared" si="8"/>
        <v>49411</v>
      </c>
      <c r="L33" s="1541">
        <f t="shared" si="8"/>
        <v>49284</v>
      </c>
      <c r="M33" s="1541">
        <f t="shared" si="8"/>
        <v>50152</v>
      </c>
      <c r="O33" s="1541">
        <v>25578.843000000001</v>
      </c>
      <c r="P33" s="503" t="s">
        <v>14297</v>
      </c>
    </row>
    <row r="34" spans="1:16" ht="11.25" customHeight="1">
      <c r="A34" s="1888" t="s">
        <v>14111</v>
      </c>
      <c r="B34" s="1888"/>
      <c r="C34" s="1554"/>
      <c r="D34" s="1551">
        <v>4557</v>
      </c>
      <c r="E34" s="1552">
        <v>4517</v>
      </c>
      <c r="F34" s="1552">
        <v>5017</v>
      </c>
      <c r="G34" s="1553">
        <v>5196</v>
      </c>
      <c r="H34" s="1568"/>
      <c r="J34" s="1541">
        <f t="shared" si="8"/>
        <v>4557</v>
      </c>
      <c r="K34" s="1541">
        <f t="shared" si="8"/>
        <v>4517</v>
      </c>
      <c r="L34" s="1541">
        <f t="shared" si="8"/>
        <v>5017</v>
      </c>
      <c r="M34" s="1541">
        <f t="shared" si="8"/>
        <v>5196</v>
      </c>
    </row>
    <row r="35" spans="1:16" ht="11.25" customHeight="1">
      <c r="A35" s="1888" t="s">
        <v>14224</v>
      </c>
      <c r="B35" s="1888"/>
      <c r="C35" s="1554"/>
      <c r="D35" s="1555">
        <v>16</v>
      </c>
      <c r="E35" s="1556">
        <v>18</v>
      </c>
      <c r="F35" s="1556">
        <v>16</v>
      </c>
      <c r="G35" s="1557">
        <v>16</v>
      </c>
      <c r="H35" s="1568"/>
      <c r="J35" s="1541">
        <f t="shared" si="8"/>
        <v>16</v>
      </c>
      <c r="K35" s="1541">
        <f t="shared" si="8"/>
        <v>18</v>
      </c>
      <c r="L35" s="1541">
        <f t="shared" si="8"/>
        <v>16</v>
      </c>
      <c r="M35" s="1541">
        <f t="shared" si="8"/>
        <v>16</v>
      </c>
    </row>
    <row r="36" spans="1:16" ht="11.25" customHeight="1">
      <c r="A36" s="1888" t="s">
        <v>14225</v>
      </c>
      <c r="B36" s="1888"/>
      <c r="C36" s="1554"/>
      <c r="D36" s="1555">
        <v>932</v>
      </c>
      <c r="E36" s="1556">
        <v>791</v>
      </c>
      <c r="F36" s="1556">
        <v>903</v>
      </c>
      <c r="G36" s="1557">
        <v>938</v>
      </c>
      <c r="H36" s="1568"/>
      <c r="J36" s="1541">
        <f t="shared" si="8"/>
        <v>932</v>
      </c>
      <c r="K36" s="1541">
        <f t="shared" si="8"/>
        <v>791</v>
      </c>
      <c r="L36" s="1541">
        <f t="shared" si="8"/>
        <v>903</v>
      </c>
      <c r="M36" s="1541">
        <f t="shared" si="8"/>
        <v>938</v>
      </c>
    </row>
    <row r="37" spans="1:16" ht="11.25" customHeight="1">
      <c r="A37" s="1888" t="s">
        <v>14226</v>
      </c>
      <c r="B37" s="1888"/>
      <c r="C37" s="1554"/>
      <c r="D37" s="1555">
        <v>610</v>
      </c>
      <c r="E37" s="1556">
        <v>698</v>
      </c>
      <c r="F37" s="1556">
        <v>773</v>
      </c>
      <c r="G37" s="1557">
        <v>748</v>
      </c>
      <c r="H37" s="1568"/>
      <c r="J37" s="1541">
        <f t="shared" si="8"/>
        <v>610</v>
      </c>
      <c r="K37" s="1541">
        <f t="shared" si="8"/>
        <v>698</v>
      </c>
      <c r="L37" s="1541">
        <f t="shared" si="8"/>
        <v>773</v>
      </c>
      <c r="M37" s="1541">
        <f t="shared" si="8"/>
        <v>748</v>
      </c>
    </row>
    <row r="38" spans="1:16" ht="11.25" customHeight="1">
      <c r="A38" s="1888" t="s">
        <v>14227</v>
      </c>
      <c r="B38" s="1888"/>
      <c r="C38" s="1554"/>
      <c r="D38" s="1551">
        <v>1163</v>
      </c>
      <c r="E38" s="1556">
        <v>988</v>
      </c>
      <c r="F38" s="1556">
        <v>978</v>
      </c>
      <c r="G38" s="1557">
        <v>953</v>
      </c>
      <c r="H38" s="1568"/>
      <c r="J38" s="1541">
        <f t="shared" si="8"/>
        <v>1163</v>
      </c>
      <c r="K38" s="1541">
        <f t="shared" si="8"/>
        <v>988</v>
      </c>
      <c r="L38" s="1541">
        <f t="shared" si="8"/>
        <v>978</v>
      </c>
      <c r="M38" s="1541">
        <f t="shared" si="8"/>
        <v>953</v>
      </c>
    </row>
    <row r="39" spans="1:16" ht="11.25" customHeight="1">
      <c r="A39" s="1888" t="s">
        <v>14228</v>
      </c>
      <c r="B39" s="1888"/>
      <c r="C39" s="1554"/>
      <c r="D39" s="1555">
        <v>261</v>
      </c>
      <c r="E39" s="1556">
        <v>258</v>
      </c>
      <c r="F39" s="1556">
        <v>260</v>
      </c>
      <c r="G39" s="1557">
        <v>273</v>
      </c>
      <c r="H39" s="1568"/>
      <c r="J39" s="1541">
        <f t="shared" si="8"/>
        <v>261</v>
      </c>
      <c r="K39" s="1541">
        <f t="shared" si="8"/>
        <v>258</v>
      </c>
      <c r="L39" s="1541">
        <f t="shared" si="8"/>
        <v>260</v>
      </c>
      <c r="M39" s="1541">
        <f t="shared" si="8"/>
        <v>273</v>
      </c>
    </row>
    <row r="40" spans="1:16" ht="11.85" customHeight="1">
      <c r="A40" s="1888" t="s">
        <v>14229</v>
      </c>
      <c r="B40" s="1888"/>
      <c r="C40" s="1888"/>
      <c r="D40" s="1555">
        <v>47</v>
      </c>
      <c r="E40" s="1556">
        <v>51</v>
      </c>
      <c r="F40" s="1556">
        <v>51</v>
      </c>
      <c r="G40" s="1557">
        <v>53</v>
      </c>
      <c r="H40" s="1568"/>
      <c r="J40" s="1541">
        <f t="shared" si="8"/>
        <v>47</v>
      </c>
      <c r="K40" s="1541">
        <f t="shared" si="8"/>
        <v>51</v>
      </c>
      <c r="L40" s="1541">
        <f t="shared" si="8"/>
        <v>51</v>
      </c>
      <c r="M40" s="1541">
        <f t="shared" si="8"/>
        <v>53</v>
      </c>
    </row>
    <row r="41" spans="1:16" ht="12" customHeight="1">
      <c r="A41" s="1891" t="s">
        <v>14234</v>
      </c>
      <c r="B41" s="1891"/>
      <c r="C41" s="1550">
        <v>3</v>
      </c>
      <c r="D41" s="1551">
        <v>7653</v>
      </c>
      <c r="E41" s="1552">
        <v>7756</v>
      </c>
      <c r="F41" s="1552">
        <v>7659</v>
      </c>
      <c r="G41" s="1553">
        <v>8046</v>
      </c>
      <c r="H41" s="1567" t="s">
        <v>14222</v>
      </c>
    </row>
    <row r="42" spans="1:16" ht="11.25" customHeight="1">
      <c r="A42" s="1888" t="s">
        <v>14110</v>
      </c>
      <c r="B42" s="1888"/>
      <c r="C42" s="1554"/>
      <c r="D42" s="1551">
        <v>5596</v>
      </c>
      <c r="E42" s="1552">
        <v>5580</v>
      </c>
      <c r="F42" s="1552">
        <v>5598</v>
      </c>
      <c r="G42" s="1553">
        <v>6089</v>
      </c>
      <c r="H42" s="1568"/>
      <c r="I42" s="1570" t="s">
        <v>14110</v>
      </c>
      <c r="J42" s="1570">
        <f t="shared" ref="J42:M45" si="9">J15+J24+J33</f>
        <v>50896.08</v>
      </c>
      <c r="K42" s="1570">
        <f t="shared" si="9"/>
        <v>52022.1</v>
      </c>
      <c r="L42" s="1570">
        <f t="shared" si="9"/>
        <v>51673.599999999999</v>
      </c>
      <c r="M42" s="1570">
        <f t="shared" si="9"/>
        <v>52546.06</v>
      </c>
    </row>
    <row r="43" spans="1:16" ht="11.25" customHeight="1">
      <c r="A43" s="1888" t="s">
        <v>14111</v>
      </c>
      <c r="B43" s="1888"/>
      <c r="C43" s="1554"/>
      <c r="D43" s="1555">
        <v>400</v>
      </c>
      <c r="E43" s="1556">
        <v>723</v>
      </c>
      <c r="F43" s="1556">
        <v>527</v>
      </c>
      <c r="G43" s="1557">
        <v>468</v>
      </c>
      <c r="H43" s="1568"/>
      <c r="I43" s="1570" t="s">
        <v>14111</v>
      </c>
      <c r="J43" s="1570">
        <f t="shared" si="9"/>
        <v>4895.8999999999996</v>
      </c>
      <c r="K43" s="1570">
        <f t="shared" si="9"/>
        <v>4760.4799999999996</v>
      </c>
      <c r="L43" s="1570">
        <f t="shared" si="9"/>
        <v>5235.0200000000004</v>
      </c>
      <c r="M43" s="1570">
        <f t="shared" si="9"/>
        <v>5479.86</v>
      </c>
    </row>
    <row r="44" spans="1:16" ht="11.25" customHeight="1">
      <c r="A44" s="1888" t="s">
        <v>14224</v>
      </c>
      <c r="B44" s="1888"/>
      <c r="C44" s="1554"/>
      <c r="D44" s="1555">
        <v>726</v>
      </c>
      <c r="E44" s="1556">
        <v>697</v>
      </c>
      <c r="F44" s="1556">
        <v>705</v>
      </c>
      <c r="G44" s="1557">
        <v>739</v>
      </c>
      <c r="H44" s="1568"/>
      <c r="I44" s="1570" t="s">
        <v>14224</v>
      </c>
      <c r="J44" s="1570">
        <f t="shared" si="9"/>
        <v>96.27000000000001</v>
      </c>
      <c r="K44" s="1570">
        <f t="shared" si="9"/>
        <v>99.649999999999991</v>
      </c>
      <c r="L44" s="1570">
        <f t="shared" si="9"/>
        <v>101.79</v>
      </c>
      <c r="M44" s="1570">
        <f t="shared" si="9"/>
        <v>108.22999999999999</v>
      </c>
    </row>
    <row r="45" spans="1:16" ht="11.25" customHeight="1">
      <c r="A45" s="1888" t="s">
        <v>14225</v>
      </c>
      <c r="B45" s="1888"/>
      <c r="C45" s="1554"/>
      <c r="D45" s="1555">
        <v>289</v>
      </c>
      <c r="E45" s="1556">
        <v>248</v>
      </c>
      <c r="F45" s="1556">
        <v>263</v>
      </c>
      <c r="G45" s="1557">
        <v>261</v>
      </c>
      <c r="H45" s="1568"/>
      <c r="I45" s="1570" t="s">
        <v>14225</v>
      </c>
      <c r="J45" s="1570">
        <f t="shared" si="9"/>
        <v>932</v>
      </c>
      <c r="K45" s="1570">
        <f t="shared" si="9"/>
        <v>791</v>
      </c>
      <c r="L45" s="1570">
        <f t="shared" si="9"/>
        <v>903</v>
      </c>
      <c r="M45" s="1570">
        <f t="shared" si="9"/>
        <v>938</v>
      </c>
    </row>
    <row r="46" spans="1:16" ht="11.25" customHeight="1">
      <c r="A46" s="1888" t="s">
        <v>14226</v>
      </c>
      <c r="B46" s="1888"/>
      <c r="C46" s="1554"/>
      <c r="D46" s="1555">
        <v>108</v>
      </c>
      <c r="E46" s="1556">
        <v>125</v>
      </c>
      <c r="F46" s="1556">
        <v>170</v>
      </c>
      <c r="G46" s="1557">
        <v>162</v>
      </c>
      <c r="H46" s="1568"/>
    </row>
    <row r="47" spans="1:16" ht="11.25" customHeight="1">
      <c r="A47" s="1888" t="s">
        <v>14227</v>
      </c>
      <c r="B47" s="1888"/>
      <c r="C47" s="1554"/>
      <c r="D47" s="1555">
        <v>498</v>
      </c>
      <c r="E47" s="1556">
        <v>349</v>
      </c>
      <c r="F47" s="1556">
        <v>360</v>
      </c>
      <c r="G47" s="1557">
        <v>289</v>
      </c>
      <c r="H47" s="1568"/>
    </row>
    <row r="48" spans="1:16" ht="11.25" customHeight="1">
      <c r="A48" s="1888" t="s">
        <v>14228</v>
      </c>
      <c r="B48" s="1888"/>
      <c r="C48" s="1554"/>
      <c r="D48" s="1551">
        <v>0</v>
      </c>
      <c r="E48" s="1552">
        <v>0</v>
      </c>
      <c r="F48" s="1552">
        <v>0</v>
      </c>
      <c r="G48" s="1553">
        <v>0</v>
      </c>
      <c r="H48" s="1568"/>
    </row>
    <row r="49" spans="1:9" ht="11.85" customHeight="1">
      <c r="A49" s="1888" t="s">
        <v>14229</v>
      </c>
      <c r="B49" s="1888"/>
      <c r="C49" s="1888"/>
      <c r="D49" s="1555">
        <v>36</v>
      </c>
      <c r="E49" s="1556">
        <v>37</v>
      </c>
      <c r="F49" s="1556">
        <v>37</v>
      </c>
      <c r="G49" s="1557">
        <v>39</v>
      </c>
      <c r="H49" s="1568"/>
    </row>
    <row r="50" spans="1:9" ht="12" customHeight="1">
      <c r="A50" s="1891" t="s">
        <v>14235</v>
      </c>
      <c r="B50" s="1891"/>
      <c r="C50" s="1550">
        <v>4</v>
      </c>
      <c r="D50" s="1551">
        <v>0.05</v>
      </c>
      <c r="E50" s="1552">
        <v>0.59</v>
      </c>
      <c r="F50" s="1552">
        <v>0.78</v>
      </c>
      <c r="G50" s="1553">
        <v>0.52</v>
      </c>
      <c r="H50" s="1567" t="s">
        <v>14236</v>
      </c>
    </row>
    <row r="51" spans="1:9" ht="11.25" customHeight="1">
      <c r="A51" s="1888" t="s">
        <v>14110</v>
      </c>
      <c r="B51" s="1888"/>
      <c r="C51" s="1554"/>
      <c r="D51" s="1551">
        <v>0</v>
      </c>
      <c r="E51" s="1552">
        <v>0</v>
      </c>
      <c r="F51" s="1552">
        <v>0</v>
      </c>
      <c r="G51" s="1553">
        <v>0</v>
      </c>
      <c r="H51" s="1568"/>
    </row>
    <row r="52" spans="1:9" ht="11.25" customHeight="1">
      <c r="A52" s="1888" t="s">
        <v>14111</v>
      </c>
      <c r="B52" s="1888"/>
      <c r="C52" s="1554"/>
      <c r="D52" s="1551">
        <v>0</v>
      </c>
      <c r="E52" s="1552">
        <v>0</v>
      </c>
      <c r="F52" s="1552">
        <v>0</v>
      </c>
      <c r="G52" s="1553">
        <v>0</v>
      </c>
      <c r="H52" s="1568"/>
    </row>
    <row r="53" spans="1:9" ht="11.25" customHeight="1">
      <c r="A53" s="1888" t="s">
        <v>14224</v>
      </c>
      <c r="B53" s="1888"/>
      <c r="C53" s="1554"/>
      <c r="D53" s="1551">
        <v>0</v>
      </c>
      <c r="E53" s="1552">
        <v>0</v>
      </c>
      <c r="F53" s="1552">
        <v>0</v>
      </c>
      <c r="G53" s="1553">
        <v>0</v>
      </c>
      <c r="H53" s="1568"/>
    </row>
    <row r="54" spans="1:9" ht="11.25" customHeight="1">
      <c r="A54" s="1888" t="s">
        <v>14225</v>
      </c>
      <c r="B54" s="1888"/>
      <c r="C54" s="1554"/>
      <c r="D54" s="1551">
        <v>0</v>
      </c>
      <c r="E54" s="1552">
        <v>0</v>
      </c>
      <c r="F54" s="1552">
        <v>0</v>
      </c>
      <c r="G54" s="1553">
        <v>0</v>
      </c>
      <c r="H54" s="1568"/>
    </row>
    <row r="55" spans="1:9" ht="11.25" customHeight="1">
      <c r="A55" s="1888" t="s">
        <v>14226</v>
      </c>
      <c r="B55" s="1888"/>
      <c r="C55" s="1554"/>
      <c r="D55" s="1551">
        <v>0</v>
      </c>
      <c r="E55" s="1552">
        <v>0</v>
      </c>
      <c r="F55" s="1552">
        <v>0</v>
      </c>
      <c r="G55" s="1553">
        <v>0</v>
      </c>
      <c r="H55" s="1568"/>
    </row>
    <row r="56" spans="1:9" ht="11.25" customHeight="1">
      <c r="A56" s="1888" t="s">
        <v>14227</v>
      </c>
      <c r="B56" s="1888"/>
      <c r="C56" s="1554"/>
      <c r="D56" s="1551">
        <v>0</v>
      </c>
      <c r="E56" s="1552">
        <v>0</v>
      </c>
      <c r="F56" s="1552">
        <v>0</v>
      </c>
      <c r="G56" s="1553">
        <v>0</v>
      </c>
      <c r="H56" s="1568"/>
    </row>
    <row r="57" spans="1:9" ht="11.25" customHeight="1">
      <c r="A57" s="1888" t="s">
        <v>14228</v>
      </c>
      <c r="B57" s="1888"/>
      <c r="C57" s="1554"/>
      <c r="D57" s="1551">
        <v>0.05</v>
      </c>
      <c r="E57" s="1552">
        <v>0.59</v>
      </c>
      <c r="F57" s="1552">
        <v>0.78</v>
      </c>
      <c r="G57" s="1553">
        <v>0.52</v>
      </c>
      <c r="H57" s="1568"/>
    </row>
    <row r="58" spans="1:9" ht="13.5" customHeight="1">
      <c r="A58" s="1889" t="s">
        <v>14229</v>
      </c>
      <c r="B58" s="1889"/>
      <c r="C58" s="1889"/>
      <c r="D58" s="1571">
        <v>0</v>
      </c>
      <c r="E58" s="1572">
        <v>0</v>
      </c>
      <c r="F58" s="1572">
        <v>0</v>
      </c>
      <c r="G58" s="1573">
        <v>0</v>
      </c>
      <c r="H58" s="1574"/>
    </row>
    <row r="59" spans="1:9" ht="0.95" customHeight="1">
      <c r="A59" s="1891"/>
      <c r="B59" s="1891"/>
      <c r="C59" s="1891"/>
      <c r="D59" s="1891"/>
      <c r="E59" s="1891"/>
      <c r="F59" s="1891"/>
      <c r="G59" s="1891"/>
      <c r="H59" s="1891"/>
      <c r="I59" s="1891"/>
    </row>
    <row r="60" spans="1:9" ht="0.95" customHeight="1">
      <c r="A60" s="1891"/>
      <c r="B60" s="1891"/>
      <c r="C60" s="1891"/>
      <c r="D60" s="1891"/>
      <c r="E60" s="1891"/>
      <c r="F60" s="1891"/>
      <c r="G60" s="1891"/>
      <c r="H60" s="1891"/>
      <c r="I60" s="1891"/>
    </row>
    <row r="61" spans="1:9" ht="12.75" customHeight="1">
      <c r="A61" s="1894" t="s">
        <v>14237</v>
      </c>
      <c r="B61" s="1894"/>
      <c r="C61" s="1894"/>
      <c r="D61" s="1894"/>
      <c r="E61" s="1894"/>
      <c r="F61" s="1894"/>
      <c r="G61" s="1894"/>
      <c r="H61" s="1894"/>
      <c r="I61" s="1894"/>
    </row>
    <row r="62" spans="1:9" ht="39" customHeight="1">
      <c r="A62" s="1892" t="s">
        <v>14219</v>
      </c>
      <c r="B62" s="1892"/>
      <c r="C62" s="1892"/>
      <c r="D62" s="1575">
        <v>2019</v>
      </c>
      <c r="E62" s="1576">
        <v>2018</v>
      </c>
      <c r="F62" s="1576">
        <v>2017</v>
      </c>
      <c r="G62" s="1577">
        <v>2016</v>
      </c>
      <c r="H62" s="1578" t="s">
        <v>14238</v>
      </c>
    </row>
    <row r="63" spans="1:9" ht="12.75" customHeight="1">
      <c r="A63" s="1893" t="s">
        <v>14239</v>
      </c>
      <c r="B63" s="1893"/>
      <c r="C63" s="1893"/>
      <c r="D63" s="1579" t="s">
        <v>14240</v>
      </c>
      <c r="E63" s="1580" t="s">
        <v>14241</v>
      </c>
      <c r="F63" s="1580" t="s">
        <v>14242</v>
      </c>
      <c r="G63" s="1581" t="s">
        <v>14243</v>
      </c>
      <c r="H63" s="1582" t="s">
        <v>14222</v>
      </c>
    </row>
    <row r="64" spans="1:9" ht="11.25" customHeight="1">
      <c r="A64" s="1888" t="s">
        <v>14110</v>
      </c>
      <c r="B64" s="1888"/>
      <c r="C64" s="1888"/>
      <c r="D64" s="1551" t="s">
        <v>14244</v>
      </c>
      <c r="E64" s="1552" t="s">
        <v>14245</v>
      </c>
      <c r="F64" s="1552" t="s">
        <v>14246</v>
      </c>
      <c r="G64" s="1553" t="s">
        <v>14247</v>
      </c>
      <c r="H64" s="1568"/>
    </row>
    <row r="65" spans="1:8" ht="11.25" customHeight="1">
      <c r="A65" s="1888" t="s">
        <v>14111</v>
      </c>
      <c r="B65" s="1888"/>
      <c r="C65" s="1888"/>
      <c r="D65" s="1551" t="s">
        <v>14248</v>
      </c>
      <c r="E65" s="1552" t="s">
        <v>14249</v>
      </c>
      <c r="F65" s="1552" t="s">
        <v>14250</v>
      </c>
      <c r="G65" s="1553" t="s">
        <v>14251</v>
      </c>
      <c r="H65" s="1568"/>
    </row>
    <row r="66" spans="1:8" ht="11.25" customHeight="1">
      <c r="A66" s="1888" t="s">
        <v>14224</v>
      </c>
      <c r="B66" s="1888"/>
      <c r="C66" s="1888"/>
      <c r="D66" s="1555">
        <v>822</v>
      </c>
      <c r="E66" s="1556">
        <v>797</v>
      </c>
      <c r="F66" s="1556">
        <v>807</v>
      </c>
      <c r="G66" s="1557">
        <v>847</v>
      </c>
      <c r="H66" s="1568"/>
    </row>
    <row r="67" spans="1:8" ht="11.25" customHeight="1">
      <c r="A67" s="1888" t="s">
        <v>14225</v>
      </c>
      <c r="B67" s="1888"/>
      <c r="C67" s="1888"/>
      <c r="D67" s="1551" t="s">
        <v>14252</v>
      </c>
      <c r="E67" s="1552" t="s">
        <v>14253</v>
      </c>
      <c r="F67" s="1552" t="s">
        <v>14254</v>
      </c>
      <c r="G67" s="1553" t="s">
        <v>14255</v>
      </c>
      <c r="H67" s="1568"/>
    </row>
    <row r="68" spans="1:8" ht="11.25" customHeight="1">
      <c r="A68" s="1888" t="s">
        <v>14226</v>
      </c>
      <c r="B68" s="1888"/>
      <c r="C68" s="1888"/>
      <c r="D68" s="1555">
        <v>717</v>
      </c>
      <c r="E68" s="1556">
        <v>823</v>
      </c>
      <c r="F68" s="1556">
        <v>943</v>
      </c>
      <c r="G68" s="1557">
        <v>910</v>
      </c>
      <c r="H68" s="1568"/>
    </row>
    <row r="69" spans="1:8" ht="11.25" customHeight="1">
      <c r="A69" s="1888" t="s">
        <v>14227</v>
      </c>
      <c r="B69" s="1888"/>
      <c r="C69" s="1888"/>
      <c r="D69" s="1551" t="s">
        <v>14256</v>
      </c>
      <c r="E69" s="1552" t="s">
        <v>14257</v>
      </c>
      <c r="F69" s="1552" t="s">
        <v>14258</v>
      </c>
      <c r="G69" s="1553" t="s">
        <v>14259</v>
      </c>
      <c r="H69" s="1568"/>
    </row>
    <row r="70" spans="1:8" ht="11.25" customHeight="1">
      <c r="A70" s="1888" t="s">
        <v>14228</v>
      </c>
      <c r="B70" s="1888"/>
      <c r="C70" s="1888"/>
      <c r="D70" s="1555">
        <v>261</v>
      </c>
      <c r="E70" s="1556">
        <v>258</v>
      </c>
      <c r="F70" s="1556">
        <v>260</v>
      </c>
      <c r="G70" s="1557">
        <v>274</v>
      </c>
      <c r="H70" s="1568"/>
    </row>
    <row r="71" spans="1:8" ht="11.85" customHeight="1">
      <c r="A71" s="1888" t="s">
        <v>14229</v>
      </c>
      <c r="B71" s="1888"/>
      <c r="C71" s="1888"/>
      <c r="D71" s="1555">
        <v>83</v>
      </c>
      <c r="E71" s="1556">
        <v>88</v>
      </c>
      <c r="F71" s="1556">
        <v>89</v>
      </c>
      <c r="G71" s="1557">
        <v>198</v>
      </c>
      <c r="H71" s="1568"/>
    </row>
    <row r="72" spans="1:8" ht="12" customHeight="1">
      <c r="A72" s="1891" t="s">
        <v>14260</v>
      </c>
      <c r="B72" s="1891"/>
      <c r="C72" s="1891"/>
      <c r="D72" s="1551" t="s">
        <v>14261</v>
      </c>
      <c r="E72" s="1552" t="s">
        <v>14262</v>
      </c>
      <c r="F72" s="1552" t="s">
        <v>14263</v>
      </c>
      <c r="G72" s="1553" t="s">
        <v>14264</v>
      </c>
      <c r="H72" s="1583" t="s">
        <v>14222</v>
      </c>
    </row>
    <row r="73" spans="1:8" ht="11.25" customHeight="1">
      <c r="A73" s="1888" t="s">
        <v>14110</v>
      </c>
      <c r="B73" s="1888"/>
      <c r="C73" s="1888"/>
      <c r="D73" s="1551" t="s">
        <v>14265</v>
      </c>
      <c r="E73" s="1552" t="s">
        <v>14266</v>
      </c>
      <c r="F73" s="1552" t="s">
        <v>14267</v>
      </c>
      <c r="G73" s="1553" t="s">
        <v>14268</v>
      </c>
      <c r="H73" s="1568"/>
    </row>
    <row r="74" spans="1:8" ht="11.25" customHeight="1">
      <c r="A74" s="1888" t="s">
        <v>14111</v>
      </c>
      <c r="B74" s="1888"/>
      <c r="C74" s="1888"/>
      <c r="D74" s="1551" t="s">
        <v>14261</v>
      </c>
      <c r="E74" s="1552" t="s">
        <v>14269</v>
      </c>
      <c r="F74" s="1552" t="s">
        <v>14270</v>
      </c>
      <c r="G74" s="1553" t="s">
        <v>14271</v>
      </c>
      <c r="H74" s="1568"/>
    </row>
    <row r="75" spans="1:8" ht="11.25" customHeight="1">
      <c r="A75" s="1888" t="s">
        <v>14224</v>
      </c>
      <c r="B75" s="1888"/>
      <c r="C75" s="1888"/>
      <c r="D75" s="1551" t="s">
        <v>14272</v>
      </c>
      <c r="E75" s="1552" t="s">
        <v>14273</v>
      </c>
      <c r="F75" s="1552" t="s">
        <v>14274</v>
      </c>
      <c r="G75" s="1553" t="s">
        <v>14273</v>
      </c>
      <c r="H75" s="1568"/>
    </row>
    <row r="76" spans="1:8" ht="11.25" customHeight="1">
      <c r="A76" s="1888" t="s">
        <v>14225</v>
      </c>
      <c r="B76" s="1888"/>
      <c r="C76" s="1888"/>
      <c r="D76" s="1551" t="s">
        <v>14275</v>
      </c>
      <c r="E76" s="1552" t="s">
        <v>14275</v>
      </c>
      <c r="F76" s="1552" t="s">
        <v>14275</v>
      </c>
      <c r="G76" s="1553" t="s">
        <v>14275</v>
      </c>
      <c r="H76" s="1568"/>
    </row>
    <row r="77" spans="1:8" ht="11.25" customHeight="1">
      <c r="A77" s="1888" t="s">
        <v>14226</v>
      </c>
      <c r="B77" s="1888"/>
      <c r="C77" s="1888"/>
      <c r="D77" s="1551" t="s">
        <v>14276</v>
      </c>
      <c r="E77" s="1552" t="s">
        <v>14277</v>
      </c>
      <c r="F77" s="1552" t="s">
        <v>14278</v>
      </c>
      <c r="G77" s="1553" t="s">
        <v>14278</v>
      </c>
      <c r="H77" s="1568"/>
    </row>
    <row r="78" spans="1:8" ht="11.25" customHeight="1">
      <c r="A78" s="1888" t="s">
        <v>14227</v>
      </c>
      <c r="B78" s="1888"/>
      <c r="C78" s="1888"/>
      <c r="D78" s="1551" t="s">
        <v>14279</v>
      </c>
      <c r="E78" s="1552" t="s">
        <v>14280</v>
      </c>
      <c r="F78" s="1552" t="s">
        <v>14281</v>
      </c>
      <c r="G78" s="1553" t="s">
        <v>14282</v>
      </c>
      <c r="H78" s="1568"/>
    </row>
    <row r="79" spans="1:8" ht="11.25" customHeight="1">
      <c r="A79" s="1888" t="s">
        <v>14228</v>
      </c>
      <c r="B79" s="1888"/>
      <c r="C79" s="1888"/>
      <c r="D79" s="1551" t="s">
        <v>14283</v>
      </c>
      <c r="E79" s="1552" t="s">
        <v>14284</v>
      </c>
      <c r="F79" s="1552" t="s">
        <v>14285</v>
      </c>
      <c r="G79" s="1553" t="s">
        <v>14286</v>
      </c>
      <c r="H79" s="1568"/>
    </row>
    <row r="80" spans="1:8" ht="13.7" customHeight="1">
      <c r="A80" s="1889" t="s">
        <v>14229</v>
      </c>
      <c r="B80" s="1889"/>
      <c r="C80" s="1889"/>
      <c r="D80" s="1571" t="s">
        <v>14287</v>
      </c>
      <c r="E80" s="1572" t="s">
        <v>14288</v>
      </c>
      <c r="F80" s="1572" t="s">
        <v>14287</v>
      </c>
      <c r="G80" s="1573" t="s">
        <v>14272</v>
      </c>
      <c r="H80" s="1584"/>
    </row>
    <row r="81" spans="1:13" ht="113.25" customHeight="1">
      <c r="A81" s="1890" t="s">
        <v>14306</v>
      </c>
      <c r="B81" s="1891"/>
      <c r="C81" s="1891"/>
      <c r="D81" s="1891"/>
      <c r="E81" s="1891"/>
      <c r="F81" s="1891"/>
      <c r="G81" s="1891"/>
      <c r="H81" s="1891"/>
      <c r="I81" s="1891"/>
    </row>
    <row r="82" spans="1:13" ht="12.75" customHeight="1">
      <c r="A82" s="1891" t="s">
        <v>14289</v>
      </c>
      <c r="B82" s="1891"/>
      <c r="C82" s="1891"/>
      <c r="D82" s="1891"/>
      <c r="E82" s="1891"/>
      <c r="F82" s="1891"/>
      <c r="G82" s="1891"/>
      <c r="H82" s="1891"/>
      <c r="I82" s="1891"/>
    </row>
    <row r="83" spans="1:13">
      <c r="D83" s="1541" t="str">
        <f>D63</f>
        <v>66 558</v>
      </c>
      <c r="E83" s="1541" t="str">
        <f>E63</f>
        <v>67 412</v>
      </c>
      <c r="F83" s="1541" t="str">
        <f>F63</f>
        <v>67 632</v>
      </c>
      <c r="G83" s="1541" t="str">
        <f>G63</f>
        <v>69 250</v>
      </c>
    </row>
    <row r="85" spans="1:13">
      <c r="A85" s="1892" t="s">
        <v>14219</v>
      </c>
      <c r="B85" s="1892"/>
      <c r="C85" s="1892"/>
      <c r="D85" s="1575">
        <v>2019</v>
      </c>
      <c r="E85" s="1576">
        <v>2018</v>
      </c>
      <c r="F85" s="1576">
        <v>2017</v>
      </c>
      <c r="G85" s="1577">
        <v>2016</v>
      </c>
      <c r="J85" s="1541">
        <v>2019</v>
      </c>
      <c r="K85" s="1541">
        <v>2018</v>
      </c>
      <c r="L85" s="1541">
        <v>2017</v>
      </c>
      <c r="M85" s="1541">
        <v>2016</v>
      </c>
    </row>
    <row r="86" spans="1:13">
      <c r="A86" s="1893" t="s">
        <v>14239</v>
      </c>
      <c r="B86" s="1893"/>
      <c r="C86" s="1893"/>
      <c r="D86" s="1579">
        <f>D14*gwpch4+D23*gwpn2o+D32+D41+D50</f>
        <v>66558.41</v>
      </c>
      <c r="E86" s="1579">
        <f>E14*gwpch4+E23*gwpn2o+E32+E41+E50</f>
        <v>67424.97</v>
      </c>
      <c r="F86" s="1579">
        <f>F14*gwpch4+F23*gwpn2o+F32+F41+F50</f>
        <v>67637.38</v>
      </c>
      <c r="G86" s="1579">
        <f>G14*gwpch4+G23*gwpn2o+G32+G41+G50</f>
        <v>69251.47</v>
      </c>
      <c r="I86" s="1541" t="s">
        <v>14290</v>
      </c>
      <c r="J86" s="1570">
        <f>J14+J23+J32</f>
        <v>58905.36</v>
      </c>
      <c r="K86" s="1570">
        <f>K14+K23+K32</f>
        <v>59668.38</v>
      </c>
      <c r="L86" s="1570">
        <f>L14+L23+L32</f>
        <v>59977.599999999999</v>
      </c>
      <c r="M86" s="1570">
        <f>M14+M23+M32</f>
        <v>61204.95</v>
      </c>
    </row>
    <row r="87" spans="1:13">
      <c r="A87" s="1888" t="s">
        <v>14110</v>
      </c>
      <c r="B87" s="1888"/>
      <c r="C87" s="1888"/>
      <c r="D87" s="1579">
        <f t="shared" ref="D87:D94" si="10">D15*gwpch4+D24*gwpn2o+D33+D42+D51</f>
        <v>56492.08</v>
      </c>
      <c r="E87" s="1552" t="s">
        <v>14245</v>
      </c>
      <c r="F87" s="1552">
        <v>57267</v>
      </c>
      <c r="G87" s="1553" t="s">
        <v>14247</v>
      </c>
      <c r="I87" s="1570" t="s">
        <v>14110</v>
      </c>
      <c r="J87" s="1570">
        <f t="shared" ref="J87:M94" si="11">J15+J24+J33</f>
        <v>50896.08</v>
      </c>
      <c r="K87" s="1570">
        <f t="shared" si="11"/>
        <v>52022.1</v>
      </c>
      <c r="L87" s="1570">
        <f t="shared" si="11"/>
        <v>51673.599999999999</v>
      </c>
      <c r="M87" s="1570">
        <f t="shared" si="11"/>
        <v>52546.06</v>
      </c>
    </row>
    <row r="88" spans="1:13">
      <c r="A88" s="1888" t="s">
        <v>14111</v>
      </c>
      <c r="B88" s="1888"/>
      <c r="C88" s="1888"/>
      <c r="D88" s="1579">
        <f t="shared" si="10"/>
        <v>5295.9</v>
      </c>
      <c r="E88" s="1552" t="s">
        <v>14249</v>
      </c>
      <c r="F88" s="1552" t="s">
        <v>14250</v>
      </c>
      <c r="G88" s="1553" t="s">
        <v>14251</v>
      </c>
      <c r="I88" s="1570" t="s">
        <v>14111</v>
      </c>
      <c r="J88" s="1570">
        <f t="shared" si="11"/>
        <v>4895.8999999999996</v>
      </c>
      <c r="K88" s="1570">
        <f t="shared" si="11"/>
        <v>4760.4799999999996</v>
      </c>
      <c r="L88" s="1570">
        <f t="shared" si="11"/>
        <v>5235.0200000000004</v>
      </c>
      <c r="M88" s="1570">
        <f t="shared" si="11"/>
        <v>5479.86</v>
      </c>
    </row>
    <row r="89" spans="1:13">
      <c r="A89" s="1888" t="s">
        <v>14224</v>
      </c>
      <c r="B89" s="1888"/>
      <c r="C89" s="1888"/>
      <c r="D89" s="1579">
        <f t="shared" si="10"/>
        <v>822.27</v>
      </c>
      <c r="E89" s="1556">
        <v>797</v>
      </c>
      <c r="F89" s="1556">
        <v>807</v>
      </c>
      <c r="G89" s="1557">
        <v>847</v>
      </c>
      <c r="I89" s="1570" t="s">
        <v>14224</v>
      </c>
      <c r="J89" s="1570">
        <f t="shared" si="11"/>
        <v>96.27000000000001</v>
      </c>
      <c r="K89" s="1570">
        <f t="shared" si="11"/>
        <v>99.649999999999991</v>
      </c>
      <c r="L89" s="1570">
        <f t="shared" si="11"/>
        <v>101.79</v>
      </c>
      <c r="M89" s="1570">
        <f t="shared" si="11"/>
        <v>108.22999999999999</v>
      </c>
    </row>
    <row r="90" spans="1:13">
      <c r="A90" s="1888" t="s">
        <v>14225</v>
      </c>
      <c r="B90" s="1888"/>
      <c r="C90" s="1888"/>
      <c r="D90" s="1579">
        <f t="shared" si="10"/>
        <v>1221</v>
      </c>
      <c r="E90" s="1552" t="s">
        <v>14253</v>
      </c>
      <c r="F90" s="1552" t="s">
        <v>14254</v>
      </c>
      <c r="G90" s="1553" t="s">
        <v>14255</v>
      </c>
      <c r="I90" s="1570" t="s">
        <v>14225</v>
      </c>
      <c r="J90" s="1570">
        <f t="shared" si="11"/>
        <v>932</v>
      </c>
      <c r="K90" s="1570">
        <f t="shared" si="11"/>
        <v>791</v>
      </c>
      <c r="L90" s="1570">
        <f t="shared" si="11"/>
        <v>903</v>
      </c>
      <c r="M90" s="1570">
        <f t="shared" si="11"/>
        <v>938</v>
      </c>
    </row>
    <row r="91" spans="1:13">
      <c r="A91" s="1888" t="s">
        <v>14226</v>
      </c>
      <c r="B91" s="1888"/>
      <c r="C91" s="1888"/>
      <c r="D91" s="1579">
        <f t="shared" si="10"/>
        <v>718</v>
      </c>
      <c r="E91" s="1556">
        <v>823</v>
      </c>
      <c r="F91" s="1556">
        <v>943</v>
      </c>
      <c r="G91" s="1557">
        <v>910</v>
      </c>
      <c r="I91" s="1570" t="s">
        <v>14226</v>
      </c>
      <c r="J91" s="1570">
        <f t="shared" si="11"/>
        <v>610</v>
      </c>
      <c r="K91" s="1570">
        <f t="shared" si="11"/>
        <v>698</v>
      </c>
      <c r="L91" s="1570">
        <f t="shared" si="11"/>
        <v>773</v>
      </c>
      <c r="M91" s="1570">
        <f t="shared" si="11"/>
        <v>748</v>
      </c>
    </row>
    <row r="92" spans="1:13" ht="22.5">
      <c r="A92" s="1888" t="s">
        <v>14227</v>
      </c>
      <c r="B92" s="1888"/>
      <c r="C92" s="1888"/>
      <c r="D92" s="1579">
        <f t="shared" si="10"/>
        <v>1664.88</v>
      </c>
      <c r="E92" s="1552" t="s">
        <v>14257</v>
      </c>
      <c r="F92" s="1552" t="s">
        <v>14258</v>
      </c>
      <c r="G92" s="1553" t="s">
        <v>14259</v>
      </c>
      <c r="I92" s="1570" t="s">
        <v>14227</v>
      </c>
      <c r="J92" s="1570">
        <f t="shared" si="11"/>
        <v>1166.8800000000001</v>
      </c>
      <c r="K92" s="1570">
        <f t="shared" si="11"/>
        <v>991.88</v>
      </c>
      <c r="L92" s="1570">
        <f t="shared" si="11"/>
        <v>978</v>
      </c>
      <c r="M92" s="1570">
        <f t="shared" si="11"/>
        <v>953</v>
      </c>
    </row>
    <row r="93" spans="1:13">
      <c r="A93" s="1888" t="s">
        <v>14228</v>
      </c>
      <c r="B93" s="1888"/>
      <c r="C93" s="1888"/>
      <c r="D93" s="1579">
        <f t="shared" si="10"/>
        <v>261.05</v>
      </c>
      <c r="E93" s="1556">
        <v>258</v>
      </c>
      <c r="F93" s="1556">
        <v>260</v>
      </c>
      <c r="G93" s="1557">
        <v>274</v>
      </c>
      <c r="I93" s="1570" t="s">
        <v>14228</v>
      </c>
      <c r="J93" s="1570">
        <f t="shared" si="11"/>
        <v>261</v>
      </c>
      <c r="K93" s="1570">
        <f t="shared" si="11"/>
        <v>258</v>
      </c>
      <c r="L93" s="1570">
        <f t="shared" si="11"/>
        <v>260</v>
      </c>
      <c r="M93" s="1570">
        <f t="shared" si="11"/>
        <v>273</v>
      </c>
    </row>
    <row r="94" spans="1:13" ht="12.95" customHeight="1">
      <c r="A94" s="1888" t="s">
        <v>14229</v>
      </c>
      <c r="B94" s="1888"/>
      <c r="C94" s="1888"/>
      <c r="D94" s="1579">
        <f t="shared" si="10"/>
        <v>83.22999999999999</v>
      </c>
      <c r="E94" s="1556">
        <v>88</v>
      </c>
      <c r="F94" s="1556">
        <v>89</v>
      </c>
      <c r="G94" s="1557">
        <v>198</v>
      </c>
      <c r="I94" s="1570" t="s">
        <v>14229</v>
      </c>
      <c r="J94" s="1570">
        <f t="shared" si="11"/>
        <v>47.23</v>
      </c>
      <c r="K94" s="1570">
        <f t="shared" si="11"/>
        <v>51.23</v>
      </c>
      <c r="L94" s="1570">
        <f t="shared" si="11"/>
        <v>51.23</v>
      </c>
      <c r="M94" s="1570">
        <f t="shared" si="11"/>
        <v>159.03</v>
      </c>
    </row>
    <row r="96" spans="1:13">
      <c r="D96" s="1541" t="s">
        <v>14291</v>
      </c>
      <c r="E96" s="1541" t="s">
        <v>14292</v>
      </c>
    </row>
    <row r="97" spans="4:6">
      <c r="D97" s="1541" t="s">
        <v>14293</v>
      </c>
      <c r="E97" s="1541">
        <v>296</v>
      </c>
    </row>
    <row r="98" spans="4:6">
      <c r="D98" s="1541" t="s">
        <v>14294</v>
      </c>
      <c r="E98" s="1541">
        <v>23</v>
      </c>
    </row>
    <row r="100" spans="4:6">
      <c r="E100" s="1541" t="s">
        <v>14292</v>
      </c>
      <c r="F100" s="1541" t="s">
        <v>14295</v>
      </c>
    </row>
    <row r="101" spans="4:6">
      <c r="E101" s="1541">
        <v>310</v>
      </c>
      <c r="F101" s="1541">
        <v>296</v>
      </c>
    </row>
    <row r="102" spans="4:6">
      <c r="E102" s="1541">
        <v>21</v>
      </c>
      <c r="F102" s="1541">
        <v>23</v>
      </c>
    </row>
  </sheetData>
  <mergeCells count="93">
    <mergeCell ref="A15:B15"/>
    <mergeCell ref="A1:I1"/>
    <mergeCell ref="A2:C2"/>
    <mergeCell ref="A3:B3"/>
    <mergeCell ref="H3:H12"/>
    <mergeCell ref="A4:B4"/>
    <mergeCell ref="A5:B5"/>
    <mergeCell ref="A6:B6"/>
    <mergeCell ref="A7:B7"/>
    <mergeCell ref="A8:B8"/>
    <mergeCell ref="A9:B9"/>
    <mergeCell ref="A10:B10"/>
    <mergeCell ref="A11:B11"/>
    <mergeCell ref="A12:C12"/>
    <mergeCell ref="A13:B13"/>
    <mergeCell ref="A14:B14"/>
    <mergeCell ref="A27:B27"/>
    <mergeCell ref="A16:B16"/>
    <mergeCell ref="A17:B17"/>
    <mergeCell ref="A18:B18"/>
    <mergeCell ref="A19:B19"/>
    <mergeCell ref="A20:B20"/>
    <mergeCell ref="A21:B21"/>
    <mergeCell ref="A22:C22"/>
    <mergeCell ref="A23:B23"/>
    <mergeCell ref="A24:B24"/>
    <mergeCell ref="A25:B25"/>
    <mergeCell ref="A26:B26"/>
    <mergeCell ref="A39:B39"/>
    <mergeCell ref="A28:B28"/>
    <mergeCell ref="A29:B29"/>
    <mergeCell ref="A30:B30"/>
    <mergeCell ref="A31:C31"/>
    <mergeCell ref="A32:B32"/>
    <mergeCell ref="A33:B33"/>
    <mergeCell ref="A34:B34"/>
    <mergeCell ref="A35:B35"/>
    <mergeCell ref="A36:B36"/>
    <mergeCell ref="A37:B37"/>
    <mergeCell ref="A38:B38"/>
    <mergeCell ref="A51:B51"/>
    <mergeCell ref="A40:C40"/>
    <mergeCell ref="A41:B41"/>
    <mergeCell ref="A42:B42"/>
    <mergeCell ref="A43:B43"/>
    <mergeCell ref="A44:B44"/>
    <mergeCell ref="A45:B45"/>
    <mergeCell ref="A46:B46"/>
    <mergeCell ref="A47:B47"/>
    <mergeCell ref="A48:B48"/>
    <mergeCell ref="A49:C49"/>
    <mergeCell ref="A50:B50"/>
    <mergeCell ref="A63:C63"/>
    <mergeCell ref="A52:B52"/>
    <mergeCell ref="A53:B53"/>
    <mergeCell ref="A54:B54"/>
    <mergeCell ref="A55:B55"/>
    <mergeCell ref="A56:B56"/>
    <mergeCell ref="A57:B57"/>
    <mergeCell ref="A58:C58"/>
    <mergeCell ref="A59:I59"/>
    <mergeCell ref="A60:I60"/>
    <mergeCell ref="A61:I61"/>
    <mergeCell ref="A62:C62"/>
    <mergeCell ref="A75:C75"/>
    <mergeCell ref="A64:C64"/>
    <mergeCell ref="A65:C65"/>
    <mergeCell ref="A66:C66"/>
    <mergeCell ref="A67:C67"/>
    <mergeCell ref="A68:C68"/>
    <mergeCell ref="A69:C69"/>
    <mergeCell ref="A70:C70"/>
    <mergeCell ref="A71:C71"/>
    <mergeCell ref="A72:C72"/>
    <mergeCell ref="A73:C73"/>
    <mergeCell ref="A74:C74"/>
    <mergeCell ref="A89:C89"/>
    <mergeCell ref="A76:C76"/>
    <mergeCell ref="A77:C77"/>
    <mergeCell ref="A78:C78"/>
    <mergeCell ref="A79:C79"/>
    <mergeCell ref="A80:C80"/>
    <mergeCell ref="A81:I81"/>
    <mergeCell ref="A82:I82"/>
    <mergeCell ref="A85:C85"/>
    <mergeCell ref="A86:C86"/>
    <mergeCell ref="A87:C87"/>
    <mergeCell ref="A88:C88"/>
    <mergeCell ref="A90:C90"/>
    <mergeCell ref="A91:C91"/>
    <mergeCell ref="A92:C92"/>
    <mergeCell ref="A93:C93"/>
    <mergeCell ref="A94:C94"/>
  </mergeCells>
  <hyperlinks>
    <hyperlink ref="A81" r:id="rId1" display="http://www.sasol.com/" xr:uid="{584C5BF0-506F-42BE-8EF6-0F1CBAF796A4}"/>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C740-F455-408D-920F-7456C98FB4A8}">
  <sheetPr codeName="Sheet61"/>
  <dimension ref="A1:T95"/>
  <sheetViews>
    <sheetView workbookViewId="0"/>
  </sheetViews>
  <sheetFormatPr defaultRowHeight="12.75"/>
  <cols>
    <col min="1" max="1" width="17.7109375" style="1538" customWidth="1"/>
    <col min="2" max="2" width="9.140625" style="1538"/>
    <col min="3" max="3" width="11.140625" style="1538" bestFit="1" customWidth="1"/>
    <col min="4" max="5" width="9.140625" style="1538"/>
    <col min="6" max="6" width="10.42578125" style="1538" bestFit="1" customWidth="1"/>
    <col min="7" max="14" width="9.140625" style="1538"/>
    <col min="15" max="15" width="16.42578125" style="1538" customWidth="1"/>
    <col min="16" max="16" width="19.7109375" style="1538" customWidth="1"/>
    <col min="17" max="16384" width="9.140625" style="1538"/>
  </cols>
  <sheetData>
    <row r="1" spans="1:1" ht="15.75">
      <c r="A1" s="1537" t="s">
        <v>14170</v>
      </c>
    </row>
    <row r="45" spans="14:20">
      <c r="N45" s="1538" t="s">
        <v>14171</v>
      </c>
      <c r="O45" s="1538" t="s">
        <v>14172</v>
      </c>
      <c r="Q45" s="1538" t="s">
        <v>14173</v>
      </c>
      <c r="R45" s="1538" t="s">
        <v>14174</v>
      </c>
      <c r="S45" s="1538" t="s">
        <v>14175</v>
      </c>
      <c r="T45" s="1538" t="s">
        <v>14325</v>
      </c>
    </row>
    <row r="46" spans="14:20">
      <c r="N46" s="1538">
        <v>1</v>
      </c>
      <c r="O46" s="1538" t="s">
        <v>14176</v>
      </c>
      <c r="P46" s="1538" t="s">
        <v>14204</v>
      </c>
      <c r="Q46" s="1538" t="s">
        <v>14177</v>
      </c>
      <c r="R46" s="1538">
        <v>6</v>
      </c>
    </row>
    <row r="47" spans="14:20">
      <c r="N47" s="1538">
        <v>2</v>
      </c>
      <c r="O47" s="1538" t="s">
        <v>14178</v>
      </c>
      <c r="P47" s="1538" t="s">
        <v>14205</v>
      </c>
      <c r="Q47" s="1538" t="s">
        <v>14179</v>
      </c>
      <c r="R47" s="1538">
        <v>1</v>
      </c>
    </row>
    <row r="48" spans="14:20">
      <c r="N48" s="1538" t="s">
        <v>14180</v>
      </c>
      <c r="O48" s="1538" t="s">
        <v>14181</v>
      </c>
      <c r="P48" s="1538" t="s">
        <v>14206</v>
      </c>
      <c r="Q48" s="1538" t="s">
        <v>14177</v>
      </c>
      <c r="R48" s="1538">
        <v>8</v>
      </c>
      <c r="S48" s="1604">
        <f>R48/SUM($R$48:$R$50)</f>
        <v>0.34782608695652173</v>
      </c>
      <c r="T48" s="1606">
        <f>S48</f>
        <v>0.34782608695652173</v>
      </c>
    </row>
    <row r="49" spans="1:20">
      <c r="E49" s="1538">
        <f>9+22</f>
        <v>31</v>
      </c>
      <c r="N49" s="1538" t="s">
        <v>14182</v>
      </c>
      <c r="O49" s="1538" t="s">
        <v>14183</v>
      </c>
      <c r="P49" s="1538" t="s">
        <v>14207</v>
      </c>
      <c r="Q49" s="1538" t="s">
        <v>14177</v>
      </c>
      <c r="R49" s="1538">
        <v>9</v>
      </c>
      <c r="S49" s="1604">
        <f t="shared" ref="S49:S50" si="0">R49/SUM($R$48:$R$50)</f>
        <v>0.39130434782608697</v>
      </c>
      <c r="T49" s="1606">
        <f>S49</f>
        <v>0.39130434782608697</v>
      </c>
    </row>
    <row r="50" spans="1:20">
      <c r="N50" s="1538">
        <v>4</v>
      </c>
      <c r="O50" s="1538" t="s">
        <v>14184</v>
      </c>
      <c r="P50" s="1538" t="s">
        <v>14205</v>
      </c>
      <c r="Q50" s="1538" t="s">
        <v>14179</v>
      </c>
      <c r="R50" s="1538">
        <v>6</v>
      </c>
      <c r="S50" s="1604">
        <f t="shared" si="0"/>
        <v>0.2608695652173913</v>
      </c>
      <c r="T50" s="1605">
        <f>1-SUM(T48:T49)</f>
        <v>0.26086956521739135</v>
      </c>
    </row>
    <row r="51" spans="1:20">
      <c r="N51" s="1538" t="s">
        <v>14209</v>
      </c>
      <c r="O51" s="1538" t="s">
        <v>14185</v>
      </c>
      <c r="P51" s="1538" t="s">
        <v>14208</v>
      </c>
      <c r="Q51" s="1538" t="s">
        <v>14177</v>
      </c>
      <c r="R51" s="1538">
        <v>2</v>
      </c>
    </row>
    <row r="52" spans="1:20" ht="15">
      <c r="N52" s="1538" t="s">
        <v>14210</v>
      </c>
      <c r="O52" s="1538" t="s">
        <v>14185</v>
      </c>
      <c r="P52" s="1538" t="s">
        <v>14211</v>
      </c>
      <c r="Q52" s="1538" t="s">
        <v>14177</v>
      </c>
      <c r="R52" s="1538">
        <v>22</v>
      </c>
      <c r="T52" t="s">
        <v>14202</v>
      </c>
    </row>
    <row r="53" spans="1:20" ht="15">
      <c r="N53" s="1538" t="s">
        <v>14209</v>
      </c>
      <c r="O53" s="1538" t="s">
        <v>14185</v>
      </c>
      <c r="P53" s="1538" t="s">
        <v>14212</v>
      </c>
      <c r="Q53" s="1538" t="s">
        <v>14177</v>
      </c>
      <c r="R53" s="1538">
        <v>3</v>
      </c>
      <c r="T53" t="s">
        <v>14203</v>
      </c>
    </row>
    <row r="55" spans="1:20" ht="15.75">
      <c r="A55" s="1537" t="s">
        <v>14186</v>
      </c>
      <c r="N55" s="1538" t="s">
        <v>14187</v>
      </c>
      <c r="R55" s="1538">
        <f>SUM(R47:R53)</f>
        <v>51</v>
      </c>
    </row>
    <row r="56" spans="1:20">
      <c r="A56" s="1538" t="s">
        <v>14188</v>
      </c>
      <c r="N56" s="1538" t="s">
        <v>14201</v>
      </c>
      <c r="R56" s="1538">
        <f>R55-R50-R47</f>
        <v>44</v>
      </c>
    </row>
    <row r="57" spans="1:20">
      <c r="A57" s="1538" t="s">
        <v>14189</v>
      </c>
      <c r="C57" s="1538" t="s">
        <v>14190</v>
      </c>
      <c r="N57" s="1538" t="s">
        <v>14201</v>
      </c>
      <c r="O57" s="1538" t="s">
        <v>14214</v>
      </c>
      <c r="R57" s="1538">
        <f>R48+R49</f>
        <v>17</v>
      </c>
    </row>
    <row r="58" spans="1:20">
      <c r="C58" s="1538">
        <v>103164727</v>
      </c>
      <c r="N58" s="1538" t="s">
        <v>14201</v>
      </c>
      <c r="O58" s="1538" t="s">
        <v>14213</v>
      </c>
      <c r="R58" s="1538">
        <f>R52+R53</f>
        <v>25</v>
      </c>
    </row>
    <row r="59" spans="1:20">
      <c r="C59" s="1538" t="s">
        <v>14191</v>
      </c>
      <c r="N59" s="1538" t="s">
        <v>14201</v>
      </c>
      <c r="O59" s="1538" t="s">
        <v>14304</v>
      </c>
      <c r="R59" s="1538">
        <f>R51</f>
        <v>2</v>
      </c>
    </row>
    <row r="60" spans="1:20">
      <c r="C60" s="1538" t="s">
        <v>14192</v>
      </c>
      <c r="D60" s="1538">
        <v>94521</v>
      </c>
      <c r="E60" s="1538" t="s">
        <v>14193</v>
      </c>
      <c r="F60" s="1538">
        <f>D60*3.6</f>
        <v>340275.60000000003</v>
      </c>
      <c r="G60" s="1538" t="s">
        <v>1145</v>
      </c>
      <c r="H60" s="1538">
        <f>F60*0.000001</f>
        <v>0.34027560000000001</v>
      </c>
      <c r="I60" s="1538" t="s">
        <v>248</v>
      </c>
    </row>
    <row r="61" spans="1:20">
      <c r="C61" s="1538" t="s">
        <v>1699</v>
      </c>
      <c r="D61" s="1538">
        <v>2446</v>
      </c>
      <c r="E61" s="1538" t="s">
        <v>14193</v>
      </c>
      <c r="F61" s="1538">
        <f t="shared" ref="F61:F63" si="1">D61*3.6</f>
        <v>8805.6</v>
      </c>
      <c r="G61" s="1538" t="s">
        <v>1145</v>
      </c>
      <c r="H61" s="1538">
        <f t="shared" ref="H61:H63" si="2">F61*0.000001</f>
        <v>8.8056000000000002E-3</v>
      </c>
      <c r="I61" s="1538" t="s">
        <v>248</v>
      </c>
    </row>
    <row r="62" spans="1:20">
      <c r="C62" s="1538" t="s">
        <v>14194</v>
      </c>
      <c r="D62" s="1538">
        <v>84661823</v>
      </c>
      <c r="E62" s="1538" t="s">
        <v>14193</v>
      </c>
      <c r="F62" s="1538">
        <f t="shared" si="1"/>
        <v>304782562.80000001</v>
      </c>
      <c r="G62" s="1538" t="s">
        <v>1145</v>
      </c>
      <c r="H62" s="1538">
        <f t="shared" si="2"/>
        <v>304.78256279999999</v>
      </c>
      <c r="I62" s="1538" t="s">
        <v>248</v>
      </c>
    </row>
    <row r="63" spans="1:20">
      <c r="C63" s="1538" t="s">
        <v>14195</v>
      </c>
      <c r="D63" s="1538">
        <v>18405938</v>
      </c>
      <c r="E63" s="1538" t="s">
        <v>14193</v>
      </c>
      <c r="F63" s="1538">
        <f t="shared" si="1"/>
        <v>66261376.800000004</v>
      </c>
      <c r="G63" s="1538" t="s">
        <v>1145</v>
      </c>
      <c r="H63" s="1538">
        <f t="shared" si="2"/>
        <v>66.261376800000008</v>
      </c>
      <c r="I63" s="1538" t="s">
        <v>248</v>
      </c>
    </row>
    <row r="67" spans="3:9">
      <c r="C67" s="1538" t="s">
        <v>14196</v>
      </c>
    </row>
    <row r="68" spans="3:9">
      <c r="C68" s="1538" t="s">
        <v>23</v>
      </c>
      <c r="D68" s="1538">
        <v>0</v>
      </c>
      <c r="E68" s="1538" t="s">
        <v>14193</v>
      </c>
    </row>
    <row r="69" spans="3:9">
      <c r="C69" s="1538" t="s">
        <v>671</v>
      </c>
      <c r="D69" s="1538">
        <v>75393332</v>
      </c>
      <c r="E69" s="1538" t="s">
        <v>14193</v>
      </c>
      <c r="F69" s="1538">
        <f>D69*3.6</f>
        <v>271415995.19999999</v>
      </c>
      <c r="G69" s="1538" t="s">
        <v>1145</v>
      </c>
      <c r="H69" s="1538">
        <f>F69*0.000001</f>
        <v>271.4159952</v>
      </c>
      <c r="I69" s="1538" t="s">
        <v>248</v>
      </c>
    </row>
    <row r="70" spans="3:9">
      <c r="C70" s="1538" t="s">
        <v>14197</v>
      </c>
      <c r="D70" s="1538">
        <v>0</v>
      </c>
      <c r="E70" s="1538" t="s">
        <v>14193</v>
      </c>
    </row>
    <row r="73" spans="3:9">
      <c r="C73" s="1538" t="s">
        <v>14198</v>
      </c>
    </row>
    <row r="84" spans="1:7">
      <c r="D84" s="1538">
        <v>17271234</v>
      </c>
      <c r="E84" s="1538" t="s">
        <v>14193</v>
      </c>
    </row>
    <row r="85" spans="1:7">
      <c r="D85" s="1538">
        <v>8002743</v>
      </c>
      <c r="E85" s="1538" t="s">
        <v>14193</v>
      </c>
    </row>
    <row r="86" spans="1:7">
      <c r="D86" s="1538">
        <v>9268491</v>
      </c>
      <c r="E86" s="1538" t="s">
        <v>14193</v>
      </c>
    </row>
    <row r="87" spans="1:7">
      <c r="D87" s="1538">
        <v>0</v>
      </c>
      <c r="E87" s="1538" t="s">
        <v>14193</v>
      </c>
    </row>
    <row r="88" spans="1:7">
      <c r="D88" s="1538">
        <v>0</v>
      </c>
      <c r="E88" s="1538" t="s">
        <v>14193</v>
      </c>
    </row>
    <row r="94" spans="1:7" ht="15">
      <c r="A94" s="427" t="s">
        <v>647</v>
      </c>
      <c r="B94" s="427" t="s">
        <v>0</v>
      </c>
      <c r="C94" s="432">
        <v>261403</v>
      </c>
      <c r="D94" s="427"/>
    </row>
    <row r="95" spans="1:7" ht="15">
      <c r="A95" s="427" t="s">
        <v>647</v>
      </c>
      <c r="B95" s="427" t="s">
        <v>0</v>
      </c>
      <c r="C95" s="432">
        <f>F95*RefineriesData!D24/1000</f>
        <v>287120.47416000004</v>
      </c>
      <c r="D95" s="427" t="s">
        <v>9</v>
      </c>
      <c r="E95" s="1538" t="s">
        <v>14317</v>
      </c>
      <c r="F95" s="1598">
        <v>13777374</v>
      </c>
      <c r="G95" s="1538" t="s">
        <v>14316</v>
      </c>
    </row>
  </sheetData>
  <phoneticPr fontId="204"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2"/>
  <dimension ref="A1:AH260"/>
  <sheetViews>
    <sheetView workbookViewId="0"/>
  </sheetViews>
  <sheetFormatPr defaultColWidth="11.42578125" defaultRowHeight="15"/>
  <cols>
    <col min="1" max="1" width="11.42578125" style="427" customWidth="1"/>
    <col min="2" max="2" width="39.28515625" style="427" customWidth="1"/>
    <col min="3" max="3" width="12.42578125" style="427" customWidth="1"/>
    <col min="4" max="4" width="9.28515625" style="427" customWidth="1"/>
    <col min="5" max="9" width="11.42578125" style="427" customWidth="1"/>
    <col min="10" max="10" width="23" style="427" customWidth="1"/>
    <col min="11" max="11" width="9.28515625" style="427" customWidth="1"/>
    <col min="12" max="12" width="35.42578125" style="427" customWidth="1"/>
    <col min="13" max="13" width="11.42578125" style="427" customWidth="1"/>
    <col min="14" max="14" width="12.28515625" style="427" customWidth="1"/>
    <col min="15" max="15" width="11.42578125" style="427" customWidth="1"/>
    <col min="16" max="16" width="12.42578125" style="503" customWidth="1"/>
    <col min="17" max="17" width="12.7109375" style="503" customWidth="1"/>
    <col min="18" max="18" width="34.42578125" style="503" customWidth="1"/>
    <col min="19" max="19" width="16.7109375" style="503" customWidth="1"/>
    <col min="20" max="22" width="11.42578125" style="503" customWidth="1"/>
    <col min="23" max="26" width="11.42578125" style="427"/>
    <col min="27" max="27" width="17.28515625" style="427" bestFit="1" customWidth="1"/>
    <col min="28" max="16384" width="11.42578125" style="427"/>
  </cols>
  <sheetData>
    <row r="1" spans="2:30" ht="20.25" thickBot="1">
      <c r="B1" s="416" t="s">
        <v>606</v>
      </c>
      <c r="C1" s="416"/>
      <c r="D1" s="416"/>
      <c r="E1" s="416"/>
      <c r="F1" s="416"/>
      <c r="G1" s="416"/>
      <c r="H1" s="416"/>
      <c r="I1" s="416"/>
      <c r="J1" s="416"/>
    </row>
    <row r="2" spans="2:30" ht="15.75" thickTop="1"/>
    <row r="3" spans="2:30" ht="15.75" thickBot="1">
      <c r="B3" s="415" t="s">
        <v>10</v>
      </c>
    </row>
    <row r="4" spans="2:30">
      <c r="B4" s="414" t="s">
        <v>607</v>
      </c>
      <c r="L4" s="413" t="s">
        <v>608</v>
      </c>
      <c r="M4" s="412">
        <v>0.08</v>
      </c>
    </row>
    <row r="5" spans="2:30">
      <c r="B5" s="411" t="s">
        <v>609</v>
      </c>
    </row>
    <row r="6" spans="2:30">
      <c r="B6" s="410" t="s">
        <v>610</v>
      </c>
    </row>
    <row r="7" spans="2:30">
      <c r="B7" s="409" t="s">
        <v>611</v>
      </c>
    </row>
    <row r="8" spans="2:30">
      <c r="H8" s="406"/>
      <c r="I8" s="406"/>
    </row>
    <row r="9" spans="2:30" ht="18" thickBot="1">
      <c r="B9" s="408" t="s">
        <v>612</v>
      </c>
      <c r="L9" s="408" t="s">
        <v>613</v>
      </c>
      <c r="N9" s="427" t="str">
        <f>UPS!$B$90</f>
        <v>UCTLCLEIN-E</v>
      </c>
      <c r="U9" s="503" t="s">
        <v>617</v>
      </c>
      <c r="Z9" s="415" t="s">
        <v>614</v>
      </c>
    </row>
    <row r="10" spans="2:30" ht="16.5" thickTop="1" thickBot="1">
      <c r="B10" s="415" t="s">
        <v>615</v>
      </c>
      <c r="C10" s="413" t="s">
        <v>616</v>
      </c>
      <c r="D10" s="413" t="s">
        <v>339</v>
      </c>
      <c r="E10" s="413" t="s">
        <v>617</v>
      </c>
      <c r="M10" s="413" t="s">
        <v>0</v>
      </c>
      <c r="N10" s="413" t="s">
        <v>618</v>
      </c>
      <c r="O10" s="413" t="s">
        <v>619</v>
      </c>
      <c r="P10" s="1410" t="s">
        <v>617</v>
      </c>
      <c r="Q10" s="1409"/>
      <c r="R10" s="1409"/>
      <c r="S10" s="1409"/>
      <c r="T10" s="503">
        <v>2010</v>
      </c>
      <c r="AA10" s="427">
        <v>300000</v>
      </c>
    </row>
    <row r="11" spans="2:30">
      <c r="B11" s="427" t="s">
        <v>471</v>
      </c>
      <c r="C11" s="427" t="s">
        <v>620</v>
      </c>
      <c r="D11" s="407">
        <v>36</v>
      </c>
      <c r="E11" s="1473" t="s">
        <v>14104</v>
      </c>
      <c r="M11" s="413"/>
      <c r="N11" s="413"/>
      <c r="O11" s="413"/>
      <c r="P11" s="1410"/>
      <c r="Q11" s="1382"/>
      <c r="R11" s="1607" t="s">
        <v>14327</v>
      </c>
      <c r="S11" s="1409"/>
    </row>
    <row r="12" spans="2:30" ht="15.75" thickBot="1">
      <c r="B12" s="427" t="s">
        <v>14105</v>
      </c>
      <c r="C12" s="427" t="s">
        <v>620</v>
      </c>
      <c r="D12" s="407">
        <f>D11-D15+D16</f>
        <v>41</v>
      </c>
      <c r="E12" s="1473" t="s">
        <v>14104</v>
      </c>
      <c r="L12" s="415" t="s">
        <v>622</v>
      </c>
      <c r="P12" s="1410"/>
      <c r="Q12" s="1607" t="s">
        <v>1845</v>
      </c>
      <c r="R12" s="1608">
        <f>R34*N53</f>
        <v>23992.298093906065</v>
      </c>
      <c r="S12" s="1409"/>
      <c r="T12" s="431"/>
      <c r="Z12" s="427" t="s">
        <v>623</v>
      </c>
      <c r="AA12" s="427">
        <v>0.2089</v>
      </c>
      <c r="AB12" s="431">
        <f>AA12*$AA$10</f>
        <v>62670</v>
      </c>
      <c r="AC12" s="427">
        <f>N29</f>
        <v>74.066699999999997</v>
      </c>
      <c r="AD12" s="431">
        <f>AC12*AB12/1000</f>
        <v>4641.7600889999994</v>
      </c>
    </row>
    <row r="13" spans="2:30">
      <c r="B13" s="427" t="s">
        <v>624</v>
      </c>
      <c r="C13" s="427" t="s">
        <v>620</v>
      </c>
      <c r="D13" s="407">
        <v>1.2</v>
      </c>
      <c r="L13" s="427" t="s">
        <v>625</v>
      </c>
      <c r="M13" s="431">
        <f>D21*D24</f>
        <v>553766.3687872201</v>
      </c>
      <c r="N13" s="406">
        <v>96.25</v>
      </c>
      <c r="O13" s="431">
        <f>M13*N13/1000</f>
        <v>53300.012995769932</v>
      </c>
      <c r="P13" s="1410"/>
      <c r="Q13" s="1607" t="s">
        <v>14298</v>
      </c>
      <c r="R13" s="1608">
        <f>'SASOL CC 2019 report'!O33</f>
        <v>25578.843000000001</v>
      </c>
      <c r="S13" s="427" t="str">
        <f>L13</f>
        <v>Coal Material Input</v>
      </c>
      <c r="T13" s="431">
        <v>542321</v>
      </c>
      <c r="U13" s="503" t="s">
        <v>14102</v>
      </c>
      <c r="Z13" s="427" t="s">
        <v>626</v>
      </c>
      <c r="AA13" s="427">
        <v>0.1241</v>
      </c>
      <c r="AB13" s="431"/>
      <c r="AD13" s="431">
        <f t="shared" ref="AD13:AD18" si="0">AC13*AB13/1000</f>
        <v>0</v>
      </c>
    </row>
    <row r="14" spans="2:30">
      <c r="B14" s="427" t="s">
        <v>627</v>
      </c>
      <c r="C14" s="427" t="s">
        <v>620</v>
      </c>
      <c r="D14" s="407">
        <f>D12-D13</f>
        <v>39.799999999999997</v>
      </c>
      <c r="I14" s="503"/>
      <c r="L14" s="427" t="s">
        <v>628</v>
      </c>
      <c r="M14" s="1536">
        <v>51780</v>
      </c>
      <c r="N14" s="1591">
        <f>M14/SUM(M13:M14)</f>
        <v>8.5509554129940976E-2</v>
      </c>
      <c r="O14" s="431"/>
      <c r="P14" s="1410"/>
      <c r="Q14" s="1607" t="s">
        <v>14300</v>
      </c>
      <c r="R14" s="1613">
        <f>1- R12/R13</f>
        <v>6.20256712195284E-2</v>
      </c>
      <c r="S14" s="427" t="str">
        <f>L14</f>
        <v>Gas Material Input</v>
      </c>
      <c r="T14" s="431">
        <v>66763.742000000013</v>
      </c>
      <c r="U14" s="503" t="s">
        <v>14101</v>
      </c>
      <c r="Z14" s="427" t="s">
        <v>629</v>
      </c>
      <c r="AA14" s="427">
        <v>2.2200000000000001E-2</v>
      </c>
      <c r="AB14" s="431">
        <f>AA14*$AA$10</f>
        <v>6660</v>
      </c>
      <c r="AC14" s="427">
        <f>N31</f>
        <v>71.5</v>
      </c>
      <c r="AD14" s="431">
        <f t="shared" si="0"/>
        <v>476.19</v>
      </c>
    </row>
    <row r="15" spans="2:30">
      <c r="B15" s="427" t="s">
        <v>630</v>
      </c>
      <c r="C15" s="427" t="s">
        <v>620</v>
      </c>
      <c r="D15" s="407">
        <v>3</v>
      </c>
      <c r="N15" s="406"/>
      <c r="P15" s="1409"/>
      <c r="Q15" s="1609"/>
      <c r="R15" s="1609"/>
      <c r="S15" s="1409"/>
      <c r="Z15" s="427" t="s">
        <v>34</v>
      </c>
      <c r="AA15" s="427">
        <v>1.89E-2</v>
      </c>
      <c r="AB15" s="431">
        <f>AA15*$AA$10</f>
        <v>5670</v>
      </c>
      <c r="AC15" s="427">
        <f>N32</f>
        <v>63.07</v>
      </c>
      <c r="AD15" s="431">
        <f t="shared" si="0"/>
        <v>357.6069</v>
      </c>
    </row>
    <row r="16" spans="2:30">
      <c r="B16" s="427" t="s">
        <v>14103</v>
      </c>
      <c r="C16" s="427" t="s">
        <v>620</v>
      </c>
      <c r="D16" s="407">
        <v>8</v>
      </c>
      <c r="J16" s="1397">
        <v>49.353049907578551</v>
      </c>
      <c r="L16" s="427" t="s">
        <v>631</v>
      </c>
      <c r="M16" s="431">
        <v>0</v>
      </c>
      <c r="N16" s="406">
        <f>N27</f>
        <v>56.1</v>
      </c>
      <c r="O16" s="431">
        <f>M16*N16/1000</f>
        <v>0</v>
      </c>
      <c r="P16" s="1409"/>
      <c r="Q16" s="1609"/>
      <c r="R16" s="1610" t="s">
        <v>14328</v>
      </c>
      <c r="S16" s="1409"/>
      <c r="T16" s="431">
        <f t="shared" ref="T16:T22" si="1">M16</f>
        <v>0</v>
      </c>
      <c r="Z16" s="427" t="s">
        <v>632</v>
      </c>
      <c r="AA16" s="427">
        <v>2.87E-2</v>
      </c>
      <c r="AB16" s="431">
        <f>AA16*$AA$10</f>
        <v>8610</v>
      </c>
      <c r="AC16" s="427">
        <f>N27</f>
        <v>56.1</v>
      </c>
      <c r="AD16" s="431">
        <f t="shared" si="0"/>
        <v>483.02100000000002</v>
      </c>
    </row>
    <row r="17" spans="2:30">
      <c r="K17" s="431">
        <f>M17/$D$32</f>
        <v>120216.09418090434</v>
      </c>
      <c r="L17" s="427" t="s">
        <v>633</v>
      </c>
      <c r="M17" s="431">
        <f>D48</f>
        <v>102301.38254317068</v>
      </c>
      <c r="N17" s="406"/>
      <c r="O17" s="431">
        <f>M17*$D$30/1000</f>
        <v>9762.4174651971061</v>
      </c>
      <c r="Q17" s="1607" t="s">
        <v>14305</v>
      </c>
      <c r="R17" s="1611">
        <f>R39+O19</f>
        <v>46555.749753157987</v>
      </c>
      <c r="T17" s="431">
        <f t="shared" si="1"/>
        <v>102301.38254317068</v>
      </c>
      <c r="Z17" s="427" t="s">
        <v>634</v>
      </c>
      <c r="AA17" s="427">
        <v>2.2200000000000001E-2</v>
      </c>
      <c r="AB17" s="431">
        <f>AA17*$AA$10</f>
        <v>6660</v>
      </c>
      <c r="AC17" s="427">
        <f>N31</f>
        <v>71.5</v>
      </c>
      <c r="AD17" s="431">
        <f t="shared" si="0"/>
        <v>476.19</v>
      </c>
    </row>
    <row r="18" spans="2:30" ht="15.75" thickBot="1">
      <c r="B18" s="415" t="s">
        <v>635</v>
      </c>
      <c r="K18" s="431">
        <f>M18/$D$32</f>
        <v>112351.48988869568</v>
      </c>
      <c r="L18" s="427" t="s">
        <v>636</v>
      </c>
      <c r="M18" s="431">
        <f>D46</f>
        <v>95608.768731935241</v>
      </c>
      <c r="N18" s="406"/>
      <c r="O18" s="431">
        <f>M18*$D$30/1000</f>
        <v>9123.7546403711312</v>
      </c>
      <c r="Q18" s="1610" t="s">
        <v>14326</v>
      </c>
      <c r="R18" s="1612">
        <f>E90</f>
        <v>49718</v>
      </c>
      <c r="T18" s="431">
        <f t="shared" si="1"/>
        <v>95608.768731935241</v>
      </c>
      <c r="Z18" s="427" t="s">
        <v>637</v>
      </c>
      <c r="AA18" s="427">
        <v>0.57499999999999996</v>
      </c>
      <c r="AB18" s="431">
        <f>AA18*$AA$10</f>
        <v>172500</v>
      </c>
      <c r="AC18" s="427">
        <f>N30</f>
        <v>69.3</v>
      </c>
      <c r="AD18" s="431">
        <f t="shared" si="0"/>
        <v>11954.25</v>
      </c>
    </row>
    <row r="19" spans="2:30">
      <c r="B19" s="427" t="s">
        <v>638</v>
      </c>
      <c r="C19" s="427" t="s">
        <v>639</v>
      </c>
      <c r="D19" s="432">
        <v>16740.538019959145</v>
      </c>
      <c r="E19" s="427" t="s">
        <v>14315</v>
      </c>
      <c r="K19" s="431">
        <f>M19/$D$32</f>
        <v>54552.890090400004</v>
      </c>
      <c r="L19" s="427" t="s">
        <v>640</v>
      </c>
      <c r="M19" s="431">
        <f>D37</f>
        <v>46423.36881761744</v>
      </c>
      <c r="N19" s="406"/>
      <c r="O19" s="1539">
        <f>M19*$D$30/1000</f>
        <v>4430.0897531579812</v>
      </c>
      <c r="Q19" s="1607" t="s">
        <v>14300</v>
      </c>
      <c r="R19" s="1614">
        <f>1- R17/R18</f>
        <v>6.3603729973893075E-2</v>
      </c>
      <c r="T19" s="431">
        <f t="shared" si="1"/>
        <v>46423.36881761744</v>
      </c>
      <c r="AB19" s="431">
        <f>SUM(AB12:AB18)</f>
        <v>262770</v>
      </c>
      <c r="AD19" s="431">
        <f>SUM(AD12:AD18)</f>
        <v>18389.017989</v>
      </c>
    </row>
    <row r="20" spans="2:30">
      <c r="B20" s="427" t="s">
        <v>641</v>
      </c>
      <c r="D20" s="405">
        <v>0.63</v>
      </c>
      <c r="L20" s="427" t="s">
        <v>642</v>
      </c>
      <c r="M20" s="431">
        <f>SUM(M16:M19)</f>
        <v>244333.52009272337</v>
      </c>
      <c r="N20" s="406"/>
      <c r="O20" s="431">
        <f>SUM(O16:O19)</f>
        <v>23316.261858726219</v>
      </c>
      <c r="P20" s="1400">
        <f>D22*D24*D31*0.001</f>
        <v>23316.261858726222</v>
      </c>
      <c r="Q20" s="1400"/>
      <c r="R20" s="33">
        <f>R17-R18</f>
        <v>-3162.2502468420134</v>
      </c>
      <c r="T20" s="431">
        <f t="shared" si="1"/>
        <v>244333.52009272337</v>
      </c>
    </row>
    <row r="21" spans="2:30">
      <c r="B21" s="427" t="s">
        <v>643</v>
      </c>
      <c r="C21" s="427" t="s">
        <v>639</v>
      </c>
      <c r="D21" s="431">
        <f>D19/D20</f>
        <v>26572.282571363721</v>
      </c>
      <c r="E21" s="431"/>
      <c r="F21" s="431"/>
      <c r="L21" s="1592" t="s">
        <v>644</v>
      </c>
      <c r="M21" s="1593">
        <f>D63</f>
        <v>17820.64</v>
      </c>
      <c r="N21" s="1594"/>
      <c r="O21" s="1593">
        <f>F90</f>
        <v>5843.5</v>
      </c>
      <c r="T21" s="431">
        <f t="shared" si="1"/>
        <v>17820.64</v>
      </c>
    </row>
    <row r="22" spans="2:30">
      <c r="B22" s="427" t="s">
        <v>645</v>
      </c>
      <c r="C22" s="427" t="s">
        <v>639</v>
      </c>
      <c r="D22" s="431">
        <f>'Secunda Emissions 2019'!$F$95/1000</f>
        <v>13777.374</v>
      </c>
      <c r="E22" s="431">
        <f>(D14)*1000-D21</f>
        <v>13227.717428636279</v>
      </c>
      <c r="L22" s="427" t="s">
        <v>646</v>
      </c>
      <c r="M22" s="431">
        <f>D67</f>
        <v>18230</v>
      </c>
      <c r="N22" s="406"/>
      <c r="O22" s="431"/>
      <c r="T22" s="431">
        <f t="shared" si="1"/>
        <v>18230</v>
      </c>
    </row>
    <row r="23" spans="2:30">
      <c r="B23" s="427" t="s">
        <v>647</v>
      </c>
      <c r="C23" s="427" t="s">
        <v>0</v>
      </c>
      <c r="D23" s="432">
        <f>D22*D24</f>
        <v>287120.47416000004</v>
      </c>
      <c r="L23" s="427" t="s">
        <v>14303</v>
      </c>
      <c r="N23" s="406"/>
      <c r="O23" s="404">
        <f>SUM(O17:O18)</f>
        <v>18886.172105568236</v>
      </c>
      <c r="P23" s="504"/>
      <c r="R23" s="504"/>
    </row>
    <row r="24" spans="2:30">
      <c r="B24" s="427" t="s">
        <v>648</v>
      </c>
      <c r="C24" s="427" t="s">
        <v>649</v>
      </c>
      <c r="D24" s="1603">
        <v>20.840000000000003</v>
      </c>
      <c r="E24" s="427" t="s">
        <v>14215</v>
      </c>
      <c r="L24" s="403" t="s">
        <v>14318</v>
      </c>
      <c r="N24" s="406"/>
      <c r="O24" s="1539">
        <f>E90-O21</f>
        <v>43874.5</v>
      </c>
      <c r="P24" s="431"/>
      <c r="Q24" s="504"/>
      <c r="R24" s="504"/>
      <c r="T24" s="503" t="s">
        <v>2135</v>
      </c>
    </row>
    <row r="25" spans="2:30">
      <c r="B25" s="427" t="s">
        <v>14324</v>
      </c>
      <c r="C25" s="427" t="s">
        <v>649</v>
      </c>
      <c r="D25" s="1603">
        <v>18.670000000000002</v>
      </c>
      <c r="I25" s="427" t="s">
        <v>14168</v>
      </c>
      <c r="J25" s="1595" t="s">
        <v>14307</v>
      </c>
      <c r="L25" s="427" t="s">
        <v>650</v>
      </c>
      <c r="N25" s="406"/>
      <c r="O25" s="404">
        <f>O24-O23+P25</f>
        <v>24988.327894431764</v>
      </c>
      <c r="P25" s="407">
        <v>0</v>
      </c>
      <c r="Q25" s="504"/>
      <c r="T25" s="503" t="s">
        <v>254</v>
      </c>
      <c r="U25" s="503">
        <v>23600</v>
      </c>
    </row>
    <row r="26" spans="2:30" ht="15.75" thickBot="1">
      <c r="B26" s="415" t="s">
        <v>651</v>
      </c>
      <c r="I26" s="427" t="s">
        <v>14167</v>
      </c>
      <c r="J26" s="427" t="s">
        <v>14167</v>
      </c>
      <c r="K26" s="1476" t="s">
        <v>14112</v>
      </c>
      <c r="L26" s="413" t="s">
        <v>652</v>
      </c>
      <c r="N26" s="406"/>
      <c r="Q26" s="504"/>
      <c r="R26" s="1587" t="s">
        <v>14216</v>
      </c>
      <c r="T26" s="503" t="s">
        <v>256</v>
      </c>
      <c r="U26" s="503">
        <f>6.8/25*1000000</f>
        <v>272000</v>
      </c>
    </row>
    <row r="27" spans="2:30">
      <c r="B27" s="427" t="s">
        <v>653</v>
      </c>
      <c r="C27" s="431"/>
      <c r="K27" s="966">
        <f>M27/$M$34</f>
        <v>0.13683682177551551</v>
      </c>
      <c r="L27" s="427" t="s">
        <v>659</v>
      </c>
      <c r="M27" s="432">
        <v>34373.521113750001</v>
      </c>
      <c r="N27" s="406">
        <v>56.1</v>
      </c>
      <c r="O27" s="431">
        <f>N27*M27/1000</f>
        <v>1928.3545344813749</v>
      </c>
      <c r="P27" s="503" t="str">
        <f>E12</f>
        <v>SASOL Additional Analyst Information - 31 December 2017 2018</v>
      </c>
      <c r="R27" s="1587">
        <v>33.003399999999999</v>
      </c>
      <c r="S27" s="1587" t="s">
        <v>1804</v>
      </c>
      <c r="U27" s="432">
        <f>M28</f>
        <v>968.6782907999999</v>
      </c>
    </row>
    <row r="28" spans="2:30">
      <c r="B28" s="427" t="s">
        <v>655</v>
      </c>
      <c r="C28" s="427" t="s">
        <v>506</v>
      </c>
      <c r="D28" s="432">
        <v>2778.39</v>
      </c>
      <c r="E28" s="427" t="s">
        <v>14309</v>
      </c>
      <c r="G28" s="427" t="s">
        <v>14308</v>
      </c>
      <c r="H28" s="405">
        <v>84.6</v>
      </c>
      <c r="K28" s="966">
        <f t="shared" ref="K28:K33" si="2">M28/$M$34</f>
        <v>3.8561908801070703E-3</v>
      </c>
      <c r="L28" s="427" t="s">
        <v>390</v>
      </c>
      <c r="M28" s="432">
        <f>'GTL and CTL'!$T$15</f>
        <v>968.6782907999999</v>
      </c>
      <c r="N28" s="406">
        <v>74.066699999999997</v>
      </c>
      <c r="O28" s="431">
        <f t="shared" ref="O28:O33" si="3">N28*M28/1000</f>
        <v>71.746804361196354</v>
      </c>
      <c r="P28" s="503" t="s">
        <v>654</v>
      </c>
      <c r="R28" s="1587">
        <v>0.93010000000000004</v>
      </c>
      <c r="S28" s="1587" t="s">
        <v>558</v>
      </c>
      <c r="U28" s="432">
        <f>M29</f>
        <v>56558.323077979323</v>
      </c>
    </row>
    <row r="29" spans="2:30">
      <c r="B29" s="427" t="s">
        <v>657</v>
      </c>
      <c r="C29" s="427" t="s">
        <v>658</v>
      </c>
      <c r="D29" s="1599">
        <f>H28*D24*D31/H30/1000</f>
        <v>0.26513623166024053</v>
      </c>
      <c r="G29" s="1597" t="s">
        <v>14310</v>
      </c>
      <c r="H29" s="454">
        <v>1.679</v>
      </c>
      <c r="I29" s="1397">
        <f>1000*1.218735</f>
        <v>1218.7349999999999</v>
      </c>
      <c r="J29" s="1397">
        <f>R29/45.4112038140644*1000</f>
        <v>1195.8260393700778</v>
      </c>
      <c r="K29" s="966">
        <f t="shared" si="2"/>
        <v>0.22515182978585355</v>
      </c>
      <c r="L29" s="427" t="s">
        <v>32</v>
      </c>
      <c r="M29" s="432">
        <f>'GTL and CTL'!T18</f>
        <v>56558.323077979323</v>
      </c>
      <c r="N29" s="406">
        <v>74.066699999999997</v>
      </c>
      <c r="O29" s="431">
        <f t="shared" si="3"/>
        <v>4189.088347919771</v>
      </c>
      <c r="P29" s="503" t="s">
        <v>654</v>
      </c>
      <c r="R29" s="1587">
        <v>54.303899999999999</v>
      </c>
      <c r="S29" s="1587" t="s">
        <v>555</v>
      </c>
      <c r="U29" s="432">
        <f>M27</f>
        <v>34373.521113750001</v>
      </c>
    </row>
    <row r="30" spans="2:30">
      <c r="B30" s="427" t="s">
        <v>657</v>
      </c>
      <c r="C30" s="427" t="s">
        <v>660</v>
      </c>
      <c r="D30" s="443">
        <f>D29/D28*1000000</f>
        <v>95.428011064048079</v>
      </c>
      <c r="E30" s="1397"/>
      <c r="G30" s="1597" t="s">
        <v>14311</v>
      </c>
      <c r="H30" s="432">
        <v>540</v>
      </c>
      <c r="I30" s="1397">
        <f>1000*3.168711</f>
        <v>3168.7110000000002</v>
      </c>
      <c r="J30" s="1397">
        <f>R30/45.4112038140644*1000</f>
        <v>2715.1427322834625</v>
      </c>
      <c r="K30" s="966">
        <f t="shared" si="2"/>
        <v>0.51121066001704907</v>
      </c>
      <c r="L30" s="427" t="s">
        <v>663</v>
      </c>
      <c r="M30" s="432">
        <f>'GTL and CTL'!U28</f>
        <v>128416.53429000001</v>
      </c>
      <c r="N30" s="406">
        <v>69.3</v>
      </c>
      <c r="O30" s="431">
        <f t="shared" si="3"/>
        <v>8899.2658262969999</v>
      </c>
      <c r="P30" s="503" t="s">
        <v>654</v>
      </c>
      <c r="R30" s="1587">
        <v>123.2979</v>
      </c>
      <c r="S30" s="1587" t="s">
        <v>547</v>
      </c>
      <c r="U30" s="432">
        <f>M31</f>
        <v>10300</v>
      </c>
    </row>
    <row r="31" spans="2:30">
      <c r="B31" s="427" t="s">
        <v>662</v>
      </c>
      <c r="C31" s="427" t="s">
        <v>660</v>
      </c>
      <c r="D31" s="1602">
        <f>E31</f>
        <v>81.207242106089097</v>
      </c>
      <c r="E31" s="666">
        <f>0.0812072421060891*1000</f>
        <v>81.207242106089097</v>
      </c>
      <c r="F31" s="1596"/>
      <c r="G31" s="1596" t="s">
        <v>14312</v>
      </c>
      <c r="H31" s="402">
        <f>(H30*D28/1000)/(H28*D24)</f>
        <v>0.85097909094621615</v>
      </c>
      <c r="I31" s="1397">
        <v>487</v>
      </c>
      <c r="J31" s="1397">
        <f t="shared" ref="J31:J32" si="4">R31/45.4112038140644*1000</f>
        <v>217.77445144356938</v>
      </c>
      <c r="K31" s="966">
        <f t="shared" si="2"/>
        <v>4.1003051727628158E-2</v>
      </c>
      <c r="L31" s="427" t="s">
        <v>661</v>
      </c>
      <c r="M31" s="432">
        <f>10086+214</f>
        <v>10300</v>
      </c>
      <c r="N31" s="406">
        <v>71.5</v>
      </c>
      <c r="O31" s="431">
        <f t="shared" si="3"/>
        <v>736.45</v>
      </c>
      <c r="P31" s="503" t="s">
        <v>654</v>
      </c>
      <c r="R31" s="1587">
        <v>9.8894000000000002</v>
      </c>
      <c r="S31" s="1587" t="s">
        <v>592</v>
      </c>
      <c r="U31" s="432">
        <f>M32</f>
        <v>3267.7613077999999</v>
      </c>
    </row>
    <row r="32" spans="2:30">
      <c r="B32" s="427" t="s">
        <v>14314</v>
      </c>
      <c r="D32" s="407">
        <f>H31</f>
        <v>0.85097909094621615</v>
      </c>
      <c r="F32" s="1114"/>
      <c r="G32" s="1596" t="s">
        <v>14313</v>
      </c>
      <c r="H32" s="402">
        <f>D31/D30</f>
        <v>0.85097909094621627</v>
      </c>
      <c r="J32" s="1397">
        <f t="shared" si="4"/>
        <v>69.0908792650918</v>
      </c>
      <c r="K32" s="966">
        <f t="shared" si="2"/>
        <v>1.3008561741482062E-2</v>
      </c>
      <c r="L32" s="427" t="s">
        <v>34</v>
      </c>
      <c r="M32" s="432">
        <f>'GTL and CTL'!T23</f>
        <v>3267.7613077999999</v>
      </c>
      <c r="N32" s="406">
        <v>63.07</v>
      </c>
      <c r="O32" s="431">
        <f t="shared" si="3"/>
        <v>206.09770568294599</v>
      </c>
      <c r="P32" s="503" t="s">
        <v>654</v>
      </c>
      <c r="R32" s="1587">
        <v>3.1375000000000002</v>
      </c>
      <c r="S32" s="1587" t="s">
        <v>551</v>
      </c>
      <c r="U32" s="432">
        <f>M30</f>
        <v>128416.53429000001</v>
      </c>
      <c r="X32" s="427" t="s">
        <v>664</v>
      </c>
      <c r="Y32" s="427" t="s">
        <v>665</v>
      </c>
      <c r="Z32" s="427" t="s">
        <v>666</v>
      </c>
      <c r="AA32" s="427" t="s">
        <v>667</v>
      </c>
    </row>
    <row r="33" spans="2:27">
      <c r="B33" s="427" t="s">
        <v>693</v>
      </c>
      <c r="C33" s="427" t="s">
        <v>694</v>
      </c>
      <c r="D33" s="1602">
        <f>D31/D32</f>
        <v>95.428011064048093</v>
      </c>
      <c r="J33" s="1397"/>
      <c r="K33" s="966">
        <f t="shared" si="2"/>
        <v>6.89328840723646E-2</v>
      </c>
      <c r="L33" s="427" t="s">
        <v>668</v>
      </c>
      <c r="M33" s="432">
        <f>'GTL and CTL'!$T$19</f>
        <v>17315.996640000001</v>
      </c>
      <c r="N33" s="406">
        <f>AA33</f>
        <v>71.649568474189863</v>
      </c>
      <c r="O33" s="431">
        <f t="shared" si="3"/>
        <v>1240.6836869565216</v>
      </c>
      <c r="P33" s="503" t="s">
        <v>654</v>
      </c>
      <c r="R33" s="1587">
        <v>16.625800000000002</v>
      </c>
      <c r="S33" s="1587" t="s">
        <v>594</v>
      </c>
      <c r="U33" s="432">
        <f>M33</f>
        <v>17315.996640000001</v>
      </c>
      <c r="W33" s="427" t="s">
        <v>669</v>
      </c>
      <c r="X33" s="427">
        <v>26700</v>
      </c>
      <c r="Y33" s="427">
        <f>24/46</f>
        <v>0.52173913043478259</v>
      </c>
      <c r="Z33" s="427">
        <f>Y33*(12+32)/12</f>
        <v>1.9130434782608694</v>
      </c>
      <c r="AA33" s="427">
        <f>Z33/X33*1000000</f>
        <v>71.649568474189863</v>
      </c>
    </row>
    <row r="34" spans="2:27" ht="15.75" thickBot="1">
      <c r="B34" s="415" t="s">
        <v>14319</v>
      </c>
      <c r="H34" s="1397"/>
      <c r="J34" s="1295">
        <f>'[2]SASOL Commodities'!$D$10</f>
        <v>3809</v>
      </c>
      <c r="K34" s="966">
        <f>SUM(K27:K33)</f>
        <v>1</v>
      </c>
      <c r="L34" s="427" t="s">
        <v>670</v>
      </c>
      <c r="M34" s="431">
        <f>SUM(M27:M33)</f>
        <v>251200.81472032933</v>
      </c>
      <c r="O34" s="444">
        <f>SUM(O28:O33)</f>
        <v>15343.332371217435</v>
      </c>
      <c r="R34" s="1588">
        <f>SUM(R27:R33)</f>
        <v>241.18799999999999</v>
      </c>
      <c r="U34" s="431">
        <f>SUM(U27:U33)</f>
        <v>251200.81472032933</v>
      </c>
    </row>
    <row r="35" spans="2:27">
      <c r="B35" s="427" t="s">
        <v>671</v>
      </c>
      <c r="C35" s="427" t="s">
        <v>0</v>
      </c>
      <c r="D35" s="431">
        <f>D32*D23</f>
        <v>244333.52009272337</v>
      </c>
      <c r="I35" s="413" t="s">
        <v>14169</v>
      </c>
      <c r="J35" s="1535">
        <f>1-J34/SUM(J25:J33)</f>
        <v>9.2627315153639866E-2</v>
      </c>
      <c r="L35" s="403" t="s">
        <v>672</v>
      </c>
      <c r="M35" s="431">
        <f>M13+M14+M16+M17+M18+M21+M22</f>
        <v>839507.160062326</v>
      </c>
      <c r="O35" s="431"/>
      <c r="R35" s="1589">
        <f>R34/N56</f>
        <v>0.92068238170743788</v>
      </c>
      <c r="U35" s="431">
        <f>T13+T14+T16+T17+T18+T21+T22</f>
        <v>843045.53327510587</v>
      </c>
    </row>
    <row r="36" spans="2:27">
      <c r="B36" s="427" t="s">
        <v>673</v>
      </c>
      <c r="C36" s="427" t="s">
        <v>296</v>
      </c>
      <c r="D36" s="1636">
        <v>0.19</v>
      </c>
      <c r="E36" s="1203"/>
      <c r="M36" s="431"/>
    </row>
    <row r="37" spans="2:27">
      <c r="B37" s="427" t="s">
        <v>674</v>
      </c>
      <c r="C37" s="427" t="s">
        <v>0</v>
      </c>
      <c r="D37" s="431">
        <f>D36*D35</f>
        <v>46423.36881761744</v>
      </c>
      <c r="J37" s="427" t="str">
        <f t="shared" ref="J37:J60" si="5">$N$9&amp;K37</f>
        <v>UCTLCLEIN-EEFF</v>
      </c>
      <c r="K37" s="427" t="str">
        <f>$A$256</f>
        <v>EFF</v>
      </c>
      <c r="L37" s="413" t="s">
        <v>675</v>
      </c>
      <c r="N37" s="446">
        <f>M34/M35</f>
        <v>0.29922414801284114</v>
      </c>
      <c r="Q37" s="1587" t="s">
        <v>13545</v>
      </c>
      <c r="R37" s="1600">
        <v>25578.84</v>
      </c>
      <c r="U37" s="446">
        <f>U34/U35</f>
        <v>0.2979682648272291</v>
      </c>
    </row>
    <row r="38" spans="2:27">
      <c r="B38" s="427" t="s">
        <v>676</v>
      </c>
      <c r="C38" s="427" t="s">
        <v>520</v>
      </c>
      <c r="D38" s="407">
        <v>130</v>
      </c>
      <c r="E38" s="427" t="s">
        <v>677</v>
      </c>
      <c r="J38" s="427" t="str">
        <f t="shared" si="5"/>
        <v>UCTLCLEIN-E</v>
      </c>
      <c r="L38" s="413" t="s">
        <v>678</v>
      </c>
      <c r="Q38" s="1587" t="s">
        <v>13552</v>
      </c>
      <c r="R38" s="1600">
        <v>16546.82</v>
      </c>
      <c r="U38" s="427"/>
    </row>
    <row r="39" spans="2:27">
      <c r="B39" s="427" t="s">
        <v>679</v>
      </c>
      <c r="C39" s="427" t="s">
        <v>14200</v>
      </c>
      <c r="D39" s="407">
        <v>600</v>
      </c>
      <c r="E39" s="427" t="s">
        <v>14199</v>
      </c>
      <c r="J39" s="427" t="str">
        <f t="shared" si="5"/>
        <v>UCTLCLEIN-ECLE</v>
      </c>
      <c r="K39" s="427" t="str">
        <f>NameConv!$C$14</f>
        <v>CLE</v>
      </c>
      <c r="L39" s="427" t="str">
        <f>L13</f>
        <v>Coal Material Input</v>
      </c>
      <c r="N39" s="446">
        <f>M13/M35</f>
        <v>0.65963269300300886</v>
      </c>
      <c r="R39" s="503">
        <f>SUM(R37:R38)</f>
        <v>42125.66</v>
      </c>
      <c r="U39" s="446">
        <f>T13/U35</f>
        <v>0.64328791102559313</v>
      </c>
    </row>
    <row r="40" spans="2:27">
      <c r="J40" s="427" t="str">
        <f t="shared" si="5"/>
        <v>UCTLCLEIN-EGAS</v>
      </c>
      <c r="K40" s="427" t="str">
        <f>NameConv!$C$18</f>
        <v>GAS</v>
      </c>
      <c r="L40" s="427" t="str">
        <f>L14</f>
        <v>Gas Material Input</v>
      </c>
      <c r="N40" s="446">
        <f>M14/M35</f>
        <v>6.1679045115178993E-2</v>
      </c>
      <c r="R40" s="1397"/>
      <c r="U40" s="446">
        <f>T14/U35</f>
        <v>7.9193518457577078E-2</v>
      </c>
    </row>
    <row r="41" spans="2:27">
      <c r="B41" s="427" t="s">
        <v>680</v>
      </c>
      <c r="C41" s="427" t="s">
        <v>0</v>
      </c>
      <c r="D41" s="431">
        <f>D38/(D39+D38)*D37</f>
        <v>8267.1752688907764</v>
      </c>
      <c r="J41" s="427" t="str">
        <f t="shared" si="5"/>
        <v>UCTLCLEIN-E</v>
      </c>
      <c r="L41" s="427" t="str">
        <f>L16</f>
        <v>Gas Heat Input</v>
      </c>
      <c r="N41" s="446">
        <f>M16/M35</f>
        <v>0</v>
      </c>
      <c r="U41" s="446">
        <f>T16/U35</f>
        <v>0</v>
      </c>
    </row>
    <row r="42" spans="2:27">
      <c r="B42" s="427" t="s">
        <v>681</v>
      </c>
      <c r="C42" s="427" t="s">
        <v>0</v>
      </c>
      <c r="D42" s="431">
        <f>D13*D25*1000-D41</f>
        <v>14136.824731109224</v>
      </c>
      <c r="J42" s="427" t="str">
        <f t="shared" si="5"/>
        <v>UCTLCLEIN-EHEE</v>
      </c>
      <c r="K42" s="427" t="str">
        <f>NameConv!$C$29</f>
        <v>HEE</v>
      </c>
      <c r="L42" s="427" t="s">
        <v>682</v>
      </c>
      <c r="N42" s="446">
        <f>(M17+M18)/M35</f>
        <v>0.23574563826282655</v>
      </c>
      <c r="U42" s="446">
        <f>(T17+T18)/U35</f>
        <v>0.23475618274881851</v>
      </c>
    </row>
    <row r="43" spans="2:27">
      <c r="J43" s="427" t="str">
        <f t="shared" si="5"/>
        <v>UCTLCLEIN-EELC</v>
      </c>
      <c r="K43" s="427" t="str">
        <f>NameConv!$C$16</f>
        <v>ELC</v>
      </c>
      <c r="L43" s="427" t="s">
        <v>683</v>
      </c>
      <c r="N43" s="446">
        <f>(M21+M22)/M35</f>
        <v>4.294262361898564E-2</v>
      </c>
      <c r="R43" s="1540"/>
      <c r="U43" s="446">
        <f>(T21+T22)/U35</f>
        <v>4.2762387768011355E-2</v>
      </c>
    </row>
    <row r="44" spans="2:27">
      <c r="B44" s="427" t="s">
        <v>684</v>
      </c>
      <c r="C44" s="427" t="s">
        <v>0</v>
      </c>
      <c r="D44" s="431">
        <f>D35</f>
        <v>244333.52009272337</v>
      </c>
      <c r="J44" s="427" t="str">
        <f t="shared" si="5"/>
        <v>UCTLCLEIN-E</v>
      </c>
      <c r="L44" s="413" t="s">
        <v>685</v>
      </c>
      <c r="R44" s="431"/>
    </row>
    <row r="45" spans="2:27">
      <c r="B45" s="427" t="s">
        <v>686</v>
      </c>
      <c r="C45" s="427" t="s">
        <v>296</v>
      </c>
      <c r="D45" s="445">
        <f>'Secunda Emissions 2019'!T49</f>
        <v>0.39130434782608697</v>
      </c>
      <c r="J45" s="427" t="str">
        <f t="shared" si="5"/>
        <v>UCTLCLEIN-EOAG</v>
      </c>
      <c r="K45" s="427" t="str">
        <f>NameConv!$C$34</f>
        <v>OAG</v>
      </c>
      <c r="L45" s="427" t="str">
        <f>L28</f>
        <v>Avgas</v>
      </c>
      <c r="N45" s="446">
        <f>M28/$M$34</f>
        <v>3.8561908801070703E-3</v>
      </c>
      <c r="R45" s="1540"/>
    </row>
    <row r="46" spans="2:27">
      <c r="B46" s="427" t="s">
        <v>687</v>
      </c>
      <c r="C46" s="427" t="s">
        <v>0</v>
      </c>
      <c r="D46" s="431">
        <f>D45*D44</f>
        <v>95608.768731935241</v>
      </c>
      <c r="J46" s="427" t="str">
        <f t="shared" si="5"/>
        <v>UCTLCLEIN-EODS</v>
      </c>
      <c r="K46" s="427" t="str">
        <f>NameConv!$C$36</f>
        <v>ODS</v>
      </c>
      <c r="L46" s="427" t="str">
        <f>L29</f>
        <v>Diesel</v>
      </c>
      <c r="N46" s="446">
        <f>M29/$M$34</f>
        <v>0.22515182978585355</v>
      </c>
    </row>
    <row r="47" spans="2:27">
      <c r="B47" s="427" t="s">
        <v>688</v>
      </c>
      <c r="C47" s="427" t="s">
        <v>0</v>
      </c>
      <c r="D47" s="431">
        <f>D36*D35</f>
        <v>46423.36881761744</v>
      </c>
      <c r="J47" s="427" t="str">
        <f t="shared" si="5"/>
        <v>UCTLCLEIN-EGIM</v>
      </c>
      <c r="K47" s="427" t="str">
        <f>NameConv!$C$27</f>
        <v>GIM</v>
      </c>
      <c r="L47" s="427" t="str">
        <f>L27</f>
        <v>Methane Rich Gas</v>
      </c>
      <c r="N47" s="446">
        <f>M27/$M$34</f>
        <v>0.13683682177551551</v>
      </c>
    </row>
    <row r="48" spans="2:27">
      <c r="B48" s="427" t="s">
        <v>689</v>
      </c>
      <c r="C48" s="427" t="s">
        <v>0</v>
      </c>
      <c r="D48" s="431">
        <f>D44-D47-D46</f>
        <v>102301.38254317068</v>
      </c>
      <c r="J48" s="427" t="str">
        <f t="shared" si="5"/>
        <v>UCTLCLEIN-EOKE</v>
      </c>
      <c r="K48" s="427" t="str">
        <f>NameConv!$C$39</f>
        <v>OKE</v>
      </c>
      <c r="L48" s="427" t="str">
        <f>L31</f>
        <v>Kerosene/Jet Fuel/paraffin</v>
      </c>
      <c r="N48" s="446">
        <f>M31/$M$34</f>
        <v>4.1003051727628158E-2</v>
      </c>
    </row>
    <row r="49" spans="2:21">
      <c r="J49" s="427" t="str">
        <f t="shared" si="5"/>
        <v>UCTLCLEIN-EOLP</v>
      </c>
      <c r="K49" s="427" t="str">
        <f>NameConv!$C$40</f>
        <v>OLP</v>
      </c>
      <c r="L49" s="427" t="str">
        <f>L32</f>
        <v>LPG</v>
      </c>
      <c r="N49" s="446">
        <f>M32/$M$34</f>
        <v>1.3008561741482062E-2</v>
      </c>
      <c r="R49" s="431"/>
    </row>
    <row r="50" spans="2:21" ht="15.75" thickBot="1">
      <c r="B50" s="415" t="s">
        <v>14320</v>
      </c>
      <c r="J50" s="427" t="str">
        <f t="shared" si="5"/>
        <v>UCTLCLEIN-EOGS</v>
      </c>
      <c r="K50" s="427" t="str">
        <f>NameConv!$C$37</f>
        <v>OGS</v>
      </c>
      <c r="L50" s="427" t="str">
        <f>L30</f>
        <v>Gasoline/Petrol</v>
      </c>
      <c r="N50" s="446">
        <f>M30/$M$34</f>
        <v>0.51121066001704907</v>
      </c>
    </row>
    <row r="51" spans="2:21">
      <c r="B51" s="427" t="s">
        <v>690</v>
      </c>
      <c r="C51" s="427" t="s">
        <v>0</v>
      </c>
      <c r="D51" s="432">
        <f>'SasolRES-2017'!D8*3.6</f>
        <v>28064</v>
      </c>
      <c r="E51" s="427" t="s">
        <v>14106</v>
      </c>
      <c r="J51" s="427" t="str">
        <f t="shared" si="5"/>
        <v>UCTLCLEIN-EOTH</v>
      </c>
      <c r="K51" s="427" t="str">
        <f>NameConv!$C$41</f>
        <v>OTH</v>
      </c>
      <c r="L51" s="427" t="str">
        <f t="shared" ref="L51" si="6">L33</f>
        <v>Non Energy (alcohols)</v>
      </c>
      <c r="N51" s="446">
        <f t="shared" ref="N51" si="7">M33/$M$34</f>
        <v>6.89328840723646E-2</v>
      </c>
    </row>
    <row r="52" spans="2:21">
      <c r="B52" s="427" t="s">
        <v>691</v>
      </c>
      <c r="C52" s="427" t="s">
        <v>296</v>
      </c>
      <c r="D52" s="445">
        <v>0.02</v>
      </c>
      <c r="E52" s="427" t="s">
        <v>656</v>
      </c>
      <c r="J52" s="427" t="str">
        <f t="shared" si="5"/>
        <v>UCTLCLEIN-E</v>
      </c>
    </row>
    <row r="53" spans="2:21">
      <c r="B53" s="427" t="s">
        <v>692</v>
      </c>
      <c r="C53" s="427" t="s">
        <v>296</v>
      </c>
      <c r="D53" s="447">
        <v>6.5000000000000002E-2</v>
      </c>
      <c r="J53" s="427" t="str">
        <f t="shared" si="5"/>
        <v>UCTLCLEIN-ECO2</v>
      </c>
      <c r="K53" s="427" t="s">
        <v>254</v>
      </c>
      <c r="L53" s="427" t="s">
        <v>693</v>
      </c>
      <c r="M53" s="427" t="s">
        <v>694</v>
      </c>
      <c r="N53" s="448">
        <f>O25/M34*1000</f>
        <v>99.475504974982442</v>
      </c>
      <c r="R53" s="431"/>
      <c r="U53" s="448">
        <f>U25/U34*1000</f>
        <v>93.948739880779073</v>
      </c>
    </row>
    <row r="54" spans="2:21">
      <c r="B54" s="427" t="s">
        <v>695</v>
      </c>
      <c r="C54" s="427" t="s">
        <v>296</v>
      </c>
      <c r="D54" s="445">
        <v>0.24</v>
      </c>
      <c r="J54" s="427" t="str">
        <f t="shared" si="5"/>
        <v>UCTLCLEIN-ECH4</v>
      </c>
      <c r="K54" s="427" t="s">
        <v>256</v>
      </c>
      <c r="L54" s="427" t="s">
        <v>696</v>
      </c>
      <c r="M54" s="427" t="s">
        <v>694</v>
      </c>
      <c r="N54" s="449">
        <f>C90/M34</f>
        <v>0.39733151387714233</v>
      </c>
      <c r="P54" s="503" t="s">
        <v>13414</v>
      </c>
      <c r="Q54" s="503">
        <v>2017</v>
      </c>
      <c r="R54" s="1401">
        <f>MIN(N55,R35*R13/R12)</f>
        <v>0.95890410958904104</v>
      </c>
      <c r="U54" s="449">
        <f>U26/U34</f>
        <v>1.082799035914064</v>
      </c>
    </row>
    <row r="55" spans="2:21">
      <c r="B55" s="427" t="s">
        <v>697</v>
      </c>
      <c r="C55" s="427" t="s">
        <v>296</v>
      </c>
      <c r="D55" s="445">
        <v>0.04</v>
      </c>
      <c r="J55" s="427" t="str">
        <f t="shared" si="5"/>
        <v>UCTLCLEIN-EAFA(UP)</v>
      </c>
      <c r="K55" s="427" t="str">
        <f>UPS!$H$34</f>
        <v>AFA(UP)</v>
      </c>
      <c r="L55" s="427" t="s">
        <v>577</v>
      </c>
      <c r="N55" s="450">
        <f>350/365</f>
        <v>0.95890410958904104</v>
      </c>
      <c r="O55" s="503" t="s">
        <v>654</v>
      </c>
      <c r="P55" s="503" t="s">
        <v>13414</v>
      </c>
      <c r="Q55" s="503">
        <v>2019</v>
      </c>
      <c r="R55" s="1401">
        <f>'SASOL CC 2019 report'!J4*RefineriesData!R54</f>
        <v>0.95755441779338735</v>
      </c>
    </row>
    <row r="56" spans="2:21">
      <c r="B56" s="427" t="s">
        <v>698</v>
      </c>
      <c r="C56" s="427" t="s">
        <v>296</v>
      </c>
      <c r="D56" s="450">
        <f>1-SUM(D52:D55)</f>
        <v>0.63500000000000001</v>
      </c>
      <c r="J56" s="427" t="str">
        <f t="shared" si="5"/>
        <v>UCTLCLEIN-ERESID</v>
      </c>
      <c r="K56" s="427" t="str">
        <f>$A$255</f>
        <v>RESID</v>
      </c>
      <c r="L56" s="427" t="s">
        <v>699</v>
      </c>
      <c r="M56" s="427" t="s">
        <v>700</v>
      </c>
      <c r="N56" s="448">
        <f>M34/N55/1000</f>
        <v>261.96656392262918</v>
      </c>
      <c r="R56" s="431"/>
    </row>
    <row r="57" spans="2:21">
      <c r="J57" s="427" t="str">
        <f t="shared" si="5"/>
        <v>UCTLCLEIN-EVAROM</v>
      </c>
      <c r="K57" s="427" t="str">
        <f>$A$257</f>
        <v>VAROM</v>
      </c>
      <c r="L57" s="427" t="s">
        <v>701</v>
      </c>
      <c r="M57" s="427" t="s">
        <v>702</v>
      </c>
      <c r="N57" s="448">
        <f>D118/(M34/1000)</f>
        <v>18.130203420547012</v>
      </c>
    </row>
    <row r="58" spans="2:21">
      <c r="B58" s="451" t="s">
        <v>703</v>
      </c>
      <c r="J58" s="427" t="str">
        <f t="shared" si="5"/>
        <v>UCTLCLEIN-ELC_2006</v>
      </c>
      <c r="K58" s="427" t="str">
        <f>$A$259</f>
        <v>LC_2006</v>
      </c>
      <c r="L58" s="427" t="s">
        <v>704</v>
      </c>
      <c r="M58" s="427" t="s">
        <v>705</v>
      </c>
      <c r="N58" s="452">
        <f>N57+N147/N37</f>
        <v>59.739441791107311</v>
      </c>
    </row>
    <row r="59" spans="2:21">
      <c r="B59" s="427" t="s">
        <v>706</v>
      </c>
      <c r="C59" s="427" t="s">
        <v>0</v>
      </c>
      <c r="D59" s="431">
        <f>D52*$D$51</f>
        <v>561.28</v>
      </c>
      <c r="J59" s="427" t="str">
        <f t="shared" si="5"/>
        <v>UCTLCLEIN-ELC_Future</v>
      </c>
      <c r="K59" s="427" t="str">
        <f>$A$260</f>
        <v>LC_Future</v>
      </c>
      <c r="L59" s="427" t="s">
        <v>707</v>
      </c>
      <c r="M59" s="427" t="s">
        <v>705</v>
      </c>
      <c r="N59" s="452">
        <f>N57+N149/N37</f>
        <v>119.87190733682462</v>
      </c>
    </row>
    <row r="60" spans="2:21">
      <c r="B60" s="427" t="s">
        <v>708</v>
      </c>
      <c r="C60" s="427" t="s">
        <v>0</v>
      </c>
      <c r="D60" s="431">
        <f>D53*$D$51</f>
        <v>1824.16</v>
      </c>
      <c r="J60" s="427" t="str">
        <f t="shared" si="5"/>
        <v>UCTLCLEIN-E</v>
      </c>
    </row>
    <row r="61" spans="2:21" ht="15.75" thickBot="1">
      <c r="B61" s="427" t="s">
        <v>624</v>
      </c>
      <c r="C61" s="427" t="s">
        <v>0</v>
      </c>
      <c r="D61" s="431">
        <f>D54*$D$51</f>
        <v>6735.36</v>
      </c>
      <c r="L61" s="415" t="s">
        <v>35</v>
      </c>
      <c r="N61" s="427" t="str">
        <f>UPS!$B$49</f>
        <v>UREFOCRIN-E</v>
      </c>
      <c r="P61" s="505" t="s">
        <v>14299</v>
      </c>
      <c r="Q61" s="505" t="s">
        <v>1845</v>
      </c>
      <c r="R61" s="1400">
        <f>R84*N84</f>
        <v>920.49975670448089</v>
      </c>
    </row>
    <row r="62" spans="2:21">
      <c r="B62" s="427" t="s">
        <v>35</v>
      </c>
      <c r="C62" s="427" t="s">
        <v>0</v>
      </c>
      <c r="D62" s="431">
        <f>D55*$D$51</f>
        <v>1122.56</v>
      </c>
      <c r="L62" s="427" t="s">
        <v>709</v>
      </c>
      <c r="M62" s="427" t="s">
        <v>0</v>
      </c>
      <c r="N62" s="431">
        <f>D83</f>
        <v>216343.2875182417</v>
      </c>
      <c r="P62" s="505"/>
      <c r="Q62" s="505" t="s">
        <v>14298</v>
      </c>
      <c r="R62" s="431">
        <f>E89</f>
        <v>920.5</v>
      </c>
    </row>
    <row r="63" spans="2:21">
      <c r="B63" s="427" t="s">
        <v>627</v>
      </c>
      <c r="C63" s="427" t="s">
        <v>0</v>
      </c>
      <c r="D63" s="431">
        <f>D56*$D$51</f>
        <v>17820.64</v>
      </c>
      <c r="L63" s="427" t="s">
        <v>683</v>
      </c>
      <c r="M63" s="427" t="s">
        <v>0</v>
      </c>
      <c r="N63" s="431">
        <f>D62</f>
        <v>1122.56</v>
      </c>
      <c r="P63" s="505"/>
      <c r="Q63" s="505" t="s">
        <v>14300</v>
      </c>
    </row>
    <row r="64" spans="2:21">
      <c r="B64" s="427" t="s">
        <v>948</v>
      </c>
      <c r="D64" s="431">
        <f>D62*('Crude refineries'!D5+'Crude refineries'!G5+'Crude refineries'!J5)/'Crude refineries'!M5</f>
        <v>3695.2076681481481</v>
      </c>
      <c r="L64" s="427" t="s">
        <v>710</v>
      </c>
      <c r="M64" s="427" t="s">
        <v>0</v>
      </c>
      <c r="N64" s="431">
        <f>N63+N62</f>
        <v>217465.8475182417</v>
      </c>
    </row>
    <row r="65" spans="2:19">
      <c r="B65" s="451" t="s">
        <v>711</v>
      </c>
      <c r="C65" s="427" t="s">
        <v>0</v>
      </c>
      <c r="D65" s="432">
        <v>26708</v>
      </c>
      <c r="E65" s="427" t="s">
        <v>14106</v>
      </c>
      <c r="H65" s="966">
        <f>D65/SUM(D65,D51)</f>
        <v>0.48762141240049661</v>
      </c>
      <c r="L65" s="413" t="s">
        <v>652</v>
      </c>
    </row>
    <row r="66" spans="2:19">
      <c r="B66" s="427" t="s">
        <v>624</v>
      </c>
      <c r="C66" s="427" t="s">
        <v>0</v>
      </c>
      <c r="D66" s="431">
        <f>D38/(D38+D39)*RefineriesData!D65</f>
        <v>4756.2191780821913</v>
      </c>
      <c r="L66" s="427" t="s">
        <v>32</v>
      </c>
      <c r="M66" s="427" t="s">
        <v>0</v>
      </c>
      <c r="N66" s="432">
        <f>'Crude refineries'!$AB$14</f>
        <v>78363.603915510073</v>
      </c>
      <c r="O66" s="431"/>
      <c r="P66" s="503" t="s">
        <v>712</v>
      </c>
    </row>
    <row r="67" spans="2:19">
      <c r="B67" s="427" t="s">
        <v>627</v>
      </c>
      <c r="C67" s="427" t="s">
        <v>0</v>
      </c>
      <c r="D67" s="444">
        <v>18230</v>
      </c>
      <c r="L67" s="427" t="s">
        <v>38</v>
      </c>
      <c r="M67" s="427" t="s">
        <v>0</v>
      </c>
      <c r="N67" s="432">
        <f>'Crude refineries'!$AB$15</f>
        <v>7538.9011900219784</v>
      </c>
      <c r="O67" s="431"/>
    </row>
    <row r="68" spans="2:19">
      <c r="B68" s="427" t="s">
        <v>713</v>
      </c>
      <c r="C68" s="427" t="s">
        <v>296</v>
      </c>
      <c r="D68" s="453">
        <f>D65/D37</f>
        <v>0.57531369825673762</v>
      </c>
      <c r="L68" s="427" t="s">
        <v>661</v>
      </c>
      <c r="M68" s="427" t="s">
        <v>0</v>
      </c>
      <c r="N68" s="432">
        <f>'Crude refineries'!$AB$17</f>
        <v>43484.734440000007</v>
      </c>
      <c r="O68" s="431"/>
    </row>
    <row r="69" spans="2:19">
      <c r="B69" s="427" t="s">
        <v>714</v>
      </c>
      <c r="C69" s="427" t="s">
        <v>296</v>
      </c>
      <c r="D69" s="453">
        <f>D68*D32</f>
        <v>0.4895799279514243</v>
      </c>
      <c r="L69" s="427" t="s">
        <v>34</v>
      </c>
      <c r="M69" s="427" t="s">
        <v>0</v>
      </c>
      <c r="N69" s="432">
        <f>'Crude refineries'!$AB$18</f>
        <v>539.60618239120879</v>
      </c>
      <c r="O69" s="431"/>
    </row>
    <row r="70" spans="2:19">
      <c r="L70" s="427" t="s">
        <v>663</v>
      </c>
      <c r="M70" s="427" t="s">
        <v>0</v>
      </c>
      <c r="N70" s="432">
        <f>SUM('Crude refineries'!$AB$21:$AB$23)</f>
        <v>65892.213079120877</v>
      </c>
      <c r="O70" s="431"/>
    </row>
    <row r="71" spans="2:19" ht="15.75" thickBot="1">
      <c r="B71" s="415" t="s">
        <v>14321</v>
      </c>
      <c r="D71" s="432">
        <f>'[2]SASOL NIR 2017'!$U$11 *1000</f>
        <v>30761.111000000001</v>
      </c>
      <c r="E71" s="427" t="s">
        <v>14322</v>
      </c>
      <c r="L71" s="427" t="s">
        <v>715</v>
      </c>
      <c r="M71" s="427" t="s">
        <v>0</v>
      </c>
      <c r="N71" s="432">
        <f>'Crude refineries'!$AB$12</f>
        <v>7621.8370692764838</v>
      </c>
    </row>
    <row r="72" spans="2:19">
      <c r="B72" s="427" t="s">
        <v>716</v>
      </c>
      <c r="C72" s="427" t="s">
        <v>0</v>
      </c>
      <c r="D72" s="432">
        <v>126165.20000000001</v>
      </c>
      <c r="E72" s="427" t="s">
        <v>14107</v>
      </c>
      <c r="L72" s="427" t="s">
        <v>717</v>
      </c>
      <c r="M72" s="427" t="s">
        <v>0</v>
      </c>
      <c r="N72" s="431">
        <f>SUM(N66:N71)</f>
        <v>203440.89587632063</v>
      </c>
    </row>
    <row r="73" spans="2:19">
      <c r="B73" s="427" t="s">
        <v>718</v>
      </c>
      <c r="C73" s="427" t="s">
        <v>0</v>
      </c>
      <c r="D73" s="432">
        <v>51780</v>
      </c>
      <c r="E73" s="427" t="s">
        <v>14323</v>
      </c>
      <c r="J73" s="427" t="str">
        <f t="shared" ref="J73:J89" si="8">$N$61&amp;K73</f>
        <v>UREFOCRIN-EEFF</v>
      </c>
      <c r="K73" s="427" t="str">
        <f>$A$256</f>
        <v>EFF</v>
      </c>
      <c r="L73" s="413" t="s">
        <v>675</v>
      </c>
      <c r="N73" s="446">
        <f>N72/N64</f>
        <v>0.93550733689001619</v>
      </c>
      <c r="O73" s="431"/>
    </row>
    <row r="74" spans="2:19">
      <c r="B74" s="427" t="s">
        <v>719</v>
      </c>
      <c r="C74" s="427" t="s">
        <v>0</v>
      </c>
      <c r="D74" s="432">
        <v>43624.089</v>
      </c>
      <c r="E74" s="427" t="s">
        <v>14323</v>
      </c>
      <c r="J74" s="427" t="str">
        <f t="shared" si="8"/>
        <v>UREFOCRIN-E</v>
      </c>
      <c r="L74" s="413" t="s">
        <v>678</v>
      </c>
    </row>
    <row r="75" spans="2:19">
      <c r="B75" s="427" t="s">
        <v>720</v>
      </c>
      <c r="C75" s="427" t="s">
        <v>0</v>
      </c>
      <c r="D75" s="1601">
        <v>28640.346999999998</v>
      </c>
      <c r="E75" s="427" t="s">
        <v>14322</v>
      </c>
      <c r="J75" s="427" t="str">
        <f t="shared" si="8"/>
        <v>UREFOCRIN-EOCR</v>
      </c>
      <c r="K75" s="427" t="str">
        <f>NameConv!$C$35</f>
        <v>OCR</v>
      </c>
      <c r="L75" s="427" t="str">
        <f>L62</f>
        <v>Material Input: Crude (ii)</v>
      </c>
      <c r="N75" s="446">
        <f>N62/$N$64</f>
        <v>0.99483799404453233</v>
      </c>
    </row>
    <row r="76" spans="2:19">
      <c r="J76" s="427" t="str">
        <f t="shared" si="8"/>
        <v>UREFOCRIN-EELC</v>
      </c>
      <c r="K76" s="427" t="str">
        <f>NameConv!$C$16</f>
        <v>ELC</v>
      </c>
      <c r="L76" s="427" t="str">
        <f>L63</f>
        <v>Electricity Input</v>
      </c>
      <c r="N76" s="446">
        <f>N63/$N$64</f>
        <v>5.1620059554677257E-3</v>
      </c>
    </row>
    <row r="77" spans="2:19" ht="15.75" thickBot="1">
      <c r="B77" s="415" t="s">
        <v>721</v>
      </c>
      <c r="J77" s="427" t="str">
        <f t="shared" si="8"/>
        <v>UREFOCRIN-E</v>
      </c>
      <c r="L77" s="413" t="s">
        <v>685</v>
      </c>
      <c r="R77" s="1587" t="s">
        <v>14216</v>
      </c>
    </row>
    <row r="78" spans="2:19">
      <c r="B78" s="427" t="s">
        <v>722</v>
      </c>
      <c r="C78" s="427" t="s">
        <v>723</v>
      </c>
      <c r="D78" s="432">
        <v>4379</v>
      </c>
      <c r="J78" s="427" t="str">
        <f t="shared" si="8"/>
        <v>UREFOCRIN-EODS</v>
      </c>
      <c r="K78" s="427" t="str">
        <f>NameConv!$C$36</f>
        <v>ODS</v>
      </c>
      <c r="L78" s="427" t="str">
        <f t="shared" ref="L78:L83" si="9">L66</f>
        <v>Diesel</v>
      </c>
      <c r="N78" s="446">
        <f t="shared" ref="N78:N83" si="10">N66/$N$72</f>
        <v>0.38519100880852519</v>
      </c>
      <c r="R78" s="1587">
        <v>74.445400000000006</v>
      </c>
      <c r="S78" s="1587" t="s">
        <v>555</v>
      </c>
    </row>
    <row r="79" spans="2:19">
      <c r="B79" s="427" t="s">
        <v>724</v>
      </c>
      <c r="C79" s="427" t="s">
        <v>725</v>
      </c>
      <c r="D79" s="405">
        <v>42.66</v>
      </c>
      <c r="E79" s="427" t="s">
        <v>726</v>
      </c>
      <c r="J79" s="427" t="str">
        <f t="shared" si="8"/>
        <v>UREFOCRIN-EOHF</v>
      </c>
      <c r="K79" s="427" t="str">
        <f>NameConv!$C$38</f>
        <v>OHF</v>
      </c>
      <c r="L79" s="427" t="str">
        <f t="shared" si="9"/>
        <v>HFO</v>
      </c>
      <c r="N79" s="446">
        <f t="shared" si="10"/>
        <v>3.70569602416869E-2</v>
      </c>
      <c r="R79" s="1587">
        <v>62.5976</v>
      </c>
      <c r="S79" s="1587" t="s">
        <v>547</v>
      </c>
    </row>
    <row r="80" spans="2:19">
      <c r="B80" s="427" t="s">
        <v>727</v>
      </c>
      <c r="C80" s="427" t="s">
        <v>0</v>
      </c>
      <c r="D80" s="431">
        <f>D78*D79</f>
        <v>186808.13999999998</v>
      </c>
      <c r="J80" s="427" t="str">
        <f t="shared" si="8"/>
        <v>UREFOCRIN-EOKE</v>
      </c>
      <c r="K80" s="427" t="str">
        <f>NameConv!$C$39</f>
        <v>OKE</v>
      </c>
      <c r="L80" s="427" t="str">
        <f t="shared" si="9"/>
        <v>Kerosene/Jet Fuel/paraffin</v>
      </c>
      <c r="N80" s="446">
        <f t="shared" si="10"/>
        <v>0.21374627875427765</v>
      </c>
      <c r="R80" s="1587">
        <v>7.1619999999999999</v>
      </c>
      <c r="S80" s="1587" t="s">
        <v>549</v>
      </c>
    </row>
    <row r="81" spans="2:19">
      <c r="B81" s="427" t="s">
        <v>722</v>
      </c>
      <c r="C81" s="427" t="s">
        <v>728</v>
      </c>
      <c r="D81" s="432">
        <f>'Crude refineries'!$M$6</f>
        <v>5980351.6483516479</v>
      </c>
      <c r="J81" s="427" t="str">
        <f t="shared" si="8"/>
        <v>UREFOCRIN-EOLP</v>
      </c>
      <c r="K81" s="427" t="str">
        <f>NameConv!$C$40</f>
        <v>OLP</v>
      </c>
      <c r="L81" s="427" t="str">
        <f t="shared" si="9"/>
        <v>LPG</v>
      </c>
      <c r="N81" s="446">
        <f t="shared" si="10"/>
        <v>2.6523977888853558E-3</v>
      </c>
      <c r="R81" s="1587">
        <v>41.310499999999998</v>
      </c>
      <c r="S81" s="1587" t="s">
        <v>592</v>
      </c>
    </row>
    <row r="82" spans="2:19">
      <c r="B82" s="427" t="s">
        <v>729</v>
      </c>
      <c r="C82" s="427" t="s">
        <v>730</v>
      </c>
      <c r="D82" s="454">
        <f>'Crude refineries'!$L$7/1000</f>
        <v>0.84799999999999998</v>
      </c>
      <c r="E82" s="427" t="s">
        <v>731</v>
      </c>
      <c r="J82" s="427" t="str">
        <f t="shared" si="8"/>
        <v>UREFOCRIN-EOGS</v>
      </c>
      <c r="K82" s="427" t="str">
        <f>NameConv!$C$37</f>
        <v>OGS</v>
      </c>
      <c r="L82" s="427" t="str">
        <f t="shared" si="9"/>
        <v>Gasoline/Petrol</v>
      </c>
      <c r="N82" s="446">
        <f t="shared" si="10"/>
        <v>0.32388872844513639</v>
      </c>
      <c r="R82" s="1587">
        <v>0.51259999999999994</v>
      </c>
      <c r="S82" s="1587" t="s">
        <v>551</v>
      </c>
    </row>
    <row r="83" spans="2:19">
      <c r="B83" s="427" t="s">
        <v>732</v>
      </c>
      <c r="C83" s="427" t="s">
        <v>0</v>
      </c>
      <c r="D83" s="431">
        <f>D81*D82*D79/1000</f>
        <v>216343.2875182417</v>
      </c>
      <c r="J83" s="427" t="str">
        <f t="shared" si="8"/>
        <v>UREFOCRIN-EOTH</v>
      </c>
      <c r="K83" s="427" t="str">
        <f>NameConv!$C$41</f>
        <v>OTH</v>
      </c>
      <c r="L83" s="427" t="str">
        <f t="shared" si="9"/>
        <v>Non Energy Products</v>
      </c>
      <c r="N83" s="446">
        <f t="shared" si="10"/>
        <v>3.7464625961488515E-2</v>
      </c>
      <c r="R83" s="1587">
        <v>7.2407000000000004</v>
      </c>
      <c r="S83" s="1587" t="s">
        <v>594</v>
      </c>
    </row>
    <row r="84" spans="2:19">
      <c r="J84" s="427" t="str">
        <f t="shared" si="8"/>
        <v>UREFOCRIN-ECO2</v>
      </c>
      <c r="K84" s="427" t="s">
        <v>254</v>
      </c>
      <c r="L84" s="427" t="s">
        <v>693</v>
      </c>
      <c r="M84" s="427" t="s">
        <v>694</v>
      </c>
      <c r="N84" s="455">
        <f>E89/N72*1000 *O84</f>
        <v>4.7627954263930903</v>
      </c>
      <c r="O84" s="407">
        <f>UPS!H49/UPS!I49</f>
        <v>1.0526315789473686</v>
      </c>
      <c r="R84" s="1588">
        <f>SUM(R78:R83)</f>
        <v>193.2688</v>
      </c>
    </row>
    <row r="85" spans="2:19">
      <c r="J85" s="427" t="str">
        <f t="shared" si="8"/>
        <v>UREFOCRIN-EAFA(UP)</v>
      </c>
      <c r="K85" s="427" t="str">
        <f>UPS!$H$34</f>
        <v>AFA(UP)</v>
      </c>
      <c r="L85" s="427" t="s">
        <v>577</v>
      </c>
      <c r="N85" s="445">
        <f>350/365</f>
        <v>0.95890410958904104</v>
      </c>
      <c r="P85" s="503" t="str">
        <f>E82</f>
        <v>Lloyd, PJD, 2001. The South African Petroleum Industry: A Review, Energy Research Institute, University of Cape Town</v>
      </c>
      <c r="R85" s="1590">
        <f>R84/N86</f>
        <v>0.91095866333585762</v>
      </c>
    </row>
    <row r="86" spans="2:19">
      <c r="J86" s="427" t="str">
        <f t="shared" si="8"/>
        <v>UREFOCRIN-ERESID</v>
      </c>
      <c r="K86" s="427" t="str">
        <f>$A$255</f>
        <v>RESID</v>
      </c>
      <c r="L86" s="427" t="s">
        <v>733</v>
      </c>
      <c r="M86" s="427" t="s">
        <v>700</v>
      </c>
      <c r="N86" s="448">
        <f>N72/N85/1000</f>
        <v>212.15979141387726</v>
      </c>
    </row>
    <row r="87" spans="2:19" ht="15.75" thickBot="1">
      <c r="B87" s="415" t="s">
        <v>14296</v>
      </c>
      <c r="C87" s="427" t="s">
        <v>14108</v>
      </c>
      <c r="D87" s="427" t="s">
        <v>14109</v>
      </c>
      <c r="E87" s="427" t="s">
        <v>734</v>
      </c>
      <c r="F87" s="427" t="s">
        <v>735</v>
      </c>
      <c r="J87" s="427" t="str">
        <f t="shared" si="8"/>
        <v>UREFOCRIN-EVAROM</v>
      </c>
      <c r="K87" s="427" t="str">
        <f>$A$257</f>
        <v>VAROM</v>
      </c>
      <c r="L87" s="427" t="s">
        <v>736</v>
      </c>
      <c r="M87" s="427" t="s">
        <v>702</v>
      </c>
      <c r="N87" s="448">
        <f>D113</f>
        <v>15.150222603765322</v>
      </c>
    </row>
    <row r="88" spans="2:19">
      <c r="B88" s="427" t="s">
        <v>708</v>
      </c>
      <c r="C88" s="432">
        <f>AVERAGE('SASOL CC 2019 report'!F17,'SASOL CC 2019 report'!G17)*1000</f>
        <v>3870</v>
      </c>
      <c r="D88" s="432">
        <v>0</v>
      </c>
      <c r="E88" s="432">
        <f>AVERAGE('SASOL CC 2019 report'!F35,'SASOL CC 2019 report'!G35)</f>
        <v>16</v>
      </c>
      <c r="F88" s="432">
        <f>AVERAGE('SASOL CC 2019 report'!F44,'SASOL CC 2019 report'!G44)</f>
        <v>722</v>
      </c>
      <c r="J88" s="427" t="str">
        <f t="shared" si="8"/>
        <v>UREFOCRIN-ELC_2006</v>
      </c>
      <c r="K88" s="427" t="str">
        <f>$A$259</f>
        <v>LC_2006</v>
      </c>
      <c r="L88" s="427" t="s">
        <v>737</v>
      </c>
      <c r="M88" s="427" t="s">
        <v>705</v>
      </c>
      <c r="N88" s="452">
        <f>N87+$D$107/N73</f>
        <v>92.427616005811899</v>
      </c>
      <c r="O88" s="1397">
        <f>zar.2006*N88</f>
        <v>163.91789686705522</v>
      </c>
      <c r="P88" s="503" t="s">
        <v>13414</v>
      </c>
      <c r="Q88" s="503">
        <v>2017</v>
      </c>
      <c r="R88" s="1397">
        <f>UPS!I49</f>
        <v>0.91095890410958891</v>
      </c>
    </row>
    <row r="89" spans="2:19">
      <c r="B89" s="427" t="s">
        <v>35</v>
      </c>
      <c r="C89" s="432">
        <v>0</v>
      </c>
      <c r="D89" s="432">
        <v>0</v>
      </c>
      <c r="E89" s="432">
        <f>AVERAGE('SASOL CC 2019 report'!F36,'SASOL CC 2019 report'!G36)</f>
        <v>920.5</v>
      </c>
      <c r="F89" s="432">
        <f>AVERAGE('SASOL CC 2019 report'!F45,'SASOL CC 2019 report'!G45)</f>
        <v>262</v>
      </c>
      <c r="J89" s="427" t="str">
        <f t="shared" si="8"/>
        <v>UREFOCRIN-ELC_Future</v>
      </c>
      <c r="K89" s="427" t="str">
        <f>$A$260</f>
        <v>LC_Future</v>
      </c>
      <c r="L89" s="427" t="s">
        <v>738</v>
      </c>
      <c r="M89" s="427" t="s">
        <v>705</v>
      </c>
      <c r="N89" s="452">
        <f>N87+$D$108/N73</f>
        <v>132.23718230383588</v>
      </c>
      <c r="P89" s="503" t="s">
        <v>13414</v>
      </c>
      <c r="Q89" s="503">
        <v>2019</v>
      </c>
    </row>
    <row r="90" spans="2:19">
      <c r="B90" s="1474" t="s">
        <v>14110</v>
      </c>
      <c r="C90" s="432">
        <f>AVERAGE('SASOL CC 2019 report'!F15,'SASOL CC 2019 report'!G15)*1000</f>
        <v>99810</v>
      </c>
      <c r="D90" s="432">
        <f>AVERAGE('SASOL CC 2019 report'!F24,'SASOL CC 2019 report'!G24)*1000</f>
        <v>325</v>
      </c>
      <c r="E90" s="432">
        <f>AVERAGE('SASOL CC 2019 report'!F33,'SASOL CC 2019 report'!G33)</f>
        <v>49718</v>
      </c>
      <c r="F90" s="432">
        <f>AVERAGE('SASOL CC 2019 report'!F42,'SASOL CC 2019 report'!G42)</f>
        <v>5843.5</v>
      </c>
    </row>
    <row r="91" spans="2:19" ht="15.75" thickBot="1">
      <c r="B91" s="1474" t="s">
        <v>14111</v>
      </c>
      <c r="C91" s="432">
        <f>AVERAGE('SASOL CC 2019 report'!F16,'SASOL CC 2019 report'!G16)*1000</f>
        <v>8980</v>
      </c>
      <c r="D91" s="432">
        <f>AVERAGE('SASOL CC 2019 report'!F25,'SASOL CC 2019 report'!G25)*1000</f>
        <v>150.00000000000003</v>
      </c>
      <c r="E91" s="432">
        <f>AVERAGE('SASOL CC 2019 report'!F34,'SASOL CC 2019 report'!G34)</f>
        <v>5106.5</v>
      </c>
      <c r="F91" s="432">
        <f>AVERAGE('SASOL CC 2019 report'!F43,'SASOL CC 2019 report'!G43)</f>
        <v>497.5</v>
      </c>
      <c r="L91" s="415" t="s">
        <v>624</v>
      </c>
    </row>
    <row r="92" spans="2:19">
      <c r="L92" s="413" t="s">
        <v>739</v>
      </c>
    </row>
    <row r="93" spans="2:19" ht="15.75" thickBot="1">
      <c r="B93" s="415" t="s">
        <v>1587</v>
      </c>
      <c r="G93" s="503">
        <v>2012</v>
      </c>
      <c r="L93" s="427" t="s">
        <v>740</v>
      </c>
      <c r="M93" s="427" t="s">
        <v>0</v>
      </c>
      <c r="N93" s="431">
        <f>D42</f>
        <v>14136.824731109224</v>
      </c>
    </row>
    <row r="94" spans="2:19">
      <c r="B94" s="427" t="s">
        <v>741</v>
      </c>
      <c r="D94" s="406">
        <v>0.93869999999999998</v>
      </c>
      <c r="L94" s="427" t="s">
        <v>742</v>
      </c>
      <c r="M94" s="427" t="s">
        <v>0</v>
      </c>
      <c r="N94" s="431">
        <f>D41</f>
        <v>8267.1752688907764</v>
      </c>
    </row>
    <row r="95" spans="2:19">
      <c r="B95" s="427" t="s">
        <v>743</v>
      </c>
      <c r="D95" s="406">
        <v>0.68469999999999998</v>
      </c>
      <c r="L95" s="427" t="s">
        <v>744</v>
      </c>
      <c r="M95" s="427" t="s">
        <v>0</v>
      </c>
      <c r="N95" s="431">
        <f>D61</f>
        <v>6735.36</v>
      </c>
    </row>
    <row r="96" spans="2:19">
      <c r="B96" s="427" t="s">
        <v>1588</v>
      </c>
      <c r="D96" s="406">
        <f>Deflator!U3/Deflator!N3</f>
        <v>1.6168860836462458</v>
      </c>
      <c r="L96" s="427" t="s">
        <v>745</v>
      </c>
      <c r="M96" s="427" t="s">
        <v>0</v>
      </c>
      <c r="N96" s="431">
        <f>D75</f>
        <v>28640.346999999998</v>
      </c>
    </row>
    <row r="97" spans="2:15">
      <c r="B97" s="427" t="s">
        <v>746</v>
      </c>
      <c r="C97" s="427" t="s">
        <v>747</v>
      </c>
      <c r="D97" s="456">
        <f>90.4*D94</f>
        <v>84.85848</v>
      </c>
      <c r="E97" s="427" t="s">
        <v>621</v>
      </c>
      <c r="G97" s="503">
        <v>197.6</v>
      </c>
      <c r="L97" s="427" t="s">
        <v>748</v>
      </c>
      <c r="M97" s="427" t="s">
        <v>0</v>
      </c>
      <c r="N97" s="431">
        <f>D74</f>
        <v>43624.089</v>
      </c>
      <c r="O97" s="431"/>
    </row>
    <row r="98" spans="2:15">
      <c r="B98" s="427" t="s">
        <v>746</v>
      </c>
      <c r="C98" s="427" t="s">
        <v>705</v>
      </c>
      <c r="D98" s="406">
        <f>D97/$D$24</f>
        <v>4.0719040307101722</v>
      </c>
      <c r="G98" s="406">
        <f>G97/$D$24</f>
        <v>9.4817658349328191</v>
      </c>
      <c r="L98" s="413" t="s">
        <v>749</v>
      </c>
      <c r="O98" s="431"/>
    </row>
    <row r="99" spans="2:15">
      <c r="B99" s="427" t="s">
        <v>750</v>
      </c>
      <c r="C99" s="427" t="s">
        <v>705</v>
      </c>
      <c r="D99" s="456">
        <f>15</f>
        <v>15</v>
      </c>
      <c r="E99" s="427" t="s">
        <v>751</v>
      </c>
      <c r="L99" s="427" t="s">
        <v>740</v>
      </c>
      <c r="N99" s="431">
        <f>N93*D30/1000</f>
        <v>1349.0490668507996</v>
      </c>
    </row>
    <row r="100" spans="2:15">
      <c r="B100" s="427" t="s">
        <v>752</v>
      </c>
      <c r="C100" s="427" t="s">
        <v>747</v>
      </c>
      <c r="D100" s="456">
        <f>136.25*D94</f>
        <v>127.897875</v>
      </c>
      <c r="E100" s="427" t="s">
        <v>621</v>
      </c>
      <c r="L100" s="427" t="s">
        <v>742</v>
      </c>
      <c r="N100" s="431">
        <f>N94*D31/1000</f>
        <v>671.35450359428546</v>
      </c>
      <c r="O100" s="431"/>
    </row>
    <row r="101" spans="2:15">
      <c r="B101" s="427" t="s">
        <v>752</v>
      </c>
      <c r="C101" s="427" t="s">
        <v>705</v>
      </c>
      <c r="D101" s="406">
        <f>D100/$D$24</f>
        <v>6.1371341170825326</v>
      </c>
      <c r="E101" s="433"/>
      <c r="H101" s="406"/>
      <c r="L101" s="427" t="s">
        <v>753</v>
      </c>
      <c r="N101" s="431">
        <f>N96*N16/1000</f>
        <v>1606.7234667</v>
      </c>
      <c r="O101" s="431"/>
    </row>
    <row r="102" spans="2:15">
      <c r="B102" s="427" t="s">
        <v>754</v>
      </c>
      <c r="C102" s="427" t="s">
        <v>705</v>
      </c>
      <c r="D102" s="407">
        <f>3209/105.7/D95</f>
        <v>44.339868616368115</v>
      </c>
      <c r="E102" s="427" t="s">
        <v>621</v>
      </c>
      <c r="G102" s="406">
        <f>6931/152.4</f>
        <v>45.479002624671914</v>
      </c>
      <c r="H102" s="406"/>
      <c r="I102" s="966"/>
      <c r="L102" s="427" t="s">
        <v>755</v>
      </c>
      <c r="M102" s="427" t="s">
        <v>756</v>
      </c>
      <c r="N102" s="457">
        <f>E91-N100-N99-N101</f>
        <v>1479.3729628549152</v>
      </c>
      <c r="O102" s="431"/>
    </row>
    <row r="103" spans="2:15">
      <c r="B103" s="427" t="s">
        <v>757</v>
      </c>
      <c r="C103" s="427" t="s">
        <v>705</v>
      </c>
      <c r="D103" s="456">
        <f>80</f>
        <v>80</v>
      </c>
      <c r="M103" s="427" t="s">
        <v>758</v>
      </c>
      <c r="N103" s="433">
        <f>C91/1000</f>
        <v>8.98</v>
      </c>
    </row>
    <row r="104" spans="2:15">
      <c r="B104" s="427" t="s">
        <v>759</v>
      </c>
      <c r="C104" s="427" t="s">
        <v>760</v>
      </c>
      <c r="D104" s="407">
        <v>66</v>
      </c>
      <c r="E104" s="427" t="s">
        <v>761</v>
      </c>
      <c r="M104" s="427" t="s">
        <v>762</v>
      </c>
      <c r="N104" s="433">
        <f>D91/1000</f>
        <v>0.15000000000000002</v>
      </c>
    </row>
    <row r="105" spans="2:15">
      <c r="B105" s="427" t="s">
        <v>763</v>
      </c>
      <c r="C105" s="427" t="s">
        <v>764</v>
      </c>
      <c r="D105" s="407">
        <v>6.77</v>
      </c>
      <c r="E105" s="427" t="s">
        <v>765</v>
      </c>
    </row>
    <row r="106" spans="2:15">
      <c r="B106" s="427" t="s">
        <v>766</v>
      </c>
      <c r="C106" s="427" t="s">
        <v>767</v>
      </c>
      <c r="D106" s="433">
        <f>42.66*0.136</f>
        <v>5.8017599999999998</v>
      </c>
    </row>
    <row r="107" spans="2:15">
      <c r="B107" s="427" t="s">
        <v>759</v>
      </c>
      <c r="C107" s="427" t="s">
        <v>705</v>
      </c>
      <c r="D107" s="433">
        <f>D104*D105/D106*D94</f>
        <v>72.293568503350699</v>
      </c>
      <c r="E107" s="406"/>
    </row>
    <row r="108" spans="2:15">
      <c r="B108" s="427" t="s">
        <v>768</v>
      </c>
      <c r="C108" s="427" t="s">
        <v>705</v>
      </c>
      <c r="D108" s="433">
        <f>D107*100/D104</f>
        <v>109.53570985356167</v>
      </c>
      <c r="F108" s="433"/>
    </row>
    <row r="109" spans="2:15">
      <c r="B109" s="427" t="s">
        <v>769</v>
      </c>
      <c r="C109" s="427" t="s">
        <v>705</v>
      </c>
      <c r="D109" s="406">
        <f>0.5/3.6*1000</f>
        <v>138.88888888888889</v>
      </c>
      <c r="F109" s="458"/>
    </row>
    <row r="110" spans="2:15">
      <c r="B110" s="427" t="s">
        <v>770</v>
      </c>
      <c r="C110" s="427" t="s">
        <v>705</v>
      </c>
      <c r="D110" s="433">
        <f>0.98/3.6*1000</f>
        <v>272.22222222222217</v>
      </c>
    </row>
    <row r="111" spans="2:15" ht="15.75" thickBot="1">
      <c r="B111" s="415" t="s">
        <v>736</v>
      </c>
    </row>
    <row r="112" spans="2:15">
      <c r="B112" s="427" t="str">
        <f>B88</f>
        <v>Mining</v>
      </c>
    </row>
    <row r="113" spans="2:16">
      <c r="B113" s="427" t="s">
        <v>771</v>
      </c>
      <c r="C113" s="427" t="s">
        <v>702</v>
      </c>
      <c r="D113" s="456">
        <f>D96*9.37</f>
        <v>15.150222603765322</v>
      </c>
      <c r="E113" s="427" t="s">
        <v>772</v>
      </c>
    </row>
    <row r="114" spans="2:16">
      <c r="B114" s="427" t="s">
        <v>773</v>
      </c>
      <c r="C114" s="427" t="s">
        <v>774</v>
      </c>
      <c r="D114" s="432">
        <f>10311/D95</f>
        <v>15059.149992697532</v>
      </c>
      <c r="E114" s="427" t="s">
        <v>621</v>
      </c>
    </row>
    <row r="115" spans="2:16">
      <c r="B115" s="427" t="s">
        <v>775</v>
      </c>
      <c r="C115" s="427" t="s">
        <v>774</v>
      </c>
      <c r="D115" s="431">
        <f>(M13+SUM(M17:M18)/D32)*D98/1000</f>
        <v>3201.8763921219484</v>
      </c>
    </row>
    <row r="116" spans="2:16">
      <c r="B116" s="427" t="s">
        <v>776</v>
      </c>
      <c r="C116" s="427" t="s">
        <v>774</v>
      </c>
      <c r="D116" s="431">
        <f>M14*D102/1000</f>
        <v>2295.9183969555411</v>
      </c>
    </row>
    <row r="117" spans="2:16">
      <c r="B117" s="427" t="s">
        <v>777</v>
      </c>
      <c r="C117" s="427" t="s">
        <v>774</v>
      </c>
      <c r="D117" s="433">
        <f>(D63+D67)*D109/1000</f>
        <v>5007.0333333333328</v>
      </c>
    </row>
    <row r="118" spans="2:16">
      <c r="B118" s="427" t="s">
        <v>778</v>
      </c>
      <c r="C118" s="427" t="s">
        <v>774</v>
      </c>
      <c r="D118" s="434">
        <f>D114-SUM(D115:D117)</f>
        <v>4554.3218702867107</v>
      </c>
    </row>
    <row r="119" spans="2:16">
      <c r="B119" s="427" t="str">
        <f>B91</f>
        <v>Sasolburg</v>
      </c>
    </row>
    <row r="121" spans="2:16" ht="18" thickBot="1">
      <c r="B121" s="408" t="s">
        <v>779</v>
      </c>
      <c r="L121" s="408" t="s">
        <v>780</v>
      </c>
      <c r="N121" s="427" t="str">
        <f>UPS!$B$102</f>
        <v>UCTLCLEIN-N</v>
      </c>
    </row>
    <row r="122" spans="2:16" ht="15.75" thickTop="1">
      <c r="J122" s="427" t="str">
        <f>$N$121&amp;K122</f>
        <v>UCTLCLEIN-NRESID</v>
      </c>
      <c r="K122" s="427" t="str">
        <f>$A$255</f>
        <v>RESID</v>
      </c>
      <c r="L122" s="427" t="s">
        <v>781</v>
      </c>
      <c r="M122" s="427" t="s">
        <v>782</v>
      </c>
      <c r="N122" s="448">
        <f>D123/150000*N56</f>
        <v>139.71550075873557</v>
      </c>
    </row>
    <row r="123" spans="2:16">
      <c r="B123" s="427" t="s">
        <v>733</v>
      </c>
      <c r="C123" s="427" t="s">
        <v>783</v>
      </c>
      <c r="D123" s="432">
        <v>80000</v>
      </c>
      <c r="E123" s="427" t="s">
        <v>772</v>
      </c>
      <c r="F123" s="896" t="s">
        <v>782</v>
      </c>
      <c r="G123" s="897">
        <f>H123*D123*365*N142*0.000001</f>
        <v>159.7824</v>
      </c>
      <c r="H123" s="406">
        <v>5.7</v>
      </c>
      <c r="J123" s="427" t="str">
        <f t="shared" ref="J123:J150" si="11">$N$121&amp;K123</f>
        <v>UCTLCLEIN-NEFF</v>
      </c>
      <c r="K123" s="427" t="str">
        <f>$A$256</f>
        <v>EFF</v>
      </c>
      <c r="L123" s="413" t="s">
        <v>675</v>
      </c>
      <c r="N123" s="412">
        <f>N37+5%</f>
        <v>0.34922414801284113</v>
      </c>
      <c r="P123" s="503" t="s">
        <v>784</v>
      </c>
    </row>
    <row r="124" spans="2:16">
      <c r="B124" s="427" t="s">
        <v>785</v>
      </c>
      <c r="C124" s="427" t="s">
        <v>786</v>
      </c>
      <c r="D124" s="414"/>
      <c r="J124" s="427" t="str">
        <f t="shared" si="11"/>
        <v>UCTLCLEIN-N</v>
      </c>
      <c r="L124" s="403" t="s">
        <v>787</v>
      </c>
      <c r="N124" s="412">
        <f>D32+5%</f>
        <v>0.9009790909462162</v>
      </c>
      <c r="P124" s="503" t="s">
        <v>788</v>
      </c>
    </row>
    <row r="125" spans="2:16">
      <c r="B125" s="427" t="str">
        <f>L28</f>
        <v>Avgas</v>
      </c>
      <c r="D125" s="414"/>
      <c r="J125" s="427" t="str">
        <f t="shared" si="11"/>
        <v>UCTLCLEIN-N</v>
      </c>
      <c r="L125" s="413" t="s">
        <v>678</v>
      </c>
    </row>
    <row r="126" spans="2:16">
      <c r="B126" s="427" t="str">
        <f>L29</f>
        <v>Diesel</v>
      </c>
      <c r="D126" s="445">
        <v>0.73</v>
      </c>
      <c r="E126" s="427" t="str">
        <f>E123</f>
        <v>LTMS</v>
      </c>
      <c r="J126" s="427" t="str">
        <f t="shared" si="11"/>
        <v>UCTLCLEIN-NCLE</v>
      </c>
      <c r="K126" s="427" t="str">
        <f>NameConv!C14</f>
        <v>CLE</v>
      </c>
      <c r="L126" s="427" t="str">
        <f>L39</f>
        <v>Coal Material Input</v>
      </c>
      <c r="N126" s="446">
        <f>N39</f>
        <v>0.65963269300300886</v>
      </c>
    </row>
    <row r="127" spans="2:16">
      <c r="B127" s="427" t="str">
        <f>L27</f>
        <v>Methane Rich Gas</v>
      </c>
      <c r="D127" s="414"/>
      <c r="J127" s="427" t="str">
        <f t="shared" si="11"/>
        <v>UCTLCLEIN-NGAS</v>
      </c>
      <c r="K127" s="427" t="str">
        <f>NameConv!C18</f>
        <v>GAS</v>
      </c>
      <c r="L127" s="427" t="str">
        <f>L40</f>
        <v>Gas Material Input</v>
      </c>
      <c r="N127" s="446">
        <f>N40</f>
        <v>6.1679045115178993E-2</v>
      </c>
    </row>
    <row r="128" spans="2:16">
      <c r="B128" s="427" t="str">
        <f>L31</f>
        <v>Kerosene/Jet Fuel/paraffin</v>
      </c>
      <c r="D128" s="414"/>
      <c r="J128" s="427" t="str">
        <f t="shared" si="11"/>
        <v>UCTLCLEIN-N</v>
      </c>
      <c r="L128" s="427" t="str">
        <f>L41</f>
        <v>Gas Heat Input</v>
      </c>
      <c r="N128" s="446">
        <f>N41</f>
        <v>0</v>
      </c>
    </row>
    <row r="129" spans="2:14">
      <c r="B129" s="427" t="str">
        <f>L32</f>
        <v>LPG</v>
      </c>
      <c r="D129" s="450">
        <v>3.5000000000000003E-2</v>
      </c>
      <c r="E129" s="427" t="str">
        <f>E126</f>
        <v>LTMS</v>
      </c>
      <c r="J129" s="427" t="str">
        <f t="shared" si="11"/>
        <v>UCTLCLEIN-NHEN</v>
      </c>
      <c r="K129" s="427" t="str">
        <f>NameConv!$C$30</f>
        <v>HEN</v>
      </c>
      <c r="L129" s="427" t="str">
        <f>L42</f>
        <v>Steam Input (Stoich+heat)</v>
      </c>
      <c r="N129" s="446">
        <f>N42</f>
        <v>0.23574563826282655</v>
      </c>
    </row>
    <row r="130" spans="2:14">
      <c r="B130" s="427" t="str">
        <f>L30</f>
        <v>Gasoline/Petrol</v>
      </c>
      <c r="D130" s="450">
        <f>1-D129-D126</f>
        <v>0.23499999999999999</v>
      </c>
      <c r="E130" s="427" t="str">
        <f>E129</f>
        <v>LTMS</v>
      </c>
      <c r="J130" s="427" t="str">
        <f t="shared" si="11"/>
        <v>UCTLCLEIN-NELC</v>
      </c>
      <c r="K130" s="427" t="str">
        <f>NameConv!$C$16</f>
        <v>ELC</v>
      </c>
      <c r="L130" s="427" t="str">
        <f>L43</f>
        <v>Electricity Input</v>
      </c>
      <c r="N130" s="446">
        <f>N43</f>
        <v>4.294262361898564E-2</v>
      </c>
    </row>
    <row r="131" spans="2:14">
      <c r="B131" s="427" t="str">
        <f t="shared" ref="B131" si="12">L33</f>
        <v>Non Energy (alcohols)</v>
      </c>
      <c r="D131" s="414"/>
      <c r="J131" s="427" t="str">
        <f t="shared" si="11"/>
        <v>UCTLCLEIN-N</v>
      </c>
      <c r="L131" s="413" t="s">
        <v>789</v>
      </c>
    </row>
    <row r="132" spans="2:14">
      <c r="J132" s="427" t="str">
        <f t="shared" si="11"/>
        <v>UCTLCLEIN-NOAG</v>
      </c>
      <c r="K132" s="427" t="str">
        <f>NameConv!$C$34</f>
        <v>OAG</v>
      </c>
      <c r="L132" s="427" t="str">
        <f t="shared" ref="L132:L138" si="13">B125</f>
        <v>Avgas</v>
      </c>
      <c r="N132" s="446">
        <f t="shared" ref="N132:N138" si="14">D125</f>
        <v>0</v>
      </c>
    </row>
    <row r="133" spans="2:14">
      <c r="B133" s="427" t="s">
        <v>790</v>
      </c>
      <c r="C133" s="427" t="s">
        <v>791</v>
      </c>
      <c r="D133" s="459">
        <f>272.16*D96*N122/1000</f>
        <v>61.482045934054206</v>
      </c>
      <c r="E133" s="427" t="s">
        <v>772</v>
      </c>
      <c r="J133" s="427" t="str">
        <f t="shared" si="11"/>
        <v>UCTLCLEIN-NODS</v>
      </c>
      <c r="K133" s="427" t="str">
        <f>NameConv!$C$36</f>
        <v>ODS</v>
      </c>
      <c r="L133" s="427" t="str">
        <f t="shared" si="13"/>
        <v>Diesel</v>
      </c>
      <c r="N133" s="446">
        <f t="shared" si="14"/>
        <v>0.73</v>
      </c>
    </row>
    <row r="134" spans="2:14">
      <c r="J134" s="427" t="str">
        <f t="shared" si="11"/>
        <v>UCTLCLEIN-NGIM</v>
      </c>
      <c r="K134" s="427" t="str">
        <f>NameConv!$C$27</f>
        <v>GIM</v>
      </c>
      <c r="L134" s="427" t="str">
        <f t="shared" si="13"/>
        <v>Methane Rich Gas</v>
      </c>
      <c r="N134" s="446">
        <f t="shared" si="14"/>
        <v>0</v>
      </c>
    </row>
    <row r="135" spans="2:14">
      <c r="J135" s="427" t="str">
        <f t="shared" si="11"/>
        <v>UCTLCLEIN-NOKE</v>
      </c>
      <c r="K135" s="427" t="str">
        <f>NameConv!$C$39</f>
        <v>OKE</v>
      </c>
      <c r="L135" s="427" t="str">
        <f t="shared" si="13"/>
        <v>Kerosene/Jet Fuel/paraffin</v>
      </c>
      <c r="N135" s="446">
        <f t="shared" si="14"/>
        <v>0</v>
      </c>
    </row>
    <row r="136" spans="2:14">
      <c r="J136" s="427" t="str">
        <f t="shared" si="11"/>
        <v>UCTLCLEIN-NOLP</v>
      </c>
      <c r="K136" s="427" t="str">
        <f>NameConv!$C$40</f>
        <v>OLP</v>
      </c>
      <c r="L136" s="427" t="str">
        <f t="shared" si="13"/>
        <v>LPG</v>
      </c>
      <c r="N136" s="446">
        <f t="shared" si="14"/>
        <v>3.5000000000000003E-2</v>
      </c>
    </row>
    <row r="137" spans="2:14">
      <c r="J137" s="427" t="str">
        <f t="shared" si="11"/>
        <v>UCTLCLEIN-NOGS</v>
      </c>
      <c r="K137" s="427" t="str">
        <f>NameConv!$C$37</f>
        <v>OGS</v>
      </c>
      <c r="L137" s="427" t="str">
        <f t="shared" si="13"/>
        <v>Gasoline/Petrol</v>
      </c>
      <c r="N137" s="446">
        <f t="shared" si="14"/>
        <v>0.23499999999999999</v>
      </c>
    </row>
    <row r="138" spans="2:14">
      <c r="J138" s="427" t="str">
        <f t="shared" si="11"/>
        <v>UCTLCLEIN-NOTH</v>
      </c>
      <c r="K138" s="427" t="str">
        <f>NameConv!$C$41</f>
        <v>OTH</v>
      </c>
      <c r="L138" s="427" t="str">
        <f t="shared" si="13"/>
        <v>Non Energy (alcohols)</v>
      </c>
      <c r="N138" s="446">
        <f t="shared" si="14"/>
        <v>0</v>
      </c>
    </row>
    <row r="139" spans="2:14">
      <c r="J139" s="427" t="str">
        <f t="shared" si="11"/>
        <v>UCTLCLEIN-N</v>
      </c>
    </row>
    <row r="140" spans="2:14">
      <c r="J140" s="427" t="str">
        <f t="shared" si="11"/>
        <v>UCTLCLEIN-NCO2</v>
      </c>
      <c r="K140" s="427" t="s">
        <v>254</v>
      </c>
      <c r="L140" s="427" t="s">
        <v>693</v>
      </c>
      <c r="M140" s="427" t="s">
        <v>694</v>
      </c>
      <c r="N140" s="448">
        <f>N53</f>
        <v>99.475504974982442</v>
      </c>
    </row>
    <row r="141" spans="2:14">
      <c r="J141" s="427" t="str">
        <f t="shared" si="11"/>
        <v>UCTLCLEIN-NCH4</v>
      </c>
      <c r="K141" s="427" t="s">
        <v>256</v>
      </c>
      <c r="L141" s="427" t="s">
        <v>696</v>
      </c>
      <c r="M141" s="427" t="s">
        <v>694</v>
      </c>
      <c r="N141" s="449">
        <f>N54</f>
        <v>0.39733151387714233</v>
      </c>
    </row>
    <row r="142" spans="2:14">
      <c r="J142" s="427" t="str">
        <f t="shared" si="11"/>
        <v>UCTLCLEIN-NAFA(UP)</v>
      </c>
      <c r="K142" s="427" t="str">
        <f>UPS!$H$34</f>
        <v>AFA(UP)</v>
      </c>
      <c r="L142" s="427" t="s">
        <v>577</v>
      </c>
      <c r="N142" s="445">
        <v>0.96</v>
      </c>
    </row>
    <row r="143" spans="2:14">
      <c r="J143" s="427" t="str">
        <f t="shared" si="11"/>
        <v>UCTLCLEIN-NStart</v>
      </c>
      <c r="K143" s="427" t="str">
        <f>UPS!$L$34</f>
        <v>Start</v>
      </c>
      <c r="L143" s="427" t="s">
        <v>792</v>
      </c>
      <c r="N143" s="460">
        <v>2030</v>
      </c>
    </row>
    <row r="144" spans="2:14">
      <c r="J144" s="427" t="str">
        <f t="shared" si="11"/>
        <v>UCTLCLEIN-NINVCOST</v>
      </c>
      <c r="K144" s="427" t="str">
        <f>$A$258</f>
        <v>INVCOST</v>
      </c>
      <c r="L144" s="427" t="s">
        <v>583</v>
      </c>
      <c r="M144" s="427" t="s">
        <v>793</v>
      </c>
      <c r="N144" s="448">
        <f>D133/N122*1000</f>
        <v>440.05171652516231</v>
      </c>
    </row>
    <row r="145" spans="2:19">
      <c r="J145" s="427" t="str">
        <f t="shared" si="11"/>
        <v>UCTLCLEIN-NVAROM</v>
      </c>
      <c r="K145" s="427" t="str">
        <f>$A$257</f>
        <v>VAROM</v>
      </c>
      <c r="L145" s="427" t="s">
        <v>794</v>
      </c>
      <c r="M145" s="427" t="s">
        <v>793</v>
      </c>
      <c r="N145" s="448">
        <f>N57</f>
        <v>18.130203420547012</v>
      </c>
    </row>
    <row r="146" spans="2:19">
      <c r="J146" s="427" t="str">
        <f t="shared" si="11"/>
        <v>UCTLCLEIN-NLife</v>
      </c>
      <c r="K146" s="427" t="str">
        <f>UPS!$F$34</f>
        <v>Life</v>
      </c>
      <c r="L146" s="427" t="s">
        <v>578</v>
      </c>
      <c r="M146" s="427" t="s">
        <v>580</v>
      </c>
      <c r="N146" s="461">
        <v>50</v>
      </c>
    </row>
    <row r="147" spans="2:19">
      <c r="J147" s="427" t="str">
        <f t="shared" si="11"/>
        <v>UCTLCLEIN-N</v>
      </c>
      <c r="L147" s="427" t="s">
        <v>795</v>
      </c>
      <c r="M147" s="427" t="s">
        <v>705</v>
      </c>
      <c r="N147" s="406">
        <f>N126*D98+N127*D102+N129/N124*D98+N130*D109</f>
        <v>12.450488900894124</v>
      </c>
    </row>
    <row r="148" spans="2:19">
      <c r="J148" s="427" t="str">
        <f t="shared" si="11"/>
        <v>UCTLCLEIN-NLC_2006</v>
      </c>
      <c r="K148" s="427" t="str">
        <f>$A$259</f>
        <v>LC_2006</v>
      </c>
      <c r="L148" s="427" t="s">
        <v>704</v>
      </c>
      <c r="M148" s="427" t="s">
        <v>705</v>
      </c>
      <c r="N148" s="462">
        <f>-PMT(M4,N146,N144)/N142+N145+N147/N123</f>
        <v>91.251939289747781</v>
      </c>
    </row>
    <row r="149" spans="2:19">
      <c r="J149" s="427" t="str">
        <f t="shared" si="11"/>
        <v>UCTLCLEIN-N</v>
      </c>
      <c r="L149" s="427" t="s">
        <v>796</v>
      </c>
      <c r="M149" s="427" t="s">
        <v>705</v>
      </c>
      <c r="N149" s="406">
        <f>N126*D99+N127*D103+N129/N124*D99+N130*D110</f>
        <v>30.443574671722907</v>
      </c>
    </row>
    <row r="150" spans="2:19">
      <c r="J150" s="427" t="str">
        <f t="shared" si="11"/>
        <v>UCTLCLEIN-NLC_Future</v>
      </c>
      <c r="K150" s="427" t="str">
        <f>$A$260</f>
        <v>LC_Future</v>
      </c>
      <c r="L150" s="427" t="s">
        <v>707</v>
      </c>
      <c r="M150" s="427" t="s">
        <v>705</v>
      </c>
      <c r="N150" s="462">
        <f>-PMT(M4,N146,N144)/N142+N145+N149/N123</f>
        <v>142.77496790392934</v>
      </c>
    </row>
    <row r="152" spans="2:19" ht="18" thickBot="1">
      <c r="B152" s="408" t="s">
        <v>797</v>
      </c>
      <c r="L152" s="408" t="s">
        <v>798</v>
      </c>
    </row>
    <row r="153" spans="2:19" ht="15.75" thickTop="1"/>
    <row r="154" spans="2:19" ht="15.75" thickBot="1">
      <c r="B154" s="415" t="s">
        <v>799</v>
      </c>
      <c r="L154" s="415" t="s">
        <v>800</v>
      </c>
      <c r="N154" s="427" t="str">
        <f>UPS!$B$38</f>
        <v>UREFOCRCO-E</v>
      </c>
      <c r="P154" s="505" t="s">
        <v>14299</v>
      </c>
      <c r="Q154" s="505" t="s">
        <v>1845</v>
      </c>
      <c r="R154" s="1397">
        <f>R170*N171</f>
        <v>2472.0238511742737</v>
      </c>
    </row>
    <row r="155" spans="2:19">
      <c r="B155" s="427" t="s">
        <v>801</v>
      </c>
      <c r="C155" s="427" t="s">
        <v>0</v>
      </c>
      <c r="D155" s="432">
        <v>926356.32638568</v>
      </c>
      <c r="E155" s="427" t="s">
        <v>802</v>
      </c>
      <c r="P155" s="503" t="s">
        <v>254</v>
      </c>
      <c r="Q155" s="505" t="s">
        <v>14298</v>
      </c>
      <c r="R155" s="1540">
        <f>3328.02714 -R62</f>
        <v>2407.5271400000001</v>
      </c>
      <c r="S155" s="503" t="s">
        <v>14301</v>
      </c>
    </row>
    <row r="156" spans="2:19">
      <c r="B156" s="427" t="s">
        <v>803</v>
      </c>
      <c r="C156" s="427" t="s">
        <v>0</v>
      </c>
      <c r="D156" s="432">
        <f>1000*D79</f>
        <v>42660</v>
      </c>
      <c r="P156" s="505"/>
      <c r="Q156" s="505" t="s">
        <v>14300</v>
      </c>
      <c r="R156" s="1591">
        <f>1 -R155/R154</f>
        <v>2.6090650842076624E-2</v>
      </c>
    </row>
    <row r="157" spans="2:19">
      <c r="B157" s="427" t="s">
        <v>572</v>
      </c>
      <c r="C157" s="427" t="s">
        <v>0</v>
      </c>
      <c r="D157" s="432">
        <v>1105</v>
      </c>
      <c r="E157" s="427" t="s">
        <v>804</v>
      </c>
      <c r="J157" s="427" t="str">
        <f>$N$154&amp;K157</f>
        <v>UREFOCRCO-EGIM</v>
      </c>
      <c r="K157" s="427" t="str">
        <f>NameConv!$C$27</f>
        <v>GIM</v>
      </c>
      <c r="L157" s="427" t="s">
        <v>805</v>
      </c>
      <c r="N157" s="446">
        <f>D157/$D$160</f>
        <v>1.458797396546845E-3</v>
      </c>
    </row>
    <row r="158" spans="2:19">
      <c r="B158" s="427" t="s">
        <v>683</v>
      </c>
      <c r="C158" s="427" t="s">
        <v>0</v>
      </c>
      <c r="D158" s="463">
        <f>D62*('Crude refineries'!$D$5+'Crude refineries'!$G$5+'Crude refineries'!$J$5)/'Crude refineries'!$M$5</f>
        <v>3695.2076681481481</v>
      </c>
      <c r="E158" s="427" t="s">
        <v>806</v>
      </c>
      <c r="J158" s="427" t="str">
        <f t="shared" ref="J158:J175" si="15">$N$154&amp;K158</f>
        <v>UREFOCRCO-EELC</v>
      </c>
      <c r="K158" s="427" t="str">
        <f>NameConv!$C$16</f>
        <v>ELC</v>
      </c>
      <c r="L158" s="427" t="s">
        <v>807</v>
      </c>
      <c r="N158" s="446">
        <f>D158/$D$160</f>
        <v>4.8783342316691914E-3</v>
      </c>
    </row>
    <row r="159" spans="2:19">
      <c r="B159" s="427" t="s">
        <v>808</v>
      </c>
      <c r="C159" s="427" t="s">
        <v>0</v>
      </c>
      <c r="D159" s="463">
        <f>D155+D156-D83</f>
        <v>752673.03886743833</v>
      </c>
      <c r="J159" s="427" t="str">
        <f t="shared" si="15"/>
        <v>UREFOCRCO-EOCR</v>
      </c>
      <c r="K159" s="427" t="str">
        <f>NameConv!$C$35</f>
        <v>OCR</v>
      </c>
      <c r="L159" s="427" t="s">
        <v>809</v>
      </c>
      <c r="N159" s="446">
        <f>D159/$D$160</f>
        <v>0.99366286837178408</v>
      </c>
    </row>
    <row r="160" spans="2:19">
      <c r="B160" s="427" t="s">
        <v>672</v>
      </c>
      <c r="C160" s="427" t="s">
        <v>0</v>
      </c>
      <c r="D160" s="431">
        <f>SUM(D157:D159)</f>
        <v>757473.24653558643</v>
      </c>
      <c r="J160" s="427" t="str">
        <f t="shared" si="15"/>
        <v>UREFOCRCO-E</v>
      </c>
    </row>
    <row r="161" spans="2:19">
      <c r="B161" s="427" t="s">
        <v>675</v>
      </c>
      <c r="D161" s="464">
        <v>0.95</v>
      </c>
      <c r="J161" s="427" t="str">
        <f t="shared" si="15"/>
        <v>UREFOCRCO-EEFF</v>
      </c>
      <c r="K161" s="427" t="str">
        <f>$A$256</f>
        <v>EFF</v>
      </c>
      <c r="L161" s="427" t="str">
        <f>B161</f>
        <v>Overall Efficiency</v>
      </c>
      <c r="N161" s="446">
        <f>D161</f>
        <v>0.95</v>
      </c>
    </row>
    <row r="162" spans="2:19">
      <c r="B162" s="427" t="s">
        <v>810</v>
      </c>
      <c r="J162" s="427" t="str">
        <f t="shared" si="15"/>
        <v>UREFOCRCO-E</v>
      </c>
      <c r="L162" s="427" t="str">
        <f t="shared" ref="L162:L169" si="16">B162</f>
        <v>Energy Products Output Share</v>
      </c>
      <c r="R162" s="1587" t="s">
        <v>14216</v>
      </c>
    </row>
    <row r="163" spans="2:19">
      <c r="B163" s="427" t="s">
        <v>811</v>
      </c>
      <c r="D163" s="465">
        <f>'Crude refineries'!$AA$11</f>
        <v>2.8514857409240738E-3</v>
      </c>
      <c r="J163" s="427" t="str">
        <f t="shared" si="15"/>
        <v>UREFOCRCO-EOAG</v>
      </c>
      <c r="K163" s="427" t="str">
        <f>NameConv!$C$34</f>
        <v>OAG</v>
      </c>
      <c r="L163" s="427" t="str">
        <f t="shared" si="16"/>
        <v>AvGas</v>
      </c>
      <c r="N163" s="446">
        <f t="shared" ref="N163:N169" si="17">D163</f>
        <v>2.8514857409240738E-3</v>
      </c>
      <c r="R163" s="1587">
        <v>1.6444000000000001</v>
      </c>
      <c r="S163" s="1587" t="s">
        <v>558</v>
      </c>
    </row>
    <row r="164" spans="2:19">
      <c r="B164" s="427" t="s">
        <v>32</v>
      </c>
      <c r="D164" s="465">
        <f>'Crude refineries'!$AA$14</f>
        <v>0.33216146888997561</v>
      </c>
      <c r="J164" s="427" t="str">
        <f t="shared" si="15"/>
        <v>UREFOCRCO-EODS</v>
      </c>
      <c r="K164" s="427" t="str">
        <f>NameConv!$C$36</f>
        <v>ODS</v>
      </c>
      <c r="L164" s="427" t="str">
        <f t="shared" si="16"/>
        <v>Diesel</v>
      </c>
      <c r="N164" s="446">
        <f t="shared" si="17"/>
        <v>0.33216146888997561</v>
      </c>
      <c r="R164" s="1587">
        <v>191.55680000000001</v>
      </c>
      <c r="S164" s="1587" t="s">
        <v>555</v>
      </c>
    </row>
    <row r="165" spans="2:19">
      <c r="B165" s="427" t="s">
        <v>38</v>
      </c>
      <c r="D165" s="465">
        <f>'Crude refineries'!$AA$15</f>
        <v>0.22843104976229886</v>
      </c>
      <c r="J165" s="427" t="str">
        <f t="shared" si="15"/>
        <v>UREFOCRCO-EOHF</v>
      </c>
      <c r="K165" s="427" t="str">
        <f>NameConv!$C$38</f>
        <v>OHF</v>
      </c>
      <c r="L165" s="427" t="str">
        <f t="shared" si="16"/>
        <v>HFO</v>
      </c>
      <c r="N165" s="446">
        <f t="shared" si="17"/>
        <v>0.22843104976229886</v>
      </c>
      <c r="R165" s="1587">
        <v>167.00640000000001</v>
      </c>
      <c r="S165" s="1587" t="s">
        <v>547</v>
      </c>
    </row>
    <row r="166" spans="2:19">
      <c r="B166" s="427" t="s">
        <v>812</v>
      </c>
      <c r="D166" s="465">
        <f>'Crude refineries'!$AA$17</f>
        <v>0.10627528143612863</v>
      </c>
      <c r="J166" s="427" t="str">
        <f t="shared" si="15"/>
        <v>UREFOCRCO-EOKE</v>
      </c>
      <c r="K166" s="427" t="str">
        <f>NameConv!$C$39</f>
        <v>OKE</v>
      </c>
      <c r="L166" s="427" t="str">
        <f t="shared" si="16"/>
        <v>Kerosene/jet fuel/paraffin</v>
      </c>
      <c r="N166" s="446">
        <f t="shared" si="17"/>
        <v>0.10627528143612863</v>
      </c>
      <c r="R166" s="1587">
        <v>131.73570000000001</v>
      </c>
      <c r="S166" s="1587" t="s">
        <v>549</v>
      </c>
    </row>
    <row r="167" spans="2:19">
      <c r="B167" s="427" t="s">
        <v>34</v>
      </c>
      <c r="D167" s="465">
        <f>'Crude refineries'!$AA$18</f>
        <v>1.9461796662135593E-2</v>
      </c>
      <c r="J167" s="427" t="str">
        <f t="shared" si="15"/>
        <v>UREFOCRCO-EOLP</v>
      </c>
      <c r="K167" s="427" t="str">
        <f>NameConv!$C$40</f>
        <v>OLP</v>
      </c>
      <c r="L167" s="427" t="str">
        <f t="shared" si="16"/>
        <v>LPG</v>
      </c>
      <c r="N167" s="446">
        <f t="shared" si="17"/>
        <v>1.9461796662135593E-2</v>
      </c>
      <c r="R167" s="1587">
        <v>61.288699999999999</v>
      </c>
      <c r="S167" s="1587" t="s">
        <v>592</v>
      </c>
    </row>
    <row r="168" spans="2:19">
      <c r="B168" s="427" t="s">
        <v>33</v>
      </c>
      <c r="D168" s="465">
        <f>SUM('Crude refineries'!$AA$20:$AA$23)</f>
        <v>0.28959096866700185</v>
      </c>
      <c r="J168" s="427" t="str">
        <f t="shared" si="15"/>
        <v>UREFOCRCO-EOGS</v>
      </c>
      <c r="K168" s="427" t="str">
        <f>NameConv!$C$37</f>
        <v>OGS</v>
      </c>
      <c r="L168" s="427" t="str">
        <f t="shared" si="16"/>
        <v>Gasoline</v>
      </c>
      <c r="N168" s="446">
        <f t="shared" si="17"/>
        <v>0.28959096866700185</v>
      </c>
      <c r="R168" s="1587">
        <v>11.223599999999999</v>
      </c>
      <c r="S168" s="1587" t="s">
        <v>551</v>
      </c>
    </row>
    <row r="169" spans="2:19">
      <c r="B169" s="427" t="s">
        <v>813</v>
      </c>
      <c r="D169" s="465">
        <f>1-SUM(D163:D168)</f>
        <v>2.1227948841535449E-2</v>
      </c>
      <c r="J169" s="427" t="str">
        <f t="shared" si="15"/>
        <v>UREFOCRCO-EOTH</v>
      </c>
      <c r="K169" s="427" t="str">
        <f>NameConv!$C$41</f>
        <v>OTH</v>
      </c>
      <c r="L169" s="427" t="str">
        <f t="shared" si="16"/>
        <v>Other non energy</v>
      </c>
      <c r="N169" s="446">
        <f t="shared" si="17"/>
        <v>2.1227948841535449E-2</v>
      </c>
      <c r="R169" s="1587">
        <v>12.242100000000001</v>
      </c>
      <c r="S169" s="1587" t="s">
        <v>594</v>
      </c>
    </row>
    <row r="170" spans="2:19">
      <c r="B170" s="427" t="s">
        <v>814</v>
      </c>
      <c r="C170" s="427" t="s">
        <v>0</v>
      </c>
      <c r="D170" s="463">
        <f>D160*D161</f>
        <v>719599.58420880709</v>
      </c>
      <c r="J170" s="427" t="str">
        <f t="shared" si="15"/>
        <v>UREFOCRCO-EAFA(UP)</v>
      </c>
      <c r="K170" s="427" t="str">
        <f>UPS!$H$34</f>
        <v>AFA(UP)</v>
      </c>
      <c r="L170" s="427" t="s">
        <v>577</v>
      </c>
      <c r="N170" s="446">
        <f>D171</f>
        <v>0.91324200913242004</v>
      </c>
      <c r="R170" s="1588">
        <f>SUM(R163:R169)</f>
        <v>576.69770000000005</v>
      </c>
    </row>
    <row r="171" spans="2:19">
      <c r="B171" s="427" t="s">
        <v>577</v>
      </c>
      <c r="C171" s="427" t="s">
        <v>296</v>
      </c>
      <c r="D171" s="465">
        <f>'Crude refineries'!$Z$8</f>
        <v>0.91324200913242004</v>
      </c>
      <c r="E171" s="427" t="str">
        <f>O55</f>
        <v>Lloyd PJD 2001</v>
      </c>
      <c r="J171" s="427" t="str">
        <f t="shared" si="15"/>
        <v>UREFOCRCO-ECO2</v>
      </c>
      <c r="K171" s="427" t="s">
        <v>254</v>
      </c>
      <c r="L171" s="427" t="s">
        <v>650</v>
      </c>
      <c r="M171" s="427" t="s">
        <v>815</v>
      </c>
      <c r="N171" s="570">
        <f>N195</f>
        <v>4.2865158837537818</v>
      </c>
      <c r="P171" s="503">
        <f>2.9/N171</f>
        <v>0.67654012691081311</v>
      </c>
      <c r="R171" s="1590">
        <f>R170/N172</f>
        <v>0.73188558994111752</v>
      </c>
    </row>
    <row r="172" spans="2:19">
      <c r="B172" s="427" t="s">
        <v>816</v>
      </c>
      <c r="C172" s="427" t="s">
        <v>702</v>
      </c>
      <c r="D172" s="466">
        <f>D96*9.37</f>
        <v>15.150222603765322</v>
      </c>
      <c r="E172" s="427" t="s">
        <v>772</v>
      </c>
      <c r="J172" s="427" t="str">
        <f t="shared" si="15"/>
        <v>UREFOCRCO-ERESID</v>
      </c>
      <c r="K172" s="427" t="str">
        <f>$A$255</f>
        <v>RESID</v>
      </c>
      <c r="L172" s="427" t="s">
        <v>733</v>
      </c>
      <c r="N172" s="467">
        <f>D170/D171/1000</f>
        <v>787.96154470864383</v>
      </c>
    </row>
    <row r="173" spans="2:19">
      <c r="J173" s="427" t="str">
        <f t="shared" si="15"/>
        <v>UREFOCRCO-EVAROM</v>
      </c>
      <c r="K173" s="427" t="str">
        <f>$A$257</f>
        <v>VAROM</v>
      </c>
      <c r="L173" s="427" t="s">
        <v>816</v>
      </c>
      <c r="N173" s="467">
        <f>D172</f>
        <v>15.150222603765322</v>
      </c>
      <c r="P173" s="503" t="s">
        <v>13414</v>
      </c>
      <c r="Q173" s="503">
        <v>2017</v>
      </c>
      <c r="R173" s="1401">
        <f>R171*(1-R156)</f>
        <v>0.71279021855761659</v>
      </c>
    </row>
    <row r="174" spans="2:19">
      <c r="J174" s="427" t="str">
        <f t="shared" si="15"/>
        <v>UREFOCRCO-ELC_2006</v>
      </c>
      <c r="K174" s="427" t="str">
        <f>$A$259</f>
        <v>LC_2006</v>
      </c>
      <c r="L174" s="427" t="s">
        <v>737</v>
      </c>
      <c r="M174" s="427" t="s">
        <v>705</v>
      </c>
      <c r="N174" s="452">
        <f>N173+$D$107/N161</f>
        <v>91.248715765187114</v>
      </c>
      <c r="P174" s="503" t="s">
        <v>13414</v>
      </c>
      <c r="Q174" s="503">
        <v>2019</v>
      </c>
    </row>
    <row r="175" spans="2:19">
      <c r="J175" s="427" t="str">
        <f t="shared" si="15"/>
        <v>UREFOCRCO-ELC_Future</v>
      </c>
      <c r="K175" s="427" t="str">
        <f>$A$260</f>
        <v>LC_Future</v>
      </c>
      <c r="L175" s="427" t="s">
        <v>738</v>
      </c>
      <c r="M175" s="427" t="s">
        <v>705</v>
      </c>
      <c r="N175" s="452">
        <f>N173+$D$108/N159</f>
        <v>125.38450159322468</v>
      </c>
    </row>
    <row r="177" spans="2:14" ht="15.75" thickBot="1">
      <c r="B177" s="415" t="s">
        <v>14088</v>
      </c>
      <c r="L177" s="415" t="s">
        <v>14075</v>
      </c>
      <c r="N177" s="427" t="str">
        <f>UPS!$B$114</f>
        <v>UREFOCRCO-N</v>
      </c>
    </row>
    <row r="178" spans="2:14">
      <c r="B178" s="427" t="s">
        <v>733</v>
      </c>
      <c r="C178" s="427" t="s">
        <v>783</v>
      </c>
      <c r="D178" s="432">
        <v>300000</v>
      </c>
      <c r="E178" s="427" t="s">
        <v>14074</v>
      </c>
    </row>
    <row r="179" spans="2:14">
      <c r="B179" s="427" t="s">
        <v>733</v>
      </c>
      <c r="C179" s="427" t="s">
        <v>817</v>
      </c>
      <c r="D179" s="463">
        <f>N172*D178/('Crude refineries'!$D$5+'Crude refineries'!$G$5+'Crude refineries'!$J$5)</f>
        <v>664.92587687186381</v>
      </c>
      <c r="J179" s="427" t="str">
        <f>$N$177&amp;K179</f>
        <v>UREFOCRCO-NStart</v>
      </c>
      <c r="K179" s="427" t="str">
        <f>UPS!$L$34</f>
        <v>Start</v>
      </c>
      <c r="L179" s="427" t="s">
        <v>792</v>
      </c>
      <c r="N179" s="468">
        <v>2030</v>
      </c>
    </row>
    <row r="180" spans="2:14">
      <c r="B180" s="427" t="s">
        <v>818</v>
      </c>
      <c r="C180" s="427" t="s">
        <v>819</v>
      </c>
      <c r="D180" s="432">
        <f>D182/1.58</f>
        <v>93.037974683544306</v>
      </c>
      <c r="J180" s="427" t="str">
        <f t="shared" ref="J180:J201" si="18">$N$177&amp;K180</f>
        <v>UREFOCRCO-NGIM</v>
      </c>
      <c r="K180" s="427" t="str">
        <f>NameConv!$C$27</f>
        <v>GIM</v>
      </c>
      <c r="L180" s="427" t="s">
        <v>805</v>
      </c>
      <c r="N180" s="446">
        <v>0</v>
      </c>
    </row>
    <row r="181" spans="2:14">
      <c r="B181" s="427" t="s">
        <v>818</v>
      </c>
      <c r="C181" s="427" t="s">
        <v>820</v>
      </c>
      <c r="D181" s="469">
        <f>D180*0.685</f>
        <v>63.731012658227854</v>
      </c>
      <c r="J181" s="427" t="str">
        <f t="shared" si="18"/>
        <v>UREFOCRCO-NELC</v>
      </c>
      <c r="K181" s="427" t="str">
        <f>NameConv!$C$16</f>
        <v>ELC</v>
      </c>
      <c r="L181" s="427" t="s">
        <v>807</v>
      </c>
      <c r="N181" s="446">
        <v>0</v>
      </c>
    </row>
    <row r="182" spans="2:14">
      <c r="B182" s="427" t="s">
        <v>818</v>
      </c>
      <c r="C182" s="427" t="s">
        <v>14073</v>
      </c>
      <c r="D182" s="469">
        <v>147</v>
      </c>
      <c r="J182" s="427" t="str">
        <f t="shared" si="18"/>
        <v>UREFOCRCO-NOCR</v>
      </c>
      <c r="K182" s="427" t="str">
        <f>NameConv!$C$35</f>
        <v>OCR</v>
      </c>
      <c r="L182" s="427" t="s">
        <v>809</v>
      </c>
      <c r="N182" s="446">
        <f>1-N181-N180</f>
        <v>1</v>
      </c>
    </row>
    <row r="183" spans="2:14">
      <c r="B183" s="427" t="s">
        <v>821</v>
      </c>
      <c r="J183" s="427" t="str">
        <f t="shared" si="18"/>
        <v>UREFOCRCO-N</v>
      </c>
    </row>
    <row r="184" spans="2:14">
      <c r="B184" s="427" t="s">
        <v>811</v>
      </c>
      <c r="D184" s="465">
        <v>0</v>
      </c>
      <c r="J184" s="427" t="str">
        <f t="shared" si="18"/>
        <v>UREFOCRCO-NEFF</v>
      </c>
      <c r="K184" s="427" t="str">
        <f>$A$256</f>
        <v>EFF</v>
      </c>
      <c r="L184" s="427" t="str">
        <f>L161</f>
        <v>Overall Efficiency</v>
      </c>
      <c r="N184" s="464">
        <v>0.97</v>
      </c>
    </row>
    <row r="185" spans="2:14">
      <c r="B185" s="427" t="s">
        <v>822</v>
      </c>
      <c r="D185" s="465">
        <f>0.5*(1-SUM($D$184,$D$186,$D$187,$D$188,$D$190))</f>
        <v>0.36</v>
      </c>
      <c r="J185" s="427" t="str">
        <f t="shared" si="18"/>
        <v>UREFOCRCO-N</v>
      </c>
      <c r="L185" s="427" t="str">
        <f t="shared" ref="L185:L192" si="19">B183</f>
        <v>Energy Products Output Share (flexible)</v>
      </c>
    </row>
    <row r="186" spans="2:14">
      <c r="B186" s="427" t="s">
        <v>38</v>
      </c>
      <c r="D186" s="465">
        <v>0</v>
      </c>
      <c r="J186" s="427" t="str">
        <f t="shared" si="18"/>
        <v>UREFOCRCO-NOAG</v>
      </c>
      <c r="K186" s="427" t="str">
        <f>NameConv!$C$34</f>
        <v>OAG</v>
      </c>
      <c r="L186" s="427" t="str">
        <f t="shared" si="19"/>
        <v>AvGas</v>
      </c>
      <c r="N186" s="446">
        <f t="shared" ref="N186:N192" si="20">D184</f>
        <v>0</v>
      </c>
    </row>
    <row r="187" spans="2:14">
      <c r="B187" s="427" t="s">
        <v>823</v>
      </c>
      <c r="D187" s="465">
        <v>0.2</v>
      </c>
      <c r="J187" s="427" t="str">
        <f t="shared" si="18"/>
        <v>UREFOCRCO-NODS</v>
      </c>
      <c r="K187" s="427" t="str">
        <f>NameConv!$C$36</f>
        <v>ODS</v>
      </c>
      <c r="L187" s="427" t="str">
        <f t="shared" si="19"/>
        <v>Diesel (up)</v>
      </c>
      <c r="N187" s="446">
        <f t="shared" si="20"/>
        <v>0.36</v>
      </c>
    </row>
    <row r="188" spans="2:14">
      <c r="B188" s="427" t="s">
        <v>824</v>
      </c>
      <c r="D188" s="465">
        <v>0.03</v>
      </c>
      <c r="J188" s="427" t="str">
        <f t="shared" si="18"/>
        <v>UREFOCRCO-NOHF</v>
      </c>
      <c r="K188" s="427" t="str">
        <f>NameConv!$C$38</f>
        <v>OHF</v>
      </c>
      <c r="L188" s="427" t="str">
        <f t="shared" si="19"/>
        <v>HFO</v>
      </c>
      <c r="N188" s="446">
        <f t="shared" si="20"/>
        <v>0</v>
      </c>
    </row>
    <row r="189" spans="2:14">
      <c r="B189" s="427" t="s">
        <v>825</v>
      </c>
      <c r="D189" s="465">
        <f>0.5*(1-SUM($D$184,$D$186,$D$187,$D$188,$D$190))</f>
        <v>0.36</v>
      </c>
      <c r="J189" s="427" t="str">
        <f t="shared" si="18"/>
        <v>UREFOCRCO-NOKE</v>
      </c>
      <c r="K189" s="427" t="str">
        <f>NameConv!$C$39</f>
        <v>OKE</v>
      </c>
      <c r="L189" s="427" t="str">
        <f t="shared" si="19"/>
        <v>Kerosene/jet fuel/paraffin (up)</v>
      </c>
      <c r="N189" s="446">
        <f t="shared" si="20"/>
        <v>0.2</v>
      </c>
    </row>
    <row r="190" spans="2:14">
      <c r="B190" s="427" t="s">
        <v>813</v>
      </c>
      <c r="D190" s="1293">
        <v>0.05</v>
      </c>
      <c r="J190" s="427" t="str">
        <f t="shared" si="18"/>
        <v>UREFOCRCO-NOLP</v>
      </c>
      <c r="K190" s="427" t="str">
        <f>NameConv!$C$40</f>
        <v>OLP</v>
      </c>
      <c r="L190" s="427" t="str">
        <f t="shared" si="19"/>
        <v>LPG (up)</v>
      </c>
      <c r="N190" s="446">
        <f t="shared" si="20"/>
        <v>0.03</v>
      </c>
    </row>
    <row r="191" spans="2:14">
      <c r="J191" s="427" t="str">
        <f t="shared" si="18"/>
        <v>UREFOCRCO-NOGS</v>
      </c>
      <c r="K191" s="427" t="str">
        <f>NameConv!$C$37</f>
        <v>OGS</v>
      </c>
      <c r="L191" s="427" t="str">
        <f t="shared" si="19"/>
        <v>Gasoline (up)</v>
      </c>
      <c r="N191" s="446">
        <f t="shared" si="20"/>
        <v>0.36</v>
      </c>
    </row>
    <row r="192" spans="2:14">
      <c r="B192" s="427" t="s">
        <v>577</v>
      </c>
      <c r="C192" s="427" t="s">
        <v>296</v>
      </c>
      <c r="D192" s="412">
        <v>0.96</v>
      </c>
      <c r="J192" s="427" t="str">
        <f t="shared" si="18"/>
        <v>UREFOCRCO-NOTH</v>
      </c>
      <c r="K192" s="427" t="str">
        <f>NameConv!$C$41</f>
        <v>OTH</v>
      </c>
      <c r="L192" s="427" t="str">
        <f t="shared" si="19"/>
        <v>Other non energy</v>
      </c>
      <c r="N192" s="446">
        <f t="shared" si="20"/>
        <v>0.05</v>
      </c>
    </row>
    <row r="193" spans="1:20">
      <c r="B193" s="427" t="s">
        <v>816</v>
      </c>
      <c r="C193" s="427" t="s">
        <v>702</v>
      </c>
      <c r="D193" s="466">
        <f>D96*9.37</f>
        <v>15.150222603765322</v>
      </c>
      <c r="J193" s="427" t="str">
        <f t="shared" si="18"/>
        <v>UREFOCRCO-NAFA(UP)</v>
      </c>
      <c r="K193" s="427" t="str">
        <f>UPS!$H$34</f>
        <v>AFA(UP)</v>
      </c>
      <c r="L193" s="427" t="s">
        <v>577</v>
      </c>
      <c r="N193" s="446">
        <f>D192</f>
        <v>0.96</v>
      </c>
    </row>
    <row r="194" spans="1:20">
      <c r="J194" s="427" t="str">
        <f t="shared" si="18"/>
        <v>UREFOCRCO-NRESID</v>
      </c>
      <c r="K194" s="427" t="str">
        <f>$A$255</f>
        <v>RESID</v>
      </c>
      <c r="L194" s="427" t="s">
        <v>733</v>
      </c>
      <c r="M194" s="427" t="s">
        <v>817</v>
      </c>
      <c r="N194" s="467">
        <f>D179</f>
        <v>664.92587687186381</v>
      </c>
    </row>
    <row r="195" spans="1:20">
      <c r="J195" s="427" t="str">
        <f t="shared" si="18"/>
        <v>UREFOCRCO-NCO2</v>
      </c>
      <c r="K195" s="427" t="s">
        <v>254</v>
      </c>
      <c r="L195" s="427" t="s">
        <v>650</v>
      </c>
      <c r="M195" s="427" t="s">
        <v>815</v>
      </c>
      <c r="N195" s="442">
        <f>$N$84*0.9</f>
        <v>4.2865158837537818</v>
      </c>
    </row>
    <row r="196" spans="1:20">
      <c r="J196" s="427" t="str">
        <f t="shared" si="18"/>
        <v>UREFOCRCO-NVAROM</v>
      </c>
      <c r="K196" s="427" t="str">
        <f>$A$257</f>
        <v>VAROM</v>
      </c>
      <c r="L196" s="427" t="s">
        <v>816</v>
      </c>
      <c r="M196" s="427" t="s">
        <v>826</v>
      </c>
      <c r="N196" s="467">
        <f>D193</f>
        <v>15.150222603765322</v>
      </c>
    </row>
    <row r="197" spans="1:20">
      <c r="J197" s="427" t="str">
        <f t="shared" ref="J197" si="21">$N$177&amp;K197</f>
        <v>UREFOCRCO-NFIXOM</v>
      </c>
      <c r="K197" s="427" t="s">
        <v>300</v>
      </c>
      <c r="L197" s="427" t="s">
        <v>14089</v>
      </c>
      <c r="M197" s="427" t="s">
        <v>793</v>
      </c>
      <c r="N197" s="467">
        <f>'Cleaner Fuels Phase-2'!H29*N198</f>
        <v>4.1976697517582133</v>
      </c>
    </row>
    <row r="198" spans="1:20">
      <c r="J198" s="427" t="str">
        <f t="shared" si="18"/>
        <v>UREFOCRCO-NINVCOST</v>
      </c>
      <c r="K198" s="427" t="str">
        <f>$A$258</f>
        <v>INVCOST</v>
      </c>
      <c r="L198" s="427" t="s">
        <v>583</v>
      </c>
      <c r="M198" s="427" t="s">
        <v>793</v>
      </c>
      <c r="N198" s="461">
        <f>D180/D179*1000</f>
        <v>139.92232505860713</v>
      </c>
    </row>
    <row r="199" spans="1:20">
      <c r="J199" s="427" t="str">
        <f t="shared" si="18"/>
        <v>UREFOCRCO-NLife</v>
      </c>
      <c r="K199" s="427" t="str">
        <f>UPS!$F$34</f>
        <v>Life</v>
      </c>
      <c r="L199" s="427" t="s">
        <v>578</v>
      </c>
      <c r="M199" s="427" t="s">
        <v>580</v>
      </c>
      <c r="N199" s="461">
        <v>50</v>
      </c>
    </row>
    <row r="200" spans="1:20">
      <c r="J200" s="427" t="str">
        <f t="shared" si="18"/>
        <v>UREFOCRCO-NLC_2006</v>
      </c>
      <c r="K200" s="427" t="str">
        <f>$A$259</f>
        <v>LC_2006</v>
      </c>
      <c r="L200" s="427" t="s">
        <v>737</v>
      </c>
      <c r="M200" s="427" t="s">
        <v>705</v>
      </c>
      <c r="N200" s="452">
        <f>-PMT($M$4,$N$199,N198)/N193+N196+D107/N184</f>
        <v>101.59389422210572</v>
      </c>
    </row>
    <row r="201" spans="1:20">
      <c r="J201" s="427" t="str">
        <f t="shared" si="18"/>
        <v>UREFOCRCO-NLC_Future</v>
      </c>
      <c r="K201" s="427" t="str">
        <f>$A$260</f>
        <v>LC_Future</v>
      </c>
      <c r="L201" s="427" t="s">
        <v>738</v>
      </c>
      <c r="M201" s="427" t="s">
        <v>705</v>
      </c>
      <c r="N201" s="452">
        <f>-PMT($M$4,$N$199,N198)/N193+N196+D108/N184</f>
        <v>139.98785437696239</v>
      </c>
    </row>
    <row r="202" spans="1:20">
      <c r="G202" s="1628">
        <f>E249*1000/SUM(G204:G206)</f>
        <v>0.72625826852984432</v>
      </c>
    </row>
    <row r="203" spans="1:20" ht="15.75" thickBot="1">
      <c r="B203" s="415" t="s">
        <v>827</v>
      </c>
      <c r="D203" s="503"/>
      <c r="E203" s="505">
        <v>2006</v>
      </c>
      <c r="F203" s="503">
        <v>2012</v>
      </c>
      <c r="G203" s="503">
        <v>2017</v>
      </c>
      <c r="L203" s="415" t="s">
        <v>827</v>
      </c>
      <c r="N203" s="427" t="str">
        <f>UPS!$B$60</f>
        <v>UGTLGICCO-E</v>
      </c>
    </row>
    <row r="204" spans="1:20">
      <c r="A204" s="506">
        <v>100</v>
      </c>
      <c r="B204" s="427" t="s">
        <v>1483</v>
      </c>
      <c r="C204" s="427" t="s">
        <v>0</v>
      </c>
      <c r="D204" s="460">
        <f>G204</f>
        <v>1016.0363890120483</v>
      </c>
      <c r="E204" s="1620">
        <f>U232</f>
        <v>2182.1822384053153</v>
      </c>
      <c r="F204" s="503"/>
      <c r="G204" s="1400">
        <f>AC232</f>
        <v>1016.0363890120483</v>
      </c>
      <c r="J204" s="427" t="str">
        <f>$N$203&amp;K204</f>
        <v>UGTLGICCO-EGIC</v>
      </c>
      <c r="K204" s="427" t="str">
        <f>NameConv!C26</f>
        <v>GIC</v>
      </c>
      <c r="L204" s="427" t="s">
        <v>1796</v>
      </c>
      <c r="N204" s="898">
        <f>1-SUM(N205:N206)</f>
        <v>0.76985311799533229</v>
      </c>
      <c r="R204" s="503" t="s">
        <v>1492</v>
      </c>
      <c r="S204" s="906">
        <v>0.8</v>
      </c>
      <c r="T204" s="460">
        <f>3/3</f>
        <v>1</v>
      </c>
    </row>
    <row r="205" spans="1:20">
      <c r="A205" s="427" t="s">
        <v>14330</v>
      </c>
      <c r="B205" s="427" t="s">
        <v>828</v>
      </c>
      <c r="C205" s="427" t="s">
        <v>0</v>
      </c>
      <c r="D205" s="432">
        <f>G205</f>
        <v>25838</v>
      </c>
      <c r="E205" s="1620">
        <f>U218</f>
        <v>63072.465116279076</v>
      </c>
      <c r="F205" s="503"/>
      <c r="G205" s="1400">
        <f>AC214</f>
        <v>25838</v>
      </c>
      <c r="J205" s="427" t="str">
        <f>$N$203&amp;K205</f>
        <v>UGTLGICCO-EOCR</v>
      </c>
      <c r="K205" s="427" t="str">
        <f>NameConv!$C$35</f>
        <v>OCR</v>
      </c>
      <c r="N205" s="898">
        <f>(1-N206) * S228</f>
        <v>0.19246327949883302</v>
      </c>
      <c r="R205" s="503" t="s">
        <v>1506</v>
      </c>
      <c r="S205" s="906"/>
      <c r="T205" s="906"/>
    </row>
    <row r="206" spans="1:20">
      <c r="B206" s="427" t="s">
        <v>1497</v>
      </c>
      <c r="C206" s="427" t="s">
        <v>0</v>
      </c>
      <c r="D206" s="460">
        <f>G206</f>
        <v>8711.8237454100363</v>
      </c>
      <c r="E206" s="1620">
        <f>U219</f>
        <v>8085.4834761321918</v>
      </c>
      <c r="F206" s="503"/>
      <c r="G206" s="1400">
        <f>AC219</f>
        <v>8711.8237454100363</v>
      </c>
      <c r="J206" s="427" t="str">
        <f>$N$203&amp;K206</f>
        <v>UGTLGICCO-EELC</v>
      </c>
      <c r="K206" s="427" t="str">
        <f>NameConv!$C$16</f>
        <v>ELC</v>
      </c>
      <c r="N206" s="899">
        <f>U232/U223</f>
        <v>3.7683602505834655E-2</v>
      </c>
      <c r="R206" s="900" t="s">
        <v>1166</v>
      </c>
      <c r="S206" s="906">
        <v>0.7</v>
      </c>
      <c r="T206" s="906">
        <v>0.8</v>
      </c>
    </row>
    <row r="207" spans="1:20">
      <c r="B207" s="427" t="s">
        <v>830</v>
      </c>
      <c r="C207" s="427" t="s">
        <v>0</v>
      </c>
      <c r="D207" s="432">
        <f>G207</f>
        <v>43439.946709632335</v>
      </c>
      <c r="E207" s="1620">
        <f>E229</f>
        <v>56443.700932594205</v>
      </c>
      <c r="F207" s="503"/>
      <c r="G207" s="1400">
        <f>G208*E207</f>
        <v>43439.946709632335</v>
      </c>
      <c r="J207" s="427" t="str">
        <f>$N$203&amp;K207</f>
        <v>UGTLGICCO-E</v>
      </c>
      <c r="R207" s="900" t="s">
        <v>559</v>
      </c>
      <c r="S207" s="906">
        <f>1-S206</f>
        <v>0.30000000000000004</v>
      </c>
      <c r="T207" s="906">
        <f>1-T206</f>
        <v>0.19999999999999996</v>
      </c>
    </row>
    <row r="208" spans="1:20">
      <c r="B208" s="427" t="s">
        <v>675</v>
      </c>
      <c r="D208" s="470">
        <f>G208</f>
        <v>0.76961549281661878</v>
      </c>
      <c r="E208" s="1476">
        <f>E207/(E204+E205+E206)</f>
        <v>0.76961549281661878</v>
      </c>
      <c r="F208" s="503"/>
      <c r="G208" s="1114">
        <f>E208</f>
        <v>0.76961549281661878</v>
      </c>
      <c r="J208" s="427" t="str">
        <f t="shared" ref="J208:J221" si="22">$N$203&amp;K208</f>
        <v>UGTLGICCO-EEFF</v>
      </c>
      <c r="K208" s="427" t="str">
        <f>$A$256</f>
        <v>EFF</v>
      </c>
      <c r="L208" s="427" t="str">
        <f t="shared" ref="L208:L216" si="23">B208</f>
        <v>Overall Efficiency</v>
      </c>
      <c r="N208" s="446">
        <f>D208</f>
        <v>0.76961549281661878</v>
      </c>
      <c r="R208" s="505" t="s">
        <v>1487</v>
      </c>
    </row>
    <row r="209" spans="1:34">
      <c r="B209" s="427" t="s">
        <v>810</v>
      </c>
      <c r="E209" s="505"/>
      <c r="F209" s="503"/>
      <c r="G209" s="1400"/>
      <c r="J209" s="427" t="str">
        <f t="shared" si="22"/>
        <v>UGTLGICCO-E</v>
      </c>
      <c r="L209" s="427" t="str">
        <f t="shared" si="23"/>
        <v>Energy Products Output Share</v>
      </c>
      <c r="P209" s="506"/>
      <c r="R209" s="503" t="s">
        <v>1486</v>
      </c>
      <c r="S209" s="906">
        <v>7.3529999999999998</v>
      </c>
      <c r="U209" s="902" t="s">
        <v>1487</v>
      </c>
    </row>
    <row r="210" spans="1:34">
      <c r="B210" s="427" t="s">
        <v>811</v>
      </c>
      <c r="D210" s="432">
        <f>E210</f>
        <v>0</v>
      </c>
      <c r="E210" s="1621">
        <f>E222</f>
        <v>0</v>
      </c>
      <c r="F210" s="503"/>
      <c r="G210" s="1400">
        <f t="shared" ref="G210:G216" si="24">$G$207*$C222</f>
        <v>0</v>
      </c>
      <c r="J210" s="427" t="str">
        <f t="shared" si="22"/>
        <v>UGTLGICCO-EOAG</v>
      </c>
      <c r="K210" s="427" t="str">
        <f>NameConv!$C$34</f>
        <v>OAG</v>
      </c>
      <c r="L210" s="427" t="str">
        <f t="shared" si="23"/>
        <v>AvGas</v>
      </c>
      <c r="N210" s="446">
        <f>C222</f>
        <v>0</v>
      </c>
      <c r="R210" s="506" t="s">
        <v>1485</v>
      </c>
      <c r="S210" s="906">
        <v>41.868000000000002</v>
      </c>
      <c r="T210" s="903" t="s">
        <v>1496</v>
      </c>
      <c r="U210" s="902" t="s">
        <v>1487</v>
      </c>
      <c r="AA210" s="908"/>
      <c r="AC210" s="427">
        <f>AC213*1000-AC214</f>
        <v>2769</v>
      </c>
    </row>
    <row r="211" spans="1:34" ht="15.75">
      <c r="B211" s="427" t="s">
        <v>32</v>
      </c>
      <c r="D211" s="432">
        <f t="shared" ref="D211:D216" si="25">C223*$D$207</f>
        <v>2606.39680257794</v>
      </c>
      <c r="E211" s="1621">
        <f t="shared" ref="E211:E216" si="26">E223</f>
        <v>16237.685567994209</v>
      </c>
      <c r="F211" s="503"/>
      <c r="G211" s="1400">
        <f t="shared" si="24"/>
        <v>2606.39680257794</v>
      </c>
      <c r="J211" s="427" t="str">
        <f t="shared" si="22"/>
        <v>UGTLGICCO-EODS</v>
      </c>
      <c r="K211" s="427" t="str">
        <f>NameConv!$C$36</f>
        <v>ODS</v>
      </c>
      <c r="L211" s="427" t="str">
        <f t="shared" si="23"/>
        <v>Diesel</v>
      </c>
      <c r="N211" s="446">
        <f t="shared" ref="N211:N216" si="27">C223</f>
        <v>0.06</v>
      </c>
      <c r="R211" s="503" t="s">
        <v>1499</v>
      </c>
      <c r="S211" s="906">
        <v>0.19</v>
      </c>
      <c r="T211" s="503" t="s">
        <v>1500</v>
      </c>
      <c r="U211" s="910" t="s">
        <v>1501</v>
      </c>
      <c r="AA211" s="1627"/>
      <c r="AB211" s="909"/>
      <c r="AG211" s="901"/>
    </row>
    <row r="212" spans="1:34">
      <c r="B212" s="427" t="s">
        <v>38</v>
      </c>
      <c r="D212" s="432">
        <f t="shared" si="25"/>
        <v>1737.5978683852934</v>
      </c>
      <c r="E212" s="1621">
        <f t="shared" si="26"/>
        <v>0</v>
      </c>
      <c r="F212" s="503"/>
      <c r="G212" s="1400">
        <f t="shared" si="24"/>
        <v>1737.5978683852934</v>
      </c>
      <c r="J212" s="427" t="str">
        <f t="shared" si="22"/>
        <v>UGTLGICCO-EOHF</v>
      </c>
      <c r="K212" s="427" t="str">
        <f>NameConv!$C$38</f>
        <v>OHF</v>
      </c>
      <c r="L212" s="427" t="str">
        <f t="shared" si="23"/>
        <v>HFO</v>
      </c>
      <c r="N212" s="446">
        <f t="shared" si="27"/>
        <v>0.04</v>
      </c>
      <c r="R212" s="911" t="s">
        <v>1502</v>
      </c>
      <c r="S212" s="503">
        <v>45.75</v>
      </c>
      <c r="T212" s="503" t="s">
        <v>1045</v>
      </c>
      <c r="U212" s="902" t="s">
        <v>1487</v>
      </c>
      <c r="AA212" s="908"/>
    </row>
    <row r="213" spans="1:34" ht="15.75">
      <c r="B213" s="427" t="s">
        <v>812</v>
      </c>
      <c r="D213" s="432">
        <f t="shared" si="25"/>
        <v>4778.394138059557</v>
      </c>
      <c r="E213" s="1621">
        <f t="shared" si="26"/>
        <v>6919.5284959999999</v>
      </c>
      <c r="F213" s="503"/>
      <c r="G213" s="1400">
        <f t="shared" si="24"/>
        <v>4778.394138059557</v>
      </c>
      <c r="J213" s="427" t="str">
        <f t="shared" si="22"/>
        <v>UGTLGICCO-EOKE</v>
      </c>
      <c r="K213" s="427" t="str">
        <f>NameConv!$C$39</f>
        <v>OKE</v>
      </c>
      <c r="L213" s="427" t="str">
        <f t="shared" si="23"/>
        <v>Kerosene/jet fuel/paraffin</v>
      </c>
      <c r="N213" s="446">
        <f t="shared" si="27"/>
        <v>0.11</v>
      </c>
      <c r="P213" s="506"/>
      <c r="AA213" s="907"/>
      <c r="AB213" s="909"/>
      <c r="AC213" s="1629">
        <v>28.606999999999999</v>
      </c>
    </row>
    <row r="214" spans="1:34" ht="15.75">
      <c r="B214" s="427" t="s">
        <v>34</v>
      </c>
      <c r="D214" s="432">
        <f t="shared" si="25"/>
        <v>3475.1957367705868</v>
      </c>
      <c r="E214" s="1621">
        <f>E226</f>
        <v>2071.2661177999998</v>
      </c>
      <c r="F214" s="503"/>
      <c r="G214" s="1400">
        <f t="shared" si="24"/>
        <v>3475.1957367705868</v>
      </c>
      <c r="J214" s="427" t="str">
        <f t="shared" si="22"/>
        <v>UGTLGICCO-EOLP</v>
      </c>
      <c r="K214" s="427" t="str">
        <f>NameConv!$C$40</f>
        <v>OLP</v>
      </c>
      <c r="L214" s="427" t="str">
        <f t="shared" si="23"/>
        <v>LPG</v>
      </c>
      <c r="N214" s="446">
        <f t="shared" si="27"/>
        <v>0.08</v>
      </c>
      <c r="R214" s="427"/>
      <c r="S214" s="1114">
        <f>S223/S216</f>
        <v>0.80078740157480321</v>
      </c>
      <c r="V214" s="427"/>
      <c r="W214" s="1114">
        <f>W224/W216</f>
        <v>0.7350736278447122</v>
      </c>
      <c r="Y214" s="503"/>
      <c r="AB214" s="406"/>
      <c r="AC214" s="1627">
        <v>25838</v>
      </c>
      <c r="AD214" s="427" t="s">
        <v>14338</v>
      </c>
    </row>
    <row r="215" spans="1:34" ht="15.75" thickBot="1">
      <c r="B215" s="427" t="s">
        <v>33</v>
      </c>
      <c r="D215" s="432">
        <f t="shared" si="25"/>
        <v>23023.171756105137</v>
      </c>
      <c r="E215" s="1621">
        <f t="shared" si="26"/>
        <v>28114.09359</v>
      </c>
      <c r="F215" s="503"/>
      <c r="G215" s="1400">
        <f t="shared" si="24"/>
        <v>23023.171756105137</v>
      </c>
      <c r="J215" s="427" t="str">
        <f t="shared" si="22"/>
        <v>UGTLGICCO-EOGS</v>
      </c>
      <c r="K215" s="427" t="str">
        <f>NameConv!$C$37</f>
        <v>OGS</v>
      </c>
      <c r="L215" s="427" t="str">
        <f t="shared" si="23"/>
        <v>Gasoline</v>
      </c>
      <c r="N215" s="446">
        <f t="shared" si="27"/>
        <v>0.53</v>
      </c>
      <c r="R215" s="413" t="s">
        <v>1507</v>
      </c>
      <c r="S215" s="947" t="s">
        <v>1488</v>
      </c>
      <c r="V215" s="427"/>
      <c r="W215" s="947" t="s">
        <v>1489</v>
      </c>
      <c r="X215" s="503"/>
      <c r="Y215" s="503"/>
      <c r="AA215" s="947" t="s">
        <v>14329</v>
      </c>
      <c r="AB215" s="503"/>
      <c r="AC215" s="503"/>
      <c r="AE215" s="947" t="s">
        <v>14090</v>
      </c>
    </row>
    <row r="216" spans="1:34">
      <c r="B216" s="427" t="s">
        <v>813</v>
      </c>
      <c r="D216" s="432">
        <f t="shared" si="25"/>
        <v>7819.1904077338204</v>
      </c>
      <c r="E216" s="1621">
        <f t="shared" si="26"/>
        <v>3101.1271607999952</v>
      </c>
      <c r="F216" s="503"/>
      <c r="G216" s="1400">
        <f t="shared" si="24"/>
        <v>7819.1904077338204</v>
      </c>
      <c r="J216" s="427" t="str">
        <f t="shared" si="22"/>
        <v>UGTLGICCO-EOTH</v>
      </c>
      <c r="K216" s="427" t="str">
        <f>NameConv!$C$41</f>
        <v>OTH</v>
      </c>
      <c r="L216" s="427" t="str">
        <f t="shared" si="23"/>
        <v>Other non energy</v>
      </c>
      <c r="N216" s="446">
        <f t="shared" si="27"/>
        <v>0.18</v>
      </c>
      <c r="R216" s="917" t="s">
        <v>14332</v>
      </c>
      <c r="S216" s="934">
        <v>12.7</v>
      </c>
      <c r="T216" s="926" t="s">
        <v>1481</v>
      </c>
      <c r="U216" s="935">
        <f>S216/$S$209*$S$210* 1000</f>
        <v>72313.831089351283</v>
      </c>
      <c r="V216" s="930" t="s">
        <v>0</v>
      </c>
      <c r="W216" s="934">
        <v>7.47</v>
      </c>
      <c r="X216" s="926" t="s">
        <v>1481</v>
      </c>
      <c r="Y216" s="935">
        <f>W216/$S$209*$S$210* 1000</f>
        <v>42534.198286413703</v>
      </c>
      <c r="Z216" s="930" t="s">
        <v>0</v>
      </c>
      <c r="AA216" s="1442"/>
      <c r="AB216" s="926" t="s">
        <v>1481</v>
      </c>
      <c r="AC216" s="935">
        <f>SUM(AC218:AC219)</f>
        <v>35477.051652386777</v>
      </c>
      <c r="AD216" s="930" t="s">
        <v>0</v>
      </c>
      <c r="AE216" s="1442"/>
      <c r="AF216" s="926" t="s">
        <v>1481</v>
      </c>
      <c r="AG216" s="935">
        <f>SUM(AG218:AG219)</f>
        <v>39421.287148102827</v>
      </c>
      <c r="AH216" s="930" t="s">
        <v>0</v>
      </c>
    </row>
    <row r="217" spans="1:34">
      <c r="B217" s="427" t="s">
        <v>577</v>
      </c>
      <c r="C217" s="427" t="s">
        <v>296</v>
      </c>
      <c r="D217" s="471">
        <f>G217</f>
        <v>0.46244122068025312</v>
      </c>
      <c r="E217" s="1476">
        <v>0.96</v>
      </c>
      <c r="F217" s="1618">
        <f>2/3*0.8*E217</f>
        <v>0.51200000000000001</v>
      </c>
      <c r="G217" s="1618">
        <f>2/3*0.8*E217 * D205/E250/1000</f>
        <v>0.46244122068025312</v>
      </c>
      <c r="J217" s="427" t="str">
        <f t="shared" si="22"/>
        <v>UGTLGICCO-EAFA(UP)</v>
      </c>
      <c r="K217" s="427" t="str">
        <f>UPS!$H$34</f>
        <v>AFA(UP)</v>
      </c>
      <c r="L217" s="427" t="s">
        <v>577</v>
      </c>
      <c r="N217" s="446">
        <f>D217*W225</f>
        <v>0.36995297654420251</v>
      </c>
      <c r="R217" s="923" t="s">
        <v>140</v>
      </c>
      <c r="S217" s="936">
        <f>S216-S219</f>
        <v>11.28</v>
      </c>
      <c r="T217" s="927" t="s">
        <v>1481</v>
      </c>
      <c r="U217" s="937">
        <f>S217/$S$209*$S$210* 1000</f>
        <v>64228.347613219084</v>
      </c>
      <c r="V217" s="931" t="s">
        <v>0</v>
      </c>
      <c r="W217" s="936">
        <v>7.47</v>
      </c>
      <c r="X217" s="927" t="s">
        <v>1481</v>
      </c>
      <c r="Y217" s="937">
        <f>W217/$S$209*$S$210* 1000</f>
        <v>42534.198286413703</v>
      </c>
      <c r="Z217" s="931" t="s">
        <v>0</v>
      </c>
      <c r="AA217" s="1441"/>
      <c r="AB217" s="927" t="s">
        <v>1481</v>
      </c>
      <c r="AC217" s="937"/>
      <c r="AD217" s="925" t="s">
        <v>0</v>
      </c>
      <c r="AE217" s="1441"/>
      <c r="AF217" s="927" t="s">
        <v>1481</v>
      </c>
      <c r="AG217" s="937"/>
      <c r="AH217" s="925" t="s">
        <v>0</v>
      </c>
    </row>
    <row r="218" spans="1:34">
      <c r="A218" s="427" t="s">
        <v>772</v>
      </c>
      <c r="B218" s="427" t="s">
        <v>816</v>
      </c>
      <c r="C218" s="427" t="s">
        <v>702</v>
      </c>
      <c r="D218" s="466">
        <f>D96*(11.44+10.94)</f>
        <v>36.18591055200298</v>
      </c>
      <c r="E218" s="503"/>
      <c r="J218" s="427" t="str">
        <f t="shared" si="22"/>
        <v>UGTLGICCO-ERESID</v>
      </c>
      <c r="K218" s="427" t="str">
        <f>$A$255</f>
        <v>RESID</v>
      </c>
      <c r="L218" s="427" t="s">
        <v>733</v>
      </c>
      <c r="M218" s="427" t="s">
        <v>817</v>
      </c>
      <c r="N218" s="467">
        <f>E207/1000/E217</f>
        <v>58.795521804785629</v>
      </c>
      <c r="R218" s="915"/>
      <c r="S218" s="938">
        <v>58.3</v>
      </c>
      <c r="T218" s="927" t="s">
        <v>1490</v>
      </c>
      <c r="U218" s="937">
        <f>(S218*$S$211)/$S$209 * $S$210 *1000</f>
        <v>63072.465116279076</v>
      </c>
      <c r="V218" s="931" t="s">
        <v>0</v>
      </c>
      <c r="W218" s="938"/>
      <c r="X218" s="927" t="s">
        <v>1490</v>
      </c>
      <c r="Y218" s="937">
        <f>(W218*$S$211)/$S$209 * $S$210 *1000</f>
        <v>0</v>
      </c>
      <c r="Z218" s="931" t="s">
        <v>0</v>
      </c>
      <c r="AA218" s="938">
        <v>24.74</v>
      </c>
      <c r="AB218" s="927" t="s">
        <v>1490</v>
      </c>
      <c r="AC218" s="937">
        <f>(AA218*$S$211)/$S$209 * $S$210 *1000</f>
        <v>26765.227906976743</v>
      </c>
      <c r="AD218" s="925" t="s">
        <v>0</v>
      </c>
      <c r="AE218" s="938">
        <v>26.07</v>
      </c>
      <c r="AF218" s="927" t="s">
        <v>1490</v>
      </c>
      <c r="AG218" s="937">
        <f>(AE218*$S$211)/$S$209 * $S$210 *1000</f>
        <v>28204.102325581403</v>
      </c>
      <c r="AH218" s="925" t="s">
        <v>0</v>
      </c>
    </row>
    <row r="219" spans="1:34" ht="15.75" thickBot="1">
      <c r="A219" s="1619" t="s">
        <v>14334</v>
      </c>
      <c r="B219" s="1409" t="s">
        <v>14327</v>
      </c>
      <c r="C219" s="1619" t="s">
        <v>14335</v>
      </c>
      <c r="D219" s="454">
        <f>E248/SUM(E240:E245)</f>
        <v>6.4894696089818042</v>
      </c>
      <c r="F219" s="1618"/>
      <c r="G219" s="1397"/>
      <c r="J219" s="427" t="str">
        <f t="shared" si="22"/>
        <v>UGTLGICCO-EVAROM</v>
      </c>
      <c r="K219" s="427" t="str">
        <f>$A$257</f>
        <v>VAROM</v>
      </c>
      <c r="L219" s="427" t="s">
        <v>816</v>
      </c>
      <c r="M219" s="427" t="s">
        <v>826</v>
      </c>
      <c r="N219" s="467">
        <f>D218</f>
        <v>36.18591055200298</v>
      </c>
      <c r="R219" s="924" t="s">
        <v>1493</v>
      </c>
      <c r="S219" s="941">
        <f>1.42</f>
        <v>1.42</v>
      </c>
      <c r="T219" s="942" t="s">
        <v>1480</v>
      </c>
      <c r="U219" s="549">
        <f>S219/$S$209*$S$210* 1000</f>
        <v>8085.4834761321918</v>
      </c>
      <c r="V219" s="943" t="s">
        <v>0</v>
      </c>
      <c r="W219" s="941"/>
      <c r="X219" s="942" t="s">
        <v>1480</v>
      </c>
      <c r="Y219" s="549">
        <f>W219/$S$209*$S$210* 1000</f>
        <v>0</v>
      </c>
      <c r="Z219" s="943" t="s">
        <v>0</v>
      </c>
      <c r="AA219" s="941">
        <v>1.53</v>
      </c>
      <c r="AB219" s="942" t="s">
        <v>1480</v>
      </c>
      <c r="AC219" s="549">
        <f>AA219/$S$209*$S$210* 1000</f>
        <v>8711.8237454100363</v>
      </c>
      <c r="AD219" s="953" t="s">
        <v>0</v>
      </c>
      <c r="AE219" s="941">
        <v>1.97</v>
      </c>
      <c r="AF219" s="942" t="s">
        <v>1480</v>
      </c>
      <c r="AG219" s="549">
        <f>AE219/$S$209*$S$210* 1000</f>
        <v>11217.18482252142</v>
      </c>
      <c r="AH219" s="953" t="s">
        <v>0</v>
      </c>
    </row>
    <row r="220" spans="1:34">
      <c r="J220" s="427" t="str">
        <f t="shared" si="22"/>
        <v>UGTLGICCO-ELC_2006</v>
      </c>
      <c r="K220" s="427" t="str">
        <f>$A$259</f>
        <v>LC_2006</v>
      </c>
      <c r="L220" s="427" t="s">
        <v>737</v>
      </c>
      <c r="M220" s="427" t="s">
        <v>705</v>
      </c>
      <c r="N220" s="452">
        <f>N219+$D$102/N208</f>
        <v>93.798925142047437</v>
      </c>
      <c r="R220" s="917" t="s">
        <v>1484</v>
      </c>
      <c r="S220" s="1617">
        <f>SUM(S221:S222)</f>
        <v>2.6</v>
      </c>
      <c r="T220" s="926" t="s">
        <v>1480</v>
      </c>
      <c r="U220" s="935">
        <f>S220/$S$209*$S$210* 1000</f>
        <v>14804.406364749082</v>
      </c>
      <c r="V220" s="930" t="s">
        <v>0</v>
      </c>
      <c r="W220" s="1617">
        <f>SUM(W221:W222)</f>
        <v>0.39600000000000002</v>
      </c>
      <c r="X220" s="926" t="s">
        <v>1480</v>
      </c>
      <c r="Y220" s="935">
        <f>W221/$S$209*$S$210* 1000</f>
        <v>2254.8249694002452</v>
      </c>
      <c r="Z220" s="930" t="s">
        <v>0</v>
      </c>
      <c r="AA220" s="1617">
        <f>SUM(AA221:AA222)</f>
        <v>0</v>
      </c>
      <c r="AB220" s="926" t="s">
        <v>1480</v>
      </c>
      <c r="AC220" s="935">
        <f>AA221/$S$209*$S$210* 1000</f>
        <v>0</v>
      </c>
      <c r="AD220" s="930" t="s">
        <v>0</v>
      </c>
      <c r="AE220" s="1617">
        <f>SUM(AE221:AE222)</f>
        <v>0</v>
      </c>
      <c r="AF220" s="926" t="s">
        <v>1480</v>
      </c>
      <c r="AG220" s="935">
        <f>AE221/$S$209*$S$210* 1000</f>
        <v>0</v>
      </c>
      <c r="AH220" s="930" t="s">
        <v>0</v>
      </c>
    </row>
    <row r="221" spans="1:34">
      <c r="C221" s="1597" t="s">
        <v>1844</v>
      </c>
      <c r="D221" s="413" t="s">
        <v>1846</v>
      </c>
      <c r="E221" s="427" t="s">
        <v>0</v>
      </c>
      <c r="J221" s="427" t="str">
        <f t="shared" si="22"/>
        <v>UGTLGICCO-ELC_Future</v>
      </c>
      <c r="K221" s="427" t="str">
        <f>$A$260</f>
        <v>LC_Future</v>
      </c>
      <c r="L221" s="427" t="s">
        <v>738</v>
      </c>
      <c r="M221" s="427" t="s">
        <v>705</v>
      </c>
      <c r="N221" s="452">
        <f>N219+$D$103/N208</f>
        <v>140.13392192482252</v>
      </c>
      <c r="R221" s="918" t="s">
        <v>1494</v>
      </c>
      <c r="S221" s="1616">
        <v>0.73</v>
      </c>
      <c r="T221" s="939"/>
      <c r="U221" s="540"/>
      <c r="V221" s="931"/>
      <c r="W221" s="1616">
        <v>0.39600000000000002</v>
      </c>
      <c r="X221" s="939"/>
      <c r="Y221" s="939"/>
      <c r="Z221" s="925"/>
      <c r="AA221" s="1616"/>
      <c r="AB221" s="939"/>
      <c r="AC221" s="939"/>
      <c r="AD221" s="925"/>
      <c r="AE221" s="1616"/>
      <c r="AF221" s="939"/>
      <c r="AG221" s="939"/>
      <c r="AH221" s="925"/>
    </row>
    <row r="222" spans="1:34" ht="15.75" thickBot="1">
      <c r="A222" s="427" t="s">
        <v>558</v>
      </c>
      <c r="B222" s="427" t="s">
        <v>811</v>
      </c>
      <c r="C222" s="446">
        <f>IFERROR(SUMIFS(W$236:$W$242,$P$236:$P$242,$A222),0)</f>
        <v>0</v>
      </c>
      <c r="D222" s="446">
        <f t="shared" ref="D222:D228" si="28">E222/$E$229</f>
        <v>0</v>
      </c>
      <c r="E222" s="432">
        <f>'GTL and CTL'!S15</f>
        <v>0</v>
      </c>
      <c r="I222" s="124"/>
      <c r="R222" s="919" t="s">
        <v>1495</v>
      </c>
      <c r="S222" s="1616">
        <v>1.87</v>
      </c>
      <c r="T222" s="944"/>
      <c r="U222" s="549"/>
      <c r="V222" s="943"/>
      <c r="W222" s="1616"/>
      <c r="X222" s="944"/>
      <c r="Y222" s="944"/>
      <c r="Z222" s="953"/>
      <c r="AA222" s="1616"/>
      <c r="AB222" s="944"/>
      <c r="AC222" s="944"/>
      <c r="AD222" s="953"/>
      <c r="AE222" s="1616"/>
      <c r="AF222" s="944"/>
      <c r="AG222" s="944"/>
      <c r="AH222" s="953"/>
    </row>
    <row r="223" spans="1:34" ht="15.75" thickBot="1">
      <c r="A223" s="427" t="s">
        <v>555</v>
      </c>
      <c r="B223" s="427" t="s">
        <v>32</v>
      </c>
      <c r="C223" s="446">
        <f>IFERROR(SUMIFS(W$236:$W$242,$P$236:$P$242,$A223),0)</f>
        <v>0.06</v>
      </c>
      <c r="D223" s="446">
        <f t="shared" si="28"/>
        <v>0.28767932115906897</v>
      </c>
      <c r="E223" s="432">
        <f>'GTL and CTL'!$S$18</f>
        <v>16237.685567994209</v>
      </c>
      <c r="I223" s="124"/>
      <c r="L223" s="415" t="s">
        <v>1778</v>
      </c>
      <c r="N223" s="427" t="str">
        <f>UPS!$B$70</f>
        <v>UGTLGASIN-N</v>
      </c>
      <c r="R223" s="920" t="s">
        <v>14331</v>
      </c>
      <c r="S223" s="1615">
        <v>10.17</v>
      </c>
      <c r="T223" s="926" t="s">
        <v>1480</v>
      </c>
      <c r="U223" s="935">
        <f>S223/$S$209*$S$210* 1000</f>
        <v>57908.004895960839</v>
      </c>
      <c r="V223" s="930" t="s">
        <v>0</v>
      </c>
      <c r="W223" s="948">
        <v>7.5250000000000004</v>
      </c>
      <c r="X223" s="926" t="s">
        <v>1480</v>
      </c>
      <c r="Y223" s="935">
        <f>W223/$S$209*$S$210* 1000</f>
        <v>42847.368421052633</v>
      </c>
      <c r="Z223" s="930" t="s">
        <v>0</v>
      </c>
      <c r="AA223" s="948">
        <v>6.2859999999999996</v>
      </c>
      <c r="AB223" s="926" t="s">
        <v>1480</v>
      </c>
      <c r="AC223" s="935">
        <f>AA223/$S$209*$S$210* 1000</f>
        <v>35792.499388004901</v>
      </c>
      <c r="AD223" s="930" t="s">
        <v>0</v>
      </c>
      <c r="AE223" s="948">
        <v>2.552</v>
      </c>
      <c r="AF223" s="926" t="s">
        <v>1480</v>
      </c>
      <c r="AG223" s="935">
        <f>AE223/$S$209*$S$210* 1000</f>
        <v>14531.094247246023</v>
      </c>
      <c r="AH223" s="930" t="s">
        <v>0</v>
      </c>
    </row>
    <row r="224" spans="1:34">
      <c r="A224" s="427" t="s">
        <v>549</v>
      </c>
      <c r="B224" s="427" t="s">
        <v>38</v>
      </c>
      <c r="C224" s="446">
        <f>IFERROR(SUMIFS(W$236:$W$242,$P$236:$P$242,$A224),0)</f>
        <v>0.04</v>
      </c>
      <c r="D224" s="446">
        <f t="shared" si="28"/>
        <v>0</v>
      </c>
      <c r="E224" s="432">
        <f>'GTL and CTL'!S20</f>
        <v>0</v>
      </c>
      <c r="I224" s="124"/>
      <c r="J224" s="427" t="str">
        <f>$N$223&amp;K224</f>
        <v>UGTLGASIN-NGIC</v>
      </c>
      <c r="K224" s="427" t="str">
        <f>NameConv!C26</f>
        <v>GIC</v>
      </c>
      <c r="L224" s="427" t="s">
        <v>829</v>
      </c>
      <c r="N224" s="898">
        <f>N204</f>
        <v>0.76985311799533229</v>
      </c>
      <c r="R224" s="921" t="s">
        <v>1479</v>
      </c>
      <c r="S224" s="927"/>
      <c r="T224" s="927" t="s">
        <v>1480</v>
      </c>
      <c r="U224" s="927"/>
      <c r="V224" s="931"/>
      <c r="W224" s="949">
        <v>5.4909999999999997</v>
      </c>
      <c r="X224" s="927" t="s">
        <v>1480</v>
      </c>
      <c r="Y224" s="540">
        <f>W224/$S$209*$S$210* 1000</f>
        <v>31265.767441860466</v>
      </c>
      <c r="Z224" s="931" t="s">
        <v>0</v>
      </c>
      <c r="AA224" s="949"/>
      <c r="AB224" s="927" t="s">
        <v>1480</v>
      </c>
      <c r="AC224" s="540">
        <f>AA224/$S$209*$S$210* 1000</f>
        <v>0</v>
      </c>
      <c r="AD224" s="931" t="s">
        <v>0</v>
      </c>
      <c r="AE224" s="949">
        <v>1.923</v>
      </c>
      <c r="AF224" s="927" t="s">
        <v>1480</v>
      </c>
      <c r="AG224" s="540">
        <f>AE224/$S$209*$S$210* 1000</f>
        <v>10949.56670746634</v>
      </c>
      <c r="AH224" s="931" t="s">
        <v>0</v>
      </c>
    </row>
    <row r="225" spans="1:34" ht="15.75" thickBot="1">
      <c r="A225" s="427" t="s">
        <v>592</v>
      </c>
      <c r="B225" s="427" t="s">
        <v>812</v>
      </c>
      <c r="C225" s="446">
        <f>IFERROR(SUMIFS(W$236:$W$242,$P$236:$P$242,$A225),0)</f>
        <v>0.11</v>
      </c>
      <c r="D225" s="446">
        <f t="shared" si="28"/>
        <v>0.12259168661288511</v>
      </c>
      <c r="E225" s="432">
        <f>'GTL and CTL'!$S$22</f>
        <v>6919.5284959999999</v>
      </c>
      <c r="I225" s="124"/>
      <c r="J225" s="427" t="str">
        <f t="shared" ref="J225:J244" si="29">$N$223&amp;K225</f>
        <v>UGTLGASIN-NOCR</v>
      </c>
      <c r="K225" s="427" t="str">
        <f>NameConv!$C$35</f>
        <v>OCR</v>
      </c>
      <c r="N225" s="898">
        <f>N205</f>
        <v>0.19246327949883302</v>
      </c>
      <c r="R225" s="945" t="s">
        <v>1482</v>
      </c>
      <c r="S225" s="946">
        <v>1</v>
      </c>
      <c r="T225" s="942"/>
      <c r="U225" s="944"/>
      <c r="V225" s="943"/>
      <c r="W225" s="954">
        <f>$S$204</f>
        <v>0.8</v>
      </c>
      <c r="X225" s="944"/>
      <c r="Y225" s="944"/>
      <c r="Z225" s="943"/>
      <c r="AA225" s="954">
        <f>$S$204</f>
        <v>0.8</v>
      </c>
      <c r="AB225" s="944"/>
      <c r="AC225" s="944"/>
      <c r="AD225" s="943"/>
      <c r="AE225" s="954">
        <f>$S$204</f>
        <v>0.8</v>
      </c>
      <c r="AF225" s="944"/>
      <c r="AG225" s="944"/>
      <c r="AH225" s="943"/>
    </row>
    <row r="226" spans="1:34">
      <c r="A226" s="427" t="s">
        <v>551</v>
      </c>
      <c r="B226" s="427" t="s">
        <v>34</v>
      </c>
      <c r="C226" s="446">
        <f>IFERROR(SUMIFS(W$236:$W$242,$P$236:$P$242,$A226),0)</f>
        <v>0.08</v>
      </c>
      <c r="D226" s="446">
        <f t="shared" si="28"/>
        <v>3.6696142945579213E-2</v>
      </c>
      <c r="E226" s="432">
        <f>'GTL and CTL'!$S$23</f>
        <v>2071.2661177999998</v>
      </c>
      <c r="I226" s="124"/>
      <c r="J226" s="427" t="str">
        <f t="shared" si="29"/>
        <v>UGTLGASIN-NELC</v>
      </c>
      <c r="K226" s="427" t="str">
        <f>NameConv!$C$16</f>
        <v>ELC</v>
      </c>
      <c r="N226" s="899">
        <f>N206</f>
        <v>3.7683602505834655E-2</v>
      </c>
      <c r="R226" s="915" t="s">
        <v>1491</v>
      </c>
      <c r="S226" s="927"/>
      <c r="T226" s="927" t="s">
        <v>1503</v>
      </c>
      <c r="U226" s="927"/>
      <c r="V226" s="916"/>
      <c r="W226" s="955"/>
      <c r="X226" s="956"/>
      <c r="Y226" s="956"/>
      <c r="Z226" s="957"/>
      <c r="AA226" s="955"/>
      <c r="AB226" s="956"/>
      <c r="AC226" s="956"/>
      <c r="AD226" s="957"/>
      <c r="AE226" s="955"/>
      <c r="AF226" s="956"/>
      <c r="AG226" s="956"/>
      <c r="AH226" s="957"/>
    </row>
    <row r="227" spans="1:34">
      <c r="A227" s="427" t="s">
        <v>547</v>
      </c>
      <c r="B227" s="427" t="s">
        <v>33</v>
      </c>
      <c r="C227" s="446">
        <f>IFERROR(SUMIFS(W$236:$W$242,$P$236:$P$242,$A227),0)</f>
        <v>0.53</v>
      </c>
      <c r="D227" s="446">
        <f t="shared" si="28"/>
        <v>0.49809089633534509</v>
      </c>
      <c r="E227" s="432">
        <f>SUM('GTL and CTL'!$S$27:$S$28)</f>
        <v>28114.09359</v>
      </c>
      <c r="I227" s="124"/>
      <c r="J227" s="427" t="str">
        <f t="shared" si="29"/>
        <v>UGTLGASIN-N</v>
      </c>
      <c r="R227" s="915" t="s">
        <v>1166</v>
      </c>
      <c r="S227" s="936">
        <f>INDEX($S206:$T206,MATCH(S$225,$S$204:$T$204,0))</f>
        <v>0.8</v>
      </c>
      <c r="T227" s="927">
        <f>U227*1000000/S212</f>
        <v>1403898308.4856632</v>
      </c>
      <c r="U227" s="540">
        <f>U217</f>
        <v>64228.347613219084</v>
      </c>
      <c r="V227" s="932" t="s">
        <v>0</v>
      </c>
      <c r="W227" s="950">
        <f>INDEX($S206:$T206,MATCH(W$225,$S$204:$T$204,0))</f>
        <v>0.7</v>
      </c>
      <c r="X227" s="939"/>
      <c r="Y227" s="939"/>
      <c r="Z227" s="925"/>
      <c r="AA227" s="950">
        <f>INDEX($S206:$T206,MATCH(AA$225,$S$204:$T$204,0))</f>
        <v>0.7</v>
      </c>
      <c r="AB227" s="939"/>
      <c r="AC227" s="939"/>
      <c r="AD227" s="925"/>
      <c r="AE227" s="950">
        <f>INDEX($S206:$T206,MATCH(AE$225,$S$204:$T$204,0))</f>
        <v>0.7</v>
      </c>
      <c r="AF227" s="939"/>
      <c r="AG227" s="939"/>
      <c r="AH227" s="925"/>
    </row>
    <row r="228" spans="1:34" ht="15.75" thickBot="1">
      <c r="A228" s="427" t="s">
        <v>594</v>
      </c>
      <c r="B228" s="427" t="s">
        <v>813</v>
      </c>
      <c r="C228" s="446">
        <f>IFERROR(SUMIFS(W$236:$W$242,$P$236:$P$242,$A228),0)</f>
        <v>0.18</v>
      </c>
      <c r="D228" s="446">
        <f t="shared" si="28"/>
        <v>5.4941952947121613E-2</v>
      </c>
      <c r="E228" s="432">
        <f>'GTL and CTL'!$S$31-SUM(E222:E227)</f>
        <v>3101.1271607999952</v>
      </c>
      <c r="I228" s="124"/>
      <c r="J228" s="427" t="str">
        <f t="shared" si="29"/>
        <v>UGTLGASIN-NEFF</v>
      </c>
      <c r="K228" s="427" t="str">
        <f>$A$256</f>
        <v>EFF</v>
      </c>
      <c r="L228" s="427" t="str">
        <f>B208</f>
        <v>Overall Efficiency</v>
      </c>
      <c r="N228" s="1110">
        <f>N208*1.05</f>
        <v>0.80809626745744978</v>
      </c>
      <c r="R228" s="915" t="s">
        <v>559</v>
      </c>
      <c r="S228" s="912">
        <f>INDEX($S207:$T207,MATCH(S$225,$S$204:$T$204,0))</f>
        <v>0.19999999999999996</v>
      </c>
      <c r="T228" s="927">
        <f>S228/S227 *T227</f>
        <v>350974577.12141573</v>
      </c>
      <c r="U228" s="540">
        <f>T228/1000 *S210/1000</f>
        <v>14694.603594919436</v>
      </c>
      <c r="V228" s="932" t="s">
        <v>0</v>
      </c>
      <c r="W228" s="958">
        <f>INDEX($S207:$T207,MATCH(W$225,$S$204:$T$204,0))</f>
        <v>0.30000000000000004</v>
      </c>
      <c r="X228" s="944"/>
      <c r="Y228" s="944"/>
      <c r="Z228" s="953"/>
      <c r="AA228" s="958">
        <f>INDEX($S207:$T207,MATCH(AA$225,$S$204:$T$204,0))</f>
        <v>0.30000000000000004</v>
      </c>
      <c r="AB228" s="944"/>
      <c r="AC228" s="944"/>
      <c r="AD228" s="953"/>
      <c r="AE228" s="958">
        <f>INDEX($S207:$T207,MATCH(AE$225,$S$204:$T$204,0))</f>
        <v>0.30000000000000004</v>
      </c>
      <c r="AF228" s="944"/>
      <c r="AG228" s="944"/>
      <c r="AH228" s="953"/>
    </row>
    <row r="229" spans="1:34">
      <c r="E229" s="460">
        <f>SUM(E222:E228)</f>
        <v>56443.700932594205</v>
      </c>
      <c r="J229" s="427" t="str">
        <f t="shared" si="29"/>
        <v>UGTLGASIN-N</v>
      </c>
      <c r="L229" s="427" t="str">
        <f t="shared" ref="L229:L236" si="30">B209</f>
        <v>Energy Products Output Share</v>
      </c>
      <c r="R229" s="913" t="s">
        <v>1504</v>
      </c>
      <c r="S229" s="926"/>
      <c r="T229" s="926"/>
      <c r="U229" s="926"/>
      <c r="V229" s="914"/>
      <c r="W229" s="922"/>
      <c r="X229" s="939"/>
      <c r="Y229" s="939"/>
      <c r="Z229" s="925"/>
      <c r="AA229" s="922"/>
      <c r="AB229" s="939"/>
      <c r="AC229" s="939"/>
      <c r="AD229" s="925"/>
      <c r="AE229" s="922"/>
      <c r="AF229" s="939"/>
      <c r="AG229" s="939"/>
      <c r="AH229" s="925"/>
    </row>
    <row r="230" spans="1:34">
      <c r="J230" s="427" t="str">
        <f t="shared" si="29"/>
        <v>UGTLGASIN-NOAG</v>
      </c>
      <c r="K230" s="427" t="str">
        <f>NameConv!$C$34</f>
        <v>OAG</v>
      </c>
      <c r="L230" s="427" t="str">
        <f t="shared" si="30"/>
        <v>AvGas</v>
      </c>
      <c r="N230" s="446">
        <f>D222</f>
        <v>0</v>
      </c>
      <c r="R230" s="915" t="s">
        <v>366</v>
      </c>
      <c r="S230" s="927"/>
      <c r="T230" s="927"/>
      <c r="U230" s="927" t="s">
        <v>1505</v>
      </c>
      <c r="V230" s="916"/>
      <c r="W230" s="922"/>
      <c r="X230" s="939"/>
      <c r="Y230" s="939"/>
      <c r="Z230" s="925"/>
      <c r="AA230" s="922"/>
      <c r="AB230" s="939"/>
      <c r="AC230" s="939"/>
      <c r="AD230" s="925"/>
      <c r="AE230" s="922"/>
      <c r="AF230" s="939"/>
      <c r="AG230" s="939"/>
      <c r="AH230" s="925"/>
    </row>
    <row r="231" spans="1:34" ht="15.75" thickBot="1">
      <c r="B231" s="415" t="s">
        <v>1778</v>
      </c>
      <c r="G231" s="503"/>
      <c r="J231" s="427" t="str">
        <f t="shared" si="29"/>
        <v>UGTLGASIN-NODS</v>
      </c>
      <c r="K231" s="427" t="str">
        <f>NameConv!$C$36</f>
        <v>ODS</v>
      </c>
      <c r="L231" s="427" t="str">
        <f t="shared" si="30"/>
        <v>Diesel</v>
      </c>
      <c r="N231" s="446">
        <f t="shared" ref="N231:N236" si="31">D223</f>
        <v>0.28767932115906897</v>
      </c>
      <c r="R231" s="915" t="s">
        <v>559</v>
      </c>
      <c r="S231" s="927"/>
      <c r="T231" s="927"/>
      <c r="U231" s="927"/>
      <c r="V231" s="916"/>
      <c r="W231" s="922"/>
      <c r="X231" s="939"/>
      <c r="Y231" s="939"/>
      <c r="Z231" s="925"/>
      <c r="AA231" s="922"/>
      <c r="AB231" s="939"/>
      <c r="AC231" s="939"/>
      <c r="AD231" s="925"/>
      <c r="AE231" s="922"/>
      <c r="AF231" s="939"/>
      <c r="AG231" s="939"/>
      <c r="AH231" s="925"/>
    </row>
    <row r="232" spans="1:34" ht="15.75" thickBot="1">
      <c r="B232" s="505" t="s">
        <v>1847</v>
      </c>
      <c r="D232" s="1294" t="s">
        <v>1848</v>
      </c>
      <c r="E232" s="1296" t="s">
        <v>1849</v>
      </c>
      <c r="G232" s="503"/>
      <c r="J232" s="427" t="str">
        <f t="shared" si="29"/>
        <v>UGTLGASIN-NOHF</v>
      </c>
      <c r="K232" s="427" t="str">
        <f>NameConv!$C$38</f>
        <v>OHF</v>
      </c>
      <c r="L232" s="427" t="str">
        <f t="shared" si="30"/>
        <v>HFO</v>
      </c>
      <c r="N232" s="446">
        <f t="shared" si="31"/>
        <v>0</v>
      </c>
      <c r="R232" s="928" t="s">
        <v>1483</v>
      </c>
      <c r="S232" s="929"/>
      <c r="T232" s="929"/>
      <c r="U232" s="940">
        <f>Y232/W223*S223</f>
        <v>2182.1822384053153</v>
      </c>
      <c r="V232" s="933" t="s">
        <v>0</v>
      </c>
      <c r="W232" s="928"/>
      <c r="X232" s="951"/>
      <c r="Y232" s="952">
        <f>$A$204*8760*$F$217*0.0036</f>
        <v>1614.6432</v>
      </c>
      <c r="Z232" s="943" t="s">
        <v>0</v>
      </c>
      <c r="AA232" s="928"/>
      <c r="AB232" s="951"/>
      <c r="AC232" s="952">
        <f>AC218/Y217*Y232</f>
        <v>1016.0363890120483</v>
      </c>
      <c r="AD232" s="943" t="s">
        <v>0</v>
      </c>
      <c r="AE232" s="928"/>
      <c r="AF232" s="951"/>
      <c r="AG232" s="952">
        <f>$A$204*8760*$D$217*0.0036</f>
        <v>1458.3546335372462</v>
      </c>
      <c r="AH232" s="943" t="s">
        <v>0</v>
      </c>
    </row>
    <row r="233" spans="1:34">
      <c r="B233" s="503" t="s">
        <v>1850</v>
      </c>
      <c r="C233" s="427" t="s">
        <v>793</v>
      </c>
      <c r="D233" s="1295">
        <v>129.54169999999999</v>
      </c>
      <c r="E233" s="1297">
        <f>5/0.14</f>
        <v>35.714285714285708</v>
      </c>
      <c r="G233" s="503"/>
      <c r="J233" s="427" t="str">
        <f t="shared" si="29"/>
        <v>UGTLGASIN-NOKE</v>
      </c>
      <c r="K233" s="427" t="str">
        <f>NameConv!$C$39</f>
        <v>OKE</v>
      </c>
      <c r="L233" s="427" t="str">
        <f t="shared" si="30"/>
        <v>Kerosene/jet fuel/paraffin</v>
      </c>
      <c r="N233" s="446">
        <f t="shared" si="31"/>
        <v>0.12259168661288511</v>
      </c>
    </row>
    <row r="234" spans="1:34">
      <c r="B234" s="427" t="s">
        <v>1851</v>
      </c>
      <c r="C234" s="427" t="s">
        <v>2186</v>
      </c>
      <c r="D234" s="1295">
        <v>12.8826</v>
      </c>
      <c r="E234" s="1297">
        <f>0.04*E233</f>
        <v>1.4285714285714284</v>
      </c>
      <c r="G234" s="503"/>
      <c r="J234" s="427" t="str">
        <f t="shared" si="29"/>
        <v>UGTLGASIN-NOLP</v>
      </c>
      <c r="K234" s="427" t="str">
        <f>NameConv!$C$40</f>
        <v>OLP</v>
      </c>
      <c r="L234" s="427" t="str">
        <f t="shared" si="30"/>
        <v>LPG</v>
      </c>
      <c r="N234" s="446">
        <f t="shared" si="31"/>
        <v>3.6696142945579213E-2</v>
      </c>
    </row>
    <row r="235" spans="1:34">
      <c r="B235" s="427" t="s">
        <v>816</v>
      </c>
      <c r="C235" s="427" t="s">
        <v>826</v>
      </c>
      <c r="D235" s="432">
        <f>E235/E233 *D233</f>
        <v>14.249587000000002</v>
      </c>
      <c r="E235" s="1297">
        <f>0.55/0.14</f>
        <v>3.9285714285714284</v>
      </c>
      <c r="G235" s="503"/>
      <c r="J235" s="427" t="str">
        <f t="shared" si="29"/>
        <v>UGTLGASIN-NOGS</v>
      </c>
      <c r="K235" s="427" t="str">
        <f>NameConv!$C$37</f>
        <v>OGS</v>
      </c>
      <c r="L235" s="427" t="str">
        <f t="shared" si="30"/>
        <v>Gasoline</v>
      </c>
      <c r="N235" s="446">
        <f t="shared" si="31"/>
        <v>0.49809089633534509</v>
      </c>
      <c r="P235" s="427"/>
      <c r="Q235" s="503" t="s">
        <v>1786</v>
      </c>
      <c r="R235" s="911" t="s">
        <v>1845</v>
      </c>
      <c r="W235" s="503" t="s">
        <v>1786</v>
      </c>
      <c r="X235" s="503"/>
      <c r="Y235" s="503"/>
    </row>
    <row r="236" spans="1:34">
      <c r="G236" s="503"/>
      <c r="J236" s="427" t="str">
        <f t="shared" si="29"/>
        <v>UGTLGASIN-NOTH</v>
      </c>
      <c r="K236" s="427" t="str">
        <f>NameConv!$C$41</f>
        <v>OTH</v>
      </c>
      <c r="L236" s="427" t="str">
        <f t="shared" si="30"/>
        <v>Other non energy</v>
      </c>
      <c r="N236" s="446">
        <f t="shared" si="31"/>
        <v>5.4941952947121613E-2</v>
      </c>
      <c r="P236" s="427" t="s">
        <v>555</v>
      </c>
      <c r="Q236" s="503" t="s">
        <v>1700</v>
      </c>
      <c r="R236" s="503" t="s">
        <v>32</v>
      </c>
      <c r="W236" s="1114">
        <v>0.06</v>
      </c>
      <c r="X236" s="503">
        <f>W236*$W$224</f>
        <v>0.32945999999999998</v>
      </c>
      <c r="Y236" s="503">
        <f t="shared" ref="Y236:Y242" si="32">$X236/$S$209*$S$210* 1000</f>
        <v>1875.9460465116279</v>
      </c>
    </row>
    <row r="237" spans="1:34">
      <c r="G237" s="503"/>
      <c r="J237" s="427" t="str">
        <f t="shared" si="29"/>
        <v>UGTLGASIN-NAFA(UP)</v>
      </c>
      <c r="K237" s="427" t="str">
        <f>UPS!$H$34</f>
        <v>AFA(UP)</v>
      </c>
      <c r="L237" s="427" t="s">
        <v>577</v>
      </c>
      <c r="N237" s="446">
        <f>N217</f>
        <v>0.36995297654420251</v>
      </c>
      <c r="P237" s="427" t="s">
        <v>547</v>
      </c>
      <c r="Q237" s="503" t="s">
        <v>1783</v>
      </c>
      <c r="R237" s="503" t="s">
        <v>33</v>
      </c>
      <c r="W237" s="1114">
        <v>0.53</v>
      </c>
      <c r="X237" s="503">
        <f t="shared" ref="X237:X242" si="33">W237*$W$224</f>
        <v>2.9102299999999999</v>
      </c>
      <c r="Y237" s="503">
        <f t="shared" si="32"/>
        <v>16570.856744186047</v>
      </c>
    </row>
    <row r="238" spans="1:34">
      <c r="D238" s="1622"/>
      <c r="E238" s="1624" t="s">
        <v>14336</v>
      </c>
      <c r="J238" s="427" t="str">
        <f t="shared" si="29"/>
        <v>UGTLGASIN-NRESID</v>
      </c>
      <c r="K238" s="427" t="str">
        <f>$A$255</f>
        <v>RESID</v>
      </c>
      <c r="L238" s="427" t="s">
        <v>733</v>
      </c>
      <c r="M238" s="427" t="s">
        <v>817</v>
      </c>
      <c r="N238" s="467">
        <v>0</v>
      </c>
      <c r="P238" s="427" t="s">
        <v>592</v>
      </c>
      <c r="Q238" s="503" t="s">
        <v>1782</v>
      </c>
      <c r="R238" s="503" t="s">
        <v>812</v>
      </c>
      <c r="W238" s="1114">
        <v>0.11</v>
      </c>
      <c r="X238" s="503">
        <f t="shared" si="33"/>
        <v>0.60400999999999994</v>
      </c>
      <c r="Y238" s="503">
        <f t="shared" si="32"/>
        <v>3439.2344186046507</v>
      </c>
    </row>
    <row r="239" spans="1:34">
      <c r="D239" s="1622"/>
      <c r="E239" s="1623">
        <v>2017</v>
      </c>
      <c r="J239" s="427" t="str">
        <f t="shared" si="29"/>
        <v>UGTLGASIN-NVAROM</v>
      </c>
      <c r="K239" s="427" t="str">
        <f>$A$257</f>
        <v>VAROM</v>
      </c>
      <c r="L239" s="427" t="s">
        <v>816</v>
      </c>
      <c r="M239" s="427" t="s">
        <v>826</v>
      </c>
      <c r="N239" s="467">
        <f>D235</f>
        <v>14.249587000000002</v>
      </c>
      <c r="P239" s="427" t="s">
        <v>551</v>
      </c>
      <c r="Q239" s="503" t="s">
        <v>1781</v>
      </c>
      <c r="R239" s="503" t="s">
        <v>34</v>
      </c>
      <c r="W239" s="1114">
        <v>0.08</v>
      </c>
      <c r="X239" s="503">
        <f t="shared" si="33"/>
        <v>0.43928</v>
      </c>
      <c r="Y239" s="503">
        <f t="shared" si="32"/>
        <v>2501.2613953488376</v>
      </c>
    </row>
    <row r="240" spans="1:34">
      <c r="D240" s="1622" t="s">
        <v>555</v>
      </c>
      <c r="E240" s="1625">
        <v>1.5498000000000001</v>
      </c>
      <c r="J240" s="427" t="str">
        <f t="shared" si="29"/>
        <v>UGTLGASIN-NINVCOST</v>
      </c>
      <c r="K240" s="427" t="s">
        <v>582</v>
      </c>
      <c r="L240" s="427" t="s">
        <v>583</v>
      </c>
      <c r="M240" s="427" t="s">
        <v>793</v>
      </c>
      <c r="N240" s="467">
        <f>D233</f>
        <v>129.54169999999999</v>
      </c>
      <c r="P240" s="427" t="s">
        <v>594</v>
      </c>
      <c r="Q240" s="503" t="s">
        <v>1780</v>
      </c>
      <c r="R240" s="503" t="s">
        <v>813</v>
      </c>
      <c r="W240" s="1114">
        <v>0.12</v>
      </c>
      <c r="X240" s="503">
        <f t="shared" si="33"/>
        <v>0.65891999999999995</v>
      </c>
      <c r="Y240" s="503">
        <f t="shared" si="32"/>
        <v>3751.8920930232557</v>
      </c>
    </row>
    <row r="241" spans="1:25">
      <c r="D241" s="1622" t="s">
        <v>547</v>
      </c>
      <c r="E241" s="1625">
        <v>13.6899</v>
      </c>
      <c r="J241" s="427" t="str">
        <f t="shared" si="29"/>
        <v>UGTLGASIN-NFIXOM</v>
      </c>
      <c r="K241" s="427" t="s">
        <v>300</v>
      </c>
      <c r="L241" s="427" t="s">
        <v>2185</v>
      </c>
      <c r="M241" s="427" t="s">
        <v>2186</v>
      </c>
      <c r="N241" s="467">
        <f>D234</f>
        <v>12.8826</v>
      </c>
      <c r="P241" s="427" t="s">
        <v>594</v>
      </c>
      <c r="Q241" s="503" t="s">
        <v>1784</v>
      </c>
      <c r="R241" s="503" t="s">
        <v>813</v>
      </c>
      <c r="W241" s="1114">
        <v>0.06</v>
      </c>
      <c r="X241" s="503">
        <f t="shared" si="33"/>
        <v>0.32945999999999998</v>
      </c>
      <c r="Y241" s="503">
        <f t="shared" si="32"/>
        <v>1875.9460465116279</v>
      </c>
    </row>
    <row r="242" spans="1:25">
      <c r="D242" s="1622" t="s">
        <v>549</v>
      </c>
      <c r="E242" s="1625">
        <v>1.0331999999999999</v>
      </c>
      <c r="J242" s="427" t="str">
        <f t="shared" si="29"/>
        <v>UGTLGASIN-NStart</v>
      </c>
      <c r="K242" s="427" t="str">
        <f>UPS!$L$34</f>
        <v>Start</v>
      </c>
      <c r="L242" s="427" t="s">
        <v>792</v>
      </c>
      <c r="N242" s="468">
        <v>2025</v>
      </c>
      <c r="P242" s="427" t="s">
        <v>549</v>
      </c>
      <c r="Q242" s="503" t="s">
        <v>1785</v>
      </c>
      <c r="R242" s="503" t="s">
        <v>38</v>
      </c>
      <c r="W242" s="1114">
        <v>0.04</v>
      </c>
      <c r="X242" s="503">
        <f t="shared" si="33"/>
        <v>0.21964</v>
      </c>
      <c r="Y242" s="503">
        <f t="shared" si="32"/>
        <v>1250.6306976744188</v>
      </c>
    </row>
    <row r="243" spans="1:25">
      <c r="D243" s="1622" t="s">
        <v>592</v>
      </c>
      <c r="E243" s="1625">
        <v>2.8412999999999999</v>
      </c>
      <c r="J243" s="427" t="str">
        <f t="shared" si="29"/>
        <v>UGTLGASIN-NLife</v>
      </c>
      <c r="K243" s="427" t="str">
        <f>UPS!$F$34</f>
        <v>Life</v>
      </c>
      <c r="L243" s="427" t="s">
        <v>578</v>
      </c>
      <c r="M243" s="427" t="s">
        <v>580</v>
      </c>
      <c r="N243" s="461">
        <v>50</v>
      </c>
      <c r="R243" s="427"/>
      <c r="S243" s="427"/>
      <c r="T243" s="427"/>
      <c r="U243" s="427"/>
      <c r="V243" s="427"/>
    </row>
    <row r="244" spans="1:25">
      <c r="D244" s="1622" t="s">
        <v>551</v>
      </c>
      <c r="E244" s="1625">
        <v>2.0663999999999998</v>
      </c>
      <c r="J244" s="427" t="str">
        <f t="shared" si="29"/>
        <v>UGTLGASIN-NLC_2006</v>
      </c>
      <c r="K244" s="427" t="str">
        <f>$A$259</f>
        <v>LC_2006</v>
      </c>
      <c r="L244" s="427" t="s">
        <v>737</v>
      </c>
      <c r="M244" s="427" t="s">
        <v>705</v>
      </c>
      <c r="N244" s="452">
        <f>N243+$D$102/N224</f>
        <v>107.59523158369146</v>
      </c>
    </row>
    <row r="245" spans="1:25">
      <c r="D245" s="1622" t="s">
        <v>594</v>
      </c>
      <c r="E245" s="1625">
        <v>4.6494</v>
      </c>
      <c r="J245" s="427" t="str">
        <f>$N$223&amp;K245</f>
        <v>UGTLGASIN-NLC_Future</v>
      </c>
      <c r="K245" s="427" t="str">
        <f>$A$260</f>
        <v>LC_Future</v>
      </c>
      <c r="L245" s="427" t="s">
        <v>738</v>
      </c>
      <c r="M245" s="427" t="s">
        <v>705</v>
      </c>
      <c r="N245" s="452">
        <f>N243+$D$103/N224</f>
        <v>153.91592646700826</v>
      </c>
    </row>
    <row r="246" spans="1:25">
      <c r="D246" s="1622" t="s">
        <v>13538</v>
      </c>
      <c r="E246" s="1625">
        <v>0.1162</v>
      </c>
    </row>
    <row r="247" spans="1:25">
      <c r="D247" s="1622" t="s">
        <v>13539</v>
      </c>
      <c r="E247" s="1625">
        <v>151.39769999999999</v>
      </c>
    </row>
    <row r="248" spans="1:25">
      <c r="C248" s="1409" t="s">
        <v>14333</v>
      </c>
      <c r="D248" s="1619" t="s">
        <v>14335</v>
      </c>
      <c r="E248" s="1615">
        <v>167.62299999999999</v>
      </c>
      <c r="F248" s="1619" t="s">
        <v>14334</v>
      </c>
    </row>
    <row r="249" spans="1:25">
      <c r="D249" s="1626" t="s">
        <v>14337</v>
      </c>
      <c r="E249" s="1397">
        <f>SUM(E240:E245)</f>
        <v>25.83</v>
      </c>
      <c r="F249" s="427" t="s">
        <v>248</v>
      </c>
    </row>
    <row r="250" spans="1:25">
      <c r="D250" s="1622" t="s">
        <v>14339</v>
      </c>
      <c r="E250" s="1623">
        <v>28.606999999999999</v>
      </c>
    </row>
    <row r="252" spans="1:25" ht="18" thickBot="1">
      <c r="B252" s="472" t="s">
        <v>831</v>
      </c>
      <c r="D252" s="427" t="str">
        <f>UPS!$B$90</f>
        <v>UCTLCLEIN-E</v>
      </c>
      <c r="E252" s="427" t="str">
        <f>UPS!$B$49</f>
        <v>UREFOCRIN-E</v>
      </c>
      <c r="F252" s="427" t="str">
        <f>UPS!$B$38</f>
        <v>UREFOCRCO-E</v>
      </c>
      <c r="G252" s="427" t="str">
        <f>UPS!$B$60</f>
        <v>UGTLGICCO-E</v>
      </c>
      <c r="H252" s="427" t="str">
        <f>UPS!$B$102</f>
        <v>UCTLCLEIN-N</v>
      </c>
      <c r="I252" s="427" t="str">
        <f>UPS!$B$114</f>
        <v>UREFOCRCO-N</v>
      </c>
      <c r="J252" s="427" t="str">
        <f>UPS!$B$70</f>
        <v>UGTLGASIN-N</v>
      </c>
    </row>
    <row r="253" spans="1:25">
      <c r="B253" s="473"/>
      <c r="C253" s="474"/>
      <c r="D253" s="475" t="s">
        <v>832</v>
      </c>
      <c r="E253" s="475" t="s">
        <v>833</v>
      </c>
      <c r="F253" s="475" t="s">
        <v>834</v>
      </c>
      <c r="G253" s="475" t="s">
        <v>835</v>
      </c>
      <c r="H253" s="475" t="s">
        <v>836</v>
      </c>
      <c r="I253" s="476" t="str">
        <f>E178</f>
        <v>ARAMCO, Richards Bay  (CEF,2019)</v>
      </c>
      <c r="J253" s="476" t="s">
        <v>1779</v>
      </c>
    </row>
    <row r="254" spans="1:25">
      <c r="B254" s="477" t="s">
        <v>733</v>
      </c>
      <c r="C254" s="478" t="s">
        <v>783</v>
      </c>
      <c r="D254" s="479">
        <v>150000</v>
      </c>
      <c r="E254" s="479">
        <v>108000</v>
      </c>
      <c r="F254" s="479">
        <f>(100+180+125)*1000</f>
        <v>405000</v>
      </c>
      <c r="G254" s="479">
        <v>45000</v>
      </c>
      <c r="H254" s="479">
        <v>80000</v>
      </c>
      <c r="I254" s="480">
        <f>D178</f>
        <v>300000</v>
      </c>
      <c r="J254" s="480"/>
    </row>
    <row r="255" spans="1:25">
      <c r="A255" s="427" t="s">
        <v>604</v>
      </c>
      <c r="B255" s="481" t="s">
        <v>837</v>
      </c>
      <c r="C255" s="482" t="s">
        <v>817</v>
      </c>
      <c r="D255" s="483">
        <f t="shared" ref="D255:I260" si="34">SUMIF($J$37:$J$221,D$252&amp;$A255,$N$37:$N$221)</f>
        <v>261.96656392262918</v>
      </c>
      <c r="E255" s="483">
        <f>SUMIF($J$37:$J$221,E$252&amp;$A255,$N$37:$N$221)</f>
        <v>212.15979141387726</v>
      </c>
      <c r="F255" s="483">
        <f t="shared" si="34"/>
        <v>787.96154470864383</v>
      </c>
      <c r="G255" s="483">
        <f t="shared" si="34"/>
        <v>58.795521804785629</v>
      </c>
      <c r="H255" s="483">
        <f t="shared" si="34"/>
        <v>139.71550075873557</v>
      </c>
      <c r="I255" s="484">
        <f t="shared" si="34"/>
        <v>664.92587687186381</v>
      </c>
      <c r="J255" s="484">
        <v>0</v>
      </c>
    </row>
    <row r="256" spans="1:25">
      <c r="A256" s="427" t="s">
        <v>298</v>
      </c>
      <c r="B256" s="481" t="s">
        <v>675</v>
      </c>
      <c r="C256" s="482" t="s">
        <v>296</v>
      </c>
      <c r="D256" s="485">
        <f t="shared" si="34"/>
        <v>0.29922414801284114</v>
      </c>
      <c r="E256" s="485">
        <f t="shared" si="34"/>
        <v>0.93550733689001619</v>
      </c>
      <c r="F256" s="485">
        <f t="shared" si="34"/>
        <v>0.95</v>
      </c>
      <c r="G256" s="485">
        <f t="shared" si="34"/>
        <v>0.76961549281661878</v>
      </c>
      <c r="H256" s="485">
        <f t="shared" si="34"/>
        <v>0.34922414801284113</v>
      </c>
      <c r="I256" s="486">
        <f t="shared" si="34"/>
        <v>0.97</v>
      </c>
      <c r="J256" s="486">
        <f ca="1">SUMIF($J$37:$J$245,J$252&amp;$A256,$N$37:$N$221)</f>
        <v>0.80809626745744978</v>
      </c>
    </row>
    <row r="257" spans="1:10">
      <c r="A257" s="427" t="s">
        <v>301</v>
      </c>
      <c r="B257" s="481" t="s">
        <v>838</v>
      </c>
      <c r="C257" s="482" t="s">
        <v>702</v>
      </c>
      <c r="D257" s="483">
        <f t="shared" si="34"/>
        <v>18.130203420547012</v>
      </c>
      <c r="E257" s="483">
        <f t="shared" si="34"/>
        <v>15.150222603765322</v>
      </c>
      <c r="F257" s="483">
        <f t="shared" si="34"/>
        <v>15.150222603765322</v>
      </c>
      <c r="G257" s="483">
        <f t="shared" si="34"/>
        <v>36.18591055200298</v>
      </c>
      <c r="H257" s="483">
        <f t="shared" si="34"/>
        <v>18.130203420547012</v>
      </c>
      <c r="I257" s="484">
        <f t="shared" si="34"/>
        <v>15.150222603765322</v>
      </c>
      <c r="J257" s="484">
        <f ca="1">SUMIF($J$37:$J$245,J$252&amp;$A257,$N$37:$N$221)</f>
        <v>14.249587000000002</v>
      </c>
    </row>
    <row r="258" spans="1:10">
      <c r="A258" s="427" t="s">
        <v>582</v>
      </c>
      <c r="B258" s="481" t="s">
        <v>583</v>
      </c>
      <c r="C258" s="482" t="s">
        <v>840</v>
      </c>
      <c r="D258" s="483">
        <f t="shared" si="34"/>
        <v>0</v>
      </c>
      <c r="E258" s="483">
        <f t="shared" si="34"/>
        <v>0</v>
      </c>
      <c r="F258" s="483">
        <f t="shared" si="34"/>
        <v>0</v>
      </c>
      <c r="G258" s="483">
        <f t="shared" si="34"/>
        <v>0</v>
      </c>
      <c r="H258" s="483">
        <f t="shared" si="34"/>
        <v>440.05171652516231</v>
      </c>
      <c r="I258" s="484">
        <f t="shared" si="34"/>
        <v>139.92232505860713</v>
      </c>
      <c r="J258" s="484">
        <f ca="1">SUMIF($J$37:$J$245,J$252&amp;$A258,$N$37:$N$221)</f>
        <v>129.54169999999999</v>
      </c>
    </row>
    <row r="259" spans="1:10">
      <c r="A259" s="427" t="s">
        <v>841</v>
      </c>
      <c r="B259" s="481" t="s">
        <v>842</v>
      </c>
      <c r="C259" s="482" t="s">
        <v>705</v>
      </c>
      <c r="D259" s="487">
        <f t="shared" si="34"/>
        <v>59.739441791107311</v>
      </c>
      <c r="E259" s="487">
        <f t="shared" si="34"/>
        <v>92.427616005811899</v>
      </c>
      <c r="F259" s="487">
        <f t="shared" si="34"/>
        <v>91.248715765187114</v>
      </c>
      <c r="G259" s="487">
        <f t="shared" si="34"/>
        <v>93.798925142047437</v>
      </c>
      <c r="H259" s="487">
        <f t="shared" si="34"/>
        <v>91.251939289747781</v>
      </c>
      <c r="I259" s="1394">
        <f t="shared" si="34"/>
        <v>101.59389422210572</v>
      </c>
      <c r="J259" s="488">
        <f ca="1">SUMIF($J$37:$J$245,J$252&amp;$A259,$N$37:$N$221)</f>
        <v>107.59523158369146</v>
      </c>
    </row>
    <row r="260" spans="1:10" ht="15.75" thickBot="1">
      <c r="A260" s="427" t="s">
        <v>843</v>
      </c>
      <c r="B260" s="489" t="s">
        <v>844</v>
      </c>
      <c r="C260" s="490" t="s">
        <v>705</v>
      </c>
      <c r="D260" s="491">
        <f t="shared" si="34"/>
        <v>119.87190733682462</v>
      </c>
      <c r="E260" s="491">
        <f t="shared" si="34"/>
        <v>132.23718230383588</v>
      </c>
      <c r="F260" s="491">
        <f t="shared" si="34"/>
        <v>125.38450159322468</v>
      </c>
      <c r="G260" s="491">
        <f t="shared" si="34"/>
        <v>140.13392192482252</v>
      </c>
      <c r="H260" s="491">
        <f t="shared" si="34"/>
        <v>142.77496790392934</v>
      </c>
      <c r="I260" s="492">
        <f t="shared" si="34"/>
        <v>139.98785437696239</v>
      </c>
      <c r="J260" s="492">
        <f ca="1">SUMIF($J$37:$J$245,J$252&amp;$A260,$N$37:$N$221)</f>
        <v>153.91592646700826</v>
      </c>
    </row>
  </sheetData>
  <phoneticPr fontId="204" type="noConversion"/>
  <pageMargins left="0.7" right="0.7" top="0.75" bottom="0.75" header="0.3" footer="0.3"/>
  <pageSetup paperSize="9" orientation="portrait" horizontalDpi="4294967293" verticalDpi="4294967293"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7C955-4A70-4F0B-9288-368D69D66132}">
  <sheetPr codeName="Sheet63">
    <tabColor theme="6" tint="0.79998168889431442"/>
  </sheetPr>
  <dimension ref="A1:V174"/>
  <sheetViews>
    <sheetView workbookViewId="0">
      <selection activeCell="D5" sqref="D5"/>
    </sheetView>
  </sheetViews>
  <sheetFormatPr defaultRowHeight="15"/>
  <cols>
    <col min="1" max="2" width="20.28515625" style="1409" customWidth="1"/>
    <col min="3" max="3" width="16.140625" style="1409" customWidth="1"/>
    <col min="4" max="4" width="12.28515625" style="1409" customWidth="1"/>
    <col min="5" max="5" width="10.140625" style="1409" customWidth="1"/>
    <col min="6" max="6" width="9.140625" style="1409"/>
    <col min="7" max="11" width="12.28515625" style="1409" bestFit="1" customWidth="1"/>
    <col min="12" max="16384" width="9.140625" style="1409"/>
  </cols>
  <sheetData>
    <row r="1" spans="1:18" s="1718" customFormat="1" ht="21">
      <c r="A1" s="1718" t="s">
        <v>14606</v>
      </c>
    </row>
    <row r="2" spans="1:18">
      <c r="A2" s="1409" t="s">
        <v>14608</v>
      </c>
      <c r="B2" s="1409" t="s">
        <v>14607</v>
      </c>
    </row>
    <row r="3" spans="1:18">
      <c r="A3" s="1409" t="s">
        <v>14558</v>
      </c>
      <c r="C3" s="1409" t="s">
        <v>14559</v>
      </c>
      <c r="G3" s="1409">
        <v>2020</v>
      </c>
      <c r="H3" s="1409">
        <v>2030</v>
      </c>
      <c r="I3" s="1409">
        <v>2035</v>
      </c>
      <c r="J3" s="1409">
        <v>2040</v>
      </c>
      <c r="K3" s="1409">
        <v>2050</v>
      </c>
      <c r="L3" s="1409">
        <v>2060</v>
      </c>
      <c r="M3" s="1409">
        <v>2070</v>
      </c>
      <c r="O3" s="1409">
        <v>2030</v>
      </c>
      <c r="P3" s="1409">
        <v>2035</v>
      </c>
      <c r="Q3" s="1409">
        <v>2040</v>
      </c>
      <c r="R3" s="1409">
        <v>2050</v>
      </c>
    </row>
    <row r="4" spans="1:18">
      <c r="A4" s="1409" t="s">
        <v>14604</v>
      </c>
      <c r="B4" s="1409" t="s">
        <v>14711</v>
      </c>
      <c r="C4" s="1409" t="s">
        <v>13416</v>
      </c>
      <c r="G4" s="1409">
        <v>2030</v>
      </c>
    </row>
    <row r="5" spans="1:18">
      <c r="A5" s="1409" t="s">
        <v>14604</v>
      </c>
      <c r="B5" s="1409" t="s">
        <v>14714</v>
      </c>
      <c r="C5" s="1409" t="s">
        <v>13540</v>
      </c>
      <c r="D5" s="1409" t="s">
        <v>14809</v>
      </c>
      <c r="G5" s="1397">
        <f>D36</f>
        <v>107.3755695536401</v>
      </c>
      <c r="H5" s="1397">
        <f>G5</f>
        <v>107.3755695536401</v>
      </c>
      <c r="I5" s="1397">
        <f t="shared" ref="I5:M5" si="0">H5</f>
        <v>107.3755695536401</v>
      </c>
      <c r="J5" s="1397">
        <f t="shared" si="0"/>
        <v>107.3755695536401</v>
      </c>
      <c r="K5" s="1397">
        <f t="shared" si="0"/>
        <v>107.3755695536401</v>
      </c>
      <c r="L5" s="1397">
        <f t="shared" si="0"/>
        <v>107.3755695536401</v>
      </c>
      <c r="M5" s="1397">
        <f t="shared" si="0"/>
        <v>107.3755695536401</v>
      </c>
    </row>
    <row r="6" spans="1:18">
      <c r="A6" s="1409" t="s">
        <v>14602</v>
      </c>
      <c r="B6" s="1409" t="s">
        <v>14715</v>
      </c>
      <c r="C6" s="1409" t="s">
        <v>361</v>
      </c>
      <c r="D6" s="1409" t="s">
        <v>13536</v>
      </c>
    </row>
    <row r="7" spans="1:18">
      <c r="A7" s="1409" t="s">
        <v>14602</v>
      </c>
      <c r="B7" s="1409" t="s">
        <v>14713</v>
      </c>
      <c r="C7" s="1409" t="s">
        <v>361</v>
      </c>
      <c r="D7" s="1409" t="s">
        <v>1199</v>
      </c>
    </row>
    <row r="8" spans="1:18">
      <c r="A8" s="1409" t="s">
        <v>14603</v>
      </c>
      <c r="B8" s="1409" t="s">
        <v>14710</v>
      </c>
      <c r="C8" s="1409" t="s">
        <v>344</v>
      </c>
      <c r="D8" s="1409" t="s">
        <v>558</v>
      </c>
    </row>
    <row r="9" spans="1:18">
      <c r="A9" s="1409" t="s">
        <v>14603</v>
      </c>
      <c r="B9" s="1409" t="s">
        <v>14709</v>
      </c>
      <c r="C9" s="1409" t="s">
        <v>344</v>
      </c>
      <c r="D9" s="650" t="s">
        <v>14802</v>
      </c>
    </row>
    <row r="10" spans="1:18">
      <c r="A10" s="1409" t="s">
        <v>14604</v>
      </c>
      <c r="B10" s="1409" t="s">
        <v>14712</v>
      </c>
      <c r="C10" s="1409" t="s">
        <v>851</v>
      </c>
      <c r="D10" s="1409" t="s">
        <v>334</v>
      </c>
      <c r="G10" s="666">
        <f>H25</f>
        <v>0.31638916581378673</v>
      </c>
      <c r="H10" s="666">
        <f>G10</f>
        <v>0.31638916581378673</v>
      </c>
      <c r="I10" s="666">
        <f t="shared" ref="I10:M10" si="1">H10</f>
        <v>0.31638916581378673</v>
      </c>
      <c r="J10" s="666">
        <f t="shared" si="1"/>
        <v>0.31638916581378673</v>
      </c>
      <c r="K10" s="666">
        <f t="shared" si="1"/>
        <v>0.31638916581378673</v>
      </c>
      <c r="L10" s="666">
        <f t="shared" si="1"/>
        <v>0.31638916581378673</v>
      </c>
      <c r="M10" s="666">
        <f t="shared" si="1"/>
        <v>0.31638916581378673</v>
      </c>
    </row>
    <row r="11" spans="1:18">
      <c r="A11" s="1409" t="s">
        <v>14604</v>
      </c>
      <c r="B11" s="1409" t="s">
        <v>14715</v>
      </c>
      <c r="C11" s="1409" t="s">
        <v>855</v>
      </c>
      <c r="D11" s="1409" t="str">
        <f>D6</f>
        <v>UPSELC</v>
      </c>
      <c r="E11" s="1409" t="s">
        <v>361</v>
      </c>
      <c r="G11" s="666">
        <f>D31</f>
        <v>7.7782839184601632E-2</v>
      </c>
      <c r="H11" s="666">
        <f t="shared" ref="H11:M14" si="2">G11</f>
        <v>7.7782839184601632E-2</v>
      </c>
      <c r="I11" s="666">
        <f t="shared" si="2"/>
        <v>7.7782839184601632E-2</v>
      </c>
      <c r="J11" s="666">
        <f t="shared" si="2"/>
        <v>7.7782839184601632E-2</v>
      </c>
      <c r="K11" s="666">
        <f t="shared" si="2"/>
        <v>7.7782839184601632E-2</v>
      </c>
      <c r="L11" s="666">
        <f t="shared" si="2"/>
        <v>7.7782839184601632E-2</v>
      </c>
      <c r="M11" s="666">
        <f t="shared" si="2"/>
        <v>7.7782839184601632E-2</v>
      </c>
    </row>
    <row r="12" spans="1:18">
      <c r="A12" s="1409" t="s">
        <v>14604</v>
      </c>
      <c r="B12" s="1409" t="s">
        <v>14713</v>
      </c>
      <c r="C12" s="1409" t="s">
        <v>855</v>
      </c>
      <c r="D12" s="1409" t="str">
        <f>D7</f>
        <v>HGN</v>
      </c>
      <c r="E12" s="1409" t="s">
        <v>361</v>
      </c>
      <c r="G12" s="666">
        <f>D32</f>
        <v>0.92221716081539828</v>
      </c>
      <c r="H12" s="666">
        <f t="shared" si="2"/>
        <v>0.92221716081539828</v>
      </c>
      <c r="I12" s="666">
        <f t="shared" si="2"/>
        <v>0.92221716081539828</v>
      </c>
      <c r="J12" s="666">
        <f t="shared" si="2"/>
        <v>0.92221716081539828</v>
      </c>
      <c r="K12" s="666">
        <f t="shared" si="2"/>
        <v>0.92221716081539828</v>
      </c>
      <c r="L12" s="666">
        <f t="shared" si="2"/>
        <v>0.92221716081539828</v>
      </c>
      <c r="M12" s="666">
        <f t="shared" si="2"/>
        <v>0.92221716081539828</v>
      </c>
    </row>
    <row r="13" spans="1:18">
      <c r="A13" s="1409" t="s">
        <v>14604</v>
      </c>
      <c r="B13" s="1409" t="s">
        <v>14710</v>
      </c>
      <c r="C13" s="1409" t="s">
        <v>855</v>
      </c>
      <c r="D13" s="1409" t="str">
        <f>D8</f>
        <v>OAG</v>
      </c>
      <c r="E13" s="1409" t="s">
        <v>344</v>
      </c>
      <c r="G13" s="666">
        <f>I31</f>
        <v>0.5118329249859862</v>
      </c>
      <c r="H13" s="1794">
        <v>0.05</v>
      </c>
      <c r="I13" s="666">
        <f t="shared" si="2"/>
        <v>0.05</v>
      </c>
      <c r="J13" s="666">
        <f t="shared" ref="J13:J14" si="3">I13</f>
        <v>0.05</v>
      </c>
      <c r="K13" s="666">
        <f t="shared" ref="K13:K14" si="4">J13</f>
        <v>0.05</v>
      </c>
      <c r="L13" s="666">
        <f t="shared" ref="L13:L14" si="5">K13</f>
        <v>0.05</v>
      </c>
      <c r="M13" s="666">
        <f t="shared" ref="M13:M14" si="6">L13</f>
        <v>0.05</v>
      </c>
    </row>
    <row r="14" spans="1:18">
      <c r="A14" s="1409" t="s">
        <v>14604</v>
      </c>
      <c r="B14" s="1409" t="s">
        <v>14709</v>
      </c>
      <c r="C14" s="1409" t="s">
        <v>855</v>
      </c>
      <c r="D14" s="1409" t="str">
        <f>D9</f>
        <v>OKG</v>
      </c>
      <c r="E14" s="1409" t="s">
        <v>344</v>
      </c>
      <c r="G14" s="666">
        <f>I32</f>
        <v>0.48816707501401374</v>
      </c>
      <c r="H14" s="1794">
        <v>0</v>
      </c>
      <c r="I14" s="666">
        <f t="shared" si="2"/>
        <v>0</v>
      </c>
      <c r="J14" s="666">
        <f t="shared" si="3"/>
        <v>0</v>
      </c>
      <c r="K14" s="666">
        <f t="shared" si="4"/>
        <v>0</v>
      </c>
      <c r="L14" s="666">
        <f t="shared" si="5"/>
        <v>0</v>
      </c>
      <c r="M14" s="666">
        <f t="shared" si="6"/>
        <v>0</v>
      </c>
    </row>
    <row r="15" spans="1:18">
      <c r="A15" s="1409" t="s">
        <v>14604</v>
      </c>
      <c r="B15" s="1409" t="s">
        <v>14085</v>
      </c>
      <c r="C15" s="1409" t="s">
        <v>839</v>
      </c>
      <c r="D15" s="1409" t="s">
        <v>334</v>
      </c>
      <c r="G15" s="1716">
        <f>D123</f>
        <v>477.77194211017741</v>
      </c>
      <c r="H15" s="1716">
        <f>E123</f>
        <v>409.54154566812338</v>
      </c>
      <c r="I15" s="1758">
        <f>AVERAGE(H15,J15)</f>
        <v>370.42417059229018</v>
      </c>
      <c r="J15" s="1691">
        <f>F123</f>
        <v>331.30679551645699</v>
      </c>
      <c r="K15" s="1691">
        <f>J15 * (1-$D$115)^(K$3-J$3)</f>
        <v>284.83453783282306</v>
      </c>
      <c r="L15" s="1691">
        <f>K15</f>
        <v>284.83453783282306</v>
      </c>
      <c r="M15" s="1691">
        <f>L15</f>
        <v>284.83453783282306</v>
      </c>
      <c r="O15" s="1591">
        <f>H15/G15</f>
        <v>0.85719044919067344</v>
      </c>
      <c r="P15" s="1409">
        <f>I15/G15</f>
        <v>0.77531587341909647</v>
      </c>
      <c r="Q15" s="1409">
        <f>J15/G15</f>
        <v>0.69344129764751949</v>
      </c>
      <c r="R15" s="1409">
        <f>K15/G15</f>
        <v>0.59617259350725604</v>
      </c>
    </row>
    <row r="16" spans="1:18">
      <c r="A16" s="1409" t="s">
        <v>14604</v>
      </c>
      <c r="B16" s="1409" t="s">
        <v>14704</v>
      </c>
      <c r="C16" s="1409" t="s">
        <v>849</v>
      </c>
      <c r="D16" s="1409" t="s">
        <v>334</v>
      </c>
      <c r="E16" s="1717">
        <v>0.04</v>
      </c>
      <c r="G16" s="1691">
        <f>$E$16*G15</f>
        <v>19.110877684407097</v>
      </c>
      <c r="H16" s="1691">
        <f>$E$16*H15</f>
        <v>16.381661826724937</v>
      </c>
      <c r="I16" s="1691">
        <f>$E$16*I15</f>
        <v>14.816966823691608</v>
      </c>
      <c r="J16" s="1691">
        <f t="shared" ref="J16:K16" si="7">$E$16*J15</f>
        <v>13.252271820658279</v>
      </c>
      <c r="K16" s="1691">
        <f t="shared" si="7"/>
        <v>11.393381513312923</v>
      </c>
      <c r="L16" s="1691">
        <f>K16</f>
        <v>11.393381513312923</v>
      </c>
      <c r="M16" s="1691">
        <f>L16</f>
        <v>11.393381513312923</v>
      </c>
    </row>
    <row r="17" spans="1:13" ht="14.25" customHeight="1">
      <c r="A17" s="1409" t="s">
        <v>14604</v>
      </c>
      <c r="B17" s="1409" t="s">
        <v>14705</v>
      </c>
      <c r="C17" s="1409" t="s">
        <v>332</v>
      </c>
      <c r="D17" s="1409" t="s">
        <v>334</v>
      </c>
      <c r="E17" s="1402"/>
      <c r="G17" s="1715"/>
      <c r="H17" s="1691"/>
      <c r="I17" s="1691"/>
      <c r="J17" s="1691"/>
      <c r="K17" s="1691"/>
    </row>
    <row r="18" spans="1:13">
      <c r="A18" s="1409" t="s">
        <v>14604</v>
      </c>
      <c r="B18" s="1409" t="s">
        <v>14707</v>
      </c>
      <c r="C18" s="1409" t="s">
        <v>602</v>
      </c>
      <c r="D18" s="1409" t="s">
        <v>338</v>
      </c>
      <c r="G18" s="1397">
        <f>C44/8760</f>
        <v>0.91324200913242004</v>
      </c>
      <c r="H18" s="1397">
        <f>G18</f>
        <v>0.91324200913242004</v>
      </c>
      <c r="I18" s="1397">
        <f t="shared" ref="I18:M18" si="8">H18</f>
        <v>0.91324200913242004</v>
      </c>
      <c r="J18" s="1397">
        <f t="shared" si="8"/>
        <v>0.91324200913242004</v>
      </c>
      <c r="K18" s="1397">
        <f t="shared" si="8"/>
        <v>0.91324200913242004</v>
      </c>
      <c r="L18" s="1397">
        <f t="shared" si="8"/>
        <v>0.91324200913242004</v>
      </c>
      <c r="M18" s="1397">
        <f t="shared" si="8"/>
        <v>0.91324200913242004</v>
      </c>
    </row>
    <row r="19" spans="1:13">
      <c r="A19" s="1409" t="s">
        <v>14604</v>
      </c>
      <c r="B19" s="1409" t="s">
        <v>14706</v>
      </c>
      <c r="C19" s="1409" t="s">
        <v>602</v>
      </c>
      <c r="D19" s="1409" t="s">
        <v>1194</v>
      </c>
      <c r="G19" s="1397">
        <v>0.5</v>
      </c>
      <c r="H19" s="1397">
        <f t="shared" ref="H19:M21" si="9">G19</f>
        <v>0.5</v>
      </c>
      <c r="I19" s="1397">
        <f t="shared" si="9"/>
        <v>0.5</v>
      </c>
      <c r="J19" s="1397">
        <f t="shared" si="9"/>
        <v>0.5</v>
      </c>
      <c r="K19" s="1397">
        <f t="shared" si="9"/>
        <v>0.5</v>
      </c>
      <c r="L19" s="1397">
        <f t="shared" si="9"/>
        <v>0.5</v>
      </c>
      <c r="M19" s="1397">
        <f t="shared" si="9"/>
        <v>0.5</v>
      </c>
    </row>
    <row r="20" spans="1:13">
      <c r="A20" s="1409" t="s">
        <v>14604</v>
      </c>
      <c r="B20" s="1409" t="s">
        <v>14708</v>
      </c>
      <c r="C20" s="1409" t="s">
        <v>861</v>
      </c>
      <c r="D20" s="1409" t="s">
        <v>334</v>
      </c>
      <c r="G20" s="1409">
        <v>25</v>
      </c>
      <c r="H20" s="1397">
        <f t="shared" si="9"/>
        <v>25</v>
      </c>
      <c r="I20" s="1397">
        <f t="shared" si="9"/>
        <v>25</v>
      </c>
      <c r="J20" s="1397">
        <f t="shared" si="9"/>
        <v>25</v>
      </c>
      <c r="K20" s="1397">
        <f t="shared" si="9"/>
        <v>25</v>
      </c>
      <c r="L20" s="1397">
        <f t="shared" si="9"/>
        <v>25</v>
      </c>
      <c r="M20" s="1397">
        <f t="shared" si="9"/>
        <v>25</v>
      </c>
    </row>
    <row r="21" spans="1:13">
      <c r="A21" s="1409" t="s">
        <v>14604</v>
      </c>
      <c r="B21" s="1409" t="s">
        <v>14589</v>
      </c>
      <c r="C21" s="1409" t="s">
        <v>1136</v>
      </c>
      <c r="D21" s="1409" t="s">
        <v>334</v>
      </c>
      <c r="G21" s="1409">
        <v>-6</v>
      </c>
      <c r="H21" s="1397">
        <f t="shared" si="9"/>
        <v>-6</v>
      </c>
      <c r="I21" s="1397">
        <f t="shared" si="9"/>
        <v>-6</v>
      </c>
      <c r="J21" s="1397">
        <f t="shared" si="9"/>
        <v>-6</v>
      </c>
      <c r="K21" s="1397">
        <f t="shared" si="9"/>
        <v>-6</v>
      </c>
      <c r="L21" s="1397">
        <f t="shared" si="9"/>
        <v>-6</v>
      </c>
      <c r="M21" s="1397">
        <f t="shared" si="9"/>
        <v>-6</v>
      </c>
    </row>
    <row r="22" spans="1:13">
      <c r="H22" s="1397"/>
      <c r="I22" s="1397"/>
      <c r="J22" s="1397"/>
      <c r="K22" s="1397"/>
      <c r="L22" s="1397"/>
      <c r="M22" s="1397"/>
    </row>
    <row r="23" spans="1:13">
      <c r="B23" s="1409" t="s">
        <v>14807</v>
      </c>
      <c r="G23" s="1795">
        <v>0.5</v>
      </c>
    </row>
    <row r="25" spans="1:13">
      <c r="A25" s="1747" t="s">
        <v>14610</v>
      </c>
      <c r="B25" s="1748" t="s">
        <v>14611</v>
      </c>
      <c r="C25" s="1748">
        <f>D27/I27</f>
        <v>3.1606644855486539</v>
      </c>
      <c r="D25" s="1748"/>
      <c r="E25" s="1748"/>
      <c r="F25" s="1748"/>
      <c r="G25" s="1748" t="s">
        <v>14612</v>
      </c>
      <c r="H25" s="1748">
        <f>I27/D27</f>
        <v>0.31638916581378673</v>
      </c>
      <c r="I25" s="1748"/>
      <c r="J25" s="1749"/>
    </row>
    <row r="26" spans="1:13">
      <c r="A26" s="1750"/>
      <c r="B26" s="1751"/>
      <c r="C26" s="1751"/>
      <c r="D26" s="1751" t="s">
        <v>14613</v>
      </c>
      <c r="E26" s="1751" t="s">
        <v>14614</v>
      </c>
      <c r="F26" s="1751"/>
      <c r="G26" s="1751"/>
      <c r="H26" s="1751"/>
      <c r="I26" s="1751" t="s">
        <v>14613</v>
      </c>
      <c r="J26" s="1752" t="s">
        <v>14614</v>
      </c>
    </row>
    <row r="27" spans="1:13">
      <c r="A27" s="1750"/>
      <c r="B27" s="1753" t="s">
        <v>14290</v>
      </c>
      <c r="C27" s="1753" t="s">
        <v>1145</v>
      </c>
      <c r="D27" s="1753">
        <f>SUM(D28:D29)</f>
        <v>2764.0029890109895</v>
      </c>
      <c r="E27" s="1753"/>
      <c r="F27" s="1753"/>
      <c r="G27" s="1753" t="s">
        <v>14290</v>
      </c>
      <c r="H27" s="1753" t="s">
        <v>1145</v>
      </c>
      <c r="I27" s="1753">
        <f>SUM(I28:I29)</f>
        <v>874.50060000000008</v>
      </c>
      <c r="J27" s="1754"/>
    </row>
    <row r="28" spans="1:13">
      <c r="A28" s="1750"/>
      <c r="B28" s="1751" t="s">
        <v>523</v>
      </c>
      <c r="C28" s="1751" t="s">
        <v>1145</v>
      </c>
      <c r="D28" s="1751">
        <f>C81</f>
        <v>214.99200000000002</v>
      </c>
      <c r="E28" s="1751"/>
      <c r="F28" s="1751"/>
      <c r="G28" s="1751" t="s">
        <v>14620</v>
      </c>
      <c r="H28" s="1751" t="s">
        <v>1145</v>
      </c>
      <c r="I28" s="1751">
        <f>C88*Q147</f>
        <v>447.59819999999996</v>
      </c>
      <c r="J28" s="1752">
        <f>I28*8760</f>
        <v>3920960.2319999998</v>
      </c>
    </row>
    <row r="29" spans="1:13">
      <c r="A29" s="1750"/>
      <c r="B29" s="1751" t="s">
        <v>14622</v>
      </c>
      <c r="C29" s="1751" t="s">
        <v>1145</v>
      </c>
      <c r="D29" s="1755">
        <f>C71</f>
        <v>2549.0109890109893</v>
      </c>
      <c r="E29" s="1751"/>
      <c r="F29" s="1751"/>
      <c r="G29" s="1751" t="s">
        <v>14623</v>
      </c>
      <c r="H29" s="1751" t="s">
        <v>1145</v>
      </c>
      <c r="I29" s="1751">
        <f>C89*Q148</f>
        <v>426.90240000000006</v>
      </c>
      <c r="J29" s="1752">
        <f>I29*8760</f>
        <v>3739665.0240000007</v>
      </c>
    </row>
    <row r="30" spans="1:13">
      <c r="A30" s="1756" t="s">
        <v>14625</v>
      </c>
      <c r="B30" s="1746"/>
      <c r="C30" s="1746"/>
      <c r="D30" s="1746"/>
      <c r="E30" s="1746"/>
      <c r="F30" s="1746"/>
      <c r="G30" s="1746"/>
      <c r="H30" s="1746"/>
      <c r="I30" s="1746"/>
      <c r="J30" s="1757"/>
    </row>
    <row r="31" spans="1:13">
      <c r="A31" s="1750"/>
      <c r="B31" s="1751" t="str">
        <f>B28</f>
        <v>elc</v>
      </c>
      <c r="C31" s="1751" t="s">
        <v>296</v>
      </c>
      <c r="D31" s="1751">
        <f>D28/$D$27</f>
        <v>7.7782839184601632E-2</v>
      </c>
      <c r="E31" s="1751"/>
      <c r="F31" s="1751">
        <f>F28/$D$27</f>
        <v>0</v>
      </c>
      <c r="G31" s="1751" t="str">
        <f>G28</f>
        <v>oag</v>
      </c>
      <c r="H31" s="1751" t="s">
        <v>296</v>
      </c>
      <c r="I31" s="1751">
        <f>I28/$I$27</f>
        <v>0.5118329249859862</v>
      </c>
      <c r="J31" s="1752"/>
    </row>
    <row r="32" spans="1:13">
      <c r="A32" s="1750"/>
      <c r="B32" s="1751" t="str">
        <f>B29</f>
        <v>h2</v>
      </c>
      <c r="C32" s="1751" t="s">
        <v>296</v>
      </c>
      <c r="D32" s="1751">
        <f>D29/$D$27</f>
        <v>0.92221716081539828</v>
      </c>
      <c r="E32" s="1751"/>
      <c r="F32" s="1751">
        <f>F29/$D$27</f>
        <v>0</v>
      </c>
      <c r="G32" s="1751" t="str">
        <f>G29</f>
        <v>oke</v>
      </c>
      <c r="H32" s="1751" t="s">
        <v>296</v>
      </c>
      <c r="I32" s="1751">
        <f>I29/$I$27</f>
        <v>0.48816707501401374</v>
      </c>
      <c r="J32" s="1752"/>
    </row>
    <row r="33" spans="1:10">
      <c r="A33" s="1750"/>
      <c r="B33" s="1751"/>
      <c r="C33" s="1751"/>
      <c r="D33" s="1751"/>
      <c r="E33" s="1751"/>
      <c r="F33" s="1751"/>
      <c r="G33" s="1751"/>
      <c r="H33" s="1751"/>
      <c r="I33" s="1751"/>
      <c r="J33" s="1752"/>
    </row>
    <row r="34" spans="1:10">
      <c r="A34" s="1756" t="s">
        <v>14630</v>
      </c>
      <c r="B34" s="1746"/>
      <c r="C34" s="1746"/>
      <c r="D34" s="1746"/>
      <c r="E34" s="1746"/>
      <c r="F34" s="1746"/>
      <c r="G34" s="1746"/>
      <c r="H34" s="1746"/>
      <c r="I34" s="1746"/>
      <c r="J34" s="1757"/>
    </row>
    <row r="35" spans="1:10">
      <c r="A35" s="1750"/>
      <c r="B35" s="1751" t="s">
        <v>14632</v>
      </c>
      <c r="C35" s="1751" t="s">
        <v>14633</v>
      </c>
      <c r="D35" s="1751">
        <f>C50</f>
        <v>93.9</v>
      </c>
      <c r="E35" s="1751"/>
      <c r="F35" s="1751"/>
      <c r="G35" s="1751"/>
      <c r="H35" s="1751"/>
      <c r="I35" s="1751"/>
      <c r="J35" s="1752"/>
    </row>
    <row r="36" spans="1:10">
      <c r="A36" s="1750"/>
      <c r="B36" s="1751"/>
      <c r="C36" s="1751" t="s">
        <v>252</v>
      </c>
      <c r="D36" s="1751">
        <f>D35/(I27*0.001)</f>
        <v>107.3755695536401</v>
      </c>
      <c r="E36" s="1751"/>
      <c r="F36" s="1751"/>
      <c r="G36" s="1751"/>
      <c r="H36" s="1751"/>
      <c r="I36" s="1751"/>
      <c r="J36" s="1752"/>
    </row>
    <row r="37" spans="1:10">
      <c r="A37" s="1750"/>
      <c r="B37" s="1751"/>
      <c r="C37" s="1751"/>
      <c r="D37" s="1751"/>
      <c r="E37" s="1751"/>
      <c r="F37" s="1751"/>
      <c r="G37" s="1751"/>
      <c r="H37" s="1751"/>
      <c r="I37" s="1751"/>
      <c r="J37" s="1752"/>
    </row>
    <row r="38" spans="1:10">
      <c r="A38" s="1756" t="s">
        <v>14637</v>
      </c>
      <c r="B38" s="1746"/>
      <c r="C38" s="1746"/>
      <c r="D38" s="1746"/>
      <c r="E38" s="1746"/>
      <c r="F38" s="1746"/>
      <c r="G38" s="1746"/>
      <c r="H38" s="1746"/>
      <c r="I38" s="1746"/>
      <c r="J38" s="1757"/>
    </row>
    <row r="39" spans="1:10">
      <c r="A39" s="1750"/>
      <c r="B39" s="1751"/>
      <c r="C39" s="1751"/>
      <c r="D39" s="1751"/>
      <c r="E39" s="1751"/>
      <c r="F39" s="1751"/>
      <c r="G39" s="1751" t="s">
        <v>14639</v>
      </c>
      <c r="H39" s="1751" t="s">
        <v>14633</v>
      </c>
      <c r="I39" s="1751">
        <f>C92</f>
        <v>6.94</v>
      </c>
      <c r="J39" s="1752">
        <f>I39*8760</f>
        <v>60794.400000000001</v>
      </c>
    </row>
    <row r="40" spans="1:10">
      <c r="A40" s="1756"/>
      <c r="B40" s="1746"/>
      <c r="C40" s="1746"/>
      <c r="D40" s="1746"/>
      <c r="E40" s="1746"/>
      <c r="F40" s="1746"/>
      <c r="G40" s="1746"/>
      <c r="H40" s="1746" t="s">
        <v>14167</v>
      </c>
      <c r="I40" s="1746"/>
      <c r="J40" s="1757">
        <f>J39/1000</f>
        <v>60.794400000000003</v>
      </c>
    </row>
    <row r="44" spans="1:10">
      <c r="A44" s="1409" t="s">
        <v>14608</v>
      </c>
      <c r="B44" s="1409" t="s">
        <v>14609</v>
      </c>
      <c r="C44" s="1409">
        <v>8000</v>
      </c>
    </row>
    <row r="46" spans="1:10">
      <c r="A46" s="1409" t="s">
        <v>14615</v>
      </c>
      <c r="C46" s="1409" t="s">
        <v>14616</v>
      </c>
      <c r="D46" s="1409" t="s">
        <v>14617</v>
      </c>
    </row>
    <row r="47" spans="1:10">
      <c r="A47" s="1409" t="s">
        <v>14618</v>
      </c>
      <c r="B47" s="1409" t="s">
        <v>14619</v>
      </c>
      <c r="C47" s="1409">
        <v>193.3</v>
      </c>
      <c r="D47" s="1409">
        <v>256.5</v>
      </c>
    </row>
    <row r="48" spans="1:10">
      <c r="A48" s="1409" t="s">
        <v>14621</v>
      </c>
      <c r="B48" s="1409" t="s">
        <v>14619</v>
      </c>
      <c r="C48" s="1409">
        <v>74.5</v>
      </c>
      <c r="D48" s="1409">
        <v>994.3</v>
      </c>
    </row>
    <row r="49" spans="1:4">
      <c r="A49" s="1409" t="s">
        <v>14624</v>
      </c>
      <c r="B49" s="1409" t="s">
        <v>14619</v>
      </c>
      <c r="C49" s="1409">
        <v>103.4</v>
      </c>
      <c r="D49" s="1409">
        <v>137.19999999999999</v>
      </c>
    </row>
    <row r="50" spans="1:4">
      <c r="A50" s="1409" t="s">
        <v>14626</v>
      </c>
      <c r="B50" s="1409" t="s">
        <v>14619</v>
      </c>
      <c r="C50" s="1409">
        <v>93.9</v>
      </c>
      <c r="D50" s="1409">
        <v>142.4</v>
      </c>
    </row>
    <row r="51" spans="1:4">
      <c r="A51" s="387" t="s">
        <v>14627</v>
      </c>
      <c r="B51" s="387" t="s">
        <v>14619</v>
      </c>
      <c r="C51" s="387">
        <v>0</v>
      </c>
      <c r="D51" s="387">
        <v>0</v>
      </c>
    </row>
    <row r="52" spans="1:4">
      <c r="A52" s="387" t="s">
        <v>14628</v>
      </c>
      <c r="B52" s="387" t="s">
        <v>14619</v>
      </c>
      <c r="C52" s="387">
        <f>SUM(C53:C58)</f>
        <v>114.49999999999999</v>
      </c>
      <c r="D52" s="387">
        <f>SUM(D53:D58)</f>
        <v>163.14000000000001</v>
      </c>
    </row>
    <row r="53" spans="1:4">
      <c r="A53" s="1692" t="s">
        <v>14629</v>
      </c>
      <c r="B53" s="1692"/>
      <c r="C53" s="1692">
        <v>5.8</v>
      </c>
      <c r="D53" s="1692">
        <v>8.3000000000000007</v>
      </c>
    </row>
    <row r="54" spans="1:4">
      <c r="A54" s="1693" t="s">
        <v>14631</v>
      </c>
      <c r="B54" s="1693"/>
      <c r="C54" s="1693">
        <v>82.1</v>
      </c>
      <c r="D54" s="1693">
        <v>128.6</v>
      </c>
    </row>
    <row r="55" spans="1:4">
      <c r="A55" s="1693" t="s">
        <v>14634</v>
      </c>
      <c r="B55" s="1693"/>
      <c r="C55" s="1693"/>
      <c r="D55" s="1693"/>
    </row>
    <row r="56" spans="1:4">
      <c r="A56" s="1693" t="s">
        <v>14635</v>
      </c>
      <c r="B56" s="1693"/>
      <c r="C56" s="1693">
        <v>9.94</v>
      </c>
      <c r="D56" s="1693">
        <v>9.75</v>
      </c>
    </row>
    <row r="57" spans="1:4">
      <c r="A57" s="1693" t="s">
        <v>14636</v>
      </c>
      <c r="B57" s="1693"/>
      <c r="C57" s="1693">
        <v>9.7200000000000006</v>
      </c>
      <c r="D57" s="1693">
        <v>9.66</v>
      </c>
    </row>
    <row r="58" spans="1:4">
      <c r="A58" s="1694" t="s">
        <v>14638</v>
      </c>
      <c r="B58" s="1694"/>
      <c r="C58" s="1694">
        <v>6.94</v>
      </c>
      <c r="D58" s="1694">
        <v>6.83</v>
      </c>
    </row>
    <row r="59" spans="1:4">
      <c r="A59" s="387" t="s">
        <v>22</v>
      </c>
      <c r="B59" s="387" t="s">
        <v>520</v>
      </c>
      <c r="C59" s="387">
        <f>SUM(C60:C63)</f>
        <v>59.720000000000006</v>
      </c>
      <c r="D59" s="387">
        <f>SUM(D60:D63)</f>
        <v>67.08</v>
      </c>
    </row>
    <row r="60" spans="1:4">
      <c r="A60" s="1693" t="s">
        <v>14640</v>
      </c>
      <c r="B60" s="1693"/>
      <c r="C60" s="1693">
        <v>0.63</v>
      </c>
      <c r="D60" s="1693">
        <v>0.83</v>
      </c>
    </row>
    <row r="61" spans="1:4">
      <c r="A61" s="1693" t="s">
        <v>14641</v>
      </c>
      <c r="B61" s="1693"/>
      <c r="C61" s="1693">
        <v>59.09</v>
      </c>
      <c r="D61" s="1693">
        <v>66.25</v>
      </c>
    </row>
    <row r="62" spans="1:4">
      <c r="A62" s="1693"/>
      <c r="B62" s="1693"/>
      <c r="C62" s="1693"/>
      <c r="D62" s="1693"/>
    </row>
    <row r="63" spans="1:4">
      <c r="A63" s="1694"/>
      <c r="B63" s="1694"/>
      <c r="C63" s="1694"/>
      <c r="D63" s="1694"/>
    </row>
    <row r="65" spans="1:4">
      <c r="A65" s="1695" t="s">
        <v>14635</v>
      </c>
      <c r="B65" s="1695" t="s">
        <v>14642</v>
      </c>
    </row>
    <row r="66" spans="1:4">
      <c r="A66" s="1695" t="s">
        <v>14636</v>
      </c>
      <c r="B66" s="1695" t="s">
        <v>14643</v>
      </c>
      <c r="C66" s="1409" t="s">
        <v>14644</v>
      </c>
    </row>
    <row r="67" spans="1:4">
      <c r="A67" s="1695" t="s">
        <v>14638</v>
      </c>
      <c r="B67" s="1695" t="s">
        <v>36</v>
      </c>
    </row>
    <row r="69" spans="1:4">
      <c r="A69" s="1409" t="s">
        <v>14645</v>
      </c>
      <c r="B69" s="1409" t="s">
        <v>14646</v>
      </c>
      <c r="C69" s="1409">
        <v>9.1</v>
      </c>
    </row>
    <row r="70" spans="1:4">
      <c r="A70" s="1409" t="s">
        <v>14647</v>
      </c>
      <c r="B70" s="1409" t="s">
        <v>14648</v>
      </c>
      <c r="C70" s="666">
        <f>C47/$C$69</f>
        <v>21.241758241758244</v>
      </c>
      <c r="D70" s="666">
        <f>D47/$C$69</f>
        <v>28.186813186813186</v>
      </c>
    </row>
    <row r="71" spans="1:4">
      <c r="A71" s="1409" t="s">
        <v>14647</v>
      </c>
      <c r="B71" s="1409" t="s">
        <v>14649</v>
      </c>
      <c r="C71" s="1400">
        <f>C70*V135</f>
        <v>2549.0109890109893</v>
      </c>
      <c r="D71" s="666"/>
    </row>
    <row r="72" spans="1:4">
      <c r="A72" s="1409" t="s">
        <v>14647</v>
      </c>
      <c r="B72" s="1409" t="s">
        <v>14650</v>
      </c>
      <c r="C72" s="1401">
        <f>C70/C87</f>
        <v>1.0804556582786493</v>
      </c>
    </row>
    <row r="74" spans="1:4">
      <c r="A74" s="1696" t="s">
        <v>14651</v>
      </c>
      <c r="B74" s="1696"/>
    </row>
    <row r="75" spans="1:4">
      <c r="A75" s="1409">
        <f>C89*C44</f>
        <v>77760</v>
      </c>
      <c r="B75" s="1409" t="s">
        <v>14633</v>
      </c>
    </row>
    <row r="76" spans="1:4">
      <c r="A76" s="1397">
        <f>A75*Q148*0.000001</f>
        <v>3.4152192000000001</v>
      </c>
      <c r="B76" s="1409" t="s">
        <v>248</v>
      </c>
    </row>
    <row r="78" spans="1:4">
      <c r="A78" s="1409" t="s">
        <v>14652</v>
      </c>
    </row>
    <row r="79" spans="1:4">
      <c r="C79" s="1409" t="s">
        <v>14653</v>
      </c>
    </row>
    <row r="80" spans="1:4">
      <c r="A80" s="1410" t="s">
        <v>22</v>
      </c>
      <c r="B80" s="1410" t="s">
        <v>14654</v>
      </c>
      <c r="C80" s="1410">
        <f>C59*1</f>
        <v>59.720000000000006</v>
      </c>
    </row>
    <row r="81" spans="1:3">
      <c r="A81" s="1409" t="s">
        <v>22</v>
      </c>
      <c r="B81" s="1409" t="s">
        <v>14649</v>
      </c>
      <c r="C81" s="1409">
        <f>C80*3.6</f>
        <v>214.99200000000002</v>
      </c>
    </row>
    <row r="82" spans="1:3">
      <c r="A82" s="1410" t="s">
        <v>22</v>
      </c>
      <c r="B82" s="1409" t="s">
        <v>14655</v>
      </c>
      <c r="C82" s="1397">
        <f>C81/C87</f>
        <v>10.935503560528995</v>
      </c>
    </row>
    <row r="83" spans="1:3">
      <c r="A83" s="1410" t="s">
        <v>1198</v>
      </c>
      <c r="B83" s="1409" t="s">
        <v>14655</v>
      </c>
      <c r="C83" s="1400">
        <f>C71/C87</f>
        <v>129.6546789934379</v>
      </c>
    </row>
    <row r="84" spans="1:3">
      <c r="A84" s="1410" t="s">
        <v>254</v>
      </c>
      <c r="B84" s="1409" t="s">
        <v>14656</v>
      </c>
      <c r="C84" s="1689">
        <f>(C50*0.001)/C87</f>
        <v>4.7761953204476099E-3</v>
      </c>
    </row>
    <row r="85" spans="1:3">
      <c r="A85" s="1122"/>
      <c r="B85" s="387"/>
      <c r="C85" s="1697"/>
    </row>
    <row r="86" spans="1:3">
      <c r="A86" s="1410" t="s">
        <v>14657</v>
      </c>
      <c r="B86" s="1410"/>
      <c r="C86" s="1410" t="s">
        <v>14658</v>
      </c>
    </row>
    <row r="87" spans="1:3">
      <c r="A87" s="1410" t="s">
        <v>245</v>
      </c>
      <c r="B87" s="1410" t="s">
        <v>14633</v>
      </c>
      <c r="C87" s="1410">
        <f>SUM(C88:C89)</f>
        <v>19.66</v>
      </c>
    </row>
    <row r="88" spans="1:3">
      <c r="A88" s="1409" t="s">
        <v>14635</v>
      </c>
      <c r="B88" s="1409" t="s">
        <v>14633</v>
      </c>
      <c r="C88" s="1409">
        <v>9.94</v>
      </c>
    </row>
    <row r="89" spans="1:3">
      <c r="A89" s="1409" t="s">
        <v>14636</v>
      </c>
      <c r="B89" s="1409" t="s">
        <v>14633</v>
      </c>
      <c r="C89" s="1409">
        <v>9.7200000000000006</v>
      </c>
    </row>
    <row r="90" spans="1:3">
      <c r="A90" s="1410" t="s">
        <v>14659</v>
      </c>
    </row>
    <row r="91" spans="1:3">
      <c r="A91" s="1410" t="s">
        <v>245</v>
      </c>
      <c r="B91" s="1410" t="s">
        <v>14633</v>
      </c>
      <c r="C91" s="1410">
        <f>SUM(C92:C93)</f>
        <v>6.94</v>
      </c>
    </row>
    <row r="92" spans="1:3">
      <c r="A92" s="1409" t="s">
        <v>14638</v>
      </c>
      <c r="B92" s="1409" t="s">
        <v>14633</v>
      </c>
      <c r="C92" s="1409">
        <v>6.94</v>
      </c>
    </row>
    <row r="94" spans="1:3">
      <c r="A94" s="1410" t="s">
        <v>14660</v>
      </c>
    </row>
    <row r="95" spans="1:3">
      <c r="A95" s="1410" t="s">
        <v>14657</v>
      </c>
    </row>
    <row r="96" spans="1:3">
      <c r="A96" s="1409" t="s">
        <v>14635</v>
      </c>
      <c r="C96" s="1698">
        <f>C88/$C$87</f>
        <v>0.50559511698880977</v>
      </c>
    </row>
    <row r="97" spans="1:6">
      <c r="A97" s="1409" t="s">
        <v>14636</v>
      </c>
      <c r="C97" s="1698">
        <f>C89/$C$87</f>
        <v>0.49440488301119029</v>
      </c>
    </row>
    <row r="98" spans="1:6">
      <c r="A98" s="1410" t="s">
        <v>14659</v>
      </c>
      <c r="C98" s="1699"/>
    </row>
    <row r="99" spans="1:6">
      <c r="A99" s="1409" t="s">
        <v>14638</v>
      </c>
      <c r="C99" s="1699">
        <f>C92/$C$91</f>
        <v>1</v>
      </c>
    </row>
    <row r="101" spans="1:6">
      <c r="A101" s="1686" t="s">
        <v>14661</v>
      </c>
      <c r="B101" s="1687">
        <f>1/1.2</f>
        <v>0.83333333333333337</v>
      </c>
      <c r="C101" s="1409" t="s">
        <v>14422</v>
      </c>
    </row>
    <row r="102" spans="1:6">
      <c r="A102" s="1686" t="s">
        <v>14751</v>
      </c>
      <c r="B102" s="1687">
        <v>15.7</v>
      </c>
      <c r="C102" s="184" t="s">
        <v>14719</v>
      </c>
    </row>
    <row r="103" spans="1:6">
      <c r="A103" s="1687" t="s">
        <v>14662</v>
      </c>
      <c r="B103" s="1687">
        <v>1.145</v>
      </c>
      <c r="C103" s="1409" t="s">
        <v>14608</v>
      </c>
    </row>
    <row r="104" spans="1:6">
      <c r="A104" s="1687" t="s">
        <v>14733</v>
      </c>
      <c r="B104" s="1687">
        <v>1.04</v>
      </c>
      <c r="C104" s="1409" t="s">
        <v>14734</v>
      </c>
      <c r="D104" s="1700"/>
      <c r="E104" s="1701"/>
    </row>
    <row r="105" spans="1:6">
      <c r="A105" s="1731" t="s">
        <v>14750</v>
      </c>
      <c r="B105" s="1687">
        <v>1.1200000000000001</v>
      </c>
      <c r="C105" s="1409" t="s">
        <v>14719</v>
      </c>
    </row>
    <row r="106" spans="1:6">
      <c r="A106" s="1686" t="s">
        <v>14585</v>
      </c>
      <c r="B106" s="1687">
        <f>1/1.19</f>
        <v>0.84033613445378152</v>
      </c>
    </row>
    <row r="107" spans="1:6">
      <c r="A107" s="1686" t="s">
        <v>14587</v>
      </c>
      <c r="B107" s="1687">
        <v>15.5</v>
      </c>
      <c r="C107" s="1409" t="s">
        <v>14719</v>
      </c>
    </row>
    <row r="109" spans="1:6">
      <c r="A109" s="1726" t="s">
        <v>14753</v>
      </c>
      <c r="B109" s="1726">
        <f>C44</f>
        <v>8000</v>
      </c>
      <c r="C109" s="1409" t="s">
        <v>14608</v>
      </c>
      <c r="D109" s="1399" t="s">
        <v>14663</v>
      </c>
      <c r="E109" s="1399"/>
    </row>
    <row r="110" spans="1:6">
      <c r="A110" s="1726">
        <f>8760*3600</f>
        <v>31536000</v>
      </c>
      <c r="B110" s="1745" t="s">
        <v>14664</v>
      </c>
      <c r="C110" s="1409" t="s">
        <v>14608</v>
      </c>
      <c r="D110" s="1744">
        <f>530*F110</f>
        <v>1060</v>
      </c>
      <c r="E110" s="1399" t="s">
        <v>14665</v>
      </c>
      <c r="F110" s="1409">
        <v>2</v>
      </c>
    </row>
    <row r="111" spans="1:6">
      <c r="A111" s="1726">
        <f>A110*B109/8760</f>
        <v>28800000</v>
      </c>
      <c r="B111" s="1745" t="s">
        <v>14664</v>
      </c>
      <c r="C111" s="1409" t="s">
        <v>14608</v>
      </c>
      <c r="D111" s="1744">
        <f>D110/A111 *1000000</f>
        <v>36.805555555555557</v>
      </c>
      <c r="E111" s="1399" t="s">
        <v>14666</v>
      </c>
      <c r="F111" s="1691"/>
    </row>
    <row r="112" spans="1:6">
      <c r="C112" s="1409" t="s">
        <v>14608</v>
      </c>
      <c r="D112" s="1744">
        <f>D111*B102</f>
        <v>577.84722222222217</v>
      </c>
      <c r="E112" s="1399" t="s">
        <v>14667</v>
      </c>
    </row>
    <row r="113" spans="1:6">
      <c r="C113" s="1409" t="s">
        <v>14608</v>
      </c>
      <c r="D113" s="1744">
        <f>D112*B101</f>
        <v>481.53935185185185</v>
      </c>
      <c r="E113" s="1399" t="s">
        <v>14668</v>
      </c>
    </row>
    <row r="115" spans="1:6">
      <c r="C115" s="1409" t="s">
        <v>14669</v>
      </c>
      <c r="D115" s="1702">
        <v>1.4999999999999999E-2</v>
      </c>
      <c r="E115" s="1409" t="s">
        <v>14670</v>
      </c>
    </row>
    <row r="116" spans="1:6">
      <c r="B116" s="573" t="s">
        <v>14608</v>
      </c>
      <c r="D116" s="1716">
        <f>D113</f>
        <v>481.53935185185185</v>
      </c>
      <c r="E116" s="1691">
        <f>D116 * (1-$D$115)^($F$117-$E$117)</f>
        <v>413.99403993277372</v>
      </c>
      <c r="F116" s="1691">
        <f>E116 * (1-$D$115)^($E$117-$D$117)</f>
        <v>355.92327904405289</v>
      </c>
    </row>
    <row r="117" spans="1:6">
      <c r="C117" s="1732"/>
      <c r="D117" s="1733">
        <v>2020</v>
      </c>
      <c r="E117" s="1733">
        <v>2030</v>
      </c>
      <c r="F117" s="1734">
        <v>2040</v>
      </c>
    </row>
    <row r="118" spans="1:6">
      <c r="A118" s="1691"/>
      <c r="B118" s="573" t="s">
        <v>14608</v>
      </c>
      <c r="C118" s="1729" t="s">
        <v>14746</v>
      </c>
      <c r="D118" s="1735">
        <f>D110</f>
        <v>1060</v>
      </c>
      <c r="E118" s="1735">
        <f>E116/$D$116*$D$118</f>
        <v>911.31426879469166</v>
      </c>
      <c r="F118" s="1735">
        <f>F116/$D$116*$D$118</f>
        <v>783.48461934792783</v>
      </c>
    </row>
    <row r="119" spans="1:6">
      <c r="A119" s="1691"/>
      <c r="B119" s="573" t="s">
        <v>14608</v>
      </c>
      <c r="C119" s="1729" t="s">
        <v>14747</v>
      </c>
      <c r="D119" s="1735">
        <f>D118*$B$105</f>
        <v>1187.2</v>
      </c>
      <c r="E119" s="1735">
        <f>E118*$B$105</f>
        <v>1020.6719810500548</v>
      </c>
      <c r="F119" s="1736">
        <f>F118*$B$105</f>
        <v>877.5027736696793</v>
      </c>
    </row>
    <row r="120" spans="1:6">
      <c r="A120" s="1691"/>
      <c r="B120" s="1739" t="s">
        <v>14748</v>
      </c>
      <c r="C120" s="1729" t="s">
        <v>14747</v>
      </c>
      <c r="D120" s="1735">
        <f>D121*$B$104</f>
        <v>925.6</v>
      </c>
      <c r="E120" s="1735">
        <f>E121*$B$104</f>
        <v>790.4</v>
      </c>
      <c r="F120" s="1736">
        <f>F121*$B$104</f>
        <v>587.6</v>
      </c>
    </row>
    <row r="121" spans="1:6">
      <c r="B121" s="1739" t="s">
        <v>14748</v>
      </c>
      <c r="C121" s="1730" t="s">
        <v>14749</v>
      </c>
      <c r="D121" s="1737">
        <v>890</v>
      </c>
      <c r="E121" s="1737">
        <v>760</v>
      </c>
      <c r="F121" s="1738">
        <v>565</v>
      </c>
    </row>
    <row r="122" spans="1:6">
      <c r="B122" s="1410" t="s">
        <v>14752</v>
      </c>
      <c r="C122" s="1740" t="s">
        <v>14747</v>
      </c>
      <c r="D122" s="1741">
        <f>AVERAGE(D119:D120)</f>
        <v>1056.4000000000001</v>
      </c>
      <c r="E122" s="1741">
        <f t="shared" ref="E122:F122" si="10">AVERAGE(E119:E120)</f>
        <v>905.53599052502739</v>
      </c>
      <c r="F122" s="1742">
        <f t="shared" si="10"/>
        <v>732.5513868348396</v>
      </c>
    </row>
    <row r="123" spans="1:6">
      <c r="B123" s="1409" t="s">
        <v>702</v>
      </c>
      <c r="C123" s="1740" t="s">
        <v>14668</v>
      </c>
      <c r="D123" s="1743">
        <f>D122/$A$111 *1000000 *($B$107*$B$106)</f>
        <v>477.77194211017741</v>
      </c>
      <c r="E123" s="1743">
        <f>E122/$A$111 *1000000 *($B$107*$B$106)</f>
        <v>409.54154566812338</v>
      </c>
      <c r="F123" s="1743">
        <f>F122/$A$111 *1000000 *($B$107*$B$106)</f>
        <v>331.30679551645699</v>
      </c>
    </row>
    <row r="131" spans="3:22">
      <c r="C131" s="387">
        <f>SUM(C132:C135)</f>
        <v>39.935850000000002</v>
      </c>
      <c r="D131" s="1409" t="s">
        <v>14671</v>
      </c>
      <c r="E131" s="387"/>
    </row>
    <row r="132" spans="3:22">
      <c r="C132" s="1409">
        <f>D132</f>
        <v>1.97</v>
      </c>
      <c r="D132" s="1409">
        <v>1.97</v>
      </c>
      <c r="E132" s="1409" t="s">
        <v>14672</v>
      </c>
    </row>
    <row r="133" spans="3:22">
      <c r="C133" s="1409">
        <f>D133</f>
        <v>0.49</v>
      </c>
      <c r="D133" s="1409">
        <v>0.49</v>
      </c>
      <c r="E133" s="1409" t="s">
        <v>14672</v>
      </c>
    </row>
    <row r="134" spans="3:22">
      <c r="C134" s="1409">
        <f>D134*$B$103</f>
        <v>0.83584999999999998</v>
      </c>
      <c r="D134" s="1409">
        <v>0.73</v>
      </c>
      <c r="E134" s="1409" t="s">
        <v>14673</v>
      </c>
    </row>
    <row r="135" spans="3:22">
      <c r="C135" s="1409">
        <f>D135*$B$103</f>
        <v>36.64</v>
      </c>
      <c r="D135" s="1409">
        <v>32</v>
      </c>
      <c r="E135" s="1409" t="s">
        <v>14673</v>
      </c>
      <c r="T135" s="1703" t="s">
        <v>14674</v>
      </c>
      <c r="U135" s="1703" t="s">
        <v>1045</v>
      </c>
      <c r="V135" s="1703">
        <f>V137</f>
        <v>120</v>
      </c>
    </row>
    <row r="136" spans="3:22">
      <c r="T136" s="775" t="s">
        <v>14675</v>
      </c>
      <c r="U136" s="775" t="s">
        <v>1045</v>
      </c>
      <c r="V136" s="775">
        <v>140</v>
      </c>
    </row>
    <row r="137" spans="3:22">
      <c r="T137" s="775" t="s">
        <v>14676</v>
      </c>
      <c r="U137" s="775" t="s">
        <v>1045</v>
      </c>
      <c r="V137" s="775">
        <v>120</v>
      </c>
    </row>
    <row r="138" spans="3:22">
      <c r="C138"/>
      <c r="D138"/>
      <c r="E138"/>
      <c r="F138"/>
      <c r="G138"/>
      <c r="H138"/>
    </row>
    <row r="139" spans="3:22">
      <c r="C139"/>
      <c r="D139"/>
      <c r="E139"/>
      <c r="F139"/>
      <c r="G139"/>
      <c r="H139"/>
      <c r="M139" s="1410" t="s">
        <v>14677</v>
      </c>
    </row>
    <row r="140" spans="3:22">
      <c r="C140"/>
      <c r="D140"/>
      <c r="E140"/>
      <c r="F140"/>
      <c r="G140"/>
      <c r="H140"/>
    </row>
    <row r="141" spans="3:22" ht="75">
      <c r="C141"/>
      <c r="D141"/>
      <c r="E141"/>
      <c r="F141"/>
      <c r="G141"/>
      <c r="H141"/>
      <c r="M141" s="1704" t="s">
        <v>14678</v>
      </c>
      <c r="N141" s="849" t="s">
        <v>14679</v>
      </c>
      <c r="O141" s="1704" t="s">
        <v>14680</v>
      </c>
      <c r="P141" s="849" t="s">
        <v>14681</v>
      </c>
      <c r="Q141" s="1705" t="s">
        <v>14682</v>
      </c>
      <c r="R141" s="1706" t="s">
        <v>14683</v>
      </c>
      <c r="T141" s="1707"/>
    </row>
    <row r="142" spans="3:22">
      <c r="C142"/>
      <c r="D142"/>
      <c r="E142"/>
      <c r="F142"/>
      <c r="G142"/>
      <c r="H142"/>
      <c r="M142" s="1704" t="s">
        <v>14684</v>
      </c>
      <c r="N142" s="1708">
        <v>366.3</v>
      </c>
      <c r="O142" s="1709">
        <v>2730</v>
      </c>
      <c r="P142" s="1710">
        <v>51.9</v>
      </c>
      <c r="Q142" s="1711">
        <v>47.51</v>
      </c>
      <c r="R142" s="1710">
        <f t="shared" ref="R142:R147" si="11">Q142/O142*1000</f>
        <v>17.402930402930401</v>
      </c>
      <c r="T142" s="1707"/>
    </row>
    <row r="143" spans="3:22">
      <c r="C143"/>
      <c r="D143"/>
      <c r="E143"/>
      <c r="F143"/>
      <c r="G143"/>
      <c r="H143"/>
      <c r="M143" s="1704" t="s">
        <v>14685</v>
      </c>
      <c r="N143" s="1708">
        <v>507.6</v>
      </c>
      <c r="O143" s="1709">
        <v>1970</v>
      </c>
      <c r="P143" s="1710">
        <v>50.32</v>
      </c>
      <c r="Q143" s="1711">
        <v>46.33</v>
      </c>
      <c r="R143" s="1710">
        <f t="shared" si="11"/>
        <v>23.517766497461928</v>
      </c>
      <c r="T143" s="1707"/>
    </row>
    <row r="144" spans="3:22">
      <c r="C144"/>
      <c r="D144"/>
      <c r="E144"/>
      <c r="F144"/>
      <c r="G144"/>
      <c r="H144"/>
      <c r="M144" s="1704" t="s">
        <v>14686</v>
      </c>
      <c r="N144" s="1708">
        <v>572.70000000000005</v>
      </c>
      <c r="O144" s="1709">
        <v>1746</v>
      </c>
      <c r="P144" s="1710">
        <v>49.51</v>
      </c>
      <c r="Q144" s="1711">
        <v>45.72</v>
      </c>
      <c r="R144" s="1710">
        <f t="shared" si="11"/>
        <v>26.185567010309278</v>
      </c>
    </row>
    <row r="145" spans="3:20">
      <c r="C145"/>
      <c r="D145"/>
      <c r="E145"/>
      <c r="F145"/>
      <c r="G145"/>
      <c r="H145"/>
      <c r="M145" s="1704" t="s">
        <v>14687</v>
      </c>
      <c r="N145" s="1708">
        <v>522.20000000000005</v>
      </c>
      <c r="O145" s="1709">
        <v>1915</v>
      </c>
      <c r="P145" s="1710">
        <v>50.08</v>
      </c>
      <c r="Q145" s="1711">
        <v>46.15</v>
      </c>
      <c r="R145" s="1710">
        <f t="shared" si="11"/>
        <v>24.099216710182766</v>
      </c>
    </row>
    <row r="146" spans="3:20">
      <c r="C146"/>
      <c r="D146"/>
      <c r="E146"/>
      <c r="F146"/>
      <c r="G146"/>
      <c r="H146"/>
      <c r="M146" s="1704" t="s">
        <v>14688</v>
      </c>
      <c r="N146" s="1708">
        <v>690.6</v>
      </c>
      <c r="O146" s="1709">
        <v>1448</v>
      </c>
      <c r="P146" s="1710">
        <v>47.73</v>
      </c>
      <c r="Q146" s="1711">
        <v>45.34</v>
      </c>
      <c r="R146" s="1710">
        <f t="shared" si="11"/>
        <v>31.312154696132598</v>
      </c>
    </row>
    <row r="147" spans="3:20" ht="30">
      <c r="C147"/>
      <c r="D147"/>
      <c r="E147"/>
      <c r="F147"/>
      <c r="G147"/>
      <c r="H147"/>
      <c r="M147" s="1704" t="s">
        <v>14689</v>
      </c>
      <c r="N147" s="1708">
        <v>716.8</v>
      </c>
      <c r="O147" s="1709">
        <v>1395</v>
      </c>
      <c r="P147" s="1710">
        <v>47.4</v>
      </c>
      <c r="Q147" s="1711">
        <v>45.03</v>
      </c>
      <c r="R147" s="1710">
        <f t="shared" si="11"/>
        <v>32.27956989247312</v>
      </c>
    </row>
    <row r="148" spans="3:20" ht="45">
      <c r="C148"/>
      <c r="D148"/>
      <c r="E148"/>
      <c r="F148"/>
      <c r="G148"/>
      <c r="H148"/>
      <c r="M148" s="1704" t="s">
        <v>14690</v>
      </c>
      <c r="N148" s="1708">
        <v>802.6</v>
      </c>
      <c r="O148" s="1709">
        <v>1246</v>
      </c>
      <c r="P148" s="1710">
        <v>46.23</v>
      </c>
      <c r="Q148" s="1711">
        <v>43.92</v>
      </c>
      <c r="R148" s="1710">
        <f t="shared" ref="R148:R153" si="12">Q148/O148*1000</f>
        <v>35.24879614767255</v>
      </c>
    </row>
    <row r="149" spans="3:20" ht="45">
      <c r="C149"/>
      <c r="D149"/>
      <c r="E149"/>
      <c r="F149"/>
      <c r="G149"/>
      <c r="H149"/>
      <c r="M149" s="1704" t="s">
        <v>14691</v>
      </c>
      <c r="N149" s="1708">
        <v>740.7</v>
      </c>
      <c r="O149" s="1709">
        <v>1350</v>
      </c>
      <c r="P149" s="1710">
        <v>47.1</v>
      </c>
      <c r="Q149" s="1711">
        <v>44.75</v>
      </c>
      <c r="R149" s="1710">
        <f t="shared" si="12"/>
        <v>33.148148148148152</v>
      </c>
    </row>
    <row r="150" spans="3:20" ht="30">
      <c r="C150"/>
      <c r="D150"/>
      <c r="E150"/>
      <c r="F150"/>
      <c r="G150"/>
      <c r="H150"/>
      <c r="M150" s="1704" t="s">
        <v>14692</v>
      </c>
      <c r="N150" s="1708">
        <v>802.6</v>
      </c>
      <c r="O150" s="1709">
        <v>1246</v>
      </c>
      <c r="P150" s="1710">
        <v>46.23</v>
      </c>
      <c r="Q150" s="1711">
        <v>43.92</v>
      </c>
      <c r="R150" s="1710">
        <f t="shared" si="12"/>
        <v>35.24879614767255</v>
      </c>
    </row>
    <row r="151" spans="3:20" ht="30">
      <c r="C151"/>
      <c r="D151"/>
      <c r="E151"/>
      <c r="F151"/>
      <c r="G151"/>
      <c r="H151"/>
      <c r="M151" s="1704" t="s">
        <v>14693</v>
      </c>
      <c r="N151" s="1708">
        <v>843.9</v>
      </c>
      <c r="O151" s="1709">
        <v>1185</v>
      </c>
      <c r="P151" s="1710">
        <v>45.66</v>
      </c>
      <c r="Q151" s="1711">
        <v>43.38</v>
      </c>
      <c r="R151" s="1710">
        <f t="shared" si="12"/>
        <v>36.607594936708864</v>
      </c>
    </row>
    <row r="152" spans="3:20" ht="45">
      <c r="C152"/>
      <c r="D152"/>
      <c r="E152"/>
      <c r="F152"/>
      <c r="G152"/>
      <c r="H152"/>
      <c r="M152" s="1704" t="s">
        <v>14694</v>
      </c>
      <c r="N152" s="1708">
        <v>925.1</v>
      </c>
      <c r="O152" s="1709">
        <v>1081</v>
      </c>
      <c r="P152" s="1710">
        <v>44.4</v>
      </c>
      <c r="Q152" s="1711">
        <v>42.18</v>
      </c>
      <c r="R152" s="1710">
        <f t="shared" si="12"/>
        <v>39.01942645698427</v>
      </c>
    </row>
    <row r="153" spans="3:20" ht="45">
      <c r="C153"/>
      <c r="D153"/>
      <c r="E153"/>
      <c r="F153"/>
      <c r="G153"/>
      <c r="H153"/>
      <c r="M153" s="1704" t="s">
        <v>14695</v>
      </c>
      <c r="N153" s="1708">
        <v>963.4</v>
      </c>
      <c r="O153" s="1709">
        <v>1038</v>
      </c>
      <c r="P153" s="1710">
        <v>43.76</v>
      </c>
      <c r="Q153" s="1711">
        <v>41.57</v>
      </c>
      <c r="R153" s="1710">
        <f t="shared" si="12"/>
        <v>40.048169556840072</v>
      </c>
    </row>
    <row r="154" spans="3:20">
      <c r="M154" s="1712" t="s">
        <v>14696</v>
      </c>
      <c r="N154" s="1708"/>
      <c r="O154" s="1709">
        <f>1000/0.789</f>
        <v>1267.4271229404308</v>
      </c>
      <c r="P154" s="1710"/>
      <c r="Q154" s="1711"/>
      <c r="R154" s="1710">
        <v>23.399999869999998</v>
      </c>
      <c r="S154" s="1707"/>
      <c r="T154" s="1707"/>
    </row>
    <row r="155" spans="3:20">
      <c r="M155" s="1712" t="s">
        <v>14697</v>
      </c>
      <c r="N155" s="1708"/>
      <c r="O155" s="1713"/>
      <c r="P155" s="1710"/>
      <c r="Q155" s="1711"/>
      <c r="R155" s="1710">
        <v>23.000259429209784</v>
      </c>
      <c r="S155" s="1707"/>
      <c r="T155" s="1707"/>
    </row>
    <row r="156" spans="3:20">
      <c r="M156" s="1707"/>
      <c r="N156" s="1473" t="s">
        <v>14698</v>
      </c>
      <c r="O156" s="1473"/>
      <c r="P156" s="1473"/>
      <c r="Q156" s="1473"/>
      <c r="R156" s="1473"/>
      <c r="S156" s="1707"/>
      <c r="T156" s="1707"/>
    </row>
    <row r="157" spans="3:20">
      <c r="M157" s="1707"/>
      <c r="N157" s="1409" t="s">
        <v>14699</v>
      </c>
      <c r="S157" s="1473"/>
    </row>
    <row r="158" spans="3:20">
      <c r="M158" s="1707"/>
      <c r="N158" s="1409" t="s">
        <v>14700</v>
      </c>
    </row>
    <row r="170" spans="1:1">
      <c r="A170" s="1410" t="s">
        <v>14716</v>
      </c>
    </row>
    <row r="171" spans="1:1">
      <c r="A171" s="1409" t="s">
        <v>14701</v>
      </c>
    </row>
    <row r="172" spans="1:1">
      <c r="A172" s="1409" t="s">
        <v>14702</v>
      </c>
    </row>
    <row r="173" spans="1:1">
      <c r="A173" s="1409" t="s">
        <v>14703</v>
      </c>
    </row>
    <row r="174" spans="1:1">
      <c r="A174" s="1714" t="s">
        <v>14717</v>
      </c>
    </row>
  </sheetData>
  <dataConsolidate/>
  <hyperlinks>
    <hyperlink ref="C102" r:id="rId1" xr:uid="{CB0FA186-A24C-48EC-BBFD-849328EF66A7}"/>
  </hyperlinks>
  <pageMargins left="0.7" right="0.7" top="0.75" bottom="0.75" header="0.3" footer="0.3"/>
  <pageSetup paperSize="9" orientation="portrait" verticalDpi="0" r:id="rId2"/>
  <drawing r:id="rId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B950B-4D3F-445B-BE9C-EAD3F1B21957}">
  <sheetPr codeName="Sheet64">
    <tabColor theme="6" tint="0.59999389629810485"/>
  </sheetPr>
  <dimension ref="A1:F9"/>
  <sheetViews>
    <sheetView workbookViewId="0">
      <selection activeCell="E8" sqref="E8:F9"/>
    </sheetView>
  </sheetViews>
  <sheetFormatPr defaultRowHeight="15"/>
  <cols>
    <col min="1" max="1" width="6.28515625" style="1409" bestFit="1" customWidth="1"/>
    <col min="2" max="2" width="8.85546875" style="1409" bestFit="1" customWidth="1"/>
    <col min="3" max="3" width="16.28515625" style="1409" bestFit="1" customWidth="1"/>
    <col min="4" max="4" width="56.5703125" style="1409" bestFit="1" customWidth="1"/>
    <col min="5" max="5" width="6.28515625" style="1409" bestFit="1" customWidth="1"/>
    <col min="6" max="6" width="23.140625" style="1409" bestFit="1" customWidth="1"/>
    <col min="7" max="16384" width="9.140625" style="1409"/>
  </cols>
  <sheetData>
    <row r="1" spans="1:6">
      <c r="A1" s="1409" t="s">
        <v>14542</v>
      </c>
      <c r="B1" s="1409" t="s">
        <v>308</v>
      </c>
    </row>
    <row r="2" spans="1:6">
      <c r="B2" s="1409" t="s">
        <v>598</v>
      </c>
      <c r="C2" s="1409" t="s">
        <v>14602</v>
      </c>
      <c r="D2" s="1409" t="s">
        <v>14602</v>
      </c>
      <c r="F2" s="1409" t="s">
        <v>599</v>
      </c>
    </row>
    <row r="3" spans="1:6">
      <c r="B3" s="1409" t="s">
        <v>598</v>
      </c>
      <c r="C3" s="1409" t="s">
        <v>14603</v>
      </c>
      <c r="D3" s="1409" t="s">
        <v>14603</v>
      </c>
      <c r="F3" s="1409" t="s">
        <v>599</v>
      </c>
    </row>
    <row r="4" spans="1:6">
      <c r="B4" s="1409" t="s">
        <v>1868</v>
      </c>
      <c r="C4" s="1409" t="s">
        <v>14604</v>
      </c>
      <c r="D4" s="1409" t="s">
        <v>14605</v>
      </c>
      <c r="E4" s="1409" t="s">
        <v>318</v>
      </c>
      <c r="F4" s="1409" t="s">
        <v>565</v>
      </c>
    </row>
    <row r="5" spans="1:6">
      <c r="B5" s="1409" t="s">
        <v>352</v>
      </c>
      <c r="C5" s="1409" t="s">
        <v>14802</v>
      </c>
      <c r="D5" s="1409" t="s">
        <v>14803</v>
      </c>
      <c r="E5" s="1409" t="s">
        <v>248</v>
      </c>
      <c r="F5" s="1409" t="s">
        <v>353</v>
      </c>
    </row>
    <row r="6" spans="1:6">
      <c r="B6" s="1409" t="s">
        <v>1868</v>
      </c>
      <c r="C6" s="1409" t="s">
        <v>14804</v>
      </c>
      <c r="D6" s="1409" t="s">
        <v>14805</v>
      </c>
      <c r="E6" s="1409" t="s">
        <v>318</v>
      </c>
      <c r="F6" s="1409" t="s">
        <v>565</v>
      </c>
    </row>
    <row r="7" spans="1:6">
      <c r="B7" s="1409" t="s">
        <v>1868</v>
      </c>
      <c r="C7" s="1409" t="s">
        <v>14808</v>
      </c>
      <c r="D7" s="1409" t="s">
        <v>14806</v>
      </c>
      <c r="E7" s="1409" t="s">
        <v>318</v>
      </c>
      <c r="F7" s="1409" t="s">
        <v>319</v>
      </c>
    </row>
    <row r="8" spans="1:6">
      <c r="B8" s="1409" t="s">
        <v>352</v>
      </c>
      <c r="C8" s="1409" t="s">
        <v>14809</v>
      </c>
      <c r="D8" s="1409" t="s">
        <v>14811</v>
      </c>
      <c r="E8" s="1409" t="s">
        <v>248</v>
      </c>
      <c r="F8" s="1409" t="s">
        <v>353</v>
      </c>
    </row>
    <row r="9" spans="1:6">
      <c r="B9" s="1409" t="s">
        <v>352</v>
      </c>
      <c r="C9" s="1409" t="s">
        <v>14815</v>
      </c>
      <c r="D9" s="1409" t="s">
        <v>14816</v>
      </c>
      <c r="E9" s="1409" t="s">
        <v>248</v>
      </c>
      <c r="F9" s="1409" t="s">
        <v>353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7196-493A-4D49-901B-8499095B3BC5}">
  <sheetPr codeName="Sheet65">
    <tabColor theme="6" tint="0.59999389629810485"/>
  </sheetPr>
  <dimension ref="A1:AP19"/>
  <sheetViews>
    <sheetView workbookViewId="0">
      <selection activeCell="C19" sqref="C19"/>
    </sheetView>
  </sheetViews>
  <sheetFormatPr defaultRowHeight="15"/>
  <cols>
    <col min="1" max="1" width="8.28515625" style="1409" bestFit="1" customWidth="1"/>
    <col min="2" max="2" width="12.140625" style="1409" bestFit="1" customWidth="1"/>
    <col min="3" max="3" width="14.140625" style="1409" bestFit="1" customWidth="1"/>
    <col min="4" max="4" width="9.42578125" style="1409" bestFit="1" customWidth="1"/>
    <col min="5" max="6" width="16.28515625" style="1409" bestFit="1" customWidth="1"/>
    <col min="7" max="7" width="8.5703125" style="1409" bestFit="1" customWidth="1"/>
    <col min="8" max="8" width="6.140625" style="1409" bestFit="1" customWidth="1"/>
    <col min="9" max="9" width="3.42578125" style="1409" bestFit="1" customWidth="1"/>
    <col min="10" max="10" width="8.28515625" style="1409" bestFit="1" customWidth="1"/>
    <col min="11" max="17" width="5" style="1409" bestFit="1" customWidth="1"/>
    <col min="18" max="18" width="9.28515625" style="1409" bestFit="1" customWidth="1"/>
    <col min="19" max="19" width="5.5703125" style="1409" bestFit="1" customWidth="1"/>
    <col min="20" max="27" width="5" style="1409" bestFit="1" customWidth="1"/>
    <col min="28" max="28" width="8.28515625" style="1409" bestFit="1" customWidth="1"/>
    <col min="29" max="32" width="5" style="1409" bestFit="1" customWidth="1"/>
    <col min="33" max="33" width="8.28515625" style="1409" bestFit="1" customWidth="1"/>
    <col min="34" max="37" width="5" style="1409" bestFit="1" customWidth="1"/>
    <col min="38" max="38" width="8.28515625" style="1409" bestFit="1" customWidth="1"/>
    <col min="39" max="39" width="5" style="1409" bestFit="1" customWidth="1"/>
    <col min="40" max="42" width="8.285156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332</v>
      </c>
      <c r="C3" s="1409" t="s">
        <v>14604</v>
      </c>
      <c r="D3" s="1409" t="s">
        <v>334</v>
      </c>
      <c r="E3" s="1409" t="s">
        <v>334</v>
      </c>
      <c r="F3" s="1409" t="s">
        <v>334</v>
      </c>
      <c r="G3" s="1409" t="s">
        <v>334</v>
      </c>
      <c r="H3" s="1409" t="s">
        <v>334</v>
      </c>
      <c r="I3" s="1409">
        <v>0</v>
      </c>
      <c r="J3" s="1400" t="str" cm="1">
        <f t="array" ref="J3">_xlfn.IFNA(INDEX('Aviation Synfuel Data'!$G$4:$M$22,MATCH('Aviation Synfuel-TSData'!$B3&amp;'Aviation Synfuel-TSData'!$C3&amp;$D3,'Aviation Synfuel Data'!$C$4:$C$22&amp;'Aviation Synfuel Data'!$A$4:$A$22&amp;'Aviation Synfuel Data'!$D$4:$D$22,0),MATCH(J$2,'Aviation Synfuel Data'!$G$3:$M$3,0)),"null")</f>
        <v>null</v>
      </c>
      <c r="K3" s="1400" t="str" cm="1">
        <f t="array" ref="K3">_xlfn.IFNA(INDEX('Aviation Synfuel Data'!$G$4:$M$22,MATCH('Aviation Synfuel-TSData'!$B3&amp;'Aviation Synfuel-TSData'!$C3&amp;$D3,'Aviation Synfuel Data'!$C$4:$C$22&amp;'Aviation Synfuel Data'!$A$4:$A$22&amp;'Aviation Synfuel Data'!$D$4:$D$22,0),MATCH(K$2,'Aviation Synfuel Data'!$G$3:$M$3,0)),"null")</f>
        <v>null</v>
      </c>
      <c r="L3" s="1400" t="str" cm="1">
        <f t="array" ref="L3">_xlfn.IFNA(INDEX('Aviation Synfuel Data'!$G$4:$M$22,MATCH('Aviation Synfuel-TSData'!$B3&amp;'Aviation Synfuel-TSData'!$C3&amp;$D3,'Aviation Synfuel Data'!$C$4:$C$22&amp;'Aviation Synfuel Data'!$A$4:$A$22&amp;'Aviation Synfuel Data'!$D$4:$D$22,0),MATCH(L$2,'Aviation Synfuel Data'!$G$3:$M$3,0)),"null")</f>
        <v>null</v>
      </c>
      <c r="M3" s="1400" t="str" cm="1">
        <f t="array" ref="M3">_xlfn.IFNA(INDEX('Aviation Synfuel Data'!$G$4:$M$22,MATCH('Aviation Synfuel-TSData'!$B3&amp;'Aviation Synfuel-TSData'!$C3&amp;$D3,'Aviation Synfuel Data'!$C$4:$C$22&amp;'Aviation Synfuel Data'!$A$4:$A$22&amp;'Aviation Synfuel Data'!$D$4:$D$22,0),MATCH(M$2,'Aviation Synfuel Data'!$G$3:$M$3,0)),"null")</f>
        <v>null</v>
      </c>
      <c r="N3" s="1400" t="str" cm="1">
        <f t="array" ref="N3">_xlfn.IFNA(INDEX('Aviation Synfuel Data'!$G$4:$M$22,MATCH('Aviation Synfuel-TSData'!$B3&amp;'Aviation Synfuel-TSData'!$C3&amp;$D3,'Aviation Synfuel Data'!$C$4:$C$22&amp;'Aviation Synfuel Data'!$A$4:$A$22&amp;'Aviation Synfuel Data'!$D$4:$D$22,0),MATCH(N$2,'Aviation Synfuel Data'!$G$3:$M$3,0)),"null")</f>
        <v>null</v>
      </c>
      <c r="O3" s="1400" t="str" cm="1">
        <f t="array" ref="O3">_xlfn.IFNA(INDEX('Aviation Synfuel Data'!$G$4:$M$22,MATCH('Aviation Synfuel-TSData'!$B3&amp;'Aviation Synfuel-TSData'!$C3&amp;$D3,'Aviation Synfuel Data'!$C$4:$C$22&amp;'Aviation Synfuel Data'!$A$4:$A$22&amp;'Aviation Synfuel Data'!$D$4:$D$22,0),MATCH(O$2,'Aviation Synfuel Data'!$G$3:$M$3,0)),"null")</f>
        <v>null</v>
      </c>
      <c r="P3" s="1400" t="str" cm="1">
        <f t="array" ref="P3">_xlfn.IFNA(INDEX('Aviation Synfuel Data'!$G$4:$M$22,MATCH('Aviation Synfuel-TSData'!$B3&amp;'Aviation Synfuel-TSData'!$C3&amp;$D3,'Aviation Synfuel Data'!$C$4:$C$22&amp;'Aviation Synfuel Data'!$A$4:$A$22&amp;'Aviation Synfuel Data'!$D$4:$D$22,0),MATCH(P$2,'Aviation Synfuel Data'!$G$3:$M$3,0)),"null")</f>
        <v>null</v>
      </c>
      <c r="Q3" s="1400" t="str" cm="1">
        <f t="array" ref="Q3">_xlfn.IFNA(INDEX('Aviation Synfuel Data'!$G$4:$M$22,MATCH('Aviation Synfuel-TSData'!$B3&amp;'Aviation Synfuel-TSData'!$C3&amp;$D3,'Aviation Synfuel Data'!$C$4:$C$22&amp;'Aviation Synfuel Data'!$A$4:$A$22&amp;'Aviation Synfuel Data'!$D$4:$D$22,0),MATCH(Q$2,'Aviation Synfuel Data'!$G$3:$M$3,0)),"null")</f>
        <v>null</v>
      </c>
      <c r="R3" s="1400" cm="1">
        <f t="array" ref="R3">_xlfn.IFNA(INDEX('Aviation Synfuel Data'!$G$4:$M$22,MATCH('Aviation Synfuel-TSData'!$B3&amp;'Aviation Synfuel-TSData'!$C3&amp;$D3,'Aviation Synfuel Data'!$C$4:$C$22&amp;'Aviation Synfuel Data'!$A$4:$A$22&amp;'Aviation Synfuel Data'!$D$4:$D$22,0),MATCH(R$2,'Aviation Synfuel Data'!$G$3:$M$3,0)),"null")</f>
        <v>0</v>
      </c>
      <c r="S3" s="1400" t="str" cm="1">
        <f t="array" ref="S3">_xlfn.IFNA(INDEX('Aviation Synfuel Data'!$G$4:$M$22,MATCH('Aviation Synfuel-TSData'!$B3&amp;'Aviation Synfuel-TSData'!$C3&amp;$D3,'Aviation Synfuel Data'!$C$4:$C$22&amp;'Aviation Synfuel Data'!$A$4:$A$22&amp;'Aviation Synfuel Data'!$D$4:$D$22,0),MATCH(S$2,'Aviation Synfuel Data'!$G$3:$M$3,0)),"null")</f>
        <v>null</v>
      </c>
      <c r="T3" s="1400" t="str" cm="1">
        <f t="array" ref="T3">_xlfn.IFNA(INDEX('Aviation Synfuel Data'!$G$4:$M$22,MATCH('Aviation Synfuel-TSData'!$B3&amp;'Aviation Synfuel-TSData'!$C3&amp;$D3,'Aviation Synfuel Data'!$C$4:$C$22&amp;'Aviation Synfuel Data'!$A$4:$A$22&amp;'Aviation Synfuel Data'!$D$4:$D$22,0),MATCH(T$2,'Aviation Synfuel Data'!$G$3:$M$3,0)),"null")</f>
        <v>null</v>
      </c>
      <c r="U3" s="1400" t="str" cm="1">
        <f t="array" ref="U3">_xlfn.IFNA(INDEX('Aviation Synfuel Data'!$G$4:$M$22,MATCH('Aviation Synfuel-TSData'!$B3&amp;'Aviation Synfuel-TSData'!$C3&amp;$D3,'Aviation Synfuel Data'!$C$4:$C$22&amp;'Aviation Synfuel Data'!$A$4:$A$22&amp;'Aviation Synfuel Data'!$D$4:$D$22,0),MATCH(U$2,'Aviation Synfuel Data'!$G$3:$M$3,0)),"null")</f>
        <v>null</v>
      </c>
      <c r="V3" s="1400" t="str" cm="1">
        <f t="array" ref="V3">_xlfn.IFNA(INDEX('Aviation Synfuel Data'!$G$4:$M$22,MATCH('Aviation Synfuel-TSData'!$B3&amp;'Aviation Synfuel-TSData'!$C3&amp;$D3,'Aviation Synfuel Data'!$C$4:$C$22&amp;'Aviation Synfuel Data'!$A$4:$A$22&amp;'Aviation Synfuel Data'!$D$4:$D$22,0),MATCH(V$2,'Aviation Synfuel Data'!$G$3:$M$3,0)),"null")</f>
        <v>null</v>
      </c>
      <c r="W3" s="1400" t="str" cm="1">
        <f t="array" ref="W3">_xlfn.IFNA(INDEX('Aviation Synfuel Data'!$G$4:$M$22,MATCH('Aviation Synfuel-TSData'!$B3&amp;'Aviation Synfuel-TSData'!$C3&amp;$D3,'Aviation Synfuel Data'!$C$4:$C$22&amp;'Aviation Synfuel Data'!$A$4:$A$22&amp;'Aviation Synfuel Data'!$D$4:$D$22,0),MATCH(W$2,'Aviation Synfuel Data'!$G$3:$M$3,0)),"null")</f>
        <v>null</v>
      </c>
      <c r="X3" s="1400" t="str" cm="1">
        <f t="array" ref="X3">_xlfn.IFNA(INDEX('Aviation Synfuel Data'!$G$4:$M$22,MATCH('Aviation Synfuel-TSData'!$B3&amp;'Aviation Synfuel-TSData'!$C3&amp;$D3,'Aviation Synfuel Data'!$C$4:$C$22&amp;'Aviation Synfuel Data'!$A$4:$A$22&amp;'Aviation Synfuel Data'!$D$4:$D$22,0),MATCH(X$2,'Aviation Synfuel Data'!$G$3:$M$3,0)),"null")</f>
        <v>null</v>
      </c>
      <c r="Y3" s="1400" t="str" cm="1">
        <f t="array" ref="Y3">_xlfn.IFNA(INDEX('Aviation Synfuel Data'!$G$4:$M$22,MATCH('Aviation Synfuel-TSData'!$B3&amp;'Aviation Synfuel-TSData'!$C3&amp;$D3,'Aviation Synfuel Data'!$C$4:$C$22&amp;'Aviation Synfuel Data'!$A$4:$A$22&amp;'Aviation Synfuel Data'!$D$4:$D$22,0),MATCH(Y$2,'Aviation Synfuel Data'!$G$3:$M$3,0)),"null")</f>
        <v>null</v>
      </c>
      <c r="Z3" s="1400" t="str" cm="1">
        <f t="array" ref="Z3">_xlfn.IFNA(INDEX('Aviation Synfuel Data'!$G$4:$M$22,MATCH('Aviation Synfuel-TSData'!$B3&amp;'Aviation Synfuel-TSData'!$C3&amp;$D3,'Aviation Synfuel Data'!$C$4:$C$22&amp;'Aviation Synfuel Data'!$A$4:$A$22&amp;'Aviation Synfuel Data'!$D$4:$D$22,0),MATCH(Z$2,'Aviation Synfuel Data'!$G$3:$M$3,0)),"null")</f>
        <v>null</v>
      </c>
      <c r="AA3" s="1400" t="str" cm="1">
        <f t="array" ref="AA3">_xlfn.IFNA(INDEX('Aviation Synfuel Data'!$G$4:$M$22,MATCH('Aviation Synfuel-TSData'!$B3&amp;'Aviation Synfuel-TSData'!$C3&amp;$D3,'Aviation Synfuel Data'!$C$4:$C$22&amp;'Aviation Synfuel Data'!$A$4:$A$22&amp;'Aviation Synfuel Data'!$D$4:$D$22,0),MATCH(AA$2,'Aviation Synfuel Data'!$G$3:$M$3,0)),"null")</f>
        <v>null</v>
      </c>
      <c r="AB3" s="1400" cm="1">
        <f t="array" ref="AB3">_xlfn.IFNA(INDEX('Aviation Synfuel Data'!$G$4:$M$22,MATCH('Aviation Synfuel-TSData'!$B3&amp;'Aviation Synfuel-TSData'!$C3&amp;$D3,'Aviation Synfuel Data'!$C$4:$C$22&amp;'Aviation Synfuel Data'!$A$4:$A$22&amp;'Aviation Synfuel Data'!$D$4:$D$22,0),MATCH(AB$2,'Aviation Synfuel Data'!$G$3:$M$3,0)),"null")</f>
        <v>0</v>
      </c>
      <c r="AC3" s="1400" t="str" cm="1">
        <f t="array" ref="AC3">_xlfn.IFNA(INDEX('Aviation Synfuel Data'!$G$4:$M$22,MATCH('Aviation Synfuel-TSData'!$B3&amp;'Aviation Synfuel-TSData'!$C3&amp;$D3,'Aviation Synfuel Data'!$C$4:$C$22&amp;'Aviation Synfuel Data'!$A$4:$A$22&amp;'Aviation Synfuel Data'!$D$4:$D$22,0),MATCH(AC$2,'Aviation Synfuel Data'!$G$3:$M$3,0)),"null")</f>
        <v>null</v>
      </c>
      <c r="AD3" s="1400" t="str" cm="1">
        <f t="array" ref="AD3">_xlfn.IFNA(INDEX('Aviation Synfuel Data'!$G$4:$M$22,MATCH('Aviation Synfuel-TSData'!$B3&amp;'Aviation Synfuel-TSData'!$C3&amp;$D3,'Aviation Synfuel Data'!$C$4:$C$22&amp;'Aviation Synfuel Data'!$A$4:$A$22&amp;'Aviation Synfuel Data'!$D$4:$D$22,0),MATCH(AD$2,'Aviation Synfuel Data'!$G$3:$M$3,0)),"null")</f>
        <v>null</v>
      </c>
      <c r="AE3" s="1400" t="str" cm="1">
        <f t="array" ref="AE3">_xlfn.IFNA(INDEX('Aviation Synfuel Data'!$G$4:$M$22,MATCH('Aviation Synfuel-TSData'!$B3&amp;'Aviation Synfuel-TSData'!$C3&amp;$D3,'Aviation Synfuel Data'!$C$4:$C$22&amp;'Aviation Synfuel Data'!$A$4:$A$22&amp;'Aviation Synfuel Data'!$D$4:$D$22,0),MATCH(AE$2,'Aviation Synfuel Data'!$G$3:$M$3,0)),"null")</f>
        <v>null</v>
      </c>
      <c r="AF3" s="1400" t="str" cm="1">
        <f t="array" ref="AF3">_xlfn.IFNA(INDEX('Aviation Synfuel Data'!$G$4:$M$22,MATCH('Aviation Synfuel-TSData'!$B3&amp;'Aviation Synfuel-TSData'!$C3&amp;$D3,'Aviation Synfuel Data'!$C$4:$C$22&amp;'Aviation Synfuel Data'!$A$4:$A$22&amp;'Aviation Synfuel Data'!$D$4:$D$22,0),MATCH(AF$2,'Aviation Synfuel Data'!$G$3:$M$3,0)),"null")</f>
        <v>null</v>
      </c>
      <c r="AG3" s="1400" cm="1">
        <f t="array" ref="AG3">_xlfn.IFNA(INDEX('Aviation Synfuel Data'!$G$4:$M$22,MATCH('Aviation Synfuel-TSData'!$B3&amp;'Aviation Synfuel-TSData'!$C3&amp;$D3,'Aviation Synfuel Data'!$C$4:$C$22&amp;'Aviation Synfuel Data'!$A$4:$A$22&amp;'Aviation Synfuel Data'!$D$4:$D$22,0),MATCH(AG$2,'Aviation Synfuel Data'!$G$3:$M$3,0)),"null")</f>
        <v>0</v>
      </c>
      <c r="AH3" s="1400" t="str" cm="1">
        <f t="array" ref="AH3">_xlfn.IFNA(INDEX('Aviation Synfuel Data'!$G$4:$M$22,MATCH('Aviation Synfuel-TSData'!$B3&amp;'Aviation Synfuel-TSData'!$C3&amp;$D3,'Aviation Synfuel Data'!$C$4:$C$22&amp;'Aviation Synfuel Data'!$A$4:$A$22&amp;'Aviation Synfuel Data'!$D$4:$D$22,0),MATCH(AH$2,'Aviation Synfuel Data'!$G$3:$M$3,0)),"null")</f>
        <v>null</v>
      </c>
      <c r="AI3" s="1400" t="str" cm="1">
        <f t="array" ref="AI3">_xlfn.IFNA(INDEX('Aviation Synfuel Data'!$G$4:$M$22,MATCH('Aviation Synfuel-TSData'!$B3&amp;'Aviation Synfuel-TSData'!$C3&amp;$D3,'Aviation Synfuel Data'!$C$4:$C$22&amp;'Aviation Synfuel Data'!$A$4:$A$22&amp;'Aviation Synfuel Data'!$D$4:$D$22,0),MATCH(AI$2,'Aviation Synfuel Data'!$G$3:$M$3,0)),"null")</f>
        <v>null</v>
      </c>
      <c r="AJ3" s="1400" t="str" cm="1">
        <f t="array" ref="AJ3">_xlfn.IFNA(INDEX('Aviation Synfuel Data'!$G$4:$M$22,MATCH('Aviation Synfuel-TSData'!$B3&amp;'Aviation Synfuel-TSData'!$C3&amp;$D3,'Aviation Synfuel Data'!$C$4:$C$22&amp;'Aviation Synfuel Data'!$A$4:$A$22&amp;'Aviation Synfuel Data'!$D$4:$D$22,0),MATCH(AJ$2,'Aviation Synfuel Data'!$G$3:$M$3,0)),"null")</f>
        <v>null</v>
      </c>
      <c r="AK3" s="1400" t="str" cm="1">
        <f t="array" ref="AK3">_xlfn.IFNA(INDEX('Aviation Synfuel Data'!$G$4:$M$22,MATCH('Aviation Synfuel-TSData'!$B3&amp;'Aviation Synfuel-TSData'!$C3&amp;$D3,'Aviation Synfuel Data'!$C$4:$C$22&amp;'Aviation Synfuel Data'!$A$4:$A$22&amp;'Aviation Synfuel Data'!$D$4:$D$22,0),MATCH(AK$2,'Aviation Synfuel Data'!$G$3:$M$3,0)),"null")</f>
        <v>null</v>
      </c>
      <c r="AL3" s="1400" cm="1">
        <f t="array" ref="AL3">_xlfn.IFNA(INDEX('Aviation Synfuel Data'!$G$4:$M$22,MATCH('Aviation Synfuel-TSData'!$B3&amp;'Aviation Synfuel-TSData'!$C3&amp;$D3,'Aviation Synfuel Data'!$C$4:$C$22&amp;'Aviation Synfuel Data'!$A$4:$A$22&amp;'Aviation Synfuel Data'!$D$4:$D$22,0),MATCH(AL$2,'Aviation Synfuel Data'!$G$3:$M$3,0)),"null")</f>
        <v>0</v>
      </c>
      <c r="AM3" s="1400" t="str" cm="1">
        <f t="array" ref="AM3">_xlfn.IFNA(INDEX('Aviation Synfuel Data'!$G$4:$M$22,MATCH('Aviation Synfuel-TSData'!$B3&amp;'Aviation Synfuel-TSData'!$C3&amp;$D3,'Aviation Synfuel Data'!$C$4:$C$22&amp;'Aviation Synfuel Data'!$A$4:$A$22&amp;'Aviation Synfuel Data'!$D$4:$D$22,0),MATCH(AM$2,'Aviation Synfuel Data'!$G$3:$M$3,0)),"null")</f>
        <v>null</v>
      </c>
      <c r="AN3" s="1400" cm="1">
        <f t="array" ref="AN3">_xlfn.IFNA(INDEX('Aviation Synfuel Data'!$G$4:$M$22,MATCH('Aviation Synfuel-TSData'!$B3&amp;'Aviation Synfuel-TSData'!$C3&amp;$D3,'Aviation Synfuel Data'!$C$4:$C$22&amp;'Aviation Synfuel Data'!$A$4:$A$22&amp;'Aviation Synfuel Data'!$D$4:$D$22,0),MATCH(AN$2,'Aviation Synfuel Data'!$G$3:$M$3,0)),"null")</f>
        <v>0</v>
      </c>
      <c r="AO3" s="1400" cm="1">
        <f t="array" ref="AO3">_xlfn.IFNA(INDEX('Aviation Synfuel Data'!$G$4:$M$22,MATCH('Aviation Synfuel-TSData'!$B3&amp;'Aviation Synfuel-TSData'!$C3&amp;$D3,'Aviation Synfuel Data'!$C$4:$C$22&amp;'Aviation Synfuel Data'!$A$4:$A$22&amp;'Aviation Synfuel Data'!$D$4:$D$22,0),MATCH(AO$2,'Aviation Synfuel Data'!$G$3:$M$3,0)),"null")</f>
        <v>0</v>
      </c>
      <c r="AP3" s="1400" cm="1">
        <f t="array" ref="AP3">_xlfn.IFNA(INDEX('Aviation Synfuel Data'!$G$4:$M$22,MATCH('Aviation Synfuel-TSData'!$B3&amp;'Aviation Synfuel-TSData'!$C3&amp;$D3,'Aviation Synfuel Data'!$C$4:$C$22&amp;'Aviation Synfuel Data'!$A$4:$A$22&amp;'Aviation Synfuel Data'!$D$4:$D$22,0),MATCH(AP$2,'Aviation Synfuel Data'!$G$3:$M$3,0)),"null")</f>
        <v>0</v>
      </c>
    </row>
    <row r="4" spans="1:42">
      <c r="B4" s="1409" t="s">
        <v>13540</v>
      </c>
      <c r="C4" s="1409" t="s">
        <v>14604</v>
      </c>
      <c r="D4" s="1409" t="s">
        <v>334</v>
      </c>
      <c r="E4" s="1409" t="s">
        <v>14809</v>
      </c>
      <c r="F4" s="1409" t="s">
        <v>334</v>
      </c>
      <c r="G4" s="1409" t="s">
        <v>334</v>
      </c>
      <c r="H4" s="1409" t="s">
        <v>334</v>
      </c>
      <c r="I4" s="1409">
        <v>0</v>
      </c>
      <c r="J4" s="1401" t="str" cm="1">
        <f t="array" ref="J4">_xlfn.IFNA(INDEX('Aviation Synfuel Data'!$G$4:$M$22,MATCH('Aviation Synfuel-TSData'!$B4&amp;'Aviation Synfuel-TSData'!$C4&amp;$E4,'Aviation Synfuel Data'!$C$4:$C$22&amp;'Aviation Synfuel Data'!$A$4:$A$22&amp;'Aviation Synfuel Data'!$D$4:$D$22,0),MATCH(J$2,'Aviation Synfuel Data'!$G$3:$M$3,0)),"null")</f>
        <v>null</v>
      </c>
      <c r="K4" s="1401" t="str" cm="1">
        <f t="array" ref="K4">_xlfn.IFNA(INDEX('Aviation Synfuel Data'!$G$4:$M$22,MATCH('Aviation Synfuel-TSData'!$B4&amp;'Aviation Synfuel-TSData'!$C4&amp;$E4,'Aviation Synfuel Data'!$C$4:$C$22&amp;'Aviation Synfuel Data'!$A$4:$A$22&amp;'Aviation Synfuel Data'!$D$4:$D$22,0),MATCH(K$2,'Aviation Synfuel Data'!$G$3:$M$3,0)),"null")</f>
        <v>null</v>
      </c>
      <c r="L4" s="1401" t="str" cm="1">
        <f t="array" ref="L4">_xlfn.IFNA(INDEX('Aviation Synfuel Data'!$G$4:$M$22,MATCH('Aviation Synfuel-TSData'!$B4&amp;'Aviation Synfuel-TSData'!$C4&amp;$E4,'Aviation Synfuel Data'!$C$4:$C$22&amp;'Aviation Synfuel Data'!$A$4:$A$22&amp;'Aviation Synfuel Data'!$D$4:$D$22,0),MATCH(L$2,'Aviation Synfuel Data'!$G$3:$M$3,0)),"null")</f>
        <v>null</v>
      </c>
      <c r="M4" s="1401" t="str" cm="1">
        <f t="array" ref="M4">_xlfn.IFNA(INDEX('Aviation Synfuel Data'!$G$4:$M$22,MATCH('Aviation Synfuel-TSData'!$B4&amp;'Aviation Synfuel-TSData'!$C4&amp;$E4,'Aviation Synfuel Data'!$C$4:$C$22&amp;'Aviation Synfuel Data'!$A$4:$A$22&amp;'Aviation Synfuel Data'!$D$4:$D$22,0),MATCH(M$2,'Aviation Synfuel Data'!$G$3:$M$3,0)),"null")</f>
        <v>null</v>
      </c>
      <c r="N4" s="1401" t="str" cm="1">
        <f t="array" ref="N4">_xlfn.IFNA(INDEX('Aviation Synfuel Data'!$G$4:$M$22,MATCH('Aviation Synfuel-TSData'!$B4&amp;'Aviation Synfuel-TSData'!$C4&amp;$E4,'Aviation Synfuel Data'!$C$4:$C$22&amp;'Aviation Synfuel Data'!$A$4:$A$22&amp;'Aviation Synfuel Data'!$D$4:$D$22,0),MATCH(N$2,'Aviation Synfuel Data'!$G$3:$M$3,0)),"null")</f>
        <v>null</v>
      </c>
      <c r="O4" s="1401" t="str" cm="1">
        <f t="array" ref="O4">_xlfn.IFNA(INDEX('Aviation Synfuel Data'!$G$4:$M$22,MATCH('Aviation Synfuel-TSData'!$B4&amp;'Aviation Synfuel-TSData'!$C4&amp;$E4,'Aviation Synfuel Data'!$C$4:$C$22&amp;'Aviation Synfuel Data'!$A$4:$A$22&amp;'Aviation Synfuel Data'!$D$4:$D$22,0),MATCH(O$2,'Aviation Synfuel Data'!$G$3:$M$3,0)),"null")</f>
        <v>null</v>
      </c>
      <c r="P4" s="1401" t="str" cm="1">
        <f t="array" ref="P4">_xlfn.IFNA(INDEX('Aviation Synfuel Data'!$G$4:$M$22,MATCH('Aviation Synfuel-TSData'!$B4&amp;'Aviation Synfuel-TSData'!$C4&amp;$E4,'Aviation Synfuel Data'!$C$4:$C$22&amp;'Aviation Synfuel Data'!$A$4:$A$22&amp;'Aviation Synfuel Data'!$D$4:$D$22,0),MATCH(P$2,'Aviation Synfuel Data'!$G$3:$M$3,0)),"null")</f>
        <v>null</v>
      </c>
      <c r="Q4" s="1401" t="str" cm="1">
        <f t="array" ref="Q4">_xlfn.IFNA(INDEX('Aviation Synfuel Data'!$G$4:$M$22,MATCH('Aviation Synfuel-TSData'!$B4&amp;'Aviation Synfuel-TSData'!$C4&amp;$E4,'Aviation Synfuel Data'!$C$4:$C$22&amp;'Aviation Synfuel Data'!$A$4:$A$22&amp;'Aviation Synfuel Data'!$D$4:$D$22,0),MATCH(Q$2,'Aviation Synfuel Data'!$G$3:$M$3,0)),"null")</f>
        <v>null</v>
      </c>
      <c r="R4" s="1401" cm="1">
        <f t="array" ref="R4">_xlfn.IFNA(INDEX('Aviation Synfuel Data'!$G$4:$M$22,MATCH('Aviation Synfuel-TSData'!$B4&amp;'Aviation Synfuel-TSData'!$C4&amp;$E4,'Aviation Synfuel Data'!$C$4:$C$22&amp;'Aviation Synfuel Data'!$A$4:$A$22&amp;'Aviation Synfuel Data'!$D$4:$D$22,0),MATCH(R$2,'Aviation Synfuel Data'!$G$3:$M$3,0)),"null")</f>
        <v>107.3755695536401</v>
      </c>
      <c r="S4" s="1401" t="str" cm="1">
        <f t="array" ref="S4">_xlfn.IFNA(INDEX('Aviation Synfuel Data'!$G$4:$M$22,MATCH('Aviation Synfuel-TSData'!$B4&amp;'Aviation Synfuel-TSData'!$C4&amp;$E4,'Aviation Synfuel Data'!$C$4:$C$22&amp;'Aviation Synfuel Data'!$A$4:$A$22&amp;'Aviation Synfuel Data'!$D$4:$D$22,0),MATCH(S$2,'Aviation Synfuel Data'!$G$3:$M$3,0)),"null")</f>
        <v>null</v>
      </c>
      <c r="T4" s="1401" t="str" cm="1">
        <f t="array" ref="T4">_xlfn.IFNA(INDEX('Aviation Synfuel Data'!$G$4:$M$22,MATCH('Aviation Synfuel-TSData'!$B4&amp;'Aviation Synfuel-TSData'!$C4&amp;$E4,'Aviation Synfuel Data'!$C$4:$C$22&amp;'Aviation Synfuel Data'!$A$4:$A$22&amp;'Aviation Synfuel Data'!$D$4:$D$22,0),MATCH(T$2,'Aviation Synfuel Data'!$G$3:$M$3,0)),"null")</f>
        <v>null</v>
      </c>
      <c r="U4" s="1401" t="str" cm="1">
        <f t="array" ref="U4">_xlfn.IFNA(INDEX('Aviation Synfuel Data'!$G$4:$M$22,MATCH('Aviation Synfuel-TSData'!$B4&amp;'Aviation Synfuel-TSData'!$C4&amp;$E4,'Aviation Synfuel Data'!$C$4:$C$22&amp;'Aviation Synfuel Data'!$A$4:$A$22&amp;'Aviation Synfuel Data'!$D$4:$D$22,0),MATCH(U$2,'Aviation Synfuel Data'!$G$3:$M$3,0)),"null")</f>
        <v>null</v>
      </c>
      <c r="V4" s="1401" t="str" cm="1">
        <f t="array" ref="V4">_xlfn.IFNA(INDEX('Aviation Synfuel Data'!$G$4:$M$22,MATCH('Aviation Synfuel-TSData'!$B4&amp;'Aviation Synfuel-TSData'!$C4&amp;$E4,'Aviation Synfuel Data'!$C$4:$C$22&amp;'Aviation Synfuel Data'!$A$4:$A$22&amp;'Aviation Synfuel Data'!$D$4:$D$22,0),MATCH(V$2,'Aviation Synfuel Data'!$G$3:$M$3,0)),"null")</f>
        <v>null</v>
      </c>
      <c r="W4" s="1401" t="str" cm="1">
        <f t="array" ref="W4">_xlfn.IFNA(INDEX('Aviation Synfuel Data'!$G$4:$M$22,MATCH('Aviation Synfuel-TSData'!$B4&amp;'Aviation Synfuel-TSData'!$C4&amp;$E4,'Aviation Synfuel Data'!$C$4:$C$22&amp;'Aviation Synfuel Data'!$A$4:$A$22&amp;'Aviation Synfuel Data'!$D$4:$D$22,0),MATCH(W$2,'Aviation Synfuel Data'!$G$3:$M$3,0)),"null")</f>
        <v>null</v>
      </c>
      <c r="X4" s="1401" t="str" cm="1">
        <f t="array" ref="X4">_xlfn.IFNA(INDEX('Aviation Synfuel Data'!$G$4:$M$22,MATCH('Aviation Synfuel-TSData'!$B4&amp;'Aviation Synfuel-TSData'!$C4&amp;$E4,'Aviation Synfuel Data'!$C$4:$C$22&amp;'Aviation Synfuel Data'!$A$4:$A$22&amp;'Aviation Synfuel Data'!$D$4:$D$22,0),MATCH(X$2,'Aviation Synfuel Data'!$G$3:$M$3,0)),"null")</f>
        <v>null</v>
      </c>
      <c r="Y4" s="1401" t="str" cm="1">
        <f t="array" ref="Y4">_xlfn.IFNA(INDEX('Aviation Synfuel Data'!$G$4:$M$22,MATCH('Aviation Synfuel-TSData'!$B4&amp;'Aviation Synfuel-TSData'!$C4&amp;$E4,'Aviation Synfuel Data'!$C$4:$C$22&amp;'Aviation Synfuel Data'!$A$4:$A$22&amp;'Aviation Synfuel Data'!$D$4:$D$22,0),MATCH(Y$2,'Aviation Synfuel Data'!$G$3:$M$3,0)),"null")</f>
        <v>null</v>
      </c>
      <c r="Z4" s="1401" t="str" cm="1">
        <f t="array" ref="Z4">_xlfn.IFNA(INDEX('Aviation Synfuel Data'!$G$4:$M$22,MATCH('Aviation Synfuel-TSData'!$B4&amp;'Aviation Synfuel-TSData'!$C4&amp;$E4,'Aviation Synfuel Data'!$C$4:$C$22&amp;'Aviation Synfuel Data'!$A$4:$A$22&amp;'Aviation Synfuel Data'!$D$4:$D$22,0),MATCH(Z$2,'Aviation Synfuel Data'!$G$3:$M$3,0)),"null")</f>
        <v>null</v>
      </c>
      <c r="AA4" s="1401" t="str" cm="1">
        <f t="array" ref="AA4">_xlfn.IFNA(INDEX('Aviation Synfuel Data'!$G$4:$M$22,MATCH('Aviation Synfuel-TSData'!$B4&amp;'Aviation Synfuel-TSData'!$C4&amp;$E4,'Aviation Synfuel Data'!$C$4:$C$22&amp;'Aviation Synfuel Data'!$A$4:$A$22&amp;'Aviation Synfuel Data'!$D$4:$D$22,0),MATCH(AA$2,'Aviation Synfuel Data'!$G$3:$M$3,0)),"null")</f>
        <v>null</v>
      </c>
      <c r="AB4" s="1401" cm="1">
        <f t="array" ref="AB4">_xlfn.IFNA(INDEX('Aviation Synfuel Data'!$G$4:$M$22,MATCH('Aviation Synfuel-TSData'!$B4&amp;'Aviation Synfuel-TSData'!$C4&amp;$E4,'Aviation Synfuel Data'!$C$4:$C$22&amp;'Aviation Synfuel Data'!$A$4:$A$22&amp;'Aviation Synfuel Data'!$D$4:$D$22,0),MATCH(AB$2,'Aviation Synfuel Data'!$G$3:$M$3,0)),"null")</f>
        <v>107.3755695536401</v>
      </c>
      <c r="AC4" s="1401" t="str" cm="1">
        <f t="array" ref="AC4">_xlfn.IFNA(INDEX('Aviation Synfuel Data'!$G$4:$M$22,MATCH('Aviation Synfuel-TSData'!$B4&amp;'Aviation Synfuel-TSData'!$C4&amp;$E4,'Aviation Synfuel Data'!$C$4:$C$22&amp;'Aviation Synfuel Data'!$A$4:$A$22&amp;'Aviation Synfuel Data'!$D$4:$D$22,0),MATCH(AC$2,'Aviation Synfuel Data'!$G$3:$M$3,0)),"null")</f>
        <v>null</v>
      </c>
      <c r="AD4" s="1401" t="str" cm="1">
        <f t="array" ref="AD4">_xlfn.IFNA(INDEX('Aviation Synfuel Data'!$G$4:$M$22,MATCH('Aviation Synfuel-TSData'!$B4&amp;'Aviation Synfuel-TSData'!$C4&amp;$E4,'Aviation Synfuel Data'!$C$4:$C$22&amp;'Aviation Synfuel Data'!$A$4:$A$22&amp;'Aviation Synfuel Data'!$D$4:$D$22,0),MATCH(AD$2,'Aviation Synfuel Data'!$G$3:$M$3,0)),"null")</f>
        <v>null</v>
      </c>
      <c r="AE4" s="1401" t="str" cm="1">
        <f t="array" ref="AE4">_xlfn.IFNA(INDEX('Aviation Synfuel Data'!$G$4:$M$22,MATCH('Aviation Synfuel-TSData'!$B4&amp;'Aviation Synfuel-TSData'!$C4&amp;$E4,'Aviation Synfuel Data'!$C$4:$C$22&amp;'Aviation Synfuel Data'!$A$4:$A$22&amp;'Aviation Synfuel Data'!$D$4:$D$22,0),MATCH(AE$2,'Aviation Synfuel Data'!$G$3:$M$3,0)),"null")</f>
        <v>null</v>
      </c>
      <c r="AF4" s="1401" t="str" cm="1">
        <f t="array" ref="AF4">_xlfn.IFNA(INDEX('Aviation Synfuel Data'!$G$4:$M$22,MATCH('Aviation Synfuel-TSData'!$B4&amp;'Aviation Synfuel-TSData'!$C4&amp;$E4,'Aviation Synfuel Data'!$C$4:$C$22&amp;'Aviation Synfuel Data'!$A$4:$A$22&amp;'Aviation Synfuel Data'!$D$4:$D$22,0),MATCH(AF$2,'Aviation Synfuel Data'!$G$3:$M$3,0)),"null")</f>
        <v>null</v>
      </c>
      <c r="AG4" s="1401" cm="1">
        <f t="array" ref="AG4">_xlfn.IFNA(INDEX('Aviation Synfuel Data'!$G$4:$M$22,MATCH('Aviation Synfuel-TSData'!$B4&amp;'Aviation Synfuel-TSData'!$C4&amp;$E4,'Aviation Synfuel Data'!$C$4:$C$22&amp;'Aviation Synfuel Data'!$A$4:$A$22&amp;'Aviation Synfuel Data'!$D$4:$D$22,0),MATCH(AG$2,'Aviation Synfuel Data'!$G$3:$M$3,0)),"null")</f>
        <v>107.3755695536401</v>
      </c>
      <c r="AH4" s="1401" t="str" cm="1">
        <f t="array" ref="AH4">_xlfn.IFNA(INDEX('Aviation Synfuel Data'!$G$4:$M$22,MATCH('Aviation Synfuel-TSData'!$B4&amp;'Aviation Synfuel-TSData'!$C4&amp;$E4,'Aviation Synfuel Data'!$C$4:$C$22&amp;'Aviation Synfuel Data'!$A$4:$A$22&amp;'Aviation Synfuel Data'!$D$4:$D$22,0),MATCH(AH$2,'Aviation Synfuel Data'!$G$3:$M$3,0)),"null")</f>
        <v>null</v>
      </c>
      <c r="AI4" s="1401" t="str" cm="1">
        <f t="array" ref="AI4">_xlfn.IFNA(INDEX('Aviation Synfuel Data'!$G$4:$M$22,MATCH('Aviation Synfuel-TSData'!$B4&amp;'Aviation Synfuel-TSData'!$C4&amp;$E4,'Aviation Synfuel Data'!$C$4:$C$22&amp;'Aviation Synfuel Data'!$A$4:$A$22&amp;'Aviation Synfuel Data'!$D$4:$D$22,0),MATCH(AI$2,'Aviation Synfuel Data'!$G$3:$M$3,0)),"null")</f>
        <v>null</v>
      </c>
      <c r="AJ4" s="1401" t="str" cm="1">
        <f t="array" ref="AJ4">_xlfn.IFNA(INDEX('Aviation Synfuel Data'!$G$4:$M$22,MATCH('Aviation Synfuel-TSData'!$B4&amp;'Aviation Synfuel-TSData'!$C4&amp;$E4,'Aviation Synfuel Data'!$C$4:$C$22&amp;'Aviation Synfuel Data'!$A$4:$A$22&amp;'Aviation Synfuel Data'!$D$4:$D$22,0),MATCH(AJ$2,'Aviation Synfuel Data'!$G$3:$M$3,0)),"null")</f>
        <v>null</v>
      </c>
      <c r="AK4" s="1401" t="str" cm="1">
        <f t="array" ref="AK4">_xlfn.IFNA(INDEX('Aviation Synfuel Data'!$G$4:$M$22,MATCH('Aviation Synfuel-TSData'!$B4&amp;'Aviation Synfuel-TSData'!$C4&amp;$E4,'Aviation Synfuel Data'!$C$4:$C$22&amp;'Aviation Synfuel Data'!$A$4:$A$22&amp;'Aviation Synfuel Data'!$D$4:$D$22,0),MATCH(AK$2,'Aviation Synfuel Data'!$G$3:$M$3,0)),"null")</f>
        <v>null</v>
      </c>
      <c r="AL4" s="1401" cm="1">
        <f t="array" ref="AL4">_xlfn.IFNA(INDEX('Aviation Synfuel Data'!$G$4:$M$22,MATCH('Aviation Synfuel-TSData'!$B4&amp;'Aviation Synfuel-TSData'!$C4&amp;$E4,'Aviation Synfuel Data'!$C$4:$C$22&amp;'Aviation Synfuel Data'!$A$4:$A$22&amp;'Aviation Synfuel Data'!$D$4:$D$22,0),MATCH(AL$2,'Aviation Synfuel Data'!$G$3:$M$3,0)),"null")</f>
        <v>107.3755695536401</v>
      </c>
      <c r="AM4" s="1401" t="str" cm="1">
        <f t="array" ref="AM4">_xlfn.IFNA(INDEX('Aviation Synfuel Data'!$G$4:$M$22,MATCH('Aviation Synfuel-TSData'!$B4&amp;'Aviation Synfuel-TSData'!$C4&amp;$E4,'Aviation Synfuel Data'!$C$4:$C$22&amp;'Aviation Synfuel Data'!$A$4:$A$22&amp;'Aviation Synfuel Data'!$D$4:$D$22,0),MATCH(AM$2,'Aviation Synfuel Data'!$G$3:$M$3,0)),"null")</f>
        <v>null</v>
      </c>
      <c r="AN4" s="1401" cm="1">
        <f t="array" ref="AN4">_xlfn.IFNA(INDEX('Aviation Synfuel Data'!$G$4:$M$22,MATCH('Aviation Synfuel-TSData'!$B4&amp;'Aviation Synfuel-TSData'!$C4&amp;$E4,'Aviation Synfuel Data'!$C$4:$C$22&amp;'Aviation Synfuel Data'!$A$4:$A$22&amp;'Aviation Synfuel Data'!$D$4:$D$22,0),MATCH(AN$2,'Aviation Synfuel Data'!$G$3:$M$3,0)),"null")</f>
        <v>107.3755695536401</v>
      </c>
      <c r="AO4" s="1401" cm="1">
        <f t="array" ref="AO4">_xlfn.IFNA(INDEX('Aviation Synfuel Data'!$G$4:$M$22,MATCH('Aviation Synfuel-TSData'!$B4&amp;'Aviation Synfuel-TSData'!$C4&amp;$E4,'Aviation Synfuel Data'!$C$4:$C$22&amp;'Aviation Synfuel Data'!$A$4:$A$22&amp;'Aviation Synfuel Data'!$D$4:$D$22,0),MATCH(AO$2,'Aviation Synfuel Data'!$G$3:$M$3,0)),"null")</f>
        <v>107.3755695536401</v>
      </c>
      <c r="AP4" s="1401"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c r="B5" s="1409" t="s">
        <v>851</v>
      </c>
      <c r="C5" s="1409" t="s">
        <v>14604</v>
      </c>
      <c r="D5" s="1409" t="s">
        <v>334</v>
      </c>
      <c r="E5" s="1409" t="s">
        <v>14602</v>
      </c>
      <c r="F5" s="1409" t="s">
        <v>14603</v>
      </c>
      <c r="G5" s="1409" t="s">
        <v>337</v>
      </c>
      <c r="H5" s="1409" t="s">
        <v>334</v>
      </c>
      <c r="I5" s="1409">
        <v>0</v>
      </c>
      <c r="J5" s="1401" t="str" cm="1">
        <f t="array" ref="J5">_xlfn.IFNA(INDEX('Aviation Synfuel Data'!$G$4:$M$22,MATCH('Aviation Synfuel-TSData'!$B5&amp;'Aviation Synfuel-TSData'!$C5&amp;$D5,'Aviation Synfuel Data'!$C$4:$C$22&amp;'Aviation Synfuel Data'!$A$4:$A$22&amp;'Aviation Synfuel Data'!$D$4:$D$22,0),MATCH(J$2,'Aviation Synfuel Data'!$G$3:$M$3,0)),"null")</f>
        <v>null</v>
      </c>
      <c r="K5" s="1401" t="str" cm="1">
        <f t="array" ref="K5">_xlfn.IFNA(INDEX('Aviation Synfuel Data'!$G$4:$M$22,MATCH('Aviation Synfuel-TSData'!$B5&amp;'Aviation Synfuel-TSData'!$C5&amp;$D5,'Aviation Synfuel Data'!$C$4:$C$22&amp;'Aviation Synfuel Data'!$A$4:$A$22&amp;'Aviation Synfuel Data'!$D$4:$D$22,0),MATCH(K$2,'Aviation Synfuel Data'!$G$3:$M$3,0)),"null")</f>
        <v>null</v>
      </c>
      <c r="L5" s="1401" t="str" cm="1">
        <f t="array" ref="L5">_xlfn.IFNA(INDEX('Aviation Synfuel Data'!$G$4:$M$22,MATCH('Aviation Synfuel-TSData'!$B5&amp;'Aviation Synfuel-TSData'!$C5&amp;$D5,'Aviation Synfuel Data'!$C$4:$C$22&amp;'Aviation Synfuel Data'!$A$4:$A$22&amp;'Aviation Synfuel Data'!$D$4:$D$22,0),MATCH(L$2,'Aviation Synfuel Data'!$G$3:$M$3,0)),"null")</f>
        <v>null</v>
      </c>
      <c r="M5" s="1401" t="str" cm="1">
        <f t="array" ref="M5">_xlfn.IFNA(INDEX('Aviation Synfuel Data'!$G$4:$M$22,MATCH('Aviation Synfuel-TSData'!$B5&amp;'Aviation Synfuel-TSData'!$C5&amp;$D5,'Aviation Synfuel Data'!$C$4:$C$22&amp;'Aviation Synfuel Data'!$A$4:$A$22&amp;'Aviation Synfuel Data'!$D$4:$D$22,0),MATCH(M$2,'Aviation Synfuel Data'!$G$3:$M$3,0)),"null")</f>
        <v>null</v>
      </c>
      <c r="N5" s="1401" t="str" cm="1">
        <f t="array" ref="N5">_xlfn.IFNA(INDEX('Aviation Synfuel Data'!$G$4:$M$22,MATCH('Aviation Synfuel-TSData'!$B5&amp;'Aviation Synfuel-TSData'!$C5&amp;$D5,'Aviation Synfuel Data'!$C$4:$C$22&amp;'Aviation Synfuel Data'!$A$4:$A$22&amp;'Aviation Synfuel Data'!$D$4:$D$22,0),MATCH(N$2,'Aviation Synfuel Data'!$G$3:$M$3,0)),"null")</f>
        <v>null</v>
      </c>
      <c r="O5" s="1401" t="str" cm="1">
        <f t="array" ref="O5">_xlfn.IFNA(INDEX('Aviation Synfuel Data'!$G$4:$M$22,MATCH('Aviation Synfuel-TSData'!$B5&amp;'Aviation Synfuel-TSData'!$C5&amp;$D5,'Aviation Synfuel Data'!$C$4:$C$22&amp;'Aviation Synfuel Data'!$A$4:$A$22&amp;'Aviation Synfuel Data'!$D$4:$D$22,0),MATCH(O$2,'Aviation Synfuel Data'!$G$3:$M$3,0)),"null")</f>
        <v>null</v>
      </c>
      <c r="P5" s="1401" t="str" cm="1">
        <f t="array" ref="P5">_xlfn.IFNA(INDEX('Aviation Synfuel Data'!$G$4:$M$22,MATCH('Aviation Synfuel-TSData'!$B5&amp;'Aviation Synfuel-TSData'!$C5&amp;$D5,'Aviation Synfuel Data'!$C$4:$C$22&amp;'Aviation Synfuel Data'!$A$4:$A$22&amp;'Aviation Synfuel Data'!$D$4:$D$22,0),MATCH(P$2,'Aviation Synfuel Data'!$G$3:$M$3,0)),"null")</f>
        <v>null</v>
      </c>
      <c r="Q5" s="1401" t="str" cm="1">
        <f t="array" ref="Q5">_xlfn.IFNA(INDEX('Aviation Synfuel Data'!$G$4:$M$22,MATCH('Aviation Synfuel-TSData'!$B5&amp;'Aviation Synfuel-TSData'!$C5&amp;$D5,'Aviation Synfuel Data'!$C$4:$C$22&amp;'Aviation Synfuel Data'!$A$4:$A$22&amp;'Aviation Synfuel Data'!$D$4:$D$22,0),MATCH(Q$2,'Aviation Synfuel Data'!$G$3:$M$3,0)),"null")</f>
        <v>null</v>
      </c>
      <c r="R5" s="1401" cm="1">
        <f t="array" ref="R5">_xlfn.IFNA(INDEX('Aviation Synfuel Data'!$G$4:$M$22,MATCH('Aviation Synfuel-TSData'!$B5&amp;'Aviation Synfuel-TSData'!$C5&amp;$D5,'Aviation Synfuel Data'!$C$4:$C$22&amp;'Aviation Synfuel Data'!$A$4:$A$22&amp;'Aviation Synfuel Data'!$D$4:$D$22,0),MATCH(R$2,'Aviation Synfuel Data'!$G$3:$M$3,0)),"null")</f>
        <v>0.31638916581378673</v>
      </c>
      <c r="S5" s="1401" t="str" cm="1">
        <f t="array" ref="S5">_xlfn.IFNA(INDEX('Aviation Synfuel Data'!$G$4:$M$22,MATCH('Aviation Synfuel-TSData'!$B5&amp;'Aviation Synfuel-TSData'!$C5&amp;$D5,'Aviation Synfuel Data'!$C$4:$C$22&amp;'Aviation Synfuel Data'!$A$4:$A$22&amp;'Aviation Synfuel Data'!$D$4:$D$22,0),MATCH(S$2,'Aviation Synfuel Data'!$G$3:$M$3,0)),"null")</f>
        <v>null</v>
      </c>
      <c r="T5" s="1401" t="str" cm="1">
        <f t="array" ref="T5">_xlfn.IFNA(INDEX('Aviation Synfuel Data'!$G$4:$M$22,MATCH('Aviation Synfuel-TSData'!$B5&amp;'Aviation Synfuel-TSData'!$C5&amp;$D5,'Aviation Synfuel Data'!$C$4:$C$22&amp;'Aviation Synfuel Data'!$A$4:$A$22&amp;'Aviation Synfuel Data'!$D$4:$D$22,0),MATCH(T$2,'Aviation Synfuel Data'!$G$3:$M$3,0)),"null")</f>
        <v>null</v>
      </c>
      <c r="U5" s="1401" t="str" cm="1">
        <f t="array" ref="U5">_xlfn.IFNA(INDEX('Aviation Synfuel Data'!$G$4:$M$22,MATCH('Aviation Synfuel-TSData'!$B5&amp;'Aviation Synfuel-TSData'!$C5&amp;$D5,'Aviation Synfuel Data'!$C$4:$C$22&amp;'Aviation Synfuel Data'!$A$4:$A$22&amp;'Aviation Synfuel Data'!$D$4:$D$22,0),MATCH(U$2,'Aviation Synfuel Data'!$G$3:$M$3,0)),"null")</f>
        <v>null</v>
      </c>
      <c r="V5" s="1401" t="str" cm="1">
        <f t="array" ref="V5">_xlfn.IFNA(INDEX('Aviation Synfuel Data'!$G$4:$M$22,MATCH('Aviation Synfuel-TSData'!$B5&amp;'Aviation Synfuel-TSData'!$C5&amp;$D5,'Aviation Synfuel Data'!$C$4:$C$22&amp;'Aviation Synfuel Data'!$A$4:$A$22&amp;'Aviation Synfuel Data'!$D$4:$D$22,0),MATCH(V$2,'Aviation Synfuel Data'!$G$3:$M$3,0)),"null")</f>
        <v>null</v>
      </c>
      <c r="W5" s="1401" t="str" cm="1">
        <f t="array" ref="W5">_xlfn.IFNA(INDEX('Aviation Synfuel Data'!$G$4:$M$22,MATCH('Aviation Synfuel-TSData'!$B5&amp;'Aviation Synfuel-TSData'!$C5&amp;$D5,'Aviation Synfuel Data'!$C$4:$C$22&amp;'Aviation Synfuel Data'!$A$4:$A$22&amp;'Aviation Synfuel Data'!$D$4:$D$22,0),MATCH(W$2,'Aviation Synfuel Data'!$G$3:$M$3,0)),"null")</f>
        <v>null</v>
      </c>
      <c r="X5" s="1401" t="str" cm="1">
        <f t="array" ref="X5">_xlfn.IFNA(INDEX('Aviation Synfuel Data'!$G$4:$M$22,MATCH('Aviation Synfuel-TSData'!$B5&amp;'Aviation Synfuel-TSData'!$C5&amp;$D5,'Aviation Synfuel Data'!$C$4:$C$22&amp;'Aviation Synfuel Data'!$A$4:$A$22&amp;'Aviation Synfuel Data'!$D$4:$D$22,0),MATCH(X$2,'Aviation Synfuel Data'!$G$3:$M$3,0)),"null")</f>
        <v>null</v>
      </c>
      <c r="Y5" s="1401" t="str" cm="1">
        <f t="array" ref="Y5">_xlfn.IFNA(INDEX('Aviation Synfuel Data'!$G$4:$M$22,MATCH('Aviation Synfuel-TSData'!$B5&amp;'Aviation Synfuel-TSData'!$C5&amp;$D5,'Aviation Synfuel Data'!$C$4:$C$22&amp;'Aviation Synfuel Data'!$A$4:$A$22&amp;'Aviation Synfuel Data'!$D$4:$D$22,0),MATCH(Y$2,'Aviation Synfuel Data'!$G$3:$M$3,0)),"null")</f>
        <v>null</v>
      </c>
      <c r="Z5" s="1401" t="str" cm="1">
        <f t="array" ref="Z5">_xlfn.IFNA(INDEX('Aviation Synfuel Data'!$G$4:$M$22,MATCH('Aviation Synfuel-TSData'!$B5&amp;'Aviation Synfuel-TSData'!$C5&amp;$D5,'Aviation Synfuel Data'!$C$4:$C$22&amp;'Aviation Synfuel Data'!$A$4:$A$22&amp;'Aviation Synfuel Data'!$D$4:$D$22,0),MATCH(Z$2,'Aviation Synfuel Data'!$G$3:$M$3,0)),"null")</f>
        <v>null</v>
      </c>
      <c r="AA5" s="1401" t="str" cm="1">
        <f t="array" ref="AA5">_xlfn.IFNA(INDEX('Aviation Synfuel Data'!$G$4:$M$22,MATCH('Aviation Synfuel-TSData'!$B5&amp;'Aviation Synfuel-TSData'!$C5&amp;$D5,'Aviation Synfuel Data'!$C$4:$C$22&amp;'Aviation Synfuel Data'!$A$4:$A$22&amp;'Aviation Synfuel Data'!$D$4:$D$22,0),MATCH(AA$2,'Aviation Synfuel Data'!$G$3:$M$3,0)),"null")</f>
        <v>null</v>
      </c>
      <c r="AB5" s="1401" cm="1">
        <f t="array" ref="AB5">_xlfn.IFNA(INDEX('Aviation Synfuel Data'!$G$4:$M$22,MATCH('Aviation Synfuel-TSData'!$B5&amp;'Aviation Synfuel-TSData'!$C5&amp;$D5,'Aviation Synfuel Data'!$C$4:$C$22&amp;'Aviation Synfuel Data'!$A$4:$A$22&amp;'Aviation Synfuel Data'!$D$4:$D$22,0),MATCH(AB$2,'Aviation Synfuel Data'!$G$3:$M$3,0)),"null")</f>
        <v>0.31638916581378673</v>
      </c>
      <c r="AC5" s="1401" t="str" cm="1">
        <f t="array" ref="AC5">_xlfn.IFNA(INDEX('Aviation Synfuel Data'!$G$4:$M$22,MATCH('Aviation Synfuel-TSData'!$B5&amp;'Aviation Synfuel-TSData'!$C5&amp;$D5,'Aviation Synfuel Data'!$C$4:$C$22&amp;'Aviation Synfuel Data'!$A$4:$A$22&amp;'Aviation Synfuel Data'!$D$4:$D$22,0),MATCH(AC$2,'Aviation Synfuel Data'!$G$3:$M$3,0)),"null")</f>
        <v>null</v>
      </c>
      <c r="AD5" s="1401" t="str" cm="1">
        <f t="array" ref="AD5">_xlfn.IFNA(INDEX('Aviation Synfuel Data'!$G$4:$M$22,MATCH('Aviation Synfuel-TSData'!$B5&amp;'Aviation Synfuel-TSData'!$C5&amp;$D5,'Aviation Synfuel Data'!$C$4:$C$22&amp;'Aviation Synfuel Data'!$A$4:$A$22&amp;'Aviation Synfuel Data'!$D$4:$D$22,0),MATCH(AD$2,'Aviation Synfuel Data'!$G$3:$M$3,0)),"null")</f>
        <v>null</v>
      </c>
      <c r="AE5" s="1401" t="str" cm="1">
        <f t="array" ref="AE5">_xlfn.IFNA(INDEX('Aviation Synfuel Data'!$G$4:$M$22,MATCH('Aviation Synfuel-TSData'!$B5&amp;'Aviation Synfuel-TSData'!$C5&amp;$D5,'Aviation Synfuel Data'!$C$4:$C$22&amp;'Aviation Synfuel Data'!$A$4:$A$22&amp;'Aviation Synfuel Data'!$D$4:$D$22,0),MATCH(AE$2,'Aviation Synfuel Data'!$G$3:$M$3,0)),"null")</f>
        <v>null</v>
      </c>
      <c r="AF5" s="1401" t="str" cm="1">
        <f t="array" ref="AF5">_xlfn.IFNA(INDEX('Aviation Synfuel Data'!$G$4:$M$22,MATCH('Aviation Synfuel-TSData'!$B5&amp;'Aviation Synfuel-TSData'!$C5&amp;$D5,'Aviation Synfuel Data'!$C$4:$C$22&amp;'Aviation Synfuel Data'!$A$4:$A$22&amp;'Aviation Synfuel Data'!$D$4:$D$22,0),MATCH(AF$2,'Aviation Synfuel Data'!$G$3:$M$3,0)),"null")</f>
        <v>null</v>
      </c>
      <c r="AG5" s="1401" cm="1">
        <f t="array" ref="AG5">_xlfn.IFNA(INDEX('Aviation Synfuel Data'!$G$4:$M$22,MATCH('Aviation Synfuel-TSData'!$B5&amp;'Aviation Synfuel-TSData'!$C5&amp;$D5,'Aviation Synfuel Data'!$C$4:$C$22&amp;'Aviation Synfuel Data'!$A$4:$A$22&amp;'Aviation Synfuel Data'!$D$4:$D$22,0),MATCH(AG$2,'Aviation Synfuel Data'!$G$3:$M$3,0)),"null")</f>
        <v>0.31638916581378673</v>
      </c>
      <c r="AH5" s="1401" t="str" cm="1">
        <f t="array" ref="AH5">_xlfn.IFNA(INDEX('Aviation Synfuel Data'!$G$4:$M$22,MATCH('Aviation Synfuel-TSData'!$B5&amp;'Aviation Synfuel-TSData'!$C5&amp;$D5,'Aviation Synfuel Data'!$C$4:$C$22&amp;'Aviation Synfuel Data'!$A$4:$A$22&amp;'Aviation Synfuel Data'!$D$4:$D$22,0),MATCH(AH$2,'Aviation Synfuel Data'!$G$3:$M$3,0)),"null")</f>
        <v>null</v>
      </c>
      <c r="AI5" s="1401" t="str" cm="1">
        <f t="array" ref="AI5">_xlfn.IFNA(INDEX('Aviation Synfuel Data'!$G$4:$M$22,MATCH('Aviation Synfuel-TSData'!$B5&amp;'Aviation Synfuel-TSData'!$C5&amp;$D5,'Aviation Synfuel Data'!$C$4:$C$22&amp;'Aviation Synfuel Data'!$A$4:$A$22&amp;'Aviation Synfuel Data'!$D$4:$D$22,0),MATCH(AI$2,'Aviation Synfuel Data'!$G$3:$M$3,0)),"null")</f>
        <v>null</v>
      </c>
      <c r="AJ5" s="1401" t="str" cm="1">
        <f t="array" ref="AJ5">_xlfn.IFNA(INDEX('Aviation Synfuel Data'!$G$4:$M$22,MATCH('Aviation Synfuel-TSData'!$B5&amp;'Aviation Synfuel-TSData'!$C5&amp;$D5,'Aviation Synfuel Data'!$C$4:$C$22&amp;'Aviation Synfuel Data'!$A$4:$A$22&amp;'Aviation Synfuel Data'!$D$4:$D$22,0),MATCH(AJ$2,'Aviation Synfuel Data'!$G$3:$M$3,0)),"null")</f>
        <v>null</v>
      </c>
      <c r="AK5" s="1401" t="str" cm="1">
        <f t="array" ref="AK5">_xlfn.IFNA(INDEX('Aviation Synfuel Data'!$G$4:$M$22,MATCH('Aviation Synfuel-TSData'!$B5&amp;'Aviation Synfuel-TSData'!$C5&amp;$D5,'Aviation Synfuel Data'!$C$4:$C$22&amp;'Aviation Synfuel Data'!$A$4:$A$22&amp;'Aviation Synfuel Data'!$D$4:$D$22,0),MATCH(AK$2,'Aviation Synfuel Data'!$G$3:$M$3,0)),"null")</f>
        <v>null</v>
      </c>
      <c r="AL5" s="1401" cm="1">
        <f t="array" ref="AL5">_xlfn.IFNA(INDEX('Aviation Synfuel Data'!$G$4:$M$22,MATCH('Aviation Synfuel-TSData'!$B5&amp;'Aviation Synfuel-TSData'!$C5&amp;$D5,'Aviation Synfuel Data'!$C$4:$C$22&amp;'Aviation Synfuel Data'!$A$4:$A$22&amp;'Aviation Synfuel Data'!$D$4:$D$22,0),MATCH(AL$2,'Aviation Synfuel Data'!$G$3:$M$3,0)),"null")</f>
        <v>0.31638916581378673</v>
      </c>
      <c r="AM5" s="1401" t="str" cm="1">
        <f t="array" ref="AM5">_xlfn.IFNA(INDEX('Aviation Synfuel Data'!$G$4:$M$22,MATCH('Aviation Synfuel-TSData'!$B5&amp;'Aviation Synfuel-TSData'!$C5&amp;$D5,'Aviation Synfuel Data'!$C$4:$C$22&amp;'Aviation Synfuel Data'!$A$4:$A$22&amp;'Aviation Synfuel Data'!$D$4:$D$22,0),MATCH(AM$2,'Aviation Synfuel Data'!$G$3:$M$3,0)),"null")</f>
        <v>null</v>
      </c>
      <c r="AN5" s="1401" cm="1">
        <f t="array" ref="AN5">_xlfn.IFNA(INDEX('Aviation Synfuel Data'!$G$4:$M$22,MATCH('Aviation Synfuel-TSData'!$B5&amp;'Aviation Synfuel-TSData'!$C5&amp;$D5,'Aviation Synfuel Data'!$C$4:$C$22&amp;'Aviation Synfuel Data'!$A$4:$A$22&amp;'Aviation Synfuel Data'!$D$4:$D$22,0),MATCH(AN$2,'Aviation Synfuel Data'!$G$3:$M$3,0)),"null")</f>
        <v>0.31638916581378673</v>
      </c>
      <c r="AO5" s="1401" cm="1">
        <f t="array" ref="AO5">_xlfn.IFNA(INDEX('Aviation Synfuel Data'!$G$4:$M$22,MATCH('Aviation Synfuel-TSData'!$B5&amp;'Aviation Synfuel-TSData'!$C5&amp;$D5,'Aviation Synfuel Data'!$C$4:$C$22&amp;'Aviation Synfuel Data'!$A$4:$A$22&amp;'Aviation Synfuel Data'!$D$4:$D$22,0),MATCH(AO$2,'Aviation Synfuel Data'!$G$3:$M$3,0)),"null")</f>
        <v>0.31638916581378673</v>
      </c>
      <c r="AP5" s="1401"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c r="B6" s="1409" t="s">
        <v>855</v>
      </c>
      <c r="C6" s="1409" t="s">
        <v>14604</v>
      </c>
      <c r="D6" s="1409" t="str">
        <f>'Aviation Synfuel Data'!D8</f>
        <v>OAG</v>
      </c>
      <c r="E6" s="1409" t="s">
        <v>14603</v>
      </c>
      <c r="F6" s="1409" t="s">
        <v>334</v>
      </c>
      <c r="G6" s="1409" t="s">
        <v>337</v>
      </c>
      <c r="H6" s="1409" t="s">
        <v>1194</v>
      </c>
      <c r="I6" s="1409">
        <v>3</v>
      </c>
      <c r="J6" s="1401" t="str" cm="1">
        <f t="array" ref="J6">_xlfn.IFNA(INDEX('Aviation Synfuel Data'!$G$4:$M$22,MATCH('Aviation Synfuel-TSData'!$B6&amp;'Aviation Synfuel-TSData'!$C6&amp;$D6,'Aviation Synfuel Data'!$C$4:$C$22&amp;'Aviation Synfuel Data'!$A$4:$A$22&amp;'Aviation Synfuel Data'!$D$4:$D$22,0),MATCH(J$2,'Aviation Synfuel Data'!$G$3:$M$3,0)),"null")</f>
        <v>null</v>
      </c>
      <c r="K6" s="1401" t="str" cm="1">
        <f t="array" ref="K6">_xlfn.IFNA(INDEX('Aviation Synfuel Data'!$G$4:$M$22,MATCH('Aviation Synfuel-TSData'!$B6&amp;'Aviation Synfuel-TSData'!$C6&amp;$D6,'Aviation Synfuel Data'!$C$4:$C$22&amp;'Aviation Synfuel Data'!$A$4:$A$22&amp;'Aviation Synfuel Data'!$D$4:$D$22,0),MATCH(K$2,'Aviation Synfuel Data'!$G$3:$M$3,0)),"null")</f>
        <v>null</v>
      </c>
      <c r="L6" s="1401" t="str" cm="1">
        <f t="array" ref="L6">_xlfn.IFNA(INDEX('Aviation Synfuel Data'!$G$4:$M$22,MATCH('Aviation Synfuel-TSData'!$B6&amp;'Aviation Synfuel-TSData'!$C6&amp;$D6,'Aviation Synfuel Data'!$C$4:$C$22&amp;'Aviation Synfuel Data'!$A$4:$A$22&amp;'Aviation Synfuel Data'!$D$4:$D$22,0),MATCH(L$2,'Aviation Synfuel Data'!$G$3:$M$3,0)),"null")</f>
        <v>null</v>
      </c>
      <c r="M6" s="1401" t="str" cm="1">
        <f t="array" ref="M6">_xlfn.IFNA(INDEX('Aviation Synfuel Data'!$G$4:$M$22,MATCH('Aviation Synfuel-TSData'!$B6&amp;'Aviation Synfuel-TSData'!$C6&amp;$D6,'Aviation Synfuel Data'!$C$4:$C$22&amp;'Aviation Synfuel Data'!$A$4:$A$22&amp;'Aviation Synfuel Data'!$D$4:$D$22,0),MATCH(M$2,'Aviation Synfuel Data'!$G$3:$M$3,0)),"null")</f>
        <v>null</v>
      </c>
      <c r="N6" s="1401" t="str" cm="1">
        <f t="array" ref="N6">_xlfn.IFNA(INDEX('Aviation Synfuel Data'!$G$4:$M$22,MATCH('Aviation Synfuel-TSData'!$B6&amp;'Aviation Synfuel-TSData'!$C6&amp;$D6,'Aviation Synfuel Data'!$C$4:$C$22&amp;'Aviation Synfuel Data'!$A$4:$A$22&amp;'Aviation Synfuel Data'!$D$4:$D$22,0),MATCH(N$2,'Aviation Synfuel Data'!$G$3:$M$3,0)),"null")</f>
        <v>null</v>
      </c>
      <c r="O6" s="1401" t="str" cm="1">
        <f t="array" ref="O6">_xlfn.IFNA(INDEX('Aviation Synfuel Data'!$G$4:$M$22,MATCH('Aviation Synfuel-TSData'!$B6&amp;'Aviation Synfuel-TSData'!$C6&amp;$D6,'Aviation Synfuel Data'!$C$4:$C$22&amp;'Aviation Synfuel Data'!$A$4:$A$22&amp;'Aviation Synfuel Data'!$D$4:$D$22,0),MATCH(O$2,'Aviation Synfuel Data'!$G$3:$M$3,0)),"null")</f>
        <v>null</v>
      </c>
      <c r="P6" s="1401" t="str" cm="1">
        <f t="array" ref="P6">_xlfn.IFNA(INDEX('Aviation Synfuel Data'!$G$4:$M$22,MATCH('Aviation Synfuel-TSData'!$B6&amp;'Aviation Synfuel-TSData'!$C6&amp;$D6,'Aviation Synfuel Data'!$C$4:$C$22&amp;'Aviation Synfuel Data'!$A$4:$A$22&amp;'Aviation Synfuel Data'!$D$4:$D$22,0),MATCH(P$2,'Aviation Synfuel Data'!$G$3:$M$3,0)),"null")</f>
        <v>null</v>
      </c>
      <c r="Q6" s="1401" t="str" cm="1">
        <f t="array" ref="Q6">_xlfn.IFNA(INDEX('Aviation Synfuel Data'!$G$4:$M$22,MATCH('Aviation Synfuel-TSData'!$B6&amp;'Aviation Synfuel-TSData'!$C6&amp;$D6,'Aviation Synfuel Data'!$C$4:$C$22&amp;'Aviation Synfuel Data'!$A$4:$A$22&amp;'Aviation Synfuel Data'!$D$4:$D$22,0),MATCH(Q$2,'Aviation Synfuel Data'!$G$3:$M$3,0)),"null")</f>
        <v>null</v>
      </c>
      <c r="R6" s="1401" cm="1">
        <f t="array" ref="R6">_xlfn.IFNA(INDEX('Aviation Synfuel Data'!$G$4:$M$22,MATCH('Aviation Synfuel-TSData'!$B6&amp;'Aviation Synfuel-TSData'!$C6&amp;$D6,'Aviation Synfuel Data'!$C$4:$C$22&amp;'Aviation Synfuel Data'!$A$4:$A$22&amp;'Aviation Synfuel Data'!$D$4:$D$22,0),MATCH(R$2,'Aviation Synfuel Data'!$G$3:$M$3,0)),"null")</f>
        <v>0.5118329249859862</v>
      </c>
      <c r="S6" s="1401" t="str" cm="1">
        <f t="array" ref="S6">_xlfn.IFNA(INDEX('Aviation Synfuel Data'!$G$4:$M$22,MATCH('Aviation Synfuel-TSData'!$B6&amp;'Aviation Synfuel-TSData'!$C6&amp;$D6,'Aviation Synfuel Data'!$C$4:$C$22&amp;'Aviation Synfuel Data'!$A$4:$A$22&amp;'Aviation Synfuel Data'!$D$4:$D$22,0),MATCH(S$2,'Aviation Synfuel Data'!$G$3:$M$3,0)),"null")</f>
        <v>null</v>
      </c>
      <c r="T6" s="1401" t="str" cm="1">
        <f t="array" ref="T6">_xlfn.IFNA(INDEX('Aviation Synfuel Data'!$G$4:$M$22,MATCH('Aviation Synfuel-TSData'!$B6&amp;'Aviation Synfuel-TSData'!$C6&amp;$D6,'Aviation Synfuel Data'!$C$4:$C$22&amp;'Aviation Synfuel Data'!$A$4:$A$22&amp;'Aviation Synfuel Data'!$D$4:$D$22,0),MATCH(T$2,'Aviation Synfuel Data'!$G$3:$M$3,0)),"null")</f>
        <v>null</v>
      </c>
      <c r="U6" s="1401" t="str" cm="1">
        <f t="array" ref="U6">_xlfn.IFNA(INDEX('Aviation Synfuel Data'!$G$4:$M$22,MATCH('Aviation Synfuel-TSData'!$B6&amp;'Aviation Synfuel-TSData'!$C6&amp;$D6,'Aviation Synfuel Data'!$C$4:$C$22&amp;'Aviation Synfuel Data'!$A$4:$A$22&amp;'Aviation Synfuel Data'!$D$4:$D$22,0),MATCH(U$2,'Aviation Synfuel Data'!$G$3:$M$3,0)),"null")</f>
        <v>null</v>
      </c>
      <c r="V6" s="1401" t="str" cm="1">
        <f t="array" ref="V6">_xlfn.IFNA(INDEX('Aviation Synfuel Data'!$G$4:$M$22,MATCH('Aviation Synfuel-TSData'!$B6&amp;'Aviation Synfuel-TSData'!$C6&amp;$D6,'Aviation Synfuel Data'!$C$4:$C$22&amp;'Aviation Synfuel Data'!$A$4:$A$22&amp;'Aviation Synfuel Data'!$D$4:$D$22,0),MATCH(V$2,'Aviation Synfuel Data'!$G$3:$M$3,0)),"null")</f>
        <v>null</v>
      </c>
      <c r="W6" s="1401" t="str" cm="1">
        <f t="array" ref="W6">_xlfn.IFNA(INDEX('Aviation Synfuel Data'!$G$4:$M$22,MATCH('Aviation Synfuel-TSData'!$B6&amp;'Aviation Synfuel-TSData'!$C6&amp;$D6,'Aviation Synfuel Data'!$C$4:$C$22&amp;'Aviation Synfuel Data'!$A$4:$A$22&amp;'Aviation Synfuel Data'!$D$4:$D$22,0),MATCH(W$2,'Aviation Synfuel Data'!$G$3:$M$3,0)),"null")</f>
        <v>null</v>
      </c>
      <c r="X6" s="1401" t="str" cm="1">
        <f t="array" ref="X6">_xlfn.IFNA(INDEX('Aviation Synfuel Data'!$G$4:$M$22,MATCH('Aviation Synfuel-TSData'!$B6&amp;'Aviation Synfuel-TSData'!$C6&amp;$D6,'Aviation Synfuel Data'!$C$4:$C$22&amp;'Aviation Synfuel Data'!$A$4:$A$22&amp;'Aviation Synfuel Data'!$D$4:$D$22,0),MATCH(X$2,'Aviation Synfuel Data'!$G$3:$M$3,0)),"null")</f>
        <v>null</v>
      </c>
      <c r="Y6" s="1401" t="str" cm="1">
        <f t="array" ref="Y6">_xlfn.IFNA(INDEX('Aviation Synfuel Data'!$G$4:$M$22,MATCH('Aviation Synfuel-TSData'!$B6&amp;'Aviation Synfuel-TSData'!$C6&amp;$D6,'Aviation Synfuel Data'!$C$4:$C$22&amp;'Aviation Synfuel Data'!$A$4:$A$22&amp;'Aviation Synfuel Data'!$D$4:$D$22,0),MATCH(Y$2,'Aviation Synfuel Data'!$G$3:$M$3,0)),"null")</f>
        <v>null</v>
      </c>
      <c r="Z6" s="1401" t="str" cm="1">
        <f t="array" ref="Z6">_xlfn.IFNA(INDEX('Aviation Synfuel Data'!$G$4:$M$22,MATCH('Aviation Synfuel-TSData'!$B6&amp;'Aviation Synfuel-TSData'!$C6&amp;$D6,'Aviation Synfuel Data'!$C$4:$C$22&amp;'Aviation Synfuel Data'!$A$4:$A$22&amp;'Aviation Synfuel Data'!$D$4:$D$22,0),MATCH(Z$2,'Aviation Synfuel Data'!$G$3:$M$3,0)),"null")</f>
        <v>null</v>
      </c>
      <c r="AA6" s="1401" t="str" cm="1">
        <f t="array" ref="AA6">_xlfn.IFNA(INDEX('Aviation Synfuel Data'!$G$4:$M$22,MATCH('Aviation Synfuel-TSData'!$B6&amp;'Aviation Synfuel-TSData'!$C6&amp;$D6,'Aviation Synfuel Data'!$C$4:$C$22&amp;'Aviation Synfuel Data'!$A$4:$A$22&amp;'Aviation Synfuel Data'!$D$4:$D$22,0),MATCH(AA$2,'Aviation Synfuel Data'!$G$3:$M$3,0)),"null")</f>
        <v>null</v>
      </c>
      <c r="AB6" s="1401" cm="1">
        <f t="array" ref="AB6">_xlfn.IFNA(INDEX('Aviation Synfuel Data'!$G$4:$M$22,MATCH('Aviation Synfuel-TSData'!$B6&amp;'Aviation Synfuel-TSData'!$C6&amp;$D6,'Aviation Synfuel Data'!$C$4:$C$22&amp;'Aviation Synfuel Data'!$A$4:$A$22&amp;'Aviation Synfuel Data'!$D$4:$D$22,0),MATCH(AB$2,'Aviation Synfuel Data'!$G$3:$M$3,0)),"null")</f>
        <v>0.05</v>
      </c>
      <c r="AC6" s="1401" t="str" cm="1">
        <f t="array" ref="AC6">_xlfn.IFNA(INDEX('Aviation Synfuel Data'!$G$4:$M$22,MATCH('Aviation Synfuel-TSData'!$B6&amp;'Aviation Synfuel-TSData'!$C6&amp;$D6,'Aviation Synfuel Data'!$C$4:$C$22&amp;'Aviation Synfuel Data'!$A$4:$A$22&amp;'Aviation Synfuel Data'!$D$4:$D$22,0),MATCH(AC$2,'Aviation Synfuel Data'!$G$3:$M$3,0)),"null")</f>
        <v>null</v>
      </c>
      <c r="AD6" s="1401" t="str" cm="1">
        <f t="array" ref="AD6">_xlfn.IFNA(INDEX('Aviation Synfuel Data'!$G$4:$M$22,MATCH('Aviation Synfuel-TSData'!$B6&amp;'Aviation Synfuel-TSData'!$C6&amp;$D6,'Aviation Synfuel Data'!$C$4:$C$22&amp;'Aviation Synfuel Data'!$A$4:$A$22&amp;'Aviation Synfuel Data'!$D$4:$D$22,0),MATCH(AD$2,'Aviation Synfuel Data'!$G$3:$M$3,0)),"null")</f>
        <v>null</v>
      </c>
      <c r="AE6" s="1401" t="str" cm="1">
        <f t="array" ref="AE6">_xlfn.IFNA(INDEX('Aviation Synfuel Data'!$G$4:$M$22,MATCH('Aviation Synfuel-TSData'!$B6&amp;'Aviation Synfuel-TSData'!$C6&amp;$D6,'Aviation Synfuel Data'!$C$4:$C$22&amp;'Aviation Synfuel Data'!$A$4:$A$22&amp;'Aviation Synfuel Data'!$D$4:$D$22,0),MATCH(AE$2,'Aviation Synfuel Data'!$G$3:$M$3,0)),"null")</f>
        <v>null</v>
      </c>
      <c r="AF6" s="1401" t="str" cm="1">
        <f t="array" ref="AF6">_xlfn.IFNA(INDEX('Aviation Synfuel Data'!$G$4:$M$22,MATCH('Aviation Synfuel-TSData'!$B6&amp;'Aviation Synfuel-TSData'!$C6&amp;$D6,'Aviation Synfuel Data'!$C$4:$C$22&amp;'Aviation Synfuel Data'!$A$4:$A$22&amp;'Aviation Synfuel Data'!$D$4:$D$22,0),MATCH(AF$2,'Aviation Synfuel Data'!$G$3:$M$3,0)),"null")</f>
        <v>null</v>
      </c>
      <c r="AG6" s="1401" cm="1">
        <f t="array" ref="AG6">_xlfn.IFNA(INDEX('Aviation Synfuel Data'!$G$4:$M$22,MATCH('Aviation Synfuel-TSData'!$B6&amp;'Aviation Synfuel-TSData'!$C6&amp;$D6,'Aviation Synfuel Data'!$C$4:$C$22&amp;'Aviation Synfuel Data'!$A$4:$A$22&amp;'Aviation Synfuel Data'!$D$4:$D$22,0),MATCH(AG$2,'Aviation Synfuel Data'!$G$3:$M$3,0)),"null")</f>
        <v>0.05</v>
      </c>
      <c r="AH6" s="1401" t="str" cm="1">
        <f t="array" ref="AH6">_xlfn.IFNA(INDEX('Aviation Synfuel Data'!$G$4:$M$22,MATCH('Aviation Synfuel-TSData'!$B6&amp;'Aviation Synfuel-TSData'!$C6&amp;$D6,'Aviation Synfuel Data'!$C$4:$C$22&amp;'Aviation Synfuel Data'!$A$4:$A$22&amp;'Aviation Synfuel Data'!$D$4:$D$22,0),MATCH(AH$2,'Aviation Synfuel Data'!$G$3:$M$3,0)),"null")</f>
        <v>null</v>
      </c>
      <c r="AI6" s="1401" t="str" cm="1">
        <f t="array" ref="AI6">_xlfn.IFNA(INDEX('Aviation Synfuel Data'!$G$4:$M$22,MATCH('Aviation Synfuel-TSData'!$B6&amp;'Aviation Synfuel-TSData'!$C6&amp;$D6,'Aviation Synfuel Data'!$C$4:$C$22&amp;'Aviation Synfuel Data'!$A$4:$A$22&amp;'Aviation Synfuel Data'!$D$4:$D$22,0),MATCH(AI$2,'Aviation Synfuel Data'!$G$3:$M$3,0)),"null")</f>
        <v>null</v>
      </c>
      <c r="AJ6" s="1401" t="str" cm="1">
        <f t="array" ref="AJ6">_xlfn.IFNA(INDEX('Aviation Synfuel Data'!$G$4:$M$22,MATCH('Aviation Synfuel-TSData'!$B6&amp;'Aviation Synfuel-TSData'!$C6&amp;$D6,'Aviation Synfuel Data'!$C$4:$C$22&amp;'Aviation Synfuel Data'!$A$4:$A$22&amp;'Aviation Synfuel Data'!$D$4:$D$22,0),MATCH(AJ$2,'Aviation Synfuel Data'!$G$3:$M$3,0)),"null")</f>
        <v>null</v>
      </c>
      <c r="AK6" s="1401" t="str" cm="1">
        <f t="array" ref="AK6">_xlfn.IFNA(INDEX('Aviation Synfuel Data'!$G$4:$M$22,MATCH('Aviation Synfuel-TSData'!$B6&amp;'Aviation Synfuel-TSData'!$C6&amp;$D6,'Aviation Synfuel Data'!$C$4:$C$22&amp;'Aviation Synfuel Data'!$A$4:$A$22&amp;'Aviation Synfuel Data'!$D$4:$D$22,0),MATCH(AK$2,'Aviation Synfuel Data'!$G$3:$M$3,0)),"null")</f>
        <v>null</v>
      </c>
      <c r="AL6" s="1401" cm="1">
        <f t="array" ref="AL6">_xlfn.IFNA(INDEX('Aviation Synfuel Data'!$G$4:$M$22,MATCH('Aviation Synfuel-TSData'!$B6&amp;'Aviation Synfuel-TSData'!$C6&amp;$D6,'Aviation Synfuel Data'!$C$4:$C$22&amp;'Aviation Synfuel Data'!$A$4:$A$22&amp;'Aviation Synfuel Data'!$D$4:$D$22,0),MATCH(AL$2,'Aviation Synfuel Data'!$G$3:$M$3,0)),"null")</f>
        <v>0.05</v>
      </c>
      <c r="AM6" s="1401" t="str" cm="1">
        <f t="array" ref="AM6">_xlfn.IFNA(INDEX('Aviation Synfuel Data'!$G$4:$M$22,MATCH('Aviation Synfuel-TSData'!$B6&amp;'Aviation Synfuel-TSData'!$C6&amp;$D6,'Aviation Synfuel Data'!$C$4:$C$22&amp;'Aviation Synfuel Data'!$A$4:$A$22&amp;'Aviation Synfuel Data'!$D$4:$D$22,0),MATCH(AM$2,'Aviation Synfuel Data'!$G$3:$M$3,0)),"null")</f>
        <v>null</v>
      </c>
      <c r="AN6" s="1401" cm="1">
        <f t="array" ref="AN6">_xlfn.IFNA(INDEX('Aviation Synfuel Data'!$G$4:$M$22,MATCH('Aviation Synfuel-TSData'!$B6&amp;'Aviation Synfuel-TSData'!$C6&amp;$D6,'Aviation Synfuel Data'!$C$4:$C$22&amp;'Aviation Synfuel Data'!$A$4:$A$22&amp;'Aviation Synfuel Data'!$D$4:$D$22,0),MATCH(AN$2,'Aviation Synfuel Data'!$G$3:$M$3,0)),"null")</f>
        <v>0.05</v>
      </c>
      <c r="AO6" s="1401" cm="1">
        <f t="array" ref="AO6">_xlfn.IFNA(INDEX('Aviation Synfuel Data'!$G$4:$M$22,MATCH('Aviation Synfuel-TSData'!$B6&amp;'Aviation Synfuel-TSData'!$C6&amp;$D6,'Aviation Synfuel Data'!$C$4:$C$22&amp;'Aviation Synfuel Data'!$A$4:$A$22&amp;'Aviation Synfuel Data'!$D$4:$D$22,0),MATCH(AO$2,'Aviation Synfuel Data'!$G$3:$M$3,0)),"null")</f>
        <v>0.05</v>
      </c>
      <c r="AP6" s="1401" cm="1">
        <f t="array" ref="AP6">_xlfn.IFNA(INDEX('Aviation Synfuel Data'!$G$4:$M$22,MATCH('Aviation Synfuel-TSData'!$B6&amp;'Aviation Synfuel-TSData'!$C6&amp;$D6,'Aviation Synfuel Data'!$C$4:$C$22&amp;'Aviation Synfuel Data'!$A$4:$A$22&amp;'Aviation Synfuel Data'!$D$4:$D$22,0),MATCH(AP$2,'Aviation Synfuel Data'!$G$3:$M$3,0)),"null")</f>
        <v>0.05</v>
      </c>
    </row>
    <row r="7" spans="1:42">
      <c r="B7" s="1409" t="s">
        <v>855</v>
      </c>
      <c r="C7" s="1409" t="s">
        <v>14604</v>
      </c>
      <c r="D7" s="1409" t="str">
        <f>'Aviation Synfuel Data'!D9</f>
        <v>OKG</v>
      </c>
      <c r="E7" s="1409" t="s">
        <v>14603</v>
      </c>
      <c r="F7" s="1409" t="s">
        <v>334</v>
      </c>
      <c r="G7" s="1409" t="s">
        <v>337</v>
      </c>
      <c r="H7" s="1409" t="s">
        <v>1194</v>
      </c>
      <c r="I7" s="1409">
        <v>3</v>
      </c>
      <c r="J7" s="1401" t="str" cm="1">
        <f t="array" ref="J7">_xlfn.IFNA(INDEX('Aviation Synfuel Data'!$G$4:$M$22,MATCH('Aviation Synfuel-TSData'!$B7&amp;'Aviation Synfuel-TSData'!$C7&amp;$D7,'Aviation Synfuel Data'!$C$4:$C$22&amp;'Aviation Synfuel Data'!$A$4:$A$22&amp;'Aviation Synfuel Data'!$D$4:$D$22,0),MATCH(J$2,'Aviation Synfuel Data'!$G$3:$M$3,0)),"null")</f>
        <v>null</v>
      </c>
      <c r="K7" s="1401" t="str" cm="1">
        <f t="array" ref="K7">_xlfn.IFNA(INDEX('Aviation Synfuel Data'!$G$4:$M$22,MATCH('Aviation Synfuel-TSData'!$B7&amp;'Aviation Synfuel-TSData'!$C7&amp;$D7,'Aviation Synfuel Data'!$C$4:$C$22&amp;'Aviation Synfuel Data'!$A$4:$A$22&amp;'Aviation Synfuel Data'!$D$4:$D$22,0),MATCH(K$2,'Aviation Synfuel Data'!$G$3:$M$3,0)),"null")</f>
        <v>null</v>
      </c>
      <c r="L7" s="1401" t="str" cm="1">
        <f t="array" ref="L7">_xlfn.IFNA(INDEX('Aviation Synfuel Data'!$G$4:$M$22,MATCH('Aviation Synfuel-TSData'!$B7&amp;'Aviation Synfuel-TSData'!$C7&amp;$D7,'Aviation Synfuel Data'!$C$4:$C$22&amp;'Aviation Synfuel Data'!$A$4:$A$22&amp;'Aviation Synfuel Data'!$D$4:$D$22,0),MATCH(L$2,'Aviation Synfuel Data'!$G$3:$M$3,0)),"null")</f>
        <v>null</v>
      </c>
      <c r="M7" s="1401" t="str" cm="1">
        <f t="array" ref="M7">_xlfn.IFNA(INDEX('Aviation Synfuel Data'!$G$4:$M$22,MATCH('Aviation Synfuel-TSData'!$B7&amp;'Aviation Synfuel-TSData'!$C7&amp;$D7,'Aviation Synfuel Data'!$C$4:$C$22&amp;'Aviation Synfuel Data'!$A$4:$A$22&amp;'Aviation Synfuel Data'!$D$4:$D$22,0),MATCH(M$2,'Aviation Synfuel Data'!$G$3:$M$3,0)),"null")</f>
        <v>null</v>
      </c>
      <c r="N7" s="1401" t="str" cm="1">
        <f t="array" ref="N7">_xlfn.IFNA(INDEX('Aviation Synfuel Data'!$G$4:$M$22,MATCH('Aviation Synfuel-TSData'!$B7&amp;'Aviation Synfuel-TSData'!$C7&amp;$D7,'Aviation Synfuel Data'!$C$4:$C$22&amp;'Aviation Synfuel Data'!$A$4:$A$22&amp;'Aviation Synfuel Data'!$D$4:$D$22,0),MATCH(N$2,'Aviation Synfuel Data'!$G$3:$M$3,0)),"null")</f>
        <v>null</v>
      </c>
      <c r="O7" s="1401" t="str" cm="1">
        <f t="array" ref="O7">_xlfn.IFNA(INDEX('Aviation Synfuel Data'!$G$4:$M$22,MATCH('Aviation Synfuel-TSData'!$B7&amp;'Aviation Synfuel-TSData'!$C7&amp;$D7,'Aviation Synfuel Data'!$C$4:$C$22&amp;'Aviation Synfuel Data'!$A$4:$A$22&amp;'Aviation Synfuel Data'!$D$4:$D$22,0),MATCH(O$2,'Aviation Synfuel Data'!$G$3:$M$3,0)),"null")</f>
        <v>null</v>
      </c>
      <c r="P7" s="1401" t="str" cm="1">
        <f t="array" ref="P7">_xlfn.IFNA(INDEX('Aviation Synfuel Data'!$G$4:$M$22,MATCH('Aviation Synfuel-TSData'!$B7&amp;'Aviation Synfuel-TSData'!$C7&amp;$D7,'Aviation Synfuel Data'!$C$4:$C$22&amp;'Aviation Synfuel Data'!$A$4:$A$22&amp;'Aviation Synfuel Data'!$D$4:$D$22,0),MATCH(P$2,'Aviation Synfuel Data'!$G$3:$M$3,0)),"null")</f>
        <v>null</v>
      </c>
      <c r="Q7" s="1401" t="str" cm="1">
        <f t="array" ref="Q7">_xlfn.IFNA(INDEX('Aviation Synfuel Data'!$G$4:$M$22,MATCH('Aviation Synfuel-TSData'!$B7&amp;'Aviation Synfuel-TSData'!$C7&amp;$D7,'Aviation Synfuel Data'!$C$4:$C$22&amp;'Aviation Synfuel Data'!$A$4:$A$22&amp;'Aviation Synfuel Data'!$D$4:$D$22,0),MATCH(Q$2,'Aviation Synfuel Data'!$G$3:$M$3,0)),"null")</f>
        <v>null</v>
      </c>
      <c r="R7" s="1401" cm="1">
        <f t="array" ref="R7">_xlfn.IFNA(INDEX('Aviation Synfuel Data'!$G$4:$M$22,MATCH('Aviation Synfuel-TSData'!$B7&amp;'Aviation Synfuel-TSData'!$C7&amp;$D7,'Aviation Synfuel Data'!$C$4:$C$22&amp;'Aviation Synfuel Data'!$A$4:$A$22&amp;'Aviation Synfuel Data'!$D$4:$D$22,0),MATCH(R$2,'Aviation Synfuel Data'!$G$3:$M$3,0)),"null")</f>
        <v>0.48816707501401374</v>
      </c>
      <c r="S7" s="1401" t="str" cm="1">
        <f t="array" ref="S7">_xlfn.IFNA(INDEX('Aviation Synfuel Data'!$G$4:$M$22,MATCH('Aviation Synfuel-TSData'!$B7&amp;'Aviation Synfuel-TSData'!$C7&amp;$D7,'Aviation Synfuel Data'!$C$4:$C$22&amp;'Aviation Synfuel Data'!$A$4:$A$22&amp;'Aviation Synfuel Data'!$D$4:$D$22,0),MATCH(S$2,'Aviation Synfuel Data'!$G$3:$M$3,0)),"null")</f>
        <v>null</v>
      </c>
      <c r="T7" s="1401" t="str" cm="1">
        <f t="array" ref="T7">_xlfn.IFNA(INDEX('Aviation Synfuel Data'!$G$4:$M$22,MATCH('Aviation Synfuel-TSData'!$B7&amp;'Aviation Synfuel-TSData'!$C7&amp;$D7,'Aviation Synfuel Data'!$C$4:$C$22&amp;'Aviation Synfuel Data'!$A$4:$A$22&amp;'Aviation Synfuel Data'!$D$4:$D$22,0),MATCH(T$2,'Aviation Synfuel Data'!$G$3:$M$3,0)),"null")</f>
        <v>null</v>
      </c>
      <c r="U7" s="1401" t="str" cm="1">
        <f t="array" ref="U7">_xlfn.IFNA(INDEX('Aviation Synfuel Data'!$G$4:$M$22,MATCH('Aviation Synfuel-TSData'!$B7&amp;'Aviation Synfuel-TSData'!$C7&amp;$D7,'Aviation Synfuel Data'!$C$4:$C$22&amp;'Aviation Synfuel Data'!$A$4:$A$22&amp;'Aviation Synfuel Data'!$D$4:$D$22,0),MATCH(U$2,'Aviation Synfuel Data'!$G$3:$M$3,0)),"null")</f>
        <v>null</v>
      </c>
      <c r="V7" s="1401" t="str" cm="1">
        <f t="array" ref="V7">_xlfn.IFNA(INDEX('Aviation Synfuel Data'!$G$4:$M$22,MATCH('Aviation Synfuel-TSData'!$B7&amp;'Aviation Synfuel-TSData'!$C7&amp;$D7,'Aviation Synfuel Data'!$C$4:$C$22&amp;'Aviation Synfuel Data'!$A$4:$A$22&amp;'Aviation Synfuel Data'!$D$4:$D$22,0),MATCH(V$2,'Aviation Synfuel Data'!$G$3:$M$3,0)),"null")</f>
        <v>null</v>
      </c>
      <c r="W7" s="1401" t="str" cm="1">
        <f t="array" ref="W7">_xlfn.IFNA(INDEX('Aviation Synfuel Data'!$G$4:$M$22,MATCH('Aviation Synfuel-TSData'!$B7&amp;'Aviation Synfuel-TSData'!$C7&amp;$D7,'Aviation Synfuel Data'!$C$4:$C$22&amp;'Aviation Synfuel Data'!$A$4:$A$22&amp;'Aviation Synfuel Data'!$D$4:$D$22,0),MATCH(W$2,'Aviation Synfuel Data'!$G$3:$M$3,0)),"null")</f>
        <v>null</v>
      </c>
      <c r="X7" s="1401" t="str" cm="1">
        <f t="array" ref="X7">_xlfn.IFNA(INDEX('Aviation Synfuel Data'!$G$4:$M$22,MATCH('Aviation Synfuel-TSData'!$B7&amp;'Aviation Synfuel-TSData'!$C7&amp;$D7,'Aviation Synfuel Data'!$C$4:$C$22&amp;'Aviation Synfuel Data'!$A$4:$A$22&amp;'Aviation Synfuel Data'!$D$4:$D$22,0),MATCH(X$2,'Aviation Synfuel Data'!$G$3:$M$3,0)),"null")</f>
        <v>null</v>
      </c>
      <c r="Y7" s="1401" t="str" cm="1">
        <f t="array" ref="Y7">_xlfn.IFNA(INDEX('Aviation Synfuel Data'!$G$4:$M$22,MATCH('Aviation Synfuel-TSData'!$B7&amp;'Aviation Synfuel-TSData'!$C7&amp;$D7,'Aviation Synfuel Data'!$C$4:$C$22&amp;'Aviation Synfuel Data'!$A$4:$A$22&amp;'Aviation Synfuel Data'!$D$4:$D$22,0),MATCH(Y$2,'Aviation Synfuel Data'!$G$3:$M$3,0)),"null")</f>
        <v>null</v>
      </c>
      <c r="Z7" s="1401" t="str" cm="1">
        <f t="array" ref="Z7">_xlfn.IFNA(INDEX('Aviation Synfuel Data'!$G$4:$M$22,MATCH('Aviation Synfuel-TSData'!$B7&amp;'Aviation Synfuel-TSData'!$C7&amp;$D7,'Aviation Synfuel Data'!$C$4:$C$22&amp;'Aviation Synfuel Data'!$A$4:$A$22&amp;'Aviation Synfuel Data'!$D$4:$D$22,0),MATCH(Z$2,'Aviation Synfuel Data'!$G$3:$M$3,0)),"null")</f>
        <v>null</v>
      </c>
      <c r="AA7" s="1401" t="str" cm="1">
        <f t="array" ref="AA7">_xlfn.IFNA(INDEX('Aviation Synfuel Data'!$G$4:$M$22,MATCH('Aviation Synfuel-TSData'!$B7&amp;'Aviation Synfuel-TSData'!$C7&amp;$D7,'Aviation Synfuel Data'!$C$4:$C$22&amp;'Aviation Synfuel Data'!$A$4:$A$22&amp;'Aviation Synfuel Data'!$D$4:$D$22,0),MATCH(AA$2,'Aviation Synfuel Data'!$G$3:$M$3,0)),"null")</f>
        <v>null</v>
      </c>
      <c r="AB7" s="1401" cm="1">
        <f t="array" ref="AB7">_xlfn.IFNA(INDEX('Aviation Synfuel Data'!$G$4:$M$22,MATCH('Aviation Synfuel-TSData'!$B7&amp;'Aviation Synfuel-TSData'!$C7&amp;$D7,'Aviation Synfuel Data'!$C$4:$C$22&amp;'Aviation Synfuel Data'!$A$4:$A$22&amp;'Aviation Synfuel Data'!$D$4:$D$22,0),MATCH(AB$2,'Aviation Synfuel Data'!$G$3:$M$3,0)),"null")</f>
        <v>0</v>
      </c>
      <c r="AC7" s="1401" t="str" cm="1">
        <f t="array" ref="AC7">_xlfn.IFNA(INDEX('Aviation Synfuel Data'!$G$4:$M$22,MATCH('Aviation Synfuel-TSData'!$B7&amp;'Aviation Synfuel-TSData'!$C7&amp;$D7,'Aviation Synfuel Data'!$C$4:$C$22&amp;'Aviation Synfuel Data'!$A$4:$A$22&amp;'Aviation Synfuel Data'!$D$4:$D$22,0),MATCH(AC$2,'Aviation Synfuel Data'!$G$3:$M$3,0)),"null")</f>
        <v>null</v>
      </c>
      <c r="AD7" s="1401" t="str" cm="1">
        <f t="array" ref="AD7">_xlfn.IFNA(INDEX('Aviation Synfuel Data'!$G$4:$M$22,MATCH('Aviation Synfuel-TSData'!$B7&amp;'Aviation Synfuel-TSData'!$C7&amp;$D7,'Aviation Synfuel Data'!$C$4:$C$22&amp;'Aviation Synfuel Data'!$A$4:$A$22&amp;'Aviation Synfuel Data'!$D$4:$D$22,0),MATCH(AD$2,'Aviation Synfuel Data'!$G$3:$M$3,0)),"null")</f>
        <v>null</v>
      </c>
      <c r="AE7" s="1401" t="str" cm="1">
        <f t="array" ref="AE7">_xlfn.IFNA(INDEX('Aviation Synfuel Data'!$G$4:$M$22,MATCH('Aviation Synfuel-TSData'!$B7&amp;'Aviation Synfuel-TSData'!$C7&amp;$D7,'Aviation Synfuel Data'!$C$4:$C$22&amp;'Aviation Synfuel Data'!$A$4:$A$22&amp;'Aviation Synfuel Data'!$D$4:$D$22,0),MATCH(AE$2,'Aviation Synfuel Data'!$G$3:$M$3,0)),"null")</f>
        <v>null</v>
      </c>
      <c r="AF7" s="1401" t="str" cm="1">
        <f t="array" ref="AF7">_xlfn.IFNA(INDEX('Aviation Synfuel Data'!$G$4:$M$22,MATCH('Aviation Synfuel-TSData'!$B7&amp;'Aviation Synfuel-TSData'!$C7&amp;$D7,'Aviation Synfuel Data'!$C$4:$C$22&amp;'Aviation Synfuel Data'!$A$4:$A$22&amp;'Aviation Synfuel Data'!$D$4:$D$22,0),MATCH(AF$2,'Aviation Synfuel Data'!$G$3:$M$3,0)),"null")</f>
        <v>null</v>
      </c>
      <c r="AG7" s="1401" cm="1">
        <f t="array" ref="AG7">_xlfn.IFNA(INDEX('Aviation Synfuel Data'!$G$4:$M$22,MATCH('Aviation Synfuel-TSData'!$B7&amp;'Aviation Synfuel-TSData'!$C7&amp;$D7,'Aviation Synfuel Data'!$C$4:$C$22&amp;'Aviation Synfuel Data'!$A$4:$A$22&amp;'Aviation Synfuel Data'!$D$4:$D$22,0),MATCH(AG$2,'Aviation Synfuel Data'!$G$3:$M$3,0)),"null")</f>
        <v>0</v>
      </c>
      <c r="AH7" s="1401" t="str" cm="1">
        <f t="array" ref="AH7">_xlfn.IFNA(INDEX('Aviation Synfuel Data'!$G$4:$M$22,MATCH('Aviation Synfuel-TSData'!$B7&amp;'Aviation Synfuel-TSData'!$C7&amp;$D7,'Aviation Synfuel Data'!$C$4:$C$22&amp;'Aviation Synfuel Data'!$A$4:$A$22&amp;'Aviation Synfuel Data'!$D$4:$D$22,0),MATCH(AH$2,'Aviation Synfuel Data'!$G$3:$M$3,0)),"null")</f>
        <v>null</v>
      </c>
      <c r="AI7" s="1401" t="str" cm="1">
        <f t="array" ref="AI7">_xlfn.IFNA(INDEX('Aviation Synfuel Data'!$G$4:$M$22,MATCH('Aviation Synfuel-TSData'!$B7&amp;'Aviation Synfuel-TSData'!$C7&amp;$D7,'Aviation Synfuel Data'!$C$4:$C$22&amp;'Aviation Synfuel Data'!$A$4:$A$22&amp;'Aviation Synfuel Data'!$D$4:$D$22,0),MATCH(AI$2,'Aviation Synfuel Data'!$G$3:$M$3,0)),"null")</f>
        <v>null</v>
      </c>
      <c r="AJ7" s="1401" t="str" cm="1">
        <f t="array" ref="AJ7">_xlfn.IFNA(INDEX('Aviation Synfuel Data'!$G$4:$M$22,MATCH('Aviation Synfuel-TSData'!$B7&amp;'Aviation Synfuel-TSData'!$C7&amp;$D7,'Aviation Synfuel Data'!$C$4:$C$22&amp;'Aviation Synfuel Data'!$A$4:$A$22&amp;'Aviation Synfuel Data'!$D$4:$D$22,0),MATCH(AJ$2,'Aviation Synfuel Data'!$G$3:$M$3,0)),"null")</f>
        <v>null</v>
      </c>
      <c r="AK7" s="1401" t="str" cm="1">
        <f t="array" ref="AK7">_xlfn.IFNA(INDEX('Aviation Synfuel Data'!$G$4:$M$22,MATCH('Aviation Synfuel-TSData'!$B7&amp;'Aviation Synfuel-TSData'!$C7&amp;$D7,'Aviation Synfuel Data'!$C$4:$C$22&amp;'Aviation Synfuel Data'!$A$4:$A$22&amp;'Aviation Synfuel Data'!$D$4:$D$22,0),MATCH(AK$2,'Aviation Synfuel Data'!$G$3:$M$3,0)),"null")</f>
        <v>null</v>
      </c>
      <c r="AL7" s="1401" cm="1">
        <f t="array" ref="AL7">_xlfn.IFNA(INDEX('Aviation Synfuel Data'!$G$4:$M$22,MATCH('Aviation Synfuel-TSData'!$B7&amp;'Aviation Synfuel-TSData'!$C7&amp;$D7,'Aviation Synfuel Data'!$C$4:$C$22&amp;'Aviation Synfuel Data'!$A$4:$A$22&amp;'Aviation Synfuel Data'!$D$4:$D$22,0),MATCH(AL$2,'Aviation Synfuel Data'!$G$3:$M$3,0)),"null")</f>
        <v>0</v>
      </c>
      <c r="AM7" s="1401" t="str" cm="1">
        <f t="array" ref="AM7">_xlfn.IFNA(INDEX('Aviation Synfuel Data'!$G$4:$M$22,MATCH('Aviation Synfuel-TSData'!$B7&amp;'Aviation Synfuel-TSData'!$C7&amp;$D7,'Aviation Synfuel Data'!$C$4:$C$22&amp;'Aviation Synfuel Data'!$A$4:$A$22&amp;'Aviation Synfuel Data'!$D$4:$D$22,0),MATCH(AM$2,'Aviation Synfuel Data'!$G$3:$M$3,0)),"null")</f>
        <v>null</v>
      </c>
      <c r="AN7" s="1401" cm="1">
        <f t="array" ref="AN7">_xlfn.IFNA(INDEX('Aviation Synfuel Data'!$G$4:$M$22,MATCH('Aviation Synfuel-TSData'!$B7&amp;'Aviation Synfuel-TSData'!$C7&amp;$D7,'Aviation Synfuel Data'!$C$4:$C$22&amp;'Aviation Synfuel Data'!$A$4:$A$22&amp;'Aviation Synfuel Data'!$D$4:$D$22,0),MATCH(AN$2,'Aviation Synfuel Data'!$G$3:$M$3,0)),"null")</f>
        <v>0</v>
      </c>
      <c r="AO7" s="1401" cm="1">
        <f t="array" ref="AO7">_xlfn.IFNA(INDEX('Aviation Synfuel Data'!$G$4:$M$22,MATCH('Aviation Synfuel-TSData'!$B7&amp;'Aviation Synfuel-TSData'!$C7&amp;$D7,'Aviation Synfuel Data'!$C$4:$C$22&amp;'Aviation Synfuel Data'!$A$4:$A$22&amp;'Aviation Synfuel Data'!$D$4:$D$22,0),MATCH(AO$2,'Aviation Synfuel Data'!$G$3:$M$3,0)),"null")</f>
        <v>0</v>
      </c>
      <c r="AP7" s="1401" cm="1">
        <f t="array" ref="AP7">_xlfn.IFNA(INDEX('Aviation Synfuel Data'!$G$4:$M$22,MATCH('Aviation Synfuel-TSData'!$B7&amp;'Aviation Synfuel-TSData'!$C7&amp;$D7,'Aviation Synfuel Data'!$C$4:$C$22&amp;'Aviation Synfuel Data'!$A$4:$A$22&amp;'Aviation Synfuel Data'!$D$4:$D$22,0),MATCH(AP$2,'Aviation Synfuel Data'!$G$3:$M$3,0)),"null")</f>
        <v>0</v>
      </c>
    </row>
    <row r="8" spans="1:42">
      <c r="B8" s="1409" t="s">
        <v>855</v>
      </c>
      <c r="C8" s="1409" t="s">
        <v>14604</v>
      </c>
      <c r="D8" s="1409" t="str">
        <f>'Aviation Synfuel Data'!D6</f>
        <v>UPSELC</v>
      </c>
      <c r="E8" s="1409" t="s">
        <v>14602</v>
      </c>
      <c r="F8" s="1409" t="s">
        <v>334</v>
      </c>
      <c r="G8" s="1409" t="s">
        <v>337</v>
      </c>
      <c r="H8" s="1409" t="s">
        <v>856</v>
      </c>
      <c r="I8" s="1409">
        <v>3</v>
      </c>
      <c r="J8" s="1401" t="str" cm="1">
        <f t="array" ref="J8">_xlfn.IFNA(INDEX('Aviation Synfuel Data'!$G$4:$M$22,MATCH('Aviation Synfuel-TSData'!$B8&amp;'Aviation Synfuel-TSData'!$C8&amp;$D8,'Aviation Synfuel Data'!$C$4:$C$22&amp;'Aviation Synfuel Data'!$A$4:$A$22&amp;'Aviation Synfuel Data'!$D$4:$D$22,0),MATCH(J$2,'Aviation Synfuel Data'!$G$3:$M$3,0)),"null")</f>
        <v>null</v>
      </c>
      <c r="K8" s="1401" t="str" cm="1">
        <f t="array" ref="K8">_xlfn.IFNA(INDEX('Aviation Synfuel Data'!$G$4:$M$22,MATCH('Aviation Synfuel-TSData'!$B8&amp;'Aviation Synfuel-TSData'!$C8&amp;$D8,'Aviation Synfuel Data'!$C$4:$C$22&amp;'Aviation Synfuel Data'!$A$4:$A$22&amp;'Aviation Synfuel Data'!$D$4:$D$22,0),MATCH(K$2,'Aviation Synfuel Data'!$G$3:$M$3,0)),"null")</f>
        <v>null</v>
      </c>
      <c r="L8" s="1401" t="str" cm="1">
        <f t="array" ref="L8">_xlfn.IFNA(INDEX('Aviation Synfuel Data'!$G$4:$M$22,MATCH('Aviation Synfuel-TSData'!$B8&amp;'Aviation Synfuel-TSData'!$C8&amp;$D8,'Aviation Synfuel Data'!$C$4:$C$22&amp;'Aviation Synfuel Data'!$A$4:$A$22&amp;'Aviation Synfuel Data'!$D$4:$D$22,0),MATCH(L$2,'Aviation Synfuel Data'!$G$3:$M$3,0)),"null")</f>
        <v>null</v>
      </c>
      <c r="M8" s="1401" t="str" cm="1">
        <f t="array" ref="M8">_xlfn.IFNA(INDEX('Aviation Synfuel Data'!$G$4:$M$22,MATCH('Aviation Synfuel-TSData'!$B8&amp;'Aviation Synfuel-TSData'!$C8&amp;$D8,'Aviation Synfuel Data'!$C$4:$C$22&amp;'Aviation Synfuel Data'!$A$4:$A$22&amp;'Aviation Synfuel Data'!$D$4:$D$22,0),MATCH(M$2,'Aviation Synfuel Data'!$G$3:$M$3,0)),"null")</f>
        <v>null</v>
      </c>
      <c r="N8" s="1401" t="str" cm="1">
        <f t="array" ref="N8">_xlfn.IFNA(INDEX('Aviation Synfuel Data'!$G$4:$M$22,MATCH('Aviation Synfuel-TSData'!$B8&amp;'Aviation Synfuel-TSData'!$C8&amp;$D8,'Aviation Synfuel Data'!$C$4:$C$22&amp;'Aviation Synfuel Data'!$A$4:$A$22&amp;'Aviation Synfuel Data'!$D$4:$D$22,0),MATCH(N$2,'Aviation Synfuel Data'!$G$3:$M$3,0)),"null")</f>
        <v>null</v>
      </c>
      <c r="O8" s="1401" t="str" cm="1">
        <f t="array" ref="O8">_xlfn.IFNA(INDEX('Aviation Synfuel Data'!$G$4:$M$22,MATCH('Aviation Synfuel-TSData'!$B8&amp;'Aviation Synfuel-TSData'!$C8&amp;$D8,'Aviation Synfuel Data'!$C$4:$C$22&amp;'Aviation Synfuel Data'!$A$4:$A$22&amp;'Aviation Synfuel Data'!$D$4:$D$22,0),MATCH(O$2,'Aviation Synfuel Data'!$G$3:$M$3,0)),"null")</f>
        <v>null</v>
      </c>
      <c r="P8" s="1401" t="str" cm="1">
        <f t="array" ref="P8">_xlfn.IFNA(INDEX('Aviation Synfuel Data'!$G$4:$M$22,MATCH('Aviation Synfuel-TSData'!$B8&amp;'Aviation Synfuel-TSData'!$C8&amp;$D8,'Aviation Synfuel Data'!$C$4:$C$22&amp;'Aviation Synfuel Data'!$A$4:$A$22&amp;'Aviation Synfuel Data'!$D$4:$D$22,0),MATCH(P$2,'Aviation Synfuel Data'!$G$3:$M$3,0)),"null")</f>
        <v>null</v>
      </c>
      <c r="Q8" s="1401" t="str" cm="1">
        <f t="array" ref="Q8">_xlfn.IFNA(INDEX('Aviation Synfuel Data'!$G$4:$M$22,MATCH('Aviation Synfuel-TSData'!$B8&amp;'Aviation Synfuel-TSData'!$C8&amp;$D8,'Aviation Synfuel Data'!$C$4:$C$22&amp;'Aviation Synfuel Data'!$A$4:$A$22&amp;'Aviation Synfuel Data'!$D$4:$D$22,0),MATCH(Q$2,'Aviation Synfuel Data'!$G$3:$M$3,0)),"null")</f>
        <v>null</v>
      </c>
      <c r="R8" s="1401" cm="1">
        <f t="array" ref="R8">_xlfn.IFNA(INDEX('Aviation Synfuel Data'!$G$4:$M$22,MATCH('Aviation Synfuel-TSData'!$B8&amp;'Aviation Synfuel-TSData'!$C8&amp;$D8,'Aviation Synfuel Data'!$C$4:$C$22&amp;'Aviation Synfuel Data'!$A$4:$A$22&amp;'Aviation Synfuel Data'!$D$4:$D$22,0),MATCH(R$2,'Aviation Synfuel Data'!$G$3:$M$3,0)),"null")</f>
        <v>7.7782839184601632E-2</v>
      </c>
      <c r="S8" s="1401" t="str" cm="1">
        <f t="array" ref="S8">_xlfn.IFNA(INDEX('Aviation Synfuel Data'!$G$4:$M$22,MATCH('Aviation Synfuel-TSData'!$B8&amp;'Aviation Synfuel-TSData'!$C8&amp;$D8,'Aviation Synfuel Data'!$C$4:$C$22&amp;'Aviation Synfuel Data'!$A$4:$A$22&amp;'Aviation Synfuel Data'!$D$4:$D$22,0),MATCH(S$2,'Aviation Synfuel Data'!$G$3:$M$3,0)),"null")</f>
        <v>null</v>
      </c>
      <c r="T8" s="1401" t="str" cm="1">
        <f t="array" ref="T8">_xlfn.IFNA(INDEX('Aviation Synfuel Data'!$G$4:$M$22,MATCH('Aviation Synfuel-TSData'!$B8&amp;'Aviation Synfuel-TSData'!$C8&amp;$D8,'Aviation Synfuel Data'!$C$4:$C$22&amp;'Aviation Synfuel Data'!$A$4:$A$22&amp;'Aviation Synfuel Data'!$D$4:$D$22,0),MATCH(T$2,'Aviation Synfuel Data'!$G$3:$M$3,0)),"null")</f>
        <v>null</v>
      </c>
      <c r="U8" s="1401" t="str" cm="1">
        <f t="array" ref="U8">_xlfn.IFNA(INDEX('Aviation Synfuel Data'!$G$4:$M$22,MATCH('Aviation Synfuel-TSData'!$B8&amp;'Aviation Synfuel-TSData'!$C8&amp;$D8,'Aviation Synfuel Data'!$C$4:$C$22&amp;'Aviation Synfuel Data'!$A$4:$A$22&amp;'Aviation Synfuel Data'!$D$4:$D$22,0),MATCH(U$2,'Aviation Synfuel Data'!$G$3:$M$3,0)),"null")</f>
        <v>null</v>
      </c>
      <c r="V8" s="1401" t="str" cm="1">
        <f t="array" ref="V8">_xlfn.IFNA(INDEX('Aviation Synfuel Data'!$G$4:$M$22,MATCH('Aviation Synfuel-TSData'!$B8&amp;'Aviation Synfuel-TSData'!$C8&amp;$D8,'Aviation Synfuel Data'!$C$4:$C$22&amp;'Aviation Synfuel Data'!$A$4:$A$22&amp;'Aviation Synfuel Data'!$D$4:$D$22,0),MATCH(V$2,'Aviation Synfuel Data'!$G$3:$M$3,0)),"null")</f>
        <v>null</v>
      </c>
      <c r="W8" s="1401" t="str" cm="1">
        <f t="array" ref="W8">_xlfn.IFNA(INDEX('Aviation Synfuel Data'!$G$4:$M$22,MATCH('Aviation Synfuel-TSData'!$B8&amp;'Aviation Synfuel-TSData'!$C8&amp;$D8,'Aviation Synfuel Data'!$C$4:$C$22&amp;'Aviation Synfuel Data'!$A$4:$A$22&amp;'Aviation Synfuel Data'!$D$4:$D$22,0),MATCH(W$2,'Aviation Synfuel Data'!$G$3:$M$3,0)),"null")</f>
        <v>null</v>
      </c>
      <c r="X8" s="1401" t="str" cm="1">
        <f t="array" ref="X8">_xlfn.IFNA(INDEX('Aviation Synfuel Data'!$G$4:$M$22,MATCH('Aviation Synfuel-TSData'!$B8&amp;'Aviation Synfuel-TSData'!$C8&amp;$D8,'Aviation Synfuel Data'!$C$4:$C$22&amp;'Aviation Synfuel Data'!$A$4:$A$22&amp;'Aviation Synfuel Data'!$D$4:$D$22,0),MATCH(X$2,'Aviation Synfuel Data'!$G$3:$M$3,0)),"null")</f>
        <v>null</v>
      </c>
      <c r="Y8" s="1401" t="str" cm="1">
        <f t="array" ref="Y8">_xlfn.IFNA(INDEX('Aviation Synfuel Data'!$G$4:$M$22,MATCH('Aviation Synfuel-TSData'!$B8&amp;'Aviation Synfuel-TSData'!$C8&amp;$D8,'Aviation Synfuel Data'!$C$4:$C$22&amp;'Aviation Synfuel Data'!$A$4:$A$22&amp;'Aviation Synfuel Data'!$D$4:$D$22,0),MATCH(Y$2,'Aviation Synfuel Data'!$G$3:$M$3,0)),"null")</f>
        <v>null</v>
      </c>
      <c r="Z8" s="1401" t="str" cm="1">
        <f t="array" ref="Z8">_xlfn.IFNA(INDEX('Aviation Synfuel Data'!$G$4:$M$22,MATCH('Aviation Synfuel-TSData'!$B8&amp;'Aviation Synfuel-TSData'!$C8&amp;$D8,'Aviation Synfuel Data'!$C$4:$C$22&amp;'Aviation Synfuel Data'!$A$4:$A$22&amp;'Aviation Synfuel Data'!$D$4:$D$22,0),MATCH(Z$2,'Aviation Synfuel Data'!$G$3:$M$3,0)),"null")</f>
        <v>null</v>
      </c>
      <c r="AA8" s="1401" t="str" cm="1">
        <f t="array" ref="AA8">_xlfn.IFNA(INDEX('Aviation Synfuel Data'!$G$4:$M$22,MATCH('Aviation Synfuel-TSData'!$B8&amp;'Aviation Synfuel-TSData'!$C8&amp;$D8,'Aviation Synfuel Data'!$C$4:$C$22&amp;'Aviation Synfuel Data'!$A$4:$A$22&amp;'Aviation Synfuel Data'!$D$4:$D$22,0),MATCH(AA$2,'Aviation Synfuel Data'!$G$3:$M$3,0)),"null")</f>
        <v>null</v>
      </c>
      <c r="AB8" s="1401" cm="1">
        <f t="array" ref="AB8">_xlfn.IFNA(INDEX('Aviation Synfuel Data'!$G$4:$M$22,MATCH('Aviation Synfuel-TSData'!$B8&amp;'Aviation Synfuel-TSData'!$C8&amp;$D8,'Aviation Synfuel Data'!$C$4:$C$22&amp;'Aviation Synfuel Data'!$A$4:$A$22&amp;'Aviation Synfuel Data'!$D$4:$D$22,0),MATCH(AB$2,'Aviation Synfuel Data'!$G$3:$M$3,0)),"null")</f>
        <v>7.7782839184601632E-2</v>
      </c>
      <c r="AC8" s="1401" t="str" cm="1">
        <f t="array" ref="AC8">_xlfn.IFNA(INDEX('Aviation Synfuel Data'!$G$4:$M$22,MATCH('Aviation Synfuel-TSData'!$B8&amp;'Aviation Synfuel-TSData'!$C8&amp;$D8,'Aviation Synfuel Data'!$C$4:$C$22&amp;'Aviation Synfuel Data'!$A$4:$A$22&amp;'Aviation Synfuel Data'!$D$4:$D$22,0),MATCH(AC$2,'Aviation Synfuel Data'!$G$3:$M$3,0)),"null")</f>
        <v>null</v>
      </c>
      <c r="AD8" s="1401" t="str" cm="1">
        <f t="array" ref="AD8">_xlfn.IFNA(INDEX('Aviation Synfuel Data'!$G$4:$M$22,MATCH('Aviation Synfuel-TSData'!$B8&amp;'Aviation Synfuel-TSData'!$C8&amp;$D8,'Aviation Synfuel Data'!$C$4:$C$22&amp;'Aviation Synfuel Data'!$A$4:$A$22&amp;'Aviation Synfuel Data'!$D$4:$D$22,0),MATCH(AD$2,'Aviation Synfuel Data'!$G$3:$M$3,0)),"null")</f>
        <v>null</v>
      </c>
      <c r="AE8" s="1401" t="str" cm="1">
        <f t="array" ref="AE8">_xlfn.IFNA(INDEX('Aviation Synfuel Data'!$G$4:$M$22,MATCH('Aviation Synfuel-TSData'!$B8&amp;'Aviation Synfuel-TSData'!$C8&amp;$D8,'Aviation Synfuel Data'!$C$4:$C$22&amp;'Aviation Synfuel Data'!$A$4:$A$22&amp;'Aviation Synfuel Data'!$D$4:$D$22,0),MATCH(AE$2,'Aviation Synfuel Data'!$G$3:$M$3,0)),"null")</f>
        <v>null</v>
      </c>
      <c r="AF8" s="1401" t="str" cm="1">
        <f t="array" ref="AF8">_xlfn.IFNA(INDEX('Aviation Synfuel Data'!$G$4:$M$22,MATCH('Aviation Synfuel-TSData'!$B8&amp;'Aviation Synfuel-TSData'!$C8&amp;$D8,'Aviation Synfuel Data'!$C$4:$C$22&amp;'Aviation Synfuel Data'!$A$4:$A$22&amp;'Aviation Synfuel Data'!$D$4:$D$22,0),MATCH(AF$2,'Aviation Synfuel Data'!$G$3:$M$3,0)),"null")</f>
        <v>null</v>
      </c>
      <c r="AG8" s="1401" cm="1">
        <f t="array" ref="AG8">_xlfn.IFNA(INDEX('Aviation Synfuel Data'!$G$4:$M$22,MATCH('Aviation Synfuel-TSData'!$B8&amp;'Aviation Synfuel-TSData'!$C8&amp;$D8,'Aviation Synfuel Data'!$C$4:$C$22&amp;'Aviation Synfuel Data'!$A$4:$A$22&amp;'Aviation Synfuel Data'!$D$4:$D$22,0),MATCH(AG$2,'Aviation Synfuel Data'!$G$3:$M$3,0)),"null")</f>
        <v>7.7782839184601632E-2</v>
      </c>
      <c r="AH8" s="1401" t="str" cm="1">
        <f t="array" ref="AH8">_xlfn.IFNA(INDEX('Aviation Synfuel Data'!$G$4:$M$22,MATCH('Aviation Synfuel-TSData'!$B8&amp;'Aviation Synfuel-TSData'!$C8&amp;$D8,'Aviation Synfuel Data'!$C$4:$C$22&amp;'Aviation Synfuel Data'!$A$4:$A$22&amp;'Aviation Synfuel Data'!$D$4:$D$22,0),MATCH(AH$2,'Aviation Synfuel Data'!$G$3:$M$3,0)),"null")</f>
        <v>null</v>
      </c>
      <c r="AI8" s="1401" t="str" cm="1">
        <f t="array" ref="AI8">_xlfn.IFNA(INDEX('Aviation Synfuel Data'!$G$4:$M$22,MATCH('Aviation Synfuel-TSData'!$B8&amp;'Aviation Synfuel-TSData'!$C8&amp;$D8,'Aviation Synfuel Data'!$C$4:$C$22&amp;'Aviation Synfuel Data'!$A$4:$A$22&amp;'Aviation Synfuel Data'!$D$4:$D$22,0),MATCH(AI$2,'Aviation Synfuel Data'!$G$3:$M$3,0)),"null")</f>
        <v>null</v>
      </c>
      <c r="AJ8" s="1401" t="str" cm="1">
        <f t="array" ref="AJ8">_xlfn.IFNA(INDEX('Aviation Synfuel Data'!$G$4:$M$22,MATCH('Aviation Synfuel-TSData'!$B8&amp;'Aviation Synfuel-TSData'!$C8&amp;$D8,'Aviation Synfuel Data'!$C$4:$C$22&amp;'Aviation Synfuel Data'!$A$4:$A$22&amp;'Aviation Synfuel Data'!$D$4:$D$22,0),MATCH(AJ$2,'Aviation Synfuel Data'!$G$3:$M$3,0)),"null")</f>
        <v>null</v>
      </c>
      <c r="AK8" s="1401" t="str" cm="1">
        <f t="array" ref="AK8">_xlfn.IFNA(INDEX('Aviation Synfuel Data'!$G$4:$M$22,MATCH('Aviation Synfuel-TSData'!$B8&amp;'Aviation Synfuel-TSData'!$C8&amp;$D8,'Aviation Synfuel Data'!$C$4:$C$22&amp;'Aviation Synfuel Data'!$A$4:$A$22&amp;'Aviation Synfuel Data'!$D$4:$D$22,0),MATCH(AK$2,'Aviation Synfuel Data'!$G$3:$M$3,0)),"null")</f>
        <v>null</v>
      </c>
      <c r="AL8" s="1401" cm="1">
        <f t="array" ref="AL8">_xlfn.IFNA(INDEX('Aviation Synfuel Data'!$G$4:$M$22,MATCH('Aviation Synfuel-TSData'!$B8&amp;'Aviation Synfuel-TSData'!$C8&amp;$D8,'Aviation Synfuel Data'!$C$4:$C$22&amp;'Aviation Synfuel Data'!$A$4:$A$22&amp;'Aviation Synfuel Data'!$D$4:$D$22,0),MATCH(AL$2,'Aviation Synfuel Data'!$G$3:$M$3,0)),"null")</f>
        <v>7.7782839184601632E-2</v>
      </c>
      <c r="AM8" s="1401" t="str" cm="1">
        <f t="array" ref="AM8">_xlfn.IFNA(INDEX('Aviation Synfuel Data'!$G$4:$M$22,MATCH('Aviation Synfuel-TSData'!$B8&amp;'Aviation Synfuel-TSData'!$C8&amp;$D8,'Aviation Synfuel Data'!$C$4:$C$22&amp;'Aviation Synfuel Data'!$A$4:$A$22&amp;'Aviation Synfuel Data'!$D$4:$D$22,0),MATCH(AM$2,'Aviation Synfuel Data'!$G$3:$M$3,0)),"null")</f>
        <v>null</v>
      </c>
      <c r="AN8" s="1401" cm="1">
        <f t="array" ref="AN8">_xlfn.IFNA(INDEX('Aviation Synfuel Data'!$G$4:$M$22,MATCH('Aviation Synfuel-TSData'!$B8&amp;'Aviation Synfuel-TSData'!$C8&amp;$D8,'Aviation Synfuel Data'!$C$4:$C$22&amp;'Aviation Synfuel Data'!$A$4:$A$22&amp;'Aviation Synfuel Data'!$D$4:$D$22,0),MATCH(AN$2,'Aviation Synfuel Data'!$G$3:$M$3,0)),"null")</f>
        <v>7.7782839184601632E-2</v>
      </c>
      <c r="AO8" s="1401" cm="1">
        <f t="array" ref="AO8">_xlfn.IFNA(INDEX('Aviation Synfuel Data'!$G$4:$M$22,MATCH('Aviation Synfuel-TSData'!$B8&amp;'Aviation Synfuel-TSData'!$C8&amp;$D8,'Aviation Synfuel Data'!$C$4:$C$22&amp;'Aviation Synfuel Data'!$A$4:$A$22&amp;'Aviation Synfuel Data'!$D$4:$D$22,0),MATCH(AO$2,'Aviation Synfuel Data'!$G$3:$M$3,0)),"null")</f>
        <v>7.7782839184601632E-2</v>
      </c>
      <c r="AP8" s="1401"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c r="B9" s="1409" t="s">
        <v>855</v>
      </c>
      <c r="C9" s="1409" t="s">
        <v>14604</v>
      </c>
      <c r="D9" s="1409" t="str">
        <f>'Aviation Synfuel Data'!D7</f>
        <v>HGN</v>
      </c>
      <c r="E9" s="1409" t="s">
        <v>14602</v>
      </c>
      <c r="F9" s="1409" t="s">
        <v>334</v>
      </c>
      <c r="G9" s="1409" t="s">
        <v>337</v>
      </c>
      <c r="H9" s="1409" t="s">
        <v>856</v>
      </c>
      <c r="I9" s="1409">
        <v>3</v>
      </c>
      <c r="J9" s="1401" t="str" cm="1">
        <f t="array" ref="J9">_xlfn.IFNA(INDEX('Aviation Synfuel Data'!$G$4:$M$22,MATCH('Aviation Synfuel-TSData'!$B9&amp;'Aviation Synfuel-TSData'!$C9&amp;$D9,'Aviation Synfuel Data'!$C$4:$C$22&amp;'Aviation Synfuel Data'!$A$4:$A$22&amp;'Aviation Synfuel Data'!$D$4:$D$22,0),MATCH(J$2,'Aviation Synfuel Data'!$G$3:$M$3,0)),"null")</f>
        <v>null</v>
      </c>
      <c r="K9" s="1401" t="str" cm="1">
        <f t="array" ref="K9">_xlfn.IFNA(INDEX('Aviation Synfuel Data'!$G$4:$M$22,MATCH('Aviation Synfuel-TSData'!$B9&amp;'Aviation Synfuel-TSData'!$C9&amp;$D9,'Aviation Synfuel Data'!$C$4:$C$22&amp;'Aviation Synfuel Data'!$A$4:$A$22&amp;'Aviation Synfuel Data'!$D$4:$D$22,0),MATCH(K$2,'Aviation Synfuel Data'!$G$3:$M$3,0)),"null")</f>
        <v>null</v>
      </c>
      <c r="L9" s="1401" t="str" cm="1">
        <f t="array" ref="L9">_xlfn.IFNA(INDEX('Aviation Synfuel Data'!$G$4:$M$22,MATCH('Aviation Synfuel-TSData'!$B9&amp;'Aviation Synfuel-TSData'!$C9&amp;$D9,'Aviation Synfuel Data'!$C$4:$C$22&amp;'Aviation Synfuel Data'!$A$4:$A$22&amp;'Aviation Synfuel Data'!$D$4:$D$22,0),MATCH(L$2,'Aviation Synfuel Data'!$G$3:$M$3,0)),"null")</f>
        <v>null</v>
      </c>
      <c r="M9" s="1401" t="str" cm="1">
        <f t="array" ref="M9">_xlfn.IFNA(INDEX('Aviation Synfuel Data'!$G$4:$M$22,MATCH('Aviation Synfuel-TSData'!$B9&amp;'Aviation Synfuel-TSData'!$C9&amp;$D9,'Aviation Synfuel Data'!$C$4:$C$22&amp;'Aviation Synfuel Data'!$A$4:$A$22&amp;'Aviation Synfuel Data'!$D$4:$D$22,0),MATCH(M$2,'Aviation Synfuel Data'!$G$3:$M$3,0)),"null")</f>
        <v>null</v>
      </c>
      <c r="N9" s="1401" t="str" cm="1">
        <f t="array" ref="N9">_xlfn.IFNA(INDEX('Aviation Synfuel Data'!$G$4:$M$22,MATCH('Aviation Synfuel-TSData'!$B9&amp;'Aviation Synfuel-TSData'!$C9&amp;$D9,'Aviation Synfuel Data'!$C$4:$C$22&amp;'Aviation Synfuel Data'!$A$4:$A$22&amp;'Aviation Synfuel Data'!$D$4:$D$22,0),MATCH(N$2,'Aviation Synfuel Data'!$G$3:$M$3,0)),"null")</f>
        <v>null</v>
      </c>
      <c r="O9" s="1401" t="str" cm="1">
        <f t="array" ref="O9">_xlfn.IFNA(INDEX('Aviation Synfuel Data'!$G$4:$M$22,MATCH('Aviation Synfuel-TSData'!$B9&amp;'Aviation Synfuel-TSData'!$C9&amp;$D9,'Aviation Synfuel Data'!$C$4:$C$22&amp;'Aviation Synfuel Data'!$A$4:$A$22&amp;'Aviation Synfuel Data'!$D$4:$D$22,0),MATCH(O$2,'Aviation Synfuel Data'!$G$3:$M$3,0)),"null")</f>
        <v>null</v>
      </c>
      <c r="P9" s="1401" t="str" cm="1">
        <f t="array" ref="P9">_xlfn.IFNA(INDEX('Aviation Synfuel Data'!$G$4:$M$22,MATCH('Aviation Synfuel-TSData'!$B9&amp;'Aviation Synfuel-TSData'!$C9&amp;$D9,'Aviation Synfuel Data'!$C$4:$C$22&amp;'Aviation Synfuel Data'!$A$4:$A$22&amp;'Aviation Synfuel Data'!$D$4:$D$22,0),MATCH(P$2,'Aviation Synfuel Data'!$G$3:$M$3,0)),"null")</f>
        <v>null</v>
      </c>
      <c r="Q9" s="1401" t="str" cm="1">
        <f t="array" ref="Q9">_xlfn.IFNA(INDEX('Aviation Synfuel Data'!$G$4:$M$22,MATCH('Aviation Synfuel-TSData'!$B9&amp;'Aviation Synfuel-TSData'!$C9&amp;$D9,'Aviation Synfuel Data'!$C$4:$C$22&amp;'Aviation Synfuel Data'!$A$4:$A$22&amp;'Aviation Synfuel Data'!$D$4:$D$22,0),MATCH(Q$2,'Aviation Synfuel Data'!$G$3:$M$3,0)),"null")</f>
        <v>null</v>
      </c>
      <c r="R9" s="1401" cm="1">
        <f t="array" ref="R9">_xlfn.IFNA(INDEX('Aviation Synfuel Data'!$G$4:$M$22,MATCH('Aviation Synfuel-TSData'!$B9&amp;'Aviation Synfuel-TSData'!$C9&amp;$D9,'Aviation Synfuel Data'!$C$4:$C$22&amp;'Aviation Synfuel Data'!$A$4:$A$22&amp;'Aviation Synfuel Data'!$D$4:$D$22,0),MATCH(R$2,'Aviation Synfuel Data'!$G$3:$M$3,0)),"null")</f>
        <v>0.92221716081539828</v>
      </c>
      <c r="S9" s="1401" t="str" cm="1">
        <f t="array" ref="S9">_xlfn.IFNA(INDEX('Aviation Synfuel Data'!$G$4:$M$22,MATCH('Aviation Synfuel-TSData'!$B9&amp;'Aviation Synfuel-TSData'!$C9&amp;$D9,'Aviation Synfuel Data'!$C$4:$C$22&amp;'Aviation Synfuel Data'!$A$4:$A$22&amp;'Aviation Synfuel Data'!$D$4:$D$22,0),MATCH(S$2,'Aviation Synfuel Data'!$G$3:$M$3,0)),"null")</f>
        <v>null</v>
      </c>
      <c r="T9" s="1401" t="str" cm="1">
        <f t="array" ref="T9">_xlfn.IFNA(INDEX('Aviation Synfuel Data'!$G$4:$M$22,MATCH('Aviation Synfuel-TSData'!$B9&amp;'Aviation Synfuel-TSData'!$C9&amp;$D9,'Aviation Synfuel Data'!$C$4:$C$22&amp;'Aviation Synfuel Data'!$A$4:$A$22&amp;'Aviation Synfuel Data'!$D$4:$D$22,0),MATCH(T$2,'Aviation Synfuel Data'!$G$3:$M$3,0)),"null")</f>
        <v>null</v>
      </c>
      <c r="U9" s="1401" t="str" cm="1">
        <f t="array" ref="U9">_xlfn.IFNA(INDEX('Aviation Synfuel Data'!$G$4:$M$22,MATCH('Aviation Synfuel-TSData'!$B9&amp;'Aviation Synfuel-TSData'!$C9&amp;$D9,'Aviation Synfuel Data'!$C$4:$C$22&amp;'Aviation Synfuel Data'!$A$4:$A$22&amp;'Aviation Synfuel Data'!$D$4:$D$22,0),MATCH(U$2,'Aviation Synfuel Data'!$G$3:$M$3,0)),"null")</f>
        <v>null</v>
      </c>
      <c r="V9" s="1401" t="str" cm="1">
        <f t="array" ref="V9">_xlfn.IFNA(INDEX('Aviation Synfuel Data'!$G$4:$M$22,MATCH('Aviation Synfuel-TSData'!$B9&amp;'Aviation Synfuel-TSData'!$C9&amp;$D9,'Aviation Synfuel Data'!$C$4:$C$22&amp;'Aviation Synfuel Data'!$A$4:$A$22&amp;'Aviation Synfuel Data'!$D$4:$D$22,0),MATCH(V$2,'Aviation Synfuel Data'!$G$3:$M$3,0)),"null")</f>
        <v>null</v>
      </c>
      <c r="W9" s="1401" t="str" cm="1">
        <f t="array" ref="W9">_xlfn.IFNA(INDEX('Aviation Synfuel Data'!$G$4:$M$22,MATCH('Aviation Synfuel-TSData'!$B9&amp;'Aviation Synfuel-TSData'!$C9&amp;$D9,'Aviation Synfuel Data'!$C$4:$C$22&amp;'Aviation Synfuel Data'!$A$4:$A$22&amp;'Aviation Synfuel Data'!$D$4:$D$22,0),MATCH(W$2,'Aviation Synfuel Data'!$G$3:$M$3,0)),"null")</f>
        <v>null</v>
      </c>
      <c r="X9" s="1401" t="str" cm="1">
        <f t="array" ref="X9">_xlfn.IFNA(INDEX('Aviation Synfuel Data'!$G$4:$M$22,MATCH('Aviation Synfuel-TSData'!$B9&amp;'Aviation Synfuel-TSData'!$C9&amp;$D9,'Aviation Synfuel Data'!$C$4:$C$22&amp;'Aviation Synfuel Data'!$A$4:$A$22&amp;'Aviation Synfuel Data'!$D$4:$D$22,0),MATCH(X$2,'Aviation Synfuel Data'!$G$3:$M$3,0)),"null")</f>
        <v>null</v>
      </c>
      <c r="Y9" s="1401" t="str" cm="1">
        <f t="array" ref="Y9">_xlfn.IFNA(INDEX('Aviation Synfuel Data'!$G$4:$M$22,MATCH('Aviation Synfuel-TSData'!$B9&amp;'Aviation Synfuel-TSData'!$C9&amp;$D9,'Aviation Synfuel Data'!$C$4:$C$22&amp;'Aviation Synfuel Data'!$A$4:$A$22&amp;'Aviation Synfuel Data'!$D$4:$D$22,0),MATCH(Y$2,'Aviation Synfuel Data'!$G$3:$M$3,0)),"null")</f>
        <v>null</v>
      </c>
      <c r="Z9" s="1401" t="str" cm="1">
        <f t="array" ref="Z9">_xlfn.IFNA(INDEX('Aviation Synfuel Data'!$G$4:$M$22,MATCH('Aviation Synfuel-TSData'!$B9&amp;'Aviation Synfuel-TSData'!$C9&amp;$D9,'Aviation Synfuel Data'!$C$4:$C$22&amp;'Aviation Synfuel Data'!$A$4:$A$22&amp;'Aviation Synfuel Data'!$D$4:$D$22,0),MATCH(Z$2,'Aviation Synfuel Data'!$G$3:$M$3,0)),"null")</f>
        <v>null</v>
      </c>
      <c r="AA9" s="1401" t="str" cm="1">
        <f t="array" ref="AA9">_xlfn.IFNA(INDEX('Aviation Synfuel Data'!$G$4:$M$22,MATCH('Aviation Synfuel-TSData'!$B9&amp;'Aviation Synfuel-TSData'!$C9&amp;$D9,'Aviation Synfuel Data'!$C$4:$C$22&amp;'Aviation Synfuel Data'!$A$4:$A$22&amp;'Aviation Synfuel Data'!$D$4:$D$22,0),MATCH(AA$2,'Aviation Synfuel Data'!$G$3:$M$3,0)),"null")</f>
        <v>null</v>
      </c>
      <c r="AB9" s="1401" cm="1">
        <f t="array" ref="AB9">_xlfn.IFNA(INDEX('Aviation Synfuel Data'!$G$4:$M$22,MATCH('Aviation Synfuel-TSData'!$B9&amp;'Aviation Synfuel-TSData'!$C9&amp;$D9,'Aviation Synfuel Data'!$C$4:$C$22&amp;'Aviation Synfuel Data'!$A$4:$A$22&amp;'Aviation Synfuel Data'!$D$4:$D$22,0),MATCH(AB$2,'Aviation Synfuel Data'!$G$3:$M$3,0)),"null")</f>
        <v>0.92221716081539828</v>
      </c>
      <c r="AC9" s="1401" t="str" cm="1">
        <f t="array" ref="AC9">_xlfn.IFNA(INDEX('Aviation Synfuel Data'!$G$4:$M$22,MATCH('Aviation Synfuel-TSData'!$B9&amp;'Aviation Synfuel-TSData'!$C9&amp;$D9,'Aviation Synfuel Data'!$C$4:$C$22&amp;'Aviation Synfuel Data'!$A$4:$A$22&amp;'Aviation Synfuel Data'!$D$4:$D$22,0),MATCH(AC$2,'Aviation Synfuel Data'!$G$3:$M$3,0)),"null")</f>
        <v>null</v>
      </c>
      <c r="AD9" s="1401" t="str" cm="1">
        <f t="array" ref="AD9">_xlfn.IFNA(INDEX('Aviation Synfuel Data'!$G$4:$M$22,MATCH('Aviation Synfuel-TSData'!$B9&amp;'Aviation Synfuel-TSData'!$C9&amp;$D9,'Aviation Synfuel Data'!$C$4:$C$22&amp;'Aviation Synfuel Data'!$A$4:$A$22&amp;'Aviation Synfuel Data'!$D$4:$D$22,0),MATCH(AD$2,'Aviation Synfuel Data'!$G$3:$M$3,0)),"null")</f>
        <v>null</v>
      </c>
      <c r="AE9" s="1401" t="str" cm="1">
        <f t="array" ref="AE9">_xlfn.IFNA(INDEX('Aviation Synfuel Data'!$G$4:$M$22,MATCH('Aviation Synfuel-TSData'!$B9&amp;'Aviation Synfuel-TSData'!$C9&amp;$D9,'Aviation Synfuel Data'!$C$4:$C$22&amp;'Aviation Synfuel Data'!$A$4:$A$22&amp;'Aviation Synfuel Data'!$D$4:$D$22,0),MATCH(AE$2,'Aviation Synfuel Data'!$G$3:$M$3,0)),"null")</f>
        <v>null</v>
      </c>
      <c r="AF9" s="1401" t="str" cm="1">
        <f t="array" ref="AF9">_xlfn.IFNA(INDEX('Aviation Synfuel Data'!$G$4:$M$22,MATCH('Aviation Synfuel-TSData'!$B9&amp;'Aviation Synfuel-TSData'!$C9&amp;$D9,'Aviation Synfuel Data'!$C$4:$C$22&amp;'Aviation Synfuel Data'!$A$4:$A$22&amp;'Aviation Synfuel Data'!$D$4:$D$22,0),MATCH(AF$2,'Aviation Synfuel Data'!$G$3:$M$3,0)),"null")</f>
        <v>null</v>
      </c>
      <c r="AG9" s="1401" cm="1">
        <f t="array" ref="AG9">_xlfn.IFNA(INDEX('Aviation Synfuel Data'!$G$4:$M$22,MATCH('Aviation Synfuel-TSData'!$B9&amp;'Aviation Synfuel-TSData'!$C9&amp;$D9,'Aviation Synfuel Data'!$C$4:$C$22&amp;'Aviation Synfuel Data'!$A$4:$A$22&amp;'Aviation Synfuel Data'!$D$4:$D$22,0),MATCH(AG$2,'Aviation Synfuel Data'!$G$3:$M$3,0)),"null")</f>
        <v>0.92221716081539828</v>
      </c>
      <c r="AH9" s="1401" t="str" cm="1">
        <f t="array" ref="AH9">_xlfn.IFNA(INDEX('Aviation Synfuel Data'!$G$4:$M$22,MATCH('Aviation Synfuel-TSData'!$B9&amp;'Aviation Synfuel-TSData'!$C9&amp;$D9,'Aviation Synfuel Data'!$C$4:$C$22&amp;'Aviation Synfuel Data'!$A$4:$A$22&amp;'Aviation Synfuel Data'!$D$4:$D$22,0),MATCH(AH$2,'Aviation Synfuel Data'!$G$3:$M$3,0)),"null")</f>
        <v>null</v>
      </c>
      <c r="AI9" s="1401" t="str" cm="1">
        <f t="array" ref="AI9">_xlfn.IFNA(INDEX('Aviation Synfuel Data'!$G$4:$M$22,MATCH('Aviation Synfuel-TSData'!$B9&amp;'Aviation Synfuel-TSData'!$C9&amp;$D9,'Aviation Synfuel Data'!$C$4:$C$22&amp;'Aviation Synfuel Data'!$A$4:$A$22&amp;'Aviation Synfuel Data'!$D$4:$D$22,0),MATCH(AI$2,'Aviation Synfuel Data'!$G$3:$M$3,0)),"null")</f>
        <v>null</v>
      </c>
      <c r="AJ9" s="1401" t="str" cm="1">
        <f t="array" ref="AJ9">_xlfn.IFNA(INDEX('Aviation Synfuel Data'!$G$4:$M$22,MATCH('Aviation Synfuel-TSData'!$B9&amp;'Aviation Synfuel-TSData'!$C9&amp;$D9,'Aviation Synfuel Data'!$C$4:$C$22&amp;'Aviation Synfuel Data'!$A$4:$A$22&amp;'Aviation Synfuel Data'!$D$4:$D$22,0),MATCH(AJ$2,'Aviation Synfuel Data'!$G$3:$M$3,0)),"null")</f>
        <v>null</v>
      </c>
      <c r="AK9" s="1401" t="str" cm="1">
        <f t="array" ref="AK9">_xlfn.IFNA(INDEX('Aviation Synfuel Data'!$G$4:$M$22,MATCH('Aviation Synfuel-TSData'!$B9&amp;'Aviation Synfuel-TSData'!$C9&amp;$D9,'Aviation Synfuel Data'!$C$4:$C$22&amp;'Aviation Synfuel Data'!$A$4:$A$22&amp;'Aviation Synfuel Data'!$D$4:$D$22,0),MATCH(AK$2,'Aviation Synfuel Data'!$G$3:$M$3,0)),"null")</f>
        <v>null</v>
      </c>
      <c r="AL9" s="1401" cm="1">
        <f t="array" ref="AL9">_xlfn.IFNA(INDEX('Aviation Synfuel Data'!$G$4:$M$22,MATCH('Aviation Synfuel-TSData'!$B9&amp;'Aviation Synfuel-TSData'!$C9&amp;$D9,'Aviation Synfuel Data'!$C$4:$C$22&amp;'Aviation Synfuel Data'!$A$4:$A$22&amp;'Aviation Synfuel Data'!$D$4:$D$22,0),MATCH(AL$2,'Aviation Synfuel Data'!$G$3:$M$3,0)),"null")</f>
        <v>0.92221716081539828</v>
      </c>
      <c r="AM9" s="1401" t="str" cm="1">
        <f t="array" ref="AM9">_xlfn.IFNA(INDEX('Aviation Synfuel Data'!$G$4:$M$22,MATCH('Aviation Synfuel-TSData'!$B9&amp;'Aviation Synfuel-TSData'!$C9&amp;$D9,'Aviation Synfuel Data'!$C$4:$C$22&amp;'Aviation Synfuel Data'!$A$4:$A$22&amp;'Aviation Synfuel Data'!$D$4:$D$22,0),MATCH(AM$2,'Aviation Synfuel Data'!$G$3:$M$3,0)),"null")</f>
        <v>null</v>
      </c>
      <c r="AN9" s="1401" cm="1">
        <f t="array" ref="AN9">_xlfn.IFNA(INDEX('Aviation Synfuel Data'!$G$4:$M$22,MATCH('Aviation Synfuel-TSData'!$B9&amp;'Aviation Synfuel-TSData'!$C9&amp;$D9,'Aviation Synfuel Data'!$C$4:$C$22&amp;'Aviation Synfuel Data'!$A$4:$A$22&amp;'Aviation Synfuel Data'!$D$4:$D$22,0),MATCH(AN$2,'Aviation Synfuel Data'!$G$3:$M$3,0)),"null")</f>
        <v>0.92221716081539828</v>
      </c>
      <c r="AO9" s="1401" cm="1">
        <f t="array" ref="AO9">_xlfn.IFNA(INDEX('Aviation Synfuel Data'!$G$4:$M$22,MATCH('Aviation Synfuel-TSData'!$B9&amp;'Aviation Synfuel-TSData'!$C9&amp;$D9,'Aviation Synfuel Data'!$C$4:$C$22&amp;'Aviation Synfuel Data'!$A$4:$A$22&amp;'Aviation Synfuel Data'!$D$4:$D$22,0),MATCH(AO$2,'Aviation Synfuel Data'!$G$3:$M$3,0)),"null")</f>
        <v>0.92221716081539828</v>
      </c>
      <c r="AP9" s="1401"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c r="B10" s="1409" t="s">
        <v>602</v>
      </c>
      <c r="C10" s="1409" t="s">
        <v>14604</v>
      </c>
      <c r="D10" s="1409" t="s">
        <v>334</v>
      </c>
      <c r="E10" s="1409" t="s">
        <v>334</v>
      </c>
      <c r="F10" s="1409" t="s">
        <v>334</v>
      </c>
      <c r="G10" s="1409" t="s">
        <v>334</v>
      </c>
      <c r="H10" s="1409" t="s">
        <v>1194</v>
      </c>
      <c r="I10" s="1409">
        <v>3</v>
      </c>
      <c r="J10" s="1401" t="str">
        <f t="array" ref="J10">_xlfn.IFNA(INDEX('Aviation Synfuel Data'!$G$4:$M$22,MATCH('Aviation Synfuel-TSData'!$B10&amp;'Aviation Synfuel-TSData'!$C10&amp;$H10,'Aviation Synfuel Data'!$C$4:$C$22&amp;'Aviation Synfuel Data'!$A$4:$A$22&amp;'Aviation Synfuel Data'!$D$4:$D$22,0),MATCH(J$2,'Aviation Synfuel Data'!$G$3:$M$3,0)),"null")</f>
        <v>null</v>
      </c>
      <c r="K10" s="1401" t="str">
        <f t="array" ref="K10">_xlfn.IFNA(INDEX('Aviation Synfuel Data'!$G$4:$M$22,MATCH('Aviation Synfuel-TSData'!$B10&amp;'Aviation Synfuel-TSData'!$C10&amp;$H10,'Aviation Synfuel Data'!$C$4:$C$22&amp;'Aviation Synfuel Data'!$A$4:$A$22&amp;'Aviation Synfuel Data'!$D$4:$D$22,0),MATCH(K$2,'Aviation Synfuel Data'!$G$3:$M$3,0)),"null")</f>
        <v>null</v>
      </c>
      <c r="L10" s="1401" t="str">
        <f t="array" ref="L10">_xlfn.IFNA(INDEX('Aviation Synfuel Data'!$G$4:$M$22,MATCH('Aviation Synfuel-TSData'!$B10&amp;'Aviation Synfuel-TSData'!$C10&amp;$H10,'Aviation Synfuel Data'!$C$4:$C$22&amp;'Aviation Synfuel Data'!$A$4:$A$22&amp;'Aviation Synfuel Data'!$D$4:$D$22,0),MATCH(L$2,'Aviation Synfuel Data'!$G$3:$M$3,0)),"null")</f>
        <v>null</v>
      </c>
      <c r="M10" s="1401" t="str">
        <f t="array" ref="M10">_xlfn.IFNA(INDEX('Aviation Synfuel Data'!$G$4:$M$22,MATCH('Aviation Synfuel-TSData'!$B10&amp;'Aviation Synfuel-TSData'!$C10&amp;$H10,'Aviation Synfuel Data'!$C$4:$C$22&amp;'Aviation Synfuel Data'!$A$4:$A$22&amp;'Aviation Synfuel Data'!$D$4:$D$22,0),MATCH(M$2,'Aviation Synfuel Data'!$G$3:$M$3,0)),"null")</f>
        <v>null</v>
      </c>
      <c r="N10" s="1401" t="str">
        <f t="array" ref="N10">_xlfn.IFNA(INDEX('Aviation Synfuel Data'!$G$4:$M$22,MATCH('Aviation Synfuel-TSData'!$B10&amp;'Aviation Synfuel-TSData'!$C10&amp;$H10,'Aviation Synfuel Data'!$C$4:$C$22&amp;'Aviation Synfuel Data'!$A$4:$A$22&amp;'Aviation Synfuel Data'!$D$4:$D$22,0),MATCH(N$2,'Aviation Synfuel Data'!$G$3:$M$3,0)),"null")</f>
        <v>null</v>
      </c>
      <c r="O10" s="1401" t="str">
        <f t="array" ref="O10">_xlfn.IFNA(INDEX('Aviation Synfuel Data'!$G$4:$M$22,MATCH('Aviation Synfuel-TSData'!$B10&amp;'Aviation Synfuel-TSData'!$C10&amp;$H10,'Aviation Synfuel Data'!$C$4:$C$22&amp;'Aviation Synfuel Data'!$A$4:$A$22&amp;'Aviation Synfuel Data'!$D$4:$D$22,0),MATCH(O$2,'Aviation Synfuel Data'!$G$3:$M$3,0)),"null")</f>
        <v>null</v>
      </c>
      <c r="P10" s="1401" t="str">
        <f t="array" ref="P10">_xlfn.IFNA(INDEX('Aviation Synfuel Data'!$G$4:$M$22,MATCH('Aviation Synfuel-TSData'!$B10&amp;'Aviation Synfuel-TSData'!$C10&amp;$H10,'Aviation Synfuel Data'!$C$4:$C$22&amp;'Aviation Synfuel Data'!$A$4:$A$22&amp;'Aviation Synfuel Data'!$D$4:$D$22,0),MATCH(P$2,'Aviation Synfuel Data'!$G$3:$M$3,0)),"null")</f>
        <v>null</v>
      </c>
      <c r="Q10" s="1401" t="str">
        <f t="array" ref="Q10">_xlfn.IFNA(INDEX('Aviation Synfuel Data'!$G$4:$M$22,MATCH('Aviation Synfuel-TSData'!$B10&amp;'Aviation Synfuel-TSData'!$C10&amp;$H10,'Aviation Synfuel Data'!$C$4:$C$22&amp;'Aviation Synfuel Data'!$A$4:$A$22&amp;'Aviation Synfuel Data'!$D$4:$D$22,0),MATCH(Q$2,'Aviation Synfuel Data'!$G$3:$M$3,0)),"null")</f>
        <v>null</v>
      </c>
      <c r="R10" s="1401">
        <f t="array" ref="R10">_xlfn.IFNA(INDEX('Aviation Synfuel Data'!$G$4:$M$22,MATCH('Aviation Synfuel-TSData'!$B10&amp;'Aviation Synfuel-TSData'!$C10&amp;$H10,'Aviation Synfuel Data'!$C$4:$C$22&amp;'Aviation Synfuel Data'!$A$4:$A$22&amp;'Aviation Synfuel Data'!$D$4:$D$22,0),MATCH(R$2,'Aviation Synfuel Data'!$G$3:$M$3,0)),"null")</f>
        <v>0.5</v>
      </c>
      <c r="S10" s="1401" t="str">
        <f t="array" ref="S10">_xlfn.IFNA(INDEX('Aviation Synfuel Data'!$G$4:$M$22,MATCH('Aviation Synfuel-TSData'!$B10&amp;'Aviation Synfuel-TSData'!$C10&amp;$H10,'Aviation Synfuel Data'!$C$4:$C$22&amp;'Aviation Synfuel Data'!$A$4:$A$22&amp;'Aviation Synfuel Data'!$D$4:$D$22,0),MATCH(S$2,'Aviation Synfuel Data'!$G$3:$M$3,0)),"null")</f>
        <v>null</v>
      </c>
      <c r="T10" s="1401" t="str">
        <f t="array" ref="T10">_xlfn.IFNA(INDEX('Aviation Synfuel Data'!$G$4:$M$22,MATCH('Aviation Synfuel-TSData'!$B10&amp;'Aviation Synfuel-TSData'!$C10&amp;$H10,'Aviation Synfuel Data'!$C$4:$C$22&amp;'Aviation Synfuel Data'!$A$4:$A$22&amp;'Aviation Synfuel Data'!$D$4:$D$22,0),MATCH(T$2,'Aviation Synfuel Data'!$G$3:$M$3,0)),"null")</f>
        <v>null</v>
      </c>
      <c r="U10" s="1401" t="str">
        <f t="array" ref="U10">_xlfn.IFNA(INDEX('Aviation Synfuel Data'!$G$4:$M$22,MATCH('Aviation Synfuel-TSData'!$B10&amp;'Aviation Synfuel-TSData'!$C10&amp;$H10,'Aviation Synfuel Data'!$C$4:$C$22&amp;'Aviation Synfuel Data'!$A$4:$A$22&amp;'Aviation Synfuel Data'!$D$4:$D$22,0),MATCH(U$2,'Aviation Synfuel Data'!$G$3:$M$3,0)),"null")</f>
        <v>null</v>
      </c>
      <c r="V10" s="1401" t="str">
        <f t="array" ref="V10">_xlfn.IFNA(INDEX('Aviation Synfuel Data'!$G$4:$M$22,MATCH('Aviation Synfuel-TSData'!$B10&amp;'Aviation Synfuel-TSData'!$C10&amp;$H10,'Aviation Synfuel Data'!$C$4:$C$22&amp;'Aviation Synfuel Data'!$A$4:$A$22&amp;'Aviation Synfuel Data'!$D$4:$D$22,0),MATCH(V$2,'Aviation Synfuel Data'!$G$3:$M$3,0)),"null")</f>
        <v>null</v>
      </c>
      <c r="W10" s="1401" t="str">
        <f t="array" ref="W10">_xlfn.IFNA(INDEX('Aviation Synfuel Data'!$G$4:$M$22,MATCH('Aviation Synfuel-TSData'!$B10&amp;'Aviation Synfuel-TSData'!$C10&amp;$H10,'Aviation Synfuel Data'!$C$4:$C$22&amp;'Aviation Synfuel Data'!$A$4:$A$22&amp;'Aviation Synfuel Data'!$D$4:$D$22,0),MATCH(W$2,'Aviation Synfuel Data'!$G$3:$M$3,0)),"null")</f>
        <v>null</v>
      </c>
      <c r="X10" s="1401" t="str">
        <f t="array" ref="X10">_xlfn.IFNA(INDEX('Aviation Synfuel Data'!$G$4:$M$22,MATCH('Aviation Synfuel-TSData'!$B10&amp;'Aviation Synfuel-TSData'!$C10&amp;$H10,'Aviation Synfuel Data'!$C$4:$C$22&amp;'Aviation Synfuel Data'!$A$4:$A$22&amp;'Aviation Synfuel Data'!$D$4:$D$22,0),MATCH(X$2,'Aviation Synfuel Data'!$G$3:$M$3,0)),"null")</f>
        <v>null</v>
      </c>
      <c r="Y10" s="1401" t="str">
        <f t="array" ref="Y10">_xlfn.IFNA(INDEX('Aviation Synfuel Data'!$G$4:$M$22,MATCH('Aviation Synfuel-TSData'!$B10&amp;'Aviation Synfuel-TSData'!$C10&amp;$H10,'Aviation Synfuel Data'!$C$4:$C$22&amp;'Aviation Synfuel Data'!$A$4:$A$22&amp;'Aviation Synfuel Data'!$D$4:$D$22,0),MATCH(Y$2,'Aviation Synfuel Data'!$G$3:$M$3,0)),"null")</f>
        <v>null</v>
      </c>
      <c r="Z10" s="1401" t="str">
        <f t="array" ref="Z10">_xlfn.IFNA(INDEX('Aviation Synfuel Data'!$G$4:$M$22,MATCH('Aviation Synfuel-TSData'!$B10&amp;'Aviation Synfuel-TSData'!$C10&amp;$H10,'Aviation Synfuel Data'!$C$4:$C$22&amp;'Aviation Synfuel Data'!$A$4:$A$22&amp;'Aviation Synfuel Data'!$D$4:$D$22,0),MATCH(Z$2,'Aviation Synfuel Data'!$G$3:$M$3,0)),"null")</f>
        <v>null</v>
      </c>
      <c r="AA10" s="1401" t="str">
        <f t="array" ref="AA10">_xlfn.IFNA(INDEX('Aviation Synfuel Data'!$G$4:$M$22,MATCH('Aviation Synfuel-TSData'!$B10&amp;'Aviation Synfuel-TSData'!$C10&amp;$H10,'Aviation Synfuel Data'!$C$4:$C$22&amp;'Aviation Synfuel Data'!$A$4:$A$22&amp;'Aviation Synfuel Data'!$D$4:$D$22,0),MATCH(AA$2,'Aviation Synfuel Data'!$G$3:$M$3,0)),"null")</f>
        <v>null</v>
      </c>
      <c r="AB10" s="1401">
        <f t="array" ref="AB10">_xlfn.IFNA(INDEX('Aviation Synfuel Data'!$G$4:$M$22,MATCH('Aviation Synfuel-TSData'!$B10&amp;'Aviation Synfuel-TSData'!$C10&amp;$H10,'Aviation Synfuel Data'!$C$4:$C$22&amp;'Aviation Synfuel Data'!$A$4:$A$22&amp;'Aviation Synfuel Data'!$D$4:$D$22,0),MATCH(AB$2,'Aviation Synfuel Data'!$G$3:$M$3,0)),"null")</f>
        <v>0.5</v>
      </c>
      <c r="AC10" s="1401" t="str">
        <f t="array" ref="AC10">_xlfn.IFNA(INDEX('Aviation Synfuel Data'!$G$4:$M$22,MATCH('Aviation Synfuel-TSData'!$B10&amp;'Aviation Synfuel-TSData'!$C10&amp;$H10,'Aviation Synfuel Data'!$C$4:$C$22&amp;'Aviation Synfuel Data'!$A$4:$A$22&amp;'Aviation Synfuel Data'!$D$4:$D$22,0),MATCH(AC$2,'Aviation Synfuel Data'!$G$3:$M$3,0)),"null")</f>
        <v>null</v>
      </c>
      <c r="AD10" s="1401" t="str">
        <f t="array" ref="AD10">_xlfn.IFNA(INDEX('Aviation Synfuel Data'!$G$4:$M$22,MATCH('Aviation Synfuel-TSData'!$B10&amp;'Aviation Synfuel-TSData'!$C10&amp;$H10,'Aviation Synfuel Data'!$C$4:$C$22&amp;'Aviation Synfuel Data'!$A$4:$A$22&amp;'Aviation Synfuel Data'!$D$4:$D$22,0),MATCH(AD$2,'Aviation Synfuel Data'!$G$3:$M$3,0)),"null")</f>
        <v>null</v>
      </c>
      <c r="AE10" s="1401" t="str">
        <f t="array" ref="AE10">_xlfn.IFNA(INDEX('Aviation Synfuel Data'!$G$4:$M$22,MATCH('Aviation Synfuel-TSData'!$B10&amp;'Aviation Synfuel-TSData'!$C10&amp;$H10,'Aviation Synfuel Data'!$C$4:$C$22&amp;'Aviation Synfuel Data'!$A$4:$A$22&amp;'Aviation Synfuel Data'!$D$4:$D$22,0),MATCH(AE$2,'Aviation Synfuel Data'!$G$3:$M$3,0)),"null")</f>
        <v>null</v>
      </c>
      <c r="AF10" s="1401" t="str">
        <f t="array" ref="AF10">_xlfn.IFNA(INDEX('Aviation Synfuel Data'!$G$4:$M$22,MATCH('Aviation Synfuel-TSData'!$B10&amp;'Aviation Synfuel-TSData'!$C10&amp;$H10,'Aviation Synfuel Data'!$C$4:$C$22&amp;'Aviation Synfuel Data'!$A$4:$A$22&amp;'Aviation Synfuel Data'!$D$4:$D$22,0),MATCH(AF$2,'Aviation Synfuel Data'!$G$3:$M$3,0)),"null")</f>
        <v>null</v>
      </c>
      <c r="AG10" s="1401">
        <f t="array" ref="AG10">_xlfn.IFNA(INDEX('Aviation Synfuel Data'!$G$4:$M$22,MATCH('Aviation Synfuel-TSData'!$B10&amp;'Aviation Synfuel-TSData'!$C10&amp;$H10,'Aviation Synfuel Data'!$C$4:$C$22&amp;'Aviation Synfuel Data'!$A$4:$A$22&amp;'Aviation Synfuel Data'!$D$4:$D$22,0),MATCH(AG$2,'Aviation Synfuel Data'!$G$3:$M$3,0)),"null")</f>
        <v>0.5</v>
      </c>
      <c r="AH10" s="1401" t="str">
        <f t="array" ref="AH10">_xlfn.IFNA(INDEX('Aviation Synfuel Data'!$G$4:$M$22,MATCH('Aviation Synfuel-TSData'!$B10&amp;'Aviation Synfuel-TSData'!$C10&amp;$H10,'Aviation Synfuel Data'!$C$4:$C$22&amp;'Aviation Synfuel Data'!$A$4:$A$22&amp;'Aviation Synfuel Data'!$D$4:$D$22,0),MATCH(AH$2,'Aviation Synfuel Data'!$G$3:$M$3,0)),"null")</f>
        <v>null</v>
      </c>
      <c r="AI10" s="1401" t="str">
        <f t="array" ref="AI10">_xlfn.IFNA(INDEX('Aviation Synfuel Data'!$G$4:$M$22,MATCH('Aviation Synfuel-TSData'!$B10&amp;'Aviation Synfuel-TSData'!$C10&amp;$H10,'Aviation Synfuel Data'!$C$4:$C$22&amp;'Aviation Synfuel Data'!$A$4:$A$22&amp;'Aviation Synfuel Data'!$D$4:$D$22,0),MATCH(AI$2,'Aviation Synfuel Data'!$G$3:$M$3,0)),"null")</f>
        <v>null</v>
      </c>
      <c r="AJ10" s="1401" t="str">
        <f t="array" ref="AJ10">_xlfn.IFNA(INDEX('Aviation Synfuel Data'!$G$4:$M$22,MATCH('Aviation Synfuel-TSData'!$B10&amp;'Aviation Synfuel-TSData'!$C10&amp;$H10,'Aviation Synfuel Data'!$C$4:$C$22&amp;'Aviation Synfuel Data'!$A$4:$A$22&amp;'Aviation Synfuel Data'!$D$4:$D$22,0),MATCH(AJ$2,'Aviation Synfuel Data'!$G$3:$M$3,0)),"null")</f>
        <v>null</v>
      </c>
      <c r="AK10" s="1401" t="str">
        <f t="array" ref="AK10">_xlfn.IFNA(INDEX('Aviation Synfuel Data'!$G$4:$M$22,MATCH('Aviation Synfuel-TSData'!$B10&amp;'Aviation Synfuel-TSData'!$C10&amp;$H10,'Aviation Synfuel Data'!$C$4:$C$22&amp;'Aviation Synfuel Data'!$A$4:$A$22&amp;'Aviation Synfuel Data'!$D$4:$D$22,0),MATCH(AK$2,'Aviation Synfuel Data'!$G$3:$M$3,0)),"null")</f>
        <v>null</v>
      </c>
      <c r="AL10" s="1401">
        <f t="array" ref="AL10">_xlfn.IFNA(INDEX('Aviation Synfuel Data'!$G$4:$M$22,MATCH('Aviation Synfuel-TSData'!$B10&amp;'Aviation Synfuel-TSData'!$C10&amp;$H10,'Aviation Synfuel Data'!$C$4:$C$22&amp;'Aviation Synfuel Data'!$A$4:$A$22&amp;'Aviation Synfuel Data'!$D$4:$D$22,0),MATCH(AL$2,'Aviation Synfuel Data'!$G$3:$M$3,0)),"null")</f>
        <v>0.5</v>
      </c>
      <c r="AM10" s="1401" t="str">
        <f t="array" ref="AM10">_xlfn.IFNA(INDEX('Aviation Synfuel Data'!$G$4:$M$22,MATCH('Aviation Synfuel-TSData'!$B10&amp;'Aviation Synfuel-TSData'!$C10&amp;$H10,'Aviation Synfuel Data'!$C$4:$C$22&amp;'Aviation Synfuel Data'!$A$4:$A$22&amp;'Aviation Synfuel Data'!$D$4:$D$22,0),MATCH(AM$2,'Aviation Synfuel Data'!$G$3:$M$3,0)),"null")</f>
        <v>null</v>
      </c>
      <c r="AN10" s="1401">
        <f t="array" ref="AN10">_xlfn.IFNA(INDEX('Aviation Synfuel Data'!$G$4:$M$22,MATCH('Aviation Synfuel-TSData'!$B10&amp;'Aviation Synfuel-TSData'!$C10&amp;$H10,'Aviation Synfuel Data'!$C$4:$C$22&amp;'Aviation Synfuel Data'!$A$4:$A$22&amp;'Aviation Synfuel Data'!$D$4:$D$22,0),MATCH(AN$2,'Aviation Synfuel Data'!$G$3:$M$3,0)),"null")</f>
        <v>0.5</v>
      </c>
      <c r="AO10" s="1401">
        <f t="array" ref="AO10">_xlfn.IFNA(INDEX('Aviation Synfuel Data'!$G$4:$M$22,MATCH('Aviation Synfuel-TSData'!$B10&amp;'Aviation Synfuel-TSData'!$C10&amp;$H10,'Aviation Synfuel Data'!$C$4:$C$22&amp;'Aviation Synfuel Data'!$A$4:$A$22&amp;'Aviation Synfuel Data'!$D$4:$D$22,0),MATCH(AO$2,'Aviation Synfuel Data'!$G$3:$M$3,0)),"null")</f>
        <v>0.5</v>
      </c>
      <c r="AP10" s="1401">
        <f t="array" ref="AP10">_xlfn.IFNA(INDEX('Aviation Synfuel Data'!$G$4:$M$22,MATCH('Aviation Synfuel-TSData'!$B10&amp;'Aviation Synfuel-TSData'!$C10&amp;$H10,'Aviation Synfuel Data'!$C$4:$C$22&amp;'Aviation Synfuel Data'!$A$4:$A$22&amp;'Aviation Synfuel Data'!$D$4:$D$22,0),MATCH(AP$2,'Aviation Synfuel Data'!$G$3:$M$3,0)),"null")</f>
        <v>0.5</v>
      </c>
    </row>
    <row r="11" spans="1:42">
      <c r="B11" s="1409" t="s">
        <v>602</v>
      </c>
      <c r="C11" s="1409" t="s">
        <v>14604</v>
      </c>
      <c r="D11" s="1409" t="s">
        <v>334</v>
      </c>
      <c r="E11" s="1409" t="s">
        <v>334</v>
      </c>
      <c r="F11" s="1409" t="s">
        <v>334</v>
      </c>
      <c r="G11" s="1409" t="s">
        <v>334</v>
      </c>
      <c r="H11" s="1409" t="s">
        <v>338</v>
      </c>
      <c r="I11" s="1409">
        <v>3</v>
      </c>
      <c r="J11" s="1401" t="str">
        <f t="array" ref="J11">_xlfn.IFNA(INDEX('Aviation Synfuel Data'!$G$4:$M$22,MATCH('Aviation Synfuel-TSData'!$B11&amp;'Aviation Synfuel-TSData'!$C11&amp;$H11,'Aviation Synfuel Data'!$C$4:$C$22&amp;'Aviation Synfuel Data'!$A$4:$A$22&amp;'Aviation Synfuel Data'!$D$4:$D$22,0),MATCH(J$2,'Aviation Synfuel Data'!$G$3:$M$3,0)),"null")</f>
        <v>null</v>
      </c>
      <c r="K11" s="1401" t="str">
        <f t="array" ref="K11">_xlfn.IFNA(INDEX('Aviation Synfuel Data'!$G$4:$M$22,MATCH('Aviation Synfuel-TSData'!$B11&amp;'Aviation Synfuel-TSData'!$C11&amp;$H11,'Aviation Synfuel Data'!$C$4:$C$22&amp;'Aviation Synfuel Data'!$A$4:$A$22&amp;'Aviation Synfuel Data'!$D$4:$D$22,0),MATCH(K$2,'Aviation Synfuel Data'!$G$3:$M$3,0)),"null")</f>
        <v>null</v>
      </c>
      <c r="L11" s="1401" t="str">
        <f t="array" ref="L11">_xlfn.IFNA(INDEX('Aviation Synfuel Data'!$G$4:$M$22,MATCH('Aviation Synfuel-TSData'!$B11&amp;'Aviation Synfuel-TSData'!$C11&amp;$H11,'Aviation Synfuel Data'!$C$4:$C$22&amp;'Aviation Synfuel Data'!$A$4:$A$22&amp;'Aviation Synfuel Data'!$D$4:$D$22,0),MATCH(L$2,'Aviation Synfuel Data'!$G$3:$M$3,0)),"null")</f>
        <v>null</v>
      </c>
      <c r="M11" s="1401" t="str">
        <f t="array" ref="M11">_xlfn.IFNA(INDEX('Aviation Synfuel Data'!$G$4:$M$22,MATCH('Aviation Synfuel-TSData'!$B11&amp;'Aviation Synfuel-TSData'!$C11&amp;$H11,'Aviation Synfuel Data'!$C$4:$C$22&amp;'Aviation Synfuel Data'!$A$4:$A$22&amp;'Aviation Synfuel Data'!$D$4:$D$22,0),MATCH(M$2,'Aviation Synfuel Data'!$G$3:$M$3,0)),"null")</f>
        <v>null</v>
      </c>
      <c r="N11" s="1401" t="str">
        <f t="array" ref="N11">_xlfn.IFNA(INDEX('Aviation Synfuel Data'!$G$4:$M$22,MATCH('Aviation Synfuel-TSData'!$B11&amp;'Aviation Synfuel-TSData'!$C11&amp;$H11,'Aviation Synfuel Data'!$C$4:$C$22&amp;'Aviation Synfuel Data'!$A$4:$A$22&amp;'Aviation Synfuel Data'!$D$4:$D$22,0),MATCH(N$2,'Aviation Synfuel Data'!$G$3:$M$3,0)),"null")</f>
        <v>null</v>
      </c>
      <c r="O11" s="1401" t="str">
        <f t="array" ref="O11">_xlfn.IFNA(INDEX('Aviation Synfuel Data'!$G$4:$M$22,MATCH('Aviation Synfuel-TSData'!$B11&amp;'Aviation Synfuel-TSData'!$C11&amp;$H11,'Aviation Synfuel Data'!$C$4:$C$22&amp;'Aviation Synfuel Data'!$A$4:$A$22&amp;'Aviation Synfuel Data'!$D$4:$D$22,0),MATCH(O$2,'Aviation Synfuel Data'!$G$3:$M$3,0)),"null")</f>
        <v>null</v>
      </c>
      <c r="P11" s="1401" t="str">
        <f t="array" ref="P11">_xlfn.IFNA(INDEX('Aviation Synfuel Data'!$G$4:$M$22,MATCH('Aviation Synfuel-TSData'!$B11&amp;'Aviation Synfuel-TSData'!$C11&amp;$H11,'Aviation Synfuel Data'!$C$4:$C$22&amp;'Aviation Synfuel Data'!$A$4:$A$22&amp;'Aviation Synfuel Data'!$D$4:$D$22,0),MATCH(P$2,'Aviation Synfuel Data'!$G$3:$M$3,0)),"null")</f>
        <v>null</v>
      </c>
      <c r="Q11" s="1401" t="str">
        <f t="array" ref="Q11">_xlfn.IFNA(INDEX('Aviation Synfuel Data'!$G$4:$M$22,MATCH('Aviation Synfuel-TSData'!$B11&amp;'Aviation Synfuel-TSData'!$C11&amp;$H11,'Aviation Synfuel Data'!$C$4:$C$22&amp;'Aviation Synfuel Data'!$A$4:$A$22&amp;'Aviation Synfuel Data'!$D$4:$D$22,0),MATCH(Q$2,'Aviation Synfuel Data'!$G$3:$M$3,0)),"null")</f>
        <v>null</v>
      </c>
      <c r="R11" s="1401">
        <f t="array" ref="R11">_xlfn.IFNA(INDEX('Aviation Synfuel Data'!$G$4:$M$22,MATCH('Aviation Synfuel-TSData'!$B11&amp;'Aviation Synfuel-TSData'!$C11&amp;$H11,'Aviation Synfuel Data'!$C$4:$C$22&amp;'Aviation Synfuel Data'!$A$4:$A$22&amp;'Aviation Synfuel Data'!$D$4:$D$22,0),MATCH(R$2,'Aviation Synfuel Data'!$G$3:$M$3,0)),"null")</f>
        <v>0.91324200913242004</v>
      </c>
      <c r="S11" s="1401" t="str">
        <f t="array" ref="S11">_xlfn.IFNA(INDEX('Aviation Synfuel Data'!$G$4:$M$22,MATCH('Aviation Synfuel-TSData'!$B11&amp;'Aviation Synfuel-TSData'!$C11&amp;$H11,'Aviation Synfuel Data'!$C$4:$C$22&amp;'Aviation Synfuel Data'!$A$4:$A$22&amp;'Aviation Synfuel Data'!$D$4:$D$22,0),MATCH(S$2,'Aviation Synfuel Data'!$G$3:$M$3,0)),"null")</f>
        <v>null</v>
      </c>
      <c r="T11" s="1401" t="str">
        <f t="array" ref="T11">_xlfn.IFNA(INDEX('Aviation Synfuel Data'!$G$4:$M$22,MATCH('Aviation Synfuel-TSData'!$B11&amp;'Aviation Synfuel-TSData'!$C11&amp;$H11,'Aviation Synfuel Data'!$C$4:$C$22&amp;'Aviation Synfuel Data'!$A$4:$A$22&amp;'Aviation Synfuel Data'!$D$4:$D$22,0),MATCH(T$2,'Aviation Synfuel Data'!$G$3:$M$3,0)),"null")</f>
        <v>null</v>
      </c>
      <c r="U11" s="1401" t="str">
        <f t="array" ref="U11">_xlfn.IFNA(INDEX('Aviation Synfuel Data'!$G$4:$M$22,MATCH('Aviation Synfuel-TSData'!$B11&amp;'Aviation Synfuel-TSData'!$C11&amp;$H11,'Aviation Synfuel Data'!$C$4:$C$22&amp;'Aviation Synfuel Data'!$A$4:$A$22&amp;'Aviation Synfuel Data'!$D$4:$D$22,0),MATCH(U$2,'Aviation Synfuel Data'!$G$3:$M$3,0)),"null")</f>
        <v>null</v>
      </c>
      <c r="V11" s="1401" t="str">
        <f t="array" ref="V11">_xlfn.IFNA(INDEX('Aviation Synfuel Data'!$G$4:$M$22,MATCH('Aviation Synfuel-TSData'!$B11&amp;'Aviation Synfuel-TSData'!$C11&amp;$H11,'Aviation Synfuel Data'!$C$4:$C$22&amp;'Aviation Synfuel Data'!$A$4:$A$22&amp;'Aviation Synfuel Data'!$D$4:$D$22,0),MATCH(V$2,'Aviation Synfuel Data'!$G$3:$M$3,0)),"null")</f>
        <v>null</v>
      </c>
      <c r="W11" s="1401" t="str">
        <f t="array" ref="W11">_xlfn.IFNA(INDEX('Aviation Synfuel Data'!$G$4:$M$22,MATCH('Aviation Synfuel-TSData'!$B11&amp;'Aviation Synfuel-TSData'!$C11&amp;$H11,'Aviation Synfuel Data'!$C$4:$C$22&amp;'Aviation Synfuel Data'!$A$4:$A$22&amp;'Aviation Synfuel Data'!$D$4:$D$22,0),MATCH(W$2,'Aviation Synfuel Data'!$G$3:$M$3,0)),"null")</f>
        <v>null</v>
      </c>
      <c r="X11" s="1401" t="str">
        <f t="array" ref="X11">_xlfn.IFNA(INDEX('Aviation Synfuel Data'!$G$4:$M$22,MATCH('Aviation Synfuel-TSData'!$B11&amp;'Aviation Synfuel-TSData'!$C11&amp;$H11,'Aviation Synfuel Data'!$C$4:$C$22&amp;'Aviation Synfuel Data'!$A$4:$A$22&amp;'Aviation Synfuel Data'!$D$4:$D$22,0),MATCH(X$2,'Aviation Synfuel Data'!$G$3:$M$3,0)),"null")</f>
        <v>null</v>
      </c>
      <c r="Y11" s="1401" t="str">
        <f t="array" ref="Y11">_xlfn.IFNA(INDEX('Aviation Synfuel Data'!$G$4:$M$22,MATCH('Aviation Synfuel-TSData'!$B11&amp;'Aviation Synfuel-TSData'!$C11&amp;$H11,'Aviation Synfuel Data'!$C$4:$C$22&amp;'Aviation Synfuel Data'!$A$4:$A$22&amp;'Aviation Synfuel Data'!$D$4:$D$22,0),MATCH(Y$2,'Aviation Synfuel Data'!$G$3:$M$3,0)),"null")</f>
        <v>null</v>
      </c>
      <c r="Z11" s="1401" t="str">
        <f t="array" ref="Z11">_xlfn.IFNA(INDEX('Aviation Synfuel Data'!$G$4:$M$22,MATCH('Aviation Synfuel-TSData'!$B11&amp;'Aviation Synfuel-TSData'!$C11&amp;$H11,'Aviation Synfuel Data'!$C$4:$C$22&amp;'Aviation Synfuel Data'!$A$4:$A$22&amp;'Aviation Synfuel Data'!$D$4:$D$22,0),MATCH(Z$2,'Aviation Synfuel Data'!$G$3:$M$3,0)),"null")</f>
        <v>null</v>
      </c>
      <c r="AA11" s="1401" t="str">
        <f t="array" ref="AA11">_xlfn.IFNA(INDEX('Aviation Synfuel Data'!$G$4:$M$22,MATCH('Aviation Synfuel-TSData'!$B11&amp;'Aviation Synfuel-TSData'!$C11&amp;$H11,'Aviation Synfuel Data'!$C$4:$C$22&amp;'Aviation Synfuel Data'!$A$4:$A$22&amp;'Aviation Synfuel Data'!$D$4:$D$22,0),MATCH(AA$2,'Aviation Synfuel Data'!$G$3:$M$3,0)),"null")</f>
        <v>null</v>
      </c>
      <c r="AB11" s="1401">
        <f t="array" ref="AB11">_xlfn.IFNA(INDEX('Aviation Synfuel Data'!$G$4:$M$22,MATCH('Aviation Synfuel-TSData'!$B11&amp;'Aviation Synfuel-TSData'!$C11&amp;$H11,'Aviation Synfuel Data'!$C$4:$C$22&amp;'Aviation Synfuel Data'!$A$4:$A$22&amp;'Aviation Synfuel Data'!$D$4:$D$22,0),MATCH(AB$2,'Aviation Synfuel Data'!$G$3:$M$3,0)),"null")</f>
        <v>0.91324200913242004</v>
      </c>
      <c r="AC11" s="1401" t="str">
        <f t="array" ref="AC11">_xlfn.IFNA(INDEX('Aviation Synfuel Data'!$G$4:$M$22,MATCH('Aviation Synfuel-TSData'!$B11&amp;'Aviation Synfuel-TSData'!$C11&amp;$H11,'Aviation Synfuel Data'!$C$4:$C$22&amp;'Aviation Synfuel Data'!$A$4:$A$22&amp;'Aviation Synfuel Data'!$D$4:$D$22,0),MATCH(AC$2,'Aviation Synfuel Data'!$G$3:$M$3,0)),"null")</f>
        <v>null</v>
      </c>
      <c r="AD11" s="1401" t="str">
        <f t="array" ref="AD11">_xlfn.IFNA(INDEX('Aviation Synfuel Data'!$G$4:$M$22,MATCH('Aviation Synfuel-TSData'!$B11&amp;'Aviation Synfuel-TSData'!$C11&amp;$H11,'Aviation Synfuel Data'!$C$4:$C$22&amp;'Aviation Synfuel Data'!$A$4:$A$22&amp;'Aviation Synfuel Data'!$D$4:$D$22,0),MATCH(AD$2,'Aviation Synfuel Data'!$G$3:$M$3,0)),"null")</f>
        <v>null</v>
      </c>
      <c r="AE11" s="1401" t="str">
        <f t="array" ref="AE11">_xlfn.IFNA(INDEX('Aviation Synfuel Data'!$G$4:$M$22,MATCH('Aviation Synfuel-TSData'!$B11&amp;'Aviation Synfuel-TSData'!$C11&amp;$H11,'Aviation Synfuel Data'!$C$4:$C$22&amp;'Aviation Synfuel Data'!$A$4:$A$22&amp;'Aviation Synfuel Data'!$D$4:$D$22,0),MATCH(AE$2,'Aviation Synfuel Data'!$G$3:$M$3,0)),"null")</f>
        <v>null</v>
      </c>
      <c r="AF11" s="1401" t="str">
        <f t="array" ref="AF11">_xlfn.IFNA(INDEX('Aviation Synfuel Data'!$G$4:$M$22,MATCH('Aviation Synfuel-TSData'!$B11&amp;'Aviation Synfuel-TSData'!$C11&amp;$H11,'Aviation Synfuel Data'!$C$4:$C$22&amp;'Aviation Synfuel Data'!$A$4:$A$22&amp;'Aviation Synfuel Data'!$D$4:$D$22,0),MATCH(AF$2,'Aviation Synfuel Data'!$G$3:$M$3,0)),"null")</f>
        <v>null</v>
      </c>
      <c r="AG11" s="1401">
        <f t="array" ref="AG11">_xlfn.IFNA(INDEX('Aviation Synfuel Data'!$G$4:$M$22,MATCH('Aviation Synfuel-TSData'!$B11&amp;'Aviation Synfuel-TSData'!$C11&amp;$H11,'Aviation Synfuel Data'!$C$4:$C$22&amp;'Aviation Synfuel Data'!$A$4:$A$22&amp;'Aviation Synfuel Data'!$D$4:$D$22,0),MATCH(AG$2,'Aviation Synfuel Data'!$G$3:$M$3,0)),"null")</f>
        <v>0.91324200913242004</v>
      </c>
      <c r="AH11" s="1401" t="str">
        <f t="array" ref="AH11">_xlfn.IFNA(INDEX('Aviation Synfuel Data'!$G$4:$M$22,MATCH('Aviation Synfuel-TSData'!$B11&amp;'Aviation Synfuel-TSData'!$C11&amp;$H11,'Aviation Synfuel Data'!$C$4:$C$22&amp;'Aviation Synfuel Data'!$A$4:$A$22&amp;'Aviation Synfuel Data'!$D$4:$D$22,0),MATCH(AH$2,'Aviation Synfuel Data'!$G$3:$M$3,0)),"null")</f>
        <v>null</v>
      </c>
      <c r="AI11" s="1401" t="str">
        <f t="array" ref="AI11">_xlfn.IFNA(INDEX('Aviation Synfuel Data'!$G$4:$M$22,MATCH('Aviation Synfuel-TSData'!$B11&amp;'Aviation Synfuel-TSData'!$C11&amp;$H11,'Aviation Synfuel Data'!$C$4:$C$22&amp;'Aviation Synfuel Data'!$A$4:$A$22&amp;'Aviation Synfuel Data'!$D$4:$D$22,0),MATCH(AI$2,'Aviation Synfuel Data'!$G$3:$M$3,0)),"null")</f>
        <v>null</v>
      </c>
      <c r="AJ11" s="1401" t="str">
        <f t="array" ref="AJ11">_xlfn.IFNA(INDEX('Aviation Synfuel Data'!$G$4:$M$22,MATCH('Aviation Synfuel-TSData'!$B11&amp;'Aviation Synfuel-TSData'!$C11&amp;$H11,'Aviation Synfuel Data'!$C$4:$C$22&amp;'Aviation Synfuel Data'!$A$4:$A$22&amp;'Aviation Synfuel Data'!$D$4:$D$22,0),MATCH(AJ$2,'Aviation Synfuel Data'!$G$3:$M$3,0)),"null")</f>
        <v>null</v>
      </c>
      <c r="AK11" s="1401" t="str">
        <f t="array" ref="AK11">_xlfn.IFNA(INDEX('Aviation Synfuel Data'!$G$4:$M$22,MATCH('Aviation Synfuel-TSData'!$B11&amp;'Aviation Synfuel-TSData'!$C11&amp;$H11,'Aviation Synfuel Data'!$C$4:$C$22&amp;'Aviation Synfuel Data'!$A$4:$A$22&amp;'Aviation Synfuel Data'!$D$4:$D$22,0),MATCH(AK$2,'Aviation Synfuel Data'!$G$3:$M$3,0)),"null")</f>
        <v>null</v>
      </c>
      <c r="AL11" s="1401">
        <f t="array" ref="AL11">_xlfn.IFNA(INDEX('Aviation Synfuel Data'!$G$4:$M$22,MATCH('Aviation Synfuel-TSData'!$B11&amp;'Aviation Synfuel-TSData'!$C11&amp;$H11,'Aviation Synfuel Data'!$C$4:$C$22&amp;'Aviation Synfuel Data'!$A$4:$A$22&amp;'Aviation Synfuel Data'!$D$4:$D$22,0),MATCH(AL$2,'Aviation Synfuel Data'!$G$3:$M$3,0)),"null")</f>
        <v>0.91324200913242004</v>
      </c>
      <c r="AM11" s="1401" t="str">
        <f t="array" ref="AM11">_xlfn.IFNA(INDEX('Aviation Synfuel Data'!$G$4:$M$22,MATCH('Aviation Synfuel-TSData'!$B11&amp;'Aviation Synfuel-TSData'!$C11&amp;$H11,'Aviation Synfuel Data'!$C$4:$C$22&amp;'Aviation Synfuel Data'!$A$4:$A$22&amp;'Aviation Synfuel Data'!$D$4:$D$22,0),MATCH(AM$2,'Aviation Synfuel Data'!$G$3:$M$3,0)),"null")</f>
        <v>null</v>
      </c>
      <c r="AN11" s="1401">
        <f t="array" ref="AN11">_xlfn.IFNA(INDEX('Aviation Synfuel Data'!$G$4:$M$22,MATCH('Aviation Synfuel-TSData'!$B11&amp;'Aviation Synfuel-TSData'!$C11&amp;$H11,'Aviation Synfuel Data'!$C$4:$C$22&amp;'Aviation Synfuel Data'!$A$4:$A$22&amp;'Aviation Synfuel Data'!$D$4:$D$22,0),MATCH(AN$2,'Aviation Synfuel Data'!$G$3:$M$3,0)),"null")</f>
        <v>0.91324200913242004</v>
      </c>
      <c r="AO11" s="1401">
        <f t="array" ref="AO11">_xlfn.IFNA(INDEX('Aviation Synfuel Data'!$G$4:$M$22,MATCH('Aviation Synfuel-TSData'!$B11&amp;'Aviation Synfuel-TSData'!$C11&amp;$H11,'Aviation Synfuel Data'!$C$4:$C$22&amp;'Aviation Synfuel Data'!$A$4:$A$22&amp;'Aviation Synfuel Data'!$D$4:$D$22,0),MATCH(AO$2,'Aviation Synfuel Data'!$G$3:$M$3,0)),"null")</f>
        <v>0.91324200913242004</v>
      </c>
      <c r="AP11" s="1401">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c r="B12" s="1409" t="s">
        <v>839</v>
      </c>
      <c r="C12" s="1409" t="s">
        <v>14604</v>
      </c>
      <c r="D12" s="1409" t="s">
        <v>334</v>
      </c>
      <c r="E12" s="1409" t="s">
        <v>334</v>
      </c>
      <c r="F12" s="1409" t="s">
        <v>334</v>
      </c>
      <c r="G12" s="1409" t="s">
        <v>334</v>
      </c>
      <c r="H12" s="1409" t="s">
        <v>334</v>
      </c>
      <c r="I12" s="1409">
        <v>0</v>
      </c>
      <c r="J12" s="1401" t="str" cm="1">
        <f t="array" ref="J12">_xlfn.IFNA(INDEX('Aviation Synfuel Data'!$G$4:$M$22,MATCH('Aviation Synfuel-TSData'!$B12&amp;'Aviation Synfuel-TSData'!$C12&amp;$D12,'Aviation Synfuel Data'!$C$4:$C$22&amp;'Aviation Synfuel Data'!$A$4:$A$22&amp;'Aviation Synfuel Data'!$D$4:$D$22,0),MATCH(J$2,'Aviation Synfuel Data'!$G$3:$M$3,0)),"null")</f>
        <v>null</v>
      </c>
      <c r="K12" s="1401" t="str" cm="1">
        <f t="array" ref="K12">_xlfn.IFNA(INDEX('Aviation Synfuel Data'!$G$4:$M$22,MATCH('Aviation Synfuel-TSData'!$B12&amp;'Aviation Synfuel-TSData'!$C12&amp;$D12,'Aviation Synfuel Data'!$C$4:$C$22&amp;'Aviation Synfuel Data'!$A$4:$A$22&amp;'Aviation Synfuel Data'!$D$4:$D$22,0),MATCH(K$2,'Aviation Synfuel Data'!$G$3:$M$3,0)),"null")</f>
        <v>null</v>
      </c>
      <c r="L12" s="1401" t="str" cm="1">
        <f t="array" ref="L12">_xlfn.IFNA(INDEX('Aviation Synfuel Data'!$G$4:$M$22,MATCH('Aviation Synfuel-TSData'!$B12&amp;'Aviation Synfuel-TSData'!$C12&amp;$D12,'Aviation Synfuel Data'!$C$4:$C$22&amp;'Aviation Synfuel Data'!$A$4:$A$22&amp;'Aviation Synfuel Data'!$D$4:$D$22,0),MATCH(L$2,'Aviation Synfuel Data'!$G$3:$M$3,0)),"null")</f>
        <v>null</v>
      </c>
      <c r="M12" s="1401" t="str" cm="1">
        <f t="array" ref="M12">_xlfn.IFNA(INDEX('Aviation Synfuel Data'!$G$4:$M$22,MATCH('Aviation Synfuel-TSData'!$B12&amp;'Aviation Synfuel-TSData'!$C12&amp;$D12,'Aviation Synfuel Data'!$C$4:$C$22&amp;'Aviation Synfuel Data'!$A$4:$A$22&amp;'Aviation Synfuel Data'!$D$4:$D$22,0),MATCH(M$2,'Aviation Synfuel Data'!$G$3:$M$3,0)),"null")</f>
        <v>null</v>
      </c>
      <c r="N12" s="1401" t="str" cm="1">
        <f t="array" ref="N12">_xlfn.IFNA(INDEX('Aviation Synfuel Data'!$G$4:$M$22,MATCH('Aviation Synfuel-TSData'!$B12&amp;'Aviation Synfuel-TSData'!$C12&amp;$D12,'Aviation Synfuel Data'!$C$4:$C$22&amp;'Aviation Synfuel Data'!$A$4:$A$22&amp;'Aviation Synfuel Data'!$D$4:$D$22,0),MATCH(N$2,'Aviation Synfuel Data'!$G$3:$M$3,0)),"null")</f>
        <v>null</v>
      </c>
      <c r="O12" s="1401" t="str" cm="1">
        <f t="array" ref="O12">_xlfn.IFNA(INDEX('Aviation Synfuel Data'!$G$4:$M$22,MATCH('Aviation Synfuel-TSData'!$B12&amp;'Aviation Synfuel-TSData'!$C12&amp;$D12,'Aviation Synfuel Data'!$C$4:$C$22&amp;'Aviation Synfuel Data'!$A$4:$A$22&amp;'Aviation Synfuel Data'!$D$4:$D$22,0),MATCH(O$2,'Aviation Synfuel Data'!$G$3:$M$3,0)),"null")</f>
        <v>null</v>
      </c>
      <c r="P12" s="1401" t="str" cm="1">
        <f t="array" ref="P12">_xlfn.IFNA(INDEX('Aviation Synfuel Data'!$G$4:$M$22,MATCH('Aviation Synfuel-TSData'!$B12&amp;'Aviation Synfuel-TSData'!$C12&amp;$D12,'Aviation Synfuel Data'!$C$4:$C$22&amp;'Aviation Synfuel Data'!$A$4:$A$22&amp;'Aviation Synfuel Data'!$D$4:$D$22,0),MATCH(P$2,'Aviation Synfuel Data'!$G$3:$M$3,0)),"null")</f>
        <v>null</v>
      </c>
      <c r="Q12" s="1401" t="str" cm="1">
        <f t="array" ref="Q12">_xlfn.IFNA(INDEX('Aviation Synfuel Data'!$G$4:$M$22,MATCH('Aviation Synfuel-TSData'!$B12&amp;'Aviation Synfuel-TSData'!$C12&amp;$D12,'Aviation Synfuel Data'!$C$4:$C$22&amp;'Aviation Synfuel Data'!$A$4:$A$22&amp;'Aviation Synfuel Data'!$D$4:$D$22,0),MATCH(Q$2,'Aviation Synfuel Data'!$G$3:$M$3,0)),"null")</f>
        <v>null</v>
      </c>
      <c r="R12" s="1401" cm="1">
        <f t="array" ref="R12">_xlfn.IFNA(INDEX('Aviation Synfuel Data'!$G$4:$M$22,MATCH('Aviation Synfuel-TSData'!$B12&amp;'Aviation Synfuel-TSData'!$C12&amp;$D12,'Aviation Synfuel Data'!$C$4:$C$22&amp;'Aviation Synfuel Data'!$A$4:$A$22&amp;'Aviation Synfuel Data'!$D$4:$D$22,0),MATCH(R$2,'Aviation Synfuel Data'!$G$3:$M$3,0)),"null")</f>
        <v>477.77194211017741</v>
      </c>
      <c r="S12" s="1401" t="str" cm="1">
        <f t="array" ref="S12">_xlfn.IFNA(INDEX('Aviation Synfuel Data'!$G$4:$M$22,MATCH('Aviation Synfuel-TSData'!$B12&amp;'Aviation Synfuel-TSData'!$C12&amp;$D12,'Aviation Synfuel Data'!$C$4:$C$22&amp;'Aviation Synfuel Data'!$A$4:$A$22&amp;'Aviation Synfuel Data'!$D$4:$D$22,0),MATCH(S$2,'Aviation Synfuel Data'!$G$3:$M$3,0)),"null")</f>
        <v>null</v>
      </c>
      <c r="T12" s="1401" t="str" cm="1">
        <f t="array" ref="T12">_xlfn.IFNA(INDEX('Aviation Synfuel Data'!$G$4:$M$22,MATCH('Aviation Synfuel-TSData'!$B12&amp;'Aviation Synfuel-TSData'!$C12&amp;$D12,'Aviation Synfuel Data'!$C$4:$C$22&amp;'Aviation Synfuel Data'!$A$4:$A$22&amp;'Aviation Synfuel Data'!$D$4:$D$22,0),MATCH(T$2,'Aviation Synfuel Data'!$G$3:$M$3,0)),"null")</f>
        <v>null</v>
      </c>
      <c r="U12" s="1401" t="str" cm="1">
        <f t="array" ref="U12">_xlfn.IFNA(INDEX('Aviation Synfuel Data'!$G$4:$M$22,MATCH('Aviation Synfuel-TSData'!$B12&amp;'Aviation Synfuel-TSData'!$C12&amp;$D12,'Aviation Synfuel Data'!$C$4:$C$22&amp;'Aviation Synfuel Data'!$A$4:$A$22&amp;'Aviation Synfuel Data'!$D$4:$D$22,0),MATCH(U$2,'Aviation Synfuel Data'!$G$3:$M$3,0)),"null")</f>
        <v>null</v>
      </c>
      <c r="V12" s="1401" t="str" cm="1">
        <f t="array" ref="V12">_xlfn.IFNA(INDEX('Aviation Synfuel Data'!$G$4:$M$22,MATCH('Aviation Synfuel-TSData'!$B12&amp;'Aviation Synfuel-TSData'!$C12&amp;$D12,'Aviation Synfuel Data'!$C$4:$C$22&amp;'Aviation Synfuel Data'!$A$4:$A$22&amp;'Aviation Synfuel Data'!$D$4:$D$22,0),MATCH(V$2,'Aviation Synfuel Data'!$G$3:$M$3,0)),"null")</f>
        <v>null</v>
      </c>
      <c r="W12" s="1401" t="str" cm="1">
        <f t="array" ref="W12">_xlfn.IFNA(INDEX('Aviation Synfuel Data'!$G$4:$M$22,MATCH('Aviation Synfuel-TSData'!$B12&amp;'Aviation Synfuel-TSData'!$C12&amp;$D12,'Aviation Synfuel Data'!$C$4:$C$22&amp;'Aviation Synfuel Data'!$A$4:$A$22&amp;'Aviation Synfuel Data'!$D$4:$D$22,0),MATCH(W$2,'Aviation Synfuel Data'!$G$3:$M$3,0)),"null")</f>
        <v>null</v>
      </c>
      <c r="X12" s="1401" t="str" cm="1">
        <f t="array" ref="X12">_xlfn.IFNA(INDEX('Aviation Synfuel Data'!$G$4:$M$22,MATCH('Aviation Synfuel-TSData'!$B12&amp;'Aviation Synfuel-TSData'!$C12&amp;$D12,'Aviation Synfuel Data'!$C$4:$C$22&amp;'Aviation Synfuel Data'!$A$4:$A$22&amp;'Aviation Synfuel Data'!$D$4:$D$22,0),MATCH(X$2,'Aviation Synfuel Data'!$G$3:$M$3,0)),"null")</f>
        <v>null</v>
      </c>
      <c r="Y12" s="1401" t="str" cm="1">
        <f t="array" ref="Y12">_xlfn.IFNA(INDEX('Aviation Synfuel Data'!$G$4:$M$22,MATCH('Aviation Synfuel-TSData'!$B12&amp;'Aviation Synfuel-TSData'!$C12&amp;$D12,'Aviation Synfuel Data'!$C$4:$C$22&amp;'Aviation Synfuel Data'!$A$4:$A$22&amp;'Aviation Synfuel Data'!$D$4:$D$22,0),MATCH(Y$2,'Aviation Synfuel Data'!$G$3:$M$3,0)),"null")</f>
        <v>null</v>
      </c>
      <c r="Z12" s="1401" t="str" cm="1">
        <f t="array" ref="Z12">_xlfn.IFNA(INDEX('Aviation Synfuel Data'!$G$4:$M$22,MATCH('Aviation Synfuel-TSData'!$B12&amp;'Aviation Synfuel-TSData'!$C12&amp;$D12,'Aviation Synfuel Data'!$C$4:$C$22&amp;'Aviation Synfuel Data'!$A$4:$A$22&amp;'Aviation Synfuel Data'!$D$4:$D$22,0),MATCH(Z$2,'Aviation Synfuel Data'!$G$3:$M$3,0)),"null")</f>
        <v>null</v>
      </c>
      <c r="AA12" s="1401" t="str" cm="1">
        <f t="array" ref="AA12">_xlfn.IFNA(INDEX('Aviation Synfuel Data'!$G$4:$M$22,MATCH('Aviation Synfuel-TSData'!$B12&amp;'Aviation Synfuel-TSData'!$C12&amp;$D12,'Aviation Synfuel Data'!$C$4:$C$22&amp;'Aviation Synfuel Data'!$A$4:$A$22&amp;'Aviation Synfuel Data'!$D$4:$D$22,0),MATCH(AA$2,'Aviation Synfuel Data'!$G$3:$M$3,0)),"null")</f>
        <v>null</v>
      </c>
      <c r="AB12" s="1401"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1401" t="str" cm="1">
        <f t="array" ref="AC12">_xlfn.IFNA(INDEX('Aviation Synfuel Data'!$G$4:$M$22,MATCH('Aviation Synfuel-TSData'!$B12&amp;'Aviation Synfuel-TSData'!$C12&amp;$D12,'Aviation Synfuel Data'!$C$4:$C$22&amp;'Aviation Synfuel Data'!$A$4:$A$22&amp;'Aviation Synfuel Data'!$D$4:$D$22,0),MATCH(AC$2,'Aviation Synfuel Data'!$G$3:$M$3,0)),"null")</f>
        <v>null</v>
      </c>
      <c r="AD12" s="1401" t="str" cm="1">
        <f t="array" ref="AD12">_xlfn.IFNA(INDEX('Aviation Synfuel Data'!$G$4:$M$22,MATCH('Aviation Synfuel-TSData'!$B12&amp;'Aviation Synfuel-TSData'!$C12&amp;$D12,'Aviation Synfuel Data'!$C$4:$C$22&amp;'Aviation Synfuel Data'!$A$4:$A$22&amp;'Aviation Synfuel Data'!$D$4:$D$22,0),MATCH(AD$2,'Aviation Synfuel Data'!$G$3:$M$3,0)),"null")</f>
        <v>null</v>
      </c>
      <c r="AE12" s="1401" t="str" cm="1">
        <f t="array" ref="AE12">_xlfn.IFNA(INDEX('Aviation Synfuel Data'!$G$4:$M$22,MATCH('Aviation Synfuel-TSData'!$B12&amp;'Aviation Synfuel-TSData'!$C12&amp;$D12,'Aviation Synfuel Data'!$C$4:$C$22&amp;'Aviation Synfuel Data'!$A$4:$A$22&amp;'Aviation Synfuel Data'!$D$4:$D$22,0),MATCH(AE$2,'Aviation Synfuel Data'!$G$3:$M$3,0)),"null")</f>
        <v>null</v>
      </c>
      <c r="AF12" s="1401" t="str" cm="1">
        <f t="array" ref="AF12">_xlfn.IFNA(INDEX('Aviation Synfuel Data'!$G$4:$M$22,MATCH('Aviation Synfuel-TSData'!$B12&amp;'Aviation Synfuel-TSData'!$C12&amp;$D12,'Aviation Synfuel Data'!$C$4:$C$22&amp;'Aviation Synfuel Data'!$A$4:$A$22&amp;'Aviation Synfuel Data'!$D$4:$D$22,0),MATCH(AF$2,'Aviation Synfuel Data'!$G$3:$M$3,0)),"null")</f>
        <v>null</v>
      </c>
      <c r="AG12" s="1401"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1401" t="str" cm="1">
        <f t="array" ref="AH12">_xlfn.IFNA(INDEX('Aviation Synfuel Data'!$G$4:$M$22,MATCH('Aviation Synfuel-TSData'!$B12&amp;'Aviation Synfuel-TSData'!$C12&amp;$D12,'Aviation Synfuel Data'!$C$4:$C$22&amp;'Aviation Synfuel Data'!$A$4:$A$22&amp;'Aviation Synfuel Data'!$D$4:$D$22,0),MATCH(AH$2,'Aviation Synfuel Data'!$G$3:$M$3,0)),"null")</f>
        <v>null</v>
      </c>
      <c r="AI12" s="1401" t="str" cm="1">
        <f t="array" ref="AI12">_xlfn.IFNA(INDEX('Aviation Synfuel Data'!$G$4:$M$22,MATCH('Aviation Synfuel-TSData'!$B12&amp;'Aviation Synfuel-TSData'!$C12&amp;$D12,'Aviation Synfuel Data'!$C$4:$C$22&amp;'Aviation Synfuel Data'!$A$4:$A$22&amp;'Aviation Synfuel Data'!$D$4:$D$22,0),MATCH(AI$2,'Aviation Synfuel Data'!$G$3:$M$3,0)),"null")</f>
        <v>null</v>
      </c>
      <c r="AJ12" s="1401" t="str" cm="1">
        <f t="array" ref="AJ12">_xlfn.IFNA(INDEX('Aviation Synfuel Data'!$G$4:$M$22,MATCH('Aviation Synfuel-TSData'!$B12&amp;'Aviation Synfuel-TSData'!$C12&amp;$D12,'Aviation Synfuel Data'!$C$4:$C$22&amp;'Aviation Synfuel Data'!$A$4:$A$22&amp;'Aviation Synfuel Data'!$D$4:$D$22,0),MATCH(AJ$2,'Aviation Synfuel Data'!$G$3:$M$3,0)),"null")</f>
        <v>null</v>
      </c>
      <c r="AK12" s="1401" t="str" cm="1">
        <f t="array" ref="AK12">_xlfn.IFNA(INDEX('Aviation Synfuel Data'!$G$4:$M$22,MATCH('Aviation Synfuel-TSData'!$B12&amp;'Aviation Synfuel-TSData'!$C12&amp;$D12,'Aviation Synfuel Data'!$C$4:$C$22&amp;'Aviation Synfuel Data'!$A$4:$A$22&amp;'Aviation Synfuel Data'!$D$4:$D$22,0),MATCH(AK$2,'Aviation Synfuel Data'!$G$3:$M$3,0)),"null")</f>
        <v>null</v>
      </c>
      <c r="AL12" s="1401"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1401" t="str" cm="1">
        <f t="array" ref="AM12">_xlfn.IFNA(INDEX('Aviation Synfuel Data'!$G$4:$M$22,MATCH('Aviation Synfuel-TSData'!$B12&amp;'Aviation Synfuel-TSData'!$C12&amp;$D12,'Aviation Synfuel Data'!$C$4:$C$22&amp;'Aviation Synfuel Data'!$A$4:$A$22&amp;'Aviation Synfuel Data'!$D$4:$D$22,0),MATCH(AM$2,'Aviation Synfuel Data'!$G$3:$M$3,0)),"null")</f>
        <v>null</v>
      </c>
      <c r="AN12" s="1401"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1401"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1401"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c r="B13" s="1409" t="s">
        <v>849</v>
      </c>
      <c r="C13" s="1409" t="s">
        <v>14604</v>
      </c>
      <c r="D13" s="1409" t="s">
        <v>334</v>
      </c>
      <c r="E13" s="1409" t="s">
        <v>334</v>
      </c>
      <c r="F13" s="1409" t="s">
        <v>334</v>
      </c>
      <c r="G13" s="1409" t="s">
        <v>334</v>
      </c>
      <c r="H13" s="1409" t="s">
        <v>334</v>
      </c>
      <c r="I13" s="1409">
        <v>0</v>
      </c>
      <c r="J13" s="1401" t="str" cm="1">
        <f t="array" ref="J13">_xlfn.IFNA(INDEX('Aviation Synfuel Data'!$G$4:$M$22,MATCH('Aviation Synfuel-TSData'!$B13&amp;'Aviation Synfuel-TSData'!$C13&amp;$D13,'Aviation Synfuel Data'!$C$4:$C$22&amp;'Aviation Synfuel Data'!$A$4:$A$22&amp;'Aviation Synfuel Data'!$D$4:$D$22,0),MATCH(J$2,'Aviation Synfuel Data'!$G$3:$M$3,0)),"null")</f>
        <v>null</v>
      </c>
      <c r="K13" s="1401" t="str" cm="1">
        <f t="array" ref="K13">_xlfn.IFNA(INDEX('Aviation Synfuel Data'!$G$4:$M$22,MATCH('Aviation Synfuel-TSData'!$B13&amp;'Aviation Synfuel-TSData'!$C13&amp;$D13,'Aviation Synfuel Data'!$C$4:$C$22&amp;'Aviation Synfuel Data'!$A$4:$A$22&amp;'Aviation Synfuel Data'!$D$4:$D$22,0),MATCH(K$2,'Aviation Synfuel Data'!$G$3:$M$3,0)),"null")</f>
        <v>null</v>
      </c>
      <c r="L13" s="1401" t="str" cm="1">
        <f t="array" ref="L13">_xlfn.IFNA(INDEX('Aviation Synfuel Data'!$G$4:$M$22,MATCH('Aviation Synfuel-TSData'!$B13&amp;'Aviation Synfuel-TSData'!$C13&amp;$D13,'Aviation Synfuel Data'!$C$4:$C$22&amp;'Aviation Synfuel Data'!$A$4:$A$22&amp;'Aviation Synfuel Data'!$D$4:$D$22,0),MATCH(L$2,'Aviation Synfuel Data'!$G$3:$M$3,0)),"null")</f>
        <v>null</v>
      </c>
      <c r="M13" s="1401" t="str" cm="1">
        <f t="array" ref="M13">_xlfn.IFNA(INDEX('Aviation Synfuel Data'!$G$4:$M$22,MATCH('Aviation Synfuel-TSData'!$B13&amp;'Aviation Synfuel-TSData'!$C13&amp;$D13,'Aviation Synfuel Data'!$C$4:$C$22&amp;'Aviation Synfuel Data'!$A$4:$A$22&amp;'Aviation Synfuel Data'!$D$4:$D$22,0),MATCH(M$2,'Aviation Synfuel Data'!$G$3:$M$3,0)),"null")</f>
        <v>null</v>
      </c>
      <c r="N13" s="1401" t="str" cm="1">
        <f t="array" ref="N13">_xlfn.IFNA(INDEX('Aviation Synfuel Data'!$G$4:$M$22,MATCH('Aviation Synfuel-TSData'!$B13&amp;'Aviation Synfuel-TSData'!$C13&amp;$D13,'Aviation Synfuel Data'!$C$4:$C$22&amp;'Aviation Synfuel Data'!$A$4:$A$22&amp;'Aviation Synfuel Data'!$D$4:$D$22,0),MATCH(N$2,'Aviation Synfuel Data'!$G$3:$M$3,0)),"null")</f>
        <v>null</v>
      </c>
      <c r="O13" s="1401" t="str" cm="1">
        <f t="array" ref="O13">_xlfn.IFNA(INDEX('Aviation Synfuel Data'!$G$4:$M$22,MATCH('Aviation Synfuel-TSData'!$B13&amp;'Aviation Synfuel-TSData'!$C13&amp;$D13,'Aviation Synfuel Data'!$C$4:$C$22&amp;'Aviation Synfuel Data'!$A$4:$A$22&amp;'Aviation Synfuel Data'!$D$4:$D$22,0),MATCH(O$2,'Aviation Synfuel Data'!$G$3:$M$3,0)),"null")</f>
        <v>null</v>
      </c>
      <c r="P13" s="1401" t="str" cm="1">
        <f t="array" ref="P13">_xlfn.IFNA(INDEX('Aviation Synfuel Data'!$G$4:$M$22,MATCH('Aviation Synfuel-TSData'!$B13&amp;'Aviation Synfuel-TSData'!$C13&amp;$D13,'Aviation Synfuel Data'!$C$4:$C$22&amp;'Aviation Synfuel Data'!$A$4:$A$22&amp;'Aviation Synfuel Data'!$D$4:$D$22,0),MATCH(P$2,'Aviation Synfuel Data'!$G$3:$M$3,0)),"null")</f>
        <v>null</v>
      </c>
      <c r="Q13" s="1401" t="str" cm="1">
        <f t="array" ref="Q13">_xlfn.IFNA(INDEX('Aviation Synfuel Data'!$G$4:$M$22,MATCH('Aviation Synfuel-TSData'!$B13&amp;'Aviation Synfuel-TSData'!$C13&amp;$D13,'Aviation Synfuel Data'!$C$4:$C$22&amp;'Aviation Synfuel Data'!$A$4:$A$22&amp;'Aviation Synfuel Data'!$D$4:$D$22,0),MATCH(Q$2,'Aviation Synfuel Data'!$G$3:$M$3,0)),"null")</f>
        <v>null</v>
      </c>
      <c r="R13" s="1401" cm="1">
        <f t="array" ref="R13">_xlfn.IFNA(INDEX('Aviation Synfuel Data'!$G$4:$M$22,MATCH('Aviation Synfuel-TSData'!$B13&amp;'Aviation Synfuel-TSData'!$C13&amp;$D13,'Aviation Synfuel Data'!$C$4:$C$22&amp;'Aviation Synfuel Data'!$A$4:$A$22&amp;'Aviation Synfuel Data'!$D$4:$D$22,0),MATCH(R$2,'Aviation Synfuel Data'!$G$3:$M$3,0)),"null")</f>
        <v>19.110877684407097</v>
      </c>
      <c r="S13" s="1401" t="str" cm="1">
        <f t="array" ref="S13">_xlfn.IFNA(INDEX('Aviation Synfuel Data'!$G$4:$M$22,MATCH('Aviation Synfuel-TSData'!$B13&amp;'Aviation Synfuel-TSData'!$C13&amp;$D13,'Aviation Synfuel Data'!$C$4:$C$22&amp;'Aviation Synfuel Data'!$A$4:$A$22&amp;'Aviation Synfuel Data'!$D$4:$D$22,0),MATCH(S$2,'Aviation Synfuel Data'!$G$3:$M$3,0)),"null")</f>
        <v>null</v>
      </c>
      <c r="T13" s="1401" t="str" cm="1">
        <f t="array" ref="T13">_xlfn.IFNA(INDEX('Aviation Synfuel Data'!$G$4:$M$22,MATCH('Aviation Synfuel-TSData'!$B13&amp;'Aviation Synfuel-TSData'!$C13&amp;$D13,'Aviation Synfuel Data'!$C$4:$C$22&amp;'Aviation Synfuel Data'!$A$4:$A$22&amp;'Aviation Synfuel Data'!$D$4:$D$22,0),MATCH(T$2,'Aviation Synfuel Data'!$G$3:$M$3,0)),"null")</f>
        <v>null</v>
      </c>
      <c r="U13" s="1401" t="str" cm="1">
        <f t="array" ref="U13">_xlfn.IFNA(INDEX('Aviation Synfuel Data'!$G$4:$M$22,MATCH('Aviation Synfuel-TSData'!$B13&amp;'Aviation Synfuel-TSData'!$C13&amp;$D13,'Aviation Synfuel Data'!$C$4:$C$22&amp;'Aviation Synfuel Data'!$A$4:$A$22&amp;'Aviation Synfuel Data'!$D$4:$D$22,0),MATCH(U$2,'Aviation Synfuel Data'!$G$3:$M$3,0)),"null")</f>
        <v>null</v>
      </c>
      <c r="V13" s="1401" t="str" cm="1">
        <f t="array" ref="V13">_xlfn.IFNA(INDEX('Aviation Synfuel Data'!$G$4:$M$22,MATCH('Aviation Synfuel-TSData'!$B13&amp;'Aviation Synfuel-TSData'!$C13&amp;$D13,'Aviation Synfuel Data'!$C$4:$C$22&amp;'Aviation Synfuel Data'!$A$4:$A$22&amp;'Aviation Synfuel Data'!$D$4:$D$22,0),MATCH(V$2,'Aviation Synfuel Data'!$G$3:$M$3,0)),"null")</f>
        <v>null</v>
      </c>
      <c r="W13" s="1401" t="str" cm="1">
        <f t="array" ref="W13">_xlfn.IFNA(INDEX('Aviation Synfuel Data'!$G$4:$M$22,MATCH('Aviation Synfuel-TSData'!$B13&amp;'Aviation Synfuel-TSData'!$C13&amp;$D13,'Aviation Synfuel Data'!$C$4:$C$22&amp;'Aviation Synfuel Data'!$A$4:$A$22&amp;'Aviation Synfuel Data'!$D$4:$D$22,0),MATCH(W$2,'Aviation Synfuel Data'!$G$3:$M$3,0)),"null")</f>
        <v>null</v>
      </c>
      <c r="X13" s="1401" t="str" cm="1">
        <f t="array" ref="X13">_xlfn.IFNA(INDEX('Aviation Synfuel Data'!$G$4:$M$22,MATCH('Aviation Synfuel-TSData'!$B13&amp;'Aviation Synfuel-TSData'!$C13&amp;$D13,'Aviation Synfuel Data'!$C$4:$C$22&amp;'Aviation Synfuel Data'!$A$4:$A$22&amp;'Aviation Synfuel Data'!$D$4:$D$22,0),MATCH(X$2,'Aviation Synfuel Data'!$G$3:$M$3,0)),"null")</f>
        <v>null</v>
      </c>
      <c r="Y13" s="1401" t="str" cm="1">
        <f t="array" ref="Y13">_xlfn.IFNA(INDEX('Aviation Synfuel Data'!$G$4:$M$22,MATCH('Aviation Synfuel-TSData'!$B13&amp;'Aviation Synfuel-TSData'!$C13&amp;$D13,'Aviation Synfuel Data'!$C$4:$C$22&amp;'Aviation Synfuel Data'!$A$4:$A$22&amp;'Aviation Synfuel Data'!$D$4:$D$22,0),MATCH(Y$2,'Aviation Synfuel Data'!$G$3:$M$3,0)),"null")</f>
        <v>null</v>
      </c>
      <c r="Z13" s="1401" t="str" cm="1">
        <f t="array" ref="Z13">_xlfn.IFNA(INDEX('Aviation Synfuel Data'!$G$4:$M$22,MATCH('Aviation Synfuel-TSData'!$B13&amp;'Aviation Synfuel-TSData'!$C13&amp;$D13,'Aviation Synfuel Data'!$C$4:$C$22&amp;'Aviation Synfuel Data'!$A$4:$A$22&amp;'Aviation Synfuel Data'!$D$4:$D$22,0),MATCH(Z$2,'Aviation Synfuel Data'!$G$3:$M$3,0)),"null")</f>
        <v>null</v>
      </c>
      <c r="AA13" s="1401" t="str" cm="1">
        <f t="array" ref="AA13">_xlfn.IFNA(INDEX('Aviation Synfuel Data'!$G$4:$M$22,MATCH('Aviation Synfuel-TSData'!$B13&amp;'Aviation Synfuel-TSData'!$C13&amp;$D13,'Aviation Synfuel Data'!$C$4:$C$22&amp;'Aviation Synfuel Data'!$A$4:$A$22&amp;'Aviation Synfuel Data'!$D$4:$D$22,0),MATCH(AA$2,'Aviation Synfuel Data'!$G$3:$M$3,0)),"null")</f>
        <v>null</v>
      </c>
      <c r="AB13" s="1401"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1401" t="str" cm="1">
        <f t="array" ref="AC13">_xlfn.IFNA(INDEX('Aviation Synfuel Data'!$G$4:$M$22,MATCH('Aviation Synfuel-TSData'!$B13&amp;'Aviation Synfuel-TSData'!$C13&amp;$D13,'Aviation Synfuel Data'!$C$4:$C$22&amp;'Aviation Synfuel Data'!$A$4:$A$22&amp;'Aviation Synfuel Data'!$D$4:$D$22,0),MATCH(AC$2,'Aviation Synfuel Data'!$G$3:$M$3,0)),"null")</f>
        <v>null</v>
      </c>
      <c r="AD13" s="1401" t="str" cm="1">
        <f t="array" ref="AD13">_xlfn.IFNA(INDEX('Aviation Synfuel Data'!$G$4:$M$22,MATCH('Aviation Synfuel-TSData'!$B13&amp;'Aviation Synfuel-TSData'!$C13&amp;$D13,'Aviation Synfuel Data'!$C$4:$C$22&amp;'Aviation Synfuel Data'!$A$4:$A$22&amp;'Aviation Synfuel Data'!$D$4:$D$22,0),MATCH(AD$2,'Aviation Synfuel Data'!$G$3:$M$3,0)),"null")</f>
        <v>null</v>
      </c>
      <c r="AE13" s="1401" t="str" cm="1">
        <f t="array" ref="AE13">_xlfn.IFNA(INDEX('Aviation Synfuel Data'!$G$4:$M$22,MATCH('Aviation Synfuel-TSData'!$B13&amp;'Aviation Synfuel-TSData'!$C13&amp;$D13,'Aviation Synfuel Data'!$C$4:$C$22&amp;'Aviation Synfuel Data'!$A$4:$A$22&amp;'Aviation Synfuel Data'!$D$4:$D$22,0),MATCH(AE$2,'Aviation Synfuel Data'!$G$3:$M$3,0)),"null")</f>
        <v>null</v>
      </c>
      <c r="AF13" s="1401" t="str" cm="1">
        <f t="array" ref="AF13">_xlfn.IFNA(INDEX('Aviation Synfuel Data'!$G$4:$M$22,MATCH('Aviation Synfuel-TSData'!$B13&amp;'Aviation Synfuel-TSData'!$C13&amp;$D13,'Aviation Synfuel Data'!$C$4:$C$22&amp;'Aviation Synfuel Data'!$A$4:$A$22&amp;'Aviation Synfuel Data'!$D$4:$D$22,0),MATCH(AF$2,'Aviation Synfuel Data'!$G$3:$M$3,0)),"null")</f>
        <v>null</v>
      </c>
      <c r="AG13" s="1401"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1401" t="str" cm="1">
        <f t="array" ref="AH13">_xlfn.IFNA(INDEX('Aviation Synfuel Data'!$G$4:$M$22,MATCH('Aviation Synfuel-TSData'!$B13&amp;'Aviation Synfuel-TSData'!$C13&amp;$D13,'Aviation Synfuel Data'!$C$4:$C$22&amp;'Aviation Synfuel Data'!$A$4:$A$22&amp;'Aviation Synfuel Data'!$D$4:$D$22,0),MATCH(AH$2,'Aviation Synfuel Data'!$G$3:$M$3,0)),"null")</f>
        <v>null</v>
      </c>
      <c r="AI13" s="1401" t="str" cm="1">
        <f t="array" ref="AI13">_xlfn.IFNA(INDEX('Aviation Synfuel Data'!$G$4:$M$22,MATCH('Aviation Synfuel-TSData'!$B13&amp;'Aviation Synfuel-TSData'!$C13&amp;$D13,'Aviation Synfuel Data'!$C$4:$C$22&amp;'Aviation Synfuel Data'!$A$4:$A$22&amp;'Aviation Synfuel Data'!$D$4:$D$22,0),MATCH(AI$2,'Aviation Synfuel Data'!$G$3:$M$3,0)),"null")</f>
        <v>null</v>
      </c>
      <c r="AJ13" s="1401" t="str" cm="1">
        <f t="array" ref="AJ13">_xlfn.IFNA(INDEX('Aviation Synfuel Data'!$G$4:$M$22,MATCH('Aviation Synfuel-TSData'!$B13&amp;'Aviation Synfuel-TSData'!$C13&amp;$D13,'Aviation Synfuel Data'!$C$4:$C$22&amp;'Aviation Synfuel Data'!$A$4:$A$22&amp;'Aviation Synfuel Data'!$D$4:$D$22,0),MATCH(AJ$2,'Aviation Synfuel Data'!$G$3:$M$3,0)),"null")</f>
        <v>null</v>
      </c>
      <c r="AK13" s="1401" t="str" cm="1">
        <f t="array" ref="AK13">_xlfn.IFNA(INDEX('Aviation Synfuel Data'!$G$4:$M$22,MATCH('Aviation Synfuel-TSData'!$B13&amp;'Aviation Synfuel-TSData'!$C13&amp;$D13,'Aviation Synfuel Data'!$C$4:$C$22&amp;'Aviation Synfuel Data'!$A$4:$A$22&amp;'Aviation Synfuel Data'!$D$4:$D$22,0),MATCH(AK$2,'Aviation Synfuel Data'!$G$3:$M$3,0)),"null")</f>
        <v>null</v>
      </c>
      <c r="AL13" s="1401"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1401" t="str" cm="1">
        <f t="array" ref="AM13">_xlfn.IFNA(INDEX('Aviation Synfuel Data'!$G$4:$M$22,MATCH('Aviation Synfuel-TSData'!$B13&amp;'Aviation Synfuel-TSData'!$C13&amp;$D13,'Aviation Synfuel Data'!$C$4:$C$22&amp;'Aviation Synfuel Data'!$A$4:$A$22&amp;'Aviation Synfuel Data'!$D$4:$D$22,0),MATCH(AM$2,'Aviation Synfuel Data'!$G$3:$M$3,0)),"null")</f>
        <v>null</v>
      </c>
      <c r="AN13" s="1401"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1401"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1401"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c r="B14" s="1409" t="s">
        <v>1136</v>
      </c>
      <c r="C14" s="1409" t="s">
        <v>14604</v>
      </c>
      <c r="D14" s="1409" t="s">
        <v>334</v>
      </c>
      <c r="E14" s="1409" t="s">
        <v>334</v>
      </c>
      <c r="F14" s="1409" t="s">
        <v>334</v>
      </c>
      <c r="G14" s="1409" t="s">
        <v>334</v>
      </c>
      <c r="H14" s="1409" t="s">
        <v>334</v>
      </c>
      <c r="I14" s="1409">
        <v>0</v>
      </c>
      <c r="J14" s="1401" t="str" cm="1">
        <f t="array" ref="J14">_xlfn.IFNA(INDEX('Aviation Synfuel Data'!$G$4:$M$22,MATCH('Aviation Synfuel-TSData'!$B14&amp;'Aviation Synfuel-TSData'!$C14&amp;$D14,'Aviation Synfuel Data'!$C$4:$C$22&amp;'Aviation Synfuel Data'!$A$4:$A$22&amp;'Aviation Synfuel Data'!$D$4:$D$22,0),MATCH(J$2,'Aviation Synfuel Data'!$G$3:$M$3,0)),"null")</f>
        <v>null</v>
      </c>
      <c r="K14" s="1401" t="str" cm="1">
        <f t="array" ref="K14">_xlfn.IFNA(INDEX('Aviation Synfuel Data'!$G$4:$M$22,MATCH('Aviation Synfuel-TSData'!$B14&amp;'Aviation Synfuel-TSData'!$C14&amp;$D14,'Aviation Synfuel Data'!$C$4:$C$22&amp;'Aviation Synfuel Data'!$A$4:$A$22&amp;'Aviation Synfuel Data'!$D$4:$D$22,0),MATCH(K$2,'Aviation Synfuel Data'!$G$3:$M$3,0)),"null")</f>
        <v>null</v>
      </c>
      <c r="L14" s="1401" t="str" cm="1">
        <f t="array" ref="L14">_xlfn.IFNA(INDEX('Aviation Synfuel Data'!$G$4:$M$22,MATCH('Aviation Synfuel-TSData'!$B14&amp;'Aviation Synfuel-TSData'!$C14&amp;$D14,'Aviation Synfuel Data'!$C$4:$C$22&amp;'Aviation Synfuel Data'!$A$4:$A$22&amp;'Aviation Synfuel Data'!$D$4:$D$22,0),MATCH(L$2,'Aviation Synfuel Data'!$G$3:$M$3,0)),"null")</f>
        <v>null</v>
      </c>
      <c r="M14" s="1401" t="str" cm="1">
        <f t="array" ref="M14">_xlfn.IFNA(INDEX('Aviation Synfuel Data'!$G$4:$M$22,MATCH('Aviation Synfuel-TSData'!$B14&amp;'Aviation Synfuel-TSData'!$C14&amp;$D14,'Aviation Synfuel Data'!$C$4:$C$22&amp;'Aviation Synfuel Data'!$A$4:$A$22&amp;'Aviation Synfuel Data'!$D$4:$D$22,0),MATCH(M$2,'Aviation Synfuel Data'!$G$3:$M$3,0)),"null")</f>
        <v>null</v>
      </c>
      <c r="N14" s="1401" t="str" cm="1">
        <f t="array" ref="N14">_xlfn.IFNA(INDEX('Aviation Synfuel Data'!$G$4:$M$22,MATCH('Aviation Synfuel-TSData'!$B14&amp;'Aviation Synfuel-TSData'!$C14&amp;$D14,'Aviation Synfuel Data'!$C$4:$C$22&amp;'Aviation Synfuel Data'!$A$4:$A$22&amp;'Aviation Synfuel Data'!$D$4:$D$22,0),MATCH(N$2,'Aviation Synfuel Data'!$G$3:$M$3,0)),"null")</f>
        <v>null</v>
      </c>
      <c r="O14" s="1401" t="str" cm="1">
        <f t="array" ref="O14">_xlfn.IFNA(INDEX('Aviation Synfuel Data'!$G$4:$M$22,MATCH('Aviation Synfuel-TSData'!$B14&amp;'Aviation Synfuel-TSData'!$C14&amp;$D14,'Aviation Synfuel Data'!$C$4:$C$22&amp;'Aviation Synfuel Data'!$A$4:$A$22&amp;'Aviation Synfuel Data'!$D$4:$D$22,0),MATCH(O$2,'Aviation Synfuel Data'!$G$3:$M$3,0)),"null")</f>
        <v>null</v>
      </c>
      <c r="P14" s="1401" t="str" cm="1">
        <f t="array" ref="P14">_xlfn.IFNA(INDEX('Aviation Synfuel Data'!$G$4:$M$22,MATCH('Aviation Synfuel-TSData'!$B14&amp;'Aviation Synfuel-TSData'!$C14&amp;$D14,'Aviation Synfuel Data'!$C$4:$C$22&amp;'Aviation Synfuel Data'!$A$4:$A$22&amp;'Aviation Synfuel Data'!$D$4:$D$22,0),MATCH(P$2,'Aviation Synfuel Data'!$G$3:$M$3,0)),"null")</f>
        <v>null</v>
      </c>
      <c r="Q14" s="1401" t="str" cm="1">
        <f t="array" ref="Q14">_xlfn.IFNA(INDEX('Aviation Synfuel Data'!$G$4:$M$22,MATCH('Aviation Synfuel-TSData'!$B14&amp;'Aviation Synfuel-TSData'!$C14&amp;$D14,'Aviation Synfuel Data'!$C$4:$C$22&amp;'Aviation Synfuel Data'!$A$4:$A$22&amp;'Aviation Synfuel Data'!$D$4:$D$22,0),MATCH(Q$2,'Aviation Synfuel Data'!$G$3:$M$3,0)),"null")</f>
        <v>null</v>
      </c>
      <c r="R14" s="1401" cm="1">
        <f t="array" ref="R14">_xlfn.IFNA(INDEX('Aviation Synfuel Data'!$G$4:$M$22,MATCH('Aviation Synfuel-TSData'!$B14&amp;'Aviation Synfuel-TSData'!$C14&amp;$D14,'Aviation Synfuel Data'!$C$4:$C$22&amp;'Aviation Synfuel Data'!$A$4:$A$22&amp;'Aviation Synfuel Data'!$D$4:$D$22,0),MATCH(R$2,'Aviation Synfuel Data'!$G$3:$M$3,0)),"null")</f>
        <v>-6</v>
      </c>
      <c r="S14" s="1401" t="str" cm="1">
        <f t="array" ref="S14">_xlfn.IFNA(INDEX('Aviation Synfuel Data'!$G$4:$M$22,MATCH('Aviation Synfuel-TSData'!$B14&amp;'Aviation Synfuel-TSData'!$C14&amp;$D14,'Aviation Synfuel Data'!$C$4:$C$22&amp;'Aviation Synfuel Data'!$A$4:$A$22&amp;'Aviation Synfuel Data'!$D$4:$D$22,0),MATCH(S$2,'Aviation Synfuel Data'!$G$3:$M$3,0)),"null")</f>
        <v>null</v>
      </c>
      <c r="T14" s="1401" t="str" cm="1">
        <f t="array" ref="T14">_xlfn.IFNA(INDEX('Aviation Synfuel Data'!$G$4:$M$22,MATCH('Aviation Synfuel-TSData'!$B14&amp;'Aviation Synfuel-TSData'!$C14&amp;$D14,'Aviation Synfuel Data'!$C$4:$C$22&amp;'Aviation Synfuel Data'!$A$4:$A$22&amp;'Aviation Synfuel Data'!$D$4:$D$22,0),MATCH(T$2,'Aviation Synfuel Data'!$G$3:$M$3,0)),"null")</f>
        <v>null</v>
      </c>
      <c r="U14" s="1401" t="str" cm="1">
        <f t="array" ref="U14">_xlfn.IFNA(INDEX('Aviation Synfuel Data'!$G$4:$M$22,MATCH('Aviation Synfuel-TSData'!$B14&amp;'Aviation Synfuel-TSData'!$C14&amp;$D14,'Aviation Synfuel Data'!$C$4:$C$22&amp;'Aviation Synfuel Data'!$A$4:$A$22&amp;'Aviation Synfuel Data'!$D$4:$D$22,0),MATCH(U$2,'Aviation Synfuel Data'!$G$3:$M$3,0)),"null")</f>
        <v>null</v>
      </c>
      <c r="V14" s="1401" t="str" cm="1">
        <f t="array" ref="V14">_xlfn.IFNA(INDEX('Aviation Synfuel Data'!$G$4:$M$22,MATCH('Aviation Synfuel-TSData'!$B14&amp;'Aviation Synfuel-TSData'!$C14&amp;$D14,'Aviation Synfuel Data'!$C$4:$C$22&amp;'Aviation Synfuel Data'!$A$4:$A$22&amp;'Aviation Synfuel Data'!$D$4:$D$22,0),MATCH(V$2,'Aviation Synfuel Data'!$G$3:$M$3,0)),"null")</f>
        <v>null</v>
      </c>
      <c r="W14" s="1401" t="str" cm="1">
        <f t="array" ref="W14">_xlfn.IFNA(INDEX('Aviation Synfuel Data'!$G$4:$M$22,MATCH('Aviation Synfuel-TSData'!$B14&amp;'Aviation Synfuel-TSData'!$C14&amp;$D14,'Aviation Synfuel Data'!$C$4:$C$22&amp;'Aviation Synfuel Data'!$A$4:$A$22&amp;'Aviation Synfuel Data'!$D$4:$D$22,0),MATCH(W$2,'Aviation Synfuel Data'!$G$3:$M$3,0)),"null")</f>
        <v>null</v>
      </c>
      <c r="X14" s="1401" t="str" cm="1">
        <f t="array" ref="X14">_xlfn.IFNA(INDEX('Aviation Synfuel Data'!$G$4:$M$22,MATCH('Aviation Synfuel-TSData'!$B14&amp;'Aviation Synfuel-TSData'!$C14&amp;$D14,'Aviation Synfuel Data'!$C$4:$C$22&amp;'Aviation Synfuel Data'!$A$4:$A$22&amp;'Aviation Synfuel Data'!$D$4:$D$22,0),MATCH(X$2,'Aviation Synfuel Data'!$G$3:$M$3,0)),"null")</f>
        <v>null</v>
      </c>
      <c r="Y14" s="1401" t="str" cm="1">
        <f t="array" ref="Y14">_xlfn.IFNA(INDEX('Aviation Synfuel Data'!$G$4:$M$22,MATCH('Aviation Synfuel-TSData'!$B14&amp;'Aviation Synfuel-TSData'!$C14&amp;$D14,'Aviation Synfuel Data'!$C$4:$C$22&amp;'Aviation Synfuel Data'!$A$4:$A$22&amp;'Aviation Synfuel Data'!$D$4:$D$22,0),MATCH(Y$2,'Aviation Synfuel Data'!$G$3:$M$3,0)),"null")</f>
        <v>null</v>
      </c>
      <c r="Z14" s="1401" t="str" cm="1">
        <f t="array" ref="Z14">_xlfn.IFNA(INDEX('Aviation Synfuel Data'!$G$4:$M$22,MATCH('Aviation Synfuel-TSData'!$B14&amp;'Aviation Synfuel-TSData'!$C14&amp;$D14,'Aviation Synfuel Data'!$C$4:$C$22&amp;'Aviation Synfuel Data'!$A$4:$A$22&amp;'Aviation Synfuel Data'!$D$4:$D$22,0),MATCH(Z$2,'Aviation Synfuel Data'!$G$3:$M$3,0)),"null")</f>
        <v>null</v>
      </c>
      <c r="AA14" s="1401" t="str" cm="1">
        <f t="array" ref="AA14">_xlfn.IFNA(INDEX('Aviation Synfuel Data'!$G$4:$M$22,MATCH('Aviation Synfuel-TSData'!$B14&amp;'Aviation Synfuel-TSData'!$C14&amp;$D14,'Aviation Synfuel Data'!$C$4:$C$22&amp;'Aviation Synfuel Data'!$A$4:$A$22&amp;'Aviation Synfuel Data'!$D$4:$D$22,0),MATCH(AA$2,'Aviation Synfuel Data'!$G$3:$M$3,0)),"null")</f>
        <v>null</v>
      </c>
      <c r="AB14" s="1401" cm="1">
        <f t="array" ref="AB14">_xlfn.IFNA(INDEX('Aviation Synfuel Data'!$G$4:$M$22,MATCH('Aviation Synfuel-TSData'!$B14&amp;'Aviation Synfuel-TSData'!$C14&amp;$D14,'Aviation Synfuel Data'!$C$4:$C$22&amp;'Aviation Synfuel Data'!$A$4:$A$22&amp;'Aviation Synfuel Data'!$D$4:$D$22,0),MATCH(AB$2,'Aviation Synfuel Data'!$G$3:$M$3,0)),"null")</f>
        <v>-6</v>
      </c>
      <c r="AC14" s="1401" t="str" cm="1">
        <f t="array" ref="AC14">_xlfn.IFNA(INDEX('Aviation Synfuel Data'!$G$4:$M$22,MATCH('Aviation Synfuel-TSData'!$B14&amp;'Aviation Synfuel-TSData'!$C14&amp;$D14,'Aviation Synfuel Data'!$C$4:$C$22&amp;'Aviation Synfuel Data'!$A$4:$A$22&amp;'Aviation Synfuel Data'!$D$4:$D$22,0),MATCH(AC$2,'Aviation Synfuel Data'!$G$3:$M$3,0)),"null")</f>
        <v>null</v>
      </c>
      <c r="AD14" s="1401" t="str" cm="1">
        <f t="array" ref="AD14">_xlfn.IFNA(INDEX('Aviation Synfuel Data'!$G$4:$M$22,MATCH('Aviation Synfuel-TSData'!$B14&amp;'Aviation Synfuel-TSData'!$C14&amp;$D14,'Aviation Synfuel Data'!$C$4:$C$22&amp;'Aviation Synfuel Data'!$A$4:$A$22&amp;'Aviation Synfuel Data'!$D$4:$D$22,0),MATCH(AD$2,'Aviation Synfuel Data'!$G$3:$M$3,0)),"null")</f>
        <v>null</v>
      </c>
      <c r="AE14" s="1401" t="str" cm="1">
        <f t="array" ref="AE14">_xlfn.IFNA(INDEX('Aviation Synfuel Data'!$G$4:$M$22,MATCH('Aviation Synfuel-TSData'!$B14&amp;'Aviation Synfuel-TSData'!$C14&amp;$D14,'Aviation Synfuel Data'!$C$4:$C$22&amp;'Aviation Synfuel Data'!$A$4:$A$22&amp;'Aviation Synfuel Data'!$D$4:$D$22,0),MATCH(AE$2,'Aviation Synfuel Data'!$G$3:$M$3,0)),"null")</f>
        <v>null</v>
      </c>
      <c r="AF14" s="1401" t="str" cm="1">
        <f t="array" ref="AF14">_xlfn.IFNA(INDEX('Aviation Synfuel Data'!$G$4:$M$22,MATCH('Aviation Synfuel-TSData'!$B14&amp;'Aviation Synfuel-TSData'!$C14&amp;$D14,'Aviation Synfuel Data'!$C$4:$C$22&amp;'Aviation Synfuel Data'!$A$4:$A$22&amp;'Aviation Synfuel Data'!$D$4:$D$22,0),MATCH(AF$2,'Aviation Synfuel Data'!$G$3:$M$3,0)),"null")</f>
        <v>null</v>
      </c>
      <c r="AG14" s="1401" cm="1">
        <f t="array" ref="AG14">_xlfn.IFNA(INDEX('Aviation Synfuel Data'!$G$4:$M$22,MATCH('Aviation Synfuel-TSData'!$B14&amp;'Aviation Synfuel-TSData'!$C14&amp;$D14,'Aviation Synfuel Data'!$C$4:$C$22&amp;'Aviation Synfuel Data'!$A$4:$A$22&amp;'Aviation Synfuel Data'!$D$4:$D$22,0),MATCH(AG$2,'Aviation Synfuel Data'!$G$3:$M$3,0)),"null")</f>
        <v>-6</v>
      </c>
      <c r="AH14" s="1401" t="str" cm="1">
        <f t="array" ref="AH14">_xlfn.IFNA(INDEX('Aviation Synfuel Data'!$G$4:$M$22,MATCH('Aviation Synfuel-TSData'!$B14&amp;'Aviation Synfuel-TSData'!$C14&amp;$D14,'Aviation Synfuel Data'!$C$4:$C$22&amp;'Aviation Synfuel Data'!$A$4:$A$22&amp;'Aviation Synfuel Data'!$D$4:$D$22,0),MATCH(AH$2,'Aviation Synfuel Data'!$G$3:$M$3,0)),"null")</f>
        <v>null</v>
      </c>
      <c r="AI14" s="1401" t="str" cm="1">
        <f t="array" ref="AI14">_xlfn.IFNA(INDEX('Aviation Synfuel Data'!$G$4:$M$22,MATCH('Aviation Synfuel-TSData'!$B14&amp;'Aviation Synfuel-TSData'!$C14&amp;$D14,'Aviation Synfuel Data'!$C$4:$C$22&amp;'Aviation Synfuel Data'!$A$4:$A$22&amp;'Aviation Synfuel Data'!$D$4:$D$22,0),MATCH(AI$2,'Aviation Synfuel Data'!$G$3:$M$3,0)),"null")</f>
        <v>null</v>
      </c>
      <c r="AJ14" s="1401" t="str" cm="1">
        <f t="array" ref="AJ14">_xlfn.IFNA(INDEX('Aviation Synfuel Data'!$G$4:$M$22,MATCH('Aviation Synfuel-TSData'!$B14&amp;'Aviation Synfuel-TSData'!$C14&amp;$D14,'Aviation Synfuel Data'!$C$4:$C$22&amp;'Aviation Synfuel Data'!$A$4:$A$22&amp;'Aviation Synfuel Data'!$D$4:$D$22,0),MATCH(AJ$2,'Aviation Synfuel Data'!$G$3:$M$3,0)),"null")</f>
        <v>null</v>
      </c>
      <c r="AK14" s="1401" t="str" cm="1">
        <f t="array" ref="AK14">_xlfn.IFNA(INDEX('Aviation Synfuel Data'!$G$4:$M$22,MATCH('Aviation Synfuel-TSData'!$B14&amp;'Aviation Synfuel-TSData'!$C14&amp;$D14,'Aviation Synfuel Data'!$C$4:$C$22&amp;'Aviation Synfuel Data'!$A$4:$A$22&amp;'Aviation Synfuel Data'!$D$4:$D$22,0),MATCH(AK$2,'Aviation Synfuel Data'!$G$3:$M$3,0)),"null")</f>
        <v>null</v>
      </c>
      <c r="AL14" s="1401" cm="1">
        <f t="array" ref="AL14">_xlfn.IFNA(INDEX('Aviation Synfuel Data'!$G$4:$M$22,MATCH('Aviation Synfuel-TSData'!$B14&amp;'Aviation Synfuel-TSData'!$C14&amp;$D14,'Aviation Synfuel Data'!$C$4:$C$22&amp;'Aviation Synfuel Data'!$A$4:$A$22&amp;'Aviation Synfuel Data'!$D$4:$D$22,0),MATCH(AL$2,'Aviation Synfuel Data'!$G$3:$M$3,0)),"null")</f>
        <v>-6</v>
      </c>
      <c r="AM14" s="1401" t="str" cm="1">
        <f t="array" ref="AM14">_xlfn.IFNA(INDEX('Aviation Synfuel Data'!$G$4:$M$22,MATCH('Aviation Synfuel-TSData'!$B14&amp;'Aviation Synfuel-TSData'!$C14&amp;$D14,'Aviation Synfuel Data'!$C$4:$C$22&amp;'Aviation Synfuel Data'!$A$4:$A$22&amp;'Aviation Synfuel Data'!$D$4:$D$22,0),MATCH(AM$2,'Aviation Synfuel Data'!$G$3:$M$3,0)),"null")</f>
        <v>null</v>
      </c>
      <c r="AN14" s="1401" cm="1">
        <f t="array" ref="AN14">_xlfn.IFNA(INDEX('Aviation Synfuel Data'!$G$4:$M$22,MATCH('Aviation Synfuel-TSData'!$B14&amp;'Aviation Synfuel-TSData'!$C14&amp;$D14,'Aviation Synfuel Data'!$C$4:$C$22&amp;'Aviation Synfuel Data'!$A$4:$A$22&amp;'Aviation Synfuel Data'!$D$4:$D$22,0),MATCH(AN$2,'Aviation Synfuel Data'!$G$3:$M$3,0)),"null")</f>
        <v>-6</v>
      </c>
      <c r="AO14" s="1401" cm="1">
        <f t="array" ref="AO14">_xlfn.IFNA(INDEX('Aviation Synfuel Data'!$G$4:$M$22,MATCH('Aviation Synfuel-TSData'!$B14&amp;'Aviation Synfuel-TSData'!$C14&amp;$D14,'Aviation Synfuel Data'!$C$4:$C$22&amp;'Aviation Synfuel Data'!$A$4:$A$22&amp;'Aviation Synfuel Data'!$D$4:$D$22,0),MATCH(AO$2,'Aviation Synfuel Data'!$G$3:$M$3,0)),"null")</f>
        <v>-6</v>
      </c>
      <c r="AP14" s="1401" cm="1">
        <f t="array" ref="AP14">_xlfn.IFNA(INDEX('Aviation Synfuel Data'!$G$4:$M$22,MATCH('Aviation Synfuel-TSData'!$B14&amp;'Aviation Synfuel-TSData'!$C14&amp;$D14,'Aviation Synfuel Data'!$C$4:$C$22&amp;'Aviation Synfuel Data'!$A$4:$A$22&amp;'Aviation Synfuel Data'!$D$4:$D$22,0),MATCH(AP$2,'Aviation Synfuel Data'!$G$3:$M$3,0)),"null")</f>
        <v>-6</v>
      </c>
    </row>
    <row r="15" spans="1:42">
      <c r="B15" s="1409" t="s">
        <v>861</v>
      </c>
      <c r="C15" s="1409" t="s">
        <v>14604</v>
      </c>
      <c r="D15" s="1409" t="s">
        <v>334</v>
      </c>
      <c r="E15" s="1409" t="s">
        <v>334</v>
      </c>
      <c r="F15" s="1409" t="s">
        <v>334</v>
      </c>
      <c r="G15" s="1409" t="s">
        <v>334</v>
      </c>
      <c r="H15" s="1409" t="s">
        <v>334</v>
      </c>
      <c r="I15" s="1409">
        <v>0</v>
      </c>
      <c r="J15" s="1401" t="str" cm="1">
        <f t="array" ref="J15">_xlfn.IFNA(INDEX('Aviation Synfuel Data'!$G$4:$M$22,MATCH('Aviation Synfuel-TSData'!$B15&amp;'Aviation Synfuel-TSData'!$C15&amp;$D15,'Aviation Synfuel Data'!$C$4:$C$22&amp;'Aviation Synfuel Data'!$A$4:$A$22&amp;'Aviation Synfuel Data'!$D$4:$D$22,0),MATCH(J$2,'Aviation Synfuel Data'!$G$3:$M$3,0)),"null")</f>
        <v>null</v>
      </c>
      <c r="K15" s="1401" t="str" cm="1">
        <f t="array" ref="K15">_xlfn.IFNA(INDEX('Aviation Synfuel Data'!$G$4:$M$22,MATCH('Aviation Synfuel-TSData'!$B15&amp;'Aviation Synfuel-TSData'!$C15&amp;$D15,'Aviation Synfuel Data'!$C$4:$C$22&amp;'Aviation Synfuel Data'!$A$4:$A$22&amp;'Aviation Synfuel Data'!$D$4:$D$22,0),MATCH(K$2,'Aviation Synfuel Data'!$G$3:$M$3,0)),"null")</f>
        <v>null</v>
      </c>
      <c r="L15" s="1401" t="str" cm="1">
        <f t="array" ref="L15">_xlfn.IFNA(INDEX('Aviation Synfuel Data'!$G$4:$M$22,MATCH('Aviation Synfuel-TSData'!$B15&amp;'Aviation Synfuel-TSData'!$C15&amp;$D15,'Aviation Synfuel Data'!$C$4:$C$22&amp;'Aviation Synfuel Data'!$A$4:$A$22&amp;'Aviation Synfuel Data'!$D$4:$D$22,0),MATCH(L$2,'Aviation Synfuel Data'!$G$3:$M$3,0)),"null")</f>
        <v>null</v>
      </c>
      <c r="M15" s="1401" t="str" cm="1">
        <f t="array" ref="M15">_xlfn.IFNA(INDEX('Aviation Synfuel Data'!$G$4:$M$22,MATCH('Aviation Synfuel-TSData'!$B15&amp;'Aviation Synfuel-TSData'!$C15&amp;$D15,'Aviation Synfuel Data'!$C$4:$C$22&amp;'Aviation Synfuel Data'!$A$4:$A$22&amp;'Aviation Synfuel Data'!$D$4:$D$22,0),MATCH(M$2,'Aviation Synfuel Data'!$G$3:$M$3,0)),"null")</f>
        <v>null</v>
      </c>
      <c r="N15" s="1401" t="str" cm="1">
        <f t="array" ref="N15">_xlfn.IFNA(INDEX('Aviation Synfuel Data'!$G$4:$M$22,MATCH('Aviation Synfuel-TSData'!$B15&amp;'Aviation Synfuel-TSData'!$C15&amp;$D15,'Aviation Synfuel Data'!$C$4:$C$22&amp;'Aviation Synfuel Data'!$A$4:$A$22&amp;'Aviation Synfuel Data'!$D$4:$D$22,0),MATCH(N$2,'Aviation Synfuel Data'!$G$3:$M$3,0)),"null")</f>
        <v>null</v>
      </c>
      <c r="O15" s="1401" t="str" cm="1">
        <f t="array" ref="O15">_xlfn.IFNA(INDEX('Aviation Synfuel Data'!$G$4:$M$22,MATCH('Aviation Synfuel-TSData'!$B15&amp;'Aviation Synfuel-TSData'!$C15&amp;$D15,'Aviation Synfuel Data'!$C$4:$C$22&amp;'Aviation Synfuel Data'!$A$4:$A$22&amp;'Aviation Synfuel Data'!$D$4:$D$22,0),MATCH(O$2,'Aviation Synfuel Data'!$G$3:$M$3,0)),"null")</f>
        <v>null</v>
      </c>
      <c r="P15" s="1401" t="str" cm="1">
        <f t="array" ref="P15">_xlfn.IFNA(INDEX('Aviation Synfuel Data'!$G$4:$M$22,MATCH('Aviation Synfuel-TSData'!$B15&amp;'Aviation Synfuel-TSData'!$C15&amp;$D15,'Aviation Synfuel Data'!$C$4:$C$22&amp;'Aviation Synfuel Data'!$A$4:$A$22&amp;'Aviation Synfuel Data'!$D$4:$D$22,0),MATCH(P$2,'Aviation Synfuel Data'!$G$3:$M$3,0)),"null")</f>
        <v>null</v>
      </c>
      <c r="Q15" s="1401" t="str" cm="1">
        <f t="array" ref="Q15">_xlfn.IFNA(INDEX('Aviation Synfuel Data'!$G$4:$M$22,MATCH('Aviation Synfuel-TSData'!$B15&amp;'Aviation Synfuel-TSData'!$C15&amp;$D15,'Aviation Synfuel Data'!$C$4:$C$22&amp;'Aviation Synfuel Data'!$A$4:$A$22&amp;'Aviation Synfuel Data'!$D$4:$D$22,0),MATCH(Q$2,'Aviation Synfuel Data'!$G$3:$M$3,0)),"null")</f>
        <v>null</v>
      </c>
      <c r="R15" s="1401" cm="1">
        <f t="array" ref="R15">_xlfn.IFNA(INDEX('Aviation Synfuel Data'!$G$4:$M$22,MATCH('Aviation Synfuel-TSData'!$B15&amp;'Aviation Synfuel-TSData'!$C15&amp;$D15,'Aviation Synfuel Data'!$C$4:$C$22&amp;'Aviation Synfuel Data'!$A$4:$A$22&amp;'Aviation Synfuel Data'!$D$4:$D$22,0),MATCH(R$2,'Aviation Synfuel Data'!$G$3:$M$3,0)),"null")</f>
        <v>25</v>
      </c>
      <c r="S15" s="1401" t="str" cm="1">
        <f t="array" ref="S15">_xlfn.IFNA(INDEX('Aviation Synfuel Data'!$G$4:$M$22,MATCH('Aviation Synfuel-TSData'!$B15&amp;'Aviation Synfuel-TSData'!$C15&amp;$D15,'Aviation Synfuel Data'!$C$4:$C$22&amp;'Aviation Synfuel Data'!$A$4:$A$22&amp;'Aviation Synfuel Data'!$D$4:$D$22,0),MATCH(S$2,'Aviation Synfuel Data'!$G$3:$M$3,0)),"null")</f>
        <v>null</v>
      </c>
      <c r="T15" s="1401" t="str" cm="1">
        <f t="array" ref="T15">_xlfn.IFNA(INDEX('Aviation Synfuel Data'!$G$4:$M$22,MATCH('Aviation Synfuel-TSData'!$B15&amp;'Aviation Synfuel-TSData'!$C15&amp;$D15,'Aviation Synfuel Data'!$C$4:$C$22&amp;'Aviation Synfuel Data'!$A$4:$A$22&amp;'Aviation Synfuel Data'!$D$4:$D$22,0),MATCH(T$2,'Aviation Synfuel Data'!$G$3:$M$3,0)),"null")</f>
        <v>null</v>
      </c>
      <c r="U15" s="1401" t="str" cm="1">
        <f t="array" ref="U15">_xlfn.IFNA(INDEX('Aviation Synfuel Data'!$G$4:$M$22,MATCH('Aviation Synfuel-TSData'!$B15&amp;'Aviation Synfuel-TSData'!$C15&amp;$D15,'Aviation Synfuel Data'!$C$4:$C$22&amp;'Aviation Synfuel Data'!$A$4:$A$22&amp;'Aviation Synfuel Data'!$D$4:$D$22,0),MATCH(U$2,'Aviation Synfuel Data'!$G$3:$M$3,0)),"null")</f>
        <v>null</v>
      </c>
      <c r="V15" s="1401" t="str" cm="1">
        <f t="array" ref="V15">_xlfn.IFNA(INDEX('Aviation Synfuel Data'!$G$4:$M$22,MATCH('Aviation Synfuel-TSData'!$B15&amp;'Aviation Synfuel-TSData'!$C15&amp;$D15,'Aviation Synfuel Data'!$C$4:$C$22&amp;'Aviation Synfuel Data'!$A$4:$A$22&amp;'Aviation Synfuel Data'!$D$4:$D$22,0),MATCH(V$2,'Aviation Synfuel Data'!$G$3:$M$3,0)),"null")</f>
        <v>null</v>
      </c>
      <c r="W15" s="1401" t="str" cm="1">
        <f t="array" ref="W15">_xlfn.IFNA(INDEX('Aviation Synfuel Data'!$G$4:$M$22,MATCH('Aviation Synfuel-TSData'!$B15&amp;'Aviation Synfuel-TSData'!$C15&amp;$D15,'Aviation Synfuel Data'!$C$4:$C$22&amp;'Aviation Synfuel Data'!$A$4:$A$22&amp;'Aviation Synfuel Data'!$D$4:$D$22,0),MATCH(W$2,'Aviation Synfuel Data'!$G$3:$M$3,0)),"null")</f>
        <v>null</v>
      </c>
      <c r="X15" s="1401" t="str" cm="1">
        <f t="array" ref="X15">_xlfn.IFNA(INDEX('Aviation Synfuel Data'!$G$4:$M$22,MATCH('Aviation Synfuel-TSData'!$B15&amp;'Aviation Synfuel-TSData'!$C15&amp;$D15,'Aviation Synfuel Data'!$C$4:$C$22&amp;'Aviation Synfuel Data'!$A$4:$A$22&amp;'Aviation Synfuel Data'!$D$4:$D$22,0),MATCH(X$2,'Aviation Synfuel Data'!$G$3:$M$3,0)),"null")</f>
        <v>null</v>
      </c>
      <c r="Y15" s="1401" t="str" cm="1">
        <f t="array" ref="Y15">_xlfn.IFNA(INDEX('Aviation Synfuel Data'!$G$4:$M$22,MATCH('Aviation Synfuel-TSData'!$B15&amp;'Aviation Synfuel-TSData'!$C15&amp;$D15,'Aviation Synfuel Data'!$C$4:$C$22&amp;'Aviation Synfuel Data'!$A$4:$A$22&amp;'Aviation Synfuel Data'!$D$4:$D$22,0),MATCH(Y$2,'Aviation Synfuel Data'!$G$3:$M$3,0)),"null")</f>
        <v>null</v>
      </c>
      <c r="Z15" s="1401" t="str" cm="1">
        <f t="array" ref="Z15">_xlfn.IFNA(INDEX('Aviation Synfuel Data'!$G$4:$M$22,MATCH('Aviation Synfuel-TSData'!$B15&amp;'Aviation Synfuel-TSData'!$C15&amp;$D15,'Aviation Synfuel Data'!$C$4:$C$22&amp;'Aviation Synfuel Data'!$A$4:$A$22&amp;'Aviation Synfuel Data'!$D$4:$D$22,0),MATCH(Z$2,'Aviation Synfuel Data'!$G$3:$M$3,0)),"null")</f>
        <v>null</v>
      </c>
      <c r="AA15" s="1401" t="str" cm="1">
        <f t="array" ref="AA15">_xlfn.IFNA(INDEX('Aviation Synfuel Data'!$G$4:$M$22,MATCH('Aviation Synfuel-TSData'!$B15&amp;'Aviation Synfuel-TSData'!$C15&amp;$D15,'Aviation Synfuel Data'!$C$4:$C$22&amp;'Aviation Synfuel Data'!$A$4:$A$22&amp;'Aviation Synfuel Data'!$D$4:$D$22,0),MATCH(AA$2,'Aviation Synfuel Data'!$G$3:$M$3,0)),"null")</f>
        <v>null</v>
      </c>
      <c r="AB15" s="1401" cm="1">
        <f t="array" ref="AB15">_xlfn.IFNA(INDEX('Aviation Synfuel Data'!$G$4:$M$22,MATCH('Aviation Synfuel-TSData'!$B15&amp;'Aviation Synfuel-TSData'!$C15&amp;$D15,'Aviation Synfuel Data'!$C$4:$C$22&amp;'Aviation Synfuel Data'!$A$4:$A$22&amp;'Aviation Synfuel Data'!$D$4:$D$22,0),MATCH(AB$2,'Aviation Synfuel Data'!$G$3:$M$3,0)),"null")</f>
        <v>25</v>
      </c>
      <c r="AC15" s="1401" t="str" cm="1">
        <f t="array" ref="AC15">_xlfn.IFNA(INDEX('Aviation Synfuel Data'!$G$4:$M$22,MATCH('Aviation Synfuel-TSData'!$B15&amp;'Aviation Synfuel-TSData'!$C15&amp;$D15,'Aviation Synfuel Data'!$C$4:$C$22&amp;'Aviation Synfuel Data'!$A$4:$A$22&amp;'Aviation Synfuel Data'!$D$4:$D$22,0),MATCH(AC$2,'Aviation Synfuel Data'!$G$3:$M$3,0)),"null")</f>
        <v>null</v>
      </c>
      <c r="AD15" s="1401" t="str" cm="1">
        <f t="array" ref="AD15">_xlfn.IFNA(INDEX('Aviation Synfuel Data'!$G$4:$M$22,MATCH('Aviation Synfuel-TSData'!$B15&amp;'Aviation Synfuel-TSData'!$C15&amp;$D15,'Aviation Synfuel Data'!$C$4:$C$22&amp;'Aviation Synfuel Data'!$A$4:$A$22&amp;'Aviation Synfuel Data'!$D$4:$D$22,0),MATCH(AD$2,'Aviation Synfuel Data'!$G$3:$M$3,0)),"null")</f>
        <v>null</v>
      </c>
      <c r="AE15" s="1401" t="str" cm="1">
        <f t="array" ref="AE15">_xlfn.IFNA(INDEX('Aviation Synfuel Data'!$G$4:$M$22,MATCH('Aviation Synfuel-TSData'!$B15&amp;'Aviation Synfuel-TSData'!$C15&amp;$D15,'Aviation Synfuel Data'!$C$4:$C$22&amp;'Aviation Synfuel Data'!$A$4:$A$22&amp;'Aviation Synfuel Data'!$D$4:$D$22,0),MATCH(AE$2,'Aviation Synfuel Data'!$G$3:$M$3,0)),"null")</f>
        <v>null</v>
      </c>
      <c r="AF15" s="1401" t="str" cm="1">
        <f t="array" ref="AF15">_xlfn.IFNA(INDEX('Aviation Synfuel Data'!$G$4:$M$22,MATCH('Aviation Synfuel-TSData'!$B15&amp;'Aviation Synfuel-TSData'!$C15&amp;$D15,'Aviation Synfuel Data'!$C$4:$C$22&amp;'Aviation Synfuel Data'!$A$4:$A$22&amp;'Aviation Synfuel Data'!$D$4:$D$22,0),MATCH(AF$2,'Aviation Synfuel Data'!$G$3:$M$3,0)),"null")</f>
        <v>null</v>
      </c>
      <c r="AG15" s="1401" cm="1">
        <f t="array" ref="AG15">_xlfn.IFNA(INDEX('Aviation Synfuel Data'!$G$4:$M$22,MATCH('Aviation Synfuel-TSData'!$B15&amp;'Aviation Synfuel-TSData'!$C15&amp;$D15,'Aviation Synfuel Data'!$C$4:$C$22&amp;'Aviation Synfuel Data'!$A$4:$A$22&amp;'Aviation Synfuel Data'!$D$4:$D$22,0),MATCH(AG$2,'Aviation Synfuel Data'!$G$3:$M$3,0)),"null")</f>
        <v>25</v>
      </c>
      <c r="AH15" s="1401" t="str" cm="1">
        <f t="array" ref="AH15">_xlfn.IFNA(INDEX('Aviation Synfuel Data'!$G$4:$M$22,MATCH('Aviation Synfuel-TSData'!$B15&amp;'Aviation Synfuel-TSData'!$C15&amp;$D15,'Aviation Synfuel Data'!$C$4:$C$22&amp;'Aviation Synfuel Data'!$A$4:$A$22&amp;'Aviation Synfuel Data'!$D$4:$D$22,0),MATCH(AH$2,'Aviation Synfuel Data'!$G$3:$M$3,0)),"null")</f>
        <v>null</v>
      </c>
      <c r="AI15" s="1401" t="str" cm="1">
        <f t="array" ref="AI15">_xlfn.IFNA(INDEX('Aviation Synfuel Data'!$G$4:$M$22,MATCH('Aviation Synfuel-TSData'!$B15&amp;'Aviation Synfuel-TSData'!$C15&amp;$D15,'Aviation Synfuel Data'!$C$4:$C$22&amp;'Aviation Synfuel Data'!$A$4:$A$22&amp;'Aviation Synfuel Data'!$D$4:$D$22,0),MATCH(AI$2,'Aviation Synfuel Data'!$G$3:$M$3,0)),"null")</f>
        <v>null</v>
      </c>
      <c r="AJ15" s="1401" t="str" cm="1">
        <f t="array" ref="AJ15">_xlfn.IFNA(INDEX('Aviation Synfuel Data'!$G$4:$M$22,MATCH('Aviation Synfuel-TSData'!$B15&amp;'Aviation Synfuel-TSData'!$C15&amp;$D15,'Aviation Synfuel Data'!$C$4:$C$22&amp;'Aviation Synfuel Data'!$A$4:$A$22&amp;'Aviation Synfuel Data'!$D$4:$D$22,0),MATCH(AJ$2,'Aviation Synfuel Data'!$G$3:$M$3,0)),"null")</f>
        <v>null</v>
      </c>
      <c r="AK15" s="1401" t="str" cm="1">
        <f t="array" ref="AK15">_xlfn.IFNA(INDEX('Aviation Synfuel Data'!$G$4:$M$22,MATCH('Aviation Synfuel-TSData'!$B15&amp;'Aviation Synfuel-TSData'!$C15&amp;$D15,'Aviation Synfuel Data'!$C$4:$C$22&amp;'Aviation Synfuel Data'!$A$4:$A$22&amp;'Aviation Synfuel Data'!$D$4:$D$22,0),MATCH(AK$2,'Aviation Synfuel Data'!$G$3:$M$3,0)),"null")</f>
        <v>null</v>
      </c>
      <c r="AL15" s="1401" cm="1">
        <f t="array" ref="AL15">_xlfn.IFNA(INDEX('Aviation Synfuel Data'!$G$4:$M$22,MATCH('Aviation Synfuel-TSData'!$B15&amp;'Aviation Synfuel-TSData'!$C15&amp;$D15,'Aviation Synfuel Data'!$C$4:$C$22&amp;'Aviation Synfuel Data'!$A$4:$A$22&amp;'Aviation Synfuel Data'!$D$4:$D$22,0),MATCH(AL$2,'Aviation Synfuel Data'!$G$3:$M$3,0)),"null")</f>
        <v>25</v>
      </c>
      <c r="AM15" s="1401" t="str" cm="1">
        <f t="array" ref="AM15">_xlfn.IFNA(INDEX('Aviation Synfuel Data'!$G$4:$M$22,MATCH('Aviation Synfuel-TSData'!$B15&amp;'Aviation Synfuel-TSData'!$C15&amp;$D15,'Aviation Synfuel Data'!$C$4:$C$22&amp;'Aviation Synfuel Data'!$A$4:$A$22&amp;'Aviation Synfuel Data'!$D$4:$D$22,0),MATCH(AM$2,'Aviation Synfuel Data'!$G$3:$M$3,0)),"null")</f>
        <v>null</v>
      </c>
      <c r="AN15" s="1401" cm="1">
        <f t="array" ref="AN15">_xlfn.IFNA(INDEX('Aviation Synfuel Data'!$G$4:$M$22,MATCH('Aviation Synfuel-TSData'!$B15&amp;'Aviation Synfuel-TSData'!$C15&amp;$D15,'Aviation Synfuel Data'!$C$4:$C$22&amp;'Aviation Synfuel Data'!$A$4:$A$22&amp;'Aviation Synfuel Data'!$D$4:$D$22,0),MATCH(AN$2,'Aviation Synfuel Data'!$G$3:$M$3,0)),"null")</f>
        <v>25</v>
      </c>
      <c r="AO15" s="1401" cm="1">
        <f t="array" ref="AO15">_xlfn.IFNA(INDEX('Aviation Synfuel Data'!$G$4:$M$22,MATCH('Aviation Synfuel-TSData'!$B15&amp;'Aviation Synfuel-TSData'!$C15&amp;$D15,'Aviation Synfuel Data'!$C$4:$C$22&amp;'Aviation Synfuel Data'!$A$4:$A$22&amp;'Aviation Synfuel Data'!$D$4:$D$22,0),MATCH(AO$2,'Aviation Synfuel Data'!$G$3:$M$3,0)),"null")</f>
        <v>25</v>
      </c>
      <c r="AP15" s="1401" cm="1">
        <f t="array" ref="AP15">_xlfn.IFNA(INDEX('Aviation Synfuel Data'!$G$4:$M$22,MATCH('Aviation Synfuel-TSData'!$B15&amp;'Aviation Synfuel-TSData'!$C15&amp;$D15,'Aviation Synfuel Data'!$C$4:$C$22&amp;'Aviation Synfuel Data'!$A$4:$A$22&amp;'Aviation Synfuel Data'!$D$4:$D$22,0),MATCH(AP$2,'Aviation Synfuel Data'!$G$3:$M$3,0)),"null")</f>
        <v>25</v>
      </c>
    </row>
    <row r="16" spans="1:42">
      <c r="B16" s="1409" t="s">
        <v>359</v>
      </c>
      <c r="C16" s="1409" t="str">
        <f>'Aviation Synfuel-Items'!C6</f>
        <v>XOKGOKE</v>
      </c>
      <c r="D16" s="1409" t="s">
        <v>334</v>
      </c>
      <c r="E16" s="1409" t="s">
        <v>360</v>
      </c>
      <c r="F16" s="1409" t="s">
        <v>334</v>
      </c>
      <c r="G16" s="1409" t="s">
        <v>337</v>
      </c>
      <c r="H16" s="1409" t="s">
        <v>334</v>
      </c>
      <c r="I16" s="1409">
        <v>0</v>
      </c>
      <c r="J16" s="1409">
        <v>1</v>
      </c>
    </row>
    <row r="17" spans="2:42">
      <c r="B17" s="1409" t="s">
        <v>332</v>
      </c>
      <c r="C17" s="1409" t="str">
        <f>'Aviation Synfuel-Items'!C7</f>
        <v>PEXOKG</v>
      </c>
      <c r="D17" s="1409" t="s">
        <v>334</v>
      </c>
      <c r="E17" s="1409" t="s">
        <v>334</v>
      </c>
      <c r="F17" s="1409" t="s">
        <v>334</v>
      </c>
      <c r="G17" s="1409" t="s">
        <v>334</v>
      </c>
      <c r="H17" s="1409" t="s">
        <v>334</v>
      </c>
      <c r="I17" s="1409">
        <v>0</v>
      </c>
      <c r="J17" s="1401">
        <f ca="1">IFERROR('TS STech'!J41*-1*(1+'Aviation Synfuel Data'!$G$23),"")</f>
        <v>-266.43101818980404</v>
      </c>
      <c r="K17" s="1401" t="str">
        <f ca="1">IFERROR('TS STech'!K41*-1*(1+'Aviation Synfuel Data'!$G$23),"")</f>
        <v/>
      </c>
      <c r="L17" s="1401" t="str">
        <f ca="1">IFERROR('TS STech'!L41*-1*(1+'Aviation Synfuel Data'!$G$23),"")</f>
        <v/>
      </c>
      <c r="M17" s="1401">
        <f ca="1">IFERROR('TS STech'!M41*-1*(1+'Aviation Synfuel Data'!$G$23),"")</f>
        <v>-196.14778947947872</v>
      </c>
      <c r="N17" s="1401" t="str">
        <f ca="1">IFERROR('TS STech'!N41*-1*(1+'Aviation Synfuel Data'!$G$23),"")</f>
        <v/>
      </c>
      <c r="O17" s="1401" t="str">
        <f ca="1">IFERROR('TS STech'!O41*-1*(1+'Aviation Synfuel Data'!$G$23),"")</f>
        <v/>
      </c>
      <c r="P17" s="1401" t="str">
        <f ca="1">IFERROR('TS STech'!P41*-1*(1+'Aviation Synfuel Data'!$G$23),"")</f>
        <v/>
      </c>
      <c r="Q17" s="1401" t="str">
        <f ca="1">IFERROR('TS STech'!Q41*-1*(1+'Aviation Synfuel Data'!$G$23),"")</f>
        <v/>
      </c>
      <c r="R17" s="1401">
        <f ca="1">IFERROR('TS STech'!R41*-1*(1+'Aviation Synfuel Data'!$G$23),"")</f>
        <v>-220.43352814695555</v>
      </c>
      <c r="S17" s="1401" t="str">
        <f ca="1">IFERROR('TS STech'!S41*-1*(1+'Aviation Synfuel Data'!$G$23),"")</f>
        <v/>
      </c>
      <c r="T17" s="1401" t="str">
        <f ca="1">IFERROR('TS STech'!T41*-1*(1+'Aviation Synfuel Data'!$G$23),"")</f>
        <v/>
      </c>
      <c r="U17" s="1401" t="str">
        <f ca="1">IFERROR('TS STech'!U41*-1*(1+'Aviation Synfuel Data'!$G$23),"")</f>
        <v/>
      </c>
      <c r="V17" s="1401" t="str">
        <f ca="1">IFERROR('TS STech'!V41*-1*(1+'Aviation Synfuel Data'!$G$23),"")</f>
        <v/>
      </c>
      <c r="W17" s="1401" t="str">
        <f ca="1">IFERROR('TS STech'!W41*-1*(1+'Aviation Synfuel Data'!$G$23),"")</f>
        <v/>
      </c>
      <c r="X17" s="1401" t="str">
        <f ca="1">IFERROR('TS STech'!X41*-1*(1+'Aviation Synfuel Data'!$G$23),"")</f>
        <v/>
      </c>
      <c r="Y17" s="1401" t="str">
        <f ca="1">IFERROR('TS STech'!Y41*-1*(1+'Aviation Synfuel Data'!$G$23),"")</f>
        <v/>
      </c>
      <c r="Z17" s="1401" t="str">
        <f ca="1">IFERROR('TS STech'!Z41*-1*(1+'Aviation Synfuel Data'!$G$23),"")</f>
        <v/>
      </c>
      <c r="AA17" s="1401" t="str">
        <f ca="1">IFERROR('TS STech'!AA41*-1*(1+'Aviation Synfuel Data'!$G$23),"")</f>
        <v/>
      </c>
      <c r="AB17" s="1401">
        <f ca="1">IFERROR('TS STech'!AB41*-1*(1+'Aviation Synfuel Data'!$G$23),"")</f>
        <v>-212.33828192446322</v>
      </c>
      <c r="AC17" s="1401" t="str">
        <f ca="1">IFERROR('TS STech'!AC41*-1*(1+'Aviation Synfuel Data'!$G$23),"")</f>
        <v/>
      </c>
      <c r="AD17" s="1401" t="str">
        <f ca="1">IFERROR('TS STech'!AD41*-1*(1+'Aviation Synfuel Data'!$G$23),"")</f>
        <v/>
      </c>
      <c r="AE17" s="1401" t="str">
        <f ca="1">IFERROR('TS STech'!AE41*-1*(1+'Aviation Synfuel Data'!$G$23),"")</f>
        <v/>
      </c>
      <c r="AF17" s="1401" t="str">
        <f ca="1">IFERROR('TS STech'!AF41*-1*(1+'Aviation Synfuel Data'!$G$23),"")</f>
        <v/>
      </c>
      <c r="AG17" s="1401" t="str">
        <f ca="1">IFERROR('TS STech'!AG41*-1*(1+'Aviation Synfuel Data'!$G$23),"")</f>
        <v/>
      </c>
      <c r="AH17" s="1401" t="str">
        <f ca="1">IFERROR('TS STech'!AH41*-1*(1+'Aviation Synfuel Data'!$G$23),"")</f>
        <v/>
      </c>
      <c r="AI17" s="1401" t="str">
        <f ca="1">IFERROR('TS STech'!AI41*-1*(1+'Aviation Synfuel Data'!$G$23),"")</f>
        <v/>
      </c>
      <c r="AJ17" s="1401" t="str">
        <f ca="1">IFERROR('TS STech'!AJ41*-1*(1+'Aviation Synfuel Data'!$G$23),"")</f>
        <v/>
      </c>
      <c r="AK17" s="1401" t="str">
        <f ca="1">IFERROR('TS STech'!AK41*-1*(1+'Aviation Synfuel Data'!$G$23),"")</f>
        <v/>
      </c>
      <c r="AL17" s="1401" t="str">
        <f ca="1">IFERROR('TS STech'!AL41*-1*(1+'Aviation Synfuel Data'!$G$23),"")</f>
        <v/>
      </c>
      <c r="AM17" s="1401" t="str">
        <f ca="1">IFERROR('TS STech'!AM41*-1*(1+'Aviation Synfuel Data'!$G$23),"")</f>
        <v/>
      </c>
      <c r="AN17" s="1401">
        <f ca="1">IFERROR('TS STech'!AN41*-1*(1+'Aviation Synfuel Data'!$G$23),"")</f>
        <v>-193.83486198733806</v>
      </c>
      <c r="AO17" s="1401" t="str">
        <f ca="1">IFERROR('TS STech'!AO41*-1*(1+'Aviation Synfuel Data'!$G$23),"")</f>
        <v/>
      </c>
      <c r="AP17" s="1401"/>
    </row>
    <row r="18" spans="2:42">
      <c r="B18" s="1409" t="s">
        <v>336</v>
      </c>
      <c r="C18" s="1409" t="str">
        <f>C17</f>
        <v>PEXOKG</v>
      </c>
      <c r="D18" s="1409" t="s">
        <v>334</v>
      </c>
      <c r="E18" s="1409" t="s">
        <v>334</v>
      </c>
      <c r="F18" s="1409" t="s">
        <v>334</v>
      </c>
      <c r="G18" s="1409" t="s">
        <v>337</v>
      </c>
      <c r="H18" s="1409" t="s">
        <v>1194</v>
      </c>
      <c r="I18" s="1409">
        <v>3</v>
      </c>
    </row>
    <row r="19" spans="2:42">
      <c r="B19" s="1409" t="s">
        <v>336</v>
      </c>
      <c r="C19" s="1409" t="str">
        <f>C18</f>
        <v>PEXOKG</v>
      </c>
      <c r="D19" s="1409" t="s">
        <v>334</v>
      </c>
      <c r="E19" s="1409" t="s">
        <v>334</v>
      </c>
      <c r="F19" s="1409" t="s">
        <v>334</v>
      </c>
      <c r="G19" s="1409" t="s">
        <v>337</v>
      </c>
      <c r="H19" s="1409" t="s">
        <v>338</v>
      </c>
      <c r="I19" s="1409">
        <v>3</v>
      </c>
      <c r="J19" s="650">
        <v>200</v>
      </c>
    </row>
  </sheetData>
  <pageMargins left="0.7" right="0.7" top="0.75" bottom="0.75" header="0.3" footer="0.3"/>
  <pageSetup paperSize="9" orientation="portrait" verticalDpi="0"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A5CE5-F7EC-44A9-BC24-C9465A03082A}">
  <sheetPr codeName="Sheet66">
    <tabColor theme="6" tint="0.59999389629810485"/>
  </sheetPr>
  <dimension ref="A1:I22"/>
  <sheetViews>
    <sheetView workbookViewId="0">
      <selection activeCell="E22" sqref="E22"/>
    </sheetView>
  </sheetViews>
  <sheetFormatPr defaultRowHeight="15"/>
  <cols>
    <col min="1" max="1" width="2" style="1409" bestFit="1" customWidth="1"/>
    <col min="2" max="2" width="12.5703125" style="1409" bestFit="1" customWidth="1"/>
    <col min="3" max="3" width="14.140625" style="1409" bestFit="1" customWidth="1"/>
    <col min="4" max="4" width="11.28515625" style="1409" bestFit="1" customWidth="1"/>
    <col min="5" max="5" width="16.28515625" style="1409" bestFit="1" customWidth="1"/>
    <col min="6"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14604</v>
      </c>
      <c r="D3" s="1409" t="s">
        <v>334</v>
      </c>
      <c r="E3" s="1409" t="s">
        <v>334</v>
      </c>
      <c r="F3" s="1409" t="s">
        <v>334</v>
      </c>
      <c r="G3" s="1409" t="s">
        <v>334</v>
      </c>
      <c r="H3" s="1409" t="s">
        <v>334</v>
      </c>
      <c r="I3" s="1409">
        <v>2030</v>
      </c>
    </row>
    <row r="4" spans="1:9">
      <c r="B4" s="1409" t="s">
        <v>361</v>
      </c>
      <c r="C4" s="1409" t="s">
        <v>14604</v>
      </c>
      <c r="D4" s="1409" t="str">
        <f>'Aviation Synfuel Data'!D6</f>
        <v>UPSELC</v>
      </c>
      <c r="E4" s="1409" t="s">
        <v>334</v>
      </c>
      <c r="F4" s="1409" t="s">
        <v>334</v>
      </c>
      <c r="G4" s="1409" t="s">
        <v>334</v>
      </c>
      <c r="H4" s="1409" t="s">
        <v>334</v>
      </c>
      <c r="I4" s="1409">
        <v>1</v>
      </c>
    </row>
    <row r="5" spans="1:9">
      <c r="B5" s="1409" t="s">
        <v>361</v>
      </c>
      <c r="C5" s="1409" t="s">
        <v>14604</v>
      </c>
      <c r="D5" s="1409" t="str">
        <f>'Aviation Synfuel Data'!D7</f>
        <v>HGN</v>
      </c>
      <c r="E5" s="1409" t="s">
        <v>334</v>
      </c>
      <c r="F5" s="1409" t="s">
        <v>334</v>
      </c>
      <c r="G5" s="1409" t="s">
        <v>334</v>
      </c>
      <c r="H5" s="1409" t="s">
        <v>334</v>
      </c>
      <c r="I5" s="1409">
        <v>1</v>
      </c>
    </row>
    <row r="6" spans="1:9">
      <c r="B6" s="1409" t="s">
        <v>361</v>
      </c>
      <c r="C6" s="1409" t="s">
        <v>14604</v>
      </c>
      <c r="D6" s="1409" t="s">
        <v>14809</v>
      </c>
      <c r="E6" s="1409" t="s">
        <v>334</v>
      </c>
      <c r="F6" s="1409" t="s">
        <v>334</v>
      </c>
      <c r="G6" s="1409" t="s">
        <v>334</v>
      </c>
      <c r="H6" s="1409" t="s">
        <v>334</v>
      </c>
      <c r="I6" s="1409">
        <v>1</v>
      </c>
    </row>
    <row r="7" spans="1:9">
      <c r="B7" s="1409" t="s">
        <v>344</v>
      </c>
      <c r="C7" s="1409" t="s">
        <v>14604</v>
      </c>
      <c r="D7" s="1409" t="str">
        <f>'Aviation Synfuel Data'!D8</f>
        <v>OAG</v>
      </c>
      <c r="E7" s="1409" t="s">
        <v>334</v>
      </c>
      <c r="F7" s="1409" t="s">
        <v>334</v>
      </c>
      <c r="G7" s="1409" t="s">
        <v>334</v>
      </c>
      <c r="H7" s="1409" t="s">
        <v>334</v>
      </c>
      <c r="I7" s="1409">
        <v>1</v>
      </c>
    </row>
    <row r="8" spans="1:9">
      <c r="B8" s="1409" t="s">
        <v>344</v>
      </c>
      <c r="C8" s="1409" t="s">
        <v>14604</v>
      </c>
      <c r="D8" s="1409" t="str">
        <f>'Aviation Synfuel Data'!D9</f>
        <v>OKG</v>
      </c>
      <c r="E8" s="1409" t="s">
        <v>334</v>
      </c>
      <c r="F8" s="1409" t="s">
        <v>334</v>
      </c>
      <c r="G8" s="1409" t="s">
        <v>334</v>
      </c>
      <c r="H8" s="1409" t="s">
        <v>334</v>
      </c>
      <c r="I8" s="1409">
        <v>1</v>
      </c>
    </row>
    <row r="9" spans="1:9">
      <c r="B9" s="1409" t="s">
        <v>340</v>
      </c>
      <c r="C9" s="1409" t="s">
        <v>14604</v>
      </c>
      <c r="D9" s="1409" t="s">
        <v>334</v>
      </c>
      <c r="E9" s="1409" t="s">
        <v>14603</v>
      </c>
      <c r="F9" s="1409" t="s">
        <v>334</v>
      </c>
      <c r="G9" s="1409" t="s">
        <v>334</v>
      </c>
      <c r="H9" s="1409" t="s">
        <v>334</v>
      </c>
      <c r="I9" s="1409">
        <v>1</v>
      </c>
    </row>
    <row r="10" spans="1:9">
      <c r="B10" s="1409" t="s">
        <v>342</v>
      </c>
      <c r="C10" s="1409" t="s">
        <v>14604</v>
      </c>
      <c r="D10" s="1409" t="s">
        <v>334</v>
      </c>
      <c r="E10" s="1409" t="s">
        <v>334</v>
      </c>
      <c r="F10" s="1409" t="s">
        <v>334</v>
      </c>
      <c r="G10" s="1409" t="s">
        <v>334</v>
      </c>
      <c r="H10" s="1409" t="s">
        <v>334</v>
      </c>
      <c r="I10" s="1409">
        <v>1</v>
      </c>
    </row>
    <row r="11" spans="1:9">
      <c r="B11" s="1409" t="s">
        <v>862</v>
      </c>
      <c r="C11" s="1409" t="s">
        <v>334</v>
      </c>
      <c r="D11" s="1409" t="str">
        <f>D7</f>
        <v>OAG</v>
      </c>
      <c r="E11" s="1409" t="s">
        <v>14603</v>
      </c>
      <c r="F11" s="1409" t="s">
        <v>334</v>
      </c>
      <c r="G11" s="1409" t="s">
        <v>334</v>
      </c>
      <c r="H11" s="1409" t="s">
        <v>334</v>
      </c>
      <c r="I11" s="1409">
        <v>1</v>
      </c>
    </row>
    <row r="12" spans="1:9">
      <c r="B12" s="1409" t="s">
        <v>862</v>
      </c>
      <c r="C12" s="1409" t="s">
        <v>334</v>
      </c>
      <c r="D12" s="1409" t="str">
        <f>D8</f>
        <v>OKG</v>
      </c>
      <c r="E12" s="1409" t="s">
        <v>14603</v>
      </c>
      <c r="F12" s="1409" t="s">
        <v>334</v>
      </c>
      <c r="G12" s="1409" t="s">
        <v>334</v>
      </c>
      <c r="H12" s="1409" t="s">
        <v>334</v>
      </c>
      <c r="I12" s="1409">
        <v>1</v>
      </c>
    </row>
    <row r="13" spans="1:9">
      <c r="B13" s="1409" t="s">
        <v>862</v>
      </c>
      <c r="C13" s="1409" t="s">
        <v>334</v>
      </c>
      <c r="D13" s="1409" t="str">
        <f>D4</f>
        <v>UPSELC</v>
      </c>
      <c r="E13" s="1409" t="s">
        <v>14602</v>
      </c>
      <c r="F13" s="1409" t="s">
        <v>334</v>
      </c>
      <c r="G13" s="1409" t="s">
        <v>334</v>
      </c>
      <c r="H13" s="1409" t="s">
        <v>334</v>
      </c>
      <c r="I13" s="1409">
        <v>1</v>
      </c>
    </row>
    <row r="14" spans="1:9">
      <c r="B14" s="1409" t="s">
        <v>862</v>
      </c>
      <c r="C14" s="1409" t="s">
        <v>334</v>
      </c>
      <c r="D14" s="1409" t="str">
        <f>D5</f>
        <v>HGN</v>
      </c>
      <c r="E14" s="1409" t="s">
        <v>14602</v>
      </c>
      <c r="F14" s="1409" t="s">
        <v>334</v>
      </c>
      <c r="G14" s="1409" t="s">
        <v>334</v>
      </c>
      <c r="H14" s="1409" t="s">
        <v>334</v>
      </c>
      <c r="I14" s="1409">
        <v>1</v>
      </c>
    </row>
    <row r="15" spans="1:9">
      <c r="B15" s="1409" t="s">
        <v>340</v>
      </c>
      <c r="C15" s="1409" t="str">
        <f>'Aviation Synfuel-Items'!C6</f>
        <v>XOKGOKE</v>
      </c>
      <c r="D15" s="1409" t="s">
        <v>334</v>
      </c>
      <c r="E15" s="1409" t="s">
        <v>592</v>
      </c>
      <c r="F15" s="1409" t="s">
        <v>334</v>
      </c>
      <c r="G15" s="1409" t="s">
        <v>334</v>
      </c>
      <c r="H15" s="1409" t="s">
        <v>334</v>
      </c>
      <c r="I15" s="1409">
        <v>1</v>
      </c>
    </row>
    <row r="16" spans="1:9">
      <c r="B16" s="1409" t="s">
        <v>342</v>
      </c>
      <c r="C16" s="1409" t="str">
        <f>C15</f>
        <v>XOKGOKE</v>
      </c>
      <c r="D16" s="1409" t="s">
        <v>334</v>
      </c>
      <c r="E16" s="1409" t="s">
        <v>334</v>
      </c>
      <c r="F16" s="1409" t="s">
        <v>334</v>
      </c>
      <c r="G16" s="1409" t="s">
        <v>334</v>
      </c>
      <c r="H16" s="1409" t="s">
        <v>334</v>
      </c>
      <c r="I16" s="1409">
        <v>1</v>
      </c>
    </row>
    <row r="17" spans="2:9">
      <c r="B17" s="1409" t="s">
        <v>361</v>
      </c>
      <c r="C17" s="1409" t="str">
        <f>C16</f>
        <v>XOKGOKE</v>
      </c>
      <c r="D17" s="1409" t="str">
        <f>D12</f>
        <v>OKG</v>
      </c>
      <c r="E17" s="1409" t="s">
        <v>334</v>
      </c>
      <c r="F17" s="1409" t="s">
        <v>334</v>
      </c>
      <c r="G17" s="1409" t="s">
        <v>334</v>
      </c>
      <c r="H17" s="1409" t="s">
        <v>334</v>
      </c>
      <c r="I17" s="1409">
        <v>1</v>
      </c>
    </row>
    <row r="18" spans="2:9">
      <c r="B18" s="1409" t="s">
        <v>344</v>
      </c>
      <c r="C18" s="1409" t="str">
        <f>C17</f>
        <v>XOKGOKE</v>
      </c>
      <c r="D18" s="1409" t="s">
        <v>592</v>
      </c>
      <c r="E18" s="1409" t="s">
        <v>334</v>
      </c>
      <c r="F18" s="1409" t="s">
        <v>334</v>
      </c>
      <c r="G18" s="1409" t="s">
        <v>334</v>
      </c>
      <c r="H18" s="1409" t="s">
        <v>334</v>
      </c>
      <c r="I18" s="1409">
        <v>1</v>
      </c>
    </row>
    <row r="19" spans="2:9">
      <c r="B19" s="1409" t="s">
        <v>344</v>
      </c>
      <c r="C19" s="1409" t="str">
        <f>C20</f>
        <v>PEXOKG</v>
      </c>
      <c r="D19" s="1409" t="s">
        <v>14815</v>
      </c>
      <c r="E19" s="1409" t="s">
        <v>334</v>
      </c>
      <c r="F19" s="1409" t="s">
        <v>334</v>
      </c>
      <c r="G19" s="1409" t="s">
        <v>334</v>
      </c>
      <c r="H19" s="1409" t="s">
        <v>334</v>
      </c>
      <c r="I19" s="1409">
        <v>1</v>
      </c>
    </row>
    <row r="20" spans="2:9">
      <c r="B20" s="1409" t="s">
        <v>361</v>
      </c>
      <c r="C20" s="1409" t="str">
        <f>'Aviation Synfuel-Items'!C7</f>
        <v>PEXOKG</v>
      </c>
      <c r="D20" s="1409" t="str">
        <f>D17</f>
        <v>OKG</v>
      </c>
      <c r="E20" s="1409" t="s">
        <v>334</v>
      </c>
      <c r="F20" s="1409" t="s">
        <v>334</v>
      </c>
      <c r="G20" s="1409" t="s">
        <v>334</v>
      </c>
      <c r="H20" s="1409" t="s">
        <v>334</v>
      </c>
      <c r="I20" s="1409">
        <v>1</v>
      </c>
    </row>
    <row r="21" spans="2:9">
      <c r="B21" s="1409" t="s">
        <v>340</v>
      </c>
      <c r="C21" s="1409" t="str">
        <f>C20</f>
        <v>PEXOKG</v>
      </c>
      <c r="D21" s="1409" t="s">
        <v>334</v>
      </c>
      <c r="E21" s="1409" t="str">
        <f>D19</f>
        <v>IDUM</v>
      </c>
      <c r="F21" s="1409" t="s">
        <v>334</v>
      </c>
      <c r="G21" s="1409" t="s">
        <v>334</v>
      </c>
      <c r="H21" s="1409" t="s">
        <v>334</v>
      </c>
      <c r="I21" s="1409">
        <v>1</v>
      </c>
    </row>
    <row r="22" spans="2:9">
      <c r="B22" s="1409" t="s">
        <v>342</v>
      </c>
      <c r="C22" s="1409" t="str">
        <f>C21</f>
        <v>PEXOKG</v>
      </c>
      <c r="D22" s="1409" t="s">
        <v>334</v>
      </c>
      <c r="E22" s="1409" t="s">
        <v>334</v>
      </c>
      <c r="F22" s="1409" t="s">
        <v>334</v>
      </c>
      <c r="G22" s="1409" t="s">
        <v>334</v>
      </c>
      <c r="H22" s="1409" t="s">
        <v>334</v>
      </c>
      <c r="I22" s="1409">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A1:AI149"/>
  <sheetViews>
    <sheetView workbookViewId="0">
      <selection activeCell="G92" sqref="G92"/>
    </sheetView>
  </sheetViews>
  <sheetFormatPr defaultColWidth="18.28515625" defaultRowHeight="15"/>
  <cols>
    <col min="1" max="1" width="25.28515625" customWidth="1"/>
    <col min="2" max="5" width="18.28515625" customWidth="1"/>
    <col min="6" max="6" width="23.28515625" customWidth="1"/>
    <col min="7" max="7" width="50.7109375" customWidth="1"/>
    <col min="8" max="8" width="3.5703125" style="805" customWidth="1"/>
    <col min="9" max="9" width="26" style="779" customWidth="1"/>
    <col min="10" max="17" width="18.28515625" style="779"/>
    <col min="18" max="18" width="11.7109375" style="779" customWidth="1"/>
    <col min="23" max="23" width="3.7109375" style="812" customWidth="1"/>
    <col min="24" max="24" width="24.7109375" bestFit="1" customWidth="1"/>
    <col min="25" max="25" width="8.7109375" customWidth="1"/>
  </cols>
  <sheetData>
    <row r="1" spans="1:28" s="430" customFormat="1" ht="18.75">
      <c r="A1" s="774" t="s">
        <v>1261</v>
      </c>
      <c r="B1" s="774"/>
      <c r="C1" s="774"/>
      <c r="D1" s="774"/>
      <c r="E1" s="774"/>
      <c r="F1" s="774"/>
      <c r="G1" s="775"/>
      <c r="H1" s="805"/>
      <c r="I1" s="774" t="s">
        <v>1262</v>
      </c>
      <c r="J1" s="774"/>
      <c r="K1" s="774"/>
      <c r="L1" s="774"/>
      <c r="M1" s="774"/>
      <c r="N1" s="774"/>
      <c r="O1" s="775"/>
      <c r="P1" s="775"/>
      <c r="Q1" s="775"/>
      <c r="R1" s="779"/>
      <c r="W1" s="812"/>
      <c r="X1" s="776" t="s">
        <v>1368</v>
      </c>
      <c r="Y1" s="775"/>
      <c r="Z1" s="775"/>
      <c r="AA1" s="775"/>
      <c r="AB1" s="775"/>
    </row>
    <row r="2" spans="1:28" s="430" customFormat="1">
      <c r="H2" s="805"/>
      <c r="I2" s="1452" t="s">
        <v>14046</v>
      </c>
      <c r="J2" s="779"/>
      <c r="K2" s="779"/>
      <c r="L2" s="779"/>
      <c r="M2" s="184" t="s">
        <v>14086</v>
      </c>
      <c r="N2" s="779"/>
      <c r="O2" s="779"/>
      <c r="P2" s="779"/>
      <c r="Q2" s="779"/>
      <c r="R2" s="779"/>
      <c r="W2" s="812"/>
    </row>
    <row r="3" spans="1:28" s="430" customFormat="1">
      <c r="A3" s="184" t="s">
        <v>1255</v>
      </c>
      <c r="H3" s="805"/>
      <c r="I3" s="780" t="s">
        <v>1263</v>
      </c>
      <c r="J3" s="780"/>
      <c r="K3" s="780"/>
      <c r="L3" s="780"/>
      <c r="M3" s="780"/>
      <c r="N3" s="780"/>
      <c r="O3" s="780"/>
      <c r="P3" s="780"/>
      <c r="Q3" s="780"/>
      <c r="R3" s="779"/>
      <c r="W3" s="812"/>
      <c r="X3" s="834" t="s">
        <v>1198</v>
      </c>
    </row>
    <row r="4" spans="1:28" s="430" customFormat="1">
      <c r="A4" s="184" t="str">
        <f>I1</f>
        <v>UK SHEC PROJECT MARKAL MODEL HYDROGEN SUPPLY TECHNOLOGY TABLES</v>
      </c>
      <c r="H4" s="805"/>
      <c r="I4" s="780" t="s">
        <v>1264</v>
      </c>
      <c r="J4" s="780"/>
      <c r="K4" s="780"/>
      <c r="L4" s="780"/>
      <c r="M4" s="780"/>
      <c r="N4" s="780"/>
      <c r="O4" s="780"/>
      <c r="P4" s="780"/>
      <c r="Q4" s="780"/>
      <c r="R4" s="779"/>
      <c r="W4" s="812"/>
      <c r="X4" s="610" t="s">
        <v>1369</v>
      </c>
      <c r="Y4" s="581">
        <v>4.1239999999999997</v>
      </c>
      <c r="Z4" s="610" t="s">
        <v>1370</v>
      </c>
    </row>
    <row r="5" spans="1:28" s="430" customFormat="1">
      <c r="A5" s="184" t="str">
        <f>A17</f>
        <v>Steam Methane Reforming (SMR)</v>
      </c>
      <c r="H5" s="805"/>
      <c r="I5" s="780" t="s">
        <v>1265</v>
      </c>
      <c r="J5" s="780"/>
      <c r="K5" s="780"/>
      <c r="L5" s="780"/>
      <c r="M5" s="780"/>
      <c r="N5" s="780"/>
      <c r="O5" s="780"/>
      <c r="P5" s="780"/>
      <c r="Q5" s="780"/>
      <c r="R5" s="779"/>
      <c r="W5" s="812"/>
      <c r="X5" s="610" t="s">
        <v>1371</v>
      </c>
      <c r="Y5" s="581">
        <v>2.016</v>
      </c>
      <c r="Z5" s="610" t="s">
        <v>1372</v>
      </c>
    </row>
    <row r="6" spans="1:28" s="430" customFormat="1">
      <c r="A6" s="184" t="str">
        <f>A70</f>
        <v>Water Electrolysis</v>
      </c>
      <c r="H6" s="805"/>
      <c r="I6" s="781" t="s">
        <v>1311</v>
      </c>
      <c r="J6" s="782" t="s">
        <v>1310</v>
      </c>
      <c r="K6" s="782" t="s">
        <v>1312</v>
      </c>
      <c r="L6" s="1920" t="s">
        <v>1313</v>
      </c>
      <c r="M6" s="1921"/>
      <c r="N6" s="1922"/>
      <c r="O6" s="1920" t="s">
        <v>1290</v>
      </c>
      <c r="P6" s="1921"/>
      <c r="Q6" s="1922"/>
      <c r="R6" s="779"/>
      <c r="W6" s="812"/>
      <c r="X6" s="610" t="s">
        <v>1373</v>
      </c>
      <c r="Y6" s="581">
        <v>-252.8</v>
      </c>
      <c r="Z6" s="610" t="s">
        <v>1374</v>
      </c>
    </row>
    <row r="7" spans="1:28" s="430" customFormat="1" ht="30">
      <c r="H7" s="805"/>
      <c r="I7" s="1927"/>
      <c r="J7" s="1927"/>
      <c r="K7" s="1927"/>
      <c r="L7" s="783">
        <v>2000</v>
      </c>
      <c r="M7" s="783">
        <v>2025</v>
      </c>
      <c r="N7" s="783">
        <v>2050</v>
      </c>
      <c r="O7" s="783">
        <v>2000</v>
      </c>
      <c r="P7" s="783">
        <v>2025</v>
      </c>
      <c r="Q7" s="783">
        <v>2050</v>
      </c>
      <c r="R7" s="779"/>
      <c r="W7" s="812"/>
      <c r="X7" s="771" t="s">
        <v>1375</v>
      </c>
      <c r="Y7" s="813">
        <f>101.3/(Y4*(20+273.15))</f>
        <v>8.3791678502000005E-2</v>
      </c>
      <c r="Z7" s="610" t="s">
        <v>1382</v>
      </c>
    </row>
    <row r="8" spans="1:28" s="430" customFormat="1" ht="18.75">
      <c r="A8" s="774" t="s">
        <v>1255</v>
      </c>
      <c r="B8" s="775"/>
      <c r="C8" s="775"/>
      <c r="D8" s="775"/>
      <c r="E8" s="775"/>
      <c r="F8" s="775"/>
      <c r="G8" s="775"/>
      <c r="H8" s="805"/>
      <c r="I8" s="784" t="s">
        <v>1266</v>
      </c>
      <c r="J8" s="784" t="s">
        <v>1267</v>
      </c>
      <c r="K8" s="785">
        <v>2000</v>
      </c>
      <c r="L8" s="786">
        <v>18</v>
      </c>
      <c r="M8" s="786">
        <v>16</v>
      </c>
      <c r="N8" s="786">
        <v>14</v>
      </c>
      <c r="O8" s="787" t="s">
        <v>1268</v>
      </c>
      <c r="P8" s="787" t="s">
        <v>1268</v>
      </c>
      <c r="Q8" s="787" t="s">
        <v>1268</v>
      </c>
      <c r="R8" s="779"/>
      <c r="W8" s="812"/>
      <c r="X8" s="610" t="s">
        <v>1376</v>
      </c>
      <c r="Y8" s="581">
        <v>70.8</v>
      </c>
      <c r="Z8" s="610" t="s">
        <v>1377</v>
      </c>
    </row>
    <row r="9" spans="1:28" s="430" customFormat="1" ht="44.25" customHeight="1">
      <c r="A9" s="1913" t="s">
        <v>1256</v>
      </c>
      <c r="B9" s="1913"/>
      <c r="C9" s="1913"/>
      <c r="D9" s="1913"/>
      <c r="E9" s="1913"/>
      <c r="F9" s="1913"/>
      <c r="G9" s="1913"/>
      <c r="H9" s="805"/>
      <c r="I9" s="804" t="s">
        <v>1348</v>
      </c>
      <c r="J9" s="784" t="s">
        <v>1267</v>
      </c>
      <c r="K9" s="785">
        <v>2020</v>
      </c>
      <c r="L9" s="787" t="s">
        <v>1269</v>
      </c>
      <c r="M9" s="787" t="s">
        <v>1269</v>
      </c>
      <c r="N9" s="787" t="s">
        <v>1269</v>
      </c>
      <c r="O9" s="787" t="s">
        <v>1270</v>
      </c>
      <c r="P9" s="787" t="s">
        <v>1270</v>
      </c>
      <c r="Q9" s="787" t="s">
        <v>1270</v>
      </c>
      <c r="R9" s="779"/>
      <c r="W9" s="812"/>
      <c r="X9" s="610" t="s">
        <v>1378</v>
      </c>
      <c r="Y9" s="581">
        <v>142</v>
      </c>
      <c r="Z9" s="610" t="s">
        <v>1045</v>
      </c>
    </row>
    <row r="10" spans="1:28" s="430" customFormat="1">
      <c r="H10" s="805"/>
      <c r="I10" s="784" t="s">
        <v>1271</v>
      </c>
      <c r="J10" s="784" t="s">
        <v>1267</v>
      </c>
      <c r="K10" s="785">
        <v>2000</v>
      </c>
      <c r="L10" s="786">
        <v>5</v>
      </c>
      <c r="M10" s="786">
        <v>4</v>
      </c>
      <c r="N10" s="786">
        <v>3</v>
      </c>
      <c r="O10" s="787" t="s">
        <v>1272</v>
      </c>
      <c r="P10" s="787" t="s">
        <v>1273</v>
      </c>
      <c r="Q10" s="787" t="s">
        <v>1273</v>
      </c>
      <c r="R10" s="779"/>
      <c r="W10" s="812"/>
      <c r="X10" s="610" t="s">
        <v>1379</v>
      </c>
      <c r="Y10" s="581">
        <v>120</v>
      </c>
      <c r="Z10" s="610" t="s">
        <v>1045</v>
      </c>
    </row>
    <row r="11" spans="1:28" s="430" customFormat="1">
      <c r="A11" s="430" t="s">
        <v>1258</v>
      </c>
      <c r="H11" s="805"/>
      <c r="I11" s="784" t="s">
        <v>1271</v>
      </c>
      <c r="J11" s="784" t="s">
        <v>1274</v>
      </c>
      <c r="K11" s="785">
        <v>2000</v>
      </c>
      <c r="L11" s="786">
        <v>12</v>
      </c>
      <c r="M11" s="786">
        <v>10</v>
      </c>
      <c r="N11" s="786">
        <v>8</v>
      </c>
      <c r="O11" s="787" t="s">
        <v>1275</v>
      </c>
      <c r="P11" s="787" t="s">
        <v>1272</v>
      </c>
      <c r="Q11" s="787" t="s">
        <v>1272</v>
      </c>
      <c r="R11" s="779"/>
      <c r="W11" s="812"/>
      <c r="X11" s="610" t="s">
        <v>1380</v>
      </c>
      <c r="Y11" s="581" t="s">
        <v>1381</v>
      </c>
      <c r="Z11" s="610"/>
    </row>
    <row r="12" spans="1:28" s="430" customFormat="1">
      <c r="A12" s="430" t="s">
        <v>1259</v>
      </c>
      <c r="H12" s="805"/>
      <c r="I12" s="784" t="s">
        <v>1271</v>
      </c>
      <c r="J12" s="784" t="s">
        <v>1276</v>
      </c>
      <c r="K12" s="785">
        <v>2020</v>
      </c>
      <c r="L12" s="786">
        <v>45</v>
      </c>
      <c r="M12" s="786">
        <v>10</v>
      </c>
      <c r="N12" s="786">
        <v>8</v>
      </c>
      <c r="O12" s="787" t="s">
        <v>1268</v>
      </c>
      <c r="P12" s="787" t="s">
        <v>1272</v>
      </c>
      <c r="Q12" s="787" t="s">
        <v>1272</v>
      </c>
      <c r="R12" s="779"/>
      <c r="W12" s="812"/>
    </row>
    <row r="13" spans="1:28" s="430" customFormat="1" ht="18.75">
      <c r="A13" s="430" t="s">
        <v>1260</v>
      </c>
      <c r="H13" s="805"/>
      <c r="I13" s="784" t="s">
        <v>1277</v>
      </c>
      <c r="J13" s="784" t="s">
        <v>1267</v>
      </c>
      <c r="K13" s="785">
        <v>2020</v>
      </c>
      <c r="L13" s="786">
        <v>15</v>
      </c>
      <c r="M13" s="786">
        <v>15</v>
      </c>
      <c r="N13" s="786">
        <v>15</v>
      </c>
      <c r="O13" s="787" t="s">
        <v>1278</v>
      </c>
      <c r="P13" s="787" t="s">
        <v>1278</v>
      </c>
      <c r="Q13" s="787" t="s">
        <v>1278</v>
      </c>
      <c r="R13" s="779"/>
      <c r="W13" s="812"/>
      <c r="X13" s="776" t="s">
        <v>1399</v>
      </c>
      <c r="Y13" s="775"/>
      <c r="Z13" s="775"/>
      <c r="AA13" s="775"/>
    </row>
    <row r="14" spans="1:28" s="430" customFormat="1">
      <c r="H14" s="805"/>
      <c r="I14" s="784" t="s">
        <v>1277</v>
      </c>
      <c r="J14" s="784" t="s">
        <v>1274</v>
      </c>
      <c r="K14" s="785">
        <v>2020</v>
      </c>
      <c r="L14" s="786">
        <v>30</v>
      </c>
      <c r="M14" s="786">
        <v>20</v>
      </c>
      <c r="N14" s="786">
        <v>20</v>
      </c>
      <c r="O14" s="787" t="s">
        <v>1278</v>
      </c>
      <c r="P14" s="787" t="s">
        <v>1278</v>
      </c>
      <c r="Q14" s="787" t="s">
        <v>1278</v>
      </c>
      <c r="R14" s="779"/>
      <c r="W14" s="812"/>
      <c r="X14" s="1409" t="s">
        <v>1395</v>
      </c>
      <c r="Y14" s="1409">
        <v>1.0079400000000001</v>
      </c>
      <c r="Z14" s="184" t="s">
        <v>14786</v>
      </c>
      <c r="AA14" s="1409"/>
    </row>
    <row r="15" spans="1:28" s="430" customFormat="1">
      <c r="A15" s="761" t="s">
        <v>1257</v>
      </c>
      <c r="H15" s="805"/>
      <c r="I15" s="784" t="s">
        <v>1277</v>
      </c>
      <c r="J15" s="784" t="s">
        <v>1276</v>
      </c>
      <c r="K15" s="785">
        <v>2020</v>
      </c>
      <c r="L15" s="786">
        <v>45</v>
      </c>
      <c r="M15" s="786">
        <v>25</v>
      </c>
      <c r="N15" s="786">
        <v>25</v>
      </c>
      <c r="O15" s="787" t="s">
        <v>1278</v>
      </c>
      <c r="P15" s="787" t="s">
        <v>1278</v>
      </c>
      <c r="Q15" s="787" t="s">
        <v>1278</v>
      </c>
      <c r="R15" s="779"/>
      <c r="W15" s="812"/>
      <c r="X15" s="1409" t="s">
        <v>1394</v>
      </c>
      <c r="Y15" s="1409">
        <v>15.9994</v>
      </c>
      <c r="Z15" s="184" t="s">
        <v>14787</v>
      </c>
      <c r="AA15" s="1409"/>
    </row>
    <row r="16" spans="1:28" s="430" customFormat="1">
      <c r="H16" s="805"/>
      <c r="I16" s="784" t="s">
        <v>1279</v>
      </c>
      <c r="J16" s="784" t="s">
        <v>1274</v>
      </c>
      <c r="K16" s="785">
        <v>2020</v>
      </c>
      <c r="L16" s="786">
        <v>30</v>
      </c>
      <c r="M16" s="786">
        <v>20</v>
      </c>
      <c r="N16" s="786">
        <v>20</v>
      </c>
      <c r="O16" s="787" t="s">
        <v>1278</v>
      </c>
      <c r="P16" s="787" t="s">
        <v>1278</v>
      </c>
      <c r="Q16" s="787" t="s">
        <v>1278</v>
      </c>
      <c r="R16" s="779"/>
      <c r="W16" s="812"/>
      <c r="X16" s="1409"/>
      <c r="Y16" s="1409"/>
      <c r="Z16" s="1409"/>
      <c r="AA16" s="1409"/>
    </row>
    <row r="17" spans="1:35" ht="18.75">
      <c r="A17" s="774" t="s">
        <v>1213</v>
      </c>
      <c r="B17" s="775"/>
      <c r="C17" s="775"/>
      <c r="D17" s="775"/>
      <c r="E17" s="775"/>
      <c r="F17" s="775"/>
      <c r="G17" s="775"/>
      <c r="I17" s="784" t="s">
        <v>1280</v>
      </c>
      <c r="J17" s="784" t="s">
        <v>1274</v>
      </c>
      <c r="K17" s="785">
        <v>2020</v>
      </c>
      <c r="L17" s="786">
        <v>30</v>
      </c>
      <c r="M17" s="786">
        <v>20</v>
      </c>
      <c r="N17" s="786">
        <v>20</v>
      </c>
      <c r="O17" s="787" t="s">
        <v>1278</v>
      </c>
      <c r="P17" s="787" t="s">
        <v>1278</v>
      </c>
      <c r="Q17" s="787" t="s">
        <v>1278</v>
      </c>
      <c r="S17" s="430"/>
      <c r="T17" s="430"/>
      <c r="U17" s="430"/>
      <c r="V17" s="430"/>
      <c r="X17" s="1409" t="s">
        <v>14788</v>
      </c>
      <c r="Y17" s="1409">
        <f>(Y14*2+Y15)/(2*Y14)</f>
        <v>8.9366827390519283</v>
      </c>
      <c r="Z17" s="1409" t="s">
        <v>1396</v>
      </c>
      <c r="AA17" s="1409"/>
      <c r="AB17" s="430"/>
    </row>
    <row r="18" spans="1:35">
      <c r="I18" s="784" t="s">
        <v>1281</v>
      </c>
      <c r="J18" s="784" t="s">
        <v>1267</v>
      </c>
      <c r="K18" s="785">
        <v>2030</v>
      </c>
      <c r="L18" s="787"/>
      <c r="M18" s="786">
        <v>40</v>
      </c>
      <c r="N18" s="786">
        <v>40</v>
      </c>
      <c r="O18" s="787"/>
      <c r="P18" s="787" t="s">
        <v>1275</v>
      </c>
      <c r="Q18" s="787" t="s">
        <v>1275</v>
      </c>
      <c r="S18" s="430"/>
      <c r="T18" s="430"/>
      <c r="U18" s="430"/>
      <c r="V18" s="430"/>
      <c r="X18" s="1409"/>
      <c r="Y18" s="1409">
        <f>Y17/Y9</f>
        <v>6.2934385486281191E-2</v>
      </c>
      <c r="Z18" s="1409" t="s">
        <v>1397</v>
      </c>
      <c r="AA18" s="1409"/>
    </row>
    <row r="19" spans="1:35">
      <c r="A19" s="757" t="s">
        <v>617</v>
      </c>
      <c r="B19" s="757" t="s">
        <v>1206</v>
      </c>
      <c r="I19" s="784" t="s">
        <v>1282</v>
      </c>
      <c r="J19" s="784" t="s">
        <v>1274</v>
      </c>
      <c r="K19" s="785">
        <v>2000</v>
      </c>
      <c r="L19" s="786">
        <v>18</v>
      </c>
      <c r="M19" s="786">
        <v>10</v>
      </c>
      <c r="N19" s="786">
        <v>10</v>
      </c>
      <c r="O19" s="787" t="s">
        <v>1275</v>
      </c>
      <c r="P19" s="787" t="s">
        <v>1273</v>
      </c>
      <c r="Q19" s="787" t="s">
        <v>1283</v>
      </c>
      <c r="S19" s="430"/>
      <c r="T19" s="430"/>
      <c r="U19" s="430"/>
      <c r="V19" s="430"/>
      <c r="X19" s="1409"/>
      <c r="Y19" s="1409">
        <f>Y17/Y10</f>
        <v>7.4472356158766073E-2</v>
      </c>
      <c r="Z19" s="1409" t="s">
        <v>1398</v>
      </c>
      <c r="AA19" s="1409"/>
    </row>
    <row r="20" spans="1:35">
      <c r="A20" t="s">
        <v>1253</v>
      </c>
      <c r="I20" s="784" t="s">
        <v>1282</v>
      </c>
      <c r="J20" s="784" t="s">
        <v>1276</v>
      </c>
      <c r="K20" s="785">
        <v>2000</v>
      </c>
      <c r="L20" s="786">
        <v>65</v>
      </c>
      <c r="M20" s="786">
        <v>16</v>
      </c>
      <c r="N20" s="786">
        <v>10</v>
      </c>
      <c r="O20" s="787" t="s">
        <v>1275</v>
      </c>
      <c r="P20" s="787" t="s">
        <v>1273</v>
      </c>
      <c r="Q20" s="787" t="s">
        <v>1283</v>
      </c>
      <c r="S20" s="430"/>
      <c r="T20" s="430"/>
      <c r="U20" s="430"/>
      <c r="V20" s="430"/>
      <c r="X20" s="1409"/>
      <c r="Y20" s="1409"/>
      <c r="Z20" s="1409"/>
      <c r="AA20" s="1409"/>
    </row>
    <row r="21" spans="1:35">
      <c r="A21" t="s">
        <v>1207</v>
      </c>
      <c r="S21" s="430"/>
      <c r="T21" s="430"/>
      <c r="U21" s="430"/>
      <c r="V21" s="430"/>
      <c r="X21" s="1409"/>
      <c r="Y21" s="1409">
        <f>4*Y14+2*Y15</f>
        <v>36.030560000000001</v>
      </c>
      <c r="Z21" s="1409">
        <f>4*Y14</f>
        <v>4.0317600000000002</v>
      </c>
      <c r="AA21" s="1409" t="s">
        <v>14647</v>
      </c>
    </row>
    <row r="22" spans="1:35">
      <c r="A22" t="s">
        <v>1208</v>
      </c>
      <c r="I22" s="788" t="s">
        <v>1284</v>
      </c>
      <c r="J22" s="780"/>
      <c r="K22" s="780"/>
      <c r="L22" s="780"/>
      <c r="M22" s="780"/>
      <c r="N22" s="780"/>
      <c r="O22" s="780"/>
      <c r="P22" s="780"/>
      <c r="Q22" s="780"/>
      <c r="S22" s="430"/>
      <c r="T22" s="430"/>
      <c r="U22" s="430"/>
      <c r="V22" s="430"/>
      <c r="X22" s="1409"/>
      <c r="Y22" s="1409"/>
      <c r="Z22" s="1409">
        <f>2*Y15</f>
        <v>31.998799999999999</v>
      </c>
      <c r="AA22" s="1409" t="s">
        <v>1766</v>
      </c>
    </row>
    <row r="23" spans="1:35">
      <c r="A23" t="s">
        <v>1209</v>
      </c>
      <c r="I23" s="780" t="s">
        <v>1285</v>
      </c>
      <c r="J23" s="780"/>
      <c r="K23" s="780"/>
      <c r="L23" s="780"/>
      <c r="M23" s="780"/>
      <c r="N23" s="780"/>
      <c r="O23" s="1790"/>
      <c r="P23" s="780"/>
      <c r="Q23" s="780"/>
      <c r="S23" s="430"/>
      <c r="T23" s="430"/>
      <c r="U23" s="430"/>
      <c r="V23" s="430"/>
      <c r="X23" s="1409" t="s">
        <v>14789</v>
      </c>
      <c r="Y23" s="1409">
        <f>Y21/Z22</f>
        <v>1.1259972248959336</v>
      </c>
      <c r="Z23" s="1409" t="s">
        <v>14790</v>
      </c>
      <c r="AA23" s="1409"/>
    </row>
    <row r="24" spans="1:35">
      <c r="A24" t="s">
        <v>1210</v>
      </c>
      <c r="I24" s="789" t="s">
        <v>1286</v>
      </c>
      <c r="J24" s="780"/>
      <c r="K24" s="780"/>
      <c r="L24" s="780"/>
      <c r="M24" s="780"/>
      <c r="N24" s="780"/>
      <c r="O24" s="780"/>
      <c r="P24" s="780"/>
      <c r="Q24" s="780"/>
      <c r="S24" s="430"/>
      <c r="T24" s="430"/>
      <c r="U24" s="430"/>
      <c r="V24" s="430"/>
      <c r="X24" s="1409"/>
      <c r="Y24" s="1409">
        <f>Y17/Y23</f>
        <v>7.9366827390519283</v>
      </c>
      <c r="Z24" s="1409" t="s">
        <v>14791</v>
      </c>
      <c r="AA24" s="1409"/>
    </row>
    <row r="25" spans="1:35">
      <c r="A25" t="s">
        <v>1211</v>
      </c>
      <c r="I25" s="780" t="str">
        <f>I30&amp;J30</f>
        <v>SMRLarge</v>
      </c>
      <c r="J25" s="780"/>
      <c r="K25" s="1787" t="s">
        <v>14795</v>
      </c>
      <c r="L25" s="1789">
        <f>L30*1.27</f>
        <v>11.43</v>
      </c>
      <c r="M25" s="1789">
        <f t="shared" ref="M25:N25" si="0">M30*1.27</f>
        <v>8.89</v>
      </c>
      <c r="N25" s="1789">
        <f t="shared" si="0"/>
        <v>6.35</v>
      </c>
      <c r="O25" s="780"/>
      <c r="P25" s="780"/>
      <c r="Q25" s="780"/>
    </row>
    <row r="26" spans="1:35">
      <c r="A26" t="s">
        <v>1212</v>
      </c>
      <c r="I26" s="790" t="s">
        <v>1287</v>
      </c>
      <c r="J26" s="791" t="s">
        <v>1288</v>
      </c>
      <c r="K26" s="791" t="s">
        <v>1289</v>
      </c>
      <c r="L26" s="1907" t="s">
        <v>1355</v>
      </c>
      <c r="M26" s="1907"/>
      <c r="N26" s="1907"/>
      <c r="O26" s="1907" t="s">
        <v>1290</v>
      </c>
      <c r="P26" s="1907"/>
      <c r="Q26" s="1907"/>
      <c r="R26" s="1907" t="s">
        <v>1356</v>
      </c>
      <c r="S26" s="1907"/>
      <c r="T26" s="1907"/>
      <c r="U26" s="1910" t="s">
        <v>1361</v>
      </c>
      <c r="V26" s="1910"/>
    </row>
    <row r="27" spans="1:35" s="430" customFormat="1">
      <c r="F27" s="430" t="s">
        <v>1254</v>
      </c>
      <c r="H27" s="805"/>
      <c r="I27" s="1917"/>
      <c r="J27" s="1917"/>
      <c r="K27" s="1917"/>
      <c r="L27" s="792">
        <v>2000</v>
      </c>
      <c r="M27" s="792">
        <v>2025</v>
      </c>
      <c r="N27" s="792">
        <v>2050</v>
      </c>
      <c r="O27" s="797">
        <v>2000</v>
      </c>
      <c r="P27" s="797">
        <v>2025</v>
      </c>
      <c r="Q27" s="797">
        <v>2050</v>
      </c>
      <c r="R27" s="792">
        <v>2000</v>
      </c>
      <c r="S27" s="792">
        <v>2025</v>
      </c>
      <c r="T27" s="792">
        <v>2050</v>
      </c>
      <c r="U27" s="760" t="s">
        <v>1362</v>
      </c>
      <c r="V27" s="760" t="s">
        <v>1363</v>
      </c>
      <c r="W27" s="812"/>
    </row>
    <row r="28" spans="1:35" s="430" customFormat="1">
      <c r="A28" t="s">
        <v>1236</v>
      </c>
      <c r="H28" s="805"/>
      <c r="I28" s="793" t="s">
        <v>1291</v>
      </c>
      <c r="J28" s="793" t="s">
        <v>1292</v>
      </c>
      <c r="K28" s="794">
        <v>2000</v>
      </c>
      <c r="L28" s="795">
        <v>31</v>
      </c>
      <c r="M28" s="795">
        <v>27</v>
      </c>
      <c r="N28" s="795">
        <v>24</v>
      </c>
      <c r="O28" s="798" t="s">
        <v>1293</v>
      </c>
      <c r="P28" s="798" t="s">
        <v>1293</v>
      </c>
      <c r="Q28" s="798" t="s">
        <v>1293</v>
      </c>
      <c r="R28" s="795">
        <f>L28*$R$47*Deflator!$F$33</f>
        <v>443.23799999999994</v>
      </c>
      <c r="S28" s="795">
        <f>M28*$R$47*Deflator!$F$33</f>
        <v>386.04599999999994</v>
      </c>
      <c r="T28" s="795">
        <f>N28*$R$47*Deflator!$F$33</f>
        <v>343.15199999999993</v>
      </c>
      <c r="U28" s="810">
        <f>(R28/S28)^(1/25)-1</f>
        <v>5.541310115432907E-3</v>
      </c>
      <c r="V28" s="810">
        <f>(S28/T28)^(1/25)-1</f>
        <v>4.7224371507739171E-3</v>
      </c>
      <c r="W28" s="812"/>
    </row>
    <row r="29" spans="1:35" s="430" customFormat="1" ht="25.5">
      <c r="H29" s="805"/>
      <c r="I29" s="803" t="s">
        <v>1348</v>
      </c>
      <c r="J29" s="793" t="s">
        <v>1292</v>
      </c>
      <c r="K29" s="794">
        <v>2020</v>
      </c>
      <c r="L29" s="809">
        <v>217</v>
      </c>
      <c r="M29" s="809">
        <v>217</v>
      </c>
      <c r="N29" s="809">
        <v>217</v>
      </c>
      <c r="O29" s="798" t="s">
        <v>1295</v>
      </c>
      <c r="P29" s="798" t="s">
        <v>1295</v>
      </c>
      <c r="Q29" s="798" t="s">
        <v>1295</v>
      </c>
      <c r="R29" s="795">
        <f>L29*$R$47*Deflator!$F$33</f>
        <v>3102.6659999999997</v>
      </c>
      <c r="S29" s="807">
        <f>M29*$R$47*Deflator!$F$33</f>
        <v>3102.6659999999997</v>
      </c>
      <c r="T29" s="807">
        <f>N29*$R$47*Deflator!$F$33</f>
        <v>3102.6659999999997</v>
      </c>
      <c r="U29" s="810">
        <f t="shared" ref="U29:U40" si="1">(R29/S29)^(1/25)-1</f>
        <v>0</v>
      </c>
      <c r="V29" s="810">
        <f t="shared" ref="V29:V40" si="2">(S29/T29)^(1/25)-1</f>
        <v>0</v>
      </c>
      <c r="W29" s="812"/>
      <c r="AD29" s="1409" t="s">
        <v>14792</v>
      </c>
      <c r="AE29" s="1409"/>
      <c r="AF29" s="1409"/>
      <c r="AG29" s="1409">
        <v>2020</v>
      </c>
      <c r="AH29" s="1409">
        <v>2030</v>
      </c>
      <c r="AI29" s="1409">
        <v>2035</v>
      </c>
    </row>
    <row r="30" spans="1:35" s="430" customFormat="1">
      <c r="H30" s="805"/>
      <c r="I30" s="793" t="s">
        <v>1297</v>
      </c>
      <c r="J30" s="793" t="s">
        <v>1292</v>
      </c>
      <c r="K30" s="794">
        <v>2000</v>
      </c>
      <c r="L30" s="1788">
        <v>9</v>
      </c>
      <c r="M30" s="1788">
        <v>7</v>
      </c>
      <c r="N30" s="1788">
        <v>5</v>
      </c>
      <c r="O30" s="798" t="s">
        <v>1298</v>
      </c>
      <c r="P30" s="798" t="s">
        <v>1299</v>
      </c>
      <c r="Q30" s="798" t="s">
        <v>1299</v>
      </c>
      <c r="R30" s="795">
        <f>L30*$R$47*Deflator!$F$33</f>
        <v>128.68199999999999</v>
      </c>
      <c r="S30" s="795">
        <f>M30*$R$47*Deflator!$F$33</f>
        <v>100.086</v>
      </c>
      <c r="T30" s="795">
        <f>N30*$R$47*Deflator!$F$33</f>
        <v>71.489999999999995</v>
      </c>
      <c r="U30" s="810">
        <f t="shared" si="1"/>
        <v>1.010327402045097E-2</v>
      </c>
      <c r="V30" s="810">
        <f t="shared" si="2"/>
        <v>1.354986801622915E-2</v>
      </c>
      <c r="W30" s="812"/>
      <c r="AD30" s="1409" t="s">
        <v>1291</v>
      </c>
      <c r="AE30" s="1409" t="s">
        <v>1123</v>
      </c>
      <c r="AF30" s="1409" t="s">
        <v>14793</v>
      </c>
      <c r="AG30" s="1409">
        <v>2670</v>
      </c>
      <c r="AH30" s="1409">
        <f>AG30</f>
        <v>2670</v>
      </c>
      <c r="AI30" s="1409">
        <f>AH30</f>
        <v>2670</v>
      </c>
    </row>
    <row r="31" spans="1:35" s="430" customFormat="1">
      <c r="A31" s="760" t="s">
        <v>3</v>
      </c>
      <c r="B31" s="760" t="s">
        <v>1227</v>
      </c>
      <c r="C31" s="760" t="s">
        <v>1228</v>
      </c>
      <c r="D31" s="1918" t="s">
        <v>1232</v>
      </c>
      <c r="E31" s="1918"/>
      <c r="F31" s="1918"/>
      <c r="H31" s="805"/>
      <c r="I31" s="793" t="s">
        <v>1297</v>
      </c>
      <c r="J31" s="793" t="s">
        <v>1300</v>
      </c>
      <c r="K31" s="794">
        <v>2000</v>
      </c>
      <c r="L31" s="795">
        <v>21</v>
      </c>
      <c r="M31" s="795">
        <v>17</v>
      </c>
      <c r="N31" s="795">
        <v>14</v>
      </c>
      <c r="O31" s="798" t="s">
        <v>1301</v>
      </c>
      <c r="P31" s="798" t="s">
        <v>1298</v>
      </c>
      <c r="Q31" s="798" t="s">
        <v>1298</v>
      </c>
      <c r="R31" s="795">
        <f>L31*$R$47*Deflator!$F$33</f>
        <v>300.25799999999998</v>
      </c>
      <c r="S31" s="795">
        <f>M31*$R$47*Deflator!$F$33</f>
        <v>243.06599999999997</v>
      </c>
      <c r="T31" s="795">
        <f>N31*$R$47*Deflator!$F$33</f>
        <v>200.172</v>
      </c>
      <c r="U31" s="810">
        <f t="shared" si="1"/>
        <v>8.4881858291023793E-3</v>
      </c>
      <c r="V31" s="810">
        <f t="shared" si="2"/>
        <v>7.796476045282219E-3</v>
      </c>
      <c r="W31" s="812"/>
      <c r="AD31" s="1409" t="s">
        <v>1297</v>
      </c>
      <c r="AE31" s="1409" t="s">
        <v>1123</v>
      </c>
      <c r="AF31" s="1409" t="s">
        <v>14793</v>
      </c>
      <c r="AG31" s="1409">
        <v>910</v>
      </c>
      <c r="AH31" s="1409">
        <f>AG31</f>
        <v>910</v>
      </c>
      <c r="AI31" s="1409">
        <f>AH31</f>
        <v>910</v>
      </c>
    </row>
    <row r="32" spans="1:35" s="430" customFormat="1">
      <c r="A32" s="766">
        <v>0.89</v>
      </c>
      <c r="B32" s="767">
        <v>1500000</v>
      </c>
      <c r="C32" s="768" t="s">
        <v>1229</v>
      </c>
      <c r="D32" s="1833" t="s">
        <v>1235</v>
      </c>
      <c r="E32" s="1833"/>
      <c r="F32" s="1833"/>
      <c r="H32" s="805"/>
      <c r="I32" s="793" t="s">
        <v>1297</v>
      </c>
      <c r="J32" s="793" t="s">
        <v>1302</v>
      </c>
      <c r="K32" s="794">
        <v>2020</v>
      </c>
      <c r="L32" s="795">
        <v>77</v>
      </c>
      <c r="M32" s="795">
        <v>17</v>
      </c>
      <c r="N32" s="795">
        <v>14</v>
      </c>
      <c r="O32" s="798" t="s">
        <v>1293</v>
      </c>
      <c r="P32" s="798" t="s">
        <v>1298</v>
      </c>
      <c r="Q32" s="798" t="s">
        <v>1298</v>
      </c>
      <c r="R32" s="795">
        <f>L32*$R$47*Deflator!$F$33</f>
        <v>1100.9459999999999</v>
      </c>
      <c r="S32" s="795">
        <f>M32*$R$47*Deflator!$F$33</f>
        <v>243.06599999999997</v>
      </c>
      <c r="T32" s="795">
        <f>N32*$R$47*Deflator!$F$33</f>
        <v>200.172</v>
      </c>
      <c r="U32" s="810">
        <f t="shared" si="1"/>
        <v>6.2286524074936622E-2</v>
      </c>
      <c r="V32" s="810">
        <f t="shared" si="2"/>
        <v>7.796476045282219E-3</v>
      </c>
      <c r="W32" s="812"/>
      <c r="AD32" s="1409" t="s">
        <v>1291</v>
      </c>
      <c r="AE32" s="1409" t="s">
        <v>1123</v>
      </c>
      <c r="AF32" s="1409" t="s">
        <v>14794</v>
      </c>
      <c r="AG32" s="433">
        <f>AG30/1000/(8760*3600*AG34)*1000000000</f>
        <v>94.072382885168267</v>
      </c>
      <c r="AH32" s="433">
        <f t="shared" ref="AH32:AI33" si="3">AH30/1000/(8760*3600*AH34)*1000000000</f>
        <v>94.072382885168267</v>
      </c>
      <c r="AI32" s="433">
        <f t="shared" si="3"/>
        <v>94.072382885168267</v>
      </c>
    </row>
    <row r="33" spans="1:35" s="430" customFormat="1">
      <c r="A33" s="766">
        <v>0.79200000000000004</v>
      </c>
      <c r="B33" s="767">
        <v>1500000</v>
      </c>
      <c r="C33" s="768" t="s">
        <v>1229</v>
      </c>
      <c r="D33" s="1919" t="s">
        <v>1233</v>
      </c>
      <c r="E33" s="1919"/>
      <c r="F33" s="1919"/>
      <c r="H33" s="805"/>
      <c r="I33" s="793" t="s">
        <v>1303</v>
      </c>
      <c r="J33" s="793" t="s">
        <v>1292</v>
      </c>
      <c r="K33" s="794">
        <v>2020</v>
      </c>
      <c r="L33" s="795">
        <v>26</v>
      </c>
      <c r="M33" s="795">
        <v>26</v>
      </c>
      <c r="N33" s="795">
        <v>26</v>
      </c>
      <c r="O33" s="798" t="s">
        <v>1304</v>
      </c>
      <c r="P33" s="798" t="s">
        <v>1304</v>
      </c>
      <c r="Q33" s="798" t="s">
        <v>1304</v>
      </c>
      <c r="R33" s="795">
        <f>L33*$R$47*Deflator!$F$33</f>
        <v>371.74799999999999</v>
      </c>
      <c r="S33" s="795">
        <f>M33*$R$47*Deflator!$F$33</f>
        <v>371.74799999999999</v>
      </c>
      <c r="T33" s="795">
        <f>N33*$R$47*Deflator!$F$33</f>
        <v>371.74799999999999</v>
      </c>
      <c r="U33" s="810">
        <f t="shared" si="1"/>
        <v>0</v>
      </c>
      <c r="V33" s="810">
        <f t="shared" si="2"/>
        <v>0</v>
      </c>
      <c r="W33" s="812"/>
      <c r="AD33" s="1409" t="s">
        <v>1297</v>
      </c>
      <c r="AE33" s="1409" t="s">
        <v>1123</v>
      </c>
      <c r="AF33" s="1409" t="s">
        <v>14794</v>
      </c>
      <c r="AG33" s="433">
        <f>AG31/1000/(8760*3600*AG35)*1000000000</f>
        <v>32.062123005806413</v>
      </c>
      <c r="AH33" s="433">
        <f t="shared" si="3"/>
        <v>32.062123005806413</v>
      </c>
      <c r="AI33" s="433">
        <f>AI31/1000/(8760*3600*AI35)*1000000000</f>
        <v>32.062123005806413</v>
      </c>
    </row>
    <row r="34" spans="1:35" s="430" customFormat="1">
      <c r="A34" s="766">
        <v>0.69099999999999995</v>
      </c>
      <c r="B34" s="767">
        <v>1500000</v>
      </c>
      <c r="C34" s="768" t="s">
        <v>1229</v>
      </c>
      <c r="D34" s="1919" t="s">
        <v>1234</v>
      </c>
      <c r="E34" s="1919"/>
      <c r="F34" s="1919"/>
      <c r="H34" s="805"/>
      <c r="I34" s="793" t="s">
        <v>1303</v>
      </c>
      <c r="J34" s="793" t="s">
        <v>1300</v>
      </c>
      <c r="K34" s="794">
        <v>2020</v>
      </c>
      <c r="L34" s="795">
        <v>52</v>
      </c>
      <c r="M34" s="795">
        <v>34</v>
      </c>
      <c r="N34" s="795">
        <v>34</v>
      </c>
      <c r="O34" s="798" t="s">
        <v>1304</v>
      </c>
      <c r="P34" s="798" t="s">
        <v>1304</v>
      </c>
      <c r="Q34" s="798" t="s">
        <v>1304</v>
      </c>
      <c r="R34" s="795">
        <f>L34*$R$47*Deflator!$F$33</f>
        <v>743.49599999999998</v>
      </c>
      <c r="S34" s="795">
        <f>M34*$R$47*Deflator!$F$33</f>
        <v>486.13199999999995</v>
      </c>
      <c r="T34" s="795">
        <f>N34*$R$47*Deflator!$F$33</f>
        <v>486.13199999999995</v>
      </c>
      <c r="U34" s="810">
        <f t="shared" si="1"/>
        <v>1.7140569987868837E-2</v>
      </c>
      <c r="V34" s="810">
        <f t="shared" si="2"/>
        <v>0</v>
      </c>
      <c r="W34" s="812"/>
      <c r="AD34" s="1409" t="s">
        <v>1291</v>
      </c>
      <c r="AE34" s="1409" t="s">
        <v>299</v>
      </c>
      <c r="AF34" s="1409" t="s">
        <v>296</v>
      </c>
      <c r="AG34" s="1409">
        <v>0.9</v>
      </c>
      <c r="AH34" s="1409">
        <v>0.9</v>
      </c>
      <c r="AI34" s="1409">
        <v>0.9</v>
      </c>
    </row>
    <row r="35" spans="1:35" s="430" customFormat="1">
      <c r="H35" s="805"/>
      <c r="I35" s="793" t="s">
        <v>1303</v>
      </c>
      <c r="J35" s="793" t="s">
        <v>1302</v>
      </c>
      <c r="K35" s="794">
        <v>2020</v>
      </c>
      <c r="L35" s="795">
        <v>77</v>
      </c>
      <c r="M35" s="795">
        <v>43</v>
      </c>
      <c r="N35" s="795">
        <v>43</v>
      </c>
      <c r="O35" s="798" t="s">
        <v>1304</v>
      </c>
      <c r="P35" s="798" t="s">
        <v>1304</v>
      </c>
      <c r="Q35" s="798" t="s">
        <v>1304</v>
      </c>
      <c r="R35" s="795">
        <f>L35*$R$47*Deflator!$F$33</f>
        <v>1100.9459999999999</v>
      </c>
      <c r="S35" s="795">
        <f>M35*$R$47*Deflator!$F$33</f>
        <v>614.81399999999996</v>
      </c>
      <c r="T35" s="795">
        <f>N35*$R$47*Deflator!$F$33</f>
        <v>614.81399999999996</v>
      </c>
      <c r="U35" s="810">
        <f t="shared" si="1"/>
        <v>2.3577877113833301E-2</v>
      </c>
      <c r="V35" s="810">
        <f t="shared" si="2"/>
        <v>0</v>
      </c>
      <c r="W35" s="812"/>
      <c r="AD35" s="1409" t="s">
        <v>1297</v>
      </c>
      <c r="AE35" s="1409" t="s">
        <v>299</v>
      </c>
      <c r="AF35" s="1409" t="s">
        <v>296</v>
      </c>
      <c r="AG35" s="1409">
        <v>0.9</v>
      </c>
      <c r="AH35" s="1409">
        <v>0.9</v>
      </c>
      <c r="AI35" s="1409">
        <v>0.9</v>
      </c>
    </row>
    <row r="36" spans="1:35" s="430" customFormat="1" ht="15.75" thickBot="1">
      <c r="E36" s="834" t="s">
        <v>1389</v>
      </c>
      <c r="H36" s="805"/>
      <c r="I36" s="793" t="s">
        <v>1305</v>
      </c>
      <c r="J36" s="793" t="s">
        <v>1300</v>
      </c>
      <c r="K36" s="794">
        <v>2020</v>
      </c>
      <c r="L36" s="795">
        <v>52</v>
      </c>
      <c r="M36" s="795">
        <v>34</v>
      </c>
      <c r="N36" s="795">
        <v>34</v>
      </c>
      <c r="O36" s="798" t="s">
        <v>1304</v>
      </c>
      <c r="P36" s="798" t="s">
        <v>1304</v>
      </c>
      <c r="Q36" s="798" t="s">
        <v>1304</v>
      </c>
      <c r="R36" s="795">
        <f>L36*$R$47*Deflator!$F$33</f>
        <v>743.49599999999998</v>
      </c>
      <c r="S36" s="795">
        <f>M36*$R$47*Deflator!$F$33</f>
        <v>486.13199999999995</v>
      </c>
      <c r="T36" s="795">
        <f>N36*$R$47*Deflator!$F$33</f>
        <v>486.13199999999995</v>
      </c>
      <c r="U36" s="810">
        <f t="shared" si="1"/>
        <v>1.7140569987868837E-2</v>
      </c>
      <c r="V36" s="810">
        <f t="shared" si="2"/>
        <v>0</v>
      </c>
      <c r="W36" s="812"/>
      <c r="AD36" s="1409" t="s">
        <v>1291</v>
      </c>
      <c r="AE36" s="1409" t="s">
        <v>510</v>
      </c>
      <c r="AF36" s="1409" t="s">
        <v>296</v>
      </c>
      <c r="AG36" s="1409">
        <v>0.6</v>
      </c>
      <c r="AH36" s="1409">
        <v>0.6</v>
      </c>
      <c r="AI36" s="1409">
        <v>0.6</v>
      </c>
    </row>
    <row r="37" spans="1:35" s="430" customFormat="1">
      <c r="A37" s="814" t="s">
        <v>1239</v>
      </c>
      <c r="B37" s="815"/>
      <c r="C37" s="815"/>
      <c r="D37" s="815"/>
      <c r="E37" s="823" t="s">
        <v>1385</v>
      </c>
      <c r="F37" s="824">
        <f>B39/Y10</f>
        <v>0.11416666666666667</v>
      </c>
      <c r="G37" s="825" t="s">
        <v>1410</v>
      </c>
      <c r="H37" s="805"/>
      <c r="I37" s="793" t="s">
        <v>1306</v>
      </c>
      <c r="J37" s="793" t="s">
        <v>1300</v>
      </c>
      <c r="K37" s="794">
        <v>2020</v>
      </c>
      <c r="L37" s="795">
        <v>52</v>
      </c>
      <c r="M37" s="795">
        <v>34</v>
      </c>
      <c r="N37" s="795">
        <v>34</v>
      </c>
      <c r="O37" s="798" t="s">
        <v>1304</v>
      </c>
      <c r="P37" s="798" t="s">
        <v>1304</v>
      </c>
      <c r="Q37" s="798" t="s">
        <v>1304</v>
      </c>
      <c r="R37" s="795">
        <f>L37*$R$47*Deflator!$F$33</f>
        <v>743.49599999999998</v>
      </c>
      <c r="S37" s="795">
        <f>M37*$R$47*Deflator!$F$33</f>
        <v>486.13199999999995</v>
      </c>
      <c r="T37" s="795">
        <f>N37*$R$47*Deflator!$F$33</f>
        <v>486.13199999999995</v>
      </c>
      <c r="U37" s="810">
        <f t="shared" si="1"/>
        <v>1.7140569987868837E-2</v>
      </c>
      <c r="V37" s="810">
        <f t="shared" si="2"/>
        <v>0</v>
      </c>
      <c r="W37" s="812"/>
      <c r="AD37" s="1409" t="s">
        <v>1297</v>
      </c>
      <c r="AE37" s="1409" t="s">
        <v>510</v>
      </c>
      <c r="AF37" s="1409" t="s">
        <v>296</v>
      </c>
      <c r="AG37" s="1409">
        <v>0.76</v>
      </c>
      <c r="AH37" s="1409">
        <v>0.76</v>
      </c>
      <c r="AI37" s="1409">
        <v>0.76</v>
      </c>
    </row>
    <row r="38" spans="1:35" s="430" customFormat="1">
      <c r="A38" s="833" t="s">
        <v>1240</v>
      </c>
      <c r="B38" s="817"/>
      <c r="C38" s="817"/>
      <c r="D38" s="817"/>
      <c r="E38" s="826"/>
      <c r="F38" s="821">
        <f>F37/1000000*1000000000</f>
        <v>114.16666666666666</v>
      </c>
      <c r="G38" s="820" t="s">
        <v>1383</v>
      </c>
      <c r="H38" s="805"/>
      <c r="I38" s="793" t="s">
        <v>1307</v>
      </c>
      <c r="J38" s="793" t="s">
        <v>1292</v>
      </c>
      <c r="K38" s="794">
        <v>2030</v>
      </c>
      <c r="L38" s="793"/>
      <c r="M38" s="795">
        <v>69</v>
      </c>
      <c r="N38" s="795">
        <v>69</v>
      </c>
      <c r="O38" s="798"/>
      <c r="P38" s="798" t="s">
        <v>1301</v>
      </c>
      <c r="Q38" s="798" t="s">
        <v>1301</v>
      </c>
      <c r="R38" s="795"/>
      <c r="S38" s="795">
        <f>M38*$R$47*Deflator!$F$33</f>
        <v>986.5619999999999</v>
      </c>
      <c r="T38" s="795">
        <f>N38*$R$47*Deflator!$F$33</f>
        <v>986.5619999999999</v>
      </c>
      <c r="U38" s="810"/>
      <c r="V38" s="810">
        <f t="shared" si="2"/>
        <v>0</v>
      </c>
      <c r="W38" s="812"/>
    </row>
    <row r="39" spans="1:35" s="430" customFormat="1">
      <c r="A39" s="816" t="s">
        <v>1241</v>
      </c>
      <c r="B39" s="817">
        <v>13.7</v>
      </c>
      <c r="C39" s="817" t="s">
        <v>1367</v>
      </c>
      <c r="D39" s="817"/>
      <c r="E39" s="826" t="s">
        <v>254</v>
      </c>
      <c r="F39" s="831">
        <f>F38*0.776</f>
        <v>88.593333333333334</v>
      </c>
      <c r="G39" s="820" t="s">
        <v>1384</v>
      </c>
      <c r="H39" s="805"/>
      <c r="I39" s="793" t="s">
        <v>1308</v>
      </c>
      <c r="J39" s="793" t="s">
        <v>1300</v>
      </c>
      <c r="K39" s="794">
        <v>2000</v>
      </c>
      <c r="L39" s="795">
        <v>31</v>
      </c>
      <c r="M39" s="795">
        <v>17</v>
      </c>
      <c r="N39" s="795">
        <v>17</v>
      </c>
      <c r="O39" s="798" t="s">
        <v>1301</v>
      </c>
      <c r="P39" s="798" t="s">
        <v>1299</v>
      </c>
      <c r="Q39" s="798" t="s">
        <v>1309</v>
      </c>
      <c r="R39" s="795">
        <f>L39*$R$47*Deflator!$F$33</f>
        <v>443.23799999999994</v>
      </c>
      <c r="S39" s="795">
        <f>M39*$R$47*Deflator!$F$33</f>
        <v>243.06599999999997</v>
      </c>
      <c r="T39" s="795">
        <f>N39*$R$47*Deflator!$F$33</f>
        <v>243.06599999999997</v>
      </c>
      <c r="U39" s="810">
        <f t="shared" si="1"/>
        <v>2.4322024691141753E-2</v>
      </c>
      <c r="V39" s="810">
        <f t="shared" si="2"/>
        <v>0</v>
      </c>
      <c r="W39" s="812"/>
    </row>
    <row r="40" spans="1:35" s="430" customFormat="1" ht="30">
      <c r="A40" s="816" t="s">
        <v>1366</v>
      </c>
      <c r="B40" s="817">
        <v>0.44</v>
      </c>
      <c r="C40" s="817" t="s">
        <v>1242</v>
      </c>
      <c r="D40" s="817"/>
      <c r="E40" s="826" t="s">
        <v>256</v>
      </c>
      <c r="F40" s="831">
        <f>F38*(1-0.776)</f>
        <v>25.573333333333327</v>
      </c>
      <c r="G40" s="820" t="s">
        <v>1383</v>
      </c>
      <c r="H40" s="805"/>
      <c r="I40" s="793" t="s">
        <v>1308</v>
      </c>
      <c r="J40" s="793" t="s">
        <v>1302</v>
      </c>
      <c r="K40" s="794">
        <v>2000</v>
      </c>
      <c r="L40" s="795">
        <v>112</v>
      </c>
      <c r="M40" s="795">
        <v>27</v>
      </c>
      <c r="N40" s="795">
        <v>17</v>
      </c>
      <c r="O40" s="798" t="s">
        <v>1301</v>
      </c>
      <c r="P40" s="798" t="s">
        <v>1299</v>
      </c>
      <c r="Q40" s="798" t="s">
        <v>1309</v>
      </c>
      <c r="R40" s="795">
        <f>L40*$R$47*Deflator!$F$33</f>
        <v>1601.376</v>
      </c>
      <c r="S40" s="795">
        <f>M40*$R$47*Deflator!$F$33</f>
        <v>386.04599999999994</v>
      </c>
      <c r="T40" s="795">
        <f>N40*$R$47*Deflator!$F$33</f>
        <v>243.06599999999997</v>
      </c>
      <c r="U40" s="810">
        <f t="shared" si="1"/>
        <v>5.8556809757487338E-2</v>
      </c>
      <c r="V40" s="810">
        <f t="shared" si="2"/>
        <v>1.8677218316921262E-2</v>
      </c>
      <c r="W40" s="812"/>
    </row>
    <row r="41" spans="1:35" s="430" customFormat="1" ht="15.75" thickBot="1">
      <c r="A41" s="818"/>
      <c r="B41" s="819"/>
      <c r="C41" s="819"/>
      <c r="D41" s="819"/>
      <c r="E41" s="828" t="s">
        <v>256</v>
      </c>
      <c r="F41" s="830">
        <f>F40/21</f>
        <v>1.2177777777777774</v>
      </c>
      <c r="G41" s="829" t="s">
        <v>1386</v>
      </c>
      <c r="H41" s="805"/>
      <c r="L41" s="808"/>
      <c r="M41" s="430" t="s">
        <v>1358</v>
      </c>
      <c r="R41" s="779"/>
      <c r="S41" s="430" t="s">
        <v>1357</v>
      </c>
      <c r="W41" s="812"/>
    </row>
    <row r="42" spans="1:35" s="430" customFormat="1">
      <c r="E42" s="823" t="s">
        <v>254</v>
      </c>
      <c r="F42" s="832">
        <f>F39*$A$65</f>
        <v>66.444999999999993</v>
      </c>
      <c r="G42" s="825" t="s">
        <v>1387</v>
      </c>
      <c r="H42" s="805"/>
      <c r="I42" s="779"/>
      <c r="J42" s="779"/>
      <c r="K42" s="779"/>
      <c r="L42" s="779"/>
      <c r="M42" s="779"/>
      <c r="N42" s="779"/>
      <c r="O42" s="779"/>
      <c r="P42" s="779"/>
      <c r="Q42" s="779"/>
      <c r="R42" s="779"/>
      <c r="W42" s="812"/>
    </row>
    <row r="43" spans="1:35">
      <c r="E43" s="826" t="s">
        <v>256</v>
      </c>
      <c r="F43" s="827">
        <f>F40*$A$65</f>
        <v>19.179999999999996</v>
      </c>
      <c r="G43" s="820" t="s">
        <v>1387</v>
      </c>
      <c r="I43" s="796" t="s">
        <v>1314</v>
      </c>
      <c r="J43" s="796"/>
      <c r="K43" s="796"/>
      <c r="L43" s="796"/>
      <c r="M43" s="796"/>
      <c r="N43" s="796"/>
    </row>
    <row r="44" spans="1:35" ht="15.75" thickBot="1">
      <c r="E44" s="828" t="s">
        <v>256</v>
      </c>
      <c r="F44" s="822">
        <f>F41*$A$65</f>
        <v>0.91333333333333311</v>
      </c>
      <c r="G44" s="829" t="s">
        <v>1388</v>
      </c>
      <c r="I44" s="796" t="s">
        <v>1315</v>
      </c>
      <c r="J44" s="796"/>
      <c r="K44" s="796"/>
      <c r="L44" s="796"/>
      <c r="M44" s="796"/>
      <c r="N44" s="796"/>
    </row>
    <row r="45" spans="1:35">
      <c r="I45" s="796"/>
      <c r="J45" s="796"/>
      <c r="K45" s="796"/>
      <c r="L45" s="796"/>
      <c r="M45" s="796"/>
      <c r="N45" s="796"/>
    </row>
    <row r="46" spans="1:35" ht="39" customHeight="1">
      <c r="I46" s="1923" t="s">
        <v>1316</v>
      </c>
      <c r="J46" s="1923" t="s">
        <v>1310</v>
      </c>
      <c r="K46" s="1925" t="s">
        <v>1317</v>
      </c>
      <c r="L46" s="1914" t="s">
        <v>1318</v>
      </c>
      <c r="M46" s="1915"/>
      <c r="N46" s="1916"/>
      <c r="Q46" s="1399"/>
      <c r="R46" s="779" t="s">
        <v>14010</v>
      </c>
    </row>
    <row r="47" spans="1:35">
      <c r="A47" s="758" t="s">
        <v>1214</v>
      </c>
      <c r="I47" s="1924"/>
      <c r="J47" s="1924"/>
      <c r="K47" s="1926"/>
      <c r="L47" s="797">
        <v>2000</v>
      </c>
      <c r="M47" s="797">
        <v>2025</v>
      </c>
      <c r="N47" s="797">
        <v>2050</v>
      </c>
      <c r="R47" s="779">
        <v>1.2</v>
      </c>
    </row>
    <row r="48" spans="1:35">
      <c r="I48" s="793" t="s">
        <v>1291</v>
      </c>
      <c r="J48" s="793" t="s">
        <v>1292</v>
      </c>
      <c r="K48" s="798" t="s">
        <v>1319</v>
      </c>
      <c r="L48" s="799">
        <v>0.9</v>
      </c>
      <c r="M48" s="799">
        <v>0.8</v>
      </c>
      <c r="N48" s="799">
        <v>0.7</v>
      </c>
    </row>
    <row r="49" spans="1:23">
      <c r="A49" s="1913" t="s">
        <v>1215</v>
      </c>
      <c r="B49" s="1913"/>
      <c r="C49" s="1913"/>
      <c r="D49" s="1913"/>
      <c r="E49" s="1913"/>
      <c r="F49" s="1913"/>
      <c r="G49" s="1913"/>
      <c r="I49" s="793" t="s">
        <v>1294</v>
      </c>
      <c r="J49" s="793" t="s">
        <v>1292</v>
      </c>
      <c r="K49" s="798" t="s">
        <v>1319</v>
      </c>
      <c r="L49" s="798" t="s">
        <v>1320</v>
      </c>
      <c r="M49" s="798" t="s">
        <v>1320</v>
      </c>
      <c r="N49" s="798" t="s">
        <v>1320</v>
      </c>
    </row>
    <row r="50" spans="1:23">
      <c r="I50" s="793" t="s">
        <v>1296</v>
      </c>
      <c r="J50" s="793"/>
      <c r="K50" s="798"/>
      <c r="L50" s="798"/>
      <c r="M50" s="798"/>
      <c r="N50" s="798"/>
    </row>
    <row r="51" spans="1:23">
      <c r="A51" s="610" t="s">
        <v>1216</v>
      </c>
      <c r="B51" s="610" t="s">
        <v>1219</v>
      </c>
      <c r="I51" s="793" t="s">
        <v>1297</v>
      </c>
      <c r="J51" s="793" t="s">
        <v>1292</v>
      </c>
      <c r="K51" s="798" t="s">
        <v>1321</v>
      </c>
      <c r="L51" s="799">
        <v>0.2</v>
      </c>
      <c r="M51" s="799">
        <v>0.2</v>
      </c>
      <c r="N51" s="799">
        <v>0.1</v>
      </c>
    </row>
    <row r="52" spans="1:23" s="430" customFormat="1">
      <c r="A52" s="610" t="s">
        <v>1217</v>
      </c>
      <c r="B52" s="610" t="s">
        <v>1220</v>
      </c>
      <c r="C52"/>
      <c r="D52"/>
      <c r="E52"/>
      <c r="F52"/>
      <c r="G52"/>
      <c r="H52" s="805"/>
      <c r="I52" s="793" t="s">
        <v>1297</v>
      </c>
      <c r="J52" s="793" t="s">
        <v>1300</v>
      </c>
      <c r="K52" s="798" t="s">
        <v>1321</v>
      </c>
      <c r="L52" s="799">
        <v>0.5</v>
      </c>
      <c r="M52" s="799">
        <v>0.4</v>
      </c>
      <c r="N52" s="799">
        <v>0.3</v>
      </c>
      <c r="O52" s="779"/>
      <c r="P52" s="779"/>
      <c r="Q52" s="779"/>
      <c r="R52" s="779"/>
      <c r="W52" s="812"/>
    </row>
    <row r="53" spans="1:23">
      <c r="A53" s="610" t="s">
        <v>1218</v>
      </c>
      <c r="B53" s="610" t="s">
        <v>1221</v>
      </c>
      <c r="I53" s="793" t="s">
        <v>1297</v>
      </c>
      <c r="J53" s="793" t="s">
        <v>1302</v>
      </c>
      <c r="K53" s="798" t="s">
        <v>1321</v>
      </c>
      <c r="L53" s="799">
        <v>1.8</v>
      </c>
      <c r="M53" s="799">
        <v>0.4</v>
      </c>
      <c r="N53" s="799">
        <v>0.3</v>
      </c>
    </row>
    <row r="54" spans="1:23">
      <c r="I54" s="793" t="s">
        <v>1303</v>
      </c>
      <c r="J54" s="793" t="s">
        <v>1292</v>
      </c>
      <c r="K54" s="798" t="s">
        <v>1322</v>
      </c>
      <c r="L54" s="799">
        <v>1.1000000000000001</v>
      </c>
      <c r="M54" s="799">
        <v>1.1000000000000001</v>
      </c>
      <c r="N54" s="799">
        <v>1.1000000000000001</v>
      </c>
    </row>
    <row r="55" spans="1:23">
      <c r="A55" s="388" t="s">
        <v>831</v>
      </c>
      <c r="B55" s="430"/>
      <c r="C55" s="430"/>
      <c r="D55" s="430"/>
      <c r="E55" s="430"/>
      <c r="F55" s="430"/>
      <c r="G55" s="430"/>
      <c r="I55" s="793" t="s">
        <v>1303</v>
      </c>
      <c r="J55" s="793" t="s">
        <v>1300</v>
      </c>
      <c r="K55" s="798" t="s">
        <v>1322</v>
      </c>
      <c r="L55" s="799">
        <v>2.1</v>
      </c>
      <c r="M55" s="799">
        <v>1.4</v>
      </c>
      <c r="N55" s="799">
        <v>1.4</v>
      </c>
    </row>
    <row r="56" spans="1:23" s="430" customFormat="1">
      <c r="A56"/>
      <c r="B56"/>
      <c r="C56"/>
      <c r="D56"/>
      <c r="E56"/>
      <c r="F56"/>
      <c r="G56"/>
      <c r="H56" s="805"/>
      <c r="I56" s="793" t="s">
        <v>1303</v>
      </c>
      <c r="J56" s="793" t="s">
        <v>1302</v>
      </c>
      <c r="K56" s="798" t="s">
        <v>1322</v>
      </c>
      <c r="L56" s="799">
        <v>3.2</v>
      </c>
      <c r="M56" s="799">
        <v>1.8</v>
      </c>
      <c r="N56" s="799">
        <v>1.8</v>
      </c>
      <c r="O56" s="779"/>
      <c r="P56" s="779"/>
      <c r="Q56" s="779"/>
      <c r="R56" s="779"/>
      <c r="W56" s="812"/>
    </row>
    <row r="57" spans="1:23" s="430" customFormat="1">
      <c r="A57" s="760" t="s">
        <v>3</v>
      </c>
      <c r="B57" s="760" t="s">
        <v>1237</v>
      </c>
      <c r="C57" s="760" t="s">
        <v>1238</v>
      </c>
      <c r="D57" s="760" t="s">
        <v>1227</v>
      </c>
      <c r="E57" s="760" t="s">
        <v>1228</v>
      </c>
      <c r="F57" s="760" t="s">
        <v>617</v>
      </c>
      <c r="G57" s="763" t="s">
        <v>1232</v>
      </c>
      <c r="H57" s="805"/>
      <c r="I57" s="793" t="s">
        <v>1305</v>
      </c>
      <c r="J57" s="793" t="s">
        <v>1300</v>
      </c>
      <c r="K57" s="798" t="s">
        <v>1322</v>
      </c>
      <c r="L57" s="799">
        <v>2.1</v>
      </c>
      <c r="M57" s="799">
        <v>1.4</v>
      </c>
      <c r="N57" s="799">
        <v>1.4</v>
      </c>
      <c r="O57" s="779"/>
      <c r="P57" s="779"/>
      <c r="Q57" s="779"/>
      <c r="R57" s="779"/>
      <c r="W57" s="812"/>
    </row>
    <row r="58" spans="1:23" s="430" customFormat="1" ht="45">
      <c r="A58" s="759">
        <v>0.89</v>
      </c>
      <c r="B58" s="610"/>
      <c r="C58" s="610"/>
      <c r="D58" s="762">
        <v>1500000</v>
      </c>
      <c r="E58" s="581" t="s">
        <v>1229</v>
      </c>
      <c r="F58" s="581" t="s">
        <v>1224</v>
      </c>
      <c r="G58" s="764" t="s">
        <v>1235</v>
      </c>
      <c r="H58" s="805"/>
      <c r="I58" s="793" t="s">
        <v>1306</v>
      </c>
      <c r="J58" s="793" t="s">
        <v>1300</v>
      </c>
      <c r="K58" s="798" t="s">
        <v>1322</v>
      </c>
      <c r="L58" s="799">
        <v>2.1</v>
      </c>
      <c r="M58" s="799">
        <v>1.4</v>
      </c>
      <c r="N58" s="799">
        <v>1.4</v>
      </c>
      <c r="O58" s="779"/>
      <c r="P58" s="779"/>
      <c r="Q58" s="779"/>
      <c r="R58" s="779"/>
      <c r="W58" s="812"/>
    </row>
    <row r="59" spans="1:23">
      <c r="A59" s="759">
        <v>0.79200000000000004</v>
      </c>
      <c r="B59" s="610"/>
      <c r="C59" s="610"/>
      <c r="D59" s="762">
        <v>1500000</v>
      </c>
      <c r="E59" s="581" t="s">
        <v>1229</v>
      </c>
      <c r="F59" s="581" t="s">
        <v>1224</v>
      </c>
      <c r="G59" s="765" t="s">
        <v>1251</v>
      </c>
      <c r="I59" s="793" t="s">
        <v>1307</v>
      </c>
      <c r="J59" s="793" t="s">
        <v>1292</v>
      </c>
      <c r="K59" s="798" t="s">
        <v>1323</v>
      </c>
      <c r="L59" s="798"/>
      <c r="M59" s="799">
        <v>2.4</v>
      </c>
      <c r="N59" s="799">
        <v>2.4</v>
      </c>
    </row>
    <row r="60" spans="1:23">
      <c r="A60" s="759">
        <v>0.69099999999999995</v>
      </c>
      <c r="B60" s="610"/>
      <c r="C60" s="610"/>
      <c r="D60" s="762">
        <v>1500000</v>
      </c>
      <c r="E60" s="581" t="s">
        <v>1229</v>
      </c>
      <c r="F60" s="581" t="s">
        <v>1224</v>
      </c>
      <c r="G60" s="765" t="s">
        <v>1252</v>
      </c>
      <c r="I60" s="793" t="s">
        <v>1308</v>
      </c>
      <c r="J60" s="793" t="s">
        <v>1300</v>
      </c>
      <c r="K60" s="798" t="s">
        <v>1319</v>
      </c>
      <c r="L60" s="799">
        <v>0.9</v>
      </c>
      <c r="M60" s="799">
        <v>0.5</v>
      </c>
      <c r="N60" s="799">
        <v>0.5</v>
      </c>
    </row>
    <row r="61" spans="1:23">
      <c r="A61" s="759">
        <v>0.81200000000000006</v>
      </c>
      <c r="B61" s="610"/>
      <c r="C61" s="610"/>
      <c r="D61" s="762"/>
      <c r="E61" s="581"/>
      <c r="F61" s="581" t="s">
        <v>1231</v>
      </c>
      <c r="G61" s="765"/>
      <c r="I61" s="793" t="s">
        <v>1308</v>
      </c>
      <c r="J61" s="793" t="s">
        <v>1302</v>
      </c>
      <c r="K61" s="798" t="s">
        <v>1319</v>
      </c>
      <c r="L61" s="799">
        <v>3.3</v>
      </c>
      <c r="M61" s="799">
        <v>0.8</v>
      </c>
      <c r="N61" s="799">
        <v>0.5</v>
      </c>
    </row>
    <row r="62" spans="1:23">
      <c r="A62" s="581" t="s">
        <v>1222</v>
      </c>
      <c r="B62" s="769">
        <v>0.75</v>
      </c>
      <c r="C62" s="769">
        <v>0.8</v>
      </c>
      <c r="D62" s="581"/>
      <c r="E62" s="581"/>
      <c r="F62" s="581" t="s">
        <v>1225</v>
      </c>
      <c r="G62" s="765"/>
      <c r="I62" s="800"/>
      <c r="J62" s="800"/>
      <c r="K62" s="801"/>
      <c r="L62" s="802"/>
      <c r="M62" s="802"/>
      <c r="N62" s="802"/>
    </row>
    <row r="63" spans="1:23">
      <c r="A63" s="581" t="s">
        <v>1223</v>
      </c>
      <c r="B63" s="769">
        <v>0.67</v>
      </c>
      <c r="C63" s="769">
        <v>0.73</v>
      </c>
      <c r="D63" s="581"/>
      <c r="E63" s="581"/>
      <c r="F63" s="581" t="s">
        <v>1226</v>
      </c>
      <c r="G63" s="765"/>
      <c r="I63" s="796" t="s">
        <v>1324</v>
      </c>
      <c r="J63" s="796"/>
      <c r="K63" s="796"/>
      <c r="L63" s="796"/>
      <c r="M63" s="796"/>
      <c r="N63" s="796"/>
    </row>
    <row r="64" spans="1:23">
      <c r="A64" s="581" t="str">
        <f>O30</f>
        <v>80%</v>
      </c>
      <c r="B64" s="610"/>
      <c r="C64" s="610"/>
      <c r="D64" s="610"/>
      <c r="E64" s="610"/>
      <c r="F64" s="581" t="s">
        <v>1349</v>
      </c>
      <c r="G64" s="610" t="s">
        <v>1350</v>
      </c>
      <c r="I64" s="796" t="s">
        <v>1325</v>
      </c>
      <c r="J64" s="796"/>
      <c r="K64" s="796"/>
      <c r="L64" s="796"/>
      <c r="M64" s="796"/>
      <c r="N64" s="796"/>
    </row>
    <row r="65" spans="1:19">
      <c r="A65" s="581" t="str">
        <f>O31</f>
        <v>75%</v>
      </c>
      <c r="B65" s="610"/>
      <c r="C65" s="610"/>
      <c r="D65" s="610"/>
      <c r="E65" s="610"/>
      <c r="F65" s="581" t="s">
        <v>1349</v>
      </c>
      <c r="G65" s="610" t="s">
        <v>1351</v>
      </c>
      <c r="I65" s="796" t="s">
        <v>1326</v>
      </c>
      <c r="J65" s="796"/>
      <c r="K65" s="796"/>
      <c r="L65" s="796"/>
      <c r="M65" s="796"/>
      <c r="N65" s="796"/>
    </row>
    <row r="66" spans="1:19">
      <c r="A66" s="581" t="str">
        <f>O32</f>
        <v>65%</v>
      </c>
      <c r="B66" s="610"/>
      <c r="C66" s="610"/>
      <c r="D66" s="610"/>
      <c r="E66" s="610"/>
      <c r="F66" s="581" t="s">
        <v>1349</v>
      </c>
      <c r="G66" s="610" t="s">
        <v>1352</v>
      </c>
      <c r="I66" s="796"/>
      <c r="J66" s="796"/>
      <c r="K66" s="796"/>
      <c r="L66" s="796"/>
      <c r="M66" s="796"/>
      <c r="N66" s="796"/>
    </row>
    <row r="67" spans="1:19">
      <c r="A67" s="761" t="s">
        <v>1230</v>
      </c>
      <c r="I67" s="1911" t="s">
        <v>1316</v>
      </c>
      <c r="J67" s="1911" t="s">
        <v>1310</v>
      </c>
      <c r="K67" s="1912" t="s">
        <v>1317</v>
      </c>
      <c r="L67" s="1908" t="s">
        <v>1359</v>
      </c>
      <c r="M67" s="1907"/>
      <c r="N67" s="1907"/>
      <c r="O67" s="1908" t="s">
        <v>1360</v>
      </c>
      <c r="P67" s="1907"/>
      <c r="Q67" s="1907"/>
      <c r="R67" s="1910" t="s">
        <v>1361</v>
      </c>
      <c r="S67" s="1910"/>
    </row>
    <row r="68" spans="1:19">
      <c r="I68" s="1911"/>
      <c r="J68" s="1911"/>
      <c r="K68" s="1912"/>
      <c r="L68" s="797">
        <v>2000</v>
      </c>
      <c r="M68" s="797">
        <v>2025</v>
      </c>
      <c r="N68" s="797">
        <v>2050</v>
      </c>
      <c r="O68" s="797">
        <v>2000</v>
      </c>
      <c r="P68" s="797">
        <v>2025</v>
      </c>
      <c r="Q68" s="797">
        <v>2050</v>
      </c>
      <c r="R68" s="763" t="s">
        <v>1362</v>
      </c>
      <c r="S68" s="760" t="s">
        <v>1363</v>
      </c>
    </row>
    <row r="69" spans="1:19">
      <c r="I69" s="793" t="s">
        <v>1291</v>
      </c>
      <c r="J69" s="793" t="s">
        <v>1292</v>
      </c>
      <c r="K69" s="798" t="s">
        <v>1319</v>
      </c>
      <c r="L69" s="799">
        <v>1.5</v>
      </c>
      <c r="M69" s="799">
        <v>1.4</v>
      </c>
      <c r="N69" s="799">
        <v>1.2</v>
      </c>
      <c r="O69" s="799">
        <f>L69*$R$47*Deflator!$F$33</f>
        <v>21.446999999999996</v>
      </c>
      <c r="P69" s="799">
        <f>M69*$R$47*Deflator!$F$33</f>
        <v>20.017199999999999</v>
      </c>
      <c r="Q69" s="799">
        <f>N69*$R$47*Deflator!$F$33</f>
        <v>17.157599999999999</v>
      </c>
      <c r="R69" s="876">
        <f>(O69/P69)^(1/25)-1</f>
        <v>2.7635263779590691E-3</v>
      </c>
      <c r="S69" s="810">
        <f>(P69/Q69)^(1/25)-1</f>
        <v>6.1850762710147222E-3</v>
      </c>
    </row>
    <row r="70" spans="1:19" ht="25.5">
      <c r="A70" s="774" t="s">
        <v>1243</v>
      </c>
      <c r="B70" s="775"/>
      <c r="C70" s="775"/>
      <c r="D70" s="775"/>
      <c r="E70" s="775"/>
      <c r="F70" s="775"/>
      <c r="G70" s="775"/>
      <c r="I70" s="803" t="s">
        <v>1348</v>
      </c>
      <c r="J70" s="793" t="s">
        <v>1292</v>
      </c>
      <c r="K70" s="798" t="s">
        <v>1319</v>
      </c>
      <c r="L70" s="811">
        <v>10.8</v>
      </c>
      <c r="M70" s="811">
        <v>10.8</v>
      </c>
      <c r="N70" s="811">
        <v>10.8</v>
      </c>
      <c r="O70" s="811">
        <f>L70*$R$47*Deflator!$F$33</f>
        <v>154.41839999999999</v>
      </c>
      <c r="P70" s="811">
        <f>M70*$R$47*Deflator!$F$33</f>
        <v>154.41839999999999</v>
      </c>
      <c r="Q70" s="811">
        <f>N70*$R$47*Deflator!$F$33</f>
        <v>154.41839999999999</v>
      </c>
      <c r="R70" s="876">
        <f t="shared" ref="R70:R78" si="4">(O70/P70)^(1/25)-1</f>
        <v>0</v>
      </c>
      <c r="S70" s="810">
        <f t="shared" ref="S70:S81" si="5">(P70/Q70)^(1/25)-1</f>
        <v>0</v>
      </c>
    </row>
    <row r="71" spans="1:19">
      <c r="I71" s="793" t="s">
        <v>1297</v>
      </c>
      <c r="J71" s="793" t="s">
        <v>1292</v>
      </c>
      <c r="K71" s="798" t="s">
        <v>1321</v>
      </c>
      <c r="L71" s="799">
        <v>0.3</v>
      </c>
      <c r="M71" s="799">
        <v>0.3</v>
      </c>
      <c r="N71" s="799">
        <v>0.2</v>
      </c>
      <c r="O71" s="799">
        <f>L71*$R$47*Deflator!$F$33</f>
        <v>4.2893999999999997</v>
      </c>
      <c r="P71" s="799">
        <f>M71*$R$47*Deflator!$F$33</f>
        <v>4.2893999999999997</v>
      </c>
      <c r="Q71" s="799">
        <f>N71*$R$47*Deflator!$F$33</f>
        <v>2.8595999999999995</v>
      </c>
      <c r="R71" s="876">
        <f t="shared" si="4"/>
        <v>0</v>
      </c>
      <c r="S71" s="810">
        <f t="shared" si="5"/>
        <v>1.6350839811869022E-2</v>
      </c>
    </row>
    <row r="72" spans="1:19">
      <c r="A72" s="757" t="s">
        <v>617</v>
      </c>
      <c r="B72" s="757" t="s">
        <v>1206</v>
      </c>
      <c r="I72" s="793" t="s">
        <v>1297</v>
      </c>
      <c r="J72" s="793" t="s">
        <v>1300</v>
      </c>
      <c r="K72" s="798" t="s">
        <v>1321</v>
      </c>
      <c r="L72" s="799">
        <v>0.8</v>
      </c>
      <c r="M72" s="799">
        <v>0.7</v>
      </c>
      <c r="N72" s="799">
        <v>0.5</v>
      </c>
      <c r="O72" s="799">
        <f>L72*$R$47*Deflator!$F$33</f>
        <v>11.438399999999998</v>
      </c>
      <c r="P72" s="799">
        <f>M72*$R$47*Deflator!$F$33</f>
        <v>10.008599999999999</v>
      </c>
      <c r="Q72" s="799">
        <f>N72*$R$47*Deflator!$F$33</f>
        <v>7.1489999999999991</v>
      </c>
      <c r="R72" s="876">
        <f t="shared" si="4"/>
        <v>5.3555456419747127E-3</v>
      </c>
      <c r="S72" s="810">
        <f t="shared" si="5"/>
        <v>1.354986801622915E-2</v>
      </c>
    </row>
    <row r="73" spans="1:19">
      <c r="I73" s="793" t="s">
        <v>1297</v>
      </c>
      <c r="J73" s="793" t="s">
        <v>1302</v>
      </c>
      <c r="K73" s="798" t="s">
        <v>1321</v>
      </c>
      <c r="L73" s="799">
        <v>3.1</v>
      </c>
      <c r="M73" s="799">
        <v>0.7</v>
      </c>
      <c r="N73" s="799">
        <v>0.5</v>
      </c>
      <c r="O73" s="799">
        <f>L73*$R$47*Deflator!$F$33</f>
        <v>44.323799999999991</v>
      </c>
      <c r="P73" s="799">
        <f>M73*$R$47*Deflator!$F$33</f>
        <v>10.008599999999999</v>
      </c>
      <c r="Q73" s="799">
        <f>N73*$R$47*Deflator!$F$33</f>
        <v>7.1489999999999991</v>
      </c>
      <c r="R73" s="876">
        <f t="shared" si="4"/>
        <v>6.1330258552347861E-2</v>
      </c>
      <c r="S73" s="810">
        <f t="shared" si="5"/>
        <v>1.354986801622915E-2</v>
      </c>
    </row>
    <row r="74" spans="1:19">
      <c r="A74" t="s">
        <v>1244</v>
      </c>
      <c r="I74" s="793" t="s">
        <v>1303</v>
      </c>
      <c r="J74" s="793" t="s">
        <v>1292</v>
      </c>
      <c r="K74" s="798" t="s">
        <v>1322</v>
      </c>
      <c r="L74" s="799">
        <v>1.8</v>
      </c>
      <c r="M74" s="799">
        <v>1.8</v>
      </c>
      <c r="N74" s="799">
        <v>1.8</v>
      </c>
      <c r="O74" s="799">
        <f>L74*$R$47*Deflator!$F$33</f>
        <v>25.7364</v>
      </c>
      <c r="P74" s="799">
        <f>M74*$R$47*Deflator!$F$33</f>
        <v>25.7364</v>
      </c>
      <c r="Q74" s="799">
        <f>N74*$R$47*Deflator!$F$33</f>
        <v>25.7364</v>
      </c>
      <c r="R74" s="876">
        <f t="shared" si="4"/>
        <v>0</v>
      </c>
      <c r="S74" s="810">
        <f t="shared" si="5"/>
        <v>0</v>
      </c>
    </row>
    <row r="75" spans="1:19">
      <c r="I75" s="793" t="s">
        <v>1303</v>
      </c>
      <c r="J75" s="793" t="s">
        <v>1300</v>
      </c>
      <c r="K75" s="798" t="s">
        <v>1322</v>
      </c>
      <c r="L75" s="799">
        <v>3.6</v>
      </c>
      <c r="M75" s="799">
        <v>2.4</v>
      </c>
      <c r="N75" s="799">
        <v>2.4</v>
      </c>
      <c r="O75" s="799">
        <f>L75*$R$47*Deflator!$F$33</f>
        <v>51.472799999999999</v>
      </c>
      <c r="P75" s="799">
        <f>M75*$R$47*Deflator!$F$33</f>
        <v>34.315199999999997</v>
      </c>
      <c r="Q75" s="799">
        <f>N75*$R$47*Deflator!$F$33</f>
        <v>34.315199999999997</v>
      </c>
      <c r="R75" s="876">
        <f t="shared" si="4"/>
        <v>1.6350839811869022E-2</v>
      </c>
      <c r="S75" s="810">
        <f t="shared" si="5"/>
        <v>0</v>
      </c>
    </row>
    <row r="76" spans="1:19">
      <c r="A76" s="388" t="s">
        <v>831</v>
      </c>
      <c r="B76" s="430"/>
      <c r="C76" s="430"/>
      <c r="D76" s="430"/>
      <c r="E76" s="430"/>
      <c r="F76" s="430"/>
      <c r="G76" s="430"/>
      <c r="I76" s="793" t="s">
        <v>1303</v>
      </c>
      <c r="J76" s="793" t="s">
        <v>1302</v>
      </c>
      <c r="K76" s="798" t="s">
        <v>1322</v>
      </c>
      <c r="L76" s="799">
        <v>5.4</v>
      </c>
      <c r="M76" s="799">
        <v>3</v>
      </c>
      <c r="N76" s="799">
        <v>3</v>
      </c>
      <c r="O76" s="799">
        <f>L76*$R$47*Deflator!$F$33</f>
        <v>77.209199999999996</v>
      </c>
      <c r="P76" s="799">
        <f>M76*$R$47*Deflator!$F$33</f>
        <v>42.893999999999991</v>
      </c>
      <c r="Q76" s="799">
        <f>N76*$R$47*Deflator!$F$33</f>
        <v>42.893999999999991</v>
      </c>
      <c r="R76" s="876">
        <f t="shared" si="4"/>
        <v>2.3790040066189233E-2</v>
      </c>
      <c r="S76" s="810">
        <f t="shared" si="5"/>
        <v>0</v>
      </c>
    </row>
    <row r="77" spans="1:19">
      <c r="A77" s="430"/>
      <c r="B77" s="430"/>
      <c r="C77" s="430"/>
      <c r="D77" s="430"/>
      <c r="E77" s="430"/>
      <c r="F77" s="430"/>
      <c r="G77" s="430"/>
      <c r="I77" s="793" t="s">
        <v>1305</v>
      </c>
      <c r="J77" s="793" t="s">
        <v>1300</v>
      </c>
      <c r="K77" s="798" t="s">
        <v>1322</v>
      </c>
      <c r="L77" s="799">
        <v>3.6</v>
      </c>
      <c r="M77" s="799">
        <v>2.4</v>
      </c>
      <c r="N77" s="799">
        <v>2.4</v>
      </c>
      <c r="O77" s="799">
        <f>L77*$R$47*Deflator!$F$33</f>
        <v>51.472799999999999</v>
      </c>
      <c r="P77" s="799">
        <f>M77*$R$47*Deflator!$F$33</f>
        <v>34.315199999999997</v>
      </c>
      <c r="Q77" s="799">
        <f>N77*$R$47*Deflator!$F$33</f>
        <v>34.315199999999997</v>
      </c>
      <c r="R77" s="876">
        <f t="shared" si="4"/>
        <v>1.6350839811869022E-2</v>
      </c>
      <c r="S77" s="810">
        <f t="shared" si="5"/>
        <v>0</v>
      </c>
    </row>
    <row r="78" spans="1:19">
      <c r="A78" s="760" t="s">
        <v>3</v>
      </c>
      <c r="B78" s="760" t="s">
        <v>1237</v>
      </c>
      <c r="C78" s="760" t="s">
        <v>1238</v>
      </c>
      <c r="D78" s="760" t="s">
        <v>1227</v>
      </c>
      <c r="E78" s="760" t="s">
        <v>1228</v>
      </c>
      <c r="F78" s="760" t="s">
        <v>617</v>
      </c>
      <c r="G78" s="763" t="s">
        <v>1232</v>
      </c>
      <c r="I78" s="793" t="s">
        <v>1306</v>
      </c>
      <c r="J78" s="793" t="s">
        <v>1300</v>
      </c>
      <c r="K78" s="798" t="s">
        <v>1322</v>
      </c>
      <c r="L78" s="799">
        <v>3.6</v>
      </c>
      <c r="M78" s="799">
        <v>2.4</v>
      </c>
      <c r="N78" s="799">
        <v>2.4</v>
      </c>
      <c r="O78" s="799">
        <f>L78*$R$47*Deflator!$F$33</f>
        <v>51.472799999999999</v>
      </c>
      <c r="P78" s="799">
        <f>M78*$R$47*Deflator!$F$33</f>
        <v>34.315199999999997</v>
      </c>
      <c r="Q78" s="799">
        <f>N78*$R$47*Deflator!$F$33</f>
        <v>34.315199999999997</v>
      </c>
      <c r="R78" s="876">
        <f t="shared" si="4"/>
        <v>1.6350839811869022E-2</v>
      </c>
      <c r="S78" s="810">
        <f t="shared" si="5"/>
        <v>0</v>
      </c>
    </row>
    <row r="79" spans="1:19">
      <c r="A79" s="581" t="str">
        <f>O39</f>
        <v>75%</v>
      </c>
      <c r="B79" s="610"/>
      <c r="C79" s="610"/>
      <c r="D79" s="610"/>
      <c r="E79" s="610"/>
      <c r="F79" s="581" t="s">
        <v>1349</v>
      </c>
      <c r="G79" s="610" t="s">
        <v>1353</v>
      </c>
      <c r="I79" s="793" t="s">
        <v>1307</v>
      </c>
      <c r="J79" s="793" t="s">
        <v>1292</v>
      </c>
      <c r="K79" s="798" t="s">
        <v>1323</v>
      </c>
      <c r="L79" s="798"/>
      <c r="M79" s="799">
        <v>4.0999999999999996</v>
      </c>
      <c r="N79" s="799">
        <v>4.0999999999999996</v>
      </c>
      <c r="O79" s="799"/>
      <c r="P79" s="799">
        <f>M79*$R$47*Deflator!$F$33</f>
        <v>58.621799999999986</v>
      </c>
      <c r="Q79" s="799">
        <f>N79*$R$47*Deflator!$F$33</f>
        <v>58.621799999999986</v>
      </c>
      <c r="R79" s="876"/>
      <c r="S79" s="810">
        <f t="shared" si="5"/>
        <v>0</v>
      </c>
    </row>
    <row r="80" spans="1:19">
      <c r="A80" s="581" t="str">
        <f>O40</f>
        <v>75%</v>
      </c>
      <c r="B80" s="610"/>
      <c r="C80" s="610"/>
      <c r="D80" s="610"/>
      <c r="E80" s="610"/>
      <c r="F80" s="581" t="s">
        <v>1349</v>
      </c>
      <c r="G80" s="610" t="s">
        <v>1354</v>
      </c>
      <c r="I80" s="793" t="s">
        <v>1308</v>
      </c>
      <c r="J80" s="793" t="s">
        <v>1300</v>
      </c>
      <c r="K80" s="798" t="s">
        <v>1319</v>
      </c>
      <c r="L80" s="799">
        <v>1.5</v>
      </c>
      <c r="M80" s="799">
        <v>0.9</v>
      </c>
      <c r="N80" s="799">
        <v>0.9</v>
      </c>
      <c r="O80" s="799">
        <f>L80*$R$47*Deflator!$F$33</f>
        <v>21.446999999999996</v>
      </c>
      <c r="P80" s="799">
        <f>M80*$R$47*Deflator!$F$33</f>
        <v>12.8682</v>
      </c>
      <c r="Q80" s="799">
        <f>N80*$R$47*Deflator!$F$33</f>
        <v>12.8682</v>
      </c>
      <c r="R80" s="876">
        <f>(O80/P80)^(1/25)-1</f>
        <v>2.0643208324757856E-2</v>
      </c>
      <c r="S80" s="810">
        <f t="shared" si="5"/>
        <v>0</v>
      </c>
    </row>
    <row r="81" spans="1:19">
      <c r="A81" s="581"/>
      <c r="B81" s="769">
        <v>0.57999999999999996</v>
      </c>
      <c r="C81" s="769">
        <v>0.87</v>
      </c>
      <c r="D81" s="581"/>
      <c r="E81" s="581"/>
      <c r="F81" s="581" t="s">
        <v>1224</v>
      </c>
      <c r="G81" s="581"/>
      <c r="I81" s="793" t="s">
        <v>1308</v>
      </c>
      <c r="J81" s="793" t="s">
        <v>1302</v>
      </c>
      <c r="K81" s="798" t="s">
        <v>1319</v>
      </c>
      <c r="L81" s="799">
        <v>5.6</v>
      </c>
      <c r="M81" s="799">
        <v>1.4</v>
      </c>
      <c r="N81" s="799">
        <v>0.9</v>
      </c>
      <c r="O81" s="799">
        <f>L81*$R$47*Deflator!$F$33</f>
        <v>80.068799999999996</v>
      </c>
      <c r="P81" s="799">
        <f>M81*$R$47*Deflator!$F$33</f>
        <v>20.017199999999999</v>
      </c>
      <c r="Q81" s="799">
        <f>N81*$R$47*Deflator!$F$33</f>
        <v>12.8682</v>
      </c>
      <c r="R81" s="876">
        <f>(O81/P81)^(1/25)-1</f>
        <v>5.7018040561380268E-2</v>
      </c>
      <c r="S81" s="810">
        <f t="shared" si="5"/>
        <v>1.7830407146320004E-2</v>
      </c>
    </row>
    <row r="82" spans="1:19">
      <c r="L82" s="808"/>
      <c r="M82" s="430" t="s">
        <v>1358</v>
      </c>
      <c r="O82" s="808"/>
      <c r="P82" s="430" t="s">
        <v>1357</v>
      </c>
    </row>
    <row r="84" spans="1:19" ht="18.75">
      <c r="A84" s="774" t="s">
        <v>1400</v>
      </c>
      <c r="B84" s="775"/>
      <c r="C84" s="775"/>
      <c r="D84" s="775"/>
      <c r="E84" s="775"/>
      <c r="F84" s="775"/>
      <c r="G84" s="775"/>
      <c r="I84" s="796" t="s">
        <v>1327</v>
      </c>
      <c r="J84" s="796"/>
      <c r="K84" s="796"/>
      <c r="L84" s="796"/>
      <c r="M84" s="796"/>
    </row>
    <row r="85" spans="1:19">
      <c r="I85" s="796" t="s">
        <v>1328</v>
      </c>
      <c r="J85" s="796"/>
      <c r="K85" s="796"/>
      <c r="L85" s="796"/>
      <c r="M85" s="796"/>
    </row>
    <row r="86" spans="1:19">
      <c r="A86" t="s">
        <v>1401</v>
      </c>
      <c r="B86" s="430" t="s">
        <v>1411</v>
      </c>
      <c r="I86" s="796" t="s">
        <v>1329</v>
      </c>
      <c r="J86" s="796"/>
      <c r="K86" s="796"/>
      <c r="L86" s="796"/>
      <c r="M86" s="796"/>
    </row>
    <row r="87" spans="1:19">
      <c r="I87" s="777" t="s">
        <v>1330</v>
      </c>
      <c r="J87" s="1909" t="s">
        <v>1331</v>
      </c>
      <c r="K87" s="1909"/>
      <c r="L87" s="1909" t="s">
        <v>1332</v>
      </c>
      <c r="M87" s="1909"/>
    </row>
    <row r="88" spans="1:19">
      <c r="A88" t="s">
        <v>3</v>
      </c>
      <c r="B88" s="382">
        <v>0.64</v>
      </c>
      <c r="C88" s="430" t="s">
        <v>1403</v>
      </c>
      <c r="E88" t="s">
        <v>1409</v>
      </c>
      <c r="I88" s="777"/>
      <c r="J88" s="777" t="s">
        <v>1333</v>
      </c>
      <c r="K88" s="777" t="s">
        <v>1334</v>
      </c>
      <c r="L88" s="777" t="s">
        <v>1335</v>
      </c>
      <c r="M88" s="777" t="s">
        <v>1334</v>
      </c>
    </row>
    <row r="89" spans="1:19">
      <c r="A89" t="s">
        <v>1402</v>
      </c>
      <c r="B89" s="430">
        <v>21.7</v>
      </c>
      <c r="C89" s="430" t="s">
        <v>1404</v>
      </c>
      <c r="E89" s="430" t="s">
        <v>1409</v>
      </c>
      <c r="I89" s="777" t="s">
        <v>1336</v>
      </c>
      <c r="J89" s="778" t="s">
        <v>1337</v>
      </c>
      <c r="K89" s="778" t="s">
        <v>1338</v>
      </c>
      <c r="L89" s="778" t="s">
        <v>1337</v>
      </c>
      <c r="M89" s="778" t="s">
        <v>1338</v>
      </c>
    </row>
    <row r="90" spans="1:19" ht="25.5">
      <c r="B90" s="458">
        <f>B89/Y9</f>
        <v>0.15281690140845069</v>
      </c>
      <c r="C90" t="s">
        <v>1405</v>
      </c>
      <c r="I90" s="777" t="s">
        <v>1339</v>
      </c>
      <c r="J90" s="778" t="s">
        <v>1337</v>
      </c>
      <c r="K90" s="778" t="s">
        <v>1338</v>
      </c>
      <c r="L90" s="778" t="s">
        <v>1338</v>
      </c>
      <c r="M90" s="778" t="s">
        <v>1337</v>
      </c>
    </row>
    <row r="91" spans="1:19">
      <c r="B91" s="458">
        <f>B89/Y10</f>
        <v>0.18083333333333332</v>
      </c>
      <c r="C91" s="430" t="s">
        <v>1406</v>
      </c>
      <c r="I91" s="777" t="s">
        <v>1340</v>
      </c>
      <c r="J91" s="778" t="s">
        <v>1337</v>
      </c>
      <c r="K91" s="778" t="s">
        <v>1338</v>
      </c>
      <c r="L91" s="778" t="s">
        <v>1337</v>
      </c>
      <c r="M91" s="778" t="s">
        <v>1338</v>
      </c>
    </row>
    <row r="92" spans="1:19">
      <c r="B92" s="433">
        <f>B90*1000</f>
        <v>152.81690140845069</v>
      </c>
      <c r="C92" s="430" t="s">
        <v>1407</v>
      </c>
      <c r="I92" s="777" t="s">
        <v>1341</v>
      </c>
      <c r="J92" s="778" t="s">
        <v>1342</v>
      </c>
      <c r="K92" s="778" t="s">
        <v>1343</v>
      </c>
      <c r="L92" s="778" t="s">
        <v>1337</v>
      </c>
      <c r="M92" s="778" t="s">
        <v>1338</v>
      </c>
    </row>
    <row r="93" spans="1:19">
      <c r="B93" s="433">
        <f>B91*1000</f>
        <v>180.83333333333331</v>
      </c>
      <c r="C93" s="430" t="s">
        <v>1408</v>
      </c>
      <c r="I93" s="777" t="s">
        <v>1344</v>
      </c>
      <c r="J93" s="778" t="s">
        <v>1337</v>
      </c>
      <c r="K93" s="778" t="s">
        <v>1338</v>
      </c>
      <c r="L93" s="778" t="s">
        <v>1345</v>
      </c>
      <c r="M93" s="778" t="s">
        <v>1346</v>
      </c>
    </row>
    <row r="94" spans="1:19">
      <c r="I94" s="777" t="s">
        <v>1347</v>
      </c>
      <c r="J94" s="778" t="s">
        <v>1338</v>
      </c>
      <c r="K94" s="778" t="s">
        <v>1337</v>
      </c>
      <c r="L94" s="778" t="s">
        <v>1337</v>
      </c>
      <c r="M94" s="778" t="s">
        <v>1338</v>
      </c>
    </row>
    <row r="97" spans="9:17" ht="15.75">
      <c r="I97" s="847" t="s">
        <v>1418</v>
      </c>
      <c r="J97" s="848"/>
      <c r="K97" s="848"/>
      <c r="L97" s="848"/>
      <c r="M97" s="848"/>
      <c r="N97" s="848"/>
      <c r="O97" s="848"/>
      <c r="P97" s="848"/>
      <c r="Q97" s="848"/>
    </row>
    <row r="98" spans="9:17">
      <c r="I98" s="848"/>
      <c r="J98" s="848"/>
      <c r="K98" s="848"/>
      <c r="L98" s="848"/>
      <c r="M98" s="848"/>
      <c r="N98" s="848"/>
      <c r="O98" s="848"/>
      <c r="P98" s="848"/>
      <c r="Q98" s="848"/>
    </row>
    <row r="99" spans="9:17">
      <c r="I99" s="848" t="s">
        <v>1419</v>
      </c>
      <c r="J99" s="848"/>
      <c r="K99" s="848"/>
      <c r="L99" s="848"/>
      <c r="M99" s="848"/>
      <c r="N99" s="848"/>
      <c r="O99" s="848"/>
      <c r="P99" s="848"/>
      <c r="Q99" s="848"/>
    </row>
    <row r="100" spans="9:17">
      <c r="I100" s="848" t="s">
        <v>1420</v>
      </c>
      <c r="J100" s="848"/>
      <c r="K100" s="848"/>
      <c r="L100" s="848"/>
      <c r="M100" s="848"/>
      <c r="N100" s="848"/>
      <c r="O100" s="848"/>
      <c r="P100" s="848"/>
      <c r="Q100" s="848"/>
    </row>
    <row r="101" spans="9:17">
      <c r="I101" s="848" t="s">
        <v>1421</v>
      </c>
      <c r="J101" s="848"/>
      <c r="K101" s="848"/>
      <c r="L101" s="848"/>
      <c r="M101" s="848"/>
      <c r="N101" s="848"/>
      <c r="O101" s="848"/>
      <c r="P101" s="848"/>
      <c r="Q101" s="848"/>
    </row>
    <row r="102" spans="9:17">
      <c r="I102" s="849" t="s">
        <v>1422</v>
      </c>
      <c r="J102" s="860" t="s">
        <v>1423</v>
      </c>
      <c r="K102" s="860" t="s">
        <v>1424</v>
      </c>
      <c r="L102" s="861" t="s">
        <v>1425</v>
      </c>
      <c r="M102" s="862"/>
      <c r="N102" s="863"/>
      <c r="O102" s="861" t="s">
        <v>1426</v>
      </c>
      <c r="P102" s="862"/>
      <c r="Q102" s="863"/>
    </row>
    <row r="103" spans="9:17">
      <c r="I103" s="849"/>
      <c r="J103" s="860"/>
      <c r="K103" s="861"/>
      <c r="L103" s="858">
        <v>2000</v>
      </c>
      <c r="M103" s="858">
        <v>2025</v>
      </c>
      <c r="N103" s="858">
        <v>2050</v>
      </c>
      <c r="O103" s="858">
        <v>2000</v>
      </c>
      <c r="P103" s="858">
        <v>2025</v>
      </c>
      <c r="Q103" s="858">
        <v>2050</v>
      </c>
    </row>
    <row r="104" spans="9:17">
      <c r="I104" s="849" t="s">
        <v>1427</v>
      </c>
      <c r="J104" s="860" t="s">
        <v>1428</v>
      </c>
      <c r="K104" s="864">
        <v>2000</v>
      </c>
      <c r="L104" s="857">
        <v>15</v>
      </c>
      <c r="M104" s="857">
        <v>6</v>
      </c>
      <c r="N104" s="857">
        <v>6</v>
      </c>
      <c r="O104" s="859">
        <v>0.82</v>
      </c>
      <c r="P104" s="859">
        <v>0.85</v>
      </c>
      <c r="Q104" s="859">
        <v>0.85</v>
      </c>
    </row>
    <row r="105" spans="9:17">
      <c r="I105" s="849" t="s">
        <v>1427</v>
      </c>
      <c r="J105" s="860" t="s">
        <v>1429</v>
      </c>
      <c r="K105" s="864">
        <v>2020</v>
      </c>
      <c r="L105" s="857">
        <v>15</v>
      </c>
      <c r="M105" s="857">
        <v>10</v>
      </c>
      <c r="N105" s="857">
        <v>10</v>
      </c>
      <c r="O105" s="859">
        <v>0.75</v>
      </c>
      <c r="P105" s="859">
        <v>0.8</v>
      </c>
      <c r="Q105" s="859">
        <v>0.8</v>
      </c>
    </row>
    <row r="106" spans="9:17">
      <c r="I106" s="849" t="s">
        <v>1430</v>
      </c>
      <c r="J106" s="860" t="s">
        <v>1428</v>
      </c>
      <c r="K106" s="864">
        <v>2020</v>
      </c>
      <c r="L106" s="857">
        <v>8</v>
      </c>
      <c r="M106" s="857">
        <v>4</v>
      </c>
      <c r="N106" s="857">
        <v>3</v>
      </c>
      <c r="O106" s="859">
        <v>0.95</v>
      </c>
      <c r="P106" s="859">
        <v>0.95</v>
      </c>
      <c r="Q106" s="859">
        <v>0.95</v>
      </c>
    </row>
    <row r="107" spans="9:17">
      <c r="I107" s="849" t="s">
        <v>1431</v>
      </c>
      <c r="J107" s="860" t="s">
        <v>1432</v>
      </c>
      <c r="K107" s="864">
        <v>2020</v>
      </c>
      <c r="L107" s="857">
        <v>4</v>
      </c>
      <c r="M107" s="857">
        <v>4</v>
      </c>
      <c r="N107" s="857">
        <v>4</v>
      </c>
      <c r="O107" s="859">
        <v>0.98</v>
      </c>
      <c r="P107" s="859">
        <v>0.98</v>
      </c>
      <c r="Q107" s="859">
        <v>0.98</v>
      </c>
    </row>
    <row r="108" spans="9:17">
      <c r="I108" s="850">
        <v>22</v>
      </c>
      <c r="J108" s="848"/>
      <c r="K108" s="848"/>
      <c r="L108" s="848"/>
      <c r="M108" s="848"/>
      <c r="N108" s="848"/>
      <c r="O108" s="848"/>
      <c r="P108" s="848"/>
      <c r="Q108" s="848"/>
    </row>
    <row r="109" spans="9:17">
      <c r="I109" s="848" t="s">
        <v>1433</v>
      </c>
      <c r="J109" s="848"/>
      <c r="K109" s="848"/>
      <c r="L109" s="848"/>
      <c r="M109" s="848"/>
      <c r="N109" s="848"/>
      <c r="O109" s="848"/>
      <c r="P109" s="848"/>
      <c r="Q109" s="848"/>
    </row>
    <row r="110" spans="9:17">
      <c r="I110" s="848" t="s">
        <v>1434</v>
      </c>
      <c r="J110" s="848"/>
      <c r="K110" s="848"/>
      <c r="L110" s="848"/>
      <c r="M110" s="848"/>
      <c r="N110" s="848"/>
      <c r="O110" s="848"/>
      <c r="P110" s="848"/>
      <c r="Q110" s="848"/>
    </row>
    <row r="111" spans="9:17">
      <c r="I111" s="848" t="s">
        <v>1435</v>
      </c>
      <c r="J111" s="848"/>
      <c r="K111" s="848"/>
      <c r="L111" s="848"/>
      <c r="M111" s="848"/>
      <c r="N111" s="848"/>
      <c r="O111" s="848"/>
      <c r="P111" s="848"/>
      <c r="Q111" s="848"/>
    </row>
    <row r="112" spans="9:17">
      <c r="I112" s="848" t="s">
        <v>1436</v>
      </c>
      <c r="J112" s="848"/>
      <c r="K112" s="848"/>
      <c r="L112" s="848"/>
      <c r="M112" s="848"/>
      <c r="N112" s="848"/>
      <c r="O112" s="848"/>
      <c r="P112" s="848"/>
      <c r="Q112" s="848"/>
    </row>
    <row r="113" spans="9:17">
      <c r="I113" s="849" t="s">
        <v>1422</v>
      </c>
      <c r="J113" s="860" t="s">
        <v>1423</v>
      </c>
      <c r="K113" s="860" t="s">
        <v>1424</v>
      </c>
      <c r="L113" s="861" t="s">
        <v>1425</v>
      </c>
      <c r="M113" s="862"/>
      <c r="N113" s="863"/>
      <c r="O113" s="861" t="s">
        <v>1426</v>
      </c>
      <c r="P113" s="862"/>
      <c r="Q113" s="863"/>
    </row>
    <row r="114" spans="9:17">
      <c r="I114" s="849"/>
      <c r="J114" s="860"/>
      <c r="K114" s="860"/>
      <c r="L114" s="865">
        <v>2000</v>
      </c>
      <c r="M114" s="865">
        <v>2025</v>
      </c>
      <c r="N114" s="865">
        <v>2050</v>
      </c>
      <c r="O114" s="858">
        <v>2000</v>
      </c>
      <c r="P114" s="858">
        <v>2025</v>
      </c>
      <c r="Q114" s="858">
        <v>2050</v>
      </c>
    </row>
    <row r="115" spans="9:17">
      <c r="I115" s="849" t="s">
        <v>1427</v>
      </c>
      <c r="J115" s="860" t="s">
        <v>1428</v>
      </c>
      <c r="K115" s="866">
        <v>2000</v>
      </c>
      <c r="L115" s="864">
        <v>31</v>
      </c>
      <c r="M115" s="864">
        <v>12</v>
      </c>
      <c r="N115" s="864">
        <v>12</v>
      </c>
      <c r="O115" s="859">
        <v>0.82</v>
      </c>
      <c r="P115" s="859">
        <v>0.85</v>
      </c>
      <c r="Q115" s="859">
        <v>0.85</v>
      </c>
    </row>
    <row r="116" spans="9:17">
      <c r="I116" s="849" t="s">
        <v>1427</v>
      </c>
      <c r="J116" s="860" t="s">
        <v>1429</v>
      </c>
      <c r="K116" s="866">
        <v>2020</v>
      </c>
      <c r="L116" s="864">
        <v>31</v>
      </c>
      <c r="M116" s="864">
        <v>21</v>
      </c>
      <c r="N116" s="864">
        <v>21</v>
      </c>
      <c r="O116" s="859">
        <v>0.75</v>
      </c>
      <c r="P116" s="859">
        <v>0.8</v>
      </c>
      <c r="Q116" s="859">
        <v>0.8</v>
      </c>
    </row>
    <row r="117" spans="9:17">
      <c r="I117" s="849" t="s">
        <v>1430</v>
      </c>
      <c r="J117" s="860" t="s">
        <v>1428</v>
      </c>
      <c r="K117" s="866">
        <v>2020</v>
      </c>
      <c r="L117" s="864">
        <v>16</v>
      </c>
      <c r="M117" s="864">
        <v>8</v>
      </c>
      <c r="N117" s="864">
        <v>6</v>
      </c>
      <c r="O117" s="859">
        <v>0.95</v>
      </c>
      <c r="P117" s="859">
        <v>0.95</v>
      </c>
      <c r="Q117" s="859">
        <v>0.95</v>
      </c>
    </row>
    <row r="118" spans="9:17">
      <c r="I118" s="849" t="s">
        <v>1431</v>
      </c>
      <c r="J118" s="860" t="s">
        <v>1432</v>
      </c>
      <c r="K118" s="866">
        <v>2020</v>
      </c>
      <c r="L118" s="864">
        <v>8</v>
      </c>
      <c r="M118" s="864">
        <v>8</v>
      </c>
      <c r="N118" s="864">
        <v>8</v>
      </c>
      <c r="O118" s="859">
        <v>0.98</v>
      </c>
      <c r="P118" s="859">
        <v>0.98</v>
      </c>
      <c r="Q118" s="859">
        <v>0.98</v>
      </c>
    </row>
    <row r="119" spans="9:17">
      <c r="I119" s="851"/>
      <c r="J119" s="851"/>
      <c r="K119" s="851"/>
      <c r="L119" s="852"/>
      <c r="M119" s="852"/>
      <c r="N119" s="852"/>
      <c r="O119" s="852"/>
      <c r="P119" s="853"/>
      <c r="Q119" s="853"/>
    </row>
    <row r="120" spans="9:17">
      <c r="I120" s="854" t="s">
        <v>1437</v>
      </c>
      <c r="J120" s="848"/>
      <c r="K120" s="848"/>
      <c r="L120" s="848"/>
      <c r="M120" s="848"/>
      <c r="N120" s="848"/>
      <c r="O120" s="848"/>
      <c r="P120" s="848"/>
      <c r="Q120" s="848"/>
    </row>
    <row r="121" spans="9:17">
      <c r="I121" s="848" t="s">
        <v>1438</v>
      </c>
      <c r="J121" s="848"/>
      <c r="K121" s="848"/>
      <c r="L121" s="848"/>
      <c r="M121" s="848"/>
      <c r="N121" s="848"/>
      <c r="O121" s="848"/>
      <c r="P121" s="848"/>
      <c r="Q121" s="848"/>
    </row>
    <row r="122" spans="9:17">
      <c r="I122" s="848" t="s">
        <v>1439</v>
      </c>
      <c r="J122" s="848"/>
      <c r="K122" s="848"/>
      <c r="L122" s="848"/>
      <c r="M122" s="848"/>
      <c r="N122" s="848"/>
      <c r="O122" s="848"/>
      <c r="P122" s="848"/>
      <c r="Q122" s="848"/>
    </row>
    <row r="123" spans="9:17">
      <c r="I123" s="867" t="s">
        <v>1422</v>
      </c>
      <c r="J123" s="855" t="s">
        <v>1440</v>
      </c>
      <c r="K123" s="1903" t="s">
        <v>1425</v>
      </c>
      <c r="L123" s="1904"/>
      <c r="M123" s="1905"/>
      <c r="N123" s="1903" t="s">
        <v>1426</v>
      </c>
      <c r="O123" s="1904"/>
      <c r="P123" s="1905"/>
      <c r="Q123" s="848"/>
    </row>
    <row r="124" spans="9:17">
      <c r="I124" s="867"/>
      <c r="J124" s="855" t="s">
        <v>1441</v>
      </c>
      <c r="K124" s="858">
        <v>2000</v>
      </c>
      <c r="L124" s="858">
        <v>2025</v>
      </c>
      <c r="M124" s="858">
        <v>2050</v>
      </c>
      <c r="N124" s="858">
        <v>2000</v>
      </c>
      <c r="O124" s="858">
        <v>2025</v>
      </c>
      <c r="P124" s="858">
        <v>2050</v>
      </c>
      <c r="Q124" s="848"/>
    </row>
    <row r="125" spans="9:17" ht="30">
      <c r="I125" s="867" t="s">
        <v>1442</v>
      </c>
      <c r="J125" s="857">
        <v>2000</v>
      </c>
      <c r="K125" s="857">
        <v>16</v>
      </c>
      <c r="L125" s="857">
        <v>10</v>
      </c>
      <c r="M125" s="857">
        <v>6</v>
      </c>
      <c r="N125" s="859">
        <v>0.95</v>
      </c>
      <c r="O125" s="859">
        <v>0.95</v>
      </c>
      <c r="P125" s="859">
        <v>0.95</v>
      </c>
      <c r="Q125" s="848"/>
    </row>
    <row r="126" spans="9:17" ht="30">
      <c r="I126" s="867" t="s">
        <v>1443</v>
      </c>
      <c r="J126" s="857">
        <v>2000</v>
      </c>
      <c r="K126" s="857">
        <v>33</v>
      </c>
      <c r="L126" s="857">
        <v>20</v>
      </c>
      <c r="M126" s="857">
        <v>12</v>
      </c>
      <c r="N126" s="859">
        <v>0.95</v>
      </c>
      <c r="O126" s="859">
        <v>0.95</v>
      </c>
      <c r="P126" s="859">
        <v>0.95</v>
      </c>
      <c r="Q126" s="848"/>
    </row>
    <row r="128" spans="9:17">
      <c r="I128" s="1906" t="s">
        <v>1444</v>
      </c>
      <c r="J128" s="1906"/>
      <c r="K128" s="1906"/>
      <c r="L128" s="1906"/>
      <c r="M128" s="1906"/>
      <c r="N128" s="1906"/>
      <c r="O128" s="1906"/>
      <c r="P128" s="1906"/>
      <c r="Q128" s="1906"/>
    </row>
    <row r="129" spans="9:17">
      <c r="I129" s="1906"/>
      <c r="J129" s="1906"/>
      <c r="K129" s="1906"/>
      <c r="L129" s="1906"/>
      <c r="M129" s="1906"/>
      <c r="N129" s="1906"/>
      <c r="O129" s="1906"/>
      <c r="P129" s="1906"/>
      <c r="Q129" s="1906"/>
    </row>
    <row r="130" spans="9:17">
      <c r="I130" s="1906"/>
      <c r="J130" s="1906"/>
      <c r="K130" s="1906"/>
      <c r="L130" s="1906"/>
      <c r="M130" s="1906"/>
      <c r="N130" s="1906"/>
      <c r="O130" s="1906"/>
      <c r="P130" s="1906"/>
      <c r="Q130" s="1906"/>
    </row>
    <row r="131" spans="9:17">
      <c r="I131" s="1906"/>
      <c r="J131" s="1906"/>
      <c r="K131" s="1906"/>
      <c r="L131" s="1906"/>
      <c r="M131" s="1906"/>
      <c r="N131" s="1906"/>
      <c r="O131" s="1906"/>
      <c r="P131" s="1906"/>
      <c r="Q131" s="1906"/>
    </row>
    <row r="132" spans="9:17">
      <c r="I132" s="1906"/>
      <c r="J132" s="1906"/>
      <c r="K132" s="1906"/>
      <c r="L132" s="1906"/>
      <c r="M132" s="1906"/>
      <c r="N132" s="1906"/>
      <c r="O132" s="1906"/>
      <c r="P132" s="1906"/>
      <c r="Q132" s="1906"/>
    </row>
    <row r="134" spans="9:17">
      <c r="I134" s="848" t="s">
        <v>1445</v>
      </c>
      <c r="J134" s="848"/>
      <c r="K134" s="848"/>
      <c r="L134" s="848"/>
      <c r="M134" s="848"/>
      <c r="N134" s="848"/>
    </row>
    <row r="135" spans="9:17" ht="30">
      <c r="I135" s="849" t="s">
        <v>1446</v>
      </c>
      <c r="J135" s="849" t="s">
        <v>1447</v>
      </c>
      <c r="K135" s="849" t="s">
        <v>1448</v>
      </c>
      <c r="L135" s="855" t="s">
        <v>1449</v>
      </c>
      <c r="M135" s="855" t="s">
        <v>1450</v>
      </c>
      <c r="N135" s="849" t="s">
        <v>1451</v>
      </c>
    </row>
    <row r="136" spans="9:17">
      <c r="I136" s="856">
        <v>2000</v>
      </c>
      <c r="J136" s="857">
        <v>10</v>
      </c>
      <c r="K136" s="857">
        <v>15</v>
      </c>
      <c r="L136" s="857">
        <v>12</v>
      </c>
      <c r="M136" s="857">
        <v>19</v>
      </c>
      <c r="N136" s="857">
        <v>29</v>
      </c>
    </row>
    <row r="137" spans="9:17">
      <c r="I137" s="856">
        <v>2010</v>
      </c>
      <c r="J137" s="857">
        <v>9</v>
      </c>
      <c r="K137" s="857">
        <v>14</v>
      </c>
      <c r="L137" s="857">
        <v>11</v>
      </c>
      <c r="M137" s="857">
        <v>16</v>
      </c>
      <c r="N137" s="857">
        <v>25</v>
      </c>
    </row>
    <row r="138" spans="9:17">
      <c r="I138" s="856">
        <v>2020</v>
      </c>
      <c r="J138" s="857">
        <v>8</v>
      </c>
      <c r="K138" s="857">
        <v>12</v>
      </c>
      <c r="L138" s="857">
        <v>10</v>
      </c>
      <c r="M138" s="857">
        <v>14</v>
      </c>
      <c r="N138" s="857">
        <v>21</v>
      </c>
    </row>
    <row r="139" spans="9:17">
      <c r="I139" s="856">
        <v>2030</v>
      </c>
      <c r="J139" s="857">
        <v>7</v>
      </c>
      <c r="K139" s="857">
        <v>11</v>
      </c>
      <c r="L139" s="857">
        <v>9</v>
      </c>
      <c r="M139" s="857">
        <v>12</v>
      </c>
      <c r="N139" s="857">
        <v>18</v>
      </c>
    </row>
    <row r="140" spans="9:17">
      <c r="I140" s="856">
        <v>2040</v>
      </c>
      <c r="J140" s="857">
        <v>7</v>
      </c>
      <c r="K140" s="857">
        <v>10</v>
      </c>
      <c r="L140" s="857">
        <v>8</v>
      </c>
      <c r="M140" s="857">
        <v>11</v>
      </c>
      <c r="N140" s="857">
        <v>15</v>
      </c>
    </row>
    <row r="141" spans="9:17">
      <c r="I141" s="856">
        <v>2050</v>
      </c>
      <c r="J141" s="857">
        <v>6</v>
      </c>
      <c r="K141" s="857">
        <v>9</v>
      </c>
      <c r="L141" s="857">
        <v>7</v>
      </c>
      <c r="M141" s="857">
        <v>10</v>
      </c>
      <c r="N141" s="857">
        <v>13</v>
      </c>
    </row>
    <row r="142" spans="9:17">
      <c r="I142" s="848" t="s">
        <v>1452</v>
      </c>
      <c r="J142" s="848"/>
      <c r="K142" s="848"/>
      <c r="L142" s="848"/>
      <c r="M142" s="848"/>
      <c r="N142" s="848"/>
    </row>
    <row r="143" spans="9:17" ht="30">
      <c r="I143" s="849" t="s">
        <v>1446</v>
      </c>
      <c r="J143" s="849" t="s">
        <v>1447</v>
      </c>
      <c r="K143" s="849" t="s">
        <v>1448</v>
      </c>
      <c r="L143" s="855" t="s">
        <v>1449</v>
      </c>
      <c r="M143" s="855" t="s">
        <v>1450</v>
      </c>
      <c r="N143" s="849" t="s">
        <v>1451</v>
      </c>
    </row>
    <row r="144" spans="9:17">
      <c r="I144" s="856">
        <v>2000</v>
      </c>
      <c r="J144" s="857">
        <v>20</v>
      </c>
      <c r="K144" s="857">
        <v>31</v>
      </c>
      <c r="L144" s="857">
        <v>25</v>
      </c>
      <c r="M144" s="857">
        <v>39</v>
      </c>
      <c r="N144" s="857">
        <v>59</v>
      </c>
    </row>
    <row r="145" spans="9:14">
      <c r="I145" s="856">
        <v>2010</v>
      </c>
      <c r="J145" s="857">
        <v>18</v>
      </c>
      <c r="K145" s="857">
        <v>28</v>
      </c>
      <c r="L145" s="857">
        <v>23</v>
      </c>
      <c r="M145" s="857">
        <v>34</v>
      </c>
      <c r="N145" s="857">
        <v>50</v>
      </c>
    </row>
    <row r="146" spans="9:14">
      <c r="I146" s="856">
        <v>2020</v>
      </c>
      <c r="J146" s="857">
        <v>16</v>
      </c>
      <c r="K146" s="857">
        <v>25</v>
      </c>
      <c r="L146" s="857">
        <v>20</v>
      </c>
      <c r="M146" s="857">
        <v>29</v>
      </c>
      <c r="N146" s="857">
        <v>43</v>
      </c>
    </row>
    <row r="147" spans="9:14">
      <c r="I147" s="856">
        <v>2030</v>
      </c>
      <c r="J147" s="857">
        <v>15</v>
      </c>
      <c r="K147" s="857">
        <v>23</v>
      </c>
      <c r="L147" s="857">
        <v>18</v>
      </c>
      <c r="M147" s="857">
        <v>26</v>
      </c>
      <c r="N147" s="857">
        <v>37</v>
      </c>
    </row>
    <row r="148" spans="9:14">
      <c r="I148" s="856">
        <v>2040</v>
      </c>
      <c r="J148" s="857">
        <v>13</v>
      </c>
      <c r="K148" s="857">
        <v>20</v>
      </c>
      <c r="L148" s="857">
        <v>16</v>
      </c>
      <c r="M148" s="857">
        <v>22</v>
      </c>
      <c r="N148" s="857">
        <v>31</v>
      </c>
    </row>
    <row r="149" spans="9:14">
      <c r="I149" s="856">
        <v>2050</v>
      </c>
      <c r="J149" s="857">
        <v>12</v>
      </c>
      <c r="K149" s="857">
        <v>18</v>
      </c>
      <c r="L149" s="857">
        <v>15</v>
      </c>
      <c r="M149" s="857">
        <v>20</v>
      </c>
      <c r="N149" s="857">
        <v>27</v>
      </c>
    </row>
  </sheetData>
  <mergeCells count="29">
    <mergeCell ref="O6:Q6"/>
    <mergeCell ref="L6:N6"/>
    <mergeCell ref="I46:I47"/>
    <mergeCell ref="J46:J47"/>
    <mergeCell ref="K46:K47"/>
    <mergeCell ref="O26:Q26"/>
    <mergeCell ref="I7:K7"/>
    <mergeCell ref="L26:N26"/>
    <mergeCell ref="A9:G9"/>
    <mergeCell ref="L46:N46"/>
    <mergeCell ref="A49:G49"/>
    <mergeCell ref="I27:K27"/>
    <mergeCell ref="D31:F31"/>
    <mergeCell ref="D32:F32"/>
    <mergeCell ref="D33:F33"/>
    <mergeCell ref="D34:F34"/>
    <mergeCell ref="U26:V26"/>
    <mergeCell ref="R67:S67"/>
    <mergeCell ref="I67:I68"/>
    <mergeCell ref="J67:J68"/>
    <mergeCell ref="K67:K68"/>
    <mergeCell ref="L67:N67"/>
    <mergeCell ref="K123:M123"/>
    <mergeCell ref="N123:P123"/>
    <mergeCell ref="I128:Q132"/>
    <mergeCell ref="R26:T26"/>
    <mergeCell ref="O67:Q67"/>
    <mergeCell ref="J87:K87"/>
    <mergeCell ref="L87:M87"/>
  </mergeCells>
  <hyperlinks>
    <hyperlink ref="A3" location="Hydrogen!A8" display="General Notes" xr:uid="{00000000-0004-0000-1C00-000000000000}"/>
    <hyperlink ref="A5" location="Hydrogen!A17" display="Hydrogen!A17" xr:uid="{00000000-0004-0000-1C00-000001000000}"/>
    <hyperlink ref="A6" location="Hydrogen!A58" display="Hydrogen!A58" xr:uid="{00000000-0004-0000-1C00-000002000000}"/>
    <hyperlink ref="A4" location="Hydrogen!I1" display="Hydrogen!I1" xr:uid="{00000000-0004-0000-1C00-000003000000}"/>
    <hyperlink ref="I2" r:id="rId1" xr:uid="{00000000-0004-0000-1C00-000004000000}"/>
    <hyperlink ref="M2" r:id="rId2" xr:uid="{00000000-0004-0000-1C00-000005000000}"/>
    <hyperlink ref="Z14" r:id="rId3" xr:uid="{7F527A3B-906A-41B6-8D43-2AA64D48EB8D}"/>
    <hyperlink ref="Z15" r:id="rId4" xr:uid="{B0ECB6CB-68E8-4DEB-A525-65C1E120A3E4}"/>
  </hyperlinks>
  <pageMargins left="0.7" right="0.7" top="0.75" bottom="0.75"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2">
    <tabColor rgb="FF92D050"/>
  </sheetPr>
  <dimension ref="A1:V62"/>
  <sheetViews>
    <sheetView topLeftCell="A37" workbookViewId="0">
      <selection activeCell="F66" sqref="F66"/>
    </sheetView>
  </sheetViews>
  <sheetFormatPr defaultRowHeight="15"/>
  <cols>
    <col min="1" max="2" width="16.85546875" style="1409" customWidth="1"/>
    <col min="3" max="3" width="23.85546875" style="1409" customWidth="1"/>
    <col min="4" max="4" width="15.5703125" style="1409" customWidth="1"/>
    <col min="5" max="5" width="15.42578125" style="1409" customWidth="1"/>
    <col min="6" max="6" width="14.42578125" style="1409" customWidth="1"/>
    <col min="7" max="7" width="14.7109375" style="1409" bestFit="1" customWidth="1"/>
    <col min="8" max="8" width="15.7109375" style="1409" bestFit="1" customWidth="1"/>
    <col min="9" max="9" width="19" style="1409" customWidth="1"/>
    <col min="10" max="10" width="12.5703125" style="1409" bestFit="1" customWidth="1"/>
    <col min="11" max="12" width="9.140625" style="1409"/>
    <col min="13" max="13" width="9.5703125" style="1409" bestFit="1" customWidth="1"/>
    <col min="14" max="16384" width="9.140625" style="1409"/>
  </cols>
  <sheetData>
    <row r="1" spans="1:13">
      <c r="A1" s="1404" t="s">
        <v>77</v>
      </c>
    </row>
    <row r="2" spans="1:13">
      <c r="A2" s="1409" t="s">
        <v>14562</v>
      </c>
      <c r="B2" s="1685" t="s">
        <v>14560</v>
      </c>
    </row>
    <row r="3" spans="1:13">
      <c r="A3" s="1409" t="s">
        <v>14563</v>
      </c>
      <c r="B3" s="1685" t="s">
        <v>14561</v>
      </c>
    </row>
    <row r="4" spans="1:13">
      <c r="A4" s="1404"/>
      <c r="I4" s="1684" t="s">
        <v>14584</v>
      </c>
      <c r="J4" s="1684"/>
    </row>
    <row r="5" spans="1:13">
      <c r="A5" s="1409" t="s">
        <v>14558</v>
      </c>
      <c r="B5" s="1409" t="s">
        <v>14559</v>
      </c>
      <c r="C5" s="1404"/>
      <c r="F5" s="6">
        <v>2020</v>
      </c>
      <c r="G5" s="6">
        <v>2030</v>
      </c>
      <c r="H5" s="1674">
        <v>2035</v>
      </c>
      <c r="I5" s="1683">
        <v>2040</v>
      </c>
      <c r="J5" s="1683">
        <v>2050</v>
      </c>
    </row>
    <row r="6" spans="1:13">
      <c r="A6" s="435" t="s">
        <v>14577</v>
      </c>
      <c r="B6" s="1409" t="s">
        <v>839</v>
      </c>
      <c r="C6" t="s">
        <v>14812</v>
      </c>
      <c r="F6" s="1451">
        <f>F51*$D$20</f>
        <v>19642.016806722688</v>
      </c>
      <c r="G6" s="1451">
        <f>AVERAGE(F6,H6)</f>
        <v>13546.218487394957</v>
      </c>
      <c r="H6" s="1451">
        <f>H51*$D$20</f>
        <v>7450.4201680672268</v>
      </c>
      <c r="I6" s="1682">
        <f>I51*$D$20</f>
        <v>6271.0466004583659</v>
      </c>
      <c r="J6" s="1682">
        <f>J51*$D$20</f>
        <v>5091.6730328495041</v>
      </c>
    </row>
    <row r="7" spans="1:13">
      <c r="A7" s="435" t="s">
        <v>14578</v>
      </c>
      <c r="B7" s="1409" t="s">
        <v>839</v>
      </c>
      <c r="C7" s="1409" t="s">
        <v>14812</v>
      </c>
      <c r="F7" s="1451">
        <f>F52*$D$20</f>
        <v>12868.90756302521</v>
      </c>
      <c r="G7" s="1451">
        <f>AVERAGE(F7,H7)</f>
        <v>9482.3529411764703</v>
      </c>
      <c r="H7" s="1451">
        <f t="shared" ref="H7:I7" si="0">H52*$D$20</f>
        <v>6095.7983193277314</v>
      </c>
      <c r="I7" s="1682">
        <f t="shared" si="0"/>
        <v>4856.9561157796461</v>
      </c>
      <c r="J7" s="1682">
        <f>J52*$D$20</f>
        <v>3618.1139122315594</v>
      </c>
    </row>
    <row r="8" spans="1:13">
      <c r="A8" s="435" t="s">
        <v>14577</v>
      </c>
      <c r="B8" s="1409" t="s">
        <v>849</v>
      </c>
      <c r="C8" t="s">
        <v>1655</v>
      </c>
      <c r="D8" s="1719">
        <v>1.4999999999999999E-2</v>
      </c>
      <c r="F8" s="1451">
        <f>$D$8*F6</f>
        <v>294.63025210084032</v>
      </c>
      <c r="G8" s="1451">
        <f t="shared" ref="F8:J9" si="1">$D$8*G6</f>
        <v>203.19327731092434</v>
      </c>
      <c r="H8" s="1451">
        <f t="shared" si="1"/>
        <v>111.75630252100839</v>
      </c>
      <c r="I8" s="1682">
        <f t="shared" si="1"/>
        <v>94.065699006875491</v>
      </c>
      <c r="J8" s="1682">
        <f>$D$8*J6</f>
        <v>76.37509549274256</v>
      </c>
    </row>
    <row r="9" spans="1:13">
      <c r="A9" s="435" t="s">
        <v>14578</v>
      </c>
      <c r="B9" s="1409" t="s">
        <v>849</v>
      </c>
      <c r="C9" s="1409" t="s">
        <v>1655</v>
      </c>
      <c r="D9" s="1719">
        <f>D8</f>
        <v>1.4999999999999999E-2</v>
      </c>
      <c r="F9" s="1451">
        <f t="shared" si="1"/>
        <v>193.03361344537814</v>
      </c>
      <c r="G9" s="1451">
        <f t="shared" si="1"/>
        <v>142.23529411764704</v>
      </c>
      <c r="H9" s="1451">
        <f t="shared" si="1"/>
        <v>91.436974789915965</v>
      </c>
      <c r="I9" s="1682">
        <f t="shared" si="1"/>
        <v>72.854341736694693</v>
      </c>
      <c r="J9" s="1682">
        <f t="shared" si="1"/>
        <v>54.271708683473392</v>
      </c>
    </row>
    <row r="10" spans="1:13">
      <c r="A10" s="435" t="s">
        <v>14577</v>
      </c>
      <c r="B10" s="1409" t="s">
        <v>861</v>
      </c>
      <c r="C10" t="s">
        <v>14083</v>
      </c>
      <c r="F10" s="1451">
        <f t="shared" ref="F10:H11" si="2">F60/8760</f>
        <v>7.6103500761035017</v>
      </c>
      <c r="G10" s="1451">
        <f t="shared" si="2"/>
        <v>9.512937595129376</v>
      </c>
      <c r="H10" s="1451">
        <f t="shared" si="2"/>
        <v>15.854895991882291</v>
      </c>
      <c r="I10" s="1682">
        <f>H10</f>
        <v>15.854895991882291</v>
      </c>
      <c r="J10" s="1682">
        <f>I10</f>
        <v>15.854895991882291</v>
      </c>
    </row>
    <row r="11" spans="1:13">
      <c r="A11" s="435" t="s">
        <v>14578</v>
      </c>
      <c r="B11" s="1409" t="s">
        <v>861</v>
      </c>
      <c r="C11" s="1409" t="s">
        <v>14083</v>
      </c>
      <c r="F11" s="1451">
        <f t="shared" si="2"/>
        <v>9.512937595129376</v>
      </c>
      <c r="G11" s="1451">
        <f t="shared" si="2"/>
        <v>12.049720953830542</v>
      </c>
      <c r="H11" s="1451">
        <f t="shared" si="2"/>
        <v>15.854895991882291</v>
      </c>
      <c r="I11" s="1682">
        <f t="shared" ref="I11" si="3">I10</f>
        <v>15.854895991882291</v>
      </c>
      <c r="J11" s="1682">
        <f>I11</f>
        <v>15.854895991882291</v>
      </c>
    </row>
    <row r="12" spans="1:13">
      <c r="A12" s="435" t="s">
        <v>14577</v>
      </c>
      <c r="B12" s="1409" t="s">
        <v>602</v>
      </c>
      <c r="C12" t="s">
        <v>14084</v>
      </c>
      <c r="F12" s="1448">
        <v>0.9</v>
      </c>
      <c r="G12" s="1448">
        <v>0.9</v>
      </c>
      <c r="H12" s="1448">
        <v>0.9</v>
      </c>
      <c r="I12" s="1681">
        <f>H12</f>
        <v>0.9</v>
      </c>
      <c r="J12" s="1681">
        <f>I12</f>
        <v>0.9</v>
      </c>
    </row>
    <row r="13" spans="1:13">
      <c r="A13" s="435" t="s">
        <v>14578</v>
      </c>
      <c r="B13" s="1409" t="s">
        <v>602</v>
      </c>
      <c r="C13" s="1409" t="s">
        <v>14084</v>
      </c>
      <c r="F13" s="1448">
        <v>0.9</v>
      </c>
      <c r="G13" s="1448">
        <v>0.9</v>
      </c>
      <c r="H13" s="1448">
        <v>0.9</v>
      </c>
      <c r="I13" s="1681">
        <f>H13</f>
        <v>0.9</v>
      </c>
      <c r="J13" s="1681">
        <f>I13</f>
        <v>0.9</v>
      </c>
    </row>
    <row r="14" spans="1:13">
      <c r="A14" s="435" t="s">
        <v>14577</v>
      </c>
      <c r="B14" s="1409" t="s">
        <v>851</v>
      </c>
      <c r="C14" t="s">
        <v>14082</v>
      </c>
      <c r="F14" s="1448">
        <f>AVERAGE(56, 60)/100</f>
        <v>0.57999999999999996</v>
      </c>
      <c r="G14" s="1448">
        <f>AVERAGE(63,68)/100</f>
        <v>0.65500000000000003</v>
      </c>
      <c r="H14" s="1448">
        <f>AVERAGE(67,74)/100</f>
        <v>0.70499999999999996</v>
      </c>
      <c r="I14" s="1681">
        <f>$R$40*I$5 +$S$40</f>
        <v>0.71300000000000097</v>
      </c>
      <c r="J14" s="1681">
        <f>$R$40*J$5 +$S$40</f>
        <v>0.79500000000000171</v>
      </c>
    </row>
    <row r="15" spans="1:13" customFormat="1">
      <c r="A15" s="435" t="s">
        <v>14578</v>
      </c>
      <c r="B15" s="1409" t="s">
        <v>851</v>
      </c>
      <c r="C15" s="1409" t="s">
        <v>14082</v>
      </c>
      <c r="F15" s="1448">
        <f>AVERAGE(63, 70)/100</f>
        <v>0.66500000000000004</v>
      </c>
      <c r="G15" s="1448">
        <f>AVERAGE(65,71)/100</f>
        <v>0.68</v>
      </c>
      <c r="H15" s="1448">
        <f>AVERAGE(70,80)/100</f>
        <v>0.75</v>
      </c>
      <c r="I15" s="1681">
        <f>$R$59*I$5 +$S$59</f>
        <v>0.81579999999999941</v>
      </c>
      <c r="J15" s="1681">
        <f>I15</f>
        <v>0.81579999999999941</v>
      </c>
      <c r="M15" s="1409"/>
    </row>
    <row r="16" spans="1:13">
      <c r="A16" s="435" t="s">
        <v>14577</v>
      </c>
      <c r="B16" s="1409" t="s">
        <v>1136</v>
      </c>
      <c r="C16" s="1409" t="s">
        <v>14589</v>
      </c>
      <c r="F16" s="1448">
        <v>-2</v>
      </c>
      <c r="G16" s="1448">
        <f>F16</f>
        <v>-2</v>
      </c>
      <c r="H16" s="1448">
        <f>G16</f>
        <v>-2</v>
      </c>
      <c r="I16" s="1681">
        <f>H16</f>
        <v>-2</v>
      </c>
      <c r="J16" s="1681">
        <f>I16</f>
        <v>-2</v>
      </c>
    </row>
    <row r="17" spans="1:22">
      <c r="A17" s="435" t="s">
        <v>14578</v>
      </c>
      <c r="B17" s="1409" t="s">
        <v>1136</v>
      </c>
      <c r="C17" s="1409" t="s">
        <v>14589</v>
      </c>
      <c r="F17" s="1448">
        <f>F16</f>
        <v>-2</v>
      </c>
      <c r="G17" s="1448">
        <f t="shared" ref="G17:J17" si="4">G16</f>
        <v>-2</v>
      </c>
      <c r="H17" s="1448">
        <f t="shared" si="4"/>
        <v>-2</v>
      </c>
      <c r="I17" s="1681">
        <f t="shared" si="4"/>
        <v>-2</v>
      </c>
      <c r="J17" s="1681">
        <f t="shared" si="4"/>
        <v>-2</v>
      </c>
    </row>
    <row r="19" spans="1:22">
      <c r="C19" s="1409" t="s">
        <v>14813</v>
      </c>
      <c r="D19" s="1797">
        <f>D23*D21*D20</f>
        <v>13.54621848739496</v>
      </c>
    </row>
    <row r="20" spans="1:22">
      <c r="C20" s="1686" t="s">
        <v>14585</v>
      </c>
      <c r="D20" s="1687">
        <f>1/1.19</f>
        <v>0.84033613445378152</v>
      </c>
    </row>
    <row r="21" spans="1:22">
      <c r="C21" s="1686" t="s">
        <v>14587</v>
      </c>
      <c r="D21" s="1687">
        <v>15.5</v>
      </c>
      <c r="E21" s="1409" t="s">
        <v>14719</v>
      </c>
    </row>
    <row r="22" spans="1:22">
      <c r="C22" s="1686" t="s">
        <v>14586</v>
      </c>
      <c r="D22" s="1687">
        <f>1/1.56</f>
        <v>0.64102564102564097</v>
      </c>
    </row>
    <row r="23" spans="1:22">
      <c r="C23" s="1687" t="s">
        <v>14733</v>
      </c>
      <c r="D23" s="1687">
        <v>1.04</v>
      </c>
      <c r="E23" s="1409" t="s">
        <v>14734</v>
      </c>
    </row>
    <row r="26" spans="1:22" customFormat="1">
      <c r="A26" s="1409"/>
      <c r="B26" s="1409"/>
      <c r="C26" s="1409"/>
      <c r="D26" s="1409"/>
    </row>
    <row r="27" spans="1:22" customFormat="1">
      <c r="A27" s="440"/>
      <c r="B27" s="1409"/>
      <c r="C27" s="1409"/>
      <c r="D27" s="1409"/>
    </row>
    <row r="28" spans="1:22" customFormat="1">
      <c r="A28" s="1409"/>
      <c r="B28" s="1409"/>
      <c r="C28" s="1409"/>
      <c r="D28" s="1409"/>
    </row>
    <row r="29" spans="1:22" customFormat="1">
      <c r="A29" s="1409"/>
      <c r="B29" s="1409"/>
      <c r="C29" s="1409"/>
      <c r="D29" s="1409">
        <v>19642.016806722688</v>
      </c>
      <c r="N29" s="1409"/>
      <c r="O29" s="1409"/>
      <c r="P29" s="1409"/>
      <c r="Q29" s="1409"/>
      <c r="R29" s="1409"/>
      <c r="S29" s="1409"/>
      <c r="T29" s="1409"/>
      <c r="U29" s="1409"/>
      <c r="V29" s="1409"/>
    </row>
    <row r="30" spans="1:22" customFormat="1">
      <c r="A30" s="1409"/>
      <c r="B30" s="1409"/>
      <c r="C30" s="1409"/>
      <c r="D30" s="1409"/>
    </row>
    <row r="31" spans="1:22" customFormat="1">
      <c r="A31" s="1409"/>
      <c r="B31" s="1409"/>
      <c r="C31" s="1409"/>
      <c r="D31" s="1409"/>
    </row>
    <row r="32" spans="1:22" customFormat="1">
      <c r="A32" s="1409"/>
      <c r="B32" s="1409"/>
    </row>
    <row r="33" spans="1:19" customFormat="1">
      <c r="A33" s="1409"/>
      <c r="B33" s="1409"/>
    </row>
    <row r="34" spans="1:19" customFormat="1">
      <c r="A34" s="1409"/>
      <c r="B34" s="1409"/>
    </row>
    <row r="35" spans="1:19" customFormat="1">
      <c r="A35" s="1409"/>
      <c r="B35" s="1409"/>
    </row>
    <row r="36" spans="1:19" customFormat="1">
      <c r="A36" s="1409"/>
      <c r="B36" s="1409"/>
    </row>
    <row r="37" spans="1:19" customFormat="1">
      <c r="A37" s="1409"/>
      <c r="B37" s="1409"/>
    </row>
    <row r="39" spans="1:19">
      <c r="C39" s="1409" t="s">
        <v>14087</v>
      </c>
      <c r="D39" s="1409">
        <v>120.1</v>
      </c>
      <c r="E39" s="1409" t="s">
        <v>1045</v>
      </c>
      <c r="F39" s="1409" t="s">
        <v>14535</v>
      </c>
    </row>
    <row r="40" spans="1:19">
      <c r="F40" s="6">
        <f>F5</f>
        <v>2020</v>
      </c>
      <c r="G40" s="6">
        <f t="shared" ref="G40:J40" si="5">G5</f>
        <v>2030</v>
      </c>
      <c r="H40" s="1674">
        <f t="shared" si="5"/>
        <v>2035</v>
      </c>
      <c r="I40" s="6">
        <f t="shared" si="5"/>
        <v>2040</v>
      </c>
      <c r="J40" s="6">
        <f t="shared" si="5"/>
        <v>2050</v>
      </c>
      <c r="K40" s="1928" t="s">
        <v>14721</v>
      </c>
      <c r="L40" s="573" t="s">
        <v>14735</v>
      </c>
      <c r="R40" s="1409">
        <v>8.2000000000000007E-3</v>
      </c>
      <c r="S40" s="1409">
        <v>-16.015000000000001</v>
      </c>
    </row>
    <row r="41" spans="1:19">
      <c r="C41" s="1409" t="s">
        <v>14579</v>
      </c>
      <c r="D41" t="s">
        <v>1123</v>
      </c>
      <c r="E41" s="1121" t="s">
        <v>14079</v>
      </c>
      <c r="F41" s="1720">
        <f>AVERAGE(1800,1100)* $D$23</f>
        <v>1508</v>
      </c>
      <c r="G41" s="1720">
        <f>AVERAGE(650,1500)*$D$23</f>
        <v>1118</v>
      </c>
      <c r="H41" s="1720">
        <f>AVERAGE(200,900)*$D$23</f>
        <v>572</v>
      </c>
      <c r="I41" s="1721">
        <f>AVERAGE(H41,J41)</f>
        <v>481.4545454545455</v>
      </c>
      <c r="J41" s="1721">
        <f>INDEX(L41:M41,MATCH($J$43,$L$43:$M$43,0))</f>
        <v>390.90909090909093</v>
      </c>
      <c r="K41" s="1928"/>
      <c r="L41" s="610">
        <v>200</v>
      </c>
      <c r="M41" s="1724">
        <f>G41/H41*L41</f>
        <v>390.90909090909093</v>
      </c>
    </row>
    <row r="42" spans="1:19">
      <c r="C42" s="1409" t="s">
        <v>14581</v>
      </c>
      <c r="D42" t="s">
        <v>1123</v>
      </c>
      <c r="E42" s="1121" t="s">
        <v>14079</v>
      </c>
      <c r="F42" s="1720">
        <f>AVERAGE(500,1400)*$D$23</f>
        <v>988</v>
      </c>
      <c r="G42" s="1720">
        <f>AVERAGE(400,850)*$D$23</f>
        <v>650</v>
      </c>
      <c r="H42" s="1720">
        <f>AVERAGE(700,200)*$D$23</f>
        <v>468</v>
      </c>
      <c r="I42" s="1721">
        <f>AVERAGE(H42,J42)</f>
        <v>372.88888888888891</v>
      </c>
      <c r="J42" s="1721">
        <f>INDEX(L42:M42,MATCH($J$43,$L$43:$M$43,0))</f>
        <v>277.77777777777777</v>
      </c>
      <c r="K42" s="1928"/>
      <c r="L42" s="610">
        <v>200</v>
      </c>
      <c r="M42" s="1724">
        <f>G42/H42*L42</f>
        <v>277.77777777777777</v>
      </c>
    </row>
    <row r="43" spans="1:19">
      <c r="F43" s="6"/>
      <c r="G43" s="6"/>
      <c r="H43" s="6"/>
      <c r="I43" s="6"/>
      <c r="J43" s="1727">
        <v>2</v>
      </c>
      <c r="L43" s="610">
        <v>1</v>
      </c>
      <c r="M43" s="610">
        <v>2</v>
      </c>
    </row>
    <row r="44" spans="1:19">
      <c r="F44"/>
      <c r="G44"/>
      <c r="H44"/>
      <c r="I44"/>
      <c r="L44" s="1409" t="s">
        <v>14736</v>
      </c>
      <c r="M44" s="1409" t="s">
        <v>14737</v>
      </c>
    </row>
    <row r="45" spans="1:19">
      <c r="C45" s="1450" t="s">
        <v>14588</v>
      </c>
      <c r="D45" s="1688">
        <f>1000000000</f>
        <v>1000000000</v>
      </c>
      <c r="E45" s="1409" t="s">
        <v>14582</v>
      </c>
    </row>
    <row r="46" spans="1:19">
      <c r="E46" s="1121" t="s">
        <v>14583</v>
      </c>
      <c r="F46" s="6">
        <f>1000*8760*3600</f>
        <v>31536000000</v>
      </c>
      <c r="G46" s="6">
        <f>1000*8760*3600</f>
        <v>31536000000</v>
      </c>
      <c r="H46" s="6">
        <f>1000*8760*3600</f>
        <v>31536000000</v>
      </c>
      <c r="I46" s="6">
        <f t="shared" ref="I46:J46" si="6">1000*8760*3600</f>
        <v>31536000000</v>
      </c>
      <c r="J46" s="6">
        <f t="shared" si="6"/>
        <v>31536000000</v>
      </c>
    </row>
    <row r="47" spans="1:19">
      <c r="C47" s="1409" t="s">
        <v>14579</v>
      </c>
      <c r="D47" s="1409" t="s">
        <v>1123</v>
      </c>
      <c r="E47" s="1121" t="s">
        <v>14078</v>
      </c>
      <c r="F47" s="1722">
        <f t="shared" ref="F47:J48" si="7">F41/F$46</f>
        <v>4.7818366311516996E-8</v>
      </c>
      <c r="G47" s="1722">
        <f t="shared" si="7"/>
        <v>3.545154743784881E-8</v>
      </c>
      <c r="H47" s="1722">
        <f t="shared" si="7"/>
        <v>1.8138001014713343E-8</v>
      </c>
      <c r="I47" s="1722">
        <f t="shared" si="7"/>
        <v>1.5266823486001568E-8</v>
      </c>
      <c r="J47" s="1722">
        <f t="shared" si="7"/>
        <v>1.2395645957289793E-8</v>
      </c>
    </row>
    <row r="48" spans="1:19">
      <c r="C48" s="1409" t="s">
        <v>14580</v>
      </c>
      <c r="D48" s="1409" t="s">
        <v>1123</v>
      </c>
      <c r="E48" s="1121" t="s">
        <v>14078</v>
      </c>
      <c r="F48" s="1722">
        <f t="shared" si="7"/>
        <v>3.1329274479959411E-8</v>
      </c>
      <c r="G48" s="1722">
        <f t="shared" si="7"/>
        <v>2.0611364789446981E-8</v>
      </c>
      <c r="H48" s="1722">
        <f t="shared" si="7"/>
        <v>1.4840182648401826E-8</v>
      </c>
      <c r="I48" s="1722">
        <f t="shared" si="7"/>
        <v>1.1824229099723774E-8</v>
      </c>
      <c r="J48" s="1722">
        <f t="shared" si="7"/>
        <v>8.8082755510457179E-9</v>
      </c>
    </row>
    <row r="49" spans="3:19">
      <c r="C49" s="1409" t="s">
        <v>14579</v>
      </c>
      <c r="D49" s="1409" t="s">
        <v>1123</v>
      </c>
      <c r="E49" s="1121" t="s">
        <v>14077</v>
      </c>
      <c r="F49" s="897">
        <f t="shared" ref="F49:J50" si="8">F47*$D$45</f>
        <v>47.818366311516996</v>
      </c>
      <c r="G49" s="897">
        <f t="shared" si="8"/>
        <v>35.451547437848809</v>
      </c>
      <c r="H49" s="897">
        <f t="shared" si="8"/>
        <v>18.138001014713343</v>
      </c>
      <c r="I49" s="897">
        <f t="shared" si="8"/>
        <v>15.266823486001568</v>
      </c>
      <c r="J49" s="897">
        <f t="shared" si="8"/>
        <v>12.395645957289794</v>
      </c>
    </row>
    <row r="50" spans="3:19">
      <c r="C50" s="1409" t="s">
        <v>14580</v>
      </c>
      <c r="D50" s="1409" t="s">
        <v>1123</v>
      </c>
      <c r="E50" s="1121" t="s">
        <v>14077</v>
      </c>
      <c r="F50" s="897">
        <f t="shared" si="8"/>
        <v>31.329274479959413</v>
      </c>
      <c r="G50" s="897">
        <f t="shared" si="8"/>
        <v>20.611364789446981</v>
      </c>
      <c r="H50" s="897">
        <f t="shared" si="8"/>
        <v>14.840182648401827</v>
      </c>
      <c r="I50" s="897">
        <f t="shared" si="8"/>
        <v>11.824229099723773</v>
      </c>
      <c r="J50" s="897">
        <f t="shared" si="8"/>
        <v>8.8082755510457176</v>
      </c>
    </row>
    <row r="51" spans="3:19">
      <c r="C51" s="1409" t="s">
        <v>14579</v>
      </c>
      <c r="D51" s="1409" t="s">
        <v>1123</v>
      </c>
      <c r="E51" s="1302" t="s">
        <v>14814</v>
      </c>
      <c r="F51" s="1798">
        <f>F41*$D$21</f>
        <v>23374</v>
      </c>
      <c r="G51" s="1798">
        <f t="shared" ref="G51:J51" si="9">G41*$D$21</f>
        <v>17329</v>
      </c>
      <c r="H51" s="1798">
        <f t="shared" si="9"/>
        <v>8866</v>
      </c>
      <c r="I51" s="1798">
        <f t="shared" si="9"/>
        <v>7462.545454545455</v>
      </c>
      <c r="J51" s="1798">
        <f t="shared" si="9"/>
        <v>6059.0909090909099</v>
      </c>
    </row>
    <row r="52" spans="3:19">
      <c r="C52" s="1409" t="s">
        <v>14580</v>
      </c>
      <c r="D52" s="1409" t="s">
        <v>1123</v>
      </c>
      <c r="E52" s="1302" t="s">
        <v>14814</v>
      </c>
      <c r="F52" s="1798">
        <f>F42*$D$21</f>
        <v>15314</v>
      </c>
      <c r="G52" s="1798">
        <f t="shared" ref="G52:J52" si="10">G42*$D$21</f>
        <v>10075</v>
      </c>
      <c r="H52" s="1798">
        <f t="shared" si="10"/>
        <v>7254</v>
      </c>
      <c r="I52" s="1798">
        <f t="shared" si="10"/>
        <v>5779.7777777777783</v>
      </c>
      <c r="J52" s="1798">
        <f t="shared" si="10"/>
        <v>4305.5555555555557</v>
      </c>
    </row>
    <row r="53" spans="3:19">
      <c r="C53" s="1409" t="s">
        <v>14579</v>
      </c>
      <c r="D53" s="1409" t="s">
        <v>1123</v>
      </c>
      <c r="E53" s="1302" t="s">
        <v>14720</v>
      </c>
      <c r="F53" s="1447">
        <f>F49*$D$21</f>
        <v>741.18467782851349</v>
      </c>
      <c r="G53" s="1447">
        <f t="shared" ref="G53:J53" si="11">G49*$D$21</f>
        <v>549.49898528665653</v>
      </c>
      <c r="H53" s="1447">
        <f t="shared" si="11"/>
        <v>281.13901572805679</v>
      </c>
      <c r="I53" s="1447">
        <f t="shared" si="11"/>
        <v>236.63576403302432</v>
      </c>
      <c r="J53" s="1447">
        <f t="shared" si="11"/>
        <v>192.13251233799181</v>
      </c>
    </row>
    <row r="54" spans="3:19">
      <c r="C54" s="1409" t="s">
        <v>14580</v>
      </c>
      <c r="D54" s="1409" t="s">
        <v>1123</v>
      </c>
      <c r="E54" s="1302" t="s">
        <v>14720</v>
      </c>
      <c r="F54" s="1447">
        <f>F50*$D$21</f>
        <v>485.6037544393709</v>
      </c>
      <c r="G54" s="1447">
        <f t="shared" ref="G54:J54" si="12">G50*$D$21</f>
        <v>319.47615423642821</v>
      </c>
      <c r="H54" s="1447">
        <f t="shared" si="12"/>
        <v>230.02283105022832</v>
      </c>
      <c r="I54" s="1447">
        <f t="shared" si="12"/>
        <v>183.27555104571849</v>
      </c>
      <c r="J54" s="1447">
        <f t="shared" si="12"/>
        <v>136.52827104120863</v>
      </c>
    </row>
    <row r="55" spans="3:19">
      <c r="E55" s="1302"/>
      <c r="F55" s="1447"/>
      <c r="G55" s="1447"/>
      <c r="H55" s="1447"/>
      <c r="I55" s="1447"/>
      <c r="J55" s="1447"/>
    </row>
    <row r="56" spans="3:19">
      <c r="E56" s="1302"/>
      <c r="F56" s="1447"/>
      <c r="G56" s="1447"/>
      <c r="H56" s="1447"/>
      <c r="I56" s="6"/>
      <c r="J56" s="6"/>
    </row>
    <row r="57" spans="3:19">
      <c r="C57" s="1409" t="s">
        <v>14732</v>
      </c>
      <c r="F57" s="6">
        <f>F40</f>
        <v>2020</v>
      </c>
      <c r="G57" s="6">
        <f t="shared" ref="G57:H57" si="13">G40</f>
        <v>2030</v>
      </c>
      <c r="H57" s="6">
        <f t="shared" si="13"/>
        <v>2035</v>
      </c>
      <c r="I57" s="6"/>
      <c r="J57" s="6"/>
    </row>
    <row r="58" spans="3:19">
      <c r="C58" s="1409" t="s">
        <v>14579</v>
      </c>
      <c r="E58" s="1409" t="s">
        <v>14080</v>
      </c>
      <c r="F58" s="1723">
        <f>AVERAGE(30000,90000)</f>
        <v>60000</v>
      </c>
      <c r="G58" s="1723">
        <f>AVERAGE(60000,90000)</f>
        <v>75000</v>
      </c>
      <c r="H58" s="1723">
        <f>AVERAGE(100000,150000)</f>
        <v>125000</v>
      </c>
      <c r="I58" s="6"/>
      <c r="J58" s="6"/>
    </row>
    <row r="59" spans="3:19">
      <c r="C59" s="1409" t="s">
        <v>14580</v>
      </c>
      <c r="E59" s="1409" t="s">
        <v>14080</v>
      </c>
      <c r="F59" s="1723">
        <f>AVERAGE(60000,90000)</f>
        <v>75000</v>
      </c>
      <c r="G59" s="1723">
        <f>AVERAGE(90000,100000)</f>
        <v>95000</v>
      </c>
      <c r="H59" s="1723">
        <f>AVERAGE(100000,150000)</f>
        <v>125000</v>
      </c>
      <c r="I59" s="6"/>
      <c r="J59" s="6"/>
      <c r="M59" s="1680"/>
      <c r="R59" s="1409">
        <v>5.1000000000000004E-3</v>
      </c>
      <c r="S59" s="1409">
        <v>-9.5882000000000005</v>
      </c>
    </row>
    <row r="60" spans="3:19">
      <c r="C60" s="1409" t="s">
        <v>14579</v>
      </c>
      <c r="E60" s="1409" t="s">
        <v>14081</v>
      </c>
      <c r="F60" s="1022">
        <f t="shared" ref="F60:H61" si="14">F58/F12</f>
        <v>66666.666666666672</v>
      </c>
      <c r="G60" s="1022">
        <f t="shared" si="14"/>
        <v>83333.333333333328</v>
      </c>
      <c r="H60" s="1022">
        <f t="shared" si="14"/>
        <v>138888.88888888888</v>
      </c>
      <c r="I60" s="6"/>
      <c r="J60" s="6"/>
    </row>
    <row r="61" spans="3:19">
      <c r="C61" s="1409" t="s">
        <v>14580</v>
      </c>
      <c r="E61" s="1409" t="s">
        <v>14081</v>
      </c>
      <c r="F61" s="1022">
        <f t="shared" si="14"/>
        <v>83333.333333333328</v>
      </c>
      <c r="G61" s="1022">
        <f t="shared" si="14"/>
        <v>105555.55555555555</v>
      </c>
      <c r="H61" s="1022">
        <f t="shared" si="14"/>
        <v>138888.88888888888</v>
      </c>
      <c r="I61" s="6"/>
      <c r="J61" s="6"/>
    </row>
    <row r="62" spans="3:19">
      <c r="I62" s="6"/>
      <c r="J62" s="6"/>
    </row>
  </sheetData>
  <mergeCells count="1">
    <mergeCell ref="K40:K42"/>
  </mergeCells>
  <pageMargins left="0.7" right="0.7" top="0.75" bottom="0.75" header="0.3" footer="0.3"/>
  <drawing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4BB-EDE8-4F1A-B5EC-C5965CF2C7D8}">
  <sheetPr codeName="Sheet67">
    <tabColor rgb="FF92D050"/>
  </sheetPr>
  <dimension ref="A1:AB148"/>
  <sheetViews>
    <sheetView workbookViewId="0">
      <selection activeCell="B16" sqref="B16"/>
    </sheetView>
  </sheetViews>
  <sheetFormatPr defaultRowHeight="15"/>
  <cols>
    <col min="1" max="1" width="12.7109375" style="1409" customWidth="1"/>
    <col min="2" max="2" width="28.5703125" style="1409" customWidth="1"/>
    <col min="3" max="3" width="15" style="1409" customWidth="1"/>
    <col min="4" max="4" width="15.85546875" style="1409" customWidth="1"/>
    <col min="5" max="5" width="10.7109375" style="1409" bestFit="1" customWidth="1"/>
    <col min="6" max="6" width="12.140625" style="1409" customWidth="1"/>
    <col min="7" max="7" width="16.28515625" style="1409" bestFit="1" customWidth="1"/>
    <col min="8" max="8" width="11.140625" style="1409" customWidth="1"/>
    <col min="9" max="10" width="10.7109375" style="1409" bestFit="1" customWidth="1"/>
    <col min="11" max="22" width="9.140625" style="1409"/>
    <col min="23" max="23" width="35.85546875" style="1409" customWidth="1"/>
    <col min="24" max="24" width="14.7109375" style="1409" customWidth="1"/>
    <col min="25" max="25" width="17.42578125" style="1409" customWidth="1"/>
    <col min="26" max="26" width="23.28515625" style="1409" customWidth="1"/>
    <col min="27" max="16384" width="9.140625" style="1409"/>
  </cols>
  <sheetData>
    <row r="1" spans="1:10" ht="21">
      <c r="A1" s="1654" t="s">
        <v>14407</v>
      </c>
    </row>
    <row r="2" spans="1:10" ht="21">
      <c r="A2" s="1409" t="s">
        <v>14558</v>
      </c>
      <c r="B2" s="1409" t="s">
        <v>14559</v>
      </c>
      <c r="C2" s="1654" t="s">
        <v>14408</v>
      </c>
      <c r="F2" s="6">
        <v>2020</v>
      </c>
      <c r="G2" s="6">
        <v>2030</v>
      </c>
      <c r="H2" s="6">
        <v>2035</v>
      </c>
      <c r="I2" s="6">
        <v>2040</v>
      </c>
      <c r="J2" s="6">
        <v>2050</v>
      </c>
    </row>
    <row r="3" spans="1:10">
      <c r="A3" s="1409" t="s">
        <v>14546</v>
      </c>
      <c r="B3" s="1449" t="s">
        <v>839</v>
      </c>
      <c r="C3" s="1409" t="s">
        <v>14409</v>
      </c>
      <c r="F3" s="1451">
        <f>D29</f>
        <v>46896.125174280474</v>
      </c>
      <c r="G3" s="1448">
        <f>AVERAGE(H3,F3)*1.1</f>
        <v>43674.479600333063</v>
      </c>
      <c r="H3" s="1448">
        <f>E29</f>
        <v>32512.019553597809</v>
      </c>
      <c r="I3" s="1451">
        <f>F29</f>
        <v>28141.935483870966</v>
      </c>
      <c r="J3" s="1448">
        <f>F29</f>
        <v>28141.935483870966</v>
      </c>
    </row>
    <row r="4" spans="1:10">
      <c r="A4" s="1409" t="s">
        <v>14546</v>
      </c>
      <c r="B4" s="1449" t="s">
        <v>849</v>
      </c>
      <c r="C4" s="1409" t="s">
        <v>14410</v>
      </c>
      <c r="D4" s="1402">
        <v>0.03</v>
      </c>
      <c r="E4" s="1409" t="s">
        <v>14411</v>
      </c>
      <c r="F4" s="1448">
        <f>$D$4*F3</f>
        <v>1406.8837552284142</v>
      </c>
      <c r="G4" s="1448">
        <f>$D$4*G3</f>
        <v>1310.2343880099918</v>
      </c>
      <c r="H4" s="1448">
        <f t="shared" ref="H4:J4" si="0">$D$4*H3</f>
        <v>975.36058660793424</v>
      </c>
      <c r="I4" s="1448">
        <f t="shared" si="0"/>
        <v>844.25806451612891</v>
      </c>
      <c r="J4" s="1448">
        <f t="shared" si="0"/>
        <v>844.25806451612891</v>
      </c>
    </row>
    <row r="5" spans="1:10">
      <c r="A5" s="1409" t="s">
        <v>14546</v>
      </c>
      <c r="B5" s="1449" t="s">
        <v>861</v>
      </c>
      <c r="C5" s="1409" t="s">
        <v>14412</v>
      </c>
      <c r="E5" s="1409" t="s">
        <v>14411</v>
      </c>
      <c r="F5" s="1451">
        <v>10</v>
      </c>
      <c r="G5" s="1451">
        <v>10</v>
      </c>
      <c r="H5" s="1451">
        <v>10</v>
      </c>
      <c r="I5" s="1451">
        <v>15</v>
      </c>
      <c r="J5" s="1451">
        <v>15</v>
      </c>
    </row>
    <row r="6" spans="1:10">
      <c r="A6" s="1409" t="s">
        <v>14546</v>
      </c>
      <c r="B6" s="1449" t="s">
        <v>602</v>
      </c>
      <c r="C6" s="1409" t="s">
        <v>296</v>
      </c>
      <c r="E6" s="1409" t="s">
        <v>14411</v>
      </c>
      <c r="F6" s="1448">
        <v>0.9</v>
      </c>
      <c r="G6" s="1448">
        <v>0.9</v>
      </c>
      <c r="H6" s="1448">
        <v>0.9</v>
      </c>
      <c r="I6" s="1448">
        <v>0.9</v>
      </c>
      <c r="J6" s="1448">
        <v>0.9</v>
      </c>
    </row>
    <row r="7" spans="1:10">
      <c r="A7" s="1409" t="s">
        <v>14546</v>
      </c>
      <c r="B7" s="1449" t="s">
        <v>14556</v>
      </c>
      <c r="C7" s="1409" t="s">
        <v>296</v>
      </c>
      <c r="D7" s="1409" t="s">
        <v>14433</v>
      </c>
      <c r="E7" s="1409" t="s">
        <v>14411</v>
      </c>
      <c r="F7" s="1448">
        <v>0.98</v>
      </c>
      <c r="G7" s="1448">
        <v>0.98</v>
      </c>
      <c r="H7" s="1448">
        <v>0.98</v>
      </c>
      <c r="I7" s="1448">
        <v>0.98</v>
      </c>
      <c r="J7" s="1448">
        <v>0.98</v>
      </c>
    </row>
    <row r="8" spans="1:10">
      <c r="A8" s="1409" t="s">
        <v>14546</v>
      </c>
      <c r="B8" s="1449"/>
      <c r="F8" s="1448"/>
      <c r="G8" s="1448"/>
      <c r="H8" s="1448"/>
      <c r="I8" s="1448"/>
      <c r="J8" s="1448"/>
    </row>
    <row r="9" spans="1:10">
      <c r="A9" s="1409" t="s">
        <v>14546</v>
      </c>
      <c r="B9" s="1674" t="s">
        <v>1167</v>
      </c>
      <c r="F9" s="1675">
        <v>2025</v>
      </c>
    </row>
    <row r="10" spans="1:10" ht="21">
      <c r="A10" s="1654" t="s">
        <v>14537</v>
      </c>
      <c r="C10" s="1654"/>
      <c r="F10" s="6"/>
      <c r="G10" s="6"/>
      <c r="H10" s="6"/>
      <c r="I10" s="6"/>
      <c r="J10" s="6"/>
    </row>
    <row r="11" spans="1:10">
      <c r="A11" s="1409" t="s">
        <v>1976</v>
      </c>
      <c r="B11" t="s">
        <v>14413</v>
      </c>
      <c r="C11" s="1409" t="s">
        <v>14538</v>
      </c>
      <c r="D11" s="1409" t="str">
        <f>E44</f>
        <v>turbine</v>
      </c>
      <c r="E11" s="1409" t="s">
        <v>277</v>
      </c>
      <c r="F11" s="1402">
        <f>C43</f>
        <v>0.52</v>
      </c>
      <c r="G11" s="1402">
        <f>F11</f>
        <v>0.52</v>
      </c>
      <c r="H11" s="1402">
        <f t="shared" ref="H11:J11" si="1">G11</f>
        <v>0.52</v>
      </c>
      <c r="I11" s="1402">
        <f t="shared" si="1"/>
        <v>0.52</v>
      </c>
      <c r="J11" s="1402">
        <f t="shared" si="1"/>
        <v>0.52</v>
      </c>
    </row>
    <row r="12" spans="1:10">
      <c r="A12" s="1409" t="s">
        <v>1976</v>
      </c>
      <c r="B12" s="1409" t="s">
        <v>14413</v>
      </c>
      <c r="C12" s="1409" t="s">
        <v>14538</v>
      </c>
      <c r="D12" s="1409" t="str">
        <f t="shared" ref="D12:D13" si="2">E45</f>
        <v>pipeline</v>
      </c>
      <c r="E12" s="1409" t="s">
        <v>277</v>
      </c>
      <c r="F12" s="1402">
        <f>F11</f>
        <v>0.52</v>
      </c>
      <c r="G12" s="1402">
        <f t="shared" ref="G12:G13" si="3">G11</f>
        <v>0.52</v>
      </c>
      <c r="H12" s="1402">
        <f t="shared" ref="H12:H13" si="4">H11</f>
        <v>0.52</v>
      </c>
      <c r="I12" s="1402">
        <f t="shared" ref="I12:I13" si="5">I11</f>
        <v>0.52</v>
      </c>
      <c r="J12" s="1402">
        <f t="shared" ref="J12:J13" si="6">J11</f>
        <v>0.52</v>
      </c>
    </row>
    <row r="13" spans="1:10">
      <c r="A13" s="1409" t="s">
        <v>1976</v>
      </c>
      <c r="B13" s="1409" t="s">
        <v>14413</v>
      </c>
      <c r="C13" s="1409" t="s">
        <v>14538</v>
      </c>
      <c r="D13" s="1409" t="str">
        <f t="shared" si="2"/>
        <v>vehicle</v>
      </c>
      <c r="E13" s="1409" t="s">
        <v>277</v>
      </c>
      <c r="F13" s="1402">
        <f>F12</f>
        <v>0.52</v>
      </c>
      <c r="G13" s="1402">
        <f t="shared" si="3"/>
        <v>0.52</v>
      </c>
      <c r="H13" s="1402">
        <f t="shared" si="4"/>
        <v>0.52</v>
      </c>
      <c r="I13" s="1402">
        <f t="shared" si="5"/>
        <v>0.52</v>
      </c>
      <c r="J13" s="1402">
        <f t="shared" si="6"/>
        <v>0.52</v>
      </c>
    </row>
    <row r="14" spans="1:10">
      <c r="A14" s="1409" t="s">
        <v>14549</v>
      </c>
      <c r="B14" s="1409" t="s">
        <v>13540</v>
      </c>
      <c r="C14" s="1409" t="s">
        <v>14538</v>
      </c>
      <c r="D14" s="1409" t="str">
        <f>D11</f>
        <v>turbine</v>
      </c>
      <c r="E14" s="1409" t="str">
        <f>$D$42&amp;"-&gt;"&amp;D44</f>
        <v>30-&gt;200</v>
      </c>
      <c r="F14" s="666">
        <f>(($C44-$C$42)*3.6)/H2.LHV.MJ_kg</f>
        <v>3.0332436967337745E-2</v>
      </c>
      <c r="G14" s="666">
        <f>F14</f>
        <v>3.0332436967337745E-2</v>
      </c>
      <c r="H14" s="666">
        <f t="shared" ref="H14:J14" si="7">G14</f>
        <v>3.0332436967337745E-2</v>
      </c>
      <c r="I14" s="666">
        <f t="shared" si="7"/>
        <v>3.0332436967337745E-2</v>
      </c>
      <c r="J14" s="666">
        <f t="shared" si="7"/>
        <v>3.0332436967337745E-2</v>
      </c>
    </row>
    <row r="15" spans="1:10">
      <c r="A15" s="1409" t="s">
        <v>1976</v>
      </c>
      <c r="B15" s="1409" t="s">
        <v>13540</v>
      </c>
      <c r="C15" s="1409" t="s">
        <v>14538</v>
      </c>
      <c r="D15" s="1409" t="str">
        <f>D12</f>
        <v>pipeline</v>
      </c>
      <c r="E15" s="1409" t="str">
        <f t="shared" ref="E15:E16" si="8">$D$42&amp;"-&gt;"&amp;D45</f>
        <v>30-&gt;75</v>
      </c>
      <c r="F15" s="666">
        <f>(($C45-$C$42)*3.6)/H2.LHV.MJ_kg</f>
        <v>1.4650275728343275E-2</v>
      </c>
      <c r="G15" s="666">
        <f t="shared" ref="G15:J16" si="9">F15</f>
        <v>1.4650275728343275E-2</v>
      </c>
      <c r="H15" s="666">
        <f t="shared" si="9"/>
        <v>1.4650275728343275E-2</v>
      </c>
      <c r="I15" s="666">
        <f t="shared" si="9"/>
        <v>1.4650275728343275E-2</v>
      </c>
      <c r="J15" s="666">
        <f t="shared" si="9"/>
        <v>1.4650275728343275E-2</v>
      </c>
    </row>
    <row r="16" spans="1:10">
      <c r="A16" s="1409" t="s">
        <v>14564</v>
      </c>
      <c r="B16" s="1409" t="s">
        <v>13540</v>
      </c>
      <c r="C16" s="1409" t="s">
        <v>14538</v>
      </c>
      <c r="D16" s="1409" t="str">
        <f>D13</f>
        <v>vehicle</v>
      </c>
      <c r="E16" s="1409" t="str">
        <f t="shared" si="8"/>
        <v>30-&gt;700</v>
      </c>
      <c r="F16" s="666">
        <f>(($C46-$C$42)*3.6)/H2.LHV.MJ_kg</f>
        <v>5.0362458304752777E-2</v>
      </c>
      <c r="G16" s="666">
        <f>F16</f>
        <v>5.0362458304752777E-2</v>
      </c>
      <c r="H16" s="666">
        <f t="shared" si="9"/>
        <v>5.0362458304752777E-2</v>
      </c>
      <c r="I16" s="666">
        <f t="shared" si="9"/>
        <v>5.0362458304752777E-2</v>
      </c>
      <c r="J16" s="666">
        <f t="shared" si="9"/>
        <v>5.0362458304752777E-2</v>
      </c>
    </row>
    <row r="23" spans="2:10">
      <c r="C23" s="1409" t="s">
        <v>14539</v>
      </c>
      <c r="D23" s="6" t="s">
        <v>1913</v>
      </c>
      <c r="E23" s="6" t="s">
        <v>248</v>
      </c>
    </row>
    <row r="24" spans="2:10" ht="17.25">
      <c r="B24" s="1409">
        <f>E24-D24</f>
        <v>9</v>
      </c>
      <c r="C24" s="6" t="s">
        <v>14540</v>
      </c>
      <c r="D24" s="6">
        <v>6</v>
      </c>
      <c r="E24" s="6">
        <v>15</v>
      </c>
    </row>
    <row r="25" spans="2:10" ht="17.25">
      <c r="B25" s="1409">
        <f>B24-6</f>
        <v>3</v>
      </c>
      <c r="C25" s="6" t="s">
        <v>14540</v>
      </c>
      <c r="D25" s="6" t="s">
        <v>14076</v>
      </c>
      <c r="E25" s="6" t="s">
        <v>774</v>
      </c>
    </row>
    <row r="26" spans="2:10" ht="16.5" customHeight="1">
      <c r="D26" s="1409">
        <v>2020</v>
      </c>
      <c r="E26" s="1409" t="s">
        <v>14414</v>
      </c>
      <c r="F26" s="1409" t="s">
        <v>14415</v>
      </c>
      <c r="J26" s="1397"/>
    </row>
    <row r="27" spans="2:10" ht="16.5" customHeight="1">
      <c r="B27" s="6" t="s">
        <v>1123</v>
      </c>
      <c r="C27" s="1409" t="s">
        <v>14416</v>
      </c>
      <c r="D27" s="1728">
        <f>C50/D50</f>
        <v>480.32727272727271</v>
      </c>
      <c r="E27" s="1728">
        <v>333</v>
      </c>
      <c r="F27" s="1728">
        <f>($C$39*8) / 3.6 *H2.LHV.MJ_kg</f>
        <v>288.23999999999995</v>
      </c>
    </row>
    <row r="28" spans="2:10" ht="16.5" customHeight="1">
      <c r="C28" s="1409" t="s">
        <v>14417</v>
      </c>
      <c r="D28" s="1409">
        <f>D27*$C$37*$C$38</f>
        <v>5632.2246334310848</v>
      </c>
      <c r="E28" s="1409">
        <f>E27*$C$37*$C$38</f>
        <v>3904.6935483870971</v>
      </c>
      <c r="F28" s="1409">
        <f>F27*$C$37*$C$38</f>
        <v>3379.8464516129029</v>
      </c>
    </row>
    <row r="29" spans="2:10" ht="16.5" customHeight="1">
      <c r="B29" s="1409">
        <f>E29/F29</f>
        <v>1.1552872606161533</v>
      </c>
      <c r="C29" s="1409" t="s">
        <v>14409</v>
      </c>
      <c r="D29" s="1633">
        <f>D28/H2.LHV.MJ_kg *1000</f>
        <v>46896.125174280474</v>
      </c>
      <c r="E29" s="1633">
        <f>E28/H2.LHV.MJ_kg *1000</f>
        <v>32512.019553597809</v>
      </c>
      <c r="F29" s="1633">
        <f>F28/H2.LHV.MJ_kg *1000</f>
        <v>28141.935483870966</v>
      </c>
    </row>
    <row r="30" spans="2:10" ht="16.5" customHeight="1">
      <c r="E30" s="1401">
        <f>E29/D29</f>
        <v>0.69327731092436973</v>
      </c>
      <c r="F30" s="1401">
        <f>F29/D29</f>
        <v>0.60009084714967065</v>
      </c>
    </row>
    <row r="31" spans="2:10" ht="16.5" customHeight="1"/>
    <row r="35" spans="2:6" ht="21">
      <c r="B35" s="1654" t="s">
        <v>14418</v>
      </c>
    </row>
    <row r="36" spans="2:6">
      <c r="B36" s="904">
        <v>44294.597152662034</v>
      </c>
    </row>
    <row r="37" spans="2:6">
      <c r="B37" s="1409" t="s">
        <v>14419</v>
      </c>
      <c r="C37" s="1409">
        <v>14.54</v>
      </c>
      <c r="D37" s="1409" t="s">
        <v>14420</v>
      </c>
    </row>
    <row r="38" spans="2:6">
      <c r="B38" s="1409" t="s">
        <v>14421</v>
      </c>
      <c r="C38" s="1409">
        <f>1/1.24</f>
        <v>0.80645161290322587</v>
      </c>
      <c r="D38" s="1409" t="s">
        <v>14422</v>
      </c>
    </row>
    <row r="39" spans="2:6">
      <c r="B39" s="1409" t="s">
        <v>14744</v>
      </c>
      <c r="C39" s="1409">
        <v>1.08</v>
      </c>
      <c r="D39" s="1409" t="s">
        <v>14745</v>
      </c>
    </row>
    <row r="41" spans="2:6" ht="21">
      <c r="B41" s="1654" t="s">
        <v>14423</v>
      </c>
      <c r="C41" s="1654" t="s">
        <v>14408</v>
      </c>
      <c r="D41" s="1409" t="s">
        <v>14424</v>
      </c>
      <c r="E41" s="1409" t="s">
        <v>14425</v>
      </c>
      <c r="F41" s="1409" t="s">
        <v>14426</v>
      </c>
    </row>
    <row r="42" spans="2:6">
      <c r="B42" s="1409" t="s">
        <v>14427</v>
      </c>
      <c r="C42" s="1371">
        <f>$I$55*LN($D42)+$J$55</f>
        <v>1.1107986833785937</v>
      </c>
      <c r="D42" s="775">
        <v>30</v>
      </c>
    </row>
    <row r="43" spans="2:6">
      <c r="B43" s="1409" t="s">
        <v>14428</v>
      </c>
      <c r="C43" s="1402">
        <v>0.52</v>
      </c>
    </row>
    <row r="44" spans="2:6">
      <c r="B44" s="1409" t="s">
        <v>14429</v>
      </c>
      <c r="C44" s="1689">
        <f>$I$55*LN($D44)+$J$55</f>
        <v>2.1227224833167222</v>
      </c>
      <c r="D44" s="1409">
        <v>200</v>
      </c>
      <c r="E44" s="1409" t="s">
        <v>14430</v>
      </c>
      <c r="F44" s="1409" t="s">
        <v>14431</v>
      </c>
    </row>
    <row r="45" spans="2:6">
      <c r="C45" s="1689">
        <f>$I$55*LN($D45)+$J$55</f>
        <v>1.5995481597602679</v>
      </c>
      <c r="D45" s="1409">
        <v>75</v>
      </c>
      <c r="E45" s="1409" t="s">
        <v>14432</v>
      </c>
      <c r="F45" s="1409" t="s">
        <v>14433</v>
      </c>
    </row>
    <row r="46" spans="2:6">
      <c r="C46" s="1689">
        <f>$I$55*LN($D46)+$J$55</f>
        <v>2.7909462507121514</v>
      </c>
      <c r="D46" s="1409">
        <v>700</v>
      </c>
      <c r="E46" s="1409" t="s">
        <v>14434</v>
      </c>
      <c r="F46" s="1409" t="s">
        <v>14433</v>
      </c>
    </row>
    <row r="48" spans="2:6" ht="21">
      <c r="B48" s="1654" t="s">
        <v>14407</v>
      </c>
      <c r="C48" s="1409" t="s">
        <v>14435</v>
      </c>
      <c r="D48" s="1409" t="s">
        <v>733</v>
      </c>
      <c r="E48" s="1409" t="s">
        <v>14436</v>
      </c>
    </row>
    <row r="49" spans="2:10">
      <c r="B49" s="1409" t="s">
        <v>1902</v>
      </c>
      <c r="C49" s="1409" t="s">
        <v>14437</v>
      </c>
      <c r="D49" s="1409" t="s">
        <v>1146</v>
      </c>
      <c r="E49" s="1409" t="s">
        <v>14438</v>
      </c>
    </row>
    <row r="50" spans="2:10">
      <c r="B50" s="1409" t="s">
        <v>14439</v>
      </c>
      <c r="C50" s="1409">
        <f>Z117</f>
        <v>422688</v>
      </c>
      <c r="D50" s="1409">
        <v>880</v>
      </c>
      <c r="E50" s="1409" t="s">
        <v>14440</v>
      </c>
    </row>
    <row r="53" spans="2:10">
      <c r="H53" s="1409" t="s">
        <v>14441</v>
      </c>
      <c r="I53" s="1409" t="s">
        <v>14738</v>
      </c>
      <c r="J53" s="1409" t="s">
        <v>14739</v>
      </c>
    </row>
    <row r="54" spans="2:10">
      <c r="H54" s="1409" t="s">
        <v>14740</v>
      </c>
      <c r="I54" s="1409">
        <v>4.7000000000000002E-3</v>
      </c>
      <c r="J54" s="1409">
        <v>0</v>
      </c>
    </row>
    <row r="55" spans="2:10">
      <c r="H55" s="1409" t="s">
        <v>14785</v>
      </c>
      <c r="I55" s="1409">
        <v>0.53339999999999999</v>
      </c>
      <c r="J55" s="1409">
        <v>-0.70340000000000003</v>
      </c>
    </row>
    <row r="72" spans="2:12">
      <c r="B72" s="1409" t="s">
        <v>14442</v>
      </c>
      <c r="L72" s="1409" t="s">
        <v>14443</v>
      </c>
    </row>
    <row r="86" spans="2:28">
      <c r="B86" s="184" t="s">
        <v>14444</v>
      </c>
      <c r="E86" s="1409" t="s">
        <v>14445</v>
      </c>
    </row>
    <row r="87" spans="2:28">
      <c r="W87" s="1409" t="s">
        <v>14442</v>
      </c>
      <c r="AB87" s="1409" t="s">
        <v>14446</v>
      </c>
    </row>
    <row r="88" spans="2:28">
      <c r="B88" s="184" t="s">
        <v>14447</v>
      </c>
    </row>
    <row r="89" spans="2:28">
      <c r="B89" s="1409" t="s">
        <v>14448</v>
      </c>
    </row>
    <row r="90" spans="2:28">
      <c r="B90" s="1409" t="s">
        <v>14449</v>
      </c>
      <c r="W90" s="1655" t="s">
        <v>14450</v>
      </c>
      <c r="X90" s="1655" t="s">
        <v>14451</v>
      </c>
      <c r="Y90" s="1655" t="s">
        <v>14452</v>
      </c>
      <c r="Z90" s="1655" t="s">
        <v>14453</v>
      </c>
    </row>
    <row r="91" spans="2:28">
      <c r="B91" s="1409" t="s">
        <v>14454</v>
      </c>
      <c r="W91" s="1656" t="s">
        <v>14455</v>
      </c>
      <c r="X91" s="1657" t="s">
        <v>14456</v>
      </c>
      <c r="Y91" s="1656" t="s">
        <v>14457</v>
      </c>
      <c r="Z91" s="1656" t="s">
        <v>14458</v>
      </c>
    </row>
    <row r="92" spans="2:28" ht="25.5">
      <c r="B92" s="1409" t="s">
        <v>14459</v>
      </c>
      <c r="W92" s="1658" t="s">
        <v>14460</v>
      </c>
      <c r="X92" s="1659">
        <v>1000</v>
      </c>
      <c r="Y92" s="1660">
        <v>1000</v>
      </c>
      <c r="Z92" s="1661" t="s">
        <v>14458</v>
      </c>
    </row>
    <row r="93" spans="2:28">
      <c r="B93" s="1409" t="s">
        <v>14461</v>
      </c>
      <c r="W93" s="1662" t="s">
        <v>14462</v>
      </c>
      <c r="X93" s="1663">
        <v>4</v>
      </c>
      <c r="Y93" s="1664">
        <v>4</v>
      </c>
      <c r="Z93" s="1662" t="s">
        <v>14463</v>
      </c>
    </row>
    <row r="94" spans="2:28" ht="21" customHeight="1">
      <c r="B94" s="1409" t="s">
        <v>14464</v>
      </c>
      <c r="W94" s="1658" t="s">
        <v>14465</v>
      </c>
      <c r="X94" s="1665">
        <v>250</v>
      </c>
      <c r="Y94" s="1666">
        <v>250</v>
      </c>
      <c r="Z94" s="1661" t="s">
        <v>14466</v>
      </c>
    </row>
    <row r="95" spans="2:28" ht="21" customHeight="1">
      <c r="B95" s="1409" t="s">
        <v>14467</v>
      </c>
      <c r="W95" s="1662" t="s">
        <v>14468</v>
      </c>
      <c r="X95" s="1663">
        <v>700</v>
      </c>
      <c r="Y95" s="1664">
        <v>700</v>
      </c>
      <c r="Z95" s="1662" t="s">
        <v>14469</v>
      </c>
    </row>
    <row r="96" spans="2:28" ht="21" customHeight="1">
      <c r="W96" s="1658" t="s">
        <v>14470</v>
      </c>
      <c r="X96" s="1665">
        <v>5</v>
      </c>
      <c r="Y96" s="1666">
        <v>5</v>
      </c>
      <c r="Z96" s="1661" t="s">
        <v>14471</v>
      </c>
    </row>
    <row r="97" spans="23:26" ht="21" customHeight="1">
      <c r="W97" s="1662" t="s">
        <v>14472</v>
      </c>
      <c r="X97" s="1667" t="s">
        <v>14473</v>
      </c>
      <c r="Y97" s="1662" t="s">
        <v>14473</v>
      </c>
      <c r="Z97" s="1662" t="s">
        <v>14474</v>
      </c>
    </row>
    <row r="98" spans="23:26" ht="21" customHeight="1">
      <c r="W98" s="1658" t="s">
        <v>14475</v>
      </c>
      <c r="X98" s="1668" t="s">
        <v>14440</v>
      </c>
      <c r="Y98" s="1658" t="s">
        <v>14440</v>
      </c>
      <c r="Z98" s="1661" t="s">
        <v>14471</v>
      </c>
    </row>
    <row r="99" spans="23:26" ht="21" customHeight="1">
      <c r="W99" s="1662" t="s">
        <v>14476</v>
      </c>
      <c r="X99" s="1667" t="s">
        <v>14477</v>
      </c>
      <c r="Y99" s="1662" t="s">
        <v>14477</v>
      </c>
      <c r="Z99" s="1662" t="s">
        <v>14478</v>
      </c>
    </row>
    <row r="100" spans="23:26" ht="21" customHeight="1">
      <c r="W100" s="1658" t="s">
        <v>14479</v>
      </c>
      <c r="X100" s="1665">
        <v>885</v>
      </c>
      <c r="Y100" s="1658" t="s">
        <v>1962</v>
      </c>
      <c r="Z100" s="1661" t="s">
        <v>14478</v>
      </c>
    </row>
    <row r="101" spans="23:26" ht="21" customHeight="1">
      <c r="W101" s="1662" t="s">
        <v>14480</v>
      </c>
      <c r="X101" s="1663">
        <v>250</v>
      </c>
      <c r="Y101" s="1662" t="s">
        <v>1962</v>
      </c>
      <c r="Z101" s="1662" t="s">
        <v>14478</v>
      </c>
    </row>
    <row r="102" spans="23:26" ht="21" customHeight="1">
      <c r="W102" s="1658" t="s">
        <v>14481</v>
      </c>
      <c r="X102" s="1669" t="s">
        <v>14482</v>
      </c>
      <c r="Y102" s="1670" t="s">
        <v>14482</v>
      </c>
      <c r="Z102" s="1658" t="s">
        <v>14483</v>
      </c>
    </row>
    <row r="103" spans="23:26" ht="21" customHeight="1">
      <c r="W103" s="1671" t="s">
        <v>14484</v>
      </c>
      <c r="X103" s="1672">
        <v>0.65</v>
      </c>
      <c r="Y103" s="1673">
        <v>0.65</v>
      </c>
      <c r="Z103" s="1671" t="s">
        <v>14485</v>
      </c>
    </row>
    <row r="104" spans="23:26" ht="21" customHeight="1"/>
    <row r="105" spans="23:26" ht="21" customHeight="1">
      <c r="W105" s="1409" t="s">
        <v>616</v>
      </c>
      <c r="X105" s="1409" t="s">
        <v>14486</v>
      </c>
      <c r="Y105" s="1409" t="s">
        <v>14487</v>
      </c>
      <c r="Z105" s="1409" t="s">
        <v>14488</v>
      </c>
    </row>
    <row r="106" spans="23:26" ht="21" customHeight="1">
      <c r="W106" s="1409" t="s">
        <v>14489</v>
      </c>
      <c r="X106" s="1409">
        <v>4</v>
      </c>
      <c r="Y106" s="1409" t="s">
        <v>14490</v>
      </c>
      <c r="Z106" s="1409">
        <v>307403</v>
      </c>
    </row>
    <row r="107" spans="23:26" ht="21" customHeight="1">
      <c r="W107" s="1409" t="s">
        <v>14491</v>
      </c>
      <c r="X107" s="1409">
        <v>1</v>
      </c>
      <c r="Y107" s="1409" t="s">
        <v>14492</v>
      </c>
      <c r="Z107" s="1409">
        <v>40000</v>
      </c>
    </row>
    <row r="108" spans="23:26">
      <c r="W108" s="1409" t="s">
        <v>14493</v>
      </c>
      <c r="X108" s="1409">
        <v>1</v>
      </c>
      <c r="Y108" s="1409" t="s">
        <v>14494</v>
      </c>
      <c r="Z108" s="1409">
        <v>50000</v>
      </c>
    </row>
    <row r="109" spans="23:26">
      <c r="W109" s="1409" t="s">
        <v>14495</v>
      </c>
    </row>
    <row r="110" spans="23:26">
      <c r="W110" s="1409" t="s">
        <v>14496</v>
      </c>
      <c r="X110" s="1409">
        <v>4</v>
      </c>
      <c r="Y110" s="1409" t="s">
        <v>14497</v>
      </c>
      <c r="Z110" s="1409">
        <v>12000</v>
      </c>
    </row>
    <row r="111" spans="23:26">
      <c r="W111" s="1409" t="s">
        <v>14498</v>
      </c>
      <c r="X111" s="1409">
        <v>9</v>
      </c>
      <c r="Y111" s="1409" t="s">
        <v>14499</v>
      </c>
      <c r="Z111" s="1409">
        <v>2430</v>
      </c>
    </row>
    <row r="112" spans="23:26">
      <c r="W112" s="1409" t="s">
        <v>14500</v>
      </c>
      <c r="X112" s="1409">
        <v>1</v>
      </c>
      <c r="Y112" s="1409" t="s">
        <v>14501</v>
      </c>
      <c r="Z112" s="1409">
        <v>300</v>
      </c>
    </row>
    <row r="113" spans="2:26">
      <c r="W113" s="1409" t="s">
        <v>14502</v>
      </c>
      <c r="X113" s="1409">
        <v>1</v>
      </c>
      <c r="Y113" s="1409" t="s">
        <v>14503</v>
      </c>
      <c r="Z113" s="1409">
        <v>1250</v>
      </c>
    </row>
    <row r="114" spans="2:26">
      <c r="W114" s="1409" t="s">
        <v>14504</v>
      </c>
      <c r="X114" s="1409">
        <v>5</v>
      </c>
      <c r="Y114" s="1409" t="s">
        <v>14505</v>
      </c>
      <c r="Z114" s="1409">
        <v>780</v>
      </c>
    </row>
    <row r="115" spans="2:26">
      <c r="W115" s="1409" t="s">
        <v>14506</v>
      </c>
      <c r="X115" s="1409" t="s">
        <v>14507</v>
      </c>
      <c r="Y115" s="1409" t="s">
        <v>14508</v>
      </c>
      <c r="Z115" s="1409">
        <v>525</v>
      </c>
    </row>
    <row r="116" spans="2:26">
      <c r="W116" s="1409" t="s">
        <v>14509</v>
      </c>
      <c r="X116" s="1409">
        <v>1</v>
      </c>
      <c r="Y116" s="1409">
        <v>8000</v>
      </c>
      <c r="Z116" s="1409">
        <v>8000</v>
      </c>
    </row>
    <row r="117" spans="2:26">
      <c r="B117" s="1409" t="s">
        <v>14743</v>
      </c>
      <c r="W117" s="1409" t="s">
        <v>14510</v>
      </c>
      <c r="Z117" s="1409">
        <v>422688</v>
      </c>
    </row>
    <row r="118" spans="2:26">
      <c r="B118" s="1409" t="s">
        <v>14741</v>
      </c>
      <c r="C118" s="1409">
        <v>20</v>
      </c>
      <c r="D118" s="1409">
        <v>350</v>
      </c>
      <c r="E118" s="1409">
        <v>350</v>
      </c>
      <c r="F118" s="1409">
        <v>700</v>
      </c>
      <c r="G118" s="1409">
        <v>700</v>
      </c>
    </row>
    <row r="119" spans="2:26">
      <c r="B119" s="1409" t="s">
        <v>14742</v>
      </c>
      <c r="C119" s="1409">
        <v>1.02</v>
      </c>
      <c r="D119" s="1409">
        <v>2</v>
      </c>
      <c r="E119" s="1409">
        <v>2.2000000000000002</v>
      </c>
      <c r="F119" s="1409">
        <v>2.9</v>
      </c>
      <c r="G119" s="1409">
        <v>3.2</v>
      </c>
    </row>
    <row r="121" spans="2:26">
      <c r="B121" s="1409" t="s">
        <v>14511</v>
      </c>
    </row>
    <row r="122" spans="2:26">
      <c r="B122" s="1409" t="s">
        <v>14512</v>
      </c>
    </row>
    <row r="123" spans="2:26">
      <c r="B123" s="1409" t="s">
        <v>14513</v>
      </c>
    </row>
    <row r="124" spans="2:26">
      <c r="B124" s="1409" t="s">
        <v>14514</v>
      </c>
    </row>
    <row r="125" spans="2:26">
      <c r="B125" s="1409" t="s">
        <v>14515</v>
      </c>
    </row>
    <row r="126" spans="2:26">
      <c r="B126" s="1409" t="s">
        <v>14516</v>
      </c>
    </row>
    <row r="127" spans="2:26">
      <c r="B127" s="1409" t="s">
        <v>14517</v>
      </c>
    </row>
    <row r="128" spans="2:26">
      <c r="B128" s="1409" t="s">
        <v>14518</v>
      </c>
    </row>
    <row r="129" spans="2:2">
      <c r="B129" s="1409" t="s">
        <v>14519</v>
      </c>
    </row>
    <row r="130" spans="2:2">
      <c r="B130" s="1409" t="s">
        <v>14520</v>
      </c>
    </row>
    <row r="131" spans="2:2">
      <c r="B131" s="1409" t="s">
        <v>14521</v>
      </c>
    </row>
    <row r="132" spans="2:2">
      <c r="B132" s="1409" t="s">
        <v>14522</v>
      </c>
    </row>
    <row r="133" spans="2:2">
      <c r="B133" s="1409" t="s">
        <v>14523</v>
      </c>
    </row>
    <row r="134" spans="2:2">
      <c r="B134" s="1409" t="s">
        <v>14524</v>
      </c>
    </row>
    <row r="135" spans="2:2">
      <c r="B135" s="1409" t="s">
        <v>14525</v>
      </c>
    </row>
    <row r="136" spans="2:2">
      <c r="B136" s="1409" t="s">
        <v>14526</v>
      </c>
    </row>
    <row r="137" spans="2:2">
      <c r="B137" s="1409" t="s">
        <v>14527</v>
      </c>
    </row>
    <row r="138" spans="2:2">
      <c r="B138" s="1409" t="s">
        <v>14528</v>
      </c>
    </row>
    <row r="139" spans="2:2">
      <c r="B139" s="1409" t="s">
        <v>14529</v>
      </c>
    </row>
    <row r="140" spans="2:2">
      <c r="B140" s="1409" t="s">
        <v>14530</v>
      </c>
    </row>
    <row r="141" spans="2:2">
      <c r="B141" s="1409" t="s">
        <v>14531</v>
      </c>
    </row>
    <row r="142" spans="2:2">
      <c r="B142" s="1409" t="s">
        <v>14532</v>
      </c>
    </row>
    <row r="143" spans="2:2">
      <c r="B143" s="1409" t="s">
        <v>14533</v>
      </c>
    </row>
    <row r="147" spans="2:2">
      <c r="B147" s="1409" t="s">
        <v>14534</v>
      </c>
    </row>
    <row r="148" spans="2:2">
      <c r="B148" s="1409" t="s">
        <v>14442</v>
      </c>
    </row>
  </sheetData>
  <phoneticPr fontId="204" type="noConversion"/>
  <hyperlinks>
    <hyperlink ref="B88" r:id="rId1" xr:uid="{94F0B3EF-4D28-402B-AC07-34956C5958DD}"/>
    <hyperlink ref="B86" r:id="rId2" xr:uid="{685406BD-3BA1-43E8-BC8A-AB37AE942775}"/>
  </hyperlinks>
  <pageMargins left="0.7" right="0.7" top="0.75" bottom="0.75" header="0.3" footer="0.3"/>
  <drawing r:id="rId3"/>
  <legacy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7E9D-CD5F-48C2-AD30-964474E03EAE}">
  <sheetPr codeName="Sheet68"/>
  <dimension ref="A1:F4"/>
  <sheetViews>
    <sheetView workbookViewId="0"/>
  </sheetViews>
  <sheetFormatPr defaultRowHeight="15"/>
  <cols>
    <col min="1" max="1" width="6.28515625" style="1409" bestFit="1" customWidth="1"/>
    <col min="2" max="2" width="8.85546875" style="1409" bestFit="1" customWidth="1"/>
    <col min="3" max="3" width="11.140625" style="1409" bestFit="1" customWidth="1"/>
    <col min="4" max="4" width="41.5703125" style="1409" bestFit="1" customWidth="1"/>
    <col min="5" max="5" width="6.28515625" style="1409" bestFit="1" customWidth="1"/>
    <col min="6" max="6" width="24.7109375" style="1409" bestFit="1" customWidth="1"/>
    <col min="7" max="16384" width="9.140625" style="1409"/>
  </cols>
  <sheetData>
    <row r="1" spans="1:6">
      <c r="A1" s="1409" t="s">
        <v>14542</v>
      </c>
      <c r="B1" s="1409" t="s">
        <v>308</v>
      </c>
    </row>
    <row r="2" spans="1:6">
      <c r="B2" s="1409" t="s">
        <v>352</v>
      </c>
      <c r="C2" s="1409" t="s">
        <v>14544</v>
      </c>
      <c r="D2" s="1409" t="s">
        <v>14545</v>
      </c>
      <c r="E2" s="1409" t="s">
        <v>248</v>
      </c>
      <c r="F2" s="1409" t="s">
        <v>14543</v>
      </c>
    </row>
    <row r="3" spans="1:6">
      <c r="B3" s="1409" t="s">
        <v>1868</v>
      </c>
      <c r="C3" s="1409" t="s">
        <v>14546</v>
      </c>
      <c r="D3" s="1409" t="s">
        <v>14547</v>
      </c>
      <c r="E3" s="1409" t="s">
        <v>318</v>
      </c>
      <c r="F3" s="1409" t="s">
        <v>14548</v>
      </c>
    </row>
    <row r="4" spans="1:6">
      <c r="B4" s="1409" t="s">
        <v>1868</v>
      </c>
      <c r="C4" s="1409" t="s">
        <v>14549</v>
      </c>
      <c r="D4" s="1409" t="s">
        <v>14550</v>
      </c>
      <c r="E4" s="1409" t="s">
        <v>318</v>
      </c>
      <c r="F4" s="1409" t="s">
        <v>1028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4C3-2096-4C4D-87D6-3E1A7ADE6A68}">
  <sheetPr codeName="Sheet69"/>
  <dimension ref="A1:AP14"/>
  <sheetViews>
    <sheetView workbookViewId="0">
      <selection activeCell="B13" sqref="B13:I13"/>
    </sheetView>
  </sheetViews>
  <sheetFormatPr defaultRowHeight="15"/>
  <cols>
    <col min="1" max="1" width="8.28515625" style="1409" bestFit="1" customWidth="1"/>
    <col min="2" max="2" width="12.85546875" style="1409" bestFit="1" customWidth="1"/>
    <col min="3" max="3" width="11.140625" style="1409" bestFit="1" customWidth="1"/>
    <col min="4" max="4" width="8.42578125" style="1409" bestFit="1" customWidth="1"/>
    <col min="5" max="5" width="9.85546875" style="1409" bestFit="1" customWidth="1"/>
    <col min="6" max="6" width="6.140625" style="1409" bestFit="1" customWidth="1"/>
    <col min="7" max="7" width="8.5703125" style="1409" bestFit="1" customWidth="1"/>
    <col min="8" max="8" width="6.140625" style="1409" bestFit="1" customWidth="1"/>
    <col min="9" max="9" width="3.42578125" style="1409" bestFit="1" customWidth="1"/>
    <col min="10" max="17" width="5" style="1409" bestFit="1" customWidth="1"/>
    <col min="18" max="18" width="7" style="1409" bestFit="1" customWidth="1"/>
    <col min="19" max="27" width="5" style="1409" bestFit="1" customWidth="1"/>
    <col min="28" max="28" width="6.5703125" style="1409" bestFit="1" customWidth="1"/>
    <col min="29" max="32" width="5" style="1409" bestFit="1" customWidth="1"/>
    <col min="33" max="33" width="6.5703125" style="1409" bestFit="1" customWidth="1"/>
    <col min="34" max="37" width="5" style="1409" bestFit="1" customWidth="1"/>
    <col min="38" max="38" width="6.5703125" style="1409" bestFit="1" customWidth="1"/>
    <col min="39" max="39" width="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14552</v>
      </c>
      <c r="C3" s="1409" t="s">
        <v>14549</v>
      </c>
      <c r="D3" s="1409" t="s">
        <v>14544</v>
      </c>
      <c r="E3" s="1409" t="s">
        <v>1199</v>
      </c>
      <c r="F3" s="1409" t="s">
        <v>334</v>
      </c>
      <c r="G3" s="1409" t="s">
        <v>337</v>
      </c>
      <c r="H3" s="1409" t="s">
        <v>334</v>
      </c>
      <c r="I3" s="1409">
        <v>0</v>
      </c>
      <c r="J3" s="1409" t="s">
        <v>13535</v>
      </c>
      <c r="K3" s="1409" t="s">
        <v>13535</v>
      </c>
      <c r="L3" s="1409" t="s">
        <v>13535</v>
      </c>
      <c r="M3" s="1409" t="s">
        <v>13535</v>
      </c>
      <c r="N3" s="1409" t="s">
        <v>13535</v>
      </c>
      <c r="O3" s="1409" t="s">
        <v>13535</v>
      </c>
      <c r="P3" s="1409" t="s">
        <v>13535</v>
      </c>
      <c r="Q3" s="1409" t="s">
        <v>13535</v>
      </c>
      <c r="R3" s="1409">
        <v>0.99990000000000001</v>
      </c>
      <c r="S3" s="1409" t="s">
        <v>13535</v>
      </c>
      <c r="T3" s="1409" t="s">
        <v>13535</v>
      </c>
      <c r="U3" s="1409" t="s">
        <v>13535</v>
      </c>
      <c r="V3" s="1409" t="s">
        <v>13535</v>
      </c>
      <c r="W3" s="1409" t="s">
        <v>13535</v>
      </c>
      <c r="X3" s="1409" t="s">
        <v>13535</v>
      </c>
      <c r="Y3" s="1409" t="s">
        <v>13535</v>
      </c>
      <c r="Z3" s="1409" t="s">
        <v>13535</v>
      </c>
      <c r="AA3" s="1409" t="s">
        <v>13535</v>
      </c>
      <c r="AB3" s="1409" t="s">
        <v>13535</v>
      </c>
      <c r="AC3" s="1409" t="s">
        <v>13535</v>
      </c>
      <c r="AD3" s="1409" t="s">
        <v>13535</v>
      </c>
      <c r="AE3" s="1409" t="s">
        <v>13535</v>
      </c>
      <c r="AF3" s="1409" t="s">
        <v>13535</v>
      </c>
      <c r="AG3" s="1409" t="s">
        <v>13535</v>
      </c>
      <c r="AH3" s="1409" t="s">
        <v>13535</v>
      </c>
      <c r="AI3" s="1409" t="s">
        <v>13535</v>
      </c>
      <c r="AJ3" s="1409" t="s">
        <v>13535</v>
      </c>
      <c r="AK3" s="1409" t="s">
        <v>13535</v>
      </c>
      <c r="AL3" s="1409" t="s">
        <v>13535</v>
      </c>
      <c r="AM3" s="1409" t="s">
        <v>13535</v>
      </c>
      <c r="AN3" s="1409" t="s">
        <v>13535</v>
      </c>
      <c r="AO3" s="1400" t="str">
        <f t="shared" ref="AO3:AP3" si="1">AN3</f>
        <v>null</v>
      </c>
      <c r="AP3" s="1400" t="str">
        <f t="shared" si="1"/>
        <v>null</v>
      </c>
    </row>
    <row r="4" spans="1:42">
      <c r="B4" s="1409" t="s">
        <v>14553</v>
      </c>
      <c r="C4" s="1409" t="s">
        <v>14546</v>
      </c>
      <c r="D4" s="1409" t="s">
        <v>334</v>
      </c>
      <c r="E4" s="1409" t="s">
        <v>334</v>
      </c>
      <c r="F4" s="1409" t="s">
        <v>334</v>
      </c>
      <c r="G4" s="1409" t="s">
        <v>337</v>
      </c>
      <c r="H4" s="1409" t="s">
        <v>338</v>
      </c>
      <c r="I4" s="1409">
        <v>0</v>
      </c>
      <c r="J4" s="1409" t="s">
        <v>13535</v>
      </c>
      <c r="K4" s="1409" t="s">
        <v>13535</v>
      </c>
      <c r="L4" s="1409" t="s">
        <v>13535</v>
      </c>
      <c r="M4" s="1409" t="s">
        <v>13535</v>
      </c>
      <c r="N4" s="1409" t="s">
        <v>13535</v>
      </c>
      <c r="O4" s="1409" t="s">
        <v>13535</v>
      </c>
      <c r="P4" s="1409" t="s">
        <v>13535</v>
      </c>
      <c r="Q4" s="1409" t="s">
        <v>13535</v>
      </c>
      <c r="R4" s="1409">
        <v>1</v>
      </c>
      <c r="S4" s="1409" t="s">
        <v>13535</v>
      </c>
      <c r="T4" s="1409" t="s">
        <v>13535</v>
      </c>
      <c r="U4" s="1409" t="s">
        <v>13535</v>
      </c>
      <c r="V4" s="1409" t="s">
        <v>13535</v>
      </c>
      <c r="W4" s="1409" t="s">
        <v>13535</v>
      </c>
      <c r="X4" s="1409" t="s">
        <v>13535</v>
      </c>
      <c r="Y4" s="1409" t="s">
        <v>13535</v>
      </c>
      <c r="Z4" s="1409" t="s">
        <v>13535</v>
      </c>
      <c r="AA4" s="1409" t="s">
        <v>13535</v>
      </c>
      <c r="AB4" s="1409" t="s">
        <v>13535</v>
      </c>
      <c r="AC4" s="1409" t="s">
        <v>13535</v>
      </c>
      <c r="AD4" s="1409" t="s">
        <v>13535</v>
      </c>
      <c r="AE4" s="1409" t="s">
        <v>13535</v>
      </c>
      <c r="AF4" s="1409" t="s">
        <v>13535</v>
      </c>
      <c r="AG4" s="1409" t="s">
        <v>13535</v>
      </c>
      <c r="AH4" s="1409" t="s">
        <v>13535</v>
      </c>
      <c r="AI4" s="1409" t="s">
        <v>13535</v>
      </c>
      <c r="AJ4" s="1409" t="s">
        <v>13535</v>
      </c>
      <c r="AK4" s="1409" t="s">
        <v>13535</v>
      </c>
      <c r="AL4" s="1409" t="s">
        <v>13535</v>
      </c>
      <c r="AM4" s="1409" t="s">
        <v>13535</v>
      </c>
      <c r="AN4" s="1409" t="s">
        <v>13535</v>
      </c>
      <c r="AO4" s="1400" t="str">
        <f t="shared" ref="AO4:AP4" si="2">AN4</f>
        <v>null</v>
      </c>
      <c r="AP4" s="1400" t="str">
        <f t="shared" si="2"/>
        <v>null</v>
      </c>
    </row>
    <row r="5" spans="1:42">
      <c r="B5" s="1409" t="s">
        <v>602</v>
      </c>
      <c r="C5" s="1409" t="s">
        <v>14546</v>
      </c>
      <c r="D5" s="1409" t="s">
        <v>334</v>
      </c>
      <c r="E5" s="1409" t="s">
        <v>334</v>
      </c>
      <c r="F5" s="1409" t="s">
        <v>334</v>
      </c>
      <c r="G5" s="1409" t="s">
        <v>334</v>
      </c>
      <c r="H5" s="1409" t="s">
        <v>338</v>
      </c>
      <c r="I5" s="1409">
        <v>0</v>
      </c>
      <c r="J5" s="1409" t="s">
        <v>13535</v>
      </c>
      <c r="K5" s="1409" t="s">
        <v>13535</v>
      </c>
      <c r="L5" s="1409" t="s">
        <v>13535</v>
      </c>
      <c r="M5" s="1409" t="s">
        <v>13535</v>
      </c>
      <c r="N5" s="1409" t="s">
        <v>13535</v>
      </c>
      <c r="O5" s="1409" t="s">
        <v>13535</v>
      </c>
      <c r="P5" s="1409" t="s">
        <v>13535</v>
      </c>
      <c r="Q5" s="1409" t="s">
        <v>13535</v>
      </c>
      <c r="R5" s="1409">
        <v>0.9</v>
      </c>
      <c r="S5" s="1409" t="s">
        <v>13535</v>
      </c>
      <c r="T5" s="1409" t="s">
        <v>13535</v>
      </c>
      <c r="U5" s="1409" t="s">
        <v>13535</v>
      </c>
      <c r="V5" s="1409" t="s">
        <v>13535</v>
      </c>
      <c r="W5" s="1409" t="s">
        <v>13535</v>
      </c>
      <c r="X5" s="1409" t="s">
        <v>13535</v>
      </c>
      <c r="Y5" s="1409" t="s">
        <v>13535</v>
      </c>
      <c r="Z5" s="1409" t="s">
        <v>13535</v>
      </c>
      <c r="AA5" s="1409" t="s">
        <v>13535</v>
      </c>
      <c r="AB5" s="1409" t="s">
        <v>13535</v>
      </c>
      <c r="AC5" s="1409" t="s">
        <v>13535</v>
      </c>
      <c r="AD5" s="1409" t="s">
        <v>13535</v>
      </c>
      <c r="AE5" s="1409" t="s">
        <v>13535</v>
      </c>
      <c r="AF5" s="1409" t="s">
        <v>13535</v>
      </c>
      <c r="AG5" s="1409" t="s">
        <v>13535</v>
      </c>
      <c r="AH5" s="1409" t="s">
        <v>13535</v>
      </c>
      <c r="AI5" s="1409" t="s">
        <v>13535</v>
      </c>
      <c r="AJ5" s="1409" t="s">
        <v>13535</v>
      </c>
      <c r="AK5" s="1409" t="s">
        <v>13535</v>
      </c>
      <c r="AL5" s="1409" t="s">
        <v>13535</v>
      </c>
      <c r="AM5" s="1409" t="s">
        <v>13535</v>
      </c>
      <c r="AN5" s="1409" t="s">
        <v>13535</v>
      </c>
      <c r="AO5" s="1400" t="str">
        <f t="shared" ref="AO5:AP5" si="3">AN5</f>
        <v>null</v>
      </c>
      <c r="AP5" s="1400" t="str">
        <f t="shared" si="3"/>
        <v>null</v>
      </c>
    </row>
    <row r="6" spans="1:42">
      <c r="B6" s="1409" t="s">
        <v>14554</v>
      </c>
      <c r="C6" s="1409" t="s">
        <v>14546</v>
      </c>
      <c r="D6" s="1409" t="s">
        <v>334</v>
      </c>
      <c r="E6" s="1409" t="s">
        <v>360</v>
      </c>
      <c r="F6" s="1409" t="s">
        <v>334</v>
      </c>
      <c r="G6" s="1409" t="s">
        <v>14555</v>
      </c>
      <c r="H6" s="1409" t="s">
        <v>334</v>
      </c>
      <c r="I6" s="1409">
        <v>0</v>
      </c>
      <c r="J6" s="1409" t="s">
        <v>13535</v>
      </c>
      <c r="K6" s="1409" t="s">
        <v>13535</v>
      </c>
      <c r="L6" s="1409" t="s">
        <v>13535</v>
      </c>
      <c r="M6" s="1409" t="s">
        <v>13535</v>
      </c>
      <c r="N6" s="1409" t="s">
        <v>13535</v>
      </c>
      <c r="O6" s="1409" t="s">
        <v>13535</v>
      </c>
      <c r="P6" s="1409" t="s">
        <v>13535</v>
      </c>
      <c r="Q6" s="1409" t="s">
        <v>13535</v>
      </c>
      <c r="R6" s="1409">
        <v>1</v>
      </c>
      <c r="S6" s="1409" t="s">
        <v>13535</v>
      </c>
      <c r="T6" s="1409" t="s">
        <v>13535</v>
      </c>
      <c r="U6" s="1409" t="s">
        <v>13535</v>
      </c>
      <c r="V6" s="1409" t="s">
        <v>13535</v>
      </c>
      <c r="W6" s="1409" t="s">
        <v>13535</v>
      </c>
      <c r="X6" s="1409" t="s">
        <v>13535</v>
      </c>
      <c r="Y6" s="1409" t="s">
        <v>13535</v>
      </c>
      <c r="Z6" s="1409" t="s">
        <v>13535</v>
      </c>
      <c r="AA6" s="1409" t="s">
        <v>13535</v>
      </c>
      <c r="AB6" s="1409" t="s">
        <v>13535</v>
      </c>
      <c r="AC6" s="1409" t="s">
        <v>13535</v>
      </c>
      <c r="AD6" s="1409" t="s">
        <v>13535</v>
      </c>
      <c r="AE6" s="1409" t="s">
        <v>13535</v>
      </c>
      <c r="AF6" s="1409" t="s">
        <v>13535</v>
      </c>
      <c r="AG6" s="1409" t="s">
        <v>13535</v>
      </c>
      <c r="AH6" s="1409" t="s">
        <v>13535</v>
      </c>
      <c r="AI6" s="1409" t="s">
        <v>13535</v>
      </c>
      <c r="AJ6" s="1409" t="s">
        <v>13535</v>
      </c>
      <c r="AK6" s="1409" t="s">
        <v>13535</v>
      </c>
      <c r="AL6" s="1409" t="s">
        <v>13535</v>
      </c>
      <c r="AM6" s="1409" t="s">
        <v>13535</v>
      </c>
      <c r="AN6" s="1409" t="s">
        <v>13535</v>
      </c>
      <c r="AO6" s="1400" t="str">
        <f t="shared" ref="AO6:AP6" si="4">AN6</f>
        <v>null</v>
      </c>
      <c r="AP6" s="1400" t="str">
        <f t="shared" si="4"/>
        <v>null</v>
      </c>
    </row>
    <row r="7" spans="1:42">
      <c r="B7" s="1409" t="s">
        <v>850</v>
      </c>
      <c r="C7" s="1409" t="s">
        <v>14546</v>
      </c>
      <c r="D7" s="1409" t="s">
        <v>334</v>
      </c>
      <c r="E7" s="1409" t="s">
        <v>334</v>
      </c>
      <c r="F7" s="1409" t="s">
        <v>334</v>
      </c>
      <c r="G7" s="1409" t="s">
        <v>334</v>
      </c>
      <c r="H7" s="1409" t="s">
        <v>338</v>
      </c>
      <c r="I7" s="1409">
        <v>3</v>
      </c>
      <c r="J7" s="1409" t="s">
        <v>13535</v>
      </c>
      <c r="K7" s="1409" t="s">
        <v>13535</v>
      </c>
      <c r="L7" s="1409" t="s">
        <v>13535</v>
      </c>
      <c r="M7" s="1409" t="s">
        <v>13535</v>
      </c>
      <c r="N7" s="1409" t="s">
        <v>13535</v>
      </c>
      <c r="O7" s="1409" t="s">
        <v>13535</v>
      </c>
      <c r="P7" s="1409" t="s">
        <v>13535</v>
      </c>
      <c r="Q7" s="1409" t="s">
        <v>13535</v>
      </c>
      <c r="R7" s="1409" t="s">
        <v>13535</v>
      </c>
      <c r="S7" s="1409" t="s">
        <v>13535</v>
      </c>
      <c r="T7" s="1409" t="s">
        <v>13535</v>
      </c>
      <c r="U7" s="1409" t="s">
        <v>13535</v>
      </c>
      <c r="V7" s="1409" t="s">
        <v>13535</v>
      </c>
      <c r="W7" s="1409" t="s">
        <v>13535</v>
      </c>
      <c r="X7" s="1409" t="s">
        <v>13535</v>
      </c>
      <c r="Y7" s="1409" t="s">
        <v>13535</v>
      </c>
      <c r="Z7" s="1409" t="s">
        <v>13535</v>
      </c>
      <c r="AA7" s="1409" t="s">
        <v>13535</v>
      </c>
      <c r="AB7" s="1409" t="s">
        <v>13535</v>
      </c>
      <c r="AC7" s="1409" t="s">
        <v>13535</v>
      </c>
      <c r="AD7" s="1409" t="s">
        <v>13535</v>
      </c>
      <c r="AE7" s="1409" t="s">
        <v>13535</v>
      </c>
      <c r="AF7" s="1409" t="s">
        <v>13535</v>
      </c>
      <c r="AG7" s="1409" t="s">
        <v>13535</v>
      </c>
      <c r="AH7" s="1409" t="s">
        <v>13535</v>
      </c>
      <c r="AI7" s="1409" t="s">
        <v>13535</v>
      </c>
      <c r="AJ7" s="1409" t="s">
        <v>13535</v>
      </c>
      <c r="AK7" s="1409" t="s">
        <v>13535</v>
      </c>
      <c r="AL7" s="1409" t="s">
        <v>13535</v>
      </c>
      <c r="AM7" s="1409" t="s">
        <v>13535</v>
      </c>
      <c r="AN7" s="1409" t="s">
        <v>13535</v>
      </c>
      <c r="AO7" s="1400" t="str">
        <f t="shared" ref="AO7:AP7" si="5">AN7</f>
        <v>null</v>
      </c>
      <c r="AP7" s="1400" t="str">
        <f t="shared" si="5"/>
        <v>null</v>
      </c>
    </row>
    <row r="8" spans="1:42">
      <c r="B8" s="1409" t="s">
        <v>839</v>
      </c>
      <c r="C8" s="1409" t="s">
        <v>14546</v>
      </c>
      <c r="D8" s="1409" t="s">
        <v>334</v>
      </c>
      <c r="E8" s="1409" t="s">
        <v>334</v>
      </c>
      <c r="F8" s="1409" t="s">
        <v>334</v>
      </c>
      <c r="G8" s="1409" t="s">
        <v>334</v>
      </c>
      <c r="H8" s="1409" t="s">
        <v>334</v>
      </c>
      <c r="I8" s="1409">
        <v>0</v>
      </c>
      <c r="J8" s="1400" t="str">
        <f t="array" ref="J8">_xlfn.IFNA(INDEX(H2Storage!$F$3:$J$16,MATCH('H2Storage-TSData'!$B8&amp;'H2Storage-TSData'!$C8,H2Storage!$B$3:$B$16&amp;H2Storage!$A$3:$A$16,0),MATCH(J$2,H2Storage!$F$2:$J$2,0)),"null")</f>
        <v>null</v>
      </c>
      <c r="K8" s="1400" t="str">
        <f t="array" ref="K8">_xlfn.IFNA(INDEX(H2Storage!$F$3:$J$16,MATCH('H2Storage-TSData'!$B8&amp;'H2Storage-TSData'!$C8,H2Storage!$B$3:$B$16&amp;H2Storage!$A$3:$A$16,0),MATCH(K$2,H2Storage!$F$2:$J$2,0)),"null")</f>
        <v>null</v>
      </c>
      <c r="L8" s="1400" t="str">
        <f t="array" ref="L8">_xlfn.IFNA(INDEX(H2Storage!$F$3:$J$16,MATCH('H2Storage-TSData'!$B8&amp;'H2Storage-TSData'!$C8,H2Storage!$B$3:$B$16&amp;H2Storage!$A$3:$A$16,0),MATCH(L$2,H2Storage!$F$2:$J$2,0)),"null")</f>
        <v>null</v>
      </c>
      <c r="M8" s="1400" t="str">
        <f t="array" ref="M8">_xlfn.IFNA(INDEX(H2Storage!$F$3:$J$16,MATCH('H2Storage-TSData'!$B8&amp;'H2Storage-TSData'!$C8,H2Storage!$B$3:$B$16&amp;H2Storage!$A$3:$A$16,0),MATCH(M$2,H2Storage!$F$2:$J$2,0)),"null")</f>
        <v>null</v>
      </c>
      <c r="N8" s="1400" t="str">
        <f t="array" ref="N8">_xlfn.IFNA(INDEX(H2Storage!$F$3:$J$16,MATCH('H2Storage-TSData'!$B8&amp;'H2Storage-TSData'!$C8,H2Storage!$B$3:$B$16&amp;H2Storage!$A$3:$A$16,0),MATCH(N$2,H2Storage!$F$2:$J$2,0)),"null")</f>
        <v>null</v>
      </c>
      <c r="O8" s="1400" t="str">
        <f t="array" ref="O8">_xlfn.IFNA(INDEX(H2Storage!$F$3:$J$16,MATCH('H2Storage-TSData'!$B8&amp;'H2Storage-TSData'!$C8,H2Storage!$B$3:$B$16&amp;H2Storage!$A$3:$A$16,0),MATCH(O$2,H2Storage!$F$2:$J$2,0)),"null")</f>
        <v>null</v>
      </c>
      <c r="P8" s="1400" t="str">
        <f t="array" ref="P8">_xlfn.IFNA(INDEX(H2Storage!$F$3:$J$16,MATCH('H2Storage-TSData'!$B8&amp;'H2Storage-TSData'!$C8,H2Storage!$B$3:$B$16&amp;H2Storage!$A$3:$A$16,0),MATCH(P$2,H2Storage!$F$2:$J$2,0)),"null")</f>
        <v>null</v>
      </c>
      <c r="Q8" s="1400" t="str">
        <f t="array" ref="Q8">_xlfn.IFNA(INDEX(H2Storage!$F$3:$J$16,MATCH('H2Storage-TSData'!$B8&amp;'H2Storage-TSData'!$C8,H2Storage!$B$3:$B$16&amp;H2Storage!$A$3:$A$16,0),MATCH(Q$2,H2Storage!$F$2:$J$2,0)),"null")</f>
        <v>null</v>
      </c>
      <c r="R8" s="1400">
        <f t="array" ref="R8">_xlfn.IFNA(INDEX(H2Storage!$F$3:$J$16,MATCH('H2Storage-TSData'!$B8&amp;'H2Storage-TSData'!$C8,H2Storage!$B$3:$B$16&amp;H2Storage!$A$3:$A$16,0),MATCH(R$2,H2Storage!$F$2:$J$2,0)),"null")</f>
        <v>46896.125174280474</v>
      </c>
      <c r="S8" s="1400" t="str">
        <f t="array" ref="S8">_xlfn.IFNA(INDEX(H2Storage!$F$3:$J$16,MATCH('H2Storage-TSData'!$B8&amp;'H2Storage-TSData'!$C8,H2Storage!$B$3:$B$16&amp;H2Storage!$A$3:$A$16,0),MATCH(S$2,H2Storage!$F$2:$J$2,0)),"null")</f>
        <v>null</v>
      </c>
      <c r="T8" s="1400" t="str">
        <f t="array" ref="T8">_xlfn.IFNA(INDEX(H2Storage!$F$3:$J$16,MATCH('H2Storage-TSData'!$B8&amp;'H2Storage-TSData'!$C8,H2Storage!$B$3:$B$16&amp;H2Storage!$A$3:$A$16,0),MATCH(T$2,H2Storage!$F$2:$J$2,0)),"null")</f>
        <v>null</v>
      </c>
      <c r="U8" s="1400" t="str">
        <f t="array" ref="U8">_xlfn.IFNA(INDEX(H2Storage!$F$3:$J$16,MATCH('H2Storage-TSData'!$B8&amp;'H2Storage-TSData'!$C8,H2Storage!$B$3:$B$16&amp;H2Storage!$A$3:$A$16,0),MATCH(U$2,H2Storage!$F$2:$J$2,0)),"null")</f>
        <v>null</v>
      </c>
      <c r="V8" s="1400" t="str">
        <f t="array" ref="V8">_xlfn.IFNA(INDEX(H2Storage!$F$3:$J$16,MATCH('H2Storage-TSData'!$B8&amp;'H2Storage-TSData'!$C8,H2Storage!$B$3:$B$16&amp;H2Storage!$A$3:$A$16,0),MATCH(V$2,H2Storage!$F$2:$J$2,0)),"null")</f>
        <v>null</v>
      </c>
      <c r="W8" s="1400" t="str">
        <f t="array" ref="W8">_xlfn.IFNA(INDEX(H2Storage!$F$3:$J$16,MATCH('H2Storage-TSData'!$B8&amp;'H2Storage-TSData'!$C8,H2Storage!$B$3:$B$16&amp;H2Storage!$A$3:$A$16,0),MATCH(W$2,H2Storage!$F$2:$J$2,0)),"null")</f>
        <v>null</v>
      </c>
      <c r="X8" s="1400" t="str">
        <f t="array" ref="X8">_xlfn.IFNA(INDEX(H2Storage!$F$3:$J$16,MATCH('H2Storage-TSData'!$B8&amp;'H2Storage-TSData'!$C8,H2Storage!$B$3:$B$16&amp;H2Storage!$A$3:$A$16,0),MATCH(X$2,H2Storage!$F$2:$J$2,0)),"null")</f>
        <v>null</v>
      </c>
      <c r="Y8" s="1400" t="str">
        <f t="array" ref="Y8">_xlfn.IFNA(INDEX(H2Storage!$F$3:$J$16,MATCH('H2Storage-TSData'!$B8&amp;'H2Storage-TSData'!$C8,H2Storage!$B$3:$B$16&amp;H2Storage!$A$3:$A$16,0),MATCH(Y$2,H2Storage!$F$2:$J$2,0)),"null")</f>
        <v>null</v>
      </c>
      <c r="Z8" s="1400" t="str">
        <f t="array" ref="Z8">_xlfn.IFNA(INDEX(H2Storage!$F$3:$J$16,MATCH('H2Storage-TSData'!$B8&amp;'H2Storage-TSData'!$C8,H2Storage!$B$3:$B$16&amp;H2Storage!$A$3:$A$16,0),MATCH(Z$2,H2Storage!$F$2:$J$2,0)),"null")</f>
        <v>null</v>
      </c>
      <c r="AA8" s="1400" t="str">
        <f t="array" ref="AA8">_xlfn.IFNA(INDEX(H2Storage!$F$3:$J$16,MATCH('H2Storage-TSData'!$B8&amp;'H2Storage-TSData'!$C8,H2Storage!$B$3:$B$16&amp;H2Storage!$A$3:$A$16,0),MATCH(AA$2,H2Storage!$F$2:$J$2,0)),"null")</f>
        <v>null</v>
      </c>
      <c r="AB8" s="1400">
        <f t="array" ref="AB8">_xlfn.IFNA(INDEX(H2Storage!$F$3:$J$16,MATCH('H2Storage-TSData'!$B8&amp;'H2Storage-TSData'!$C8,H2Storage!$B$3:$B$16&amp;H2Storage!$A$3:$A$16,0),MATCH(AB$2,H2Storage!$F$2:$J$2,0)),"null")</f>
        <v>43674.479600333063</v>
      </c>
      <c r="AC8" s="1400" t="str">
        <f t="array" ref="AC8">_xlfn.IFNA(INDEX(H2Storage!$F$3:$J$16,MATCH('H2Storage-TSData'!$B8&amp;'H2Storage-TSData'!$C8,H2Storage!$B$3:$B$16&amp;H2Storage!$A$3:$A$16,0),MATCH(AC$2,H2Storage!$F$2:$J$2,0)),"null")</f>
        <v>null</v>
      </c>
      <c r="AD8" s="1400" t="str">
        <f t="array" ref="AD8">_xlfn.IFNA(INDEX(H2Storage!$F$3:$J$16,MATCH('H2Storage-TSData'!$B8&amp;'H2Storage-TSData'!$C8,H2Storage!$B$3:$B$16&amp;H2Storage!$A$3:$A$16,0),MATCH(AD$2,H2Storage!$F$2:$J$2,0)),"null")</f>
        <v>null</v>
      </c>
      <c r="AE8" s="1400" t="str">
        <f t="array" ref="AE8">_xlfn.IFNA(INDEX(H2Storage!$F$3:$J$16,MATCH('H2Storage-TSData'!$B8&amp;'H2Storage-TSData'!$C8,H2Storage!$B$3:$B$16&amp;H2Storage!$A$3:$A$16,0),MATCH(AE$2,H2Storage!$F$2:$J$2,0)),"null")</f>
        <v>null</v>
      </c>
      <c r="AF8" s="1400" t="str">
        <f t="array" ref="AF8">_xlfn.IFNA(INDEX(H2Storage!$F$3:$J$16,MATCH('H2Storage-TSData'!$B8&amp;'H2Storage-TSData'!$C8,H2Storage!$B$3:$B$16&amp;H2Storage!$A$3:$A$16,0),MATCH(AF$2,H2Storage!$F$2:$J$2,0)),"null")</f>
        <v>null</v>
      </c>
      <c r="AG8" s="1400">
        <f t="array" ref="AG8">_xlfn.IFNA(INDEX(H2Storage!$F$3:$J$16,MATCH('H2Storage-TSData'!$B8&amp;'H2Storage-TSData'!$C8,H2Storage!$B$3:$B$16&amp;H2Storage!$A$3:$A$16,0),MATCH(AG$2,H2Storage!$F$2:$J$2,0)),"null")</f>
        <v>32512.019553597809</v>
      </c>
      <c r="AH8" s="1400" t="str">
        <f t="array" ref="AH8">_xlfn.IFNA(INDEX(H2Storage!$F$3:$J$16,MATCH('H2Storage-TSData'!$B8&amp;'H2Storage-TSData'!$C8,H2Storage!$B$3:$B$16&amp;H2Storage!$A$3:$A$16,0),MATCH(AH$2,H2Storage!$F$2:$J$2,0)),"null")</f>
        <v>null</v>
      </c>
      <c r="AI8" s="1400" t="str">
        <f t="array" ref="AI8">_xlfn.IFNA(INDEX(H2Storage!$F$3:$J$16,MATCH('H2Storage-TSData'!$B8&amp;'H2Storage-TSData'!$C8,H2Storage!$B$3:$B$16&amp;H2Storage!$A$3:$A$16,0),MATCH(AI$2,H2Storage!$F$2:$J$2,0)),"null")</f>
        <v>null</v>
      </c>
      <c r="AJ8" s="1400" t="str">
        <f t="array" ref="AJ8">_xlfn.IFNA(INDEX(H2Storage!$F$3:$J$16,MATCH('H2Storage-TSData'!$B8&amp;'H2Storage-TSData'!$C8,H2Storage!$B$3:$B$16&amp;H2Storage!$A$3:$A$16,0),MATCH(AJ$2,H2Storage!$F$2:$J$2,0)),"null")</f>
        <v>null</v>
      </c>
      <c r="AK8" s="1400" t="str">
        <f t="array" ref="AK8">_xlfn.IFNA(INDEX(H2Storage!$F$3:$J$16,MATCH('H2Storage-TSData'!$B8&amp;'H2Storage-TSData'!$C8,H2Storage!$B$3:$B$16&amp;H2Storage!$A$3:$A$16,0),MATCH(AK$2,H2Storage!$F$2:$J$2,0)),"null")</f>
        <v>null</v>
      </c>
      <c r="AL8" s="1400">
        <f t="array" ref="AL8">_xlfn.IFNA(INDEX(H2Storage!$F$3:$J$16,MATCH('H2Storage-TSData'!$B8&amp;'H2Storage-TSData'!$C8,H2Storage!$B$3:$B$16&amp;H2Storage!$A$3:$A$16,0),MATCH(AL$2,H2Storage!$F$2:$J$2,0)),"null")</f>
        <v>28141.935483870966</v>
      </c>
      <c r="AM8" s="1400" t="str">
        <f t="array" ref="AM8">_xlfn.IFNA(INDEX(H2Storage!$F$3:$J$16,MATCH('H2Storage-TSData'!$B8&amp;'H2Storage-TSData'!$C8,H2Storage!$B$3:$B$16&amp;H2Storage!$A$3:$A$16,0),MATCH(AM$2,H2Storage!$F$2:$J$2,0)),"null")</f>
        <v>null</v>
      </c>
      <c r="AN8" s="1400">
        <f t="array" ref="AN8">_xlfn.IFNA(INDEX(H2Storage!$F$3:$J$16,MATCH('H2Storage-TSData'!$B8&amp;'H2Storage-TSData'!$C8,H2Storage!$B$3:$B$16&amp;H2Storage!$A$3:$A$16,0),MATCH(AN$2,H2Storage!$F$2:$J$2,0)),"null")</f>
        <v>28141.935483870966</v>
      </c>
      <c r="AO8" s="1400">
        <f>AN8</f>
        <v>28141.935483870966</v>
      </c>
      <c r="AP8" s="1400">
        <f>AO8</f>
        <v>28141.935483870966</v>
      </c>
    </row>
    <row r="9" spans="1:42">
      <c r="B9" s="1409" t="s">
        <v>849</v>
      </c>
      <c r="C9" s="1409" t="s">
        <v>14546</v>
      </c>
      <c r="D9" s="1409" t="s">
        <v>334</v>
      </c>
      <c r="E9" s="1409" t="s">
        <v>334</v>
      </c>
      <c r="F9" s="1409" t="s">
        <v>334</v>
      </c>
      <c r="G9" s="1409" t="s">
        <v>334</v>
      </c>
      <c r="H9" s="1409" t="s">
        <v>334</v>
      </c>
      <c r="I9" s="1409">
        <v>0</v>
      </c>
      <c r="J9" s="1400" t="str">
        <f t="array" ref="J9">_xlfn.IFNA(INDEX(H2Storage!$F$3:$J$16,MATCH('H2Storage-TSData'!$B9&amp;'H2Storage-TSData'!$C9,H2Storage!$B$3:$B$16&amp;H2Storage!$A$3:$A$16,0),MATCH(J$2,H2Storage!$F$2:$J$2,0)),"null")</f>
        <v>null</v>
      </c>
      <c r="K9" s="1400" t="str">
        <f t="array" ref="K9">_xlfn.IFNA(INDEX(H2Storage!$F$3:$J$16,MATCH('H2Storage-TSData'!$B9&amp;'H2Storage-TSData'!$C9,H2Storage!$B$3:$B$16&amp;H2Storage!$A$3:$A$16,0),MATCH(K$2,H2Storage!$F$2:$J$2,0)),"null")</f>
        <v>null</v>
      </c>
      <c r="L9" s="1400" t="str">
        <f t="array" ref="L9">_xlfn.IFNA(INDEX(H2Storage!$F$3:$J$16,MATCH('H2Storage-TSData'!$B9&amp;'H2Storage-TSData'!$C9,H2Storage!$B$3:$B$16&amp;H2Storage!$A$3:$A$16,0),MATCH(L$2,H2Storage!$F$2:$J$2,0)),"null")</f>
        <v>null</v>
      </c>
      <c r="M9" s="1400" t="str">
        <f t="array" ref="M9">_xlfn.IFNA(INDEX(H2Storage!$F$3:$J$16,MATCH('H2Storage-TSData'!$B9&amp;'H2Storage-TSData'!$C9,H2Storage!$B$3:$B$16&amp;H2Storage!$A$3:$A$16,0),MATCH(M$2,H2Storage!$F$2:$J$2,0)),"null")</f>
        <v>null</v>
      </c>
      <c r="N9" s="1400" t="str">
        <f t="array" ref="N9">_xlfn.IFNA(INDEX(H2Storage!$F$3:$J$16,MATCH('H2Storage-TSData'!$B9&amp;'H2Storage-TSData'!$C9,H2Storage!$B$3:$B$16&amp;H2Storage!$A$3:$A$16,0),MATCH(N$2,H2Storage!$F$2:$J$2,0)),"null")</f>
        <v>null</v>
      </c>
      <c r="O9" s="1400" t="str">
        <f t="array" ref="O9">_xlfn.IFNA(INDEX(H2Storage!$F$3:$J$16,MATCH('H2Storage-TSData'!$B9&amp;'H2Storage-TSData'!$C9,H2Storage!$B$3:$B$16&amp;H2Storage!$A$3:$A$16,0),MATCH(O$2,H2Storage!$F$2:$J$2,0)),"null")</f>
        <v>null</v>
      </c>
      <c r="P9" s="1400" t="str">
        <f t="array" ref="P9">_xlfn.IFNA(INDEX(H2Storage!$F$3:$J$16,MATCH('H2Storage-TSData'!$B9&amp;'H2Storage-TSData'!$C9,H2Storage!$B$3:$B$16&amp;H2Storage!$A$3:$A$16,0),MATCH(P$2,H2Storage!$F$2:$J$2,0)),"null")</f>
        <v>null</v>
      </c>
      <c r="Q9" s="1400" t="str">
        <f t="array" ref="Q9">_xlfn.IFNA(INDEX(H2Storage!$F$3:$J$16,MATCH('H2Storage-TSData'!$B9&amp;'H2Storage-TSData'!$C9,H2Storage!$B$3:$B$16&amp;H2Storage!$A$3:$A$16,0),MATCH(Q$2,H2Storage!$F$2:$J$2,0)),"null")</f>
        <v>null</v>
      </c>
      <c r="R9" s="1400">
        <f t="array" ref="R9">_xlfn.IFNA(INDEX(H2Storage!$F$3:$J$16,MATCH('H2Storage-TSData'!$B9&amp;'H2Storage-TSData'!$C9,H2Storage!$B$3:$B$16&amp;H2Storage!$A$3:$A$16,0),MATCH(R$2,H2Storage!$F$2:$J$2,0)),"null")</f>
        <v>1406.8837552284142</v>
      </c>
      <c r="S9" s="1400" t="str">
        <f t="array" ref="S9">_xlfn.IFNA(INDEX(H2Storage!$F$3:$J$16,MATCH('H2Storage-TSData'!$B9&amp;'H2Storage-TSData'!$C9,H2Storage!$B$3:$B$16&amp;H2Storage!$A$3:$A$16,0),MATCH(S$2,H2Storage!$F$2:$J$2,0)),"null")</f>
        <v>null</v>
      </c>
      <c r="T9" s="1400" t="str">
        <f t="array" ref="T9">_xlfn.IFNA(INDEX(H2Storage!$F$3:$J$16,MATCH('H2Storage-TSData'!$B9&amp;'H2Storage-TSData'!$C9,H2Storage!$B$3:$B$16&amp;H2Storage!$A$3:$A$16,0),MATCH(T$2,H2Storage!$F$2:$J$2,0)),"null")</f>
        <v>null</v>
      </c>
      <c r="U9" s="1400" t="str">
        <f t="array" ref="U9">_xlfn.IFNA(INDEX(H2Storage!$F$3:$J$16,MATCH('H2Storage-TSData'!$B9&amp;'H2Storage-TSData'!$C9,H2Storage!$B$3:$B$16&amp;H2Storage!$A$3:$A$16,0),MATCH(U$2,H2Storage!$F$2:$J$2,0)),"null")</f>
        <v>null</v>
      </c>
      <c r="V9" s="1400" t="str">
        <f t="array" ref="V9">_xlfn.IFNA(INDEX(H2Storage!$F$3:$J$16,MATCH('H2Storage-TSData'!$B9&amp;'H2Storage-TSData'!$C9,H2Storage!$B$3:$B$16&amp;H2Storage!$A$3:$A$16,0),MATCH(V$2,H2Storage!$F$2:$J$2,0)),"null")</f>
        <v>null</v>
      </c>
      <c r="W9" s="1400" t="str">
        <f t="array" ref="W9">_xlfn.IFNA(INDEX(H2Storage!$F$3:$J$16,MATCH('H2Storage-TSData'!$B9&amp;'H2Storage-TSData'!$C9,H2Storage!$B$3:$B$16&amp;H2Storage!$A$3:$A$16,0),MATCH(W$2,H2Storage!$F$2:$J$2,0)),"null")</f>
        <v>null</v>
      </c>
      <c r="X9" s="1400" t="str">
        <f t="array" ref="X9">_xlfn.IFNA(INDEX(H2Storage!$F$3:$J$16,MATCH('H2Storage-TSData'!$B9&amp;'H2Storage-TSData'!$C9,H2Storage!$B$3:$B$16&amp;H2Storage!$A$3:$A$16,0),MATCH(X$2,H2Storage!$F$2:$J$2,0)),"null")</f>
        <v>null</v>
      </c>
      <c r="Y9" s="1400" t="str">
        <f t="array" ref="Y9">_xlfn.IFNA(INDEX(H2Storage!$F$3:$J$16,MATCH('H2Storage-TSData'!$B9&amp;'H2Storage-TSData'!$C9,H2Storage!$B$3:$B$16&amp;H2Storage!$A$3:$A$16,0),MATCH(Y$2,H2Storage!$F$2:$J$2,0)),"null")</f>
        <v>null</v>
      </c>
      <c r="Z9" s="1400" t="str">
        <f t="array" ref="Z9">_xlfn.IFNA(INDEX(H2Storage!$F$3:$J$16,MATCH('H2Storage-TSData'!$B9&amp;'H2Storage-TSData'!$C9,H2Storage!$B$3:$B$16&amp;H2Storage!$A$3:$A$16,0),MATCH(Z$2,H2Storage!$F$2:$J$2,0)),"null")</f>
        <v>null</v>
      </c>
      <c r="AA9" s="1400" t="str">
        <f t="array" ref="AA9">_xlfn.IFNA(INDEX(H2Storage!$F$3:$J$16,MATCH('H2Storage-TSData'!$B9&amp;'H2Storage-TSData'!$C9,H2Storage!$B$3:$B$16&amp;H2Storage!$A$3:$A$16,0),MATCH(AA$2,H2Storage!$F$2:$J$2,0)),"null")</f>
        <v>null</v>
      </c>
      <c r="AB9" s="1400">
        <f t="array" ref="AB9">_xlfn.IFNA(INDEX(H2Storage!$F$3:$J$16,MATCH('H2Storage-TSData'!$B9&amp;'H2Storage-TSData'!$C9,H2Storage!$B$3:$B$16&amp;H2Storage!$A$3:$A$16,0),MATCH(AB$2,H2Storage!$F$2:$J$2,0)),"null")</f>
        <v>1310.2343880099918</v>
      </c>
      <c r="AC9" s="1400" t="str">
        <f t="array" ref="AC9">_xlfn.IFNA(INDEX(H2Storage!$F$3:$J$16,MATCH('H2Storage-TSData'!$B9&amp;'H2Storage-TSData'!$C9,H2Storage!$B$3:$B$16&amp;H2Storage!$A$3:$A$16,0),MATCH(AC$2,H2Storage!$F$2:$J$2,0)),"null")</f>
        <v>null</v>
      </c>
      <c r="AD9" s="1400" t="str">
        <f t="array" ref="AD9">_xlfn.IFNA(INDEX(H2Storage!$F$3:$J$16,MATCH('H2Storage-TSData'!$B9&amp;'H2Storage-TSData'!$C9,H2Storage!$B$3:$B$16&amp;H2Storage!$A$3:$A$16,0),MATCH(AD$2,H2Storage!$F$2:$J$2,0)),"null")</f>
        <v>null</v>
      </c>
      <c r="AE9" s="1400" t="str">
        <f t="array" ref="AE9">_xlfn.IFNA(INDEX(H2Storage!$F$3:$J$16,MATCH('H2Storage-TSData'!$B9&amp;'H2Storage-TSData'!$C9,H2Storage!$B$3:$B$16&amp;H2Storage!$A$3:$A$16,0),MATCH(AE$2,H2Storage!$F$2:$J$2,0)),"null")</f>
        <v>null</v>
      </c>
      <c r="AF9" s="1400" t="str">
        <f t="array" ref="AF9">_xlfn.IFNA(INDEX(H2Storage!$F$3:$J$16,MATCH('H2Storage-TSData'!$B9&amp;'H2Storage-TSData'!$C9,H2Storage!$B$3:$B$16&amp;H2Storage!$A$3:$A$16,0),MATCH(AF$2,H2Storage!$F$2:$J$2,0)),"null")</f>
        <v>null</v>
      </c>
      <c r="AG9" s="1400">
        <f t="array" ref="AG9">_xlfn.IFNA(INDEX(H2Storage!$F$3:$J$16,MATCH('H2Storage-TSData'!$B9&amp;'H2Storage-TSData'!$C9,H2Storage!$B$3:$B$16&amp;H2Storage!$A$3:$A$16,0),MATCH(AG$2,H2Storage!$F$2:$J$2,0)),"null")</f>
        <v>975.36058660793424</v>
      </c>
      <c r="AH9" s="1400" t="str">
        <f t="array" ref="AH9">_xlfn.IFNA(INDEX(H2Storage!$F$3:$J$16,MATCH('H2Storage-TSData'!$B9&amp;'H2Storage-TSData'!$C9,H2Storage!$B$3:$B$16&amp;H2Storage!$A$3:$A$16,0),MATCH(AH$2,H2Storage!$F$2:$J$2,0)),"null")</f>
        <v>null</v>
      </c>
      <c r="AI9" s="1400" t="str">
        <f t="array" ref="AI9">_xlfn.IFNA(INDEX(H2Storage!$F$3:$J$16,MATCH('H2Storage-TSData'!$B9&amp;'H2Storage-TSData'!$C9,H2Storage!$B$3:$B$16&amp;H2Storage!$A$3:$A$16,0),MATCH(AI$2,H2Storage!$F$2:$J$2,0)),"null")</f>
        <v>null</v>
      </c>
      <c r="AJ9" s="1400" t="str">
        <f t="array" ref="AJ9">_xlfn.IFNA(INDEX(H2Storage!$F$3:$J$16,MATCH('H2Storage-TSData'!$B9&amp;'H2Storage-TSData'!$C9,H2Storage!$B$3:$B$16&amp;H2Storage!$A$3:$A$16,0),MATCH(AJ$2,H2Storage!$F$2:$J$2,0)),"null")</f>
        <v>null</v>
      </c>
      <c r="AK9" s="1400" t="str">
        <f t="array" ref="AK9">_xlfn.IFNA(INDEX(H2Storage!$F$3:$J$16,MATCH('H2Storage-TSData'!$B9&amp;'H2Storage-TSData'!$C9,H2Storage!$B$3:$B$16&amp;H2Storage!$A$3:$A$16,0),MATCH(AK$2,H2Storage!$F$2:$J$2,0)),"null")</f>
        <v>null</v>
      </c>
      <c r="AL9" s="1400">
        <f t="array" ref="AL9">_xlfn.IFNA(INDEX(H2Storage!$F$3:$J$16,MATCH('H2Storage-TSData'!$B9&amp;'H2Storage-TSData'!$C9,H2Storage!$B$3:$B$16&amp;H2Storage!$A$3:$A$16,0),MATCH(AL$2,H2Storage!$F$2:$J$2,0)),"null")</f>
        <v>844.25806451612891</v>
      </c>
      <c r="AM9" s="1400" t="str">
        <f t="array" ref="AM9">_xlfn.IFNA(INDEX(H2Storage!$F$3:$J$16,MATCH('H2Storage-TSData'!$B9&amp;'H2Storage-TSData'!$C9,H2Storage!$B$3:$B$16&amp;H2Storage!$A$3:$A$16,0),MATCH(AM$2,H2Storage!$F$2:$J$2,0)),"null")</f>
        <v>null</v>
      </c>
      <c r="AN9" s="1400">
        <f t="array" ref="AN9">_xlfn.IFNA(INDEX(H2Storage!$F$3:$J$16,MATCH('H2Storage-TSData'!$B9&amp;'H2Storage-TSData'!$C9,H2Storage!$B$3:$B$16&amp;H2Storage!$A$3:$A$16,0),MATCH(AN$2,H2Storage!$F$2:$J$2,0)),"null")</f>
        <v>844.25806451612891</v>
      </c>
      <c r="AO9" s="1401">
        <f t="shared" ref="AO9:AP9" si="6">AN9</f>
        <v>844.25806451612891</v>
      </c>
      <c r="AP9" s="1401">
        <f t="shared" si="6"/>
        <v>844.25806451612891</v>
      </c>
    </row>
    <row r="10" spans="1:42">
      <c r="B10" s="1409" t="s">
        <v>1136</v>
      </c>
      <c r="C10" s="1409" t="s">
        <v>14546</v>
      </c>
      <c r="D10" s="1409" t="s">
        <v>334</v>
      </c>
      <c r="E10" s="1409" t="s">
        <v>334</v>
      </c>
      <c r="F10" s="1409" t="s">
        <v>334</v>
      </c>
      <c r="G10" s="1409" t="s">
        <v>334</v>
      </c>
      <c r="H10" s="1409" t="s">
        <v>334</v>
      </c>
      <c r="I10" s="1409">
        <v>0</v>
      </c>
      <c r="J10" s="1409" t="s">
        <v>13535</v>
      </c>
      <c r="K10" s="1409" t="s">
        <v>13535</v>
      </c>
      <c r="L10" s="1409" t="s">
        <v>13535</v>
      </c>
      <c r="M10" s="1409" t="s">
        <v>13535</v>
      </c>
      <c r="N10" s="1409" t="s">
        <v>13535</v>
      </c>
      <c r="O10" s="1409" t="s">
        <v>13535</v>
      </c>
      <c r="P10" s="1409" t="s">
        <v>13535</v>
      </c>
      <c r="Q10" s="1409" t="s">
        <v>13535</v>
      </c>
      <c r="R10" s="1409">
        <v>-1</v>
      </c>
      <c r="S10" s="1409" t="s">
        <v>13535</v>
      </c>
      <c r="T10" s="1409" t="s">
        <v>13535</v>
      </c>
      <c r="U10" s="1409" t="s">
        <v>13535</v>
      </c>
      <c r="V10" s="1409" t="s">
        <v>13535</v>
      </c>
      <c r="W10" s="1409" t="s">
        <v>13535</v>
      </c>
      <c r="X10" s="1409" t="s">
        <v>13535</v>
      </c>
      <c r="Y10" s="1409" t="s">
        <v>13535</v>
      </c>
      <c r="Z10" s="1409" t="s">
        <v>13535</v>
      </c>
      <c r="AA10" s="1409" t="s">
        <v>13535</v>
      </c>
      <c r="AB10" s="1409" t="s">
        <v>13535</v>
      </c>
      <c r="AC10" s="1409" t="s">
        <v>13535</v>
      </c>
      <c r="AD10" s="1409" t="s">
        <v>13535</v>
      </c>
      <c r="AE10" s="1409" t="s">
        <v>13535</v>
      </c>
      <c r="AF10" s="1409" t="s">
        <v>13535</v>
      </c>
      <c r="AG10" s="1409" t="s">
        <v>13535</v>
      </c>
      <c r="AH10" s="1409" t="s">
        <v>13535</v>
      </c>
      <c r="AI10" s="1409" t="s">
        <v>13535</v>
      </c>
      <c r="AJ10" s="1409" t="s">
        <v>13535</v>
      </c>
      <c r="AK10" s="1409" t="s">
        <v>13535</v>
      </c>
      <c r="AL10" s="1409" t="s">
        <v>13535</v>
      </c>
      <c r="AM10" s="1409" t="s">
        <v>13535</v>
      </c>
      <c r="AN10" s="1409" t="s">
        <v>13535</v>
      </c>
      <c r="AO10" s="1401" t="str">
        <f t="shared" ref="AO10:AP10" si="7">AN10</f>
        <v>null</v>
      </c>
      <c r="AP10" s="1401" t="str">
        <f t="shared" si="7"/>
        <v>null</v>
      </c>
    </row>
    <row r="11" spans="1:42">
      <c r="B11" s="1409" t="s">
        <v>1029</v>
      </c>
      <c r="C11" s="1409" t="s">
        <v>14546</v>
      </c>
      <c r="D11" s="1409" t="s">
        <v>334</v>
      </c>
      <c r="E11" s="1409" t="s">
        <v>334</v>
      </c>
      <c r="F11" s="1409" t="s">
        <v>334</v>
      </c>
      <c r="G11" s="1409" t="s">
        <v>337</v>
      </c>
      <c r="H11" s="1409" t="s">
        <v>334</v>
      </c>
      <c r="I11" s="1409">
        <v>0</v>
      </c>
      <c r="J11" s="1409" t="s">
        <v>13535</v>
      </c>
      <c r="K11" s="1409" t="s">
        <v>13535</v>
      </c>
      <c r="L11" s="1409" t="s">
        <v>13535</v>
      </c>
      <c r="M11" s="1409" t="s">
        <v>13535</v>
      </c>
      <c r="N11" s="1409" t="s">
        <v>13535</v>
      </c>
      <c r="O11" s="1409" t="s">
        <v>13535</v>
      </c>
      <c r="P11" s="1409" t="s">
        <v>13535</v>
      </c>
      <c r="Q11" s="1409" t="s">
        <v>13535</v>
      </c>
      <c r="R11" s="1409">
        <v>1</v>
      </c>
      <c r="S11" s="1409" t="s">
        <v>13535</v>
      </c>
      <c r="T11" s="1409" t="s">
        <v>13535</v>
      </c>
      <c r="U11" s="1409" t="s">
        <v>13535</v>
      </c>
      <c r="V11" s="1409" t="s">
        <v>13535</v>
      </c>
      <c r="W11" s="1409" t="s">
        <v>13535</v>
      </c>
      <c r="X11" s="1409" t="s">
        <v>13535</v>
      </c>
      <c r="Y11" s="1409" t="s">
        <v>13535</v>
      </c>
      <c r="Z11" s="1409" t="s">
        <v>13535</v>
      </c>
      <c r="AA11" s="1409" t="s">
        <v>13535</v>
      </c>
      <c r="AB11" s="1409" t="s">
        <v>13535</v>
      </c>
      <c r="AC11" s="1409" t="s">
        <v>13535</v>
      </c>
      <c r="AD11" s="1409" t="s">
        <v>13535</v>
      </c>
      <c r="AE11" s="1409" t="s">
        <v>13535</v>
      </c>
      <c r="AF11" s="1409" t="s">
        <v>13535</v>
      </c>
      <c r="AG11" s="1409" t="s">
        <v>13535</v>
      </c>
      <c r="AH11" s="1409" t="s">
        <v>13535</v>
      </c>
      <c r="AI11" s="1409" t="s">
        <v>13535</v>
      </c>
      <c r="AJ11" s="1409" t="s">
        <v>13535</v>
      </c>
      <c r="AK11" s="1409" t="s">
        <v>13535</v>
      </c>
      <c r="AL11" s="1409" t="s">
        <v>13535</v>
      </c>
      <c r="AM11" s="1409" t="s">
        <v>13535</v>
      </c>
      <c r="AN11" s="1409" t="s">
        <v>13535</v>
      </c>
      <c r="AO11" s="1401" t="str">
        <f t="shared" ref="AO11:AP11" si="8">AN11</f>
        <v>null</v>
      </c>
      <c r="AP11" s="1401" t="str">
        <f t="shared" si="8"/>
        <v>null</v>
      </c>
    </row>
    <row r="12" spans="1:42">
      <c r="B12" s="1409" t="s">
        <v>861</v>
      </c>
      <c r="C12" s="1409" t="s">
        <v>14546</v>
      </c>
      <c r="D12" s="1409" t="s">
        <v>334</v>
      </c>
      <c r="E12" s="1409" t="s">
        <v>334</v>
      </c>
      <c r="F12" s="1409" t="s">
        <v>334</v>
      </c>
      <c r="G12" s="1409" t="s">
        <v>334</v>
      </c>
      <c r="H12" s="1409" t="s">
        <v>334</v>
      </c>
      <c r="I12" s="1409">
        <v>0</v>
      </c>
      <c r="J12" s="1400" t="str">
        <f t="array" ref="J12">_xlfn.IFNA(INDEX(H2Storage!$F$3:$J$16,MATCH('H2Storage-TSData'!$B12&amp;'H2Storage-TSData'!$C12,H2Storage!$B$3:$B$16&amp;H2Storage!$A$3:$A$16,0),MATCH(J$2,H2Storage!$F$2:$J$2,0)),"null")</f>
        <v>null</v>
      </c>
      <c r="K12" s="1400" t="str">
        <f t="array" ref="K12">_xlfn.IFNA(INDEX(H2Storage!$F$3:$J$16,MATCH('H2Storage-TSData'!$B12&amp;'H2Storage-TSData'!$C12,H2Storage!$B$3:$B$16&amp;H2Storage!$A$3:$A$16,0),MATCH(K$2,H2Storage!$F$2:$J$2,0)),"null")</f>
        <v>null</v>
      </c>
      <c r="L12" s="1400" t="str">
        <f t="array" ref="L12">_xlfn.IFNA(INDEX(H2Storage!$F$3:$J$16,MATCH('H2Storage-TSData'!$B12&amp;'H2Storage-TSData'!$C12,H2Storage!$B$3:$B$16&amp;H2Storage!$A$3:$A$16,0),MATCH(L$2,H2Storage!$F$2:$J$2,0)),"null")</f>
        <v>null</v>
      </c>
      <c r="M12" s="1400" t="str">
        <f t="array" ref="M12">_xlfn.IFNA(INDEX(H2Storage!$F$3:$J$16,MATCH('H2Storage-TSData'!$B12&amp;'H2Storage-TSData'!$C12,H2Storage!$B$3:$B$16&amp;H2Storage!$A$3:$A$16,0),MATCH(M$2,H2Storage!$F$2:$J$2,0)),"null")</f>
        <v>null</v>
      </c>
      <c r="N12" s="1400" t="str">
        <f t="array" ref="N12">_xlfn.IFNA(INDEX(H2Storage!$F$3:$J$16,MATCH('H2Storage-TSData'!$B12&amp;'H2Storage-TSData'!$C12,H2Storage!$B$3:$B$16&amp;H2Storage!$A$3:$A$16,0),MATCH(N$2,H2Storage!$F$2:$J$2,0)),"null")</f>
        <v>null</v>
      </c>
      <c r="O12" s="1400" t="str">
        <f t="array" ref="O12">_xlfn.IFNA(INDEX(H2Storage!$F$3:$J$16,MATCH('H2Storage-TSData'!$B12&amp;'H2Storage-TSData'!$C12,H2Storage!$B$3:$B$16&amp;H2Storage!$A$3:$A$16,0),MATCH(O$2,H2Storage!$F$2:$J$2,0)),"null")</f>
        <v>null</v>
      </c>
      <c r="P12" s="1400" t="str">
        <f t="array" ref="P12">_xlfn.IFNA(INDEX(H2Storage!$F$3:$J$16,MATCH('H2Storage-TSData'!$B12&amp;'H2Storage-TSData'!$C12,H2Storage!$B$3:$B$16&amp;H2Storage!$A$3:$A$16,0),MATCH(P$2,H2Storage!$F$2:$J$2,0)),"null")</f>
        <v>null</v>
      </c>
      <c r="Q12" s="1400" t="str">
        <f t="array" ref="Q12">_xlfn.IFNA(INDEX(H2Storage!$F$3:$J$16,MATCH('H2Storage-TSData'!$B12&amp;'H2Storage-TSData'!$C12,H2Storage!$B$3:$B$16&amp;H2Storage!$A$3:$A$16,0),MATCH(Q$2,H2Storage!$F$2:$J$2,0)),"null")</f>
        <v>null</v>
      </c>
      <c r="R12" s="1400">
        <f t="array" ref="R12">_xlfn.IFNA(INDEX(H2Storage!$F$3:$J$16,MATCH('H2Storage-TSData'!$B12&amp;'H2Storage-TSData'!$C12,H2Storage!$B$3:$B$16&amp;H2Storage!$A$3:$A$16,0),MATCH(R$2,H2Storage!$F$2:$J$2,0)),"null")</f>
        <v>10</v>
      </c>
      <c r="S12" s="1400" t="str">
        <f t="array" ref="S12">_xlfn.IFNA(INDEX(H2Storage!$F$3:$J$16,MATCH('H2Storage-TSData'!$B12&amp;'H2Storage-TSData'!$C12,H2Storage!$B$3:$B$16&amp;H2Storage!$A$3:$A$16,0),MATCH(S$2,H2Storage!$F$2:$J$2,0)),"null")</f>
        <v>null</v>
      </c>
      <c r="T12" s="1400" t="str">
        <f t="array" ref="T12">_xlfn.IFNA(INDEX(H2Storage!$F$3:$J$16,MATCH('H2Storage-TSData'!$B12&amp;'H2Storage-TSData'!$C12,H2Storage!$B$3:$B$16&amp;H2Storage!$A$3:$A$16,0),MATCH(T$2,H2Storage!$F$2:$J$2,0)),"null")</f>
        <v>null</v>
      </c>
      <c r="U12" s="1400" t="str">
        <f t="array" ref="U12">_xlfn.IFNA(INDEX(H2Storage!$F$3:$J$16,MATCH('H2Storage-TSData'!$B12&amp;'H2Storage-TSData'!$C12,H2Storage!$B$3:$B$16&amp;H2Storage!$A$3:$A$16,0),MATCH(U$2,H2Storage!$F$2:$J$2,0)),"null")</f>
        <v>null</v>
      </c>
      <c r="V12" s="1400" t="str">
        <f t="array" ref="V12">_xlfn.IFNA(INDEX(H2Storage!$F$3:$J$16,MATCH('H2Storage-TSData'!$B12&amp;'H2Storage-TSData'!$C12,H2Storage!$B$3:$B$16&amp;H2Storage!$A$3:$A$16,0),MATCH(V$2,H2Storage!$F$2:$J$2,0)),"null")</f>
        <v>null</v>
      </c>
      <c r="W12" s="1400" t="str">
        <f t="array" ref="W12">_xlfn.IFNA(INDEX(H2Storage!$F$3:$J$16,MATCH('H2Storage-TSData'!$B12&amp;'H2Storage-TSData'!$C12,H2Storage!$B$3:$B$16&amp;H2Storage!$A$3:$A$16,0),MATCH(W$2,H2Storage!$F$2:$J$2,0)),"null")</f>
        <v>null</v>
      </c>
      <c r="X12" s="1400" t="str">
        <f t="array" ref="X12">_xlfn.IFNA(INDEX(H2Storage!$F$3:$J$16,MATCH('H2Storage-TSData'!$B12&amp;'H2Storage-TSData'!$C12,H2Storage!$B$3:$B$16&amp;H2Storage!$A$3:$A$16,0),MATCH(X$2,H2Storage!$F$2:$J$2,0)),"null")</f>
        <v>null</v>
      </c>
      <c r="Y12" s="1400" t="str">
        <f t="array" ref="Y12">_xlfn.IFNA(INDEX(H2Storage!$F$3:$J$16,MATCH('H2Storage-TSData'!$B12&amp;'H2Storage-TSData'!$C12,H2Storage!$B$3:$B$16&amp;H2Storage!$A$3:$A$16,0),MATCH(Y$2,H2Storage!$F$2:$J$2,0)),"null")</f>
        <v>null</v>
      </c>
      <c r="Z12" s="1400" t="str">
        <f t="array" ref="Z12">_xlfn.IFNA(INDEX(H2Storage!$F$3:$J$16,MATCH('H2Storage-TSData'!$B12&amp;'H2Storage-TSData'!$C12,H2Storage!$B$3:$B$16&amp;H2Storage!$A$3:$A$16,0),MATCH(Z$2,H2Storage!$F$2:$J$2,0)),"null")</f>
        <v>null</v>
      </c>
      <c r="AA12" s="1400" t="str">
        <f t="array" ref="AA12">_xlfn.IFNA(INDEX(H2Storage!$F$3:$J$16,MATCH('H2Storage-TSData'!$B12&amp;'H2Storage-TSData'!$C12,H2Storage!$B$3:$B$16&amp;H2Storage!$A$3:$A$16,0),MATCH(AA$2,H2Storage!$F$2:$J$2,0)),"null")</f>
        <v>null</v>
      </c>
      <c r="AB12" s="1400">
        <f t="array" ref="AB12">_xlfn.IFNA(INDEX(H2Storage!$F$3:$J$16,MATCH('H2Storage-TSData'!$B12&amp;'H2Storage-TSData'!$C12,H2Storage!$B$3:$B$16&amp;H2Storage!$A$3:$A$16,0),MATCH(AB$2,H2Storage!$F$2:$J$2,0)),"null")</f>
        <v>10</v>
      </c>
      <c r="AC12" s="1400" t="str">
        <f t="array" ref="AC12">_xlfn.IFNA(INDEX(H2Storage!$F$3:$J$16,MATCH('H2Storage-TSData'!$B12&amp;'H2Storage-TSData'!$C12,H2Storage!$B$3:$B$16&amp;H2Storage!$A$3:$A$16,0),MATCH(AC$2,H2Storage!$F$2:$J$2,0)),"null")</f>
        <v>null</v>
      </c>
      <c r="AD12" s="1400" t="str">
        <f t="array" ref="AD12">_xlfn.IFNA(INDEX(H2Storage!$F$3:$J$16,MATCH('H2Storage-TSData'!$B12&amp;'H2Storage-TSData'!$C12,H2Storage!$B$3:$B$16&amp;H2Storage!$A$3:$A$16,0),MATCH(AD$2,H2Storage!$F$2:$J$2,0)),"null")</f>
        <v>null</v>
      </c>
      <c r="AE12" s="1400" t="str">
        <f t="array" ref="AE12">_xlfn.IFNA(INDEX(H2Storage!$F$3:$J$16,MATCH('H2Storage-TSData'!$B12&amp;'H2Storage-TSData'!$C12,H2Storage!$B$3:$B$16&amp;H2Storage!$A$3:$A$16,0),MATCH(AE$2,H2Storage!$F$2:$J$2,0)),"null")</f>
        <v>null</v>
      </c>
      <c r="AF12" s="1400" t="str">
        <f t="array" ref="AF12">_xlfn.IFNA(INDEX(H2Storage!$F$3:$J$16,MATCH('H2Storage-TSData'!$B12&amp;'H2Storage-TSData'!$C12,H2Storage!$B$3:$B$16&amp;H2Storage!$A$3:$A$16,0),MATCH(AF$2,H2Storage!$F$2:$J$2,0)),"null")</f>
        <v>null</v>
      </c>
      <c r="AG12" s="1400">
        <f t="array" ref="AG12">_xlfn.IFNA(INDEX(H2Storage!$F$3:$J$16,MATCH('H2Storage-TSData'!$B12&amp;'H2Storage-TSData'!$C12,H2Storage!$B$3:$B$16&amp;H2Storage!$A$3:$A$16,0),MATCH(AG$2,H2Storage!$F$2:$J$2,0)),"null")</f>
        <v>10</v>
      </c>
      <c r="AH12" s="1400" t="str">
        <f t="array" ref="AH12">_xlfn.IFNA(INDEX(H2Storage!$F$3:$J$16,MATCH('H2Storage-TSData'!$B12&amp;'H2Storage-TSData'!$C12,H2Storage!$B$3:$B$16&amp;H2Storage!$A$3:$A$16,0),MATCH(AH$2,H2Storage!$F$2:$J$2,0)),"null")</f>
        <v>null</v>
      </c>
      <c r="AI12" s="1400" t="str">
        <f t="array" ref="AI12">_xlfn.IFNA(INDEX(H2Storage!$F$3:$J$16,MATCH('H2Storage-TSData'!$B12&amp;'H2Storage-TSData'!$C12,H2Storage!$B$3:$B$16&amp;H2Storage!$A$3:$A$16,0),MATCH(AI$2,H2Storage!$F$2:$J$2,0)),"null")</f>
        <v>null</v>
      </c>
      <c r="AJ12" s="1400" t="str">
        <f t="array" ref="AJ12">_xlfn.IFNA(INDEX(H2Storage!$F$3:$J$16,MATCH('H2Storage-TSData'!$B12&amp;'H2Storage-TSData'!$C12,H2Storage!$B$3:$B$16&amp;H2Storage!$A$3:$A$16,0),MATCH(AJ$2,H2Storage!$F$2:$J$2,0)),"null")</f>
        <v>null</v>
      </c>
      <c r="AK12" s="1400" t="str">
        <f t="array" ref="AK12">_xlfn.IFNA(INDEX(H2Storage!$F$3:$J$16,MATCH('H2Storage-TSData'!$B12&amp;'H2Storage-TSData'!$C12,H2Storage!$B$3:$B$16&amp;H2Storage!$A$3:$A$16,0),MATCH(AK$2,H2Storage!$F$2:$J$2,0)),"null")</f>
        <v>null</v>
      </c>
      <c r="AL12" s="1400">
        <f t="array" ref="AL12">_xlfn.IFNA(INDEX(H2Storage!$F$3:$J$16,MATCH('H2Storage-TSData'!$B12&amp;'H2Storage-TSData'!$C12,H2Storage!$B$3:$B$16&amp;H2Storage!$A$3:$A$16,0),MATCH(AL$2,H2Storage!$F$2:$J$2,0)),"null")</f>
        <v>15</v>
      </c>
      <c r="AM12" s="1400" t="str">
        <f t="array" ref="AM12">_xlfn.IFNA(INDEX(H2Storage!$F$3:$J$16,MATCH('H2Storage-TSData'!$B12&amp;'H2Storage-TSData'!$C12,H2Storage!$B$3:$B$16&amp;H2Storage!$A$3:$A$16,0),MATCH(AM$2,H2Storage!$F$2:$J$2,0)),"null")</f>
        <v>null</v>
      </c>
      <c r="AN12" s="1400">
        <f t="array" ref="AN12">_xlfn.IFNA(INDEX(H2Storage!$F$3:$J$16,MATCH('H2Storage-TSData'!$B12&amp;'H2Storage-TSData'!$C12,H2Storage!$B$3:$B$16&amp;H2Storage!$A$3:$A$16,0),MATCH(AN$2,H2Storage!$F$2:$J$2,0)),"null")</f>
        <v>15</v>
      </c>
      <c r="AO12" s="1401">
        <f t="shared" ref="AO12:AP12" si="9">AN12</f>
        <v>15</v>
      </c>
      <c r="AP12" s="1401">
        <f t="shared" si="9"/>
        <v>15</v>
      </c>
    </row>
    <row r="13" spans="1:42">
      <c r="B13" s="1409" t="s">
        <v>13540</v>
      </c>
      <c r="C13" s="1409" t="s">
        <v>14549</v>
      </c>
      <c r="D13" s="1409" t="s">
        <v>334</v>
      </c>
      <c r="E13" s="1409" t="s">
        <v>277</v>
      </c>
      <c r="F13" s="1409" t="s">
        <v>334</v>
      </c>
      <c r="G13" s="1409" t="s">
        <v>334</v>
      </c>
      <c r="H13" s="1409" t="s">
        <v>334</v>
      </c>
      <c r="I13" s="1409">
        <v>0</v>
      </c>
      <c r="J13" s="666" t="str">
        <f t="array" ref="J13">_xlfn.IFNA(INDEX(H2Storage!$F$3:$J$16,MATCH('H2Storage-TSData'!$B13&amp;'H2Storage-TSData'!$C13,H2Storage!$B$3:$B$16&amp;H2Storage!$A$3:$A$16,0),MATCH(J$2,H2Storage!$F$2:$J$2,0)),"null")</f>
        <v>null</v>
      </c>
      <c r="K13" s="666" t="str">
        <f t="array" ref="K13">_xlfn.IFNA(INDEX(H2Storage!$F$3:$J$16,MATCH('H2Storage-TSData'!$B13&amp;'H2Storage-TSData'!$C13,H2Storage!$B$3:$B$16&amp;H2Storage!$A$3:$A$16,0),MATCH(K$2,H2Storage!$F$2:$J$2,0)),"null")</f>
        <v>null</v>
      </c>
      <c r="L13" s="666" t="str">
        <f t="array" ref="L13">_xlfn.IFNA(INDEX(H2Storage!$F$3:$J$16,MATCH('H2Storage-TSData'!$B13&amp;'H2Storage-TSData'!$C13,H2Storage!$B$3:$B$16&amp;H2Storage!$A$3:$A$16,0),MATCH(L$2,H2Storage!$F$2:$J$2,0)),"null")</f>
        <v>null</v>
      </c>
      <c r="M13" s="666" t="str">
        <f t="array" ref="M13">_xlfn.IFNA(INDEX(H2Storage!$F$3:$J$16,MATCH('H2Storage-TSData'!$B13&amp;'H2Storage-TSData'!$C13,H2Storage!$B$3:$B$16&amp;H2Storage!$A$3:$A$16,0),MATCH(M$2,H2Storage!$F$2:$J$2,0)),"null")</f>
        <v>null</v>
      </c>
      <c r="N13" s="666" t="str">
        <f t="array" ref="N13">_xlfn.IFNA(INDEX(H2Storage!$F$3:$J$16,MATCH('H2Storage-TSData'!$B13&amp;'H2Storage-TSData'!$C13,H2Storage!$B$3:$B$16&amp;H2Storage!$A$3:$A$16,0),MATCH(N$2,H2Storage!$F$2:$J$2,0)),"null")</f>
        <v>null</v>
      </c>
      <c r="O13" s="666" t="str">
        <f t="array" ref="O13">_xlfn.IFNA(INDEX(H2Storage!$F$3:$J$16,MATCH('H2Storage-TSData'!$B13&amp;'H2Storage-TSData'!$C13,H2Storage!$B$3:$B$16&amp;H2Storage!$A$3:$A$16,0),MATCH(O$2,H2Storage!$F$2:$J$2,0)),"null")</f>
        <v>null</v>
      </c>
      <c r="P13" s="666" t="str">
        <f t="array" ref="P13">_xlfn.IFNA(INDEX(H2Storage!$F$3:$J$16,MATCH('H2Storage-TSData'!$B13&amp;'H2Storage-TSData'!$C13,H2Storage!$B$3:$B$16&amp;H2Storage!$A$3:$A$16,0),MATCH(P$2,H2Storage!$F$2:$J$2,0)),"null")</f>
        <v>null</v>
      </c>
      <c r="Q13" s="666" t="str">
        <f t="array" ref="Q13">_xlfn.IFNA(INDEX(H2Storage!$F$3:$J$16,MATCH('H2Storage-TSData'!$B13&amp;'H2Storage-TSData'!$C13,H2Storage!$B$3:$B$16&amp;H2Storage!$A$3:$A$16,0),MATCH(Q$2,H2Storage!$F$2:$J$2,0)),"null")</f>
        <v>null</v>
      </c>
      <c r="R13" s="666">
        <f t="array" ref="R13">_xlfn.IFNA(INDEX(H2Storage!$F$3:$J$16,MATCH('H2Storage-TSData'!$B13&amp;'H2Storage-TSData'!$C13,H2Storage!$B$3:$B$16&amp;H2Storage!$A$3:$A$16,0),MATCH(R$2,H2Storage!$F$2:$J$2,0)),"null")</f>
        <v>3.0332436967337745E-2</v>
      </c>
      <c r="S13" s="666" t="str">
        <f t="array" ref="S13">_xlfn.IFNA(INDEX(H2Storage!$F$3:$J$16,MATCH('H2Storage-TSData'!$B13&amp;'H2Storage-TSData'!$C13,H2Storage!$B$3:$B$16&amp;H2Storage!$A$3:$A$16,0),MATCH(S$2,H2Storage!$F$2:$J$2,0)),"null")</f>
        <v>null</v>
      </c>
      <c r="T13" s="666" t="str">
        <f t="array" ref="T13">_xlfn.IFNA(INDEX(H2Storage!$F$3:$J$16,MATCH('H2Storage-TSData'!$B13&amp;'H2Storage-TSData'!$C13,H2Storage!$B$3:$B$16&amp;H2Storage!$A$3:$A$16,0),MATCH(T$2,H2Storage!$F$2:$J$2,0)),"null")</f>
        <v>null</v>
      </c>
      <c r="U13" s="666" t="str">
        <f t="array" ref="U13">_xlfn.IFNA(INDEX(H2Storage!$F$3:$J$16,MATCH('H2Storage-TSData'!$B13&amp;'H2Storage-TSData'!$C13,H2Storage!$B$3:$B$16&amp;H2Storage!$A$3:$A$16,0),MATCH(U$2,H2Storage!$F$2:$J$2,0)),"null")</f>
        <v>null</v>
      </c>
      <c r="V13" s="666" t="str">
        <f t="array" ref="V13">_xlfn.IFNA(INDEX(H2Storage!$F$3:$J$16,MATCH('H2Storage-TSData'!$B13&amp;'H2Storage-TSData'!$C13,H2Storage!$B$3:$B$16&amp;H2Storage!$A$3:$A$16,0),MATCH(V$2,H2Storage!$F$2:$J$2,0)),"null")</f>
        <v>null</v>
      </c>
      <c r="W13" s="666" t="str">
        <f t="array" ref="W13">_xlfn.IFNA(INDEX(H2Storage!$F$3:$J$16,MATCH('H2Storage-TSData'!$B13&amp;'H2Storage-TSData'!$C13,H2Storage!$B$3:$B$16&amp;H2Storage!$A$3:$A$16,0),MATCH(W$2,H2Storage!$F$2:$J$2,0)),"null")</f>
        <v>null</v>
      </c>
      <c r="X13" s="666" t="str">
        <f t="array" ref="X13">_xlfn.IFNA(INDEX(H2Storage!$F$3:$J$16,MATCH('H2Storage-TSData'!$B13&amp;'H2Storage-TSData'!$C13,H2Storage!$B$3:$B$16&amp;H2Storage!$A$3:$A$16,0),MATCH(X$2,H2Storage!$F$2:$J$2,0)),"null")</f>
        <v>null</v>
      </c>
      <c r="Y13" s="666" t="str">
        <f t="array" ref="Y13">_xlfn.IFNA(INDEX(H2Storage!$F$3:$J$16,MATCH('H2Storage-TSData'!$B13&amp;'H2Storage-TSData'!$C13,H2Storage!$B$3:$B$16&amp;H2Storage!$A$3:$A$16,0),MATCH(Y$2,H2Storage!$F$2:$J$2,0)),"null")</f>
        <v>null</v>
      </c>
      <c r="Z13" s="666" t="str">
        <f t="array" ref="Z13">_xlfn.IFNA(INDEX(H2Storage!$F$3:$J$16,MATCH('H2Storage-TSData'!$B13&amp;'H2Storage-TSData'!$C13,H2Storage!$B$3:$B$16&amp;H2Storage!$A$3:$A$16,0),MATCH(Z$2,H2Storage!$F$2:$J$2,0)),"null")</f>
        <v>null</v>
      </c>
      <c r="AA13" s="666" t="str">
        <f t="array" ref="AA13">_xlfn.IFNA(INDEX(H2Storage!$F$3:$J$16,MATCH('H2Storage-TSData'!$B13&amp;'H2Storage-TSData'!$C13,H2Storage!$B$3:$B$16&amp;H2Storage!$A$3:$A$16,0),MATCH(AA$2,H2Storage!$F$2:$J$2,0)),"null")</f>
        <v>null</v>
      </c>
      <c r="AB13" s="666">
        <f t="array" ref="AB13">_xlfn.IFNA(INDEX(H2Storage!$F$3:$J$16,MATCH('H2Storage-TSData'!$B13&amp;'H2Storage-TSData'!$C13,H2Storage!$B$3:$B$16&amp;H2Storage!$A$3:$A$16,0),MATCH(AB$2,H2Storage!$F$2:$J$2,0)),"null")</f>
        <v>3.0332436967337745E-2</v>
      </c>
      <c r="AC13" s="666" t="str">
        <f t="array" ref="AC13">_xlfn.IFNA(INDEX(H2Storage!$F$3:$J$16,MATCH('H2Storage-TSData'!$B13&amp;'H2Storage-TSData'!$C13,H2Storage!$B$3:$B$16&amp;H2Storage!$A$3:$A$16,0),MATCH(AC$2,H2Storage!$F$2:$J$2,0)),"null")</f>
        <v>null</v>
      </c>
      <c r="AD13" s="666" t="str">
        <f t="array" ref="AD13">_xlfn.IFNA(INDEX(H2Storage!$F$3:$J$16,MATCH('H2Storage-TSData'!$B13&amp;'H2Storage-TSData'!$C13,H2Storage!$B$3:$B$16&amp;H2Storage!$A$3:$A$16,0),MATCH(AD$2,H2Storage!$F$2:$J$2,0)),"null")</f>
        <v>null</v>
      </c>
      <c r="AE13" s="666" t="str">
        <f t="array" ref="AE13">_xlfn.IFNA(INDEX(H2Storage!$F$3:$J$16,MATCH('H2Storage-TSData'!$B13&amp;'H2Storage-TSData'!$C13,H2Storage!$B$3:$B$16&amp;H2Storage!$A$3:$A$16,0),MATCH(AE$2,H2Storage!$F$2:$J$2,0)),"null")</f>
        <v>null</v>
      </c>
      <c r="AF13" s="666" t="str">
        <f t="array" ref="AF13">_xlfn.IFNA(INDEX(H2Storage!$F$3:$J$16,MATCH('H2Storage-TSData'!$B13&amp;'H2Storage-TSData'!$C13,H2Storage!$B$3:$B$16&amp;H2Storage!$A$3:$A$16,0),MATCH(AF$2,H2Storage!$F$2:$J$2,0)),"null")</f>
        <v>null</v>
      </c>
      <c r="AG13" s="666">
        <f t="array" ref="AG13">_xlfn.IFNA(INDEX(H2Storage!$F$3:$J$16,MATCH('H2Storage-TSData'!$B13&amp;'H2Storage-TSData'!$C13,H2Storage!$B$3:$B$16&amp;H2Storage!$A$3:$A$16,0),MATCH(AG$2,H2Storage!$F$2:$J$2,0)),"null")</f>
        <v>3.0332436967337745E-2</v>
      </c>
      <c r="AH13" s="666" t="str">
        <f t="array" ref="AH13">_xlfn.IFNA(INDEX(H2Storage!$F$3:$J$16,MATCH('H2Storage-TSData'!$B13&amp;'H2Storage-TSData'!$C13,H2Storage!$B$3:$B$16&amp;H2Storage!$A$3:$A$16,0),MATCH(AH$2,H2Storage!$F$2:$J$2,0)),"null")</f>
        <v>null</v>
      </c>
      <c r="AI13" s="666" t="str">
        <f t="array" ref="AI13">_xlfn.IFNA(INDEX(H2Storage!$F$3:$J$16,MATCH('H2Storage-TSData'!$B13&amp;'H2Storage-TSData'!$C13,H2Storage!$B$3:$B$16&amp;H2Storage!$A$3:$A$16,0),MATCH(AI$2,H2Storage!$F$2:$J$2,0)),"null")</f>
        <v>null</v>
      </c>
      <c r="AJ13" s="666" t="str">
        <f t="array" ref="AJ13">_xlfn.IFNA(INDEX(H2Storage!$F$3:$J$16,MATCH('H2Storage-TSData'!$B13&amp;'H2Storage-TSData'!$C13,H2Storage!$B$3:$B$16&amp;H2Storage!$A$3:$A$16,0),MATCH(AJ$2,H2Storage!$F$2:$J$2,0)),"null")</f>
        <v>null</v>
      </c>
      <c r="AK13" s="666" t="str">
        <f t="array" ref="AK13">_xlfn.IFNA(INDEX(H2Storage!$F$3:$J$16,MATCH('H2Storage-TSData'!$B13&amp;'H2Storage-TSData'!$C13,H2Storage!$B$3:$B$16&amp;H2Storage!$A$3:$A$16,0),MATCH(AK$2,H2Storage!$F$2:$J$2,0)),"null")</f>
        <v>null</v>
      </c>
      <c r="AL13" s="666">
        <f t="array" ref="AL13">_xlfn.IFNA(INDEX(H2Storage!$F$3:$J$16,MATCH('H2Storage-TSData'!$B13&amp;'H2Storage-TSData'!$C13,H2Storage!$B$3:$B$16&amp;H2Storage!$A$3:$A$16,0),MATCH(AL$2,H2Storage!$F$2:$J$2,0)),"null")</f>
        <v>3.0332436967337745E-2</v>
      </c>
      <c r="AM13" s="666" t="str">
        <f t="array" ref="AM13">_xlfn.IFNA(INDEX(H2Storage!$F$3:$J$16,MATCH('H2Storage-TSData'!$B13&amp;'H2Storage-TSData'!$C13,H2Storage!$B$3:$B$16&amp;H2Storage!$A$3:$A$16,0),MATCH(AM$2,H2Storage!$F$2:$J$2,0)),"null")</f>
        <v>null</v>
      </c>
      <c r="AN13" s="666">
        <f t="array" ref="AN13">_xlfn.IFNA(INDEX(H2Storage!$F$3:$J$16,MATCH('H2Storage-TSData'!$B13&amp;'H2Storage-TSData'!$C13,H2Storage!$B$3:$B$16&amp;H2Storage!$A$3:$A$16,0),MATCH(AN$2,H2Storage!$F$2:$J$2,0)),"null")</f>
        <v>3.0332436967337745E-2</v>
      </c>
      <c r="AO13" s="1401">
        <f t="shared" ref="AO13:AP13" si="10">AN13</f>
        <v>3.0332436967337745E-2</v>
      </c>
      <c r="AP13" s="1401">
        <f t="shared" si="10"/>
        <v>3.0332436967337745E-2</v>
      </c>
    </row>
    <row r="14" spans="1:42">
      <c r="B14" s="1409" t="s">
        <v>14556</v>
      </c>
      <c r="C14" s="1409" t="s">
        <v>14546</v>
      </c>
      <c r="D14" s="1409" t="s">
        <v>334</v>
      </c>
      <c r="E14" s="1409" t="s">
        <v>334</v>
      </c>
      <c r="F14" s="1409" t="s">
        <v>334</v>
      </c>
      <c r="G14" s="1409" t="s">
        <v>334</v>
      </c>
      <c r="H14" s="1409" t="s">
        <v>334</v>
      </c>
      <c r="I14" s="1409">
        <v>0</v>
      </c>
      <c r="J14" s="666" t="str">
        <f t="array" ref="J14">_xlfn.IFNA(INDEX(H2Storage!$F$3:$J$16,MATCH('H2Storage-TSData'!$B14&amp;'H2Storage-TSData'!$C14,H2Storage!$B$3:$B$16&amp;H2Storage!$A$3:$A$16,0),MATCH(J$2,H2Storage!$F$2:$J$2,0)),"null")</f>
        <v>null</v>
      </c>
      <c r="K14" s="666" t="str">
        <f t="array" ref="K14">_xlfn.IFNA(INDEX(H2Storage!$F$3:$J$16,MATCH('H2Storage-TSData'!$B14&amp;'H2Storage-TSData'!$C14,H2Storage!$B$3:$B$16&amp;H2Storage!$A$3:$A$16,0),MATCH(K$2,H2Storage!$F$2:$J$2,0)),"null")</f>
        <v>null</v>
      </c>
      <c r="L14" s="666" t="str">
        <f t="array" ref="L14">_xlfn.IFNA(INDEX(H2Storage!$F$3:$J$16,MATCH('H2Storage-TSData'!$B14&amp;'H2Storage-TSData'!$C14,H2Storage!$B$3:$B$16&amp;H2Storage!$A$3:$A$16,0),MATCH(L$2,H2Storage!$F$2:$J$2,0)),"null")</f>
        <v>null</v>
      </c>
      <c r="M14" s="666" t="str">
        <f t="array" ref="M14">_xlfn.IFNA(INDEX(H2Storage!$F$3:$J$16,MATCH('H2Storage-TSData'!$B14&amp;'H2Storage-TSData'!$C14,H2Storage!$B$3:$B$16&amp;H2Storage!$A$3:$A$16,0),MATCH(M$2,H2Storage!$F$2:$J$2,0)),"null")</f>
        <v>null</v>
      </c>
      <c r="N14" s="666" t="str">
        <f t="array" ref="N14">_xlfn.IFNA(INDEX(H2Storage!$F$3:$J$16,MATCH('H2Storage-TSData'!$B14&amp;'H2Storage-TSData'!$C14,H2Storage!$B$3:$B$16&amp;H2Storage!$A$3:$A$16,0),MATCH(N$2,H2Storage!$F$2:$J$2,0)),"null")</f>
        <v>null</v>
      </c>
      <c r="O14" s="666" t="str">
        <f t="array" ref="O14">_xlfn.IFNA(INDEX(H2Storage!$F$3:$J$16,MATCH('H2Storage-TSData'!$B14&amp;'H2Storage-TSData'!$C14,H2Storage!$B$3:$B$16&amp;H2Storage!$A$3:$A$16,0),MATCH(O$2,H2Storage!$F$2:$J$2,0)),"null")</f>
        <v>null</v>
      </c>
      <c r="P14" s="666" t="str">
        <f t="array" ref="P14">_xlfn.IFNA(INDEX(H2Storage!$F$3:$J$16,MATCH('H2Storage-TSData'!$B14&amp;'H2Storage-TSData'!$C14,H2Storage!$B$3:$B$16&amp;H2Storage!$A$3:$A$16,0),MATCH(P$2,H2Storage!$F$2:$J$2,0)),"null")</f>
        <v>null</v>
      </c>
      <c r="Q14" s="666" t="str">
        <f t="array" ref="Q14">_xlfn.IFNA(INDEX(H2Storage!$F$3:$J$16,MATCH('H2Storage-TSData'!$B14&amp;'H2Storage-TSData'!$C14,H2Storage!$B$3:$B$16&amp;H2Storage!$A$3:$A$16,0),MATCH(Q$2,H2Storage!$F$2:$J$2,0)),"null")</f>
        <v>null</v>
      </c>
      <c r="R14" s="666">
        <f t="array" ref="R14">_xlfn.IFNA(INDEX(H2Storage!$F$3:$J$16,MATCH('H2Storage-TSData'!$B14&amp;'H2Storage-TSData'!$C14,H2Storage!$B$3:$B$16&amp;H2Storage!$A$3:$A$16,0),MATCH(R$2,H2Storage!$F$2:$J$2,0)),"null")</f>
        <v>0.98</v>
      </c>
      <c r="S14" s="666" t="str">
        <f t="array" ref="S14">_xlfn.IFNA(INDEX(H2Storage!$F$3:$J$16,MATCH('H2Storage-TSData'!$B14&amp;'H2Storage-TSData'!$C14,H2Storage!$B$3:$B$16&amp;H2Storage!$A$3:$A$16,0),MATCH(S$2,H2Storage!$F$2:$J$2,0)),"null")</f>
        <v>null</v>
      </c>
      <c r="T14" s="666" t="str">
        <f t="array" ref="T14">_xlfn.IFNA(INDEX(H2Storage!$F$3:$J$16,MATCH('H2Storage-TSData'!$B14&amp;'H2Storage-TSData'!$C14,H2Storage!$B$3:$B$16&amp;H2Storage!$A$3:$A$16,0),MATCH(T$2,H2Storage!$F$2:$J$2,0)),"null")</f>
        <v>null</v>
      </c>
      <c r="U14" s="666" t="str">
        <f t="array" ref="U14">_xlfn.IFNA(INDEX(H2Storage!$F$3:$J$16,MATCH('H2Storage-TSData'!$B14&amp;'H2Storage-TSData'!$C14,H2Storage!$B$3:$B$16&amp;H2Storage!$A$3:$A$16,0),MATCH(U$2,H2Storage!$F$2:$J$2,0)),"null")</f>
        <v>null</v>
      </c>
      <c r="V14" s="666" t="str">
        <f t="array" ref="V14">_xlfn.IFNA(INDEX(H2Storage!$F$3:$J$16,MATCH('H2Storage-TSData'!$B14&amp;'H2Storage-TSData'!$C14,H2Storage!$B$3:$B$16&amp;H2Storage!$A$3:$A$16,0),MATCH(V$2,H2Storage!$F$2:$J$2,0)),"null")</f>
        <v>null</v>
      </c>
      <c r="W14" s="666" t="str">
        <f t="array" ref="W14">_xlfn.IFNA(INDEX(H2Storage!$F$3:$J$16,MATCH('H2Storage-TSData'!$B14&amp;'H2Storage-TSData'!$C14,H2Storage!$B$3:$B$16&amp;H2Storage!$A$3:$A$16,0),MATCH(W$2,H2Storage!$F$2:$J$2,0)),"null")</f>
        <v>null</v>
      </c>
      <c r="X14" s="666" t="str">
        <f t="array" ref="X14">_xlfn.IFNA(INDEX(H2Storage!$F$3:$J$16,MATCH('H2Storage-TSData'!$B14&amp;'H2Storage-TSData'!$C14,H2Storage!$B$3:$B$16&amp;H2Storage!$A$3:$A$16,0),MATCH(X$2,H2Storage!$F$2:$J$2,0)),"null")</f>
        <v>null</v>
      </c>
      <c r="Y14" s="666" t="str">
        <f t="array" ref="Y14">_xlfn.IFNA(INDEX(H2Storage!$F$3:$J$16,MATCH('H2Storage-TSData'!$B14&amp;'H2Storage-TSData'!$C14,H2Storage!$B$3:$B$16&amp;H2Storage!$A$3:$A$16,0),MATCH(Y$2,H2Storage!$F$2:$J$2,0)),"null")</f>
        <v>null</v>
      </c>
      <c r="Z14" s="666" t="str">
        <f t="array" ref="Z14">_xlfn.IFNA(INDEX(H2Storage!$F$3:$J$16,MATCH('H2Storage-TSData'!$B14&amp;'H2Storage-TSData'!$C14,H2Storage!$B$3:$B$16&amp;H2Storage!$A$3:$A$16,0),MATCH(Z$2,H2Storage!$F$2:$J$2,0)),"null")</f>
        <v>null</v>
      </c>
      <c r="AA14" s="666" t="str">
        <f t="array" ref="AA14">_xlfn.IFNA(INDEX(H2Storage!$F$3:$J$16,MATCH('H2Storage-TSData'!$B14&amp;'H2Storage-TSData'!$C14,H2Storage!$B$3:$B$16&amp;H2Storage!$A$3:$A$16,0),MATCH(AA$2,H2Storage!$F$2:$J$2,0)),"null")</f>
        <v>null</v>
      </c>
      <c r="AB14" s="666">
        <f t="array" ref="AB14">_xlfn.IFNA(INDEX(H2Storage!$F$3:$J$16,MATCH('H2Storage-TSData'!$B14&amp;'H2Storage-TSData'!$C14,H2Storage!$B$3:$B$16&amp;H2Storage!$A$3:$A$16,0),MATCH(AB$2,H2Storage!$F$2:$J$2,0)),"null")</f>
        <v>0.98</v>
      </c>
      <c r="AC14" s="666" t="str">
        <f t="array" ref="AC14">_xlfn.IFNA(INDEX(H2Storage!$F$3:$J$16,MATCH('H2Storage-TSData'!$B14&amp;'H2Storage-TSData'!$C14,H2Storage!$B$3:$B$16&amp;H2Storage!$A$3:$A$16,0),MATCH(AC$2,H2Storage!$F$2:$J$2,0)),"null")</f>
        <v>null</v>
      </c>
      <c r="AD14" s="666" t="str">
        <f t="array" ref="AD14">_xlfn.IFNA(INDEX(H2Storage!$F$3:$J$16,MATCH('H2Storage-TSData'!$B14&amp;'H2Storage-TSData'!$C14,H2Storage!$B$3:$B$16&amp;H2Storage!$A$3:$A$16,0),MATCH(AD$2,H2Storage!$F$2:$J$2,0)),"null")</f>
        <v>null</v>
      </c>
      <c r="AE14" s="666" t="str">
        <f t="array" ref="AE14">_xlfn.IFNA(INDEX(H2Storage!$F$3:$J$16,MATCH('H2Storage-TSData'!$B14&amp;'H2Storage-TSData'!$C14,H2Storage!$B$3:$B$16&amp;H2Storage!$A$3:$A$16,0),MATCH(AE$2,H2Storage!$F$2:$J$2,0)),"null")</f>
        <v>null</v>
      </c>
      <c r="AF14" s="666" t="str">
        <f t="array" ref="AF14">_xlfn.IFNA(INDEX(H2Storage!$F$3:$J$16,MATCH('H2Storage-TSData'!$B14&amp;'H2Storage-TSData'!$C14,H2Storage!$B$3:$B$16&amp;H2Storage!$A$3:$A$16,0),MATCH(AF$2,H2Storage!$F$2:$J$2,0)),"null")</f>
        <v>null</v>
      </c>
      <c r="AG14" s="666">
        <f t="array" ref="AG14">_xlfn.IFNA(INDEX(H2Storage!$F$3:$J$16,MATCH('H2Storage-TSData'!$B14&amp;'H2Storage-TSData'!$C14,H2Storage!$B$3:$B$16&amp;H2Storage!$A$3:$A$16,0),MATCH(AG$2,H2Storage!$F$2:$J$2,0)),"null")</f>
        <v>0.98</v>
      </c>
      <c r="AH14" s="666" t="str">
        <f t="array" ref="AH14">_xlfn.IFNA(INDEX(H2Storage!$F$3:$J$16,MATCH('H2Storage-TSData'!$B14&amp;'H2Storage-TSData'!$C14,H2Storage!$B$3:$B$16&amp;H2Storage!$A$3:$A$16,0),MATCH(AH$2,H2Storage!$F$2:$J$2,0)),"null")</f>
        <v>null</v>
      </c>
      <c r="AI14" s="666" t="str">
        <f t="array" ref="AI14">_xlfn.IFNA(INDEX(H2Storage!$F$3:$J$16,MATCH('H2Storage-TSData'!$B14&amp;'H2Storage-TSData'!$C14,H2Storage!$B$3:$B$16&amp;H2Storage!$A$3:$A$16,0),MATCH(AI$2,H2Storage!$F$2:$J$2,0)),"null")</f>
        <v>null</v>
      </c>
      <c r="AJ14" s="666" t="str">
        <f t="array" ref="AJ14">_xlfn.IFNA(INDEX(H2Storage!$F$3:$J$16,MATCH('H2Storage-TSData'!$B14&amp;'H2Storage-TSData'!$C14,H2Storage!$B$3:$B$16&amp;H2Storage!$A$3:$A$16,0),MATCH(AJ$2,H2Storage!$F$2:$J$2,0)),"null")</f>
        <v>null</v>
      </c>
      <c r="AK14" s="666" t="str">
        <f t="array" ref="AK14">_xlfn.IFNA(INDEX(H2Storage!$F$3:$J$16,MATCH('H2Storage-TSData'!$B14&amp;'H2Storage-TSData'!$C14,H2Storage!$B$3:$B$16&amp;H2Storage!$A$3:$A$16,0),MATCH(AK$2,H2Storage!$F$2:$J$2,0)),"null")</f>
        <v>null</v>
      </c>
      <c r="AL14" s="666">
        <f t="array" ref="AL14">_xlfn.IFNA(INDEX(H2Storage!$F$3:$J$16,MATCH('H2Storage-TSData'!$B14&amp;'H2Storage-TSData'!$C14,H2Storage!$B$3:$B$16&amp;H2Storage!$A$3:$A$16,0),MATCH(AL$2,H2Storage!$F$2:$J$2,0)),"null")</f>
        <v>0.98</v>
      </c>
      <c r="AM14" s="666" t="str">
        <f t="array" ref="AM14">_xlfn.IFNA(INDEX(H2Storage!$F$3:$J$16,MATCH('H2Storage-TSData'!$B14&amp;'H2Storage-TSData'!$C14,H2Storage!$B$3:$B$16&amp;H2Storage!$A$3:$A$16,0),MATCH(AM$2,H2Storage!$F$2:$J$2,0)),"null")</f>
        <v>null</v>
      </c>
      <c r="AN14" s="666">
        <f t="array" ref="AN14">_xlfn.IFNA(INDEX(H2Storage!$F$3:$J$16,MATCH('H2Storage-TSData'!$B14&amp;'H2Storage-TSData'!$C14,H2Storage!$B$3:$B$16&amp;H2Storage!$A$3:$A$16,0),MATCH(AN$2,H2Storage!$F$2:$J$2,0)),"null")</f>
        <v>0.98</v>
      </c>
      <c r="AO14" s="1401">
        <f t="shared" ref="AO14:AP14" si="11">AN14</f>
        <v>0.98</v>
      </c>
      <c r="AP14" s="1401">
        <f t="shared" si="11"/>
        <v>0.98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381E-943F-4076-9188-B60298C9CF9A}">
  <sheetPr codeName="Sheet70"/>
  <dimension ref="A1:I13"/>
  <sheetViews>
    <sheetView workbookViewId="0"/>
  </sheetViews>
  <sheetFormatPr defaultRowHeight="15"/>
  <cols>
    <col min="1" max="1" width="9.140625" style="1409" bestFit="1" customWidth="1"/>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13416</v>
      </c>
      <c r="C3" s="1409" t="s">
        <v>14546</v>
      </c>
      <c r="D3" s="1409" t="s">
        <v>334</v>
      </c>
      <c r="E3" s="1409" t="s">
        <v>334</v>
      </c>
      <c r="F3" s="1409" t="s">
        <v>334</v>
      </c>
      <c r="G3" s="1409" t="s">
        <v>334</v>
      </c>
      <c r="H3" s="1409" t="s">
        <v>334</v>
      </c>
      <c r="I3" s="1400">
        <f>H2Storage!$F$9</f>
        <v>2025</v>
      </c>
    </row>
    <row r="4" spans="1:9">
      <c r="B4" s="1409" t="s">
        <v>13416</v>
      </c>
      <c r="C4" s="1409" t="s">
        <v>14549</v>
      </c>
      <c r="D4" s="1409" t="s">
        <v>334</v>
      </c>
      <c r="E4" s="1409" t="s">
        <v>334</v>
      </c>
      <c r="F4" s="1409" t="s">
        <v>334</v>
      </c>
      <c r="G4" s="1409" t="s">
        <v>334</v>
      </c>
      <c r="H4" s="1409" t="s">
        <v>334</v>
      </c>
      <c r="I4" s="1400">
        <f>H2Storage!$F$9</f>
        <v>2025</v>
      </c>
    </row>
    <row r="5" spans="1:9">
      <c r="B5" s="1409" t="s">
        <v>340</v>
      </c>
      <c r="C5" s="1409" t="s">
        <v>14546</v>
      </c>
      <c r="D5" s="1409" t="s">
        <v>334</v>
      </c>
      <c r="E5" s="1409" t="s">
        <v>1199</v>
      </c>
      <c r="F5" s="1409" t="s">
        <v>334</v>
      </c>
      <c r="G5" s="1409" t="s">
        <v>334</v>
      </c>
      <c r="H5" s="1409" t="s">
        <v>334</v>
      </c>
      <c r="I5" s="1409">
        <v>1</v>
      </c>
    </row>
    <row r="6" spans="1:9">
      <c r="B6" s="1409" t="s">
        <v>340</v>
      </c>
      <c r="C6" s="1409" t="s">
        <v>14549</v>
      </c>
      <c r="D6" s="1409" t="s">
        <v>334</v>
      </c>
      <c r="E6" s="1409" t="s">
        <v>1199</v>
      </c>
      <c r="F6" s="1409" t="s">
        <v>334</v>
      </c>
      <c r="G6" s="1409" t="s">
        <v>334</v>
      </c>
      <c r="H6" s="1409" t="s">
        <v>334</v>
      </c>
      <c r="I6" s="1409">
        <v>1</v>
      </c>
    </row>
    <row r="7" spans="1:9">
      <c r="B7" s="1409" t="s">
        <v>342</v>
      </c>
      <c r="C7" s="1409" t="s">
        <v>14546</v>
      </c>
      <c r="D7" s="1409" t="s">
        <v>334</v>
      </c>
      <c r="E7" s="1409" t="s">
        <v>334</v>
      </c>
      <c r="F7" s="1409" t="s">
        <v>334</v>
      </c>
      <c r="G7" s="1409" t="s">
        <v>334</v>
      </c>
      <c r="H7" s="1409" t="s">
        <v>334</v>
      </c>
      <c r="I7" s="1409">
        <v>1</v>
      </c>
    </row>
    <row r="8" spans="1:9">
      <c r="B8" s="1409" t="s">
        <v>342</v>
      </c>
      <c r="C8" s="1409" t="s">
        <v>14549</v>
      </c>
      <c r="D8" s="1409" t="s">
        <v>334</v>
      </c>
      <c r="E8" s="1409" t="s">
        <v>334</v>
      </c>
      <c r="F8" s="1409" t="s">
        <v>334</v>
      </c>
      <c r="G8" s="1409" t="s">
        <v>334</v>
      </c>
      <c r="H8" s="1409" t="s">
        <v>334</v>
      </c>
      <c r="I8" s="1409">
        <v>1</v>
      </c>
    </row>
    <row r="9" spans="1:9">
      <c r="B9" s="1409" t="s">
        <v>361</v>
      </c>
      <c r="C9" s="1409" t="s">
        <v>14546</v>
      </c>
      <c r="D9" s="1409" t="s">
        <v>1199</v>
      </c>
      <c r="E9" s="1409" t="s">
        <v>334</v>
      </c>
      <c r="F9" s="1409" t="s">
        <v>334</v>
      </c>
      <c r="G9" s="1409" t="s">
        <v>334</v>
      </c>
      <c r="H9" s="1409" t="s">
        <v>334</v>
      </c>
      <c r="I9" s="1409">
        <v>1</v>
      </c>
    </row>
    <row r="10" spans="1:9">
      <c r="B10" s="1409" t="s">
        <v>361</v>
      </c>
      <c r="C10" s="1409" t="s">
        <v>14549</v>
      </c>
      <c r="D10" s="1409" t="s">
        <v>277</v>
      </c>
      <c r="E10" s="1409" t="s">
        <v>334</v>
      </c>
      <c r="F10" s="1409" t="s">
        <v>334</v>
      </c>
      <c r="G10" s="1409" t="s">
        <v>334</v>
      </c>
      <c r="H10" s="1409" t="s">
        <v>334</v>
      </c>
      <c r="I10" s="1409">
        <v>1</v>
      </c>
    </row>
    <row r="11" spans="1:9">
      <c r="B11" s="1409" t="s">
        <v>361</v>
      </c>
      <c r="C11" s="1409" t="s">
        <v>14549</v>
      </c>
      <c r="D11" s="1409" t="s">
        <v>14544</v>
      </c>
      <c r="E11" s="1409" t="s">
        <v>334</v>
      </c>
      <c r="F11" s="1409" t="s">
        <v>334</v>
      </c>
      <c r="G11" s="1409" t="s">
        <v>334</v>
      </c>
      <c r="H11" s="1409" t="s">
        <v>334</v>
      </c>
      <c r="I11" s="1409">
        <v>1</v>
      </c>
    </row>
    <row r="12" spans="1:9">
      <c r="B12" s="1409" t="s">
        <v>344</v>
      </c>
      <c r="C12" s="1409" t="s">
        <v>14546</v>
      </c>
      <c r="D12" s="1409" t="s">
        <v>1199</v>
      </c>
      <c r="E12" s="1409" t="s">
        <v>334</v>
      </c>
      <c r="F12" s="1409" t="s">
        <v>334</v>
      </c>
      <c r="G12" s="1409" t="s">
        <v>334</v>
      </c>
      <c r="H12" s="1409" t="s">
        <v>334</v>
      </c>
      <c r="I12" s="1409">
        <v>1</v>
      </c>
    </row>
    <row r="13" spans="1:9">
      <c r="B13" s="1409" t="s">
        <v>344</v>
      </c>
      <c r="C13" s="1409" t="s">
        <v>14549</v>
      </c>
      <c r="D13" s="1409" t="s">
        <v>1199</v>
      </c>
      <c r="E13" s="1409" t="s">
        <v>334</v>
      </c>
      <c r="F13" s="1409" t="s">
        <v>334</v>
      </c>
      <c r="G13" s="1409" t="s">
        <v>334</v>
      </c>
      <c r="H13" s="1409" t="s">
        <v>334</v>
      </c>
      <c r="I13" s="140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
    <tabColor theme="5"/>
  </sheetPr>
  <dimension ref="A1:BL175"/>
  <sheetViews>
    <sheetView topLeftCell="A111" workbookViewId="0">
      <selection activeCell="I134" sqref="I134"/>
    </sheetView>
  </sheetViews>
  <sheetFormatPr defaultColWidth="11.42578125" defaultRowHeight="12.75"/>
  <cols>
    <col min="1" max="1" width="47" style="93" customWidth="1"/>
    <col min="2" max="2" width="17.28515625" style="93" customWidth="1"/>
    <col min="3" max="3" width="14.28515625" style="93" customWidth="1"/>
    <col min="4" max="7" width="10" style="93" customWidth="1"/>
    <col min="8" max="8" width="10" style="1096" customWidth="1"/>
    <col min="9" max="12" width="10" style="93" customWidth="1"/>
    <col min="13" max="13" width="10" style="1268" customWidth="1"/>
    <col min="14" max="15" width="10" style="93" customWidth="1"/>
    <col min="16" max="16" width="7.28515625" style="93" customWidth="1"/>
    <col min="17" max="18" width="9.7109375" style="93" customWidth="1"/>
    <col min="19" max="20" width="7.28515625" style="1268" customWidth="1"/>
    <col min="21" max="24" width="7.28515625" style="93" customWidth="1"/>
    <col min="25" max="26" width="7.7109375" style="93" customWidth="1"/>
    <col min="27" max="33" width="7.28515625" style="93" customWidth="1"/>
    <col min="34" max="34" width="8.42578125" style="93" customWidth="1"/>
    <col min="35" max="40" width="7.28515625" style="93" customWidth="1"/>
    <col min="41" max="16384" width="11.42578125" style="93"/>
  </cols>
  <sheetData>
    <row r="1" spans="1:42" s="89" customFormat="1" ht="15.75">
      <c r="A1" s="86" t="s">
        <v>239</v>
      </c>
      <c r="B1" s="1836" t="s">
        <v>240</v>
      </c>
      <c r="C1" s="1836"/>
      <c r="D1" s="1836"/>
      <c r="E1" s="87" t="s">
        <v>293</v>
      </c>
      <c r="F1" s="87"/>
      <c r="G1" s="88"/>
      <c r="H1" s="1453"/>
      <c r="I1" s="1301"/>
      <c r="J1" s="88"/>
      <c r="K1" s="86"/>
    </row>
    <row r="2" spans="1:42">
      <c r="A2" s="90"/>
      <c r="B2" s="91"/>
      <c r="C2" s="91"/>
      <c r="D2" s="91"/>
      <c r="E2" s="91"/>
      <c r="F2" s="91"/>
      <c r="G2" s="92"/>
      <c r="H2" s="1454"/>
      <c r="I2" s="91"/>
      <c r="J2" s="91"/>
      <c r="K2" s="91"/>
      <c r="L2" s="92"/>
      <c r="M2" s="91"/>
      <c r="N2" s="91"/>
      <c r="O2" s="91"/>
      <c r="P2" s="91"/>
      <c r="Q2" s="91"/>
      <c r="R2" s="91"/>
      <c r="S2" s="91"/>
      <c r="T2" s="91"/>
    </row>
    <row r="3" spans="1:42">
      <c r="A3" s="90"/>
      <c r="B3" s="90"/>
      <c r="C3" s="94" t="s">
        <v>242</v>
      </c>
      <c r="D3" s="94"/>
      <c r="L3" s="94"/>
      <c r="M3" s="94"/>
      <c r="N3" s="94"/>
      <c r="O3" s="94"/>
      <c r="P3" s="94"/>
      <c r="Q3" s="94"/>
      <c r="R3" s="94"/>
      <c r="S3" s="124"/>
      <c r="T3" s="91"/>
    </row>
    <row r="4" spans="1:42">
      <c r="A4" s="96" t="s">
        <v>243</v>
      </c>
      <c r="B4" s="90">
        <f>COUNT(C4:Y4)</f>
        <v>22</v>
      </c>
      <c r="C4" s="90">
        <v>1</v>
      </c>
      <c r="D4" s="90">
        <f t="shared" ref="D4:K4" si="0">C4+1</f>
        <v>2</v>
      </c>
      <c r="E4" s="90">
        <f t="shared" si="0"/>
        <v>3</v>
      </c>
      <c r="F4" s="90">
        <f t="shared" si="0"/>
        <v>4</v>
      </c>
      <c r="G4" s="90">
        <f t="shared" si="0"/>
        <v>5</v>
      </c>
      <c r="H4" s="1455">
        <f t="shared" si="0"/>
        <v>6</v>
      </c>
      <c r="I4" s="90">
        <f t="shared" si="0"/>
        <v>7</v>
      </c>
      <c r="J4" s="90">
        <f t="shared" si="0"/>
        <v>8</v>
      </c>
      <c r="K4" s="90">
        <f t="shared" si="0"/>
        <v>9</v>
      </c>
      <c r="L4" s="92">
        <f t="shared" ref="L4:AL4" si="1">K4+1</f>
        <v>10</v>
      </c>
      <c r="M4" s="92">
        <f t="shared" si="1"/>
        <v>11</v>
      </c>
      <c r="N4" s="92">
        <f>M4+1</f>
        <v>12</v>
      </c>
      <c r="O4" s="92">
        <f>N4+1</f>
        <v>13</v>
      </c>
      <c r="P4" s="92">
        <f>O4+1</f>
        <v>14</v>
      </c>
      <c r="Q4" s="92"/>
      <c r="R4" s="92">
        <f>P4+1</f>
        <v>15</v>
      </c>
      <c r="S4" s="92">
        <f t="shared" ref="S4:Z4" si="2">R4+1</f>
        <v>16</v>
      </c>
      <c r="T4" s="92">
        <f t="shared" si="2"/>
        <v>17</v>
      </c>
      <c r="U4" s="90">
        <f t="shared" si="2"/>
        <v>18</v>
      </c>
      <c r="V4" s="90">
        <f t="shared" si="2"/>
        <v>19</v>
      </c>
      <c r="W4" s="90">
        <f t="shared" si="2"/>
        <v>20</v>
      </c>
      <c r="X4" s="90">
        <f t="shared" si="2"/>
        <v>21</v>
      </c>
      <c r="Y4" s="90">
        <f t="shared" si="2"/>
        <v>22</v>
      </c>
      <c r="Z4" s="90">
        <f t="shared" si="2"/>
        <v>23</v>
      </c>
      <c r="AA4" s="90">
        <f t="shared" si="1"/>
        <v>24</v>
      </c>
      <c r="AB4" s="90">
        <f t="shared" si="1"/>
        <v>25</v>
      </c>
      <c r="AC4" s="90">
        <f t="shared" si="1"/>
        <v>26</v>
      </c>
      <c r="AD4" s="90">
        <f t="shared" si="1"/>
        <v>27</v>
      </c>
      <c r="AE4" s="90">
        <f t="shared" si="1"/>
        <v>28</v>
      </c>
      <c r="AF4" s="90">
        <f t="shared" si="1"/>
        <v>29</v>
      </c>
      <c r="AG4" s="90">
        <f t="shared" si="1"/>
        <v>30</v>
      </c>
      <c r="AH4" s="90">
        <f t="shared" si="1"/>
        <v>31</v>
      </c>
      <c r="AI4" s="90">
        <f t="shared" si="1"/>
        <v>32</v>
      </c>
      <c r="AJ4" s="90">
        <f t="shared" si="1"/>
        <v>33</v>
      </c>
      <c r="AK4" s="90">
        <f t="shared" si="1"/>
        <v>34</v>
      </c>
      <c r="AL4" s="90">
        <f t="shared" si="1"/>
        <v>35</v>
      </c>
      <c r="AN4" s="90"/>
      <c r="AO4" s="90"/>
      <c r="AP4" s="90"/>
    </row>
    <row r="5" spans="1:42" s="245" customFormat="1" ht="38.25" customHeight="1">
      <c r="A5" s="496" t="s">
        <v>605</v>
      </c>
      <c r="B5" s="497"/>
      <c r="D5" s="498"/>
      <c r="E5" s="498"/>
      <c r="F5" s="498"/>
      <c r="G5" s="498" t="s">
        <v>22</v>
      </c>
      <c r="H5" s="844" t="str">
        <f>+NameConv!B18</f>
        <v>Gas South Africa</v>
      </c>
      <c r="I5" s="498" t="str">
        <f>NameConv!B19</f>
        <v>Gas Southern Mozambique</v>
      </c>
      <c r="J5" s="498" t="str">
        <f>NameConv!B27</f>
        <v>Gas Methane Rich</v>
      </c>
      <c r="L5" s="1332"/>
      <c r="M5" s="1332" t="str">
        <f>NameConv!B26</f>
        <v>Coastal Gas</v>
      </c>
      <c r="N5" s="1332"/>
      <c r="O5" s="1332" t="s">
        <v>863</v>
      </c>
      <c r="P5" s="1332" t="s">
        <v>864</v>
      </c>
      <c r="Q5" s="1332"/>
      <c r="R5" s="1332" t="str">
        <f>NameConv!B32</f>
        <v>Hydrogen</v>
      </c>
      <c r="S5" s="1332" t="s">
        <v>557</v>
      </c>
      <c r="T5" s="1332" t="s">
        <v>553</v>
      </c>
      <c r="U5" s="245" t="s">
        <v>554</v>
      </c>
      <c r="V5" s="245" t="s">
        <v>546</v>
      </c>
      <c r="W5" s="245" t="s">
        <v>548</v>
      </c>
      <c r="X5" s="245" t="s">
        <v>591</v>
      </c>
      <c r="Y5" s="245" t="s">
        <v>550</v>
      </c>
      <c r="Z5" s="245" t="s">
        <v>593</v>
      </c>
    </row>
    <row r="6" spans="1:42">
      <c r="A6" s="88" t="s">
        <v>246</v>
      </c>
      <c r="B6" s="105" t="s">
        <v>887</v>
      </c>
      <c r="C6" s="91"/>
      <c r="D6" s="91"/>
      <c r="E6" s="91"/>
      <c r="F6" s="91"/>
      <c r="G6" s="91" t="str">
        <f>VLOOKUP(G5,FuelNames,2,FALSE)</f>
        <v>ELC</v>
      </c>
      <c r="H6" s="1454" t="str">
        <f>VLOOKUP(H5,FuelNames,2,FALSE)</f>
        <v>GAS</v>
      </c>
      <c r="I6" s="91" t="str">
        <f>VLOOKUP(I5,FuelNames,2,FALSE)</f>
        <v>GRS</v>
      </c>
      <c r="J6" s="91" t="str">
        <f>VLOOKUP(J5,FuelNames,2,FALSE)</f>
        <v>GIM</v>
      </c>
      <c r="K6" s="91"/>
      <c r="L6" s="91"/>
      <c r="M6" s="91" t="str">
        <f>VLOOKUP(M5,FuelNames,2,FALSE)</f>
        <v>GIC</v>
      </c>
      <c r="N6" s="91"/>
      <c r="O6" s="91" t="str">
        <f t="shared" ref="O6:Z6" si="3">VLOOKUP(O5,FuelNames,2,FALSE)</f>
        <v>HEE</v>
      </c>
      <c r="P6" s="91" t="str">
        <f t="shared" si="3"/>
        <v>HEN</v>
      </c>
      <c r="Q6" s="91"/>
      <c r="R6" s="91" t="str">
        <f t="shared" si="3"/>
        <v>HGN</v>
      </c>
      <c r="S6" s="91" t="str">
        <f t="shared" si="3"/>
        <v>OAG</v>
      </c>
      <c r="T6" s="91" t="str">
        <f t="shared" si="3"/>
        <v>OCR</v>
      </c>
      <c r="U6" s="91" t="str">
        <f t="shared" si="3"/>
        <v>ODS</v>
      </c>
      <c r="V6" s="91" t="str">
        <f t="shared" si="3"/>
        <v>OGS</v>
      </c>
      <c r="W6" s="91" t="str">
        <f t="shared" si="3"/>
        <v>OHF</v>
      </c>
      <c r="X6" s="91" t="str">
        <f t="shared" si="3"/>
        <v>OKE</v>
      </c>
      <c r="Y6" s="91" t="str">
        <f t="shared" si="3"/>
        <v>OLP</v>
      </c>
      <c r="Z6" s="91" t="str">
        <f t="shared" si="3"/>
        <v>OTH</v>
      </c>
      <c r="AA6" s="91"/>
      <c r="AB6" s="91"/>
    </row>
    <row r="7" spans="1:42">
      <c r="A7" s="88" t="s">
        <v>488</v>
      </c>
      <c r="B7" s="99" t="s">
        <v>248</v>
      </c>
      <c r="C7" s="102"/>
      <c r="D7" s="102"/>
      <c r="E7" s="102"/>
      <c r="F7" s="102"/>
      <c r="G7" s="568">
        <f>SUM(RefineriesData!D62:D64)/1000</f>
        <v>22.638407668148151</v>
      </c>
      <c r="L7" s="102"/>
      <c r="M7" s="1269"/>
      <c r="N7" s="102"/>
      <c r="O7" s="101"/>
      <c r="P7" s="97"/>
      <c r="Q7" s="97"/>
      <c r="R7" s="97"/>
      <c r="S7" s="1266"/>
      <c r="T7" s="1266"/>
    </row>
    <row r="8" spans="1:42">
      <c r="A8" s="88" t="s">
        <v>489</v>
      </c>
      <c r="B8" s="99" t="s">
        <v>248</v>
      </c>
      <c r="C8" s="102"/>
      <c r="D8" s="102"/>
      <c r="E8" s="102"/>
      <c r="F8" s="102"/>
      <c r="G8" s="102"/>
      <c r="H8" s="1456"/>
      <c r="I8" s="102"/>
      <c r="J8" s="102"/>
      <c r="K8" s="102"/>
      <c r="L8" s="102"/>
      <c r="M8" s="1269"/>
      <c r="N8" s="102"/>
      <c r="O8" s="102"/>
      <c r="P8" s="102"/>
      <c r="Q8" s="102"/>
      <c r="R8" s="102"/>
      <c r="S8" s="1269"/>
      <c r="T8" s="1266"/>
    </row>
    <row r="9" spans="1:42">
      <c r="A9" s="88"/>
      <c r="B9" s="99"/>
      <c r="C9" s="102"/>
      <c r="D9" s="102"/>
      <c r="E9" s="102"/>
      <c r="F9" s="102"/>
      <c r="G9" s="102"/>
      <c r="H9" s="1456"/>
      <c r="I9" s="102"/>
      <c r="J9" s="102"/>
      <c r="K9" s="102"/>
      <c r="L9" s="102"/>
      <c r="M9" s="1269"/>
      <c r="N9" s="102"/>
      <c r="O9" s="101"/>
      <c r="P9" s="97"/>
      <c r="Q9" s="97"/>
      <c r="R9" s="97"/>
      <c r="S9" s="1266"/>
      <c r="T9" s="1266"/>
    </row>
    <row r="10" spans="1:42">
      <c r="A10" s="88"/>
      <c r="B10" s="99"/>
      <c r="C10" s="102"/>
      <c r="D10" s="102"/>
      <c r="E10" s="102"/>
      <c r="F10" s="102"/>
      <c r="G10" s="102"/>
      <c r="H10" s="1456"/>
      <c r="I10" s="102"/>
      <c r="J10" s="102"/>
      <c r="K10" s="102"/>
      <c r="L10" s="102"/>
      <c r="M10" s="1269"/>
      <c r="N10" s="102"/>
      <c r="O10" s="101"/>
      <c r="P10" s="97"/>
      <c r="Q10" s="97"/>
      <c r="R10" s="97"/>
      <c r="S10" s="1266"/>
      <c r="T10" s="1266"/>
      <c r="AF10" s="391"/>
      <c r="AG10" s="91"/>
    </row>
    <row r="11" spans="1:42">
      <c r="A11" s="88" t="s">
        <v>251</v>
      </c>
      <c r="B11" s="99" t="s">
        <v>252</v>
      </c>
      <c r="C11" s="102"/>
      <c r="D11" s="102"/>
      <c r="E11" s="102"/>
      <c r="F11" s="102"/>
      <c r="G11" s="102"/>
      <c r="H11" s="1456"/>
      <c r="I11" s="102"/>
      <c r="K11" s="102"/>
      <c r="L11" s="102"/>
      <c r="M11" s="1269"/>
      <c r="N11" s="102"/>
      <c r="O11" s="101"/>
      <c r="P11" s="97"/>
      <c r="Q11" s="97"/>
      <c r="R11" s="97"/>
      <c r="S11" s="1266"/>
      <c r="T11" s="1266"/>
    </row>
    <row r="12" spans="1:42">
      <c r="A12" s="103" t="s">
        <v>253</v>
      </c>
      <c r="B12" s="104" t="s">
        <v>254</v>
      </c>
      <c r="C12" s="90"/>
      <c r="D12" s="90"/>
      <c r="E12" s="90"/>
      <c r="F12" s="90"/>
      <c r="G12" s="90"/>
      <c r="H12" s="1455"/>
      <c r="I12" s="90"/>
      <c r="K12" s="90"/>
      <c r="L12" s="90"/>
      <c r="M12" s="1267"/>
      <c r="N12" s="91"/>
      <c r="O12" s="90">
        <v>1</v>
      </c>
      <c r="P12" s="97"/>
      <c r="Q12" s="97"/>
      <c r="R12" s="97"/>
      <c r="S12" s="1266"/>
      <c r="T12" s="1266"/>
      <c r="AF12" s="391"/>
    </row>
    <row r="13" spans="1:42">
      <c r="A13" s="103" t="s">
        <v>255</v>
      </c>
      <c r="B13" s="104" t="s">
        <v>256</v>
      </c>
      <c r="C13" s="90"/>
      <c r="D13" s="90"/>
      <c r="E13" s="90"/>
      <c r="F13" s="90"/>
      <c r="G13" s="90"/>
      <c r="H13" s="1455"/>
      <c r="I13" s="90"/>
      <c r="K13" s="90"/>
      <c r="L13" s="90"/>
      <c r="M13" s="1267"/>
      <c r="N13" s="91"/>
      <c r="O13" s="90">
        <f>O12+1</f>
        <v>2</v>
      </c>
      <c r="P13" s="97"/>
      <c r="Q13" s="97"/>
      <c r="R13" s="97"/>
      <c r="S13" s="1266"/>
      <c r="T13" s="1266"/>
    </row>
    <row r="14" spans="1:42">
      <c r="A14" s="103" t="s">
        <v>257</v>
      </c>
      <c r="B14" s="104" t="s">
        <v>258</v>
      </c>
      <c r="C14" s="90"/>
      <c r="D14" s="90"/>
      <c r="E14" s="90"/>
      <c r="F14" s="90"/>
      <c r="G14" s="90"/>
      <c r="H14" s="1455"/>
      <c r="I14" s="90"/>
      <c r="K14" s="90"/>
      <c r="L14" s="90"/>
      <c r="M14" s="1267"/>
      <c r="N14" s="91"/>
      <c r="O14" s="90">
        <f>O13+1</f>
        <v>3</v>
      </c>
      <c r="P14" s="97"/>
      <c r="Q14" s="97"/>
      <c r="R14" s="97"/>
      <c r="S14" s="1266"/>
      <c r="T14" s="1266"/>
    </row>
    <row r="15" spans="1:42">
      <c r="A15" s="103" t="s">
        <v>259</v>
      </c>
      <c r="B15" s="104" t="s">
        <v>260</v>
      </c>
      <c r="C15" s="90"/>
      <c r="D15" s="90"/>
      <c r="E15" s="90"/>
      <c r="F15" s="90"/>
      <c r="G15" s="90"/>
      <c r="H15" s="1455"/>
      <c r="I15" s="90"/>
      <c r="K15" s="90"/>
      <c r="L15" s="90"/>
      <c r="M15" s="1267"/>
      <c r="N15" s="91"/>
      <c r="O15" s="90">
        <f>O14+1</f>
        <v>4</v>
      </c>
      <c r="P15" s="97"/>
      <c r="Q15" s="97"/>
      <c r="R15" s="97"/>
      <c r="S15" s="1266"/>
      <c r="T15" s="1266"/>
    </row>
    <row r="16" spans="1:42">
      <c r="A16" s="103" t="s">
        <v>261</v>
      </c>
      <c r="B16" s="104" t="s">
        <v>262</v>
      </c>
      <c r="C16" s="90"/>
      <c r="D16" s="90"/>
      <c r="E16" s="90"/>
      <c r="F16" s="90"/>
      <c r="G16" s="90"/>
      <c r="H16" s="1455"/>
      <c r="I16" s="90"/>
      <c r="K16" s="90"/>
      <c r="L16" s="90"/>
      <c r="M16" s="1267"/>
      <c r="N16" s="91"/>
      <c r="O16" s="90">
        <f>O15+1</f>
        <v>5</v>
      </c>
      <c r="P16" s="97"/>
      <c r="Q16" s="97"/>
      <c r="R16" s="97"/>
      <c r="S16" s="1266"/>
      <c r="T16" s="1266"/>
    </row>
    <row r="17" spans="1:23" ht="13.5" customHeight="1">
      <c r="A17" s="98" t="s">
        <v>294</v>
      </c>
      <c r="B17" s="105" t="s">
        <v>295</v>
      </c>
      <c r="C17" s="90"/>
      <c r="D17" s="90"/>
      <c r="E17" s="90"/>
      <c r="F17" s="90"/>
      <c r="G17" s="90"/>
      <c r="H17" s="1455"/>
      <c r="I17" s="90"/>
      <c r="K17" s="90"/>
      <c r="L17" s="90"/>
      <c r="M17" s="1267"/>
      <c r="N17" s="91"/>
      <c r="O17" s="90">
        <f>O16+1</f>
        <v>6</v>
      </c>
      <c r="P17" s="97"/>
      <c r="Q17" s="97"/>
      <c r="R17" s="97"/>
      <c r="S17" s="1266"/>
      <c r="T17" s="1266"/>
    </row>
    <row r="18" spans="1:23" ht="13.5" customHeight="1">
      <c r="A18" s="98"/>
      <c r="B18" s="105"/>
      <c r="C18" s="90"/>
      <c r="D18" s="90"/>
      <c r="E18" s="90"/>
      <c r="F18" s="90"/>
      <c r="G18" s="90"/>
      <c r="H18" s="1455"/>
      <c r="I18" s="90"/>
      <c r="K18" s="90"/>
      <c r="L18" s="90"/>
      <c r="M18" s="1267"/>
      <c r="N18" s="91"/>
      <c r="O18" s="97"/>
      <c r="P18" s="97"/>
      <c r="Q18" s="97"/>
      <c r="R18" s="97"/>
      <c r="S18" s="1266"/>
      <c r="T18" s="1266"/>
    </row>
    <row r="19" spans="1:23">
      <c r="A19" s="96"/>
      <c r="B19" s="90"/>
      <c r="C19" s="90"/>
      <c r="D19" s="90"/>
      <c r="E19" s="90"/>
      <c r="F19" s="90"/>
      <c r="G19" s="90"/>
      <c r="H19" s="1455"/>
      <c r="I19" s="90"/>
      <c r="K19" s="90"/>
      <c r="L19" s="90"/>
      <c r="M19" s="1267"/>
      <c r="N19" s="91"/>
      <c r="O19" s="97"/>
      <c r="P19" s="97"/>
      <c r="Q19" s="97"/>
      <c r="R19" s="97"/>
      <c r="S19" s="1266"/>
      <c r="T19" s="1266"/>
    </row>
    <row r="20" spans="1:23">
      <c r="A20" s="106" t="s">
        <v>490</v>
      </c>
      <c r="B20" s="107" t="s">
        <v>264</v>
      </c>
      <c r="C20" s="750" t="s">
        <v>408</v>
      </c>
      <c r="D20" s="109" t="s">
        <v>409</v>
      </c>
      <c r="E20" s="110"/>
      <c r="F20" s="110"/>
      <c r="G20" s="110"/>
      <c r="H20" s="1457"/>
      <c r="I20" s="110"/>
      <c r="K20" s="111"/>
      <c r="L20" s="111"/>
      <c r="M20" s="1267"/>
      <c r="N20" s="91"/>
      <c r="O20" s="97"/>
      <c r="P20" s="97"/>
      <c r="Q20" s="97"/>
      <c r="R20" s="97"/>
      <c r="S20" s="1266"/>
      <c r="T20" s="1266"/>
    </row>
    <row r="21" spans="1:23">
      <c r="A21" s="112" t="s">
        <v>585</v>
      </c>
      <c r="B21" s="92" t="s">
        <v>876</v>
      </c>
      <c r="C21" s="113" t="s">
        <v>491</v>
      </c>
      <c r="D21" s="113" t="s">
        <v>492</v>
      </c>
      <c r="E21" s="113"/>
      <c r="F21" s="113"/>
      <c r="G21" s="113"/>
      <c r="H21" s="1458"/>
      <c r="I21" s="113"/>
      <c r="K21" s="111"/>
      <c r="L21" s="111"/>
      <c r="M21" s="1267"/>
      <c r="N21" s="91"/>
      <c r="O21" s="97"/>
      <c r="P21" s="97"/>
      <c r="Q21" s="97"/>
      <c r="R21" s="97"/>
      <c r="S21" s="1266"/>
      <c r="T21" s="1266"/>
    </row>
    <row r="22" spans="1:23">
      <c r="A22" s="114" t="s">
        <v>586</v>
      </c>
      <c r="B22" s="92" t="s">
        <v>877</v>
      </c>
      <c r="C22" s="113"/>
      <c r="D22" s="113"/>
      <c r="E22" s="113"/>
      <c r="F22" s="113"/>
      <c r="G22" s="113"/>
      <c r="H22" s="1459"/>
      <c r="I22" s="111"/>
      <c r="K22" s="111"/>
      <c r="L22" s="111"/>
      <c r="M22" s="1267"/>
      <c r="N22" s="91"/>
      <c r="O22" s="97"/>
      <c r="P22" s="97"/>
      <c r="Q22" s="97"/>
      <c r="R22" s="97"/>
      <c r="S22" s="1266"/>
      <c r="T22" s="1266"/>
    </row>
    <row r="23" spans="1:23">
      <c r="A23" s="114" t="s">
        <v>587</v>
      </c>
      <c r="B23" s="92" t="s">
        <v>878</v>
      </c>
      <c r="C23" s="113"/>
      <c r="D23" s="113"/>
      <c r="E23" s="113"/>
      <c r="F23" s="113"/>
      <c r="G23" s="113"/>
      <c r="H23" s="1459"/>
      <c r="I23" s="111"/>
      <c r="K23" s="111"/>
      <c r="L23" s="111"/>
      <c r="M23" s="1267"/>
      <c r="N23" s="91"/>
      <c r="O23" s="97"/>
      <c r="P23" s="97"/>
      <c r="Q23" s="97"/>
      <c r="R23" s="97"/>
      <c r="S23" s="1266"/>
      <c r="T23" s="1266"/>
    </row>
    <row r="24" spans="1:23">
      <c r="A24" s="155" t="s">
        <v>868</v>
      </c>
      <c r="B24" s="92" t="s">
        <v>879</v>
      </c>
      <c r="C24" s="116"/>
      <c r="D24" s="116"/>
      <c r="E24" s="116"/>
      <c r="F24" s="116"/>
      <c r="G24" s="116"/>
      <c r="H24" s="1460"/>
      <c r="I24" s="116"/>
      <c r="K24" s="116"/>
      <c r="L24" s="116"/>
      <c r="M24" s="1267"/>
      <c r="N24" s="91"/>
      <c r="O24" s="97"/>
      <c r="P24" s="97"/>
      <c r="Q24" s="97"/>
      <c r="R24" s="97"/>
      <c r="S24" s="1266"/>
      <c r="T24" s="1266"/>
    </row>
    <row r="25" spans="1:23">
      <c r="A25" s="641" t="s">
        <v>1170</v>
      </c>
      <c r="B25" s="619" t="s">
        <v>1008</v>
      </c>
      <c r="C25" s="116"/>
      <c r="D25" s="116"/>
      <c r="E25" s="116"/>
      <c r="F25" s="116"/>
      <c r="G25" s="116"/>
      <c r="H25" s="1460"/>
      <c r="I25" s="116"/>
      <c r="K25" s="116"/>
      <c r="L25" s="116"/>
      <c r="M25" s="1267"/>
      <c r="N25" s="91"/>
      <c r="O25" s="97"/>
      <c r="P25" s="97"/>
      <c r="Q25" s="97"/>
      <c r="R25" s="97"/>
      <c r="S25" s="1266"/>
      <c r="T25" s="1266"/>
    </row>
    <row r="26" spans="1:23">
      <c r="A26" s="641" t="s">
        <v>1202</v>
      </c>
      <c r="B26" s="619" t="s">
        <v>1204</v>
      </c>
      <c r="C26" s="116"/>
      <c r="D26" s="116"/>
      <c r="E26" s="116"/>
      <c r="F26" s="116"/>
      <c r="G26" s="116"/>
      <c r="H26" s="1460"/>
      <c r="I26" s="116"/>
      <c r="K26" s="116"/>
      <c r="L26" s="116"/>
      <c r="M26" s="1267"/>
      <c r="N26" s="91"/>
      <c r="O26" s="97"/>
      <c r="P26" s="97"/>
      <c r="Q26" s="97"/>
      <c r="R26" s="97"/>
      <c r="S26" s="1266"/>
      <c r="T26" s="1266"/>
    </row>
    <row r="27" spans="1:23">
      <c r="A27" s="641" t="s">
        <v>1203</v>
      </c>
      <c r="B27" s="619" t="s">
        <v>1205</v>
      </c>
      <c r="C27" s="116"/>
      <c r="D27" s="116"/>
      <c r="E27" s="116"/>
      <c r="F27" s="116"/>
      <c r="G27" s="116"/>
      <c r="H27" s="1460"/>
      <c r="I27" s="116"/>
      <c r="K27" s="116"/>
      <c r="L27" s="116"/>
      <c r="M27" s="1267"/>
      <c r="N27" s="91"/>
      <c r="O27" s="97"/>
      <c r="P27" s="97"/>
      <c r="Q27" s="97"/>
      <c r="R27" s="97"/>
      <c r="S27" s="1266"/>
      <c r="T27" s="1266"/>
    </row>
    <row r="28" spans="1:23">
      <c r="A28" s="641" t="s">
        <v>14560</v>
      </c>
      <c r="B28" s="619" t="s">
        <v>14562</v>
      </c>
      <c r="C28" s="116"/>
      <c r="D28" s="116"/>
      <c r="E28" s="116"/>
      <c r="F28" s="116"/>
      <c r="G28" s="116"/>
      <c r="H28" s="1460"/>
      <c r="I28" s="116"/>
      <c r="K28" s="116"/>
      <c r="L28" s="116"/>
      <c r="M28" s="1267"/>
      <c r="N28" s="91"/>
      <c r="O28" s="97"/>
      <c r="P28" s="97"/>
      <c r="Q28" s="97"/>
      <c r="R28" s="97"/>
      <c r="S28" s="1266"/>
      <c r="T28" s="1266"/>
    </row>
    <row r="29" spans="1:23">
      <c r="A29" s="641" t="s">
        <v>14561</v>
      </c>
      <c r="B29" s="619" t="s">
        <v>14563</v>
      </c>
      <c r="C29" s="116"/>
      <c r="D29" s="116"/>
      <c r="E29" s="116"/>
      <c r="F29" s="116"/>
      <c r="G29" s="116"/>
      <c r="H29" s="1460"/>
      <c r="I29" s="116"/>
      <c r="K29" s="116"/>
      <c r="L29" s="116"/>
      <c r="M29" s="1267"/>
      <c r="N29" s="91"/>
      <c r="O29" s="97"/>
      <c r="P29" s="97"/>
      <c r="Q29" s="97"/>
      <c r="R29" s="97"/>
      <c r="S29" s="1266"/>
      <c r="T29" s="1266"/>
    </row>
    <row r="30" spans="1:23">
      <c r="A30" s="89" t="s">
        <v>588</v>
      </c>
      <c r="B30" s="90" t="s">
        <v>880</v>
      </c>
      <c r="C30" s="116"/>
      <c r="D30" s="116"/>
      <c r="E30" s="116"/>
      <c r="F30" s="116"/>
      <c r="G30" s="116"/>
      <c r="H30" s="1460"/>
      <c r="I30" s="116"/>
      <c r="K30" s="116"/>
      <c r="L30" s="116"/>
      <c r="M30" s="1267"/>
      <c r="N30" s="91"/>
      <c r="O30" s="97"/>
      <c r="P30" s="97"/>
      <c r="Q30" s="97"/>
      <c r="R30" s="97"/>
      <c r="S30" s="1266"/>
      <c r="T30" s="1266"/>
    </row>
    <row r="31" spans="1:23">
      <c r="A31" s="93" t="s">
        <v>1004</v>
      </c>
      <c r="B31" s="95" t="s">
        <v>1797</v>
      </c>
      <c r="C31" s="116"/>
      <c r="D31" s="116"/>
      <c r="E31" s="116"/>
      <c r="F31" s="116"/>
      <c r="G31" s="116"/>
      <c r="H31" s="1460"/>
      <c r="I31" s="116"/>
      <c r="K31" s="116"/>
      <c r="L31" s="116"/>
      <c r="M31" s="1267"/>
      <c r="N31" s="91"/>
      <c r="O31" s="97"/>
      <c r="P31" s="97"/>
      <c r="Q31" s="97"/>
      <c r="R31" s="97"/>
      <c r="S31" s="1266"/>
      <c r="T31" s="1266"/>
    </row>
    <row r="32" spans="1:23">
      <c r="A32" s="103" t="s">
        <v>1201</v>
      </c>
      <c r="B32" s="1117" t="s">
        <v>1798</v>
      </c>
      <c r="C32" s="97"/>
      <c r="D32" s="94"/>
      <c r="E32" s="94"/>
      <c r="F32" s="145"/>
      <c r="G32" s="94"/>
      <c r="H32" s="1461"/>
      <c r="I32" s="94"/>
      <c r="J32" s="94"/>
      <c r="L32" s="94"/>
      <c r="M32" s="1282"/>
      <c r="N32" s="94"/>
      <c r="O32" s="91"/>
      <c r="P32" s="97"/>
      <c r="Q32" s="97"/>
      <c r="R32" s="97"/>
      <c r="S32" s="1266"/>
      <c r="T32" s="1266"/>
      <c r="U32" s="97" t="s">
        <v>604</v>
      </c>
      <c r="V32" s="97"/>
      <c r="W32" s="97"/>
    </row>
    <row r="33" spans="1:64" ht="18">
      <c r="A33" s="119" t="s">
        <v>584</v>
      </c>
      <c r="B33" s="89"/>
      <c r="C33" s="89"/>
      <c r="D33" s="89"/>
      <c r="E33" s="89" t="s">
        <v>278</v>
      </c>
      <c r="F33" s="89"/>
      <c r="G33" s="89"/>
      <c r="H33" s="1462"/>
      <c r="I33" s="89"/>
      <c r="J33" s="89"/>
      <c r="K33" s="89"/>
      <c r="L33" s="89"/>
      <c r="M33" s="1266"/>
      <c r="N33" s="89"/>
      <c r="O33" s="89"/>
      <c r="P33" s="89"/>
      <c r="Q33" s="89"/>
      <c r="R33" s="89"/>
      <c r="S33" s="1266"/>
      <c r="T33" s="1266"/>
      <c r="U33" s="120" t="s">
        <v>297</v>
      </c>
      <c r="W33" s="89"/>
      <c r="X33" s="90"/>
      <c r="Y33" s="89"/>
      <c r="Z33" s="89"/>
      <c r="AA33" s="89"/>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121"/>
      <c r="BC33" s="121"/>
      <c r="BD33" s="121"/>
      <c r="BE33" s="121"/>
      <c r="BF33" s="121"/>
      <c r="BG33" s="121"/>
      <c r="BH33" s="121"/>
      <c r="BI33" s="121"/>
    </row>
    <row r="34" spans="1:64" s="124" customFormat="1" ht="42.75" customHeight="1">
      <c r="A34" s="123" t="s">
        <v>279</v>
      </c>
      <c r="B34" s="120" t="s">
        <v>280</v>
      </c>
      <c r="C34" s="120" t="s">
        <v>493</v>
      </c>
      <c r="D34" s="120" t="s">
        <v>281</v>
      </c>
      <c r="E34" s="120" t="s">
        <v>282</v>
      </c>
      <c r="F34" s="120" t="s">
        <v>578</v>
      </c>
      <c r="G34" s="120" t="s">
        <v>298</v>
      </c>
      <c r="H34" s="1463" t="s">
        <v>14091</v>
      </c>
      <c r="I34" s="123" t="s">
        <v>13414</v>
      </c>
      <c r="J34" s="120" t="s">
        <v>581</v>
      </c>
      <c r="K34" s="120" t="s">
        <v>1099</v>
      </c>
      <c r="L34" s="120" t="s">
        <v>589</v>
      </c>
      <c r="M34" s="1270" t="s">
        <v>582</v>
      </c>
      <c r="N34" s="1041"/>
      <c r="O34" s="120" t="s">
        <v>300</v>
      </c>
      <c r="P34" s="120" t="s">
        <v>301</v>
      </c>
      <c r="Q34" s="120" t="s">
        <v>1136</v>
      </c>
      <c r="R34" s="1219" t="s">
        <v>850</v>
      </c>
      <c r="S34" s="1270" t="s">
        <v>845</v>
      </c>
      <c r="T34" s="1271" t="s">
        <v>846</v>
      </c>
      <c r="U34" s="120" t="str">
        <f t="shared" ref="U34:AS34" si="4">$U$33&amp;"~"&amp;U36</f>
        <v>Stock~2012</v>
      </c>
      <c r="V34" s="120" t="str">
        <f t="shared" si="4"/>
        <v>Stock~2013</v>
      </c>
      <c r="W34" s="120" t="str">
        <f t="shared" si="4"/>
        <v>Stock~2014</v>
      </c>
      <c r="X34" s="120" t="str">
        <f t="shared" si="4"/>
        <v>Stock~2015</v>
      </c>
      <c r="Y34" s="120" t="str">
        <f t="shared" si="4"/>
        <v>Stock~2016</v>
      </c>
      <c r="Z34" s="120" t="str">
        <f t="shared" si="4"/>
        <v>Stock~2017</v>
      </c>
      <c r="AA34" s="120" t="str">
        <f t="shared" si="4"/>
        <v>Stock~2018</v>
      </c>
      <c r="AB34" s="120" t="str">
        <f t="shared" si="4"/>
        <v>Stock~2019</v>
      </c>
      <c r="AC34" s="120" t="str">
        <f t="shared" si="4"/>
        <v>Stock~2020</v>
      </c>
      <c r="AD34" s="120" t="str">
        <f t="shared" si="4"/>
        <v>Stock~2021</v>
      </c>
      <c r="AE34" s="120" t="str">
        <f t="shared" si="4"/>
        <v>Stock~2022</v>
      </c>
      <c r="AF34" s="120" t="str">
        <f t="shared" si="4"/>
        <v>Stock~2023</v>
      </c>
      <c r="AG34" s="120" t="str">
        <f t="shared" si="4"/>
        <v>Stock~2024</v>
      </c>
      <c r="AH34" s="120" t="str">
        <f t="shared" si="4"/>
        <v>Stock~2025</v>
      </c>
      <c r="AI34" s="120" t="str">
        <f t="shared" si="4"/>
        <v>Stock~2026</v>
      </c>
      <c r="AJ34" s="120" t="str">
        <f t="shared" si="4"/>
        <v>Stock~2027</v>
      </c>
      <c r="AK34" s="120" t="str">
        <f t="shared" si="4"/>
        <v>Stock~2028</v>
      </c>
      <c r="AL34" s="120" t="str">
        <f t="shared" si="4"/>
        <v>Stock~2029</v>
      </c>
      <c r="AM34" s="120" t="str">
        <f t="shared" si="4"/>
        <v>Stock~2030</v>
      </c>
      <c r="AN34" s="120" t="str">
        <f t="shared" si="4"/>
        <v>Stock~2031</v>
      </c>
      <c r="AO34" s="120" t="str">
        <f t="shared" si="4"/>
        <v>Stock~2032</v>
      </c>
      <c r="AP34" s="120" t="str">
        <f t="shared" si="4"/>
        <v>Stock~2033</v>
      </c>
      <c r="AQ34" s="120" t="str">
        <f t="shared" si="4"/>
        <v>Stock~2034</v>
      </c>
      <c r="AR34" s="120" t="str">
        <f t="shared" si="4"/>
        <v>Stock~2035</v>
      </c>
      <c r="AS34" s="120" t="str">
        <f t="shared" si="4"/>
        <v>Stock~2036</v>
      </c>
      <c r="AT34" s="120" t="str">
        <f t="shared" ref="AT34:BA34" si="5">$U$33&amp;"~"&amp;AT36</f>
        <v>Stock~2037</v>
      </c>
      <c r="AU34" s="120" t="str">
        <f t="shared" si="5"/>
        <v>Stock~2038</v>
      </c>
      <c r="AV34" s="120" t="str">
        <f t="shared" si="5"/>
        <v>Stock~2039</v>
      </c>
      <c r="AW34" s="120" t="str">
        <f t="shared" si="5"/>
        <v>Stock~2040</v>
      </c>
      <c r="AX34" s="120" t="str">
        <f t="shared" si="5"/>
        <v>Stock~2045</v>
      </c>
      <c r="AY34" s="120" t="str">
        <f t="shared" si="5"/>
        <v>Stock~2050</v>
      </c>
      <c r="AZ34" s="120" t="str">
        <f t="shared" si="5"/>
        <v>Stock~2060</v>
      </c>
      <c r="BA34" s="120" t="str">
        <f t="shared" si="5"/>
        <v>Stock~2070</v>
      </c>
      <c r="BB34" s="114"/>
      <c r="BC34" s="121"/>
      <c r="BD34" s="121"/>
      <c r="BE34" s="121"/>
      <c r="BF34" s="121"/>
      <c r="BG34" s="121"/>
      <c r="BH34" s="121"/>
      <c r="BI34" s="121"/>
      <c r="BJ34" s="93"/>
      <c r="BK34" s="93"/>
      <c r="BL34" s="93"/>
    </row>
    <row r="35" spans="1:64" s="124" customFormat="1" ht="51">
      <c r="A35" s="125" t="s">
        <v>283</v>
      </c>
      <c r="B35" s="125" t="s">
        <v>284</v>
      </c>
      <c r="C35" s="125" t="s">
        <v>494</v>
      </c>
      <c r="D35" s="125" t="s">
        <v>285</v>
      </c>
      <c r="E35" s="125" t="s">
        <v>286</v>
      </c>
      <c r="F35" s="125" t="s">
        <v>579</v>
      </c>
      <c r="G35" s="125" t="s">
        <v>3</v>
      </c>
      <c r="H35" s="1464" t="s">
        <v>302</v>
      </c>
      <c r="I35" s="1333" t="s">
        <v>13415</v>
      </c>
      <c r="J35" s="126" t="s">
        <v>303</v>
      </c>
      <c r="K35" s="126" t="s">
        <v>303</v>
      </c>
      <c r="L35" s="126" t="s">
        <v>590</v>
      </c>
      <c r="M35" s="1283" t="s">
        <v>583</v>
      </c>
      <c r="N35" s="126"/>
      <c r="O35" s="125" t="s">
        <v>304</v>
      </c>
      <c r="P35" s="125" t="s">
        <v>305</v>
      </c>
      <c r="Q35" s="125"/>
      <c r="R35" s="1220"/>
      <c r="S35" s="1272" t="s">
        <v>254</v>
      </c>
      <c r="T35" s="1272" t="s">
        <v>256</v>
      </c>
      <c r="U35" s="156" t="str">
        <f>"Retirement Profile"</f>
        <v>Retirement Profile</v>
      </c>
      <c r="V35" s="120"/>
      <c r="W35" s="120"/>
      <c r="X35" s="120"/>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14"/>
      <c r="BC35" s="121"/>
      <c r="BD35" s="121"/>
      <c r="BE35" s="121"/>
      <c r="BF35" s="121"/>
      <c r="BG35" s="121"/>
      <c r="BH35" s="121"/>
      <c r="BI35" s="121"/>
      <c r="BJ35" s="93"/>
      <c r="BK35" s="93"/>
      <c r="BL35" s="93"/>
    </row>
    <row r="36" spans="1:64" ht="26.25" thickBot="1">
      <c r="A36" s="130" t="s">
        <v>287</v>
      </c>
      <c r="B36" s="131"/>
      <c r="C36" s="131"/>
      <c r="D36" s="131"/>
      <c r="E36" s="131"/>
      <c r="F36" s="157" t="s">
        <v>580</v>
      </c>
      <c r="G36" s="157" t="s">
        <v>306</v>
      </c>
      <c r="H36" s="1465" t="s">
        <v>307</v>
      </c>
      <c r="I36" s="118" t="s">
        <v>307</v>
      </c>
      <c r="J36" s="118"/>
      <c r="K36" s="118"/>
      <c r="L36" s="118"/>
      <c r="M36" s="1284" t="s">
        <v>793</v>
      </c>
      <c r="N36" s="715"/>
      <c r="O36" s="715" t="s">
        <v>793</v>
      </c>
      <c r="P36" s="715" t="s">
        <v>826</v>
      </c>
      <c r="Q36" s="715" t="s">
        <v>580</v>
      </c>
      <c r="R36" s="715"/>
      <c r="S36" s="1273" t="s">
        <v>1100</v>
      </c>
      <c r="T36" s="1273"/>
      <c r="U36" s="158">
        <v>2012</v>
      </c>
      <c r="V36" s="132">
        <v>2013</v>
      </c>
      <c r="W36" s="132">
        <v>2014</v>
      </c>
      <c r="X36" s="132">
        <v>2015</v>
      </c>
      <c r="Y36" s="132">
        <v>2016</v>
      </c>
      <c r="Z36" s="132">
        <v>2017</v>
      </c>
      <c r="AA36" s="132">
        <v>2018</v>
      </c>
      <c r="AB36" s="132">
        <v>2019</v>
      </c>
      <c r="AC36" s="132">
        <v>2020</v>
      </c>
      <c r="AD36" s="132">
        <v>2021</v>
      </c>
      <c r="AE36" s="132">
        <v>2022</v>
      </c>
      <c r="AF36" s="132">
        <v>2023</v>
      </c>
      <c r="AG36" s="132">
        <v>2024</v>
      </c>
      <c r="AH36" s="132">
        <v>2025</v>
      </c>
      <c r="AI36" s="132">
        <v>2026</v>
      </c>
      <c r="AJ36" s="132">
        <v>2027</v>
      </c>
      <c r="AK36" s="132">
        <v>2028</v>
      </c>
      <c r="AL36" s="132">
        <v>2029</v>
      </c>
      <c r="AM36" s="132">
        <f>AL36+1</f>
        <v>2030</v>
      </c>
      <c r="AN36" s="132">
        <f t="shared" ref="AN36" si="6">AM36+1</f>
        <v>2031</v>
      </c>
      <c r="AO36" s="132">
        <f t="shared" ref="AO36" si="7">AN36+1</f>
        <v>2032</v>
      </c>
      <c r="AP36" s="132">
        <f t="shared" ref="AP36" si="8">AO36+1</f>
        <v>2033</v>
      </c>
      <c r="AQ36" s="132">
        <f t="shared" ref="AQ36" si="9">AP36+1</f>
        <v>2034</v>
      </c>
      <c r="AR36" s="132">
        <f t="shared" ref="AR36" si="10">AQ36+1</f>
        <v>2035</v>
      </c>
      <c r="AS36" s="132">
        <f>AR36+1</f>
        <v>2036</v>
      </c>
      <c r="AT36" s="132">
        <f>AS36+1</f>
        <v>2037</v>
      </c>
      <c r="AU36" s="132">
        <f>AT36+1</f>
        <v>2038</v>
      </c>
      <c r="AV36" s="132">
        <f>AU36+1</f>
        <v>2039</v>
      </c>
      <c r="AW36" s="132">
        <f>AV36+1</f>
        <v>2040</v>
      </c>
      <c r="AX36" s="132">
        <f>AW36+5</f>
        <v>2045</v>
      </c>
      <c r="AY36" s="132">
        <f>AX36+5</f>
        <v>2050</v>
      </c>
      <c r="AZ36" s="132">
        <v>2060</v>
      </c>
      <c r="BA36" s="132">
        <v>2070</v>
      </c>
      <c r="BB36" s="121"/>
      <c r="BC36" s="121"/>
      <c r="BD36" s="121"/>
      <c r="BE36" s="121"/>
      <c r="BF36" s="121"/>
      <c r="BG36" s="121"/>
      <c r="BH36" s="121"/>
      <c r="BI36" s="121"/>
    </row>
    <row r="37" spans="1:64">
      <c r="A37" s="159" t="s">
        <v>292</v>
      </c>
      <c r="B37" s="142"/>
      <c r="C37" s="142"/>
      <c r="D37" s="140">
        <v>1</v>
      </c>
      <c r="E37" s="140">
        <f t="shared" ref="E37:M37" si="11">D37+1</f>
        <v>2</v>
      </c>
      <c r="F37" s="140">
        <f t="shared" si="11"/>
        <v>3</v>
      </c>
      <c r="G37" s="140">
        <f t="shared" si="11"/>
        <v>4</v>
      </c>
      <c r="H37" s="1095">
        <f t="shared" si="11"/>
        <v>5</v>
      </c>
      <c r="I37" s="435">
        <f t="shared" si="11"/>
        <v>6</v>
      </c>
      <c r="J37" s="435">
        <f>I37+1</f>
        <v>7</v>
      </c>
      <c r="K37" s="435">
        <f>J37+1</f>
        <v>8</v>
      </c>
      <c r="L37" s="435">
        <f t="shared" si="11"/>
        <v>9</v>
      </c>
      <c r="M37" s="1274">
        <f t="shared" si="11"/>
        <v>10</v>
      </c>
      <c r="N37" s="435">
        <f t="shared" ref="N37:T37" si="12">M37+1</f>
        <v>11</v>
      </c>
      <c r="O37" s="435">
        <f t="shared" si="12"/>
        <v>12</v>
      </c>
      <c r="P37" s="435">
        <f t="shared" si="12"/>
        <v>13</v>
      </c>
      <c r="Q37" s="435">
        <f t="shared" si="12"/>
        <v>14</v>
      </c>
      <c r="R37" s="435">
        <f>Q37+1</f>
        <v>15</v>
      </c>
      <c r="S37" s="1274">
        <f>R37+1</f>
        <v>16</v>
      </c>
      <c r="T37" s="1274">
        <f t="shared" si="12"/>
        <v>17</v>
      </c>
      <c r="U37" s="435">
        <f t="shared" ref="U37:AR37" si="13">T37+1</f>
        <v>18</v>
      </c>
      <c r="V37" s="140">
        <f t="shared" si="13"/>
        <v>19</v>
      </c>
      <c r="W37" s="140">
        <f t="shared" si="13"/>
        <v>20</v>
      </c>
      <c r="X37" s="140">
        <f t="shared" si="13"/>
        <v>21</v>
      </c>
      <c r="Y37" s="140">
        <f t="shared" si="13"/>
        <v>22</v>
      </c>
      <c r="Z37" s="140">
        <f t="shared" si="13"/>
        <v>23</v>
      </c>
      <c r="AA37" s="140">
        <f t="shared" si="13"/>
        <v>24</v>
      </c>
      <c r="AB37" s="140">
        <f t="shared" si="13"/>
        <v>25</v>
      </c>
      <c r="AC37" s="140">
        <f t="shared" si="13"/>
        <v>26</v>
      </c>
      <c r="AD37" s="140">
        <f t="shared" si="13"/>
        <v>27</v>
      </c>
      <c r="AE37" s="140">
        <f t="shared" si="13"/>
        <v>28</v>
      </c>
      <c r="AF37" s="140">
        <f t="shared" si="13"/>
        <v>29</v>
      </c>
      <c r="AG37" s="140">
        <f t="shared" si="13"/>
        <v>30</v>
      </c>
      <c r="AH37" s="140">
        <f t="shared" si="13"/>
        <v>31</v>
      </c>
      <c r="AI37" s="140">
        <f t="shared" si="13"/>
        <v>32</v>
      </c>
      <c r="AJ37" s="140">
        <f t="shared" si="13"/>
        <v>33</v>
      </c>
      <c r="AK37" s="140">
        <f t="shared" si="13"/>
        <v>34</v>
      </c>
      <c r="AL37" s="140">
        <f t="shared" si="13"/>
        <v>35</v>
      </c>
      <c r="AM37" s="140">
        <f t="shared" si="13"/>
        <v>36</v>
      </c>
      <c r="AN37" s="140">
        <f t="shared" si="13"/>
        <v>37</v>
      </c>
      <c r="AO37" s="140">
        <f t="shared" si="13"/>
        <v>38</v>
      </c>
      <c r="AP37" s="140">
        <f t="shared" si="13"/>
        <v>39</v>
      </c>
      <c r="AQ37" s="140">
        <f t="shared" si="13"/>
        <v>40</v>
      </c>
      <c r="AR37" s="140">
        <f t="shared" si="13"/>
        <v>41</v>
      </c>
      <c r="AS37" s="140">
        <f>AR37+1</f>
        <v>42</v>
      </c>
      <c r="AT37" s="435">
        <f t="shared" ref="AT37:AX37" si="14">AS37+1</f>
        <v>43</v>
      </c>
      <c r="AU37" s="435">
        <f t="shared" si="14"/>
        <v>44</v>
      </c>
      <c r="AV37" s="435">
        <f t="shared" si="14"/>
        <v>45</v>
      </c>
      <c r="AW37" s="435">
        <f t="shared" si="14"/>
        <v>46</v>
      </c>
      <c r="AX37" s="435">
        <f t="shared" si="14"/>
        <v>47</v>
      </c>
      <c r="AY37" s="435">
        <f t="shared" ref="AY37:BB37" si="15">AX37+1</f>
        <v>48</v>
      </c>
      <c r="AZ37" s="435">
        <f t="shared" si="15"/>
        <v>49</v>
      </c>
      <c r="BA37" s="435">
        <f t="shared" si="15"/>
        <v>50</v>
      </c>
      <c r="BB37" s="435">
        <f t="shared" si="15"/>
        <v>51</v>
      </c>
      <c r="BC37" s="121"/>
      <c r="BD37" s="121" t="s">
        <v>603</v>
      </c>
      <c r="BE37" s="121"/>
      <c r="BF37" s="121"/>
      <c r="BG37" s="121"/>
      <c r="BH37" s="121"/>
      <c r="BI37" s="121"/>
    </row>
    <row r="38" spans="1:64" ht="15">
      <c r="A38" s="142" t="str">
        <f>$A$21&amp;" Coastal Existing"</f>
        <v>Refinery Crude Oil Coastal Existing</v>
      </c>
      <c r="B38" s="140" t="str">
        <f>$B$21&amp;RIGHT($D38,3)&amp;$C$21&amp;"-E"</f>
        <v>UREFOCRCO-E</v>
      </c>
      <c r="C38" s="140"/>
      <c r="D38" s="124" t="str">
        <f>$B$6&amp;$T$6</f>
        <v>UPSOCR</v>
      </c>
      <c r="E38" s="124"/>
      <c r="F38" s="152"/>
      <c r="G38" s="569">
        <v>0.96499999999999997</v>
      </c>
      <c r="H38" s="1466">
        <v>0.78780636432572204</v>
      </c>
      <c r="I38" s="1334">
        <f>RefineriesData!R173</f>
        <v>0.71279021855761659</v>
      </c>
      <c r="J38" s="143">
        <f>SUMIF(RefineriesData!$J$16:$J$221,$B38&amp;RIGHT($D38,3),RefineriesData!$N$16:$N$221)</f>
        <v>0.99366286837178408</v>
      </c>
      <c r="K38" s="152"/>
      <c r="L38" s="152"/>
      <c r="M38" s="1286">
        <f>IFERROR(zar.2010*SUMIF(RefineriesData!$J$13:$J$245,$B38&amp;M$34,RefineriesData!$N$13:$N$245),"")</f>
        <v>0</v>
      </c>
      <c r="N38" s="152"/>
      <c r="O38" s="494">
        <f>SUMIF(RefineriesData!$J$13:$J$245,$B38&amp;O$34,RefineriesData!$N$13:$N$245)</f>
        <v>0</v>
      </c>
      <c r="P38" s="494">
        <f>IFERROR(zar.2010*SUMIF(RefineriesData!$J$13:$J$245,$B38&amp;P$34,RefineriesData!$N$13:$N$245), "")</f>
        <v>19.837857647588002</v>
      </c>
      <c r="Q38" s="143"/>
      <c r="R38" s="143">
        <v>0</v>
      </c>
      <c r="S38" s="1275">
        <f>SUMIF(RefineriesData!$J$13:$J$221,$B38&amp;S$35,RefineriesData!$N$13:$N$221)</f>
        <v>4.2865158837537818</v>
      </c>
      <c r="T38" s="1275">
        <f>SUMIF(RefineriesData!$J$13:$J$221,$B38&amp;T$35,RefineriesData!$N$13:$N$221)</f>
        <v>0</v>
      </c>
      <c r="U38" s="417">
        <f>SUMIF(RefineriesData!$J$13:$J$221,$B38&amp;U$32,RefineriesData!$N$13:$N$221)</f>
        <v>787.96154470864383</v>
      </c>
      <c r="V38" s="145">
        <f t="shared" ref="V38:BA38" si="16">U38</f>
        <v>787.96154470864383</v>
      </c>
      <c r="W38" s="145">
        <f t="shared" si="16"/>
        <v>787.96154470864383</v>
      </c>
      <c r="X38" s="145">
        <f t="shared" si="16"/>
        <v>787.96154470864383</v>
      </c>
      <c r="Y38" s="145">
        <f t="shared" si="16"/>
        <v>787.96154470864383</v>
      </c>
      <c r="Z38" s="145">
        <f t="shared" si="16"/>
        <v>787.96154470864383</v>
      </c>
      <c r="AA38" s="145">
        <f t="shared" si="16"/>
        <v>787.96154470864383</v>
      </c>
      <c r="AB38" s="145">
        <f t="shared" si="16"/>
        <v>787.96154470864383</v>
      </c>
      <c r="AC38" s="145">
        <f>$AB$38*REF.crude.CAP_rel.2020</f>
        <v>271.19135381941851</v>
      </c>
      <c r="AD38" s="145">
        <f>$AB$38*REF.crude.CAP_rel.2021</f>
        <v>433.90616611106964</v>
      </c>
      <c r="AE38" s="145">
        <f>$AB$38*REF.crude.CAP_rel.2022</f>
        <v>584.56802934407995</v>
      </c>
      <c r="AF38" s="145">
        <f t="shared" si="16"/>
        <v>584.56802934407995</v>
      </c>
      <c r="AG38" s="145">
        <f t="shared" si="16"/>
        <v>584.56802934407995</v>
      </c>
      <c r="AH38" s="145">
        <f t="shared" si="16"/>
        <v>584.56802934407995</v>
      </c>
      <c r="AI38" s="145">
        <f t="shared" si="16"/>
        <v>584.56802934407995</v>
      </c>
      <c r="AJ38" s="145">
        <f t="shared" si="16"/>
        <v>584.56802934407995</v>
      </c>
      <c r="AK38" s="145">
        <f t="shared" si="16"/>
        <v>584.56802934407995</v>
      </c>
      <c r="AL38" s="145">
        <f t="shared" si="16"/>
        <v>584.56802934407995</v>
      </c>
      <c r="AM38" s="145">
        <f>$AB$38*REF.crude.CAP_rel.2030</f>
        <v>584.56802934407995</v>
      </c>
      <c r="AN38" s="145">
        <f t="shared" si="16"/>
        <v>584.56802934407995</v>
      </c>
      <c r="AO38" s="145">
        <f t="shared" si="16"/>
        <v>584.56802934407995</v>
      </c>
      <c r="AP38" s="145">
        <f t="shared" si="16"/>
        <v>584.56802934407995</v>
      </c>
      <c r="AQ38" s="145">
        <f t="shared" si="16"/>
        <v>584.56802934407995</v>
      </c>
      <c r="AR38" s="145">
        <f t="shared" si="16"/>
        <v>584.56802934407995</v>
      </c>
      <c r="AS38" s="145">
        <f t="shared" si="16"/>
        <v>584.56802934407995</v>
      </c>
      <c r="AT38" s="145">
        <f t="shared" si="16"/>
        <v>584.56802934407995</v>
      </c>
      <c r="AU38" s="145">
        <f t="shared" si="16"/>
        <v>584.56802934407995</v>
      </c>
      <c r="AV38" s="145">
        <f t="shared" si="16"/>
        <v>584.56802934407995</v>
      </c>
      <c r="AW38" s="145" cm="1">
        <f t="array" ref="AW38">$AB$38*REF.crude.CAP_rel.2040</f>
        <v>584.56802934407995</v>
      </c>
      <c r="AX38" s="145">
        <f t="shared" si="16"/>
        <v>584.56802934407995</v>
      </c>
      <c r="AY38" s="145">
        <f t="shared" si="16"/>
        <v>584.56802934407995</v>
      </c>
      <c r="AZ38" s="145">
        <f t="shared" si="16"/>
        <v>584.56802934407995</v>
      </c>
      <c r="BA38" s="145">
        <f t="shared" si="16"/>
        <v>584.56802934407995</v>
      </c>
      <c r="BC38" s="121"/>
      <c r="BD38" s="121">
        <v>1</v>
      </c>
      <c r="BE38" s="121"/>
      <c r="BF38" s="121"/>
      <c r="BG38" s="121"/>
      <c r="BH38" s="121"/>
      <c r="BI38" s="121"/>
    </row>
    <row r="39" spans="1:64">
      <c r="A39" s="142"/>
      <c r="B39" s="140"/>
      <c r="C39" s="140"/>
      <c r="D39" s="124" t="str">
        <f>$B$6&amp;NameConv!$C$26</f>
        <v>UPSGIC</v>
      </c>
      <c r="E39" s="124"/>
      <c r="F39" s="152"/>
      <c r="G39" s="152"/>
      <c r="H39" s="1467"/>
      <c r="I39" s="152"/>
      <c r="J39" s="1439">
        <f>SUMIF(RefineriesData!$J$16:$J$221,$B38&amp;RIGHT($D39,3),RefineriesData!$N$16:$N$221)</f>
        <v>0</v>
      </c>
      <c r="K39" s="152"/>
      <c r="L39" s="152"/>
      <c r="M39" s="1286">
        <f>IFERROR(zar.2010*SUMIF(RefineriesData!$J$13:$J$245,$B39&amp;M$34,RefineriesData!$N$13:$N$245),"")</f>
        <v>0</v>
      </c>
      <c r="N39" s="152"/>
      <c r="O39" s="494"/>
      <c r="P39" s="494"/>
      <c r="Q39" s="143"/>
      <c r="R39" s="143"/>
      <c r="S39" s="1275"/>
      <c r="T39" s="1275"/>
      <c r="U39" s="160"/>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C39" s="121"/>
      <c r="BD39" s="121">
        <f>BD38+1</f>
        <v>2</v>
      </c>
      <c r="BE39" s="121"/>
      <c r="BF39" s="121"/>
      <c r="BG39" s="121"/>
      <c r="BH39" s="121"/>
      <c r="BI39" s="121"/>
    </row>
    <row r="40" spans="1:64">
      <c r="A40" s="142"/>
      <c r="B40" s="140"/>
      <c r="C40" s="140"/>
      <c r="D40" s="124" t="str">
        <f>$B$6&amp;$G$6</f>
        <v>UPSELC</v>
      </c>
      <c r="E40" s="124"/>
      <c r="F40" s="152"/>
      <c r="G40" s="152"/>
      <c r="H40" s="1467"/>
      <c r="I40" s="152"/>
      <c r="J40" s="418">
        <f>1-SUM(J38:J39)</f>
        <v>6.3371316282159196E-3</v>
      </c>
      <c r="K40" s="152"/>
      <c r="L40" s="152"/>
      <c r="M40" s="1286">
        <f>IFERROR(zar.2010*SUMIF(RefineriesData!$J$13:$J$245,$B40&amp;M$34,RefineriesData!$N$13:$N$245),"")</f>
        <v>0</v>
      </c>
      <c r="N40" s="152"/>
      <c r="O40" s="494"/>
      <c r="P40" s="494"/>
      <c r="Q40" s="143"/>
      <c r="R40" s="143"/>
      <c r="S40" s="1275"/>
      <c r="T40" s="1275"/>
      <c r="U40" s="160"/>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C40" s="140"/>
      <c r="BD40" s="121">
        <f t="shared" ref="BD40:BD123" si="17">BD39+1</f>
        <v>3</v>
      </c>
    </row>
    <row r="41" spans="1:64">
      <c r="A41" s="142"/>
      <c r="B41" s="140"/>
      <c r="C41" s="140"/>
      <c r="D41" s="124"/>
      <c r="E41" s="124" t="str">
        <f>$S$6</f>
        <v>OAG</v>
      </c>
      <c r="F41" s="152"/>
      <c r="G41" s="152"/>
      <c r="H41" s="1467"/>
      <c r="I41" s="152"/>
      <c r="J41" s="152"/>
      <c r="K41" s="418">
        <f>SUMIF(RefineriesData!$J$16:$J$221,$B38&amp;RIGHT($E41,3),RefineriesData!$N$16:$N$221)</f>
        <v>2.8514857409240738E-3</v>
      </c>
      <c r="L41" s="152"/>
      <c r="M41" s="1286">
        <f>IFERROR(zar.2010*SUMIF(RefineriesData!$J$13:$J$245,$B41&amp;M$34,RefineriesData!$N$13:$N$245),"")</f>
        <v>0</v>
      </c>
      <c r="N41" s="152"/>
      <c r="O41" s="494"/>
      <c r="P41" s="494"/>
      <c r="Q41" s="143"/>
      <c r="R41" s="143"/>
      <c r="S41" s="1275"/>
      <c r="T41" s="1275"/>
      <c r="U41" s="160"/>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C41" s="140"/>
      <c r="BD41" s="121">
        <f t="shared" si="17"/>
        <v>4</v>
      </c>
    </row>
    <row r="42" spans="1:64">
      <c r="A42" s="142"/>
      <c r="B42" s="140"/>
      <c r="C42" s="140"/>
      <c r="D42" s="124"/>
      <c r="E42" s="124" t="str">
        <f>$U$6</f>
        <v>ODS</v>
      </c>
      <c r="F42" s="152"/>
      <c r="G42" s="152"/>
      <c r="H42" s="1467"/>
      <c r="I42" s="152"/>
      <c r="J42" s="152"/>
      <c r="K42" s="418">
        <f>SUMIF(RefineriesData!$J$16:$J$221,$B38&amp;RIGHT($E42,3),RefineriesData!$N$16:$N$221)</f>
        <v>0.33216146888997561</v>
      </c>
      <c r="L42" s="152"/>
      <c r="M42" s="1286">
        <f>IFERROR(zar.2010*SUMIF(RefineriesData!$J$13:$J$245,$B42&amp;M$34,RefineriesData!$N$13:$N$245),"")</f>
        <v>0</v>
      </c>
      <c r="N42" s="152"/>
      <c r="O42" s="494"/>
      <c r="P42" s="494"/>
      <c r="Q42" s="143"/>
      <c r="R42" s="143"/>
      <c r="S42" s="1275"/>
      <c r="T42" s="1275"/>
      <c r="U42" s="160"/>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C42" s="140"/>
      <c r="BD42" s="121">
        <f t="shared" si="17"/>
        <v>5</v>
      </c>
    </row>
    <row r="43" spans="1:64">
      <c r="A43" s="142"/>
      <c r="B43" s="140"/>
      <c r="C43" s="140"/>
      <c r="D43" s="124"/>
      <c r="E43" s="124" t="str">
        <f>$V$6</f>
        <v>OGS</v>
      </c>
      <c r="F43" s="152"/>
      <c r="G43" s="152"/>
      <c r="H43" s="1467"/>
      <c r="I43" s="152"/>
      <c r="J43" s="152"/>
      <c r="K43" s="418">
        <f>SUMIF(RefineriesData!$J$16:$J$221,$B38&amp;RIGHT($E43,3),RefineriesData!$N$16:$N$221)</f>
        <v>0.28959096866700185</v>
      </c>
      <c r="L43" s="152"/>
      <c r="M43" s="1286">
        <f>IFERROR(zar.2010*SUMIF(RefineriesData!$J$13:$J$245,$B43&amp;M$34,RefineriesData!$N$13:$N$245),"")</f>
        <v>0</v>
      </c>
      <c r="N43" s="152"/>
      <c r="O43" s="494"/>
      <c r="P43" s="494"/>
      <c r="Q43" s="143"/>
      <c r="R43" s="143"/>
      <c r="S43" s="1275"/>
      <c r="T43" s="1275"/>
      <c r="U43" s="160"/>
      <c r="V43" s="145"/>
      <c r="W43" s="145"/>
      <c r="X43" s="145"/>
      <c r="Y43" s="145"/>
      <c r="Z43" s="145"/>
      <c r="AA43" s="145"/>
      <c r="AB43" s="145"/>
      <c r="AC43" s="145"/>
      <c r="AD43" s="145"/>
      <c r="AE43" s="145"/>
      <c r="AF43" s="145"/>
      <c r="AG43" s="145"/>
      <c r="AH43" s="145"/>
      <c r="AI43" s="145"/>
      <c r="AJ43" s="145"/>
      <c r="AK43" s="145"/>
      <c r="AL43" s="145"/>
      <c r="AM43" s="145"/>
      <c r="AN43" s="145"/>
      <c r="AO43" s="145"/>
      <c r="AP43" s="145"/>
      <c r="AQ43" s="145"/>
      <c r="AR43" s="145"/>
      <c r="AS43" s="145"/>
      <c r="AT43" s="145"/>
      <c r="AU43" s="145"/>
      <c r="AV43" s="145"/>
      <c r="AW43" s="145"/>
      <c r="AX43" s="145"/>
      <c r="AY43" s="145"/>
      <c r="AZ43" s="145"/>
      <c r="BA43" s="145"/>
      <c r="BC43" s="140"/>
      <c r="BD43" s="121">
        <f t="shared" si="17"/>
        <v>6</v>
      </c>
    </row>
    <row r="44" spans="1:64">
      <c r="A44" s="142"/>
      <c r="B44" s="140"/>
      <c r="C44" s="140"/>
      <c r="D44" s="124"/>
      <c r="E44" s="124" t="str">
        <f>$W$6</f>
        <v>OHF</v>
      </c>
      <c r="F44" s="152"/>
      <c r="G44" s="152"/>
      <c r="H44" s="1467"/>
      <c r="I44" s="152"/>
      <c r="J44" s="152"/>
      <c r="K44" s="418">
        <f>SUMIF(RefineriesData!$J$16:$J$221,$B38&amp;RIGHT($E44,3),RefineriesData!$N$16:$N$221)</f>
        <v>0.22843104976229886</v>
      </c>
      <c r="L44" s="152"/>
      <c r="M44" s="1286">
        <f>IFERROR(zar.2010*SUMIF(RefineriesData!$J$13:$J$245,$B44&amp;M$34,RefineriesData!$N$13:$N$245),"")</f>
        <v>0</v>
      </c>
      <c r="N44" s="152"/>
      <c r="O44" s="494"/>
      <c r="P44" s="494"/>
      <c r="Q44" s="143"/>
      <c r="R44" s="143"/>
      <c r="S44" s="1275"/>
      <c r="T44" s="1275"/>
      <c r="U44" s="160"/>
      <c r="V44" s="145"/>
      <c r="W44" s="145"/>
      <c r="X44" s="145"/>
      <c r="Y44" s="145"/>
      <c r="Z44" s="145"/>
      <c r="AA44" s="145"/>
      <c r="AB44" s="145"/>
      <c r="AC44" s="145"/>
      <c r="AD44" s="145"/>
      <c r="AE44" s="145"/>
      <c r="AF44" s="145"/>
      <c r="AG44" s="145"/>
      <c r="AH44" s="145"/>
      <c r="AI44" s="145"/>
      <c r="AJ44" s="145"/>
      <c r="AK44" s="145"/>
      <c r="AL44" s="145"/>
      <c r="AM44" s="145"/>
      <c r="AN44" s="145"/>
      <c r="AO44" s="145"/>
      <c r="AP44" s="145"/>
      <c r="AQ44" s="145"/>
      <c r="AR44" s="145"/>
      <c r="AS44" s="145"/>
      <c r="AT44" s="145"/>
      <c r="AU44" s="145"/>
      <c r="AV44" s="145"/>
      <c r="AW44" s="145"/>
      <c r="AX44" s="145"/>
      <c r="AY44" s="145"/>
      <c r="AZ44" s="145"/>
      <c r="BA44" s="145"/>
      <c r="BC44" s="140"/>
      <c r="BD44" s="121">
        <f t="shared" si="17"/>
        <v>7</v>
      </c>
    </row>
    <row r="45" spans="1:64">
      <c r="A45" s="142"/>
      <c r="B45" s="140"/>
      <c r="C45" s="140"/>
      <c r="D45" s="124"/>
      <c r="E45" s="124" t="str">
        <f>$X$6</f>
        <v>OKE</v>
      </c>
      <c r="F45" s="152"/>
      <c r="G45" s="152"/>
      <c r="H45" s="1467"/>
      <c r="I45" s="152"/>
      <c r="J45" s="152"/>
      <c r="K45" s="418">
        <f>SUMIF(RefineriesData!$J$16:$J$221,$B38&amp;RIGHT($E45,3),RefineriesData!$N$16:$N$221)</f>
        <v>0.10627528143612863</v>
      </c>
      <c r="L45" s="152"/>
      <c r="M45" s="1286">
        <f>IFERROR(zar.2010*SUMIF(RefineriesData!$J$13:$J$245,$B45&amp;M$34,RefineriesData!$N$13:$N$245),"")</f>
        <v>0</v>
      </c>
      <c r="N45" s="152"/>
      <c r="O45" s="494"/>
      <c r="P45" s="494"/>
      <c r="Q45" s="143"/>
      <c r="R45" s="143"/>
      <c r="S45" s="1275"/>
      <c r="T45" s="1275"/>
      <c r="U45" s="160"/>
      <c r="V45" s="145"/>
      <c r="W45" s="145"/>
      <c r="X45" s="145"/>
      <c r="Y45" s="145"/>
      <c r="Z45" s="145"/>
      <c r="AA45" s="145"/>
      <c r="AB45" s="145"/>
      <c r="AC45" s="145"/>
      <c r="AD45" s="145"/>
      <c r="AE45" s="145"/>
      <c r="AF45" s="145"/>
      <c r="AG45" s="145"/>
      <c r="AH45" s="145"/>
      <c r="AI45" s="145"/>
      <c r="AJ45" s="145"/>
      <c r="AK45" s="145"/>
      <c r="AL45" s="145"/>
      <c r="AM45" s="145"/>
      <c r="AN45" s="145"/>
      <c r="AO45" s="145"/>
      <c r="AP45" s="145"/>
      <c r="AQ45" s="145"/>
      <c r="AR45" s="145"/>
      <c r="AS45" s="145"/>
      <c r="AT45" s="145"/>
      <c r="AU45" s="145"/>
      <c r="AV45" s="145"/>
      <c r="AW45" s="145"/>
      <c r="AX45" s="145"/>
      <c r="AY45" s="145"/>
      <c r="AZ45" s="145"/>
      <c r="BA45" s="145"/>
      <c r="BC45" s="140"/>
      <c r="BD45" s="121">
        <f t="shared" si="17"/>
        <v>8</v>
      </c>
    </row>
    <row r="46" spans="1:64">
      <c r="A46" s="436"/>
      <c r="B46" s="435"/>
      <c r="C46" s="435"/>
      <c r="D46" s="124"/>
      <c r="E46" s="124" t="str">
        <f>$Y$6</f>
        <v>OLP</v>
      </c>
      <c r="F46" s="152"/>
      <c r="G46" s="152"/>
      <c r="H46" s="1467"/>
      <c r="I46" s="152"/>
      <c r="J46" s="152"/>
      <c r="K46" s="418">
        <f>SUMIF(RefineriesData!$J$16:$J$221,$B38&amp;RIGHT($E46,3),RefineriesData!$N$16:$N$221)</f>
        <v>1.9461796662135593E-2</v>
      </c>
      <c r="L46" s="152"/>
      <c r="M46" s="1286">
        <f>IFERROR(zar.2010*SUMIF(RefineriesData!$J$13:$J$245,$B46&amp;M$34,RefineriesData!$N$13:$N$245),"")</f>
        <v>0</v>
      </c>
      <c r="N46" s="152"/>
      <c r="O46" s="494"/>
      <c r="P46" s="494"/>
      <c r="Q46" s="143"/>
      <c r="R46" s="143"/>
      <c r="S46" s="1275"/>
      <c r="T46" s="1275"/>
      <c r="U46" s="160"/>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45"/>
      <c r="AY46" s="145"/>
      <c r="AZ46" s="145"/>
      <c r="BA46" s="145"/>
      <c r="BC46" s="435"/>
      <c r="BD46" s="121">
        <f t="shared" si="17"/>
        <v>9</v>
      </c>
    </row>
    <row r="47" spans="1:64">
      <c r="A47" s="436"/>
      <c r="B47" s="435"/>
      <c r="C47" s="435"/>
      <c r="D47" s="124"/>
      <c r="E47" s="124" t="str">
        <f>$Z$6</f>
        <v>OTH</v>
      </c>
      <c r="F47" s="152"/>
      <c r="G47" s="152"/>
      <c r="H47" s="1467"/>
      <c r="I47" s="152"/>
      <c r="J47" s="152"/>
      <c r="K47" s="418">
        <f>1-SUM(K41:K46)</f>
        <v>2.1227948841535449E-2</v>
      </c>
      <c r="L47" s="152"/>
      <c r="M47" s="1286">
        <f>IFERROR(zar.2010*SUMIF(RefineriesData!$J$13:$J$245,$B47&amp;M$34,RefineriesData!$N$13:$N$245),"")</f>
        <v>0</v>
      </c>
      <c r="N47" s="152"/>
      <c r="O47" s="494"/>
      <c r="P47" s="494"/>
      <c r="Q47" s="143"/>
      <c r="R47" s="143"/>
      <c r="S47" s="1275"/>
      <c r="T47" s="1275"/>
      <c r="U47" s="160"/>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45"/>
      <c r="AY47" s="145"/>
      <c r="AZ47" s="145"/>
      <c r="BA47" s="145"/>
      <c r="BC47" s="435"/>
      <c r="BD47" s="121">
        <f t="shared" si="17"/>
        <v>10</v>
      </c>
    </row>
    <row r="48" spans="1:64">
      <c r="A48" s="159" t="s">
        <v>292</v>
      </c>
      <c r="B48" s="435"/>
      <c r="C48" s="435"/>
      <c r="D48" s="124"/>
      <c r="E48" s="124"/>
      <c r="F48" s="152"/>
      <c r="G48" s="152"/>
      <c r="H48" s="1467"/>
      <c r="I48" s="152"/>
      <c r="J48" s="152"/>
      <c r="K48" s="152"/>
      <c r="L48" s="152"/>
      <c r="M48" s="1286">
        <f>IFERROR(zar.2010*SUMIF(RefineriesData!$J$13:$J$245,$B48&amp;M$34,RefineriesData!$N$13:$N$245),"")</f>
        <v>0</v>
      </c>
      <c r="N48" s="152"/>
      <c r="O48" s="494"/>
      <c r="P48" s="494"/>
      <c r="Q48" s="143"/>
      <c r="R48" s="143"/>
      <c r="S48" s="1275"/>
      <c r="T48" s="1275"/>
      <c r="U48" s="160"/>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45"/>
      <c r="AY48" s="145"/>
      <c r="AZ48" s="145"/>
      <c r="BA48" s="145"/>
      <c r="BC48" s="435"/>
      <c r="BD48" s="121">
        <f t="shared" si="17"/>
        <v>11</v>
      </c>
    </row>
    <row r="49" spans="1:56" ht="15">
      <c r="A49" s="436" t="str">
        <f>$A$21&amp;" Inland Existing"</f>
        <v>Refinery Crude Oil Inland Existing</v>
      </c>
      <c r="B49" s="140" t="str">
        <f>$B$21&amp;RIGHT($D49,3)&amp;$D$21&amp;"-E"</f>
        <v>UREFOCRIN-E</v>
      </c>
      <c r="C49" s="140"/>
      <c r="D49" s="124" t="str">
        <f>$B$6&amp;$T$6</f>
        <v>UPSOCR</v>
      </c>
      <c r="E49" s="124"/>
      <c r="F49" s="152"/>
      <c r="G49" s="570">
        <v>0.96</v>
      </c>
      <c r="H49" s="1292">
        <f>RefineriesData!N85</f>
        <v>0.95890410958904104</v>
      </c>
      <c r="I49" s="1334">
        <f>H49*0.95</f>
        <v>0.91095890410958891</v>
      </c>
      <c r="J49" s="143">
        <f>SUMIF(RefineriesData!$J$16:$J$221,$B49&amp;RIGHT($D49,3),RefineriesData!$N$16:$N$221)</f>
        <v>0.99483799404453233</v>
      </c>
      <c r="K49" s="152"/>
      <c r="L49" s="152"/>
      <c r="M49" s="1286">
        <f>IFERROR(zar.2010*SUMIF(RefineriesData!$J$13:$J$245,$B49&amp;M$34,RefineriesData!$N$13:$N$245),"")</f>
        <v>0</v>
      </c>
      <c r="N49" s="152"/>
      <c r="O49" s="494">
        <f>SUMIF(RefineriesData!$J$13:$J$245,$B49&amp;O$34,RefineriesData!$N$13:$N$245)</f>
        <v>0</v>
      </c>
      <c r="P49" s="494">
        <f>IFERROR(zar.2010*SUMIF(RefineriesData!$J$13:$J$245,$B49&amp;P$34,RefineriesData!$N$13:$N$245), "")</f>
        <v>19.837857647588002</v>
      </c>
      <c r="Q49" s="143"/>
      <c r="R49" s="143">
        <v>0</v>
      </c>
      <c r="S49" s="1275">
        <f>SUMIF(RefineriesData!$J$13:$J$221,$B49&amp;S$35,RefineriesData!$N$13:$N$221)</f>
        <v>4.7627954263930903</v>
      </c>
      <c r="T49" s="1275">
        <f>SUMIF(RefineriesData!$J$13:$J$221,$B49&amp;T$35,RefineriesData!$N$13:$N$221)</f>
        <v>0</v>
      </c>
      <c r="U49" s="417">
        <f>SUMIF(RefineriesData!$J$13:$J$221,$B49&amp;U$32,RefineriesData!$N$13:$N$221)</f>
        <v>212.15979141387726</v>
      </c>
      <c r="V49" s="145">
        <f t="shared" ref="V49:BA49" si="18">U49</f>
        <v>212.15979141387726</v>
      </c>
      <c r="W49" s="145">
        <f t="shared" si="18"/>
        <v>212.15979141387726</v>
      </c>
      <c r="X49" s="145">
        <f t="shared" si="18"/>
        <v>212.15979141387726</v>
      </c>
      <c r="Y49" s="145">
        <f t="shared" si="18"/>
        <v>212.15979141387726</v>
      </c>
      <c r="Z49" s="145">
        <f t="shared" si="18"/>
        <v>212.15979141387726</v>
      </c>
      <c r="AA49" s="145">
        <f t="shared" si="18"/>
        <v>212.15979141387726</v>
      </c>
      <c r="AB49" s="145">
        <f t="shared" si="18"/>
        <v>212.15979141387726</v>
      </c>
      <c r="AC49" s="145">
        <f t="shared" si="18"/>
        <v>212.15979141387726</v>
      </c>
      <c r="AD49" s="145">
        <f t="shared" si="18"/>
        <v>212.15979141387726</v>
      </c>
      <c r="AE49" s="145">
        <f t="shared" si="18"/>
        <v>212.15979141387726</v>
      </c>
      <c r="AF49" s="145">
        <f t="shared" si="18"/>
        <v>212.15979141387726</v>
      </c>
      <c r="AG49" s="145">
        <f t="shared" si="18"/>
        <v>212.15979141387726</v>
      </c>
      <c r="AH49" s="145">
        <f t="shared" si="18"/>
        <v>212.15979141387726</v>
      </c>
      <c r="AI49" s="145">
        <f t="shared" si="18"/>
        <v>212.15979141387726</v>
      </c>
      <c r="AJ49" s="145">
        <f t="shared" si="18"/>
        <v>212.15979141387726</v>
      </c>
      <c r="AK49" s="145">
        <f t="shared" si="18"/>
        <v>212.15979141387726</v>
      </c>
      <c r="AL49" s="145">
        <f t="shared" si="18"/>
        <v>212.15979141387726</v>
      </c>
      <c r="AM49" s="145">
        <f t="shared" si="18"/>
        <v>212.15979141387726</v>
      </c>
      <c r="AN49" s="145">
        <f t="shared" si="18"/>
        <v>212.15979141387726</v>
      </c>
      <c r="AO49" s="145">
        <f t="shared" si="18"/>
        <v>212.15979141387726</v>
      </c>
      <c r="AP49" s="145">
        <f t="shared" si="18"/>
        <v>212.15979141387726</v>
      </c>
      <c r="AQ49" s="145">
        <f t="shared" si="18"/>
        <v>212.15979141387726</v>
      </c>
      <c r="AR49" s="145">
        <f t="shared" si="18"/>
        <v>212.15979141387726</v>
      </c>
      <c r="AS49" s="145">
        <f t="shared" si="18"/>
        <v>212.15979141387726</v>
      </c>
      <c r="AT49" s="145">
        <f t="shared" si="18"/>
        <v>212.15979141387726</v>
      </c>
      <c r="AU49" s="145">
        <f t="shared" si="18"/>
        <v>212.15979141387726</v>
      </c>
      <c r="AV49" s="145">
        <f t="shared" si="18"/>
        <v>212.15979141387726</v>
      </c>
      <c r="AW49" s="145">
        <f t="shared" si="18"/>
        <v>212.15979141387726</v>
      </c>
      <c r="AX49" s="145">
        <f t="shared" si="18"/>
        <v>212.15979141387726</v>
      </c>
      <c r="AY49" s="145">
        <f t="shared" si="18"/>
        <v>212.15979141387726</v>
      </c>
      <c r="AZ49" s="145">
        <f t="shared" si="18"/>
        <v>212.15979141387726</v>
      </c>
      <c r="BA49" s="145">
        <f t="shared" si="18"/>
        <v>212.15979141387726</v>
      </c>
      <c r="BC49" s="140"/>
      <c r="BD49" s="121">
        <f t="shared" si="17"/>
        <v>12</v>
      </c>
    </row>
    <row r="50" spans="1:56">
      <c r="A50" s="142"/>
      <c r="B50" s="140"/>
      <c r="C50" s="140"/>
      <c r="D50" s="124" t="str">
        <f>$B$6&amp;$H$6</f>
        <v>UPSGAS</v>
      </c>
      <c r="E50" s="124"/>
      <c r="F50" s="152"/>
      <c r="G50" s="152"/>
      <c r="H50" s="1467"/>
      <c r="I50" s="152"/>
      <c r="J50" s="1439">
        <f>SUMIF(RefineriesData!$J$16:$J$221,$B49&amp;RIGHT($D50,3),RefineriesData!$N$16:$N$221)</f>
        <v>0</v>
      </c>
      <c r="K50" s="152"/>
      <c r="L50" s="152"/>
      <c r="M50" s="1286">
        <f>IFERROR(zar.2010*SUMIF(RefineriesData!$J$13:$J$245,$B50&amp;M$34,RefineriesData!$N$13:$N$245),"")</f>
        <v>0</v>
      </c>
      <c r="N50" s="152"/>
      <c r="O50" s="494"/>
      <c r="P50" s="494"/>
      <c r="Q50" s="143"/>
      <c r="R50" s="143"/>
      <c r="S50" s="1275"/>
      <c r="T50" s="1275"/>
      <c r="U50" s="160"/>
      <c r="V50" s="145"/>
      <c r="W50" s="145"/>
      <c r="X50" s="145"/>
      <c r="Y50" s="145"/>
      <c r="Z50" s="145"/>
      <c r="AA50" s="145"/>
      <c r="AB50" s="145"/>
      <c r="AC50" s="145"/>
      <c r="AD50" s="145"/>
      <c r="AE50" s="145"/>
      <c r="AF50" s="145"/>
      <c r="AG50" s="145"/>
      <c r="AH50" s="145"/>
      <c r="AI50" s="145"/>
      <c r="AJ50" s="145"/>
      <c r="AK50" s="145"/>
      <c r="AL50" s="145"/>
      <c r="AM50" s="145"/>
      <c r="AN50" s="145"/>
      <c r="AO50" s="145"/>
      <c r="AP50" s="145"/>
      <c r="AQ50" s="145"/>
      <c r="AR50" s="145"/>
      <c r="AS50" s="145"/>
      <c r="AT50" s="145"/>
      <c r="AU50" s="145"/>
      <c r="AV50" s="145"/>
      <c r="AW50" s="145"/>
      <c r="AX50" s="145"/>
      <c r="AY50" s="145"/>
      <c r="AZ50" s="145"/>
      <c r="BA50" s="145"/>
      <c r="BC50" s="140"/>
      <c r="BD50" s="121">
        <f t="shared" si="17"/>
        <v>13</v>
      </c>
    </row>
    <row r="51" spans="1:56">
      <c r="A51" s="142"/>
      <c r="B51" s="140"/>
      <c r="C51" s="140"/>
      <c r="D51" s="124" t="str">
        <f>$B$6&amp;$G$6</f>
        <v>UPSELC</v>
      </c>
      <c r="E51" s="124"/>
      <c r="F51" s="152"/>
      <c r="G51" s="152"/>
      <c r="H51" s="1467"/>
      <c r="I51" s="152"/>
      <c r="J51" s="418">
        <f>1-SUM(J49:J50)</f>
        <v>5.1620059554676745E-3</v>
      </c>
      <c r="K51" s="152"/>
      <c r="L51" s="152"/>
      <c r="M51" s="1286">
        <f>IFERROR(zar.2010*SUMIF(RefineriesData!$J$13:$J$245,$B51&amp;M$34,RefineriesData!$N$13:$N$245),"")</f>
        <v>0</v>
      </c>
      <c r="N51" s="152"/>
      <c r="O51" s="494"/>
      <c r="P51" s="494"/>
      <c r="Q51" s="143"/>
      <c r="R51" s="143"/>
      <c r="S51" s="1275"/>
      <c r="T51" s="1275"/>
      <c r="U51" s="160"/>
      <c r="V51" s="145"/>
      <c r="W51" s="145"/>
      <c r="X51" s="145"/>
      <c r="Y51" s="145"/>
      <c r="Z51" s="145"/>
      <c r="AA51" s="145"/>
      <c r="AB51" s="145"/>
      <c r="AC51" s="145"/>
      <c r="AD51" s="145"/>
      <c r="AE51" s="145"/>
      <c r="AF51" s="145"/>
      <c r="AG51" s="145"/>
      <c r="AH51" s="145"/>
      <c r="AI51" s="145"/>
      <c r="AJ51" s="145"/>
      <c r="AK51" s="145"/>
      <c r="AL51" s="145"/>
      <c r="AM51" s="145"/>
      <c r="AN51" s="145"/>
      <c r="AO51" s="145"/>
      <c r="AP51" s="145"/>
      <c r="AQ51" s="145"/>
      <c r="AR51" s="145"/>
      <c r="AS51" s="145"/>
      <c r="AT51" s="145"/>
      <c r="AU51" s="145"/>
      <c r="AV51" s="145"/>
      <c r="AW51" s="145"/>
      <c r="AX51" s="145"/>
      <c r="AY51" s="145"/>
      <c r="AZ51" s="145"/>
      <c r="BA51" s="145"/>
      <c r="BC51" s="140"/>
      <c r="BD51" s="121">
        <f t="shared" si="17"/>
        <v>14</v>
      </c>
    </row>
    <row r="52" spans="1:56">
      <c r="A52" s="142"/>
      <c r="B52" s="140"/>
      <c r="C52" s="140"/>
      <c r="D52" s="124"/>
      <c r="E52" s="124" t="str">
        <f>$S$6</f>
        <v>OAG</v>
      </c>
      <c r="F52" s="152"/>
      <c r="G52" s="152"/>
      <c r="H52" s="1467"/>
      <c r="I52" s="152"/>
      <c r="J52" s="152"/>
      <c r="K52" s="418">
        <f>SUMIF(RefineriesData!$J$16:$J$221,$B49&amp;RIGHT($E52,3),RefineriesData!$N$16:$N$221)</f>
        <v>0</v>
      </c>
      <c r="L52" s="152"/>
      <c r="M52" s="1286">
        <f>IFERROR(zar.2010*SUMIF(RefineriesData!$J$13:$J$245,$B52&amp;M$34,RefineriesData!$N$13:$N$245),"")</f>
        <v>0</v>
      </c>
      <c r="N52" s="152"/>
      <c r="O52" s="494"/>
      <c r="P52" s="494"/>
      <c r="Q52" s="143"/>
      <c r="R52" s="143"/>
      <c r="S52" s="1275"/>
      <c r="T52" s="1275"/>
      <c r="U52" s="160"/>
      <c r="V52" s="145"/>
      <c r="W52" s="145"/>
      <c r="X52" s="145"/>
      <c r="Y52" s="145"/>
      <c r="Z52" s="145"/>
      <c r="AA52" s="145"/>
      <c r="AB52" s="145"/>
      <c r="AC52" s="145"/>
      <c r="AD52" s="145"/>
      <c r="AE52" s="145"/>
      <c r="AF52" s="145"/>
      <c r="AG52" s="145"/>
      <c r="AH52" s="145"/>
      <c r="AI52" s="145"/>
      <c r="AJ52" s="145"/>
      <c r="AK52" s="145"/>
      <c r="AL52" s="145"/>
      <c r="AM52" s="145"/>
      <c r="AN52" s="145"/>
      <c r="AO52" s="145"/>
      <c r="AP52" s="145"/>
      <c r="AQ52" s="145"/>
      <c r="AR52" s="145"/>
      <c r="AS52" s="145"/>
      <c r="AT52" s="145"/>
      <c r="AU52" s="145"/>
      <c r="AV52" s="145"/>
      <c r="AW52" s="145"/>
      <c r="AX52" s="145"/>
      <c r="AY52" s="145"/>
      <c r="AZ52" s="145"/>
      <c r="BA52" s="145"/>
      <c r="BC52" s="140"/>
      <c r="BD52" s="121">
        <f t="shared" si="17"/>
        <v>15</v>
      </c>
    </row>
    <row r="53" spans="1:56">
      <c r="A53" s="142"/>
      <c r="B53" s="140"/>
      <c r="C53" s="140"/>
      <c r="D53" s="124"/>
      <c r="E53" s="124" t="str">
        <f>$U$6</f>
        <v>ODS</v>
      </c>
      <c r="F53" s="152"/>
      <c r="G53" s="152"/>
      <c r="H53" s="1467"/>
      <c r="I53" s="152"/>
      <c r="J53" s="152"/>
      <c r="K53" s="418">
        <f>SUMIF(RefineriesData!$J$16:$J$221,$B49&amp;RIGHT($E53,3),RefineriesData!$N$16:$N$221)</f>
        <v>0.38519100880852519</v>
      </c>
      <c r="L53" s="152"/>
      <c r="M53" s="1286">
        <f>IFERROR(zar.2010*SUMIF(RefineriesData!$J$13:$J$245,$B53&amp;M$34,RefineriesData!$N$13:$N$245),"")</f>
        <v>0</v>
      </c>
      <c r="N53" s="152"/>
      <c r="O53" s="494"/>
      <c r="P53" s="494"/>
      <c r="Q53" s="143"/>
      <c r="R53" s="143"/>
      <c r="S53" s="1275"/>
      <c r="T53" s="1275"/>
      <c r="U53" s="160"/>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45"/>
      <c r="AY53" s="145"/>
      <c r="AZ53" s="145"/>
      <c r="BA53" s="145"/>
      <c r="BC53" s="140"/>
      <c r="BD53" s="121">
        <f t="shared" si="17"/>
        <v>16</v>
      </c>
    </row>
    <row r="54" spans="1:56">
      <c r="A54" s="142"/>
      <c r="B54" s="140"/>
      <c r="C54" s="140"/>
      <c r="D54" s="124"/>
      <c r="E54" s="124" t="str">
        <f>$V$6</f>
        <v>OGS</v>
      </c>
      <c r="F54" s="152"/>
      <c r="G54" s="152"/>
      <c r="H54" s="1467"/>
      <c r="I54" s="152"/>
      <c r="J54" s="152"/>
      <c r="K54" s="418">
        <f>SUMIF(RefineriesData!$J$16:$J$221,$B49&amp;RIGHT($E54,3),RefineriesData!$N$16:$N$221)</f>
        <v>0.32388872844513639</v>
      </c>
      <c r="L54" s="152"/>
      <c r="M54" s="1286">
        <f>IFERROR(zar.2010*SUMIF(RefineriesData!$J$13:$J$245,$B54&amp;M$34,RefineriesData!$N$13:$N$245),"")</f>
        <v>0</v>
      </c>
      <c r="N54" s="152"/>
      <c r="O54" s="494"/>
      <c r="P54" s="494"/>
      <c r="Q54" s="143"/>
      <c r="R54" s="143"/>
      <c r="S54" s="1275"/>
      <c r="T54" s="1275"/>
      <c r="U54" s="160"/>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45"/>
      <c r="AY54" s="145"/>
      <c r="AZ54" s="145"/>
      <c r="BA54" s="145"/>
      <c r="BC54" s="140"/>
      <c r="BD54" s="121">
        <f t="shared" si="17"/>
        <v>17</v>
      </c>
    </row>
    <row r="55" spans="1:56">
      <c r="A55" s="142"/>
      <c r="B55" s="140"/>
      <c r="C55" s="140"/>
      <c r="D55" s="124"/>
      <c r="E55" s="124" t="str">
        <f>$W$6</f>
        <v>OHF</v>
      </c>
      <c r="F55" s="152"/>
      <c r="G55" s="152"/>
      <c r="H55" s="1467"/>
      <c r="I55" s="152"/>
      <c r="J55" s="152"/>
      <c r="K55" s="418">
        <f>SUMIF(RefineriesData!$J$16:$J$221,$B49&amp;RIGHT($E55,3),RefineriesData!$N$16:$N$221)</f>
        <v>3.70569602416869E-2</v>
      </c>
      <c r="L55" s="152"/>
      <c r="M55" s="1286">
        <f>IFERROR(zar.2010*SUMIF(RefineriesData!$J$13:$J$245,$B55&amp;M$34,RefineriesData!$N$13:$N$245),"")</f>
        <v>0</v>
      </c>
      <c r="N55" s="152"/>
      <c r="O55" s="494"/>
      <c r="P55" s="494"/>
      <c r="Q55" s="143"/>
      <c r="R55" s="143"/>
      <c r="S55" s="1275"/>
      <c r="T55" s="1275"/>
      <c r="U55" s="160"/>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45"/>
      <c r="AY55" s="145"/>
      <c r="AZ55" s="145"/>
      <c r="BA55" s="145"/>
      <c r="BC55" s="140"/>
      <c r="BD55" s="121">
        <f t="shared" si="17"/>
        <v>18</v>
      </c>
    </row>
    <row r="56" spans="1:56">
      <c r="A56" s="142"/>
      <c r="B56" s="140"/>
      <c r="C56" s="140"/>
      <c r="D56" s="124"/>
      <c r="E56" s="124" t="str">
        <f>$X$6</f>
        <v>OKE</v>
      </c>
      <c r="F56" s="152"/>
      <c r="G56" s="152"/>
      <c r="H56" s="1467"/>
      <c r="I56" s="152"/>
      <c r="J56" s="152"/>
      <c r="K56" s="418">
        <f>SUMIF(RefineriesData!$J$16:$J$221,$B49&amp;RIGHT($E56,3),RefineriesData!$N$16:$N$221)</f>
        <v>0.21374627875427765</v>
      </c>
      <c r="L56" s="152"/>
      <c r="M56" s="1286">
        <f>IFERROR(zar.2010*SUMIF(RefineriesData!$J$13:$J$245,$B56&amp;M$34,RefineriesData!$N$13:$N$245),"")</f>
        <v>0</v>
      </c>
      <c r="N56" s="152"/>
      <c r="O56" s="494"/>
      <c r="P56" s="494"/>
      <c r="Q56" s="143"/>
      <c r="R56" s="143"/>
      <c r="S56" s="1275"/>
      <c r="T56" s="1275"/>
      <c r="U56" s="160"/>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45"/>
      <c r="AY56" s="145"/>
      <c r="AZ56" s="145"/>
      <c r="BA56" s="145"/>
      <c r="BC56" s="140"/>
      <c r="BD56" s="121">
        <f t="shared" si="17"/>
        <v>19</v>
      </c>
    </row>
    <row r="57" spans="1:56">
      <c r="A57" s="142"/>
      <c r="B57" s="140"/>
      <c r="C57" s="140"/>
      <c r="D57" s="124"/>
      <c r="E57" s="124" t="str">
        <f>$Y$6</f>
        <v>OLP</v>
      </c>
      <c r="F57" s="152"/>
      <c r="G57" s="152"/>
      <c r="H57" s="1467"/>
      <c r="I57" s="152"/>
      <c r="J57" s="152"/>
      <c r="K57" s="418">
        <f>SUMIF(RefineriesData!$J$16:$J$221,$B49&amp;RIGHT($E57,3),RefineriesData!$N$16:$N$221)</f>
        <v>2.6523977888853558E-3</v>
      </c>
      <c r="L57" s="152"/>
      <c r="M57" s="1286">
        <f>IFERROR(zar.2010*SUMIF(RefineriesData!$J$13:$J$245,$B57&amp;M$34,RefineriesData!$N$13:$N$245),"")</f>
        <v>0</v>
      </c>
      <c r="N57" s="152"/>
      <c r="O57" s="494"/>
      <c r="P57" s="494"/>
      <c r="Q57" s="143"/>
      <c r="R57" s="143"/>
      <c r="S57" s="1275"/>
      <c r="T57" s="1275"/>
      <c r="U57" s="160"/>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45"/>
      <c r="AY57" s="145"/>
      <c r="AZ57" s="145"/>
      <c r="BA57" s="145"/>
      <c r="BC57" s="140"/>
      <c r="BD57" s="121">
        <f t="shared" si="17"/>
        <v>20</v>
      </c>
    </row>
    <row r="58" spans="1:56">
      <c r="A58" s="142"/>
      <c r="B58" s="140"/>
      <c r="C58" s="140"/>
      <c r="D58" s="124"/>
      <c r="E58" s="124" t="str">
        <f>$Z$6</f>
        <v>OTH</v>
      </c>
      <c r="F58" s="152"/>
      <c r="G58" s="152"/>
      <c r="H58" s="1467"/>
      <c r="I58" s="152"/>
      <c r="J58" s="152"/>
      <c r="K58" s="418">
        <f>SUMIF(RefineriesData!$J$16:$J$221,$B49&amp;RIGHT($E58,3),RefineriesData!$N$16:$N$221)</f>
        <v>3.7464625961488515E-2</v>
      </c>
      <c r="L58" s="152"/>
      <c r="M58" s="1286">
        <f>IFERROR(zar.2010*SUMIF(RefineriesData!$J$13:$J$245,$B58&amp;M$34,RefineriesData!$N$13:$N$245),"")</f>
        <v>0</v>
      </c>
      <c r="N58" s="152"/>
      <c r="O58" s="494"/>
      <c r="P58" s="494"/>
      <c r="Q58" s="143"/>
      <c r="R58" s="143"/>
      <c r="S58" s="1275"/>
      <c r="T58" s="1275"/>
      <c r="U58" s="160"/>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C58" s="140"/>
      <c r="BD58" s="121">
        <f t="shared" si="17"/>
        <v>21</v>
      </c>
    </row>
    <row r="59" spans="1:56">
      <c r="A59" s="436" t="s">
        <v>292</v>
      </c>
      <c r="B59" s="435"/>
      <c r="C59" s="435"/>
      <c r="D59" s="124"/>
      <c r="E59" s="124"/>
      <c r="F59" s="152"/>
      <c r="G59" s="152"/>
      <c r="H59" s="1467"/>
      <c r="I59" s="152"/>
      <c r="J59" s="152"/>
      <c r="K59" s="418"/>
      <c r="L59" s="152"/>
      <c r="M59" s="1286">
        <f>IFERROR(zar.2010*SUMIF(RefineriesData!$J$13:$J$245,$B59&amp;M$34,RefineriesData!$N$13:$N$245),"")</f>
        <v>0</v>
      </c>
      <c r="N59" s="152"/>
      <c r="O59" s="494"/>
      <c r="P59" s="494"/>
      <c r="Q59" s="143"/>
      <c r="R59" s="143"/>
      <c r="S59" s="1275"/>
      <c r="T59" s="1275"/>
      <c r="U59" s="160"/>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45"/>
      <c r="AY59" s="145"/>
      <c r="AZ59" s="145"/>
      <c r="BA59" s="145"/>
      <c r="BC59" s="435"/>
      <c r="BD59" s="121">
        <f t="shared" si="17"/>
        <v>22</v>
      </c>
    </row>
    <row r="60" spans="1:56" ht="15">
      <c r="A60" s="142" t="str">
        <f>A22&amp;" Existing"</f>
        <v>Refinery GTL Existing</v>
      </c>
      <c r="B60" s="140" t="str">
        <f>$B$22&amp;RIGHT($D60,3)&amp;$C$21&amp;"-E"</f>
        <v>UGTLGICCO-E</v>
      </c>
      <c r="C60" s="140"/>
      <c r="D60" s="124" t="str">
        <f>$B$6&amp;NameConv!C26</f>
        <v>UPSGIC</v>
      </c>
      <c r="E60" s="124"/>
      <c r="F60" s="152"/>
      <c r="G60" s="143">
        <f>SUMIF(RefineriesData!$J$16:$J$221,$B60&amp;G$34,RefineriesData!$N$16:$N$221)</f>
        <v>0.76961549281661878</v>
      </c>
      <c r="H60" s="1466">
        <f>RefineriesData!D217</f>
        <v>0.46244122068025312</v>
      </c>
      <c r="I60" s="1334">
        <f>H60*0.95</f>
        <v>0.43931915964624046</v>
      </c>
      <c r="J60" s="143">
        <f>SUMIF(RefineriesData!$J$16:$J$221,$B60&amp;RIGHT($D60,3),RefineriesData!$N$16:$N$221)</f>
        <v>0.76985311799533229</v>
      </c>
      <c r="K60" s="152"/>
      <c r="L60" s="152"/>
      <c r="M60" s="1286">
        <f>IFERROR(zar.2010*SUMIF(RefineriesData!$J$13:$J$245,$B60&amp;M$34,RefineriesData!$N$13:$N$245),"")</f>
        <v>0</v>
      </c>
      <c r="N60" s="152"/>
      <c r="O60" s="494">
        <f>SUMIF(RefineriesData!$J$13:$J$245,$B60&amp;O$34,RefineriesData!$N$13:$N$245)</f>
        <v>0</v>
      </c>
      <c r="P60" s="494">
        <f>IFERROR(zar.2010*SUMIF(RefineriesData!$J$13:$J$245,$B60&amp;P$34,RefineriesData!$N$13:$N$245), "")</f>
        <v>47.382204285274227</v>
      </c>
      <c r="Q60" s="143"/>
      <c r="R60" s="143">
        <v>0</v>
      </c>
      <c r="S60" s="1276">
        <f>RefineriesData!D219</f>
        <v>6.4894696089818042</v>
      </c>
      <c r="T60" s="1277">
        <v>4.4999999999999997E-3</v>
      </c>
      <c r="U60" s="417">
        <f>SUMIF(RefineriesData!$J$13:$J$221,$B60&amp;U$32,RefineriesData!$N$13:$N$221)</f>
        <v>58.795521804785629</v>
      </c>
      <c r="V60" s="145">
        <f t="shared" ref="V60:AM60" si="19">U60</f>
        <v>58.795521804785629</v>
      </c>
      <c r="W60" s="145">
        <f t="shared" si="19"/>
        <v>58.795521804785629</v>
      </c>
      <c r="X60" s="145">
        <f t="shared" si="19"/>
        <v>58.795521804785629</v>
      </c>
      <c r="Y60" s="145">
        <f t="shared" si="19"/>
        <v>58.795521804785629</v>
      </c>
      <c r="Z60" s="145">
        <f t="shared" si="19"/>
        <v>58.795521804785629</v>
      </c>
      <c r="AA60" s="145">
        <f t="shared" si="19"/>
        <v>58.795521804785629</v>
      </c>
      <c r="AB60" s="145">
        <f t="shared" si="19"/>
        <v>58.795521804785629</v>
      </c>
      <c r="AC60" s="145">
        <f t="shared" si="19"/>
        <v>58.795521804785629</v>
      </c>
      <c r="AD60" s="145">
        <f t="shared" si="19"/>
        <v>58.795521804785629</v>
      </c>
      <c r="AE60" s="145">
        <f t="shared" si="19"/>
        <v>58.795521804785629</v>
      </c>
      <c r="AF60" s="145">
        <f t="shared" si="19"/>
        <v>58.795521804785629</v>
      </c>
      <c r="AG60" s="145">
        <f t="shared" si="19"/>
        <v>58.795521804785629</v>
      </c>
      <c r="AH60" s="145">
        <f t="shared" si="19"/>
        <v>58.795521804785629</v>
      </c>
      <c r="AI60" s="145">
        <f t="shared" si="19"/>
        <v>58.795521804785629</v>
      </c>
      <c r="AJ60" s="145">
        <f t="shared" si="19"/>
        <v>58.795521804785629</v>
      </c>
      <c r="AK60" s="145">
        <f t="shared" si="19"/>
        <v>58.795521804785629</v>
      </c>
      <c r="AL60" s="145">
        <f t="shared" si="19"/>
        <v>58.795521804785629</v>
      </c>
      <c r="AM60" s="145">
        <f t="shared" si="19"/>
        <v>58.795521804785629</v>
      </c>
      <c r="AN60" s="145">
        <v>0</v>
      </c>
      <c r="AO60" s="145"/>
      <c r="AP60" s="145"/>
      <c r="AQ60" s="145"/>
      <c r="AR60" s="145"/>
      <c r="AS60" s="145"/>
      <c r="AT60" s="145"/>
      <c r="AU60" s="145"/>
      <c r="AV60" s="145"/>
      <c r="AW60" s="145"/>
      <c r="AX60" s="145"/>
      <c r="AY60" s="145"/>
      <c r="AZ60" s="145"/>
      <c r="BA60" s="145"/>
      <c r="BC60" s="435"/>
      <c r="BD60" s="121">
        <f t="shared" si="17"/>
        <v>23</v>
      </c>
    </row>
    <row r="61" spans="1:56">
      <c r="A61" s="436"/>
      <c r="B61" s="435"/>
      <c r="C61" s="435"/>
      <c r="D61" s="124" t="str">
        <f>$B$6&amp;$T$6</f>
        <v>UPSOCR</v>
      </c>
      <c r="E61" s="124"/>
      <c r="F61" s="152"/>
      <c r="G61" s="143"/>
      <c r="H61" s="1466"/>
      <c r="I61" s="143"/>
      <c r="J61" s="143">
        <f>SUMIF(RefineriesData!$J$16:$J$221,$B60&amp;RIGHT($D61,3),RefineriesData!$N$16:$N$221)</f>
        <v>0.19246327949883302</v>
      </c>
      <c r="K61" s="152"/>
      <c r="L61" s="152"/>
      <c r="M61" s="1286">
        <f>IFERROR(zar.2010*SUMIF(RefineriesData!$J$13:$J$245,$B61&amp;M$34,RefineriesData!$N$13:$N$245),"")</f>
        <v>0</v>
      </c>
      <c r="N61" s="152"/>
      <c r="O61" s="494"/>
      <c r="P61" s="494"/>
      <c r="Q61" s="143"/>
      <c r="R61" s="143"/>
      <c r="S61" s="1275"/>
      <c r="T61" s="1275"/>
      <c r="U61" s="417"/>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C61" s="435"/>
      <c r="BD61" s="121">
        <f t="shared" si="17"/>
        <v>24</v>
      </c>
    </row>
    <row r="62" spans="1:56">
      <c r="A62" s="436"/>
      <c r="B62" s="435"/>
      <c r="C62" s="435"/>
      <c r="D62" s="124" t="str">
        <f>$B$6&amp;$G$6</f>
        <v>UPSELC</v>
      </c>
      <c r="E62" s="124"/>
      <c r="F62" s="152"/>
      <c r="G62" s="152"/>
      <c r="H62" s="1467"/>
      <c r="I62" s="152"/>
      <c r="J62" s="418">
        <f>SUMIF(RefineriesData!$J$16:$J$221,$B60&amp;RIGHT($D62,3),RefineriesData!$N$16:$N$221)</f>
        <v>3.7683602505834655E-2</v>
      </c>
      <c r="K62" s="152"/>
      <c r="L62" s="152"/>
      <c r="M62" s="1286">
        <f>IFERROR(zar.2010*SUMIF(RefineriesData!$J$13:$J$245,$B62&amp;M$34,RefineriesData!$N$13:$N$245),"")</f>
        <v>0</v>
      </c>
      <c r="N62" s="152"/>
      <c r="O62" s="494"/>
      <c r="P62" s="494"/>
      <c r="Q62" s="143"/>
      <c r="R62" s="143"/>
      <c r="S62" s="1275"/>
      <c r="T62" s="1275"/>
      <c r="U62" s="160"/>
      <c r="V62" s="145"/>
      <c r="W62" s="145"/>
      <c r="X62" s="145"/>
      <c r="Y62" s="145"/>
      <c r="Z62" s="145"/>
      <c r="AA62" s="145"/>
      <c r="AB62" s="145"/>
      <c r="AC62" s="145"/>
      <c r="AD62" s="145"/>
      <c r="AE62" s="145"/>
      <c r="AF62" s="145"/>
      <c r="AG62" s="145"/>
      <c r="AH62" s="145"/>
      <c r="AI62" s="145"/>
      <c r="AJ62" s="145"/>
      <c r="AK62" s="145"/>
      <c r="AL62" s="145"/>
      <c r="AM62" s="145"/>
      <c r="AN62" s="145"/>
      <c r="AO62" s="145"/>
      <c r="AP62" s="145"/>
      <c r="AQ62" s="145"/>
      <c r="AR62" s="145"/>
      <c r="AS62" s="145"/>
      <c r="AT62" s="145"/>
      <c r="AU62" s="145"/>
      <c r="AV62" s="145"/>
      <c r="AW62" s="145"/>
      <c r="AX62" s="145"/>
      <c r="AY62" s="145"/>
      <c r="AZ62" s="145"/>
      <c r="BA62" s="145"/>
      <c r="BC62" s="435"/>
      <c r="BD62" s="121">
        <f t="shared" si="17"/>
        <v>25</v>
      </c>
    </row>
    <row r="63" spans="1:56">
      <c r="A63" s="436"/>
      <c r="B63" s="435"/>
      <c r="C63" s="435"/>
      <c r="D63" s="124"/>
      <c r="E63" s="124" t="s">
        <v>549</v>
      </c>
      <c r="F63" s="152"/>
      <c r="G63" s="152"/>
      <c r="H63" s="1467"/>
      <c r="I63" s="152"/>
      <c r="J63" s="152"/>
      <c r="K63" s="418">
        <f>SUMIF(RefineriesData!$J$16:$J$221,$B$60&amp;RIGHT($E63,3),RefineriesData!$N$16:$N$221)</f>
        <v>0.04</v>
      </c>
      <c r="L63" s="152"/>
      <c r="M63" s="1286">
        <f>IFERROR(zar.2010*SUMIF(RefineriesData!$J$13:$J$245,$B63&amp;M$34,RefineriesData!$N$13:$N$245),"")</f>
        <v>0</v>
      </c>
      <c r="N63" s="152"/>
      <c r="O63" s="494"/>
      <c r="P63" s="494"/>
      <c r="Q63" s="143"/>
      <c r="R63" s="143"/>
      <c r="S63" s="1275"/>
      <c r="T63" s="1275"/>
      <c r="U63" s="160"/>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45"/>
      <c r="AY63" s="145"/>
      <c r="AZ63" s="145"/>
      <c r="BA63" s="145"/>
      <c r="BC63" s="435"/>
      <c r="BD63" s="121">
        <f t="shared" si="17"/>
        <v>26</v>
      </c>
    </row>
    <row r="64" spans="1:56">
      <c r="A64" s="436"/>
      <c r="B64" s="435"/>
      <c r="C64" s="435"/>
      <c r="D64" s="124"/>
      <c r="E64" s="124" t="str">
        <f>$U$6</f>
        <v>ODS</v>
      </c>
      <c r="F64" s="152"/>
      <c r="G64" s="152"/>
      <c r="H64" s="1467"/>
      <c r="I64" s="152"/>
      <c r="J64" s="152"/>
      <c r="K64" s="418">
        <f>SUMIF(RefineriesData!$J$16:$J$221,$B$60&amp;RIGHT($E64,3),RefineriesData!$N$16:$N$221)</f>
        <v>0.06</v>
      </c>
      <c r="L64" s="152"/>
      <c r="M64" s="1286">
        <f>IFERROR(zar.2010*SUMIF(RefineriesData!$J$13:$J$245,$B64&amp;M$34,RefineriesData!$N$13:$N$245),"")</f>
        <v>0</v>
      </c>
      <c r="N64" s="152"/>
      <c r="O64" s="494"/>
      <c r="P64" s="494"/>
      <c r="Q64" s="143"/>
      <c r="R64" s="143"/>
      <c r="S64" s="1275"/>
      <c r="T64" s="1275"/>
      <c r="U64" s="160"/>
      <c r="V64" s="145"/>
      <c r="W64" s="145"/>
      <c r="X64" s="145"/>
      <c r="Y64" s="145"/>
      <c r="Z64" s="145"/>
      <c r="AA64" s="145"/>
      <c r="AB64" s="145"/>
      <c r="AC64" s="145"/>
      <c r="AD64" s="145"/>
      <c r="AE64" s="145"/>
      <c r="AF64" s="145"/>
      <c r="AG64" s="145"/>
      <c r="AH64" s="145"/>
      <c r="AI64" s="145"/>
      <c r="AJ64" s="145"/>
      <c r="AK64" s="145"/>
      <c r="AL64" s="145"/>
      <c r="AM64" s="145"/>
      <c r="AN64" s="145"/>
      <c r="AO64" s="145"/>
      <c r="AP64" s="145"/>
      <c r="AQ64" s="145"/>
      <c r="AR64" s="145"/>
      <c r="AS64" s="145"/>
      <c r="AT64" s="145"/>
      <c r="AU64" s="145"/>
      <c r="AV64" s="145"/>
      <c r="AW64" s="145"/>
      <c r="AX64" s="145"/>
      <c r="AY64" s="145"/>
      <c r="AZ64" s="145"/>
      <c r="BA64" s="145"/>
      <c r="BC64" s="435"/>
      <c r="BD64" s="121">
        <f t="shared" si="17"/>
        <v>27</v>
      </c>
    </row>
    <row r="65" spans="1:56">
      <c r="A65" s="436"/>
      <c r="B65" s="435"/>
      <c r="C65" s="435"/>
      <c r="D65" s="124"/>
      <c r="E65" s="124" t="str">
        <f>$V$6</f>
        <v>OGS</v>
      </c>
      <c r="F65" s="152"/>
      <c r="G65" s="152"/>
      <c r="H65" s="1467"/>
      <c r="I65" s="152"/>
      <c r="J65" s="152"/>
      <c r="K65" s="418">
        <f>SUMIF(RefineriesData!$J$16:$J$221,$B$60&amp;RIGHT($E65,3),RefineriesData!$N$16:$N$221)</f>
        <v>0.53</v>
      </c>
      <c r="L65" s="152"/>
      <c r="M65" s="1286">
        <f>IFERROR(zar.2010*SUMIF(RefineriesData!$J$13:$J$245,$B65&amp;M$34,RefineriesData!$N$13:$N$245),"")</f>
        <v>0</v>
      </c>
      <c r="N65" s="152"/>
      <c r="O65" s="494"/>
      <c r="P65" s="494"/>
      <c r="Q65" s="143"/>
      <c r="R65" s="143"/>
      <c r="S65" s="1275"/>
      <c r="T65" s="1275"/>
      <c r="U65" s="160"/>
      <c r="V65" s="145"/>
      <c r="W65" s="145"/>
      <c r="X65" s="145"/>
      <c r="Y65" s="145"/>
      <c r="Z65" s="145"/>
      <c r="AA65" s="145"/>
      <c r="AB65" s="145"/>
      <c r="AC65" s="145"/>
      <c r="AD65" s="145"/>
      <c r="AE65" s="145"/>
      <c r="AF65" s="145"/>
      <c r="AG65" s="145"/>
      <c r="AH65" s="145"/>
      <c r="AI65" s="145"/>
      <c r="AJ65" s="145"/>
      <c r="AK65" s="145"/>
      <c r="AL65" s="145"/>
      <c r="AM65" s="145"/>
      <c r="AN65" s="145"/>
      <c r="AO65" s="145"/>
      <c r="AP65" s="145"/>
      <c r="AQ65" s="145"/>
      <c r="AR65" s="145"/>
      <c r="AS65" s="145"/>
      <c r="AT65" s="145"/>
      <c r="AU65" s="145"/>
      <c r="AV65" s="145"/>
      <c r="AW65" s="145"/>
      <c r="AX65" s="145"/>
      <c r="AY65" s="145"/>
      <c r="AZ65" s="145"/>
      <c r="BA65" s="145"/>
      <c r="BC65" s="435"/>
      <c r="BD65" s="121">
        <f>BD64+1</f>
        <v>28</v>
      </c>
    </row>
    <row r="66" spans="1:56">
      <c r="A66" s="436"/>
      <c r="B66" s="435"/>
      <c r="C66" s="435"/>
      <c r="D66" s="124"/>
      <c r="E66" s="124" t="str">
        <f>$X$6</f>
        <v>OKE</v>
      </c>
      <c r="F66" s="152"/>
      <c r="G66" s="152"/>
      <c r="H66" s="1467"/>
      <c r="I66" s="152"/>
      <c r="J66" s="152"/>
      <c r="K66" s="418">
        <f>SUMIF(RefineriesData!$J$16:$J$221,$B$60&amp;RIGHT($E66,3),RefineriesData!$N$16:$N$221)</f>
        <v>0.11</v>
      </c>
      <c r="L66" s="152"/>
      <c r="M66" s="1286">
        <f>IFERROR(zar.2010*SUMIF(RefineriesData!$J$13:$J$245,$B66&amp;M$34,RefineriesData!$N$13:$N$245),"")</f>
        <v>0</v>
      </c>
      <c r="N66" s="152"/>
      <c r="O66" s="494"/>
      <c r="P66" s="494"/>
      <c r="Q66" s="143"/>
      <c r="R66" s="143"/>
      <c r="S66" s="1275"/>
      <c r="T66" s="1275"/>
      <c r="U66" s="160"/>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45"/>
      <c r="AY66" s="145"/>
      <c r="AZ66" s="145"/>
      <c r="BA66" s="145"/>
      <c r="BC66" s="435"/>
      <c r="BD66" s="121">
        <f t="shared" si="17"/>
        <v>29</v>
      </c>
    </row>
    <row r="67" spans="1:56">
      <c r="A67" s="436"/>
      <c r="B67" s="435"/>
      <c r="C67" s="435"/>
      <c r="D67" s="124"/>
      <c r="E67" s="124" t="str">
        <f>$Y$6</f>
        <v>OLP</v>
      </c>
      <c r="F67" s="152"/>
      <c r="G67" s="152"/>
      <c r="H67" s="1467"/>
      <c r="I67" s="152"/>
      <c r="J67" s="152"/>
      <c r="K67" s="418">
        <f>SUMIF(RefineriesData!$J$16:$J$221,$B$60&amp;RIGHT($E67,3),RefineriesData!$N$16:$N$221)</f>
        <v>0.08</v>
      </c>
      <c r="L67" s="152"/>
      <c r="M67" s="1286">
        <f>IFERROR(zar.2010*SUMIF(RefineriesData!$J$13:$J$245,$B67&amp;M$34,RefineriesData!$N$13:$N$245),"")</f>
        <v>0</v>
      </c>
      <c r="N67" s="152"/>
      <c r="O67" s="494"/>
      <c r="P67" s="494"/>
      <c r="Q67" s="143"/>
      <c r="R67" s="143"/>
      <c r="S67" s="1275"/>
      <c r="T67" s="1275"/>
      <c r="U67" s="160"/>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45"/>
      <c r="AY67" s="145"/>
      <c r="AZ67" s="145"/>
      <c r="BA67" s="145"/>
      <c r="BC67" s="435"/>
      <c r="BD67" s="121">
        <f t="shared" si="17"/>
        <v>30</v>
      </c>
    </row>
    <row r="68" spans="1:56">
      <c r="A68" s="436"/>
      <c r="B68" s="435"/>
      <c r="C68" s="435"/>
      <c r="D68" s="124"/>
      <c r="E68" s="124" t="s">
        <v>594</v>
      </c>
      <c r="F68" s="152"/>
      <c r="G68" s="152"/>
      <c r="H68" s="1467"/>
      <c r="I68" s="152"/>
      <c r="J68" s="152"/>
      <c r="K68" s="418">
        <f>SUMIF(RefineriesData!$J$16:$J$221,$B$60&amp;RIGHT($E68,3),RefineriesData!$N$16:$N$221)</f>
        <v>0.18</v>
      </c>
      <c r="L68" s="152"/>
      <c r="M68" s="1286">
        <f>IFERROR(zar.2010*SUMIF(RefineriesData!$J$13:$J$245,$B68&amp;M$34,RefineriesData!$N$13:$N$245),"")</f>
        <v>0</v>
      </c>
      <c r="N68" s="152"/>
      <c r="O68" s="494"/>
      <c r="P68" s="494"/>
      <c r="Q68" s="143"/>
      <c r="R68" s="143"/>
      <c r="S68" s="1275"/>
      <c r="T68" s="1275"/>
      <c r="U68" s="160"/>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C68" s="435"/>
      <c r="BD68" s="121">
        <f t="shared" si="17"/>
        <v>31</v>
      </c>
    </row>
    <row r="69" spans="1:56">
      <c r="A69" s="436" t="s">
        <v>292</v>
      </c>
      <c r="B69" s="435"/>
      <c r="C69" s="435"/>
      <c r="D69" s="124"/>
      <c r="F69" s="152"/>
      <c r="G69" s="152"/>
      <c r="H69" s="1467"/>
      <c r="I69" s="152"/>
      <c r="J69" s="152"/>
      <c r="K69" s="418"/>
      <c r="L69" s="152"/>
      <c r="M69" s="1286">
        <f>IFERROR(zar.2010*SUMIF(RefineriesData!$J$13:$J$245,$B69&amp;M$34,RefineriesData!$N$13:$N$245),"")</f>
        <v>0</v>
      </c>
      <c r="N69" s="152"/>
      <c r="O69" s="494"/>
      <c r="P69" s="494"/>
      <c r="Q69" s="143"/>
      <c r="R69" s="143"/>
      <c r="S69" s="1275"/>
      <c r="T69" s="1275"/>
      <c r="U69" s="160"/>
      <c r="V69" s="145"/>
      <c r="W69" s="874">
        <f>zar.2006</f>
        <v>1.7734731669022814</v>
      </c>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45"/>
      <c r="AY69" s="145"/>
      <c r="AZ69" s="145"/>
      <c r="BA69" s="145"/>
      <c r="BC69" s="435"/>
      <c r="BD69" s="121">
        <f t="shared" si="17"/>
        <v>32</v>
      </c>
    </row>
    <row r="70" spans="1:56" ht="15">
      <c r="A70" s="436" t="str">
        <f>A22&amp;" New - Inland"</f>
        <v>Refinery GTL New - Inland</v>
      </c>
      <c r="B70" s="435" t="str">
        <f>$B$22&amp;RIGHT($D70,3)&amp;$D$21&amp;"-N"</f>
        <v>UGTLGASIN-N</v>
      </c>
      <c r="C70" s="435"/>
      <c r="D70" s="124" t="str">
        <f>$B$6&amp;$H$6</f>
        <v>UPSGAS</v>
      </c>
      <c r="E70" s="124"/>
      <c r="F70" s="143">
        <f>SUMIF(RefineriesData!$J$16:$J$245,$B70&amp;F$34,RefineriesData!$N$16:$N$245)</f>
        <v>50</v>
      </c>
      <c r="G70" s="143">
        <f>SUMIF(RefineriesData!$J$16:$J$246,$B70&amp;G$34,RefineriesData!$N$16:$N$246)</f>
        <v>0.80809626745744978</v>
      </c>
      <c r="H70" s="1466">
        <f>H60</f>
        <v>0.46244122068025312</v>
      </c>
      <c r="I70" s="1334">
        <f>H70*0.95</f>
        <v>0.43931915964624046</v>
      </c>
      <c r="J70" s="143">
        <f>J80</f>
        <v>0.76985311799533229</v>
      </c>
      <c r="K70" s="152"/>
      <c r="L70" s="494">
        <f>SUMIF(RefineriesData!$J$13:$J$243,$B70&amp;L$34,RefineriesData!$N$13:$N$243)</f>
        <v>2025</v>
      </c>
      <c r="M70" s="1278">
        <f>IFERROR(zar.2010*SUMIF(RefineriesData!$J$13:$J$245,$B70&amp;M$34,RefineriesData!$N$13:$N$245),"")</f>
        <v>169.62323731057683</v>
      </c>
      <c r="N70" s="494"/>
      <c r="O70" s="494">
        <f>IFERROR(zar.2010*SUMIF(RefineriesData!$J$13:$J$245,$B70&amp;O$34,RefineriesData!$N$13:$N$245),"")</f>
        <v>16.868609235305986</v>
      </c>
      <c r="P70" s="494">
        <f>IFERROR(zar.2010*SUMIF(RefineriesData!$J$13:$J$245,$B70&amp;P$34,RefineriesData!$N$13:$N$245), "")</f>
        <v>18.658556104163456</v>
      </c>
      <c r="Q70" s="143">
        <v>-6</v>
      </c>
      <c r="R70" s="143" t="str">
        <f>""</f>
        <v/>
      </c>
      <c r="S70" s="1276">
        <f>S60</f>
        <v>6.4894696089818042</v>
      </c>
      <c r="T70" s="1277">
        <f>T60</f>
        <v>4.4999999999999997E-3</v>
      </c>
      <c r="U70" s="160"/>
      <c r="V70" s="145"/>
      <c r="W70" s="1772">
        <f>zar.2015</f>
        <v>1</v>
      </c>
      <c r="X70" s="145"/>
      <c r="Y70" s="145"/>
      <c r="Z70" s="145"/>
      <c r="AA70" s="145"/>
      <c r="AB70" s="145"/>
      <c r="AC70" s="145"/>
      <c r="AD70" s="145"/>
      <c r="AE70" s="145"/>
      <c r="AF70" s="145"/>
      <c r="AG70" s="145"/>
      <c r="AH70" s="145"/>
      <c r="AI70" s="145"/>
      <c r="AJ70" s="145"/>
      <c r="AK70" s="145"/>
      <c r="AL70" s="145"/>
      <c r="AM70" s="145"/>
      <c r="AN70" s="145"/>
      <c r="AO70" s="145"/>
      <c r="AP70" s="145"/>
      <c r="AQ70" s="145"/>
      <c r="AR70" s="145"/>
      <c r="AS70" s="145"/>
      <c r="AT70" s="145"/>
      <c r="AU70" s="145"/>
      <c r="AV70" s="145"/>
      <c r="AW70" s="145"/>
      <c r="AX70" s="145"/>
      <c r="AY70" s="145"/>
      <c r="AZ70" s="145"/>
      <c r="BA70" s="145"/>
      <c r="BC70" s="435"/>
      <c r="BD70" s="121">
        <f t="shared" si="17"/>
        <v>33</v>
      </c>
    </row>
    <row r="71" spans="1:56">
      <c r="A71" s="436"/>
      <c r="B71" s="435"/>
      <c r="C71" s="435"/>
      <c r="D71" s="124" t="str">
        <f>$B$6&amp;$T$6</f>
        <v>UPSOCR</v>
      </c>
      <c r="E71" s="124"/>
      <c r="F71" s="152"/>
      <c r="G71" s="143"/>
      <c r="H71" s="1466"/>
      <c r="I71" s="143"/>
      <c r="J71" s="143">
        <f>SUMIF(RefineriesData!$J$16:$J$246,$B$70&amp;RIGHT($D71,3),RefineriesData!$N$16:$N$246)</f>
        <v>0.19246327949883302</v>
      </c>
      <c r="K71" s="152"/>
      <c r="L71" s="152"/>
      <c r="M71" s="1286">
        <f>IFERROR(zar.2010*SUMIF(RefineriesData!$J$13:$J$245,$B71&amp;M$34,RefineriesData!$N$13:$N$245),"")</f>
        <v>0</v>
      </c>
      <c r="N71" s="152"/>
      <c r="O71" s="494"/>
      <c r="P71" s="494"/>
      <c r="Q71" s="143"/>
      <c r="R71" s="143"/>
      <c r="S71" s="1275"/>
      <c r="T71" s="1275"/>
      <c r="U71" s="160"/>
      <c r="V71" s="145"/>
      <c r="W71" s="145"/>
      <c r="X71" s="145"/>
      <c r="Y71" s="145"/>
      <c r="Z71" s="145"/>
      <c r="AA71" s="145"/>
      <c r="AB71" s="145"/>
      <c r="AC71" s="145"/>
      <c r="AD71" s="145"/>
      <c r="AE71" s="145"/>
      <c r="AF71" s="145"/>
      <c r="AG71" s="145"/>
      <c r="AH71" s="145"/>
      <c r="AI71" s="145"/>
      <c r="AJ71" s="145"/>
      <c r="AK71" s="145"/>
      <c r="AL71" s="145"/>
      <c r="AM71" s="145"/>
      <c r="AN71" s="145"/>
      <c r="AO71" s="145"/>
      <c r="AP71" s="145"/>
      <c r="AQ71" s="145"/>
      <c r="AR71" s="145"/>
      <c r="AS71" s="145"/>
      <c r="AT71" s="145"/>
      <c r="AU71" s="145"/>
      <c r="AV71" s="145"/>
      <c r="AW71" s="145"/>
      <c r="AX71" s="145"/>
      <c r="AY71" s="145"/>
      <c r="AZ71" s="145"/>
      <c r="BA71" s="145"/>
      <c r="BC71" s="435"/>
      <c r="BD71" s="121">
        <f t="shared" si="17"/>
        <v>34</v>
      </c>
    </row>
    <row r="72" spans="1:56">
      <c r="A72" s="436"/>
      <c r="B72" s="435"/>
      <c r="C72" s="435"/>
      <c r="D72" s="124" t="str">
        <f>$B$6&amp;$G$6</f>
        <v>UPSELC</v>
      </c>
      <c r="E72" s="124"/>
      <c r="F72" s="152"/>
      <c r="G72" s="152"/>
      <c r="H72" s="1467"/>
      <c r="I72" s="152"/>
      <c r="J72" s="143">
        <f>SUMIF(RefineriesData!$J$16:$J$246,$B$70&amp;RIGHT($D72,3),RefineriesData!$N$16:$N$246)</f>
        <v>3.7683602505834655E-2</v>
      </c>
      <c r="K72" s="152"/>
      <c r="L72" s="152"/>
      <c r="M72" s="1286">
        <f>IFERROR(zar.2010*SUMIF(RefineriesData!$J$13:$J$245,$B72&amp;M$34,RefineriesData!$N$13:$N$245),"")</f>
        <v>0</v>
      </c>
      <c r="N72" s="152"/>
      <c r="O72" s="494"/>
      <c r="P72" s="494"/>
      <c r="Q72" s="143"/>
      <c r="R72" s="143"/>
      <c r="S72" s="1275"/>
      <c r="T72" s="1275"/>
      <c r="U72" s="160"/>
      <c r="V72" s="145"/>
      <c r="W72" s="145"/>
      <c r="X72" s="145"/>
      <c r="Y72" s="145"/>
      <c r="Z72" s="145"/>
      <c r="AA72" s="145"/>
      <c r="AB72" s="145"/>
      <c r="AC72" s="145"/>
      <c r="AD72" s="145"/>
      <c r="AE72" s="145"/>
      <c r="AF72" s="145"/>
      <c r="AG72" s="145"/>
      <c r="AH72" s="145"/>
      <c r="AI72" s="145"/>
      <c r="AJ72" s="145"/>
      <c r="AK72" s="145"/>
      <c r="AL72" s="145"/>
      <c r="AM72" s="145"/>
      <c r="AN72" s="145"/>
      <c r="AO72" s="145"/>
      <c r="AP72" s="145"/>
      <c r="AQ72" s="145"/>
      <c r="AR72" s="145"/>
      <c r="AS72" s="145"/>
      <c r="AT72" s="145"/>
      <c r="AU72" s="145"/>
      <c r="AV72" s="145"/>
      <c r="AW72" s="145"/>
      <c r="AX72" s="145"/>
      <c r="AY72" s="145"/>
      <c r="AZ72" s="145"/>
      <c r="BA72" s="145"/>
      <c r="BC72" s="435"/>
      <c r="BD72" s="121">
        <f t="shared" si="17"/>
        <v>35</v>
      </c>
    </row>
    <row r="73" spans="1:56">
      <c r="A73" s="436"/>
      <c r="B73" s="435"/>
      <c r="C73" s="435"/>
      <c r="D73" s="124"/>
      <c r="E73" s="124" t="str">
        <f>$S$6</f>
        <v>OAG</v>
      </c>
      <c r="F73" s="152"/>
      <c r="G73" s="152"/>
      <c r="H73" s="1467"/>
      <c r="I73" s="152"/>
      <c r="J73" s="152"/>
      <c r="K73" s="418">
        <f>SUMIF(RefineriesData!$J$16:$J$246,$B$70&amp;RIGHT($E73,3),RefineriesData!$N$16:$N$246)</f>
        <v>0</v>
      </c>
      <c r="L73" s="152"/>
      <c r="M73" s="1286">
        <f>IFERROR(zar.2010*SUMIF(RefineriesData!$J$13:$J$245,$B73&amp;M$34,RefineriesData!$N$13:$N$245),"")</f>
        <v>0</v>
      </c>
      <c r="N73" s="152"/>
      <c r="O73" s="494"/>
      <c r="P73" s="494"/>
      <c r="Q73" s="143"/>
      <c r="R73" s="143"/>
      <c r="S73" s="1275"/>
      <c r="T73" s="1275"/>
      <c r="U73" s="160"/>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45"/>
      <c r="AY73" s="145"/>
      <c r="AZ73" s="145"/>
      <c r="BA73" s="145"/>
      <c r="BC73" s="435"/>
      <c r="BD73" s="121">
        <f t="shared" si="17"/>
        <v>36</v>
      </c>
    </row>
    <row r="74" spans="1:56">
      <c r="A74" s="436"/>
      <c r="B74" s="435"/>
      <c r="C74" s="435"/>
      <c r="D74" s="124"/>
      <c r="E74" s="124" t="str">
        <f>$U$6</f>
        <v>ODS</v>
      </c>
      <c r="F74" s="152"/>
      <c r="G74" s="152"/>
      <c r="H74" s="1467"/>
      <c r="I74" s="152"/>
      <c r="J74" s="152"/>
      <c r="K74" s="418">
        <f>SUMIF(RefineriesData!$J$16:$J$246,$B$70&amp;RIGHT($E74,3),RefineriesData!$N$16:$N$246)</f>
        <v>0.28767932115906897</v>
      </c>
      <c r="L74" s="152"/>
      <c r="M74" s="1286">
        <f>IFERROR(zar.2010*SUMIF(RefineriesData!$J$13:$J$245,$B74&amp;M$34,RefineriesData!$N$13:$N$245),"")</f>
        <v>0</v>
      </c>
      <c r="N74" s="152"/>
      <c r="O74" s="494"/>
      <c r="P74" s="494"/>
      <c r="Q74" s="143"/>
      <c r="R74" s="143"/>
      <c r="S74" s="1275"/>
      <c r="T74" s="1275"/>
      <c r="U74" s="160"/>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45"/>
      <c r="AY74" s="145"/>
      <c r="AZ74" s="145"/>
      <c r="BA74" s="145"/>
      <c r="BC74" s="435"/>
      <c r="BD74" s="121">
        <f t="shared" si="17"/>
        <v>37</v>
      </c>
    </row>
    <row r="75" spans="1:56">
      <c r="A75" s="436"/>
      <c r="B75" s="435"/>
      <c r="C75" s="435"/>
      <c r="D75" s="124"/>
      <c r="E75" s="124" t="str">
        <f>$V$6</f>
        <v>OGS</v>
      </c>
      <c r="F75" s="152"/>
      <c r="G75" s="152"/>
      <c r="H75" s="1467"/>
      <c r="I75" s="152"/>
      <c r="J75" s="152"/>
      <c r="K75" s="418">
        <f>SUMIF(RefineriesData!$J$16:$J$246,$B$70&amp;RIGHT($E75,3),RefineriesData!$N$16:$N$246)</f>
        <v>0.49809089633534509</v>
      </c>
      <c r="L75" s="152"/>
      <c r="M75" s="1286">
        <f>IFERROR(zar.2010*SUMIF(RefineriesData!$J$13:$J$245,$B75&amp;M$34,RefineriesData!$N$13:$N$245),"")</f>
        <v>0</v>
      </c>
      <c r="N75" s="152"/>
      <c r="O75" s="494"/>
      <c r="P75" s="494"/>
      <c r="Q75" s="143"/>
      <c r="R75" s="143"/>
      <c r="S75" s="1275"/>
      <c r="T75" s="1275"/>
      <c r="U75" s="160"/>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45"/>
      <c r="AY75" s="145"/>
      <c r="AZ75" s="145"/>
      <c r="BA75" s="145"/>
      <c r="BC75" s="435"/>
      <c r="BD75" s="121">
        <f t="shared" si="17"/>
        <v>38</v>
      </c>
    </row>
    <row r="76" spans="1:56">
      <c r="A76" s="436"/>
      <c r="B76" s="435"/>
      <c r="C76" s="435"/>
      <c r="D76" s="124"/>
      <c r="E76" s="124" t="str">
        <f>$X$6</f>
        <v>OKE</v>
      </c>
      <c r="F76" s="152"/>
      <c r="G76" s="152"/>
      <c r="H76" s="1467"/>
      <c r="I76" s="152"/>
      <c r="J76" s="152"/>
      <c r="K76" s="418">
        <f>SUMIF(RefineriesData!$J$16:$J$246,$B$70&amp;RIGHT($E76,3),RefineriesData!$N$16:$N$246)</f>
        <v>0.12259168661288511</v>
      </c>
      <c r="L76" s="152"/>
      <c r="M76" s="1286">
        <f>IFERROR(zar.2010*SUMIF(RefineriesData!$J$13:$J$245,$B76&amp;M$34,RefineriesData!$N$13:$N$245),"")</f>
        <v>0</v>
      </c>
      <c r="N76" s="152"/>
      <c r="O76" s="494"/>
      <c r="P76" s="494"/>
      <c r="Q76" s="143"/>
      <c r="R76" s="143"/>
      <c r="S76" s="1275"/>
      <c r="T76" s="1275"/>
      <c r="U76" s="160"/>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45"/>
      <c r="AY76" s="145"/>
      <c r="AZ76" s="145"/>
      <c r="BA76" s="145"/>
      <c r="BC76" s="435"/>
      <c r="BD76" s="121">
        <f t="shared" si="17"/>
        <v>39</v>
      </c>
    </row>
    <row r="77" spans="1:56">
      <c r="A77" s="436"/>
      <c r="B77" s="435"/>
      <c r="C77" s="435"/>
      <c r="D77" s="124"/>
      <c r="E77" s="124" t="str">
        <f>$Y$6</f>
        <v>OLP</v>
      </c>
      <c r="F77" s="152"/>
      <c r="G77" s="152"/>
      <c r="H77" s="1467"/>
      <c r="I77" s="152"/>
      <c r="J77" s="152"/>
      <c r="K77" s="418">
        <f>SUMIF(RefineriesData!$J$16:$J$246,$B$70&amp;RIGHT($E77,3),RefineriesData!$N$16:$N$246)</f>
        <v>3.6696142945579213E-2</v>
      </c>
      <c r="L77" s="152"/>
      <c r="M77" s="1286">
        <f>IFERROR(zar.2010*SUMIF(RefineriesData!$J$13:$J$245,$B77&amp;M$34,RefineriesData!$N$13:$N$245),"")</f>
        <v>0</v>
      </c>
      <c r="N77" s="152"/>
      <c r="O77" s="494"/>
      <c r="P77" s="494"/>
      <c r="Q77" s="143"/>
      <c r="R77" s="143"/>
      <c r="S77" s="1275"/>
      <c r="T77" s="1275"/>
      <c r="U77" s="160"/>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45"/>
      <c r="AY77" s="145"/>
      <c r="AZ77" s="145"/>
      <c r="BA77" s="145"/>
      <c r="BC77" s="435"/>
      <c r="BD77" s="121">
        <f t="shared" si="17"/>
        <v>40</v>
      </c>
    </row>
    <row r="78" spans="1:56">
      <c r="A78" s="436"/>
      <c r="B78" s="435"/>
      <c r="C78" s="435"/>
      <c r="D78" s="124"/>
      <c r="E78" s="124" t="s">
        <v>594</v>
      </c>
      <c r="F78" s="152"/>
      <c r="G78" s="152"/>
      <c r="H78" s="1467"/>
      <c r="I78" s="152"/>
      <c r="J78" s="152"/>
      <c r="K78" s="418">
        <f>SUMIF(RefineriesData!$J$16:$J$246,$B$70&amp;RIGHT($E78,3),RefineriesData!$N$16:$N$246)</f>
        <v>5.4941952947121613E-2</v>
      </c>
      <c r="L78" s="152"/>
      <c r="M78" s="1286">
        <f>IFERROR(zar.2010*SUMIF(RefineriesData!$J$13:$J$245,$B78&amp;M$34,RefineriesData!$N$13:$N$245),"")</f>
        <v>0</v>
      </c>
      <c r="N78" s="152"/>
      <c r="O78" s="494"/>
      <c r="P78" s="494"/>
      <c r="Q78" s="143"/>
      <c r="R78" s="143"/>
      <c r="S78" s="1275"/>
      <c r="T78" s="1275"/>
      <c r="U78" s="160"/>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45"/>
      <c r="AY78" s="145"/>
      <c r="AZ78" s="145"/>
      <c r="BA78" s="145"/>
      <c r="BC78" s="435"/>
      <c r="BD78" s="121">
        <f t="shared" si="17"/>
        <v>41</v>
      </c>
    </row>
    <row r="79" spans="1:56">
      <c r="A79" s="436" t="s">
        <v>292</v>
      </c>
      <c r="B79" s="435"/>
      <c r="C79" s="435"/>
      <c r="D79" s="124"/>
      <c r="F79" s="152"/>
      <c r="G79" s="152"/>
      <c r="H79" s="1467"/>
      <c r="I79" s="152"/>
      <c r="J79" s="152"/>
      <c r="K79" s="152"/>
      <c r="L79" s="152"/>
      <c r="M79" s="1286">
        <f>IFERROR(zar.2010*SUMIF(RefineriesData!$J$13:$J$245,$B79&amp;M$34,RefineriesData!$N$13:$N$245),"")</f>
        <v>0</v>
      </c>
      <c r="N79" s="152"/>
      <c r="O79" s="494"/>
      <c r="P79" s="494"/>
      <c r="Q79" s="143"/>
      <c r="R79" s="143"/>
      <c r="S79" s="1275"/>
      <c r="T79" s="1275"/>
      <c r="U79" s="160"/>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5"/>
      <c r="BC79" s="435"/>
      <c r="BD79" s="121">
        <f t="shared" si="17"/>
        <v>42</v>
      </c>
    </row>
    <row r="80" spans="1:56" ht="15">
      <c r="A80" s="436" t="str">
        <f>A22&amp;" New - Coastal"</f>
        <v>Refinery GTL New - Coastal</v>
      </c>
      <c r="B80" s="435" t="str">
        <f>$B$22&amp;RIGHT($D80,3)&amp;$C$21&amp;"-N"</f>
        <v>UGTLGICCO-N</v>
      </c>
      <c r="C80" s="435"/>
      <c r="D80" s="124" t="str">
        <f>$B$6&amp;NameConv!$C$26</f>
        <v>UPSGIC</v>
      </c>
      <c r="E80" s="124"/>
      <c r="F80" s="143">
        <f>F70</f>
        <v>50</v>
      </c>
      <c r="G80" s="143">
        <f>G70</f>
        <v>0.80809626745744978</v>
      </c>
      <c r="H80" s="1466">
        <f>H70</f>
        <v>0.46244122068025312</v>
      </c>
      <c r="I80" s="143" t="str">
        <f>""</f>
        <v/>
      </c>
      <c r="J80" s="143">
        <f>SUMIF(RefineriesData!$J$16:$J$246,$B$70&amp;RIGHT($D80,3),RefineriesData!$N$16:$N$246)</f>
        <v>0.76985311799533229</v>
      </c>
      <c r="K80" s="152"/>
      <c r="L80" s="494">
        <f>L70</f>
        <v>2025</v>
      </c>
      <c r="M80" s="1278">
        <f>M70</f>
        <v>169.62323731057683</v>
      </c>
      <c r="N80" s="494"/>
      <c r="O80" s="1377">
        <f>O70</f>
        <v>16.868609235305986</v>
      </c>
      <c r="P80" s="1378">
        <f>P70</f>
        <v>18.658556104163456</v>
      </c>
      <c r="Q80" s="143">
        <v>-6</v>
      </c>
      <c r="R80" s="143" t="str">
        <f>""</f>
        <v/>
      </c>
      <c r="S80" s="1276">
        <f>S60</f>
        <v>6.4894696089818042</v>
      </c>
      <c r="T80" s="1277">
        <f>T60</f>
        <v>4.4999999999999997E-3</v>
      </c>
      <c r="U80" s="160"/>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45"/>
      <c r="AY80" s="145"/>
      <c r="AZ80" s="145"/>
      <c r="BA80" s="145"/>
      <c r="BC80" s="435"/>
      <c r="BD80" s="121">
        <f t="shared" si="17"/>
        <v>43</v>
      </c>
    </row>
    <row r="81" spans="1:56">
      <c r="A81" s="436"/>
      <c r="B81" s="435"/>
      <c r="C81" s="435"/>
      <c r="D81" s="124" t="str">
        <f>$B$6&amp;$T$6</f>
        <v>UPSOCR</v>
      </c>
      <c r="E81" s="124"/>
      <c r="F81" s="152"/>
      <c r="G81" s="143"/>
      <c r="H81" s="1466"/>
      <c r="I81" s="143"/>
      <c r="J81" s="143">
        <f>SUMIF(RefineriesData!$J$16:$J$246,$B$70&amp;RIGHT($D81,3),RefineriesData!$N$16:$N$246)</f>
        <v>0.19246327949883302</v>
      </c>
      <c r="K81" s="152"/>
      <c r="L81" s="152"/>
      <c r="M81" s="1286">
        <f>IFERROR(zar.2010*SUMIF(RefineriesData!$J$13:$J$245,$B81&amp;M$34,RefineriesData!$N$13:$N$245),"")</f>
        <v>0</v>
      </c>
      <c r="N81" s="152"/>
      <c r="O81" s="143"/>
      <c r="P81" s="143"/>
      <c r="Q81" s="143"/>
      <c r="R81" s="143"/>
      <c r="S81" s="1275"/>
      <c r="T81" s="1275"/>
      <c r="U81" s="160"/>
      <c r="V81" s="145"/>
      <c r="W81" s="145"/>
      <c r="X81" s="145"/>
      <c r="Y81" s="145"/>
      <c r="Z81" s="145"/>
      <c r="AA81" s="145"/>
      <c r="AB81" s="145"/>
      <c r="AC81" s="145"/>
      <c r="AD81" s="145"/>
      <c r="AE81" s="145"/>
      <c r="AF81" s="145"/>
      <c r="AG81" s="145"/>
      <c r="AH81" s="145"/>
      <c r="AI81" s="145"/>
      <c r="AJ81" s="145"/>
      <c r="AK81" s="145"/>
      <c r="AL81" s="145"/>
      <c r="AM81" s="145"/>
      <c r="AN81" s="145"/>
      <c r="AO81" s="145"/>
      <c r="AP81" s="145"/>
      <c r="AQ81" s="145"/>
      <c r="AR81" s="145"/>
      <c r="AS81" s="145"/>
      <c r="AT81" s="145"/>
      <c r="AU81" s="145"/>
      <c r="AV81" s="145"/>
      <c r="AW81" s="145"/>
      <c r="AX81" s="145"/>
      <c r="AY81" s="145"/>
      <c r="AZ81" s="145"/>
      <c r="BA81" s="145"/>
      <c r="BC81" s="435"/>
      <c r="BD81" s="121">
        <f t="shared" si="17"/>
        <v>44</v>
      </c>
    </row>
    <row r="82" spans="1:56">
      <c r="A82" s="436"/>
      <c r="B82" s="435"/>
      <c r="C82" s="435"/>
      <c r="D82" s="124" t="str">
        <f>$B$6&amp;$G$6</f>
        <v>UPSELC</v>
      </c>
      <c r="E82" s="124"/>
      <c r="F82" s="152"/>
      <c r="G82" s="152"/>
      <c r="H82" s="1467"/>
      <c r="I82" s="152"/>
      <c r="J82" s="143">
        <f>SUMIF(RefineriesData!$J$16:$J$246,$B$70&amp;RIGHT($D82,3),RefineriesData!$N$16:$N$246)</f>
        <v>3.7683602505834655E-2</v>
      </c>
      <c r="K82" s="152"/>
      <c r="L82" s="152"/>
      <c r="M82" s="1286">
        <f>IFERROR(zar.2010*SUMIF(RefineriesData!$J$13:$J$245,$B82&amp;M$34,RefineriesData!$N$13:$N$245),"")</f>
        <v>0</v>
      </c>
      <c r="N82" s="152"/>
      <c r="O82" s="143"/>
      <c r="P82" s="143"/>
      <c r="Q82" s="143"/>
      <c r="R82" s="143"/>
      <c r="S82" s="1275"/>
      <c r="T82" s="1275"/>
      <c r="U82" s="160"/>
      <c r="V82" s="145"/>
      <c r="W82" s="145"/>
      <c r="X82" s="145"/>
      <c r="Y82" s="145"/>
      <c r="Z82" s="145"/>
      <c r="AA82" s="145"/>
      <c r="AB82" s="145"/>
      <c r="AC82" s="145"/>
      <c r="AD82" s="145"/>
      <c r="AE82" s="145"/>
      <c r="AF82" s="145"/>
      <c r="AG82" s="145"/>
      <c r="AH82" s="145"/>
      <c r="AI82" s="145"/>
      <c r="AJ82" s="145"/>
      <c r="AK82" s="145"/>
      <c r="AL82" s="145"/>
      <c r="AM82" s="145"/>
      <c r="AN82" s="145"/>
      <c r="AO82" s="145"/>
      <c r="AP82" s="145"/>
      <c r="AQ82" s="145"/>
      <c r="AR82" s="145"/>
      <c r="AS82" s="145"/>
      <c r="AT82" s="145"/>
      <c r="AU82" s="145"/>
      <c r="AV82" s="145"/>
      <c r="AW82" s="145"/>
      <c r="AX82" s="145"/>
      <c r="AY82" s="145"/>
      <c r="AZ82" s="145"/>
      <c r="BA82" s="145"/>
      <c r="BC82" s="435"/>
      <c r="BD82" s="121">
        <f t="shared" si="17"/>
        <v>45</v>
      </c>
    </row>
    <row r="83" spans="1:56">
      <c r="A83" s="436"/>
      <c r="B83" s="435"/>
      <c r="C83" s="435"/>
      <c r="D83" s="124"/>
      <c r="E83" s="124" t="str">
        <f>$S$6</f>
        <v>OAG</v>
      </c>
      <c r="F83" s="152"/>
      <c r="G83" s="152"/>
      <c r="H83" s="1467"/>
      <c r="I83" s="152"/>
      <c r="J83" s="152"/>
      <c r="K83" s="418">
        <f>SUMIF(RefineriesData!$J$16:$J$246,$B$70&amp;RIGHT($E83,3),RefineriesData!$N$16:$N$246)</f>
        <v>0</v>
      </c>
      <c r="L83" s="152"/>
      <c r="M83" s="1286">
        <f>IFERROR(zar.2010*SUMIF(RefineriesData!$J$13:$J$245,$B83&amp;M$34,RefineriesData!$N$13:$N$245),"")</f>
        <v>0</v>
      </c>
      <c r="N83" s="152"/>
      <c r="O83" s="143"/>
      <c r="P83" s="143"/>
      <c r="Q83" s="143"/>
      <c r="R83" s="143"/>
      <c r="S83" s="1275"/>
      <c r="T83" s="1275"/>
      <c r="U83" s="160"/>
      <c r="V83" s="145"/>
      <c r="W83" s="145"/>
      <c r="X83" s="145"/>
      <c r="Y83" s="145"/>
      <c r="Z83" s="145"/>
      <c r="AA83" s="145"/>
      <c r="AB83" s="145"/>
      <c r="AC83" s="145"/>
      <c r="AD83" s="145"/>
      <c r="AE83" s="145"/>
      <c r="AF83" s="145"/>
      <c r="AG83" s="145"/>
      <c r="AH83" s="145"/>
      <c r="AI83" s="145"/>
      <c r="AJ83" s="145"/>
      <c r="AK83" s="145"/>
      <c r="AL83" s="145"/>
      <c r="AM83" s="145"/>
      <c r="AN83" s="145"/>
      <c r="AO83" s="145"/>
      <c r="AP83" s="145"/>
      <c r="AQ83" s="145"/>
      <c r="AR83" s="145"/>
      <c r="AS83" s="145"/>
      <c r="AT83" s="145"/>
      <c r="AU83" s="145"/>
      <c r="AV83" s="145"/>
      <c r="AW83" s="145"/>
      <c r="AX83" s="145"/>
      <c r="AY83" s="145"/>
      <c r="AZ83" s="145"/>
      <c r="BA83" s="145"/>
      <c r="BC83" s="435"/>
      <c r="BD83" s="121">
        <f t="shared" si="17"/>
        <v>46</v>
      </c>
    </row>
    <row r="84" spans="1:56">
      <c r="A84" s="436"/>
      <c r="B84" s="435"/>
      <c r="C84" s="435"/>
      <c r="D84" s="124"/>
      <c r="E84" s="124" t="str">
        <f>$U$6</f>
        <v>ODS</v>
      </c>
      <c r="F84" s="152"/>
      <c r="G84" s="152"/>
      <c r="H84" s="1467"/>
      <c r="I84" s="152"/>
      <c r="J84" s="152"/>
      <c r="K84" s="418">
        <f>SUMIF(RefineriesData!$J$16:$J$246,$B$70&amp;RIGHT($E84,3),RefineriesData!$N$16:$N$246)</f>
        <v>0.28767932115906897</v>
      </c>
      <c r="L84" s="152"/>
      <c r="M84" s="1286">
        <f>IFERROR(zar.2010*SUMIF(RefineriesData!$J$13:$J$245,$B84&amp;M$34,RefineriesData!$N$13:$N$245),"")</f>
        <v>0</v>
      </c>
      <c r="N84" s="152"/>
      <c r="O84" s="143"/>
      <c r="P84" s="143"/>
      <c r="Q84" s="143"/>
      <c r="R84" s="143"/>
      <c r="S84" s="1275"/>
      <c r="T84" s="1275"/>
      <c r="U84" s="160"/>
      <c r="V84" s="145"/>
      <c r="W84" s="145"/>
      <c r="X84" s="145"/>
      <c r="Y84" s="145"/>
      <c r="Z84" s="145"/>
      <c r="AA84" s="145"/>
      <c r="AB84" s="145"/>
      <c r="AC84" s="145"/>
      <c r="AD84" s="145"/>
      <c r="AE84" s="145"/>
      <c r="AF84" s="145"/>
      <c r="AG84" s="145"/>
      <c r="AH84" s="145"/>
      <c r="AI84" s="145"/>
      <c r="AJ84" s="145"/>
      <c r="AK84" s="145"/>
      <c r="AL84" s="145"/>
      <c r="AM84" s="145"/>
      <c r="AN84" s="145"/>
      <c r="AO84" s="145"/>
      <c r="AP84" s="145"/>
      <c r="AQ84" s="145"/>
      <c r="AR84" s="145"/>
      <c r="AS84" s="145"/>
      <c r="AT84" s="145"/>
      <c r="AU84" s="145"/>
      <c r="AV84" s="145"/>
      <c r="AW84" s="145"/>
      <c r="AX84" s="145"/>
      <c r="AY84" s="145"/>
      <c r="AZ84" s="145"/>
      <c r="BA84" s="145"/>
      <c r="BC84" s="435"/>
      <c r="BD84" s="121">
        <f t="shared" si="17"/>
        <v>47</v>
      </c>
    </row>
    <row r="85" spans="1:56">
      <c r="A85" s="436"/>
      <c r="B85" s="435"/>
      <c r="C85" s="435"/>
      <c r="D85" s="124"/>
      <c r="E85" s="124" t="str">
        <f>$V$6</f>
        <v>OGS</v>
      </c>
      <c r="F85" s="152"/>
      <c r="G85" s="152"/>
      <c r="H85" s="1467"/>
      <c r="I85" s="152"/>
      <c r="J85" s="152"/>
      <c r="K85" s="418">
        <f>SUMIF(RefineriesData!$J$16:$J$246,$B$70&amp;RIGHT($E85,3),RefineriesData!$N$16:$N$246)</f>
        <v>0.49809089633534509</v>
      </c>
      <c r="L85" s="152"/>
      <c r="M85" s="1286">
        <f>IFERROR(zar.2010*SUMIF(RefineriesData!$J$13:$J$245,$B85&amp;M$34,RefineriesData!$N$13:$N$245),"")</f>
        <v>0</v>
      </c>
      <c r="N85" s="152"/>
      <c r="O85" s="143"/>
      <c r="P85" s="143"/>
      <c r="Q85" s="143"/>
      <c r="R85" s="143"/>
      <c r="S85" s="1275"/>
      <c r="T85" s="1275"/>
      <c r="U85" s="160"/>
      <c r="V85" s="145"/>
      <c r="W85" s="145"/>
      <c r="X85" s="145"/>
      <c r="Y85" s="145"/>
      <c r="Z85" s="145"/>
      <c r="AA85" s="145"/>
      <c r="AB85" s="145"/>
      <c r="AC85" s="145"/>
      <c r="AD85" s="145"/>
      <c r="AE85" s="145"/>
      <c r="AF85" s="145"/>
      <c r="AG85" s="145"/>
      <c r="AH85" s="145"/>
      <c r="AI85" s="145"/>
      <c r="AJ85" s="145"/>
      <c r="AK85" s="145"/>
      <c r="AL85" s="145"/>
      <c r="AM85" s="145"/>
      <c r="AN85" s="145"/>
      <c r="AO85" s="145"/>
      <c r="AP85" s="145"/>
      <c r="AQ85" s="145"/>
      <c r="AR85" s="145"/>
      <c r="AS85" s="145"/>
      <c r="AT85" s="145"/>
      <c r="AU85" s="145"/>
      <c r="AV85" s="145"/>
      <c r="AW85" s="145"/>
      <c r="AX85" s="145"/>
      <c r="AY85" s="145"/>
      <c r="AZ85" s="145"/>
      <c r="BA85" s="145"/>
      <c r="BC85" s="435"/>
      <c r="BD85" s="121">
        <f t="shared" si="17"/>
        <v>48</v>
      </c>
    </row>
    <row r="86" spans="1:56">
      <c r="A86" s="436"/>
      <c r="B86" s="435"/>
      <c r="C86" s="435"/>
      <c r="D86" s="124"/>
      <c r="E86" s="124" t="str">
        <f>$X$6</f>
        <v>OKE</v>
      </c>
      <c r="F86" s="152"/>
      <c r="G86" s="152"/>
      <c r="H86" s="1467"/>
      <c r="I86" s="152"/>
      <c r="J86" s="152"/>
      <c r="K86" s="418">
        <f>SUMIF(RefineriesData!$J$16:$J$246,$B$70&amp;RIGHT($E86,3),RefineriesData!$N$16:$N$246)</f>
        <v>0.12259168661288511</v>
      </c>
      <c r="L86" s="152"/>
      <c r="M86" s="1286">
        <f>IFERROR(zar.2010*SUMIF(RefineriesData!$J$13:$J$245,$B86&amp;M$34,RefineriesData!$N$13:$N$245),"")</f>
        <v>0</v>
      </c>
      <c r="N86" s="152"/>
      <c r="O86" s="143"/>
      <c r="P86" s="143"/>
      <c r="Q86" s="143"/>
      <c r="R86" s="143"/>
      <c r="S86" s="1275"/>
      <c r="T86" s="1275"/>
      <c r="U86" s="160"/>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C86" s="435"/>
      <c r="BD86" s="121">
        <f t="shared" si="17"/>
        <v>49</v>
      </c>
    </row>
    <row r="87" spans="1:56">
      <c r="A87" s="436"/>
      <c r="B87" s="435"/>
      <c r="C87" s="435"/>
      <c r="D87" s="124"/>
      <c r="E87" s="124" t="str">
        <f>$Y$6</f>
        <v>OLP</v>
      </c>
      <c r="F87" s="152"/>
      <c r="G87" s="152"/>
      <c r="H87" s="1467"/>
      <c r="I87" s="152"/>
      <c r="J87" s="152"/>
      <c r="K87" s="418">
        <f>SUMIF(RefineriesData!$J$16:$J$246,$B$70&amp;RIGHT($E87,3),RefineriesData!$N$16:$N$246)</f>
        <v>3.6696142945579213E-2</v>
      </c>
      <c r="L87" s="152"/>
      <c r="M87" s="1286">
        <f>IFERROR(zar.2010*SUMIF(RefineriesData!$J$13:$J$245,$B87&amp;M$34,RefineriesData!$N$13:$N$245),"")</f>
        <v>0</v>
      </c>
      <c r="N87" s="152"/>
      <c r="O87" s="143"/>
      <c r="P87" s="143"/>
      <c r="Q87" s="143"/>
      <c r="R87" s="143"/>
      <c r="S87" s="1275"/>
      <c r="T87" s="1275"/>
      <c r="U87" s="160"/>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c r="AS87" s="145"/>
      <c r="AT87" s="145"/>
      <c r="AU87" s="145"/>
      <c r="AV87" s="145"/>
      <c r="AW87" s="145"/>
      <c r="AX87" s="145"/>
      <c r="AY87" s="145"/>
      <c r="AZ87" s="145"/>
      <c r="BA87" s="145"/>
      <c r="BC87" s="435"/>
      <c r="BD87" s="121">
        <f t="shared" si="17"/>
        <v>50</v>
      </c>
    </row>
    <row r="88" spans="1:56">
      <c r="A88" s="436"/>
      <c r="B88" s="435"/>
      <c r="C88" s="435"/>
      <c r="D88" s="124"/>
      <c r="E88" s="124" t="s">
        <v>594</v>
      </c>
      <c r="F88" s="152"/>
      <c r="G88" s="152"/>
      <c r="H88" s="1467"/>
      <c r="I88" s="152"/>
      <c r="J88" s="152"/>
      <c r="K88" s="418">
        <f>SUMIF(RefineriesData!$J$16:$J$246,$B$70&amp;RIGHT($E88,3),RefineriesData!$N$16:$N$246)</f>
        <v>5.4941952947121613E-2</v>
      </c>
      <c r="L88" s="152"/>
      <c r="M88" s="1286">
        <f>IFERROR(zar.2010*SUMIF(RefineriesData!$J$13:$J$245,$B88&amp;M$34,RefineriesData!$N$13:$N$245),"")</f>
        <v>0</v>
      </c>
      <c r="N88" s="152"/>
      <c r="O88" s="143"/>
      <c r="P88" s="143"/>
      <c r="Q88" s="143"/>
      <c r="R88" s="143"/>
      <c r="S88" s="1275"/>
      <c r="T88" s="1275"/>
      <c r="U88" s="160"/>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C88" s="435"/>
      <c r="BD88" s="121">
        <f t="shared" si="17"/>
        <v>51</v>
      </c>
    </row>
    <row r="89" spans="1:56">
      <c r="A89" s="436" t="s">
        <v>292</v>
      </c>
      <c r="B89" s="435"/>
      <c r="C89" s="435"/>
      <c r="D89" s="124"/>
      <c r="F89" s="152"/>
      <c r="G89" s="152"/>
      <c r="H89" s="1467"/>
      <c r="I89" s="152"/>
      <c r="J89" s="152"/>
      <c r="K89" s="152"/>
      <c r="L89" s="152"/>
      <c r="M89" s="1286">
        <f>IFERROR(zar.2010*SUMIF(RefineriesData!$J$13:$J$245,$B89&amp;M$34,RefineriesData!$N$13:$N$245),"")</f>
        <v>0</v>
      </c>
      <c r="N89" s="152"/>
      <c r="O89" s="143"/>
      <c r="P89" s="143"/>
      <c r="Q89" s="143"/>
      <c r="R89" s="143"/>
      <c r="S89" s="1275"/>
      <c r="T89" s="1275"/>
      <c r="U89" s="160"/>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C89" s="435"/>
      <c r="BD89" s="121">
        <f t="shared" si="17"/>
        <v>52</v>
      </c>
    </row>
    <row r="90" spans="1:56" ht="15">
      <c r="A90" s="142" t="str">
        <f>$A$23&amp; " Existing"</f>
        <v>Refinery CTL Existing</v>
      </c>
      <c r="B90" s="140" t="str">
        <f>$B$23&amp;RIGHT($D90,3)&amp;$D$21&amp;"-E"</f>
        <v>UCTLCLEIN-E</v>
      </c>
      <c r="C90" s="140"/>
      <c r="D90" s="124" t="str">
        <f>$B$6&amp;NameConv!$C$14</f>
        <v>UPSCLE</v>
      </c>
      <c r="E90" s="124"/>
      <c r="F90" s="152"/>
      <c r="G90" s="143">
        <f>SUMIF(RefineriesData!$J$16:$J$221,$B90&amp;G$34,RefineriesData!$N$16:$N$221)</f>
        <v>0.29922414801284114</v>
      </c>
      <c r="H90" s="1466">
        <f>RefineriesData!N55</f>
        <v>0.95890410958904104</v>
      </c>
      <c r="I90" s="1334">
        <f>RefineriesData!R54</f>
        <v>0.95890410958904104</v>
      </c>
      <c r="J90" s="143">
        <f>SUMIF(RefineriesData!$J$16:$J$221,$B90&amp;RIGHT($D90,3),RefineriesData!$N$16:$N$221)</f>
        <v>0.65963269300300886</v>
      </c>
      <c r="K90" s="152"/>
      <c r="L90" s="152"/>
      <c r="M90" s="1286">
        <f>IFERROR(zar.2010*SUMIF(RefineriesData!$J$13:$J$245,$B90&amp;M$34,RefineriesData!$N$13:$N$245),"")</f>
        <v>0</v>
      </c>
      <c r="N90" s="152"/>
      <c r="O90" s="494">
        <f>IFERROR(zar.2010*SUMIF(RefineriesData!$J$13:$J$245,$B90&amp;O$34,RefineriesData!$N$13:$N$245),"")</f>
        <v>0</v>
      </c>
      <c r="P90" s="494">
        <f>IFERROR(zar.2010*SUMIF(RefineriesData!$J$13:$J$245,$B90&amp;P$34,RefineriesData!$N$13:$N$245), "")</f>
        <v>23.739875247063129</v>
      </c>
      <c r="Q90" s="143"/>
      <c r="R90" s="143">
        <v>0</v>
      </c>
      <c r="S90" s="1275">
        <f>SUMIF(RefineriesData!$J$13:$J$221,$B90&amp;S$35,RefineriesData!$N$13:$N$221)</f>
        <v>99.475504974982442</v>
      </c>
      <c r="T90" s="1275">
        <f>SUMIF(RefineriesData!$J$13:$J$221,$B90&amp;T$35,RefineriesData!$N$13:$N$221)</f>
        <v>0.39733151387714233</v>
      </c>
      <c r="U90" s="417">
        <f>SUMIF(RefineriesData!$J$13:$J$221,$B90&amp;U$32,RefineriesData!$N$13:$N$221)</f>
        <v>261.96656392262918</v>
      </c>
      <c r="V90" s="145">
        <f t="shared" ref="V90:AX90" si="20">U90</f>
        <v>261.96656392262918</v>
      </c>
      <c r="W90" s="145">
        <f t="shared" si="20"/>
        <v>261.96656392262918</v>
      </c>
      <c r="X90" s="145">
        <f t="shared" si="20"/>
        <v>261.96656392262918</v>
      </c>
      <c r="Y90" s="145">
        <f t="shared" si="20"/>
        <v>261.96656392262918</v>
      </c>
      <c r="Z90" s="145">
        <f t="shared" si="20"/>
        <v>261.96656392262918</v>
      </c>
      <c r="AA90" s="145">
        <f t="shared" si="20"/>
        <v>261.96656392262918</v>
      </c>
      <c r="AB90" s="145">
        <f t="shared" si="20"/>
        <v>261.96656392262918</v>
      </c>
      <c r="AC90" s="145">
        <f t="shared" si="20"/>
        <v>261.96656392262918</v>
      </c>
      <c r="AD90" s="145">
        <f t="shared" si="20"/>
        <v>261.96656392262918</v>
      </c>
      <c r="AE90" s="145">
        <f t="shared" si="20"/>
        <v>261.96656392262918</v>
      </c>
      <c r="AF90" s="145">
        <f t="shared" si="20"/>
        <v>261.96656392262918</v>
      </c>
      <c r="AG90" s="145">
        <f t="shared" si="20"/>
        <v>261.96656392262918</v>
      </c>
      <c r="AH90" s="145">
        <f t="shared" si="20"/>
        <v>261.96656392262918</v>
      </c>
      <c r="AI90" s="145">
        <f t="shared" si="20"/>
        <v>261.96656392262918</v>
      </c>
      <c r="AJ90" s="145">
        <f t="shared" si="20"/>
        <v>261.96656392262918</v>
      </c>
      <c r="AK90" s="145">
        <f t="shared" si="20"/>
        <v>261.96656392262918</v>
      </c>
      <c r="AL90" s="145">
        <f t="shared" si="20"/>
        <v>261.96656392262918</v>
      </c>
      <c r="AM90" s="145">
        <f t="shared" si="20"/>
        <v>261.96656392262918</v>
      </c>
      <c r="AN90" s="145">
        <f t="shared" si="20"/>
        <v>261.96656392262918</v>
      </c>
      <c r="AO90" s="145">
        <f t="shared" si="20"/>
        <v>261.96656392262918</v>
      </c>
      <c r="AP90" s="145">
        <f t="shared" si="20"/>
        <v>261.96656392262918</v>
      </c>
      <c r="AQ90" s="145">
        <f t="shared" si="20"/>
        <v>261.96656392262918</v>
      </c>
      <c r="AR90" s="145">
        <f t="shared" si="20"/>
        <v>261.96656392262918</v>
      </c>
      <c r="AS90" s="145">
        <f t="shared" si="20"/>
        <v>261.96656392262918</v>
      </c>
      <c r="AT90" s="145">
        <f t="shared" si="20"/>
        <v>261.96656392262918</v>
      </c>
      <c r="AU90" s="145">
        <f t="shared" si="20"/>
        <v>261.96656392262918</v>
      </c>
      <c r="AV90" s="145">
        <f t="shared" si="20"/>
        <v>261.96656392262918</v>
      </c>
      <c r="AW90" s="145">
        <f t="shared" si="20"/>
        <v>261.96656392262918</v>
      </c>
      <c r="AX90" s="145">
        <f t="shared" si="20"/>
        <v>261.96656392262918</v>
      </c>
      <c r="AY90" s="145">
        <f t="shared" ref="AY90" si="21">AX90</f>
        <v>261.96656392262918</v>
      </c>
      <c r="AZ90" s="145">
        <f t="shared" ref="AZ90" si="22">AY90</f>
        <v>261.96656392262918</v>
      </c>
      <c r="BA90" s="145">
        <f t="shared" ref="BA90" si="23">AZ90</f>
        <v>261.96656392262918</v>
      </c>
      <c r="BB90" s="145"/>
      <c r="BC90" s="435"/>
      <c r="BD90" s="121">
        <f t="shared" si="17"/>
        <v>53</v>
      </c>
    </row>
    <row r="91" spans="1:56">
      <c r="A91" s="142"/>
      <c r="B91" s="140"/>
      <c r="C91" s="140"/>
      <c r="D91" s="124" t="str">
        <f>$B$6&amp;$H$6</f>
        <v>UPSGAS</v>
      </c>
      <c r="E91" s="124"/>
      <c r="F91" s="152"/>
      <c r="G91" s="152"/>
      <c r="H91" s="1467"/>
      <c r="I91" s="152"/>
      <c r="J91" s="418">
        <f>SUMIF(RefineriesData!$J$16:$J$221,$B90&amp;RIGHT($D91,3),RefineriesData!$N$16:$N$221)</f>
        <v>6.1679045115178993E-2</v>
      </c>
      <c r="K91" s="152"/>
      <c r="L91" s="152"/>
      <c r="M91" s="1286">
        <f>IFERROR(zar.2010*SUMIF(RefineriesData!$J$13:$J$245,$B91&amp;M$34,RefineriesData!$N$13:$N$245),"")</f>
        <v>0</v>
      </c>
      <c r="N91" s="152"/>
      <c r="O91" s="494"/>
      <c r="P91" s="494"/>
      <c r="Q91" s="143"/>
      <c r="R91" s="143"/>
      <c r="S91" s="1275"/>
      <c r="T91" s="1275"/>
      <c r="U91" s="160"/>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c r="AS91" s="145"/>
      <c r="AT91" s="145"/>
      <c r="AU91" s="145"/>
      <c r="AV91" s="145"/>
      <c r="AW91" s="145"/>
      <c r="AX91" s="145"/>
      <c r="AY91" s="145"/>
      <c r="AZ91" s="145"/>
      <c r="BA91" s="145"/>
      <c r="BC91" s="435"/>
      <c r="BD91" s="121">
        <f t="shared" si="17"/>
        <v>54</v>
      </c>
    </row>
    <row r="92" spans="1:56">
      <c r="A92" s="142"/>
      <c r="B92" s="140"/>
      <c r="C92" s="140"/>
      <c r="D92" s="124" t="str">
        <f>$B$6&amp;$G$6</f>
        <v>UPSELC</v>
      </c>
      <c r="E92" s="124"/>
      <c r="F92" s="152"/>
      <c r="G92" s="152"/>
      <c r="H92" s="1467"/>
      <c r="I92" s="152"/>
      <c r="J92" s="418">
        <f>SUMIF(RefineriesData!$J$16:$J$221,$B90&amp;RIGHT($D92,3),RefineriesData!$N$16:$N$221)</f>
        <v>4.294262361898564E-2</v>
      </c>
      <c r="K92" s="152"/>
      <c r="L92" s="152"/>
      <c r="M92" s="1286">
        <f>IFERROR(zar.2010*SUMIF(RefineriesData!$J$13:$J$245,$B92&amp;M$34,RefineriesData!$N$13:$N$245),"")</f>
        <v>0</v>
      </c>
      <c r="N92" s="152"/>
      <c r="O92" s="494"/>
      <c r="P92" s="494"/>
      <c r="Q92" s="143"/>
      <c r="R92" s="143"/>
      <c r="S92" s="1275"/>
      <c r="T92" s="1275"/>
      <c r="U92" s="160"/>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C92" s="435"/>
      <c r="BD92" s="121">
        <f t="shared" si="17"/>
        <v>55</v>
      </c>
    </row>
    <row r="93" spans="1:56">
      <c r="A93" s="436"/>
      <c r="B93" s="435"/>
      <c r="C93" s="435"/>
      <c r="D93" s="124" t="str">
        <f>$B$6&amp;$O$6</f>
        <v>UPSHEE</v>
      </c>
      <c r="E93" s="124"/>
      <c r="F93" s="152"/>
      <c r="G93" s="152"/>
      <c r="H93" s="1467"/>
      <c r="I93" s="152"/>
      <c r="J93" s="418">
        <f>SUMIF(RefineriesData!$J$16:$J$221,$B90&amp;RIGHT($D93,3),RefineriesData!$N$16:$N$221)</f>
        <v>0.23574563826282655</v>
      </c>
      <c r="K93" s="152"/>
      <c r="L93" s="152"/>
      <c r="M93" s="1286">
        <f>IFERROR(zar.2010*SUMIF(RefineriesData!$J$13:$J$245,$B93&amp;M$34,RefineriesData!$N$13:$N$245),"")</f>
        <v>0</v>
      </c>
      <c r="N93" s="152"/>
      <c r="O93" s="494"/>
      <c r="P93" s="494"/>
      <c r="Q93" s="143"/>
      <c r="R93" s="143"/>
      <c r="S93" s="1275"/>
      <c r="T93" s="1275"/>
      <c r="U93" s="160"/>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C93" s="435"/>
      <c r="BD93" s="121">
        <f t="shared" si="17"/>
        <v>56</v>
      </c>
    </row>
    <row r="94" spans="1:56">
      <c r="A94" s="142"/>
      <c r="B94" s="140"/>
      <c r="C94" s="140"/>
      <c r="D94" s="124"/>
      <c r="E94" s="124" t="str">
        <f>S6</f>
        <v>OAG</v>
      </c>
      <c r="F94" s="152"/>
      <c r="G94" s="152"/>
      <c r="H94" s="1467"/>
      <c r="I94" s="152"/>
      <c r="J94" s="152"/>
      <c r="K94" s="418">
        <f>SUMIF(RefineriesData!$J$16:$J$221,$B90&amp;RIGHT($E94,3),RefineriesData!$N$16:$N$221)</f>
        <v>3.8561908801070703E-3</v>
      </c>
      <c r="L94" s="152"/>
      <c r="M94" s="1286">
        <f>IFERROR(zar.2010*SUMIF(RefineriesData!$J$13:$J$245,$B94&amp;M$34,RefineriesData!$N$13:$N$245),"")</f>
        <v>0</v>
      </c>
      <c r="N94" s="152"/>
      <c r="O94" s="494"/>
      <c r="P94" s="494"/>
      <c r="Q94" s="143"/>
      <c r="R94" s="143"/>
      <c r="S94" s="1275"/>
      <c r="T94" s="1275"/>
      <c r="U94" s="160"/>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C94" s="435"/>
      <c r="BD94" s="121">
        <f t="shared" si="17"/>
        <v>57</v>
      </c>
    </row>
    <row r="95" spans="1:56">
      <c r="A95" s="142"/>
      <c r="B95" s="140"/>
      <c r="C95" s="140"/>
      <c r="D95" s="124"/>
      <c r="E95" s="124" t="str">
        <f>U6</f>
        <v>ODS</v>
      </c>
      <c r="F95" s="152"/>
      <c r="G95" s="152"/>
      <c r="H95" s="1467"/>
      <c r="I95" s="152"/>
      <c r="J95" s="152"/>
      <c r="K95" s="418">
        <f>SUMIF(RefineriesData!$J$16:$J$221,$B90&amp;RIGHT($E95,3),RefineriesData!$N$16:$N$221)</f>
        <v>0.22515182978585355</v>
      </c>
      <c r="L95" s="152"/>
      <c r="M95" s="1286">
        <f>IFERROR(zar.2010*SUMIF(RefineriesData!$J$13:$J$245,$B95&amp;M$34,RefineriesData!$N$13:$N$245),"")</f>
        <v>0</v>
      </c>
      <c r="N95" s="152"/>
      <c r="O95" s="494"/>
      <c r="P95" s="494"/>
      <c r="Q95" s="143"/>
      <c r="R95" s="143"/>
      <c r="S95" s="1275"/>
      <c r="T95" s="1275"/>
      <c r="U95" s="160"/>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C95" s="435"/>
      <c r="BD95" s="121">
        <f t="shared" si="17"/>
        <v>58</v>
      </c>
    </row>
    <row r="96" spans="1:56">
      <c r="A96" s="436"/>
      <c r="B96" s="435"/>
      <c r="C96" s="435"/>
      <c r="D96" s="124"/>
      <c r="E96" s="124" t="str">
        <f>V6</f>
        <v>OGS</v>
      </c>
      <c r="F96" s="152"/>
      <c r="G96" s="152"/>
      <c r="H96" s="1467"/>
      <c r="I96" s="152"/>
      <c r="J96" s="152"/>
      <c r="K96" s="418">
        <f>SUMIF(RefineriesData!$J$16:$J$221,$B90&amp;RIGHT($E96,3),RefineriesData!$N$16:$N$221)</f>
        <v>0.51121066001704907</v>
      </c>
      <c r="L96" s="152"/>
      <c r="M96" s="1286">
        <f>IFERROR(zar.2010*SUMIF(RefineriesData!$J$13:$J$245,$B96&amp;M$34,RefineriesData!$N$13:$N$245),"")</f>
        <v>0</v>
      </c>
      <c r="N96" s="152"/>
      <c r="O96" s="494"/>
      <c r="P96" s="494"/>
      <c r="Q96" s="143"/>
      <c r="R96" s="143"/>
      <c r="S96" s="1275"/>
      <c r="T96" s="1275"/>
      <c r="U96" s="160"/>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c r="AS96" s="145"/>
      <c r="AT96" s="145"/>
      <c r="AU96" s="145"/>
      <c r="AV96" s="145"/>
      <c r="AW96" s="145"/>
      <c r="AX96" s="145"/>
      <c r="AY96" s="145"/>
      <c r="AZ96" s="145"/>
      <c r="BA96" s="145"/>
      <c r="BC96" s="435"/>
      <c r="BD96" s="121">
        <f t="shared" si="17"/>
        <v>59</v>
      </c>
    </row>
    <row r="97" spans="1:56">
      <c r="A97" s="436"/>
      <c r="B97" s="435"/>
      <c r="C97" s="435"/>
      <c r="D97" s="124"/>
      <c r="E97" s="124" t="str">
        <f>$J$6</f>
        <v>GIM</v>
      </c>
      <c r="F97" s="152"/>
      <c r="G97" s="152"/>
      <c r="H97" s="1467"/>
      <c r="I97" s="152"/>
      <c r="J97" s="152"/>
      <c r="K97" s="418">
        <f>SUMIF(RefineriesData!$J$16:$J$221,$B90&amp;RIGHT($E97,3),RefineriesData!$N$16:$N$221)</f>
        <v>0.13683682177551551</v>
      </c>
      <c r="L97" s="152"/>
      <c r="M97" s="1286">
        <f>IFERROR(zar.2010*SUMIF(RefineriesData!$J$13:$J$245,$B97&amp;M$34,RefineriesData!$N$13:$N$245),"")</f>
        <v>0</v>
      </c>
      <c r="N97" s="152"/>
      <c r="O97" s="494"/>
      <c r="P97" s="494"/>
      <c r="Q97" s="143"/>
      <c r="R97" s="143"/>
      <c r="S97" s="1275"/>
      <c r="T97" s="1275"/>
      <c r="U97" s="160"/>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c r="AS97" s="145"/>
      <c r="AT97" s="145"/>
      <c r="AU97" s="145"/>
      <c r="AV97" s="145"/>
      <c r="AW97" s="145"/>
      <c r="AX97" s="145"/>
      <c r="AY97" s="145"/>
      <c r="AZ97" s="145"/>
      <c r="BA97" s="145"/>
      <c r="BC97" s="435"/>
      <c r="BD97" s="121">
        <f t="shared" si="17"/>
        <v>60</v>
      </c>
    </row>
    <row r="98" spans="1:56">
      <c r="A98" s="436"/>
      <c r="B98" s="435"/>
      <c r="C98" s="435"/>
      <c r="D98" s="124"/>
      <c r="E98" s="124" t="str">
        <f>X6</f>
        <v>OKE</v>
      </c>
      <c r="F98" s="152"/>
      <c r="G98" s="152"/>
      <c r="H98" s="1467"/>
      <c r="I98" s="152"/>
      <c r="J98" s="152"/>
      <c r="K98" s="418">
        <f>SUMIF(RefineriesData!$J$16:$J$221,$B90&amp;RIGHT($E98,3),RefineriesData!$N$16:$N$221)</f>
        <v>4.1003051727628158E-2</v>
      </c>
      <c r="L98" s="152"/>
      <c r="M98" s="1286">
        <f>IFERROR(zar.2010*SUMIF(RefineriesData!$J$13:$J$245,$B98&amp;M$34,RefineriesData!$N$13:$N$245),"")</f>
        <v>0</v>
      </c>
      <c r="N98" s="152"/>
      <c r="O98" s="494"/>
      <c r="P98" s="494"/>
      <c r="Q98" s="143"/>
      <c r="R98" s="143"/>
      <c r="S98" s="1275"/>
      <c r="T98" s="1275"/>
      <c r="U98" s="160"/>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c r="AS98" s="145"/>
      <c r="AT98" s="145"/>
      <c r="AU98" s="145"/>
      <c r="AV98" s="145"/>
      <c r="AW98" s="145"/>
      <c r="AX98" s="145"/>
      <c r="AY98" s="145"/>
      <c r="AZ98" s="145"/>
      <c r="BA98" s="145"/>
      <c r="BC98" s="435"/>
      <c r="BD98" s="121">
        <f t="shared" si="17"/>
        <v>61</v>
      </c>
    </row>
    <row r="99" spans="1:56">
      <c r="A99" s="436"/>
      <c r="B99" s="435"/>
      <c r="C99" s="435"/>
      <c r="D99" s="124"/>
      <c r="E99" s="124" t="str">
        <f>Y6</f>
        <v>OLP</v>
      </c>
      <c r="F99" s="152"/>
      <c r="G99" s="152"/>
      <c r="H99" s="1467"/>
      <c r="I99" s="152"/>
      <c r="J99" s="152"/>
      <c r="K99" s="418">
        <f>SUMIF(RefineriesData!$J$16:$J$221,$B90&amp;RIGHT($E99,3),RefineriesData!$N$16:$N$221)</f>
        <v>1.3008561741482062E-2</v>
      </c>
      <c r="L99" s="152"/>
      <c r="M99" s="1286">
        <f>IFERROR(zar.2010*SUMIF(RefineriesData!$J$13:$J$245,$B99&amp;M$34,RefineriesData!$N$13:$N$245),"")</f>
        <v>0</v>
      </c>
      <c r="N99" s="152"/>
      <c r="O99" s="494"/>
      <c r="P99" s="494"/>
      <c r="Q99" s="143"/>
      <c r="R99" s="143"/>
      <c r="S99" s="1275"/>
      <c r="T99" s="1275"/>
      <c r="U99" s="160"/>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c r="AS99" s="145"/>
      <c r="AT99" s="145"/>
      <c r="AU99" s="145"/>
      <c r="AV99" s="145"/>
      <c r="AW99" s="145"/>
      <c r="AX99" s="145"/>
      <c r="AY99" s="145"/>
      <c r="AZ99" s="145"/>
      <c r="BA99" s="145"/>
      <c r="BC99" s="435"/>
      <c r="BD99" s="121">
        <f t="shared" si="17"/>
        <v>62</v>
      </c>
    </row>
    <row r="100" spans="1:56">
      <c r="A100" s="436"/>
      <c r="B100" s="435"/>
      <c r="C100" s="435"/>
      <c r="D100" s="124"/>
      <c r="E100" s="124" t="str">
        <f>Z6</f>
        <v>OTH</v>
      </c>
      <c r="F100" s="152"/>
      <c r="G100" s="152"/>
      <c r="H100" s="1467"/>
      <c r="I100" s="152"/>
      <c r="J100" s="152"/>
      <c r="K100" s="418">
        <f>SUMIF(RefineriesData!$J$16:$J$221,$B90&amp;RIGHT($E100,3),RefineriesData!$N$16:$N$221)</f>
        <v>6.89328840723646E-2</v>
      </c>
      <c r="L100" s="152"/>
      <c r="M100" s="1286">
        <f>IFERROR(zar.2010*SUMIF(RefineriesData!$J$13:$J$245,$B100&amp;M$34,RefineriesData!$N$13:$N$245),"")</f>
        <v>0</v>
      </c>
      <c r="N100" s="152"/>
      <c r="O100" s="494"/>
      <c r="P100" s="494"/>
      <c r="Q100" s="143"/>
      <c r="R100" s="143"/>
      <c r="S100" s="1275"/>
      <c r="T100" s="1275"/>
      <c r="U100" s="160"/>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c r="AS100" s="145"/>
      <c r="AT100" s="145"/>
      <c r="AU100" s="145"/>
      <c r="AV100" s="145"/>
      <c r="AW100" s="145"/>
      <c r="AX100" s="145"/>
      <c r="AY100" s="145"/>
      <c r="AZ100" s="145"/>
      <c r="BA100" s="145"/>
      <c r="BC100" s="435"/>
      <c r="BD100" s="121">
        <f t="shared" si="17"/>
        <v>63</v>
      </c>
    </row>
    <row r="101" spans="1:56">
      <c r="A101" s="436" t="s">
        <v>292</v>
      </c>
      <c r="B101" s="435"/>
      <c r="C101" s="435"/>
      <c r="D101" s="124"/>
      <c r="F101" s="152"/>
      <c r="G101" s="152"/>
      <c r="H101" s="1467"/>
      <c r="I101" s="152"/>
      <c r="J101" s="152"/>
      <c r="K101" s="152"/>
      <c r="L101" s="152"/>
      <c r="M101" s="1286">
        <f>IFERROR(zar.2010*SUMIF(RefineriesData!$J$13:$J$245,$B101&amp;M$34,RefineriesData!$N$13:$N$245),"")</f>
        <v>0</v>
      </c>
      <c r="N101" s="152"/>
      <c r="O101" s="494"/>
      <c r="P101" s="494"/>
      <c r="Q101" s="143"/>
      <c r="R101" s="143"/>
      <c r="S101" s="1275"/>
      <c r="T101" s="1275"/>
      <c r="U101" s="160"/>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c r="AS101" s="145"/>
      <c r="AT101" s="145"/>
      <c r="AU101" s="145"/>
      <c r="AV101" s="145"/>
      <c r="AW101" s="145"/>
      <c r="AX101" s="145"/>
      <c r="AY101" s="145"/>
      <c r="AZ101" s="145"/>
      <c r="BA101" s="145"/>
      <c r="BC101" s="435"/>
      <c r="BD101" s="121">
        <f t="shared" si="17"/>
        <v>64</v>
      </c>
    </row>
    <row r="102" spans="1:56">
      <c r="A102" s="436" t="str">
        <f>$A$23&amp; " New"</f>
        <v>Refinery CTL New</v>
      </c>
      <c r="B102" s="140" t="str">
        <f>$B$23&amp;RIGHT($D102,3)&amp;$D$21&amp;"-N"</f>
        <v>UCTLCLEIN-N</v>
      </c>
      <c r="C102" s="140"/>
      <c r="D102" s="124" t="str">
        <f>$B$6&amp;NameConv!$C$14</f>
        <v>UPSCLE</v>
      </c>
      <c r="E102" s="124"/>
      <c r="F102" s="143">
        <f>SUMIF(RefineriesData!$J$16:$J$221,$B102&amp;F$34,RefineriesData!$N$16:$N$221)</f>
        <v>50</v>
      </c>
      <c r="G102" s="143">
        <f>SUMIF(RefineriesData!$J$16:$J$221,$B102&amp;G$34,RefineriesData!$N$16:$N$221)</f>
        <v>0.34922414801284113</v>
      </c>
      <c r="H102" s="1466">
        <f>SUMIF(RefineriesData!$J$16:$J$221,$B102&amp;H$34,RefineriesData!$N$16:$N$221)</f>
        <v>0.96</v>
      </c>
      <c r="I102" s="143" t="str">
        <f>""</f>
        <v/>
      </c>
      <c r="J102" s="143">
        <f>SUMIF(RefineriesData!$J$16:$J$221,$B102&amp;RIGHT($D102,3),RefineriesData!$N$16:$N$221)</f>
        <v>0.65963269300300886</v>
      </c>
      <c r="K102" s="152"/>
      <c r="L102" s="494">
        <f>SUMIF(RefineriesData!$J$13:$J$243,$B102&amp;L$34,RefineriesData!$N$13:$N$243)</f>
        <v>2030</v>
      </c>
      <c r="M102" s="1286">
        <f>IFERROR(zar.2010*SUMIF(RefineriesData!$J$13:$J$245,$B102&amp;M$34,RefineriesData!$N$13:$N$245),"")</f>
        <v>576.20825372119009</v>
      </c>
      <c r="N102" s="494"/>
      <c r="O102" s="494">
        <f>IFERROR(zar.2010*SUMIF(RefineriesData!$J$13:$J$245,$B102&amp;O$34,RefineriesData!$N$13:$N$245),"")</f>
        <v>0</v>
      </c>
      <c r="P102" s="494">
        <f>IFERROR(zar.2010*SUMIF(RefineriesData!$J$13:$J$245,$B102&amp;P$34,RefineriesData!$N$13:$N$245), "")</f>
        <v>23.739875247063129</v>
      </c>
      <c r="Q102" s="143">
        <v>-6</v>
      </c>
      <c r="R102" s="143">
        <v>0</v>
      </c>
      <c r="S102" s="1275">
        <f>SUMIF(RefineriesData!$J$13:$J$221,$B102&amp;S$35,RefineriesData!$N$13:$N$221)</f>
        <v>99.475504974982442</v>
      </c>
      <c r="T102" s="1275">
        <f>SUMIF(RefineriesData!$J$13:$J$221,$B102&amp;T$35,RefineriesData!$N$13:$N$221)</f>
        <v>0.39733151387714233</v>
      </c>
      <c r="U102" s="417"/>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435"/>
      <c r="BD102" s="121">
        <f t="shared" si="17"/>
        <v>65</v>
      </c>
    </row>
    <row r="103" spans="1:56">
      <c r="A103" s="436"/>
      <c r="B103" s="435"/>
      <c r="C103" s="435"/>
      <c r="D103" s="124" t="str">
        <f>$B$6&amp;$H$6</f>
        <v>UPSGAS</v>
      </c>
      <c r="E103" s="124"/>
      <c r="F103" s="152"/>
      <c r="G103" s="152"/>
      <c r="H103" s="1467"/>
      <c r="I103" s="152"/>
      <c r="J103" s="418">
        <f>SUMIF(RefineriesData!$J$16:$J$221,$B102&amp;RIGHT($D103,3),RefineriesData!$N$16:$N$221)</f>
        <v>6.1679045115178993E-2</v>
      </c>
      <c r="K103" s="152"/>
      <c r="L103" s="494"/>
      <c r="M103" s="1286">
        <f>IFERROR(zar.2010*SUMIF(RefineriesData!$J$13:$J$245,$B103&amp;M$34,RefineriesData!$N$13:$N$245),"")</f>
        <v>0</v>
      </c>
      <c r="N103" s="152"/>
      <c r="O103" s="494"/>
      <c r="P103" s="494"/>
      <c r="Q103" s="143"/>
      <c r="R103" s="143"/>
      <c r="S103" s="1275"/>
      <c r="T103" s="1275"/>
      <c r="U103" s="160"/>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c r="AS103" s="145"/>
      <c r="AT103" s="145"/>
      <c r="AU103" s="145"/>
      <c r="AV103" s="145"/>
      <c r="AW103" s="145"/>
      <c r="AX103" s="145"/>
      <c r="AY103" s="145"/>
      <c r="AZ103" s="145"/>
      <c r="BA103" s="145"/>
      <c r="BC103" s="435"/>
      <c r="BD103" s="121">
        <f t="shared" si="17"/>
        <v>66</v>
      </c>
    </row>
    <row r="104" spans="1:56">
      <c r="A104" s="436"/>
      <c r="B104" s="435"/>
      <c r="C104" s="435"/>
      <c r="D104" s="124" t="str">
        <f>$B$6&amp;$G$6</f>
        <v>UPSELC</v>
      </c>
      <c r="E104" s="124"/>
      <c r="F104" s="152"/>
      <c r="G104" s="152"/>
      <c r="H104" s="1467"/>
      <c r="I104" s="152"/>
      <c r="J104" s="418">
        <f>SUMIF(RefineriesData!$J$16:$J$221,$B102&amp;RIGHT($D104,3),RefineriesData!$N$16:$N$221)</f>
        <v>4.294262361898564E-2</v>
      </c>
      <c r="K104" s="152"/>
      <c r="L104" s="494"/>
      <c r="M104" s="1286">
        <f>IFERROR(zar.2010*SUMIF(RefineriesData!$J$13:$J$245,$B104&amp;M$34,RefineriesData!$N$13:$N$245),"")</f>
        <v>0</v>
      </c>
      <c r="N104" s="152"/>
      <c r="O104" s="494"/>
      <c r="P104" s="494"/>
      <c r="Q104" s="143"/>
      <c r="R104" s="143"/>
      <c r="S104" s="1275"/>
      <c r="T104" s="1275"/>
      <c r="U104" s="160"/>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C104" s="435"/>
      <c r="BD104" s="121">
        <f t="shared" si="17"/>
        <v>67</v>
      </c>
    </row>
    <row r="105" spans="1:56">
      <c r="A105" s="436"/>
      <c r="B105" s="435"/>
      <c r="C105" s="435"/>
      <c r="D105" s="124" t="str">
        <f>$B$6&amp;$P$6</f>
        <v>UPSHEN</v>
      </c>
      <c r="E105" s="124"/>
      <c r="F105" s="152"/>
      <c r="G105" s="152"/>
      <c r="H105" s="1467"/>
      <c r="I105" s="152"/>
      <c r="J105" s="418">
        <f>SUMIF(RefineriesData!$J$16:$J$221,$B102&amp;RIGHT($D105,3),RefineriesData!$N$16:$N$221)</f>
        <v>0.23574563826282655</v>
      </c>
      <c r="K105" s="152"/>
      <c r="L105" s="494"/>
      <c r="M105" s="1286">
        <f>IFERROR(zar.2010*SUMIF(RefineriesData!$J$13:$J$245,$B105&amp;M$34,RefineriesData!$N$13:$N$245),"")</f>
        <v>0</v>
      </c>
      <c r="N105" s="152"/>
      <c r="O105" s="494"/>
      <c r="P105" s="494"/>
      <c r="Q105" s="143"/>
      <c r="R105" s="143"/>
      <c r="S105" s="1275"/>
      <c r="T105" s="1275"/>
      <c r="U105" s="160"/>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c r="AS105" s="145"/>
      <c r="AT105" s="145"/>
      <c r="AU105" s="145"/>
      <c r="AV105" s="145"/>
      <c r="AW105" s="145"/>
      <c r="AX105" s="145"/>
      <c r="AY105" s="145"/>
      <c r="AZ105" s="145"/>
      <c r="BA105" s="145"/>
      <c r="BC105" s="435"/>
      <c r="BD105" s="121">
        <f t="shared" si="17"/>
        <v>68</v>
      </c>
    </row>
    <row r="106" spans="1:56">
      <c r="A106" s="436"/>
      <c r="B106" s="435"/>
      <c r="C106" s="435"/>
      <c r="D106" s="124"/>
      <c r="E106" s="124" t="str">
        <f>S6</f>
        <v>OAG</v>
      </c>
      <c r="F106" s="152"/>
      <c r="G106" s="152"/>
      <c r="H106" s="1467"/>
      <c r="I106" s="152"/>
      <c r="J106" s="152"/>
      <c r="K106" s="418">
        <f>SUMIF(RefineriesData!$J$16:$J$221,$B102&amp;RIGHT($E106,3),RefineriesData!$N$16:$N$221)</f>
        <v>0</v>
      </c>
      <c r="L106" s="494"/>
      <c r="M106" s="1286">
        <f>IFERROR(zar.2010*SUMIF(RefineriesData!$J$13:$J$245,$B106&amp;M$34,RefineriesData!$N$13:$N$245),"")</f>
        <v>0</v>
      </c>
      <c r="N106" s="152"/>
      <c r="O106" s="494"/>
      <c r="P106" s="494"/>
      <c r="Q106" s="143"/>
      <c r="R106" s="143"/>
      <c r="S106" s="1275"/>
      <c r="T106" s="1275"/>
      <c r="U106" s="160"/>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c r="AS106" s="145"/>
      <c r="AT106" s="145"/>
      <c r="AU106" s="145"/>
      <c r="AV106" s="145"/>
      <c r="AW106" s="145"/>
      <c r="AX106" s="145"/>
      <c r="AY106" s="145"/>
      <c r="AZ106" s="145"/>
      <c r="BA106" s="145"/>
      <c r="BC106" s="435"/>
      <c r="BD106" s="121">
        <f t="shared" si="17"/>
        <v>69</v>
      </c>
    </row>
    <row r="107" spans="1:56">
      <c r="A107" s="436"/>
      <c r="B107" s="435"/>
      <c r="C107" s="435"/>
      <c r="D107" s="124"/>
      <c r="E107" s="124" t="str">
        <f>U6</f>
        <v>ODS</v>
      </c>
      <c r="F107" s="152"/>
      <c r="G107" s="152"/>
      <c r="H107" s="1467"/>
      <c r="I107" s="152"/>
      <c r="J107" s="152"/>
      <c r="K107" s="418">
        <f>SUMIF(RefineriesData!$J$16:$J$221,$B102&amp;RIGHT($E107,3),RefineriesData!$N$16:$N$221)</f>
        <v>0.73</v>
      </c>
      <c r="L107" s="494"/>
      <c r="M107" s="1286">
        <f>IFERROR(zar.2010*SUMIF(RefineriesData!$J$13:$J$245,$B107&amp;M$34,RefineriesData!$N$13:$N$245),"")</f>
        <v>0</v>
      </c>
      <c r="N107" s="152"/>
      <c r="O107" s="494"/>
      <c r="P107" s="494"/>
      <c r="Q107" s="143"/>
      <c r="R107" s="143"/>
      <c r="S107" s="1275"/>
      <c r="T107" s="1275"/>
      <c r="U107" s="160"/>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C107" s="435"/>
      <c r="BD107" s="121">
        <f t="shared" si="17"/>
        <v>70</v>
      </c>
    </row>
    <row r="108" spans="1:56">
      <c r="A108" s="436"/>
      <c r="B108" s="435"/>
      <c r="C108" s="435"/>
      <c r="D108" s="124"/>
      <c r="E108" s="124" t="str">
        <f>V6</f>
        <v>OGS</v>
      </c>
      <c r="F108" s="152"/>
      <c r="G108" s="152"/>
      <c r="H108" s="1467"/>
      <c r="I108" s="152"/>
      <c r="J108" s="152"/>
      <c r="K108" s="418">
        <f>SUMIF(RefineriesData!$J$16:$J$221,$B102&amp;RIGHT($E108,3),RefineriesData!$N$16:$N$221)</f>
        <v>0.23499999999999999</v>
      </c>
      <c r="L108" s="494"/>
      <c r="M108" s="1286">
        <f>IFERROR(zar.2010*SUMIF(RefineriesData!$J$13:$J$245,$B108&amp;M$34,RefineriesData!$N$13:$N$245),"")</f>
        <v>0</v>
      </c>
      <c r="N108" s="152"/>
      <c r="O108" s="494"/>
      <c r="P108" s="494"/>
      <c r="Q108" s="143"/>
      <c r="R108" s="143"/>
      <c r="S108" s="1275"/>
      <c r="T108" s="1275"/>
      <c r="U108" s="160"/>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c r="AS108" s="145"/>
      <c r="AT108" s="145"/>
      <c r="AU108" s="145"/>
      <c r="AV108" s="145"/>
      <c r="AW108" s="145"/>
      <c r="AX108" s="145"/>
      <c r="AY108" s="145"/>
      <c r="AZ108" s="145"/>
      <c r="BA108" s="145"/>
      <c r="BC108" s="435"/>
      <c r="BD108" s="121">
        <f t="shared" si="17"/>
        <v>71</v>
      </c>
    </row>
    <row r="109" spans="1:56">
      <c r="A109" s="436"/>
      <c r="B109" s="435"/>
      <c r="C109" s="435"/>
      <c r="D109" s="124"/>
      <c r="E109" s="124" t="str">
        <f>$J$6</f>
        <v>GIM</v>
      </c>
      <c r="F109" s="152"/>
      <c r="G109" s="152"/>
      <c r="H109" s="1467"/>
      <c r="I109" s="152"/>
      <c r="J109" s="152"/>
      <c r="K109" s="418">
        <f>SUMIF(RefineriesData!$J$16:$J$221,$B102&amp;RIGHT($E109,3),RefineriesData!$N$16:$N$221)</f>
        <v>0</v>
      </c>
      <c r="L109" s="494"/>
      <c r="M109" s="1286">
        <f>IFERROR(zar.2010*SUMIF(RefineriesData!$J$13:$J$245,$B109&amp;M$34,RefineriesData!$N$13:$N$245),"")</f>
        <v>0</v>
      </c>
      <c r="N109" s="152"/>
      <c r="O109" s="494"/>
      <c r="P109" s="494"/>
      <c r="Q109" s="143"/>
      <c r="R109" s="143"/>
      <c r="S109" s="1275"/>
      <c r="T109" s="1275"/>
      <c r="U109" s="160"/>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c r="AS109" s="145"/>
      <c r="AT109" s="145"/>
      <c r="AU109" s="145"/>
      <c r="AV109" s="145"/>
      <c r="AW109" s="145"/>
      <c r="AX109" s="145"/>
      <c r="AY109" s="145"/>
      <c r="AZ109" s="145"/>
      <c r="BA109" s="145"/>
      <c r="BC109" s="435"/>
      <c r="BD109" s="121">
        <f t="shared" si="17"/>
        <v>72</v>
      </c>
    </row>
    <row r="110" spans="1:56">
      <c r="A110" s="436"/>
      <c r="B110" s="435"/>
      <c r="C110" s="435"/>
      <c r="D110" s="124"/>
      <c r="E110" s="124" t="str">
        <f>X6</f>
        <v>OKE</v>
      </c>
      <c r="F110" s="152"/>
      <c r="G110" s="152"/>
      <c r="H110" s="1467"/>
      <c r="I110" s="152"/>
      <c r="J110" s="152"/>
      <c r="K110" s="418">
        <f>SUMIF(RefineriesData!$J$16:$J$221,$B102&amp;RIGHT($E110,3),RefineriesData!$N$16:$N$221)</f>
        <v>0</v>
      </c>
      <c r="L110" s="494"/>
      <c r="M110" s="1286">
        <f>IFERROR(zar.2010*SUMIF(RefineriesData!$J$13:$J$245,$B110&amp;M$34,RefineriesData!$N$13:$N$245),"")</f>
        <v>0</v>
      </c>
      <c r="N110" s="152"/>
      <c r="O110" s="494"/>
      <c r="P110" s="494"/>
      <c r="Q110" s="143"/>
      <c r="R110" s="143"/>
      <c r="S110" s="1275"/>
      <c r="T110" s="1275"/>
      <c r="U110" s="160"/>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c r="AS110" s="145"/>
      <c r="AT110" s="145"/>
      <c r="AU110" s="145"/>
      <c r="AV110" s="145"/>
      <c r="AW110" s="145"/>
      <c r="AX110" s="145"/>
      <c r="AY110" s="145"/>
      <c r="AZ110" s="145"/>
      <c r="BA110" s="145"/>
      <c r="BC110" s="435"/>
      <c r="BD110" s="121">
        <f t="shared" si="17"/>
        <v>73</v>
      </c>
    </row>
    <row r="111" spans="1:56">
      <c r="A111" s="436"/>
      <c r="B111" s="435"/>
      <c r="C111" s="435"/>
      <c r="D111" s="124"/>
      <c r="E111" s="124" t="str">
        <f>Y6</f>
        <v>OLP</v>
      </c>
      <c r="F111" s="152"/>
      <c r="G111" s="152"/>
      <c r="H111" s="1467"/>
      <c r="I111" s="152"/>
      <c r="J111" s="152"/>
      <c r="K111" s="418">
        <f>SUMIF(RefineriesData!$J$16:$J$221,$B102&amp;RIGHT($E111,3),RefineriesData!$N$16:$N$221)</f>
        <v>3.5000000000000003E-2</v>
      </c>
      <c r="L111" s="494"/>
      <c r="M111" s="1286">
        <f>IFERROR(zar.2010*SUMIF(RefineriesData!$J$13:$J$245,$B111&amp;M$34,RefineriesData!$N$13:$N$245),"")</f>
        <v>0</v>
      </c>
      <c r="N111" s="152"/>
      <c r="O111" s="494"/>
      <c r="P111" s="494"/>
      <c r="Q111" s="143"/>
      <c r="R111" s="143"/>
      <c r="S111" s="1275"/>
      <c r="T111" s="1275"/>
      <c r="U111" s="160"/>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c r="AS111" s="145"/>
      <c r="AT111" s="145"/>
      <c r="AU111" s="145"/>
      <c r="AV111" s="145"/>
      <c r="AW111" s="145"/>
      <c r="AX111" s="145"/>
      <c r="AY111" s="145"/>
      <c r="AZ111" s="145"/>
      <c r="BA111" s="145"/>
      <c r="BC111" s="435"/>
      <c r="BD111" s="121">
        <f t="shared" si="17"/>
        <v>74</v>
      </c>
    </row>
    <row r="112" spans="1:56">
      <c r="A112" s="436"/>
      <c r="B112" s="435"/>
      <c r="C112" s="435"/>
      <c r="D112" s="124"/>
      <c r="E112" s="124" t="str">
        <f>Z6</f>
        <v>OTH</v>
      </c>
      <c r="F112" s="152"/>
      <c r="G112" s="152"/>
      <c r="H112" s="1467"/>
      <c r="I112" s="152"/>
      <c r="J112" s="152"/>
      <c r="K112" s="418">
        <f>SUMIF(RefineriesData!$J$16:$J$221,$B102&amp;RIGHT($E112,3),RefineriesData!$N$16:$N$221)</f>
        <v>0</v>
      </c>
      <c r="L112" s="494"/>
      <c r="M112" s="1286">
        <f>IFERROR(zar.2010*SUMIF(RefineriesData!$J$13:$J$245,$B112&amp;M$34,RefineriesData!$N$13:$N$245),"")</f>
        <v>0</v>
      </c>
      <c r="N112" s="152"/>
      <c r="O112" s="494"/>
      <c r="P112" s="494"/>
      <c r="Q112" s="143"/>
      <c r="R112" s="143"/>
      <c r="S112" s="1275"/>
      <c r="T112" s="1275"/>
      <c r="U112" s="160"/>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C112" s="435"/>
      <c r="BD112" s="121">
        <f t="shared" si="17"/>
        <v>75</v>
      </c>
    </row>
    <row r="113" spans="1:56">
      <c r="A113" s="436" t="s">
        <v>292</v>
      </c>
      <c r="B113" s="140"/>
      <c r="C113" s="140"/>
      <c r="D113" s="124"/>
      <c r="E113" s="124"/>
      <c r="F113" s="152"/>
      <c r="G113" s="152"/>
      <c r="H113" s="1467"/>
      <c r="I113" s="152"/>
      <c r="J113" s="152"/>
      <c r="K113" s="152"/>
      <c r="L113" s="494"/>
      <c r="M113" s="1286">
        <f>IFERROR(zar.2010*SUMIF(RefineriesData!$J$13:$J$245,$B113&amp;M$34,RefineriesData!$N$13:$N$245),"")</f>
        <v>0</v>
      </c>
      <c r="N113" s="152"/>
      <c r="O113" s="494"/>
      <c r="P113" s="494"/>
      <c r="Q113" s="143"/>
      <c r="R113" s="143"/>
      <c r="S113" s="1275"/>
      <c r="T113" s="1275"/>
      <c r="U113" s="160"/>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C113" s="435"/>
      <c r="BD113" s="121">
        <f t="shared" si="17"/>
        <v>76</v>
      </c>
    </row>
    <row r="114" spans="1:56">
      <c r="A114" s="436" t="str">
        <f>$A$21&amp;" New"</f>
        <v>Refinery Crude Oil New</v>
      </c>
      <c r="B114" s="140" t="str">
        <f>$B$21&amp;RIGHT($D114,3)&amp;$C$21&amp;"-N"</f>
        <v>UREFOCRCO-N</v>
      </c>
      <c r="C114" s="140"/>
      <c r="D114" s="124" t="str">
        <f>$B$6&amp;$T$6</f>
        <v>UPSOCR</v>
      </c>
      <c r="E114" s="124"/>
      <c r="F114" s="143">
        <f>SUMIF(RefineriesData!$J$16:$J$221,$B114&amp;F$34,RefineriesData!$N$16:$N$221)</f>
        <v>50</v>
      </c>
      <c r="G114" s="143">
        <f>SUMIF(RefineriesData!$J$16:$J$221,$B114&amp;G$34,RefineriesData!$N$16:$N$221)</f>
        <v>0.97</v>
      </c>
      <c r="H114" s="1466">
        <f>SUMIF(RefineriesData!$J$16:$J$221,$B114&amp;H$34,RefineriesData!$N$16:$N$221)</f>
        <v>0.96</v>
      </c>
      <c r="I114" s="143" t="str">
        <f>""</f>
        <v/>
      </c>
      <c r="J114" s="143">
        <f>SUMIF(RefineriesData!$J$16:$J$221,$B114&amp;RIGHT($D114,3),RefineriesData!$N$16:$N$221)</f>
        <v>1</v>
      </c>
      <c r="K114" s="152"/>
      <c r="L114" s="494">
        <f>SUMIF(RefineriesData!$J$13:$J$243,$B114&amp;L$34,RefineriesData!$N$13:$N$243)</f>
        <v>2030</v>
      </c>
      <c r="M114" s="1275">
        <f>IFERROR(zar.2010*SUMIF(RefineriesData!$J$13:$J$245,$B114&amp;M$34,RefineriesData!$N$13:$N$245),"")</f>
        <v>183.21573476698075</v>
      </c>
      <c r="N114" s="494"/>
      <c r="O114" s="644">
        <f>IFERROR(zar.2010*SUMIF(RefineriesData!$J$13:$J$245,$B114&amp;O$34,RefineriesData!$N$13:$N$245),"")</f>
        <v>5.4964720430094216</v>
      </c>
      <c r="P114" s="494">
        <f>IFERROR(zar.2010*SUMIF(RefineriesData!$J$13:$J$245,$B114&amp;P$34,RefineriesData!$N$13:$N$245), "")</f>
        <v>19.837857647588002</v>
      </c>
      <c r="Q114" s="143">
        <v>-5</v>
      </c>
      <c r="R114" s="143" t="str">
        <f>""</f>
        <v/>
      </c>
      <c r="S114" s="1275">
        <f>SUMIF(RefineriesData!$J$13:$J$221,$B114&amp;S$35,RefineriesData!$N$13:$N$221)</f>
        <v>4.2865158837537818</v>
      </c>
      <c r="T114" s="1275">
        <f>SUMIF(RefineriesData!$J$13:$J$221,$B114&amp;T$35,RefineriesData!$N$13:$N$221)</f>
        <v>0</v>
      </c>
      <c r="U114" s="417"/>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C114" s="435"/>
      <c r="BD114" s="121">
        <f t="shared" si="17"/>
        <v>77</v>
      </c>
    </row>
    <row r="115" spans="1:56">
      <c r="A115" s="436"/>
      <c r="B115" s="435"/>
      <c r="C115" s="435"/>
      <c r="D115" s="124" t="str">
        <f>$B$6&amp;NameConv!$C$26</f>
        <v>UPSGIC</v>
      </c>
      <c r="E115" s="124"/>
      <c r="F115" s="152"/>
      <c r="G115" s="152"/>
      <c r="H115" s="1467"/>
      <c r="I115" s="152"/>
      <c r="J115" s="418">
        <f>SUMIF(RefineriesData!$J$16:$J$221,$B114&amp;RIGHT($D115,3),RefineriesData!$N$16:$N$221)</f>
        <v>0</v>
      </c>
      <c r="K115" s="152"/>
      <c r="L115" s="494"/>
      <c r="M115" s="1286">
        <f>IFERROR(zar.2010*SUMIF(RefineriesData!$J$13:$J$245,$B115&amp;M$34,RefineriesData!$N$13:$N$245),"")</f>
        <v>0</v>
      </c>
      <c r="N115" s="152"/>
      <c r="O115" s="494"/>
      <c r="P115" s="494"/>
      <c r="Q115" s="143"/>
      <c r="R115" s="143"/>
      <c r="S115" s="1275"/>
      <c r="T115" s="1275"/>
      <c r="U115" s="160"/>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C115" s="435"/>
      <c r="BD115" s="121">
        <f t="shared" si="17"/>
        <v>78</v>
      </c>
    </row>
    <row r="116" spans="1:56">
      <c r="A116" s="436"/>
      <c r="B116" s="435"/>
      <c r="C116" s="435"/>
      <c r="D116" s="124" t="str">
        <f>$B$6&amp;$G$6</f>
        <v>UPSELC</v>
      </c>
      <c r="E116" s="124"/>
      <c r="F116" s="152"/>
      <c r="G116" s="152"/>
      <c r="H116" s="1467"/>
      <c r="I116" s="152"/>
      <c r="J116" s="418">
        <f>SUMIF(RefineriesData!$J$16:$J$221,$B114&amp;RIGHT($D116,3),RefineriesData!$N$16:$N$221)</f>
        <v>0</v>
      </c>
      <c r="K116" s="152"/>
      <c r="L116" s="494"/>
      <c r="M116" s="1286">
        <f>IFERROR(zar.2010*SUMIF(RefineriesData!$J$13:$J$245,$B116&amp;M$34,RefineriesData!$N$13:$N$245),"")</f>
        <v>0</v>
      </c>
      <c r="N116" s="152"/>
      <c r="O116" s="494"/>
      <c r="P116" s="494"/>
      <c r="Q116" s="143"/>
      <c r="R116" s="143"/>
      <c r="S116" s="1275"/>
      <c r="T116" s="1275"/>
      <c r="U116" s="160"/>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C116" s="435"/>
      <c r="BD116" s="121">
        <f t="shared" si="17"/>
        <v>79</v>
      </c>
    </row>
    <row r="117" spans="1:56">
      <c r="A117" s="436"/>
      <c r="B117" s="435"/>
      <c r="C117" s="435"/>
      <c r="D117" s="124"/>
      <c r="E117" s="124" t="str">
        <f>S6</f>
        <v>OAG</v>
      </c>
      <c r="F117" s="152"/>
      <c r="G117" s="152"/>
      <c r="H117" s="1467"/>
      <c r="I117" s="152"/>
      <c r="J117" s="152"/>
      <c r="K117" s="418">
        <f>SUMIF(RefineriesData!$J$16:$J$221,$B114&amp;RIGHT($E117,3),RefineriesData!$N$16:$N$221)</f>
        <v>0</v>
      </c>
      <c r="L117" s="152"/>
      <c r="M117" s="1286">
        <f>IFERROR(zar.2010*SUMIF(RefineriesData!$J$13:$J$245,$B117&amp;M$34,RefineriesData!$N$13:$N$245),"")</f>
        <v>0</v>
      </c>
      <c r="N117" s="152"/>
      <c r="O117" s="494"/>
      <c r="P117" s="494"/>
      <c r="Q117" s="143"/>
      <c r="R117" s="143"/>
      <c r="S117" s="1275"/>
      <c r="T117" s="1275"/>
      <c r="U117" s="160"/>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C117" s="435"/>
      <c r="BD117" s="121">
        <f t="shared" si="17"/>
        <v>80</v>
      </c>
    </row>
    <row r="118" spans="1:56">
      <c r="A118" s="436"/>
      <c r="B118" s="435"/>
      <c r="C118" s="435"/>
      <c r="D118" s="124"/>
      <c r="E118" s="124" t="str">
        <f>U6</f>
        <v>ODS</v>
      </c>
      <c r="F118" s="152"/>
      <c r="G118" s="152"/>
      <c r="H118" s="1467"/>
      <c r="I118" s="152"/>
      <c r="J118" s="152"/>
      <c r="K118" s="418">
        <f>SUMIF(RefineriesData!$J$16:$J$221,$B114&amp;RIGHT($E118,3),RefineriesData!$N$16:$N$221)</f>
        <v>0.36</v>
      </c>
      <c r="L118" s="152"/>
      <c r="M118" s="1286">
        <f>IFERROR(zar.2010*SUMIF(RefineriesData!$J$13:$J$245,$B118&amp;M$34,RefineriesData!$N$13:$N$245),"")</f>
        <v>0</v>
      </c>
      <c r="N118" s="152"/>
      <c r="O118" s="494"/>
      <c r="P118" s="494"/>
      <c r="Q118" s="143"/>
      <c r="R118" s="143"/>
      <c r="S118" s="1275"/>
      <c r="T118" s="1275"/>
      <c r="U118" s="160"/>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c r="AS118" s="145"/>
      <c r="AT118" s="145"/>
      <c r="AU118" s="145"/>
      <c r="AV118" s="145"/>
      <c r="AW118" s="145"/>
      <c r="AX118" s="145"/>
      <c r="AY118" s="145"/>
      <c r="AZ118" s="145"/>
      <c r="BA118" s="145"/>
      <c r="BC118" s="435"/>
      <c r="BD118" s="121">
        <f t="shared" si="17"/>
        <v>81</v>
      </c>
    </row>
    <row r="119" spans="1:56">
      <c r="A119" s="142"/>
      <c r="B119" s="140"/>
      <c r="C119" s="140"/>
      <c r="D119" s="124"/>
      <c r="E119" s="124" t="str">
        <f>V6</f>
        <v>OGS</v>
      </c>
      <c r="F119" s="152"/>
      <c r="G119" s="152"/>
      <c r="H119" s="1467"/>
      <c r="I119" s="152"/>
      <c r="J119" s="152"/>
      <c r="K119" s="418">
        <f>SUMIF(RefineriesData!$J$16:$J$221,$B114&amp;RIGHT($E119,3),RefineriesData!$N$16:$N$221)</f>
        <v>0.36</v>
      </c>
      <c r="L119" s="152"/>
      <c r="M119" s="1286">
        <f>IFERROR(zar.2010*SUMIF(RefineriesData!$J$13:$J$245,$B119&amp;M$34,RefineriesData!$N$13:$N$245),"")</f>
        <v>0</v>
      </c>
      <c r="N119" s="152"/>
      <c r="O119" s="494"/>
      <c r="P119" s="494"/>
      <c r="Q119" s="143"/>
      <c r="R119" s="143"/>
      <c r="S119" s="1275"/>
      <c r="T119" s="1275"/>
      <c r="U119" s="160"/>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C119" s="435"/>
      <c r="BD119" s="121">
        <f t="shared" si="17"/>
        <v>82</v>
      </c>
    </row>
    <row r="120" spans="1:56">
      <c r="A120" s="142"/>
      <c r="B120" s="140"/>
      <c r="C120" s="140"/>
      <c r="D120" s="124"/>
      <c r="E120" s="124" t="str">
        <f>W6</f>
        <v>OHF</v>
      </c>
      <c r="F120" s="152"/>
      <c r="G120" s="152"/>
      <c r="H120" s="1467"/>
      <c r="I120" s="152"/>
      <c r="J120" s="152"/>
      <c r="K120" s="418">
        <f>SUMIF(RefineriesData!$J$16:$J$221,$B114&amp;RIGHT($E120,3),RefineriesData!$N$16:$N$221)</f>
        <v>0</v>
      </c>
      <c r="L120" s="152"/>
      <c r="M120" s="1286">
        <f>IFERROR(zar.2010*SUMIF(RefineriesData!$J$13:$J$245,$B120&amp;M$34,RefineriesData!$N$13:$N$245),"")</f>
        <v>0</v>
      </c>
      <c r="N120" s="152"/>
      <c r="O120" s="494"/>
      <c r="P120" s="494"/>
      <c r="Q120" s="143"/>
      <c r="R120" s="143"/>
      <c r="S120" s="1275"/>
      <c r="T120" s="1275"/>
      <c r="U120" s="160"/>
      <c r="V120" s="145"/>
      <c r="W120" s="145"/>
      <c r="X120" s="145"/>
      <c r="Y120" s="145"/>
      <c r="Z120" s="145"/>
      <c r="AA120" s="145"/>
      <c r="AB120" s="145"/>
      <c r="AC120" s="145"/>
      <c r="AD120" s="145"/>
      <c r="AE120" s="145"/>
      <c r="AF120" s="145"/>
      <c r="AG120" s="145"/>
      <c r="AH120" s="145"/>
      <c r="AI120" s="145"/>
      <c r="AJ120" s="145"/>
      <c r="AK120" s="145"/>
      <c r="AL120" s="145"/>
      <c r="AM120" s="145"/>
      <c r="AN120" s="145"/>
      <c r="AO120" s="145"/>
      <c r="AP120" s="145"/>
      <c r="AQ120" s="145"/>
      <c r="AR120" s="145"/>
      <c r="AS120" s="145"/>
      <c r="AT120" s="145"/>
      <c r="AU120" s="145"/>
      <c r="AV120" s="145"/>
      <c r="AW120" s="145"/>
      <c r="AX120" s="145"/>
      <c r="AY120" s="145"/>
      <c r="AZ120" s="145"/>
      <c r="BA120" s="145"/>
      <c r="BC120" s="435"/>
      <c r="BD120" s="121">
        <f t="shared" si="17"/>
        <v>83</v>
      </c>
    </row>
    <row r="121" spans="1:56">
      <c r="A121" s="142"/>
      <c r="B121" s="140"/>
      <c r="C121" s="140"/>
      <c r="D121" s="124"/>
      <c r="E121" s="124" t="str">
        <f>X6</f>
        <v>OKE</v>
      </c>
      <c r="F121" s="152"/>
      <c r="G121" s="152"/>
      <c r="H121" s="1467"/>
      <c r="I121" s="152"/>
      <c r="J121" s="152"/>
      <c r="K121" s="418">
        <f>SUMIF(RefineriesData!$J$16:$J$221,$B114&amp;RIGHT($E121,3),RefineriesData!$N$16:$N$221)</f>
        <v>0.2</v>
      </c>
      <c r="L121" s="152"/>
      <c r="M121" s="1286">
        <f>IFERROR(zar.2010*SUMIF(RefineriesData!$J$13:$J$245,$B121&amp;M$34,RefineriesData!$N$13:$N$245),"")</f>
        <v>0</v>
      </c>
      <c r="N121" s="152"/>
      <c r="O121" s="494"/>
      <c r="P121" s="494"/>
      <c r="Q121" s="143"/>
      <c r="R121" s="143"/>
      <c r="S121" s="1275"/>
      <c r="T121" s="1275"/>
      <c r="U121" s="160"/>
      <c r="V121" s="145"/>
      <c r="W121" s="145"/>
      <c r="X121" s="145"/>
      <c r="Y121" s="145"/>
      <c r="Z121" s="145"/>
      <c r="AA121" s="145"/>
      <c r="AB121" s="145"/>
      <c r="AC121" s="145"/>
      <c r="AD121" s="145"/>
      <c r="AE121" s="145"/>
      <c r="AF121" s="145"/>
      <c r="AG121" s="145"/>
      <c r="AH121" s="145"/>
      <c r="AI121" s="145"/>
      <c r="AJ121" s="145"/>
      <c r="AK121" s="145"/>
      <c r="AL121" s="145"/>
      <c r="AM121" s="145"/>
      <c r="AN121" s="145"/>
      <c r="AO121" s="145"/>
      <c r="AP121" s="145"/>
      <c r="AQ121" s="145"/>
      <c r="AR121" s="145"/>
      <c r="AS121" s="145"/>
      <c r="AT121" s="145"/>
      <c r="AU121" s="145"/>
      <c r="AV121" s="145"/>
      <c r="AW121" s="145"/>
      <c r="AX121" s="145"/>
      <c r="AY121" s="145"/>
      <c r="AZ121" s="145"/>
      <c r="BA121" s="145"/>
      <c r="BC121" s="435"/>
      <c r="BD121" s="121">
        <f t="shared" si="17"/>
        <v>84</v>
      </c>
    </row>
    <row r="122" spans="1:56">
      <c r="A122" s="436"/>
      <c r="B122" s="435"/>
      <c r="C122" s="435"/>
      <c r="D122" s="124"/>
      <c r="E122" s="124" t="str">
        <f>Y6</f>
        <v>OLP</v>
      </c>
      <c r="F122" s="152"/>
      <c r="G122" s="152"/>
      <c r="H122" s="1467"/>
      <c r="I122" s="152"/>
      <c r="J122" s="152"/>
      <c r="K122" s="418">
        <f>SUMIF(RefineriesData!$J$16:$J$221,$B114&amp;RIGHT($E122,3),RefineriesData!$N$16:$N$221)</f>
        <v>0.03</v>
      </c>
      <c r="L122" s="152"/>
      <c r="M122" s="1286">
        <f>IFERROR(zar.2010*SUMIF(RefineriesData!$J$13:$J$245,$B122&amp;M$34,RefineriesData!$N$13:$N$245),"")</f>
        <v>0</v>
      </c>
      <c r="N122" s="152"/>
      <c r="O122" s="494"/>
      <c r="P122" s="494"/>
      <c r="Q122" s="143"/>
      <c r="R122" s="143"/>
      <c r="S122" s="1275"/>
      <c r="T122" s="1275"/>
      <c r="U122" s="160"/>
      <c r="V122" s="145"/>
      <c r="W122" s="145"/>
      <c r="X122" s="145"/>
      <c r="Y122" s="145"/>
      <c r="Z122" s="145"/>
      <c r="AA122" s="145"/>
      <c r="AB122" s="145"/>
      <c r="AC122" s="145"/>
      <c r="AD122" s="145"/>
      <c r="AE122" s="145"/>
      <c r="AF122" s="145"/>
      <c r="AG122" s="145"/>
      <c r="AH122" s="145"/>
      <c r="AI122" s="145"/>
      <c r="AJ122" s="145"/>
      <c r="AK122" s="145"/>
      <c r="AL122" s="145"/>
      <c r="AM122" s="145"/>
      <c r="AN122" s="145"/>
      <c r="AO122" s="145"/>
      <c r="AP122" s="145"/>
      <c r="AQ122" s="145"/>
      <c r="AR122" s="145"/>
      <c r="AS122" s="145"/>
      <c r="AT122" s="145"/>
      <c r="AU122" s="145"/>
      <c r="AV122" s="145"/>
      <c r="AW122" s="145"/>
      <c r="AX122" s="145"/>
      <c r="AY122" s="145"/>
      <c r="AZ122" s="145"/>
      <c r="BA122" s="145"/>
      <c r="BC122" s="435"/>
      <c r="BD122" s="121">
        <f t="shared" si="17"/>
        <v>85</v>
      </c>
    </row>
    <row r="123" spans="1:56" ht="15">
      <c r="A123" s="436"/>
      <c r="B123" s="435"/>
      <c r="C123" s="435"/>
      <c r="D123" s="124"/>
      <c r="E123" s="124" t="str">
        <f>Z6</f>
        <v>OTH</v>
      </c>
      <c r="F123" s="152"/>
      <c r="G123" s="152"/>
      <c r="H123" s="1467"/>
      <c r="I123" s="152"/>
      <c r="J123" s="152"/>
      <c r="K123" s="569">
        <v>0.05</v>
      </c>
      <c r="L123" s="152"/>
      <c r="M123" s="1286">
        <f>IFERROR(zar.2010*SUMIF(RefineriesData!$J$13:$J$245,$B123&amp;M$34,RefineriesData!$N$13:$N$245),"")</f>
        <v>0</v>
      </c>
      <c r="N123" s="152"/>
      <c r="O123" s="494"/>
      <c r="P123" s="494"/>
      <c r="Q123" s="143"/>
      <c r="R123" s="143"/>
      <c r="S123" s="1275"/>
      <c r="T123" s="1275"/>
      <c r="U123" s="160"/>
      <c r="V123" s="145"/>
      <c r="W123" s="145"/>
      <c r="X123" s="145"/>
      <c r="Y123" s="145"/>
      <c r="Z123" s="145"/>
      <c r="AA123" s="145"/>
      <c r="AB123" s="145"/>
      <c r="AC123" s="145"/>
      <c r="AD123" s="145"/>
      <c r="AE123" s="145"/>
      <c r="AF123" s="145"/>
      <c r="AG123" s="145"/>
      <c r="AH123" s="145"/>
      <c r="AI123" s="145"/>
      <c r="AJ123" s="145"/>
      <c r="AK123" s="145"/>
      <c r="AL123" s="145"/>
      <c r="AM123" s="145"/>
      <c r="AN123" s="145"/>
      <c r="AO123" s="145"/>
      <c r="AP123" s="145"/>
      <c r="AQ123" s="145"/>
      <c r="AR123" s="145"/>
      <c r="AS123" s="145"/>
      <c r="AT123" s="145"/>
      <c r="AU123" s="145"/>
      <c r="AV123" s="145"/>
      <c r="AW123" s="145"/>
      <c r="AX123" s="145"/>
      <c r="AY123" s="145"/>
      <c r="AZ123" s="145"/>
      <c r="BA123" s="145"/>
      <c r="BC123" s="435"/>
      <c r="BD123" s="121">
        <f t="shared" si="17"/>
        <v>86</v>
      </c>
    </row>
    <row r="124" spans="1:56">
      <c r="A124" s="436" t="s">
        <v>292</v>
      </c>
      <c r="B124" s="435"/>
      <c r="C124" s="435"/>
      <c r="D124" s="124"/>
      <c r="E124" s="124"/>
      <c r="F124" s="152"/>
      <c r="G124" s="152"/>
      <c r="H124" s="1467"/>
      <c r="I124" s="152"/>
      <c r="J124" s="152"/>
      <c r="K124" s="152"/>
      <c r="L124" s="152"/>
      <c r="M124" s="1286">
        <f>IFERROR(zar.2010*SUMIF(RefineriesData!$J$13:$J$245,$B124&amp;M$34,RefineriesData!$N$13:$N$245),"")</f>
        <v>0</v>
      </c>
      <c r="N124" s="152"/>
      <c r="O124" s="494"/>
      <c r="P124" s="494"/>
      <c r="Q124" s="143"/>
      <c r="R124" s="143"/>
      <c r="S124" s="1275"/>
      <c r="T124" s="1275"/>
      <c r="U124" s="160"/>
      <c r="V124" s="145"/>
      <c r="W124" s="145"/>
      <c r="X124" s="145"/>
      <c r="Y124" s="145"/>
      <c r="Z124" s="145"/>
      <c r="AA124" s="145"/>
      <c r="AB124" s="145"/>
      <c r="AC124" s="145"/>
      <c r="AD124" s="145"/>
      <c r="AE124" s="145"/>
      <c r="AF124" s="145"/>
      <c r="AG124" s="145"/>
      <c r="AH124" s="145"/>
      <c r="AI124" s="145"/>
      <c r="AJ124" s="145"/>
      <c r="AK124" s="145"/>
      <c r="AL124" s="145"/>
      <c r="AM124" s="145"/>
      <c r="AN124" s="145"/>
      <c r="AO124" s="145"/>
      <c r="AP124" s="145"/>
      <c r="AQ124" s="145"/>
      <c r="AR124" s="145"/>
      <c r="AS124" s="145"/>
      <c r="AT124" s="145"/>
      <c r="AU124" s="145"/>
      <c r="AV124" s="145"/>
      <c r="AW124" s="145"/>
      <c r="AX124" s="145"/>
      <c r="AY124" s="145"/>
      <c r="AZ124" s="145"/>
      <c r="BA124" s="145"/>
      <c r="BC124" s="435"/>
      <c r="BD124" s="121">
        <f t="shared" ref="BD124:BD129" si="24">BD123+1</f>
        <v>87</v>
      </c>
    </row>
    <row r="125" spans="1:56" s="1096" customFormat="1" ht="15">
      <c r="A125" s="1094" t="str">
        <f>$A$25&amp;VLOOKUP(D125,NameConv!$C$5:$D$54,2,FALSE)</f>
        <v>Pipeline Coastal Gas</v>
      </c>
      <c r="B125" s="1095" t="str">
        <f>$B$25&amp;D125&amp;"-N"</f>
        <v>UGASGIC-N</v>
      </c>
      <c r="C125" s="1095"/>
      <c r="D125" s="1096" t="str">
        <f>NameConv!C26</f>
        <v>GIC</v>
      </c>
      <c r="F125" s="1097">
        <f>F128</f>
        <v>80</v>
      </c>
      <c r="G125" s="1292">
        <f>'Fugitive emissions'!$O$8</f>
        <v>0.95899999999999996</v>
      </c>
      <c r="H125" s="1098">
        <v>0.9</v>
      </c>
      <c r="I125" s="1098">
        <v>0.5</v>
      </c>
      <c r="J125" s="1098">
        <v>1</v>
      </c>
      <c r="K125" s="1099"/>
      <c r="L125" s="1097">
        <f>L128</f>
        <v>2022</v>
      </c>
      <c r="M125" s="1287">
        <f>M128</f>
        <v>239.70848957012083</v>
      </c>
      <c r="N125" s="1098"/>
      <c r="O125" s="1098"/>
      <c r="P125" s="1098"/>
      <c r="Q125" s="1097">
        <f>Q128</f>
        <v>-4</v>
      </c>
      <c r="R125" s="143" t="str">
        <f>""</f>
        <v/>
      </c>
      <c r="S125" s="1278"/>
      <c r="T125" s="1278"/>
      <c r="U125" s="1100"/>
      <c r="V125" s="1101"/>
      <c r="W125" s="1101"/>
      <c r="X125" s="1101"/>
      <c r="Y125" s="1101"/>
      <c r="Z125" s="1101"/>
      <c r="AA125" s="1101"/>
      <c r="AB125" s="1101"/>
      <c r="AC125" s="1101"/>
      <c r="AD125" s="1101"/>
      <c r="AE125" s="1101"/>
      <c r="AF125" s="1101"/>
      <c r="AG125" s="1101"/>
      <c r="AH125" s="1101"/>
      <c r="AI125" s="1101"/>
      <c r="AJ125" s="1101"/>
      <c r="AK125" s="1101"/>
      <c r="AL125" s="1101"/>
      <c r="AM125" s="1101"/>
      <c r="AN125" s="1101"/>
      <c r="AO125" s="1101"/>
      <c r="AP125" s="1101"/>
      <c r="AQ125" s="1101"/>
      <c r="AR125" s="1101"/>
      <c r="AS125" s="1101"/>
      <c r="AT125" s="1101"/>
      <c r="AU125" s="1101"/>
      <c r="AV125" s="1101"/>
      <c r="AW125" s="1101"/>
      <c r="AX125" s="1101"/>
      <c r="AY125" s="1101"/>
      <c r="AZ125" s="1101"/>
      <c r="BA125" s="1101"/>
      <c r="BC125" s="1095"/>
      <c r="BD125" s="121">
        <f t="shared" si="24"/>
        <v>88</v>
      </c>
    </row>
    <row r="126" spans="1:56" s="1096" customFormat="1" ht="15">
      <c r="A126" s="1094"/>
      <c r="B126" s="1095"/>
      <c r="C126" s="1095"/>
      <c r="E126" s="1096" t="str">
        <f>NameConv!C18</f>
        <v>GAS</v>
      </c>
      <c r="F126" s="1102"/>
      <c r="G126" s="1098"/>
      <c r="H126" s="1098"/>
      <c r="I126" s="1098"/>
      <c r="J126" s="1098"/>
      <c r="K126" s="1099">
        <v>1</v>
      </c>
      <c r="L126" s="1098"/>
      <c r="M126" s="1278"/>
      <c r="N126" s="1098"/>
      <c r="O126" s="1098"/>
      <c r="P126" s="1098"/>
      <c r="Q126" s="1098"/>
      <c r="R126" s="1098"/>
      <c r="S126" s="1278"/>
      <c r="T126" s="1278"/>
      <c r="U126" s="1100"/>
      <c r="V126" s="1101"/>
      <c r="W126" s="1101"/>
      <c r="X126" s="1101"/>
      <c r="Y126" s="1101"/>
      <c r="Z126" s="1101"/>
      <c r="AA126" s="1101"/>
      <c r="AB126" s="1101"/>
      <c r="AC126" s="1101"/>
      <c r="AD126" s="1101"/>
      <c r="AE126" s="1101"/>
      <c r="AF126" s="1101"/>
      <c r="AG126" s="1101"/>
      <c r="AH126" s="1101"/>
      <c r="AI126" s="1101"/>
      <c r="AJ126" s="1101"/>
      <c r="AK126" s="1101"/>
      <c r="AL126" s="1101"/>
      <c r="AM126" s="1101"/>
      <c r="AN126" s="1101"/>
      <c r="AO126" s="1101"/>
      <c r="AP126" s="1101"/>
      <c r="AQ126" s="1101"/>
      <c r="AR126" s="1101"/>
      <c r="AS126" s="1101"/>
      <c r="AT126" s="1101"/>
      <c r="AU126" s="1101"/>
      <c r="AV126" s="1101"/>
      <c r="AW126" s="1101"/>
      <c r="AX126" s="1101"/>
      <c r="AY126" s="1101"/>
      <c r="AZ126" s="1101"/>
      <c r="BA126" s="1101"/>
      <c r="BC126" s="1095"/>
      <c r="BD126" s="121">
        <f t="shared" si="24"/>
        <v>89</v>
      </c>
    </row>
    <row r="127" spans="1:56">
      <c r="A127" s="436" t="s">
        <v>292</v>
      </c>
      <c r="B127" s="435"/>
      <c r="C127" s="435"/>
      <c r="D127" s="124"/>
      <c r="E127" s="124"/>
      <c r="F127" s="152"/>
      <c r="G127" s="152"/>
      <c r="H127" s="1467"/>
      <c r="I127" s="152"/>
      <c r="J127" s="152"/>
      <c r="K127" s="152"/>
      <c r="L127" s="152"/>
      <c r="M127" s="1285"/>
      <c r="N127" s="152"/>
      <c r="O127" s="143"/>
      <c r="P127" s="143"/>
      <c r="Q127" s="143"/>
      <c r="R127" s="143"/>
      <c r="S127" s="1275"/>
      <c r="T127" s="1275"/>
      <c r="U127" s="160"/>
      <c r="V127" s="145"/>
      <c r="W127" s="145"/>
      <c r="X127" s="145"/>
      <c r="Y127" s="145"/>
      <c r="Z127" s="145"/>
      <c r="AA127" s="145"/>
      <c r="AB127" s="145"/>
      <c r="AC127" s="145"/>
      <c r="AD127" s="145"/>
      <c r="AE127" s="145"/>
      <c r="AF127" s="145"/>
      <c r="AG127" s="145"/>
      <c r="AH127" s="145"/>
      <c r="AI127" s="145"/>
      <c r="AJ127" s="145"/>
      <c r="AK127" s="145"/>
      <c r="AL127" s="145"/>
      <c r="AM127" s="145"/>
      <c r="AN127" s="145"/>
      <c r="AO127" s="145"/>
      <c r="AP127" s="145"/>
      <c r="AQ127" s="145"/>
      <c r="AR127" s="145"/>
      <c r="AS127" s="145"/>
      <c r="AT127" s="145"/>
      <c r="AU127" s="145"/>
      <c r="AV127" s="145"/>
      <c r="AW127" s="145"/>
      <c r="AX127" s="145"/>
      <c r="AY127" s="145"/>
      <c r="AZ127" s="145"/>
      <c r="BA127" s="145"/>
      <c r="BC127" s="435"/>
      <c r="BD127" s="121">
        <f t="shared" si="24"/>
        <v>90</v>
      </c>
    </row>
    <row r="128" spans="1:56" s="1096" customFormat="1" ht="15">
      <c r="A128" s="1094" t="str">
        <f>$A$25&amp;VLOOKUP(D128,NameConv!$C$21:$D$25,2,FALSE)</f>
        <v>Pipeline Gas Indigenous Ibhubezi</v>
      </c>
      <c r="B128" s="1095" t="str">
        <f>$B$25&amp;RIGHT($D128,3)&amp;"-N"</f>
        <v>UGASGIB-N</v>
      </c>
      <c r="C128" s="1095"/>
      <c r="D128" s="1096" t="str">
        <f>NameConv!C24</f>
        <v>GIB</v>
      </c>
      <c r="F128" s="1097">
        <f>HLOOKUP($B128,'Gas Price'!$C$67:$G$78,'Gas Price'!$A$78,FALSE)</f>
        <v>80</v>
      </c>
      <c r="G128" s="1292">
        <f>G125</f>
        <v>0.95899999999999996</v>
      </c>
      <c r="H128" s="1098">
        <v>0.9</v>
      </c>
      <c r="I128" s="1098">
        <v>0.5</v>
      </c>
      <c r="J128" s="1098">
        <v>1</v>
      </c>
      <c r="K128" s="1099"/>
      <c r="L128" s="1097">
        <f>VLOOKUP(D128,'Gas Price'!$J$27:$K$44,'Gas Price'!$K$23,FALSE)</f>
        <v>2022</v>
      </c>
      <c r="M128" s="1278">
        <f>IFERROR(HLOOKUP(B128,'Gas Price'!$C$67:$G$77,'Gas Price'!$A$77,FALSE),"")</f>
        <v>239.70848957012083</v>
      </c>
      <c r="N128" s="1098"/>
      <c r="O128" s="1098"/>
      <c r="P128" s="1098"/>
      <c r="Q128" s="1097">
        <f>-HLOOKUP($B128,'Gas Price'!$C$67:$G$79,'Gas Price'!$A$79,FALSE)</f>
        <v>-4</v>
      </c>
      <c r="R128" s="143" t="str">
        <f>""</f>
        <v/>
      </c>
      <c r="S128" s="1278"/>
      <c r="T128" s="1278"/>
      <c r="U128" s="1100"/>
      <c r="V128" s="1101"/>
      <c r="W128" s="1101"/>
      <c r="X128" s="1101"/>
      <c r="Y128" s="1101"/>
      <c r="Z128" s="1101"/>
      <c r="AA128" s="1101"/>
      <c r="AB128" s="1101"/>
      <c r="AC128" s="1101"/>
      <c r="AD128" s="1101"/>
      <c r="AE128" s="1101"/>
      <c r="AF128" s="1101"/>
      <c r="AG128" s="1101"/>
      <c r="AH128" s="1101"/>
      <c r="AI128" s="1101"/>
      <c r="AJ128" s="1101"/>
      <c r="AK128" s="1101"/>
      <c r="AL128" s="1101"/>
      <c r="AM128" s="1101"/>
      <c r="AN128" s="1101"/>
      <c r="AO128" s="1101"/>
      <c r="AP128" s="1101"/>
      <c r="AQ128" s="1101"/>
      <c r="AR128" s="1101"/>
      <c r="AS128" s="1101"/>
      <c r="AT128" s="1101"/>
      <c r="AU128" s="1101"/>
      <c r="AV128" s="1101"/>
      <c r="AW128" s="1101"/>
      <c r="AX128" s="1101"/>
      <c r="AY128" s="1101"/>
      <c r="AZ128" s="1101"/>
      <c r="BA128" s="1101"/>
      <c r="BC128" s="1095"/>
      <c r="BD128" s="121">
        <f t="shared" si="24"/>
        <v>91</v>
      </c>
    </row>
    <row r="129" spans="1:56" s="1096" customFormat="1" ht="15">
      <c r="A129" s="1094"/>
      <c r="B129" s="1095"/>
      <c r="C129" s="1095"/>
      <c r="E129" s="1096" t="str">
        <f>ITEMS_Comm!C56</f>
        <v>GTB</v>
      </c>
      <c r="F129" s="1102"/>
      <c r="G129" s="1098"/>
      <c r="H129" s="1098"/>
      <c r="I129" s="1098"/>
      <c r="J129" s="1098"/>
      <c r="K129" s="1099">
        <v>1</v>
      </c>
      <c r="L129" s="1098"/>
      <c r="M129" s="1278" t="str">
        <f>IFERROR(zar.2010*HLOOKUP(B129,'Gas Price'!$C$67:$G$77,'Gas Price'!$A$77,FALSE),"")</f>
        <v/>
      </c>
      <c r="N129" s="1098"/>
      <c r="O129" s="1098"/>
      <c r="P129" s="1098"/>
      <c r="Q129" s="1098"/>
      <c r="R129" s="1098"/>
      <c r="S129" s="1278"/>
      <c r="T129" s="1278"/>
      <c r="U129" s="1100"/>
      <c r="V129" s="1101"/>
      <c r="W129" s="1101"/>
      <c r="X129" s="1101"/>
      <c r="Y129" s="1101"/>
      <c r="Z129" s="1101"/>
      <c r="AA129" s="1101"/>
      <c r="AB129" s="1101"/>
      <c r="AC129" s="1101"/>
      <c r="AD129" s="1101"/>
      <c r="AE129" s="1101"/>
      <c r="AF129" s="1101"/>
      <c r="AG129" s="1101"/>
      <c r="AH129" s="1101"/>
      <c r="AI129" s="1101"/>
      <c r="AJ129" s="1101"/>
      <c r="AK129" s="1101"/>
      <c r="AL129" s="1101"/>
      <c r="AM129" s="1101"/>
      <c r="AN129" s="1101"/>
      <c r="AO129" s="1101"/>
      <c r="AP129" s="1101"/>
      <c r="AQ129" s="1101"/>
      <c r="AR129" s="1101"/>
      <c r="AS129" s="1101"/>
      <c r="AT129" s="1101"/>
      <c r="AU129" s="1101"/>
      <c r="AV129" s="1101"/>
      <c r="AW129" s="1101"/>
      <c r="AX129" s="1101"/>
      <c r="AY129" s="1101"/>
      <c r="AZ129" s="1101"/>
      <c r="BA129" s="1101"/>
      <c r="BC129" s="1095"/>
      <c r="BD129" s="121">
        <f t="shared" si="24"/>
        <v>92</v>
      </c>
    </row>
    <row r="130" spans="1:56" s="1096" customFormat="1">
      <c r="A130" s="1094" t="s">
        <v>292</v>
      </c>
      <c r="B130" s="1095"/>
      <c r="C130" s="1095"/>
      <c r="F130" s="1102"/>
      <c r="G130" s="1098"/>
      <c r="H130" s="1098"/>
      <c r="I130" s="1098"/>
      <c r="J130" s="1098"/>
      <c r="K130" s="1098"/>
      <c r="L130" s="1098"/>
      <c r="M130" s="1278" t="str">
        <f>IFERROR(zar.2010*HLOOKUP(B130,'Gas Price'!$C$67:$G$77,'Gas Price'!$A$77,FALSE),"")</f>
        <v/>
      </c>
      <c r="N130" s="1098"/>
      <c r="O130" s="1098"/>
      <c r="P130" s="1098"/>
      <c r="Q130" s="1098"/>
      <c r="R130" s="1098"/>
      <c r="S130" s="1278"/>
      <c r="T130" s="1278"/>
      <c r="U130" s="1100"/>
      <c r="V130" s="1101"/>
      <c r="W130" s="1101"/>
      <c r="X130" s="1101"/>
      <c r="Y130" s="1101"/>
      <c r="Z130" s="1101"/>
      <c r="AA130" s="1101"/>
      <c r="AB130" s="1101"/>
      <c r="AC130" s="1101"/>
      <c r="AD130" s="1101"/>
      <c r="AE130" s="1101"/>
      <c r="AF130" s="1101"/>
      <c r="AG130" s="1101"/>
      <c r="AH130" s="1101"/>
      <c r="AI130" s="1101"/>
      <c r="AJ130" s="1101"/>
      <c r="AK130" s="1101"/>
      <c r="AL130" s="1101"/>
      <c r="AM130" s="1101"/>
      <c r="AN130" s="1101"/>
      <c r="AO130" s="1101"/>
      <c r="AP130" s="1101"/>
      <c r="AQ130" s="1101"/>
      <c r="AR130" s="1101"/>
      <c r="AS130" s="1101"/>
      <c r="AT130" s="1101"/>
      <c r="AU130" s="1101"/>
      <c r="AV130" s="1101"/>
      <c r="AW130" s="1101"/>
      <c r="AX130" s="1101"/>
      <c r="AY130" s="1101"/>
      <c r="AZ130" s="1101"/>
      <c r="BA130" s="1101"/>
      <c r="BC130" s="1095"/>
      <c r="BD130" s="121">
        <f t="shared" ref="BD130:BD169" si="25">BD129+1</f>
        <v>93</v>
      </c>
    </row>
    <row r="131" spans="1:56" ht="15">
      <c r="A131" s="436" t="str">
        <f>$A$25&amp;VLOOKUP(D131,NameConv!$C$21:$D$25,2,FALSE)</f>
        <v>Pipeline Gas Northern Mozambique</v>
      </c>
      <c r="B131" s="435" t="str">
        <f>$B$25&amp;RIGHT($D131,3)&amp;"-N"</f>
        <v>UGASGRM-N</v>
      </c>
      <c r="C131" s="435"/>
      <c r="D131" s="124" t="str">
        <f>+'Gas Price'!E52</f>
        <v>GRM</v>
      </c>
      <c r="E131" s="124"/>
      <c r="F131" s="494">
        <f>HLOOKUP($B131,'Gas Price'!$C$67:$G$78,'Gas Price'!$A$78,FALSE)</f>
        <v>80</v>
      </c>
      <c r="G131" s="644">
        <f>G128</f>
        <v>0.95899999999999996</v>
      </c>
      <c r="H131" s="1098">
        <v>0.9</v>
      </c>
      <c r="I131" s="644">
        <v>0.5</v>
      </c>
      <c r="J131" s="644">
        <v>1</v>
      </c>
      <c r="K131" s="645"/>
      <c r="L131" s="1378">
        <v>2030</v>
      </c>
      <c r="M131" s="1278">
        <f>IFERROR(HLOOKUP(B131,'Gas Price'!$C$67:$G$77,'Gas Price'!$A$77,FALSE),"")</f>
        <v>1198.5424478506043</v>
      </c>
      <c r="N131" s="644"/>
      <c r="O131" s="644"/>
      <c r="P131" s="644"/>
      <c r="Q131" s="494">
        <f>-HLOOKUP($B131,'Gas Price'!$C$67:$G$79,'Gas Price'!$A$79,FALSE)</f>
        <v>-4</v>
      </c>
      <c r="R131" s="143" t="str">
        <f>""</f>
        <v/>
      </c>
      <c r="S131" s="1278"/>
      <c r="T131" s="1278"/>
      <c r="U131" s="160"/>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C131" s="435"/>
      <c r="BD131" s="121">
        <f t="shared" si="25"/>
        <v>94</v>
      </c>
    </row>
    <row r="132" spans="1:56" ht="15">
      <c r="A132" s="436"/>
      <c r="B132" s="435"/>
      <c r="C132" s="435"/>
      <c r="D132" s="124"/>
      <c r="E132" s="124" t="str">
        <f>+'Gas Price'!G49</f>
        <v>GAS</v>
      </c>
      <c r="F132" s="643"/>
      <c r="G132" s="644"/>
      <c r="H132" s="1098"/>
      <c r="I132" s="644"/>
      <c r="J132" s="644"/>
      <c r="K132" s="645">
        <v>1</v>
      </c>
      <c r="L132" s="644"/>
      <c r="M132" s="1278" t="str">
        <f>IFERROR(zar.2010*HLOOKUP(B132,'Gas Price'!$C$67:$G$77,'Gas Price'!$A$77,FALSE),"")</f>
        <v/>
      </c>
      <c r="N132" s="644"/>
      <c r="O132" s="644"/>
      <c r="P132" s="644"/>
      <c r="Q132" s="644"/>
      <c r="R132" s="644"/>
      <c r="S132" s="1278"/>
      <c r="T132" s="1278"/>
      <c r="U132" s="160"/>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C132" s="435"/>
      <c r="BD132" s="121">
        <f t="shared" si="25"/>
        <v>95</v>
      </c>
    </row>
    <row r="133" spans="1:56">
      <c r="A133" s="436" t="s">
        <v>292</v>
      </c>
      <c r="B133" s="435"/>
      <c r="C133" s="435"/>
      <c r="D133" s="124"/>
      <c r="E133" s="124"/>
      <c r="F133" s="643"/>
      <c r="G133" s="644"/>
      <c r="H133" s="1098"/>
      <c r="I133" s="644"/>
      <c r="J133" s="644"/>
      <c r="K133" s="644"/>
      <c r="L133" s="644"/>
      <c r="M133" s="1278" t="str">
        <f>IFERROR(zar.2010*HLOOKUP(B133,'Gas Price'!$C$67:$G$77,'Gas Price'!$A$77,FALSE),"")</f>
        <v/>
      </c>
      <c r="N133" s="644"/>
      <c r="O133" s="644"/>
      <c r="P133" s="644"/>
      <c r="Q133" s="644"/>
      <c r="R133" s="644"/>
      <c r="S133" s="1278"/>
      <c r="T133" s="1278"/>
      <c r="U133" s="160"/>
      <c r="V133" s="145"/>
      <c r="W133" s="145"/>
      <c r="X133" s="145">
        <v>2010</v>
      </c>
      <c r="Y133" s="145">
        <v>2020</v>
      </c>
      <c r="Z133" s="145">
        <v>2030</v>
      </c>
      <c r="AA133" s="145">
        <v>2040</v>
      </c>
      <c r="AB133" s="93">
        <v>2045</v>
      </c>
      <c r="AC133" s="145">
        <v>2050</v>
      </c>
      <c r="AD133" s="145"/>
      <c r="AE133" s="145"/>
      <c r="AF133" s="145"/>
      <c r="AG133" s="145"/>
      <c r="AH133" s="145"/>
      <c r="AI133" s="145"/>
      <c r="AJ133" s="145"/>
      <c r="AK133" s="145"/>
      <c r="AL133" s="145"/>
      <c r="AM133" s="145"/>
      <c r="AN133" s="145"/>
      <c r="AO133" s="145"/>
      <c r="AP133" s="145"/>
      <c r="AQ133" s="145"/>
      <c r="AR133" s="145"/>
      <c r="AS133" s="145"/>
      <c r="AT133" s="145"/>
      <c r="AU133" s="145"/>
      <c r="AV133" s="145"/>
      <c r="AW133" s="145"/>
      <c r="AX133" s="145"/>
      <c r="AY133" s="145"/>
      <c r="AZ133" s="145"/>
      <c r="BA133" s="145"/>
      <c r="BC133" s="435"/>
      <c r="BD133" s="121">
        <f t="shared" si="25"/>
        <v>96</v>
      </c>
    </row>
    <row r="134" spans="1:56" ht="15">
      <c r="A134" s="436" t="str">
        <f>$A$25&amp;VLOOKUP(D134,NameConv!$C$5:$D$45,2,FALSE)</f>
        <v>Pipeline Gas Southern Mozambique</v>
      </c>
      <c r="B134" s="435" t="str">
        <f>$B$25&amp;RIGHT($D134,3)&amp;"-N"</f>
        <v>UGASGRS-N</v>
      </c>
      <c r="C134" s="435"/>
      <c r="D134" s="124" t="str">
        <f>NameConv!C19</f>
        <v>GRS</v>
      </c>
      <c r="E134" s="124"/>
      <c r="F134" s="494">
        <f>F131</f>
        <v>80</v>
      </c>
      <c r="G134" s="644">
        <f>G131</f>
        <v>0.95899999999999996</v>
      </c>
      <c r="H134" s="1098">
        <v>0.9</v>
      </c>
      <c r="I134" s="1796">
        <v>0</v>
      </c>
      <c r="J134" s="644">
        <v>1</v>
      </c>
      <c r="K134" s="645"/>
      <c r="L134" s="494">
        <v>2012</v>
      </c>
      <c r="M134" s="1278" t="str">
        <f>IFERROR(zar.2010*HLOOKUP(B134,'Gas Price'!$C$67:$G$77,'Gas Price'!$A$77,FALSE),"")</f>
        <v/>
      </c>
      <c r="N134" s="644"/>
      <c r="O134" s="644"/>
      <c r="P134" s="644"/>
      <c r="Q134" s="494">
        <f>Q131</f>
        <v>-4</v>
      </c>
      <c r="R134" s="143" t="str">
        <f>""</f>
        <v/>
      </c>
      <c r="S134" s="1278"/>
      <c r="T134" s="1278"/>
      <c r="U134" s="160"/>
      <c r="V134" s="145"/>
      <c r="W134" s="145"/>
      <c r="X134" s="145"/>
      <c r="Y134" s="145"/>
      <c r="Z134" s="145"/>
      <c r="AA134" s="145"/>
      <c r="AB134" s="145"/>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C134" s="435"/>
      <c r="BD134" s="121">
        <f t="shared" si="25"/>
        <v>97</v>
      </c>
    </row>
    <row r="135" spans="1:56" ht="15">
      <c r="A135" s="436"/>
      <c r="B135" s="435"/>
      <c r="C135" s="435"/>
      <c r="D135" s="124"/>
      <c r="E135" s="124" t="str">
        <f>E132</f>
        <v>GAS</v>
      </c>
      <c r="F135" s="643"/>
      <c r="G135" s="644"/>
      <c r="H135" s="1098"/>
      <c r="I135" s="644"/>
      <c r="J135" s="644"/>
      <c r="K135" s="645">
        <v>1</v>
      </c>
      <c r="L135" s="644"/>
      <c r="M135" s="1278" t="str">
        <f>IFERROR(zar.2010*HLOOKUP(B135,'Gas Price'!$C$67:$G$77,'Gas Price'!$A$77,FALSE),"")</f>
        <v/>
      </c>
      <c r="N135" s="644"/>
      <c r="O135" s="644"/>
      <c r="P135" s="644"/>
      <c r="Q135" s="644"/>
      <c r="R135" s="644"/>
      <c r="S135" s="1278"/>
      <c r="T135" s="1278"/>
      <c r="U135" s="160"/>
      <c r="V135" s="145"/>
      <c r="W135" s="145"/>
      <c r="X135" s="145"/>
      <c r="Y135" s="145"/>
      <c r="Z135" s="145"/>
      <c r="AA135" s="145"/>
      <c r="AB135" s="145"/>
      <c r="AC135" s="145"/>
      <c r="AD135" s="145"/>
      <c r="AE135" s="145"/>
      <c r="AF135" s="145"/>
      <c r="AG135" s="145"/>
      <c r="AH135" s="145"/>
      <c r="AI135" s="145"/>
      <c r="AJ135" s="145"/>
      <c r="AK135" s="145"/>
      <c r="AL135" s="145"/>
      <c r="AM135" s="145"/>
      <c r="AN135" s="145"/>
      <c r="AO135" s="145"/>
      <c r="AP135" s="145"/>
      <c r="AQ135" s="145"/>
      <c r="AR135" s="145"/>
      <c r="AS135" s="145"/>
      <c r="AT135" s="145"/>
      <c r="AU135" s="145"/>
      <c r="AV135" s="145"/>
      <c r="AW135" s="145"/>
      <c r="AX135" s="145"/>
      <c r="AY135" s="145"/>
      <c r="AZ135" s="145"/>
      <c r="BA135" s="145"/>
      <c r="BC135" s="435"/>
      <c r="BD135" s="121">
        <f t="shared" si="25"/>
        <v>98</v>
      </c>
    </row>
    <row r="136" spans="1:56">
      <c r="A136" s="436" t="s">
        <v>292</v>
      </c>
      <c r="B136" s="435"/>
      <c r="C136" s="435"/>
      <c r="D136" s="124"/>
      <c r="E136" s="124"/>
      <c r="F136" s="643"/>
      <c r="G136" s="644"/>
      <c r="H136" s="1098"/>
      <c r="I136" s="644"/>
      <c r="J136" s="644"/>
      <c r="K136" s="644"/>
      <c r="L136" s="644"/>
      <c r="M136" s="1278" t="str">
        <f>IFERROR(zar.2010*HLOOKUP(B136,'Gas Price'!$C$67:$G$77,'Gas Price'!$A$77,FALSE),"")</f>
        <v/>
      </c>
      <c r="N136" s="644"/>
      <c r="O136" s="644"/>
      <c r="P136" s="644"/>
      <c r="Q136" s="644"/>
      <c r="R136" s="644"/>
      <c r="S136" s="1278"/>
      <c r="T136" s="1278"/>
      <c r="U136" s="160"/>
      <c r="V136" s="145"/>
      <c r="W136" s="145"/>
      <c r="X136" s="145">
        <v>2010</v>
      </c>
      <c r="Y136" s="145">
        <v>2020</v>
      </c>
      <c r="Z136" s="145">
        <v>2030</v>
      </c>
      <c r="AA136" s="145">
        <v>2040</v>
      </c>
      <c r="AB136" s="93">
        <v>2045</v>
      </c>
      <c r="AC136" s="145">
        <v>2050</v>
      </c>
      <c r="AD136" s="145"/>
      <c r="AE136" s="145"/>
      <c r="AF136" s="145"/>
      <c r="AG136" s="145"/>
      <c r="AH136" s="145"/>
      <c r="AI136" s="145"/>
      <c r="AJ136" s="145"/>
      <c r="AK136" s="145"/>
      <c r="AL136" s="145"/>
      <c r="AM136" s="145"/>
      <c r="AN136" s="145"/>
      <c r="AO136" s="145"/>
      <c r="AP136" s="145"/>
      <c r="AQ136" s="145"/>
      <c r="AR136" s="145"/>
      <c r="AS136" s="145"/>
      <c r="AT136" s="145"/>
      <c r="AU136" s="145"/>
      <c r="AV136" s="145"/>
      <c r="AW136" s="145"/>
      <c r="AX136" s="145"/>
      <c r="AY136" s="145"/>
      <c r="AZ136" s="145"/>
      <c r="BA136" s="145"/>
      <c r="BC136" s="435"/>
      <c r="BD136" s="121">
        <f t="shared" si="25"/>
        <v>99</v>
      </c>
    </row>
    <row r="137" spans="1:56" ht="15">
      <c r="A137" s="436" t="str">
        <f>$A$25&amp;VLOOKUP(D137,NameConv!$C$21:$D$25,2,FALSE)</f>
        <v>Pipeline Gas Indigenous Shale</v>
      </c>
      <c r="B137" s="435" t="str">
        <f>$B$25&amp;RIGHT($D137,3)&amp;"-N"</f>
        <v>UGASGIH-N</v>
      </c>
      <c r="C137" s="435"/>
      <c r="D137" s="124" t="str">
        <f>+'Gas Price'!E55</f>
        <v>GIH</v>
      </c>
      <c r="E137" s="124"/>
      <c r="F137" s="494">
        <f>HLOOKUP($B137,'Gas Price'!$C$67:$G$78,'Gas Price'!$A$78,FALSE)</f>
        <v>80</v>
      </c>
      <c r="G137" s="644">
        <f>G131</f>
        <v>0.95899999999999996</v>
      </c>
      <c r="H137" s="1098">
        <v>0.9</v>
      </c>
      <c r="I137" s="644">
        <v>0.5</v>
      </c>
      <c r="J137" s="644">
        <v>1</v>
      </c>
      <c r="K137" s="645"/>
      <c r="L137" s="494">
        <f>VLOOKUP(D137,'Gas Price'!$J$27:$K$44,'Gas Price'!$K$23,FALSE)</f>
        <v>2027</v>
      </c>
      <c r="M137" s="1278">
        <f>IFERROR(HLOOKUP(B137,'Gas Price'!$C$67:$G$77,'Gas Price'!$A$77,FALSE),"")</f>
        <v>239.70848957012083</v>
      </c>
      <c r="N137" s="644"/>
      <c r="O137" s="644"/>
      <c r="P137" s="644"/>
      <c r="Q137" s="494">
        <f>-HLOOKUP($B137,'Gas Price'!$C$67:$G$79,'Gas Price'!$A$79,FALSE)</f>
        <v>-4</v>
      </c>
      <c r="R137" s="143" t="str">
        <f>""</f>
        <v/>
      </c>
      <c r="S137" s="1278"/>
      <c r="T137" s="1278"/>
      <c r="U137" s="160"/>
      <c r="V137" s="145"/>
      <c r="W137" s="145" t="s">
        <v>2</v>
      </c>
      <c r="X137" s="145">
        <f>SUP!G58</f>
        <v>45.012222222222221</v>
      </c>
      <c r="Y137" s="145">
        <f>SUP!H58</f>
        <v>45.306111111111107</v>
      </c>
      <c r="Z137" s="145">
        <f>SUP!I58</f>
        <v>45.6</v>
      </c>
      <c r="AA137" s="145">
        <f>SUP!J58</f>
        <v>45.6</v>
      </c>
      <c r="AB137" s="568">
        <f>AVERAGE(AA137,AC137)</f>
        <v>45.6</v>
      </c>
      <c r="AC137" s="145">
        <f>SUP!K58</f>
        <v>45.6</v>
      </c>
      <c r="AD137" s="145" t="e">
        <f>SUP!#REF!</f>
        <v>#REF!</v>
      </c>
      <c r="AE137" s="117" t="s">
        <v>1460</v>
      </c>
      <c r="AF137" s="145"/>
      <c r="AG137" s="145"/>
      <c r="AH137" s="145"/>
      <c r="AI137" s="145"/>
      <c r="AJ137" s="145"/>
      <c r="AK137" s="145"/>
      <c r="AL137" s="145"/>
      <c r="AM137" s="145"/>
      <c r="AN137" s="145"/>
      <c r="AO137" s="145"/>
      <c r="AP137" s="145"/>
      <c r="AQ137" s="145"/>
      <c r="AR137" s="145"/>
      <c r="AS137" s="145"/>
      <c r="AT137" s="145"/>
      <c r="AU137" s="145"/>
      <c r="AV137" s="145"/>
      <c r="AW137" s="145"/>
      <c r="AX137" s="145"/>
      <c r="AY137" s="145"/>
      <c r="AZ137" s="145"/>
      <c r="BA137" s="145"/>
      <c r="BC137" s="435"/>
      <c r="BD137" s="121">
        <f t="shared" si="25"/>
        <v>100</v>
      </c>
    </row>
    <row r="138" spans="1:56" ht="15">
      <c r="A138" s="436"/>
      <c r="B138" s="435"/>
      <c r="C138" s="435"/>
      <c r="D138" s="124"/>
      <c r="E138" s="124" t="str">
        <f>E132</f>
        <v>GAS</v>
      </c>
      <c r="F138" s="643"/>
      <c r="G138" s="644"/>
      <c r="H138" s="1098"/>
      <c r="I138" s="644"/>
      <c r="J138" s="644"/>
      <c r="K138" s="645">
        <v>1</v>
      </c>
      <c r="L138" s="644"/>
      <c r="M138" s="1278" t="str">
        <f>IFERROR(zar.2010*HLOOKUP(B138,'Gas Price'!$C$67:$G$77,'Gas Price'!$A$77,FALSE),"")</f>
        <v/>
      </c>
      <c r="N138" s="644"/>
      <c r="O138" s="644"/>
      <c r="P138" s="644"/>
      <c r="Q138" s="644"/>
      <c r="R138" s="644"/>
      <c r="S138" s="1278"/>
      <c r="T138" s="1278"/>
      <c r="U138" s="160"/>
      <c r="V138" s="145"/>
      <c r="W138" s="145" t="s">
        <v>140</v>
      </c>
      <c r="X138" s="753">
        <f>SUP!G65</f>
        <v>81.030867652553312</v>
      </c>
      <c r="Y138" s="753">
        <f>SUP!I65</f>
        <v>57.994459831079268</v>
      </c>
      <c r="Z138" s="753">
        <f>SUP!J65</f>
        <v>57.994459831079268</v>
      </c>
      <c r="AA138" s="568">
        <f>AVERAGE(Z138,AC138)</f>
        <v>57.994459831079268</v>
      </c>
      <c r="AB138" s="568">
        <f>AVERAGE(AA138,AC138)</f>
        <v>57.994459831079268</v>
      </c>
      <c r="AC138" s="753">
        <f>SUP!K65</f>
        <v>57.994459831079268</v>
      </c>
      <c r="AD138" s="145"/>
      <c r="AE138" s="145"/>
      <c r="AF138" s="145"/>
      <c r="AG138" s="145"/>
      <c r="AH138" s="145"/>
      <c r="AI138" s="145"/>
      <c r="AJ138" s="145"/>
      <c r="AK138" s="145"/>
      <c r="AL138" s="145"/>
      <c r="AM138" s="145"/>
      <c r="AN138" s="145"/>
      <c r="AO138" s="145"/>
      <c r="AP138" s="145"/>
      <c r="AQ138" s="145"/>
      <c r="AR138" s="145"/>
      <c r="AS138" s="145"/>
      <c r="AT138" s="145"/>
      <c r="AU138" s="145"/>
      <c r="AV138" s="145"/>
      <c r="AW138" s="145"/>
      <c r="AX138" s="145"/>
      <c r="AY138" s="145"/>
      <c r="AZ138" s="145"/>
      <c r="BA138" s="145"/>
      <c r="BC138" s="435"/>
      <c r="BD138" s="121">
        <f t="shared" si="25"/>
        <v>101</v>
      </c>
    </row>
    <row r="139" spans="1:56">
      <c r="A139" s="436" t="s">
        <v>292</v>
      </c>
      <c r="B139" s="435"/>
      <c r="C139" s="435"/>
      <c r="D139" s="124"/>
      <c r="E139" s="124"/>
      <c r="F139" s="643"/>
      <c r="G139" s="644"/>
      <c r="H139" s="1098"/>
      <c r="I139" s="644"/>
      <c r="J139" s="644"/>
      <c r="K139" s="644"/>
      <c r="L139" s="644"/>
      <c r="M139" s="1278" t="str">
        <f>IFERROR(zar.2010*HLOOKUP(B139,'Gas Price'!$C$67:$G$77,'Gas Price'!$A$77,FALSE),"")</f>
        <v/>
      </c>
      <c r="N139" s="644"/>
      <c r="O139" s="644"/>
      <c r="P139" s="644"/>
      <c r="Q139" s="644"/>
      <c r="R139" s="644"/>
      <c r="S139" s="1278"/>
      <c r="T139" s="1278"/>
      <c r="U139" s="160"/>
      <c r="V139" s="145"/>
      <c r="W139" s="145" t="s">
        <v>1459</v>
      </c>
      <c r="X139" s="145">
        <v>201</v>
      </c>
      <c r="Y139" s="145">
        <f>X139</f>
        <v>201</v>
      </c>
      <c r="Z139" s="145">
        <f>Y139</f>
        <v>201</v>
      </c>
      <c r="AA139" s="145">
        <f>Z139</f>
        <v>201</v>
      </c>
      <c r="AB139" s="568">
        <f>AVERAGE(AA139,AC139)</f>
        <v>201</v>
      </c>
      <c r="AC139" s="145">
        <f>AA139</f>
        <v>201</v>
      </c>
      <c r="AD139" s="145"/>
      <c r="AE139" s="145">
        <v>400</v>
      </c>
      <c r="AF139" s="145"/>
      <c r="AG139" s="145"/>
      <c r="AH139" s="145"/>
      <c r="AI139" s="145"/>
      <c r="AJ139" s="145"/>
      <c r="AK139" s="145"/>
      <c r="AL139" s="145"/>
      <c r="AM139" s="145"/>
      <c r="AN139" s="145"/>
      <c r="AO139" s="145"/>
      <c r="AP139" s="145"/>
      <c r="AQ139" s="145"/>
      <c r="AR139" s="145"/>
      <c r="AS139" s="145"/>
      <c r="AT139" s="145"/>
      <c r="AU139" s="145"/>
      <c r="AV139" s="145"/>
      <c r="AW139" s="145"/>
      <c r="AX139" s="145"/>
      <c r="AY139" s="145"/>
      <c r="AZ139" s="145"/>
      <c r="BA139" s="145"/>
      <c r="BC139" s="435"/>
      <c r="BD139" s="121">
        <f t="shared" si="25"/>
        <v>102</v>
      </c>
    </row>
    <row r="140" spans="1:56" ht="15">
      <c r="A140" s="436" t="s">
        <v>1004</v>
      </c>
      <c r="B140" s="435" t="str">
        <f>$B$31&amp;RIGHT($D140,3)&amp;"-N"</f>
        <v>ULGTGRL-N</v>
      </c>
      <c r="C140" s="435"/>
      <c r="D140" s="124" t="str">
        <f>+'Gas Price'!$E$58</f>
        <v>GRL</v>
      </c>
      <c r="E140" s="124"/>
      <c r="F140" s="494">
        <f>HLOOKUP($B140,'Gas Price'!$C$67:$G$78,'Gas Price'!$A$78,FALSE)</f>
        <v>30</v>
      </c>
      <c r="G140" s="644">
        <f>G137</f>
        <v>0.95899999999999996</v>
      </c>
      <c r="H140" s="1098">
        <v>0.9</v>
      </c>
      <c r="I140" s="143">
        <v>0.05</v>
      </c>
      <c r="J140" s="644">
        <v>1</v>
      </c>
      <c r="K140" s="645"/>
      <c r="L140" s="1378">
        <v>2027</v>
      </c>
      <c r="M140" s="1278">
        <f>IFERROR(HLOOKUP(B140,'Gas Price'!$C$67:$G$77,'Gas Price'!$A$77,FALSE),"")</f>
        <v>69.134925781250004</v>
      </c>
      <c r="N140" s="644"/>
      <c r="O140" s="644"/>
      <c r="P140" s="644"/>
      <c r="Q140" s="494">
        <f>-HLOOKUP($B140,'Gas Price'!$C$67:$G$79,'Gas Price'!$A$79,FALSE)</f>
        <v>-4</v>
      </c>
      <c r="R140" s="143" t="str">
        <f>""</f>
        <v/>
      </c>
      <c r="S140" s="1278"/>
      <c r="T140" s="1278"/>
      <c r="U140" s="160"/>
      <c r="V140" s="145"/>
      <c r="W140" s="145"/>
      <c r="X140" s="145"/>
      <c r="Y140" s="145"/>
      <c r="Z140" s="145"/>
      <c r="AA140" s="145"/>
      <c r="AC140" s="145"/>
      <c r="AD140" s="145"/>
      <c r="AE140" s="145"/>
      <c r="AF140" s="145"/>
      <c r="AG140" s="145"/>
      <c r="AH140" s="145"/>
      <c r="AI140" s="145"/>
      <c r="AJ140" s="145"/>
      <c r="AK140" s="145"/>
      <c r="AL140" s="145"/>
      <c r="AM140" s="145"/>
      <c r="AN140" s="145"/>
      <c r="AO140" s="145"/>
      <c r="AP140" s="145"/>
      <c r="AQ140" s="145"/>
      <c r="AR140" s="145"/>
      <c r="AS140" s="145"/>
      <c r="AT140" s="145"/>
      <c r="AU140" s="145"/>
      <c r="AV140" s="145"/>
      <c r="AW140" s="145"/>
      <c r="AX140" s="145"/>
      <c r="AY140" s="145"/>
      <c r="AZ140" s="145"/>
      <c r="BA140" s="145"/>
      <c r="BC140" s="435"/>
      <c r="BD140" s="121">
        <f t="shared" si="25"/>
        <v>103</v>
      </c>
    </row>
    <row r="141" spans="1:56" ht="15">
      <c r="A141" s="436"/>
      <c r="B141" s="435"/>
      <c r="C141" s="435"/>
      <c r="D141" s="124"/>
      <c r="E141" s="124" t="str">
        <f>NameConv!$C$26</f>
        <v>GIC</v>
      </c>
      <c r="F141" s="152"/>
      <c r="G141" s="152"/>
      <c r="H141" s="1467"/>
      <c r="I141" s="143"/>
      <c r="J141" s="152"/>
      <c r="K141" s="569">
        <v>1</v>
      </c>
      <c r="L141" s="152"/>
      <c r="M141" s="1278" t="str">
        <f>IFERROR(zar.2010*HLOOKUP(B141,'Gas Price'!$C$67:$G$77,'Gas Price'!$A$77,FALSE),"")</f>
        <v/>
      </c>
      <c r="N141" s="152"/>
      <c r="O141" s="143"/>
      <c r="P141" s="143"/>
      <c r="Q141" s="143"/>
      <c r="R141" s="143"/>
      <c r="S141" s="1275"/>
      <c r="T141" s="1275"/>
      <c r="U141" s="160"/>
      <c r="V141" s="145"/>
      <c r="W141" s="145"/>
      <c r="X141" s="145">
        <v>-4</v>
      </c>
      <c r="Y141" s="145">
        <v>-3</v>
      </c>
      <c r="Z141" s="145">
        <v>-2</v>
      </c>
      <c r="AA141" s="145">
        <v>-1</v>
      </c>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C141" s="435"/>
      <c r="BD141" s="121">
        <f t="shared" si="25"/>
        <v>104</v>
      </c>
    </row>
    <row r="142" spans="1:56" ht="15">
      <c r="A142" s="436" t="s">
        <v>292</v>
      </c>
      <c r="B142" s="435"/>
      <c r="C142" s="435"/>
      <c r="D142" s="124"/>
      <c r="E142" s="124"/>
      <c r="F142" s="152"/>
      <c r="G142" s="152"/>
      <c r="H142" s="1467"/>
      <c r="I142" s="143"/>
      <c r="J142" s="152"/>
      <c r="K142" s="569"/>
      <c r="L142" s="152"/>
      <c r="M142" s="1278" t="str">
        <f>IFERROR(zar.2010*HLOOKUP(B142,'Gas Price'!$C$67:$G$77,'Gas Price'!$A$77,FALSE),"")</f>
        <v/>
      </c>
      <c r="N142" s="152"/>
      <c r="O142" s="143"/>
      <c r="P142" s="143"/>
      <c r="Q142" s="143"/>
      <c r="R142" s="143"/>
      <c r="S142" s="1275"/>
      <c r="T142" s="1275"/>
      <c r="U142" s="160"/>
      <c r="V142" s="145"/>
      <c r="W142" s="145"/>
      <c r="X142" s="875">
        <f>(1.08)^(-X141)/4</f>
        <v>0.34012224000000008</v>
      </c>
      <c r="Y142" s="875">
        <f>(1.08)^(-Y141)/4</f>
        <v>0.31492800000000004</v>
      </c>
      <c r="Z142" s="875">
        <f>(1.08)^(-Z141)/4</f>
        <v>0.29160000000000003</v>
      </c>
      <c r="AA142" s="875">
        <f>(1.08)^(-AA141)/4</f>
        <v>0.27</v>
      </c>
      <c r="AC142" s="875">
        <f>SUM(X142:AA142)</f>
        <v>1.2166502400000001</v>
      </c>
      <c r="AD142" s="145"/>
      <c r="AE142" s="145"/>
      <c r="AF142" s="145"/>
      <c r="AG142" s="145"/>
      <c r="AH142" s="145"/>
      <c r="AI142" s="145"/>
      <c r="AJ142" s="145"/>
      <c r="AK142" s="145"/>
      <c r="AL142" s="145"/>
      <c r="AM142" s="145"/>
      <c r="AN142" s="145"/>
      <c r="AO142" s="145"/>
      <c r="AP142" s="145"/>
      <c r="AQ142" s="145"/>
      <c r="AR142" s="145"/>
      <c r="AS142" s="145"/>
      <c r="AT142" s="145"/>
      <c r="AU142" s="145"/>
      <c r="AV142" s="145"/>
      <c r="AW142" s="145"/>
      <c r="AX142" s="145"/>
      <c r="AY142" s="145"/>
      <c r="AZ142" s="145"/>
      <c r="BA142" s="145"/>
      <c r="BC142" s="435"/>
      <c r="BD142" s="121">
        <f t="shared" si="25"/>
        <v>105</v>
      </c>
    </row>
    <row r="143" spans="1:56" ht="15">
      <c r="A143" s="436" t="s">
        <v>1153</v>
      </c>
      <c r="B143" s="435" t="str">
        <f>$B$31&amp;RIGHT($D143,3)&amp;"FSRU-N"</f>
        <v>ULGTGRLFSRU-N</v>
      </c>
      <c r="C143" s="435"/>
      <c r="D143" s="124" t="str">
        <f>+'Gas Price'!$E$58</f>
        <v>GRL</v>
      </c>
      <c r="E143" s="124"/>
      <c r="F143" s="494">
        <f>HLOOKUP($B143,'Gas Price'!$C$67:$G$78,'Gas Price'!$A$78,FALSE)</f>
        <v>15</v>
      </c>
      <c r="G143" s="644">
        <f>G140</f>
        <v>0.95899999999999996</v>
      </c>
      <c r="H143" s="1098">
        <v>0.9</v>
      </c>
      <c r="I143" s="143">
        <v>0.05</v>
      </c>
      <c r="J143" s="644">
        <v>1</v>
      </c>
      <c r="K143" s="645"/>
      <c r="L143" s="1378">
        <v>2025</v>
      </c>
      <c r="M143" s="1278">
        <f>IFERROR(HLOOKUP(B143,'Gas Price'!$C$67:$G$77,'Gas Price'!$A$77,FALSE),"")</f>
        <v>92.820735398860336</v>
      </c>
      <c r="N143" s="644"/>
      <c r="O143" s="644"/>
      <c r="P143" s="644"/>
      <c r="Q143" s="494">
        <f>-HLOOKUP($B143,'Gas Price'!$C$67:$G$79,'Gas Price'!$A$79,FALSE)</f>
        <v>-2</v>
      </c>
      <c r="R143" s="143" t="str">
        <f>""</f>
        <v/>
      </c>
      <c r="S143" s="1278"/>
      <c r="T143" s="1278"/>
      <c r="U143" s="160"/>
      <c r="V143" s="145"/>
      <c r="W143" s="145"/>
      <c r="X143" s="145"/>
      <c r="Y143" s="145"/>
      <c r="Z143" s="145"/>
      <c r="AA143" s="145"/>
      <c r="AB143" s="145"/>
      <c r="AC143" s="145"/>
      <c r="AD143" s="145"/>
      <c r="AE143" s="145"/>
      <c r="AF143" s="145"/>
      <c r="AG143" s="145"/>
      <c r="AH143" s="145"/>
      <c r="AI143" s="145"/>
      <c r="AJ143" s="145"/>
      <c r="AK143" s="145"/>
      <c r="AL143" s="145"/>
      <c r="AM143" s="145"/>
      <c r="AN143" s="145"/>
      <c r="AO143" s="145"/>
      <c r="AP143" s="145"/>
      <c r="AQ143" s="145"/>
      <c r="AR143" s="145"/>
      <c r="AS143" s="145"/>
      <c r="AT143" s="145"/>
      <c r="AU143" s="145"/>
      <c r="AV143" s="145"/>
      <c r="AW143" s="145"/>
      <c r="AX143" s="145"/>
      <c r="AY143" s="145"/>
      <c r="AZ143" s="145"/>
      <c r="BA143" s="145"/>
      <c r="BC143" s="435"/>
      <c r="BD143" s="121">
        <f t="shared" si="25"/>
        <v>106</v>
      </c>
    </row>
    <row r="144" spans="1:56" ht="15">
      <c r="A144" s="436"/>
      <c r="B144" s="435"/>
      <c r="C144" s="435"/>
      <c r="D144" s="124"/>
      <c r="E144" s="124" t="str">
        <f>NameConv!$C$26</f>
        <v>GIC</v>
      </c>
      <c r="F144" s="152"/>
      <c r="G144" s="152"/>
      <c r="H144" s="1467"/>
      <c r="I144" s="152"/>
      <c r="J144" s="152"/>
      <c r="K144" s="569">
        <v>1</v>
      </c>
      <c r="L144" s="152"/>
      <c r="M144" s="1285"/>
      <c r="N144" s="152"/>
      <c r="O144" s="143"/>
      <c r="P144" s="143"/>
      <c r="Q144" s="143"/>
      <c r="R144" s="143"/>
      <c r="S144" s="1275"/>
      <c r="T144" s="1275"/>
      <c r="U144" s="160"/>
      <c r="V144" s="145"/>
      <c r="W144" s="145" t="s">
        <v>1454</v>
      </c>
      <c r="X144" s="874">
        <v>2.1</v>
      </c>
      <c r="Y144" s="145" t="s">
        <v>1455</v>
      </c>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45"/>
      <c r="AV144" s="145"/>
      <c r="AW144" s="145"/>
      <c r="AX144" s="145"/>
      <c r="AY144" s="145"/>
      <c r="AZ144" s="145"/>
      <c r="BA144" s="145"/>
      <c r="BC144" s="435"/>
      <c r="BD144" s="121">
        <f t="shared" si="25"/>
        <v>107</v>
      </c>
    </row>
    <row r="145" spans="1:63" ht="15">
      <c r="A145" s="436" t="s">
        <v>292</v>
      </c>
      <c r="B145" s="435"/>
      <c r="C145" s="435"/>
      <c r="D145" s="124"/>
      <c r="E145" s="124"/>
      <c r="F145" s="152"/>
      <c r="G145" s="152"/>
      <c r="H145" s="1467"/>
      <c r="I145" s="152"/>
      <c r="J145" s="152"/>
      <c r="K145" s="569"/>
      <c r="L145" s="152"/>
      <c r="M145" s="1285"/>
      <c r="N145" s="152"/>
      <c r="O145" s="143"/>
      <c r="P145" s="143"/>
      <c r="Q145" s="143"/>
      <c r="R145" s="143"/>
      <c r="S145" s="1275"/>
      <c r="T145" s="1275"/>
      <c r="U145" s="160"/>
      <c r="V145" s="145"/>
      <c r="W145" s="145"/>
      <c r="X145" s="873">
        <f>AC142-1</f>
        <v>0.2166502400000001</v>
      </c>
      <c r="Y145" s="873">
        <f>AD142-1</f>
        <v>-1</v>
      </c>
      <c r="Z145" s="145"/>
      <c r="AA145" s="145"/>
      <c r="AB145" s="145"/>
      <c r="AC145" s="145"/>
      <c r="AD145" s="145"/>
      <c r="AE145" s="145"/>
      <c r="AF145" s="145"/>
      <c r="AG145" s="145"/>
      <c r="AH145" s="145"/>
      <c r="AI145" s="145"/>
      <c r="AJ145" s="145"/>
      <c r="AK145" s="145"/>
      <c r="AL145" s="145"/>
      <c r="AM145" s="145"/>
      <c r="AN145" s="145"/>
      <c r="AO145" s="145"/>
      <c r="AP145" s="145"/>
      <c r="AQ145" s="145"/>
      <c r="AR145" s="145"/>
      <c r="AS145" s="145"/>
      <c r="AT145" s="145"/>
      <c r="AU145" s="145"/>
      <c r="AV145" s="145"/>
      <c r="AW145" s="145"/>
      <c r="AX145" s="145"/>
      <c r="AY145" s="145"/>
      <c r="AZ145" s="145"/>
      <c r="BA145" s="145"/>
      <c r="BC145" s="435"/>
      <c r="BD145" s="121">
        <f t="shared" si="25"/>
        <v>108</v>
      </c>
    </row>
    <row r="146" spans="1:63" ht="15">
      <c r="A146" s="436" t="s">
        <v>292</v>
      </c>
      <c r="B146" s="435"/>
      <c r="C146" s="435"/>
      <c r="D146" s="124"/>
      <c r="E146" s="124"/>
      <c r="F146" s="143"/>
      <c r="G146" s="143"/>
      <c r="H146" s="1466"/>
      <c r="I146" s="143"/>
      <c r="J146" s="143"/>
      <c r="K146" s="570"/>
      <c r="L146" s="143"/>
      <c r="M146" s="1275"/>
      <c r="N146" s="143"/>
      <c r="O146" s="143"/>
      <c r="P146" s="143"/>
      <c r="Q146" s="143"/>
      <c r="R146" s="143"/>
      <c r="S146" s="1275"/>
      <c r="T146" s="1275"/>
      <c r="U146" s="751"/>
      <c r="V146" s="752" t="s">
        <v>1458</v>
      </c>
      <c r="W146" s="752"/>
      <c r="X146" s="752"/>
      <c r="Y146" s="752"/>
      <c r="Z146" s="752"/>
      <c r="AA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c r="BB146" s="753"/>
      <c r="BC146" s="754"/>
      <c r="BD146" s="121">
        <f t="shared" si="25"/>
        <v>109</v>
      </c>
      <c r="BE146" s="753"/>
      <c r="BF146" s="753"/>
      <c r="BG146" s="753"/>
      <c r="BH146" s="753"/>
      <c r="BI146" s="753"/>
      <c r="BJ146" s="753"/>
      <c r="BK146" s="753"/>
    </row>
    <row r="147" spans="1:63" ht="15">
      <c r="A147" s="436" t="s">
        <v>1793</v>
      </c>
      <c r="B147" s="435" t="str">
        <f>$B$26&amp;RIGHT($D147,3)&amp;RIGHT(E150,3)</f>
        <v>USMRGASHGN</v>
      </c>
      <c r="C147" s="435"/>
      <c r="D147" s="124" t="str">
        <f>$B$6&amp;$H$6</f>
        <v>UPSGAS</v>
      </c>
      <c r="E147" s="124"/>
      <c r="F147" s="494">
        <v>40</v>
      </c>
      <c r="G147" s="143">
        <v>0.8</v>
      </c>
      <c r="H147" s="1466">
        <v>0.9</v>
      </c>
      <c r="I147" s="143" t="str">
        <f>""</f>
        <v/>
      </c>
      <c r="J147" s="1439">
        <f>1-J149</f>
        <v>0.93659535804320382</v>
      </c>
      <c r="K147" s="570"/>
      <c r="L147" s="1378">
        <v>2025</v>
      </c>
      <c r="M147" s="1275">
        <f>zar.2015*'Hydrogen-Other'!R30</f>
        <v>128.68199999999999</v>
      </c>
      <c r="N147" s="143"/>
      <c r="O147" s="143">
        <f>zar.2010*'Hydrogen-Other'!O71</f>
        <v>5.6165845756230484</v>
      </c>
      <c r="P147" s="143"/>
      <c r="Q147" s="494">
        <v>-4</v>
      </c>
      <c r="R147" s="143" t="str">
        <f>""</f>
        <v/>
      </c>
      <c r="S147" s="1275">
        <f>'Hydrogen-Other'!F39</f>
        <v>88.593333333333334</v>
      </c>
      <c r="T147" s="1275">
        <f>'Hydrogen-Other'!F41</f>
        <v>1.2177777777777774</v>
      </c>
      <c r="U147" s="751"/>
      <c r="W147" s="752" t="s">
        <v>1453</v>
      </c>
      <c r="X147" s="752">
        <f>-PMT(8%,F147,M147*(1+$X$145),0,1)/H147</f>
        <v>13.50743784573489</v>
      </c>
      <c r="Y147" s="752">
        <f>X147</f>
        <v>13.50743784573489</v>
      </c>
      <c r="Z147" s="752">
        <f>Y147</f>
        <v>13.50743784573489</v>
      </c>
      <c r="AA147" s="752">
        <f>Z147</f>
        <v>13.50743784573489</v>
      </c>
      <c r="AB147" s="752">
        <f>AA147</f>
        <v>13.50743784573489</v>
      </c>
      <c r="AC147" s="752">
        <f>AA147</f>
        <v>13.50743784573489</v>
      </c>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c r="BB147" s="753"/>
      <c r="BC147" s="754"/>
      <c r="BD147" s="121">
        <f>BD146+1</f>
        <v>110</v>
      </c>
      <c r="BE147" s="753"/>
      <c r="BF147" s="753"/>
      <c r="BG147" s="753"/>
      <c r="BH147" s="753"/>
      <c r="BI147" s="753"/>
      <c r="BJ147" s="753"/>
      <c r="BK147" s="753"/>
    </row>
    <row r="148" spans="1:63" ht="15">
      <c r="A148" s="436"/>
      <c r="B148" s="435"/>
      <c r="C148" s="435"/>
      <c r="D148" s="124" t="str">
        <f>$B$6&amp;$P$6</f>
        <v>UPSHEN</v>
      </c>
      <c r="F148" s="143"/>
      <c r="G148" s="143"/>
      <c r="H148" s="1466"/>
      <c r="I148" s="143"/>
      <c r="J148" s="1439">
        <v>0</v>
      </c>
      <c r="K148" s="570"/>
      <c r="L148" s="143"/>
      <c r="M148" s="1275"/>
      <c r="N148" s="143"/>
      <c r="O148" s="143"/>
      <c r="P148" s="143"/>
      <c r="Q148" s="143"/>
      <c r="R148" s="143"/>
      <c r="S148" s="1275"/>
      <c r="T148" s="1275"/>
      <c r="U148" s="751"/>
      <c r="W148" s="752" t="s">
        <v>138</v>
      </c>
      <c r="X148" s="752">
        <f t="shared" ref="X148:AC148" si="26">X138/$G$147*$J$147+X139*$J$149/$G$147</f>
        <v>110.79683441863834</v>
      </c>
      <c r="Y148" s="752">
        <f t="shared" si="26"/>
        <v>83.827093629159918</v>
      </c>
      <c r="Z148" s="752">
        <f t="shared" si="26"/>
        <v>83.827093629159918</v>
      </c>
      <c r="AA148" s="752">
        <f t="shared" si="26"/>
        <v>83.827093629159918</v>
      </c>
      <c r="AB148" s="752">
        <f t="shared" si="26"/>
        <v>83.827093629159918</v>
      </c>
      <c r="AC148" s="752">
        <f t="shared" si="26"/>
        <v>83.827093629159918</v>
      </c>
      <c r="AD148" s="752"/>
      <c r="AE148" s="752"/>
      <c r="AF148" s="752"/>
      <c r="AG148" s="752"/>
      <c r="AH148" s="752"/>
      <c r="AI148" s="752"/>
      <c r="AJ148" s="752"/>
      <c r="AK148" s="752"/>
      <c r="AL148" s="752"/>
      <c r="AM148" s="752"/>
      <c r="AN148" s="752"/>
      <c r="AO148" s="752"/>
      <c r="AP148" s="752"/>
      <c r="AQ148" s="752"/>
      <c r="AR148" s="752"/>
      <c r="AS148" s="752"/>
      <c r="AT148" s="752"/>
      <c r="AU148" s="752"/>
      <c r="AV148" s="752"/>
      <c r="AW148" s="752"/>
      <c r="AX148" s="752"/>
      <c r="AY148" s="752"/>
      <c r="AZ148" s="752"/>
      <c r="BA148" s="752"/>
      <c r="BB148" s="753"/>
      <c r="BC148" s="754"/>
      <c r="BD148" s="121">
        <f t="shared" si="25"/>
        <v>111</v>
      </c>
      <c r="BE148" s="753"/>
      <c r="BF148" s="753"/>
      <c r="BG148" s="753"/>
      <c r="BH148" s="753"/>
      <c r="BI148" s="753"/>
      <c r="BJ148" s="753"/>
      <c r="BK148" s="753"/>
    </row>
    <row r="149" spans="1:63" ht="15">
      <c r="A149" s="436"/>
      <c r="C149" s="435"/>
      <c r="D149" s="124" t="str">
        <f>$B$6&amp;$G$6</f>
        <v>UPSELC</v>
      </c>
      <c r="F149" s="143"/>
      <c r="G149" s="143"/>
      <c r="H149" s="1466"/>
      <c r="I149" s="143"/>
      <c r="J149" s="1439">
        <f>J161</f>
        <v>6.3404641956796237E-2</v>
      </c>
      <c r="K149" s="570"/>
      <c r="L149" s="143"/>
      <c r="M149" s="1275"/>
      <c r="N149" s="143"/>
      <c r="O149" s="143"/>
      <c r="P149" s="143"/>
      <c r="Q149" s="143"/>
      <c r="R149" s="143"/>
      <c r="S149" s="1275"/>
      <c r="T149" s="1275"/>
      <c r="U149" s="751"/>
      <c r="W149" s="752" t="s">
        <v>254</v>
      </c>
      <c r="X149" s="752">
        <f>S147*X144</f>
        <v>186.04600000000002</v>
      </c>
      <c r="Y149" s="752">
        <f t="shared" ref="Y149:AB150" si="27">X149</f>
        <v>186.04600000000002</v>
      </c>
      <c r="Z149" s="752">
        <f t="shared" si="27"/>
        <v>186.04600000000002</v>
      </c>
      <c r="AA149" s="752">
        <f t="shared" si="27"/>
        <v>186.04600000000002</v>
      </c>
      <c r="AB149" s="752">
        <f t="shared" si="27"/>
        <v>186.04600000000002</v>
      </c>
      <c r="AC149" s="752">
        <f>AA149</f>
        <v>186.04600000000002</v>
      </c>
      <c r="AD149" s="752"/>
      <c r="AE149" s="752"/>
      <c r="AF149" s="752"/>
      <c r="AG149" s="752"/>
      <c r="AH149" s="752"/>
      <c r="AI149" s="752"/>
      <c r="AJ149" s="752"/>
      <c r="AK149" s="752"/>
      <c r="AL149" s="752"/>
      <c r="AM149" s="752"/>
      <c r="AN149" s="752"/>
      <c r="AO149" s="752"/>
      <c r="AP149" s="752"/>
      <c r="AQ149" s="752"/>
      <c r="AR149" s="752"/>
      <c r="AS149" s="752"/>
      <c r="AT149" s="752"/>
      <c r="AU149" s="752"/>
      <c r="AV149" s="752"/>
      <c r="AW149" s="752"/>
      <c r="AX149" s="752"/>
      <c r="AY149" s="752"/>
      <c r="AZ149" s="752"/>
      <c r="BA149" s="752"/>
      <c r="BB149" s="753"/>
      <c r="BC149" s="754"/>
      <c r="BD149" s="121">
        <f t="shared" si="25"/>
        <v>112</v>
      </c>
      <c r="BE149" s="753"/>
      <c r="BF149" s="753"/>
      <c r="BG149" s="753"/>
      <c r="BH149" s="753"/>
      <c r="BI149" s="753"/>
      <c r="BJ149" s="753"/>
      <c r="BK149" s="753"/>
    </row>
    <row r="150" spans="1:63" ht="15">
      <c r="C150" s="435"/>
      <c r="D150" s="124"/>
      <c r="E150" s="124" t="str">
        <f>$B$6&amp;$R$6</f>
        <v>UPSHGN</v>
      </c>
      <c r="F150" s="143"/>
      <c r="G150" s="143"/>
      <c r="H150" s="1466"/>
      <c r="I150" s="143"/>
      <c r="J150" s="143"/>
      <c r="K150" s="569">
        <v>1</v>
      </c>
      <c r="L150" s="143"/>
      <c r="M150" s="1275"/>
      <c r="N150" s="143"/>
      <c r="O150" s="143"/>
      <c r="P150" s="143"/>
      <c r="Q150" s="143"/>
      <c r="R150" s="143"/>
      <c r="S150" s="1275"/>
      <c r="T150" s="1275"/>
      <c r="U150" s="751"/>
      <c r="V150" s="752"/>
      <c r="W150" s="752" t="s">
        <v>1456</v>
      </c>
      <c r="X150" s="752">
        <f>O147</f>
        <v>5.6165845756230484</v>
      </c>
      <c r="Y150" s="752">
        <f t="shared" si="27"/>
        <v>5.6165845756230484</v>
      </c>
      <c r="Z150" s="752">
        <f t="shared" si="27"/>
        <v>5.6165845756230484</v>
      </c>
      <c r="AA150" s="752">
        <f t="shared" si="27"/>
        <v>5.6165845756230484</v>
      </c>
      <c r="AB150" s="752">
        <f t="shared" si="27"/>
        <v>5.6165845756230484</v>
      </c>
      <c r="AC150" s="752">
        <f>AA150</f>
        <v>5.6165845756230484</v>
      </c>
      <c r="AD150" s="752"/>
      <c r="AE150" s="752"/>
      <c r="AF150" s="752"/>
      <c r="AG150" s="752"/>
      <c r="AH150" s="752"/>
      <c r="AI150" s="752"/>
      <c r="AJ150" s="752"/>
      <c r="AK150" s="752"/>
      <c r="AL150" s="752"/>
      <c r="AM150" s="752"/>
      <c r="AN150" s="752"/>
      <c r="AO150" s="752"/>
      <c r="AP150" s="752"/>
      <c r="AQ150" s="752"/>
      <c r="AR150" s="752"/>
      <c r="AS150" s="752"/>
      <c r="AT150" s="752"/>
      <c r="AU150" s="752"/>
      <c r="AV150" s="752"/>
      <c r="AW150" s="752"/>
      <c r="AX150" s="752"/>
      <c r="AY150" s="752"/>
      <c r="AZ150" s="752"/>
      <c r="BA150" s="752"/>
      <c r="BB150" s="753"/>
      <c r="BC150" s="754"/>
      <c r="BD150" s="121">
        <f t="shared" si="25"/>
        <v>113</v>
      </c>
      <c r="BE150" s="753"/>
      <c r="BF150" s="753"/>
      <c r="BG150" s="753"/>
      <c r="BH150" s="753"/>
      <c r="BI150" s="753"/>
      <c r="BJ150" s="753"/>
      <c r="BK150" s="753"/>
    </row>
    <row r="151" spans="1:63" ht="15">
      <c r="B151" s="435"/>
      <c r="C151" s="435"/>
      <c r="D151" s="124"/>
      <c r="E151" s="124" t="str">
        <f>P6</f>
        <v>HEN</v>
      </c>
      <c r="F151" s="143"/>
      <c r="G151" s="143"/>
      <c r="H151" s="1466"/>
      <c r="I151" s="143"/>
      <c r="J151" s="143"/>
      <c r="K151" s="569">
        <v>0</v>
      </c>
      <c r="L151" s="143"/>
      <c r="M151" s="1275"/>
      <c r="N151" s="143"/>
      <c r="O151" s="143"/>
      <c r="P151" s="143"/>
      <c r="Q151" s="143"/>
      <c r="R151" s="143"/>
      <c r="S151" s="1275"/>
      <c r="T151" s="1275"/>
      <c r="U151" s="751"/>
      <c r="V151" s="752"/>
      <c r="W151" s="752" t="s">
        <v>1457</v>
      </c>
      <c r="X151" s="752">
        <f t="shared" ref="X151:AC151" si="28">SUM(X147:X150)</f>
        <v>315.9668568399963</v>
      </c>
      <c r="Y151" s="752">
        <f t="shared" si="28"/>
        <v>288.99711605051789</v>
      </c>
      <c r="Z151" s="752">
        <f t="shared" si="28"/>
        <v>288.99711605051789</v>
      </c>
      <c r="AA151" s="752">
        <f t="shared" si="28"/>
        <v>288.99711605051789</v>
      </c>
      <c r="AB151" s="752">
        <f t="shared" si="28"/>
        <v>288.99711605051789</v>
      </c>
      <c r="AC151" s="752">
        <f t="shared" si="28"/>
        <v>288.99711605051789</v>
      </c>
      <c r="AD151" s="752"/>
      <c r="AE151" s="752"/>
      <c r="AF151" s="752"/>
      <c r="AG151" s="752"/>
      <c r="AH151" s="752"/>
      <c r="AI151" s="752"/>
      <c r="AJ151" s="752"/>
      <c r="AK151" s="752"/>
      <c r="AL151" s="752"/>
      <c r="AM151" s="752"/>
      <c r="AN151" s="752"/>
      <c r="AO151" s="752"/>
      <c r="AP151" s="752"/>
      <c r="AQ151" s="752"/>
      <c r="AR151" s="752"/>
      <c r="AS151" s="752"/>
      <c r="AT151" s="752"/>
      <c r="AU151" s="752"/>
      <c r="AV151" s="752"/>
      <c r="AW151" s="752"/>
      <c r="AX151" s="752"/>
      <c r="AY151" s="752"/>
      <c r="AZ151" s="752"/>
      <c r="BA151" s="752"/>
      <c r="BB151" s="753"/>
      <c r="BC151" s="754"/>
      <c r="BD151" s="121">
        <f t="shared" si="25"/>
        <v>114</v>
      </c>
      <c r="BE151" s="753"/>
      <c r="BF151" s="753"/>
      <c r="BG151" s="753"/>
      <c r="BH151" s="753"/>
      <c r="BI151" s="753"/>
      <c r="BJ151" s="753"/>
      <c r="BK151" s="753"/>
    </row>
    <row r="152" spans="1:63" ht="15">
      <c r="A152" s="436" t="s">
        <v>292</v>
      </c>
      <c r="B152" s="435"/>
      <c r="C152" s="435"/>
      <c r="D152" s="124"/>
      <c r="E152" s="124"/>
      <c r="F152" s="143"/>
      <c r="G152" s="143"/>
      <c r="H152" s="1466"/>
      <c r="I152" s="143"/>
      <c r="J152" s="143"/>
      <c r="K152" s="570"/>
      <c r="L152" s="143"/>
      <c r="M152" s="1275"/>
      <c r="N152" s="143"/>
      <c r="O152" s="143"/>
      <c r="P152" s="143"/>
      <c r="Q152" s="143"/>
      <c r="R152" s="143"/>
      <c r="S152" s="1275"/>
      <c r="T152" s="1275"/>
      <c r="U152" s="751"/>
      <c r="V152" s="752"/>
      <c r="W152" s="752"/>
      <c r="X152" s="752"/>
      <c r="Y152" s="752"/>
      <c r="Z152" s="752"/>
      <c r="AA152" s="752"/>
      <c r="AC152" s="752"/>
      <c r="AD152" s="752"/>
      <c r="AE152" s="752"/>
      <c r="AF152" s="752"/>
      <c r="AG152" s="752"/>
      <c r="AH152" s="752"/>
      <c r="AI152" s="752"/>
      <c r="AJ152" s="752"/>
      <c r="AK152" s="752"/>
      <c r="AL152" s="752"/>
      <c r="AM152" s="752"/>
      <c r="AN152" s="752"/>
      <c r="AO152" s="752"/>
      <c r="AP152" s="752"/>
      <c r="AQ152" s="752"/>
      <c r="AR152" s="752"/>
      <c r="AS152" s="752"/>
      <c r="AT152" s="752"/>
      <c r="AU152" s="752"/>
      <c r="AV152" s="752"/>
      <c r="AW152" s="752"/>
      <c r="AX152" s="752"/>
      <c r="AY152" s="752"/>
      <c r="AZ152" s="752"/>
      <c r="BA152" s="752"/>
      <c r="BB152" s="753"/>
      <c r="BC152" s="754"/>
      <c r="BD152" s="121">
        <f t="shared" si="25"/>
        <v>115</v>
      </c>
      <c r="BE152" s="753"/>
      <c r="BF152" s="753"/>
      <c r="BG152" s="753"/>
      <c r="BH152" s="753"/>
      <c r="BI152" s="753"/>
      <c r="BJ152" s="753"/>
      <c r="BK152" s="753"/>
    </row>
    <row r="153" spans="1:63" ht="15">
      <c r="A153" s="436" t="s">
        <v>1794</v>
      </c>
      <c r="B153" s="435" t="str">
        <f>$B$26&amp;RIGHT($D153,3)&amp;RIGHT(E156,3)</f>
        <v>USMRGICHGN</v>
      </c>
      <c r="C153" s="435"/>
      <c r="D153" s="124" t="str">
        <f>$B$6&amp;NameConv!$C$26</f>
        <v>UPSGIC</v>
      </c>
      <c r="E153" s="124"/>
      <c r="F153" s="494">
        <v>40</v>
      </c>
      <c r="G153" s="143">
        <v>0.8</v>
      </c>
      <c r="H153" s="1466">
        <v>0.9</v>
      </c>
      <c r="I153" s="143" t="str">
        <f>""</f>
        <v/>
      </c>
      <c r="J153" s="143">
        <f>J147</f>
        <v>0.93659535804320382</v>
      </c>
      <c r="K153" s="570"/>
      <c r="L153" s="1378">
        <v>2025</v>
      </c>
      <c r="M153" s="1275">
        <f>M147</f>
        <v>128.68199999999999</v>
      </c>
      <c r="N153" s="143"/>
      <c r="O153" s="1377">
        <f>O147</f>
        <v>5.6165845756230484</v>
      </c>
      <c r="P153" s="143"/>
      <c r="Q153" s="494">
        <v>-4</v>
      </c>
      <c r="R153" s="143" t="str">
        <f>""</f>
        <v/>
      </c>
      <c r="S153" s="1275">
        <f>S147</f>
        <v>88.593333333333334</v>
      </c>
      <c r="T153" s="1275">
        <f>T147</f>
        <v>1.2177777777777774</v>
      </c>
      <c r="U153" s="751"/>
      <c r="W153" s="752" t="s">
        <v>1453</v>
      </c>
      <c r="X153" s="752">
        <f>-PMT(8%,F153,M153*(1+$X$145),0,1)/H153</f>
        <v>13.50743784573489</v>
      </c>
      <c r="Y153" s="752">
        <f>X153</f>
        <v>13.50743784573489</v>
      </c>
      <c r="Z153" s="752">
        <f>Y153</f>
        <v>13.50743784573489</v>
      </c>
      <c r="AA153" s="752">
        <f>Z153</f>
        <v>13.50743784573489</v>
      </c>
      <c r="AB153" s="752">
        <f>AA153</f>
        <v>13.50743784573489</v>
      </c>
      <c r="AC153" s="752">
        <f>AA153</f>
        <v>13.50743784573489</v>
      </c>
      <c r="AD153" s="752"/>
      <c r="AE153" s="752"/>
      <c r="AF153" s="752"/>
      <c r="AG153" s="752"/>
      <c r="AH153" s="752"/>
      <c r="AI153" s="752"/>
      <c r="AJ153" s="752"/>
      <c r="AK153" s="752"/>
      <c r="AL153" s="752"/>
      <c r="AM153" s="752"/>
      <c r="AN153" s="752"/>
      <c r="AO153" s="752"/>
      <c r="AP153" s="752"/>
      <c r="AQ153" s="752"/>
      <c r="AR153" s="752"/>
      <c r="AS153" s="752"/>
      <c r="AT153" s="752"/>
      <c r="AU153" s="752"/>
      <c r="AV153" s="752"/>
      <c r="AW153" s="752"/>
      <c r="AX153" s="752"/>
      <c r="AY153" s="752"/>
      <c r="AZ153" s="752"/>
      <c r="BA153" s="752"/>
      <c r="BB153" s="753"/>
      <c r="BC153" s="754"/>
      <c r="BD153" s="121">
        <f t="shared" si="25"/>
        <v>116</v>
      </c>
      <c r="BE153" s="753"/>
      <c r="BF153" s="753"/>
      <c r="BG153" s="753"/>
      <c r="BH153" s="753"/>
      <c r="BI153" s="753"/>
      <c r="BJ153" s="753"/>
      <c r="BK153" s="753"/>
    </row>
    <row r="154" spans="1:63" ht="15">
      <c r="A154" s="436"/>
      <c r="B154" s="435"/>
      <c r="C154" s="435"/>
      <c r="D154" s="124" t="str">
        <f>$B$6&amp;$P$6</f>
        <v>UPSHEN</v>
      </c>
      <c r="F154" s="143"/>
      <c r="G154" s="143"/>
      <c r="H154" s="1466"/>
      <c r="I154" s="143"/>
      <c r="J154" s="143">
        <f>J148</f>
        <v>0</v>
      </c>
      <c r="K154" s="570"/>
      <c r="L154" s="143"/>
      <c r="M154" s="1275"/>
      <c r="N154" s="143"/>
      <c r="O154" s="143"/>
      <c r="P154" s="143"/>
      <c r="Q154" s="143"/>
      <c r="R154" s="143"/>
      <c r="S154" s="1275"/>
      <c r="T154" s="1275"/>
      <c r="U154" s="751"/>
      <c r="W154" s="752" t="s">
        <v>138</v>
      </c>
      <c r="X154" s="752">
        <f t="shared" ref="X154:AC154" si="29">X144/$G$147*$J$147+X145*$J$149/$G$147</f>
        <v>2.4757336034847275</v>
      </c>
      <c r="Y154" s="752" t="e">
        <f t="shared" si="29"/>
        <v>#VALUE!</v>
      </c>
      <c r="Z154" s="752">
        <f t="shared" si="29"/>
        <v>0</v>
      </c>
      <c r="AA154" s="752">
        <f t="shared" si="29"/>
        <v>0</v>
      </c>
      <c r="AB154" s="752">
        <f t="shared" si="29"/>
        <v>0</v>
      </c>
      <c r="AC154" s="752">
        <f t="shared" si="29"/>
        <v>0</v>
      </c>
      <c r="AD154" s="752"/>
      <c r="AE154" s="752"/>
      <c r="AF154" s="752"/>
      <c r="AG154" s="752"/>
      <c r="AH154" s="752"/>
      <c r="AI154" s="752"/>
      <c r="AJ154" s="752"/>
      <c r="AK154" s="752"/>
      <c r="AL154" s="752"/>
      <c r="AM154" s="752"/>
      <c r="AN154" s="752"/>
      <c r="AO154" s="752"/>
      <c r="AP154" s="752"/>
      <c r="AQ154" s="752"/>
      <c r="AR154" s="752"/>
      <c r="AS154" s="752"/>
      <c r="AT154" s="752"/>
      <c r="AU154" s="752"/>
      <c r="AV154" s="752"/>
      <c r="AW154" s="752"/>
      <c r="AX154" s="752"/>
      <c r="AY154" s="752"/>
      <c r="AZ154" s="752"/>
      <c r="BA154" s="752"/>
      <c r="BB154" s="753"/>
      <c r="BC154" s="754"/>
      <c r="BD154" s="121">
        <f t="shared" si="25"/>
        <v>117</v>
      </c>
      <c r="BE154" s="753"/>
      <c r="BF154" s="753"/>
      <c r="BG154" s="753"/>
      <c r="BH154" s="753"/>
      <c r="BI154" s="753"/>
      <c r="BJ154" s="753"/>
      <c r="BK154" s="753"/>
    </row>
    <row r="155" spans="1:63" ht="15">
      <c r="A155" s="436"/>
      <c r="B155" s="435"/>
      <c r="C155" s="435"/>
      <c r="D155" s="124" t="str">
        <f>$B$6&amp;$G$6</f>
        <v>UPSELC</v>
      </c>
      <c r="F155" s="143"/>
      <c r="G155" s="143"/>
      <c r="H155" s="1466"/>
      <c r="I155" s="143"/>
      <c r="J155" s="143">
        <f>J149</f>
        <v>6.3404641956796237E-2</v>
      </c>
      <c r="K155" s="570"/>
      <c r="L155" s="143"/>
      <c r="M155" s="1275"/>
      <c r="N155" s="143"/>
      <c r="O155" s="143"/>
      <c r="P155" s="143"/>
      <c r="Q155" s="143"/>
      <c r="R155" s="143"/>
      <c r="S155" s="1275"/>
      <c r="T155" s="1275"/>
      <c r="U155" s="751"/>
      <c r="W155" s="752" t="s">
        <v>254</v>
      </c>
      <c r="X155" s="752">
        <f>S153*X150</f>
        <v>497.59194950303129</v>
      </c>
      <c r="Y155" s="752">
        <f t="shared" ref="Y155:AB156" si="30">X155</f>
        <v>497.59194950303129</v>
      </c>
      <c r="Z155" s="752">
        <f t="shared" si="30"/>
        <v>497.59194950303129</v>
      </c>
      <c r="AA155" s="752">
        <f t="shared" si="30"/>
        <v>497.59194950303129</v>
      </c>
      <c r="AB155" s="752">
        <f t="shared" si="30"/>
        <v>497.59194950303129</v>
      </c>
      <c r="AC155" s="752">
        <f>AA155</f>
        <v>497.59194950303129</v>
      </c>
      <c r="AD155" s="752"/>
      <c r="AE155" s="752"/>
      <c r="AF155" s="752"/>
      <c r="AG155" s="752"/>
      <c r="AH155" s="752"/>
      <c r="AI155" s="752"/>
      <c r="AJ155" s="752"/>
      <c r="AK155" s="752"/>
      <c r="AL155" s="752"/>
      <c r="AM155" s="752"/>
      <c r="AN155" s="752"/>
      <c r="AO155" s="752"/>
      <c r="AP155" s="752"/>
      <c r="AQ155" s="752"/>
      <c r="AR155" s="752"/>
      <c r="AS155" s="752"/>
      <c r="AT155" s="752"/>
      <c r="AU155" s="752"/>
      <c r="AV155" s="752"/>
      <c r="AW155" s="752"/>
      <c r="AX155" s="752"/>
      <c r="AY155" s="752"/>
      <c r="AZ155" s="752"/>
      <c r="BA155" s="752"/>
      <c r="BB155" s="753"/>
      <c r="BC155" s="754"/>
      <c r="BD155" s="121">
        <f t="shared" si="25"/>
        <v>118</v>
      </c>
      <c r="BE155" s="753"/>
      <c r="BF155" s="753"/>
      <c r="BG155" s="753"/>
      <c r="BH155" s="753"/>
      <c r="BI155" s="753"/>
      <c r="BJ155" s="753"/>
      <c r="BK155" s="753"/>
    </row>
    <row r="156" spans="1:63" ht="15">
      <c r="B156" s="435"/>
      <c r="C156" s="435"/>
      <c r="D156" s="124"/>
      <c r="E156" s="124" t="str">
        <f>E150</f>
        <v>UPSHGN</v>
      </c>
      <c r="F156" s="143"/>
      <c r="G156" s="143"/>
      <c r="H156" s="1466"/>
      <c r="I156" s="143"/>
      <c r="J156" s="143"/>
      <c r="K156" s="569">
        <v>1</v>
      </c>
      <c r="L156" s="143"/>
      <c r="M156" s="1275"/>
      <c r="N156" s="143"/>
      <c r="O156" s="143"/>
      <c r="P156" s="143"/>
      <c r="Q156" s="143"/>
      <c r="R156" s="143"/>
      <c r="S156" s="1275"/>
      <c r="T156" s="1275"/>
      <c r="U156" s="751"/>
      <c r="V156" s="752"/>
      <c r="W156" s="752" t="s">
        <v>1456</v>
      </c>
      <c r="X156" s="752">
        <f>O153</f>
        <v>5.6165845756230484</v>
      </c>
      <c r="Y156" s="752">
        <f t="shared" si="30"/>
        <v>5.6165845756230484</v>
      </c>
      <c r="Z156" s="752">
        <f t="shared" si="30"/>
        <v>5.6165845756230484</v>
      </c>
      <c r="AA156" s="752">
        <f t="shared" si="30"/>
        <v>5.6165845756230484</v>
      </c>
      <c r="AB156" s="752">
        <f t="shared" si="30"/>
        <v>5.6165845756230484</v>
      </c>
      <c r="AC156" s="752">
        <f>AA156</f>
        <v>5.6165845756230484</v>
      </c>
      <c r="AD156" s="752"/>
      <c r="AE156" s="752"/>
      <c r="AF156" s="752"/>
      <c r="AG156" s="752"/>
      <c r="AH156" s="752"/>
      <c r="AI156" s="752"/>
      <c r="AJ156" s="752"/>
      <c r="AK156" s="752"/>
      <c r="AL156" s="752"/>
      <c r="AM156" s="752"/>
      <c r="AN156" s="752"/>
      <c r="AO156" s="752"/>
      <c r="AP156" s="752"/>
      <c r="AQ156" s="752"/>
      <c r="AR156" s="752"/>
      <c r="AS156" s="752"/>
      <c r="AT156" s="752"/>
      <c r="AU156" s="752"/>
      <c r="AV156" s="752"/>
      <c r="AW156" s="752"/>
      <c r="AX156" s="752"/>
      <c r="AY156" s="752"/>
      <c r="AZ156" s="752"/>
      <c r="BA156" s="752"/>
      <c r="BB156" s="753"/>
      <c r="BC156" s="754"/>
      <c r="BD156" s="121">
        <f t="shared" si="25"/>
        <v>119</v>
      </c>
      <c r="BE156" s="753"/>
      <c r="BF156" s="753"/>
      <c r="BG156" s="753"/>
      <c r="BH156" s="753"/>
      <c r="BI156" s="753"/>
      <c r="BJ156" s="753"/>
      <c r="BK156" s="753"/>
    </row>
    <row r="157" spans="1:63" ht="15">
      <c r="B157" s="435"/>
      <c r="C157" s="435"/>
      <c r="D157" s="124"/>
      <c r="E157" s="124" t="str">
        <f>E151</f>
        <v>HEN</v>
      </c>
      <c r="F157" s="143"/>
      <c r="G157" s="143"/>
      <c r="H157" s="1466"/>
      <c r="I157" s="143"/>
      <c r="J157" s="143"/>
      <c r="K157" s="569">
        <v>0</v>
      </c>
      <c r="L157" s="143"/>
      <c r="M157" s="1275"/>
      <c r="N157" s="143"/>
      <c r="O157" s="143"/>
      <c r="P157" s="143"/>
      <c r="Q157" s="143"/>
      <c r="R157" s="143"/>
      <c r="S157" s="1275"/>
      <c r="T157" s="1275"/>
      <c r="U157" s="751"/>
      <c r="V157" s="752"/>
      <c r="W157" s="752" t="s">
        <v>1457</v>
      </c>
      <c r="X157" s="752">
        <f>SUM(X153:X156)</f>
        <v>519.19170552787398</v>
      </c>
      <c r="Y157" s="752" t="e">
        <f t="shared" ref="Y157:AC157" si="31">SUM(Y153:Y156)</f>
        <v>#VALUE!</v>
      </c>
      <c r="Z157" s="752">
        <f t="shared" si="31"/>
        <v>516.71597192438924</v>
      </c>
      <c r="AA157" s="752">
        <f t="shared" si="31"/>
        <v>516.71597192438924</v>
      </c>
      <c r="AB157" s="752">
        <f t="shared" si="31"/>
        <v>516.71597192438924</v>
      </c>
      <c r="AC157" s="752">
        <f t="shared" si="31"/>
        <v>516.71597192438924</v>
      </c>
      <c r="AD157" s="752"/>
      <c r="AE157" s="752"/>
      <c r="AF157" s="752"/>
      <c r="AG157" s="752"/>
      <c r="AH157" s="752"/>
      <c r="AI157" s="752"/>
      <c r="AJ157" s="752"/>
      <c r="AK157" s="752"/>
      <c r="AL157" s="752"/>
      <c r="AM157" s="752"/>
      <c r="AN157" s="752"/>
      <c r="AO157" s="752"/>
      <c r="AP157" s="752"/>
      <c r="AQ157" s="752"/>
      <c r="AR157" s="752"/>
      <c r="AS157" s="752"/>
      <c r="AT157" s="752"/>
      <c r="AU157" s="752"/>
      <c r="AV157" s="752"/>
      <c r="AW157" s="752"/>
      <c r="AX157" s="752"/>
      <c r="AY157" s="752"/>
      <c r="AZ157" s="752"/>
      <c r="BA157" s="752"/>
      <c r="BB157" s="753"/>
      <c r="BC157" s="754"/>
      <c r="BD157" s="121">
        <f t="shared" si="25"/>
        <v>120</v>
      </c>
      <c r="BE157" s="753"/>
      <c r="BF157" s="753"/>
      <c r="BG157" s="753"/>
      <c r="BH157" s="753"/>
      <c r="BI157" s="753"/>
      <c r="BJ157" s="753"/>
      <c r="BK157" s="753"/>
    </row>
    <row r="158" spans="1:63" ht="15">
      <c r="A158" s="436" t="s">
        <v>292</v>
      </c>
      <c r="B158" s="435"/>
      <c r="C158" s="435"/>
      <c r="D158" s="124"/>
      <c r="E158" s="124"/>
      <c r="F158" s="143"/>
      <c r="G158" s="143"/>
      <c r="H158" s="1466"/>
      <c r="I158" s="143"/>
      <c r="J158" s="143"/>
      <c r="K158" s="570"/>
      <c r="L158" s="143"/>
      <c r="M158" s="1275"/>
      <c r="N158" s="143"/>
      <c r="O158" s="143"/>
      <c r="P158" s="143"/>
      <c r="Q158" s="143"/>
      <c r="R158" s="143"/>
      <c r="S158" s="1275"/>
      <c r="T158" s="1275"/>
      <c r="U158" s="751"/>
      <c r="V158" s="752"/>
      <c r="W158" s="752"/>
      <c r="X158" s="752"/>
      <c r="Y158" s="752"/>
      <c r="Z158" s="752"/>
      <c r="AA158" s="752"/>
      <c r="AC158" s="752"/>
      <c r="AD158" s="752"/>
      <c r="AE158" s="752"/>
      <c r="AF158" s="752"/>
      <c r="AG158" s="752"/>
      <c r="AH158" s="752"/>
      <c r="AI158" s="752"/>
      <c r="AJ158" s="752"/>
      <c r="AK158" s="752"/>
      <c r="AL158" s="752"/>
      <c r="AM158" s="752"/>
      <c r="AN158" s="752"/>
      <c r="AO158" s="752"/>
      <c r="AP158" s="752"/>
      <c r="AQ158" s="752"/>
      <c r="AR158" s="752"/>
      <c r="AS158" s="752"/>
      <c r="AT158" s="752"/>
      <c r="AU158" s="752"/>
      <c r="AV158" s="752"/>
      <c r="AW158" s="752"/>
      <c r="AX158" s="752"/>
      <c r="AY158" s="752"/>
      <c r="AZ158" s="752"/>
      <c r="BA158" s="752"/>
      <c r="BB158" s="753"/>
      <c r="BC158" s="754"/>
      <c r="BD158" s="121">
        <f t="shared" si="25"/>
        <v>121</v>
      </c>
      <c r="BE158" s="753"/>
      <c r="BF158" s="753"/>
      <c r="BG158" s="753"/>
      <c r="BH158" s="753"/>
      <c r="BI158" s="753"/>
      <c r="BJ158" s="753"/>
      <c r="BK158" s="753"/>
    </row>
    <row r="159" spans="1:63" ht="15">
      <c r="A159" s="436" t="s">
        <v>1364</v>
      </c>
      <c r="B159" s="435" t="str">
        <f>$B$27&amp;RIGHT($D159,3)&amp;RIGHT(E162,3)</f>
        <v>UCOGCLEHGN</v>
      </c>
      <c r="C159" s="435"/>
      <c r="D159" s="124" t="str">
        <f>$B$6&amp;NameConv!$C$14</f>
        <v>UPSCLE</v>
      </c>
      <c r="E159" s="124"/>
      <c r="F159" s="494">
        <v>40</v>
      </c>
      <c r="G159" s="143">
        <v>0.65</v>
      </c>
      <c r="H159" s="1466">
        <v>0.9</v>
      </c>
      <c r="I159" s="143" t="str">
        <f>""</f>
        <v/>
      </c>
      <c r="J159" s="143">
        <v>0.69555865300183184</v>
      </c>
      <c r="K159" s="570"/>
      <c r="L159" s="1378">
        <v>2025</v>
      </c>
      <c r="M159" s="1275">
        <f>zar.2015*'Hydrogen-Other'!R28</f>
        <v>443.23799999999994</v>
      </c>
      <c r="N159" s="143"/>
      <c r="O159" s="143">
        <f>zar.2010*'Hydrogen-Other'!O69</f>
        <v>28.082922878115237</v>
      </c>
      <c r="P159" s="143"/>
      <c r="Q159" s="494">
        <v>-4</v>
      </c>
      <c r="R159" s="143" t="str">
        <f>""</f>
        <v/>
      </c>
      <c r="S159" s="1275">
        <f>'Hydrogen-Other'!B93</f>
        <v>180.83333333333331</v>
      </c>
      <c r="T159" s="1275">
        <v>0</v>
      </c>
      <c r="U159" s="751"/>
      <c r="V159" s="752"/>
      <c r="W159" s="752" t="s">
        <v>1453</v>
      </c>
      <c r="X159" s="752">
        <f>-PMT(8%,F159,M159*(1+$X$145),0,1)/H159</f>
        <v>46.52561924642017</v>
      </c>
      <c r="Y159" s="752">
        <f>X159</f>
        <v>46.52561924642017</v>
      </c>
      <c r="Z159" s="752">
        <f>Y159</f>
        <v>46.52561924642017</v>
      </c>
      <c r="AA159" s="752">
        <f>Z159</f>
        <v>46.52561924642017</v>
      </c>
      <c r="AB159" s="752">
        <f>AA159</f>
        <v>46.52561924642017</v>
      </c>
      <c r="AC159" s="752">
        <f>AA159</f>
        <v>46.52561924642017</v>
      </c>
      <c r="AD159" s="752"/>
      <c r="AE159" s="752"/>
      <c r="AF159" s="752"/>
      <c r="AG159" s="752"/>
      <c r="AH159" s="752"/>
      <c r="AI159" s="752"/>
      <c r="AJ159" s="752"/>
      <c r="AK159" s="752"/>
      <c r="AL159" s="752"/>
      <c r="AM159" s="752"/>
      <c r="AN159" s="752"/>
      <c r="AO159" s="752"/>
      <c r="AP159" s="752"/>
      <c r="AQ159" s="752"/>
      <c r="AR159" s="752"/>
      <c r="AS159" s="752"/>
      <c r="AT159" s="752"/>
      <c r="AU159" s="752"/>
      <c r="AV159" s="752"/>
      <c r="AW159" s="752"/>
      <c r="AX159" s="752"/>
      <c r="AY159" s="752"/>
      <c r="AZ159" s="752"/>
      <c r="BA159" s="752"/>
      <c r="BB159" s="753"/>
      <c r="BC159" s="754"/>
      <c r="BD159" s="121">
        <f t="shared" si="25"/>
        <v>122</v>
      </c>
      <c r="BE159" s="753"/>
      <c r="BF159" s="753"/>
      <c r="BG159" s="753"/>
      <c r="BH159" s="753"/>
      <c r="BI159" s="753"/>
      <c r="BJ159" s="753"/>
      <c r="BK159" s="753"/>
    </row>
    <row r="160" spans="1:63" ht="15">
      <c r="A160" s="436"/>
      <c r="B160" s="435"/>
      <c r="C160" s="435"/>
      <c r="D160" s="124" t="str">
        <f>$B$6&amp;$P$6</f>
        <v>UPSHEN</v>
      </c>
      <c r="F160" s="143"/>
      <c r="G160" s="143"/>
      <c r="H160" s="1466"/>
      <c r="I160" s="143"/>
      <c r="J160" s="143">
        <v>0.24103670504137198</v>
      </c>
      <c r="K160" s="570"/>
      <c r="L160" s="143"/>
      <c r="M160" s="1275"/>
      <c r="N160" s="143"/>
      <c r="O160" s="143"/>
      <c r="P160" s="143"/>
      <c r="Q160" s="143"/>
      <c r="R160" s="143"/>
      <c r="S160" s="1275"/>
      <c r="T160" s="1275"/>
      <c r="U160" s="751"/>
      <c r="V160" s="752">
        <f>X137/UPS!G174</f>
        <v>49.95923065756164</v>
      </c>
      <c r="W160" s="752" t="s">
        <v>138</v>
      </c>
      <c r="X160" s="752">
        <f t="shared" ref="X160:AC160" si="32">(X137/$G$159)*$J$159+(X137/$G$174)*$J$160+X139*$J$161/$G$159</f>
        <v>79.815814022291406</v>
      </c>
      <c r="Y160" s="752">
        <f t="shared" si="32"/>
        <v>80.208925019246465</v>
      </c>
      <c r="Z160" s="752">
        <f t="shared" si="32"/>
        <v>80.602036016201538</v>
      </c>
      <c r="AA160" s="752">
        <f t="shared" si="32"/>
        <v>80.602036016201538</v>
      </c>
      <c r="AB160" s="752">
        <f t="shared" si="32"/>
        <v>80.602036016201538</v>
      </c>
      <c r="AC160" s="752">
        <f t="shared" si="32"/>
        <v>80.602036016201538</v>
      </c>
      <c r="AD160" s="752"/>
      <c r="AE160" s="752"/>
      <c r="AF160" s="752"/>
      <c r="AG160" s="752"/>
      <c r="AH160" s="752"/>
      <c r="AI160" s="752"/>
      <c r="AJ160" s="752"/>
      <c r="AK160" s="752"/>
      <c r="AL160" s="752"/>
      <c r="AM160" s="752"/>
      <c r="AN160" s="752"/>
      <c r="AO160" s="752"/>
      <c r="AP160" s="752"/>
      <c r="AQ160" s="752"/>
      <c r="AR160" s="752"/>
      <c r="AS160" s="752"/>
      <c r="AT160" s="752"/>
      <c r="AU160" s="752"/>
      <c r="AV160" s="752"/>
      <c r="AW160" s="752"/>
      <c r="AX160" s="752"/>
      <c r="AY160" s="752"/>
      <c r="AZ160" s="752"/>
      <c r="BA160" s="752"/>
      <c r="BB160" s="753"/>
      <c r="BC160" s="754"/>
      <c r="BD160" s="121">
        <f t="shared" si="25"/>
        <v>123</v>
      </c>
      <c r="BE160" s="753"/>
      <c r="BF160" s="753"/>
      <c r="BG160" s="753"/>
      <c r="BH160" s="753"/>
      <c r="BI160" s="753"/>
      <c r="BJ160" s="753"/>
      <c r="BK160" s="753"/>
    </row>
    <row r="161" spans="1:63" ht="15">
      <c r="A161" s="436"/>
      <c r="B161" s="435"/>
      <c r="C161" s="435"/>
      <c r="D161" s="124" t="str">
        <f>$B$6&amp;$G$6</f>
        <v>UPSELC</v>
      </c>
      <c r="F161" s="143"/>
      <c r="G161" s="143"/>
      <c r="H161" s="1466"/>
      <c r="I161" s="143"/>
      <c r="J161" s="143">
        <v>6.3404641956796237E-2</v>
      </c>
      <c r="K161" s="570"/>
      <c r="L161" s="143"/>
      <c r="M161" s="1275"/>
      <c r="N161" s="143"/>
      <c r="O161" s="143"/>
      <c r="P161" s="143"/>
      <c r="Q161" s="143"/>
      <c r="R161" s="143"/>
      <c r="S161" s="1275"/>
      <c r="T161" s="1275"/>
      <c r="U161" s="751"/>
      <c r="V161" s="752"/>
      <c r="W161" s="752" t="s">
        <v>254</v>
      </c>
      <c r="X161" s="752">
        <f>S159*$X$144+(96.4/$G$174*X144)*$J160</f>
        <v>433.90827188323527</v>
      </c>
      <c r="Y161" s="752">
        <f t="shared" ref="Y161:AB162" si="33">X161</f>
        <v>433.90827188323527</v>
      </c>
      <c r="Z161" s="752">
        <f t="shared" si="33"/>
        <v>433.90827188323527</v>
      </c>
      <c r="AA161" s="752">
        <f t="shared" si="33"/>
        <v>433.90827188323527</v>
      </c>
      <c r="AB161" s="752">
        <f t="shared" si="33"/>
        <v>433.90827188323527</v>
      </c>
      <c r="AC161" s="752">
        <f>AA161</f>
        <v>433.90827188323527</v>
      </c>
      <c r="AD161" s="752"/>
      <c r="AE161" s="752"/>
      <c r="AF161" s="752"/>
      <c r="AG161" s="752"/>
      <c r="AH161" s="752"/>
      <c r="AI161" s="752"/>
      <c r="AJ161" s="752"/>
      <c r="AK161" s="752"/>
      <c r="AL161" s="752"/>
      <c r="AM161" s="752"/>
      <c r="AN161" s="752"/>
      <c r="AO161" s="752"/>
      <c r="AP161" s="752"/>
      <c r="AQ161" s="752"/>
      <c r="AR161" s="752"/>
      <c r="AS161" s="752"/>
      <c r="AT161" s="752"/>
      <c r="AU161" s="752"/>
      <c r="AV161" s="752"/>
      <c r="AW161" s="752"/>
      <c r="AX161" s="752"/>
      <c r="AY161" s="752"/>
      <c r="AZ161" s="752"/>
      <c r="BA161" s="752"/>
      <c r="BB161" s="753"/>
      <c r="BC161" s="754"/>
      <c r="BD161" s="121">
        <f t="shared" si="25"/>
        <v>124</v>
      </c>
      <c r="BE161" s="753"/>
      <c r="BF161" s="753"/>
      <c r="BG161" s="753"/>
      <c r="BH161" s="753"/>
      <c r="BI161" s="753"/>
      <c r="BJ161" s="753"/>
      <c r="BK161" s="753"/>
    </row>
    <row r="162" spans="1:63" ht="15">
      <c r="B162" s="435"/>
      <c r="C162" s="435"/>
      <c r="D162" s="124"/>
      <c r="E162" s="124" t="str">
        <f>E156</f>
        <v>UPSHGN</v>
      </c>
      <c r="F162" s="143"/>
      <c r="G162" s="143"/>
      <c r="H162" s="1466"/>
      <c r="I162" s="143"/>
      <c r="J162" s="143"/>
      <c r="K162" s="569">
        <v>1</v>
      </c>
      <c r="L162" s="143"/>
      <c r="M162" s="1275"/>
      <c r="N162" s="143"/>
      <c r="O162" s="143"/>
      <c r="P162" s="143"/>
      <c r="Q162" s="143"/>
      <c r="R162" s="143"/>
      <c r="S162" s="1275"/>
      <c r="T162" s="1275"/>
      <c r="U162" s="751"/>
      <c r="V162" s="752"/>
      <c r="W162" s="752" t="s">
        <v>1456</v>
      </c>
      <c r="X162" s="752">
        <f>O159</f>
        <v>28.082922878115237</v>
      </c>
      <c r="Y162" s="752">
        <f t="shared" si="33"/>
        <v>28.082922878115237</v>
      </c>
      <c r="Z162" s="752">
        <f t="shared" si="33"/>
        <v>28.082922878115237</v>
      </c>
      <c r="AA162" s="752">
        <f t="shared" si="33"/>
        <v>28.082922878115237</v>
      </c>
      <c r="AB162" s="752">
        <f t="shared" si="33"/>
        <v>28.082922878115237</v>
      </c>
      <c r="AC162" s="752">
        <f>AA162</f>
        <v>28.082922878115237</v>
      </c>
      <c r="AD162" s="752"/>
      <c r="AE162" s="752"/>
      <c r="AF162" s="752"/>
      <c r="AG162" s="752"/>
      <c r="AH162" s="752"/>
      <c r="AI162" s="752"/>
      <c r="AJ162" s="752"/>
      <c r="AK162" s="752"/>
      <c r="AL162" s="752"/>
      <c r="AM162" s="752"/>
      <c r="AN162" s="752"/>
      <c r="AO162" s="752"/>
      <c r="AP162" s="752"/>
      <c r="AQ162" s="752"/>
      <c r="AR162" s="752"/>
      <c r="AS162" s="752"/>
      <c r="AT162" s="752"/>
      <c r="AU162" s="752"/>
      <c r="AV162" s="752"/>
      <c r="AW162" s="752"/>
      <c r="AX162" s="752"/>
      <c r="AY162" s="752"/>
      <c r="AZ162" s="752"/>
      <c r="BA162" s="752"/>
      <c r="BB162" s="753"/>
      <c r="BC162" s="754"/>
      <c r="BD162" s="121">
        <f t="shared" si="25"/>
        <v>125</v>
      </c>
      <c r="BE162" s="753"/>
      <c r="BF162" s="753"/>
      <c r="BG162" s="753"/>
      <c r="BH162" s="753"/>
      <c r="BI162" s="753"/>
      <c r="BJ162" s="753"/>
      <c r="BK162" s="753"/>
    </row>
    <row r="163" spans="1:63" ht="15">
      <c r="B163" s="435"/>
      <c r="C163" s="435"/>
      <c r="D163" s="124"/>
      <c r="E163" s="124" t="str">
        <f>J6</f>
        <v>GIM</v>
      </c>
      <c r="F163" s="143"/>
      <c r="G163" s="143"/>
      <c r="H163" s="1466"/>
      <c r="I163" s="143"/>
      <c r="J163" s="143"/>
      <c r="K163" s="569">
        <v>0</v>
      </c>
      <c r="L163" s="143"/>
      <c r="M163" s="1275"/>
      <c r="N163" s="143"/>
      <c r="O163" s="143"/>
      <c r="P163" s="143"/>
      <c r="Q163" s="143"/>
      <c r="R163" s="143"/>
      <c r="S163" s="1275"/>
      <c r="T163" s="1275"/>
      <c r="U163" s="751"/>
      <c r="V163" s="752"/>
      <c r="W163" s="752" t="s">
        <v>1457</v>
      </c>
      <c r="X163" s="752">
        <f t="shared" ref="X163:AC163" si="34">SUM(X159:X162)</f>
        <v>588.3326280300621</v>
      </c>
      <c r="Y163" s="752">
        <f t="shared" si="34"/>
        <v>588.7257390270172</v>
      </c>
      <c r="Z163" s="752">
        <f t="shared" si="34"/>
        <v>589.11885002397219</v>
      </c>
      <c r="AA163" s="752">
        <f t="shared" si="34"/>
        <v>589.11885002397219</v>
      </c>
      <c r="AB163" s="752">
        <f t="shared" si="34"/>
        <v>589.11885002397219</v>
      </c>
      <c r="AC163" s="752">
        <f t="shared" si="34"/>
        <v>589.11885002397219</v>
      </c>
      <c r="AD163" s="752"/>
      <c r="AE163" s="752"/>
      <c r="AF163" s="752"/>
      <c r="AG163" s="752"/>
      <c r="AH163" s="752"/>
      <c r="AI163" s="752"/>
      <c r="AJ163" s="752"/>
      <c r="AK163" s="752"/>
      <c r="AL163" s="752"/>
      <c r="AM163" s="752"/>
      <c r="AN163" s="752"/>
      <c r="AO163" s="752"/>
      <c r="AP163" s="752"/>
      <c r="AQ163" s="752"/>
      <c r="AR163" s="752"/>
      <c r="AS163" s="752"/>
      <c r="AT163" s="752"/>
      <c r="AU163" s="752"/>
      <c r="AV163" s="752"/>
      <c r="AW163" s="752"/>
      <c r="AX163" s="752"/>
      <c r="AY163" s="752"/>
      <c r="AZ163" s="752"/>
      <c r="BA163" s="752"/>
      <c r="BB163" s="753"/>
      <c r="BC163" s="754"/>
      <c r="BD163" s="121">
        <f t="shared" si="25"/>
        <v>126</v>
      </c>
      <c r="BE163" s="753"/>
      <c r="BF163" s="753"/>
      <c r="BG163" s="753"/>
      <c r="BH163" s="753"/>
      <c r="BI163" s="753"/>
      <c r="BJ163" s="753"/>
      <c r="BK163" s="753"/>
    </row>
    <row r="164" spans="1:63" ht="15">
      <c r="A164" s="436" t="s">
        <v>292</v>
      </c>
      <c r="B164" s="435"/>
      <c r="C164" s="435"/>
      <c r="D164" s="124"/>
      <c r="E164" s="124"/>
      <c r="F164" s="143"/>
      <c r="G164" s="143"/>
      <c r="H164" s="1466"/>
      <c r="I164" s="143"/>
      <c r="J164" s="143"/>
      <c r="K164" s="570"/>
      <c r="L164" s="143"/>
      <c r="M164" s="1275"/>
      <c r="N164" s="143"/>
      <c r="O164" s="143"/>
      <c r="P164" s="143"/>
      <c r="Q164" s="143"/>
      <c r="R164" s="143"/>
      <c r="S164" s="1275"/>
      <c r="T164" s="1275"/>
      <c r="U164" s="751"/>
      <c r="V164" s="752"/>
      <c r="W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752"/>
      <c r="AS164" s="752"/>
      <c r="AT164" s="752"/>
      <c r="AU164" s="752"/>
      <c r="AV164" s="752"/>
      <c r="AW164" s="752"/>
      <c r="AX164" s="752"/>
      <c r="AY164" s="752"/>
      <c r="AZ164" s="752"/>
      <c r="BA164" s="752"/>
      <c r="BB164" s="753"/>
      <c r="BC164" s="754"/>
      <c r="BD164" s="121">
        <f t="shared" si="25"/>
        <v>127</v>
      </c>
      <c r="BE164" s="753"/>
      <c r="BF164" s="753"/>
      <c r="BG164" s="753"/>
      <c r="BH164" s="753"/>
      <c r="BI164" s="753"/>
      <c r="BJ164" s="753"/>
      <c r="BK164" s="753"/>
    </row>
    <row r="165" spans="1:63" ht="15">
      <c r="A165" s="1676" t="str">
        <f>A28</f>
        <v>Production Plant Hydrogen Electrolysis PEM</v>
      </c>
      <c r="B165" s="435" t="str">
        <f>$B$28&amp;RIGHT($E166,3)</f>
        <v>UELEP1HGN</v>
      </c>
      <c r="C165" s="435"/>
      <c r="D165" s="124" t="str">
        <f>$B$6&amp;$G$6</f>
        <v>UPSELC</v>
      </c>
      <c r="E165" s="124"/>
      <c r="F165" s="494">
        <f>'Hydrogen-ELT'!F10</f>
        <v>7.6103500761035017</v>
      </c>
      <c r="G165" s="143">
        <f>'Hydrogen-ELT'!F14</f>
        <v>0.57999999999999996</v>
      </c>
      <c r="H165" s="1466">
        <f>'Hydrogen-ELT'!F12</f>
        <v>0.9</v>
      </c>
      <c r="I165" s="143" t="str">
        <f>""</f>
        <v/>
      </c>
      <c r="J165" s="143">
        <v>1</v>
      </c>
      <c r="K165" s="570"/>
      <c r="L165" s="494">
        <v>2020</v>
      </c>
      <c r="M165" s="1275">
        <f>zar.2015*'Hydrogen-ELT'!F6</f>
        <v>19642.016806722688</v>
      </c>
      <c r="N165" s="143"/>
      <c r="O165" s="143">
        <f>zar.2015*'Hydrogen-ELT'!F8</f>
        <v>294.63025210084032</v>
      </c>
      <c r="P165" s="143"/>
      <c r="Q165" s="494">
        <f>'Hydrogen-ELT'!F16</f>
        <v>-2</v>
      </c>
      <c r="R165" s="143" t="str">
        <f>""</f>
        <v/>
      </c>
      <c r="S165" s="1275">
        <v>0</v>
      </c>
      <c r="T165" s="1275">
        <v>0</v>
      </c>
      <c r="U165" s="751"/>
      <c r="V165" s="752"/>
      <c r="W165" s="752" t="s">
        <v>1453</v>
      </c>
      <c r="X165" s="752">
        <f>-PMT(8%,F165,M165*(1+$X$145),0,1)/H165</f>
        <v>4437.0391464359618</v>
      </c>
      <c r="Y165" s="752">
        <f>X165</f>
        <v>4437.0391464359618</v>
      </c>
      <c r="Z165" s="752">
        <f>Y165</f>
        <v>4437.0391464359618</v>
      </c>
      <c r="AA165" s="752">
        <f>Z165</f>
        <v>4437.0391464359618</v>
      </c>
      <c r="AB165" s="752">
        <f>AA165</f>
        <v>4437.0391464359618</v>
      </c>
      <c r="AC165" s="752">
        <f>AB165</f>
        <v>4437.0391464359618</v>
      </c>
      <c r="AD165" s="752"/>
      <c r="AE165" s="752"/>
      <c r="AF165" s="752"/>
      <c r="AG165" s="752"/>
      <c r="AH165" s="752"/>
      <c r="AI165" s="752"/>
      <c r="AJ165" s="752"/>
      <c r="AK165" s="752"/>
      <c r="AL165" s="752"/>
      <c r="AM165" s="752"/>
      <c r="AN165" s="752"/>
      <c r="AO165" s="752"/>
      <c r="AP165" s="752"/>
      <c r="AQ165" s="752"/>
      <c r="AR165" s="752"/>
      <c r="AS165" s="752"/>
      <c r="AT165" s="752"/>
      <c r="AU165" s="752"/>
      <c r="AV165" s="752"/>
      <c r="AW165" s="752"/>
      <c r="AX165" s="752"/>
      <c r="AY165" s="752"/>
      <c r="AZ165" s="752"/>
      <c r="BA165" s="752"/>
      <c r="BB165" s="753"/>
      <c r="BC165" s="754"/>
      <c r="BD165" s="121">
        <f t="shared" si="25"/>
        <v>128</v>
      </c>
      <c r="BE165" s="753"/>
      <c r="BF165" s="753"/>
      <c r="BG165" s="753"/>
      <c r="BH165" s="753"/>
      <c r="BI165" s="753"/>
      <c r="BJ165" s="753"/>
      <c r="BK165" s="753"/>
    </row>
    <row r="166" spans="1:63" ht="15">
      <c r="B166" s="435"/>
      <c r="C166" s="435"/>
      <c r="D166" s="124"/>
      <c r="E166" s="124" t="str">
        <f>E162</f>
        <v>UPSHGN</v>
      </c>
      <c r="I166" s="143"/>
      <c r="J166" s="143"/>
      <c r="K166" s="569">
        <v>1</v>
      </c>
      <c r="L166" s="143"/>
      <c r="N166" s="143"/>
      <c r="P166" s="143"/>
      <c r="R166" s="143"/>
      <c r="S166" s="1275"/>
      <c r="T166" s="1275"/>
      <c r="U166" s="751"/>
      <c r="V166" s="752"/>
      <c r="W166" s="752" t="s">
        <v>138</v>
      </c>
      <c r="X166" s="752">
        <f t="shared" ref="X166:AC166" si="35">X139/$G$165</f>
        <v>346.55172413793105</v>
      </c>
      <c r="Y166" s="752">
        <f t="shared" si="35"/>
        <v>346.55172413793105</v>
      </c>
      <c r="Z166" s="752">
        <f t="shared" si="35"/>
        <v>346.55172413793105</v>
      </c>
      <c r="AA166" s="752">
        <f t="shared" si="35"/>
        <v>346.55172413793105</v>
      </c>
      <c r="AB166" s="752">
        <f t="shared" si="35"/>
        <v>346.55172413793105</v>
      </c>
      <c r="AC166" s="752">
        <f t="shared" si="35"/>
        <v>346.55172413793105</v>
      </c>
      <c r="AD166" s="752"/>
      <c r="AE166" s="752"/>
      <c r="AF166" s="752"/>
      <c r="AG166" s="752"/>
      <c r="AH166" s="752"/>
      <c r="AI166" s="752"/>
      <c r="AJ166" s="752"/>
      <c r="AK166" s="752"/>
      <c r="AL166" s="752"/>
      <c r="AM166" s="752"/>
      <c r="AN166" s="752"/>
      <c r="AO166" s="752"/>
      <c r="AP166" s="752"/>
      <c r="AQ166" s="752"/>
      <c r="AR166" s="752"/>
      <c r="AS166" s="752"/>
      <c r="AT166" s="752"/>
      <c r="AU166" s="752"/>
      <c r="AV166" s="752"/>
      <c r="AW166" s="752"/>
      <c r="AX166" s="752"/>
      <c r="AY166" s="752"/>
      <c r="AZ166" s="752"/>
      <c r="BA166" s="752"/>
      <c r="BB166" s="753"/>
      <c r="BC166" s="754"/>
      <c r="BD166" s="121">
        <f t="shared" si="25"/>
        <v>129</v>
      </c>
      <c r="BE166" s="753"/>
      <c r="BF166" s="753"/>
      <c r="BG166" s="753"/>
      <c r="BH166" s="753"/>
      <c r="BI166" s="753"/>
      <c r="BJ166" s="753"/>
      <c r="BK166" s="753"/>
    </row>
    <row r="167" spans="1:63" ht="15">
      <c r="A167" s="436" t="s">
        <v>292</v>
      </c>
      <c r="B167" s="435"/>
      <c r="C167" s="435"/>
      <c r="D167" s="124"/>
      <c r="E167" s="124"/>
      <c r="F167" s="143"/>
      <c r="G167" s="143"/>
      <c r="H167" s="1466"/>
      <c r="I167" s="143"/>
      <c r="J167" s="143"/>
      <c r="K167" s="569"/>
      <c r="L167" s="143"/>
      <c r="M167" s="1275"/>
      <c r="N167" s="143"/>
      <c r="O167" s="143"/>
      <c r="P167" s="143"/>
      <c r="Q167" s="143"/>
      <c r="R167" s="143"/>
      <c r="S167" s="1275"/>
      <c r="T167" s="1275"/>
      <c r="U167" s="751"/>
      <c r="V167" s="752"/>
      <c r="W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752"/>
      <c r="AS167" s="752"/>
      <c r="AT167" s="752"/>
      <c r="AU167" s="752"/>
      <c r="AV167" s="752"/>
      <c r="AW167" s="752"/>
      <c r="AX167" s="752"/>
      <c r="AY167" s="752"/>
      <c r="AZ167" s="752"/>
      <c r="BA167" s="752"/>
      <c r="BB167" s="753"/>
      <c r="BC167" s="754"/>
      <c r="BD167" s="121">
        <f t="shared" si="25"/>
        <v>130</v>
      </c>
      <c r="BE167" s="753"/>
      <c r="BF167" s="753"/>
      <c r="BG167" s="753"/>
      <c r="BH167" s="753"/>
      <c r="BI167" s="753"/>
      <c r="BJ167" s="753"/>
      <c r="BK167" s="753"/>
    </row>
    <row r="168" spans="1:63" ht="15">
      <c r="A168" s="1676" t="str">
        <f>A29</f>
        <v>Production Plant Hydrogen Electrolysis Alkaline</v>
      </c>
      <c r="B168" s="435" t="str">
        <f>$B$29&amp;RIGHT($E169,3)</f>
        <v>UELEA1HGN</v>
      </c>
      <c r="C168" s="435"/>
      <c r="D168" s="124" t="str">
        <f>$B$6&amp;$G$6</f>
        <v>UPSELC</v>
      </c>
      <c r="E168" s="124"/>
      <c r="F168" s="494">
        <f>'Hydrogen-ELT'!F11</f>
        <v>9.512937595129376</v>
      </c>
      <c r="G168" s="143">
        <f>'Hydrogen-ELT'!F15</f>
        <v>0.66500000000000004</v>
      </c>
      <c r="H168" s="1466">
        <f>'Hydrogen-ELT'!F13</f>
        <v>0.9</v>
      </c>
      <c r="I168" s="143" t="str">
        <f>""</f>
        <v/>
      </c>
      <c r="J168" s="143">
        <v>1</v>
      </c>
      <c r="K168" s="570"/>
      <c r="L168" s="494">
        <v>2020</v>
      </c>
      <c r="M168" s="1275">
        <f>zar.2015*'Hydrogen-ELT'!F7</f>
        <v>12868.90756302521</v>
      </c>
      <c r="N168" s="143"/>
      <c r="O168" s="143">
        <f>zar.2015*'Hydrogen-ELT'!F9</f>
        <v>193.03361344537814</v>
      </c>
      <c r="P168" s="143"/>
      <c r="Q168" s="494">
        <f>'Hydrogen-ELT'!F17</f>
        <v>-2</v>
      </c>
      <c r="R168" s="143" t="str">
        <f>""</f>
        <v/>
      </c>
      <c r="S168" s="1275">
        <v>0</v>
      </c>
      <c r="T168" s="1275">
        <v>0</v>
      </c>
      <c r="U168" s="751"/>
      <c r="V168" s="752"/>
      <c r="W168" s="752" t="s">
        <v>1453</v>
      </c>
      <c r="X168" s="752">
        <f>-PMT(8%,F168,M168*(1+$X$145),0,1)/H168</f>
        <v>2482.3795876020135</v>
      </c>
      <c r="Y168" s="752">
        <f>X168</f>
        <v>2482.3795876020135</v>
      </c>
      <c r="Z168" s="752">
        <f>Y168</f>
        <v>2482.3795876020135</v>
      </c>
      <c r="AA168" s="752">
        <f>Z168</f>
        <v>2482.3795876020135</v>
      </c>
      <c r="AB168" s="752">
        <f>AA168</f>
        <v>2482.3795876020135</v>
      </c>
      <c r="AC168" s="752">
        <f>AB168</f>
        <v>2482.3795876020135</v>
      </c>
      <c r="AD168" s="752"/>
      <c r="AE168" s="752"/>
      <c r="AF168" s="752"/>
      <c r="AG168" s="752"/>
      <c r="AH168" s="752"/>
      <c r="AI168" s="752"/>
      <c r="AJ168" s="752"/>
      <c r="AK168" s="752"/>
      <c r="AL168" s="752"/>
      <c r="AM168" s="752"/>
      <c r="AN168" s="752"/>
      <c r="AO168" s="752"/>
      <c r="AP168" s="752"/>
      <c r="AQ168" s="752"/>
      <c r="AR168" s="752"/>
      <c r="AS168" s="752"/>
      <c r="AT168" s="752"/>
      <c r="AU168" s="752"/>
      <c r="AV168" s="752"/>
      <c r="AW168" s="752"/>
      <c r="AX168" s="752"/>
      <c r="AY168" s="752"/>
      <c r="AZ168" s="752"/>
      <c r="BA168" s="752"/>
      <c r="BB168" s="753"/>
      <c r="BC168" s="754"/>
      <c r="BD168" s="121">
        <f t="shared" si="25"/>
        <v>131</v>
      </c>
      <c r="BE168" s="753"/>
      <c r="BF168" s="753"/>
      <c r="BG168" s="753"/>
      <c r="BH168" s="753"/>
      <c r="BI168" s="753"/>
      <c r="BJ168" s="753"/>
      <c r="BK168" s="753"/>
    </row>
    <row r="169" spans="1:63" ht="15">
      <c r="B169" s="435"/>
      <c r="C169" s="435"/>
      <c r="D169" s="124"/>
      <c r="E169" s="124" t="str">
        <f>E166</f>
        <v>UPSHGN</v>
      </c>
      <c r="F169" s="143"/>
      <c r="G169" s="143"/>
      <c r="H169" s="1466"/>
      <c r="I169" s="143"/>
      <c r="J169" s="143"/>
      <c r="K169" s="569">
        <v>1</v>
      </c>
      <c r="L169" s="143"/>
      <c r="M169" s="1275"/>
      <c r="N169" s="143"/>
      <c r="O169" s="143"/>
      <c r="P169" s="143"/>
      <c r="R169" s="143"/>
      <c r="S169" s="1275"/>
      <c r="T169" s="1275"/>
      <c r="U169" s="751"/>
      <c r="V169" s="752"/>
      <c r="W169" s="752" t="s">
        <v>138</v>
      </c>
      <c r="X169" s="752">
        <f>X142/$G$168</f>
        <v>0.51146201503759403</v>
      </c>
      <c r="Y169" s="752">
        <f t="shared" ref="Y169:AC169" si="36">Y142/$G$168</f>
        <v>0.47357593984962409</v>
      </c>
      <c r="Z169" s="752">
        <f t="shared" si="36"/>
        <v>0.43849624060150377</v>
      </c>
      <c r="AA169" s="752">
        <f>AA142/$G$168</f>
        <v>0.40601503759398494</v>
      </c>
      <c r="AB169" s="752">
        <f>AB142/$G$168</f>
        <v>0</v>
      </c>
      <c r="AC169" s="752">
        <f t="shared" si="36"/>
        <v>1.8295492330827068</v>
      </c>
      <c r="AD169" s="752"/>
      <c r="AE169" s="752"/>
      <c r="AF169" s="752"/>
      <c r="AG169" s="752"/>
      <c r="AH169" s="752"/>
      <c r="AI169" s="752"/>
      <c r="AJ169" s="752"/>
      <c r="AK169" s="752"/>
      <c r="AL169" s="752"/>
      <c r="AM169" s="752"/>
      <c r="AN169" s="752"/>
      <c r="AO169" s="752"/>
      <c r="AP169" s="752"/>
      <c r="AQ169" s="752"/>
      <c r="AR169" s="752"/>
      <c r="AS169" s="752"/>
      <c r="AT169" s="752"/>
      <c r="AU169" s="752"/>
      <c r="AV169" s="752"/>
      <c r="AW169" s="752"/>
      <c r="AX169" s="752"/>
      <c r="AY169" s="752"/>
      <c r="AZ169" s="752"/>
      <c r="BA169" s="752"/>
      <c r="BB169" s="753"/>
      <c r="BC169" s="754"/>
      <c r="BD169" s="121">
        <f t="shared" si="25"/>
        <v>132</v>
      </c>
      <c r="BE169" s="753"/>
      <c r="BF169" s="753"/>
      <c r="BG169" s="753"/>
      <c r="BH169" s="753"/>
      <c r="BI169" s="753"/>
      <c r="BJ169" s="753"/>
      <c r="BK169" s="753"/>
    </row>
    <row r="170" spans="1:63" ht="15">
      <c r="B170" s="435"/>
      <c r="C170" s="435"/>
      <c r="D170" s="124"/>
      <c r="E170" s="124"/>
      <c r="F170" s="143"/>
      <c r="G170" s="143"/>
      <c r="H170" s="1466"/>
      <c r="I170" s="143"/>
      <c r="J170" s="143"/>
      <c r="K170" s="569"/>
      <c r="L170" s="143"/>
      <c r="M170" s="1275"/>
      <c r="N170" s="143"/>
      <c r="O170" s="143"/>
      <c r="P170" s="143"/>
      <c r="Q170" s="143"/>
      <c r="R170" s="143"/>
      <c r="S170" s="1275"/>
      <c r="T170" s="1275"/>
      <c r="U170" s="751"/>
      <c r="V170" s="752"/>
      <c r="W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752"/>
      <c r="AS170" s="752"/>
      <c r="AT170" s="752"/>
      <c r="AU170" s="752"/>
      <c r="AV170" s="752"/>
      <c r="AW170" s="752"/>
      <c r="AX170" s="752"/>
      <c r="AY170" s="752"/>
      <c r="AZ170" s="752"/>
      <c r="BA170" s="752"/>
      <c r="BB170" s="753"/>
      <c r="BC170" s="754"/>
      <c r="BD170" s="121"/>
      <c r="BE170" s="753"/>
      <c r="BF170" s="753"/>
      <c r="BG170" s="753"/>
      <c r="BH170" s="753"/>
      <c r="BI170" s="753"/>
      <c r="BJ170" s="753"/>
      <c r="BK170" s="753"/>
    </row>
    <row r="171" spans="1:63" ht="15">
      <c r="A171" s="436" t="s">
        <v>292</v>
      </c>
      <c r="B171" s="435"/>
      <c r="C171" s="435"/>
      <c r="D171" s="124"/>
      <c r="E171" s="124"/>
      <c r="F171" s="143"/>
      <c r="G171" s="143"/>
      <c r="H171" s="1466"/>
      <c r="I171" s="143"/>
      <c r="J171" s="143"/>
      <c r="K171" s="570"/>
      <c r="L171" s="143"/>
      <c r="M171" s="1275"/>
      <c r="N171" s="143"/>
      <c r="O171" s="143"/>
      <c r="P171" s="143"/>
      <c r="Q171" s="143"/>
      <c r="R171" s="143"/>
      <c r="S171" s="1275"/>
      <c r="T171" s="1275"/>
      <c r="U171" s="751"/>
      <c r="V171" s="752"/>
      <c r="W171" s="752" t="s">
        <v>254</v>
      </c>
      <c r="X171" s="752">
        <f>S165*$X$144</f>
        <v>0</v>
      </c>
      <c r="Y171" s="752">
        <f t="shared" ref="Y171:AC172" si="37">X171</f>
        <v>0</v>
      </c>
      <c r="Z171" s="752">
        <f t="shared" si="37"/>
        <v>0</v>
      </c>
      <c r="AA171" s="752">
        <f t="shared" si="37"/>
        <v>0</v>
      </c>
      <c r="AB171" s="752">
        <f t="shared" si="37"/>
        <v>0</v>
      </c>
      <c r="AC171" s="752">
        <f t="shared" si="37"/>
        <v>0</v>
      </c>
      <c r="AD171" s="752"/>
      <c r="AE171" s="752"/>
      <c r="AF171" s="752"/>
      <c r="AG171" s="752"/>
      <c r="AH171" s="752"/>
      <c r="AI171" s="752"/>
      <c r="AJ171" s="752"/>
      <c r="AK171" s="752"/>
      <c r="AL171" s="752"/>
      <c r="AM171" s="752"/>
      <c r="AN171" s="752"/>
      <c r="AO171" s="752"/>
      <c r="AP171" s="752"/>
      <c r="AQ171" s="752"/>
      <c r="AR171" s="752"/>
      <c r="AS171" s="752"/>
      <c r="AT171" s="752"/>
      <c r="AU171" s="752"/>
      <c r="AV171" s="752"/>
      <c r="AW171" s="752"/>
      <c r="AX171" s="752"/>
      <c r="AY171" s="752"/>
      <c r="AZ171" s="752"/>
      <c r="BA171" s="752"/>
      <c r="BB171" s="753"/>
      <c r="BC171" s="754"/>
      <c r="BD171" s="121">
        <f>BD166+1</f>
        <v>130</v>
      </c>
      <c r="BE171" s="753"/>
      <c r="BF171" s="753"/>
      <c r="BG171" s="753"/>
      <c r="BH171" s="753"/>
      <c r="BI171" s="753"/>
      <c r="BJ171" s="753"/>
      <c r="BK171" s="753"/>
    </row>
    <row r="172" spans="1:63" s="150" customFormat="1">
      <c r="A172" s="149" t="s">
        <v>495</v>
      </c>
      <c r="B172" s="150">
        <f>SUMPRODUCT(--(B38:B171&lt;&gt;""))</f>
        <v>20</v>
      </c>
      <c r="F172" s="755"/>
      <c r="G172" s="755"/>
      <c r="H172" s="1468"/>
      <c r="I172" s="755"/>
      <c r="J172" s="755"/>
      <c r="K172" s="755"/>
      <c r="L172" s="755"/>
      <c r="M172" s="1279"/>
      <c r="N172" s="755"/>
      <c r="O172" s="755"/>
      <c r="P172" s="755"/>
      <c r="Q172" s="755"/>
      <c r="R172" s="755"/>
      <c r="S172" s="1279"/>
      <c r="T172" s="1279"/>
      <c r="U172" s="756"/>
      <c r="V172" s="755"/>
      <c r="W172" s="752" t="s">
        <v>1456</v>
      </c>
      <c r="X172" s="752">
        <f>O165</f>
        <v>294.63025210084032</v>
      </c>
      <c r="Y172" s="755">
        <f t="shared" si="37"/>
        <v>294.63025210084032</v>
      </c>
      <c r="Z172" s="755">
        <f t="shared" si="37"/>
        <v>294.63025210084032</v>
      </c>
      <c r="AA172" s="755">
        <f t="shared" si="37"/>
        <v>294.63025210084032</v>
      </c>
      <c r="AB172" s="755">
        <f t="shared" si="37"/>
        <v>294.63025210084032</v>
      </c>
      <c r="AC172" s="755">
        <f t="shared" si="37"/>
        <v>294.63025210084032</v>
      </c>
      <c r="AD172" s="755"/>
      <c r="AE172" s="755"/>
      <c r="AF172" s="755"/>
      <c r="AG172" s="755"/>
      <c r="AH172" s="755"/>
      <c r="AI172" s="755"/>
      <c r="AJ172" s="755"/>
      <c r="AK172" s="755"/>
      <c r="AL172" s="755"/>
      <c r="AM172" s="755"/>
      <c r="AN172" s="755"/>
      <c r="AO172" s="755"/>
      <c r="AP172" s="755"/>
      <c r="AQ172" s="755"/>
      <c r="AR172" s="755"/>
      <c r="AS172" s="755"/>
      <c r="AT172" s="755"/>
      <c r="AU172" s="755"/>
      <c r="AV172" s="755"/>
      <c r="AW172" s="755"/>
      <c r="AX172" s="755"/>
      <c r="AY172" s="755"/>
      <c r="AZ172" s="755"/>
      <c r="BA172" s="755"/>
      <c r="BB172" s="755"/>
      <c r="BC172" s="755"/>
      <c r="BD172" s="755"/>
      <c r="BE172" s="755"/>
      <c r="BF172" s="755"/>
      <c r="BG172" s="755"/>
      <c r="BH172" s="755"/>
      <c r="BI172" s="755"/>
      <c r="BJ172" s="755"/>
      <c r="BK172" s="755"/>
    </row>
    <row r="173" spans="1:63">
      <c r="A173" s="436" t="s">
        <v>867</v>
      </c>
      <c r="B173" s="435" t="str">
        <f>$B$30&amp;RIGHT(D173,3)&amp;"-E"</f>
        <v>UHETCLE-E</v>
      </c>
      <c r="C173" s="140"/>
      <c r="D173" s="124" t="str">
        <f>$B$6&amp;NameConv!$C$14</f>
        <v>UPSCLE</v>
      </c>
      <c r="E173" s="124" t="str">
        <f>$B$6&amp;NameConv!C29</f>
        <v>UPSHEE</v>
      </c>
      <c r="F173" s="152"/>
      <c r="G173" s="143">
        <f>RefineriesData!D32</f>
        <v>0.85097909094621615</v>
      </c>
      <c r="H173" s="1467"/>
      <c r="I173" s="152"/>
      <c r="J173" s="152"/>
      <c r="K173" s="152"/>
      <c r="L173" s="143"/>
      <c r="M173" s="1275"/>
      <c r="N173" s="143"/>
      <c r="O173" s="143"/>
      <c r="P173" s="145"/>
      <c r="Q173" s="145"/>
      <c r="R173" s="145"/>
      <c r="S173" s="1280">
        <f>RefineriesData!D33</f>
        <v>95.428011064048093</v>
      </c>
      <c r="T173" s="1281">
        <f>NameConv!$AZ$14/G173</f>
        <v>1.1751170042122719E-3</v>
      </c>
      <c r="U173" s="145"/>
      <c r="V173" s="145"/>
      <c r="W173" s="752" t="s">
        <v>1457</v>
      </c>
      <c r="X173" s="752">
        <f t="shared" ref="X173:AC173" si="38">SUM(X165:X172)</f>
        <v>7561.1121722917851</v>
      </c>
      <c r="Y173" s="752">
        <f t="shared" si="38"/>
        <v>7561.0742862165971</v>
      </c>
      <c r="Z173" s="752">
        <f t="shared" si="38"/>
        <v>7561.0392065173482</v>
      </c>
      <c r="AA173" s="752">
        <f t="shared" si="38"/>
        <v>7561.0067253143407</v>
      </c>
      <c r="AB173" s="752">
        <f t="shared" si="38"/>
        <v>7560.6007102767471</v>
      </c>
      <c r="AC173" s="752">
        <f t="shared" si="38"/>
        <v>7562.4302595098297</v>
      </c>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row>
    <row r="174" spans="1:63">
      <c r="A174" s="436" t="s">
        <v>869</v>
      </c>
      <c r="B174" s="435" t="str">
        <f>$B$30&amp;RIGHT(D174,3)&amp;"-N"</f>
        <v>UHETCLE-N</v>
      </c>
      <c r="C174" s="435"/>
      <c r="D174" s="124" t="str">
        <f>$B$6&amp;NameConv!$C$14</f>
        <v>UPSCLE</v>
      </c>
      <c r="E174" s="124" t="str">
        <f>$B$6&amp;NameConv!C30</f>
        <v>UPSHEN</v>
      </c>
      <c r="F174" s="152"/>
      <c r="G174" s="143">
        <f>RefineriesData!N124</f>
        <v>0.9009790909462162</v>
      </c>
      <c r="H174" s="1467"/>
      <c r="I174" s="152"/>
      <c r="J174" s="146"/>
      <c r="K174" s="152"/>
      <c r="L174" s="143"/>
      <c r="M174" s="1275"/>
      <c r="N174" s="143"/>
      <c r="O174" s="143"/>
      <c r="P174" s="145"/>
      <c r="Q174" s="145"/>
      <c r="R174" s="145"/>
      <c r="S174" s="1280">
        <f>RefineriesData!D31/G174</f>
        <v>90.132216077072925</v>
      </c>
      <c r="T174" s="1281">
        <f>NameConv!$AZ$14/G174</f>
        <v>1.109903670405704E-3</v>
      </c>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row>
    <row r="175" spans="1:63">
      <c r="A175" s="436" t="s">
        <v>1614</v>
      </c>
      <c r="B175" s="140" t="str">
        <f>$B$32&amp;J6&amp;"GAS"</f>
        <v>UTRNGIMGAS</v>
      </c>
      <c r="C175" s="124"/>
      <c r="D175" s="124" t="str">
        <f>J6</f>
        <v>GIM</v>
      </c>
      <c r="E175" s="502" t="str">
        <f>RIGHT(B175,3)</f>
        <v>GAS</v>
      </c>
      <c r="F175" s="152"/>
      <c r="G175" s="146">
        <v>1</v>
      </c>
      <c r="H175" s="1467"/>
      <c r="I175" s="152"/>
      <c r="J175" s="152"/>
      <c r="K175" s="143"/>
      <c r="M175" s="1275"/>
      <c r="N175" s="143"/>
      <c r="O175" s="145"/>
      <c r="P175" s="145"/>
      <c r="Q175" s="145"/>
      <c r="R175" s="145"/>
      <c r="S175" s="1280">
        <f>NameConv!AY18</f>
        <v>56.1</v>
      </c>
      <c r="T175" s="1281">
        <f>NameConv!AZ18</f>
        <v>1E-3</v>
      </c>
      <c r="U175" s="145"/>
      <c r="V175" s="145"/>
      <c r="W175" s="145"/>
      <c r="X175" s="145"/>
      <c r="Y175" s="145"/>
      <c r="Z175" s="145"/>
      <c r="AA175" s="145"/>
      <c r="AB175" s="145">
        <f>AB173-AC151</f>
        <v>7271.6035942262297</v>
      </c>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row>
  </sheetData>
  <mergeCells count="1">
    <mergeCell ref="B1:D1"/>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dimension ref="A1:H35"/>
  <sheetViews>
    <sheetView workbookViewId="0">
      <selection activeCell="C34" sqref="C34"/>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8">
      <c r="A1" s="423" t="str">
        <f>IF(Index!B8=0,"ITEMS","")</f>
        <v>ITEMS</v>
      </c>
      <c r="B1" s="422" t="s">
        <v>308</v>
      </c>
      <c r="C1" s="422"/>
      <c r="D1" s="422"/>
      <c r="E1" s="422"/>
      <c r="F1" s="422"/>
      <c r="G1" s="422"/>
      <c r="H1" s="422"/>
    </row>
    <row r="2" spans="1:8">
      <c r="A2" s="422" t="s">
        <v>310</v>
      </c>
      <c r="B2" s="422"/>
      <c r="C2" s="422"/>
      <c r="D2" s="422"/>
      <c r="E2" s="422"/>
      <c r="F2" s="422"/>
      <c r="G2" s="422"/>
      <c r="H2" s="422"/>
    </row>
    <row r="3" spans="1:8">
      <c r="A3" s="422" t="s">
        <v>310</v>
      </c>
      <c r="B3" s="422"/>
      <c r="C3" s="422"/>
      <c r="D3" s="422"/>
      <c r="E3" s="422"/>
      <c r="F3" s="422"/>
      <c r="G3" s="422"/>
      <c r="H3" s="422"/>
    </row>
    <row r="4" spans="1:8">
      <c r="A4" s="422" t="s">
        <v>310</v>
      </c>
      <c r="B4" s="422"/>
      <c r="C4" s="422"/>
      <c r="D4" s="422"/>
      <c r="E4" s="422"/>
      <c r="F4" s="422"/>
      <c r="G4" s="422"/>
      <c r="H4" s="422"/>
    </row>
    <row r="5" spans="1:8">
      <c r="A5" s="422" t="s">
        <v>310</v>
      </c>
      <c r="B5" s="422"/>
      <c r="C5" s="422"/>
      <c r="D5" s="422"/>
      <c r="E5" s="422"/>
      <c r="F5" s="422"/>
      <c r="G5" s="422"/>
      <c r="H5" s="422"/>
    </row>
    <row r="6" spans="1:8">
      <c r="A6" s="422" t="s">
        <v>310</v>
      </c>
      <c r="B6" s="422"/>
      <c r="C6" s="422"/>
      <c r="D6" s="422"/>
      <c r="E6" s="422"/>
      <c r="F6" s="422"/>
      <c r="G6" s="422"/>
      <c r="H6" s="422"/>
    </row>
    <row r="7" spans="1:8">
      <c r="A7" s="422" t="s">
        <v>310</v>
      </c>
      <c r="B7" s="423" t="s">
        <v>311</v>
      </c>
      <c r="C7" s="421" t="s">
        <v>312</v>
      </c>
      <c r="D7" s="423" t="s">
        <v>313</v>
      </c>
      <c r="E7" s="423" t="s">
        <v>314</v>
      </c>
      <c r="F7" s="423" t="s">
        <v>315</v>
      </c>
      <c r="G7" s="423" t="s">
        <v>316</v>
      </c>
      <c r="H7" s="422"/>
    </row>
    <row r="8" spans="1:8">
      <c r="A8" s="422" t="s">
        <v>310</v>
      </c>
      <c r="B8" s="423" t="s">
        <v>569</v>
      </c>
      <c r="C8" s="421"/>
      <c r="D8" s="423"/>
      <c r="E8" s="423"/>
      <c r="F8" s="423"/>
      <c r="G8" s="423"/>
      <c r="H8" s="422"/>
    </row>
    <row r="9" spans="1:8">
      <c r="A9" s="422"/>
      <c r="B9" s="420" t="str">
        <f>IF(A9="*","","T")</f>
        <v>T</v>
      </c>
      <c r="C9" s="419" t="str">
        <f>UPS!B38</f>
        <v>UREFOCRCO-E</v>
      </c>
      <c r="D9" s="419" t="str">
        <f>UPS!A38</f>
        <v>Refinery Crude Oil Coastal Existing</v>
      </c>
      <c r="E9" s="420" t="str">
        <f>"PJ,"&amp;IF(RIGHT(C9,3)="ELC","GW","PJa")</f>
        <v>PJ,PJa</v>
      </c>
      <c r="F9" s="420" t="str">
        <f>"PRC,PRE,"&amp;IF(RIGHT(C9,3)="ELC","DAYNITE","ANNUAL")</f>
        <v>PRC,PRE,ANNUAL</v>
      </c>
      <c r="G9" s="423"/>
      <c r="H9" s="422"/>
    </row>
    <row r="10" spans="1:8">
      <c r="B10" s="420" t="str">
        <f t="shared" ref="B10:B17" si="0">IF(A10="*","","T")</f>
        <v>T</v>
      </c>
      <c r="C10" s="419" t="str">
        <f>UPS!B49</f>
        <v>UREFOCRIN-E</v>
      </c>
      <c r="D10" s="419" t="str">
        <f>UPS!A49</f>
        <v>Refinery Crude Oil Inland Existing</v>
      </c>
      <c r="E10" s="420" t="str">
        <f t="shared" ref="E10:E17" si="1">"PJ,"&amp;IF(RIGHT(C10,3)="ELC","GW","PJa")</f>
        <v>PJ,PJa</v>
      </c>
      <c r="F10" s="420" t="str">
        <f t="shared" ref="F10:F17" si="2">"PRC,PRE,"&amp;IF(RIGHT(C10,3)="ELC","DAYNITE","ANNUAL")</f>
        <v>PRC,PRE,ANNUAL</v>
      </c>
    </row>
    <row r="11" spans="1:8">
      <c r="B11" s="420" t="str">
        <f t="shared" si="0"/>
        <v>T</v>
      </c>
      <c r="C11" s="419" t="str">
        <f>UPS!B60</f>
        <v>UGTLGICCO-E</v>
      </c>
      <c r="D11" s="419" t="str">
        <f>UPS!A60</f>
        <v>Refinery GTL Existing</v>
      </c>
      <c r="E11" s="420" t="str">
        <f t="shared" si="1"/>
        <v>PJ,PJa</v>
      </c>
      <c r="F11" s="420" t="str">
        <f t="shared" si="2"/>
        <v>PRC,PRE,ANNUAL</v>
      </c>
    </row>
    <row r="12" spans="1:8">
      <c r="B12" s="420" t="str">
        <f t="shared" si="0"/>
        <v>T</v>
      </c>
      <c r="C12" s="419" t="str">
        <f>UPS!B90</f>
        <v>UCTLCLEIN-E</v>
      </c>
      <c r="D12" s="419" t="str">
        <f>UPS!A90</f>
        <v>Refinery CTL Existing</v>
      </c>
      <c r="E12" s="420" t="str">
        <f t="shared" si="1"/>
        <v>PJ,PJa</v>
      </c>
      <c r="F12" s="420" t="str">
        <f t="shared" si="2"/>
        <v>PRC,PRE,ANNUAL</v>
      </c>
    </row>
    <row r="13" spans="1:8">
      <c r="A13" s="422" t="s">
        <v>310</v>
      </c>
      <c r="B13" s="423" t="s">
        <v>601</v>
      </c>
      <c r="C13" s="421"/>
      <c r="D13" s="423"/>
      <c r="E13" s="423"/>
      <c r="F13" s="423"/>
      <c r="G13" s="423"/>
      <c r="H13" s="422"/>
    </row>
    <row r="14" spans="1:8">
      <c r="B14" s="420" t="str">
        <f t="shared" si="0"/>
        <v>T</v>
      </c>
      <c r="C14" s="419" t="str">
        <f>UPS!B102</f>
        <v>UCTLCLEIN-N</v>
      </c>
      <c r="D14" s="419" t="str">
        <f>UPS!A102</f>
        <v>Refinery CTL New</v>
      </c>
      <c r="E14" s="420" t="str">
        <f t="shared" si="1"/>
        <v>PJ,PJa</v>
      </c>
      <c r="F14" s="420" t="str">
        <f t="shared" si="2"/>
        <v>PRC,PRE,ANNUAL</v>
      </c>
    </row>
    <row r="15" spans="1:8">
      <c r="B15" s="420" t="str">
        <f>IF(A15="*","","T")</f>
        <v>T</v>
      </c>
      <c r="C15" s="419" t="str">
        <f>UPS!B70</f>
        <v>UGTLGASIN-N</v>
      </c>
      <c r="D15" s="419" t="str">
        <f>UPS!A70</f>
        <v>Refinery GTL New - Inland</v>
      </c>
      <c r="E15" s="420" t="str">
        <f>"PJ,"&amp;IF(RIGHT(C15,3)="ELC","GW","PJa")</f>
        <v>PJ,PJa</v>
      </c>
      <c r="F15" s="420" t="str">
        <f>"PRC,PRE,"&amp;IF(RIGHT(C15,3)="ELC","DAYNITE","ANNUAL")</f>
        <v>PRC,PRE,ANNUAL</v>
      </c>
    </row>
    <row r="16" spans="1:8">
      <c r="B16" s="420" t="str">
        <f>IF(A16="*","","T")</f>
        <v>T</v>
      </c>
      <c r="C16" s="419" t="str">
        <f>UPS!B80</f>
        <v>UGTLGICCO-N</v>
      </c>
      <c r="D16" s="419" t="str">
        <f>UPS!A80</f>
        <v>Refinery GTL New - Coastal</v>
      </c>
      <c r="E16" s="420" t="str">
        <f>"PJ,"&amp;IF(RIGHT(C16,3)="ELC","GW","PJa")</f>
        <v>PJ,PJa</v>
      </c>
      <c r="F16" s="420" t="str">
        <f>"PRC,PRE,"&amp;IF(RIGHT(C16,3)="ELC","DAYNITE","ANNUAL")</f>
        <v>PRC,PRE,ANNUAL</v>
      </c>
    </row>
    <row r="17" spans="1:6">
      <c r="B17" s="420" t="str">
        <f t="shared" si="0"/>
        <v>T</v>
      </c>
      <c r="C17" s="419" t="str">
        <f>UPS!B114</f>
        <v>UREFOCRCO-N</v>
      </c>
      <c r="D17" s="419" t="str">
        <f>UPS!A114</f>
        <v>Refinery Crude Oil New</v>
      </c>
      <c r="E17" s="420" t="str">
        <f t="shared" si="1"/>
        <v>PJ,PJa</v>
      </c>
      <c r="F17" s="420" t="str">
        <f t="shared" si="2"/>
        <v>PRC,PRE,ANNUAL</v>
      </c>
    </row>
    <row r="18" spans="1:6">
      <c r="A18" s="422" t="s">
        <v>310</v>
      </c>
      <c r="B18" s="423" t="s">
        <v>293</v>
      </c>
      <c r="C18" s="419"/>
      <c r="D18" s="419"/>
      <c r="E18" s="420"/>
      <c r="F18" s="420"/>
    </row>
    <row r="19" spans="1:6">
      <c r="B19" s="420" t="str">
        <f>IF(A19="*","","T")</f>
        <v>T</v>
      </c>
      <c r="C19" s="419" t="str">
        <f>UPS!B173</f>
        <v>UHETCLE-E</v>
      </c>
      <c r="D19" s="419" t="str">
        <f>UPS!A173</f>
        <v>Refinery CTL Boiler Existing</v>
      </c>
      <c r="E19" s="420" t="str">
        <f>"PJ,"&amp;IF(RIGHT(C19,3)="ELC","GW","PJa")</f>
        <v>PJ,PJa</v>
      </c>
      <c r="F19" s="420" t="str">
        <f>"PRC,PRE,"&amp;IF(RIGHT(C19,3)="ELC","DAYNITE","ANNUAL")</f>
        <v>PRC,PRE,ANNUAL</v>
      </c>
    </row>
    <row r="20" spans="1:6">
      <c r="B20" s="420" t="str">
        <f>IF(A20="*","","T")</f>
        <v>T</v>
      </c>
      <c r="C20" s="419" t="str">
        <f>UPS!B174</f>
        <v>UHETCLE-N</v>
      </c>
      <c r="D20" s="419" t="str">
        <f>UPS!A174</f>
        <v>Refinery CTL Boiler New</v>
      </c>
      <c r="E20" s="420" t="str">
        <f>"PJ,"&amp;IF(RIGHT(C20,3)="ELC","GW","PJa")</f>
        <v>PJ,PJa</v>
      </c>
      <c r="F20" s="420" t="str">
        <f>"PRC,PRE,"&amp;IF(RIGHT(C20,3)="ELC","DAYNITE","ANNUAL")</f>
        <v>PRC,PRE,ANNUAL</v>
      </c>
    </row>
    <row r="21" spans="1:6">
      <c r="B21" s="420" t="str">
        <f>IF(A21="*","","T")</f>
        <v>T</v>
      </c>
      <c r="C21" s="419" t="str">
        <f>UPS!B175</f>
        <v>UTRNGIMGAS</v>
      </c>
      <c r="D21" s="419" t="str">
        <f>UPS!A175</f>
        <v>Conversion Methane Rich Gas Natural Gas for use in industry and refineries</v>
      </c>
      <c r="E21" s="420" t="str">
        <f>"PJ,"&amp;IF(RIGHT(C21,3)="ELC","GW","PJa")</f>
        <v>PJ,PJa</v>
      </c>
      <c r="F21" s="420" t="str">
        <f>"PRC,PRE,"&amp;IF(RIGHT(C21,3)="ELC","DAYNITE","ANNUAL")</f>
        <v>PRC,PRE,ANNUAL</v>
      </c>
    </row>
    <row r="22" spans="1:6">
      <c r="A22" s="526" t="s">
        <v>310</v>
      </c>
      <c r="B22" s="642" t="s">
        <v>1009</v>
      </c>
    </row>
    <row r="23" spans="1:6">
      <c r="B23" s="420" t="str">
        <f t="shared" ref="B23:B29" si="3">IF(A23="*","","T")</f>
        <v>T</v>
      </c>
      <c r="C23" s="526" t="str">
        <f>+UPS!B125</f>
        <v>UGASGIC-N</v>
      </c>
      <c r="D23" s="526" t="str">
        <f>+UPS!A125</f>
        <v>Pipeline Coastal Gas</v>
      </c>
      <c r="E23" s="420" t="str">
        <f t="shared" ref="E23:E29" si="4">"PJ,"&amp;IF(RIGHT(C23,3)="ELC","GW","PJa")</f>
        <v>PJ,PJa</v>
      </c>
      <c r="F23" s="420" t="str">
        <f t="shared" ref="F23:F29" si="5">"PRC,PRE,"&amp;IF(RIGHT(C23,3)="ELC","DAYNITE","ANNUAL")</f>
        <v>PRC,PRE,ANNUAL</v>
      </c>
    </row>
    <row r="24" spans="1:6">
      <c r="B24" s="420" t="str">
        <f t="shared" si="3"/>
        <v>T</v>
      </c>
      <c r="C24" s="526" t="str">
        <f>+UPS!B128</f>
        <v>UGASGIB-N</v>
      </c>
      <c r="D24" s="526" t="str">
        <f>+UPS!A128</f>
        <v>Pipeline Gas Indigenous Ibhubezi</v>
      </c>
      <c r="E24" s="420" t="str">
        <f t="shared" si="4"/>
        <v>PJ,PJa</v>
      </c>
      <c r="F24" s="420" t="str">
        <f t="shared" si="5"/>
        <v>PRC,PRE,ANNUAL</v>
      </c>
    </row>
    <row r="25" spans="1:6">
      <c r="B25" s="420" t="str">
        <f t="shared" si="3"/>
        <v>T</v>
      </c>
      <c r="C25" s="526" t="str">
        <f>+UPS!B131</f>
        <v>UGASGRM-N</v>
      </c>
      <c r="D25" s="526" t="str">
        <f>+UPS!A131</f>
        <v>Pipeline Gas Northern Mozambique</v>
      </c>
      <c r="E25" s="420" t="str">
        <f t="shared" si="4"/>
        <v>PJ,PJa</v>
      </c>
      <c r="F25" s="420" t="str">
        <f t="shared" si="5"/>
        <v>PRC,PRE,ANNUAL</v>
      </c>
    </row>
    <row r="26" spans="1:6">
      <c r="B26" s="420" t="str">
        <f t="shared" si="3"/>
        <v>T</v>
      </c>
      <c r="C26" s="526" t="str">
        <f>UPS!B134</f>
        <v>UGASGRS-N</v>
      </c>
      <c r="D26" s="526" t="str">
        <f>UPS!A134</f>
        <v>Pipeline Gas Southern Mozambique</v>
      </c>
      <c r="E26" s="420" t="str">
        <f t="shared" si="4"/>
        <v>PJ,PJa</v>
      </c>
      <c r="F26" s="420" t="str">
        <f t="shared" si="5"/>
        <v>PRC,PRE,ANNUAL</v>
      </c>
    </row>
    <row r="27" spans="1:6">
      <c r="B27" s="420" t="str">
        <f t="shared" si="3"/>
        <v>T</v>
      </c>
      <c r="C27" s="526" t="str">
        <f>+UPS!B137</f>
        <v>UGASGIH-N</v>
      </c>
      <c r="D27" s="526" t="str">
        <f>+UPS!A137</f>
        <v>Pipeline Gas Indigenous Shale</v>
      </c>
      <c r="E27" s="420" t="str">
        <f t="shared" si="4"/>
        <v>PJ,PJa</v>
      </c>
      <c r="F27" s="420" t="str">
        <f t="shared" si="5"/>
        <v>PRC,PRE,ANNUAL</v>
      </c>
    </row>
    <row r="28" spans="1:6">
      <c r="B28" s="420" t="str">
        <f t="shared" si="3"/>
        <v>T</v>
      </c>
      <c r="C28" s="526" t="str">
        <f>+UPS!B140</f>
        <v>ULGTGRL-N</v>
      </c>
      <c r="D28" s="526" t="str">
        <f>+UPS!A140</f>
        <v>LNG Terminal</v>
      </c>
      <c r="E28" s="420" t="str">
        <f t="shared" si="4"/>
        <v>PJ,PJa</v>
      </c>
      <c r="F28" s="420" t="str">
        <f t="shared" si="5"/>
        <v>PRC,PRE,ANNUAL</v>
      </c>
    </row>
    <row r="29" spans="1:6">
      <c r="B29" s="420" t="str">
        <f t="shared" si="3"/>
        <v>T</v>
      </c>
      <c r="C29" s="526" t="str">
        <f>+UPS!B143</f>
        <v>ULGTGRLFSRU-N</v>
      </c>
      <c r="D29" s="526" t="str">
        <f>+UPS!A143</f>
        <v>FSRU Terminal</v>
      </c>
      <c r="E29" s="420" t="str">
        <f t="shared" si="4"/>
        <v>PJ,PJa</v>
      </c>
      <c r="F29" s="420" t="str">
        <f t="shared" si="5"/>
        <v>PRC,PRE,ANNUAL</v>
      </c>
    </row>
    <row r="30" spans="1:6">
      <c r="A30" s="526" t="s">
        <v>310</v>
      </c>
      <c r="B30" s="642" t="s">
        <v>1365</v>
      </c>
      <c r="E30" s="420"/>
      <c r="F30" s="420"/>
    </row>
    <row r="31" spans="1:6">
      <c r="B31" s="420" t="str">
        <f>IF(A31="*","","T")</f>
        <v>T</v>
      </c>
      <c r="C31" s="526" t="str">
        <f>+UPS!B147</f>
        <v>USMRGASHGN</v>
      </c>
      <c r="D31" s="526" t="str">
        <f>+UPS!A147</f>
        <v>Production Plant Hydrogen - Large SMR - Inland</v>
      </c>
      <c r="E31" s="420" t="str">
        <f>"PJ,"&amp;IF(RIGHT(C31,3)="ELC","GW","PJa")</f>
        <v>PJ,PJa</v>
      </c>
      <c r="F31" s="420" t="str">
        <f>"PRC,PRE,"&amp;IF(RIGHT(C31,3)="ELC","DAYNITE","ANNUAL")</f>
        <v>PRC,PRE,ANNUAL</v>
      </c>
    </row>
    <row r="32" spans="1:6">
      <c r="B32" s="420" t="str">
        <f>IF(A32="*","","T")</f>
        <v>T</v>
      </c>
      <c r="C32" s="526" t="str">
        <f>UPS!B153</f>
        <v>USMRGICHGN</v>
      </c>
      <c r="D32" s="526" t="str">
        <f>UPS!A153</f>
        <v>Production Plant Hydrogen - Large SMR - Coastal</v>
      </c>
      <c r="E32" s="420" t="str">
        <f>"PJ,"&amp;IF(RIGHT(C32,3)="ELC","GW","PJa")</f>
        <v>PJ,PJa</v>
      </c>
      <c r="F32" s="420" t="str">
        <f>"PRC,PRE,"&amp;IF(RIGHT(C32,3)="ELC","DAYNITE","ANNUAL")</f>
        <v>PRC,PRE,ANNUAL</v>
      </c>
    </row>
    <row r="33" spans="2:6">
      <c r="B33" s="420" t="str">
        <f>IF(A33="*","","T")</f>
        <v>T</v>
      </c>
      <c r="C33" s="526" t="str">
        <f>+UPS!B159</f>
        <v>UCOGCLEHGN</v>
      </c>
      <c r="D33" s="526" t="str">
        <f>+UPS!A159</f>
        <v>Production Plant Hydrogen - Large Coal Gasification</v>
      </c>
      <c r="E33" s="420" t="str">
        <f>"PJ,"&amp;IF(RIGHT(C33,3)="ELC","GW","PJa")</f>
        <v>PJ,PJa</v>
      </c>
      <c r="F33" s="420" t="str">
        <f>"PRC,PRE,"&amp;IF(RIGHT(C33,3)="ELC","DAYNITE","ANNUAL")</f>
        <v>PRC,PRE,ANNUAL</v>
      </c>
    </row>
    <row r="34" spans="2:6">
      <c r="B34" s="420" t="str">
        <f>IF(A34="*","","T")</f>
        <v>T</v>
      </c>
      <c r="C34" s="526" t="str">
        <f>+UPS!B165</f>
        <v>UELEP1HGN</v>
      </c>
      <c r="D34" s="526" t="str">
        <f>+UPS!A165</f>
        <v>Production Plant Hydrogen Electrolysis PEM</v>
      </c>
      <c r="E34" s="420" t="str">
        <f>"PJ,"&amp;IF(RIGHT(C34,3)="ELC","GW","PJa")</f>
        <v>PJ,PJa</v>
      </c>
      <c r="F34" s="420" t="str">
        <f>"PRC,PRE,"&amp;IF(RIGHT(C34,3)="ELC","DAYNITE","DAYNITE")</f>
        <v>PRC,PRE,DAYNITE</v>
      </c>
    </row>
    <row r="35" spans="2:6">
      <c r="B35" s="420" t="str">
        <f>IF(A35="*","","T")</f>
        <v>T</v>
      </c>
      <c r="C35" s="526" t="str">
        <f>UPS!B168</f>
        <v>UELEA1HGN</v>
      </c>
      <c r="D35" s="526" t="str">
        <f>UPS!A168</f>
        <v>Production Plant Hydrogen Electrolysis Alkaline</v>
      </c>
      <c r="E35" s="420" t="str">
        <f>"PJ,"&amp;IF(RIGHT(C35,3)="ELC","GW","PJa")</f>
        <v>PJ,PJa</v>
      </c>
      <c r="F35" s="420" t="str">
        <f>"PRC,PRE,"&amp;IF(RIGHT(C35,3)="ELC","DAYNITE","DAYNITE")</f>
        <v>PRC,PRE,DAYNITE</v>
      </c>
    </row>
  </sheetData>
  <pageMargins left="0.7" right="0.7" top="0.75" bottom="0.75" header="0.3" footer="0.3"/>
  <pageSetup paperSize="9" orientation="portrait" horizontalDpi="4294967292" verticalDpi="4294967292"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dimension ref="A1:G41"/>
  <sheetViews>
    <sheetView workbookViewId="0"/>
  </sheetViews>
  <sheetFormatPr defaultColWidth="11.42578125" defaultRowHeight="11.25"/>
  <cols>
    <col min="1" max="2" width="11.42578125" style="527" customWidth="1"/>
    <col min="3" max="3" width="15.42578125" style="527" customWidth="1"/>
    <col min="4" max="4" width="52.42578125" style="527" customWidth="1"/>
    <col min="5" max="5" width="12" style="527" customWidth="1"/>
    <col min="6" max="6" width="30.7109375" style="527" customWidth="1"/>
    <col min="7" max="16384" width="11.42578125" style="527"/>
  </cols>
  <sheetData>
    <row r="1" spans="1:7">
      <c r="A1" s="429" t="str">
        <f>IF(Index!B8=0,"ITEMS","")</f>
        <v>ITEMS</v>
      </c>
      <c r="B1" s="428" t="s">
        <v>308</v>
      </c>
    </row>
    <row r="2" spans="1:7">
      <c r="A2" s="429" t="s">
        <v>310</v>
      </c>
      <c r="B2" s="428"/>
    </row>
    <row r="3" spans="1:7">
      <c r="A3" s="429" t="s">
        <v>310</v>
      </c>
      <c r="B3" s="428" t="s">
        <v>1390</v>
      </c>
    </row>
    <row r="4" spans="1:7">
      <c r="A4" s="429" t="s">
        <v>310</v>
      </c>
      <c r="B4" s="429" t="s">
        <v>311</v>
      </c>
      <c r="C4" s="426" t="s">
        <v>312</v>
      </c>
      <c r="D4" s="429" t="s">
        <v>313</v>
      </c>
      <c r="E4" s="429" t="s">
        <v>314</v>
      </c>
      <c r="F4" s="429" t="s">
        <v>315</v>
      </c>
      <c r="G4" s="429" t="s">
        <v>316</v>
      </c>
    </row>
    <row r="5" spans="1:7">
      <c r="A5" s="429" t="s">
        <v>310</v>
      </c>
      <c r="B5" s="429" t="s">
        <v>600</v>
      </c>
      <c r="C5" s="426"/>
      <c r="D5" s="429"/>
      <c r="E5" s="429"/>
      <c r="F5" s="429"/>
      <c r="G5" s="429"/>
    </row>
    <row r="6" spans="1:7">
      <c r="A6" s="429" t="s">
        <v>310</v>
      </c>
      <c r="B6" s="429" t="s">
        <v>569</v>
      </c>
      <c r="C6" s="426"/>
      <c r="D6" s="429"/>
      <c r="E6" s="429"/>
      <c r="F6" s="429"/>
      <c r="G6" s="429"/>
    </row>
    <row r="7" spans="1:7">
      <c r="B7" s="425" t="s">
        <v>598</v>
      </c>
      <c r="C7" s="424" t="str">
        <f>ITEMS_UPS!C9&amp;"-I"</f>
        <v>UREFOCRCO-E-I</v>
      </c>
      <c r="D7" s="424" t="str">
        <f t="shared" ref="D7:D14" si="0">C7</f>
        <v>UREFOCRCO-E-I</v>
      </c>
      <c r="E7" s="425"/>
      <c r="F7" s="425" t="s">
        <v>599</v>
      </c>
    </row>
    <row r="8" spans="1:7">
      <c r="B8" s="425" t="s">
        <v>598</v>
      </c>
      <c r="C8" s="424" t="str">
        <f>ITEMS_UPS!C10&amp;"-I"</f>
        <v>UREFOCRIN-E-I</v>
      </c>
      <c r="D8" s="424" t="str">
        <f t="shared" si="0"/>
        <v>UREFOCRIN-E-I</v>
      </c>
      <c r="E8" s="425"/>
      <c r="F8" s="425" t="s">
        <v>599</v>
      </c>
    </row>
    <row r="9" spans="1:7">
      <c r="B9" s="425" t="s">
        <v>598</v>
      </c>
      <c r="C9" s="424" t="str">
        <f>ITEMS_UPS!C11&amp;"-I"</f>
        <v>UGTLGICCO-E-I</v>
      </c>
      <c r="D9" s="424" t="str">
        <f t="shared" si="0"/>
        <v>UGTLGICCO-E-I</v>
      </c>
      <c r="E9" s="425"/>
      <c r="F9" s="425" t="s">
        <v>599</v>
      </c>
    </row>
    <row r="10" spans="1:7">
      <c r="B10" s="425" t="s">
        <v>598</v>
      </c>
      <c r="C10" s="424" t="str">
        <f>ITEMS_UPS!C12&amp;"-I"</f>
        <v>UCTLCLEIN-E-I</v>
      </c>
      <c r="D10" s="424" t="str">
        <f t="shared" si="0"/>
        <v>UCTLCLEIN-E-I</v>
      </c>
      <c r="E10" s="425"/>
      <c r="F10" s="425" t="s">
        <v>599</v>
      </c>
    </row>
    <row r="11" spans="1:7">
      <c r="B11" s="425" t="s">
        <v>598</v>
      </c>
      <c r="C11" s="424" t="str">
        <f>ITEMS_UPS!C9&amp;"-O"</f>
        <v>UREFOCRCO-E-O</v>
      </c>
      <c r="D11" s="424" t="str">
        <f t="shared" si="0"/>
        <v>UREFOCRCO-E-O</v>
      </c>
      <c r="E11" s="425"/>
      <c r="F11" s="425" t="s">
        <v>599</v>
      </c>
    </row>
    <row r="12" spans="1:7">
      <c r="B12" s="425" t="s">
        <v>598</v>
      </c>
      <c r="C12" s="424" t="str">
        <f>ITEMS_UPS!C10&amp;"-O"</f>
        <v>UREFOCRIN-E-O</v>
      </c>
      <c r="D12" s="424" t="str">
        <f t="shared" si="0"/>
        <v>UREFOCRIN-E-O</v>
      </c>
      <c r="E12" s="425"/>
      <c r="F12" s="425" t="s">
        <v>599</v>
      </c>
    </row>
    <row r="13" spans="1:7">
      <c r="B13" s="425" t="s">
        <v>598</v>
      </c>
      <c r="C13" s="424" t="str">
        <f>ITEMS_UPS!C11&amp;"-O"</f>
        <v>UGTLGICCO-E-O</v>
      </c>
      <c r="D13" s="424" t="str">
        <f t="shared" si="0"/>
        <v>UGTLGICCO-E-O</v>
      </c>
      <c r="E13" s="425"/>
      <c r="F13" s="425" t="s">
        <v>599</v>
      </c>
    </row>
    <row r="14" spans="1:7">
      <c r="B14" s="425" t="s">
        <v>598</v>
      </c>
      <c r="C14" s="424" t="str">
        <f>ITEMS_UPS!C12&amp;"-O"</f>
        <v>UCTLCLEIN-E-O</v>
      </c>
      <c r="D14" s="424" t="str">
        <f t="shared" si="0"/>
        <v>UCTLCLEIN-E-O</v>
      </c>
      <c r="E14" s="425"/>
      <c r="F14" s="425" t="s">
        <v>599</v>
      </c>
    </row>
    <row r="15" spans="1:7">
      <c r="A15" s="429" t="s">
        <v>310</v>
      </c>
      <c r="B15" s="429" t="s">
        <v>601</v>
      </c>
      <c r="C15" s="426"/>
      <c r="D15" s="429"/>
      <c r="E15" s="429"/>
      <c r="F15" s="429"/>
      <c r="G15" s="429"/>
    </row>
    <row r="16" spans="1:7">
      <c r="B16" s="425" t="s">
        <v>598</v>
      </c>
      <c r="C16" s="424" t="str">
        <f>ITEMS_UPS!C14&amp;"-I"</f>
        <v>UCTLCLEIN-N-I</v>
      </c>
      <c r="D16" s="424" t="str">
        <f t="shared" ref="D16:D23" si="1">C16</f>
        <v>UCTLCLEIN-N-I</v>
      </c>
      <c r="E16" s="425"/>
      <c r="F16" s="425" t="s">
        <v>599</v>
      </c>
    </row>
    <row r="17" spans="1:6">
      <c r="B17" s="425" t="s">
        <v>598</v>
      </c>
      <c r="C17" s="424" t="str">
        <f>ITEMS_UPS!C15&amp;"-I"</f>
        <v>UGTLGASIN-N-I</v>
      </c>
      <c r="D17" s="424" t="str">
        <f t="shared" si="1"/>
        <v>UGTLGASIN-N-I</v>
      </c>
      <c r="E17" s="425"/>
      <c r="F17" s="425" t="s">
        <v>599</v>
      </c>
    </row>
    <row r="18" spans="1:6">
      <c r="B18" s="425" t="s">
        <v>598</v>
      </c>
      <c r="C18" s="424" t="str">
        <f>ITEMS_UPS!C16&amp;"-I"</f>
        <v>UGTLGICCO-N-I</v>
      </c>
      <c r="D18" s="424" t="str">
        <f>C18</f>
        <v>UGTLGICCO-N-I</v>
      </c>
      <c r="E18" s="425"/>
      <c r="F18" s="425" t="s">
        <v>599</v>
      </c>
    </row>
    <row r="19" spans="1:6">
      <c r="B19" s="425" t="s">
        <v>598</v>
      </c>
      <c r="C19" s="424" t="str">
        <f>ITEMS_UPS!C17&amp;"-I"</f>
        <v>UREFOCRCO-N-I</v>
      </c>
      <c r="D19" s="424" t="str">
        <f t="shared" si="1"/>
        <v>UREFOCRCO-N-I</v>
      </c>
      <c r="E19" s="425"/>
      <c r="F19" s="425" t="s">
        <v>599</v>
      </c>
    </row>
    <row r="20" spans="1:6">
      <c r="B20" s="425" t="s">
        <v>598</v>
      </c>
      <c r="C20" s="424" t="str">
        <f>ITEMS_UPS!C14&amp;"-O"</f>
        <v>UCTLCLEIN-N-O</v>
      </c>
      <c r="D20" s="424" t="str">
        <f t="shared" si="1"/>
        <v>UCTLCLEIN-N-O</v>
      </c>
      <c r="E20" s="425"/>
      <c r="F20" s="425" t="s">
        <v>599</v>
      </c>
    </row>
    <row r="21" spans="1:6">
      <c r="B21" s="425" t="s">
        <v>598</v>
      </c>
      <c r="C21" s="424" t="str">
        <f>ITEMS_UPS!C15&amp;"-O"</f>
        <v>UGTLGASIN-N-O</v>
      </c>
      <c r="D21" s="424" t="str">
        <f t="shared" si="1"/>
        <v>UGTLGASIN-N-O</v>
      </c>
      <c r="E21" s="425"/>
      <c r="F21" s="425" t="s">
        <v>599</v>
      </c>
    </row>
    <row r="22" spans="1:6">
      <c r="B22" s="425" t="s">
        <v>598</v>
      </c>
      <c r="C22" s="424" t="str">
        <f>ITEMS_UPS!C16&amp;"-O"</f>
        <v>UGTLGICCO-N-O</v>
      </c>
      <c r="D22" s="424" t="str">
        <f>C22</f>
        <v>UGTLGICCO-N-O</v>
      </c>
      <c r="E22" s="425"/>
      <c r="F22" s="425" t="s">
        <v>599</v>
      </c>
    </row>
    <row r="23" spans="1:6">
      <c r="B23" s="425" t="s">
        <v>598</v>
      </c>
      <c r="C23" s="424" t="str">
        <f>ITEMS_UPS!C17&amp;"-O"</f>
        <v>UREFOCRCO-N-O</v>
      </c>
      <c r="D23" s="424" t="str">
        <f t="shared" si="1"/>
        <v>UREFOCRCO-N-O</v>
      </c>
      <c r="E23" s="425"/>
      <c r="F23" s="425" t="s">
        <v>599</v>
      </c>
    </row>
    <row r="24" spans="1:6">
      <c r="A24" s="527" t="s">
        <v>310</v>
      </c>
      <c r="B24" s="429" t="s">
        <v>1391</v>
      </c>
    </row>
    <row r="25" spans="1:6">
      <c r="B25" s="425" t="s">
        <v>598</v>
      </c>
      <c r="C25" s="424" t="str">
        <f>ITEMS_UPS!C31&amp;"-I"</f>
        <v>USMRGASHGN-I</v>
      </c>
      <c r="D25" s="424" t="str">
        <f t="shared" ref="D25:D32" si="2">C25</f>
        <v>USMRGASHGN-I</v>
      </c>
      <c r="F25" s="425" t="s">
        <v>599</v>
      </c>
    </row>
    <row r="26" spans="1:6">
      <c r="B26" s="425" t="s">
        <v>598</v>
      </c>
      <c r="C26" s="424" t="str">
        <f>ITEMS_UPS!C32&amp;"-I"</f>
        <v>USMRGICHGN-I</v>
      </c>
      <c r="D26" s="424" t="str">
        <f t="shared" si="2"/>
        <v>USMRGICHGN-I</v>
      </c>
      <c r="F26" s="425" t="s">
        <v>599</v>
      </c>
    </row>
    <row r="27" spans="1:6">
      <c r="B27" s="425" t="s">
        <v>598</v>
      </c>
      <c r="C27" s="424" t="str">
        <f>ITEMS_UPS!C33&amp;"-I"</f>
        <v>UCOGCLEHGN-I</v>
      </c>
      <c r="D27" s="424" t="str">
        <f t="shared" si="2"/>
        <v>UCOGCLEHGN-I</v>
      </c>
      <c r="F27" s="425" t="s">
        <v>599</v>
      </c>
    </row>
    <row r="28" spans="1:6">
      <c r="B28" s="425" t="s">
        <v>598</v>
      </c>
      <c r="C28" s="424" t="str">
        <f>ITEMS_UPS!C34&amp;"-I"</f>
        <v>UELEP1HGN-I</v>
      </c>
      <c r="D28" s="424" t="str">
        <f>C28</f>
        <v>UELEP1HGN-I</v>
      </c>
      <c r="F28" s="425" t="s">
        <v>599</v>
      </c>
    </row>
    <row r="29" spans="1:6">
      <c r="B29" s="425" t="s">
        <v>598</v>
      </c>
      <c r="C29" s="424" t="str">
        <f>ITEMS_UPS!C35&amp;"-I"</f>
        <v>UELEA1HGN-I</v>
      </c>
      <c r="D29" s="424" t="str">
        <f>C29</f>
        <v>UELEA1HGN-I</v>
      </c>
      <c r="F29" s="425" t="s">
        <v>599</v>
      </c>
    </row>
    <row r="30" spans="1:6">
      <c r="B30" s="425" t="s">
        <v>598</v>
      </c>
      <c r="C30" s="835" t="str">
        <f>ITEMS_UPS!C31&amp;"-O"</f>
        <v>USMRGASHGN-O</v>
      </c>
      <c r="D30" s="424" t="str">
        <f t="shared" si="2"/>
        <v>USMRGASHGN-O</v>
      </c>
      <c r="F30" s="425" t="s">
        <v>599</v>
      </c>
    </row>
    <row r="31" spans="1:6">
      <c r="B31" s="425" t="s">
        <v>598</v>
      </c>
      <c r="C31" s="835" t="str">
        <f>ITEMS_UPS!C32&amp;"-O"</f>
        <v>USMRGICHGN-O</v>
      </c>
      <c r="D31" s="424" t="str">
        <f t="shared" si="2"/>
        <v>USMRGICHGN-O</v>
      </c>
      <c r="F31" s="425" t="s">
        <v>599</v>
      </c>
    </row>
    <row r="32" spans="1:6">
      <c r="B32" s="425" t="s">
        <v>598</v>
      </c>
      <c r="C32" s="835" t="str">
        <f>ITEMS_UPS!C33&amp;"-O"</f>
        <v>UCOGCLEHGN-O</v>
      </c>
      <c r="D32" s="424" t="str">
        <f t="shared" si="2"/>
        <v>UCOGCLEHGN-O</v>
      </c>
      <c r="F32" s="425" t="s">
        <v>599</v>
      </c>
    </row>
    <row r="33" spans="2:6">
      <c r="B33" s="425" t="s">
        <v>598</v>
      </c>
      <c r="C33" s="835" t="str">
        <f>ITEMS_UPS!C34&amp;"-O"</f>
        <v>UELEP1HGN-O</v>
      </c>
      <c r="D33" s="424" t="str">
        <f>C33</f>
        <v>UELEP1HGN-O</v>
      </c>
      <c r="F33" s="425" t="s">
        <v>599</v>
      </c>
    </row>
    <row r="34" spans="2:6">
      <c r="B34" s="425" t="s">
        <v>598</v>
      </c>
      <c r="C34" s="835" t="str">
        <f>ITEMS_UPS!C35&amp;"-O"</f>
        <v>UELEA1HGN-O</v>
      </c>
      <c r="D34" s="424" t="str">
        <f t="shared" ref="D34" si="3">C34</f>
        <v>UELEA1HGN-O</v>
      </c>
      <c r="F34" s="425" t="s">
        <v>599</v>
      </c>
    </row>
    <row r="35" spans="2:6">
      <c r="B35" s="425"/>
      <c r="C35" s="835"/>
      <c r="D35" s="424"/>
      <c r="F35" s="425"/>
    </row>
    <row r="36" spans="2:6">
      <c r="B36" s="425"/>
      <c r="C36" s="835"/>
      <c r="D36" s="424"/>
      <c r="F36" s="425"/>
    </row>
    <row r="37" spans="2:6">
      <c r="B37" s="425"/>
      <c r="C37" s="835"/>
      <c r="D37" s="424"/>
      <c r="F37" s="425"/>
    </row>
    <row r="38" spans="2:6">
      <c r="B38" s="425"/>
      <c r="C38" s="835"/>
      <c r="D38" s="424"/>
      <c r="F38" s="425"/>
    </row>
    <row r="39" spans="2:6">
      <c r="B39" s="425"/>
      <c r="C39" s="835"/>
      <c r="D39" s="424"/>
      <c r="F39" s="425"/>
    </row>
    <row r="40" spans="2:6">
      <c r="B40" s="425"/>
      <c r="C40" s="835"/>
      <c r="D40" s="424"/>
      <c r="F40" s="425"/>
    </row>
    <row r="41" spans="2:6">
      <c r="B41" s="425"/>
      <c r="C41" s="835"/>
      <c r="D41" s="424"/>
      <c r="F41" s="425"/>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dimension ref="A1:AY330"/>
  <sheetViews>
    <sheetView tabSelected="1" topLeftCell="A41" workbookViewId="0">
      <selection activeCell="W69" sqref="S69:W69"/>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36.7109375" style="42" customWidth="1"/>
    <col min="6" max="6" width="14.42578125" style="42" customWidth="1"/>
    <col min="7" max="7" width="11.42578125" style="42" customWidth="1"/>
    <col min="8" max="8" width="11.42578125" style="164" customWidth="1"/>
    <col min="9" max="9" width="7.42578125" style="164" customWidth="1"/>
    <col min="10" max="10" width="7.5703125" style="42" customWidth="1"/>
    <col min="11" max="16" width="4.28515625" style="42" customWidth="1"/>
    <col min="17" max="17" width="4.85546875" style="42" customWidth="1"/>
    <col min="18" max="28" width="4.28515625" style="42" customWidth="1"/>
    <col min="29" max="29" width="6" style="42" customWidth="1"/>
    <col min="30" max="42" width="4.28515625" style="42" customWidth="1"/>
    <col min="43" max="43" width="11.42578125" style="42" customWidth="1"/>
    <col min="44" max="48" width="4.7109375" style="42" customWidth="1"/>
    <col min="49" max="16384" width="11.42578125" style="42"/>
  </cols>
  <sheetData>
    <row r="1" spans="1:48">
      <c r="A1" s="41" t="str">
        <f>IF(Index!B8=0,"TS DATA","")</f>
        <v>TS DATA</v>
      </c>
      <c r="B1" s="42" t="s">
        <v>308</v>
      </c>
      <c r="AR1" s="42" t="s">
        <v>310</v>
      </c>
      <c r="AS1" s="42" t="s">
        <v>310</v>
      </c>
      <c r="AT1" s="42" t="s">
        <v>310</v>
      </c>
      <c r="AU1" s="42" t="s">
        <v>310</v>
      </c>
      <c r="AV1" s="42" t="s">
        <v>310</v>
      </c>
    </row>
    <row r="2" spans="1:48">
      <c r="A2" s="42" t="s">
        <v>310</v>
      </c>
      <c r="AR2" s="42" t="s">
        <v>320</v>
      </c>
      <c r="AS2" s="42" t="s">
        <v>321</v>
      </c>
      <c r="AT2" s="42" t="s">
        <v>322</v>
      </c>
      <c r="AU2" s="42" t="s">
        <v>847</v>
      </c>
      <c r="AV2" s="42" t="s">
        <v>848</v>
      </c>
    </row>
    <row r="3" spans="1:48" ht="15" customHeight="1">
      <c r="A3" s="42" t="s">
        <v>310</v>
      </c>
    </row>
    <row r="4" spans="1:48">
      <c r="A4" s="42" t="s">
        <v>310</v>
      </c>
    </row>
    <row r="5" spans="1:48">
      <c r="A5" s="42" t="s">
        <v>310</v>
      </c>
    </row>
    <row r="6" spans="1:48">
      <c r="A6" s="42" t="s">
        <v>310</v>
      </c>
    </row>
    <row r="7" spans="1:48" ht="22.5" customHeight="1">
      <c r="A7" s="42" t="s">
        <v>310</v>
      </c>
      <c r="B7" s="41" t="s">
        <v>323</v>
      </c>
      <c r="C7" s="41" t="s">
        <v>324</v>
      </c>
      <c r="D7" s="41" t="s">
        <v>325</v>
      </c>
      <c r="E7" s="41" t="s">
        <v>326</v>
      </c>
      <c r="F7" s="41" t="s">
        <v>327</v>
      </c>
      <c r="G7" s="41" t="s">
        <v>328</v>
      </c>
      <c r="H7" s="836" t="s">
        <v>329</v>
      </c>
      <c r="I7" s="165"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f>AA7+1</f>
        <v>2030</v>
      </c>
      <c r="AC7" s="495">
        <f t="shared" ref="AC7" si="0">AB7+1</f>
        <v>2031</v>
      </c>
      <c r="AD7" s="495">
        <f t="shared" ref="AD7" si="1">AC7+1</f>
        <v>2032</v>
      </c>
      <c r="AE7" s="495">
        <f t="shared" ref="AE7" si="2">AD7+1</f>
        <v>2033</v>
      </c>
      <c r="AF7" s="495">
        <f t="shared" ref="AF7" si="3">AE7+1</f>
        <v>2034</v>
      </c>
      <c r="AG7" s="495">
        <f t="shared" ref="AG7" si="4">AF7+1</f>
        <v>2035</v>
      </c>
      <c r="AH7" s="495">
        <f t="shared" ref="AH7" si="5">AG7+1</f>
        <v>2036</v>
      </c>
      <c r="AI7" s="495">
        <f t="shared" ref="AI7" si="6">AH7+1</f>
        <v>2037</v>
      </c>
      <c r="AJ7" s="495">
        <f t="shared" ref="AJ7" si="7">AI7+1</f>
        <v>2038</v>
      </c>
      <c r="AK7" s="495">
        <f t="shared" ref="AK7" si="8">AJ7+1</f>
        <v>2039</v>
      </c>
      <c r="AL7" s="495">
        <f t="shared" ref="AL7" si="9">AK7+1</f>
        <v>2040</v>
      </c>
      <c r="AM7" s="495">
        <v>2045</v>
      </c>
      <c r="AN7" s="495">
        <v>2050</v>
      </c>
      <c r="AO7" s="495">
        <v>2060</v>
      </c>
      <c r="AP7" s="495">
        <v>2070</v>
      </c>
    </row>
    <row r="8" spans="1:48">
      <c r="A8" s="42" t="s">
        <v>310</v>
      </c>
      <c r="B8" s="41"/>
      <c r="C8" s="41"/>
      <c r="D8" s="41"/>
      <c r="E8" s="41"/>
      <c r="F8" s="41"/>
      <c r="G8" s="41"/>
      <c r="H8" s="836"/>
      <c r="I8" s="165"/>
      <c r="J8" s="42">
        <v>0</v>
      </c>
      <c r="K8" s="42">
        <f>J8+1</f>
        <v>1</v>
      </c>
      <c r="L8" s="42">
        <f t="shared" ref="L8:AH8" si="10">K8+1</f>
        <v>2</v>
      </c>
      <c r="M8" s="42">
        <f t="shared" si="10"/>
        <v>3</v>
      </c>
      <c r="N8" s="42">
        <f t="shared" si="10"/>
        <v>4</v>
      </c>
      <c r="O8" s="42">
        <f t="shared" si="10"/>
        <v>5</v>
      </c>
      <c r="P8" s="42">
        <f t="shared" si="10"/>
        <v>6</v>
      </c>
      <c r="Q8" s="42">
        <f t="shared" si="10"/>
        <v>7</v>
      </c>
      <c r="R8" s="42">
        <f t="shared" si="10"/>
        <v>8</v>
      </c>
      <c r="S8" s="42">
        <f t="shared" si="10"/>
        <v>9</v>
      </c>
      <c r="T8" s="42">
        <f t="shared" si="10"/>
        <v>10</v>
      </c>
      <c r="U8" s="42">
        <f t="shared" si="10"/>
        <v>11</v>
      </c>
      <c r="V8" s="42">
        <f t="shared" si="10"/>
        <v>12</v>
      </c>
      <c r="W8" s="42">
        <f t="shared" si="10"/>
        <v>13</v>
      </c>
      <c r="X8" s="42">
        <f t="shared" si="10"/>
        <v>14</v>
      </c>
      <c r="Y8" s="42">
        <f t="shared" si="10"/>
        <v>15</v>
      </c>
      <c r="Z8" s="42">
        <f t="shared" si="10"/>
        <v>16</v>
      </c>
      <c r="AA8" s="42">
        <f t="shared" si="10"/>
        <v>17</v>
      </c>
      <c r="AB8" s="42">
        <f t="shared" si="10"/>
        <v>18</v>
      </c>
      <c r="AC8" s="42">
        <f t="shared" si="10"/>
        <v>19</v>
      </c>
      <c r="AD8" s="42">
        <f t="shared" si="10"/>
        <v>20</v>
      </c>
      <c r="AE8" s="42">
        <f t="shared" si="10"/>
        <v>21</v>
      </c>
      <c r="AF8" s="42">
        <f t="shared" si="10"/>
        <v>22</v>
      </c>
      <c r="AG8" s="42">
        <f t="shared" si="10"/>
        <v>23</v>
      </c>
      <c r="AH8" s="42">
        <f t="shared" si="10"/>
        <v>24</v>
      </c>
      <c r="AI8" s="42">
        <f t="shared" ref="AI8:AP8" si="11">AH8+1</f>
        <v>25</v>
      </c>
      <c r="AJ8" s="42">
        <f t="shared" si="11"/>
        <v>26</v>
      </c>
      <c r="AK8" s="42">
        <f t="shared" si="11"/>
        <v>27</v>
      </c>
      <c r="AL8" s="42">
        <f t="shared" si="11"/>
        <v>28</v>
      </c>
      <c r="AM8" s="42">
        <f t="shared" si="11"/>
        <v>29</v>
      </c>
      <c r="AN8" s="42">
        <f t="shared" si="11"/>
        <v>30</v>
      </c>
      <c r="AO8" s="42">
        <f t="shared" si="11"/>
        <v>31</v>
      </c>
      <c r="AP8" s="42">
        <f t="shared" si="11"/>
        <v>32</v>
      </c>
    </row>
    <row r="9" spans="1:48">
      <c r="A9" s="42" t="s">
        <v>310</v>
      </c>
      <c r="B9" s="164">
        <v>1</v>
      </c>
      <c r="C9" s="164">
        <f t="shared" ref="C9:J9" si="12">B9+1</f>
        <v>2</v>
      </c>
      <c r="D9" s="164">
        <f t="shared" si="12"/>
        <v>3</v>
      </c>
      <c r="E9" s="164">
        <f t="shared" si="12"/>
        <v>4</v>
      </c>
      <c r="F9" s="164">
        <f t="shared" si="12"/>
        <v>5</v>
      </c>
      <c r="G9" s="164">
        <f t="shared" si="12"/>
        <v>6</v>
      </c>
      <c r="H9" s="164">
        <f t="shared" si="12"/>
        <v>7</v>
      </c>
      <c r="I9" s="164">
        <f t="shared" si="12"/>
        <v>8</v>
      </c>
      <c r="J9" s="164">
        <f t="shared" si="12"/>
        <v>9</v>
      </c>
      <c r="K9" s="164"/>
    </row>
    <row r="10" spans="1:48">
      <c r="A10" s="42" t="s">
        <v>13431</v>
      </c>
      <c r="B10" s="438" t="s">
        <v>332</v>
      </c>
      <c r="C10" s="438" t="s">
        <v>333</v>
      </c>
      <c r="D10" s="438" t="s">
        <v>334</v>
      </c>
      <c r="E10" s="438" t="s">
        <v>334</v>
      </c>
      <c r="F10" s="438" t="s">
        <v>334</v>
      </c>
      <c r="G10" s="438" t="s">
        <v>334</v>
      </c>
      <c r="H10" s="837" t="s">
        <v>334</v>
      </c>
      <c r="I10" s="439">
        <v>0</v>
      </c>
      <c r="AT10" s="42">
        <f>UPS!$P$37</f>
        <v>13</v>
      </c>
    </row>
    <row r="11" spans="1:48">
      <c r="A11" s="42" t="s">
        <v>13432</v>
      </c>
      <c r="B11" s="438" t="s">
        <v>602</v>
      </c>
      <c r="C11" s="438" t="s">
        <v>333</v>
      </c>
      <c r="D11" s="438" t="s">
        <v>334</v>
      </c>
      <c r="E11" s="438" t="s">
        <v>334</v>
      </c>
      <c r="F11" s="438" t="s">
        <v>334</v>
      </c>
      <c r="G11" s="438" t="s">
        <v>337</v>
      </c>
      <c r="H11" s="837" t="s">
        <v>338</v>
      </c>
      <c r="I11" s="439">
        <v>3</v>
      </c>
      <c r="AT11" s="42">
        <f>UPS!$H$37</f>
        <v>5</v>
      </c>
    </row>
    <row r="12" spans="1:48">
      <c r="A12" s="42" t="s">
        <v>13433</v>
      </c>
      <c r="B12" s="438" t="s">
        <v>602</v>
      </c>
      <c r="C12" s="438" t="s">
        <v>333</v>
      </c>
      <c r="D12" s="438" t="s">
        <v>334</v>
      </c>
      <c r="E12" s="438" t="s">
        <v>334</v>
      </c>
      <c r="F12" s="438" t="s">
        <v>334</v>
      </c>
      <c r="G12" s="438" t="s">
        <v>337</v>
      </c>
      <c r="H12" s="837" t="s">
        <v>1194</v>
      </c>
      <c r="I12" s="439">
        <v>3</v>
      </c>
      <c r="AT12" s="42">
        <f>UPS!$I$37</f>
        <v>6</v>
      </c>
    </row>
    <row r="13" spans="1:48">
      <c r="A13" s="42" t="s">
        <v>13434</v>
      </c>
      <c r="B13" s="438" t="s">
        <v>849</v>
      </c>
      <c r="C13" s="438" t="s">
        <v>333</v>
      </c>
      <c r="D13" s="438" t="s">
        <v>334</v>
      </c>
      <c r="E13" s="438" t="s">
        <v>334</v>
      </c>
      <c r="F13" s="438" t="s">
        <v>334</v>
      </c>
      <c r="G13" s="438" t="s">
        <v>334</v>
      </c>
      <c r="H13" s="837" t="s">
        <v>334</v>
      </c>
      <c r="I13" s="439">
        <v>0</v>
      </c>
      <c r="AT13" s="42">
        <f>UPS!$O$37</f>
        <v>12</v>
      </c>
    </row>
    <row r="14" spans="1:48">
      <c r="A14" s="42" t="s">
        <v>13435</v>
      </c>
      <c r="B14" s="438" t="s">
        <v>850</v>
      </c>
      <c r="C14" s="438" t="s">
        <v>333</v>
      </c>
      <c r="D14" s="438" t="s">
        <v>334</v>
      </c>
      <c r="E14" s="438" t="s">
        <v>334</v>
      </c>
      <c r="F14" s="438" t="s">
        <v>334</v>
      </c>
      <c r="G14" s="438" t="s">
        <v>334</v>
      </c>
      <c r="H14" s="837" t="s">
        <v>338</v>
      </c>
      <c r="I14" s="439">
        <v>3</v>
      </c>
      <c r="AT14" s="42">
        <f>UPS!R37</f>
        <v>15</v>
      </c>
    </row>
    <row r="15" spans="1:48">
      <c r="A15" s="42" t="s">
        <v>13436</v>
      </c>
      <c r="B15" s="438" t="s">
        <v>851</v>
      </c>
      <c r="C15" s="438" t="s">
        <v>333</v>
      </c>
      <c r="D15" s="438" t="s">
        <v>334</v>
      </c>
      <c r="E15" s="438" t="s">
        <v>852</v>
      </c>
      <c r="F15" s="438" t="s">
        <v>853</v>
      </c>
      <c r="G15" s="438" t="s">
        <v>337</v>
      </c>
      <c r="H15" s="837" t="s">
        <v>334</v>
      </c>
      <c r="I15" s="439">
        <v>0</v>
      </c>
      <c r="AT15" s="42">
        <f>UPS!$G$37</f>
        <v>4</v>
      </c>
    </row>
    <row r="16" spans="1:48">
      <c r="A16" s="42" t="s">
        <v>13437</v>
      </c>
      <c r="B16" s="438" t="s">
        <v>855</v>
      </c>
      <c r="C16" s="438" t="s">
        <v>333</v>
      </c>
      <c r="D16" s="438" t="s">
        <v>345</v>
      </c>
      <c r="E16" s="438" t="s">
        <v>852</v>
      </c>
      <c r="F16" s="438" t="s">
        <v>334</v>
      </c>
      <c r="G16" s="438" t="s">
        <v>337</v>
      </c>
      <c r="H16" s="837" t="s">
        <v>856</v>
      </c>
      <c r="I16" s="439">
        <v>3</v>
      </c>
      <c r="AT16" s="42">
        <f>UPS!$D$37</f>
        <v>1</v>
      </c>
      <c r="AV16" s="42">
        <f>UPS!$J$37</f>
        <v>7</v>
      </c>
    </row>
    <row r="17" spans="1:48">
      <c r="A17" s="42" t="s">
        <v>13438</v>
      </c>
      <c r="B17" s="438" t="s">
        <v>855</v>
      </c>
      <c r="C17" s="438" t="s">
        <v>333</v>
      </c>
      <c r="D17" s="438" t="s">
        <v>345</v>
      </c>
      <c r="E17" s="438" t="s">
        <v>853</v>
      </c>
      <c r="F17" s="438" t="s">
        <v>334</v>
      </c>
      <c r="G17" s="438" t="s">
        <v>337</v>
      </c>
      <c r="H17" s="837" t="s">
        <v>338</v>
      </c>
      <c r="I17" s="439">
        <v>3</v>
      </c>
      <c r="AT17" s="42">
        <f>UPS!$E$37</f>
        <v>2</v>
      </c>
      <c r="AV17" s="42">
        <f>UPS!$K$37</f>
        <v>8</v>
      </c>
    </row>
    <row r="18" spans="1:48">
      <c r="A18" s="42" t="s">
        <v>13439</v>
      </c>
      <c r="B18" s="438" t="s">
        <v>357</v>
      </c>
      <c r="C18" s="438" t="s">
        <v>333</v>
      </c>
      <c r="D18" s="438" t="str">
        <f>sector_prefix&amp;emissions_start</f>
        <v>UPSCO2S</v>
      </c>
      <c r="E18" s="438" t="s">
        <v>853</v>
      </c>
      <c r="F18" s="438" t="s">
        <v>334</v>
      </c>
      <c r="G18" s="438" t="s">
        <v>337</v>
      </c>
      <c r="H18" s="837" t="s">
        <v>334</v>
      </c>
      <c r="I18" s="439">
        <v>0</v>
      </c>
      <c r="AT18" s="42">
        <f>UPS!$S$37</f>
        <v>16</v>
      </c>
    </row>
    <row r="19" spans="1:48">
      <c r="A19" s="42" t="s">
        <v>13440</v>
      </c>
      <c r="B19" s="438" t="s">
        <v>357</v>
      </c>
      <c r="C19" s="438" t="s">
        <v>333</v>
      </c>
      <c r="D19" s="438" t="str">
        <f>sector_prefix&amp;NameConv!$AZ$4</f>
        <v>UPSCH4S</v>
      </c>
      <c r="E19" s="438" t="s">
        <v>853</v>
      </c>
      <c r="F19" s="438" t="s">
        <v>334</v>
      </c>
      <c r="G19" s="438" t="s">
        <v>337</v>
      </c>
      <c r="H19" s="837" t="s">
        <v>334</v>
      </c>
      <c r="I19" s="439">
        <v>0</v>
      </c>
      <c r="AT19" s="42">
        <f>UPS!$T$37</f>
        <v>17</v>
      </c>
    </row>
    <row r="20" spans="1:48">
      <c r="A20" s="42" t="s">
        <v>13441</v>
      </c>
      <c r="B20" s="438" t="s">
        <v>860</v>
      </c>
      <c r="C20" s="438" t="s">
        <v>333</v>
      </c>
      <c r="D20" s="438" t="s">
        <v>334</v>
      </c>
      <c r="E20" s="438" t="s">
        <v>334</v>
      </c>
      <c r="F20" s="438" t="s">
        <v>334</v>
      </c>
      <c r="G20" s="438" t="s">
        <v>334</v>
      </c>
      <c r="H20" s="837" t="s">
        <v>334</v>
      </c>
      <c r="I20" s="439">
        <v>0</v>
      </c>
      <c r="AT20" s="42">
        <f>UPS!U37</f>
        <v>18</v>
      </c>
    </row>
    <row r="21" spans="1:48">
      <c r="A21" s="42" t="s">
        <v>13442</v>
      </c>
      <c r="B21" s="438" t="s">
        <v>839</v>
      </c>
      <c r="C21" s="438" t="s">
        <v>333</v>
      </c>
      <c r="D21" s="438" t="s">
        <v>334</v>
      </c>
      <c r="E21" s="438" t="s">
        <v>334</v>
      </c>
      <c r="F21" s="438" t="s">
        <v>334</v>
      </c>
      <c r="G21" s="438" t="s">
        <v>334</v>
      </c>
      <c r="H21" s="837" t="s">
        <v>334</v>
      </c>
      <c r="I21" s="439">
        <v>0</v>
      </c>
      <c r="AT21" s="42">
        <f>UPS!$M$37</f>
        <v>10</v>
      </c>
    </row>
    <row r="22" spans="1:48">
      <c r="A22" s="42" t="s">
        <v>13443</v>
      </c>
      <c r="B22" s="438" t="s">
        <v>861</v>
      </c>
      <c r="C22" s="438" t="s">
        <v>333</v>
      </c>
      <c r="D22" s="438" t="s">
        <v>334</v>
      </c>
      <c r="E22" s="438" t="s">
        <v>334</v>
      </c>
      <c r="F22" s="438" t="s">
        <v>334</v>
      </c>
      <c r="G22" s="438" t="s">
        <v>334</v>
      </c>
      <c r="H22" s="837" t="s">
        <v>334</v>
      </c>
      <c r="I22" s="439">
        <v>0</v>
      </c>
      <c r="AT22" s="42">
        <f>UPS!$F$37</f>
        <v>3</v>
      </c>
    </row>
    <row r="23" spans="1:48">
      <c r="A23" s="42" t="s">
        <v>13444</v>
      </c>
      <c r="B23" s="438" t="s">
        <v>1136</v>
      </c>
      <c r="C23" s="438" t="s">
        <v>333</v>
      </c>
      <c r="D23" s="438" t="s">
        <v>334</v>
      </c>
      <c r="E23" s="438" t="s">
        <v>334</v>
      </c>
      <c r="F23" s="438" t="s">
        <v>334</v>
      </c>
      <c r="G23" s="438" t="s">
        <v>334</v>
      </c>
      <c r="H23" s="837" t="s">
        <v>334</v>
      </c>
      <c r="I23" s="439">
        <v>0</v>
      </c>
      <c r="AT23" s="42">
        <f>UPS!$Q$37</f>
        <v>14</v>
      </c>
    </row>
    <row r="24" spans="1:48">
      <c r="A24" s="42" t="s">
        <v>13445</v>
      </c>
      <c r="B24" s="438" t="s">
        <v>359</v>
      </c>
      <c r="C24" s="438" t="s">
        <v>333</v>
      </c>
      <c r="D24" s="438" t="s">
        <v>334</v>
      </c>
      <c r="E24" s="438" t="s">
        <v>360</v>
      </c>
      <c r="F24" s="438" t="s">
        <v>334</v>
      </c>
      <c r="G24" s="438" t="s">
        <v>337</v>
      </c>
      <c r="H24" s="837" t="s">
        <v>334</v>
      </c>
      <c r="I24" s="439">
        <v>0</v>
      </c>
      <c r="AT24" s="42">
        <f>UPS!G37</f>
        <v>4</v>
      </c>
    </row>
    <row r="25" spans="1:48">
      <c r="A25" s="42" t="s">
        <v>310</v>
      </c>
      <c r="B25" s="438" t="s">
        <v>569</v>
      </c>
      <c r="C25" s="438"/>
      <c r="D25" s="438"/>
      <c r="E25" s="438"/>
      <c r="F25" s="438"/>
      <c r="G25" s="438"/>
      <c r="H25" s="837"/>
      <c r="I25" s="439"/>
    </row>
    <row r="26" spans="1:48">
      <c r="A26" s="42" t="str">
        <f ca="1">IF(LEFT(OFFSET(SUP!$A$57,AR26,0),2)="\I","*","")</f>
        <v/>
      </c>
      <c r="B26" s="440" t="str">
        <f t="shared" ref="B26:B43" ca="1" si="13">IF(A26="*","",VLOOKUP("*#"&amp;AS26,$A$9:$B$24,2,FALSE))</f>
        <v>ACT_COST</v>
      </c>
      <c r="C26" s="440" t="str">
        <f ca="1">IF($A26="*","",OFFSET(ITEMS_UPS!$C$8,AR26,0))</f>
        <v>UREFOCRCO-E</v>
      </c>
      <c r="D26" s="440" t="str">
        <f ca="1">IF($A26="*","",IF(VLOOKUP("*#"&amp;$AS26,$A$10:$I$24,D$9+1,FALSE)="-","-",OFFSET(UPS!$C$37,AU26+AV26,SUMIF($A$10:$A$20,"*#"&amp;AS26,$AT$10:$AT$20))))</f>
        <v>-</v>
      </c>
      <c r="E26" s="440" t="str">
        <f t="shared" ref="E26:E43" ca="1" si="14">IF($A26="*","",IF(VLOOKUP("*#"&amp;$AS26,$A$10:$I$24,E$9+1,FALSE)="-","-",C26&amp;"-"&amp;RIGHT(VLOOKUP("*#"&amp;$AS26,$A$10:$I$24,E$9+1,FALSE),1)))</f>
        <v>-</v>
      </c>
      <c r="F26" s="440" t="str">
        <f t="shared" ref="F26:F43" ca="1" si="15">IF($A26="*","",IF(VLOOKUP("*#"&amp;$AS26,$A$10:$I$24,F$9+1,FALSE)="-","-",C26&amp;"-"&amp;RIGHT(VLOOKUP("*#"&amp;$AS26,$A$10:$I$24,F$9+1,FALSE),1)))</f>
        <v>-</v>
      </c>
      <c r="G26" s="440" t="str">
        <f t="shared" ref="G26:G43" ca="1" si="16">IF($A26="*","",VLOOKUP("*#"&amp;$AS26,$A$10:$I$20,G$9+1,FALSE))</f>
        <v>-</v>
      </c>
      <c r="H26" s="441" t="str">
        <f t="shared" ref="H26:H43" ca="1" si="17">IF($A26="*","",VLOOKUP("*#"&amp;$AS26,$A$10:$I$24,H$9+1,FALSE))</f>
        <v>-</v>
      </c>
      <c r="I26" s="441">
        <f t="shared" ref="I26:I43" ca="1" si="18">IF($A26="*","",VLOOKUP("*#"&amp;$AS26,$A$10:$I$20,I$9+1,FALSE))</f>
        <v>0</v>
      </c>
      <c r="J26" s="163">
        <f ca="1">IF($A26="*","",OFFSET(UPS!$C$37,AU26,SUMIF($A$10:$A$20,"*#"&amp;AS26,$AT$10:$AT$20)))</f>
        <v>19.837857647588002</v>
      </c>
      <c r="K26" s="163"/>
      <c r="AR26" s="42">
        <v>1</v>
      </c>
      <c r="AS26" s="42">
        <v>1</v>
      </c>
      <c r="AU26" s="42">
        <f ca="1">SUMIF(UPS!B$38:B$171,C26,UPS!BD$38:BD$171)</f>
        <v>1</v>
      </c>
    </row>
    <row r="27" spans="1:48">
      <c r="A27" s="42" t="str">
        <f ca="1">IF(LEFT(OFFSET(SUP!$A$57,AR27,0),2)="\I","*","")</f>
        <v/>
      </c>
      <c r="B27" s="440" t="str">
        <f t="shared" ca="1" si="13"/>
        <v>NCAP_AFA</v>
      </c>
      <c r="C27" s="440" t="str">
        <f ca="1">IF($A27="*","",OFFSET(ITEMS_UPS!$C$8,AR27,0))</f>
        <v>UREFOCRCO-E</v>
      </c>
      <c r="D27" s="440" t="str">
        <f ca="1">IF($A27="*","",IF(VLOOKUP("*#"&amp;$AS27,$A$10:$I$24,D$9+1,FALSE)="-","-",OFFSET(UPS!$C$37,AU27+AV27,SUMIF($A$10:$A$20,"*#"&amp;AS27,$AT$10:$AT$20))))</f>
        <v>-</v>
      </c>
      <c r="E27" s="440" t="str">
        <f t="shared" ca="1" si="14"/>
        <v>-</v>
      </c>
      <c r="F27" s="440" t="str">
        <f t="shared" ca="1" si="15"/>
        <v>-</v>
      </c>
      <c r="G27" s="440" t="str">
        <f t="shared" ca="1" si="16"/>
        <v>ANNUAL</v>
      </c>
      <c r="H27" s="441" t="str">
        <f t="shared" ca="1" si="17"/>
        <v>UP</v>
      </c>
      <c r="I27" s="441">
        <f t="shared" ca="1" si="18"/>
        <v>3</v>
      </c>
      <c r="J27" s="163">
        <f ca="1">IF($A27="*","",OFFSET(UPS!$C$37,AU27,SUMIF($A$10:$A$20,"*#"&amp;AS27,$AT$10:$AT$20)))</f>
        <v>0.78780636432572204</v>
      </c>
      <c r="K27" s="163"/>
      <c r="AR27" s="42">
        <f>AR26</f>
        <v>1</v>
      </c>
      <c r="AS27" s="42">
        <f t="shared" ref="AS27:AS32" si="19">IF(AR27=AR26,AS26+1,1)</f>
        <v>2</v>
      </c>
      <c r="AU27" s="42">
        <f ca="1">SUMIF(UPS!B$38:B$171,C27,UPS!BD$38:BD$171)</f>
        <v>1</v>
      </c>
    </row>
    <row r="28" spans="1:48" ht="15">
      <c r="A28" s="42" t="str">
        <f ca="1">IF(LEFT(OFFSET(SUP!$A$57,AR28,0),2)="\I","*","")</f>
        <v/>
      </c>
      <c r="B28" s="440" t="str">
        <f t="shared" ca="1" si="13"/>
        <v>NCAP_AFA</v>
      </c>
      <c r="C28" s="440" t="str">
        <f ca="1">IF($A28="*","",OFFSET(ITEMS_UPS!$C$8,AR28,0))</f>
        <v>UREFOCRCO-E</v>
      </c>
      <c r="D28" s="440" t="str">
        <f ca="1">IF($A28="*","",IF(VLOOKUP("*#"&amp;$AS28,$A$10:$I$24,D$9+1,FALSE)="-","-",OFFSET(UPS!$C$37,AU28+AV28,SUMIF($A$10:$A$20,"*#"&amp;AS28,$AT$10:$AT$20))))</f>
        <v>-</v>
      </c>
      <c r="E28" s="440" t="str">
        <f t="shared" ca="1" si="14"/>
        <v>-</v>
      </c>
      <c r="F28" s="440" t="str">
        <f t="shared" ca="1" si="15"/>
        <v>-</v>
      </c>
      <c r="G28" s="440" t="str">
        <f t="shared" ca="1" si="16"/>
        <v>ANNUAL</v>
      </c>
      <c r="H28" s="441" t="str">
        <f t="shared" ca="1" si="17"/>
        <v>LO</v>
      </c>
      <c r="I28" s="441">
        <f t="shared" ca="1" si="18"/>
        <v>3</v>
      </c>
      <c r="J28" s="163">
        <f ca="1">IF($A28="*","",OFFSET(UPS!$C$37,AU28,SUMIF($A$10:$A$20,"*#"&amp;AS28,$AT$10:$AT$20)))</f>
        <v>0.71279021855761659</v>
      </c>
      <c r="K28" s="163"/>
      <c r="O28" s="42">
        <f ca="1">J28</f>
        <v>0.71279021855761659</v>
      </c>
      <c r="AB28" s="42">
        <f ca="1">O28</f>
        <v>0.71279021855761659</v>
      </c>
      <c r="AC28" s="1652">
        <f ca="1">AB28</f>
        <v>0.71279021855761659</v>
      </c>
      <c r="AN28" s="872">
        <f ca="1">AC28</f>
        <v>0.71279021855761659</v>
      </c>
      <c r="AP28" s="872">
        <f ca="1">AC28</f>
        <v>0.71279021855761659</v>
      </c>
      <c r="AR28" s="42">
        <f>AR27</f>
        <v>1</v>
      </c>
      <c r="AS28" s="42">
        <f t="shared" si="19"/>
        <v>3</v>
      </c>
      <c r="AU28" s="42">
        <f ca="1">SUMIF(UPS!B$38:B$171,C28,UPS!BD$38:BD$171)</f>
        <v>1</v>
      </c>
    </row>
    <row r="29" spans="1:48">
      <c r="A29" s="42" t="str">
        <f ca="1">IF(LEFT(OFFSET(SUP!$A$57,AR29,0),2)="\I","*","")</f>
        <v/>
      </c>
      <c r="B29" s="440" t="str">
        <f t="shared" ca="1" si="13"/>
        <v>NCAP_FOM</v>
      </c>
      <c r="C29" s="440" t="str">
        <f ca="1">IF($A29="*","",OFFSET(ITEMS_UPS!$C$8,AR29,0))</f>
        <v>UREFOCRCO-E</v>
      </c>
      <c r="D29" s="440" t="str">
        <f ca="1">IF($A29="*","",IF(VLOOKUP("*#"&amp;$AS29,$A$10:$I$24,D$9+1,FALSE)="-","-",OFFSET(UPS!$C$37,AU29+AV29,SUMIF($A$10:$A$20,"*#"&amp;AS29,$AT$10:$AT$20))))</f>
        <v>-</v>
      </c>
      <c r="E29" s="440" t="str">
        <f t="shared" ca="1" si="14"/>
        <v>-</v>
      </c>
      <c r="F29" s="440" t="str">
        <f t="shared" ca="1" si="15"/>
        <v>-</v>
      </c>
      <c r="G29" s="440" t="str">
        <f t="shared" ca="1" si="16"/>
        <v>-</v>
      </c>
      <c r="H29" s="441" t="str">
        <f t="shared" ca="1" si="17"/>
        <v>-</v>
      </c>
      <c r="I29" s="441">
        <f t="shared" ca="1" si="18"/>
        <v>0</v>
      </c>
      <c r="J29" s="163">
        <f ca="1">IF($A29="*","",OFFSET(UPS!$C$37,AU29,SUMIF($A$10:$A$20,"*#"&amp;AS29,$AT$10:$AT$20)))</f>
        <v>0</v>
      </c>
      <c r="K29" s="163"/>
      <c r="AR29" s="42">
        <f>AR27</f>
        <v>1</v>
      </c>
      <c r="AS29" s="42">
        <f t="shared" si="19"/>
        <v>4</v>
      </c>
      <c r="AU29" s="42">
        <f ca="1">SUMIF(UPS!B$38:B$171,C29,UPS!BD$38:BD$171)</f>
        <v>1</v>
      </c>
    </row>
    <row r="30" spans="1:48">
      <c r="A30" s="42" t="str">
        <f ca="1">IF(LEFT(OFFSET(SUP!$A$57,AR30,0),2)="\I","*","")</f>
        <v/>
      </c>
      <c r="B30" s="440" t="str">
        <f t="shared" ca="1" si="13"/>
        <v>NCAP_BND</v>
      </c>
      <c r="C30" s="440" t="str">
        <f ca="1">IF($A30="*","",OFFSET(ITEMS_UPS!$C$8,AR30,0))</f>
        <v>UREFOCRCO-E</v>
      </c>
      <c r="D30" s="440" t="str">
        <f ca="1">IF($A30="*","",IF(VLOOKUP("*#"&amp;$AS30,$A$10:$I$24,D$9+1,FALSE)="-","-",OFFSET(UPS!$C$37,AU30+AV30,SUMIF($A$10:$A$20,"*#"&amp;AS30,$AT$10:$AT$20))))</f>
        <v>-</v>
      </c>
      <c r="E30" s="440" t="str">
        <f t="shared" ca="1" si="14"/>
        <v>-</v>
      </c>
      <c r="F30" s="440" t="str">
        <f t="shared" ca="1" si="15"/>
        <v>-</v>
      </c>
      <c r="G30" s="440" t="str">
        <f t="shared" ca="1" si="16"/>
        <v>-</v>
      </c>
      <c r="H30" s="1651" t="s">
        <v>856</v>
      </c>
      <c r="I30" s="441">
        <f t="shared" ca="1" si="18"/>
        <v>3</v>
      </c>
      <c r="J30" s="163">
        <f ca="1">IF($A30="*","",OFFSET(UPS!$C$37,AU30,SUMIF($A$10:$A$20,"*#"&amp;AS30,$AT$10:$AT$20)))</f>
        <v>0</v>
      </c>
      <c r="K30" s="163"/>
      <c r="R30" s="1044">
        <v>0</v>
      </c>
      <c r="S30" s="1044">
        <f ca="1">S45-R45</f>
        <v>162.71481229165113</v>
      </c>
      <c r="T30" s="1044">
        <f ca="1">T45-S45</f>
        <v>150.66186323301031</v>
      </c>
      <c r="U30" s="1044">
        <v>0</v>
      </c>
      <c r="AR30" s="42">
        <f t="shared" ref="AR30:AR43" si="20">AR29</f>
        <v>1</v>
      </c>
      <c r="AS30" s="42">
        <f t="shared" si="19"/>
        <v>5</v>
      </c>
      <c r="AU30" s="42">
        <f ca="1">SUMIF(UPS!B$38:B$171,C30,UPS!BD$38:BD$171)</f>
        <v>1</v>
      </c>
    </row>
    <row r="31" spans="1:48">
      <c r="A31" s="42" t="str">
        <f ca="1">IF(LEFT(OFFSET(SUP!$A$57,AR31,0),2)="\I","*","")</f>
        <v/>
      </c>
      <c r="B31" s="440" t="str">
        <f t="shared" ca="1" si="13"/>
        <v>FLO_FUNC</v>
      </c>
      <c r="C31" s="440" t="str">
        <f ca="1">IF($A31="*","",OFFSET(ITEMS_UPS!$C$8,AR31,0))</f>
        <v>UREFOCRCO-E</v>
      </c>
      <c r="D31" s="440" t="str">
        <f ca="1">IF($A31="*","",IF(VLOOKUP("*#"&amp;$AS31,$A$10:$I$24,D$9+1,FALSE)="-","-",OFFSET(UPS!$C$37,AU31+AV31,SUMIF($A$10:$A$20,"*#"&amp;AS31,$AT$10:$AT$20))))</f>
        <v>-</v>
      </c>
      <c r="E31" s="440" t="str">
        <f t="shared" ca="1" si="14"/>
        <v>UREFOCRCO-E-I</v>
      </c>
      <c r="F31" s="440" t="str">
        <f t="shared" ca="1" si="15"/>
        <v>UREFOCRCO-E-O</v>
      </c>
      <c r="G31" s="440" t="str">
        <f t="shared" ca="1" si="16"/>
        <v>ANNUAL</v>
      </c>
      <c r="H31" s="441" t="str">
        <f t="shared" ca="1" si="17"/>
        <v>-</v>
      </c>
      <c r="I31" s="441">
        <f t="shared" ca="1" si="18"/>
        <v>0</v>
      </c>
      <c r="J31" s="163">
        <f ca="1">IF($A31="*","",OFFSET(UPS!$C$37,AU31,SUMIF($A$10:$A$20,"*#"&amp;AS31,$AT$10:$AT$20)))</f>
        <v>0.96499999999999997</v>
      </c>
      <c r="K31" s="163"/>
      <c r="AR31" s="42">
        <f t="shared" si="20"/>
        <v>1</v>
      </c>
      <c r="AS31" s="42">
        <f t="shared" si="19"/>
        <v>6</v>
      </c>
      <c r="AU31" s="42">
        <f ca="1">SUMIF(UPS!B$38:B$171,C31,UPS!BD$38:BD$171)</f>
        <v>1</v>
      </c>
    </row>
    <row r="32" spans="1:48">
      <c r="A32" s="42" t="str">
        <f ca="1">IF(LEFT(OFFSET(SUP!$A$57,AR32,0),2)="\I","*","")</f>
        <v/>
      </c>
      <c r="B32" s="440" t="str">
        <f t="shared" ca="1" si="13"/>
        <v>FLO_SHAR</v>
      </c>
      <c r="C32" s="440" t="str">
        <f ca="1">IF($A32="*","",OFFSET(ITEMS_UPS!$C$8,AR32,0))</f>
        <v>UREFOCRCO-E</v>
      </c>
      <c r="D32" s="440" t="str">
        <f ca="1">IF($A32="*","",IF(VLOOKUP("*#"&amp;$AS32,$A$10:$I$24,D$9+1,FALSE)="-","-",OFFSET(UPS!$C$37,AU32+AV32,SUMIF($A$10:$A$20,"*#"&amp;AS32,$AT$10:$AT$20))))</f>
        <v>UPSOCR</v>
      </c>
      <c r="E32" s="440" t="str">
        <f t="shared" ca="1" si="14"/>
        <v>UREFOCRCO-E-I</v>
      </c>
      <c r="F32" s="440" t="str">
        <f t="shared" ca="1" si="15"/>
        <v>-</v>
      </c>
      <c r="G32" s="440" t="str">
        <f t="shared" ca="1" si="16"/>
        <v>ANNUAL</v>
      </c>
      <c r="H32" s="441" t="str">
        <f t="shared" ca="1" si="17"/>
        <v>FX</v>
      </c>
      <c r="I32" s="441">
        <f t="shared" ca="1" si="18"/>
        <v>3</v>
      </c>
      <c r="J32" s="163">
        <f ca="1">IF($A32="*","",OFFSET(UPS!$C$37,AU32+AV32,SUMIF($A$10:$A$20,"*#"&amp;AS32,$AV$10:$AV$20)))</f>
        <v>0.99366286837178408</v>
      </c>
      <c r="K32" s="163"/>
      <c r="AR32" s="42">
        <f t="shared" si="20"/>
        <v>1</v>
      </c>
      <c r="AS32" s="42">
        <f t="shared" si="19"/>
        <v>7</v>
      </c>
      <c r="AU32" s="42">
        <f ca="1">SUMIF(UPS!B$38:B$171,C32,UPS!BD$38:BD$171)</f>
        <v>1</v>
      </c>
      <c r="AV32" s="42">
        <v>0</v>
      </c>
    </row>
    <row r="33" spans="1:48">
      <c r="A33" s="42" t="str">
        <f ca="1">IF(LEFT(OFFSET(SUP!$A$57,AR33,0),2)="\I","*","")</f>
        <v/>
      </c>
      <c r="B33" s="440" t="str">
        <f t="shared" ca="1" si="13"/>
        <v>FLO_SHAR</v>
      </c>
      <c r="C33" s="440" t="str">
        <f ca="1">IF($A33="*","",OFFSET(ITEMS_UPS!$C$8,AR33,0))</f>
        <v>UREFOCRCO-E</v>
      </c>
      <c r="D33" s="440" t="str">
        <f ca="1">IF($A33="*","",IF(VLOOKUP("*#"&amp;$AS33,$A$10:$I$24,D$9+1,FALSE)="-","-",OFFSET(UPS!$C$37,AU33+AV33,SUMIF($A$10:$A$20,"*#"&amp;AS33,$AT$10:$AT$20))))</f>
        <v>UPSGIC</v>
      </c>
      <c r="E33" s="440" t="str">
        <f t="shared" ca="1" si="14"/>
        <v>UREFOCRCO-E-I</v>
      </c>
      <c r="F33" s="440" t="str">
        <f t="shared" ca="1" si="15"/>
        <v>-</v>
      </c>
      <c r="G33" s="440" t="str">
        <f t="shared" ca="1" si="16"/>
        <v>ANNUAL</v>
      </c>
      <c r="H33" s="441" t="str">
        <f t="shared" ca="1" si="17"/>
        <v>FX</v>
      </c>
      <c r="I33" s="441">
        <f t="shared" ca="1" si="18"/>
        <v>3</v>
      </c>
      <c r="J33" s="163">
        <f ca="1">IF($A33="*","",OFFSET(UPS!$C$37,AU33+AV33,SUMIF($A$10:$A$20,"*#"&amp;AS33,$AV$10:$AV$20)))</f>
        <v>0</v>
      </c>
      <c r="K33" s="163"/>
      <c r="AR33" s="42">
        <f t="shared" si="20"/>
        <v>1</v>
      </c>
      <c r="AS33" s="42">
        <f>AS32</f>
        <v>7</v>
      </c>
      <c r="AU33" s="42">
        <f ca="1">SUMIF(UPS!B$38:B$171,C33,UPS!BD$38:BD$171)</f>
        <v>1</v>
      </c>
      <c r="AV33" s="42">
        <f>AV32+1</f>
        <v>1</v>
      </c>
    </row>
    <row r="34" spans="1:48">
      <c r="A34" s="42" t="str">
        <f ca="1">IF(LEFT(OFFSET(SUP!$A$57,AR34,0),2)="\I","*","")</f>
        <v/>
      </c>
      <c r="B34" s="440" t="str">
        <f t="shared" ca="1" si="13"/>
        <v>FLO_SHAR</v>
      </c>
      <c r="C34" s="440" t="str">
        <f ca="1">IF($A34="*","",OFFSET(ITEMS_UPS!$C$8,AR34,0))</f>
        <v>UREFOCRCO-E</v>
      </c>
      <c r="D34" s="440" t="str">
        <f ca="1">IF($A34="*","",IF(VLOOKUP("*#"&amp;$AS34,$A$10:$I$24,D$9+1,FALSE)="-","-",OFFSET(UPS!$C$37,AU34+AV34,SUMIF($A$10:$A$20,"*#"&amp;AS34,$AT$10:$AT$20))))</f>
        <v>UPSELC</v>
      </c>
      <c r="E34" s="440" t="str">
        <f t="shared" ca="1" si="14"/>
        <v>UREFOCRCO-E-I</v>
      </c>
      <c r="F34" s="440" t="str">
        <f t="shared" ca="1" si="15"/>
        <v>-</v>
      </c>
      <c r="G34" s="440" t="str">
        <f t="shared" ca="1" si="16"/>
        <v>ANNUAL</v>
      </c>
      <c r="H34" s="441" t="str">
        <f t="shared" ca="1" si="17"/>
        <v>FX</v>
      </c>
      <c r="I34" s="441">
        <f t="shared" ca="1" si="18"/>
        <v>3</v>
      </c>
      <c r="J34" s="163">
        <f ca="1">IF($A34="*","",OFFSET(UPS!$C$37,AU34+AV34,SUMIF($A$10:$A$20,"*#"&amp;AS34,$AV$10:$AV$20)))</f>
        <v>6.3371316282159196E-3</v>
      </c>
      <c r="K34" s="163"/>
      <c r="AR34" s="42">
        <f t="shared" si="20"/>
        <v>1</v>
      </c>
      <c r="AS34" s="42">
        <f>AS33</f>
        <v>7</v>
      </c>
      <c r="AU34" s="42">
        <f ca="1">SUMIF(UPS!B$38:B$171,C34,UPS!BD$38:BD$171)</f>
        <v>1</v>
      </c>
      <c r="AV34" s="42">
        <f>AV33+1</f>
        <v>2</v>
      </c>
    </row>
    <row r="35" spans="1:48">
      <c r="A35" s="42" t="str">
        <f ca="1">IF(LEFT(OFFSET(SUP!$A$57,AR35,0),2)="\I","*","")</f>
        <v/>
      </c>
      <c r="B35" s="440" t="str">
        <f t="shared" ca="1" si="13"/>
        <v>FLO_SHAR</v>
      </c>
      <c r="C35" s="440" t="str">
        <f ca="1">IF($A35="*","",OFFSET(ITEMS_UPS!$C$8,AR35,0))</f>
        <v>UREFOCRCO-E</v>
      </c>
      <c r="D35" s="440" t="str">
        <f ca="1">IF($A35="*","",IF(VLOOKUP("*#"&amp;$AS35,$A$10:$I$24,D$9+1,FALSE)="-","-",OFFSET(UPS!$C$37,AU35+AV35,SUMIF($A$10:$A$20,"*#"&amp;AS35,$AT$10:$AT$20))))</f>
        <v>OAG</v>
      </c>
      <c r="E35" s="440" t="str">
        <f t="shared" ca="1" si="14"/>
        <v>UREFOCRCO-E-O</v>
      </c>
      <c r="F35" s="440" t="str">
        <f t="shared" ca="1" si="15"/>
        <v>-</v>
      </c>
      <c r="G35" s="440" t="str">
        <f t="shared" ca="1" si="16"/>
        <v>ANNUAL</v>
      </c>
      <c r="H35" s="441" t="str">
        <f t="shared" ca="1" si="17"/>
        <v>UP</v>
      </c>
      <c r="I35" s="441">
        <f t="shared" ca="1" si="18"/>
        <v>3</v>
      </c>
      <c r="J35" s="163">
        <f ca="1">IF($A35="*","",OFFSET(UPS!$C$37,AU35+AV35,SUMIF($A$10:$A$20,"*#"&amp;AS35,$AV$10:$AV$20)))</f>
        <v>2.8514857409240738E-3</v>
      </c>
      <c r="K35" s="163"/>
      <c r="AR35" s="42">
        <f t="shared" si="20"/>
        <v>1</v>
      </c>
      <c r="AS35" s="42">
        <f>IF(AR35=AR34,AS34+1,1)</f>
        <v>8</v>
      </c>
      <c r="AU35" s="42">
        <f ca="1">SUMIF(UPS!B$38:B$171,C35,UPS!BD$38:BD$171)</f>
        <v>1</v>
      </c>
      <c r="AV35" s="42">
        <f t="shared" ref="AV35:AV43" si="21">AV34+1</f>
        <v>3</v>
      </c>
    </row>
    <row r="36" spans="1:48">
      <c r="A36" s="42" t="str">
        <f ca="1">IF(LEFT(OFFSET(SUP!$A$57,AR36,0),2)="\I","*","")</f>
        <v/>
      </c>
      <c r="B36" s="440" t="str">
        <f t="shared" ca="1" si="13"/>
        <v>FLO_SHAR</v>
      </c>
      <c r="C36" s="440" t="str">
        <f ca="1">IF($A36="*","",OFFSET(ITEMS_UPS!$C$8,AR36,0))</f>
        <v>UREFOCRCO-E</v>
      </c>
      <c r="D36" s="440" t="str">
        <f ca="1">IF($A36="*","",IF(VLOOKUP("*#"&amp;$AS36,$A$10:$I$24,D$9+1,FALSE)="-","-",OFFSET(UPS!$C$37,AU36+AV36,SUMIF($A$10:$A$20,"*#"&amp;AS36,$AT$10:$AT$20))))</f>
        <v>ODS</v>
      </c>
      <c r="E36" s="440" t="str">
        <f t="shared" ca="1" si="14"/>
        <v>UREFOCRCO-E-O</v>
      </c>
      <c r="F36" s="440" t="str">
        <f t="shared" ca="1" si="15"/>
        <v>-</v>
      </c>
      <c r="G36" s="440" t="str">
        <f t="shared" ca="1" si="16"/>
        <v>ANNUAL</v>
      </c>
      <c r="H36" s="441" t="str">
        <f t="shared" ca="1" si="17"/>
        <v>UP</v>
      </c>
      <c r="I36" s="441">
        <f t="shared" ca="1" si="18"/>
        <v>3</v>
      </c>
      <c r="J36" s="163">
        <f ca="1">IF($A36="*","",OFFSET(UPS!$C$37,AU36+AV36,SUMIF($A$10:$A$20,"*#"&amp;AS36,$AV$10:$AV$20)))</f>
        <v>0.33216146888997561</v>
      </c>
      <c r="K36" s="163"/>
      <c r="AR36" s="42">
        <f t="shared" si="20"/>
        <v>1</v>
      </c>
      <c r="AS36" s="42">
        <f t="shared" ref="AS36:AS41" si="22">AS35</f>
        <v>8</v>
      </c>
      <c r="AU36" s="42">
        <f ca="1">SUMIF(UPS!B$38:B$171,C36,UPS!BD$38:BD$171)</f>
        <v>1</v>
      </c>
      <c r="AV36" s="42">
        <f t="shared" si="21"/>
        <v>4</v>
      </c>
    </row>
    <row r="37" spans="1:48">
      <c r="A37" s="42" t="str">
        <f ca="1">IF(LEFT(OFFSET(SUP!$A$57,AR37,0),2)="\I","*","")</f>
        <v/>
      </c>
      <c r="B37" s="440" t="str">
        <f t="shared" ca="1" si="13"/>
        <v>FLO_SHAR</v>
      </c>
      <c r="C37" s="440" t="str">
        <f ca="1">IF($A37="*","",OFFSET(ITEMS_UPS!$C$8,AR37,0))</f>
        <v>UREFOCRCO-E</v>
      </c>
      <c r="D37" s="440" t="str">
        <f ca="1">IF($A37="*","",IF(VLOOKUP("*#"&amp;$AS37,$A$10:$I$24,D$9+1,FALSE)="-","-",OFFSET(UPS!$C$37,AU37+AV37,SUMIF($A$10:$A$20,"*#"&amp;AS37,$AT$10:$AT$20))))</f>
        <v>OGS</v>
      </c>
      <c r="E37" s="440" t="str">
        <f t="shared" ca="1" si="14"/>
        <v>UREFOCRCO-E-O</v>
      </c>
      <c r="F37" s="440" t="str">
        <f t="shared" ca="1" si="15"/>
        <v>-</v>
      </c>
      <c r="G37" s="440" t="str">
        <f t="shared" ca="1" si="16"/>
        <v>ANNUAL</v>
      </c>
      <c r="H37" s="441" t="str">
        <f t="shared" ca="1" si="17"/>
        <v>UP</v>
      </c>
      <c r="I37" s="441">
        <f t="shared" ca="1" si="18"/>
        <v>3</v>
      </c>
      <c r="J37" s="163">
        <f ca="1">IF($A37="*","",OFFSET(UPS!$C$37,AU37+AV37,SUMIF($A$10:$A$20,"*#"&amp;AS37,$AV$10:$AV$20)))</f>
        <v>0.28959096866700185</v>
      </c>
      <c r="K37" s="163"/>
      <c r="AR37" s="42">
        <f t="shared" si="20"/>
        <v>1</v>
      </c>
      <c r="AS37" s="42">
        <f t="shared" si="22"/>
        <v>8</v>
      </c>
      <c r="AU37" s="42">
        <f ca="1">SUMIF(UPS!B$38:B$171,C37,UPS!BD$38:BD$171)</f>
        <v>1</v>
      </c>
      <c r="AV37" s="42">
        <f t="shared" si="21"/>
        <v>5</v>
      </c>
    </row>
    <row r="38" spans="1:48">
      <c r="A38" s="42" t="str">
        <f ca="1">IF(LEFT(OFFSET(SUP!$A$57,AR38,0),2)="\I","*","")</f>
        <v/>
      </c>
      <c r="B38" s="440" t="str">
        <f t="shared" ca="1" si="13"/>
        <v>FLO_SHAR</v>
      </c>
      <c r="C38" s="440" t="str">
        <f ca="1">IF($A38="*","",OFFSET(ITEMS_UPS!$C$8,AR38,0))</f>
        <v>UREFOCRCO-E</v>
      </c>
      <c r="D38" s="440" t="str">
        <f ca="1">IF($A38="*","",IF(VLOOKUP("*#"&amp;$AS38,$A$10:$I$24,D$9+1,FALSE)="-","-",OFFSET(UPS!$C$37,AU38+AV38,SUMIF($A$10:$A$20,"*#"&amp;AS38,$AT$10:$AT$20))))</f>
        <v>OHF</v>
      </c>
      <c r="E38" s="440" t="str">
        <f t="shared" ca="1" si="14"/>
        <v>UREFOCRCO-E-O</v>
      </c>
      <c r="F38" s="440" t="str">
        <f t="shared" ca="1" si="15"/>
        <v>-</v>
      </c>
      <c r="G38" s="440" t="str">
        <f t="shared" ca="1" si="16"/>
        <v>ANNUAL</v>
      </c>
      <c r="H38" s="441" t="str">
        <f t="shared" ca="1" si="17"/>
        <v>UP</v>
      </c>
      <c r="I38" s="441">
        <f t="shared" ca="1" si="18"/>
        <v>3</v>
      </c>
      <c r="J38" s="163">
        <f ca="1">IF($A38="*","",OFFSET(UPS!$C$37,AU38+AV38,SUMIF($A$10:$A$20,"*#"&amp;AS38,$AV$10:$AV$20)))</f>
        <v>0.22843104976229886</v>
      </c>
      <c r="K38" s="163"/>
      <c r="AR38" s="42">
        <f t="shared" si="20"/>
        <v>1</v>
      </c>
      <c r="AS38" s="42">
        <f t="shared" si="22"/>
        <v>8</v>
      </c>
      <c r="AU38" s="42">
        <f ca="1">SUMIF(UPS!B$38:B$171,C38,UPS!BD$38:BD$171)</f>
        <v>1</v>
      </c>
      <c r="AV38" s="42">
        <f t="shared" si="21"/>
        <v>6</v>
      </c>
    </row>
    <row r="39" spans="1:48">
      <c r="A39" s="42" t="str">
        <f ca="1">IF(LEFT(OFFSET(SUP!$A$57,AR39,0),2)="\I","*","")</f>
        <v/>
      </c>
      <c r="B39" s="440" t="str">
        <f t="shared" ca="1" si="13"/>
        <v>FLO_SHAR</v>
      </c>
      <c r="C39" s="440" t="str">
        <f ca="1">IF($A39="*","",OFFSET(ITEMS_UPS!$C$8,AR39,0))</f>
        <v>UREFOCRCO-E</v>
      </c>
      <c r="D39" s="440" t="str">
        <f ca="1">IF($A39="*","",IF(VLOOKUP("*#"&amp;$AS39,$A$10:$I$24,D$9+1,FALSE)="-","-",OFFSET(UPS!$C$37,AU39+AV39,SUMIF($A$10:$A$20,"*#"&amp;AS39,$AT$10:$AT$20))))</f>
        <v>OKE</v>
      </c>
      <c r="E39" s="440" t="str">
        <f t="shared" ca="1" si="14"/>
        <v>UREFOCRCO-E-O</v>
      </c>
      <c r="F39" s="440" t="str">
        <f t="shared" ca="1" si="15"/>
        <v>-</v>
      </c>
      <c r="G39" s="440" t="str">
        <f t="shared" ca="1" si="16"/>
        <v>ANNUAL</v>
      </c>
      <c r="H39" s="441" t="str">
        <f t="shared" ca="1" si="17"/>
        <v>UP</v>
      </c>
      <c r="I39" s="441">
        <f t="shared" ca="1" si="18"/>
        <v>3</v>
      </c>
      <c r="J39" s="163">
        <f ca="1">IF($A39="*","",OFFSET(UPS!$C$37,AU39+AV39,SUMIF($A$10:$A$20,"*#"&amp;AS39,$AV$10:$AV$20)))</f>
        <v>0.10627528143612863</v>
      </c>
      <c r="K39" s="163"/>
      <c r="AR39" s="42">
        <f t="shared" si="20"/>
        <v>1</v>
      </c>
      <c r="AS39" s="42">
        <f t="shared" si="22"/>
        <v>8</v>
      </c>
      <c r="AU39" s="42">
        <f ca="1">SUMIF(UPS!B$38:B$171,C39,UPS!BD$38:BD$171)</f>
        <v>1</v>
      </c>
      <c r="AV39" s="42">
        <f t="shared" si="21"/>
        <v>7</v>
      </c>
    </row>
    <row r="40" spans="1:48">
      <c r="A40" s="42" t="str">
        <f ca="1">IF(LEFT(OFFSET(SUP!$A$57,AR40,0),2)="\I","*","")</f>
        <v/>
      </c>
      <c r="B40" s="440" t="str">
        <f t="shared" ca="1" si="13"/>
        <v>FLO_SHAR</v>
      </c>
      <c r="C40" s="440" t="str">
        <f ca="1">IF($A40="*","",OFFSET(ITEMS_UPS!$C$8,AR40,0))</f>
        <v>UREFOCRCO-E</v>
      </c>
      <c r="D40" s="440" t="str">
        <f ca="1">IF($A40="*","",IF(VLOOKUP("*#"&amp;$AS40,$A$10:$I$24,D$9+1,FALSE)="-","-",OFFSET(UPS!$C$37,AU40+AV40,SUMIF($A$10:$A$20,"*#"&amp;AS40,$AT$10:$AT$20))))</f>
        <v>OLP</v>
      </c>
      <c r="E40" s="440" t="str">
        <f t="shared" ca="1" si="14"/>
        <v>UREFOCRCO-E-O</v>
      </c>
      <c r="F40" s="440" t="str">
        <f t="shared" ca="1" si="15"/>
        <v>-</v>
      </c>
      <c r="G40" s="440" t="str">
        <f t="shared" ca="1" si="16"/>
        <v>ANNUAL</v>
      </c>
      <c r="H40" s="441" t="str">
        <f t="shared" ca="1" si="17"/>
        <v>UP</v>
      </c>
      <c r="I40" s="441">
        <f t="shared" ca="1" si="18"/>
        <v>3</v>
      </c>
      <c r="J40" s="163">
        <f ca="1">IF($A40="*","",OFFSET(UPS!$C$37,AU40+AV40,SUMIF($A$10:$A$20,"*#"&amp;AS40,$AV$10:$AV$20)))</f>
        <v>1.9461796662135593E-2</v>
      </c>
      <c r="K40" s="163"/>
      <c r="AR40" s="42">
        <f t="shared" si="20"/>
        <v>1</v>
      </c>
      <c r="AS40" s="42">
        <f t="shared" si="22"/>
        <v>8</v>
      </c>
      <c r="AU40" s="42">
        <f ca="1">SUMIF(UPS!B$38:B$171,C40,UPS!BD$38:BD$171)</f>
        <v>1</v>
      </c>
      <c r="AV40" s="42">
        <f t="shared" si="21"/>
        <v>8</v>
      </c>
    </row>
    <row r="41" spans="1:48">
      <c r="A41" s="42" t="str">
        <f ca="1">IF(LEFT(OFFSET(SUP!$A$57,AR41,0),2)="\I","*","")</f>
        <v/>
      </c>
      <c r="B41" s="440" t="str">
        <f t="shared" ca="1" si="13"/>
        <v>FLO_SHAR</v>
      </c>
      <c r="C41" s="440" t="str">
        <f ca="1">IF($A41="*","",OFFSET(ITEMS_UPS!$C$8,AR41,0))</f>
        <v>UREFOCRCO-E</v>
      </c>
      <c r="D41" s="440" t="str">
        <f ca="1">IF($A41="*","",IF(VLOOKUP("*#"&amp;$AS41,$A$10:$I$24,D$9+1,FALSE)="-","-",OFFSET(UPS!$C$37,AU41+AV41,SUMIF($A$10:$A$20,"*#"&amp;AS41,$AT$10:$AT$20))))</f>
        <v>OTH</v>
      </c>
      <c r="E41" s="440" t="str">
        <f t="shared" ca="1" si="14"/>
        <v>UREFOCRCO-E-O</v>
      </c>
      <c r="F41" s="440" t="str">
        <f t="shared" ca="1" si="15"/>
        <v>-</v>
      </c>
      <c r="G41" s="440" t="str">
        <f t="shared" ca="1" si="16"/>
        <v>ANNUAL</v>
      </c>
      <c r="H41" s="441" t="str">
        <f t="shared" ca="1" si="17"/>
        <v>UP</v>
      </c>
      <c r="I41" s="441">
        <f t="shared" ca="1" si="18"/>
        <v>3</v>
      </c>
      <c r="J41" s="163">
        <f ca="1">IF($A41="*","",OFFSET(UPS!$C$37,AU41+AV41,SUMIF($A$10:$A$20,"*#"&amp;AS41,$AV$10:$AV$20)))</f>
        <v>2.1227948841535449E-2</v>
      </c>
      <c r="K41" s="163"/>
      <c r="AR41" s="42">
        <f t="shared" si="20"/>
        <v>1</v>
      </c>
      <c r="AS41" s="42">
        <f t="shared" si="22"/>
        <v>8</v>
      </c>
      <c r="AU41" s="42">
        <f ca="1">SUMIF(UPS!B$38:B$171,C41,UPS!BD$38:BD$171)</f>
        <v>1</v>
      </c>
      <c r="AV41" s="42">
        <f t="shared" si="21"/>
        <v>9</v>
      </c>
    </row>
    <row r="42" spans="1:48">
      <c r="B42" s="440" t="str">
        <f t="shared" si="13"/>
        <v>FLO_EMIS</v>
      </c>
      <c r="C42" s="440" t="str">
        <f ca="1">IF($A42="*","",OFFSET(ITEMS_UPS!$C$8,AR42,0))</f>
        <v>UREFOCRCO-E</v>
      </c>
      <c r="D42" s="440" t="str">
        <f>$D$18</f>
        <v>UPSCO2S</v>
      </c>
      <c r="E42" s="440" t="str">
        <f t="shared" ca="1" si="14"/>
        <v>UREFOCRCO-E-O</v>
      </c>
      <c r="F42" s="440" t="str">
        <f t="shared" si="15"/>
        <v>-</v>
      </c>
      <c r="G42" s="440" t="str">
        <f t="shared" si="16"/>
        <v>ANNUAL</v>
      </c>
      <c r="H42" s="441" t="str">
        <f t="shared" si="17"/>
        <v>-</v>
      </c>
      <c r="I42" s="441">
        <f t="shared" si="18"/>
        <v>0</v>
      </c>
      <c r="J42" s="163">
        <f ca="1">IF($A42="*","",OFFSET(UPS!$C$37,AU42,SUMIF($A$10:$A$20,"*#"&amp;AS42,$AT$10:$AT$20)))</f>
        <v>4.2865158837537818</v>
      </c>
      <c r="K42" s="163"/>
      <c r="AR42" s="42">
        <f>AR40</f>
        <v>1</v>
      </c>
      <c r="AS42" s="42">
        <f>AS40+1</f>
        <v>9</v>
      </c>
      <c r="AU42" s="42">
        <f ca="1">SUMIF(UPS!B$38:B$171,C42,UPS!BD$38:BD$171)</f>
        <v>1</v>
      </c>
      <c r="AV42" s="42">
        <f t="shared" si="21"/>
        <v>10</v>
      </c>
    </row>
    <row r="43" spans="1:48">
      <c r="B43" s="440" t="str">
        <f t="shared" si="13"/>
        <v>FLO_EMIS</v>
      </c>
      <c r="C43" s="440" t="str">
        <f ca="1">IF($A43="*","",OFFSET(ITEMS_UPS!$C$8,AR43,0))</f>
        <v>UREFOCRCO-E</v>
      </c>
      <c r="D43" s="440" t="str">
        <f>$D$19</f>
        <v>UPSCH4S</v>
      </c>
      <c r="E43" s="440" t="str">
        <f t="shared" ca="1" si="14"/>
        <v>UREFOCRCO-E-O</v>
      </c>
      <c r="F43" s="440" t="str">
        <f t="shared" si="15"/>
        <v>-</v>
      </c>
      <c r="G43" s="440" t="str">
        <f t="shared" si="16"/>
        <v>ANNUAL</v>
      </c>
      <c r="H43" s="441" t="str">
        <f t="shared" si="17"/>
        <v>-</v>
      </c>
      <c r="I43" s="441">
        <f t="shared" si="18"/>
        <v>0</v>
      </c>
      <c r="J43" s="163">
        <f ca="1">IF($A43="*","",OFFSET(UPS!$C$37,AU43,SUMIF($A$10:$A$20,"*#"&amp;AS43,$AT$10:$AT$20)))</f>
        <v>0</v>
      </c>
      <c r="K43" s="163"/>
      <c r="AR43" s="42">
        <f t="shared" si="20"/>
        <v>1</v>
      </c>
      <c r="AS43" s="42">
        <f>AS42+1</f>
        <v>10</v>
      </c>
      <c r="AU43" s="42">
        <f ca="1">SUMIF(UPS!B$38:B$171,C43,UPS!BD$38:BD$171)</f>
        <v>1</v>
      </c>
      <c r="AV43" s="42">
        <f t="shared" si="21"/>
        <v>11</v>
      </c>
    </row>
    <row r="44" spans="1:48" s="1044" customFormat="1">
      <c r="B44" s="1793" t="s">
        <v>860</v>
      </c>
      <c r="C44" s="1793" t="s">
        <v>14013</v>
      </c>
      <c r="D44" s="1793" t="s">
        <v>334</v>
      </c>
      <c r="E44" s="1793" t="s">
        <v>334</v>
      </c>
      <c r="F44" s="1793" t="s">
        <v>334</v>
      </c>
      <c r="G44" s="1793" t="s">
        <v>334</v>
      </c>
      <c r="H44" s="1651" t="s">
        <v>334</v>
      </c>
      <c r="I44" s="1651">
        <v>0</v>
      </c>
      <c r="J44" s="1793">
        <f ca="1">J45</f>
        <v>787.96154470864383</v>
      </c>
      <c r="K44" s="1793">
        <f t="shared" ref="K44:R44" ca="1" si="23">K45</f>
        <v>787.96154470864383</v>
      </c>
      <c r="L44" s="1793">
        <f t="shared" ca="1" si="23"/>
        <v>787.96154470864383</v>
      </c>
      <c r="M44" s="1793">
        <f t="shared" ca="1" si="23"/>
        <v>787.96154470864383</v>
      </c>
      <c r="N44" s="1793">
        <f t="shared" ca="1" si="23"/>
        <v>787.96154470864383</v>
      </c>
      <c r="O44" s="1793">
        <f t="shared" ca="1" si="23"/>
        <v>787.96154470864383</v>
      </c>
      <c r="P44" s="1793">
        <f t="shared" ca="1" si="23"/>
        <v>787.96154470864383</v>
      </c>
      <c r="Q44" s="1793">
        <f t="shared" ca="1" si="23"/>
        <v>787.96154470864383</v>
      </c>
      <c r="R44" s="1793">
        <f t="shared" ca="1" si="23"/>
        <v>271.19135381941851</v>
      </c>
      <c r="S44" s="1793">
        <f ca="1">R44</f>
        <v>271.19135381941851</v>
      </c>
      <c r="T44" s="1793">
        <f t="shared" ref="T44:AP44" ca="1" si="24">S44</f>
        <v>271.19135381941851</v>
      </c>
      <c r="U44" s="1793">
        <f t="shared" ca="1" si="24"/>
        <v>271.19135381941851</v>
      </c>
      <c r="V44" s="1793">
        <f t="shared" ca="1" si="24"/>
        <v>271.19135381941851</v>
      </c>
      <c r="W44" s="1793">
        <f t="shared" ca="1" si="24"/>
        <v>271.19135381941851</v>
      </c>
      <c r="X44" s="1793">
        <f t="shared" ca="1" si="24"/>
        <v>271.19135381941851</v>
      </c>
      <c r="Y44" s="1793">
        <f t="shared" ca="1" si="24"/>
        <v>271.19135381941851</v>
      </c>
      <c r="Z44" s="1793">
        <f t="shared" ca="1" si="24"/>
        <v>271.19135381941851</v>
      </c>
      <c r="AA44" s="1793">
        <f t="shared" ca="1" si="24"/>
        <v>271.19135381941851</v>
      </c>
      <c r="AB44" s="1793">
        <f t="shared" ca="1" si="24"/>
        <v>271.19135381941851</v>
      </c>
      <c r="AC44" s="1793">
        <f t="shared" ca="1" si="24"/>
        <v>271.19135381941851</v>
      </c>
      <c r="AD44" s="1793">
        <f t="shared" ca="1" si="24"/>
        <v>271.19135381941851</v>
      </c>
      <c r="AE44" s="1793">
        <f t="shared" ca="1" si="24"/>
        <v>271.19135381941851</v>
      </c>
      <c r="AF44" s="1793">
        <f t="shared" ca="1" si="24"/>
        <v>271.19135381941851</v>
      </c>
      <c r="AG44" s="1793">
        <f t="shared" ca="1" si="24"/>
        <v>271.19135381941851</v>
      </c>
      <c r="AH44" s="1793">
        <f t="shared" ca="1" si="24"/>
        <v>271.19135381941851</v>
      </c>
      <c r="AI44" s="1793">
        <f t="shared" ca="1" si="24"/>
        <v>271.19135381941851</v>
      </c>
      <c r="AJ44" s="1793">
        <f t="shared" ca="1" si="24"/>
        <v>271.19135381941851</v>
      </c>
      <c r="AK44" s="1793">
        <f t="shared" ca="1" si="24"/>
        <v>271.19135381941851</v>
      </c>
      <c r="AL44" s="1793">
        <f t="shared" ca="1" si="24"/>
        <v>271.19135381941851</v>
      </c>
      <c r="AM44" s="1793">
        <f t="shared" ca="1" si="24"/>
        <v>271.19135381941851</v>
      </c>
      <c r="AN44" s="1793">
        <f t="shared" ca="1" si="24"/>
        <v>271.19135381941851</v>
      </c>
      <c r="AO44" s="1793">
        <f t="shared" ca="1" si="24"/>
        <v>271.19135381941851</v>
      </c>
      <c r="AP44" s="1793">
        <f t="shared" ca="1" si="24"/>
        <v>271.19135381941851</v>
      </c>
      <c r="AR44" s="1044">
        <f>AR42</f>
        <v>1</v>
      </c>
      <c r="AS44" s="1044">
        <f>AS42+1</f>
        <v>10</v>
      </c>
      <c r="AU44" s="1044">
        <f>SUMIF(UPS!B$38:B$171,C44,UPS!BD$38:BD$171)</f>
        <v>1</v>
      </c>
    </row>
    <row r="45" spans="1:48" s="1044" customFormat="1">
      <c r="A45" s="1044" t="s">
        <v>310</v>
      </c>
      <c r="B45" s="1793" t="s">
        <v>860</v>
      </c>
      <c r="C45" s="1793" t="s">
        <v>14013</v>
      </c>
      <c r="D45" s="1793" t="s">
        <v>334</v>
      </c>
      <c r="E45" s="1793" t="s">
        <v>334</v>
      </c>
      <c r="F45" s="1793" t="s">
        <v>334</v>
      </c>
      <c r="G45" s="1793" t="s">
        <v>334</v>
      </c>
      <c r="H45" s="1651" t="s">
        <v>334</v>
      </c>
      <c r="I45" s="1651">
        <v>0</v>
      </c>
      <c r="J45" s="1793">
        <f ca="1">OFFSET(UPS!$C$37,$AU45,SUMIF($A$10:$A$20,"*#"&amp;$AS45,$AT$10:$AT$20)+J$8)</f>
        <v>787.96154470864383</v>
      </c>
      <c r="K45" s="1793">
        <f ca="1">OFFSET(UPS!$C$37,$AU45,SUMIF($A$10:$A$20,"*#"&amp;$AS45,$AT$10:$AT$20)+K$8)</f>
        <v>787.96154470864383</v>
      </c>
      <c r="L45" s="1793">
        <f ca="1">OFFSET(UPS!$C$37,$AU45,SUMIF($A$10:$A$20,"*#"&amp;$AS45,$AT$10:$AT$20)+L$8)</f>
        <v>787.96154470864383</v>
      </c>
      <c r="M45" s="1793">
        <f ca="1">OFFSET(UPS!$C$37,$AU45,SUMIF($A$10:$A$20,"*#"&amp;$AS45,$AT$10:$AT$20)+M$8)</f>
        <v>787.96154470864383</v>
      </c>
      <c r="N45" s="1793">
        <f ca="1">OFFSET(UPS!$C$37,$AU45,SUMIF($A$10:$A$20,"*#"&amp;$AS45,$AT$10:$AT$20)+N$8)</f>
        <v>787.96154470864383</v>
      </c>
      <c r="O45" s="1793">
        <f ca="1">OFFSET(UPS!$C$37,$AU45,SUMIF($A$10:$A$20,"*#"&amp;$AS45,$AT$10:$AT$20)+O$8)</f>
        <v>787.96154470864383</v>
      </c>
      <c r="P45" s="1793">
        <f ca="1">OFFSET(UPS!$C$37,$AU45,SUMIF($A$10:$A$20,"*#"&amp;$AS45,$AT$10:$AT$20)+P$8)</f>
        <v>787.96154470864383</v>
      </c>
      <c r="Q45" s="1793">
        <f ca="1">OFFSET(UPS!$C$37,$AU45,SUMIF($A$10:$A$20,"*#"&amp;$AS45,$AT$10:$AT$20)+Q$8)</f>
        <v>787.96154470864383</v>
      </c>
      <c r="R45" s="1793">
        <f ca="1">OFFSET(UPS!$C$37,$AU45,SUMIF($A$10:$A$20,"*#"&amp;$AS45,$AT$10:$AT$20)+R$8)</f>
        <v>271.19135381941851</v>
      </c>
      <c r="S45" s="1793">
        <f ca="1">OFFSET(UPS!$C$37,$AU45,SUMIF($A$10:$A$20,"*#"&amp;$AS45,$AT$10:$AT$20)+S$8)</f>
        <v>433.90616611106964</v>
      </c>
      <c r="T45" s="1793">
        <f ca="1">OFFSET(UPS!$C$37,$AU45,SUMIF($A$10:$A$20,"*#"&amp;$AS45,$AT$10:$AT$20)+T$8)</f>
        <v>584.56802934407995</v>
      </c>
      <c r="U45" s="1793">
        <f ca="1">OFFSET(UPS!$C$37,$AU45,SUMIF($A$10:$A$20,"*#"&amp;$AS45,$AT$10:$AT$20)+U$8)</f>
        <v>584.56802934407995</v>
      </c>
      <c r="V45" s="1793">
        <f ca="1">OFFSET(UPS!$C$37,$AU45,SUMIF($A$10:$A$20,"*#"&amp;$AS45,$AT$10:$AT$20)+V$8)</f>
        <v>584.56802934407995</v>
      </c>
      <c r="W45" s="1793">
        <f ca="1">OFFSET(UPS!$C$37,$AU45,SUMIF($A$10:$A$20,"*#"&amp;$AS45,$AT$10:$AT$20)+W$8)</f>
        <v>584.56802934407995</v>
      </c>
      <c r="X45" s="1793">
        <f ca="1">OFFSET(UPS!$C$37,$AU45,SUMIF($A$10:$A$20,"*#"&amp;$AS45,$AT$10:$AT$20)+X$8)</f>
        <v>584.56802934407995</v>
      </c>
      <c r="Y45" s="1793">
        <f ca="1">OFFSET(UPS!$C$37,$AU45,SUMIF($A$10:$A$20,"*#"&amp;$AS45,$AT$10:$AT$20)+Y$8)</f>
        <v>584.56802934407995</v>
      </c>
      <c r="Z45" s="1793">
        <f ca="1">OFFSET(UPS!$C$37,$AU45,SUMIF($A$10:$A$20,"*#"&amp;$AS45,$AT$10:$AT$20)+Z$8)</f>
        <v>584.56802934407995</v>
      </c>
      <c r="AA45" s="1793">
        <f ca="1">OFFSET(UPS!$C$37,$AU45,SUMIF($A$10:$A$20,"*#"&amp;$AS45,$AT$10:$AT$20)+AA$8)</f>
        <v>584.56802934407995</v>
      </c>
      <c r="AB45" s="1793">
        <f ca="1">OFFSET(UPS!$C$37,$AU45,SUMIF($A$10:$A$20,"*#"&amp;$AS45,$AT$10:$AT$20)+AB$8)</f>
        <v>584.56802934407995</v>
      </c>
      <c r="AC45" s="1793">
        <f ca="1">OFFSET(UPS!$C$37,$AU45,SUMIF($A$10:$A$20,"*#"&amp;$AS45,$AT$10:$AT$20)+AC$8)</f>
        <v>584.56802934407995</v>
      </c>
      <c r="AD45" s="1793">
        <f ca="1">OFFSET(UPS!$C$37,$AU45,SUMIF($A$10:$A$20,"*#"&amp;$AS45,$AT$10:$AT$20)+AD$8)</f>
        <v>584.56802934407995</v>
      </c>
      <c r="AE45" s="1793">
        <f ca="1">OFFSET(UPS!$C$37,$AU45,SUMIF($A$10:$A$20,"*#"&amp;$AS45,$AT$10:$AT$20)+AE$8)</f>
        <v>584.56802934407995</v>
      </c>
      <c r="AF45" s="1793">
        <f ca="1">OFFSET(UPS!$C$37,$AU45,SUMIF($A$10:$A$20,"*#"&amp;$AS45,$AT$10:$AT$20)+AF$8)</f>
        <v>584.56802934407995</v>
      </c>
      <c r="AG45" s="1793">
        <f ca="1">OFFSET(UPS!$C$37,$AU45,SUMIF($A$10:$A$20,"*#"&amp;$AS45,$AT$10:$AT$20)+AG$8)</f>
        <v>584.56802934407995</v>
      </c>
      <c r="AH45" s="1793">
        <f ca="1">OFFSET(UPS!$C$37,$AU45,SUMIF($A$10:$A$20,"*#"&amp;$AS45,$AT$10:$AT$20)+AH$8)</f>
        <v>584.56802934407995</v>
      </c>
      <c r="AI45" s="1793">
        <f ca="1">OFFSET(UPS!$C$37,$AU45,SUMIF($A$10:$A$20,"*#"&amp;$AS45,$AT$10:$AT$20)+AI$8)</f>
        <v>584.56802934407995</v>
      </c>
      <c r="AJ45" s="1793">
        <f ca="1">OFFSET(UPS!$C$37,$AU45,SUMIF($A$10:$A$20,"*#"&amp;$AS45,$AT$10:$AT$20)+AJ$8)</f>
        <v>584.56802934407995</v>
      </c>
      <c r="AK45" s="1793">
        <f ca="1">OFFSET(UPS!$C$37,$AU45,SUMIF($A$10:$A$20,"*#"&amp;$AS45,$AT$10:$AT$20)+AK$8)</f>
        <v>584.56802934407995</v>
      </c>
      <c r="AL45" s="1793">
        <f ca="1">OFFSET(UPS!$C$37,$AU45,SUMIF($A$10:$A$20,"*#"&amp;$AS45,$AT$10:$AT$20)+AL$8)</f>
        <v>584.56802934407995</v>
      </c>
      <c r="AM45" s="1793">
        <f ca="1">OFFSET(UPS!$C$37,$AU45,SUMIF($A$10:$A$20,"*#"&amp;$AS45,$AT$10:$AT$20)+AM$8)</f>
        <v>584.56802934407995</v>
      </c>
      <c r="AN45" s="1793">
        <f ca="1">OFFSET(UPS!$C$37,$AU45,SUMIF($A$10:$A$20,"*#"&amp;$AS45,$AT$10:$AT$20)+AN$8)</f>
        <v>584.56802934407995</v>
      </c>
      <c r="AO45" s="1793">
        <f ca="1">OFFSET(UPS!$C$37,$AU45,SUMIF($A$10:$A$20,"*#"&amp;$AS45,$AT$10:$AT$20)+AO$8)</f>
        <v>584.56802934407995</v>
      </c>
      <c r="AP45" s="1793">
        <f ca="1">OFFSET(UPS!$C$37,$AU45,SUMIF($A$10:$A$20,"*#"&amp;$AS45,$AT$10:$AT$20)+AP$8)</f>
        <v>584.56802934407995</v>
      </c>
      <c r="AR45" s="1044">
        <f>AR43</f>
        <v>1</v>
      </c>
      <c r="AS45" s="1044">
        <f>AS43+1</f>
        <v>11</v>
      </c>
      <c r="AU45" s="1044">
        <f>SUMIF(UPS!B$38:B$171,C45,UPS!BD$38:BD$171)</f>
        <v>1</v>
      </c>
    </row>
    <row r="46" spans="1:48">
      <c r="A46" s="42" t="s">
        <v>310</v>
      </c>
      <c r="B46" s="440" t="str">
        <f>IF(A46="*","",VLOOKUP("*"&amp;AS46,$A$9:$B$24,2,FALSE))</f>
        <v/>
      </c>
      <c r="C46" s="440"/>
      <c r="D46" s="440"/>
      <c r="E46" s="440"/>
      <c r="F46" s="440"/>
      <c r="G46" s="440"/>
      <c r="H46" s="441"/>
      <c r="I46" s="441"/>
      <c r="J46" s="163"/>
      <c r="K46" s="163"/>
    </row>
    <row r="47" spans="1:48">
      <c r="B47" s="440" t="str">
        <f t="shared" ref="B47:B65" si="25">IF(A47="*","",VLOOKUP("*#"&amp;AS47,$A$9:$B$24,2,FALSE))</f>
        <v>ACT_COST</v>
      </c>
      <c r="C47" s="440" t="str">
        <f ca="1">IF($A47="*","",OFFSET(ITEMS_UPS!$C$8,AR47,0))</f>
        <v>UREFOCRIN-E</v>
      </c>
      <c r="D47" s="440" t="str">
        <f ca="1">IF($A47="*","",IF(VLOOKUP("*#"&amp;$AS47,$A$10:$I$24,D$9+1,FALSE)="-","-",OFFSET(UPS!$C$37,AU47+AV47,SUMIF($A$10:$A$20,"*#"&amp;AS47,$AT$10:$AT$20))))</f>
        <v>-</v>
      </c>
      <c r="E47" s="440" t="str">
        <f t="shared" ref="E47:E65" si="26">IF($A47="*","",IF(VLOOKUP("*#"&amp;$AS47,$A$10:$I$24,E$9+1,FALSE)="-","-",C47&amp;"-"&amp;RIGHT(VLOOKUP("*#"&amp;$AS47,$A$10:$I$24,E$9+1,FALSE),1)))</f>
        <v>-</v>
      </c>
      <c r="F47" s="440" t="str">
        <f t="shared" ref="F47:F65" si="27">IF($A47="*","",IF(VLOOKUP("*#"&amp;$AS47,$A$10:$I$24,F$9+1,FALSE)="-","-",C47&amp;"-"&amp;RIGHT(VLOOKUP("*#"&amp;$AS47,$A$10:$I$24,F$9+1,FALSE),1)))</f>
        <v>-</v>
      </c>
      <c r="G47" s="440" t="str">
        <f t="shared" ref="G47:G65" si="28">IF($A47="*","",VLOOKUP("*#"&amp;$AS47,$A$10:$I$20,G$9+1,FALSE))</f>
        <v>-</v>
      </c>
      <c r="H47" s="441" t="str">
        <f t="shared" ref="H47:H65" si="29">IF($A47="*","",VLOOKUP("*#"&amp;$AS47,$A$10:$I$24,H$9+1,FALSE))</f>
        <v>-</v>
      </c>
      <c r="I47" s="441">
        <f t="shared" ref="I47:I65" si="30">IF($A47="*","",VLOOKUP("*#"&amp;$AS47,$A$10:$I$20,I$9+1,FALSE))</f>
        <v>0</v>
      </c>
      <c r="J47" s="163">
        <f ca="1">IF($A47="*","",OFFSET(UPS!$C$37,AU47,SUMIF($A$10:$A$20,"*#"&amp;AS47,$AT$10:$AT$20)))</f>
        <v>19.837857647588002</v>
      </c>
      <c r="K47" s="163"/>
      <c r="AR47" s="42">
        <v>2</v>
      </c>
      <c r="AS47" s="42">
        <v>1</v>
      </c>
      <c r="AU47" s="42">
        <f ca="1">SUMIF(UPS!B$38:B$171,C47,UPS!BD$38:BD$171)</f>
        <v>12</v>
      </c>
    </row>
    <row r="48" spans="1:48">
      <c r="B48" s="440" t="str">
        <f t="shared" si="25"/>
        <v>NCAP_AFA</v>
      </c>
      <c r="C48" s="440" t="str">
        <f ca="1">IF($A48="*","",OFFSET(ITEMS_UPS!$C$8,AR48,0))</f>
        <v>UREFOCRIN-E</v>
      </c>
      <c r="D48" s="440" t="str">
        <f ca="1">IF($A48="*","",IF(VLOOKUP("*#"&amp;$AS48,$A$10:$I$24,D$9+1,FALSE)="-","-",OFFSET(UPS!$C$37,AU48+AV48,SUMIF($A$10:$A$20,"*#"&amp;AS48,$AT$10:$AT$20))))</f>
        <v>-</v>
      </c>
      <c r="E48" s="440" t="str">
        <f t="shared" si="26"/>
        <v>-</v>
      </c>
      <c r="F48" s="440" t="str">
        <f t="shared" si="27"/>
        <v>-</v>
      </c>
      <c r="G48" s="440" t="str">
        <f t="shared" si="28"/>
        <v>ANNUAL</v>
      </c>
      <c r="H48" s="441" t="str">
        <f t="shared" si="29"/>
        <v>UP</v>
      </c>
      <c r="I48" s="441">
        <f t="shared" si="30"/>
        <v>3</v>
      </c>
      <c r="J48" s="163">
        <f ca="1">IF($A48="*","",OFFSET(UPS!$C$37,AU48,SUMIF($A$10:$A$20,"*#"&amp;AS48,$AT$10:$AT$20)))</f>
        <v>0.95890410958904104</v>
      </c>
      <c r="K48" s="163"/>
      <c r="AR48" s="42">
        <f t="shared" ref="AR48:AR62" si="31">AR47</f>
        <v>2</v>
      </c>
      <c r="AS48" s="42">
        <f t="shared" ref="AS48:AS53" si="32">IF(AR48=AR47,AS47+1,1)</f>
        <v>2</v>
      </c>
      <c r="AU48" s="42">
        <f ca="1">SUMIF(UPS!B$38:B$171,C48,UPS!BD$38:BD$171)</f>
        <v>12</v>
      </c>
    </row>
    <row r="49" spans="2:48" ht="15">
      <c r="B49" s="440" t="str">
        <f t="shared" si="25"/>
        <v>NCAP_AFA</v>
      </c>
      <c r="C49" s="440" t="str">
        <f ca="1">IF($A49="*","",OFFSET(ITEMS_UPS!$C$8,AR49,0))</f>
        <v>UREFOCRIN-E</v>
      </c>
      <c r="D49" s="440" t="str">
        <f ca="1">IF($A49="*","",IF(VLOOKUP("*#"&amp;$AS49,$A$10:$I$24,D$9+1,FALSE)="-","-",OFFSET(UPS!$C$37,AU49+AV49,SUMIF($A$10:$A$20,"*#"&amp;AS49,$AT$10:$AT$20))))</f>
        <v>-</v>
      </c>
      <c r="E49" s="440" t="str">
        <f t="shared" si="26"/>
        <v>-</v>
      </c>
      <c r="F49" s="440" t="str">
        <f t="shared" si="27"/>
        <v>-</v>
      </c>
      <c r="G49" s="440" t="str">
        <f t="shared" si="28"/>
        <v>ANNUAL</v>
      </c>
      <c r="H49" s="441" t="str">
        <f t="shared" si="29"/>
        <v>LO</v>
      </c>
      <c r="I49" s="441">
        <f t="shared" si="30"/>
        <v>3</v>
      </c>
      <c r="J49" s="163">
        <f ca="1">IF($A49="*","",OFFSET(UPS!$C$37,AU49,SUMIF($A$10:$A$20,"*#"&amp;AS49,$AT$10:$AT$20)))</f>
        <v>0.91095890410958891</v>
      </c>
      <c r="K49" s="163"/>
      <c r="O49" s="42">
        <f ca="1">J49</f>
        <v>0.91095890410958891</v>
      </c>
      <c r="AB49" s="42">
        <f ca="1">O49</f>
        <v>0.91095890410958891</v>
      </c>
      <c r="AC49" s="1652">
        <f ca="1">AB49</f>
        <v>0.91095890410958891</v>
      </c>
      <c r="AN49" s="872">
        <f ca="1">AC49</f>
        <v>0.91095890410958891</v>
      </c>
      <c r="AP49" s="872">
        <f ca="1">AN49</f>
        <v>0.91095890410958891</v>
      </c>
      <c r="AR49" s="42">
        <f t="shared" si="31"/>
        <v>2</v>
      </c>
      <c r="AS49" s="42">
        <f t="shared" si="32"/>
        <v>3</v>
      </c>
      <c r="AU49" s="42">
        <f ca="1">SUMIF(UPS!B$38:B$171,C49,UPS!BD$38:BD$171)</f>
        <v>12</v>
      </c>
    </row>
    <row r="50" spans="2:48">
      <c r="B50" s="440" t="str">
        <f t="shared" si="25"/>
        <v>NCAP_FOM</v>
      </c>
      <c r="C50" s="440" t="str">
        <f ca="1">IF($A50="*","",OFFSET(ITEMS_UPS!$C$8,AR50,0))</f>
        <v>UREFOCRIN-E</v>
      </c>
      <c r="D50" s="440" t="str">
        <f ca="1">IF($A50="*","",IF(VLOOKUP("*#"&amp;$AS50,$A$10:$I$24,D$9+1,FALSE)="-","-",OFFSET(UPS!$C$37,AU50+AV50,SUMIF($A$10:$A$20,"*#"&amp;AS50,$AT$10:$AT$20))))</f>
        <v>-</v>
      </c>
      <c r="E50" s="440" t="str">
        <f t="shared" si="26"/>
        <v>-</v>
      </c>
      <c r="F50" s="440" t="str">
        <f t="shared" si="27"/>
        <v>-</v>
      </c>
      <c r="G50" s="440" t="str">
        <f t="shared" si="28"/>
        <v>-</v>
      </c>
      <c r="H50" s="441" t="str">
        <f t="shared" si="29"/>
        <v>-</v>
      </c>
      <c r="I50" s="441">
        <f t="shared" si="30"/>
        <v>0</v>
      </c>
      <c r="J50" s="163">
        <f ca="1">IF($A50="*","",OFFSET(UPS!$C$37,AU50,SUMIF($A$10:$A$20,"*#"&amp;AS50,$AT$10:$AT$20)))</f>
        <v>0</v>
      </c>
      <c r="K50" s="163"/>
      <c r="AR50" s="42">
        <f t="shared" si="31"/>
        <v>2</v>
      </c>
      <c r="AS50" s="42">
        <f t="shared" si="32"/>
        <v>4</v>
      </c>
      <c r="AU50" s="42">
        <f ca="1">SUMIF(UPS!B$38:B$171,C50,UPS!BD$38:BD$171)</f>
        <v>12</v>
      </c>
    </row>
    <row r="51" spans="2:48">
      <c r="B51" s="440" t="str">
        <f t="shared" si="25"/>
        <v>NCAP_BND</v>
      </c>
      <c r="C51" s="440" t="str">
        <f ca="1">IF($A51="*","",OFFSET(ITEMS_UPS!$C$8,AR51,0))</f>
        <v>UREFOCRIN-E</v>
      </c>
      <c r="D51" s="440" t="str">
        <f ca="1">IF($A51="*","",IF(VLOOKUP("*#"&amp;$AS51,$A$10:$I$24,D$9+1,FALSE)="-","-",OFFSET(UPS!$C$37,AU51+AV51,SUMIF($A$10:$A$20,"*#"&amp;AS51,$AT$10:$AT$20))))</f>
        <v>-</v>
      </c>
      <c r="E51" s="440" t="str">
        <f t="shared" si="26"/>
        <v>-</v>
      </c>
      <c r="F51" s="440" t="str">
        <f t="shared" si="27"/>
        <v>-</v>
      </c>
      <c r="G51" s="440" t="str">
        <f t="shared" si="28"/>
        <v>-</v>
      </c>
      <c r="H51" s="441" t="str">
        <f t="shared" si="29"/>
        <v>UP</v>
      </c>
      <c r="I51" s="441">
        <f t="shared" si="30"/>
        <v>3</v>
      </c>
      <c r="J51" s="163">
        <f ca="1">IF($A51="*","",OFFSET(UPS!$C$37,AU51,SUMIF($A$10:$A$20,"*#"&amp;AS51,$AT$10:$AT$20)))</f>
        <v>0</v>
      </c>
      <c r="K51" s="163"/>
      <c r="AR51" s="42">
        <f>AR49</f>
        <v>2</v>
      </c>
      <c r="AS51" s="42">
        <f t="shared" si="32"/>
        <v>5</v>
      </c>
      <c r="AU51" s="42">
        <f ca="1">SUMIF(UPS!B$38:B$171,C51,UPS!BD$38:BD$171)</f>
        <v>12</v>
      </c>
    </row>
    <row r="52" spans="2:48">
      <c r="B52" s="440" t="str">
        <f t="shared" si="25"/>
        <v>FLO_FUNC</v>
      </c>
      <c r="C52" s="440" t="str">
        <f ca="1">IF($A52="*","",OFFSET(ITEMS_UPS!$C$8,AR52,0))</f>
        <v>UREFOCRIN-E</v>
      </c>
      <c r="D52" s="440" t="str">
        <f ca="1">IF($A52="*","",IF(VLOOKUP("*#"&amp;$AS52,$A$10:$I$24,D$9+1,FALSE)="-","-",OFFSET(UPS!$C$37,AU52+AV52,SUMIF($A$10:$A$20,"*#"&amp;AS52,$AT$10:$AT$20))))</f>
        <v>-</v>
      </c>
      <c r="E52" s="440" t="str">
        <f t="shared" ca="1" si="26"/>
        <v>UREFOCRIN-E-I</v>
      </c>
      <c r="F52" s="440" t="str">
        <f t="shared" ca="1" si="27"/>
        <v>UREFOCRIN-E-O</v>
      </c>
      <c r="G52" s="440" t="str">
        <f t="shared" si="28"/>
        <v>ANNUAL</v>
      </c>
      <c r="H52" s="441" t="str">
        <f t="shared" si="29"/>
        <v>-</v>
      </c>
      <c r="I52" s="441">
        <f t="shared" si="30"/>
        <v>0</v>
      </c>
      <c r="J52" s="163">
        <f ca="1">IF($A52="*","",OFFSET(UPS!$C$37,AU52,SUMIF($A$10:$A$20,"*#"&amp;AS52,$AT$10:$AT$20)))</f>
        <v>0.96</v>
      </c>
      <c r="K52" s="163"/>
      <c r="AR52" s="42">
        <f t="shared" si="31"/>
        <v>2</v>
      </c>
      <c r="AS52" s="42">
        <f t="shared" si="32"/>
        <v>6</v>
      </c>
      <c r="AU52" s="42">
        <f ca="1">SUMIF(UPS!B$38:B$171,C52,UPS!BD$38:BD$171)</f>
        <v>12</v>
      </c>
    </row>
    <row r="53" spans="2:48">
      <c r="B53" s="440" t="str">
        <f t="shared" si="25"/>
        <v>FLO_SHAR</v>
      </c>
      <c r="C53" s="440" t="str">
        <f ca="1">IF($A53="*","",OFFSET(ITEMS_UPS!$C$8,AR53,0))</f>
        <v>UREFOCRIN-E</v>
      </c>
      <c r="D53" s="440" t="str">
        <f ca="1">IF($A53="*","",IF(VLOOKUP("*#"&amp;$AS53,$A$10:$I$24,D$9+1,FALSE)="-","-",OFFSET(UPS!$C$37,AU53+AV53,SUMIF($A$10:$A$20,"*#"&amp;AS53,$AT$10:$AT$20))))</f>
        <v>UPSOCR</v>
      </c>
      <c r="E53" s="440" t="str">
        <f t="shared" ca="1" si="26"/>
        <v>UREFOCRIN-E-I</v>
      </c>
      <c r="F53" s="440" t="str">
        <f t="shared" si="27"/>
        <v>-</v>
      </c>
      <c r="G53" s="440" t="str">
        <f t="shared" si="28"/>
        <v>ANNUAL</v>
      </c>
      <c r="H53" s="441" t="str">
        <f t="shared" si="29"/>
        <v>FX</v>
      </c>
      <c r="I53" s="441">
        <f t="shared" si="30"/>
        <v>3</v>
      </c>
      <c r="J53" s="163">
        <f ca="1">IF($A53="*","",OFFSET(UPS!$C$37,AU53+AV53,SUMIF($A$10:$A$20,"*#"&amp;AS53,$AV$10:$AV$20)))</f>
        <v>0.99483799404453233</v>
      </c>
      <c r="K53" s="163"/>
      <c r="AR53" s="42">
        <f t="shared" si="31"/>
        <v>2</v>
      </c>
      <c r="AS53" s="42">
        <f t="shared" si="32"/>
        <v>7</v>
      </c>
      <c r="AU53" s="42">
        <f ca="1">SUMIF(UPS!B$38:B$171,C53,UPS!BD$38:BD$171)</f>
        <v>12</v>
      </c>
      <c r="AV53" s="42">
        <v>0</v>
      </c>
    </row>
    <row r="54" spans="2:48">
      <c r="B54" s="440" t="str">
        <f t="shared" si="25"/>
        <v>FLO_SHAR</v>
      </c>
      <c r="C54" s="440" t="str">
        <f ca="1">IF($A54="*","",OFFSET(ITEMS_UPS!$C$8,AR54,0))</f>
        <v>UREFOCRIN-E</v>
      </c>
      <c r="D54" s="440" t="str">
        <f ca="1">IF($A54="*","",IF(VLOOKUP("*#"&amp;$AS54,$A$10:$I$24,D$9+1,FALSE)="-","-",OFFSET(UPS!$C$37,AU54+AV54,SUMIF($A$10:$A$20,"*#"&amp;AS54,$AT$10:$AT$20))))</f>
        <v>UPSGAS</v>
      </c>
      <c r="E54" s="440" t="str">
        <f t="shared" ca="1" si="26"/>
        <v>UREFOCRIN-E-I</v>
      </c>
      <c r="F54" s="440" t="str">
        <f t="shared" si="27"/>
        <v>-</v>
      </c>
      <c r="G54" s="440" t="str">
        <f t="shared" si="28"/>
        <v>ANNUAL</v>
      </c>
      <c r="H54" s="441" t="str">
        <f t="shared" si="29"/>
        <v>FX</v>
      </c>
      <c r="I54" s="441">
        <f t="shared" si="30"/>
        <v>3</v>
      </c>
      <c r="J54" s="163">
        <f ca="1">IF($A54="*","",OFFSET(UPS!$C$37,AU54+AV54,SUMIF($A$10:$A$20,"*#"&amp;AS54,$AV$10:$AV$20)))</f>
        <v>0</v>
      </c>
      <c r="K54" s="163"/>
      <c r="AR54" s="42">
        <f t="shared" si="31"/>
        <v>2</v>
      </c>
      <c r="AS54" s="42">
        <f>AS53</f>
        <v>7</v>
      </c>
      <c r="AU54" s="42">
        <f ca="1">SUMIF(UPS!B$38:B$171,C54,UPS!BD$38:BD$171)</f>
        <v>12</v>
      </c>
      <c r="AV54" s="42">
        <f>AV53+1</f>
        <v>1</v>
      </c>
    </row>
    <row r="55" spans="2:48">
      <c r="B55" s="440" t="str">
        <f t="shared" si="25"/>
        <v>FLO_SHAR</v>
      </c>
      <c r="C55" s="440" t="str">
        <f ca="1">IF($A55="*","",OFFSET(ITEMS_UPS!$C$8,AR55,0))</f>
        <v>UREFOCRIN-E</v>
      </c>
      <c r="D55" s="440" t="str">
        <f ca="1">IF($A55="*","",IF(VLOOKUP("*#"&amp;$AS55,$A$10:$I$24,D$9+1,FALSE)="-","-",OFFSET(UPS!$C$37,AU55+AV55,SUMIF($A$10:$A$20,"*#"&amp;AS55,$AT$10:$AT$20))))</f>
        <v>UPSELC</v>
      </c>
      <c r="E55" s="440" t="str">
        <f t="shared" ca="1" si="26"/>
        <v>UREFOCRIN-E-I</v>
      </c>
      <c r="F55" s="440" t="str">
        <f t="shared" si="27"/>
        <v>-</v>
      </c>
      <c r="G55" s="440" t="str">
        <f t="shared" si="28"/>
        <v>ANNUAL</v>
      </c>
      <c r="H55" s="441" t="str">
        <f t="shared" si="29"/>
        <v>FX</v>
      </c>
      <c r="I55" s="441">
        <f t="shared" si="30"/>
        <v>3</v>
      </c>
      <c r="J55" s="163">
        <f ca="1">IF($A55="*","",OFFSET(UPS!$C$37,AU55+AV55,SUMIF($A$10:$A$20,"*#"&amp;AS55,$AV$10:$AV$20)))</f>
        <v>5.1620059554676745E-3</v>
      </c>
      <c r="K55" s="163"/>
      <c r="AR55" s="42">
        <f t="shared" si="31"/>
        <v>2</v>
      </c>
      <c r="AS55" s="42">
        <f>AS54</f>
        <v>7</v>
      </c>
      <c r="AU55" s="42">
        <f ca="1">SUMIF(UPS!B$38:B$171,C55,UPS!BD$38:BD$171)</f>
        <v>12</v>
      </c>
      <c r="AV55" s="42">
        <f>AV54+1</f>
        <v>2</v>
      </c>
    </row>
    <row r="56" spans="2:48">
      <c r="B56" s="440" t="str">
        <f t="shared" si="25"/>
        <v>FLO_SHAR</v>
      </c>
      <c r="C56" s="440" t="str">
        <f ca="1">IF($A56="*","",OFFSET(ITEMS_UPS!$C$8,AR56,0))</f>
        <v>UREFOCRIN-E</v>
      </c>
      <c r="D56" s="440" t="str">
        <f ca="1">IF($A56="*","",IF(VLOOKUP("*#"&amp;$AS56,$A$10:$I$24,D$9+1,FALSE)="-","-",OFFSET(UPS!$C$37,AU56+AV56,SUMIF($A$10:$A$20,"*#"&amp;AS56,$AT$10:$AT$20))))</f>
        <v>OAG</v>
      </c>
      <c r="E56" s="440" t="str">
        <f t="shared" ca="1" si="26"/>
        <v>UREFOCRIN-E-O</v>
      </c>
      <c r="F56" s="440" t="str">
        <f t="shared" si="27"/>
        <v>-</v>
      </c>
      <c r="G56" s="440" t="str">
        <f t="shared" si="28"/>
        <v>ANNUAL</v>
      </c>
      <c r="H56" s="441" t="str">
        <f t="shared" si="29"/>
        <v>UP</v>
      </c>
      <c r="I56" s="441">
        <f t="shared" si="30"/>
        <v>3</v>
      </c>
      <c r="J56" s="163">
        <f ca="1">IF($A56="*","",OFFSET(UPS!$C$37,AU56+AV56,SUMIF($A$10:$A$20,"*#"&amp;AS56,$AV$10:$AV$20)))</f>
        <v>0</v>
      </c>
      <c r="K56" s="163"/>
      <c r="AR56" s="42">
        <f t="shared" si="31"/>
        <v>2</v>
      </c>
      <c r="AS56" s="42">
        <f>IF(AR56=AR55,AS55+1,1)</f>
        <v>8</v>
      </c>
      <c r="AU56" s="42">
        <f ca="1">SUMIF(UPS!B$38:B$171,C56,UPS!BD$38:BD$171)</f>
        <v>12</v>
      </c>
      <c r="AV56" s="42">
        <f t="shared" ref="AV56:AV62" si="33">AV55+1</f>
        <v>3</v>
      </c>
    </row>
    <row r="57" spans="2:48">
      <c r="B57" s="440" t="str">
        <f t="shared" si="25"/>
        <v>FLO_SHAR</v>
      </c>
      <c r="C57" s="440" t="str">
        <f ca="1">IF($A57="*","",OFFSET(ITEMS_UPS!$C$8,AR57,0))</f>
        <v>UREFOCRIN-E</v>
      </c>
      <c r="D57" s="440" t="str">
        <f ca="1">IF($A57="*","",IF(VLOOKUP("*#"&amp;$AS57,$A$10:$I$24,D$9+1,FALSE)="-","-",OFFSET(UPS!$C$37,AU57+AV57,SUMIF($A$10:$A$20,"*#"&amp;AS57,$AT$10:$AT$20))))</f>
        <v>ODS</v>
      </c>
      <c r="E57" s="440" t="str">
        <f t="shared" ca="1" si="26"/>
        <v>UREFOCRIN-E-O</v>
      </c>
      <c r="F57" s="440" t="str">
        <f t="shared" si="27"/>
        <v>-</v>
      </c>
      <c r="G57" s="440" t="str">
        <f t="shared" si="28"/>
        <v>ANNUAL</v>
      </c>
      <c r="H57" s="441" t="str">
        <f t="shared" si="29"/>
        <v>UP</v>
      </c>
      <c r="I57" s="441">
        <f t="shared" si="30"/>
        <v>3</v>
      </c>
      <c r="J57" s="163">
        <f ca="1">IF($A57="*","",OFFSET(UPS!$C$37,AU57+AV57,SUMIF($A$10:$A$20,"*#"&amp;AS57,$AV$10:$AV$20)))</f>
        <v>0.38519100880852519</v>
      </c>
      <c r="K57" s="163"/>
      <c r="AR57" s="42">
        <f t="shared" si="31"/>
        <v>2</v>
      </c>
      <c r="AS57" s="42">
        <f t="shared" ref="AS57:AS62" si="34">AS56</f>
        <v>8</v>
      </c>
      <c r="AU57" s="42">
        <f ca="1">SUMIF(UPS!B$38:B$171,C57,UPS!BD$38:BD$171)</f>
        <v>12</v>
      </c>
      <c r="AV57" s="42">
        <f t="shared" si="33"/>
        <v>4</v>
      </c>
    </row>
    <row r="58" spans="2:48">
      <c r="B58" s="440" t="str">
        <f t="shared" si="25"/>
        <v>FLO_SHAR</v>
      </c>
      <c r="C58" s="440" t="str">
        <f ca="1">IF($A58="*","",OFFSET(ITEMS_UPS!$C$8,AR58,0))</f>
        <v>UREFOCRIN-E</v>
      </c>
      <c r="D58" s="440" t="str">
        <f ca="1">IF($A58="*","",IF(VLOOKUP("*#"&amp;$AS58,$A$10:$I$24,D$9+1,FALSE)="-","-",OFFSET(UPS!$C$37,AU58+AV58,SUMIF($A$10:$A$20,"*#"&amp;AS58,$AT$10:$AT$20))))</f>
        <v>OGS</v>
      </c>
      <c r="E58" s="440" t="str">
        <f t="shared" ca="1" si="26"/>
        <v>UREFOCRIN-E-O</v>
      </c>
      <c r="F58" s="440" t="str">
        <f t="shared" si="27"/>
        <v>-</v>
      </c>
      <c r="G58" s="440" t="str">
        <f t="shared" si="28"/>
        <v>ANNUAL</v>
      </c>
      <c r="H58" s="441" t="str">
        <f t="shared" si="29"/>
        <v>UP</v>
      </c>
      <c r="I58" s="441">
        <f t="shared" si="30"/>
        <v>3</v>
      </c>
      <c r="J58" s="163">
        <f ca="1">IF($A58="*","",OFFSET(UPS!$C$37,AU58+AV58,SUMIF($A$10:$A$20,"*#"&amp;AS58,$AV$10:$AV$20)))</f>
        <v>0.32388872844513639</v>
      </c>
      <c r="K58" s="163"/>
      <c r="AR58" s="42">
        <f t="shared" si="31"/>
        <v>2</v>
      </c>
      <c r="AS58" s="42">
        <f t="shared" si="34"/>
        <v>8</v>
      </c>
      <c r="AU58" s="42">
        <f ca="1">SUMIF(UPS!B$38:B$171,C58,UPS!BD$38:BD$171)</f>
        <v>12</v>
      </c>
      <c r="AV58" s="42">
        <f t="shared" si="33"/>
        <v>5</v>
      </c>
    </row>
    <row r="59" spans="2:48">
      <c r="B59" s="440" t="str">
        <f t="shared" si="25"/>
        <v>FLO_SHAR</v>
      </c>
      <c r="C59" s="440" t="str">
        <f ca="1">IF($A59="*","",OFFSET(ITEMS_UPS!$C$8,AR59,0))</f>
        <v>UREFOCRIN-E</v>
      </c>
      <c r="D59" s="440" t="str">
        <f ca="1">IF($A59="*","",IF(VLOOKUP("*#"&amp;$AS59,$A$10:$I$24,D$9+1,FALSE)="-","-",OFFSET(UPS!$C$37,AU59+AV59,SUMIF($A$10:$A$20,"*#"&amp;AS59,$AT$10:$AT$20))))</f>
        <v>OHF</v>
      </c>
      <c r="E59" s="440" t="str">
        <f t="shared" ca="1" si="26"/>
        <v>UREFOCRIN-E-O</v>
      </c>
      <c r="F59" s="440" t="str">
        <f t="shared" si="27"/>
        <v>-</v>
      </c>
      <c r="G59" s="440" t="str">
        <f t="shared" si="28"/>
        <v>ANNUAL</v>
      </c>
      <c r="H59" s="441" t="str">
        <f t="shared" si="29"/>
        <v>UP</v>
      </c>
      <c r="I59" s="441">
        <f t="shared" si="30"/>
        <v>3</v>
      </c>
      <c r="J59" s="163">
        <f ca="1">IF($A59="*","",OFFSET(UPS!$C$37,AU59+AV59,SUMIF($A$10:$A$20,"*#"&amp;AS59,$AV$10:$AV$20)))</f>
        <v>3.70569602416869E-2</v>
      </c>
      <c r="K59" s="163"/>
      <c r="AR59" s="42">
        <f t="shared" si="31"/>
        <v>2</v>
      </c>
      <c r="AS59" s="42">
        <f t="shared" si="34"/>
        <v>8</v>
      </c>
      <c r="AU59" s="42">
        <f ca="1">SUMIF(UPS!B$38:B$171,C59,UPS!BD$38:BD$171)</f>
        <v>12</v>
      </c>
      <c r="AV59" s="42">
        <f t="shared" si="33"/>
        <v>6</v>
      </c>
    </row>
    <row r="60" spans="2:48">
      <c r="B60" s="440" t="str">
        <f t="shared" si="25"/>
        <v>FLO_SHAR</v>
      </c>
      <c r="C60" s="440" t="str">
        <f ca="1">IF($A60="*","",OFFSET(ITEMS_UPS!$C$8,AR60,0))</f>
        <v>UREFOCRIN-E</v>
      </c>
      <c r="D60" s="440" t="str">
        <f ca="1">IF($A60="*","",IF(VLOOKUP("*#"&amp;$AS60,$A$10:$I$24,D$9+1,FALSE)="-","-",OFFSET(UPS!$C$37,AU60+AV60,SUMIF($A$10:$A$20,"*#"&amp;AS60,$AT$10:$AT$20))))</f>
        <v>OKE</v>
      </c>
      <c r="E60" s="440" t="str">
        <f t="shared" ca="1" si="26"/>
        <v>UREFOCRIN-E-O</v>
      </c>
      <c r="F60" s="440" t="str">
        <f t="shared" si="27"/>
        <v>-</v>
      </c>
      <c r="G60" s="440" t="str">
        <f t="shared" si="28"/>
        <v>ANNUAL</v>
      </c>
      <c r="H60" s="441" t="str">
        <f t="shared" si="29"/>
        <v>UP</v>
      </c>
      <c r="I60" s="441">
        <f t="shared" si="30"/>
        <v>3</v>
      </c>
      <c r="J60" s="163">
        <f ca="1">IF($A60="*","",OFFSET(UPS!$C$37,AU60+AV60,SUMIF($A$10:$A$20,"*#"&amp;AS60,$AV$10:$AV$20)))</f>
        <v>0.21374627875427765</v>
      </c>
      <c r="K60" s="163"/>
      <c r="AR60" s="42">
        <f t="shared" si="31"/>
        <v>2</v>
      </c>
      <c r="AS60" s="42">
        <f t="shared" si="34"/>
        <v>8</v>
      </c>
      <c r="AU60" s="42">
        <f ca="1">SUMIF(UPS!B$38:B$171,C60,UPS!BD$38:BD$171)</f>
        <v>12</v>
      </c>
      <c r="AV60" s="42">
        <f t="shared" si="33"/>
        <v>7</v>
      </c>
    </row>
    <row r="61" spans="2:48">
      <c r="B61" s="440" t="str">
        <f t="shared" si="25"/>
        <v>FLO_SHAR</v>
      </c>
      <c r="C61" s="440" t="str">
        <f ca="1">IF($A61="*","",OFFSET(ITEMS_UPS!$C$8,AR61,0))</f>
        <v>UREFOCRIN-E</v>
      </c>
      <c r="D61" s="440" t="str">
        <f ca="1">IF($A61="*","",IF(VLOOKUP("*#"&amp;$AS61,$A$10:$I$24,D$9+1,FALSE)="-","-",OFFSET(UPS!$C$37,AU61+AV61,SUMIF($A$10:$A$20,"*#"&amp;AS61,$AT$10:$AT$20))))</f>
        <v>OLP</v>
      </c>
      <c r="E61" s="440" t="str">
        <f t="shared" ca="1" si="26"/>
        <v>UREFOCRIN-E-O</v>
      </c>
      <c r="F61" s="440" t="str">
        <f t="shared" si="27"/>
        <v>-</v>
      </c>
      <c r="G61" s="440" t="str">
        <f t="shared" si="28"/>
        <v>ANNUAL</v>
      </c>
      <c r="H61" s="441" t="str">
        <f t="shared" si="29"/>
        <v>UP</v>
      </c>
      <c r="I61" s="441">
        <f t="shared" si="30"/>
        <v>3</v>
      </c>
      <c r="J61" s="163">
        <f ca="1">IF($A61="*","",OFFSET(UPS!$C$37,AU61+AV61,SUMIF($A$10:$A$20,"*#"&amp;AS61,$AV$10:$AV$20)))</f>
        <v>2.6523977888853558E-3</v>
      </c>
      <c r="K61" s="163"/>
      <c r="AR61" s="42">
        <f t="shared" si="31"/>
        <v>2</v>
      </c>
      <c r="AS61" s="42">
        <f t="shared" si="34"/>
        <v>8</v>
      </c>
      <c r="AU61" s="42">
        <f ca="1">SUMIF(UPS!B$38:B$171,C61,UPS!BD$38:BD$171)</f>
        <v>12</v>
      </c>
      <c r="AV61" s="42">
        <f t="shared" si="33"/>
        <v>8</v>
      </c>
    </row>
    <row r="62" spans="2:48">
      <c r="B62" s="440" t="str">
        <f t="shared" si="25"/>
        <v>FLO_SHAR</v>
      </c>
      <c r="C62" s="440" t="str">
        <f ca="1">IF($A62="*","",OFFSET(ITEMS_UPS!$C$8,AR62,0))</f>
        <v>UREFOCRIN-E</v>
      </c>
      <c r="D62" s="440" t="str">
        <f ca="1">IF($A62="*","",IF(VLOOKUP("*#"&amp;$AS62,$A$10:$I$24,D$9+1,FALSE)="-","-",OFFSET(UPS!$C$37,AU62+AV62,SUMIF($A$10:$A$20,"*#"&amp;AS62,$AT$10:$AT$20))))</f>
        <v>OTH</v>
      </c>
      <c r="E62" s="440" t="str">
        <f t="shared" ca="1" si="26"/>
        <v>UREFOCRIN-E-O</v>
      </c>
      <c r="F62" s="440" t="str">
        <f t="shared" si="27"/>
        <v>-</v>
      </c>
      <c r="G62" s="440" t="str">
        <f t="shared" si="28"/>
        <v>ANNUAL</v>
      </c>
      <c r="H62" s="441" t="str">
        <f t="shared" si="29"/>
        <v>UP</v>
      </c>
      <c r="I62" s="441">
        <f t="shared" si="30"/>
        <v>3</v>
      </c>
      <c r="J62" s="163">
        <f ca="1">IF($A62="*","",OFFSET(UPS!$C$37,AU62+AV62,SUMIF($A$10:$A$20,"*#"&amp;AS62,$AV$10:$AV$20)))</f>
        <v>3.7464625961488515E-2</v>
      </c>
      <c r="K62" s="163"/>
      <c r="AR62" s="42">
        <f t="shared" si="31"/>
        <v>2</v>
      </c>
      <c r="AS62" s="42">
        <f t="shared" si="34"/>
        <v>8</v>
      </c>
      <c r="AU62" s="42">
        <f ca="1">SUMIF(UPS!B$38:B$171,C62,UPS!BD$38:BD$171)</f>
        <v>12</v>
      </c>
      <c r="AV62" s="42">
        <f t="shared" si="33"/>
        <v>9</v>
      </c>
    </row>
    <row r="63" spans="2:48">
      <c r="B63" s="440" t="str">
        <f t="shared" si="25"/>
        <v>FLO_EMIS</v>
      </c>
      <c r="C63" s="440" t="str">
        <f ca="1">IF($A63="*","",OFFSET(ITEMS_UPS!$C$8,AR63,0))</f>
        <v>UREFOCRIN-E</v>
      </c>
      <c r="D63" s="440" t="str">
        <f>$D$18</f>
        <v>UPSCO2S</v>
      </c>
      <c r="E63" s="440" t="str">
        <f t="shared" ca="1" si="26"/>
        <v>UREFOCRIN-E-O</v>
      </c>
      <c r="F63" s="440" t="str">
        <f t="shared" si="27"/>
        <v>-</v>
      </c>
      <c r="G63" s="440" t="str">
        <f t="shared" si="28"/>
        <v>ANNUAL</v>
      </c>
      <c r="H63" s="441" t="str">
        <f t="shared" si="29"/>
        <v>-</v>
      </c>
      <c r="I63" s="441">
        <f t="shared" si="30"/>
        <v>0</v>
      </c>
      <c r="J63" s="163">
        <f ca="1">IF($A63="*","",OFFSET(UPS!$C$37,AU63,SUMIF($A$10:$A$20,"*#"&amp;AS63,$AT$10:$AT$20)))</f>
        <v>4.7627954263930903</v>
      </c>
      <c r="K63" s="163"/>
      <c r="AR63" s="42">
        <f>AR61</f>
        <v>2</v>
      </c>
      <c r="AS63" s="42">
        <f>AS61+1</f>
        <v>9</v>
      </c>
      <c r="AU63" s="42">
        <f ca="1">SUMIF(UPS!B$38:B$171,C63,UPS!BD$38:BD$171)</f>
        <v>12</v>
      </c>
    </row>
    <row r="64" spans="2:48">
      <c r="B64" s="440" t="str">
        <f t="shared" si="25"/>
        <v>FLO_EMIS</v>
      </c>
      <c r="C64" s="440" t="str">
        <f ca="1">IF($A64="*","",OFFSET(ITEMS_UPS!$C$8,AR64,0))</f>
        <v>UREFOCRIN-E</v>
      </c>
      <c r="D64" s="440" t="str">
        <f>$D$19</f>
        <v>UPSCH4S</v>
      </c>
      <c r="E64" s="440" t="str">
        <f t="shared" ca="1" si="26"/>
        <v>UREFOCRIN-E-O</v>
      </c>
      <c r="F64" s="440" t="str">
        <f t="shared" si="27"/>
        <v>-</v>
      </c>
      <c r="G64" s="440" t="str">
        <f t="shared" si="28"/>
        <v>ANNUAL</v>
      </c>
      <c r="H64" s="441" t="str">
        <f t="shared" si="29"/>
        <v>-</v>
      </c>
      <c r="I64" s="441">
        <f t="shared" si="30"/>
        <v>0</v>
      </c>
      <c r="J64" s="163">
        <f ca="1">IF($A64="*","",OFFSET(UPS!$C$37,AU64,SUMIF($A$10:$A$20,"*#"&amp;AS64,$AT$10:$AT$20)))</f>
        <v>0</v>
      </c>
      <c r="K64" s="163"/>
      <c r="AR64" s="42">
        <f>AR63</f>
        <v>2</v>
      </c>
      <c r="AS64" s="42">
        <f>AS63+1</f>
        <v>10</v>
      </c>
      <c r="AU64" s="42">
        <f ca="1">SUMIF(UPS!B$38:B$171,C64,UPS!BD$38:BD$171)</f>
        <v>12</v>
      </c>
    </row>
    <row r="65" spans="1:48">
      <c r="B65" s="440" t="str">
        <f t="shared" si="25"/>
        <v>PRC_RESID</v>
      </c>
      <c r="C65" s="440" t="str">
        <f ca="1">IF($A65="*","",OFFSET(ITEMS_UPS!$C$8,AR65,0))</f>
        <v>UREFOCRIN-E</v>
      </c>
      <c r="D65" s="440" t="str">
        <f ca="1">IF($A65="*","",IF(VLOOKUP("*#"&amp;$AS65,$A$10:$I$24,D$9+1,FALSE)="-","-",OFFSET(UPS!$C$37,AU65+AV65,SUMIF($A$10:$A$20,"*#"&amp;AS65,$AT$10:$AT$20))))</f>
        <v>-</v>
      </c>
      <c r="E65" s="440" t="str">
        <f t="shared" si="26"/>
        <v>-</v>
      </c>
      <c r="F65" s="440" t="str">
        <f t="shared" si="27"/>
        <v>-</v>
      </c>
      <c r="G65" s="440" t="str">
        <f t="shared" si="28"/>
        <v>-</v>
      </c>
      <c r="H65" s="441" t="str">
        <f t="shared" si="29"/>
        <v>-</v>
      </c>
      <c r="I65" s="441">
        <f t="shared" si="30"/>
        <v>0</v>
      </c>
      <c r="J65" s="163">
        <f ca="1">IF($A65="*","",OFFSET(UPS!$C$37,$AU65,SUMIF($A$10:$A$20,"*#"&amp;$AS65,$AT$10:$AT$20)+J$8))</f>
        <v>212.15979141387726</v>
      </c>
      <c r="K65" s="163">
        <f ca="1">IF($A65="*","",OFFSET(UPS!$C$37,$AU65,SUMIF($A$10:$A$20,"*#"&amp;$AS65,$AT$10:$AT$20)+K$8))</f>
        <v>212.15979141387726</v>
      </c>
      <c r="L65" s="163">
        <f ca="1">IF($A65="*","",OFFSET(UPS!$C$37,$AU65,SUMIF($A$10:$A$20,"*#"&amp;$AS65,$AT$10:$AT$20)+L$8))</f>
        <v>212.15979141387726</v>
      </c>
      <c r="M65" s="163">
        <f ca="1">IF($A65="*","",OFFSET(UPS!$C$37,$AU65,SUMIF($A$10:$A$20,"*#"&amp;$AS65,$AT$10:$AT$20)+M$8))</f>
        <v>212.15979141387726</v>
      </c>
      <c r="N65" s="163">
        <f ca="1">IF($A65="*","",OFFSET(UPS!$C$37,$AU65,SUMIF($A$10:$A$20,"*#"&amp;$AS65,$AT$10:$AT$20)+N$8))</f>
        <v>212.15979141387726</v>
      </c>
      <c r="O65" s="163">
        <f ca="1">IF($A65="*","",OFFSET(UPS!$C$37,$AU65,SUMIF($A$10:$A$20,"*#"&amp;$AS65,$AT$10:$AT$20)+O$8))</f>
        <v>212.15979141387726</v>
      </c>
      <c r="P65" s="163">
        <f ca="1">IF($A65="*","",OFFSET(UPS!$C$37,$AU65,SUMIF($A$10:$A$20,"*#"&amp;$AS65,$AT$10:$AT$20)+P$8))</f>
        <v>212.15979141387726</v>
      </c>
      <c r="Q65" s="163">
        <f ca="1">IF($A65="*","",OFFSET(UPS!$C$37,$AU65,SUMIF($A$10:$A$20,"*#"&amp;$AS65,$AT$10:$AT$20)+Q$8))</f>
        <v>212.15979141387726</v>
      </c>
      <c r="R65" s="163">
        <f ca="1">IF($A65="*","",OFFSET(UPS!$C$37,$AU65,SUMIF($A$10:$A$20,"*#"&amp;$AS65,$AT$10:$AT$20)+R$8))</f>
        <v>212.15979141387726</v>
      </c>
      <c r="S65" s="163">
        <f ca="1">IF($A65="*","",OFFSET(UPS!$C$37,$AU65,SUMIF($A$10:$A$20,"*#"&amp;$AS65,$AT$10:$AT$20)+S$8))</f>
        <v>212.15979141387726</v>
      </c>
      <c r="T65" s="163">
        <f ca="1">IF($A65="*","",OFFSET(UPS!$C$37,$AU65,SUMIF($A$10:$A$20,"*#"&amp;$AS65,$AT$10:$AT$20)+T$8))</f>
        <v>212.15979141387726</v>
      </c>
      <c r="U65" s="163">
        <f ca="1">IF($A65="*","",OFFSET(UPS!$C$37,$AU65,SUMIF($A$10:$A$20,"*#"&amp;$AS65,$AT$10:$AT$20)+U$8))</f>
        <v>212.15979141387726</v>
      </c>
      <c r="V65" s="163">
        <f ca="1">IF($A65="*","",OFFSET(UPS!$C$37,$AU65,SUMIF($A$10:$A$20,"*#"&amp;$AS65,$AT$10:$AT$20)+V$8))</f>
        <v>212.15979141387726</v>
      </c>
      <c r="W65" s="163">
        <f ca="1">IF($A65="*","",OFFSET(UPS!$C$37,$AU65,SUMIF($A$10:$A$20,"*#"&amp;$AS65,$AT$10:$AT$20)+W$8))</f>
        <v>212.15979141387726</v>
      </c>
      <c r="X65" s="163">
        <f ca="1">IF($A65="*","",OFFSET(UPS!$C$37,$AU65,SUMIF($A$10:$A$20,"*#"&amp;$AS65,$AT$10:$AT$20)+X$8))</f>
        <v>212.15979141387726</v>
      </c>
      <c r="Y65" s="163">
        <f ca="1">IF($A65="*","",OFFSET(UPS!$C$37,$AU65,SUMIF($A$10:$A$20,"*#"&amp;$AS65,$AT$10:$AT$20)+Y$8))</f>
        <v>212.15979141387726</v>
      </c>
      <c r="Z65" s="163">
        <f ca="1">IF($A65="*","",OFFSET(UPS!$C$37,$AU65,SUMIF($A$10:$A$20,"*#"&amp;$AS65,$AT$10:$AT$20)+Z$8))</f>
        <v>212.15979141387726</v>
      </c>
      <c r="AA65" s="163">
        <f ca="1">IF($A65="*","",OFFSET(UPS!$C$37,$AU65,SUMIF($A$10:$A$20,"*#"&amp;$AS65,$AT$10:$AT$20)+AA$8))</f>
        <v>212.15979141387726</v>
      </c>
      <c r="AB65" s="163">
        <f ca="1">IF($A65="*","",OFFSET(UPS!$C$37,$AU65,SUMIF($A$10:$A$20,"*#"&amp;$AS65,$AT$10:$AT$20)+AB$8))</f>
        <v>212.15979141387726</v>
      </c>
      <c r="AC65" s="163">
        <f ca="1">IF($A65="*","",OFFSET(UPS!$C$37,$AU65,SUMIF($A$10:$A$20,"*#"&amp;$AS65,$AT$10:$AT$20)+AC$8))</f>
        <v>212.15979141387726</v>
      </c>
      <c r="AD65" s="163">
        <f ca="1">IF($A65="*","",OFFSET(UPS!$C$37,$AU65,SUMIF($A$10:$A$20,"*#"&amp;$AS65,$AT$10:$AT$20)+AD$8))</f>
        <v>212.15979141387726</v>
      </c>
      <c r="AE65" s="163">
        <f ca="1">IF($A65="*","",OFFSET(UPS!$C$37,$AU65,SUMIF($A$10:$A$20,"*#"&amp;$AS65,$AT$10:$AT$20)+AE$8))</f>
        <v>212.15979141387726</v>
      </c>
      <c r="AF65" s="163">
        <f ca="1">IF($A65="*","",OFFSET(UPS!$C$37,$AU65,SUMIF($A$10:$A$20,"*#"&amp;$AS65,$AT$10:$AT$20)+AF$8))</f>
        <v>212.15979141387726</v>
      </c>
      <c r="AG65" s="163">
        <f ca="1">IF($A65="*","",OFFSET(UPS!$C$37,$AU65,SUMIF($A$10:$A$20,"*#"&amp;$AS65,$AT$10:$AT$20)+AG$8))</f>
        <v>212.15979141387726</v>
      </c>
      <c r="AH65" s="163">
        <f ca="1">IF($A65="*","",OFFSET(UPS!$C$37,$AU65,SUMIF($A$10:$A$20,"*#"&amp;$AS65,$AT$10:$AT$20)+AH$8))</f>
        <v>212.15979141387726</v>
      </c>
      <c r="AI65" s="163">
        <f ca="1">IF($A65="*","",OFFSET(UPS!$C$37,$AU65,SUMIF($A$10:$A$20,"*#"&amp;$AS65,$AT$10:$AT$20)+AI$8))</f>
        <v>212.15979141387726</v>
      </c>
      <c r="AJ65" s="163">
        <f ca="1">IF($A65="*","",OFFSET(UPS!$C$37,$AU65,SUMIF($A$10:$A$20,"*#"&amp;$AS65,$AT$10:$AT$20)+AJ$8))</f>
        <v>212.15979141387726</v>
      </c>
      <c r="AK65" s="163">
        <f ca="1">IF($A65="*","",OFFSET(UPS!$C$37,$AU65,SUMIF($A$10:$A$20,"*#"&amp;$AS65,$AT$10:$AT$20)+AK$8))</f>
        <v>212.15979141387726</v>
      </c>
      <c r="AL65" s="163">
        <f ca="1">IF($A65="*","",OFFSET(UPS!$C$37,$AU65,SUMIF($A$10:$A$20,"*#"&amp;$AS65,$AT$10:$AT$20)+AL$8))</f>
        <v>212.15979141387726</v>
      </c>
      <c r="AM65" s="163">
        <f ca="1">IF($A65="*","",OFFSET(UPS!$C$37,$AU65,SUMIF($A$10:$A$20,"*#"&amp;$AS65,$AT$10:$AT$20)+AM$8))</f>
        <v>212.15979141387726</v>
      </c>
      <c r="AN65" s="163">
        <f ca="1">IF($A65="*","",OFFSET(UPS!$C$37,$AU65,SUMIF($A$10:$A$20,"*#"&amp;$AS65,$AT$10:$AT$20)+AN$8))</f>
        <v>212.15979141387726</v>
      </c>
      <c r="AO65" s="163">
        <f ca="1">IF($A65="*","",OFFSET(UPS!$C$37,$AU65,SUMIF($A$10:$A$20,"*#"&amp;$AS65,$AT$10:$AT$20)+AO$8))</f>
        <v>212.15979141387726</v>
      </c>
      <c r="AP65" s="163">
        <f ca="1">IF($A65="*","",OFFSET(UPS!$C$37,$AU65,SUMIF($A$10:$A$20,"*#"&amp;$AS65,$AT$10:$AT$20)+AP$8))</f>
        <v>212.15979141387726</v>
      </c>
      <c r="AR65" s="42">
        <f>AR64</f>
        <v>2</v>
      </c>
      <c r="AS65" s="42">
        <f>AS64+1</f>
        <v>11</v>
      </c>
      <c r="AU65" s="42">
        <f ca="1">SUMIF(UPS!B$38:B$171,C65,UPS!BD$38:BD$171)</f>
        <v>12</v>
      </c>
    </row>
    <row r="66" spans="1:48">
      <c r="A66" s="42" t="s">
        <v>310</v>
      </c>
      <c r="B66" s="440" t="str">
        <f>IF(A66="*","",VLOOKUP("*"&amp;AS66,$A$9:$B$24,2,FALSE))</f>
        <v/>
      </c>
      <c r="C66" s="440"/>
      <c r="D66" s="440"/>
      <c r="E66" s="440"/>
      <c r="F66" s="440"/>
      <c r="G66" s="440"/>
      <c r="H66" s="441"/>
      <c r="I66" s="441"/>
      <c r="J66" s="163"/>
      <c r="K66" s="163"/>
    </row>
    <row r="67" spans="1:48">
      <c r="B67" s="440" t="str">
        <f t="shared" ref="B67:B84" si="35">IF(A67="*","",VLOOKUP("*#"&amp;AS67,$A$9:$B$24,2,FALSE))</f>
        <v>ACT_COST</v>
      </c>
      <c r="C67" s="440" t="str">
        <f ca="1">IF($A67="*","",OFFSET(ITEMS_UPS!$C$8,AR67,0))</f>
        <v>UGTLGICCO-E</v>
      </c>
      <c r="D67" s="440" t="str">
        <f ca="1">IF($A67="*","",IF(VLOOKUP("*#"&amp;$AS67,$A$10:$I$24,D$9+1,FALSE)="-","-",OFFSET(UPS!$C$37,AU67+AV67,SUMIF($A$10:$A$20,"*#"&amp;AS67,$AT$10:$AT$20))))</f>
        <v>-</v>
      </c>
      <c r="E67" s="440" t="str">
        <f t="shared" ref="E67:E84" si="36">IF($A67="*","",IF(VLOOKUP("*#"&amp;$AS67,$A$10:$I$24,E$9+1,FALSE)="-","-",C67&amp;"-"&amp;RIGHT(VLOOKUP("*#"&amp;$AS67,$A$10:$I$24,E$9+1,FALSE),1)))</f>
        <v>-</v>
      </c>
      <c r="F67" s="440" t="str">
        <f t="shared" ref="F67:F84" si="37">IF($A67="*","",IF(VLOOKUP("*#"&amp;$AS67,$A$10:$I$24,F$9+1,FALSE)="-","-",C67&amp;"-"&amp;RIGHT(VLOOKUP("*#"&amp;$AS67,$A$10:$I$24,F$9+1,FALSE),1)))</f>
        <v>-</v>
      </c>
      <c r="G67" s="440" t="str">
        <f t="shared" ref="G67:G84" si="38">IF($A67="*","",VLOOKUP("*#"&amp;$AS67,$A$10:$I$20,G$9+1,FALSE))</f>
        <v>-</v>
      </c>
      <c r="H67" s="441" t="str">
        <f t="shared" ref="H67:H84" si="39">IF($A67="*","",VLOOKUP("*#"&amp;$AS67,$A$10:$I$24,H$9+1,FALSE))</f>
        <v>-</v>
      </c>
      <c r="I67" s="441">
        <f t="shared" ref="I67:I84" si="40">IF($A67="*","",VLOOKUP("*#"&amp;$AS67,$A$10:$I$20,I$9+1,FALSE))</f>
        <v>0</v>
      </c>
      <c r="J67" s="163">
        <f ca="1">IF($A67="*","",OFFSET(UPS!$C$37,AU67,SUMIF($A$10:$A$20,"*#"&amp;AS67,$AT$10:$AT$20)))</f>
        <v>47.382204285274227</v>
      </c>
      <c r="K67" s="163"/>
      <c r="AR67" s="42">
        <v>3</v>
      </c>
      <c r="AS67" s="42">
        <v>1</v>
      </c>
      <c r="AU67" s="42">
        <f ca="1">SUMIF(UPS!B$38:B$171,C67,UPS!BD$38:BD$171)</f>
        <v>23</v>
      </c>
    </row>
    <row r="68" spans="1:48">
      <c r="B68" s="440" t="str">
        <f t="shared" si="35"/>
        <v>NCAP_AFA</v>
      </c>
      <c r="C68" s="440" t="str">
        <f ca="1">IF($A68="*","",OFFSET(ITEMS_UPS!$C$8,AR68,0))</f>
        <v>UGTLGICCO-E</v>
      </c>
      <c r="D68" s="440" t="str">
        <f ca="1">IF($A68="*","",IF(VLOOKUP("*#"&amp;$AS68,$A$10:$I$24,D$9+1,FALSE)="-","-",OFFSET(UPS!$C$37,AU68+AV68,SUMIF($A$10:$A$20,"*#"&amp;AS68,$AT$10:$AT$20))))</f>
        <v>-</v>
      </c>
      <c r="E68" s="440" t="str">
        <f t="shared" si="36"/>
        <v>-</v>
      </c>
      <c r="F68" s="440" t="str">
        <f t="shared" si="37"/>
        <v>-</v>
      </c>
      <c r="G68" s="440" t="str">
        <f t="shared" si="38"/>
        <v>ANNUAL</v>
      </c>
      <c r="H68" s="441" t="str">
        <f t="shared" si="39"/>
        <v>UP</v>
      </c>
      <c r="I68" s="441">
        <f t="shared" si="40"/>
        <v>3</v>
      </c>
      <c r="J68" s="163">
        <f ca="1">IF($A68="*","",OFFSET(UPS!$C$37,AU68,SUMIF($A$10:$A$20,"*#"&amp;AS68,$AT$10:$AT$20)))</f>
        <v>0.46244122068025312</v>
      </c>
      <c r="K68" s="163"/>
      <c r="AR68" s="42">
        <f t="shared" ref="AR68:AR83" si="41">AR67</f>
        <v>3</v>
      </c>
      <c r="AS68" s="42">
        <f t="shared" ref="AS68:AS73" si="42">IF(AR68=AR67,AS67+1,1)</f>
        <v>2</v>
      </c>
      <c r="AU68" s="42">
        <f ca="1">SUMIF(UPS!B$38:B$171,C68,UPS!BD$38:BD$171)</f>
        <v>23</v>
      </c>
    </row>
    <row r="69" spans="1:48" ht="15">
      <c r="B69" s="440" t="str">
        <f t="shared" si="35"/>
        <v>NCAP_AFA</v>
      </c>
      <c r="C69" s="440" t="str">
        <f ca="1">IF($A69="*","",OFFSET(ITEMS_UPS!$C$8,AR69,0))</f>
        <v>UGTLGICCO-E</v>
      </c>
      <c r="D69" s="440" t="str">
        <f ca="1">IF($A69="*","",IF(VLOOKUP("*#"&amp;$AS69,$A$10:$I$24,D$9+1,FALSE)="-","-",OFFSET(UPS!$C$37,AU69+AV69,SUMIF($A$10:$A$20,"*#"&amp;AS69,$AT$10:$AT$20))))</f>
        <v>-</v>
      </c>
      <c r="E69" s="440" t="str">
        <f t="shared" si="36"/>
        <v>-</v>
      </c>
      <c r="F69" s="440" t="str">
        <f t="shared" si="37"/>
        <v>-</v>
      </c>
      <c r="G69" s="440" t="str">
        <f t="shared" si="38"/>
        <v>ANNUAL</v>
      </c>
      <c r="H69" s="441" t="str">
        <f t="shared" si="39"/>
        <v>LO</v>
      </c>
      <c r="I69" s="441">
        <f t="shared" si="40"/>
        <v>3</v>
      </c>
      <c r="J69" s="163">
        <f ca="1">IF($A69="*","",OFFSET(UPS!$C$37,AU69,SUMIF($A$10:$A$20,"*#"&amp;AS69,$AT$10:$AT$20)))</f>
        <v>0.43931915964624046</v>
      </c>
      <c r="K69" s="163"/>
      <c r="R69" s="42">
        <f ca="1">J69</f>
        <v>0.43931915964624046</v>
      </c>
      <c r="S69" s="1328">
        <v>0</v>
      </c>
      <c r="T69" s="1328">
        <v>0</v>
      </c>
      <c r="U69" s="1328">
        <v>0</v>
      </c>
      <c r="V69" s="1328">
        <v>0</v>
      </c>
      <c r="W69" s="1328">
        <v>0</v>
      </c>
      <c r="AR69" s="42">
        <f t="shared" si="41"/>
        <v>3</v>
      </c>
      <c r="AS69" s="42">
        <f t="shared" si="42"/>
        <v>3</v>
      </c>
      <c r="AU69" s="42">
        <f ca="1">SUMIF(UPS!B$38:B$171,C69,UPS!BD$38:BD$171)</f>
        <v>23</v>
      </c>
    </row>
    <row r="70" spans="1:48">
      <c r="B70" s="440" t="str">
        <f t="shared" si="35"/>
        <v>NCAP_FOM</v>
      </c>
      <c r="C70" s="440" t="str">
        <f ca="1">IF($A70="*","",OFFSET(ITEMS_UPS!$C$8,AR70,0))</f>
        <v>UGTLGICCO-E</v>
      </c>
      <c r="D70" s="440" t="str">
        <f ca="1">IF($A70="*","",IF(VLOOKUP("*#"&amp;$AS70,$A$10:$I$24,D$9+1,FALSE)="-","-",OFFSET(UPS!$C$37,AU70+AV70,SUMIF($A$10:$A$20,"*#"&amp;AS70,$AT$10:$AT$20))))</f>
        <v>-</v>
      </c>
      <c r="E70" s="440" t="str">
        <f t="shared" si="36"/>
        <v>-</v>
      </c>
      <c r="F70" s="440" t="str">
        <f t="shared" si="37"/>
        <v>-</v>
      </c>
      <c r="G70" s="440" t="str">
        <f t="shared" si="38"/>
        <v>-</v>
      </c>
      <c r="H70" s="441" t="str">
        <f t="shared" si="39"/>
        <v>-</v>
      </c>
      <c r="I70" s="441">
        <f t="shared" si="40"/>
        <v>0</v>
      </c>
      <c r="J70" s="163">
        <f ca="1">IF($A70="*","",OFFSET(UPS!$C$37,AU70,SUMIF($A$10:$A$20,"*#"&amp;AS70,$AT$10:$AT$20)))</f>
        <v>0</v>
      </c>
      <c r="K70" s="163"/>
      <c r="AR70" s="42">
        <f>AR68</f>
        <v>3</v>
      </c>
      <c r="AS70" s="42">
        <f t="shared" si="42"/>
        <v>4</v>
      </c>
      <c r="AU70" s="42">
        <f ca="1">SUMIF(UPS!B$38:B$171,C70,UPS!BD$38:BD$171)</f>
        <v>23</v>
      </c>
    </row>
    <row r="71" spans="1:48">
      <c r="B71" s="440" t="str">
        <f t="shared" si="35"/>
        <v>NCAP_BND</v>
      </c>
      <c r="C71" s="440" t="str">
        <f ca="1">IF($A71="*","",OFFSET(ITEMS_UPS!$C$8,AR71,0))</f>
        <v>UGTLGICCO-E</v>
      </c>
      <c r="D71" s="440" t="str">
        <f ca="1">IF($A71="*","",IF(VLOOKUP("*#"&amp;$AS71,$A$10:$I$24,D$9+1,FALSE)="-","-",OFFSET(UPS!$C$37,AU71+AV71,SUMIF($A$10:$A$20,"*#"&amp;AS71,$AT$10:$AT$20))))</f>
        <v>-</v>
      </c>
      <c r="E71" s="440" t="str">
        <f t="shared" si="36"/>
        <v>-</v>
      </c>
      <c r="F71" s="440" t="str">
        <f t="shared" si="37"/>
        <v>-</v>
      </c>
      <c r="G71" s="440" t="str">
        <f t="shared" si="38"/>
        <v>-</v>
      </c>
      <c r="H71" s="441" t="str">
        <f t="shared" si="39"/>
        <v>UP</v>
      </c>
      <c r="I71" s="441">
        <f t="shared" si="40"/>
        <v>3</v>
      </c>
      <c r="J71" s="163">
        <f ca="1">IF($A71="*","",OFFSET(UPS!$C$37,AU71,SUMIF($A$10:$A$20,"*#"&amp;AS71,$AT$10:$AT$20)))</f>
        <v>0</v>
      </c>
      <c r="K71" s="163"/>
      <c r="AR71" s="42">
        <f>AR70</f>
        <v>3</v>
      </c>
      <c r="AS71" s="42">
        <f t="shared" si="42"/>
        <v>5</v>
      </c>
      <c r="AU71" s="42">
        <f ca="1">SUMIF(UPS!B$38:B$171,C71,UPS!BD$38:BD$171)</f>
        <v>23</v>
      </c>
    </row>
    <row r="72" spans="1:48">
      <c r="B72" s="440" t="str">
        <f t="shared" si="35"/>
        <v>FLO_FUNC</v>
      </c>
      <c r="C72" s="440" t="str">
        <f ca="1">IF($A72="*","",OFFSET(ITEMS_UPS!$C$8,AR72,0))</f>
        <v>UGTLGICCO-E</v>
      </c>
      <c r="D72" s="440" t="str">
        <f ca="1">IF($A72="*","",IF(VLOOKUP("*#"&amp;$AS72,$A$10:$I$24,D$9+1,FALSE)="-","-",OFFSET(UPS!$C$37,AU72+AV72,SUMIF($A$10:$A$20,"*#"&amp;AS72,$AT$10:$AT$20))))</f>
        <v>-</v>
      </c>
      <c r="E72" s="440" t="str">
        <f t="shared" ca="1" si="36"/>
        <v>UGTLGICCO-E-I</v>
      </c>
      <c r="F72" s="440" t="str">
        <f t="shared" ca="1" si="37"/>
        <v>UGTLGICCO-E-O</v>
      </c>
      <c r="G72" s="440" t="str">
        <f t="shared" si="38"/>
        <v>ANNUAL</v>
      </c>
      <c r="H72" s="441" t="str">
        <f t="shared" si="39"/>
        <v>-</v>
      </c>
      <c r="I72" s="441">
        <f t="shared" si="40"/>
        <v>0</v>
      </c>
      <c r="J72" s="163">
        <f ca="1">IF($A72="*","",OFFSET(UPS!$C$37,AU72,SUMIF($A$10:$A$20,"*#"&amp;AS72,$AT$10:$AT$20)))</f>
        <v>0.76961549281661878</v>
      </c>
      <c r="K72" s="163"/>
      <c r="AR72" s="42">
        <f t="shared" si="41"/>
        <v>3</v>
      </c>
      <c r="AS72" s="42">
        <f t="shared" si="42"/>
        <v>6</v>
      </c>
      <c r="AU72" s="42">
        <f ca="1">SUMIF(UPS!B$38:B$171,C72,UPS!BD$38:BD$171)</f>
        <v>23</v>
      </c>
    </row>
    <row r="73" spans="1:48">
      <c r="B73" s="440" t="str">
        <f t="shared" si="35"/>
        <v>FLO_SHAR</v>
      </c>
      <c r="C73" s="440" t="str">
        <f ca="1">IF($A73="*","",OFFSET(ITEMS_UPS!$C$8,AR73,0))</f>
        <v>UGTLGICCO-E</v>
      </c>
      <c r="D73" s="440" t="str">
        <f ca="1">IF($A73="*","",IF(VLOOKUP("*#"&amp;$AS73,$A$10:$I$24,D$9+1,FALSE)="-","-",OFFSET(UPS!$C$37,AU73+AV73,SUMIF($A$10:$A$20,"*#"&amp;AS73,$AT$10:$AT$20))))</f>
        <v>UPSGIC</v>
      </c>
      <c r="E73" s="440" t="str">
        <f t="shared" ca="1" si="36"/>
        <v>UGTLGICCO-E-I</v>
      </c>
      <c r="F73" s="440" t="str">
        <f t="shared" si="37"/>
        <v>-</v>
      </c>
      <c r="G73" s="440" t="str">
        <f t="shared" si="38"/>
        <v>ANNUAL</v>
      </c>
      <c r="H73" s="441" t="str">
        <f t="shared" si="39"/>
        <v>FX</v>
      </c>
      <c r="I73" s="441">
        <f t="shared" si="40"/>
        <v>3</v>
      </c>
      <c r="J73" s="163">
        <f ca="1">IF($A73="*","",OFFSET(UPS!$C$37,AU73+AV73,SUMIF($A$10:$A$20,"*#"&amp;AS73,$AV$10:$AV$20)))</f>
        <v>0.76985311799533229</v>
      </c>
      <c r="K73" s="163"/>
      <c r="AR73" s="42">
        <f>AR72</f>
        <v>3</v>
      </c>
      <c r="AS73" s="42">
        <f t="shared" si="42"/>
        <v>7</v>
      </c>
      <c r="AU73" s="42">
        <f ca="1">SUMIF(UPS!B$38:B$171,C73,UPS!BD$38:BD$171)</f>
        <v>23</v>
      </c>
      <c r="AV73" s="42">
        <v>0</v>
      </c>
    </row>
    <row r="74" spans="1:48">
      <c r="B74" s="440" t="str">
        <f t="shared" si="35"/>
        <v>FLO_SHAR</v>
      </c>
      <c r="C74" s="440" t="str">
        <f ca="1">IF($A74="*","",OFFSET(ITEMS_UPS!$C$8,AR74,0))</f>
        <v>UGTLGICCO-E</v>
      </c>
      <c r="D74" s="440" t="str">
        <f ca="1">IF($A74="*","",IF(VLOOKUP("*#"&amp;$AS74,$A$10:$I$24,D$9+1,FALSE)="-","-",OFFSET(UPS!$C$37,AU74+AV74,SUMIF($A$10:$A$20,"*#"&amp;AS74,$AT$10:$AT$20))))</f>
        <v>UPSOCR</v>
      </c>
      <c r="E74" s="440" t="str">
        <f t="shared" ca="1" si="36"/>
        <v>UGTLGICCO-E-I</v>
      </c>
      <c r="F74" s="440" t="str">
        <f t="shared" si="37"/>
        <v>-</v>
      </c>
      <c r="G74" s="440" t="str">
        <f t="shared" si="38"/>
        <v>ANNUAL</v>
      </c>
      <c r="H74" s="441" t="str">
        <f t="shared" si="39"/>
        <v>FX</v>
      </c>
      <c r="I74" s="441">
        <f t="shared" si="40"/>
        <v>3</v>
      </c>
      <c r="J74" s="163">
        <f ca="1">IF($A74="*","",OFFSET(UPS!$C$37,AU74+AV74,SUMIF($A$10:$A$20,"*#"&amp;AS74,$AV$10:$AV$20)))</f>
        <v>0.19246327949883302</v>
      </c>
      <c r="K74" s="163"/>
      <c r="AR74" s="42">
        <f>AR73</f>
        <v>3</v>
      </c>
      <c r="AS74" s="42">
        <f>AS73</f>
        <v>7</v>
      </c>
      <c r="AU74" s="42">
        <f ca="1">SUMIF(UPS!B$38:B$171,C74,UPS!BD$38:BD$171)</f>
        <v>23</v>
      </c>
      <c r="AV74" s="42">
        <v>1</v>
      </c>
    </row>
    <row r="75" spans="1:48">
      <c r="B75" s="440" t="str">
        <f t="shared" si="35"/>
        <v>FLO_SHAR</v>
      </c>
      <c r="C75" s="440" t="str">
        <f ca="1">IF($A75="*","",OFFSET(ITEMS_UPS!$C$8,AR75,0))</f>
        <v>UGTLGICCO-E</v>
      </c>
      <c r="D75" s="440" t="str">
        <f ca="1">IF($A75="*","",IF(VLOOKUP("*#"&amp;$AS75,$A$10:$I$24,D$9+1,FALSE)="-","-",OFFSET(UPS!$C$37,AU75+AV75,SUMIF($A$10:$A$20,"*#"&amp;AS75,$AT$10:$AT$20))))</f>
        <v>UPSELC</v>
      </c>
      <c r="E75" s="440" t="str">
        <f t="shared" ca="1" si="36"/>
        <v>UGTLGICCO-E-I</v>
      </c>
      <c r="F75" s="440" t="str">
        <f t="shared" si="37"/>
        <v>-</v>
      </c>
      <c r="G75" s="440" t="str">
        <f t="shared" si="38"/>
        <v>ANNUAL</v>
      </c>
      <c r="H75" s="441" t="str">
        <f t="shared" si="39"/>
        <v>FX</v>
      </c>
      <c r="I75" s="441">
        <f t="shared" si="40"/>
        <v>3</v>
      </c>
      <c r="J75" s="163">
        <f ca="1">IF($A75="*","",OFFSET(UPS!$C$37,AU75+AV75,SUMIF($A$10:$A$20,"*#"&amp;AS75,$AV$10:$AV$20)))</f>
        <v>3.7683602505834655E-2</v>
      </c>
      <c r="K75" s="163"/>
      <c r="AR75" s="42">
        <f>AR74</f>
        <v>3</v>
      </c>
      <c r="AS75" s="42">
        <f>AS73</f>
        <v>7</v>
      </c>
      <c r="AU75" s="42">
        <f ca="1">SUMIF(UPS!B$38:B$171,C75,UPS!BD$38:BD$171)</f>
        <v>23</v>
      </c>
      <c r="AV75" s="42">
        <f t="shared" ref="AV75:AV81" si="43">AV74+1</f>
        <v>2</v>
      </c>
    </row>
    <row r="76" spans="1:48">
      <c r="B76" s="440" t="str">
        <f t="shared" si="35"/>
        <v>FLO_SHAR</v>
      </c>
      <c r="C76" s="440" t="str">
        <f ca="1">IF($A76="*","",OFFSET(ITEMS_UPS!$C$8,AR76,0))</f>
        <v>UGTLGICCO-E</v>
      </c>
      <c r="D76" s="440" t="str">
        <f ca="1">IF($A76="*","",IF(VLOOKUP("*#"&amp;$AS76,$A$10:$I$24,D$9+1,FALSE)="-","-",OFFSET(UPS!$C$37,AU76+AV76,SUMIF($A$10:$A$20,"*#"&amp;AS76,$AT$10:$AT$20))))</f>
        <v>OHF</v>
      </c>
      <c r="E76" s="440" t="str">
        <f t="shared" ca="1" si="36"/>
        <v>UGTLGICCO-E-O</v>
      </c>
      <c r="F76" s="440" t="str">
        <f t="shared" si="37"/>
        <v>-</v>
      </c>
      <c r="G76" s="440" t="str">
        <f t="shared" si="38"/>
        <v>ANNUAL</v>
      </c>
      <c r="H76" s="441" t="str">
        <f t="shared" si="39"/>
        <v>UP</v>
      </c>
      <c r="I76" s="441">
        <f t="shared" si="40"/>
        <v>3</v>
      </c>
      <c r="J76" s="163">
        <f ca="1">IF($A76="*","",OFFSET(UPS!$C$37,AU76+AV76,SUMIF($A$10:$A$20,"*#"&amp;AS76,$AV$10:$AV$20)))</f>
        <v>0.04</v>
      </c>
      <c r="K76" s="163"/>
      <c r="AR76" s="42">
        <f t="shared" si="41"/>
        <v>3</v>
      </c>
      <c r="AS76" s="42">
        <f>IF(AR76=AR75,AS75+1,1)</f>
        <v>8</v>
      </c>
      <c r="AU76" s="42">
        <f ca="1">SUMIF(UPS!B$38:B$171,C76,UPS!BD$38:BD$171)</f>
        <v>23</v>
      </c>
      <c r="AV76" s="42">
        <f t="shared" si="43"/>
        <v>3</v>
      </c>
    </row>
    <row r="77" spans="1:48">
      <c r="B77" s="440" t="str">
        <f t="shared" si="35"/>
        <v>FLO_SHAR</v>
      </c>
      <c r="C77" s="440" t="str">
        <f ca="1">IF($A77="*","",OFFSET(ITEMS_UPS!$C$8,AR77,0))</f>
        <v>UGTLGICCO-E</v>
      </c>
      <c r="D77" s="440" t="str">
        <f ca="1">IF($A77="*","",IF(VLOOKUP("*#"&amp;$AS77,$A$10:$I$24,D$9+1,FALSE)="-","-",OFFSET(UPS!$C$37,AU77+AV77,SUMIF($A$10:$A$20,"*#"&amp;AS77,$AT$10:$AT$20))))</f>
        <v>ODS</v>
      </c>
      <c r="E77" s="440" t="str">
        <f t="shared" ca="1" si="36"/>
        <v>UGTLGICCO-E-O</v>
      </c>
      <c r="F77" s="440" t="str">
        <f t="shared" si="37"/>
        <v>-</v>
      </c>
      <c r="G77" s="440" t="str">
        <f t="shared" si="38"/>
        <v>ANNUAL</v>
      </c>
      <c r="H77" s="441" t="str">
        <f t="shared" si="39"/>
        <v>UP</v>
      </c>
      <c r="I77" s="441">
        <f t="shared" si="40"/>
        <v>3</v>
      </c>
      <c r="J77" s="163">
        <f ca="1">IF($A77="*","",OFFSET(UPS!$C$37,AU77+AV77,SUMIF($A$10:$A$20,"*#"&amp;AS77,$AV$10:$AV$20)))</f>
        <v>0.06</v>
      </c>
      <c r="K77" s="163"/>
      <c r="AR77" s="42">
        <f t="shared" si="41"/>
        <v>3</v>
      </c>
      <c r="AS77" s="42">
        <f>AS76</f>
        <v>8</v>
      </c>
      <c r="AU77" s="42">
        <f ca="1">SUMIF(UPS!B$38:B$171,C77,UPS!BD$38:BD$171)</f>
        <v>23</v>
      </c>
      <c r="AV77" s="42">
        <f t="shared" si="43"/>
        <v>4</v>
      </c>
    </row>
    <row r="78" spans="1:48">
      <c r="B78" s="440" t="str">
        <f t="shared" si="35"/>
        <v>FLO_SHAR</v>
      </c>
      <c r="C78" s="440" t="str">
        <f ca="1">IF($A78="*","",OFFSET(ITEMS_UPS!$C$8,AR78,0))</f>
        <v>UGTLGICCO-E</v>
      </c>
      <c r="D78" s="440" t="str">
        <f ca="1">IF($A78="*","",IF(VLOOKUP("*#"&amp;$AS78,$A$10:$I$24,D$9+1,FALSE)="-","-",OFFSET(UPS!$C$37,AU78+AV78,SUMIF($A$10:$A$20,"*#"&amp;AS78,$AT$10:$AT$20))))</f>
        <v>OGS</v>
      </c>
      <c r="E78" s="440" t="str">
        <f t="shared" ca="1" si="36"/>
        <v>UGTLGICCO-E-O</v>
      </c>
      <c r="F78" s="440" t="str">
        <f t="shared" si="37"/>
        <v>-</v>
      </c>
      <c r="G78" s="440" t="str">
        <f t="shared" si="38"/>
        <v>ANNUAL</v>
      </c>
      <c r="H78" s="441" t="str">
        <f t="shared" si="39"/>
        <v>UP</v>
      </c>
      <c r="I78" s="441">
        <f t="shared" si="40"/>
        <v>3</v>
      </c>
      <c r="J78" s="163">
        <f ca="1">IF($A78="*","",OFFSET(UPS!$C$37,AU78+AV78,SUMIF($A$10:$A$20,"*#"&amp;AS78,$AV$10:$AV$20)))</f>
        <v>0.53</v>
      </c>
      <c r="K78" s="163"/>
      <c r="AR78" s="42">
        <f t="shared" si="41"/>
        <v>3</v>
      </c>
      <c r="AS78" s="42">
        <f>AS77</f>
        <v>8</v>
      </c>
      <c r="AU78" s="42">
        <f ca="1">SUMIF(UPS!B$38:B$171,C78,UPS!BD$38:BD$171)</f>
        <v>23</v>
      </c>
      <c r="AV78" s="42">
        <f t="shared" si="43"/>
        <v>5</v>
      </c>
    </row>
    <row r="79" spans="1:48">
      <c r="B79" s="440" t="str">
        <f t="shared" si="35"/>
        <v>FLO_SHAR</v>
      </c>
      <c r="C79" s="440" t="str">
        <f ca="1">IF($A79="*","",OFFSET(ITEMS_UPS!$C$8,AR79,0))</f>
        <v>UGTLGICCO-E</v>
      </c>
      <c r="D79" s="440" t="str">
        <f ca="1">IF($A79="*","",IF(VLOOKUP("*#"&amp;$AS79,$A$10:$I$24,D$9+1,FALSE)="-","-",OFFSET(UPS!$C$37,AU79+AV79,SUMIF($A$10:$A$20,"*#"&amp;AS79,$AT$10:$AT$20))))</f>
        <v>OKE</v>
      </c>
      <c r="E79" s="440" t="str">
        <f t="shared" ca="1" si="36"/>
        <v>UGTLGICCO-E-O</v>
      </c>
      <c r="F79" s="440" t="str">
        <f t="shared" si="37"/>
        <v>-</v>
      </c>
      <c r="G79" s="440" t="str">
        <f t="shared" si="38"/>
        <v>ANNUAL</v>
      </c>
      <c r="H79" s="441" t="str">
        <f t="shared" si="39"/>
        <v>UP</v>
      </c>
      <c r="I79" s="441">
        <f t="shared" si="40"/>
        <v>3</v>
      </c>
      <c r="J79" s="163">
        <f ca="1">IF($A79="*","",OFFSET(UPS!$C$37,AU79+AV79,SUMIF($A$10:$A$20,"*#"&amp;AS79,$AV$10:$AV$20)))</f>
        <v>0.11</v>
      </c>
      <c r="K79" s="163"/>
      <c r="AR79" s="42">
        <f t="shared" si="41"/>
        <v>3</v>
      </c>
      <c r="AS79" s="42">
        <f>AS78</f>
        <v>8</v>
      </c>
      <c r="AU79" s="42">
        <f ca="1">SUMIF(UPS!B$38:B$171,C79,UPS!BD$38:BD$171)</f>
        <v>23</v>
      </c>
      <c r="AV79" s="42">
        <f t="shared" si="43"/>
        <v>6</v>
      </c>
    </row>
    <row r="80" spans="1:48">
      <c r="B80" s="440" t="str">
        <f t="shared" si="35"/>
        <v>FLO_SHAR</v>
      </c>
      <c r="C80" s="440" t="str">
        <f ca="1">IF($A80="*","",OFFSET(ITEMS_UPS!$C$8,AR80,0))</f>
        <v>UGTLGICCO-E</v>
      </c>
      <c r="D80" s="440" t="str">
        <f ca="1">IF($A80="*","",IF(VLOOKUP("*#"&amp;$AS80,$A$10:$I$24,D$9+1,FALSE)="-","-",OFFSET(UPS!$C$37,AU80+AV80,SUMIF($A$10:$A$20,"*#"&amp;AS80,$AT$10:$AT$20))))</f>
        <v>OLP</v>
      </c>
      <c r="E80" s="440" t="str">
        <f t="shared" ca="1" si="36"/>
        <v>UGTLGICCO-E-O</v>
      </c>
      <c r="F80" s="440" t="str">
        <f t="shared" si="37"/>
        <v>-</v>
      </c>
      <c r="G80" s="440" t="str">
        <f t="shared" si="38"/>
        <v>ANNUAL</v>
      </c>
      <c r="H80" s="441" t="str">
        <f t="shared" si="39"/>
        <v>UP</v>
      </c>
      <c r="I80" s="441">
        <f t="shared" si="40"/>
        <v>3</v>
      </c>
      <c r="J80" s="163">
        <f ca="1">IF($A80="*","",OFFSET(UPS!$C$37,AU80+AV80,SUMIF($A$10:$A$20,"*#"&amp;AS80,$AV$10:$AV$20)))</f>
        <v>0.08</v>
      </c>
      <c r="K80" s="163"/>
      <c r="AR80" s="42">
        <f t="shared" si="41"/>
        <v>3</v>
      </c>
      <c r="AS80" s="42">
        <f>AS79</f>
        <v>8</v>
      </c>
      <c r="AU80" s="42">
        <f ca="1">SUMIF(UPS!B$38:B$171,C80,UPS!BD$38:BD$171)</f>
        <v>23</v>
      </c>
      <c r="AV80" s="42">
        <f t="shared" si="43"/>
        <v>7</v>
      </c>
    </row>
    <row r="81" spans="1:48">
      <c r="B81" s="440" t="str">
        <f t="shared" si="35"/>
        <v>FLO_SHAR</v>
      </c>
      <c r="C81" s="440" t="str">
        <f ca="1">IF($A81="*","",OFFSET(ITEMS_UPS!$C$8,AR81,0))</f>
        <v>UGTLGICCO-E</v>
      </c>
      <c r="D81" s="440" t="str">
        <f ca="1">IF($A81="*","",IF(VLOOKUP("*#"&amp;$AS81,$A$10:$I$24,D$9+1,FALSE)="-","-",OFFSET(UPS!$C$37,AU81+AV81,SUMIF($A$10:$A$20,"*#"&amp;AS81,$AT$10:$AT$20))))</f>
        <v>OTH</v>
      </c>
      <c r="E81" s="440" t="str">
        <f t="shared" ca="1" si="36"/>
        <v>UGTLGICCO-E-O</v>
      </c>
      <c r="F81" s="440" t="str">
        <f t="shared" si="37"/>
        <v>-</v>
      </c>
      <c r="G81" s="440" t="str">
        <f t="shared" si="38"/>
        <v>ANNUAL</v>
      </c>
      <c r="H81" s="441" t="str">
        <f t="shared" si="39"/>
        <v>UP</v>
      </c>
      <c r="I81" s="441">
        <f t="shared" si="40"/>
        <v>3</v>
      </c>
      <c r="J81" s="163">
        <f ca="1">IF($A81="*","",OFFSET(UPS!$C$37,AU81+AV81,SUMIF($A$10:$A$20,"*#"&amp;AS81,$AV$10:$AV$20)))</f>
        <v>0.18</v>
      </c>
      <c r="K81" s="163"/>
      <c r="AR81" s="42">
        <f t="shared" si="41"/>
        <v>3</v>
      </c>
      <c r="AS81" s="42">
        <f>AS80</f>
        <v>8</v>
      </c>
      <c r="AU81" s="42">
        <f ca="1">SUMIF(UPS!B$38:B$171,C81,UPS!BD$38:BD$171)</f>
        <v>23</v>
      </c>
      <c r="AV81" s="42">
        <f t="shared" si="43"/>
        <v>8</v>
      </c>
    </row>
    <row r="82" spans="1:48">
      <c r="B82" s="440" t="str">
        <f t="shared" si="35"/>
        <v>FLO_EMIS</v>
      </c>
      <c r="C82" s="440" t="str">
        <f ca="1">IF($A82="*","",OFFSET(ITEMS_UPS!$C$8,AR82,0))</f>
        <v>UGTLGICCO-E</v>
      </c>
      <c r="D82" s="440" t="str">
        <f>$D$18</f>
        <v>UPSCO2S</v>
      </c>
      <c r="E82" s="440" t="str">
        <f t="shared" ca="1" si="36"/>
        <v>UGTLGICCO-E-O</v>
      </c>
      <c r="F82" s="440" t="str">
        <f t="shared" si="37"/>
        <v>-</v>
      </c>
      <c r="G82" s="440" t="str">
        <f t="shared" si="38"/>
        <v>ANNUAL</v>
      </c>
      <c r="H82" s="441" t="str">
        <f t="shared" si="39"/>
        <v>-</v>
      </c>
      <c r="I82" s="441">
        <f t="shared" si="40"/>
        <v>0</v>
      </c>
      <c r="J82" s="163">
        <f ca="1">IF($A82="*","",OFFSET(UPS!$C$37,AU82,SUMIF($A$10:$A$20,"*#"&amp;AS82,$AT$10:$AT$20)))</f>
        <v>6.4894696089818042</v>
      </c>
      <c r="K82" s="163"/>
      <c r="AR82" s="42">
        <f>AR81</f>
        <v>3</v>
      </c>
      <c r="AS82" s="42">
        <f>AS81+1</f>
        <v>9</v>
      </c>
      <c r="AU82" s="42">
        <f ca="1">SUMIF(UPS!B$38:B$171,C82,UPS!BD$38:BD$171)</f>
        <v>23</v>
      </c>
    </row>
    <row r="83" spans="1:48">
      <c r="B83" s="440" t="str">
        <f t="shared" si="35"/>
        <v>FLO_EMIS</v>
      </c>
      <c r="C83" s="440" t="str">
        <f ca="1">IF($A83="*","",OFFSET(ITEMS_UPS!$C$8,AR83,0))</f>
        <v>UGTLGICCO-E</v>
      </c>
      <c r="D83" s="440" t="str">
        <f>$D$19</f>
        <v>UPSCH4S</v>
      </c>
      <c r="E83" s="440" t="str">
        <f t="shared" ca="1" si="36"/>
        <v>UGTLGICCO-E-O</v>
      </c>
      <c r="F83" s="440" t="str">
        <f t="shared" si="37"/>
        <v>-</v>
      </c>
      <c r="G83" s="440" t="str">
        <f t="shared" si="38"/>
        <v>ANNUAL</v>
      </c>
      <c r="H83" s="441" t="str">
        <f t="shared" si="39"/>
        <v>-</v>
      </c>
      <c r="I83" s="441">
        <f t="shared" si="40"/>
        <v>0</v>
      </c>
      <c r="J83" s="163">
        <f ca="1">IF($A83="*","",OFFSET(UPS!$C$37,AU83,SUMIF($A$10:$A$20,"*#"&amp;AS83,$AT$10:$AT$20)))</f>
        <v>4.4999999999999997E-3</v>
      </c>
      <c r="K83" s="163"/>
      <c r="AR83" s="42">
        <f t="shared" si="41"/>
        <v>3</v>
      </c>
      <c r="AS83" s="42">
        <f>AS82+1</f>
        <v>10</v>
      </c>
      <c r="AU83" s="42">
        <f ca="1">SUMIF(UPS!B$38:B$171,C83,UPS!BD$38:BD$171)</f>
        <v>23</v>
      </c>
    </row>
    <row r="84" spans="1:48">
      <c r="B84" s="440" t="str">
        <f t="shared" si="35"/>
        <v>PRC_RESID</v>
      </c>
      <c r="C84" s="440" t="str">
        <f ca="1">IF($A84="*","",OFFSET(ITEMS_UPS!$C$8,AR84,0))</f>
        <v>UGTLGICCO-E</v>
      </c>
      <c r="D84" s="440" t="str">
        <f ca="1">IF($A84="*","",IF(VLOOKUP("*#"&amp;$AS84,$A$10:$I$24,D$9+1,FALSE)="-","-",OFFSET(UPS!$C$37,AU84+AV84,SUMIF($A$10:$A$20,"*#"&amp;AS84,$AT$10:$AT$20))))</f>
        <v>-</v>
      </c>
      <c r="E84" s="440" t="str">
        <f t="shared" si="36"/>
        <v>-</v>
      </c>
      <c r="F84" s="440" t="str">
        <f t="shared" si="37"/>
        <v>-</v>
      </c>
      <c r="G84" s="440" t="str">
        <f t="shared" si="38"/>
        <v>-</v>
      </c>
      <c r="H84" s="441" t="str">
        <f t="shared" si="39"/>
        <v>-</v>
      </c>
      <c r="I84" s="441">
        <f t="shared" si="40"/>
        <v>0</v>
      </c>
      <c r="J84" s="163">
        <f ca="1">IF($A84="*","",OFFSET(UPS!$C$37,$AU84,SUMIF($A$10:$A$20,"*#"&amp;$AS84,$AT$10:$AT$20)+J$8))</f>
        <v>58.795521804785629</v>
      </c>
      <c r="K84" s="163">
        <f ca="1">IF($A84="*","",OFFSET(UPS!$C$37,$AU84,SUMIF($A$10:$A$20,"*#"&amp;$AS84,$AT$10:$AT$20)+K$8))</f>
        <v>58.795521804785629</v>
      </c>
      <c r="L84" s="163">
        <f ca="1">IF($A84="*","",OFFSET(UPS!$C$37,$AU84,SUMIF($A$10:$A$20,"*#"&amp;$AS84,$AT$10:$AT$20)+L$8))</f>
        <v>58.795521804785629</v>
      </c>
      <c r="M84" s="163">
        <f ca="1">IF($A84="*","",OFFSET(UPS!$C$37,$AU84,SUMIF($A$10:$A$20,"*#"&amp;$AS84,$AT$10:$AT$20)+M$8))</f>
        <v>58.795521804785629</v>
      </c>
      <c r="N84" s="163">
        <f ca="1">IF($A84="*","",OFFSET(UPS!$C$37,$AU84,SUMIF($A$10:$A$20,"*#"&amp;$AS84,$AT$10:$AT$20)+N$8))</f>
        <v>58.795521804785629</v>
      </c>
      <c r="O84" s="163">
        <f ca="1">IF($A84="*","",OFFSET(UPS!$C$37,$AU84,SUMIF($A$10:$A$20,"*#"&amp;$AS84,$AT$10:$AT$20)+O$8))</f>
        <v>58.795521804785629</v>
      </c>
      <c r="P84" s="163">
        <f ca="1">IF($A84="*","",OFFSET(UPS!$C$37,$AU84,SUMIF($A$10:$A$20,"*#"&amp;$AS84,$AT$10:$AT$20)+P$8))</f>
        <v>58.795521804785629</v>
      </c>
      <c r="Q84" s="163">
        <f ca="1">IF($A84="*","",OFFSET(UPS!$C$37,$AU84,SUMIF($A$10:$A$20,"*#"&amp;$AS84,$AT$10:$AT$20)+Q$8))</f>
        <v>58.795521804785629</v>
      </c>
      <c r="R84" s="163">
        <f ca="1">IF($A84="*","",OFFSET(UPS!$C$37,$AU84,SUMIF($A$10:$A$20,"*#"&amp;$AS84,$AT$10:$AT$20)+R$8))</f>
        <v>58.795521804785629</v>
      </c>
      <c r="S84" s="163">
        <f ca="1">IF($A84="*","",OFFSET(UPS!$C$37,$AU84,SUMIF($A$10:$A$20,"*#"&amp;$AS84,$AT$10:$AT$20)+S$8))</f>
        <v>58.795521804785629</v>
      </c>
      <c r="T84" s="163">
        <f ca="1">IF($A84="*","",OFFSET(UPS!$C$37,$AU84,SUMIF($A$10:$A$20,"*#"&amp;$AS84,$AT$10:$AT$20)+T$8))</f>
        <v>58.795521804785629</v>
      </c>
      <c r="U84" s="163">
        <f ca="1">IF($A84="*","",OFFSET(UPS!$C$37,$AU84,SUMIF($A$10:$A$20,"*#"&amp;$AS84,$AT$10:$AT$20)+U$8))</f>
        <v>58.795521804785629</v>
      </c>
      <c r="V84" s="163">
        <f ca="1">IF($A84="*","",OFFSET(UPS!$C$37,$AU84,SUMIF($A$10:$A$20,"*#"&amp;$AS84,$AT$10:$AT$20)+V$8))</f>
        <v>58.795521804785629</v>
      </c>
      <c r="W84" s="163">
        <f ca="1">IF($A84="*","",OFFSET(UPS!$C$37,$AU84,SUMIF($A$10:$A$20,"*#"&amp;$AS84,$AT$10:$AT$20)+W$8))</f>
        <v>58.795521804785629</v>
      </c>
      <c r="X84" s="163">
        <f ca="1">IF($A84="*","",OFFSET(UPS!$C$37,$AU84,SUMIF($A$10:$A$20,"*#"&amp;$AS84,$AT$10:$AT$20)+X$8))</f>
        <v>58.795521804785629</v>
      </c>
      <c r="Y84" s="163">
        <f ca="1">IF($A84="*","",OFFSET(UPS!$C$37,$AU84,SUMIF($A$10:$A$20,"*#"&amp;$AS84,$AT$10:$AT$20)+Y$8))</f>
        <v>58.795521804785629</v>
      </c>
      <c r="Z84" s="163">
        <f ca="1">IF($A84="*","",OFFSET(UPS!$C$37,$AU84,SUMIF($A$10:$A$20,"*#"&amp;$AS84,$AT$10:$AT$20)+Z$8))</f>
        <v>58.795521804785629</v>
      </c>
      <c r="AA84" s="163">
        <f ca="1">IF($A84="*","",OFFSET(UPS!$C$37,$AU84,SUMIF($A$10:$A$20,"*#"&amp;$AS84,$AT$10:$AT$20)+AA$8))</f>
        <v>58.795521804785629</v>
      </c>
      <c r="AB84" s="163">
        <f ca="1">IF($A84="*","",OFFSET(UPS!$C$37,$AU84,SUMIF($A$10:$A$20,"*#"&amp;$AS84,$AT$10:$AT$20)+AB$8))</f>
        <v>58.795521804785629</v>
      </c>
      <c r="AC84" s="163">
        <f ca="1">IF($A84="*","",OFFSET(UPS!$C$37,$AU84,SUMIF($A$10:$A$20,"*#"&amp;$AS84,$AT$10:$AT$20)+AC$8))</f>
        <v>0</v>
      </c>
      <c r="AD84" s="163">
        <f ca="1">IF($A84="*","",OFFSET(UPS!$C$37,$AU84,SUMIF($A$10:$A$20,"*#"&amp;$AS84,$AT$10:$AT$20)+AD$8))</f>
        <v>0</v>
      </c>
      <c r="AE84" s="163">
        <f ca="1">IF($A84="*","",OFFSET(UPS!$C$37,$AU84,SUMIF($A$10:$A$20,"*#"&amp;$AS84,$AT$10:$AT$20)+AE$8))</f>
        <v>0</v>
      </c>
      <c r="AF84" s="163">
        <f ca="1">IF($A84="*","",OFFSET(UPS!$C$37,$AU84,SUMIF($A$10:$A$20,"*#"&amp;$AS84,$AT$10:$AT$20)+AF$8))</f>
        <v>0</v>
      </c>
      <c r="AG84" s="163">
        <f ca="1">IF($A84="*","",OFFSET(UPS!$C$37,$AU84,SUMIF($A$10:$A$20,"*#"&amp;$AS84,$AT$10:$AT$20)+AG$8))</f>
        <v>0</v>
      </c>
      <c r="AH84" s="163">
        <f ca="1">IF($A84="*","",OFFSET(UPS!$C$37,$AU84,SUMIF($A$10:$A$20,"*#"&amp;$AS84,$AT$10:$AT$20)+AH$8))</f>
        <v>0</v>
      </c>
      <c r="AI84" s="163">
        <f ca="1">IF($A84="*","",OFFSET(UPS!$C$37,$AU84,SUMIF($A$10:$A$20,"*#"&amp;$AS84,$AT$10:$AT$20)+AI$8))</f>
        <v>0</v>
      </c>
      <c r="AJ84" s="163">
        <f ca="1">IF($A84="*","",OFFSET(UPS!$C$37,$AU84,SUMIF($A$10:$A$20,"*#"&amp;$AS84,$AT$10:$AT$20)+AJ$8))</f>
        <v>0</v>
      </c>
      <c r="AK84" s="163">
        <f ca="1">IF($A84="*","",OFFSET(UPS!$C$37,$AU84,SUMIF($A$10:$A$20,"*#"&amp;$AS84,$AT$10:$AT$20)+AK$8))</f>
        <v>0</v>
      </c>
      <c r="AL84" s="163">
        <f ca="1">IF($A84="*","",OFFSET(UPS!$C$37,$AU84,SUMIF($A$10:$A$20,"*#"&amp;$AS84,$AT$10:$AT$20)+AL$8))</f>
        <v>0</v>
      </c>
      <c r="AM84" s="163">
        <f ca="1">IF($A84="*","",OFFSET(UPS!$C$37,$AU84,SUMIF($A$10:$A$20,"*#"&amp;$AS84,$AT$10:$AT$20)+AM$8))</f>
        <v>0</v>
      </c>
      <c r="AN84" s="163">
        <f ca="1">IF($A84="*","",OFFSET(UPS!$C$37,$AU84,SUMIF($A$10:$A$20,"*#"&amp;$AS84,$AT$10:$AT$20)+AN$8))</f>
        <v>0</v>
      </c>
      <c r="AO84" s="163">
        <f ca="1">IF($A84="*","",OFFSET(UPS!$C$37,$AU84,SUMIF($A$10:$A$20,"*#"&amp;$AS84,$AT$10:$AT$20)+AO$8))</f>
        <v>0</v>
      </c>
      <c r="AP84" s="163">
        <f ca="1">IF($A84="*","",OFFSET(UPS!$C$37,$AU84,SUMIF($A$10:$A$20,"*#"&amp;$AS84,$AT$10:$AT$20)+AP$8))</f>
        <v>0</v>
      </c>
      <c r="AR84" s="42">
        <v>3</v>
      </c>
      <c r="AS84" s="42">
        <f>AS83+1</f>
        <v>11</v>
      </c>
      <c r="AU84" s="42">
        <f ca="1">SUMIF(UPS!B$38:B$171,C84,UPS!BD$38:BD$171)</f>
        <v>23</v>
      </c>
    </row>
    <row r="85" spans="1:48">
      <c r="A85" s="42" t="s">
        <v>310</v>
      </c>
      <c r="B85" s="440" t="str">
        <f>IF(A85="*","",VLOOKUP("*"&amp;AS85,$A$10:$B$24,2,FALSE))</f>
        <v/>
      </c>
      <c r="C85" s="440"/>
      <c r="D85" s="440"/>
      <c r="E85" s="440"/>
      <c r="F85" s="440"/>
      <c r="G85" s="440"/>
      <c r="H85" s="441"/>
      <c r="I85" s="441"/>
      <c r="J85" s="163"/>
      <c r="K85" s="163"/>
    </row>
    <row r="86" spans="1:48">
      <c r="B86" s="440" t="str">
        <f t="shared" ref="B86:B105" si="44">IF(A86="*","",VLOOKUP("*#"&amp;AS86,$A$9:$B$24,2,FALSE))</f>
        <v>ACT_COST</v>
      </c>
      <c r="C86" s="440" t="str">
        <f ca="1">IF($A86="*","",OFFSET(ITEMS_UPS!$C$8,AR86,0))</f>
        <v>UCTLCLEIN-E</v>
      </c>
      <c r="D86" s="440" t="str">
        <f ca="1">IF($A86="*","",IF(VLOOKUP("*#"&amp;$AS86,$A$10:$I$24,D$9+1,FALSE)="-","-",OFFSET(UPS!$C$37,AU86+AV86,SUMIF($A$10:$A$20,"*#"&amp;AS86,$AT$10:$AT$20))))</f>
        <v>-</v>
      </c>
      <c r="E86" s="440" t="str">
        <f t="shared" ref="E86:E105" si="45">IF($A86="*","",IF(VLOOKUP("*#"&amp;$AS86,$A$10:$I$24,E$9+1,FALSE)="-","-",C86&amp;"-"&amp;RIGHT(VLOOKUP("*#"&amp;$AS86,$A$10:$I$24,E$9+1,FALSE),1)))</f>
        <v>-</v>
      </c>
      <c r="F86" s="440" t="str">
        <f t="shared" ref="F86:F105" si="46">IF($A86="*","",IF(VLOOKUP("*#"&amp;$AS86,$A$10:$I$24,F$9+1,FALSE)="-","-",C86&amp;"-"&amp;RIGHT(VLOOKUP("*#"&amp;$AS86,$A$10:$I$24,F$9+1,FALSE),1)))</f>
        <v>-</v>
      </c>
      <c r="G86" s="440" t="str">
        <f t="shared" ref="G86:G105" si="47">IF($A86="*","",VLOOKUP("*#"&amp;$AS86,$A$10:$I$20,G$9+1,FALSE))</f>
        <v>-</v>
      </c>
      <c r="H86" s="441" t="str">
        <f t="shared" ref="H86:H105" si="48">IF($A86="*","",VLOOKUP("*#"&amp;$AS86,$A$10:$I$24,H$9+1,FALSE))</f>
        <v>-</v>
      </c>
      <c r="I86" s="441">
        <f t="shared" ref="I86:I105" si="49">IF($A86="*","",VLOOKUP("*#"&amp;$AS86,$A$10:$I$20,I$9+1,FALSE))</f>
        <v>0</v>
      </c>
      <c r="J86" s="163">
        <f ca="1">IF($A86="*","",OFFSET(UPS!$C$37,AU86,SUMIF($A$10:$A$20,"*#"&amp;AS86,$AT$10:$AT$20)))</f>
        <v>23.739875247063129</v>
      </c>
      <c r="K86" s="163"/>
      <c r="AR86" s="42">
        <v>4</v>
      </c>
      <c r="AS86" s="42">
        <v>1</v>
      </c>
      <c r="AU86" s="42">
        <f ca="1">SUMIF(UPS!B$38:B$171,C86,UPS!BD$38:BD$171)</f>
        <v>53</v>
      </c>
    </row>
    <row r="87" spans="1:48">
      <c r="B87" s="440" t="str">
        <f t="shared" si="44"/>
        <v>NCAP_AFA</v>
      </c>
      <c r="C87" s="440" t="str">
        <f ca="1">IF($A87="*","",OFFSET(ITEMS_UPS!$C$8,AR87,0))</f>
        <v>UCTLCLEIN-E</v>
      </c>
      <c r="D87" s="440" t="str">
        <f ca="1">IF($A87="*","",IF(VLOOKUP("*#"&amp;$AS87,$A$10:$I$24,D$9+1,FALSE)="-","-",OFFSET(UPS!$C$37,AU87+AV87,SUMIF($A$10:$A$20,"*#"&amp;AS87,$AT$10:$AT$20))))</f>
        <v>-</v>
      </c>
      <c r="E87" s="440" t="str">
        <f t="shared" si="45"/>
        <v>-</v>
      </c>
      <c r="F87" s="440" t="str">
        <f t="shared" si="46"/>
        <v>-</v>
      </c>
      <c r="G87" s="440" t="str">
        <f t="shared" si="47"/>
        <v>ANNUAL</v>
      </c>
      <c r="H87" s="441" t="str">
        <f t="shared" si="48"/>
        <v>UP</v>
      </c>
      <c r="I87" s="441">
        <f t="shared" si="49"/>
        <v>3</v>
      </c>
      <c r="J87" s="163">
        <f ca="1">IF($A87="*","",OFFSET(UPS!$C$37,AU87,SUMIF($A$10:$A$20,"*#"&amp;AS87,$AT$10:$AT$20)))</f>
        <v>0.95890410958904104</v>
      </c>
      <c r="K87" s="163">
        <f ca="1">J87</f>
        <v>0.95890410958904104</v>
      </c>
      <c r="L87" s="163">
        <f t="shared" ref="L87:O88" ca="1" si="50">K87</f>
        <v>0.95890410958904104</v>
      </c>
      <c r="M87" s="163">
        <f t="shared" ca="1" si="50"/>
        <v>0.95890410958904104</v>
      </c>
      <c r="N87" s="163">
        <f t="shared" ca="1" si="50"/>
        <v>0.95890410958904104</v>
      </c>
      <c r="O87" s="163">
        <f t="shared" ca="1" si="50"/>
        <v>0.95890410958904104</v>
      </c>
      <c r="P87" s="163"/>
      <c r="Q87" s="1585">
        <f>RefineriesData!R55*1.01</f>
        <v>0.96712996197132128</v>
      </c>
      <c r="R87" s="42">
        <f ca="1">AVERAGE(O87,Q87)</f>
        <v>0.96301703578018116</v>
      </c>
      <c r="S87" s="42">
        <f ca="1">R87</f>
        <v>0.96301703578018116</v>
      </c>
      <c r="T87" s="42">
        <f t="shared" ref="T87:W87" ca="1" si="51">S87</f>
        <v>0.96301703578018116</v>
      </c>
      <c r="U87" s="42">
        <f t="shared" ca="1" si="51"/>
        <v>0.96301703578018116</v>
      </c>
      <c r="V87" s="42">
        <f t="shared" ca="1" si="51"/>
        <v>0.96301703578018116</v>
      </c>
      <c r="W87" s="42">
        <f t="shared" ca="1" si="51"/>
        <v>0.96301703578018116</v>
      </c>
      <c r="X87" s="42">
        <f t="shared" ref="X87:AB87" ca="1" si="52">W87</f>
        <v>0.96301703578018116</v>
      </c>
      <c r="Y87" s="42">
        <f t="shared" ca="1" si="52"/>
        <v>0.96301703578018116</v>
      </c>
      <c r="Z87" s="42">
        <f t="shared" ca="1" si="52"/>
        <v>0.96301703578018116</v>
      </c>
      <c r="AA87" s="42">
        <f t="shared" ca="1" si="52"/>
        <v>0.96301703578018116</v>
      </c>
      <c r="AB87" s="42">
        <f t="shared" ca="1" si="52"/>
        <v>0.96301703578018116</v>
      </c>
      <c r="AR87" s="42">
        <f t="shared" ref="AR87:AR102" si="53">AR86</f>
        <v>4</v>
      </c>
      <c r="AS87" s="42">
        <f t="shared" ref="AS87:AS92" si="54">IF(AR87=AR86,AS86+1,1)</f>
        <v>2</v>
      </c>
      <c r="AU87" s="42">
        <f ca="1">SUMIF(UPS!B$38:B$171,C87,UPS!BD$38:BD$171)</f>
        <v>53</v>
      </c>
    </row>
    <row r="88" spans="1:48">
      <c r="B88" s="440" t="str">
        <f t="shared" si="44"/>
        <v>NCAP_AFA</v>
      </c>
      <c r="C88" s="440" t="str">
        <f ca="1">IF($A88="*","",OFFSET(ITEMS_UPS!$C$8,AR88,0))</f>
        <v>UCTLCLEIN-E</v>
      </c>
      <c r="D88" s="440" t="str">
        <f ca="1">IF($A88="*","",IF(VLOOKUP("*#"&amp;$AS88,$A$10:$I$24,D$9+1,FALSE)="-","-",OFFSET(UPS!$C$37,AU88+AV88,SUMIF($A$10:$A$20,"*#"&amp;AS88,$AT$10:$AT$20))))</f>
        <v>-</v>
      </c>
      <c r="E88" s="440" t="str">
        <f t="shared" si="45"/>
        <v>-</v>
      </c>
      <c r="F88" s="440" t="str">
        <f t="shared" si="46"/>
        <v>-</v>
      </c>
      <c r="G88" s="440" t="str">
        <f t="shared" si="47"/>
        <v>ANNUAL</v>
      </c>
      <c r="H88" s="441" t="str">
        <f t="shared" si="48"/>
        <v>LO</v>
      </c>
      <c r="I88" s="441">
        <f t="shared" si="49"/>
        <v>3</v>
      </c>
      <c r="J88" s="163">
        <f ca="1">IF($A88="*","",OFFSET(UPS!$C$37,AU88,SUMIF($A$10:$A$20,"*#"&amp;AS88,$AT$10:$AT$20)))</f>
        <v>0.95890410958904104</v>
      </c>
      <c r="K88" s="163">
        <f ca="1">J88</f>
        <v>0.95890410958904104</v>
      </c>
      <c r="L88" s="163">
        <f t="shared" ca="1" si="50"/>
        <v>0.95890410958904104</v>
      </c>
      <c r="M88" s="163">
        <f t="shared" ca="1" si="50"/>
        <v>0.95890410958904104</v>
      </c>
      <c r="N88" s="163">
        <f t="shared" ca="1" si="50"/>
        <v>0.95890410958904104</v>
      </c>
      <c r="O88" s="163">
        <f t="shared" ca="1" si="50"/>
        <v>0.95890410958904104</v>
      </c>
      <c r="Q88" s="1585">
        <f>RefineriesData!R55</f>
        <v>0.95755441779338735</v>
      </c>
      <c r="R88" s="42">
        <f ca="1">AVERAGE(O88,Q88)</f>
        <v>0.95822926369121419</v>
      </c>
      <c r="S88" s="42">
        <f ca="1">R88</f>
        <v>0.95822926369121419</v>
      </c>
      <c r="T88" s="42">
        <f t="shared" ref="T88:W88" ca="1" si="55">S88</f>
        <v>0.95822926369121419</v>
      </c>
      <c r="U88" s="42">
        <f t="shared" ca="1" si="55"/>
        <v>0.95822926369121419</v>
      </c>
      <c r="V88" s="42">
        <f t="shared" ca="1" si="55"/>
        <v>0.95822926369121419</v>
      </c>
      <c r="W88" s="42">
        <f t="shared" ca="1" si="55"/>
        <v>0.95822926369121419</v>
      </c>
      <c r="X88" s="42">
        <f t="shared" ref="X88:AB88" ca="1" si="56">W88</f>
        <v>0.95822926369121419</v>
      </c>
      <c r="Y88" s="42">
        <f t="shared" ca="1" si="56"/>
        <v>0.95822926369121419</v>
      </c>
      <c r="Z88" s="42">
        <f t="shared" ca="1" si="56"/>
        <v>0.95822926369121419</v>
      </c>
      <c r="AA88" s="42">
        <f t="shared" ca="1" si="56"/>
        <v>0.95822926369121419</v>
      </c>
      <c r="AB88" s="42">
        <f t="shared" ca="1" si="56"/>
        <v>0.95822926369121419</v>
      </c>
      <c r="AR88" s="42">
        <f t="shared" si="53"/>
        <v>4</v>
      </c>
      <c r="AS88" s="42">
        <f t="shared" si="54"/>
        <v>3</v>
      </c>
      <c r="AU88" s="42">
        <f ca="1">SUMIF(UPS!B$38:B$171,C88,UPS!BD$38:BD$171)</f>
        <v>53</v>
      </c>
    </row>
    <row r="89" spans="1:48">
      <c r="B89" s="440" t="str">
        <f t="shared" si="44"/>
        <v>NCAP_FOM</v>
      </c>
      <c r="C89" s="440" t="str">
        <f ca="1">IF($A89="*","",OFFSET(ITEMS_UPS!$C$8,AR89,0))</f>
        <v>UCTLCLEIN-E</v>
      </c>
      <c r="D89" s="440" t="str">
        <f ca="1">IF($A89="*","",IF(VLOOKUP("*#"&amp;$AS89,$A$10:$I$24,D$9+1,FALSE)="-","-",OFFSET(UPS!$C$37,AU89+AV89,SUMIF($A$10:$A$20,"*#"&amp;AS89,$AT$10:$AT$20))))</f>
        <v>-</v>
      </c>
      <c r="E89" s="440" t="str">
        <f t="shared" si="45"/>
        <v>-</v>
      </c>
      <c r="F89" s="440" t="str">
        <f t="shared" si="46"/>
        <v>-</v>
      </c>
      <c r="G89" s="440" t="str">
        <f t="shared" si="47"/>
        <v>-</v>
      </c>
      <c r="H89" s="441" t="str">
        <f t="shared" si="48"/>
        <v>-</v>
      </c>
      <c r="I89" s="441">
        <f t="shared" si="49"/>
        <v>0</v>
      </c>
      <c r="J89" s="163">
        <f ca="1">IF($A89="*","",OFFSET(UPS!$C$37,AU89,SUMIF($A$10:$A$20,"*#"&amp;AS89,$AT$10:$AT$20)))</f>
        <v>0</v>
      </c>
      <c r="K89" s="163"/>
      <c r="AR89" s="42">
        <f t="shared" si="53"/>
        <v>4</v>
      </c>
      <c r="AS89" s="42">
        <f t="shared" si="54"/>
        <v>4</v>
      </c>
      <c r="AU89" s="42">
        <f ca="1">SUMIF(UPS!B$38:B$171,C89,UPS!BD$38:BD$171)</f>
        <v>53</v>
      </c>
    </row>
    <row r="90" spans="1:48">
      <c r="B90" s="440" t="str">
        <f t="shared" si="44"/>
        <v>NCAP_BND</v>
      </c>
      <c r="C90" s="440" t="str">
        <f ca="1">IF($A90="*","",OFFSET(ITEMS_UPS!$C$8,AR90,0))</f>
        <v>UCTLCLEIN-E</v>
      </c>
      <c r="D90" s="440" t="str">
        <f ca="1">IF($A90="*","",IF(VLOOKUP("*#"&amp;$AS90,$A$10:$I$24,D$9+1,FALSE)="-","-",OFFSET(UPS!$C$37,AU90+AV90,SUMIF($A$10:$A$20,"*#"&amp;AS90,$AT$10:$AT$20))))</f>
        <v>-</v>
      </c>
      <c r="E90" s="440" t="str">
        <f t="shared" si="45"/>
        <v>-</v>
      </c>
      <c r="F90" s="440" t="str">
        <f t="shared" si="46"/>
        <v>-</v>
      </c>
      <c r="G90" s="440" t="str">
        <f t="shared" si="47"/>
        <v>-</v>
      </c>
      <c r="H90" s="441" t="str">
        <f t="shared" si="48"/>
        <v>UP</v>
      </c>
      <c r="I90" s="441">
        <f t="shared" si="49"/>
        <v>3</v>
      </c>
      <c r="J90" s="163">
        <f ca="1">IF($A90="*","",OFFSET(UPS!$C$37,AU90,SUMIF($A$10:$A$20,"*#"&amp;AS90,$AT$10:$AT$20)))</f>
        <v>0</v>
      </c>
      <c r="K90" s="163"/>
      <c r="AR90" s="42">
        <f>AR88</f>
        <v>4</v>
      </c>
      <c r="AS90" s="42">
        <f t="shared" si="54"/>
        <v>5</v>
      </c>
      <c r="AU90" s="42">
        <f ca="1">SUMIF(UPS!B$38:B$171,C90,UPS!BD$38:BD$171)</f>
        <v>53</v>
      </c>
    </row>
    <row r="91" spans="1:48">
      <c r="B91" s="440" t="str">
        <f t="shared" si="44"/>
        <v>FLO_FUNC</v>
      </c>
      <c r="C91" s="440" t="str">
        <f ca="1">IF($A91="*","",OFFSET(ITEMS_UPS!$C$8,AR91,0))</f>
        <v>UCTLCLEIN-E</v>
      </c>
      <c r="D91" s="440" t="str">
        <f ca="1">IF($A91="*","",IF(VLOOKUP("*#"&amp;$AS91,$A$10:$I$24,D$9+1,FALSE)="-","-",OFFSET(UPS!$C$37,AU91+AV91,SUMIF($A$10:$A$20,"*#"&amp;AS91,$AT$10:$AT$20))))</f>
        <v>-</v>
      </c>
      <c r="E91" s="440" t="str">
        <f t="shared" ca="1" si="45"/>
        <v>UCTLCLEIN-E-I</v>
      </c>
      <c r="F91" s="440" t="str">
        <f t="shared" ca="1" si="46"/>
        <v>UCTLCLEIN-E-O</v>
      </c>
      <c r="G91" s="440" t="str">
        <f t="shared" si="47"/>
        <v>ANNUAL</v>
      </c>
      <c r="H91" s="441" t="str">
        <f t="shared" si="48"/>
        <v>-</v>
      </c>
      <c r="I91" s="441">
        <f t="shared" si="49"/>
        <v>0</v>
      </c>
      <c r="J91" s="163">
        <f ca="1">IF($A91="*","",OFFSET(UPS!$C$37,AU91,SUMIF($A$10:$A$20,"*#"&amp;AS91,$AT$10:$AT$20)))</f>
        <v>0.29922414801284114</v>
      </c>
      <c r="K91" s="163"/>
      <c r="AR91" s="42">
        <f t="shared" si="53"/>
        <v>4</v>
      </c>
      <c r="AS91" s="42">
        <f t="shared" si="54"/>
        <v>6</v>
      </c>
      <c r="AU91" s="42">
        <f ca="1">SUMIF(UPS!B$38:B$171,C91,UPS!BD$38:BD$171)</f>
        <v>53</v>
      </c>
    </row>
    <row r="92" spans="1:48">
      <c r="B92" s="440" t="str">
        <f t="shared" si="44"/>
        <v>FLO_SHAR</v>
      </c>
      <c r="C92" s="440" t="str">
        <f ca="1">IF($A92="*","",OFFSET(ITEMS_UPS!$C$8,AR92,0))</f>
        <v>UCTLCLEIN-E</v>
      </c>
      <c r="D92" s="440" t="str">
        <f ca="1">IF($A92="*","",IF(VLOOKUP("*#"&amp;$AS92,$A$10:$I$24,D$9+1,FALSE)="-","-",OFFSET(UPS!$C$37,AU92+AV92,SUMIF($A$10:$A$20,"*#"&amp;AS92,$AT$10:$AT$20))))</f>
        <v>UPSCLE</v>
      </c>
      <c r="E92" s="440" t="str">
        <f t="shared" ca="1" si="45"/>
        <v>UCTLCLEIN-E-I</v>
      </c>
      <c r="F92" s="440" t="str">
        <f t="shared" si="46"/>
        <v>-</v>
      </c>
      <c r="G92" s="440" t="str">
        <f t="shared" si="47"/>
        <v>ANNUAL</v>
      </c>
      <c r="H92" s="441" t="str">
        <f t="shared" si="48"/>
        <v>FX</v>
      </c>
      <c r="I92" s="441">
        <f t="shared" si="49"/>
        <v>3</v>
      </c>
      <c r="J92" s="163">
        <f ca="1">IF($A92="*","",OFFSET(UPS!$C$37,AU92+AV92,SUMIF($A$10:$A$20,"*#"&amp;AS92,$AV$10:$AV$20)))</f>
        <v>0.65963269300300886</v>
      </c>
      <c r="K92" s="163"/>
      <c r="AR92" s="42">
        <f t="shared" si="53"/>
        <v>4</v>
      </c>
      <c r="AS92" s="42">
        <f t="shared" si="54"/>
        <v>7</v>
      </c>
      <c r="AU92" s="42">
        <f ca="1">SUMIF(UPS!B$38:B$171,C92,UPS!BD$38:BD$171)</f>
        <v>53</v>
      </c>
      <c r="AV92" s="42">
        <v>0</v>
      </c>
    </row>
    <row r="93" spans="1:48">
      <c r="B93" s="440" t="str">
        <f t="shared" si="44"/>
        <v>FLO_SHAR</v>
      </c>
      <c r="C93" s="440" t="str">
        <f ca="1">IF($A93="*","",OFFSET(ITEMS_UPS!$C$8,AR93,0))</f>
        <v>UCTLCLEIN-E</v>
      </c>
      <c r="D93" s="440" t="str">
        <f ca="1">IF($A93="*","",IF(VLOOKUP("*#"&amp;$AS93,$A$10:$I$24,D$9+1,FALSE)="-","-",OFFSET(UPS!$C$37,AU93+AV93,SUMIF($A$10:$A$20,"*#"&amp;AS93,$AT$10:$AT$20))))</f>
        <v>UPSGAS</v>
      </c>
      <c r="E93" s="440" t="str">
        <f t="shared" ca="1" si="45"/>
        <v>UCTLCLEIN-E-I</v>
      </c>
      <c r="F93" s="440" t="str">
        <f t="shared" si="46"/>
        <v>-</v>
      </c>
      <c r="G93" s="440" t="str">
        <f t="shared" si="47"/>
        <v>ANNUAL</v>
      </c>
      <c r="H93" s="441" t="str">
        <f t="shared" si="48"/>
        <v>FX</v>
      </c>
      <c r="I93" s="441">
        <f t="shared" si="49"/>
        <v>3</v>
      </c>
      <c r="J93" s="163">
        <f ca="1">IF($A93="*","",OFFSET(UPS!$C$37,AU93+AV93,SUMIF($A$10:$A$20,"*#"&amp;AS93,$AV$10:$AV$20)))</f>
        <v>6.1679045115178993E-2</v>
      </c>
      <c r="K93" s="163"/>
      <c r="AR93" s="42">
        <f t="shared" si="53"/>
        <v>4</v>
      </c>
      <c r="AS93" s="42">
        <f>AS92</f>
        <v>7</v>
      </c>
      <c r="AU93" s="42">
        <f ca="1">SUMIF(UPS!B$38:B$171,C93,UPS!BD$38:BD$171)</f>
        <v>53</v>
      </c>
      <c r="AV93" s="42">
        <f>AV92+1</f>
        <v>1</v>
      </c>
    </row>
    <row r="94" spans="1:48">
      <c r="B94" s="440" t="str">
        <f t="shared" si="44"/>
        <v>FLO_SHAR</v>
      </c>
      <c r="C94" s="440" t="str">
        <f ca="1">IF($A94="*","",OFFSET(ITEMS_UPS!$C$8,AR94,0))</f>
        <v>UCTLCLEIN-E</v>
      </c>
      <c r="D94" s="440" t="str">
        <f ca="1">IF($A94="*","",IF(VLOOKUP("*#"&amp;$AS94,$A$10:$I$24,D$9+1,FALSE)="-","-",OFFSET(UPS!$C$37,AU94+AV94,SUMIF($A$10:$A$20,"*#"&amp;AS94,$AT$10:$AT$20))))</f>
        <v>UPSELC</v>
      </c>
      <c r="E94" s="440" t="str">
        <f t="shared" ca="1" si="45"/>
        <v>UCTLCLEIN-E-I</v>
      </c>
      <c r="F94" s="440" t="str">
        <f t="shared" si="46"/>
        <v>-</v>
      </c>
      <c r="G94" s="440" t="str">
        <f t="shared" si="47"/>
        <v>ANNUAL</v>
      </c>
      <c r="H94" s="441" t="str">
        <f t="shared" si="48"/>
        <v>FX</v>
      </c>
      <c r="I94" s="441">
        <f t="shared" si="49"/>
        <v>3</v>
      </c>
      <c r="J94" s="163">
        <f ca="1">IF($A94="*","",OFFSET(UPS!$C$37,AU94+AV94,SUMIF($A$10:$A$20,"*#"&amp;AS94,$AV$10:$AV$20)))</f>
        <v>4.294262361898564E-2</v>
      </c>
      <c r="K94" s="163"/>
      <c r="AR94" s="42">
        <f t="shared" si="53"/>
        <v>4</v>
      </c>
      <c r="AS94" s="42">
        <f>AS93</f>
        <v>7</v>
      </c>
      <c r="AU94" s="42">
        <f ca="1">SUMIF(UPS!B$38:B$171,C94,UPS!BD$38:BD$171)</f>
        <v>53</v>
      </c>
      <c r="AV94" s="42">
        <f>AV93+1</f>
        <v>2</v>
      </c>
    </row>
    <row r="95" spans="1:48">
      <c r="B95" s="440" t="str">
        <f t="shared" si="44"/>
        <v>FLO_SHAR</v>
      </c>
      <c r="C95" s="440" t="str">
        <f ca="1">IF($A95="*","",OFFSET(ITEMS_UPS!$C$8,AR95,0))</f>
        <v>UCTLCLEIN-E</v>
      </c>
      <c r="D95" s="440" t="str">
        <f ca="1">IF($A95="*","",IF(VLOOKUP("*#"&amp;$AS95,$A$10:$I$24,D$9+1,FALSE)="-","-",OFFSET(UPS!$C$37,AU95+AV95,SUMIF($A$10:$A$20,"*#"&amp;AS95,$AT$10:$AT$20))))</f>
        <v>UPSHEE</v>
      </c>
      <c r="E95" s="440" t="str">
        <f t="shared" ca="1" si="45"/>
        <v>UCTLCLEIN-E-I</v>
      </c>
      <c r="F95" s="440" t="str">
        <f t="shared" si="46"/>
        <v>-</v>
      </c>
      <c r="G95" s="440" t="str">
        <f t="shared" si="47"/>
        <v>ANNUAL</v>
      </c>
      <c r="H95" s="441" t="str">
        <f t="shared" si="48"/>
        <v>FX</v>
      </c>
      <c r="I95" s="441">
        <f t="shared" si="49"/>
        <v>3</v>
      </c>
      <c r="J95" s="163">
        <f ca="1">IF($A95="*","",OFFSET(UPS!$C$37,AU95+AV95,SUMIF($A$10:$A$20,"*#"&amp;AS95,$AV$10:$AV$20)))</f>
        <v>0.23574563826282655</v>
      </c>
      <c r="K95" s="163"/>
      <c r="AR95" s="42">
        <f t="shared" si="53"/>
        <v>4</v>
      </c>
      <c r="AS95" s="42">
        <f>AS94</f>
        <v>7</v>
      </c>
      <c r="AU95" s="42">
        <f ca="1">SUMIF(UPS!B$38:B$171,C95,UPS!BD$38:BD$171)</f>
        <v>53</v>
      </c>
      <c r="AV95" s="42">
        <f t="shared" ref="AV95:AV102" si="57">AV94+1</f>
        <v>3</v>
      </c>
    </row>
    <row r="96" spans="1:48">
      <c r="B96" s="440" t="str">
        <f t="shared" si="44"/>
        <v>FLO_SHAR</v>
      </c>
      <c r="C96" s="440" t="str">
        <f ca="1">IF($A96="*","",OFFSET(ITEMS_UPS!$C$8,AR96,0))</f>
        <v>UCTLCLEIN-E</v>
      </c>
      <c r="D96" s="440" t="str">
        <f ca="1">IF($A96="*","",IF(VLOOKUP("*#"&amp;$AS96,$A$10:$I$24,D$9+1,FALSE)="-","-",OFFSET(UPS!$C$37,AU96+AV96,SUMIF($A$10:$A$20,"*#"&amp;AS96,$AT$10:$AT$20))))</f>
        <v>OAG</v>
      </c>
      <c r="E96" s="440" t="str">
        <f t="shared" ca="1" si="45"/>
        <v>UCTLCLEIN-E-O</v>
      </c>
      <c r="F96" s="440" t="str">
        <f t="shared" si="46"/>
        <v>-</v>
      </c>
      <c r="G96" s="440" t="str">
        <f t="shared" si="47"/>
        <v>ANNUAL</v>
      </c>
      <c r="H96" s="441" t="str">
        <f t="shared" si="48"/>
        <v>UP</v>
      </c>
      <c r="I96" s="441">
        <f t="shared" si="49"/>
        <v>3</v>
      </c>
      <c r="J96" s="163">
        <f ca="1">IF($A96="*","",OFFSET(UPS!$C$37,AU96+AV96,SUMIF($A$10:$A$20,"*#"&amp;AS96,$AV$10:$AV$20)))</f>
        <v>3.8561908801070703E-3</v>
      </c>
      <c r="K96" s="163"/>
      <c r="AR96" s="42">
        <f t="shared" si="53"/>
        <v>4</v>
      </c>
      <c r="AS96" s="42">
        <f>IF(AR96=AR95,AS95+1,1)</f>
        <v>8</v>
      </c>
      <c r="AU96" s="42">
        <f ca="1">SUMIF(UPS!B$38:B$171,C96,UPS!BD$38:BD$171)</f>
        <v>53</v>
      </c>
      <c r="AV96" s="42">
        <f t="shared" si="57"/>
        <v>4</v>
      </c>
    </row>
    <row r="97" spans="1:48">
      <c r="B97" s="440" t="str">
        <f t="shared" si="44"/>
        <v>FLO_SHAR</v>
      </c>
      <c r="C97" s="440" t="str">
        <f ca="1">IF($A97="*","",OFFSET(ITEMS_UPS!$C$8,AR97,0))</f>
        <v>UCTLCLEIN-E</v>
      </c>
      <c r="D97" s="440" t="str">
        <f ca="1">IF($A97="*","",IF(VLOOKUP("*#"&amp;$AS97,$A$10:$I$24,D$9+1,FALSE)="-","-",OFFSET(UPS!$C$37,AU97+AV97,SUMIF($A$10:$A$20,"*#"&amp;AS97,$AT$10:$AT$20))))</f>
        <v>ODS</v>
      </c>
      <c r="E97" s="440" t="str">
        <f t="shared" ca="1" si="45"/>
        <v>UCTLCLEIN-E-O</v>
      </c>
      <c r="F97" s="440" t="str">
        <f t="shared" si="46"/>
        <v>-</v>
      </c>
      <c r="G97" s="440" t="str">
        <f t="shared" si="47"/>
        <v>ANNUAL</v>
      </c>
      <c r="H97" s="441" t="str">
        <f t="shared" si="48"/>
        <v>UP</v>
      </c>
      <c r="I97" s="441">
        <f t="shared" si="49"/>
        <v>3</v>
      </c>
      <c r="J97" s="163">
        <f ca="1">IF($A97="*","",OFFSET(UPS!$C$37,AU97+AV97,SUMIF($A$10:$A$20,"*#"&amp;AS97,$AV$10:$AV$20)))</f>
        <v>0.22515182978585355</v>
      </c>
      <c r="K97" s="163"/>
      <c r="AR97" s="42">
        <f t="shared" si="53"/>
        <v>4</v>
      </c>
      <c r="AS97" s="42">
        <f t="shared" ref="AS97:AS102" si="58">AS96</f>
        <v>8</v>
      </c>
      <c r="AU97" s="42">
        <f ca="1">SUMIF(UPS!B$38:B$171,C97,UPS!BD$38:BD$171)</f>
        <v>53</v>
      </c>
      <c r="AV97" s="42">
        <f t="shared" si="57"/>
        <v>5</v>
      </c>
    </row>
    <row r="98" spans="1:48">
      <c r="B98" s="440" t="str">
        <f t="shared" si="44"/>
        <v>FLO_SHAR</v>
      </c>
      <c r="C98" s="440" t="str">
        <f ca="1">IF($A98="*","",OFFSET(ITEMS_UPS!$C$8,AR98,0))</f>
        <v>UCTLCLEIN-E</v>
      </c>
      <c r="D98" s="440" t="str">
        <f ca="1">IF($A98="*","",IF(VLOOKUP("*#"&amp;$AS98,$A$10:$I$24,D$9+1,FALSE)="-","-",OFFSET(UPS!$C$37,AU98+AV98,SUMIF($A$10:$A$20,"*#"&amp;AS98,$AT$10:$AT$20))))</f>
        <v>OGS</v>
      </c>
      <c r="E98" s="440" t="str">
        <f t="shared" ca="1" si="45"/>
        <v>UCTLCLEIN-E-O</v>
      </c>
      <c r="F98" s="440" t="str">
        <f t="shared" si="46"/>
        <v>-</v>
      </c>
      <c r="G98" s="440" t="str">
        <f t="shared" si="47"/>
        <v>ANNUAL</v>
      </c>
      <c r="H98" s="441" t="str">
        <f t="shared" si="48"/>
        <v>UP</v>
      </c>
      <c r="I98" s="441">
        <f t="shared" si="49"/>
        <v>3</v>
      </c>
      <c r="J98" s="163">
        <f ca="1">IF($A98="*","",OFFSET(UPS!$C$37,AU98+AV98,SUMIF($A$10:$A$20,"*#"&amp;AS98,$AV$10:$AV$20)))</f>
        <v>0.51121066001704907</v>
      </c>
      <c r="K98" s="163"/>
      <c r="AR98" s="42">
        <f t="shared" si="53"/>
        <v>4</v>
      </c>
      <c r="AS98" s="42">
        <f t="shared" si="58"/>
        <v>8</v>
      </c>
      <c r="AU98" s="42">
        <f ca="1">SUMIF(UPS!B$38:B$171,C98,UPS!BD$38:BD$171)</f>
        <v>53</v>
      </c>
      <c r="AV98" s="42">
        <f t="shared" si="57"/>
        <v>6</v>
      </c>
    </row>
    <row r="99" spans="1:48">
      <c r="B99" s="440" t="str">
        <f t="shared" si="44"/>
        <v>FLO_SHAR</v>
      </c>
      <c r="C99" s="440" t="str">
        <f ca="1">IF($A99="*","",OFFSET(ITEMS_UPS!$C$8,AR99,0))</f>
        <v>UCTLCLEIN-E</v>
      </c>
      <c r="D99" s="440" t="str">
        <f ca="1">IF($A99="*","",IF(VLOOKUP("*#"&amp;$AS99,$A$10:$I$24,D$9+1,FALSE)="-","-",OFFSET(UPS!$C$37,AU99+AV99,SUMIF($A$10:$A$20,"*#"&amp;AS99,$AT$10:$AT$20))))</f>
        <v>GIM</v>
      </c>
      <c r="E99" s="440" t="str">
        <f t="shared" ca="1" si="45"/>
        <v>UCTLCLEIN-E-O</v>
      </c>
      <c r="F99" s="440" t="str">
        <f t="shared" si="46"/>
        <v>-</v>
      </c>
      <c r="G99" s="440" t="str">
        <f t="shared" si="47"/>
        <v>ANNUAL</v>
      </c>
      <c r="H99" s="441" t="str">
        <f t="shared" si="48"/>
        <v>UP</v>
      </c>
      <c r="I99" s="441">
        <f t="shared" si="49"/>
        <v>3</v>
      </c>
      <c r="J99" s="163">
        <f ca="1">IF($A99="*","",OFFSET(UPS!$C$37,AU99+AV99,SUMIF($A$10:$A$20,"*#"&amp;AS99,$AV$10:$AV$20)))</f>
        <v>0.13683682177551551</v>
      </c>
      <c r="K99" s="163"/>
      <c r="AR99" s="42">
        <f t="shared" si="53"/>
        <v>4</v>
      </c>
      <c r="AS99" s="42">
        <f t="shared" si="58"/>
        <v>8</v>
      </c>
      <c r="AU99" s="42">
        <f ca="1">SUMIF(UPS!B$38:B$171,C99,UPS!BD$38:BD$171)</f>
        <v>53</v>
      </c>
      <c r="AV99" s="42">
        <f t="shared" si="57"/>
        <v>7</v>
      </c>
    </row>
    <row r="100" spans="1:48">
      <c r="B100" s="440" t="str">
        <f t="shared" si="44"/>
        <v>FLO_SHAR</v>
      </c>
      <c r="C100" s="440" t="str">
        <f ca="1">IF($A100="*","",OFFSET(ITEMS_UPS!$C$8,AR100,0))</f>
        <v>UCTLCLEIN-E</v>
      </c>
      <c r="D100" s="440" t="str">
        <f ca="1">IF($A100="*","",IF(VLOOKUP("*#"&amp;$AS100,$A$10:$I$24,D$9+1,FALSE)="-","-",OFFSET(UPS!$C$37,AU100+AV100,SUMIF($A$10:$A$20,"*#"&amp;AS100,$AT$10:$AT$20))))</f>
        <v>OKE</v>
      </c>
      <c r="E100" s="440" t="str">
        <f t="shared" ca="1" si="45"/>
        <v>UCTLCLEIN-E-O</v>
      </c>
      <c r="F100" s="440" t="str">
        <f t="shared" si="46"/>
        <v>-</v>
      </c>
      <c r="G100" s="440" t="str">
        <f t="shared" si="47"/>
        <v>ANNUAL</v>
      </c>
      <c r="H100" s="441" t="str">
        <f t="shared" si="48"/>
        <v>UP</v>
      </c>
      <c r="I100" s="441">
        <f t="shared" si="49"/>
        <v>3</v>
      </c>
      <c r="J100" s="163">
        <f ca="1">IF($A100="*","",OFFSET(UPS!$C$37,AU100+AV100,SUMIF($A$10:$A$20,"*#"&amp;AS100,$AV$10:$AV$20)))</f>
        <v>4.1003051727628158E-2</v>
      </c>
      <c r="K100" s="163"/>
      <c r="AR100" s="42">
        <f t="shared" si="53"/>
        <v>4</v>
      </c>
      <c r="AS100" s="42">
        <f t="shared" si="58"/>
        <v>8</v>
      </c>
      <c r="AU100" s="42">
        <f ca="1">SUMIF(UPS!B$38:B$171,C100,UPS!BD$38:BD$171)</f>
        <v>53</v>
      </c>
      <c r="AV100" s="42">
        <f t="shared" si="57"/>
        <v>8</v>
      </c>
    </row>
    <row r="101" spans="1:48">
      <c r="B101" s="440" t="str">
        <f t="shared" si="44"/>
        <v>FLO_SHAR</v>
      </c>
      <c r="C101" s="440" t="str">
        <f ca="1">IF($A101="*","",OFFSET(ITEMS_UPS!$C$8,AR101,0))</f>
        <v>UCTLCLEIN-E</v>
      </c>
      <c r="D101" s="440" t="str">
        <f ca="1">IF($A101="*","",IF(VLOOKUP("*#"&amp;$AS101,$A$10:$I$24,D$9+1,FALSE)="-","-",OFFSET(UPS!$C$37,AU101+AV101,SUMIF($A$10:$A$20,"*#"&amp;AS101,$AT$10:$AT$20))))</f>
        <v>OLP</v>
      </c>
      <c r="E101" s="440" t="str">
        <f t="shared" ca="1" si="45"/>
        <v>UCTLCLEIN-E-O</v>
      </c>
      <c r="F101" s="440" t="str">
        <f t="shared" si="46"/>
        <v>-</v>
      </c>
      <c r="G101" s="440" t="str">
        <f t="shared" si="47"/>
        <v>ANNUAL</v>
      </c>
      <c r="H101" s="441" t="str">
        <f t="shared" si="48"/>
        <v>UP</v>
      </c>
      <c r="I101" s="441">
        <f t="shared" si="49"/>
        <v>3</v>
      </c>
      <c r="J101" s="163">
        <f ca="1">IF($A101="*","",OFFSET(UPS!$C$37,AU101+AV101,SUMIF($A$10:$A$20,"*#"&amp;AS101,$AV$10:$AV$20)))</f>
        <v>1.3008561741482062E-2</v>
      </c>
      <c r="K101" s="163"/>
      <c r="AR101" s="42">
        <f t="shared" si="53"/>
        <v>4</v>
      </c>
      <c r="AS101" s="42">
        <f t="shared" si="58"/>
        <v>8</v>
      </c>
      <c r="AU101" s="42">
        <f ca="1">SUMIF(UPS!B$38:B$171,C101,UPS!BD$38:BD$171)</f>
        <v>53</v>
      </c>
      <c r="AV101" s="42">
        <f t="shared" si="57"/>
        <v>9</v>
      </c>
    </row>
    <row r="102" spans="1:48">
      <c r="B102" s="440" t="str">
        <f t="shared" si="44"/>
        <v>FLO_SHAR</v>
      </c>
      <c r="C102" s="440" t="str">
        <f ca="1">IF($A102="*","",OFFSET(ITEMS_UPS!$C$8,AR102,0))</f>
        <v>UCTLCLEIN-E</v>
      </c>
      <c r="D102" s="440" t="str">
        <f ca="1">IF($A102="*","",IF(VLOOKUP("*#"&amp;$AS102,$A$10:$I$24,D$9+1,FALSE)="-","-",OFFSET(UPS!$C$37,AU102+AV102,SUMIF($A$10:$A$20,"*#"&amp;AS102,$AT$10:$AT$20))))</f>
        <v>OTH</v>
      </c>
      <c r="E102" s="440" t="str">
        <f t="shared" ca="1" si="45"/>
        <v>UCTLCLEIN-E-O</v>
      </c>
      <c r="F102" s="440" t="str">
        <f t="shared" si="46"/>
        <v>-</v>
      </c>
      <c r="G102" s="440" t="str">
        <f t="shared" si="47"/>
        <v>ANNUAL</v>
      </c>
      <c r="H102" s="441" t="str">
        <f t="shared" si="48"/>
        <v>UP</v>
      </c>
      <c r="I102" s="441">
        <f t="shared" si="49"/>
        <v>3</v>
      </c>
      <c r="J102" s="163">
        <f ca="1">IF($A102="*","",OFFSET(UPS!$C$37,AU102+AV102,SUMIF($A$10:$A$20,"*#"&amp;AS102,$AV$10:$AV$20)))</f>
        <v>6.89328840723646E-2</v>
      </c>
      <c r="K102" s="163"/>
      <c r="AR102" s="42">
        <f t="shared" si="53"/>
        <v>4</v>
      </c>
      <c r="AS102" s="42">
        <f t="shared" si="58"/>
        <v>8</v>
      </c>
      <c r="AU102" s="42">
        <f ca="1">SUMIF(UPS!B$38:B$171,C102,UPS!BD$38:BD$171)</f>
        <v>53</v>
      </c>
      <c r="AV102" s="42">
        <f t="shared" si="57"/>
        <v>10</v>
      </c>
    </row>
    <row r="103" spans="1:48">
      <c r="B103" s="440" t="str">
        <f t="shared" si="44"/>
        <v>FLO_EMIS</v>
      </c>
      <c r="C103" s="440" t="str">
        <f ca="1">IF($A103="*","",OFFSET(ITEMS_UPS!$C$8,AR103,0))</f>
        <v>UCTLCLEIN-E</v>
      </c>
      <c r="D103" s="440" t="str">
        <f>ITEMS_XFEmiss!$C$5</f>
        <v>CO2SF</v>
      </c>
      <c r="E103" s="440" t="str">
        <f t="shared" ca="1" si="45"/>
        <v>UCTLCLEIN-E-O</v>
      </c>
      <c r="F103" s="440" t="str">
        <f t="shared" si="46"/>
        <v>-</v>
      </c>
      <c r="G103" s="440" t="str">
        <f t="shared" si="47"/>
        <v>ANNUAL</v>
      </c>
      <c r="H103" s="441" t="str">
        <f t="shared" si="48"/>
        <v>-</v>
      </c>
      <c r="I103" s="441">
        <f t="shared" si="49"/>
        <v>0</v>
      </c>
      <c r="J103" s="163">
        <f ca="1">IF($A103="*","",OFFSET(UPS!$C$37,AU103,SUMIF($A$10:$A$20,"*#"&amp;AS103,$AT$10:$AT$20)))</f>
        <v>99.475504974982442</v>
      </c>
      <c r="K103" s="163"/>
      <c r="AR103" s="42">
        <f>AR100</f>
        <v>4</v>
      </c>
      <c r="AS103" s="42">
        <f>AS100+1</f>
        <v>9</v>
      </c>
      <c r="AU103" s="42">
        <f ca="1">SUMIF(UPS!B$38:B$171,C103,UPS!BD$38:BD$171)</f>
        <v>53</v>
      </c>
    </row>
    <row r="104" spans="1:48">
      <c r="B104" s="440" t="str">
        <f t="shared" si="44"/>
        <v>FLO_EMIS</v>
      </c>
      <c r="C104" s="440" t="str">
        <f ca="1">IF($A104="*","",OFFSET(ITEMS_UPS!$C$8,AR104,0))</f>
        <v>UCTLCLEIN-E</v>
      </c>
      <c r="D104" s="440" t="str">
        <f>ITEMS_XFEmiss!$C$3</f>
        <v>CH4SF</v>
      </c>
      <c r="E104" s="440" t="str">
        <f t="shared" ca="1" si="45"/>
        <v>UCTLCLEIN-E-O</v>
      </c>
      <c r="F104" s="440" t="str">
        <f t="shared" si="46"/>
        <v>-</v>
      </c>
      <c r="G104" s="440" t="str">
        <f t="shared" si="47"/>
        <v>ANNUAL</v>
      </c>
      <c r="H104" s="441" t="str">
        <f t="shared" si="48"/>
        <v>-</v>
      </c>
      <c r="I104" s="441">
        <f t="shared" si="49"/>
        <v>0</v>
      </c>
      <c r="J104" s="163">
        <f ca="1">IF($A104="*","",OFFSET(UPS!$C$37,AU104,SUMIF($A$10:$A$20,"*#"&amp;AS104,$AT$10:$AT$20)))</f>
        <v>0.39733151387714233</v>
      </c>
      <c r="K104" s="163"/>
      <c r="AR104" s="42">
        <f>AR103</f>
        <v>4</v>
      </c>
      <c r="AS104" s="42">
        <f>AS103+1</f>
        <v>10</v>
      </c>
      <c r="AU104" s="42">
        <f ca="1">SUMIF(UPS!B$38:B$171,C104,UPS!BD$38:BD$171)</f>
        <v>53</v>
      </c>
    </row>
    <row r="105" spans="1:48">
      <c r="B105" s="440" t="str">
        <f t="shared" si="44"/>
        <v>PRC_RESID</v>
      </c>
      <c r="C105" s="440" t="str">
        <f ca="1">IF($A105="*","",OFFSET(ITEMS_UPS!$C$8,AR105,0))</f>
        <v>UCTLCLEIN-E</v>
      </c>
      <c r="D105" s="440" t="str">
        <f ca="1">IF($A105="*","",IF(VLOOKUP("*#"&amp;$AS105,$A$10:$I$24,D$9+1,FALSE)="-","-",OFFSET(UPS!$C$37,AU105+AV105,SUMIF($A$10:$A$20,"*#"&amp;AS105,$AT$10:$AT$20))))</f>
        <v>-</v>
      </c>
      <c r="E105" s="440" t="str">
        <f t="shared" si="45"/>
        <v>-</v>
      </c>
      <c r="F105" s="440" t="str">
        <f t="shared" si="46"/>
        <v>-</v>
      </c>
      <c r="G105" s="440" t="str">
        <f t="shared" si="47"/>
        <v>-</v>
      </c>
      <c r="H105" s="441" t="str">
        <f t="shared" si="48"/>
        <v>-</v>
      </c>
      <c r="I105" s="441">
        <f t="shared" si="49"/>
        <v>0</v>
      </c>
      <c r="J105" s="163">
        <f ca="1">IF($A105="*","",OFFSET(UPS!$C$37,$AU105,SUMIF($A$10:$A$20,"*#"&amp;$AS105,$AT$10:$AT$20)+J$8))</f>
        <v>261.96656392262918</v>
      </c>
      <c r="K105" s="163">
        <f ca="1">IF($A105="*","",OFFSET(UPS!$C$37,$AU105,SUMIF($A$10:$A$20,"*#"&amp;$AS105,$AT$10:$AT$20)+K$8))</f>
        <v>261.96656392262918</v>
      </c>
      <c r="L105" s="163">
        <f ca="1">IF($A105="*","",OFFSET(UPS!$C$37,$AU105,SUMIF($A$10:$A$20,"*#"&amp;$AS105,$AT$10:$AT$20)+L$8))</f>
        <v>261.96656392262918</v>
      </c>
      <c r="M105" s="163">
        <f ca="1">IF($A105="*","",OFFSET(UPS!$C$37,$AU105,SUMIF($A$10:$A$20,"*#"&amp;$AS105,$AT$10:$AT$20)+M$8))</f>
        <v>261.96656392262918</v>
      </c>
      <c r="N105" s="163">
        <f ca="1">IF($A105="*","",OFFSET(UPS!$C$37,$AU105,SUMIF($A$10:$A$20,"*#"&amp;$AS105,$AT$10:$AT$20)+N$8))</f>
        <v>261.96656392262918</v>
      </c>
      <c r="O105" s="163">
        <f ca="1">IF($A105="*","",OFFSET(UPS!$C$37,$AU105,SUMIF($A$10:$A$20,"*#"&amp;$AS105,$AT$10:$AT$20)+O$8))</f>
        <v>261.96656392262918</v>
      </c>
      <c r="P105" s="163">
        <f ca="1">IF($A105="*","",OFFSET(UPS!$C$37,$AU105,SUMIF($A$10:$A$20,"*#"&amp;$AS105,$AT$10:$AT$20)+P$8))</f>
        <v>261.96656392262918</v>
      </c>
      <c r="Q105" s="163">
        <f ca="1">IF($A105="*","",OFFSET(UPS!$C$37,$AU105,SUMIF($A$10:$A$20,"*#"&amp;$AS105,$AT$10:$AT$20)+Q$8))</f>
        <v>261.96656392262918</v>
      </c>
      <c r="R105" s="163">
        <f ca="1">IF($A105="*","",OFFSET(UPS!$C$37,$AU105,SUMIF($A$10:$A$20,"*#"&amp;$AS105,$AT$10:$AT$20)+R$8))</f>
        <v>261.96656392262918</v>
      </c>
      <c r="S105" s="163">
        <f ca="1">IF($A105="*","",OFFSET(UPS!$C$37,$AU105,SUMIF($A$10:$A$20,"*#"&amp;$AS105,$AT$10:$AT$20)+S$8))</f>
        <v>261.96656392262918</v>
      </c>
      <c r="T105" s="163">
        <f ca="1">IF($A105="*","",OFFSET(UPS!$C$37,$AU105,SUMIF($A$10:$A$20,"*#"&amp;$AS105,$AT$10:$AT$20)+T$8))</f>
        <v>261.96656392262918</v>
      </c>
      <c r="U105" s="163">
        <f ca="1">IF($A105="*","",OFFSET(UPS!$C$37,$AU105,SUMIF($A$10:$A$20,"*#"&amp;$AS105,$AT$10:$AT$20)+U$8))</f>
        <v>261.96656392262918</v>
      </c>
      <c r="V105" s="163">
        <f ca="1">IF($A105="*","",OFFSET(UPS!$C$37,$AU105,SUMIF($A$10:$A$20,"*#"&amp;$AS105,$AT$10:$AT$20)+V$8))</f>
        <v>261.96656392262918</v>
      </c>
      <c r="W105" s="163">
        <f ca="1">IF($A105="*","",OFFSET(UPS!$C$37,$AU105,SUMIF($A$10:$A$20,"*#"&amp;$AS105,$AT$10:$AT$20)+W$8))</f>
        <v>261.96656392262918</v>
      </c>
      <c r="X105" s="163">
        <f ca="1">IF($A105="*","",OFFSET(UPS!$C$37,$AU105,SUMIF($A$10:$A$20,"*#"&amp;$AS105,$AT$10:$AT$20)+X$8))</f>
        <v>261.96656392262918</v>
      </c>
      <c r="Y105" s="163">
        <f ca="1">IF($A105="*","",OFFSET(UPS!$C$37,$AU105,SUMIF($A$10:$A$20,"*#"&amp;$AS105,$AT$10:$AT$20)+Y$8))</f>
        <v>261.96656392262918</v>
      </c>
      <c r="Z105" s="163">
        <f ca="1">IF($A105="*","",OFFSET(UPS!$C$37,$AU105,SUMIF($A$10:$A$20,"*#"&amp;$AS105,$AT$10:$AT$20)+Z$8))</f>
        <v>261.96656392262918</v>
      </c>
      <c r="AA105" s="163">
        <f ca="1">IF($A105="*","",OFFSET(UPS!$C$37,$AU105,SUMIF($A$10:$A$20,"*#"&amp;$AS105,$AT$10:$AT$20)+AA$8))</f>
        <v>261.96656392262918</v>
      </c>
      <c r="AB105" s="163">
        <f ca="1">IF($A105="*","",OFFSET(UPS!$C$37,$AU105,SUMIF($A$10:$A$20,"*#"&amp;$AS105,$AT$10:$AT$20)+AB$8))</f>
        <v>261.96656392262918</v>
      </c>
      <c r="AC105" s="163">
        <f ca="1">IF($A105="*","",OFFSET(UPS!$C$37,$AU105,SUMIF($A$10:$A$20,"*#"&amp;$AS105,$AT$10:$AT$20)+AC$8))</f>
        <v>261.96656392262918</v>
      </c>
      <c r="AD105" s="163">
        <f ca="1">IF($A105="*","",OFFSET(UPS!$C$37,$AU105,SUMIF($A$10:$A$20,"*#"&amp;$AS105,$AT$10:$AT$20)+AD$8))</f>
        <v>261.96656392262918</v>
      </c>
      <c r="AE105" s="163">
        <f ca="1">IF($A105="*","",OFFSET(UPS!$C$37,$AU105,SUMIF($A$10:$A$20,"*#"&amp;$AS105,$AT$10:$AT$20)+AE$8))</f>
        <v>261.96656392262918</v>
      </c>
      <c r="AF105" s="163">
        <f ca="1">IF($A105="*","",OFFSET(UPS!$C$37,$AU105,SUMIF($A$10:$A$20,"*#"&amp;$AS105,$AT$10:$AT$20)+AF$8))</f>
        <v>261.96656392262918</v>
      </c>
      <c r="AG105" s="163">
        <f ca="1">IF($A105="*","",OFFSET(UPS!$C$37,$AU105,SUMIF($A$10:$A$20,"*#"&amp;$AS105,$AT$10:$AT$20)+AG$8))</f>
        <v>261.96656392262918</v>
      </c>
      <c r="AH105" s="163">
        <f ca="1">IF($A105="*","",OFFSET(UPS!$C$37,$AU105,SUMIF($A$10:$A$20,"*#"&amp;$AS105,$AT$10:$AT$20)+AH$8))</f>
        <v>261.96656392262918</v>
      </c>
      <c r="AI105" s="163">
        <f ca="1">IF($A105="*","",OFFSET(UPS!$C$37,$AU105,SUMIF($A$10:$A$20,"*#"&amp;$AS105,$AT$10:$AT$20)+AI$8))</f>
        <v>261.96656392262918</v>
      </c>
      <c r="AJ105" s="163">
        <f ca="1">IF($A105="*","",OFFSET(UPS!$C$37,$AU105,SUMIF($A$10:$A$20,"*#"&amp;$AS105,$AT$10:$AT$20)+AJ$8))</f>
        <v>261.96656392262918</v>
      </c>
      <c r="AK105" s="163">
        <f ca="1">IF($A105="*","",OFFSET(UPS!$C$37,$AU105,SUMIF($A$10:$A$20,"*#"&amp;$AS105,$AT$10:$AT$20)+AK$8))</f>
        <v>261.96656392262918</v>
      </c>
      <c r="AL105" s="163">
        <f ca="1">IF($A105="*","",OFFSET(UPS!$C$37,$AU105,SUMIF($A$10:$A$20,"*#"&amp;$AS105,$AT$10:$AT$20)+AL$8))</f>
        <v>261.96656392262918</v>
      </c>
      <c r="AM105" s="163">
        <f ca="1">IF($A105="*","",OFFSET(UPS!$C$37,$AU105,SUMIF($A$10:$A$20,"*#"&amp;$AS105,$AT$10:$AT$20)+AM$8))</f>
        <v>261.96656392262918</v>
      </c>
      <c r="AN105" s="163">
        <f ca="1">IF($A105="*","",OFFSET(UPS!$C$37,$AU105,SUMIF($A$10:$A$20,"*#"&amp;$AS105,$AT$10:$AT$20)+AN$8))</f>
        <v>261.96656392262918</v>
      </c>
      <c r="AO105" s="163">
        <f ca="1">IF($A105="*","",OFFSET(UPS!$C$37,$AU105,SUMIF($A$10:$A$20,"*#"&amp;$AS105,$AT$10:$AT$20)+AO$8))</f>
        <v>261.96656392262918</v>
      </c>
      <c r="AP105" s="163">
        <f ca="1">IF($A105="*","",OFFSET(UPS!$C$37,$AU105,SUMIF($A$10:$A$20,"*#"&amp;$AS105,$AT$10:$AT$20)+AP$8))</f>
        <v>261.96656392262918</v>
      </c>
      <c r="AR105" s="42">
        <f>AR104</f>
        <v>4</v>
      </c>
      <c r="AS105" s="42">
        <f>AS104+1</f>
        <v>11</v>
      </c>
      <c r="AU105" s="42">
        <f ca="1">SUMIF(UPS!B$38:B$171,C105,UPS!BD$38:BD$171)</f>
        <v>53</v>
      </c>
    </row>
    <row r="106" spans="1:48">
      <c r="A106" s="42" t="s">
        <v>310</v>
      </c>
      <c r="B106" s="438" t="s">
        <v>601</v>
      </c>
      <c r="C106" s="440"/>
      <c r="D106" s="440"/>
      <c r="E106" s="440"/>
      <c r="F106" s="440"/>
      <c r="G106" s="440"/>
      <c r="H106" s="441"/>
      <c r="I106" s="441"/>
      <c r="J106" s="163"/>
      <c r="K106" s="163"/>
    </row>
    <row r="107" spans="1:48">
      <c r="B107" s="440" t="str">
        <f t="shared" ref="B107:B128" si="59">IF(A107="*","",VLOOKUP("*#"&amp;AS107,$A$9:$B$24,2,FALSE))</f>
        <v>ACT_COST</v>
      </c>
      <c r="C107" s="440" t="str">
        <f ca="1">IF($A107="*","",OFFSET(ITEMS_UPS!$C$8,AR107,0))</f>
        <v>UCTLCLEIN-N</v>
      </c>
      <c r="D107" s="440" t="str">
        <f ca="1">IF($A107="*","",IF(VLOOKUP("*#"&amp;$AS107,$A$10:$I$24,D$9+1,FALSE)="-","-",OFFSET(UPS!$C$37,AU107+AV107,SUMIF($A$10:$A$20,"*#"&amp;AS107,$AT$10:$AT$20))))</f>
        <v>-</v>
      </c>
      <c r="E107" s="440" t="str">
        <f t="shared" ref="E107:E128" si="60">IF($A107="*","",IF(VLOOKUP("*#"&amp;$AS107,$A$10:$I$24,E$9+1,FALSE)="-","-",C107&amp;"-"&amp;RIGHT(VLOOKUP("*#"&amp;$AS107,$A$10:$I$24,E$9+1,FALSE),1)))</f>
        <v>-</v>
      </c>
      <c r="F107" s="440" t="str">
        <f t="shared" ref="F107:F128" si="61">IF($A107="*","",IF(VLOOKUP("*#"&amp;$AS107,$A$10:$I$24,F$9+1,FALSE)="-","-",C107&amp;"-"&amp;RIGHT(VLOOKUP("*#"&amp;$AS107,$A$10:$I$24,F$9+1,FALSE),1)))</f>
        <v>-</v>
      </c>
      <c r="G107" s="440" t="str">
        <f t="shared" ref="G107:G125" si="62">IF($A107="*","",VLOOKUP("*#"&amp;$AS107,$A$10:$I$20,G$9+1,FALSE))</f>
        <v>-</v>
      </c>
      <c r="H107" s="441" t="str">
        <f t="shared" ref="H107:H128" si="63">IF($A107="*","",VLOOKUP("*#"&amp;$AS107,$A$10:$I$24,H$9+1,FALSE))</f>
        <v>-</v>
      </c>
      <c r="I107" s="441">
        <f t="shared" ref="I107:I125" si="64">IF($A107="*","",VLOOKUP("*#"&amp;$AS107,$A$10:$I$20,I$9+1,FALSE))</f>
        <v>0</v>
      </c>
      <c r="J107" s="163">
        <f ca="1">IF($A107="*","",OFFSET(UPS!$C$37,AU107,SUMIF($A$10:$A$20,"*#"&amp;AS107,$AT$10:$AT$20)))</f>
        <v>23.739875247063129</v>
      </c>
      <c r="K107" s="163"/>
      <c r="AR107" s="42">
        <v>6</v>
      </c>
      <c r="AS107" s="42">
        <v>1</v>
      </c>
      <c r="AU107" s="42">
        <f ca="1">SUMIF(UPS!B$38:B$171,C107,UPS!BD$38:BD$171)</f>
        <v>65</v>
      </c>
    </row>
    <row r="108" spans="1:48">
      <c r="B108" s="440" t="str">
        <f t="shared" si="59"/>
        <v>NCAP_AFA</v>
      </c>
      <c r="C108" s="440" t="str">
        <f ca="1">IF($A108="*","",OFFSET(ITEMS_UPS!$C$8,AR108,0))</f>
        <v>UCTLCLEIN-N</v>
      </c>
      <c r="D108" s="440" t="str">
        <f ca="1">IF($A108="*","",IF(VLOOKUP("*#"&amp;$AS108,$A$10:$I$24,D$9+1,FALSE)="-","-",OFFSET(UPS!$C$37,AU108+AV108,SUMIF($A$10:$A$20,"*#"&amp;AS108,$AT$10:$AT$20))))</f>
        <v>-</v>
      </c>
      <c r="E108" s="440" t="str">
        <f t="shared" si="60"/>
        <v>-</v>
      </c>
      <c r="F108" s="440" t="str">
        <f t="shared" si="61"/>
        <v>-</v>
      </c>
      <c r="G108" s="440" t="str">
        <f t="shared" si="62"/>
        <v>ANNUAL</v>
      </c>
      <c r="H108" s="441" t="str">
        <f t="shared" si="63"/>
        <v>UP</v>
      </c>
      <c r="I108" s="441">
        <f t="shared" si="64"/>
        <v>3</v>
      </c>
      <c r="J108" s="163">
        <f ca="1">IF($A108="*","",OFFSET(UPS!$C$37,AU108,SUMIF($A$10:$A$20,"*#"&amp;AS108,$AT$10:$AT$20)))</f>
        <v>0.96</v>
      </c>
      <c r="K108" s="163"/>
      <c r="AR108" s="42">
        <f t="shared" ref="AR108:AR123" si="65">AR107</f>
        <v>6</v>
      </c>
      <c r="AS108" s="42">
        <f t="shared" ref="AS108:AS113" si="66">IF(AR108=AR107,AS107+1,1)</f>
        <v>2</v>
      </c>
      <c r="AU108" s="42">
        <f ca="1">SUMIF(UPS!B$38:B$171,C108,UPS!BD$38:BD$171)</f>
        <v>65</v>
      </c>
    </row>
    <row r="109" spans="1:48">
      <c r="B109" s="440" t="str">
        <f t="shared" si="59"/>
        <v>NCAP_AFA</v>
      </c>
      <c r="C109" s="440" t="str">
        <f ca="1">IF($A109="*","",OFFSET(ITEMS_UPS!$C$8,AR109,0))</f>
        <v>UCTLCLEIN-N</v>
      </c>
      <c r="D109" s="440" t="str">
        <f ca="1">IF($A109="*","",IF(VLOOKUP("*#"&amp;$AS109,$A$10:$I$24,D$9+1,FALSE)="-","-",OFFSET(UPS!$C$37,AU109+AV109,SUMIF($A$10:$A$20,"*#"&amp;AS109,$AT$10:$AT$20))))</f>
        <v>-</v>
      </c>
      <c r="E109" s="440" t="str">
        <f t="shared" si="60"/>
        <v>-</v>
      </c>
      <c r="F109" s="440" t="str">
        <f t="shared" si="61"/>
        <v>-</v>
      </c>
      <c r="G109" s="440" t="str">
        <f t="shared" si="62"/>
        <v>ANNUAL</v>
      </c>
      <c r="H109" s="441" t="str">
        <f t="shared" si="63"/>
        <v>LO</v>
      </c>
      <c r="I109" s="441">
        <f t="shared" si="64"/>
        <v>3</v>
      </c>
      <c r="J109" s="163" t="str">
        <f ca="1">IF($A109="*","",OFFSET(UPS!$C$37,AU109,SUMIF($A$10:$A$20,"*#"&amp;AS109,$AT$10:$AT$20)))</f>
        <v/>
      </c>
      <c r="K109" s="163"/>
      <c r="AR109" s="42">
        <f t="shared" si="65"/>
        <v>6</v>
      </c>
      <c r="AS109" s="42">
        <f t="shared" si="66"/>
        <v>3</v>
      </c>
      <c r="AU109" s="42">
        <f ca="1">SUMIF(UPS!B$38:B$171,C109,UPS!BD$38:BD$171)</f>
        <v>65</v>
      </c>
    </row>
    <row r="110" spans="1:48">
      <c r="B110" s="440" t="str">
        <f t="shared" si="59"/>
        <v>NCAP_FOM</v>
      </c>
      <c r="C110" s="440" t="str">
        <f ca="1">IF($A110="*","",OFFSET(ITEMS_UPS!$C$8,AR110,0))</f>
        <v>UCTLCLEIN-N</v>
      </c>
      <c r="D110" s="440" t="str">
        <f ca="1">IF($A110="*","",IF(VLOOKUP("*#"&amp;$AS110,$A$10:$I$24,D$9+1,FALSE)="-","-",OFFSET(UPS!$C$37,AU110+AV110,SUMIF($A$10:$A$20,"*#"&amp;AS110,$AT$10:$AT$20))))</f>
        <v>-</v>
      </c>
      <c r="E110" s="440" t="str">
        <f t="shared" si="60"/>
        <v>-</v>
      </c>
      <c r="F110" s="440" t="str">
        <f t="shared" si="61"/>
        <v>-</v>
      </c>
      <c r="G110" s="440" t="str">
        <f t="shared" si="62"/>
        <v>-</v>
      </c>
      <c r="H110" s="441" t="str">
        <f t="shared" si="63"/>
        <v>-</v>
      </c>
      <c r="I110" s="441">
        <f t="shared" si="64"/>
        <v>0</v>
      </c>
      <c r="J110" s="163">
        <f ca="1">IF($A110="*","",OFFSET(UPS!$C$37,AU110,SUMIF($A$10:$A$20,"*#"&amp;AS110,$AT$10:$AT$20)))</f>
        <v>0</v>
      </c>
      <c r="K110" s="163"/>
      <c r="AR110" s="42">
        <f t="shared" si="65"/>
        <v>6</v>
      </c>
      <c r="AS110" s="42">
        <f t="shared" si="66"/>
        <v>4</v>
      </c>
      <c r="AU110" s="42">
        <f ca="1">SUMIF(UPS!B$38:B$171,C110,UPS!BD$38:BD$171)</f>
        <v>65</v>
      </c>
    </row>
    <row r="111" spans="1:48">
      <c r="B111" s="440" t="str">
        <f t="shared" si="59"/>
        <v>NCAP_BND</v>
      </c>
      <c r="C111" s="440" t="str">
        <f ca="1">IF($A111="*","",OFFSET(ITEMS_UPS!$C$8,AR111,0))</f>
        <v>UCTLCLEIN-N</v>
      </c>
      <c r="D111" s="440" t="str">
        <f ca="1">IF($A111="*","",IF(VLOOKUP("*#"&amp;$AS111,$A$10:$I$24,D$9+1,FALSE)="-","-",OFFSET(UPS!$C$37,AU111+AV111,SUMIF($A$10:$A$20,"*#"&amp;AS111,$AT$10:$AT$20))))</f>
        <v>-</v>
      </c>
      <c r="E111" s="440" t="str">
        <f t="shared" si="60"/>
        <v>-</v>
      </c>
      <c r="F111" s="440" t="str">
        <f t="shared" si="61"/>
        <v>-</v>
      </c>
      <c r="G111" s="440" t="str">
        <f t="shared" si="62"/>
        <v>-</v>
      </c>
      <c r="H111" s="441" t="str">
        <f t="shared" si="63"/>
        <v>UP</v>
      </c>
      <c r="I111" s="441">
        <f t="shared" si="64"/>
        <v>3</v>
      </c>
      <c r="J111" s="163">
        <f ca="1">IF($A111="*","",OFFSET(UPS!$C$37,AU111,SUMIF($A$10:$A$20,"*#"&amp;AS111,$AT$10:$AT$20)))</f>
        <v>0</v>
      </c>
      <c r="K111" s="163"/>
      <c r="AR111" s="42">
        <f>AR109</f>
        <v>6</v>
      </c>
      <c r="AS111" s="42">
        <f t="shared" si="66"/>
        <v>5</v>
      </c>
      <c r="AU111" s="42">
        <f ca="1">SUMIF(UPS!B$38:B$171,C111,UPS!BD$38:BD$171)</f>
        <v>65</v>
      </c>
    </row>
    <row r="112" spans="1:48">
      <c r="B112" s="440" t="str">
        <f t="shared" si="59"/>
        <v>FLO_FUNC</v>
      </c>
      <c r="C112" s="440" t="str">
        <f ca="1">IF($A112="*","",OFFSET(ITEMS_UPS!$C$8,AR112,0))</f>
        <v>UCTLCLEIN-N</v>
      </c>
      <c r="D112" s="440" t="str">
        <f ca="1">IF($A112="*","",IF(VLOOKUP("*#"&amp;$AS112,$A$10:$I$24,D$9+1,FALSE)="-","-",OFFSET(UPS!$C$37,AU112+AV112,SUMIF($A$10:$A$20,"*#"&amp;AS112,$AT$10:$AT$20))))</f>
        <v>-</v>
      </c>
      <c r="E112" s="440" t="str">
        <f t="shared" ca="1" si="60"/>
        <v>UCTLCLEIN-N-I</v>
      </c>
      <c r="F112" s="440" t="str">
        <f t="shared" ca="1" si="61"/>
        <v>UCTLCLEIN-N-O</v>
      </c>
      <c r="G112" s="440" t="str">
        <f t="shared" si="62"/>
        <v>ANNUAL</v>
      </c>
      <c r="H112" s="441" t="str">
        <f t="shared" si="63"/>
        <v>-</v>
      </c>
      <c r="I112" s="441">
        <f t="shared" si="64"/>
        <v>0</v>
      </c>
      <c r="J112" s="163">
        <f ca="1">IF($A112="*","",OFFSET(UPS!$C$37,AU112,SUMIF($A$10:$A$20,"*#"&amp;AS112,$AT$10:$AT$20)))</f>
        <v>0.34922414801284113</v>
      </c>
      <c r="K112" s="163"/>
      <c r="AR112" s="42">
        <f>AR109</f>
        <v>6</v>
      </c>
      <c r="AS112" s="42">
        <f t="shared" si="66"/>
        <v>6</v>
      </c>
      <c r="AU112" s="42">
        <f ca="1">SUMIF(UPS!B$38:B$171,C112,UPS!BD$38:BD$171)</f>
        <v>65</v>
      </c>
    </row>
    <row r="113" spans="2:48">
      <c r="B113" s="440" t="str">
        <f t="shared" si="59"/>
        <v>FLO_SHAR</v>
      </c>
      <c r="C113" s="440" t="str">
        <f ca="1">IF($A113="*","",OFFSET(ITEMS_UPS!$C$8,AR113,0))</f>
        <v>UCTLCLEIN-N</v>
      </c>
      <c r="D113" s="440" t="str">
        <f ca="1">IF($A113="*","",IF(VLOOKUP("*#"&amp;$AS113,$A$10:$I$24,D$9+1,FALSE)="-","-",OFFSET(UPS!$C$37,AU113+AV113,SUMIF($A$10:$A$20,"*#"&amp;AS113,$AT$10:$AT$20))))</f>
        <v>UPSCLE</v>
      </c>
      <c r="E113" s="440" t="str">
        <f t="shared" ca="1" si="60"/>
        <v>UCTLCLEIN-N-I</v>
      </c>
      <c r="F113" s="440" t="str">
        <f t="shared" si="61"/>
        <v>-</v>
      </c>
      <c r="G113" s="440" t="str">
        <f t="shared" si="62"/>
        <v>ANNUAL</v>
      </c>
      <c r="H113" s="441" t="str">
        <f t="shared" si="63"/>
        <v>FX</v>
      </c>
      <c r="I113" s="441">
        <f t="shared" si="64"/>
        <v>3</v>
      </c>
      <c r="J113" s="163">
        <f ca="1">IF($A113="*","",OFFSET(UPS!$C$37,AU113+AV113,SUMIF($A$10:$A$20,"*#"&amp;AS113,$AV$10:$AV$20)))</f>
        <v>0.65963269300300886</v>
      </c>
      <c r="K113" s="163"/>
      <c r="AR113" s="42">
        <f t="shared" si="65"/>
        <v>6</v>
      </c>
      <c r="AS113" s="42">
        <f t="shared" si="66"/>
        <v>7</v>
      </c>
      <c r="AU113" s="42">
        <f ca="1">SUMIF(UPS!B$38:B$171,C113,UPS!BD$38:BD$171)</f>
        <v>65</v>
      </c>
      <c r="AV113" s="42">
        <v>0</v>
      </c>
    </row>
    <row r="114" spans="2:48">
      <c r="B114" s="440" t="str">
        <f t="shared" si="59"/>
        <v>FLO_SHAR</v>
      </c>
      <c r="C114" s="440" t="str">
        <f ca="1">IF($A114="*","",OFFSET(ITEMS_UPS!$C$8,AR114,0))</f>
        <v>UCTLCLEIN-N</v>
      </c>
      <c r="D114" s="440" t="str">
        <f ca="1">IF($A114="*","",IF(VLOOKUP("*#"&amp;$AS114,$A$10:$I$24,D$9+1,FALSE)="-","-",OFFSET(UPS!$C$37,AU114+AV114,SUMIF($A$10:$A$20,"*#"&amp;AS114,$AT$10:$AT$20))))</f>
        <v>UPSGAS</v>
      </c>
      <c r="E114" s="440" t="str">
        <f t="shared" ca="1" si="60"/>
        <v>UCTLCLEIN-N-I</v>
      </c>
      <c r="F114" s="440" t="str">
        <f t="shared" si="61"/>
        <v>-</v>
      </c>
      <c r="G114" s="440" t="str">
        <f t="shared" si="62"/>
        <v>ANNUAL</v>
      </c>
      <c r="H114" s="441" t="str">
        <f t="shared" si="63"/>
        <v>FX</v>
      </c>
      <c r="I114" s="441">
        <f t="shared" si="64"/>
        <v>3</v>
      </c>
      <c r="J114" s="163">
        <f ca="1">IF($A114="*","",OFFSET(UPS!$C$37,AU114+AV114,SUMIF($A$10:$A$20,"*#"&amp;AS114,$AV$10:$AV$20)))</f>
        <v>6.1679045115178993E-2</v>
      </c>
      <c r="K114" s="163"/>
      <c r="AR114" s="42">
        <f t="shared" si="65"/>
        <v>6</v>
      </c>
      <c r="AS114" s="42">
        <f>AS113</f>
        <v>7</v>
      </c>
      <c r="AU114" s="42">
        <f ca="1">SUMIF(UPS!B$38:B$171,C114,UPS!BD$38:BD$171)</f>
        <v>65</v>
      </c>
      <c r="AV114" s="42">
        <f>AV113+1</f>
        <v>1</v>
      </c>
    </row>
    <row r="115" spans="2:48">
      <c r="B115" s="440" t="str">
        <f t="shared" si="59"/>
        <v>FLO_SHAR</v>
      </c>
      <c r="C115" s="440" t="str">
        <f ca="1">IF($A115="*","",OFFSET(ITEMS_UPS!$C$8,AR115,0))</f>
        <v>UCTLCLEIN-N</v>
      </c>
      <c r="D115" s="440" t="str">
        <f ca="1">IF($A115="*","",IF(VLOOKUP("*#"&amp;$AS115,$A$10:$I$24,D$9+1,FALSE)="-","-",OFFSET(UPS!$C$37,AU115+AV115,SUMIF($A$10:$A$20,"*#"&amp;AS115,$AT$10:$AT$20))))</f>
        <v>UPSELC</v>
      </c>
      <c r="E115" s="440" t="str">
        <f t="shared" ca="1" si="60"/>
        <v>UCTLCLEIN-N-I</v>
      </c>
      <c r="F115" s="440" t="str">
        <f t="shared" si="61"/>
        <v>-</v>
      </c>
      <c r="G115" s="440" t="str">
        <f t="shared" si="62"/>
        <v>ANNUAL</v>
      </c>
      <c r="H115" s="441" t="str">
        <f t="shared" si="63"/>
        <v>FX</v>
      </c>
      <c r="I115" s="441">
        <f t="shared" si="64"/>
        <v>3</v>
      </c>
      <c r="J115" s="163">
        <f ca="1">IF($A115="*","",OFFSET(UPS!$C$37,AU115+AV115,SUMIF($A$10:$A$20,"*#"&amp;AS115,$AV$10:$AV$20)))</f>
        <v>4.294262361898564E-2</v>
      </c>
      <c r="K115" s="163"/>
      <c r="AR115" s="42">
        <f t="shared" si="65"/>
        <v>6</v>
      </c>
      <c r="AS115" s="42">
        <f>AS114</f>
        <v>7</v>
      </c>
      <c r="AU115" s="42">
        <f ca="1">SUMIF(UPS!B$38:B$171,C115,UPS!BD$38:BD$171)</f>
        <v>65</v>
      </c>
      <c r="AV115" s="42">
        <f>AV114+1</f>
        <v>2</v>
      </c>
    </row>
    <row r="116" spans="2:48">
      <c r="B116" s="440" t="str">
        <f t="shared" si="59"/>
        <v>FLO_SHAR</v>
      </c>
      <c r="C116" s="440" t="str">
        <f ca="1">IF($A116="*","",OFFSET(ITEMS_UPS!$C$8,AR116,0))</f>
        <v>UCTLCLEIN-N</v>
      </c>
      <c r="D116" s="440" t="str">
        <f ca="1">IF($A116="*","",IF(VLOOKUP("*#"&amp;$AS116,$A$10:$I$24,D$9+1,FALSE)="-","-",OFFSET(UPS!$C$37,AU116+AV116,SUMIF($A$10:$A$20,"*#"&amp;AS116,$AT$10:$AT$20))))</f>
        <v>UPSHEN</v>
      </c>
      <c r="E116" s="440" t="str">
        <f t="shared" ca="1" si="60"/>
        <v>UCTLCLEIN-N-I</v>
      </c>
      <c r="F116" s="440" t="str">
        <f t="shared" si="61"/>
        <v>-</v>
      </c>
      <c r="G116" s="440" t="str">
        <f t="shared" si="62"/>
        <v>ANNUAL</v>
      </c>
      <c r="H116" s="441" t="str">
        <f t="shared" si="63"/>
        <v>FX</v>
      </c>
      <c r="I116" s="441">
        <f t="shared" si="64"/>
        <v>3</v>
      </c>
      <c r="J116" s="163">
        <f ca="1">IF($A116="*","",OFFSET(UPS!$C$37,AU116+AV116,SUMIF($A$10:$A$20,"*#"&amp;AS116,$AV$10:$AV$20)))</f>
        <v>0.23574563826282655</v>
      </c>
      <c r="K116" s="163"/>
      <c r="AR116" s="42">
        <f t="shared" si="65"/>
        <v>6</v>
      </c>
      <c r="AS116" s="42">
        <f>AS115</f>
        <v>7</v>
      </c>
      <c r="AU116" s="42">
        <f ca="1">SUMIF(UPS!B$38:B$171,C116,UPS!BD$38:BD$171)</f>
        <v>65</v>
      </c>
      <c r="AV116" s="42">
        <f t="shared" ref="AV116:AV123" si="67">AV115+1</f>
        <v>3</v>
      </c>
    </row>
    <row r="117" spans="2:48">
      <c r="B117" s="440" t="str">
        <f t="shared" si="59"/>
        <v>FLO_SHAR</v>
      </c>
      <c r="C117" s="440" t="str">
        <f ca="1">IF($A117="*","",OFFSET(ITEMS_UPS!$C$8,AR117,0))</f>
        <v>UCTLCLEIN-N</v>
      </c>
      <c r="D117" s="440" t="str">
        <f ca="1">IF($A117="*","",IF(VLOOKUP("*#"&amp;$AS117,$A$10:$I$24,D$9+1,FALSE)="-","-",OFFSET(UPS!$C$37,AU117+AV117,SUMIF($A$10:$A$20,"*#"&amp;AS117,$AT$10:$AT$20))))</f>
        <v>OAG</v>
      </c>
      <c r="E117" s="440" t="str">
        <f t="shared" ca="1" si="60"/>
        <v>UCTLCLEIN-N-O</v>
      </c>
      <c r="F117" s="440" t="str">
        <f t="shared" si="61"/>
        <v>-</v>
      </c>
      <c r="G117" s="440" t="str">
        <f t="shared" si="62"/>
        <v>ANNUAL</v>
      </c>
      <c r="H117" s="441" t="str">
        <f t="shared" si="63"/>
        <v>UP</v>
      </c>
      <c r="I117" s="441">
        <f t="shared" si="64"/>
        <v>3</v>
      </c>
      <c r="J117" s="163">
        <f ca="1">IF($A117="*","",OFFSET(UPS!$C$37,AU117+AV117,SUMIF($A$10:$A$20,"*#"&amp;AS117,$AV$10:$AV$20)))</f>
        <v>0</v>
      </c>
      <c r="K117" s="163"/>
      <c r="AR117" s="42">
        <f t="shared" si="65"/>
        <v>6</v>
      </c>
      <c r="AS117" s="42">
        <f>IF(AR117=AR116,AS116+1,1)</f>
        <v>8</v>
      </c>
      <c r="AU117" s="42">
        <f ca="1">SUMIF(UPS!B$38:B$171,C117,UPS!BD$38:BD$171)</f>
        <v>65</v>
      </c>
      <c r="AV117" s="42">
        <f t="shared" si="67"/>
        <v>4</v>
      </c>
    </row>
    <row r="118" spans="2:48">
      <c r="B118" s="440" t="str">
        <f t="shared" si="59"/>
        <v>FLO_SHAR</v>
      </c>
      <c r="C118" s="440" t="str">
        <f ca="1">IF($A118="*","",OFFSET(ITEMS_UPS!$C$8,AR118,0))</f>
        <v>UCTLCLEIN-N</v>
      </c>
      <c r="D118" s="440" t="str">
        <f ca="1">IF($A118="*","",IF(VLOOKUP("*#"&amp;$AS118,$A$10:$I$24,D$9+1,FALSE)="-","-",OFFSET(UPS!$C$37,AU118+AV118,SUMIF($A$10:$A$20,"*#"&amp;AS118,$AT$10:$AT$20))))</f>
        <v>ODS</v>
      </c>
      <c r="E118" s="440" t="str">
        <f t="shared" ca="1" si="60"/>
        <v>UCTLCLEIN-N-O</v>
      </c>
      <c r="F118" s="440" t="str">
        <f t="shared" si="61"/>
        <v>-</v>
      </c>
      <c r="G118" s="440" t="str">
        <f t="shared" si="62"/>
        <v>ANNUAL</v>
      </c>
      <c r="H118" s="441" t="str">
        <f t="shared" si="63"/>
        <v>UP</v>
      </c>
      <c r="I118" s="441">
        <f t="shared" si="64"/>
        <v>3</v>
      </c>
      <c r="J118" s="163">
        <f ca="1">IF($A118="*","",OFFSET(UPS!$C$37,AU118+AV118,SUMIF($A$10:$A$20,"*#"&amp;AS118,$AV$10:$AV$20)))</f>
        <v>0.73</v>
      </c>
      <c r="K118" s="163"/>
      <c r="AR118" s="42">
        <f t="shared" si="65"/>
        <v>6</v>
      </c>
      <c r="AS118" s="42">
        <f t="shared" ref="AS118:AS123" si="68">AS117</f>
        <v>8</v>
      </c>
      <c r="AU118" s="42">
        <f ca="1">SUMIF(UPS!B$38:B$171,C118,UPS!BD$38:BD$171)</f>
        <v>65</v>
      </c>
      <c r="AV118" s="42">
        <f t="shared" si="67"/>
        <v>5</v>
      </c>
    </row>
    <row r="119" spans="2:48">
      <c r="B119" s="440" t="str">
        <f t="shared" si="59"/>
        <v>FLO_SHAR</v>
      </c>
      <c r="C119" s="440" t="str">
        <f ca="1">IF($A119="*","",OFFSET(ITEMS_UPS!$C$8,AR119,0))</f>
        <v>UCTLCLEIN-N</v>
      </c>
      <c r="D119" s="440" t="str">
        <f ca="1">IF($A119="*","",IF(VLOOKUP("*#"&amp;$AS119,$A$10:$I$24,D$9+1,FALSE)="-","-",OFFSET(UPS!$C$37,AU119+AV119,SUMIF($A$10:$A$20,"*#"&amp;AS119,$AT$10:$AT$20))))</f>
        <v>OGS</v>
      </c>
      <c r="E119" s="440" t="str">
        <f t="shared" ca="1" si="60"/>
        <v>UCTLCLEIN-N-O</v>
      </c>
      <c r="F119" s="440" t="str">
        <f t="shared" si="61"/>
        <v>-</v>
      </c>
      <c r="G119" s="440" t="str">
        <f t="shared" si="62"/>
        <v>ANNUAL</v>
      </c>
      <c r="H119" s="441" t="str">
        <f t="shared" si="63"/>
        <v>UP</v>
      </c>
      <c r="I119" s="441">
        <f t="shared" si="64"/>
        <v>3</v>
      </c>
      <c r="J119" s="163">
        <f ca="1">IF($A119="*","",OFFSET(UPS!$C$37,AU119+AV119,SUMIF($A$10:$A$20,"*#"&amp;AS119,$AV$10:$AV$20)))</f>
        <v>0.23499999999999999</v>
      </c>
      <c r="K119" s="163"/>
      <c r="AR119" s="42">
        <f t="shared" si="65"/>
        <v>6</v>
      </c>
      <c r="AS119" s="42">
        <f t="shared" si="68"/>
        <v>8</v>
      </c>
      <c r="AU119" s="42">
        <f ca="1">SUMIF(UPS!B$38:B$171,C119,UPS!BD$38:BD$171)</f>
        <v>65</v>
      </c>
      <c r="AV119" s="42">
        <f t="shared" si="67"/>
        <v>6</v>
      </c>
    </row>
    <row r="120" spans="2:48">
      <c r="B120" s="440" t="str">
        <f t="shared" si="59"/>
        <v>FLO_SHAR</v>
      </c>
      <c r="C120" s="440" t="str">
        <f ca="1">IF($A120="*","",OFFSET(ITEMS_UPS!$C$8,AR120,0))</f>
        <v>UCTLCLEIN-N</v>
      </c>
      <c r="D120" s="440" t="str">
        <f ca="1">IF($A120="*","",IF(VLOOKUP("*#"&amp;$AS120,$A$10:$I$24,D$9+1,FALSE)="-","-",OFFSET(UPS!$C$37,AU120+AV120,SUMIF($A$10:$A$20,"*#"&amp;AS120,$AT$10:$AT$20))))</f>
        <v>GIM</v>
      </c>
      <c r="E120" s="440" t="str">
        <f t="shared" ca="1" si="60"/>
        <v>UCTLCLEIN-N-O</v>
      </c>
      <c r="F120" s="440" t="str">
        <f t="shared" si="61"/>
        <v>-</v>
      </c>
      <c r="G120" s="440" t="str">
        <f t="shared" si="62"/>
        <v>ANNUAL</v>
      </c>
      <c r="H120" s="441" t="str">
        <f t="shared" si="63"/>
        <v>UP</v>
      </c>
      <c r="I120" s="441">
        <f t="shared" si="64"/>
        <v>3</v>
      </c>
      <c r="J120" s="163">
        <f ca="1">IF($A120="*","",OFFSET(UPS!$C$37,AU120+AV120,SUMIF($A$10:$A$20,"*#"&amp;AS120,$AV$10:$AV$20)))</f>
        <v>0</v>
      </c>
      <c r="K120" s="163"/>
      <c r="AR120" s="42">
        <f t="shared" si="65"/>
        <v>6</v>
      </c>
      <c r="AS120" s="42">
        <f t="shared" si="68"/>
        <v>8</v>
      </c>
      <c r="AU120" s="42">
        <f ca="1">SUMIF(UPS!B$38:B$171,C120,UPS!BD$38:BD$171)</f>
        <v>65</v>
      </c>
      <c r="AV120" s="42">
        <f t="shared" si="67"/>
        <v>7</v>
      </c>
    </row>
    <row r="121" spans="2:48">
      <c r="B121" s="440" t="str">
        <f t="shared" si="59"/>
        <v>FLO_SHAR</v>
      </c>
      <c r="C121" s="440" t="str">
        <f ca="1">IF($A121="*","",OFFSET(ITEMS_UPS!$C$8,AR121,0))</f>
        <v>UCTLCLEIN-N</v>
      </c>
      <c r="D121" s="440" t="str">
        <f ca="1">IF($A121="*","",IF(VLOOKUP("*#"&amp;$AS121,$A$10:$I$24,D$9+1,FALSE)="-","-",OFFSET(UPS!$C$37,AU121+AV121,SUMIF($A$10:$A$20,"*#"&amp;AS121,$AT$10:$AT$20))))</f>
        <v>OKE</v>
      </c>
      <c r="E121" s="440" t="str">
        <f t="shared" ca="1" si="60"/>
        <v>UCTLCLEIN-N-O</v>
      </c>
      <c r="F121" s="440" t="str">
        <f t="shared" si="61"/>
        <v>-</v>
      </c>
      <c r="G121" s="440" t="str">
        <f t="shared" si="62"/>
        <v>ANNUAL</v>
      </c>
      <c r="H121" s="441" t="str">
        <f t="shared" si="63"/>
        <v>UP</v>
      </c>
      <c r="I121" s="441">
        <f t="shared" si="64"/>
        <v>3</v>
      </c>
      <c r="J121" s="163">
        <f ca="1">IF($A121="*","",OFFSET(UPS!$C$37,AU121+AV121,SUMIF($A$10:$A$20,"*#"&amp;AS121,$AV$10:$AV$20)))</f>
        <v>0</v>
      </c>
      <c r="K121" s="163"/>
      <c r="AR121" s="42">
        <f t="shared" si="65"/>
        <v>6</v>
      </c>
      <c r="AS121" s="42">
        <f t="shared" si="68"/>
        <v>8</v>
      </c>
      <c r="AU121" s="42">
        <f ca="1">SUMIF(UPS!B$38:B$171,C121,UPS!BD$38:BD$171)</f>
        <v>65</v>
      </c>
      <c r="AV121" s="42">
        <f t="shared" si="67"/>
        <v>8</v>
      </c>
    </row>
    <row r="122" spans="2:48">
      <c r="B122" s="440" t="str">
        <f t="shared" si="59"/>
        <v>FLO_SHAR</v>
      </c>
      <c r="C122" s="440" t="str">
        <f ca="1">IF($A122="*","",OFFSET(ITEMS_UPS!$C$8,AR122,0))</f>
        <v>UCTLCLEIN-N</v>
      </c>
      <c r="D122" s="440" t="str">
        <f ca="1">IF($A122="*","",IF(VLOOKUP("*#"&amp;$AS122,$A$10:$I$24,D$9+1,FALSE)="-","-",OFFSET(UPS!$C$37,AU122+AV122,SUMIF($A$10:$A$20,"*#"&amp;AS122,$AT$10:$AT$20))))</f>
        <v>OLP</v>
      </c>
      <c r="E122" s="440" t="str">
        <f t="shared" ca="1" si="60"/>
        <v>UCTLCLEIN-N-O</v>
      </c>
      <c r="F122" s="440" t="str">
        <f t="shared" si="61"/>
        <v>-</v>
      </c>
      <c r="G122" s="440" t="str">
        <f t="shared" si="62"/>
        <v>ANNUAL</v>
      </c>
      <c r="H122" s="441" t="str">
        <f t="shared" si="63"/>
        <v>UP</v>
      </c>
      <c r="I122" s="441">
        <f t="shared" si="64"/>
        <v>3</v>
      </c>
      <c r="J122" s="163">
        <f ca="1">IF($A122="*","",OFFSET(UPS!$C$37,AU122+AV122,SUMIF($A$10:$A$20,"*#"&amp;AS122,$AV$10:$AV$20)))</f>
        <v>3.5000000000000003E-2</v>
      </c>
      <c r="K122" s="163"/>
      <c r="AR122" s="42">
        <f t="shared" si="65"/>
        <v>6</v>
      </c>
      <c r="AS122" s="42">
        <f t="shared" si="68"/>
        <v>8</v>
      </c>
      <c r="AU122" s="42">
        <f ca="1">SUMIF(UPS!B$38:B$171,C122,UPS!BD$38:BD$171)</f>
        <v>65</v>
      </c>
      <c r="AV122" s="42">
        <f t="shared" si="67"/>
        <v>9</v>
      </c>
    </row>
    <row r="123" spans="2:48">
      <c r="B123" s="440" t="str">
        <f t="shared" si="59"/>
        <v>FLO_SHAR</v>
      </c>
      <c r="C123" s="440" t="str">
        <f ca="1">IF($A123="*","",OFFSET(ITEMS_UPS!$C$8,AR123,0))</f>
        <v>UCTLCLEIN-N</v>
      </c>
      <c r="D123" s="440" t="str">
        <f ca="1">IF($A123="*","",IF(VLOOKUP("*#"&amp;$AS123,$A$10:$I$24,D$9+1,FALSE)="-","-",OFFSET(UPS!$C$37,AU123+AV123,SUMIF($A$10:$A$20,"*#"&amp;AS123,$AT$10:$AT$20))))</f>
        <v>OTH</v>
      </c>
      <c r="E123" s="440" t="str">
        <f t="shared" ca="1" si="60"/>
        <v>UCTLCLEIN-N-O</v>
      </c>
      <c r="F123" s="440" t="str">
        <f t="shared" si="61"/>
        <v>-</v>
      </c>
      <c r="G123" s="440" t="str">
        <f t="shared" si="62"/>
        <v>ANNUAL</v>
      </c>
      <c r="H123" s="441" t="str">
        <f t="shared" si="63"/>
        <v>UP</v>
      </c>
      <c r="I123" s="441">
        <f t="shared" si="64"/>
        <v>3</v>
      </c>
      <c r="J123" s="163">
        <f ca="1">IF($A123="*","",OFFSET(UPS!$C$37,AU123+AV123,SUMIF($A$10:$A$20,"*#"&amp;AS123,$AV$10:$AV$20)))</f>
        <v>0</v>
      </c>
      <c r="K123" s="163"/>
      <c r="AR123" s="42">
        <f t="shared" si="65"/>
        <v>6</v>
      </c>
      <c r="AS123" s="42">
        <f t="shared" si="68"/>
        <v>8</v>
      </c>
      <c r="AU123" s="42">
        <f ca="1">SUMIF(UPS!B$38:B$171,C123,UPS!BD$38:BD$171)</f>
        <v>65</v>
      </c>
      <c r="AV123" s="42">
        <f t="shared" si="67"/>
        <v>10</v>
      </c>
    </row>
    <row r="124" spans="2:48">
      <c r="B124" s="440" t="str">
        <f t="shared" si="59"/>
        <v>FLO_EMIS</v>
      </c>
      <c r="C124" s="440" t="str">
        <f ca="1">IF($A124="*","",OFFSET(ITEMS_UPS!$C$8,AR124,0))</f>
        <v>UCTLCLEIN-N</v>
      </c>
      <c r="D124" s="440" t="str">
        <f>ITEMS_XFEmiss!$C$5</f>
        <v>CO2SF</v>
      </c>
      <c r="E124" s="440" t="str">
        <f t="shared" ca="1" si="60"/>
        <v>UCTLCLEIN-N-O</v>
      </c>
      <c r="F124" s="440" t="str">
        <f t="shared" si="61"/>
        <v>-</v>
      </c>
      <c r="G124" s="440" t="str">
        <f t="shared" si="62"/>
        <v>ANNUAL</v>
      </c>
      <c r="H124" s="441" t="str">
        <f t="shared" si="63"/>
        <v>-</v>
      </c>
      <c r="I124" s="441">
        <f t="shared" si="64"/>
        <v>0</v>
      </c>
      <c r="J124" s="163">
        <f ca="1">IF($A124="*","",OFFSET(UPS!$C$37,AU124,SUMIF($A$10:$A$20,"*#"&amp;AS124,$AT$10:$AT$20)))</f>
        <v>99.475504974982442</v>
      </c>
      <c r="K124" s="163"/>
      <c r="AR124" s="42">
        <f>AR121</f>
        <v>6</v>
      </c>
      <c r="AS124" s="42">
        <f>AS121+1</f>
        <v>9</v>
      </c>
      <c r="AU124" s="42">
        <f ca="1">SUMIF(UPS!B$38:B$171,C124,UPS!BD$38:BD$171)</f>
        <v>65</v>
      </c>
    </row>
    <row r="125" spans="2:48">
      <c r="B125" s="440" t="str">
        <f t="shared" si="59"/>
        <v>FLO_EMIS</v>
      </c>
      <c r="C125" s="440" t="str">
        <f ca="1">IF($A125="*","",OFFSET(ITEMS_UPS!$C$8,AR125,0))</f>
        <v>UCTLCLEIN-N</v>
      </c>
      <c r="D125" s="440" t="str">
        <f>ITEMS_XFEmiss!$C$3</f>
        <v>CH4SF</v>
      </c>
      <c r="E125" s="440" t="str">
        <f t="shared" ca="1" si="60"/>
        <v>UCTLCLEIN-N-O</v>
      </c>
      <c r="F125" s="440" t="str">
        <f t="shared" si="61"/>
        <v>-</v>
      </c>
      <c r="G125" s="440" t="str">
        <f t="shared" si="62"/>
        <v>ANNUAL</v>
      </c>
      <c r="H125" s="441" t="str">
        <f t="shared" si="63"/>
        <v>-</v>
      </c>
      <c r="I125" s="441">
        <f t="shared" si="64"/>
        <v>0</v>
      </c>
      <c r="J125" s="163">
        <f ca="1">IF($A125="*","",OFFSET(UPS!$C$37,AU125,SUMIF($A$10:$A$20,"*#"&amp;AS125,$AT$10:$AT$20)))</f>
        <v>0.39733151387714233</v>
      </c>
      <c r="K125" s="163"/>
      <c r="AR125" s="42">
        <f>AR124</f>
        <v>6</v>
      </c>
      <c r="AS125" s="42">
        <f>AS124+1</f>
        <v>10</v>
      </c>
      <c r="AU125" s="42">
        <f ca="1">SUMIF(UPS!B$38:B$171,C125,UPS!BD$38:BD$171)</f>
        <v>65</v>
      </c>
    </row>
    <row r="126" spans="2:48">
      <c r="B126" s="440" t="str">
        <f t="shared" si="59"/>
        <v>NCAP_COST</v>
      </c>
      <c r="C126" s="440" t="str">
        <f ca="1">IF($A126="*","",OFFSET(ITEMS_UPS!$C$8,AR126,0))</f>
        <v>UCTLCLEIN-N</v>
      </c>
      <c r="D126" s="440" t="str">
        <f ca="1">IF($A126="*","",IF(VLOOKUP("*#"&amp;$AS126,$A$10:$I$24,D$9+1,FALSE)="-","-",OFFSET(UPS!$C$37,AU126+AV126,SUMIF($A$10:$A$20,"*#"&amp;AS126,$AT$10:$AT$20))))</f>
        <v>-</v>
      </c>
      <c r="E126" s="440" t="str">
        <f t="shared" si="60"/>
        <v>-</v>
      </c>
      <c r="F126" s="440" t="str">
        <f t="shared" si="61"/>
        <v>-</v>
      </c>
      <c r="G126" s="440" t="str">
        <f>IF($A126="*","",VLOOKUP("*#"&amp;$AS126,$A$10:$I$24,G$9+1,FALSE))</f>
        <v>-</v>
      </c>
      <c r="H126" s="441" t="str">
        <f t="shared" si="63"/>
        <v>-</v>
      </c>
      <c r="I126" s="441">
        <f>IF($A126="*","",VLOOKUP("*#"&amp;$AS126,$A$10:$I$24,I$9+1,FALSE))</f>
        <v>0</v>
      </c>
      <c r="J126" s="163">
        <f ca="1">IF($A126="*","",OFFSET(UPS!$C$37,AU126,SUMIF($A$10:$A$24,"*#"&amp;AS126,$AT$10:$AT$24)))</f>
        <v>576.20825372119009</v>
      </c>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R126" s="42">
        <f>AR125</f>
        <v>6</v>
      </c>
      <c r="AS126" s="42">
        <f>AS125+2</f>
        <v>12</v>
      </c>
      <c r="AU126" s="42">
        <f ca="1">SUMIF(UPS!B$38:B$171,C126,UPS!BD$38:BD$171)</f>
        <v>65</v>
      </c>
    </row>
    <row r="127" spans="2:48">
      <c r="B127" s="440" t="str">
        <f t="shared" si="59"/>
        <v>NCAP_TLIFE</v>
      </c>
      <c r="C127" s="440" t="str">
        <f ca="1">IF($A127="*","",OFFSET(ITEMS_UPS!$C$8,AR127,0))</f>
        <v>UCTLCLEIN-N</v>
      </c>
      <c r="D127" s="440" t="str">
        <f ca="1">IF($A127="*","",IF(VLOOKUP("*#"&amp;$AS127,$A$10:$I$24,D$9+1,FALSE)="-","-",OFFSET(UPS!$C$37,AU127+AV127,SUMIF($A$10:$A$20,"*#"&amp;AS127,$AT$10:$AT$20))))</f>
        <v>-</v>
      </c>
      <c r="E127" s="440" t="str">
        <f t="shared" si="60"/>
        <v>-</v>
      </c>
      <c r="F127" s="440" t="str">
        <f t="shared" si="61"/>
        <v>-</v>
      </c>
      <c r="G127" s="440" t="str">
        <f>IF($A127="*","",VLOOKUP("*#"&amp;$AS127,$A$10:$I$24,G$9+1,FALSE))</f>
        <v>-</v>
      </c>
      <c r="H127" s="441" t="str">
        <f t="shared" si="63"/>
        <v>-</v>
      </c>
      <c r="I127" s="441">
        <f>IF($A127="*","",VLOOKUP("*#"&amp;$AS127,$A$10:$I$24,I$9+1,FALSE))</f>
        <v>0</v>
      </c>
      <c r="J127" s="163">
        <f ca="1">IF($A127="*","",OFFSET(UPS!$C$37,AU127,SUMIF($A$10:$A$24,"*#"&amp;AS127,$AT$10:$AT$24)))</f>
        <v>50</v>
      </c>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R127" s="42">
        <f>AR126</f>
        <v>6</v>
      </c>
      <c r="AS127" s="42">
        <f>AS126+1</f>
        <v>13</v>
      </c>
      <c r="AU127" s="42">
        <f ca="1">SUMIF(UPS!B$38:B$171,C127,UPS!BD$38:BD$171)</f>
        <v>65</v>
      </c>
    </row>
    <row r="128" spans="2:48">
      <c r="B128" s="440" t="str">
        <f t="shared" si="59"/>
        <v>NCAP_ILED</v>
      </c>
      <c r="C128" s="440" t="str">
        <f ca="1">IF($A128="*","",OFFSET(ITEMS_UPS!$C$8,AR128,0))</f>
        <v>UCTLCLEIN-N</v>
      </c>
      <c r="D128" s="440" t="str">
        <f ca="1">IF($A128="*","",IF(VLOOKUP("*#"&amp;$AS128,$A$10:$I$24,D$9+1,FALSE)="-","-",OFFSET(UPS!$C$37,AU128+AV128,SUMIF($A$10:$A$20,"*#"&amp;AS128,$AT$10:$AT$20))))</f>
        <v>-</v>
      </c>
      <c r="E128" s="440" t="str">
        <f t="shared" si="60"/>
        <v>-</v>
      </c>
      <c r="F128" s="440" t="str">
        <f t="shared" si="61"/>
        <v>-</v>
      </c>
      <c r="G128" s="440" t="str">
        <f>IF($A128="*","",VLOOKUP("*#"&amp;$AS128,$A$10:$I$24,G$9+1,FALSE))</f>
        <v>-</v>
      </c>
      <c r="H128" s="441" t="str">
        <f t="shared" si="63"/>
        <v>-</v>
      </c>
      <c r="I128" s="441">
        <f>IF($A128="*","",VLOOKUP("*#"&amp;$AS128,$A$10:$I$24,I$9+1,FALSE))</f>
        <v>0</v>
      </c>
      <c r="J128" s="163">
        <f ca="1">IF($A128="*","",OFFSET(UPS!$C$37,AU128,SUMIF($A$10:$A$24,"*#"&amp;AS128,$AT$10:$AT$24)))</f>
        <v>-6</v>
      </c>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R128" s="42">
        <f>AR127</f>
        <v>6</v>
      </c>
      <c r="AS128" s="42">
        <f>AS127+1</f>
        <v>14</v>
      </c>
      <c r="AU128" s="42">
        <f ca="1">SUMIF(UPS!B$38:B$171,C128,UPS!BD$38:BD$171)</f>
        <v>65</v>
      </c>
    </row>
    <row r="129" spans="1:48">
      <c r="A129" s="42" t="s">
        <v>310</v>
      </c>
    </row>
    <row r="130" spans="1:48">
      <c r="B130" s="440" t="str">
        <f t="shared" ref="B130:B148" si="69">IF(A130="*","",VLOOKUP("*#"&amp;AS130,$A$9:$B$24,2,FALSE))</f>
        <v>ACT_COST</v>
      </c>
      <c r="C130" s="440" t="str">
        <f ca="1">IF($A130="*","",OFFSET(ITEMS_UPS!$C$8,AR130,0))</f>
        <v>UGTLGASIN-N</v>
      </c>
      <c r="D130" s="440" t="str">
        <f ca="1">IF($A130="*","",IF(VLOOKUP("*#"&amp;$AS130,$A$10:$I$24,D$9+1,FALSE)="-","-",OFFSET(UPS!$C$37,AU130+AV130,SUMIF($A$10:$A$20,"*#"&amp;AS130,$AT$10:$AT$20))))</f>
        <v>-</v>
      </c>
      <c r="E130" s="440" t="str">
        <f t="shared" ref="E130:E148" si="70">IF($A130="*","",IF(VLOOKUP("*#"&amp;$AS130,$A$10:$I$24,E$9+1,FALSE)="-","-",C130&amp;"-"&amp;RIGHT(VLOOKUP("*#"&amp;$AS130,$A$10:$I$24,E$9+1,FALSE),1)))</f>
        <v>-</v>
      </c>
      <c r="F130" s="440" t="str">
        <f t="shared" ref="F130:F148" si="71">IF($A130="*","",IF(VLOOKUP("*#"&amp;$AS130,$A$10:$I$24,F$9+1,FALSE)="-","-",C130&amp;"-"&amp;RIGHT(VLOOKUP("*#"&amp;$AS130,$A$10:$I$24,F$9+1,FALSE),1)))</f>
        <v>-</v>
      </c>
      <c r="G130" s="440" t="str">
        <f t="shared" ref="G130:G145" si="72">IF($A130="*","",VLOOKUP("*#"&amp;$AS130,$A$10:$I$20,G$9+1,FALSE))</f>
        <v>-</v>
      </c>
      <c r="H130" s="441" t="str">
        <f t="shared" ref="H130:H148" si="73">IF($A130="*","",VLOOKUP("*#"&amp;$AS130,$A$10:$I$24,H$9+1,FALSE))</f>
        <v>-</v>
      </c>
      <c r="I130" s="441">
        <f t="shared" ref="I130:I145" si="74">IF($A130="*","",VLOOKUP("*#"&amp;$AS130,$A$10:$I$20,I$9+1,FALSE))</f>
        <v>0</v>
      </c>
      <c r="J130" s="163">
        <f ca="1">IF($A130="*","",OFFSET(UPS!$C$37,AU130,SUMIF($A$10:$A$20,"*#"&amp;AS130,$AT$10:$AT$20)))</f>
        <v>18.658556104163456</v>
      </c>
      <c r="K130" s="163"/>
      <c r="AR130" s="42">
        <f>AR128+1</f>
        <v>7</v>
      </c>
      <c r="AS130" s="42">
        <v>1</v>
      </c>
      <c r="AU130" s="42">
        <f ca="1">SUMIF(UPS!B$38:B$171,C130,UPS!BD$38:BD$171)</f>
        <v>33</v>
      </c>
    </row>
    <row r="131" spans="1:48">
      <c r="B131" s="440" t="str">
        <f t="shared" si="69"/>
        <v>NCAP_AFA</v>
      </c>
      <c r="C131" s="440" t="str">
        <f ca="1">IF($A131="*","",OFFSET(ITEMS_UPS!$C$8,AR131,0))</f>
        <v>UGTLGASIN-N</v>
      </c>
      <c r="D131" s="440" t="str">
        <f ca="1">IF($A131="*","",IF(VLOOKUP("*#"&amp;$AS131,$A$10:$I$24,D$9+1,FALSE)="-","-",OFFSET(UPS!$C$37,AU131+AV131,SUMIF($A$10:$A$20,"*#"&amp;AS131,$AT$10:$AT$20))))</f>
        <v>-</v>
      </c>
      <c r="E131" s="440" t="str">
        <f t="shared" si="70"/>
        <v>-</v>
      </c>
      <c r="F131" s="440" t="str">
        <f t="shared" si="71"/>
        <v>-</v>
      </c>
      <c r="G131" s="440" t="str">
        <f t="shared" si="72"/>
        <v>ANNUAL</v>
      </c>
      <c r="H131" s="441" t="str">
        <f t="shared" si="73"/>
        <v>UP</v>
      </c>
      <c r="I131" s="441">
        <f t="shared" si="74"/>
        <v>3</v>
      </c>
      <c r="J131" s="163">
        <f ca="1">IF($A131="*","",OFFSET(UPS!$C$37,AU131,SUMIF($A$10:$A$20,"*#"&amp;AS131,$AT$10:$AT$20)))</f>
        <v>0.46244122068025312</v>
      </c>
      <c r="K131" s="163"/>
      <c r="AR131" s="42">
        <f t="shared" ref="AR131:AR143" si="75">AR130</f>
        <v>7</v>
      </c>
      <c r="AS131" s="42">
        <f t="shared" ref="AS131:AS136" si="76">IF(AR131=AR130,AS130+1,1)</f>
        <v>2</v>
      </c>
      <c r="AU131" s="42">
        <f ca="1">SUMIF(UPS!B$38:B$171,C131,UPS!BD$38:BD$171)</f>
        <v>33</v>
      </c>
    </row>
    <row r="132" spans="1:48">
      <c r="B132" s="440" t="str">
        <f t="shared" si="69"/>
        <v>NCAP_AFA</v>
      </c>
      <c r="C132" s="440" t="str">
        <f ca="1">IF($A132="*","",OFFSET(ITEMS_UPS!$C$8,AR132,0))</f>
        <v>UGTLGASIN-N</v>
      </c>
      <c r="D132" s="440" t="str">
        <f ca="1">IF($A132="*","",IF(VLOOKUP("*#"&amp;$AS132,$A$10:$I$24,D$9+1,FALSE)="-","-",OFFSET(UPS!$C$37,AU132+AV132,SUMIF($A$10:$A$20,"*#"&amp;AS132,$AT$10:$AT$20))))</f>
        <v>-</v>
      </c>
      <c r="E132" s="440" t="str">
        <f t="shared" si="70"/>
        <v>-</v>
      </c>
      <c r="F132" s="440" t="str">
        <f t="shared" si="71"/>
        <v>-</v>
      </c>
      <c r="G132" s="440" t="str">
        <f t="shared" si="72"/>
        <v>ANNUAL</v>
      </c>
      <c r="H132" s="441" t="str">
        <f t="shared" si="73"/>
        <v>LO</v>
      </c>
      <c r="I132" s="441">
        <f t="shared" si="74"/>
        <v>3</v>
      </c>
      <c r="J132" s="163">
        <f ca="1">IF($A132="*","",OFFSET(UPS!$C$37,AU132,SUMIF($A$10:$A$20,"*#"&amp;AS132,$AT$10:$AT$20)))</f>
        <v>0.43931915964624046</v>
      </c>
      <c r="K132" s="163"/>
      <c r="AR132" s="42">
        <f t="shared" si="75"/>
        <v>7</v>
      </c>
      <c r="AS132" s="42">
        <f t="shared" si="76"/>
        <v>3</v>
      </c>
      <c r="AU132" s="42">
        <f ca="1">SUMIF(UPS!B$38:B$171,C132,UPS!BD$38:BD$171)</f>
        <v>33</v>
      </c>
    </row>
    <row r="133" spans="1:48">
      <c r="B133" s="440" t="str">
        <f t="shared" si="69"/>
        <v>NCAP_FOM</v>
      </c>
      <c r="C133" s="440" t="str">
        <f ca="1">IF($A133="*","",OFFSET(ITEMS_UPS!$C$8,AR133,0))</f>
        <v>UGTLGASIN-N</v>
      </c>
      <c r="D133" s="440" t="str">
        <f ca="1">IF($A133="*","",IF(VLOOKUP("*#"&amp;$AS133,$A$10:$I$24,D$9+1,FALSE)="-","-",OFFSET(UPS!$C$37,AU133+AV133,SUMIF($A$10:$A$20,"*#"&amp;AS133,$AT$10:$AT$20))))</f>
        <v>-</v>
      </c>
      <c r="E133" s="440" t="str">
        <f t="shared" si="70"/>
        <v>-</v>
      </c>
      <c r="F133" s="440" t="str">
        <f t="shared" si="71"/>
        <v>-</v>
      </c>
      <c r="G133" s="440" t="str">
        <f t="shared" si="72"/>
        <v>-</v>
      </c>
      <c r="H133" s="441" t="str">
        <f t="shared" si="73"/>
        <v>-</v>
      </c>
      <c r="I133" s="441">
        <f t="shared" si="74"/>
        <v>0</v>
      </c>
      <c r="J133" s="163">
        <f ca="1">IF($A133="*","",OFFSET(UPS!$C$37,AU133,SUMIF($A$10:$A$20,"*#"&amp;AS133,$AT$10:$AT$20)))</f>
        <v>16.868609235305986</v>
      </c>
      <c r="K133" s="163"/>
      <c r="AR133" s="42">
        <f t="shared" si="75"/>
        <v>7</v>
      </c>
      <c r="AS133" s="42">
        <f t="shared" si="76"/>
        <v>4</v>
      </c>
      <c r="AU133" s="42">
        <f ca="1">SUMIF(UPS!B$38:B$171,C133,UPS!BD$38:BD$171)</f>
        <v>33</v>
      </c>
    </row>
    <row r="134" spans="1:48">
      <c r="B134" s="440" t="str">
        <f t="shared" si="69"/>
        <v>NCAP_BND</v>
      </c>
      <c r="C134" s="440" t="str">
        <f ca="1">IF($A134="*","",OFFSET(ITEMS_UPS!$C$8,AR134,0))</f>
        <v>UGTLGASIN-N</v>
      </c>
      <c r="D134" s="440" t="str">
        <f ca="1">IF($A134="*","",IF(VLOOKUP("*#"&amp;$AS134,$A$10:$I$24,D$9+1,FALSE)="-","-",OFFSET(UPS!$C$37,AU134+AV134,SUMIF($A$10:$A$20,"*#"&amp;AS134,$AT$10:$AT$20))))</f>
        <v>-</v>
      </c>
      <c r="E134" s="440" t="str">
        <f>IF($A134="*","",IF(VLOOKUP("*#"&amp;$AS134,$A$10:$I$24,E$9+1,FALSE)="-","-",C134&amp;"-"&amp;RIGHT(VLOOKUP("*#"&amp;$AS134,$A$10:$I$24,E$9+1,FALSE),1)))</f>
        <v>-</v>
      </c>
      <c r="F134" s="440" t="str">
        <f t="shared" si="71"/>
        <v>-</v>
      </c>
      <c r="G134" s="440" t="str">
        <f t="shared" si="72"/>
        <v>-</v>
      </c>
      <c r="H134" s="441" t="str">
        <f t="shared" si="73"/>
        <v>UP</v>
      </c>
      <c r="I134" s="441">
        <f t="shared" si="74"/>
        <v>3</v>
      </c>
      <c r="J134" s="163" t="str">
        <f ca="1">IF($A134="*","",OFFSET(UPS!$C$37,AU134,SUMIF($A$10:$A$20,"*#"&amp;AS134,$AT$10:$AT$20)))</f>
        <v/>
      </c>
      <c r="K134" s="163"/>
      <c r="AR134" s="42">
        <f>AR132</f>
        <v>7</v>
      </c>
      <c r="AS134" s="42">
        <f t="shared" si="76"/>
        <v>5</v>
      </c>
      <c r="AU134" s="42">
        <f ca="1">SUMIF(UPS!B$38:B$171,C134,UPS!BD$38:BD$171)</f>
        <v>33</v>
      </c>
    </row>
    <row r="135" spans="1:48">
      <c r="B135" s="440" t="str">
        <f t="shared" si="69"/>
        <v>FLO_FUNC</v>
      </c>
      <c r="C135" s="440" t="str">
        <f ca="1">IF($A135="*","",OFFSET(ITEMS_UPS!$C$8,AR135,0))</f>
        <v>UGTLGASIN-N</v>
      </c>
      <c r="D135" s="440" t="str">
        <f ca="1">IF($A135="*","",IF(VLOOKUP("*#"&amp;$AS135,$A$10:$I$24,D$9+1,FALSE)="-","-",OFFSET(UPS!$C$37,AU135+AV135,SUMIF($A$10:$A$20,"*#"&amp;AS135,$AT$10:$AT$20))))</f>
        <v>-</v>
      </c>
      <c r="E135" s="440" t="str">
        <f t="shared" ca="1" si="70"/>
        <v>UGTLGASIN-N-I</v>
      </c>
      <c r="F135" s="440" t="str">
        <f t="shared" ca="1" si="71"/>
        <v>UGTLGASIN-N-O</v>
      </c>
      <c r="G135" s="440" t="str">
        <f t="shared" si="72"/>
        <v>ANNUAL</v>
      </c>
      <c r="H135" s="441" t="str">
        <f t="shared" si="73"/>
        <v>-</v>
      </c>
      <c r="I135" s="441">
        <f t="shared" si="74"/>
        <v>0</v>
      </c>
      <c r="J135" s="163">
        <f ca="1">IF($A135="*","",OFFSET(UPS!$C$37,AU135,SUMIF($A$10:$A$20,"*#"&amp;AS135,$AT$10:$AT$20)))</f>
        <v>0.80809626745744978</v>
      </c>
      <c r="K135" s="163"/>
      <c r="AR135" s="42">
        <f t="shared" si="75"/>
        <v>7</v>
      </c>
      <c r="AS135" s="42">
        <f t="shared" si="76"/>
        <v>6</v>
      </c>
      <c r="AU135" s="42">
        <f ca="1">SUMIF(UPS!B$38:B$171,C135,UPS!BD$38:BD$171)</f>
        <v>33</v>
      </c>
    </row>
    <row r="136" spans="1:48">
      <c r="B136" s="440" t="str">
        <f t="shared" si="69"/>
        <v>FLO_SHAR</v>
      </c>
      <c r="C136" s="440" t="str">
        <f ca="1">IF($A136="*","",OFFSET(ITEMS_UPS!$C$8,AR136,0))</f>
        <v>UGTLGASIN-N</v>
      </c>
      <c r="D136" s="440" t="str">
        <f ca="1">IF($A136="*","",IF(VLOOKUP("*#"&amp;$AS136,$A$10:$I$24,D$9+1,FALSE)="-","-",OFFSET(UPS!$C$37,AU136+AV136,SUMIF($A$10:$A$20,"*#"&amp;AS136,$AT$10:$AT$20))))</f>
        <v>UPSGAS</v>
      </c>
      <c r="E136" s="440" t="str">
        <f t="shared" ca="1" si="70"/>
        <v>UGTLGASIN-N-I</v>
      </c>
      <c r="F136" s="440" t="str">
        <f t="shared" si="71"/>
        <v>-</v>
      </c>
      <c r="G136" s="440" t="str">
        <f t="shared" si="72"/>
        <v>ANNUAL</v>
      </c>
      <c r="H136" s="441" t="str">
        <f t="shared" si="73"/>
        <v>FX</v>
      </c>
      <c r="I136" s="441">
        <f t="shared" si="74"/>
        <v>3</v>
      </c>
      <c r="J136" s="163">
        <f ca="1">IF($A136="*","",OFFSET(UPS!$C$37,AU136+AV136,SUMIF($A$10:$A$20,"*#"&amp;AS136,$AV$10:$AV$20)))</f>
        <v>0.76985311799533229</v>
      </c>
      <c r="K136" s="163"/>
      <c r="AR136" s="42">
        <f t="shared" si="75"/>
        <v>7</v>
      </c>
      <c r="AS136" s="42">
        <f t="shared" si="76"/>
        <v>7</v>
      </c>
      <c r="AU136" s="42">
        <f ca="1">SUMIF(UPS!B$38:B$171,C136,UPS!BD$38:BD$171)</f>
        <v>33</v>
      </c>
      <c r="AV136" s="42">
        <v>0</v>
      </c>
    </row>
    <row r="137" spans="1:48">
      <c r="B137" s="440" t="str">
        <f t="shared" si="69"/>
        <v>FLO_SHAR</v>
      </c>
      <c r="C137" s="440" t="str">
        <f ca="1">IF($A137="*","",OFFSET(ITEMS_UPS!$C$8,AR137,0))</f>
        <v>UGTLGASIN-N</v>
      </c>
      <c r="D137" s="440" t="str">
        <f ca="1">IF($A137="*","",IF(VLOOKUP("*#"&amp;$AS137,$A$10:$I$24,D$9+1,FALSE)="-","-",OFFSET(UPS!$C$37,AU137+AV137,SUMIF($A$10:$A$20,"*#"&amp;AS137,$AT$10:$AT$20))))</f>
        <v>UPSOCR</v>
      </c>
      <c r="E137" s="440" t="str">
        <f t="shared" ca="1" si="70"/>
        <v>UGTLGASIN-N-I</v>
      </c>
      <c r="F137" s="440" t="str">
        <f t="shared" si="71"/>
        <v>-</v>
      </c>
      <c r="G137" s="440" t="str">
        <f t="shared" si="72"/>
        <v>ANNUAL</v>
      </c>
      <c r="H137" s="441" t="str">
        <f t="shared" si="73"/>
        <v>FX</v>
      </c>
      <c r="I137" s="441">
        <f t="shared" si="74"/>
        <v>3</v>
      </c>
      <c r="J137" s="163">
        <f ca="1">IF($A137="*","",OFFSET(UPS!$C$37,AU137+AV137,SUMIF($A$10:$A$20,"*#"&amp;AS137,$AV$10:$AV$20)))</f>
        <v>0.19246327949883302</v>
      </c>
      <c r="K137" s="163"/>
      <c r="AR137" s="42">
        <f t="shared" si="75"/>
        <v>7</v>
      </c>
      <c r="AS137" s="42">
        <f>AS136</f>
        <v>7</v>
      </c>
      <c r="AU137" s="42">
        <f ca="1">SUMIF(UPS!B$38:B$171,C137,UPS!BD$38:BD$171)</f>
        <v>33</v>
      </c>
      <c r="AV137" s="42">
        <f t="shared" ref="AV137:AV143" si="77">AV136+1</f>
        <v>1</v>
      </c>
    </row>
    <row r="138" spans="1:48">
      <c r="B138" s="440" t="str">
        <f t="shared" si="69"/>
        <v>FLO_SHAR</v>
      </c>
      <c r="C138" s="440" t="str">
        <f ca="1">IF($A138="*","",OFFSET(ITEMS_UPS!$C$8,AR138,0))</f>
        <v>UGTLGASIN-N</v>
      </c>
      <c r="D138" s="440" t="str">
        <f ca="1">IF($A138="*","",IF(VLOOKUP("*#"&amp;$AS138,$A$10:$I$24,D$9+1,FALSE)="-","-",OFFSET(UPS!$C$37,AU138+AV138,SUMIF($A$10:$A$20,"*#"&amp;AS138,$AT$10:$AT$20))))</f>
        <v>UPSELC</v>
      </c>
      <c r="E138" s="440" t="str">
        <f t="shared" ca="1" si="70"/>
        <v>UGTLGASIN-N-I</v>
      </c>
      <c r="F138" s="440" t="str">
        <f t="shared" si="71"/>
        <v>-</v>
      </c>
      <c r="G138" s="440" t="str">
        <f t="shared" si="72"/>
        <v>ANNUAL</v>
      </c>
      <c r="H138" s="441" t="str">
        <f t="shared" si="73"/>
        <v>FX</v>
      </c>
      <c r="I138" s="441">
        <f t="shared" si="74"/>
        <v>3</v>
      </c>
      <c r="J138" s="163">
        <f ca="1">IF($A138="*","",OFFSET(UPS!$C$37,AU138+AV138,SUMIF($A$10:$A$20,"*#"&amp;AS138,$AV$10:$AV$20)))</f>
        <v>3.7683602505834655E-2</v>
      </c>
      <c r="K138" s="163"/>
      <c r="AR138" s="42">
        <f t="shared" si="75"/>
        <v>7</v>
      </c>
      <c r="AS138" s="42">
        <f>AS137</f>
        <v>7</v>
      </c>
      <c r="AU138" s="42">
        <f ca="1">SUMIF(UPS!B$38:B$171,C138,UPS!BD$38:BD$171)</f>
        <v>33</v>
      </c>
      <c r="AV138" s="42">
        <f t="shared" si="77"/>
        <v>2</v>
      </c>
    </row>
    <row r="139" spans="1:48">
      <c r="B139" s="440" t="str">
        <f t="shared" si="69"/>
        <v>FLO_SHAR</v>
      </c>
      <c r="C139" s="440" t="str">
        <f ca="1">IF($A139="*","",OFFSET(ITEMS_UPS!$C$8,AR139,0))</f>
        <v>UGTLGASIN-N</v>
      </c>
      <c r="D139" s="440" t="str">
        <f ca="1">IF($A139="*","",IF(VLOOKUP("*#"&amp;$AS139,$A$10:$I$24,D$9+1,FALSE)="-","-",OFFSET(UPS!$C$37,AU139+AV139,SUMIF($A$10:$A$20,"*#"&amp;AS139,$AT$10:$AT$20))))</f>
        <v>OAG</v>
      </c>
      <c r="E139" s="440" t="str">
        <f t="shared" ca="1" si="70"/>
        <v>UGTLGASIN-N-O</v>
      </c>
      <c r="F139" s="440" t="str">
        <f t="shared" si="71"/>
        <v>-</v>
      </c>
      <c r="G139" s="440" t="str">
        <f t="shared" si="72"/>
        <v>ANNUAL</v>
      </c>
      <c r="H139" s="441" t="str">
        <f t="shared" si="73"/>
        <v>UP</v>
      </c>
      <c r="I139" s="441">
        <f t="shared" si="74"/>
        <v>3</v>
      </c>
      <c r="J139" s="163">
        <f ca="1">IF($A139="*","",OFFSET(UPS!$C$37,AU139+AV139,SUMIF($A$10:$A$20,"*#"&amp;AS139,$AV$10:$AV$20)))</f>
        <v>0</v>
      </c>
      <c r="K139" s="163"/>
      <c r="AR139" s="42">
        <f t="shared" si="75"/>
        <v>7</v>
      </c>
      <c r="AS139" s="42">
        <v>8</v>
      </c>
      <c r="AU139" s="42">
        <f ca="1">SUMIF(UPS!B$38:B$171,C139,UPS!BD$38:BD$171)</f>
        <v>33</v>
      </c>
      <c r="AV139" s="42">
        <f t="shared" si="77"/>
        <v>3</v>
      </c>
    </row>
    <row r="140" spans="1:48">
      <c r="B140" s="440" t="str">
        <f t="shared" si="69"/>
        <v>FLO_SHAR</v>
      </c>
      <c r="C140" s="440" t="str">
        <f ca="1">IF($A140="*","",OFFSET(ITEMS_UPS!$C$8,AR140,0))</f>
        <v>UGTLGASIN-N</v>
      </c>
      <c r="D140" s="440" t="str">
        <f ca="1">IF($A140="*","",IF(VLOOKUP("*#"&amp;$AS140,$A$10:$I$24,D$9+1,FALSE)="-","-",OFFSET(UPS!$C$37,AU140+AV140,SUMIF($A$10:$A$20,"*#"&amp;AS140,$AT$10:$AT$20))))</f>
        <v>ODS</v>
      </c>
      <c r="E140" s="440" t="str">
        <f t="shared" ca="1" si="70"/>
        <v>UGTLGASIN-N-O</v>
      </c>
      <c r="F140" s="440" t="str">
        <f t="shared" si="71"/>
        <v>-</v>
      </c>
      <c r="G140" s="440" t="str">
        <f t="shared" si="72"/>
        <v>ANNUAL</v>
      </c>
      <c r="H140" s="441" t="str">
        <f t="shared" si="73"/>
        <v>UP</v>
      </c>
      <c r="I140" s="441">
        <f t="shared" si="74"/>
        <v>3</v>
      </c>
      <c r="J140" s="163">
        <f ca="1">IF($A140="*","",OFFSET(UPS!$C$37,AU140+AV140,SUMIF($A$10:$A$20,"*#"&amp;AS140,$AV$10:$AV$20)))</f>
        <v>0.28767932115906897</v>
      </c>
      <c r="K140" s="163"/>
      <c r="AR140" s="42">
        <f t="shared" si="75"/>
        <v>7</v>
      </c>
      <c r="AS140" s="42">
        <v>8</v>
      </c>
      <c r="AU140" s="42">
        <f ca="1">SUMIF(UPS!B$38:B$171,C140,UPS!BD$38:BD$171)</f>
        <v>33</v>
      </c>
      <c r="AV140" s="42">
        <f t="shared" si="77"/>
        <v>4</v>
      </c>
    </row>
    <row r="141" spans="1:48">
      <c r="B141" s="440" t="str">
        <f t="shared" si="69"/>
        <v>FLO_SHAR</v>
      </c>
      <c r="C141" s="440" t="str">
        <f ca="1">IF($A141="*","",OFFSET(ITEMS_UPS!$C$8,AR141,0))</f>
        <v>UGTLGASIN-N</v>
      </c>
      <c r="D141" s="440" t="str">
        <f ca="1">IF($A141="*","",IF(VLOOKUP("*#"&amp;$AS141,$A$10:$I$24,D$9+1,FALSE)="-","-",OFFSET(UPS!$C$37,AU141+AV141,SUMIF($A$10:$A$20,"*#"&amp;AS141,$AT$10:$AT$20))))</f>
        <v>OGS</v>
      </c>
      <c r="E141" s="440" t="str">
        <f t="shared" ca="1" si="70"/>
        <v>UGTLGASIN-N-O</v>
      </c>
      <c r="F141" s="440" t="str">
        <f t="shared" si="71"/>
        <v>-</v>
      </c>
      <c r="G141" s="440" t="str">
        <f t="shared" si="72"/>
        <v>ANNUAL</v>
      </c>
      <c r="H141" s="441" t="str">
        <f t="shared" si="73"/>
        <v>UP</v>
      </c>
      <c r="I141" s="441">
        <f t="shared" si="74"/>
        <v>3</v>
      </c>
      <c r="J141" s="163">
        <f ca="1">IF($A141="*","",OFFSET(UPS!$C$37,AU141+AV141,SUMIF($A$10:$A$20,"*#"&amp;AS141,$AV$10:$AV$20)))</f>
        <v>0.49809089633534509</v>
      </c>
      <c r="K141" s="163"/>
      <c r="AR141" s="42">
        <f t="shared" si="75"/>
        <v>7</v>
      </c>
      <c r="AS141" s="42">
        <v>8</v>
      </c>
      <c r="AU141" s="42">
        <f ca="1">SUMIF(UPS!B$38:B$171,C141,UPS!BD$38:BD$171)</f>
        <v>33</v>
      </c>
      <c r="AV141" s="42">
        <f t="shared" si="77"/>
        <v>5</v>
      </c>
    </row>
    <row r="142" spans="1:48">
      <c r="B142" s="440" t="str">
        <f t="shared" si="69"/>
        <v>FLO_SHAR</v>
      </c>
      <c r="C142" s="440" t="str">
        <f ca="1">IF($A142="*","",OFFSET(ITEMS_UPS!$C$8,AR142,0))</f>
        <v>UGTLGASIN-N</v>
      </c>
      <c r="D142" s="440" t="str">
        <f ca="1">IF($A142="*","",IF(VLOOKUP("*#"&amp;$AS142,$A$10:$I$24,D$9+1,FALSE)="-","-",OFFSET(UPS!$C$37,AU142+AV142,SUMIF($A$10:$A$20,"*#"&amp;AS142,$AT$10:$AT$20))))</f>
        <v>OKE</v>
      </c>
      <c r="E142" s="440" t="str">
        <f t="shared" ca="1" si="70"/>
        <v>UGTLGASIN-N-O</v>
      </c>
      <c r="F142" s="440" t="str">
        <f t="shared" si="71"/>
        <v>-</v>
      </c>
      <c r="G142" s="440" t="str">
        <f t="shared" si="72"/>
        <v>ANNUAL</v>
      </c>
      <c r="H142" s="441" t="str">
        <f t="shared" si="73"/>
        <v>UP</v>
      </c>
      <c r="I142" s="441">
        <f t="shared" si="74"/>
        <v>3</v>
      </c>
      <c r="J142" s="163">
        <f ca="1">IF($A142="*","",OFFSET(UPS!$C$37,AU142+AV142,SUMIF($A$10:$A$20,"*#"&amp;AS142,$AV$10:$AV$20)))</f>
        <v>0.12259168661288511</v>
      </c>
      <c r="K142" s="163"/>
      <c r="AR142" s="42">
        <f t="shared" si="75"/>
        <v>7</v>
      </c>
      <c r="AS142" s="42">
        <v>8</v>
      </c>
      <c r="AU142" s="42">
        <f ca="1">SUMIF(UPS!B$38:B$171,C142,UPS!BD$38:BD$171)</f>
        <v>33</v>
      </c>
      <c r="AV142" s="42">
        <f t="shared" si="77"/>
        <v>6</v>
      </c>
    </row>
    <row r="143" spans="1:48">
      <c r="B143" s="440" t="str">
        <f t="shared" si="69"/>
        <v>FLO_SHAR</v>
      </c>
      <c r="C143" s="440" t="str">
        <f ca="1">IF($A143="*","",OFFSET(ITEMS_UPS!$C$8,AR143,0))</f>
        <v>UGTLGASIN-N</v>
      </c>
      <c r="D143" s="440" t="str">
        <f ca="1">IF($A143="*","",IF(VLOOKUP("*#"&amp;$AS143,$A$10:$I$24,D$9+1,FALSE)="-","-",OFFSET(UPS!$C$37,AU143+AV143,SUMIF($A$10:$A$20,"*#"&amp;AS143,$AT$10:$AT$20))))</f>
        <v>OLP</v>
      </c>
      <c r="E143" s="440" t="str">
        <f t="shared" ca="1" si="70"/>
        <v>UGTLGASIN-N-O</v>
      </c>
      <c r="F143" s="440" t="str">
        <f t="shared" si="71"/>
        <v>-</v>
      </c>
      <c r="G143" s="440" t="str">
        <f t="shared" si="72"/>
        <v>ANNUAL</v>
      </c>
      <c r="H143" s="441" t="str">
        <f t="shared" si="73"/>
        <v>UP</v>
      </c>
      <c r="I143" s="441">
        <f t="shared" si="74"/>
        <v>3</v>
      </c>
      <c r="J143" s="163">
        <f ca="1">IF($A143="*","",OFFSET(UPS!$C$37,AU143+AV143,SUMIF($A$10:$A$20,"*#"&amp;AS143,$AV$10:$AV$20)))</f>
        <v>3.6696142945579213E-2</v>
      </c>
      <c r="K143" s="163"/>
      <c r="AR143" s="42">
        <f t="shared" si="75"/>
        <v>7</v>
      </c>
      <c r="AS143" s="42">
        <v>8</v>
      </c>
      <c r="AU143" s="42">
        <f ca="1">SUMIF(UPS!B$38:B$171,C143,UPS!BD$38:BD$171)</f>
        <v>33</v>
      </c>
      <c r="AV143" s="42">
        <f t="shared" si="77"/>
        <v>7</v>
      </c>
    </row>
    <row r="144" spans="1:48">
      <c r="B144" s="440" t="str">
        <f t="shared" si="69"/>
        <v>FLO_EMIS</v>
      </c>
      <c r="C144" s="440" t="str">
        <f ca="1">IF($A144="*","",OFFSET(ITEMS_UPS!$C$8,AR144,0))</f>
        <v>UGTLGASIN-N</v>
      </c>
      <c r="D144" s="440" t="str">
        <f>$D$18</f>
        <v>UPSCO2S</v>
      </c>
      <c r="E144" s="440" t="str">
        <f t="shared" ca="1" si="70"/>
        <v>UGTLGASIN-N-O</v>
      </c>
      <c r="F144" s="440" t="str">
        <f t="shared" si="71"/>
        <v>-</v>
      </c>
      <c r="G144" s="440" t="str">
        <f t="shared" si="72"/>
        <v>ANNUAL</v>
      </c>
      <c r="H144" s="441" t="str">
        <f t="shared" si="73"/>
        <v>-</v>
      </c>
      <c r="I144" s="441">
        <f t="shared" si="74"/>
        <v>0</v>
      </c>
      <c r="J144" s="163">
        <f ca="1">IF($A144="*","",OFFSET(UPS!$C$37,AU144,SUMIF($A$10:$A$20,"*#"&amp;AS144,$AT$10:$AT$20)))</f>
        <v>6.4894696089818042</v>
      </c>
      <c r="K144" s="163"/>
      <c r="AR144" s="42">
        <f>AR142</f>
        <v>7</v>
      </c>
      <c r="AS144" s="42">
        <f>AS142+1</f>
        <v>9</v>
      </c>
      <c r="AU144" s="42">
        <f ca="1">SUMIF(UPS!B$38:B$171,C144,UPS!BD$38:BD$171)</f>
        <v>33</v>
      </c>
    </row>
    <row r="145" spans="1:48">
      <c r="B145" s="440" t="str">
        <f t="shared" si="69"/>
        <v>FLO_EMIS</v>
      </c>
      <c r="C145" s="440" t="str">
        <f ca="1">IF($A145="*","",OFFSET(ITEMS_UPS!$C$8,AR145,0))</f>
        <v>UGTLGASIN-N</v>
      </c>
      <c r="D145" s="440" t="str">
        <f>$D$19</f>
        <v>UPSCH4S</v>
      </c>
      <c r="E145" s="440" t="str">
        <f t="shared" ca="1" si="70"/>
        <v>UGTLGASIN-N-O</v>
      </c>
      <c r="F145" s="440" t="str">
        <f t="shared" si="71"/>
        <v>-</v>
      </c>
      <c r="G145" s="440" t="str">
        <f t="shared" si="72"/>
        <v>ANNUAL</v>
      </c>
      <c r="H145" s="441" t="str">
        <f t="shared" si="73"/>
        <v>-</v>
      </c>
      <c r="I145" s="441">
        <f t="shared" si="74"/>
        <v>0</v>
      </c>
      <c r="J145" s="163">
        <f ca="1">IF($A145="*","",OFFSET(UPS!$C$37,AU145,SUMIF($A$10:$A$20,"*#"&amp;AS145,$AT$10:$AT$20)))</f>
        <v>4.4999999999999997E-3</v>
      </c>
      <c r="K145" s="163"/>
      <c r="AR145" s="42">
        <f>AR144</f>
        <v>7</v>
      </c>
      <c r="AS145" s="42">
        <f>AS144+1</f>
        <v>10</v>
      </c>
      <c r="AU145" s="42">
        <f ca="1">SUMIF(UPS!B$38:B$171,C145,UPS!BD$38:BD$171)</f>
        <v>33</v>
      </c>
    </row>
    <row r="146" spans="1:48">
      <c r="B146" s="440" t="str">
        <f t="shared" si="69"/>
        <v>NCAP_COST</v>
      </c>
      <c r="C146" s="440" t="str">
        <f ca="1">IF($A146="*","",OFFSET(ITEMS_UPS!$C$8,AR146,0))</f>
        <v>UGTLGASIN-N</v>
      </c>
      <c r="D146" s="440" t="str">
        <f ca="1">IF($A146="*","",IF(VLOOKUP("*#"&amp;$AS146,$A$10:$I$24,D$9+1,FALSE)="-","-",OFFSET(UPS!$C$37,AU146+AV146,SUMIF($A$10:$A$20,"*#"&amp;AS146,$AT$10:$AT$20))))</f>
        <v>-</v>
      </c>
      <c r="E146" s="440" t="str">
        <f t="shared" si="70"/>
        <v>-</v>
      </c>
      <c r="F146" s="440" t="str">
        <f t="shared" si="71"/>
        <v>-</v>
      </c>
      <c r="G146" s="440" t="str">
        <f>IF($A146="*","",VLOOKUP("*#"&amp;$AS146,$A$10:$I$24,G$9+1,FALSE))</f>
        <v>-</v>
      </c>
      <c r="H146" s="441" t="str">
        <f t="shared" si="73"/>
        <v>-</v>
      </c>
      <c r="I146" s="441">
        <f>IF($A146="*","",VLOOKUP("*#"&amp;$AS146,$A$10:$I$24,I$9+1,FALSE))</f>
        <v>0</v>
      </c>
      <c r="J146" s="163">
        <f ca="1">IF($A146="*","",OFFSET(UPS!$C$37,AU146,SUMIF($A$10:$A$24,"*#"&amp;AS146,$AT$10:$AT$24)))</f>
        <v>169.62323731057683</v>
      </c>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R146" s="42">
        <f>AR145</f>
        <v>7</v>
      </c>
      <c r="AS146" s="42">
        <f>AS145+2</f>
        <v>12</v>
      </c>
      <c r="AU146" s="42">
        <f ca="1">SUMIF(UPS!B$38:B$171,C146,UPS!BD$38:BD$171)</f>
        <v>33</v>
      </c>
    </row>
    <row r="147" spans="1:48">
      <c r="B147" s="440" t="str">
        <f t="shared" si="69"/>
        <v>NCAP_TLIFE</v>
      </c>
      <c r="C147" s="440" t="str">
        <f ca="1">IF($A147="*","",OFFSET(ITEMS_UPS!$C$8,AR147,0))</f>
        <v>UGTLGASIN-N</v>
      </c>
      <c r="D147" s="440" t="str">
        <f ca="1">IF($A147="*","",IF(VLOOKUP("*#"&amp;$AS147,$A$10:$I$24,D$9+1,FALSE)="-","-",OFFSET(UPS!$C$37,AU147+AV147,SUMIF($A$10:$A$20,"*#"&amp;AS147,$AT$10:$AT$20))))</f>
        <v>-</v>
      </c>
      <c r="E147" s="440" t="str">
        <f t="shared" si="70"/>
        <v>-</v>
      </c>
      <c r="F147" s="440" t="str">
        <f t="shared" si="71"/>
        <v>-</v>
      </c>
      <c r="G147" s="440" t="str">
        <f>IF($A147="*","",VLOOKUP("*#"&amp;$AS147,$A$10:$I$24,G$9+1,FALSE))</f>
        <v>-</v>
      </c>
      <c r="H147" s="441" t="str">
        <f t="shared" si="73"/>
        <v>-</v>
      </c>
      <c r="I147" s="441">
        <f>IF($A147="*","",VLOOKUP("*#"&amp;$AS147,$A$10:$I$24,I$9+1,FALSE))</f>
        <v>0</v>
      </c>
      <c r="J147" s="163">
        <f ca="1">IF($A147="*","",OFFSET(UPS!$C$37,AU147,SUMIF($A$10:$A$24,"*#"&amp;AS147,$AT$10:$AT$24)))</f>
        <v>50</v>
      </c>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R147" s="42">
        <f>AR146</f>
        <v>7</v>
      </c>
      <c r="AS147" s="42">
        <f>AS146+1</f>
        <v>13</v>
      </c>
      <c r="AU147" s="42">
        <f ca="1">SUMIF(UPS!B$38:B$171,C147,UPS!BD$38:BD$171)</f>
        <v>33</v>
      </c>
    </row>
    <row r="148" spans="1:48">
      <c r="B148" s="440" t="str">
        <f t="shared" si="69"/>
        <v>NCAP_ILED</v>
      </c>
      <c r="C148" s="440" t="str">
        <f ca="1">IF($A148="*","",OFFSET(ITEMS_UPS!$C$8,AR148,0))</f>
        <v>UGTLGASIN-N</v>
      </c>
      <c r="D148" s="440" t="str">
        <f ca="1">IF($A148="*","",IF(VLOOKUP("*#"&amp;$AS148,$A$10:$I$24,D$9+1,FALSE)="-","-",OFFSET(UPS!$C$37,AU148+AV148,SUMIF($A$10:$A$20,"*#"&amp;AS148,$AT$10:$AT$20))))</f>
        <v>-</v>
      </c>
      <c r="E148" s="440" t="str">
        <f t="shared" si="70"/>
        <v>-</v>
      </c>
      <c r="F148" s="440" t="str">
        <f t="shared" si="71"/>
        <v>-</v>
      </c>
      <c r="G148" s="440" t="str">
        <f>IF($A148="*","",VLOOKUP("*#"&amp;$AS148,$A$10:$I$24,G$9+1,FALSE))</f>
        <v>-</v>
      </c>
      <c r="H148" s="441" t="str">
        <f t="shared" si="73"/>
        <v>-</v>
      </c>
      <c r="I148" s="441">
        <f>IF($A148="*","",VLOOKUP("*#"&amp;$AS148,$A$10:$I$24,I$9+1,FALSE))</f>
        <v>0</v>
      </c>
      <c r="J148" s="163">
        <f ca="1">IF($A148="*","",OFFSET(UPS!$C$37,AU148,SUMIF($A$10:$A$24,"*#"&amp;AS148,$AT$10:$AT$24)))</f>
        <v>-6</v>
      </c>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R148" s="42">
        <f>AR146</f>
        <v>7</v>
      </c>
      <c r="AS148" s="42">
        <f>AS147+1</f>
        <v>14</v>
      </c>
      <c r="AU148" s="42">
        <f ca="1">SUMIF(UPS!B$38:B$171,C148,UPS!BD$38:BD$171)</f>
        <v>33</v>
      </c>
    </row>
    <row r="149" spans="1:48">
      <c r="A149" s="42" t="s">
        <v>310</v>
      </c>
    </row>
    <row r="150" spans="1:48">
      <c r="B150" s="440" t="str">
        <f t="shared" ref="B150:B168" si="78">IF(A150="*","",VLOOKUP("*#"&amp;AS150,$A$9:$B$24,2,FALSE))</f>
        <v>ACT_COST</v>
      </c>
      <c r="C150" s="440" t="str">
        <f ca="1">IF($A150="*","",OFFSET(ITEMS_UPS!$C$8,AR150,0))</f>
        <v>UGTLGICCO-N</v>
      </c>
      <c r="D150" s="440" t="str">
        <f ca="1">IF($A150="*","",IF(VLOOKUP("*#"&amp;$AS150,$A$10:$I$24,D$9+1,FALSE)="-","-",OFFSET(UPS!$C$37,AU150+AV150,SUMIF($A$10:$A$20,"*#"&amp;AS150,$AT$10:$AT$20))))</f>
        <v>-</v>
      </c>
      <c r="E150" s="440" t="str">
        <f t="shared" ref="E150:E168" si="79">IF($A150="*","",IF(VLOOKUP("*#"&amp;$AS150,$A$10:$I$24,E$9+1,FALSE)="-","-",C150&amp;"-"&amp;RIGHT(VLOOKUP("*#"&amp;$AS150,$A$10:$I$24,E$9+1,FALSE),1)))</f>
        <v>-</v>
      </c>
      <c r="F150" s="440" t="str">
        <f t="shared" ref="F150:F168" si="80">IF($A150="*","",IF(VLOOKUP("*#"&amp;$AS150,$A$10:$I$24,F$9+1,FALSE)="-","-",C150&amp;"-"&amp;RIGHT(VLOOKUP("*#"&amp;$AS150,$A$10:$I$24,F$9+1,FALSE),1)))</f>
        <v>-</v>
      </c>
      <c r="G150" s="440" t="str">
        <f t="shared" ref="G150:G165" si="81">IF($A150="*","",VLOOKUP("*#"&amp;$AS150,$A$10:$I$20,G$9+1,FALSE))</f>
        <v>-</v>
      </c>
      <c r="H150" s="441" t="str">
        <f t="shared" ref="H150:H168" si="82">IF($A150="*","",VLOOKUP("*#"&amp;$AS150,$A$10:$I$24,H$9+1,FALSE))</f>
        <v>-</v>
      </c>
      <c r="I150" s="441">
        <f t="shared" ref="I150:I165" si="83">IF($A150="*","",VLOOKUP("*#"&amp;$AS150,$A$10:$I$20,I$9+1,FALSE))</f>
        <v>0</v>
      </c>
      <c r="J150" s="163">
        <f ca="1">IF($A150="*","",OFFSET(UPS!$C$37,AU150,SUMIF($A$10:$A$20,"*#"&amp;AS150,$AT$10:$AT$20)))</f>
        <v>18.658556104163456</v>
      </c>
      <c r="K150" s="163"/>
      <c r="AR150" s="42">
        <f>AR148+1</f>
        <v>8</v>
      </c>
      <c r="AS150" s="42">
        <v>1</v>
      </c>
      <c r="AU150" s="42">
        <f ca="1">SUMIF(UPS!B$38:B$171,C150,UPS!BD$38:BD$171)</f>
        <v>43</v>
      </c>
    </row>
    <row r="151" spans="1:48">
      <c r="B151" s="440" t="str">
        <f t="shared" si="78"/>
        <v>NCAP_AFA</v>
      </c>
      <c r="C151" s="440" t="str">
        <f ca="1">IF($A151="*","",OFFSET(ITEMS_UPS!$C$8,AR151,0))</f>
        <v>UGTLGICCO-N</v>
      </c>
      <c r="D151" s="440" t="str">
        <f ca="1">IF($A151="*","",IF(VLOOKUP("*#"&amp;$AS151,$A$10:$I$24,D$9+1,FALSE)="-","-",OFFSET(UPS!$C$37,AU151+AV151,SUMIF($A$10:$A$20,"*#"&amp;AS151,$AT$10:$AT$20))))</f>
        <v>-</v>
      </c>
      <c r="E151" s="440" t="str">
        <f t="shared" si="79"/>
        <v>-</v>
      </c>
      <c r="F151" s="440" t="str">
        <f t="shared" si="80"/>
        <v>-</v>
      </c>
      <c r="G151" s="440" t="str">
        <f t="shared" si="81"/>
        <v>ANNUAL</v>
      </c>
      <c r="H151" s="441" t="str">
        <f t="shared" si="82"/>
        <v>UP</v>
      </c>
      <c r="I151" s="441">
        <f t="shared" si="83"/>
        <v>3</v>
      </c>
      <c r="J151" s="163">
        <f ca="1">IF($A151="*","",OFFSET(UPS!$C$37,AU151,SUMIF($A$10:$A$20,"*#"&amp;AS151,$AT$10:$AT$20)))</f>
        <v>0.46244122068025312</v>
      </c>
      <c r="K151" s="163"/>
      <c r="AR151" s="42">
        <f t="shared" ref="AR151:AS163" si="84">AR150</f>
        <v>8</v>
      </c>
      <c r="AS151" s="42">
        <f>IF(AR151=AR150,AS150+1,1)</f>
        <v>2</v>
      </c>
      <c r="AU151" s="42">
        <f ca="1">SUMIF(UPS!B$38:B$171,C151,UPS!BD$38:BD$171)</f>
        <v>43</v>
      </c>
    </row>
    <row r="152" spans="1:48">
      <c r="B152" s="440" t="str">
        <f t="shared" si="78"/>
        <v>NCAP_AFA</v>
      </c>
      <c r="C152" s="440" t="str">
        <f ca="1">IF($A152="*","",OFFSET(ITEMS_UPS!$C$8,AR152,0))</f>
        <v>UGTLGICCO-N</v>
      </c>
      <c r="D152" s="440" t="str">
        <f ca="1">IF($A152="*","",IF(VLOOKUP("*#"&amp;$AS152,$A$10:$I$24,D$9+1,FALSE)="-","-",OFFSET(UPS!$C$37,AU152+AV152,SUMIF($A$10:$A$20,"*#"&amp;AS152,$AT$10:$AT$20))))</f>
        <v>-</v>
      </c>
      <c r="E152" s="440" t="str">
        <f t="shared" si="79"/>
        <v>-</v>
      </c>
      <c r="F152" s="440" t="str">
        <f t="shared" si="80"/>
        <v>-</v>
      </c>
      <c r="G152" s="440" t="str">
        <f t="shared" si="81"/>
        <v>ANNUAL</v>
      </c>
      <c r="H152" s="441" t="str">
        <f t="shared" si="82"/>
        <v>LO</v>
      </c>
      <c r="I152" s="441">
        <f t="shared" si="83"/>
        <v>3</v>
      </c>
      <c r="J152" s="163" t="str">
        <f ca="1">IF($A152="*","",OFFSET(UPS!$C$37,AU152,SUMIF($A$10:$A$20,"*#"&amp;AS152,$AT$10:$AT$20)))</f>
        <v/>
      </c>
      <c r="K152" s="163"/>
      <c r="AR152" s="42">
        <f t="shared" si="84"/>
        <v>8</v>
      </c>
      <c r="AS152" s="42">
        <f t="shared" ref="AS152:AS156" si="85">IF(AR152=AR151,AS151+1,1)</f>
        <v>3</v>
      </c>
      <c r="AU152" s="42">
        <f ca="1">SUMIF(UPS!B$38:B$171,C152,UPS!BD$38:BD$171)</f>
        <v>43</v>
      </c>
    </row>
    <row r="153" spans="1:48">
      <c r="B153" s="440" t="str">
        <f t="shared" si="78"/>
        <v>NCAP_FOM</v>
      </c>
      <c r="C153" s="440" t="str">
        <f ca="1">IF($A153="*","",OFFSET(ITEMS_UPS!$C$8,AR153,0))</f>
        <v>UGTLGICCO-N</v>
      </c>
      <c r="D153" s="440" t="str">
        <f ca="1">IF($A153="*","",IF(VLOOKUP("*#"&amp;$AS153,$A$10:$I$24,D$9+1,FALSE)="-","-",OFFSET(UPS!$C$37,AU153+AV153,SUMIF($A$10:$A$20,"*#"&amp;AS153,$AT$10:$AT$20))))</f>
        <v>-</v>
      </c>
      <c r="E153" s="440" t="str">
        <f t="shared" si="79"/>
        <v>-</v>
      </c>
      <c r="F153" s="440" t="str">
        <f t="shared" si="80"/>
        <v>-</v>
      </c>
      <c r="G153" s="440" t="str">
        <f t="shared" si="81"/>
        <v>-</v>
      </c>
      <c r="H153" s="441" t="str">
        <f t="shared" si="82"/>
        <v>-</v>
      </c>
      <c r="I153" s="441">
        <f t="shared" si="83"/>
        <v>0</v>
      </c>
      <c r="J153" s="163">
        <f ca="1">IF($A153="*","",OFFSET(UPS!$C$37,AU153,SUMIF($A$10:$A$20,"*#"&amp;AS153,$AT$10:$AT$20)))</f>
        <v>16.868609235305986</v>
      </c>
      <c r="K153" s="163"/>
      <c r="AR153" s="42">
        <f t="shared" si="84"/>
        <v>8</v>
      </c>
      <c r="AS153" s="42">
        <f t="shared" si="85"/>
        <v>4</v>
      </c>
      <c r="AU153" s="42">
        <f ca="1">SUMIF(UPS!B$38:B$171,C153,UPS!BD$38:BD$171)</f>
        <v>43</v>
      </c>
    </row>
    <row r="154" spans="1:48">
      <c r="B154" s="440" t="str">
        <f t="shared" si="78"/>
        <v>NCAP_BND</v>
      </c>
      <c r="C154" s="440" t="str">
        <f ca="1">IF($A154="*","",OFFSET(ITEMS_UPS!$C$8,AR154,0))</f>
        <v>UGTLGICCO-N</v>
      </c>
      <c r="D154" s="440" t="str">
        <f ca="1">IF($A154="*","",IF(VLOOKUP("*#"&amp;$AS154,$A$10:$I$24,D$9+1,FALSE)="-","-",OFFSET(UPS!$C$37,AU154+AV154,SUMIF($A$10:$A$20,"*#"&amp;AS154,$AT$10:$AT$20))))</f>
        <v>-</v>
      </c>
      <c r="E154" s="440" t="str">
        <f t="shared" si="79"/>
        <v>-</v>
      </c>
      <c r="F154" s="440" t="str">
        <f t="shared" si="80"/>
        <v>-</v>
      </c>
      <c r="G154" s="440" t="str">
        <f t="shared" si="81"/>
        <v>-</v>
      </c>
      <c r="H154" s="441" t="str">
        <f t="shared" si="82"/>
        <v>UP</v>
      </c>
      <c r="I154" s="441">
        <f t="shared" si="83"/>
        <v>3</v>
      </c>
      <c r="J154" s="163" t="str">
        <f ca="1">IF($A154="*","",OFFSET(UPS!$C$37,AU154,SUMIF($A$10:$A$20,"*#"&amp;AS154,$AT$10:$AT$20)))</f>
        <v/>
      </c>
      <c r="K154" s="163"/>
      <c r="AR154" s="42">
        <f>AR152</f>
        <v>8</v>
      </c>
      <c r="AS154" s="42">
        <f t="shared" si="85"/>
        <v>5</v>
      </c>
      <c r="AU154" s="42">
        <f ca="1">SUMIF(UPS!B$38:B$171,C154,UPS!BD$38:BD$171)</f>
        <v>43</v>
      </c>
    </row>
    <row r="155" spans="1:48">
      <c r="B155" s="440" t="str">
        <f t="shared" si="78"/>
        <v>FLO_FUNC</v>
      </c>
      <c r="C155" s="440" t="str">
        <f ca="1">IF($A155="*","",OFFSET(ITEMS_UPS!$C$8,AR155,0))</f>
        <v>UGTLGICCO-N</v>
      </c>
      <c r="D155" s="440" t="str">
        <f ca="1">IF($A155="*","",IF(VLOOKUP("*#"&amp;$AS155,$A$10:$I$24,D$9+1,FALSE)="-","-",OFFSET(UPS!$C$37,AU155+AV155,SUMIF($A$10:$A$20,"*#"&amp;AS155,$AT$10:$AT$20))))</f>
        <v>-</v>
      </c>
      <c r="E155" s="440" t="str">
        <f t="shared" ca="1" si="79"/>
        <v>UGTLGICCO-N-I</v>
      </c>
      <c r="F155" s="440" t="str">
        <f t="shared" ca="1" si="80"/>
        <v>UGTLGICCO-N-O</v>
      </c>
      <c r="G155" s="440" t="str">
        <f t="shared" si="81"/>
        <v>ANNUAL</v>
      </c>
      <c r="H155" s="441" t="str">
        <f t="shared" si="82"/>
        <v>-</v>
      </c>
      <c r="I155" s="441">
        <f t="shared" si="83"/>
        <v>0</v>
      </c>
      <c r="J155" s="163">
        <f ca="1">IF($A155="*","",OFFSET(UPS!$C$37,AU155,SUMIF($A$10:$A$20,"*#"&amp;AS155,$AT$10:$AT$20)))</f>
        <v>0.80809626745744978</v>
      </c>
      <c r="K155" s="163"/>
      <c r="AR155" s="42">
        <f t="shared" si="84"/>
        <v>8</v>
      </c>
      <c r="AS155" s="42">
        <f t="shared" si="85"/>
        <v>6</v>
      </c>
      <c r="AU155" s="42">
        <f ca="1">SUMIF(UPS!B$38:B$171,C155,UPS!BD$38:BD$171)</f>
        <v>43</v>
      </c>
    </row>
    <row r="156" spans="1:48">
      <c r="B156" s="440" t="str">
        <f t="shared" si="78"/>
        <v>FLO_SHAR</v>
      </c>
      <c r="C156" s="440" t="str">
        <f ca="1">IF($A156="*","",OFFSET(ITEMS_UPS!$C$8,AR156,0))</f>
        <v>UGTLGICCO-N</v>
      </c>
      <c r="D156" s="440" t="str">
        <f ca="1">IF($A156="*","",IF(VLOOKUP("*#"&amp;$AS156,$A$10:$I$24,D$9+1,FALSE)="-","-",OFFSET(UPS!$C$37,AU156+AV156,SUMIF($A$10:$A$20,"*#"&amp;AS156,$AT$10:$AT$20))))</f>
        <v>UPSGIC</v>
      </c>
      <c r="E156" s="440" t="str">
        <f t="shared" ca="1" si="79"/>
        <v>UGTLGICCO-N-I</v>
      </c>
      <c r="F156" s="440" t="str">
        <f t="shared" si="80"/>
        <v>-</v>
      </c>
      <c r="G156" s="440" t="str">
        <f t="shared" si="81"/>
        <v>ANNUAL</v>
      </c>
      <c r="H156" s="441" t="str">
        <f t="shared" si="82"/>
        <v>FX</v>
      </c>
      <c r="I156" s="441">
        <f t="shared" si="83"/>
        <v>3</v>
      </c>
      <c r="J156" s="163">
        <f ca="1">IF($A156="*","",OFFSET(UPS!$C$37,AU156+AV156,SUMIF($A$10:$A$20,"*#"&amp;AS156,$AV$10:$AV$20)))</f>
        <v>0.76985311799533229</v>
      </c>
      <c r="K156" s="163"/>
      <c r="AR156" s="42">
        <f t="shared" si="84"/>
        <v>8</v>
      </c>
      <c r="AS156" s="42">
        <f t="shared" si="85"/>
        <v>7</v>
      </c>
      <c r="AU156" s="42">
        <f ca="1">SUMIF(UPS!B$38:B$171,C156,UPS!BD$38:BD$171)</f>
        <v>43</v>
      </c>
      <c r="AV156" s="42">
        <v>0</v>
      </c>
    </row>
    <row r="157" spans="1:48">
      <c r="B157" s="440" t="str">
        <f t="shared" si="78"/>
        <v>FLO_SHAR</v>
      </c>
      <c r="C157" s="440" t="str">
        <f ca="1">IF($A157="*","",OFFSET(ITEMS_UPS!$C$8,AR157,0))</f>
        <v>UGTLGICCO-N</v>
      </c>
      <c r="D157" s="440" t="str">
        <f ca="1">IF($A157="*","",IF(VLOOKUP("*#"&amp;$AS157,$A$10:$I$24,D$9+1,FALSE)="-","-",OFFSET(UPS!$C$37,AU157+AV157,SUMIF($A$10:$A$20,"*#"&amp;AS157,$AT$10:$AT$20))))</f>
        <v>UPSOCR</v>
      </c>
      <c r="E157" s="440" t="str">
        <f t="shared" ca="1" si="79"/>
        <v>UGTLGICCO-N-I</v>
      </c>
      <c r="F157" s="440" t="str">
        <f t="shared" si="80"/>
        <v>-</v>
      </c>
      <c r="G157" s="440" t="str">
        <f t="shared" si="81"/>
        <v>ANNUAL</v>
      </c>
      <c r="H157" s="441" t="str">
        <f t="shared" si="82"/>
        <v>FX</v>
      </c>
      <c r="I157" s="441">
        <f t="shared" si="83"/>
        <v>3</v>
      </c>
      <c r="J157" s="163">
        <f ca="1">IF($A157="*","",OFFSET(UPS!$C$37,AU157+AV157,SUMIF($A$10:$A$20,"*#"&amp;AS157,$AV$10:$AV$20)))</f>
        <v>0.19246327949883302</v>
      </c>
      <c r="K157" s="163"/>
      <c r="AR157" s="42">
        <f t="shared" si="84"/>
        <v>8</v>
      </c>
      <c r="AS157" s="42">
        <f>AS156</f>
        <v>7</v>
      </c>
      <c r="AU157" s="42">
        <f ca="1">SUMIF(UPS!B$38:B$171,C157,UPS!BD$38:BD$171)</f>
        <v>43</v>
      </c>
      <c r="AV157" s="42">
        <f t="shared" ref="AV157:AV164" si="86">AV156+1</f>
        <v>1</v>
      </c>
    </row>
    <row r="158" spans="1:48">
      <c r="B158" s="440" t="str">
        <f t="shared" si="78"/>
        <v>FLO_SHAR</v>
      </c>
      <c r="C158" s="440" t="str">
        <f ca="1">IF($A158="*","",OFFSET(ITEMS_UPS!$C$8,AR158,0))</f>
        <v>UGTLGICCO-N</v>
      </c>
      <c r="D158" s="440" t="str">
        <f ca="1">IF($A158="*","",IF(VLOOKUP("*#"&amp;$AS158,$A$10:$I$24,D$9+1,FALSE)="-","-",OFFSET(UPS!$C$37,AU158+AV158,SUMIF($A$10:$A$20,"*#"&amp;AS158,$AT$10:$AT$20))))</f>
        <v>UPSELC</v>
      </c>
      <c r="E158" s="440" t="str">
        <f t="shared" ca="1" si="79"/>
        <v>UGTLGICCO-N-I</v>
      </c>
      <c r="F158" s="440" t="str">
        <f t="shared" si="80"/>
        <v>-</v>
      </c>
      <c r="G158" s="440" t="str">
        <f t="shared" si="81"/>
        <v>ANNUAL</v>
      </c>
      <c r="H158" s="441" t="str">
        <f t="shared" si="82"/>
        <v>FX</v>
      </c>
      <c r="I158" s="441">
        <f t="shared" si="83"/>
        <v>3</v>
      </c>
      <c r="J158" s="163">
        <f ca="1">IF($A158="*","",OFFSET(UPS!$C$37,AU158+AV158,SUMIF($A$10:$A$20,"*#"&amp;AS158,$AV$10:$AV$20)))</f>
        <v>3.7683602505834655E-2</v>
      </c>
      <c r="K158" s="163"/>
      <c r="AR158" s="42">
        <f t="shared" si="84"/>
        <v>8</v>
      </c>
      <c r="AS158" s="42">
        <f>AS157</f>
        <v>7</v>
      </c>
      <c r="AU158" s="42">
        <f ca="1">SUMIF(UPS!B$38:B$171,C158,UPS!BD$38:BD$171)</f>
        <v>43</v>
      </c>
      <c r="AV158" s="42">
        <f t="shared" si="86"/>
        <v>2</v>
      </c>
    </row>
    <row r="159" spans="1:48">
      <c r="B159" s="440" t="str">
        <f t="shared" si="78"/>
        <v>FLO_SHAR</v>
      </c>
      <c r="C159" s="440" t="str">
        <f ca="1">IF($A159="*","",OFFSET(ITEMS_UPS!$C$8,AR159,0))</f>
        <v>UGTLGICCO-N</v>
      </c>
      <c r="D159" s="440" t="str">
        <f ca="1">IF($A159="*","",IF(VLOOKUP("*#"&amp;$AS159,$A$10:$I$24,D$9+1,FALSE)="-","-",OFFSET(UPS!$C$37,AU159+AV159,SUMIF($A$10:$A$20,"*#"&amp;AS159,$AT$10:$AT$20))))</f>
        <v>OAG</v>
      </c>
      <c r="E159" s="440" t="str">
        <f t="shared" ca="1" si="79"/>
        <v>UGTLGICCO-N-O</v>
      </c>
      <c r="F159" s="440" t="str">
        <f t="shared" si="80"/>
        <v>-</v>
      </c>
      <c r="G159" s="440" t="str">
        <f t="shared" si="81"/>
        <v>ANNUAL</v>
      </c>
      <c r="H159" s="441" t="str">
        <f t="shared" si="82"/>
        <v>UP</v>
      </c>
      <c r="I159" s="441">
        <f t="shared" si="83"/>
        <v>3</v>
      </c>
      <c r="J159" s="163">
        <f ca="1">IF($A159="*","",OFFSET(UPS!$C$37,AU159+AV159,SUMIF($A$10:$A$20,"*#"&amp;AS159,$AV$10:$AV$20)))</f>
        <v>0</v>
      </c>
      <c r="K159" s="163"/>
      <c r="AR159" s="42">
        <f t="shared" si="84"/>
        <v>8</v>
      </c>
      <c r="AS159" s="42">
        <v>8</v>
      </c>
      <c r="AU159" s="42">
        <f ca="1">SUMIF(UPS!B$38:B$171,C159,UPS!BD$38:BD$171)</f>
        <v>43</v>
      </c>
      <c r="AV159" s="42">
        <f t="shared" si="86"/>
        <v>3</v>
      </c>
    </row>
    <row r="160" spans="1:48">
      <c r="B160" s="440" t="str">
        <f t="shared" si="78"/>
        <v>FLO_SHAR</v>
      </c>
      <c r="C160" s="440" t="str">
        <f ca="1">IF($A160="*","",OFFSET(ITEMS_UPS!$C$8,AR160,0))</f>
        <v>UGTLGICCO-N</v>
      </c>
      <c r="D160" s="440" t="str">
        <f ca="1">IF($A160="*","",IF(VLOOKUP("*#"&amp;$AS160,$A$10:$I$24,D$9+1,FALSE)="-","-",OFFSET(UPS!$C$37,AU160+AV160,SUMIF($A$10:$A$20,"*#"&amp;AS160,$AT$10:$AT$20))))</f>
        <v>ODS</v>
      </c>
      <c r="E160" s="440" t="str">
        <f t="shared" ca="1" si="79"/>
        <v>UGTLGICCO-N-O</v>
      </c>
      <c r="F160" s="440" t="str">
        <f t="shared" si="80"/>
        <v>-</v>
      </c>
      <c r="G160" s="440" t="str">
        <f t="shared" si="81"/>
        <v>ANNUAL</v>
      </c>
      <c r="H160" s="441" t="str">
        <f t="shared" si="82"/>
        <v>UP</v>
      </c>
      <c r="I160" s="441">
        <f t="shared" si="83"/>
        <v>3</v>
      </c>
      <c r="J160" s="163">
        <f ca="1">IF($A160="*","",OFFSET(UPS!$C$37,AU160+AV160,SUMIF($A$10:$A$20,"*#"&amp;AS160,$AV$10:$AV$20)))</f>
        <v>0.28767932115906897</v>
      </c>
      <c r="K160" s="163"/>
      <c r="AR160" s="42">
        <f t="shared" si="84"/>
        <v>8</v>
      </c>
      <c r="AS160" s="42">
        <f t="shared" si="84"/>
        <v>8</v>
      </c>
      <c r="AU160" s="42">
        <f ca="1">SUMIF(UPS!B$38:B$171,C160,UPS!BD$38:BD$171)</f>
        <v>43</v>
      </c>
      <c r="AV160" s="42">
        <f t="shared" si="86"/>
        <v>4</v>
      </c>
    </row>
    <row r="161" spans="1:48">
      <c r="B161" s="440" t="str">
        <f t="shared" si="78"/>
        <v>FLO_SHAR</v>
      </c>
      <c r="C161" s="440" t="str">
        <f ca="1">IF($A161="*","",OFFSET(ITEMS_UPS!$C$8,AR161,0))</f>
        <v>UGTLGICCO-N</v>
      </c>
      <c r="D161" s="440" t="str">
        <f ca="1">IF($A161="*","",IF(VLOOKUP("*#"&amp;$AS161,$A$10:$I$24,D$9+1,FALSE)="-","-",OFFSET(UPS!$C$37,AU161+AV161,SUMIF($A$10:$A$20,"*#"&amp;AS161,$AT$10:$AT$20))))</f>
        <v>OGS</v>
      </c>
      <c r="E161" s="440" t="str">
        <f t="shared" ca="1" si="79"/>
        <v>UGTLGICCO-N-O</v>
      </c>
      <c r="F161" s="440" t="str">
        <f t="shared" si="80"/>
        <v>-</v>
      </c>
      <c r="G161" s="440" t="str">
        <f t="shared" si="81"/>
        <v>ANNUAL</v>
      </c>
      <c r="H161" s="441" t="str">
        <f t="shared" si="82"/>
        <v>UP</v>
      </c>
      <c r="I161" s="441">
        <f t="shared" si="83"/>
        <v>3</v>
      </c>
      <c r="J161" s="163">
        <f ca="1">IF($A161="*","",OFFSET(UPS!$C$37,AU161+AV161,SUMIF($A$10:$A$20,"*#"&amp;AS161,$AV$10:$AV$20)))</f>
        <v>0.49809089633534509</v>
      </c>
      <c r="K161" s="163"/>
      <c r="AR161" s="42">
        <f t="shared" si="84"/>
        <v>8</v>
      </c>
      <c r="AS161" s="42">
        <f t="shared" si="84"/>
        <v>8</v>
      </c>
      <c r="AU161" s="42">
        <f ca="1">SUMIF(UPS!B$38:B$171,C161,UPS!BD$38:BD$171)</f>
        <v>43</v>
      </c>
      <c r="AV161" s="42">
        <f t="shared" si="86"/>
        <v>5</v>
      </c>
    </row>
    <row r="162" spans="1:48">
      <c r="B162" s="440" t="str">
        <f t="shared" si="78"/>
        <v>FLO_SHAR</v>
      </c>
      <c r="C162" s="440" t="str">
        <f ca="1">IF($A162="*","",OFFSET(ITEMS_UPS!$C$8,AR162,0))</f>
        <v>UGTLGICCO-N</v>
      </c>
      <c r="D162" s="440" t="str">
        <f ca="1">IF($A162="*","",IF(VLOOKUP("*#"&amp;$AS162,$A$10:$I$24,D$9+1,FALSE)="-","-",OFFSET(UPS!$C$37,AU162+AV162,SUMIF($A$10:$A$20,"*#"&amp;AS162,$AT$10:$AT$20))))</f>
        <v>OKE</v>
      </c>
      <c r="E162" s="440" t="str">
        <f t="shared" ca="1" si="79"/>
        <v>UGTLGICCO-N-O</v>
      </c>
      <c r="F162" s="440" t="str">
        <f t="shared" si="80"/>
        <v>-</v>
      </c>
      <c r="G162" s="440" t="str">
        <f t="shared" si="81"/>
        <v>ANNUAL</v>
      </c>
      <c r="H162" s="441" t="str">
        <f t="shared" si="82"/>
        <v>UP</v>
      </c>
      <c r="I162" s="441">
        <f t="shared" si="83"/>
        <v>3</v>
      </c>
      <c r="J162" s="163">
        <f ca="1">IF($A162="*","",OFFSET(UPS!$C$37,AU162+AV162,SUMIF($A$10:$A$20,"*#"&amp;AS162,$AV$10:$AV$20)))</f>
        <v>0.12259168661288511</v>
      </c>
      <c r="K162" s="163"/>
      <c r="AR162" s="42">
        <f t="shared" si="84"/>
        <v>8</v>
      </c>
      <c r="AS162" s="42">
        <f t="shared" si="84"/>
        <v>8</v>
      </c>
      <c r="AU162" s="42">
        <f ca="1">SUMIF(UPS!B$38:B$171,C162,UPS!BD$38:BD$171)</f>
        <v>43</v>
      </c>
      <c r="AV162" s="42">
        <f t="shared" si="86"/>
        <v>6</v>
      </c>
    </row>
    <row r="163" spans="1:48">
      <c r="B163" s="440" t="str">
        <f t="shared" si="78"/>
        <v>FLO_SHAR</v>
      </c>
      <c r="C163" s="440" t="str">
        <f ca="1">IF($A163="*","",OFFSET(ITEMS_UPS!$C$8,AR163,0))</f>
        <v>UGTLGICCO-N</v>
      </c>
      <c r="D163" s="440" t="str">
        <f ca="1">IF($A163="*","",IF(VLOOKUP("*#"&amp;$AS163,$A$10:$I$24,D$9+1,FALSE)="-","-",OFFSET(UPS!$C$37,AU163+AV163,SUMIF($A$10:$A$20,"*#"&amp;AS163,$AT$10:$AT$20))))</f>
        <v>OLP</v>
      </c>
      <c r="E163" s="440" t="str">
        <f t="shared" ca="1" si="79"/>
        <v>UGTLGICCO-N-O</v>
      </c>
      <c r="F163" s="440" t="str">
        <f t="shared" si="80"/>
        <v>-</v>
      </c>
      <c r="G163" s="440" t="str">
        <f t="shared" si="81"/>
        <v>ANNUAL</v>
      </c>
      <c r="H163" s="441" t="str">
        <f t="shared" si="82"/>
        <v>UP</v>
      </c>
      <c r="I163" s="441">
        <f t="shared" si="83"/>
        <v>3</v>
      </c>
      <c r="J163" s="163">
        <f ca="1">IF($A163="*","",OFFSET(UPS!$C$37,AU163+AV163,SUMIF($A$10:$A$20,"*#"&amp;AS163,$AV$10:$AV$20)))</f>
        <v>3.6696142945579213E-2</v>
      </c>
      <c r="K163" s="163"/>
      <c r="AR163" s="42">
        <f t="shared" si="84"/>
        <v>8</v>
      </c>
      <c r="AS163" s="42">
        <f t="shared" si="84"/>
        <v>8</v>
      </c>
      <c r="AU163" s="42">
        <f ca="1">SUMIF(UPS!B$38:B$171,C163,UPS!BD$38:BD$171)</f>
        <v>43</v>
      </c>
      <c r="AV163" s="42">
        <f t="shared" si="86"/>
        <v>7</v>
      </c>
    </row>
    <row r="164" spans="1:48">
      <c r="B164" s="440" t="str">
        <f t="shared" si="78"/>
        <v>FLO_EMIS</v>
      </c>
      <c r="C164" s="440" t="str">
        <f ca="1">IF($A164="*","",OFFSET(ITEMS_UPS!$C$8,AR164,0))</f>
        <v>UGTLGICCO-N</v>
      </c>
      <c r="D164" s="440" t="str">
        <f>$D$18</f>
        <v>UPSCO2S</v>
      </c>
      <c r="E164" s="440" t="str">
        <f t="shared" ca="1" si="79"/>
        <v>UGTLGICCO-N-O</v>
      </c>
      <c r="F164" s="440" t="str">
        <f t="shared" si="80"/>
        <v>-</v>
      </c>
      <c r="G164" s="440" t="str">
        <f t="shared" si="81"/>
        <v>ANNUAL</v>
      </c>
      <c r="H164" s="441" t="str">
        <f t="shared" si="82"/>
        <v>-</v>
      </c>
      <c r="I164" s="441">
        <f t="shared" si="83"/>
        <v>0</v>
      </c>
      <c r="J164" s="163">
        <f ca="1">IF($A164="*","",OFFSET(UPS!$C$37,AU164,SUMIF($A$10:$A$20,"*#"&amp;AS164,$AT$10:$AT$20)))</f>
        <v>6.4894696089818042</v>
      </c>
      <c r="K164" s="163"/>
      <c r="AR164" s="42">
        <f>AR162</f>
        <v>8</v>
      </c>
      <c r="AS164" s="42">
        <f>AS162+1</f>
        <v>9</v>
      </c>
      <c r="AU164" s="42">
        <f ca="1">SUMIF(UPS!B$38:B$171,C164,UPS!BD$38:BD$171)</f>
        <v>43</v>
      </c>
      <c r="AV164" s="42">
        <f t="shared" si="86"/>
        <v>8</v>
      </c>
    </row>
    <row r="165" spans="1:48">
      <c r="B165" s="440" t="str">
        <f t="shared" si="78"/>
        <v>FLO_EMIS</v>
      </c>
      <c r="C165" s="440" t="str">
        <f ca="1">IF($A165="*","",OFFSET(ITEMS_UPS!$C$8,AR165,0))</f>
        <v>UGTLGICCO-N</v>
      </c>
      <c r="D165" s="440" t="str">
        <f>$D$19</f>
        <v>UPSCH4S</v>
      </c>
      <c r="E165" s="440" t="str">
        <f t="shared" ca="1" si="79"/>
        <v>UGTLGICCO-N-O</v>
      </c>
      <c r="F165" s="440" t="str">
        <f t="shared" si="80"/>
        <v>-</v>
      </c>
      <c r="G165" s="440" t="str">
        <f t="shared" si="81"/>
        <v>ANNUAL</v>
      </c>
      <c r="H165" s="441" t="str">
        <f t="shared" si="82"/>
        <v>-</v>
      </c>
      <c r="I165" s="441">
        <f t="shared" si="83"/>
        <v>0</v>
      </c>
      <c r="J165" s="163">
        <f ca="1">IF($A165="*","",OFFSET(UPS!$C$37,AU165,SUMIF($A$10:$A$20,"*#"&amp;AS165,$AT$10:$AT$20)))</f>
        <v>4.4999999999999997E-3</v>
      </c>
      <c r="K165" s="163"/>
      <c r="AR165" s="42">
        <f>AR164</f>
        <v>8</v>
      </c>
      <c r="AS165" s="42">
        <f>AS164+1</f>
        <v>10</v>
      </c>
      <c r="AU165" s="42">
        <f ca="1">SUMIF(UPS!B$38:B$171,C165,UPS!BD$38:BD$171)</f>
        <v>43</v>
      </c>
    </row>
    <row r="166" spans="1:48">
      <c r="B166" s="440" t="str">
        <f t="shared" si="78"/>
        <v>NCAP_COST</v>
      </c>
      <c r="C166" s="440" t="str">
        <f ca="1">IF($A166="*","",OFFSET(ITEMS_UPS!$C$8,AR166,0))</f>
        <v>UGTLGICCO-N</v>
      </c>
      <c r="D166" s="440" t="str">
        <f ca="1">IF($A166="*","",IF(VLOOKUP("*#"&amp;$AS166,$A$10:$I$24,D$9+1,FALSE)="-","-",OFFSET(UPS!$C$37,AU166+AV166,SUMIF($A$10:$A$20,"*#"&amp;AS166,$AT$10:$AT$20))))</f>
        <v>-</v>
      </c>
      <c r="E166" s="440" t="str">
        <f t="shared" si="79"/>
        <v>-</v>
      </c>
      <c r="F166" s="440" t="str">
        <f t="shared" si="80"/>
        <v>-</v>
      </c>
      <c r="G166" s="440" t="str">
        <f>IF($A166="*","",VLOOKUP("*#"&amp;$AS166,$A$10:$I$24,G$9+1,FALSE))</f>
        <v>-</v>
      </c>
      <c r="H166" s="441" t="str">
        <f t="shared" si="82"/>
        <v>-</v>
      </c>
      <c r="I166" s="441">
        <f>IF($A166="*","",VLOOKUP("*#"&amp;$AS166,$A$10:$I$24,I$9+1,FALSE))</f>
        <v>0</v>
      </c>
      <c r="J166" s="163">
        <f ca="1">IF($A166="*","",OFFSET(UPS!$C$37,AU166,SUMIF($A$10:$A$24,"*#"&amp;AS166,$AT$10:$AT$24)))</f>
        <v>169.62323731057683</v>
      </c>
      <c r="K166" s="163"/>
      <c r="L166" s="163"/>
      <c r="M166" s="163"/>
      <c r="N166" s="163"/>
      <c r="O166" s="163"/>
      <c r="P166" s="163"/>
      <c r="Q166" s="163"/>
      <c r="R166" s="163"/>
      <c r="S166" s="163"/>
      <c r="T166" s="163"/>
      <c r="U166" s="163"/>
      <c r="V166" s="163"/>
      <c r="W166" s="163"/>
      <c r="X166" s="163"/>
      <c r="Y166" s="163"/>
      <c r="Z166" s="163"/>
      <c r="AA166" s="163"/>
      <c r="AB166" s="163"/>
      <c r="AC166" s="163"/>
      <c r="AD166" s="163"/>
      <c r="AE166" s="163"/>
      <c r="AF166" s="163"/>
      <c r="AG166" s="163"/>
      <c r="AH166" s="163"/>
      <c r="AI166" s="163"/>
      <c r="AJ166" s="163"/>
      <c r="AK166" s="163"/>
      <c r="AL166" s="163"/>
      <c r="AM166" s="163"/>
      <c r="AN166" s="163"/>
      <c r="AO166" s="163"/>
      <c r="AP166" s="163"/>
      <c r="AR166" s="42">
        <f>AR165</f>
        <v>8</v>
      </c>
      <c r="AS166" s="42">
        <f>AS165+2</f>
        <v>12</v>
      </c>
      <c r="AU166" s="42">
        <f ca="1">SUMIF(UPS!B$38:B$171,C166,UPS!BD$38:BD$171)</f>
        <v>43</v>
      </c>
    </row>
    <row r="167" spans="1:48">
      <c r="B167" s="440" t="str">
        <f t="shared" si="78"/>
        <v>NCAP_TLIFE</v>
      </c>
      <c r="C167" s="440" t="str">
        <f ca="1">IF($A167="*","",OFFSET(ITEMS_UPS!$C$8,AR167,0))</f>
        <v>UGTLGICCO-N</v>
      </c>
      <c r="D167" s="440" t="str">
        <f ca="1">IF($A167="*","",IF(VLOOKUP("*#"&amp;$AS167,$A$10:$I$24,D$9+1,FALSE)="-","-",OFFSET(UPS!$C$37,AU167+AV167,SUMIF($A$10:$A$20,"*#"&amp;AS167,$AT$10:$AT$20))))</f>
        <v>-</v>
      </c>
      <c r="E167" s="440" t="str">
        <f t="shared" si="79"/>
        <v>-</v>
      </c>
      <c r="F167" s="440" t="str">
        <f t="shared" si="80"/>
        <v>-</v>
      </c>
      <c r="G167" s="440" t="str">
        <f>IF($A167="*","",VLOOKUP("*#"&amp;$AS167,$A$10:$I$24,G$9+1,FALSE))</f>
        <v>-</v>
      </c>
      <c r="H167" s="441" t="str">
        <f t="shared" si="82"/>
        <v>-</v>
      </c>
      <c r="I167" s="441">
        <f>IF($A167="*","",VLOOKUP("*#"&amp;$AS167,$A$10:$I$24,I$9+1,FALSE))</f>
        <v>0</v>
      </c>
      <c r="J167" s="163">
        <f ca="1">IF($A167="*","",OFFSET(UPS!$C$37,AU167,SUMIF($A$10:$A$24,"*#"&amp;AS167,$AT$10:$AT$24)))</f>
        <v>50</v>
      </c>
      <c r="K167" s="163"/>
      <c r="L167" s="163"/>
      <c r="M167" s="163"/>
      <c r="N167" s="163"/>
      <c r="O167" s="163"/>
      <c r="P167" s="163"/>
      <c r="Q167" s="163"/>
      <c r="R167" s="163"/>
      <c r="S167" s="163"/>
      <c r="T167" s="163"/>
      <c r="U167" s="163"/>
      <c r="V167" s="163"/>
      <c r="W167" s="163"/>
      <c r="X167" s="163"/>
      <c r="Y167" s="163"/>
      <c r="Z167" s="163"/>
      <c r="AA167" s="163"/>
      <c r="AB167" s="163"/>
      <c r="AC167" s="163"/>
      <c r="AD167" s="163"/>
      <c r="AE167" s="163"/>
      <c r="AF167" s="163"/>
      <c r="AG167" s="163"/>
      <c r="AH167" s="163"/>
      <c r="AI167" s="163"/>
      <c r="AJ167" s="163"/>
      <c r="AK167" s="163"/>
      <c r="AL167" s="163"/>
      <c r="AM167" s="163"/>
      <c r="AN167" s="163"/>
      <c r="AO167" s="163"/>
      <c r="AP167" s="163"/>
      <c r="AR167" s="42">
        <f>AR166</f>
        <v>8</v>
      </c>
      <c r="AS167" s="42">
        <f>AS166+1</f>
        <v>13</v>
      </c>
      <c r="AU167" s="42">
        <f ca="1">SUMIF(UPS!B$38:B$171,C167,UPS!BD$38:BD$171)</f>
        <v>43</v>
      </c>
    </row>
    <row r="168" spans="1:48">
      <c r="B168" s="440" t="str">
        <f t="shared" si="78"/>
        <v>NCAP_ILED</v>
      </c>
      <c r="C168" s="440" t="str">
        <f ca="1">IF($A168="*","",OFFSET(ITEMS_UPS!$C$8,AR168,0))</f>
        <v>UGTLGICCO-N</v>
      </c>
      <c r="D168" s="440" t="str">
        <f ca="1">IF($A168="*","",IF(VLOOKUP("*#"&amp;$AS168,$A$10:$I$24,D$9+1,FALSE)="-","-",OFFSET(UPS!$C$37,AU168+AV168,SUMIF($A$10:$A$20,"*#"&amp;AS168,$AT$10:$AT$20))))</f>
        <v>-</v>
      </c>
      <c r="E168" s="440" t="str">
        <f t="shared" si="79"/>
        <v>-</v>
      </c>
      <c r="F168" s="440" t="str">
        <f t="shared" si="80"/>
        <v>-</v>
      </c>
      <c r="G168" s="440" t="str">
        <f>IF($A168="*","",VLOOKUP("*#"&amp;$AS168,$A$10:$I$24,G$9+1,FALSE))</f>
        <v>-</v>
      </c>
      <c r="H168" s="441" t="str">
        <f t="shared" si="82"/>
        <v>-</v>
      </c>
      <c r="I168" s="441">
        <f>IF($A168="*","",VLOOKUP("*#"&amp;$AS168,$A$10:$I$24,I$9+1,FALSE))</f>
        <v>0</v>
      </c>
      <c r="J168" s="163">
        <f ca="1">IF($A168="*","",OFFSET(UPS!$C$37,AU168,SUMIF($A$10:$A$24,"*#"&amp;AS168,$AT$10:$AT$24)))</f>
        <v>-6</v>
      </c>
      <c r="K168" s="163"/>
      <c r="L168" s="163"/>
      <c r="M168" s="163"/>
      <c r="N168" s="163"/>
      <c r="O168" s="163"/>
      <c r="P168" s="163"/>
      <c r="Q168" s="163"/>
      <c r="R168" s="163"/>
      <c r="S168" s="163"/>
      <c r="T168" s="163"/>
      <c r="U168" s="163"/>
      <c r="V168" s="163"/>
      <c r="W168" s="163"/>
      <c r="X168" s="163"/>
      <c r="Y168" s="163"/>
      <c r="Z168" s="163"/>
      <c r="AA168" s="163"/>
      <c r="AB168" s="163"/>
      <c r="AC168" s="163"/>
      <c r="AD168" s="163"/>
      <c r="AE168" s="163"/>
      <c r="AF168" s="163"/>
      <c r="AG168" s="163"/>
      <c r="AH168" s="163"/>
      <c r="AI168" s="163"/>
      <c r="AJ168" s="163"/>
      <c r="AK168" s="163"/>
      <c r="AL168" s="163"/>
      <c r="AM168" s="163"/>
      <c r="AN168" s="163"/>
      <c r="AO168" s="163"/>
      <c r="AP168" s="163"/>
      <c r="AR168" s="42">
        <f>AR166</f>
        <v>8</v>
      </c>
      <c r="AS168" s="42">
        <f>AS167+1</f>
        <v>14</v>
      </c>
      <c r="AU168" s="42">
        <f ca="1">SUMIF(UPS!B$38:B$171,C168,UPS!BD$38:BD$171)</f>
        <v>43</v>
      </c>
    </row>
    <row r="169" spans="1:48">
      <c r="A169" s="42" t="s">
        <v>310</v>
      </c>
    </row>
    <row r="170" spans="1:48">
      <c r="B170" s="440" t="str">
        <f t="shared" ref="B170:B188" si="87">IF(A170="*","",VLOOKUP("*#"&amp;AS170,$A$9:$B$24,2,FALSE))</f>
        <v>ACT_COST</v>
      </c>
      <c r="C170" s="440" t="str">
        <f ca="1">IF($A170="*","",OFFSET(ITEMS_UPS!$C$8,AR170,0))</f>
        <v>UREFOCRCO-N</v>
      </c>
      <c r="D170" s="440" t="str">
        <f ca="1">IF($A170="*","",IF(VLOOKUP("*#"&amp;$AS170,$A$10:$I$24,D$9+1,FALSE)="-","-",OFFSET(UPS!$C$37,AU170+AV170,SUMIF($A$10:$A$20,"*#"&amp;AS170,$AT$10:$AT$20))))</f>
        <v>-</v>
      </c>
      <c r="E170" s="440" t="str">
        <f t="shared" ref="E170:E188" si="88">IF($A170="*","",IF(VLOOKUP("*#"&amp;$AS170,$A$10:$I$24,E$9+1,FALSE)="-","-",C170&amp;"-"&amp;RIGHT(VLOOKUP("*#"&amp;$AS170,$A$10:$I$24,E$9+1,FALSE),1)))</f>
        <v>-</v>
      </c>
      <c r="F170" s="440" t="str">
        <f t="shared" ref="F170:F188" si="89">IF($A170="*","",IF(VLOOKUP("*#"&amp;$AS170,$A$10:$I$24,F$9+1,FALSE)="-","-",C170&amp;"-"&amp;RIGHT(VLOOKUP("*#"&amp;$AS170,$A$10:$I$24,F$9+1,FALSE),1)))</f>
        <v>-</v>
      </c>
      <c r="G170" s="440" t="str">
        <f t="shared" ref="G170:G185" si="90">IF($A170="*","",VLOOKUP("*#"&amp;$AS170,$A$10:$I$20,G$9+1,FALSE))</f>
        <v>-</v>
      </c>
      <c r="H170" s="441" t="str">
        <f t="shared" ref="H170:H188" si="91">IF($A170="*","",VLOOKUP("*#"&amp;$AS170,$A$10:$I$24,H$9+1,FALSE))</f>
        <v>-</v>
      </c>
      <c r="I170" s="441">
        <f t="shared" ref="I170:I185" si="92">IF($A170="*","",VLOOKUP("*#"&amp;$AS170,$A$10:$I$20,I$9+1,FALSE))</f>
        <v>0</v>
      </c>
      <c r="J170" s="163">
        <f ca="1">IF($A170="*","",OFFSET(UPS!$C$37,AU170,SUMIF($A$10:$A$20,"*#"&amp;AS170,$AT$10:$AT$20)))</f>
        <v>19.837857647588002</v>
      </c>
      <c r="K170" s="163"/>
      <c r="AR170" s="42">
        <f>AR168+1</f>
        <v>9</v>
      </c>
      <c r="AS170" s="42">
        <v>1</v>
      </c>
      <c r="AU170" s="42">
        <f ca="1">SUMIF(UPS!B$38:B$171,C170,UPS!BD$38:BD$171)</f>
        <v>77</v>
      </c>
    </row>
    <row r="171" spans="1:48">
      <c r="B171" s="440" t="str">
        <f t="shared" si="87"/>
        <v>NCAP_AFA</v>
      </c>
      <c r="C171" s="440" t="str">
        <f ca="1">IF($A171="*","",OFFSET(ITEMS_UPS!$C$8,AR171,0))</f>
        <v>UREFOCRCO-N</v>
      </c>
      <c r="D171" s="440" t="str">
        <f ca="1">IF($A171="*","",IF(VLOOKUP("*#"&amp;$AS171,$A$10:$I$24,D$9+1,FALSE)="-","-",OFFSET(UPS!$C$37,AU171+AV171,SUMIF($A$10:$A$20,"*#"&amp;AS171,$AT$10:$AT$20))))</f>
        <v>-</v>
      </c>
      <c r="E171" s="440" t="str">
        <f t="shared" si="88"/>
        <v>-</v>
      </c>
      <c r="F171" s="440" t="str">
        <f t="shared" si="89"/>
        <v>-</v>
      </c>
      <c r="G171" s="440" t="str">
        <f t="shared" si="90"/>
        <v>ANNUAL</v>
      </c>
      <c r="H171" s="441" t="str">
        <f t="shared" si="91"/>
        <v>UP</v>
      </c>
      <c r="I171" s="441">
        <f t="shared" si="92"/>
        <v>3</v>
      </c>
      <c r="J171" s="163">
        <f ca="1">IF($A171="*","",OFFSET(UPS!$C$37,AU171,SUMIF($A$10:$A$20,"*#"&amp;AS171,$AT$10:$AT$20)))</f>
        <v>0.96</v>
      </c>
      <c r="K171" s="163"/>
      <c r="AR171" s="42">
        <f>AR170</f>
        <v>9</v>
      </c>
      <c r="AS171" s="42">
        <f t="shared" ref="AS171:AS176" si="93">IF(AR171=AR170,AS170+1,1)</f>
        <v>2</v>
      </c>
      <c r="AU171" s="42">
        <f ca="1">SUMIF(UPS!B$38:B$171,C171,UPS!BD$38:BD$171)</f>
        <v>77</v>
      </c>
    </row>
    <row r="172" spans="1:48">
      <c r="B172" s="440" t="str">
        <f t="shared" si="87"/>
        <v>NCAP_AFA</v>
      </c>
      <c r="C172" s="440" t="str">
        <f ca="1">IF($A172="*","",OFFSET(ITEMS_UPS!$C$8,AR172,0))</f>
        <v>UREFOCRCO-N</v>
      </c>
      <c r="D172" s="440" t="str">
        <f ca="1">IF($A172="*","",IF(VLOOKUP("*#"&amp;$AS172,$A$10:$I$24,D$9+1,FALSE)="-","-",OFFSET(UPS!$C$37,AU172+AV172,SUMIF($A$10:$A$20,"*#"&amp;AS172,$AT$10:$AT$20))))</f>
        <v>-</v>
      </c>
      <c r="E172" s="440" t="str">
        <f t="shared" si="88"/>
        <v>-</v>
      </c>
      <c r="F172" s="440" t="str">
        <f t="shared" si="89"/>
        <v>-</v>
      </c>
      <c r="G172" s="440" t="str">
        <f t="shared" si="90"/>
        <v>ANNUAL</v>
      </c>
      <c r="H172" s="441" t="str">
        <f t="shared" si="91"/>
        <v>LO</v>
      </c>
      <c r="I172" s="441">
        <f t="shared" si="92"/>
        <v>3</v>
      </c>
      <c r="J172" s="163" t="str">
        <f ca="1">IF($A172="*","",OFFSET(UPS!$C$37,AU172,SUMIF($A$10:$A$20,"*#"&amp;AS172,$AT$10:$AT$20)))</f>
        <v/>
      </c>
      <c r="K172" s="163"/>
      <c r="AR172" s="42">
        <f>AR171</f>
        <v>9</v>
      </c>
      <c r="AS172" s="42">
        <f t="shared" si="93"/>
        <v>3</v>
      </c>
      <c r="AU172" s="42">
        <f ca="1">SUMIF(UPS!B$38:B$171,C172,UPS!BD$38:BD$171)</f>
        <v>77</v>
      </c>
    </row>
    <row r="173" spans="1:48">
      <c r="B173" s="440" t="str">
        <f t="shared" si="87"/>
        <v>NCAP_FOM</v>
      </c>
      <c r="C173" s="440" t="str">
        <f ca="1">IF($A173="*","",OFFSET(ITEMS_UPS!$C$8,AR173,0))</f>
        <v>UREFOCRCO-N</v>
      </c>
      <c r="D173" s="440" t="str">
        <f ca="1">IF($A173="*","",IF(VLOOKUP("*#"&amp;$AS173,$A$10:$I$24,D$9+1,FALSE)="-","-",OFFSET(UPS!$C$37,AU173+AV173,SUMIF($A$10:$A$20,"*#"&amp;AS173,$AT$10:$AT$20))))</f>
        <v>-</v>
      </c>
      <c r="E173" s="440" t="str">
        <f t="shared" si="88"/>
        <v>-</v>
      </c>
      <c r="F173" s="440" t="str">
        <f t="shared" si="89"/>
        <v>-</v>
      </c>
      <c r="G173" s="440" t="str">
        <f t="shared" si="90"/>
        <v>-</v>
      </c>
      <c r="H173" s="441" t="str">
        <f t="shared" si="91"/>
        <v>-</v>
      </c>
      <c r="I173" s="441">
        <f t="shared" si="92"/>
        <v>0</v>
      </c>
      <c r="J173" s="163">
        <f ca="1">IF($A173="*","",OFFSET(UPS!$C$37,AU173,SUMIF($A$10:$A$20,"*#"&amp;AS173,$AT$10:$AT$20)))</f>
        <v>5.4964720430094216</v>
      </c>
      <c r="K173" s="163"/>
      <c r="AR173" s="42">
        <f>AR172</f>
        <v>9</v>
      </c>
      <c r="AS173" s="42">
        <f t="shared" si="93"/>
        <v>4</v>
      </c>
      <c r="AU173" s="42">
        <f ca="1">SUMIF(UPS!B$38:B$171,C173,UPS!BD$38:BD$171)</f>
        <v>77</v>
      </c>
    </row>
    <row r="174" spans="1:48">
      <c r="B174" s="440" t="str">
        <f t="shared" si="87"/>
        <v>NCAP_BND</v>
      </c>
      <c r="C174" s="440" t="str">
        <f ca="1">IF($A174="*","",OFFSET(ITEMS_UPS!$C$8,AR174,0))</f>
        <v>UREFOCRCO-N</v>
      </c>
      <c r="D174" s="440" t="str">
        <f ca="1">IF($A174="*","",IF(VLOOKUP("*#"&amp;$AS174,$A$10:$I$24,D$9+1,FALSE)="-","-",OFFSET(UPS!$C$37,AU174+AV174,SUMIF($A$10:$A$20,"*#"&amp;AS174,$AT$10:$AT$20))))</f>
        <v>-</v>
      </c>
      <c r="E174" s="440" t="str">
        <f t="shared" si="88"/>
        <v>-</v>
      </c>
      <c r="F174" s="440" t="str">
        <f t="shared" si="89"/>
        <v>-</v>
      </c>
      <c r="G174" s="440" t="str">
        <f t="shared" si="90"/>
        <v>-</v>
      </c>
      <c r="H174" s="1651" t="s">
        <v>1194</v>
      </c>
      <c r="I174" s="1651">
        <v>0</v>
      </c>
      <c r="J174" s="163" t="str">
        <f ca="1">IF($A174="*","",OFFSET(UPS!$C$37,AU174,SUMIF($A$10:$A$20,"*#"&amp;AS174,$AT$10:$AT$20)))</f>
        <v/>
      </c>
      <c r="K174" s="163"/>
      <c r="Z174" s="1044"/>
      <c r="AR174" s="42">
        <f>AR172</f>
        <v>9</v>
      </c>
      <c r="AS174" s="42">
        <f t="shared" si="93"/>
        <v>5</v>
      </c>
      <c r="AU174" s="42">
        <f ca="1">SUMIF(UPS!B$38:B$171,C174,UPS!BD$38:BD$171)</f>
        <v>77</v>
      </c>
    </row>
    <row r="175" spans="1:48">
      <c r="B175" s="440" t="str">
        <f t="shared" si="87"/>
        <v>FLO_FUNC</v>
      </c>
      <c r="C175" s="440" t="str">
        <f ca="1">IF($A175="*","",OFFSET(ITEMS_UPS!$C$8,AR175,0))</f>
        <v>UREFOCRCO-N</v>
      </c>
      <c r="D175" s="440" t="str">
        <f ca="1">IF($A175="*","",IF(VLOOKUP("*#"&amp;$AS175,$A$10:$I$24,D$9+1,FALSE)="-","-",OFFSET(UPS!$C$37,AU175+AV175,SUMIF($A$10:$A$20,"*#"&amp;AS175,$AT$10:$AT$20))))</f>
        <v>-</v>
      </c>
      <c r="E175" s="440" t="str">
        <f t="shared" ca="1" si="88"/>
        <v>UREFOCRCO-N-I</v>
      </c>
      <c r="F175" s="440" t="str">
        <f t="shared" ca="1" si="89"/>
        <v>UREFOCRCO-N-O</v>
      </c>
      <c r="G175" s="440" t="str">
        <f t="shared" si="90"/>
        <v>ANNUAL</v>
      </c>
      <c r="H175" s="441" t="str">
        <f t="shared" si="91"/>
        <v>-</v>
      </c>
      <c r="I175" s="441">
        <f t="shared" si="92"/>
        <v>0</v>
      </c>
      <c r="J175" s="163">
        <f ca="1">IF($A175="*","",OFFSET(UPS!$C$37,AU175,SUMIF($A$10:$A$20,"*#"&amp;AS175,$AT$10:$AT$20)))</f>
        <v>0.97</v>
      </c>
      <c r="K175" s="163"/>
      <c r="AR175" s="42">
        <f t="shared" ref="AR175:AR183" si="94">AR174</f>
        <v>9</v>
      </c>
      <c r="AS175" s="42">
        <f t="shared" si="93"/>
        <v>6</v>
      </c>
      <c r="AU175" s="42">
        <f ca="1">SUMIF(UPS!B$38:B$171,C175,UPS!BD$38:BD$171)</f>
        <v>77</v>
      </c>
    </row>
    <row r="176" spans="1:48">
      <c r="B176" s="440" t="str">
        <f t="shared" si="87"/>
        <v>FLO_SHAR</v>
      </c>
      <c r="C176" s="440" t="str">
        <f ca="1">IF($A176="*","",OFFSET(ITEMS_UPS!$C$8,AR176,0))</f>
        <v>UREFOCRCO-N</v>
      </c>
      <c r="D176" s="440" t="str">
        <f ca="1">IF($A176="*","",IF(VLOOKUP("*#"&amp;$AS176,$A$10:$I$24,D$9+1,FALSE)="-","-",OFFSET(UPS!$C$37,AU176+AV176,SUMIF($A$10:$A$20,"*#"&amp;AS176,$AT$10:$AT$20))))</f>
        <v>UPSOCR</v>
      </c>
      <c r="E176" s="440" t="str">
        <f t="shared" ca="1" si="88"/>
        <v>UREFOCRCO-N-I</v>
      </c>
      <c r="F176" s="440" t="str">
        <f t="shared" si="89"/>
        <v>-</v>
      </c>
      <c r="G176" s="440" t="str">
        <f t="shared" si="90"/>
        <v>ANNUAL</v>
      </c>
      <c r="H176" s="441" t="str">
        <f t="shared" si="91"/>
        <v>FX</v>
      </c>
      <c r="I176" s="441">
        <f t="shared" si="92"/>
        <v>3</v>
      </c>
      <c r="J176" s="163">
        <f ca="1">IF($A176="*","",OFFSET(UPS!$C$37,AU176+AV176,SUMIF($A$10:$A$20,"*#"&amp;AS176,$AV$10:$AV$20)))</f>
        <v>1</v>
      </c>
      <c r="K176" s="163"/>
      <c r="AR176" s="42">
        <f t="shared" si="94"/>
        <v>9</v>
      </c>
      <c r="AS176" s="42">
        <f t="shared" si="93"/>
        <v>7</v>
      </c>
      <c r="AU176" s="42">
        <f ca="1">SUMIF(UPS!B$38:B$171,C176,UPS!BD$38:BD$171)</f>
        <v>77</v>
      </c>
      <c r="AV176" s="42">
        <v>0</v>
      </c>
    </row>
    <row r="177" spans="1:48">
      <c r="B177" s="440" t="str">
        <f t="shared" si="87"/>
        <v>FLO_SHAR</v>
      </c>
      <c r="C177" s="440" t="str">
        <f ca="1">IF($A177="*","",OFFSET(ITEMS_UPS!$C$8,AR177,0))</f>
        <v>UREFOCRCO-N</v>
      </c>
      <c r="D177" s="440" t="str">
        <f ca="1">IF($A177="*","",IF(VLOOKUP("*#"&amp;$AS177,$A$10:$I$24,D$9+1,FALSE)="-","-",OFFSET(UPS!$C$37,AU177+AV177,SUMIF($A$10:$A$20,"*#"&amp;AS177,$AT$10:$AT$20))))</f>
        <v>UPSGIC</v>
      </c>
      <c r="E177" s="440" t="str">
        <f t="shared" ca="1" si="88"/>
        <v>UREFOCRCO-N-I</v>
      </c>
      <c r="F177" s="440" t="str">
        <f t="shared" si="89"/>
        <v>-</v>
      </c>
      <c r="G177" s="440" t="str">
        <f t="shared" si="90"/>
        <v>ANNUAL</v>
      </c>
      <c r="H177" s="441" t="str">
        <f t="shared" si="91"/>
        <v>FX</v>
      </c>
      <c r="I177" s="441">
        <f t="shared" si="92"/>
        <v>3</v>
      </c>
      <c r="J177" s="163">
        <f ca="1">IF($A177="*","",OFFSET(UPS!$C$37,AU177+AV177,SUMIF($A$10:$A$20,"*#"&amp;AS177,$AV$10:$AV$20)))</f>
        <v>0</v>
      </c>
      <c r="K177" s="163"/>
      <c r="AR177" s="42">
        <f t="shared" si="94"/>
        <v>9</v>
      </c>
      <c r="AS177" s="42">
        <f>AS176</f>
        <v>7</v>
      </c>
      <c r="AU177" s="42">
        <f ca="1">SUMIF(UPS!B$38:B$171,C177,UPS!BD$38:BD$171)</f>
        <v>77</v>
      </c>
      <c r="AV177" s="42">
        <f t="shared" ref="AV177:AV184" si="95">AV176+1</f>
        <v>1</v>
      </c>
    </row>
    <row r="178" spans="1:48">
      <c r="B178" s="440" t="str">
        <f t="shared" si="87"/>
        <v>FLO_SHAR</v>
      </c>
      <c r="C178" s="440" t="str">
        <f ca="1">IF($A178="*","",OFFSET(ITEMS_UPS!$C$8,AR178,0))</f>
        <v>UREFOCRCO-N</v>
      </c>
      <c r="D178" s="440" t="str">
        <f ca="1">IF($A178="*","",IF(VLOOKUP("*#"&amp;$AS178,$A$10:$I$24,D$9+1,FALSE)="-","-",OFFSET(UPS!$C$37,AU178+AV178,SUMIF($A$10:$A$20,"*#"&amp;AS178,$AT$10:$AT$20))))</f>
        <v>UPSELC</v>
      </c>
      <c r="E178" s="440" t="str">
        <f t="shared" ca="1" si="88"/>
        <v>UREFOCRCO-N-I</v>
      </c>
      <c r="F178" s="440" t="str">
        <f t="shared" si="89"/>
        <v>-</v>
      </c>
      <c r="G178" s="440" t="str">
        <f t="shared" si="90"/>
        <v>ANNUAL</v>
      </c>
      <c r="H178" s="441" t="str">
        <f t="shared" si="91"/>
        <v>FX</v>
      </c>
      <c r="I178" s="441">
        <f t="shared" si="92"/>
        <v>3</v>
      </c>
      <c r="J178" s="163">
        <f ca="1">IF($A178="*","",OFFSET(UPS!$C$37,AU178+AV178,SUMIF($A$10:$A$20,"*#"&amp;AS178,$AV$10:$AV$20)))</f>
        <v>0</v>
      </c>
      <c r="K178" s="163"/>
      <c r="AR178" s="42">
        <f t="shared" si="94"/>
        <v>9</v>
      </c>
      <c r="AS178" s="42">
        <v>7</v>
      </c>
      <c r="AU178" s="42">
        <f ca="1">SUMIF(UPS!B$38:B$171,C178,UPS!BD$38:BD$171)</f>
        <v>77</v>
      </c>
      <c r="AV178" s="42">
        <f t="shared" si="95"/>
        <v>2</v>
      </c>
    </row>
    <row r="179" spans="1:48">
      <c r="B179" s="440" t="str">
        <f t="shared" si="87"/>
        <v>FLO_SHAR</v>
      </c>
      <c r="C179" s="440" t="str">
        <f ca="1">IF($A179="*","",OFFSET(ITEMS_UPS!$C$8,AR179,0))</f>
        <v>UREFOCRCO-N</v>
      </c>
      <c r="D179" s="440" t="str">
        <f ca="1">IF($A179="*","",IF(VLOOKUP("*#"&amp;$AS179,$A$10:$I$24,D$9+1,FALSE)="-","-",OFFSET(UPS!$C$37,AU179+AV179,SUMIF($A$10:$A$20,"*#"&amp;AS179,$AT$10:$AT$20))))</f>
        <v>OAG</v>
      </c>
      <c r="E179" s="440" t="str">
        <f t="shared" ca="1" si="88"/>
        <v>UREFOCRCO-N-O</v>
      </c>
      <c r="F179" s="440" t="str">
        <f t="shared" si="89"/>
        <v>-</v>
      </c>
      <c r="G179" s="440" t="str">
        <f t="shared" si="90"/>
        <v>ANNUAL</v>
      </c>
      <c r="H179" s="441" t="str">
        <f t="shared" si="91"/>
        <v>UP</v>
      </c>
      <c r="I179" s="441">
        <f t="shared" si="92"/>
        <v>3</v>
      </c>
      <c r="J179" s="163">
        <f ca="1">IF($A179="*","",OFFSET(UPS!$C$37,AU179+AV179,SUMIF($A$10:$A$20,"*#"&amp;AS179,$AV$10:$AV$20)))</f>
        <v>0</v>
      </c>
      <c r="K179" s="163"/>
      <c r="AR179" s="42">
        <f t="shared" si="94"/>
        <v>9</v>
      </c>
      <c r="AS179" s="42">
        <v>8</v>
      </c>
      <c r="AU179" s="42">
        <f ca="1">SUMIF(UPS!B$38:B$171,C179,UPS!BD$38:BD$171)</f>
        <v>77</v>
      </c>
      <c r="AV179" s="42">
        <f t="shared" si="95"/>
        <v>3</v>
      </c>
    </row>
    <row r="180" spans="1:48">
      <c r="B180" s="440" t="str">
        <f t="shared" si="87"/>
        <v>FLO_SHAR</v>
      </c>
      <c r="C180" s="440" t="str">
        <f ca="1">IF($A180="*","",OFFSET(ITEMS_UPS!$C$8,AR180,0))</f>
        <v>UREFOCRCO-N</v>
      </c>
      <c r="D180" s="440" t="str">
        <f ca="1">IF($A180="*","",IF(VLOOKUP("*#"&amp;$AS180,$A$10:$I$24,D$9+1,FALSE)="-","-",OFFSET(UPS!$C$37,AU180+AV180,SUMIF($A$10:$A$20,"*#"&amp;AS180,$AT$10:$AT$20))))</f>
        <v>ODS</v>
      </c>
      <c r="E180" s="440" t="str">
        <f t="shared" ca="1" si="88"/>
        <v>UREFOCRCO-N-O</v>
      </c>
      <c r="F180" s="440" t="str">
        <f t="shared" si="89"/>
        <v>-</v>
      </c>
      <c r="G180" s="440" t="str">
        <f t="shared" si="90"/>
        <v>ANNUAL</v>
      </c>
      <c r="H180" s="441" t="str">
        <f t="shared" si="91"/>
        <v>UP</v>
      </c>
      <c r="I180" s="441">
        <f t="shared" si="92"/>
        <v>3</v>
      </c>
      <c r="J180" s="163">
        <f ca="1">IF($A180="*","",OFFSET(UPS!$C$37,AU180+AV180,SUMIF($A$10:$A$20,"*#"&amp;AS180,$AV$10:$AV$20)))</f>
        <v>0.36</v>
      </c>
      <c r="K180" s="163"/>
      <c r="AR180" s="42">
        <f t="shared" si="94"/>
        <v>9</v>
      </c>
      <c r="AS180" s="42">
        <f>AS179</f>
        <v>8</v>
      </c>
      <c r="AU180" s="42">
        <f ca="1">SUMIF(UPS!B$38:B$171,C180,UPS!BD$38:BD$171)</f>
        <v>77</v>
      </c>
      <c r="AV180" s="42">
        <f t="shared" si="95"/>
        <v>4</v>
      </c>
    </row>
    <row r="181" spans="1:48">
      <c r="B181" s="440" t="str">
        <f t="shared" si="87"/>
        <v>FLO_SHAR</v>
      </c>
      <c r="C181" s="440" t="str">
        <f ca="1">IF($A181="*","",OFFSET(ITEMS_UPS!$C$8,AR181,0))</f>
        <v>UREFOCRCO-N</v>
      </c>
      <c r="D181" s="440" t="str">
        <f ca="1">IF($A181="*","",IF(VLOOKUP("*#"&amp;$AS181,$A$10:$I$24,D$9+1,FALSE)="-","-",OFFSET(UPS!$C$37,AU181+AV181,SUMIF($A$10:$A$20,"*#"&amp;AS181,$AT$10:$AT$20))))</f>
        <v>OGS</v>
      </c>
      <c r="E181" s="440" t="str">
        <f t="shared" ca="1" si="88"/>
        <v>UREFOCRCO-N-O</v>
      </c>
      <c r="F181" s="440" t="str">
        <f t="shared" si="89"/>
        <v>-</v>
      </c>
      <c r="G181" s="440" t="str">
        <f t="shared" si="90"/>
        <v>ANNUAL</v>
      </c>
      <c r="H181" s="441" t="str">
        <f t="shared" si="91"/>
        <v>UP</v>
      </c>
      <c r="I181" s="441">
        <f t="shared" si="92"/>
        <v>3</v>
      </c>
      <c r="J181" s="163">
        <f ca="1">IF($A181="*","",OFFSET(UPS!$C$37,AU181+AV181,SUMIF($A$10:$A$20,"*#"&amp;AS181,$AV$10:$AV$20)))</f>
        <v>0.36</v>
      </c>
      <c r="K181" s="163"/>
      <c r="AR181" s="42">
        <f t="shared" si="94"/>
        <v>9</v>
      </c>
      <c r="AS181" s="42">
        <f>AS180</f>
        <v>8</v>
      </c>
      <c r="AU181" s="42">
        <f ca="1">SUMIF(UPS!B$38:B$171,C181,UPS!BD$38:BD$171)</f>
        <v>77</v>
      </c>
      <c r="AV181" s="42">
        <f t="shared" si="95"/>
        <v>5</v>
      </c>
    </row>
    <row r="182" spans="1:48">
      <c r="B182" s="440" t="str">
        <f t="shared" si="87"/>
        <v>FLO_SHAR</v>
      </c>
      <c r="C182" s="440" t="str">
        <f ca="1">IF($A182="*","",OFFSET(ITEMS_UPS!$C$8,AR182,0))</f>
        <v>UREFOCRCO-N</v>
      </c>
      <c r="D182" s="440" t="str">
        <f ca="1">IF($A182="*","",IF(VLOOKUP("*#"&amp;$AS182,$A$10:$I$24,D$9+1,FALSE)="-","-",OFFSET(UPS!$C$37,AU182+AV182,SUMIF($A$10:$A$20,"*#"&amp;AS182,$AT$10:$AT$20))))</f>
        <v>OHF</v>
      </c>
      <c r="E182" s="440" t="str">
        <f t="shared" ca="1" si="88"/>
        <v>UREFOCRCO-N-O</v>
      </c>
      <c r="F182" s="440" t="str">
        <f t="shared" si="89"/>
        <v>-</v>
      </c>
      <c r="G182" s="440" t="str">
        <f t="shared" si="90"/>
        <v>ANNUAL</v>
      </c>
      <c r="H182" s="441" t="str">
        <f t="shared" si="91"/>
        <v>UP</v>
      </c>
      <c r="I182" s="441">
        <f t="shared" si="92"/>
        <v>3</v>
      </c>
      <c r="J182" s="163">
        <f ca="1">IF($A182="*","",OFFSET(UPS!$C$37,AU182+AV182,SUMIF($A$10:$A$20,"*#"&amp;AS182,$AV$10:$AV$20)))</f>
        <v>0</v>
      </c>
      <c r="K182" s="163"/>
      <c r="AR182" s="42">
        <f t="shared" si="94"/>
        <v>9</v>
      </c>
      <c r="AS182" s="42">
        <f>AS181</f>
        <v>8</v>
      </c>
      <c r="AU182" s="42">
        <f ca="1">SUMIF(UPS!B$38:B$171,C182,UPS!BD$38:BD$171)</f>
        <v>77</v>
      </c>
      <c r="AV182" s="42">
        <f t="shared" si="95"/>
        <v>6</v>
      </c>
    </row>
    <row r="183" spans="1:48">
      <c r="B183" s="440" t="str">
        <f t="shared" si="87"/>
        <v>FLO_SHAR</v>
      </c>
      <c r="C183" s="440" t="str">
        <f ca="1">IF($A183="*","",OFFSET(ITEMS_UPS!$C$8,AR183,0))</f>
        <v>UREFOCRCO-N</v>
      </c>
      <c r="D183" s="440" t="str">
        <f ca="1">IF($A183="*","",IF(VLOOKUP("*#"&amp;$AS183,$A$10:$I$24,D$9+1,FALSE)="-","-",OFFSET(UPS!$C$37,AU183+AV183,SUMIF($A$10:$A$20,"*#"&amp;AS183,$AT$10:$AT$20))))</f>
        <v>OKE</v>
      </c>
      <c r="E183" s="440" t="str">
        <f t="shared" ca="1" si="88"/>
        <v>UREFOCRCO-N-O</v>
      </c>
      <c r="F183" s="440" t="str">
        <f t="shared" si="89"/>
        <v>-</v>
      </c>
      <c r="G183" s="440" t="str">
        <f t="shared" si="90"/>
        <v>ANNUAL</v>
      </c>
      <c r="H183" s="441" t="str">
        <f t="shared" si="91"/>
        <v>UP</v>
      </c>
      <c r="I183" s="441">
        <f t="shared" si="92"/>
        <v>3</v>
      </c>
      <c r="J183" s="163">
        <f ca="1">IF($A183="*","",OFFSET(UPS!$C$37,AU183+AV183,SUMIF($A$10:$A$20,"*#"&amp;AS183,$AV$10:$AV$20)))</f>
        <v>0.2</v>
      </c>
      <c r="K183" s="163"/>
      <c r="AR183" s="42">
        <f t="shared" si="94"/>
        <v>9</v>
      </c>
      <c r="AS183" s="42">
        <f>AS182</f>
        <v>8</v>
      </c>
      <c r="AU183" s="42">
        <f ca="1">SUMIF(UPS!B$38:B$171,C183,UPS!BD$38:BD$171)</f>
        <v>77</v>
      </c>
      <c r="AV183" s="42">
        <f t="shared" si="95"/>
        <v>7</v>
      </c>
    </row>
    <row r="184" spans="1:48">
      <c r="B184" s="440" t="str">
        <f t="shared" si="87"/>
        <v>FLO_EMIS</v>
      </c>
      <c r="C184" s="440" t="str">
        <f ca="1">IF($A184="*","",OFFSET(ITEMS_UPS!$C$8,AR184,0))</f>
        <v>UREFOCRCO-N</v>
      </c>
      <c r="D184" s="440" t="str">
        <f>$D$18</f>
        <v>UPSCO2S</v>
      </c>
      <c r="E184" s="440" t="str">
        <f t="shared" ca="1" si="88"/>
        <v>UREFOCRCO-N-O</v>
      </c>
      <c r="F184" s="440" t="str">
        <f t="shared" si="89"/>
        <v>-</v>
      </c>
      <c r="G184" s="440" t="str">
        <f t="shared" si="90"/>
        <v>ANNUAL</v>
      </c>
      <c r="H184" s="441" t="str">
        <f t="shared" si="91"/>
        <v>-</v>
      </c>
      <c r="I184" s="441">
        <f t="shared" si="92"/>
        <v>0</v>
      </c>
      <c r="J184" s="163">
        <f ca="1">IF($A184="*","",OFFSET(UPS!$C$37,AU184,SUMIF($A$10:$A$20,"*#"&amp;AS184,$AT$10:$AT$20)))</f>
        <v>4.2865158837537818</v>
      </c>
      <c r="K184" s="163"/>
      <c r="AR184" s="42">
        <f>AR182</f>
        <v>9</v>
      </c>
      <c r="AS184" s="42">
        <f>AS182+1</f>
        <v>9</v>
      </c>
      <c r="AU184" s="42">
        <f ca="1">SUMIF(UPS!B$38:B$171,C184,UPS!BD$38:BD$171)</f>
        <v>77</v>
      </c>
      <c r="AV184" s="42">
        <f t="shared" si="95"/>
        <v>8</v>
      </c>
    </row>
    <row r="185" spans="1:48">
      <c r="B185" s="440" t="str">
        <f t="shared" si="87"/>
        <v>FLO_EMIS</v>
      </c>
      <c r="C185" s="440" t="str">
        <f ca="1">IF($A185="*","",OFFSET(ITEMS_UPS!$C$8,AR185,0))</f>
        <v>UREFOCRCO-N</v>
      </c>
      <c r="D185" s="440" t="str">
        <f>$D$19</f>
        <v>UPSCH4S</v>
      </c>
      <c r="E185" s="440" t="str">
        <f t="shared" ca="1" si="88"/>
        <v>UREFOCRCO-N-O</v>
      </c>
      <c r="F185" s="440" t="str">
        <f t="shared" si="89"/>
        <v>-</v>
      </c>
      <c r="G185" s="440" t="str">
        <f t="shared" si="90"/>
        <v>ANNUAL</v>
      </c>
      <c r="H185" s="441" t="str">
        <f t="shared" si="91"/>
        <v>-</v>
      </c>
      <c r="I185" s="441">
        <f t="shared" si="92"/>
        <v>0</v>
      </c>
      <c r="J185" s="163">
        <f ca="1">IF($A185="*","",OFFSET(UPS!$C$37,AU185,SUMIF($A$10:$A$20,"*#"&amp;AS185,$AT$10:$AT$20)))</f>
        <v>0</v>
      </c>
      <c r="K185" s="163"/>
      <c r="AR185" s="42">
        <f>AR184</f>
        <v>9</v>
      </c>
      <c r="AS185" s="42">
        <f>AS184+1</f>
        <v>10</v>
      </c>
      <c r="AU185" s="42">
        <f ca="1">SUMIF(UPS!B$38:B$171,C185,UPS!BD$38:BD$171)</f>
        <v>77</v>
      </c>
    </row>
    <row r="186" spans="1:48">
      <c r="B186" s="440" t="str">
        <f t="shared" si="87"/>
        <v>NCAP_COST</v>
      </c>
      <c r="C186" s="440" t="str">
        <f ca="1">IF($A186="*","",OFFSET(ITEMS_UPS!$C$8,AR186,0))</f>
        <v>UREFOCRCO-N</v>
      </c>
      <c r="D186" s="440" t="str">
        <f ca="1">IF($A186="*","",IF(VLOOKUP("*#"&amp;$AS186,$A$10:$I$24,D$9+1,FALSE)="-","-",OFFSET(UPS!$C$37,AU186+AV186,SUMIF($A$10:$A$20,"*#"&amp;AS186,$AT$10:$AT$20))))</f>
        <v>-</v>
      </c>
      <c r="E186" s="440" t="str">
        <f t="shared" si="88"/>
        <v>-</v>
      </c>
      <c r="F186" s="440" t="str">
        <f t="shared" si="89"/>
        <v>-</v>
      </c>
      <c r="G186" s="440" t="str">
        <f>IF($A186="*","",VLOOKUP("*#"&amp;$AS186,$A$10:$I$24,G$9+1,FALSE))</f>
        <v>-</v>
      </c>
      <c r="H186" s="441" t="str">
        <f t="shared" si="91"/>
        <v>-</v>
      </c>
      <c r="I186" s="441">
        <f>IF($A186="*","",VLOOKUP("*#"&amp;$AS186,$A$10:$I$24,I$9+1,FALSE))</f>
        <v>0</v>
      </c>
      <c r="J186" s="163">
        <f ca="1">IF($A186="*","",OFFSET(UPS!$C$37,AU186,SUMIF($A$10:$A$24,"*#"&amp;AS186,$AT$10:$AT$24)))</f>
        <v>183.21573476698075</v>
      </c>
      <c r="K186" s="163"/>
      <c r="L186" s="163"/>
      <c r="M186" s="163"/>
      <c r="N186" s="163"/>
      <c r="O186" s="163"/>
      <c r="P186" s="163"/>
      <c r="Q186" s="163"/>
      <c r="R186" s="163"/>
      <c r="S186" s="163"/>
      <c r="T186" s="163"/>
      <c r="U186" s="163"/>
      <c r="V186" s="163"/>
      <c r="W186" s="163"/>
      <c r="X186" s="163"/>
      <c r="Y186" s="163"/>
      <c r="Z186" s="163"/>
      <c r="AA186" s="163"/>
      <c r="AB186" s="163"/>
      <c r="AC186" s="163"/>
      <c r="AD186" s="163"/>
      <c r="AE186" s="163"/>
      <c r="AF186" s="163"/>
      <c r="AG186" s="163"/>
      <c r="AH186" s="163"/>
      <c r="AI186" s="163"/>
      <c r="AJ186" s="163"/>
      <c r="AK186" s="163"/>
      <c r="AL186" s="163"/>
      <c r="AM186" s="163"/>
      <c r="AN186" s="163"/>
      <c r="AO186" s="163"/>
      <c r="AP186" s="163"/>
      <c r="AR186" s="42">
        <f>AR185</f>
        <v>9</v>
      </c>
      <c r="AS186" s="42">
        <f>AS185+2</f>
        <v>12</v>
      </c>
      <c r="AU186" s="42">
        <f ca="1">SUMIF(UPS!B$38:B$171,C186,UPS!BD$38:BD$171)</f>
        <v>77</v>
      </c>
    </row>
    <row r="187" spans="1:48">
      <c r="B187" s="440" t="str">
        <f t="shared" si="87"/>
        <v>NCAP_TLIFE</v>
      </c>
      <c r="C187" s="440" t="str">
        <f ca="1">IF($A187="*","",OFFSET(ITEMS_UPS!$C$8,AR187,0))</f>
        <v>UREFOCRCO-N</v>
      </c>
      <c r="D187" s="440" t="str">
        <f ca="1">IF($A187="*","",IF(VLOOKUP("*#"&amp;$AS187,$A$10:$I$24,D$9+1,FALSE)="-","-",OFFSET(UPS!$C$37,AU187+AV187,SUMIF($A$10:$A$20,"*#"&amp;AS187,$AT$10:$AT$20))))</f>
        <v>-</v>
      </c>
      <c r="E187" s="440" t="str">
        <f t="shared" si="88"/>
        <v>-</v>
      </c>
      <c r="F187" s="440" t="str">
        <f t="shared" si="89"/>
        <v>-</v>
      </c>
      <c r="G187" s="440" t="str">
        <f>IF($A187="*","",VLOOKUP("*#"&amp;$AS187,$A$10:$I$24,G$9+1,FALSE))</f>
        <v>-</v>
      </c>
      <c r="H187" s="441" t="str">
        <f t="shared" si="91"/>
        <v>-</v>
      </c>
      <c r="I187" s="441">
        <f>IF($A187="*","",VLOOKUP("*#"&amp;$AS187,$A$10:$I$24,I$9+1,FALSE))</f>
        <v>0</v>
      </c>
      <c r="J187" s="163">
        <f ca="1">IF($A187="*","",OFFSET(UPS!$C$37,AU187,SUMIF($A$10:$A$24,"*#"&amp;AS187,$AT$10:$AT$24)))</f>
        <v>50</v>
      </c>
      <c r="K187" s="163"/>
      <c r="L187" s="163"/>
      <c r="M187" s="163"/>
      <c r="N187" s="163"/>
      <c r="O187" s="163"/>
      <c r="P187" s="163"/>
      <c r="Q187" s="163"/>
      <c r="R187" s="163"/>
      <c r="S187" s="163"/>
      <c r="T187" s="163"/>
      <c r="U187" s="163"/>
      <c r="V187" s="163"/>
      <c r="W187" s="163"/>
      <c r="X187" s="163"/>
      <c r="Y187" s="163"/>
      <c r="Z187" s="163"/>
      <c r="AA187" s="163"/>
      <c r="AB187" s="163"/>
      <c r="AC187" s="163"/>
      <c r="AD187" s="163"/>
      <c r="AE187" s="163"/>
      <c r="AF187" s="163"/>
      <c r="AG187" s="163"/>
      <c r="AH187" s="163"/>
      <c r="AI187" s="163"/>
      <c r="AJ187" s="163"/>
      <c r="AK187" s="163"/>
      <c r="AL187" s="163"/>
      <c r="AM187" s="163"/>
      <c r="AN187" s="163"/>
      <c r="AO187" s="163"/>
      <c r="AP187" s="163"/>
      <c r="AR187" s="42">
        <f>AR186</f>
        <v>9</v>
      </c>
      <c r="AS187" s="42">
        <f>AS186+1</f>
        <v>13</v>
      </c>
      <c r="AU187" s="42">
        <f ca="1">SUMIF(UPS!B$38:B$171,C187,UPS!BD$38:BD$171)</f>
        <v>77</v>
      </c>
    </row>
    <row r="188" spans="1:48">
      <c r="B188" s="440" t="str">
        <f t="shared" si="87"/>
        <v>NCAP_ILED</v>
      </c>
      <c r="C188" s="440" t="str">
        <f ca="1">IF($A188="*","",OFFSET(ITEMS_UPS!$C$8,AR188,0))</f>
        <v>UREFOCRCO-N</v>
      </c>
      <c r="D188" s="440" t="str">
        <f ca="1">IF($A188="*","",IF(VLOOKUP("*#"&amp;$AS188,$A$10:$I$24,D$9+1,FALSE)="-","-",OFFSET(UPS!$C$37,AU188+AV188,SUMIF($A$10:$A$20,"*#"&amp;AS188,$AT$10:$AT$20))))</f>
        <v>-</v>
      </c>
      <c r="E188" s="440" t="str">
        <f t="shared" si="88"/>
        <v>-</v>
      </c>
      <c r="F188" s="440" t="str">
        <f t="shared" si="89"/>
        <v>-</v>
      </c>
      <c r="G188" s="440" t="str">
        <f>IF($A188="*","",VLOOKUP("*#"&amp;$AS188,$A$10:$I$24,G$9+1,FALSE))</f>
        <v>-</v>
      </c>
      <c r="H188" s="441" t="str">
        <f t="shared" si="91"/>
        <v>-</v>
      </c>
      <c r="I188" s="441">
        <f>IF($A188="*","",VLOOKUP("*#"&amp;$AS188,$A$10:$I$24,I$9+1,FALSE))</f>
        <v>0</v>
      </c>
      <c r="J188" s="163">
        <f ca="1">IF($A188="*","",OFFSET(UPS!$C$37,AU188,SUMIF($A$10:$A$24,"*#"&amp;AS188,$AT$10:$AT$24)))</f>
        <v>-5</v>
      </c>
      <c r="K188" s="163"/>
      <c r="L188" s="163"/>
      <c r="M188" s="163"/>
      <c r="N188" s="163"/>
      <c r="O188" s="163"/>
      <c r="P188" s="163"/>
      <c r="Q188" s="163"/>
      <c r="R188" s="163"/>
      <c r="S188" s="163"/>
      <c r="T188" s="163"/>
      <c r="U188" s="163"/>
      <c r="V188" s="163"/>
      <c r="W188" s="163"/>
      <c r="X188" s="163"/>
      <c r="Y188" s="163"/>
      <c r="Z188" s="163"/>
      <c r="AA188" s="163"/>
      <c r="AB188" s="163"/>
      <c r="AC188" s="163"/>
      <c r="AD188" s="163"/>
      <c r="AE188" s="163"/>
      <c r="AF188" s="163"/>
      <c r="AG188" s="163"/>
      <c r="AH188" s="163"/>
      <c r="AI188" s="163"/>
      <c r="AJ188" s="163"/>
      <c r="AK188" s="163"/>
      <c r="AL188" s="163"/>
      <c r="AM188" s="163"/>
      <c r="AN188" s="163"/>
      <c r="AO188" s="163"/>
      <c r="AP188" s="163"/>
      <c r="AR188" s="42">
        <f>AR186</f>
        <v>9</v>
      </c>
      <c r="AS188" s="42">
        <f>AS187+1</f>
        <v>14</v>
      </c>
      <c r="AU188" s="42">
        <f ca="1">SUMIF(UPS!B$38:B$171,C188,UPS!BD$38:BD$171)</f>
        <v>77</v>
      </c>
    </row>
    <row r="189" spans="1:48">
      <c r="A189" s="42" t="s">
        <v>310</v>
      </c>
      <c r="B189" s="438" t="s">
        <v>293</v>
      </c>
    </row>
    <row r="190" spans="1:48">
      <c r="B190" s="440" t="s">
        <v>359</v>
      </c>
      <c r="C190" s="440" t="str">
        <f>UPS!B173</f>
        <v>UHETCLE-E</v>
      </c>
      <c r="D190" s="440" t="str">
        <f ca="1">IF($A190="*","",IF(VLOOKUP("*"&amp;$AS190,$A$10:$I$24,D$9+1,FALSE)="-","-",OFFSET(UPS!$C$37,AU190+AV190,SUMIF($A$10:$A$20,"*"&amp;AS190,$AT$10:$AT$20))))</f>
        <v>-</v>
      </c>
      <c r="E190" s="440" t="s">
        <v>360</v>
      </c>
      <c r="F190" s="440" t="str">
        <f t="shared" ref="F190:F197" si="96">IF($A190="*","",IF(VLOOKUP("*"&amp;$AS190,$A$10:$I$24,F$9+1,FALSE)="-","-",C190&amp;"-"&amp;RIGHT(VLOOKUP("*"&amp;$AS190,$A$10:$I$24,F$9+1,FALSE),1)))</f>
        <v>-</v>
      </c>
      <c r="G190" s="440" t="s">
        <v>337</v>
      </c>
      <c r="H190" s="441" t="str">
        <f t="shared" ref="H190:H197" si="97">IF($A190="*","",VLOOKUP("*"&amp;$AS190,$A$10:$I$24,H$9+1,FALSE))</f>
        <v>-</v>
      </c>
      <c r="I190" s="500">
        <v>0</v>
      </c>
      <c r="J190" s="499">
        <f>UPS!G173</f>
        <v>0.85097909094621615</v>
      </c>
    </row>
    <row r="191" spans="1:48">
      <c r="B191" s="42" t="s">
        <v>357</v>
      </c>
      <c r="C191" s="42" t="str">
        <f>C190</f>
        <v>UHETCLE-E</v>
      </c>
      <c r="D191" s="42" t="str">
        <f>D184</f>
        <v>UPSCO2S</v>
      </c>
      <c r="E191" s="440" t="s">
        <v>360</v>
      </c>
      <c r="F191" s="440" t="str">
        <f t="shared" si="96"/>
        <v>-</v>
      </c>
      <c r="G191" s="440" t="s">
        <v>337</v>
      </c>
      <c r="H191" s="441" t="str">
        <f t="shared" si="97"/>
        <v>-</v>
      </c>
      <c r="I191" s="500">
        <v>0</v>
      </c>
      <c r="J191" s="1115">
        <f>UPS!S173</f>
        <v>95.428011064048093</v>
      </c>
    </row>
    <row r="192" spans="1:48">
      <c r="B192" s="42" t="s">
        <v>357</v>
      </c>
      <c r="C192" s="42" t="str">
        <f>C191</f>
        <v>UHETCLE-E</v>
      </c>
      <c r="D192" s="42" t="str">
        <f>D185</f>
        <v>UPSCH4S</v>
      </c>
      <c r="E192" s="440" t="s">
        <v>360</v>
      </c>
      <c r="F192" s="440" t="str">
        <f t="shared" si="96"/>
        <v>-</v>
      </c>
      <c r="G192" s="440" t="s">
        <v>337</v>
      </c>
      <c r="H192" s="441" t="str">
        <f t="shared" si="97"/>
        <v>-</v>
      </c>
      <c r="I192" s="500">
        <v>0</v>
      </c>
      <c r="J192" s="1116">
        <f>UPS!T173</f>
        <v>1.1751170042122719E-3</v>
      </c>
    </row>
    <row r="193" spans="1:47">
      <c r="B193" s="440" t="s">
        <v>359</v>
      </c>
      <c r="C193" s="440" t="str">
        <f>UPS!B174</f>
        <v>UHETCLE-N</v>
      </c>
      <c r="D193" s="440" t="str">
        <f ca="1">IF($A193="*","",IF(VLOOKUP("*"&amp;$AS193,$A$10:$I$24,D$9+1,FALSE)="-","-",OFFSET(UPS!$C$37,AU193+AV193,SUMIF($A$10:$A$20,"*"&amp;AS193,$AT$10:$AT$20))))</f>
        <v>-</v>
      </c>
      <c r="E193" s="440" t="s">
        <v>360</v>
      </c>
      <c r="F193" s="440" t="str">
        <f t="shared" si="96"/>
        <v>-</v>
      </c>
      <c r="G193" s="440" t="s">
        <v>337</v>
      </c>
      <c r="H193" s="441" t="str">
        <f t="shared" si="97"/>
        <v>-</v>
      </c>
      <c r="I193" s="500">
        <v>0</v>
      </c>
      <c r="J193" s="499">
        <f>UPS!G174</f>
        <v>0.9009790909462162</v>
      </c>
    </row>
    <row r="194" spans="1:47">
      <c r="B194" s="42" t="s">
        <v>357</v>
      </c>
      <c r="C194" s="42" t="str">
        <f>C193</f>
        <v>UHETCLE-N</v>
      </c>
      <c r="D194" s="42" t="str">
        <f>D191</f>
        <v>UPSCO2S</v>
      </c>
      <c r="E194" s="440" t="s">
        <v>360</v>
      </c>
      <c r="F194" s="440" t="str">
        <f t="shared" si="96"/>
        <v>-</v>
      </c>
      <c r="G194" s="440" t="s">
        <v>337</v>
      </c>
      <c r="H194" s="441" t="str">
        <f t="shared" si="97"/>
        <v>-</v>
      </c>
      <c r="I194" s="500">
        <v>0</v>
      </c>
      <c r="J194" s="1115">
        <f>UPS!S174</f>
        <v>90.132216077072925</v>
      </c>
    </row>
    <row r="195" spans="1:47">
      <c r="B195" s="42" t="s">
        <v>357</v>
      </c>
      <c r="C195" s="42" t="str">
        <f>C194</f>
        <v>UHETCLE-N</v>
      </c>
      <c r="D195" s="42" t="str">
        <f>D192</f>
        <v>UPSCH4S</v>
      </c>
      <c r="E195" s="440" t="s">
        <v>360</v>
      </c>
      <c r="F195" s="440" t="str">
        <f t="shared" si="96"/>
        <v>-</v>
      </c>
      <c r="G195" s="440" t="s">
        <v>337</v>
      </c>
      <c r="H195" s="441" t="str">
        <f t="shared" si="97"/>
        <v>-</v>
      </c>
      <c r="I195" s="500">
        <v>0</v>
      </c>
      <c r="J195" s="1116">
        <f>UPS!T174</f>
        <v>1.109903670405704E-3</v>
      </c>
    </row>
    <row r="196" spans="1:47">
      <c r="B196" s="440" t="s">
        <v>850</v>
      </c>
      <c r="C196" s="440" t="str">
        <f>UPS!B174</f>
        <v>UHETCLE-N</v>
      </c>
      <c r="D196" s="440" t="s">
        <v>334</v>
      </c>
      <c r="E196" s="440" t="s">
        <v>334</v>
      </c>
      <c r="F196" s="440" t="s">
        <v>334</v>
      </c>
      <c r="G196" s="440" t="s">
        <v>334</v>
      </c>
      <c r="H196" s="441" t="s">
        <v>338</v>
      </c>
      <c r="I196" s="500">
        <v>3</v>
      </c>
      <c r="J196" s="499">
        <v>0</v>
      </c>
    </row>
    <row r="197" spans="1:47">
      <c r="B197" s="440" t="s">
        <v>359</v>
      </c>
      <c r="C197" s="440" t="str">
        <f>UPS!B175</f>
        <v>UTRNGIMGAS</v>
      </c>
      <c r="D197" s="440" t="str">
        <f ca="1">IF($A197="*","",IF(VLOOKUP("*"&amp;$AS197,$A$10:$I$24,D$9+1,FALSE)="-","-",OFFSET(UPS!$C$37,AU197+AV197,SUMIF($A$10:$A$20,"*"&amp;AS197,$AT$10:$AT$20))))</f>
        <v>-</v>
      </c>
      <c r="E197" s="440" t="s">
        <v>360</v>
      </c>
      <c r="F197" s="440" t="str">
        <f t="shared" si="96"/>
        <v>-</v>
      </c>
      <c r="G197" s="440" t="s">
        <v>337</v>
      </c>
      <c r="H197" s="441" t="str">
        <f t="shared" si="97"/>
        <v>-</v>
      </c>
      <c r="I197" s="500">
        <v>0</v>
      </c>
      <c r="J197" s="499">
        <f>UPS!G175</f>
        <v>1</v>
      </c>
    </row>
    <row r="198" spans="1:47">
      <c r="A198" s="42" t="s">
        <v>310</v>
      </c>
      <c r="B198" s="440"/>
      <c r="C198" s="440"/>
      <c r="D198" s="440"/>
      <c r="E198" s="440"/>
      <c r="F198" s="440"/>
      <c r="G198" s="440"/>
      <c r="H198" s="441"/>
      <c r="I198" s="500"/>
      <c r="J198" s="499"/>
    </row>
    <row r="199" spans="1:47">
      <c r="A199" s="42" t="s">
        <v>310</v>
      </c>
      <c r="B199" s="438" t="s">
        <v>1011</v>
      </c>
      <c r="C199" s="440"/>
      <c r="D199" s="440"/>
      <c r="E199" s="440"/>
      <c r="F199" s="440"/>
      <c r="G199" s="440"/>
      <c r="H199" s="441"/>
      <c r="I199" s="500"/>
      <c r="J199" s="499"/>
    </row>
    <row r="200" spans="1:47" s="163" customFormat="1">
      <c r="B200" s="440" t="str">
        <f t="shared" ref="B200:B205" si="98">IF(A200="*","",VLOOKUP("*#"&amp;AS200,$A$9:$B$24,2,FALSE))</f>
        <v>NCAP_AFA</v>
      </c>
      <c r="C200" s="440" t="str">
        <f ca="1">IF($A200="*","",OFFSET(ITEMS_UPS!$C$22,AR200,0))</f>
        <v>UGASGIC-N</v>
      </c>
      <c r="D200" s="440" t="str">
        <f ca="1">IF($A200="*","",IF(VLOOKUP("*#"&amp;$AS200,$A$10:$I$24,D$9+1,FALSE)="-","-",OFFSET(UPS!$C$37,AU200+AV200,SUMIF($A$10:$A$20,"*#"&amp;AS200,$AT$10:$AT$20))))</f>
        <v>-</v>
      </c>
      <c r="E200" s="440" t="str">
        <f>IF($A200="*","",IF(VLOOKUP("*#"&amp;$AS200,$A$10:$I$24,E$9+1,FALSE)="-","-",C200&amp;"-"&amp;RIGHT(VLOOKUP("*#"&amp;$AS200,$A$10:$I$24,E$9+1,FALSE),1)))</f>
        <v>-</v>
      </c>
      <c r="F200" s="440" t="str">
        <f>IF($A200="*","",IF(VLOOKUP("*#"&amp;$AS200,$A$10:$I$24,F$9+1,FALSE)="-","-",C200&amp;"-"&amp;RIGHT(VLOOKUP("*#"&amp;$AS200,$A$10:$I$24,F$9+1,FALSE),1)))</f>
        <v>-</v>
      </c>
      <c r="G200" s="440" t="str">
        <f>IF($A200="*","",VLOOKUP("*#"&amp;$AS200,$A$10:$I$20,G$9+1,FALSE))</f>
        <v>ANNUAL</v>
      </c>
      <c r="H200" s="441" t="str">
        <f t="shared" ref="H200:H205" si="99">IF($A200="*","",VLOOKUP("*#"&amp;$AS200,$A$10:$I$24,H$9+1,FALSE))</f>
        <v>UP</v>
      </c>
      <c r="I200" s="441">
        <f>IF($A200="*","",VLOOKUP("*#"&amp;$AS200,$A$10:$I$20,I$9+1,FALSE))</f>
        <v>3</v>
      </c>
      <c r="J200" s="163">
        <f ca="1">IF($A200="*","",OFFSET(UPS!$C$37,AU200,SUMIF($A$10:$A$20,"*#"&amp;AS200,$AT$10:$AT$20)))</f>
        <v>0.9</v>
      </c>
      <c r="AR200" s="163">
        <v>1</v>
      </c>
      <c r="AS200" s="163">
        <v>2</v>
      </c>
      <c r="AU200" s="163">
        <f ca="1">SUMIF(UPS!B$38:B$171,C200,UPS!BD$38:BD$171)</f>
        <v>88</v>
      </c>
    </row>
    <row r="201" spans="1:47" s="163" customFormat="1">
      <c r="B201" s="440" t="str">
        <f t="shared" si="98"/>
        <v>NCAP_AFA</v>
      </c>
      <c r="C201" s="440" t="str">
        <f ca="1">IF($A201="*","",OFFSET(ITEMS_UPS!$C$22,AR201,0))</f>
        <v>UGASGIC-N</v>
      </c>
      <c r="D201" s="440" t="str">
        <f ca="1">IF($A201="*","",IF(VLOOKUP("*#"&amp;$AS201,$A$10:$I$24,D$9+1,FALSE)="-","-",OFFSET(UPS!$C$37,AU201+AV201,SUMIF($A$10:$A$20,"*#"&amp;AS201,$AT$10:$AT$20))))</f>
        <v>-</v>
      </c>
      <c r="E201" s="440" t="str">
        <f>IF($A201="*","",IF(VLOOKUP("*#"&amp;$AS201,$A$10:$I$24,E$9+1,FALSE)="-","-",C201&amp;"-"&amp;RIGHT(VLOOKUP("*#"&amp;$AS201,$A$10:$I$24,E$9+1,FALSE),1)))</f>
        <v>-</v>
      </c>
      <c r="F201" s="440" t="str">
        <f>IF($A201="*","",IF(VLOOKUP("*#"&amp;$AS201,$A$10:$I$24,F$9+1,FALSE)="-","-",C201&amp;"-"&amp;RIGHT(VLOOKUP("*#"&amp;$AS201,$A$10:$I$24,F$9+1,FALSE),1)))</f>
        <v>-</v>
      </c>
      <c r="G201" s="440" t="str">
        <f>IF($A201="*","",VLOOKUP("*#"&amp;$AS201,$A$10:$I$20,G$9+1,FALSE))</f>
        <v>ANNUAL</v>
      </c>
      <c r="H201" s="441" t="str">
        <f t="shared" si="99"/>
        <v>LO</v>
      </c>
      <c r="I201" s="441">
        <f>IF($A201="*","",VLOOKUP("*#"&amp;$AS201,$A$10:$I$24,I$9+1,FALSE))</f>
        <v>3</v>
      </c>
      <c r="J201" s="163">
        <f ca="1">IF($A201="*","",OFFSET(UPS!$C$37,AU201,SUMIF($A$10:$A$24,"*#"&amp;AS201,$AT$10:$AT$24)))</f>
        <v>0.5</v>
      </c>
      <c r="AR201" s="163">
        <v>1</v>
      </c>
      <c r="AS201" s="163">
        <v>3</v>
      </c>
      <c r="AU201" s="163">
        <f ca="1">SUMIF(UPS!B$38:B$171,C201,UPS!BD$38:BD$171)</f>
        <v>88</v>
      </c>
    </row>
    <row r="202" spans="1:47" s="163" customFormat="1">
      <c r="B202" s="440" t="str">
        <f t="shared" si="98"/>
        <v>ACT_EFF</v>
      </c>
      <c r="C202" s="440" t="str">
        <f ca="1">IF($A202="*","",OFFSET(ITEMS_UPS!$C$22,AR202,0))</f>
        <v>UGASGIC-N</v>
      </c>
      <c r="D202" s="440" t="str">
        <f ca="1">IF($A202="*","",IF(VLOOKUP("*#"&amp;$AS202,$A$10:$I$24,D$9+1,FALSE)="-","-",OFFSET(UPS!$C$37,AU202+AV202,SUMIF($A$10:$A$20,"*#"&amp;AS202,$AT$10:$AT$20))))</f>
        <v>-</v>
      </c>
      <c r="E202" s="440" t="s">
        <v>360</v>
      </c>
      <c r="F202" s="440" t="str">
        <f>IF($A202="*","",IF(VLOOKUP("*"&amp;$AS202,$A$10:$I$24,F$9+1,FALSE)="-","-",C202&amp;"-"&amp;RIGHT(VLOOKUP("*"&amp;$AS202,$A$10:$I$24,F$9+1,FALSE),1)))</f>
        <v>-</v>
      </c>
      <c r="G202" s="440" t="s">
        <v>337</v>
      </c>
      <c r="H202" s="441" t="str">
        <f t="shared" si="99"/>
        <v>-</v>
      </c>
      <c r="I202" s="441">
        <f>IF($A202="*","",VLOOKUP("*#"&amp;$AS202,$A$10:$I$24,I$9+1,FALSE))</f>
        <v>0</v>
      </c>
      <c r="J202" s="163">
        <f ca="1">IF($A202="*","",OFFSET(UPS!$C$37,AU202,SUMIF($A$10:$A$24,"*#"&amp;AS202,$AT$10:$AT$24)))</f>
        <v>0.95899999999999996</v>
      </c>
      <c r="AR202" s="163">
        <v>1</v>
      </c>
      <c r="AS202" s="163">
        <v>15</v>
      </c>
      <c r="AU202" s="163">
        <f ca="1">AU200</f>
        <v>88</v>
      </c>
    </row>
    <row r="203" spans="1:47" s="163" customFormat="1">
      <c r="B203" s="440" t="str">
        <f t="shared" si="98"/>
        <v>NCAP_COST</v>
      </c>
      <c r="C203" s="440" t="str">
        <f ca="1">IF($A203="*","",OFFSET(ITEMS_UPS!$C$22,AR203,0))</f>
        <v>UGASGIC-N</v>
      </c>
      <c r="D203" s="440" t="str">
        <f ca="1">IF($A203="*","",IF(VLOOKUP("*#"&amp;$AS203,$A$10:$I$24,D$9+1,FALSE)="-","-",OFFSET(UPS!$C$37,AU203+AV203,SUMIF($A$10:$A$20,"*#"&amp;AS203,$AT$10:$AT$20))))</f>
        <v>-</v>
      </c>
      <c r="E203" s="440" t="str">
        <f>IF($A203="*","",IF(VLOOKUP("*"&amp;$AS203,$A$10:$I$23,E$9+1,FALSE)="-","-",C203&amp;"-"&amp;RIGHT(VLOOKUP("*"&amp;$AS203,$A$10:$I$23,E$9+1,FALSE),1)))</f>
        <v>-</v>
      </c>
      <c r="F203" s="440" t="str">
        <f>IF($A203="*","",IF(VLOOKUP("*"&amp;$AS203,$A$10:$I$24,F$9+1,FALSE)="-","-",C203&amp;"-"&amp;RIGHT(VLOOKUP("*"&amp;$AS203,$A$10:$I$24,F$9+1,FALSE),1)))</f>
        <v>-</v>
      </c>
      <c r="G203" s="440" t="str">
        <f>IF($A203="*","",VLOOKUP($B203,$B$10:$I$23,G$9,FALSE))</f>
        <v>-</v>
      </c>
      <c r="H203" s="441" t="str">
        <f t="shared" si="99"/>
        <v>-</v>
      </c>
      <c r="I203" s="441">
        <f>IF($A203="*","",VLOOKUP("*#"&amp;$AS203,$A$10:$I$24,I$9+1,FALSE))</f>
        <v>0</v>
      </c>
      <c r="J203" s="163">
        <f ca="1">IF($A203="*","",OFFSET(UPS!$C$37,AU203,SUMIF($A$10:$A$24,"*#"&amp;AS203,$AT$10:$AT$24)))</f>
        <v>239.70848957012083</v>
      </c>
      <c r="AR203" s="163">
        <f>+AR200</f>
        <v>1</v>
      </c>
      <c r="AS203" s="163">
        <v>12</v>
      </c>
      <c r="AU203" s="163">
        <f ca="1">AU202</f>
        <v>88</v>
      </c>
    </row>
    <row r="204" spans="1:47" s="163" customFormat="1">
      <c r="B204" s="440" t="str">
        <f t="shared" si="98"/>
        <v>NCAP_TLIFE</v>
      </c>
      <c r="C204" s="440" t="str">
        <f ca="1">IF($A204="*","",OFFSET(ITEMS_UPS!$C$22,AR204,0))</f>
        <v>UGASGIC-N</v>
      </c>
      <c r="D204" s="440" t="str">
        <f ca="1">IF($A204="*","",IF(VLOOKUP("*#"&amp;$AS204,$A$10:$I$24,D$9+1,FALSE)="-","-",OFFSET(UPS!$C$37,AU204+AV204,SUMIF($A$10:$A$20,"*#"&amp;AS204,$AT$10:$AT$20))))</f>
        <v>-</v>
      </c>
      <c r="E204" s="440" t="str">
        <f>IF($A204="*","",IF(VLOOKUP("*"&amp;$AS204,$A$10:$I$23,E$9+1,FALSE)="-","-",C204&amp;"-"&amp;RIGHT(VLOOKUP("*"&amp;$AS204,$A$10:$I$23,E$9+1,FALSE),1)))</f>
        <v>-</v>
      </c>
      <c r="F204" s="440" t="str">
        <f>IF($A204="*","",IF(VLOOKUP("*"&amp;$AS204,$A$10:$I$23,F$9+1,FALSE)="-","-",C204&amp;"-"&amp;RIGHT(VLOOKUP("*"&amp;$AS204,$A$10:$I$23,F$9+1,FALSE),1)))</f>
        <v>-</v>
      </c>
      <c r="G204" s="440" t="str">
        <f>IF($A204="*","",VLOOKUP($B204,$B$10:$I$23,G$9,FALSE))</f>
        <v>-</v>
      </c>
      <c r="H204" s="441" t="str">
        <f t="shared" si="99"/>
        <v>-</v>
      </c>
      <c r="I204" s="441">
        <f>IF($A204="*","",VLOOKUP("*#"&amp;$AS204,$A$10:$I$24,I$9+1,FALSE))</f>
        <v>0</v>
      </c>
      <c r="J204" s="163">
        <f ca="1">IF($A204="*","",OFFSET(UPS!$C$37,AU204,SUMIF($A$10:$A$24,"*#"&amp;AS204,$AT$10:$AT$24)))</f>
        <v>80</v>
      </c>
      <c r="AR204" s="163">
        <f>+AR203</f>
        <v>1</v>
      </c>
      <c r="AS204" s="163">
        <v>13</v>
      </c>
      <c r="AU204" s="163">
        <f ca="1">AU203</f>
        <v>88</v>
      </c>
    </row>
    <row r="205" spans="1:47" s="163" customFormat="1">
      <c r="B205" s="440" t="str">
        <f t="shared" si="98"/>
        <v>NCAP_ILED</v>
      </c>
      <c r="C205" s="440" t="str">
        <f ca="1">IF($A205="*","",OFFSET(ITEMS_UPS!$C$22,AR205,0))</f>
        <v>UGASGIC-N</v>
      </c>
      <c r="D205" s="440" t="str">
        <f ca="1">IF($A205="*","",IF(VLOOKUP("*#"&amp;$AS205,$A$10:$I$24,D$9+1,FALSE)="-","-",OFFSET(UPS!$C$37,AU205+AV205,SUMIF($A$10:$A$20,"*#"&amp;AS205,$AT$10:$AT$20))))</f>
        <v>-</v>
      </c>
      <c r="E205" s="440" t="str">
        <f>IF($A205="*","",IF(VLOOKUP("*"&amp;$AS205,$A$10:$I$23,E$9+1,FALSE)="-","-",C205&amp;"-"&amp;RIGHT(VLOOKUP("*"&amp;$AS205,$A$10:$I$23,E$9+1,FALSE),1)))</f>
        <v>-</v>
      </c>
      <c r="F205" s="440" t="str">
        <f>IF($A205="*","",IF(VLOOKUP("*"&amp;$AS205,$A$10:$I$23,F$9+1,FALSE)="-","-",C205&amp;"-"&amp;RIGHT(VLOOKUP("*"&amp;$AS205,$A$10:$I$23,F$9+1,FALSE),1)))</f>
        <v>-</v>
      </c>
      <c r="G205" s="440" t="str">
        <f>IF($A205="*","",VLOOKUP($B205,$B$10:$I$23,G$9,FALSE))</f>
        <v>-</v>
      </c>
      <c r="H205" s="441" t="str">
        <f t="shared" si="99"/>
        <v>-</v>
      </c>
      <c r="I205" s="441">
        <f>IF($A205="*","",VLOOKUP("*#"&amp;$AS205,$A$10:$I$24,I$9+1,FALSE))</f>
        <v>0</v>
      </c>
      <c r="J205" s="163">
        <f ca="1">IF($A205="*","",OFFSET(UPS!$C$37,AU205,SUMIF($A$10:$A$24,"*#"&amp;AS205,$AT$10:$AT$24)))</f>
        <v>-4</v>
      </c>
      <c r="AR205" s="163">
        <f>AR204</f>
        <v>1</v>
      </c>
      <c r="AS205" s="163">
        <v>14</v>
      </c>
      <c r="AU205" s="163">
        <f ca="1">AU204</f>
        <v>88</v>
      </c>
    </row>
    <row r="206" spans="1:47">
      <c r="A206" s="42" t="s">
        <v>310</v>
      </c>
    </row>
    <row r="207" spans="1:47">
      <c r="B207" s="440" t="str">
        <f t="shared" ref="B207:B212" si="100">IF(A207="*","",VLOOKUP("*#"&amp;AS207,$A$9:$B$24,2,FALSE))</f>
        <v>NCAP_AFA</v>
      </c>
      <c r="C207" s="440" t="str">
        <f ca="1">IF($A207="*","",OFFSET(ITEMS_UPS!$C$22,AR207,0))</f>
        <v>UGASGIB-N</v>
      </c>
      <c r="D207" s="440" t="str">
        <f ca="1">IF($A207="*","",IF(VLOOKUP("*#"&amp;$AS207,$A$10:$I$24,D$9+1,FALSE)="-","-",OFFSET(UPS!$C$37,AU207+AV207,SUMIF($A$10:$A$20,"*#"&amp;AS207,$AT$10:$AT$20))))</f>
        <v>-</v>
      </c>
      <c r="E207" s="440" t="str">
        <f>IF($A207="*","",IF(VLOOKUP("*#"&amp;$AS207,$A$10:$I$24,E$9+1,FALSE)="-","-",C207&amp;"-"&amp;RIGHT(VLOOKUP("*#"&amp;$AS207,$A$10:$I$24,E$9+1,FALSE),1)))</f>
        <v>-</v>
      </c>
      <c r="F207" s="440" t="str">
        <f>IF($A207="*","",IF(VLOOKUP("*#"&amp;$AS207,$A$10:$I$24,F$9+1,FALSE)="-","-",C207&amp;"-"&amp;RIGHT(VLOOKUP("*#"&amp;$AS207,$A$10:$I$24,F$9+1,FALSE),1)))</f>
        <v>-</v>
      </c>
      <c r="G207" s="440" t="str">
        <f>IF($A207="*","",VLOOKUP("*#"&amp;$AS207,$A$10:$I$20,G$9+1,FALSE))</f>
        <v>ANNUAL</v>
      </c>
      <c r="H207" s="441" t="str">
        <f t="shared" ref="H207:H212" si="101">IF($A207="*","",VLOOKUP("*#"&amp;$AS207,$A$10:$I$24,H$9+1,FALSE))</f>
        <v>UP</v>
      </c>
      <c r="I207" s="441">
        <f>IF($A207="*","",VLOOKUP("*#"&amp;$AS207,$A$10:$I$20,I$9+1,FALSE))</f>
        <v>3</v>
      </c>
      <c r="J207" s="163">
        <f ca="1">IF($A207="*","",OFFSET(UPS!$C$37,AU207,SUMIF($A$10:$A$20,"*#"&amp;AS207,$AT$10:$AT$20)))</f>
        <v>0.9</v>
      </c>
      <c r="K207" s="163"/>
      <c r="AR207" s="42">
        <f>AR205+1</f>
        <v>2</v>
      </c>
      <c r="AS207" s="42">
        <f t="shared" ref="AS207:AS212" si="102">AS200</f>
        <v>2</v>
      </c>
      <c r="AU207" s="42">
        <f ca="1">SUMIF(UPS!B$38:B$171,C207,UPS!BD$38:BD$171)</f>
        <v>91</v>
      </c>
    </row>
    <row r="208" spans="1:47">
      <c r="B208" s="440" t="str">
        <f t="shared" si="100"/>
        <v>NCAP_AFA</v>
      </c>
      <c r="C208" s="440" t="str">
        <f ca="1">IF($A208="*","",OFFSET(ITEMS_UPS!$C$22,AR208,0))</f>
        <v>UGASGIB-N</v>
      </c>
      <c r="D208" s="440" t="str">
        <f ca="1">IF($A208="*","",IF(VLOOKUP("*#"&amp;$AS208,$A$10:$I$24,D$9+1,FALSE)="-","-",OFFSET(UPS!$C$37,AU208+AV208,SUMIF($A$10:$A$20,"*#"&amp;AS208,$AT$10:$AT$20))))</f>
        <v>-</v>
      </c>
      <c r="E208" s="440" t="str">
        <f>IF($A208="*","",IF(VLOOKUP("*#"&amp;$AS208,$A$10:$I$24,E$9+1,FALSE)="-","-",C208&amp;"-"&amp;RIGHT(VLOOKUP("*#"&amp;$AS208,$A$10:$I$24,E$9+1,FALSE),1)))</f>
        <v>-</v>
      </c>
      <c r="F208" s="440" t="str">
        <f>IF($A208="*","",IF(VLOOKUP("*#"&amp;$AS208,$A$10:$I$24,F$9+1,FALSE)="-","-",C208&amp;"-"&amp;RIGHT(VLOOKUP("*#"&amp;$AS208,$A$10:$I$24,F$9+1,FALSE),1)))</f>
        <v>-</v>
      </c>
      <c r="G208" s="440" t="str">
        <f>IF($A208="*","",VLOOKUP("*#"&amp;$AS208,$A$10:$I$20,G$9+1,FALSE))</f>
        <v>ANNUAL</v>
      </c>
      <c r="H208" s="441" t="str">
        <f t="shared" si="101"/>
        <v>LO</v>
      </c>
      <c r="I208" s="441">
        <f>IF($A208="*","",VLOOKUP("*#"&amp;$AS208,$A$10:$I$24,I$9+1,FALSE))</f>
        <v>3</v>
      </c>
      <c r="J208" s="163">
        <f ca="1">IF($A208="*","",OFFSET(UPS!$C$37,AU208,SUMIF($A$10:$A$24,"*#"&amp;AS208,$AT$10:$AT$24)))</f>
        <v>0.5</v>
      </c>
      <c r="K208" s="163"/>
      <c r="AR208" s="42">
        <f>AR207</f>
        <v>2</v>
      </c>
      <c r="AS208" s="42">
        <f t="shared" si="102"/>
        <v>3</v>
      </c>
      <c r="AU208" s="42">
        <f ca="1">SUMIF(UPS!B$38:B$171,C208,UPS!BD$38:BD$171)</f>
        <v>91</v>
      </c>
    </row>
    <row r="209" spans="1:47">
      <c r="B209" s="440" t="str">
        <f t="shared" si="100"/>
        <v>ACT_EFF</v>
      </c>
      <c r="C209" s="440" t="str">
        <f ca="1">IF($A209="*","",OFFSET(ITEMS_UPS!$C$22,AR209,0))</f>
        <v>UGASGIB-N</v>
      </c>
      <c r="D209" s="440" t="str">
        <f ca="1">IF($A209="*","",IF(VLOOKUP("*#"&amp;$AS209,$A$10:$I$24,D$9+1,FALSE)="-","-",OFFSET(UPS!$C$37,AU209+AV209,SUMIF($A$10:$A$20,"*#"&amp;AS209,$AT$10:$AT$20))))</f>
        <v>-</v>
      </c>
      <c r="E209" s="440" t="s">
        <v>360</v>
      </c>
      <c r="F209" s="440" t="str">
        <f>IF($A209="*","",IF(VLOOKUP("*"&amp;$AS209,$A$10:$I$24,F$9+1,FALSE)="-","-",C209&amp;"-"&amp;RIGHT(VLOOKUP("*"&amp;$AS209,$A$10:$I$24,F$9+1,FALSE),1)))</f>
        <v>-</v>
      </c>
      <c r="G209" s="440" t="s">
        <v>337</v>
      </c>
      <c r="H209" s="441" t="str">
        <f t="shared" si="101"/>
        <v>-</v>
      </c>
      <c r="I209" s="441">
        <f>IF($A209="*","",VLOOKUP("*#"&amp;$AS209,$A$10:$I$24,I$9+1,FALSE))</f>
        <v>0</v>
      </c>
      <c r="J209" s="163">
        <f ca="1">IF($A209="*","",OFFSET(UPS!$C$37,AU209,SUMIF($A$10:$A$24,"*#"&amp;AS209,$AT$10:$AT$24)))</f>
        <v>0.95899999999999996</v>
      </c>
      <c r="K209" s="163"/>
      <c r="AR209" s="42">
        <f>AR208</f>
        <v>2</v>
      </c>
      <c r="AS209" s="42">
        <f t="shared" si="102"/>
        <v>15</v>
      </c>
      <c r="AU209" s="42">
        <f ca="1">AU207</f>
        <v>91</v>
      </c>
    </row>
    <row r="210" spans="1:47">
      <c r="B210" s="440" t="str">
        <f t="shared" si="100"/>
        <v>NCAP_COST</v>
      </c>
      <c r="C210" s="440" t="str">
        <f ca="1">IF($A210="*","",OFFSET(ITEMS_UPS!$C$22,AR210,0))</f>
        <v>UGASGIB-N</v>
      </c>
      <c r="D210" s="440" t="str">
        <f ca="1">IF($A210="*","",IF(VLOOKUP("*#"&amp;$AS210,$A$10:$I$24,D$9+1,FALSE)="-","-",OFFSET(UPS!$C$37,AU210+AV210,SUMIF($A$10:$A$20,"*#"&amp;AS210,$AT$10:$AT$20))))</f>
        <v>-</v>
      </c>
      <c r="E210" s="440" t="str">
        <f>IF($A210="*","",IF(VLOOKUP("*"&amp;$AS210,$A$10:$I$23,E$9+1,FALSE)="-","-",C210&amp;"-"&amp;RIGHT(VLOOKUP("*"&amp;$AS210,$A$10:$I$23,E$9+1,FALSE),1)))</f>
        <v>-</v>
      </c>
      <c r="F210" s="440" t="str">
        <f>IF($A210="*","",IF(VLOOKUP("*"&amp;$AS210,$A$10:$I$24,F$9+1,FALSE)="-","-",C210&amp;"-"&amp;RIGHT(VLOOKUP("*"&amp;$AS210,$A$10:$I$24,F$9+1,FALSE),1)))</f>
        <v>-</v>
      </c>
      <c r="G210" s="440" t="str">
        <f>IF($A210="*","",VLOOKUP($B210,$B$10:$I$23,G$9,FALSE))</f>
        <v>-</v>
      </c>
      <c r="H210" s="441" t="str">
        <f t="shared" si="101"/>
        <v>-</v>
      </c>
      <c r="I210" s="441">
        <f>IF($A210="*","",VLOOKUP("*#"&amp;$AS210,$A$10:$I$24,I$9+1,FALSE))</f>
        <v>0</v>
      </c>
      <c r="J210" s="163">
        <f ca="1">IF($A210="*","",OFFSET(UPS!$C$37,AU210,SUMIF($A$10:$A$24,"*#"&amp;AS210,$AT$10:$AT$24)))</f>
        <v>239.70848957012083</v>
      </c>
      <c r="AR210" s="42">
        <f>AR209</f>
        <v>2</v>
      </c>
      <c r="AS210" s="42">
        <f t="shared" si="102"/>
        <v>12</v>
      </c>
      <c r="AU210" s="42">
        <f ca="1">AU209</f>
        <v>91</v>
      </c>
    </row>
    <row r="211" spans="1:47">
      <c r="B211" s="440" t="str">
        <f t="shared" si="100"/>
        <v>NCAP_TLIFE</v>
      </c>
      <c r="C211" s="440" t="str">
        <f ca="1">IF($A211="*","",OFFSET(ITEMS_UPS!$C$22,AR211,0))</f>
        <v>UGASGIB-N</v>
      </c>
      <c r="D211" s="440" t="str">
        <f ca="1">IF($A211="*","",IF(VLOOKUP("*#"&amp;$AS211,$A$10:$I$24,D$9+1,FALSE)="-","-",OFFSET(UPS!$C$37,AU211+AV211,SUMIF($A$10:$A$20,"*#"&amp;AS211,$AT$10:$AT$20))))</f>
        <v>-</v>
      </c>
      <c r="E211" s="440" t="str">
        <f>IF($A211="*","",IF(VLOOKUP("*"&amp;$AS211,$A$10:$I$23,E$9+1,FALSE)="-","-",C211&amp;"-"&amp;RIGHT(VLOOKUP("*"&amp;$AS211,$A$10:$I$23,E$9+1,FALSE),1)))</f>
        <v>-</v>
      </c>
      <c r="F211" s="440" t="str">
        <f>IF($A211="*","",IF(VLOOKUP("*"&amp;$AS211,$A$10:$I$23,F$9+1,FALSE)="-","-",C211&amp;"-"&amp;RIGHT(VLOOKUP("*"&amp;$AS211,$A$10:$I$23,F$9+1,FALSE),1)))</f>
        <v>-</v>
      </c>
      <c r="G211" s="440" t="str">
        <f>IF($A211="*","",VLOOKUP($B211,$B$10:$I$23,G$9,FALSE))</f>
        <v>-</v>
      </c>
      <c r="H211" s="441" t="str">
        <f t="shared" si="101"/>
        <v>-</v>
      </c>
      <c r="I211" s="441">
        <f>IF($A211="*","",VLOOKUP("*#"&amp;$AS211,$A$10:$I$24,I$9+1,FALSE))</f>
        <v>0</v>
      </c>
      <c r="J211" s="163">
        <f ca="1">IF($A211="*","",OFFSET(UPS!$C$37,AU211,SUMIF($A$10:$A$24,"*#"&amp;AS211,$AT$10:$AT$24)))</f>
        <v>80</v>
      </c>
      <c r="AR211" s="42">
        <f>AR210</f>
        <v>2</v>
      </c>
      <c r="AS211" s="42">
        <f t="shared" si="102"/>
        <v>13</v>
      </c>
      <c r="AU211" s="42">
        <f ca="1">AU210</f>
        <v>91</v>
      </c>
    </row>
    <row r="212" spans="1:47">
      <c r="B212" s="440" t="str">
        <f t="shared" si="100"/>
        <v>NCAP_ILED</v>
      </c>
      <c r="C212" s="440" t="str">
        <f ca="1">IF($A212="*","",OFFSET(ITEMS_UPS!$C$22,AR212,0))</f>
        <v>UGASGIB-N</v>
      </c>
      <c r="D212" s="440" t="str">
        <f ca="1">IF($A212="*","",IF(VLOOKUP("*#"&amp;$AS212,$A$10:$I$24,D$9+1,FALSE)="-","-",OFFSET(UPS!$C$37,AU212+AV212,SUMIF($A$10:$A$20,"*#"&amp;AS212,$AT$10:$AT$20))))</f>
        <v>-</v>
      </c>
      <c r="E212" s="440" t="str">
        <f>IF($A212="*","",IF(VLOOKUP("*"&amp;$AS212,$A$10:$I$23,E$9+1,FALSE)="-","-",C212&amp;"-"&amp;RIGHT(VLOOKUP("*"&amp;$AS212,$A$10:$I$23,E$9+1,FALSE),1)))</f>
        <v>-</v>
      </c>
      <c r="F212" s="440" t="str">
        <f>IF($A212="*","",IF(VLOOKUP("*"&amp;$AS212,$A$10:$I$23,F$9+1,FALSE)="-","-",C212&amp;"-"&amp;RIGHT(VLOOKUP("*"&amp;$AS212,$A$10:$I$23,F$9+1,FALSE),1)))</f>
        <v>-</v>
      </c>
      <c r="G212" s="440" t="str">
        <f>IF($A212="*","",VLOOKUP($B212,$B$10:$I$23,G$9,FALSE))</f>
        <v>-</v>
      </c>
      <c r="H212" s="441" t="str">
        <f t="shared" si="101"/>
        <v>-</v>
      </c>
      <c r="I212" s="441">
        <f>IF($A212="*","",VLOOKUP("*#"&amp;$AS212,$A$10:$I$24,I$9+1,FALSE))</f>
        <v>0</v>
      </c>
      <c r="J212" s="163">
        <f ca="1">IF($A212="*","",OFFSET(UPS!$C$37,AU212,SUMIF($A$10:$A$24,"*#"&amp;AS212,$AT$10:$AT$24)))</f>
        <v>-4</v>
      </c>
      <c r="K212" s="163"/>
      <c r="L212" s="163"/>
      <c r="M212" s="163"/>
      <c r="N212" s="163"/>
      <c r="O212" s="163"/>
      <c r="P212" s="163"/>
      <c r="Q212" s="163"/>
      <c r="R212" s="163"/>
      <c r="S212" s="163"/>
      <c r="T212" s="163"/>
      <c r="U212" s="163"/>
      <c r="V212" s="163"/>
      <c r="W212" s="163"/>
      <c r="X212" s="163"/>
      <c r="Y212" s="163"/>
      <c r="Z212" s="163"/>
      <c r="AA212" s="163"/>
      <c r="AB212" s="163"/>
      <c r="AC212" s="163"/>
      <c r="AD212" s="163"/>
      <c r="AE212" s="163"/>
      <c r="AF212" s="163"/>
      <c r="AG212" s="163"/>
      <c r="AH212" s="163"/>
      <c r="AI212" s="163"/>
      <c r="AJ212" s="163"/>
      <c r="AK212" s="163"/>
      <c r="AL212" s="163"/>
      <c r="AM212" s="163"/>
      <c r="AN212" s="163"/>
      <c r="AO212" s="163"/>
      <c r="AP212" s="163"/>
      <c r="AR212" s="42">
        <f>AR211</f>
        <v>2</v>
      </c>
      <c r="AS212" s="42">
        <f t="shared" si="102"/>
        <v>14</v>
      </c>
      <c r="AU212" s="42">
        <f ca="1">AU211</f>
        <v>91</v>
      </c>
    </row>
    <row r="213" spans="1:47">
      <c r="A213" s="42" t="s">
        <v>310</v>
      </c>
    </row>
    <row r="214" spans="1:47">
      <c r="B214" s="440" t="str">
        <f t="shared" ref="B214:B219" si="103">IF(A214="*","",VLOOKUP("*#"&amp;AS214,$A$9:$B$24,2,FALSE))</f>
        <v>NCAP_AFA</v>
      </c>
      <c r="C214" s="440" t="str">
        <f ca="1">IF($A214="*","",OFFSET(ITEMS_UPS!$C$22,AR214,0))</f>
        <v>UGASGRM-N</v>
      </c>
      <c r="D214" s="440" t="str">
        <f ca="1">IF($A214="*","",IF(VLOOKUP("*#"&amp;$AS214,$A$10:$I$24,D$9+1,FALSE)="-","-",OFFSET(UPS!$C$37,AU214+AV214,SUMIF($A$10:$A$20,"*#"&amp;AS214,$AT$10:$AT$20))))</f>
        <v>-</v>
      </c>
      <c r="E214" s="440" t="str">
        <f>IF($A214="*","",IF(VLOOKUP("*#"&amp;$AS214,$A$10:$I$24,E$9+1,FALSE)="-","-",C214&amp;"-"&amp;RIGHT(VLOOKUP("*#"&amp;$AS214,$A$10:$I$24,E$9+1,FALSE),1)))</f>
        <v>-</v>
      </c>
      <c r="F214" s="440" t="str">
        <f>IF($A214="*","",IF(VLOOKUP("*#"&amp;$AS214,$A$10:$I$24,F$9+1,FALSE)="-","-",C214&amp;"-"&amp;RIGHT(VLOOKUP("*#"&amp;$AS214,$A$10:$I$24,F$9+1,FALSE),1)))</f>
        <v>-</v>
      </c>
      <c r="G214" s="440" t="str">
        <f>IF($A214="*","",VLOOKUP("*#"&amp;$AS214,$A$10:$I$20,G$9+1,FALSE))</f>
        <v>ANNUAL</v>
      </c>
      <c r="H214" s="441" t="str">
        <f t="shared" ref="H214:H219" si="104">IF($A214="*","",VLOOKUP("*#"&amp;$AS214,$A$10:$I$24,H$9+1,FALSE))</f>
        <v>UP</v>
      </c>
      <c r="I214" s="441">
        <f>IF($A214="*","",VLOOKUP("*#"&amp;$AS214,$A$10:$I$20,I$9+1,FALSE))</f>
        <v>3</v>
      </c>
      <c r="J214" s="163">
        <f ca="1">IF($A214="*","",OFFSET(UPS!$C$37,AU214,SUMIF($A$10:$A$20,"*#"&amp;AS214,$AT$10:$AT$20)))</f>
        <v>0.9</v>
      </c>
      <c r="K214" s="163"/>
      <c r="AR214" s="42">
        <f>AR212+1</f>
        <v>3</v>
      </c>
      <c r="AS214" s="42">
        <f t="shared" ref="AS214:AS219" si="105">AS207</f>
        <v>2</v>
      </c>
      <c r="AU214" s="42">
        <f ca="1">SUMIF(UPS!B$38:B$171,C214,UPS!BD$38:BD$171)</f>
        <v>94</v>
      </c>
    </row>
    <row r="215" spans="1:47">
      <c r="B215" s="440" t="str">
        <f t="shared" si="103"/>
        <v>NCAP_AFA</v>
      </c>
      <c r="C215" s="440" t="str">
        <f ca="1">IF($A215="*","",OFFSET(ITEMS_UPS!$C$22,AR215,0))</f>
        <v>UGASGRM-N</v>
      </c>
      <c r="D215" s="440" t="str">
        <f ca="1">IF($A215="*","",IF(VLOOKUP("*#"&amp;$AS215,$A$10:$I$24,D$9+1,FALSE)="-","-",OFFSET(UPS!$C$37,AU215+AV215,SUMIF($A$10:$A$20,"*#"&amp;AS215,$AT$10:$AT$20))))</f>
        <v>-</v>
      </c>
      <c r="E215" s="440" t="str">
        <f>IF($A215="*","",IF(VLOOKUP("*#"&amp;$AS215,$A$10:$I$24,E$9+1,FALSE)="-","-",C215&amp;"-"&amp;RIGHT(VLOOKUP("*#"&amp;$AS215,$A$10:$I$24,E$9+1,FALSE),1)))</f>
        <v>-</v>
      </c>
      <c r="F215" s="440" t="str">
        <f>IF($A215="*","",IF(VLOOKUP("*#"&amp;$AS215,$A$10:$I$24,F$9+1,FALSE)="-","-",C215&amp;"-"&amp;RIGHT(VLOOKUP("*#"&amp;$AS215,$A$10:$I$24,F$9+1,FALSE),1)))</f>
        <v>-</v>
      </c>
      <c r="G215" s="440" t="str">
        <f>IF($A215="*","",VLOOKUP("*#"&amp;$AS215,$A$10:$I$20,G$9+1,FALSE))</f>
        <v>ANNUAL</v>
      </c>
      <c r="H215" s="441" t="str">
        <f t="shared" si="104"/>
        <v>LO</v>
      </c>
      <c r="I215" s="441">
        <f>IF($A215="*","",VLOOKUP("*#"&amp;$AS215,$A$10:$I$24,I$9+1,FALSE))</f>
        <v>3</v>
      </c>
      <c r="J215" s="163">
        <f ca="1">IF($A215="*","",OFFSET(UPS!$C$37,AU215,SUMIF($A$10:$A$24,"*#"&amp;AS215,$AT$10:$AT$24)))</f>
        <v>0.5</v>
      </c>
      <c r="K215" s="163"/>
      <c r="AR215" s="42">
        <f>AR214</f>
        <v>3</v>
      </c>
      <c r="AS215" s="42">
        <f t="shared" si="105"/>
        <v>3</v>
      </c>
      <c r="AU215" s="42">
        <f ca="1">SUMIF(UPS!B$38:B$171,C215,UPS!BD$38:BD$171)</f>
        <v>94</v>
      </c>
    </row>
    <row r="216" spans="1:47">
      <c r="B216" s="440" t="str">
        <f t="shared" si="103"/>
        <v>ACT_EFF</v>
      </c>
      <c r="C216" s="440" t="str">
        <f ca="1">IF($A216="*","",OFFSET(ITEMS_UPS!$C$22,AR216,0))</f>
        <v>UGASGRM-N</v>
      </c>
      <c r="D216" s="440" t="str">
        <f ca="1">IF($A216="*","",IF(VLOOKUP("*#"&amp;$AS216,$A$10:$I$24,D$9+1,FALSE)="-","-",OFFSET(UPS!$C$37,AU216+AV216,SUMIF($A$10:$A$20,"*#"&amp;AS216,$AT$10:$AT$20))))</f>
        <v>-</v>
      </c>
      <c r="E216" s="440" t="s">
        <v>360</v>
      </c>
      <c r="F216" s="440" t="str">
        <f>IF($A216="*","",IF(VLOOKUP("*"&amp;$AS216,$A$10:$I$24,F$9+1,FALSE)="-","-",C216&amp;"-"&amp;RIGHT(VLOOKUP("*"&amp;$AS216,$A$10:$I$24,F$9+1,FALSE),1)))</f>
        <v>-</v>
      </c>
      <c r="G216" s="440" t="s">
        <v>337</v>
      </c>
      <c r="H216" s="441" t="str">
        <f t="shared" si="104"/>
        <v>-</v>
      </c>
      <c r="I216" s="441">
        <f>IF($A216="*","",VLOOKUP("*#"&amp;$AS216,$A$10:$I$24,I$9+1,FALSE))</f>
        <v>0</v>
      </c>
      <c r="J216" s="163">
        <f ca="1">IF($A216="*","",OFFSET(UPS!$C$37,AU216,SUMIF($A$10:$A$24,"*#"&amp;AS216,$AT$10:$AT$24)))</f>
        <v>0.95899999999999996</v>
      </c>
      <c r="K216" s="163"/>
      <c r="AR216" s="42">
        <f>AR215</f>
        <v>3</v>
      </c>
      <c r="AS216" s="42">
        <f t="shared" si="105"/>
        <v>15</v>
      </c>
      <c r="AU216" s="42">
        <f ca="1">AU214</f>
        <v>94</v>
      </c>
    </row>
    <row r="217" spans="1:47">
      <c r="B217" s="440" t="str">
        <f t="shared" si="103"/>
        <v>NCAP_COST</v>
      </c>
      <c r="C217" s="440" t="str">
        <f ca="1">IF($A217="*","",OFFSET(ITEMS_UPS!$C$22,AR217,0))</f>
        <v>UGASGRM-N</v>
      </c>
      <c r="D217" s="440" t="str">
        <f ca="1">IF($A217="*","",IF(VLOOKUP("*#"&amp;$AS217,$A$10:$I$24,D$9+1,FALSE)="-","-",OFFSET(UPS!$C$37,AU217+AV217,SUMIF($A$10:$A$20,"*#"&amp;AS217,$AT$10:$AT$20))))</f>
        <v>-</v>
      </c>
      <c r="E217" s="440" t="str">
        <f>IF($A217="*","",IF(VLOOKUP("*"&amp;$AS217,$A$10:$I$23,E$9+1,FALSE)="-","-",C217&amp;"-"&amp;RIGHT(VLOOKUP("*"&amp;$AS217,$A$10:$I$23,E$9+1,FALSE),1)))</f>
        <v>-</v>
      </c>
      <c r="F217" s="440" t="str">
        <f>IF($A217="*","",IF(VLOOKUP("*"&amp;$AS217,$A$10:$I$24,F$9+1,FALSE)="-","-",C217&amp;"-"&amp;RIGHT(VLOOKUP("*"&amp;$AS217,$A$10:$I$24,F$9+1,FALSE),1)))</f>
        <v>-</v>
      </c>
      <c r="G217" s="440" t="str">
        <f>IF($A217="*","",VLOOKUP($B217,$B$10:$I$23,G$9,FALSE))</f>
        <v>-</v>
      </c>
      <c r="H217" s="441" t="str">
        <f t="shared" si="104"/>
        <v>-</v>
      </c>
      <c r="I217" s="441">
        <f>IF($A217="*","",VLOOKUP("*#"&amp;$AS217,$A$10:$I$24,I$9+1,FALSE))</f>
        <v>0</v>
      </c>
      <c r="J217" s="163">
        <f ca="1">IF($A217="*","",OFFSET(UPS!$C$37,AU217,SUMIF($A$10:$A$24,"*#"&amp;AS217,$AT$10:$AT$24)))</f>
        <v>1198.5424478506043</v>
      </c>
      <c r="AR217" s="42">
        <f>AR216</f>
        <v>3</v>
      </c>
      <c r="AS217" s="42">
        <f t="shared" si="105"/>
        <v>12</v>
      </c>
      <c r="AU217" s="42">
        <f ca="1">AU216</f>
        <v>94</v>
      </c>
    </row>
    <row r="218" spans="1:47">
      <c r="B218" s="440" t="str">
        <f t="shared" si="103"/>
        <v>NCAP_TLIFE</v>
      </c>
      <c r="C218" s="440" t="str">
        <f ca="1">IF($A218="*","",OFFSET(ITEMS_UPS!$C$22,AR218,0))</f>
        <v>UGASGRM-N</v>
      </c>
      <c r="D218" s="440" t="str">
        <f ca="1">IF($A218="*","",IF(VLOOKUP("*#"&amp;$AS218,$A$10:$I$24,D$9+1,FALSE)="-","-",OFFSET(UPS!$C$37,AU218+AV218,SUMIF($A$10:$A$20,"*#"&amp;AS218,$AT$10:$AT$20))))</f>
        <v>-</v>
      </c>
      <c r="E218" s="440" t="str">
        <f>IF($A218="*","",IF(VLOOKUP("*"&amp;$AS218,$A$10:$I$23,E$9+1,FALSE)="-","-",C218&amp;"-"&amp;RIGHT(VLOOKUP("*"&amp;$AS218,$A$10:$I$23,E$9+1,FALSE),1)))</f>
        <v>-</v>
      </c>
      <c r="F218" s="440" t="str">
        <f>IF($A218="*","",IF(VLOOKUP("*"&amp;$AS218,$A$10:$I$23,F$9+1,FALSE)="-","-",C218&amp;"-"&amp;RIGHT(VLOOKUP("*"&amp;$AS218,$A$10:$I$23,F$9+1,FALSE),1)))</f>
        <v>-</v>
      </c>
      <c r="G218" s="440" t="str">
        <f>IF($A218="*","",VLOOKUP($B218,$B$10:$I$23,G$9,FALSE))</f>
        <v>-</v>
      </c>
      <c r="H218" s="441" t="str">
        <f t="shared" si="104"/>
        <v>-</v>
      </c>
      <c r="I218" s="441">
        <f>IF($A218="*","",VLOOKUP("*#"&amp;$AS218,$A$10:$I$24,I$9+1,FALSE))</f>
        <v>0</v>
      </c>
      <c r="J218" s="163">
        <f ca="1">IF($A218="*","",OFFSET(UPS!$C$37,AU218,SUMIF($A$10:$A$24,"*#"&amp;AS218,$AT$10:$AT$24)))</f>
        <v>80</v>
      </c>
      <c r="AR218" s="42">
        <f>AR217</f>
        <v>3</v>
      </c>
      <c r="AS218" s="42">
        <f t="shared" si="105"/>
        <v>13</v>
      </c>
      <c r="AU218" s="42">
        <f ca="1">AU217</f>
        <v>94</v>
      </c>
    </row>
    <row r="219" spans="1:47">
      <c r="B219" s="440" t="str">
        <f t="shared" si="103"/>
        <v>NCAP_ILED</v>
      </c>
      <c r="C219" s="440" t="str">
        <f ca="1">IF($A219="*","",OFFSET(ITEMS_UPS!$C$22,AR219,0))</f>
        <v>UGASGRM-N</v>
      </c>
      <c r="D219" s="440" t="str">
        <f ca="1">IF($A219="*","",IF(VLOOKUP("*#"&amp;$AS219,$A$10:$I$24,D$9+1,FALSE)="-","-",OFFSET(UPS!$C$37,AU219+AV219,SUMIF($A$10:$A$20,"*#"&amp;AS219,$AT$10:$AT$20))))</f>
        <v>-</v>
      </c>
      <c r="E219" s="440" t="str">
        <f>IF($A219="*","",IF(VLOOKUP("*"&amp;$AS219,$A$10:$I$23,E$9+1,FALSE)="-","-",C219&amp;"-"&amp;RIGHT(VLOOKUP("*"&amp;$AS219,$A$10:$I$23,E$9+1,FALSE),1)))</f>
        <v>-</v>
      </c>
      <c r="F219" s="440" t="str">
        <f>IF($A219="*","",IF(VLOOKUP("*"&amp;$AS219,$A$10:$I$23,F$9+1,FALSE)="-","-",C219&amp;"-"&amp;RIGHT(VLOOKUP("*"&amp;$AS219,$A$10:$I$23,F$9+1,FALSE),1)))</f>
        <v>-</v>
      </c>
      <c r="G219" s="440" t="str">
        <f>IF($A219="*","",VLOOKUP($B219,$B$10:$I$23,G$9,FALSE))</f>
        <v>-</v>
      </c>
      <c r="H219" s="441" t="str">
        <f t="shared" si="104"/>
        <v>-</v>
      </c>
      <c r="I219" s="441">
        <f>IF($A219="*","",VLOOKUP("*#"&amp;$AS219,$A$10:$I$24,I$9+1,FALSE))</f>
        <v>0</v>
      </c>
      <c r="J219" s="163">
        <f ca="1">IF($A219="*","",OFFSET(UPS!$C$37,AU219,SUMIF($A$10:$A$24,"*#"&amp;AS219,$AT$10:$AT$24)))</f>
        <v>-4</v>
      </c>
      <c r="K219" s="163"/>
      <c r="L219" s="163"/>
      <c r="M219" s="163"/>
      <c r="N219" s="163"/>
      <c r="O219" s="163"/>
      <c r="P219" s="163"/>
      <c r="Q219" s="163"/>
      <c r="R219" s="163"/>
      <c r="S219" s="163"/>
      <c r="T219" s="163"/>
      <c r="U219" s="163"/>
      <c r="V219" s="163"/>
      <c r="W219" s="163"/>
      <c r="X219" s="163"/>
      <c r="Y219" s="163"/>
      <c r="Z219" s="163"/>
      <c r="AA219" s="163"/>
      <c r="AB219" s="163"/>
      <c r="AC219" s="163"/>
      <c r="AD219" s="163"/>
      <c r="AE219" s="163"/>
      <c r="AF219" s="163"/>
      <c r="AG219" s="163"/>
      <c r="AH219" s="163"/>
      <c r="AI219" s="163"/>
      <c r="AJ219" s="163"/>
      <c r="AK219" s="163"/>
      <c r="AL219" s="163"/>
      <c r="AM219" s="163"/>
      <c r="AN219" s="163"/>
      <c r="AO219" s="163"/>
      <c r="AP219" s="163"/>
      <c r="AR219" s="42">
        <f>AR218</f>
        <v>3</v>
      </c>
      <c r="AS219" s="42">
        <f t="shared" si="105"/>
        <v>14</v>
      </c>
      <c r="AU219" s="42">
        <f ca="1">AU218</f>
        <v>94</v>
      </c>
    </row>
    <row r="220" spans="1:47">
      <c r="A220" s="42" t="s">
        <v>310</v>
      </c>
    </row>
    <row r="221" spans="1:47">
      <c r="B221" s="440" t="str">
        <f>IF(A221="*","",VLOOKUP("*#"&amp;AS221,$A$9:$B$24,2,FALSE))</f>
        <v>NCAP_AFA</v>
      </c>
      <c r="C221" s="440" t="str">
        <f ca="1">IF($A221="*","",OFFSET(ITEMS_UPS!$C$22,AR221,0))</f>
        <v>UGASGRS-N</v>
      </c>
      <c r="D221" s="440" t="str">
        <f ca="1">IF($A221="*","",IF(VLOOKUP("*#"&amp;$AS221,$A$10:$I$24,D$9+1,FALSE)="-","-",OFFSET(UPS!$C$37,AU221+AV221,SUMIF($A$10:$A$20,"*#"&amp;AS221,$AT$10:$AT$20))))</f>
        <v>-</v>
      </c>
      <c r="E221" s="440" t="str">
        <f>IF($A221="*","",IF(VLOOKUP("*#"&amp;$AS221,$A$10:$I$24,E$9+1,FALSE)="-","-",C221&amp;"-"&amp;RIGHT(VLOOKUP("*#"&amp;$AS221,$A$10:$I$24,E$9+1,FALSE),1)))</f>
        <v>-</v>
      </c>
      <c r="F221" s="440" t="str">
        <f>IF($A221="*","",IF(VLOOKUP("*#"&amp;$AS221,$A$10:$I$24,F$9+1,FALSE)="-","-",C221&amp;"-"&amp;RIGHT(VLOOKUP("*#"&amp;$AS221,$A$10:$I$24,F$9+1,FALSE),1)))</f>
        <v>-</v>
      </c>
      <c r="G221" s="440" t="str">
        <f>IF($A221="*","",VLOOKUP("*#"&amp;$AS221,$A$10:$I$20,G$9+1,FALSE))</f>
        <v>ANNUAL</v>
      </c>
      <c r="H221" s="441" t="str">
        <f>IF($A221="*","",VLOOKUP("*#"&amp;$AS221,$A$10:$I$24,H$9+1,FALSE))</f>
        <v>UP</v>
      </c>
      <c r="I221" s="441">
        <f>IF($A221="*","",VLOOKUP("*#"&amp;$AS221,$A$10:$I$20,I$9+1,FALSE))</f>
        <v>3</v>
      </c>
      <c r="J221" s="163">
        <f ca="1">IF($A221="*","",OFFSET(UPS!$C$37,AU221,SUMIF($A$10:$A$20,"*#"&amp;AS221,$AT$10:$AT$20)))</f>
        <v>0.9</v>
      </c>
      <c r="K221" s="163"/>
      <c r="AR221" s="42">
        <f>AR219+1</f>
        <v>4</v>
      </c>
      <c r="AS221" s="42">
        <f t="shared" ref="AS221:AS226" si="106">AS214</f>
        <v>2</v>
      </c>
      <c r="AU221" s="42">
        <f ca="1">SUMIF(UPS!B$38:B$171,C221,UPS!BD$38:BD$171)</f>
        <v>97</v>
      </c>
    </row>
    <row r="222" spans="1:47">
      <c r="B222" s="440" t="str">
        <f>IF(A222="*","",VLOOKUP("*#"&amp;AS222,$A$9:$B$24,2,FALSE))</f>
        <v>NCAP_AFA</v>
      </c>
      <c r="C222" s="440" t="str">
        <f ca="1">IF($A222="*","",OFFSET(ITEMS_UPS!$C$22,AR222,0))</f>
        <v>UGASGRS-N</v>
      </c>
      <c r="D222" s="440" t="str">
        <f ca="1">IF($A222="*","",IF(VLOOKUP("*#"&amp;$AS222,$A$10:$I$24,D$9+1,FALSE)="-","-",OFFSET(UPS!$C$37,AU222+AV222,SUMIF($A$10:$A$20,"*#"&amp;AS222,$AT$10:$AT$20))))</f>
        <v>-</v>
      </c>
      <c r="E222" s="440" t="str">
        <f>IF($A222="*","",IF(VLOOKUP("*#"&amp;$AS222,$A$10:$I$24,E$9+1,FALSE)="-","-",C222&amp;"-"&amp;RIGHT(VLOOKUP("*#"&amp;$AS222,$A$10:$I$24,E$9+1,FALSE),1)))</f>
        <v>-</v>
      </c>
      <c r="F222" s="440" t="str">
        <f>IF($A222="*","",IF(VLOOKUP("*#"&amp;$AS222,$A$10:$I$24,F$9+1,FALSE)="-","-",C222&amp;"-"&amp;RIGHT(VLOOKUP("*#"&amp;$AS222,$A$10:$I$24,F$9+1,FALSE),1)))</f>
        <v>-</v>
      </c>
      <c r="G222" s="440" t="str">
        <f>IF($A222="*","",VLOOKUP("*#"&amp;$AS222,$A$10:$I$20,G$9+1,FALSE))</f>
        <v>ANNUAL</v>
      </c>
      <c r="H222" s="441" t="str">
        <f>IF($A222="*","",VLOOKUP("*#"&amp;$AS222,$A$10:$I$24,H$9+1,FALSE))</f>
        <v>LO</v>
      </c>
      <c r="I222" s="441">
        <f>IF($A222="*","",VLOOKUP("*#"&amp;$AS222,$A$10:$I$24,I$9+1,FALSE))</f>
        <v>3</v>
      </c>
      <c r="J222" s="163">
        <f ca="1">IF($A222="*","",OFFSET(UPS!$C$37,AU222,SUMIF($A$10:$A$24,"*#"&amp;AS222,$AT$10:$AT$24)))</f>
        <v>0</v>
      </c>
      <c r="K222" s="163"/>
      <c r="AR222" s="42">
        <f>AR221</f>
        <v>4</v>
      </c>
      <c r="AS222" s="42">
        <f t="shared" si="106"/>
        <v>3</v>
      </c>
      <c r="AU222" s="42">
        <f ca="1">SUMIF(UPS!B$38:B$171,C222,UPS!BD$38:BD$171)</f>
        <v>97</v>
      </c>
    </row>
    <row r="223" spans="1:47">
      <c r="B223" s="440" t="str">
        <f>IF(A223="*","",VLOOKUP("*#"&amp;AS223,$A$9:$B$24,2,FALSE))</f>
        <v>ACT_EFF</v>
      </c>
      <c r="C223" s="440" t="str">
        <f ca="1">IF($A223="*","",OFFSET(ITEMS_UPS!$C$22,AR223,0))</f>
        <v>UGASGRS-N</v>
      </c>
      <c r="D223" s="440" t="str">
        <f ca="1">IF($A223="*","",IF(VLOOKUP("*#"&amp;$AS223,$A$10:$I$24,D$9+1,FALSE)="-","-",OFFSET(UPS!$C$37,AU223+AV223,SUMIF($A$10:$A$20,"*#"&amp;AS223,$AT$10:$AT$20))))</f>
        <v>-</v>
      </c>
      <c r="E223" s="440" t="s">
        <v>360</v>
      </c>
      <c r="F223" s="440" t="str">
        <f>IF($A223="*","",IF(VLOOKUP("*"&amp;$AS223,$A$10:$I$24,F$9+1,FALSE)="-","-",C223&amp;"-"&amp;RIGHT(VLOOKUP("*"&amp;$AS223,$A$10:$I$24,F$9+1,FALSE),1)))</f>
        <v>-</v>
      </c>
      <c r="G223" s="440" t="s">
        <v>337</v>
      </c>
      <c r="H223" s="441" t="str">
        <f>IF($A223="*","",VLOOKUP("*#"&amp;$AS223,$A$10:$I$24,H$9+1,FALSE))</f>
        <v>-</v>
      </c>
      <c r="I223" s="441">
        <f>IF($A223="*","",VLOOKUP("*#"&amp;$AS223,$A$10:$I$24,I$9+1,FALSE))</f>
        <v>0</v>
      </c>
      <c r="J223" s="163">
        <f ca="1">IF($A223="*","",OFFSET(UPS!$C$37,AU223,SUMIF($A$10:$A$24,"*#"&amp;AS223,$AT$10:$AT$24)))</f>
        <v>0.95899999999999996</v>
      </c>
      <c r="K223" s="163"/>
      <c r="AR223" s="42">
        <f>AR222</f>
        <v>4</v>
      </c>
      <c r="AS223" s="42">
        <f t="shared" si="106"/>
        <v>15</v>
      </c>
      <c r="AU223" s="42">
        <f ca="1">AU221</f>
        <v>97</v>
      </c>
    </row>
    <row r="224" spans="1:47">
      <c r="B224" s="440" t="str">
        <f>IF(A224="*","",VLOOKUP("*#"&amp;AS224,$A$9:$B$24,2,FALSE))</f>
        <v>NCAP_COST</v>
      </c>
      <c r="C224" s="440" t="str">
        <f ca="1">IF($A224="*","",OFFSET(ITEMS_UPS!$C$22,AR224,0))</f>
        <v>UGASGRS-N</v>
      </c>
      <c r="D224" s="440" t="str">
        <f ca="1">IF($A224="*","",IF(VLOOKUP("*#"&amp;$AS224,$A$10:$I$24,D$9+1,FALSE)="-","-",OFFSET(UPS!$C$37,AU224+AV224,SUMIF($A$10:$A$20,"*#"&amp;AS224,$AT$10:$AT$20))))</f>
        <v>-</v>
      </c>
      <c r="E224" s="440" t="str">
        <f>IF($A224="*","",IF(VLOOKUP("*"&amp;$AS224,$A$10:$I$23,E$9+1,FALSE)="-","-",C224&amp;"-"&amp;RIGHT(VLOOKUP("*"&amp;$AS224,$A$10:$I$23,E$9+1,FALSE),1)))</f>
        <v>-</v>
      </c>
      <c r="F224" s="440" t="str">
        <f>IF($A224="*","",IF(VLOOKUP("*"&amp;$AS224,$A$10:$I$24,F$9+1,FALSE)="-","-",C224&amp;"-"&amp;RIGHT(VLOOKUP("*"&amp;$AS224,$A$10:$I$24,F$9+1,FALSE),1)))</f>
        <v>-</v>
      </c>
      <c r="G224" s="440" t="str">
        <f>IF($A224="*","",VLOOKUP($B224,$B$10:$I$23,G$9,FALSE))</f>
        <v>-</v>
      </c>
      <c r="H224" s="441" t="str">
        <f>IF($A224="*","",VLOOKUP("*#"&amp;$AS224,$A$10:$I$24,H$9+1,FALSE))</f>
        <v>-</v>
      </c>
      <c r="I224" s="441">
        <f>IF($A224="*","",VLOOKUP("*#"&amp;$AS224,$A$10:$I$24,I$9+1,FALSE))</f>
        <v>0</v>
      </c>
      <c r="J224" s="163" t="str">
        <f ca="1">IF($A224="*","",OFFSET(UPS!$C$37,AU224,SUMIF($A$10:$A$24,"*#"&amp;AS224,$AT$10:$AT$24)))</f>
        <v/>
      </c>
      <c r="AR224" s="42">
        <f>AR223</f>
        <v>4</v>
      </c>
      <c r="AS224" s="42">
        <f t="shared" si="106"/>
        <v>12</v>
      </c>
      <c r="AU224" s="42">
        <f ca="1">AU223</f>
        <v>97</v>
      </c>
    </row>
    <row r="225" spans="1:47">
      <c r="B225" s="440" t="str">
        <f>IF(A225="*","",VLOOKUP("*#"&amp;AS225,$A$9:$B$24,2,FALSE))</f>
        <v>NCAP_TLIFE</v>
      </c>
      <c r="C225" s="440" t="str">
        <f ca="1">IF($A225="*","",OFFSET(ITEMS_UPS!$C$22,AR225,0))</f>
        <v>UGASGRS-N</v>
      </c>
      <c r="D225" s="440" t="str">
        <f ca="1">IF($A225="*","",IF(VLOOKUP("*#"&amp;$AS225,$A$10:$I$24,D$9+1,FALSE)="-","-",OFFSET(UPS!$C$37,AU225+AV225,SUMIF($A$10:$A$20,"*#"&amp;AS225,$AT$10:$AT$20))))</f>
        <v>-</v>
      </c>
      <c r="E225" s="440" t="str">
        <f>IF($A225="*","",IF(VLOOKUP("*"&amp;$AS225,$A$10:$I$23,E$9+1,FALSE)="-","-",C225&amp;"-"&amp;RIGHT(VLOOKUP("*"&amp;$AS225,$A$10:$I$23,E$9+1,FALSE),1)))</f>
        <v>-</v>
      </c>
      <c r="F225" s="440" t="str">
        <f>IF($A225="*","",IF(VLOOKUP("*"&amp;$AS225,$A$10:$I$23,F$9+1,FALSE)="-","-",C225&amp;"-"&amp;RIGHT(VLOOKUP("*"&amp;$AS225,$A$10:$I$23,F$9+1,FALSE),1)))</f>
        <v>-</v>
      </c>
      <c r="G225" s="440" t="str">
        <f>IF($A225="*","",VLOOKUP($B225,$B$10:$I$23,G$9,FALSE))</f>
        <v>-</v>
      </c>
      <c r="H225" s="441" t="str">
        <f>IF($A225="*","",VLOOKUP("*#"&amp;$AS225,$A$10:$I$24,H$9+1,FALSE))</f>
        <v>-</v>
      </c>
      <c r="I225" s="441">
        <f>IF($A225="*","",VLOOKUP("*#"&amp;$AS225,$A$10:$I$24,I$9+1,FALSE))</f>
        <v>0</v>
      </c>
      <c r="J225" s="163">
        <f ca="1">IF($A225="*","",OFFSET(UPS!$C$37,AU225,SUMIF($A$10:$A$24,"*#"&amp;AS225,$AT$10:$AT$24)))</f>
        <v>80</v>
      </c>
      <c r="AR225" s="42">
        <f>AR224</f>
        <v>4</v>
      </c>
      <c r="AS225" s="42">
        <f t="shared" si="106"/>
        <v>13</v>
      </c>
      <c r="AU225" s="42">
        <f ca="1">AU224</f>
        <v>97</v>
      </c>
    </row>
    <row r="226" spans="1:47" s="39" customFormat="1" ht="15">
      <c r="B226" s="39" t="s">
        <v>860</v>
      </c>
      <c r="C226" s="39" t="str">
        <f ca="1">IF($A226="*","",OFFSET(ITEMS_UPS!$C$22,AR226,0))</f>
        <v>UGASGRS-N</v>
      </c>
      <c r="D226" s="39" t="str">
        <f ca="1">IF($A226="*","",IF(VLOOKUP("*"&amp;$AS226,$A$10:$I$23,D$9+1,FALSE)="-","-",OFFSET(UPS!$C$37,AU226+AV226,SUMIF($A$10:$A$23,"*"&amp;AS226,$AT$10:$AT$23))))</f>
        <v>-</v>
      </c>
      <c r="E226" s="39" t="str">
        <f>IF($A226="*","",IF(VLOOKUP("*"&amp;$AS226,$A$10:$I$23,E$9+1,FALSE)="-","-",C226&amp;"-"&amp;RIGHT(VLOOKUP("*"&amp;$AS226,$A$10:$I$23,E$9+1,FALSE),1)))</f>
        <v>-</v>
      </c>
      <c r="F226" s="39" t="str">
        <f>IF($A226="*","",IF(VLOOKUP("*"&amp;$AS226,$A$10:$I$23,F$9+1,FALSE)="-","-",C226&amp;"-"&amp;RIGHT(VLOOKUP("*"&amp;$AS226,$A$10:$I$23,F$9+1,FALSE),1)))</f>
        <v>-</v>
      </c>
      <c r="G226" s="39" t="str">
        <f>IF($A226="*","",VLOOKUP($B226,$B$10:$I$23,G$9,FALSE))</f>
        <v>-</v>
      </c>
      <c r="H226" s="838" t="str">
        <f>IF($A226="*","",VLOOKUP("*"&amp;$AS226,$A$10:$I$23,H$9+1,FALSE))</f>
        <v>-</v>
      </c>
      <c r="I226" s="838">
        <f>IF($A226="*","",VLOOKUP($B226,$B$10:$I$23,I$9,FALSE))</f>
        <v>0</v>
      </c>
      <c r="J226" s="39">
        <f>SUP!N92</f>
        <v>116</v>
      </c>
      <c r="AR226" s="42">
        <f>AR225</f>
        <v>4</v>
      </c>
      <c r="AS226" s="42">
        <f t="shared" si="106"/>
        <v>14</v>
      </c>
      <c r="AU226" s="39">
        <f ca="1">AU225</f>
        <v>97</v>
      </c>
    </row>
    <row r="227" spans="1:47">
      <c r="A227" s="42" t="s">
        <v>310</v>
      </c>
      <c r="C227" s="440" t="str">
        <f ca="1">IF($A227="*","",OFFSET(ITEMS_UPS!$C$22,AR227,0))</f>
        <v/>
      </c>
    </row>
    <row r="228" spans="1:47">
      <c r="B228" s="440" t="str">
        <f t="shared" ref="B228:B233" si="107">IF(A228="*","",VLOOKUP("*#"&amp;AS228,$A$9:$B$24,2,FALSE))</f>
        <v>NCAP_AFA</v>
      </c>
      <c r="C228" s="440" t="str">
        <f ca="1">IF($A228="*","",OFFSET(ITEMS_UPS!$C$22,AR228,0))</f>
        <v>UGASGIH-N</v>
      </c>
      <c r="D228" s="440" t="str">
        <f ca="1">IF($A228="*","",IF(VLOOKUP("*#"&amp;$AS228,$A$10:$I$24,D$9+1,FALSE)="-","-",OFFSET(UPS!$C$37,AU228+AV228,SUMIF($A$10:$A$20,"*#"&amp;AS228,$AT$10:$AT$20))))</f>
        <v>-</v>
      </c>
      <c r="E228" s="440" t="str">
        <f>IF($A228="*","",IF(VLOOKUP("*#"&amp;$AS228,$A$10:$I$24,E$9+1,FALSE)="-","-",C228&amp;"-"&amp;RIGHT(VLOOKUP("*#"&amp;$AS228,$A$10:$I$24,E$9+1,FALSE),1)))</f>
        <v>-</v>
      </c>
      <c r="F228" s="440" t="str">
        <f>IF($A228="*","",IF(VLOOKUP("*#"&amp;$AS228,$A$10:$I$24,F$9+1,FALSE)="-","-",C228&amp;"-"&amp;RIGHT(VLOOKUP("*#"&amp;$AS228,$A$10:$I$24,F$9+1,FALSE),1)))</f>
        <v>-</v>
      </c>
      <c r="G228" s="440" t="str">
        <f>IF($A228="*","",VLOOKUP("*#"&amp;$AS228,$A$10:$I$20,G$9+1,FALSE))</f>
        <v>ANNUAL</v>
      </c>
      <c r="H228" s="441" t="str">
        <f t="shared" ref="H228:H233" si="108">IF($A228="*","",VLOOKUP("*#"&amp;$AS228,$A$10:$I$24,H$9+1,FALSE))</f>
        <v>UP</v>
      </c>
      <c r="I228" s="441">
        <f>IF($A228="*","",VLOOKUP("*#"&amp;$AS228,$A$10:$I$20,I$9+1,FALSE))</f>
        <v>3</v>
      </c>
      <c r="J228" s="163">
        <f ca="1">IF($A228="*","",OFFSET(UPS!$C$37,AU228,SUMIF($A$10:$A$20,"*#"&amp;AS228,$AT$10:$AT$20)))</f>
        <v>0.9</v>
      </c>
      <c r="K228" s="163"/>
      <c r="AR228" s="42">
        <f>AR226+1</f>
        <v>5</v>
      </c>
      <c r="AS228" s="42">
        <f t="shared" ref="AS228:AS233" si="109">AS221</f>
        <v>2</v>
      </c>
      <c r="AU228" s="42">
        <f ca="1">SUMIF(UPS!B$38:B$171,C228,UPS!BD$38:BD$171)</f>
        <v>100</v>
      </c>
    </row>
    <row r="229" spans="1:47">
      <c r="B229" s="440" t="str">
        <f t="shared" si="107"/>
        <v>NCAP_AFA</v>
      </c>
      <c r="C229" s="440" t="str">
        <f ca="1">IF($A229="*","",OFFSET(ITEMS_UPS!$C$22,AR229,0))</f>
        <v>UGASGIH-N</v>
      </c>
      <c r="D229" s="440" t="str">
        <f ca="1">IF($A229="*","",IF(VLOOKUP("*#"&amp;$AS229,$A$10:$I$24,D$9+1,FALSE)="-","-",OFFSET(UPS!$C$37,AU229+AV229,SUMIF($A$10:$A$20,"*#"&amp;AS229,$AT$10:$AT$20))))</f>
        <v>-</v>
      </c>
      <c r="E229" s="440" t="str">
        <f>IF($A229="*","",IF(VLOOKUP("*#"&amp;$AS229,$A$10:$I$24,E$9+1,FALSE)="-","-",C229&amp;"-"&amp;RIGHT(VLOOKUP("*#"&amp;$AS229,$A$10:$I$24,E$9+1,FALSE),1)))</f>
        <v>-</v>
      </c>
      <c r="F229" s="440" t="str">
        <f>IF($A229="*","",IF(VLOOKUP("*#"&amp;$AS229,$A$10:$I$24,F$9+1,FALSE)="-","-",C229&amp;"-"&amp;RIGHT(VLOOKUP("*#"&amp;$AS229,$A$10:$I$24,F$9+1,FALSE),1)))</f>
        <v>-</v>
      </c>
      <c r="G229" s="440" t="str">
        <f>IF($A229="*","",VLOOKUP("*#"&amp;$AS229,$A$10:$I$20,G$9+1,FALSE))</f>
        <v>ANNUAL</v>
      </c>
      <c r="H229" s="441" t="str">
        <f t="shared" si="108"/>
        <v>LO</v>
      </c>
      <c r="I229" s="441">
        <f>IF($A229="*","",VLOOKUP("*#"&amp;$AS229,$A$10:$I$24,I$9+1,FALSE))</f>
        <v>3</v>
      </c>
      <c r="J229" s="163">
        <f ca="1">IF($A229="*","",OFFSET(UPS!$C$37,AU229,SUMIF($A$10:$A$24,"*#"&amp;AS229,$AT$10:$AT$24)))</f>
        <v>0.5</v>
      </c>
      <c r="K229" s="163"/>
      <c r="AR229" s="42">
        <f>AR228</f>
        <v>5</v>
      </c>
      <c r="AS229" s="42">
        <f t="shared" si="109"/>
        <v>3</v>
      </c>
      <c r="AU229" s="42">
        <f ca="1">SUMIF(UPS!B$38:B$171,C229,UPS!BD$38:BD$171)</f>
        <v>100</v>
      </c>
    </row>
    <row r="230" spans="1:47">
      <c r="B230" s="440" t="str">
        <f t="shared" si="107"/>
        <v>ACT_EFF</v>
      </c>
      <c r="C230" s="440" t="str">
        <f ca="1">IF($A230="*","",OFFSET(ITEMS_UPS!$C$22,AR230,0))</f>
        <v>UGASGIH-N</v>
      </c>
      <c r="D230" s="440" t="str">
        <f ca="1">IF($A230="*","",IF(VLOOKUP("*#"&amp;$AS230,$A$10:$I$24,D$9+1,FALSE)="-","-",OFFSET(UPS!$C$37,AU230+AV230,SUMIF($A$10:$A$20,"*#"&amp;AS230,$AT$10:$AT$20))))</f>
        <v>-</v>
      </c>
      <c r="E230" s="440" t="s">
        <v>360</v>
      </c>
      <c r="F230" s="440" t="str">
        <f>IF($A230="*","",IF(VLOOKUP("*"&amp;$AS230,$A$10:$I$24,F$9+1,FALSE)="-","-",C230&amp;"-"&amp;RIGHT(VLOOKUP("*"&amp;$AS230,$A$10:$I$24,F$9+1,FALSE),1)))</f>
        <v>-</v>
      </c>
      <c r="G230" s="440" t="s">
        <v>337</v>
      </c>
      <c r="H230" s="441" t="str">
        <f t="shared" si="108"/>
        <v>-</v>
      </c>
      <c r="I230" s="441">
        <f>IF($A230="*","",VLOOKUP("*#"&amp;$AS230,$A$10:$I$24,I$9+1,FALSE))</f>
        <v>0</v>
      </c>
      <c r="J230" s="163">
        <f ca="1">IF($A230="*","",OFFSET(UPS!$C$37,AU230,SUMIF($A$10:$A$24,"*#"&amp;AS230,$AT$10:$AT$24)))</f>
        <v>0.95899999999999996</v>
      </c>
      <c r="K230" s="163"/>
      <c r="AR230" s="42">
        <f>AR229</f>
        <v>5</v>
      </c>
      <c r="AS230" s="42">
        <f t="shared" si="109"/>
        <v>15</v>
      </c>
      <c r="AU230" s="42">
        <f ca="1">AU228</f>
        <v>100</v>
      </c>
    </row>
    <row r="231" spans="1:47">
      <c r="B231" s="440" t="str">
        <f t="shared" si="107"/>
        <v>NCAP_COST</v>
      </c>
      <c r="C231" s="440" t="str">
        <f ca="1">IF($A231="*","",OFFSET(ITEMS_UPS!$C$22,AR231,0))</f>
        <v>UGASGIH-N</v>
      </c>
      <c r="D231" s="440" t="str">
        <f ca="1">IF($A231="*","",IF(VLOOKUP("*#"&amp;$AS231,$A$10:$I$24,D$9+1,FALSE)="-","-",OFFSET(UPS!$C$37,AU231+AV231,SUMIF($A$10:$A$20,"*#"&amp;AS231,$AT$10:$AT$20))))</f>
        <v>-</v>
      </c>
      <c r="E231" s="440" t="str">
        <f>IF($A231="*","",IF(VLOOKUP("*"&amp;$AS231,$A$10:$I$23,E$9+1,FALSE)="-","-",C231&amp;"-"&amp;RIGHT(VLOOKUP("*"&amp;$AS231,$A$10:$I$23,E$9+1,FALSE),1)))</f>
        <v>-</v>
      </c>
      <c r="F231" s="440" t="str">
        <f>IF($A231="*","",IF(VLOOKUP("*"&amp;$AS231,$A$10:$I$24,F$9+1,FALSE)="-","-",C231&amp;"-"&amp;RIGHT(VLOOKUP("*"&amp;$AS231,$A$10:$I$24,F$9+1,FALSE),1)))</f>
        <v>-</v>
      </c>
      <c r="G231" s="440" t="str">
        <f>IF($A231="*","",VLOOKUP($B231,$B$10:$I$23,G$9,FALSE))</f>
        <v>-</v>
      </c>
      <c r="H231" s="441" t="str">
        <f t="shared" si="108"/>
        <v>-</v>
      </c>
      <c r="I231" s="441">
        <f>IF($A231="*","",VLOOKUP("*#"&amp;$AS231,$A$10:$I$24,I$9+1,FALSE))</f>
        <v>0</v>
      </c>
      <c r="J231" s="163">
        <f ca="1">IF($A231="*","",OFFSET(UPS!$C$37,AU231,SUMIF($A$10:$A$24,"*#"&amp;AS231,$AT$10:$AT$24)))</f>
        <v>239.70848957012083</v>
      </c>
      <c r="AR231" s="42">
        <f>AR230</f>
        <v>5</v>
      </c>
      <c r="AS231" s="42">
        <f t="shared" si="109"/>
        <v>12</v>
      </c>
      <c r="AU231" s="42">
        <f ca="1">AU230</f>
        <v>100</v>
      </c>
    </row>
    <row r="232" spans="1:47">
      <c r="B232" s="440" t="str">
        <f t="shared" si="107"/>
        <v>NCAP_TLIFE</v>
      </c>
      <c r="C232" s="440" t="str">
        <f ca="1">IF($A232="*","",OFFSET(ITEMS_UPS!$C$22,AR232,0))</f>
        <v>UGASGIH-N</v>
      </c>
      <c r="D232" s="440" t="str">
        <f ca="1">IF($A232="*","",IF(VLOOKUP("*#"&amp;$AS232,$A$10:$I$24,D$9+1,FALSE)="-","-",OFFSET(UPS!$C$37,AU232+AV232,SUMIF($A$10:$A$20,"*#"&amp;AS232,$AT$10:$AT$20))))</f>
        <v>-</v>
      </c>
      <c r="E232" s="440" t="str">
        <f>IF($A232="*","",IF(VLOOKUP("*"&amp;$AS232,$A$10:$I$23,E$9+1,FALSE)="-","-",C232&amp;"-"&amp;RIGHT(VLOOKUP("*"&amp;$AS232,$A$10:$I$23,E$9+1,FALSE),1)))</f>
        <v>-</v>
      </c>
      <c r="F232" s="440" t="str">
        <f>IF($A232="*","",IF(VLOOKUP("*"&amp;$AS232,$A$10:$I$23,F$9+1,FALSE)="-","-",C232&amp;"-"&amp;RIGHT(VLOOKUP("*"&amp;$AS232,$A$10:$I$23,F$9+1,FALSE),1)))</f>
        <v>-</v>
      </c>
      <c r="G232" s="440" t="str">
        <f>IF($A232="*","",VLOOKUP($B232,$B$10:$I$23,G$9,FALSE))</f>
        <v>-</v>
      </c>
      <c r="H232" s="441" t="str">
        <f t="shared" si="108"/>
        <v>-</v>
      </c>
      <c r="I232" s="441">
        <f>IF($A232="*","",VLOOKUP("*#"&amp;$AS232,$A$10:$I$24,I$9+1,FALSE))</f>
        <v>0</v>
      </c>
      <c r="J232" s="163">
        <f ca="1">IF($A232="*","",OFFSET(UPS!$C$37,AU232,SUMIF($A$10:$A$24,"*#"&amp;AS232,$AT$10:$AT$24)))</f>
        <v>80</v>
      </c>
      <c r="AR232" s="42">
        <f>AR231</f>
        <v>5</v>
      </c>
      <c r="AS232" s="42">
        <f t="shared" si="109"/>
        <v>13</v>
      </c>
      <c r="AU232" s="42">
        <f ca="1">AU231</f>
        <v>100</v>
      </c>
    </row>
    <row r="233" spans="1:47">
      <c r="B233" s="440" t="str">
        <f t="shared" si="107"/>
        <v>NCAP_ILED</v>
      </c>
      <c r="C233" s="440" t="str">
        <f ca="1">IF($A233="*","",OFFSET(ITEMS_UPS!$C$22,AR233,0))</f>
        <v>UGASGIH-N</v>
      </c>
      <c r="D233" s="440" t="str">
        <f ca="1">IF($A233="*","",IF(VLOOKUP("*#"&amp;$AS233,$A$10:$I$24,D$9+1,FALSE)="-","-",OFFSET(UPS!$C$37,AU233+AV233,SUMIF($A$10:$A$20,"*#"&amp;AS233,$AT$10:$AT$20))))</f>
        <v>-</v>
      </c>
      <c r="E233" s="440" t="str">
        <f>IF($A233="*","",IF(VLOOKUP("*"&amp;$AS233,$A$10:$I$23,E$9+1,FALSE)="-","-",C233&amp;"-"&amp;RIGHT(VLOOKUP("*"&amp;$AS233,$A$10:$I$23,E$9+1,FALSE),1)))</f>
        <v>-</v>
      </c>
      <c r="F233" s="440" t="str">
        <f>IF($A233="*","",IF(VLOOKUP("*"&amp;$AS233,$A$10:$I$23,F$9+1,FALSE)="-","-",C233&amp;"-"&amp;RIGHT(VLOOKUP("*"&amp;$AS233,$A$10:$I$23,F$9+1,FALSE),1)))</f>
        <v>-</v>
      </c>
      <c r="G233" s="440" t="str">
        <f>IF($A233="*","",VLOOKUP($B233,$B$10:$I$23,G$9,FALSE))</f>
        <v>-</v>
      </c>
      <c r="H233" s="441" t="str">
        <f t="shared" si="108"/>
        <v>-</v>
      </c>
      <c r="I233" s="441">
        <f>IF($A233="*","",VLOOKUP("*#"&amp;$AS233,$A$10:$I$24,I$9+1,FALSE))</f>
        <v>0</v>
      </c>
      <c r="J233" s="163">
        <f ca="1">IF($A233="*","",OFFSET(UPS!$C$37,AU233,SUMIF($A$10:$A$24,"*#"&amp;AS233,$AT$10:$AT$24)))</f>
        <v>-4</v>
      </c>
      <c r="K233" s="163"/>
      <c r="L233" s="163"/>
      <c r="M233" s="163"/>
      <c r="N233" s="163"/>
      <c r="O233" s="163"/>
      <c r="P233" s="163"/>
      <c r="Q233" s="163"/>
      <c r="R233" s="163"/>
      <c r="S233" s="163"/>
      <c r="T233" s="163"/>
      <c r="U233" s="163"/>
      <c r="V233" s="163"/>
      <c r="W233" s="163"/>
      <c r="X233" s="163"/>
      <c r="Y233" s="163"/>
      <c r="Z233" s="163"/>
      <c r="AA233" s="163"/>
      <c r="AB233" s="163"/>
      <c r="AC233" s="163"/>
      <c r="AD233" s="163"/>
      <c r="AE233" s="163"/>
      <c r="AF233" s="163"/>
      <c r="AG233" s="163"/>
      <c r="AH233" s="163"/>
      <c r="AI233" s="163"/>
      <c r="AJ233" s="163"/>
      <c r="AK233" s="163"/>
      <c r="AL233" s="163"/>
      <c r="AM233" s="163"/>
      <c r="AN233" s="163"/>
      <c r="AO233" s="163"/>
      <c r="AP233" s="163"/>
      <c r="AR233" s="42">
        <f>AR232</f>
        <v>5</v>
      </c>
      <c r="AS233" s="42">
        <f t="shared" si="109"/>
        <v>14</v>
      </c>
      <c r="AU233" s="42">
        <f ca="1">AU232</f>
        <v>100</v>
      </c>
    </row>
    <row r="234" spans="1:47">
      <c r="A234" s="42" t="s">
        <v>310</v>
      </c>
      <c r="C234" s="440" t="str">
        <f ca="1">IF($A234="*","",OFFSET(ITEMS_UPS!$C$22,AR234,0))</f>
        <v/>
      </c>
    </row>
    <row r="235" spans="1:47">
      <c r="B235" s="440" t="str">
        <f t="shared" ref="B235:B240" si="110">IF(A235="*","",VLOOKUP("*#"&amp;AS235,$A$9:$B$24,2,FALSE))</f>
        <v>NCAP_AFA</v>
      </c>
      <c r="C235" s="440" t="str">
        <f ca="1">IF($A235="*","",OFFSET(ITEMS_UPS!$C$22,AR235,0))</f>
        <v>ULGTGRL-N</v>
      </c>
      <c r="D235" s="440" t="str">
        <f ca="1">IF($A235="*","",IF(VLOOKUP("*#"&amp;$AS235,$A$10:$I$24,D$9+1,FALSE)="-","-",OFFSET(UPS!$C$37,AU235+AV235,SUMIF($A$10:$A$20,"*#"&amp;AS235,$AT$10:$AT$20))))</f>
        <v>-</v>
      </c>
      <c r="E235" s="440" t="str">
        <f>IF($A235="*","",IF(VLOOKUP("*#"&amp;$AS235,$A$10:$I$24,E$9+1,FALSE)="-","-",C235&amp;"-"&amp;RIGHT(VLOOKUP("*#"&amp;$AS235,$A$10:$I$24,E$9+1,FALSE),1)))</f>
        <v>-</v>
      </c>
      <c r="F235" s="440" t="str">
        <f>IF($A235="*","",IF(VLOOKUP("*#"&amp;$AS235,$A$10:$I$24,F$9+1,FALSE)="-","-",C235&amp;"-"&amp;RIGHT(VLOOKUP("*#"&amp;$AS235,$A$10:$I$24,F$9+1,FALSE),1)))</f>
        <v>-</v>
      </c>
      <c r="G235" s="440" t="str">
        <f>IF($A235="*","",VLOOKUP("*#"&amp;$AS235,$A$10:$I$20,G$9+1,FALSE))</f>
        <v>ANNUAL</v>
      </c>
      <c r="H235" s="441" t="str">
        <f t="shared" ref="H235:H240" si="111">IF($A235="*","",VLOOKUP("*#"&amp;$AS235,$A$10:$I$24,H$9+1,FALSE))</f>
        <v>UP</v>
      </c>
      <c r="I235" s="441">
        <f>IF($A235="*","",VLOOKUP("*#"&amp;$AS235,$A$10:$I$20,I$9+1,FALSE))</f>
        <v>3</v>
      </c>
      <c r="J235" s="163">
        <f ca="1">IF($A235="*","",OFFSET(UPS!$C$37,AU235,SUMIF($A$10:$A$20,"*#"&amp;AS235,$AT$10:$AT$20)))</f>
        <v>0.9</v>
      </c>
      <c r="K235" s="163"/>
      <c r="AR235" s="42">
        <f>AR233+1</f>
        <v>6</v>
      </c>
      <c r="AS235" s="42">
        <f t="shared" ref="AS235:AS240" si="112">AS228</f>
        <v>2</v>
      </c>
      <c r="AU235" s="42">
        <f ca="1">SUMIF(UPS!B$38:B$171,C235,UPS!BD$38:BD$171)</f>
        <v>103</v>
      </c>
    </row>
    <row r="236" spans="1:47">
      <c r="B236" s="440" t="str">
        <f t="shared" si="110"/>
        <v>NCAP_AFA</v>
      </c>
      <c r="C236" s="440" t="str">
        <f ca="1">IF($A236="*","",OFFSET(ITEMS_UPS!$C$22,AR236,0))</f>
        <v>ULGTGRL-N</v>
      </c>
      <c r="D236" s="440" t="str">
        <f ca="1">IF($A236="*","",IF(VLOOKUP("*#"&amp;$AS236,$A$10:$I$24,D$9+1,FALSE)="-","-",OFFSET(UPS!$C$37,AU236+AV236,SUMIF($A$10:$A$20,"*#"&amp;AS236,$AT$10:$AT$20))))</f>
        <v>-</v>
      </c>
      <c r="E236" s="440" t="str">
        <f>IF($A236="*","",IF(VLOOKUP("*#"&amp;$AS236,$A$10:$I$24,E$9+1,FALSE)="-","-",C236&amp;"-"&amp;RIGHT(VLOOKUP("*#"&amp;$AS236,$A$10:$I$24,E$9+1,FALSE),1)))</f>
        <v>-</v>
      </c>
      <c r="F236" s="440" t="str">
        <f>IF($A236="*","",IF(VLOOKUP("*#"&amp;$AS236,$A$10:$I$24,F$9+1,FALSE)="-","-",C236&amp;"-"&amp;RIGHT(VLOOKUP("*#"&amp;$AS236,$A$10:$I$24,F$9+1,FALSE),1)))</f>
        <v>-</v>
      </c>
      <c r="G236" s="440" t="str">
        <f>IF($A236="*","",VLOOKUP("*#"&amp;$AS236,$A$10:$I$20,G$9+1,FALSE))</f>
        <v>ANNUAL</v>
      </c>
      <c r="H236" s="441" t="str">
        <f t="shared" si="111"/>
        <v>LO</v>
      </c>
      <c r="I236" s="441">
        <f>IF($A236="*","",VLOOKUP("*#"&amp;$AS236,$A$10:$I$24,I$9+1,FALSE))</f>
        <v>3</v>
      </c>
      <c r="J236" s="163">
        <f ca="1">IF($A236="*","",OFFSET(UPS!$C$37,AU236,SUMIF($A$10:$A$24,"*#"&amp;AS236,$AT$10:$AT$24)))</f>
        <v>0.05</v>
      </c>
      <c r="K236" s="163"/>
      <c r="AR236" s="42">
        <f>AR235</f>
        <v>6</v>
      </c>
      <c r="AS236" s="42">
        <f t="shared" si="112"/>
        <v>3</v>
      </c>
      <c r="AU236" s="42">
        <f ca="1">SUMIF(UPS!B$38:B$171,C236,UPS!BD$38:BD$171)</f>
        <v>103</v>
      </c>
    </row>
    <row r="237" spans="1:47">
      <c r="B237" s="440" t="str">
        <f t="shared" si="110"/>
        <v>ACT_EFF</v>
      </c>
      <c r="C237" s="440" t="str">
        <f ca="1">IF($A237="*","",OFFSET(ITEMS_UPS!$C$22,AR237,0))</f>
        <v>ULGTGRL-N</v>
      </c>
      <c r="D237" s="440" t="str">
        <f ca="1">IF($A237="*","",IF(VLOOKUP("*#"&amp;$AS237,$A$10:$I$24,D$9+1,FALSE)="-","-",OFFSET(UPS!$C$37,AU237+AV237,SUMIF($A$10:$A$20,"*#"&amp;AS237,$AT$10:$AT$20))))</f>
        <v>-</v>
      </c>
      <c r="E237" s="440" t="s">
        <v>360</v>
      </c>
      <c r="F237" s="440" t="str">
        <f>IF($A237="*","",IF(VLOOKUP("*"&amp;$AS237,$A$10:$I$24,F$9+1,FALSE)="-","-",C237&amp;"-"&amp;RIGHT(VLOOKUP("*"&amp;$AS237,$A$10:$I$24,F$9+1,FALSE),1)))</f>
        <v>-</v>
      </c>
      <c r="G237" s="440" t="s">
        <v>337</v>
      </c>
      <c r="H237" s="441" t="str">
        <f t="shared" si="111"/>
        <v>-</v>
      </c>
      <c r="I237" s="441">
        <f>IF($A237="*","",VLOOKUP("*#"&amp;$AS237,$A$10:$I$24,I$9+1,FALSE))</f>
        <v>0</v>
      </c>
      <c r="J237" s="163">
        <f ca="1">IF($A237="*","",OFFSET(UPS!$C$37,AU237,SUMIF($A$10:$A$24,"*#"&amp;AS237,$AT$10:$AT$24)))</f>
        <v>0.95899999999999996</v>
      </c>
      <c r="K237" s="163"/>
      <c r="AR237" s="42">
        <f>AR236</f>
        <v>6</v>
      </c>
      <c r="AS237" s="42">
        <f t="shared" si="112"/>
        <v>15</v>
      </c>
      <c r="AU237" s="42">
        <f ca="1">AU235</f>
        <v>103</v>
      </c>
    </row>
    <row r="238" spans="1:47">
      <c r="B238" s="440" t="str">
        <f t="shared" si="110"/>
        <v>NCAP_COST</v>
      </c>
      <c r="C238" s="440" t="str">
        <f ca="1">IF($A238="*","",OFFSET(ITEMS_UPS!$C$22,AR238,0))</f>
        <v>ULGTGRL-N</v>
      </c>
      <c r="D238" s="440" t="str">
        <f ca="1">IF($A238="*","",IF(VLOOKUP("*#"&amp;$AS238,$A$10:$I$24,D$9+1,FALSE)="-","-",OFFSET(UPS!$C$37,AU238+AV238,SUMIF($A$10:$A$20,"*#"&amp;AS238,$AT$10:$AT$20))))</f>
        <v>-</v>
      </c>
      <c r="E238" s="440" t="str">
        <f>IF($A238="*","",IF(VLOOKUP("*"&amp;$AS238,$A$10:$I$23,E$9+1,FALSE)="-","-",C238&amp;"-"&amp;RIGHT(VLOOKUP("*"&amp;$AS238,$A$10:$I$23,E$9+1,FALSE),1)))</f>
        <v>-</v>
      </c>
      <c r="F238" s="440" t="str">
        <f>IF($A238="*","",IF(VLOOKUP("*"&amp;$AS238,$A$10:$I$24,F$9+1,FALSE)="-","-",C238&amp;"-"&amp;RIGHT(VLOOKUP("*"&amp;$AS238,$A$10:$I$24,F$9+1,FALSE),1)))</f>
        <v>-</v>
      </c>
      <c r="G238" s="440" t="str">
        <f>IF($A238="*","",VLOOKUP($B238,$B$10:$I$23,G$9,FALSE))</f>
        <v>-</v>
      </c>
      <c r="H238" s="441" t="str">
        <f t="shared" si="111"/>
        <v>-</v>
      </c>
      <c r="I238" s="441">
        <f>IF($A238="*","",VLOOKUP("*#"&amp;$AS238,$A$10:$I$24,I$9+1,FALSE))</f>
        <v>0</v>
      </c>
      <c r="J238" s="163">
        <f ca="1">IF($A238="*","",OFFSET(UPS!$C$37,AU238,SUMIF($A$10:$A$24,"*#"&amp;AS238,$AT$10:$AT$24)))</f>
        <v>69.134925781250004</v>
      </c>
      <c r="AR238" s="42">
        <f>AR237</f>
        <v>6</v>
      </c>
      <c r="AS238" s="42">
        <f t="shared" si="112"/>
        <v>12</v>
      </c>
      <c r="AU238" s="42">
        <f ca="1">AU237</f>
        <v>103</v>
      </c>
    </row>
    <row r="239" spans="1:47">
      <c r="B239" s="440" t="str">
        <f t="shared" si="110"/>
        <v>NCAP_TLIFE</v>
      </c>
      <c r="C239" s="440" t="str">
        <f ca="1">IF($A239="*","",OFFSET(ITEMS_UPS!$C$22,AR239,0))</f>
        <v>ULGTGRL-N</v>
      </c>
      <c r="D239" s="440" t="str">
        <f ca="1">IF($A239="*","",IF(VLOOKUP("*#"&amp;$AS239,$A$10:$I$24,D$9+1,FALSE)="-","-",OFFSET(UPS!$C$37,AU239+AV239,SUMIF($A$10:$A$20,"*#"&amp;AS239,$AT$10:$AT$20))))</f>
        <v>-</v>
      </c>
      <c r="E239" s="440" t="str">
        <f>IF($A239="*","",IF(VLOOKUP("*"&amp;$AS239,$A$10:$I$23,E$9+1,FALSE)="-","-",C239&amp;"-"&amp;RIGHT(VLOOKUP("*"&amp;$AS239,$A$10:$I$23,E$9+1,FALSE),1)))</f>
        <v>-</v>
      </c>
      <c r="F239" s="440" t="str">
        <f>IF($A239="*","",IF(VLOOKUP("*"&amp;$AS239,$A$10:$I$23,F$9+1,FALSE)="-","-",C239&amp;"-"&amp;RIGHT(VLOOKUP("*"&amp;$AS239,$A$10:$I$23,F$9+1,FALSE),1)))</f>
        <v>-</v>
      </c>
      <c r="G239" s="440" t="str">
        <f>IF($A239="*","",VLOOKUP($B239,$B$10:$I$23,G$9,FALSE))</f>
        <v>-</v>
      </c>
      <c r="H239" s="441" t="str">
        <f t="shared" si="111"/>
        <v>-</v>
      </c>
      <c r="I239" s="441">
        <f>IF($A239="*","",VLOOKUP("*#"&amp;$AS239,$A$10:$I$24,I$9+1,FALSE))</f>
        <v>0</v>
      </c>
      <c r="J239" s="163">
        <f ca="1">IF($A239="*","",OFFSET(UPS!$C$37,AU239,SUMIF($A$10:$A$24,"*#"&amp;AS239,$AT$10:$AT$24)))</f>
        <v>30</v>
      </c>
      <c r="AR239" s="42">
        <f>AR238</f>
        <v>6</v>
      </c>
      <c r="AS239" s="42">
        <f t="shared" si="112"/>
        <v>13</v>
      </c>
      <c r="AU239" s="42">
        <f ca="1">AU238</f>
        <v>103</v>
      </c>
    </row>
    <row r="240" spans="1:47">
      <c r="B240" s="440" t="str">
        <f t="shared" si="110"/>
        <v>NCAP_ILED</v>
      </c>
      <c r="C240" s="440" t="str">
        <f ca="1">IF($A240="*","",OFFSET(ITEMS_UPS!$C$22,AR240,0))</f>
        <v>ULGTGRL-N</v>
      </c>
      <c r="D240" s="440" t="str">
        <f ca="1">IF($A240="*","",IF(VLOOKUP("*#"&amp;$AS240,$A$10:$I$24,D$9+1,FALSE)="-","-",OFFSET(UPS!$C$37,AU240+AV240,SUMIF($A$10:$A$20,"*#"&amp;AS240,$AT$10:$AT$20))))</f>
        <v>-</v>
      </c>
      <c r="E240" s="440" t="str">
        <f>IF($A240="*","",IF(VLOOKUP("*"&amp;$AS240,$A$10:$I$23,E$9+1,FALSE)="-","-",C240&amp;"-"&amp;RIGHT(VLOOKUP("*"&amp;$AS240,$A$10:$I$23,E$9+1,FALSE),1)))</f>
        <v>-</v>
      </c>
      <c r="F240" s="440" t="str">
        <f>IF($A240="*","",IF(VLOOKUP("*"&amp;$AS240,$A$10:$I$23,F$9+1,FALSE)="-","-",C240&amp;"-"&amp;RIGHT(VLOOKUP("*"&amp;$AS240,$A$10:$I$23,F$9+1,FALSE),1)))</f>
        <v>-</v>
      </c>
      <c r="G240" s="440" t="str">
        <f>IF($A240="*","",VLOOKUP($B240,$B$10:$I$23,G$9,FALSE))</f>
        <v>-</v>
      </c>
      <c r="H240" s="441" t="str">
        <f t="shared" si="111"/>
        <v>-</v>
      </c>
      <c r="I240" s="441">
        <f>IF($A240="*","",VLOOKUP("*#"&amp;$AS240,$A$10:$I$24,I$9+1,FALSE))</f>
        <v>0</v>
      </c>
      <c r="J240" s="163">
        <f ca="1">IF($A240="*","",OFFSET(UPS!$C$37,AU240,SUMIF($A$10:$A$24,"*#"&amp;AS240,$AT$10:$AT$24)))</f>
        <v>-4</v>
      </c>
      <c r="K240" s="163"/>
      <c r="L240" s="163"/>
      <c r="M240" s="163"/>
      <c r="N240" s="163"/>
      <c r="O240" s="163"/>
      <c r="P240" s="163"/>
      <c r="Q240" s="163"/>
      <c r="R240" s="163"/>
      <c r="S240" s="163"/>
      <c r="T240" s="163"/>
      <c r="U240" s="163"/>
      <c r="V240" s="163"/>
      <c r="W240" s="163"/>
      <c r="X240" s="163"/>
      <c r="Y240" s="163"/>
      <c r="Z240" s="163"/>
      <c r="AA240" s="163"/>
      <c r="AB240" s="163"/>
      <c r="AC240" s="163"/>
      <c r="AD240" s="163"/>
      <c r="AE240" s="163"/>
      <c r="AF240" s="163"/>
      <c r="AG240" s="163"/>
      <c r="AH240" s="163"/>
      <c r="AI240" s="163"/>
      <c r="AJ240" s="163"/>
      <c r="AK240" s="163"/>
      <c r="AL240" s="163"/>
      <c r="AM240" s="163"/>
      <c r="AN240" s="163"/>
      <c r="AO240" s="163"/>
      <c r="AP240" s="163"/>
      <c r="AR240" s="42">
        <f>AR239</f>
        <v>6</v>
      </c>
      <c r="AS240" s="42">
        <f t="shared" si="112"/>
        <v>14</v>
      </c>
      <c r="AU240" s="42">
        <f ca="1">AU239</f>
        <v>103</v>
      </c>
    </row>
    <row r="241" spans="1:48">
      <c r="A241" s="42" t="s">
        <v>310</v>
      </c>
      <c r="C241" s="440" t="str">
        <f ca="1">IF($A241="*","",OFFSET(ITEMS_UPS!$C$22,AR241,0))</f>
        <v/>
      </c>
    </row>
    <row r="242" spans="1:48">
      <c r="B242" s="440" t="str">
        <f t="shared" ref="B242:B247" si="113">IF(A242="*","",VLOOKUP("*#"&amp;AS242,$A$9:$B$24,2,FALSE))</f>
        <v>NCAP_AFA</v>
      </c>
      <c r="C242" s="440" t="str">
        <f ca="1">IF($A242="*","",OFFSET(ITEMS_UPS!$C$22,AR242,0))</f>
        <v>ULGTGRLFSRU-N</v>
      </c>
      <c r="D242" s="440" t="str">
        <f ca="1">IF($A242="*","",IF(VLOOKUP("*#"&amp;$AS242,$A$10:$I$24,D$9+1,FALSE)="-","-",OFFSET(UPS!$C$37,AU242+AV242,SUMIF($A$10:$A$20,"*#"&amp;AS242,$AT$10:$AT$20))))</f>
        <v>-</v>
      </c>
      <c r="E242" s="440" t="str">
        <f>IF($A242="*","",IF(VLOOKUP("*#"&amp;$AS242,$A$10:$I$24,E$9+1,FALSE)="-","-",C242&amp;"-"&amp;RIGHT(VLOOKUP("*#"&amp;$AS242,$A$10:$I$24,E$9+1,FALSE),1)))</f>
        <v>-</v>
      </c>
      <c r="F242" s="440" t="str">
        <f>IF($A242="*","",IF(VLOOKUP("*#"&amp;$AS242,$A$10:$I$24,F$9+1,FALSE)="-","-",C242&amp;"-"&amp;RIGHT(VLOOKUP("*#"&amp;$AS242,$A$10:$I$24,F$9+1,FALSE),1)))</f>
        <v>-</v>
      </c>
      <c r="G242" s="440" t="str">
        <f>IF($A242="*","",VLOOKUP("*#"&amp;$AS242,$A$10:$I$20,G$9+1,FALSE))</f>
        <v>ANNUAL</v>
      </c>
      <c r="H242" s="441" t="str">
        <f t="shared" ref="H242:H247" si="114">IF($A242="*","",VLOOKUP("*#"&amp;$AS242,$A$10:$I$24,H$9+1,FALSE))</f>
        <v>UP</v>
      </c>
      <c r="I242" s="441">
        <f>IF($A242="*","",VLOOKUP("*#"&amp;$AS242,$A$10:$I$20,I$9+1,FALSE))</f>
        <v>3</v>
      </c>
      <c r="J242" s="163">
        <f ca="1">IF($A242="*","",OFFSET(UPS!$C$37,AU242,SUMIF($A$10:$A$20,"*#"&amp;AS242,$AT$10:$AT$20)))</f>
        <v>0.9</v>
      </c>
      <c r="K242" s="163"/>
      <c r="AR242" s="42">
        <f>AR240+1</f>
        <v>7</v>
      </c>
      <c r="AS242" s="42">
        <f t="shared" ref="AS242:AS247" si="115">AS235</f>
        <v>2</v>
      </c>
      <c r="AU242" s="42">
        <f ca="1">SUMIF(UPS!B$38:B$171,C242,UPS!BD$38:BD$171)</f>
        <v>106</v>
      </c>
    </row>
    <row r="243" spans="1:48">
      <c r="B243" s="440" t="str">
        <f t="shared" si="113"/>
        <v>NCAP_AFA</v>
      </c>
      <c r="C243" s="440" t="str">
        <f ca="1">IF($A243="*","",OFFSET(ITEMS_UPS!$C$22,AR243,0))</f>
        <v>ULGTGRLFSRU-N</v>
      </c>
      <c r="D243" s="440" t="str">
        <f ca="1">IF($A243="*","",IF(VLOOKUP("*#"&amp;$AS243,$A$10:$I$24,D$9+1,FALSE)="-","-",OFFSET(UPS!$C$37,AU243+AV243,SUMIF($A$10:$A$20,"*#"&amp;AS243,$AT$10:$AT$20))))</f>
        <v>-</v>
      </c>
      <c r="E243" s="440" t="str">
        <f>IF($A243="*","",IF(VLOOKUP("*#"&amp;$AS243,$A$10:$I$24,E$9+1,FALSE)="-","-",C243&amp;"-"&amp;RIGHT(VLOOKUP("*#"&amp;$AS243,$A$10:$I$24,E$9+1,FALSE),1)))</f>
        <v>-</v>
      </c>
      <c r="F243" s="440" t="str">
        <f>IF($A243="*","",IF(VLOOKUP("*#"&amp;$AS243,$A$10:$I$24,F$9+1,FALSE)="-","-",C243&amp;"-"&amp;RIGHT(VLOOKUP("*#"&amp;$AS243,$A$10:$I$24,F$9+1,FALSE),1)))</f>
        <v>-</v>
      </c>
      <c r="G243" s="440" t="str">
        <f>IF($A243="*","",VLOOKUP("*#"&amp;$AS243,$A$10:$I$20,G$9+1,FALSE))</f>
        <v>ANNUAL</v>
      </c>
      <c r="H243" s="441" t="str">
        <f t="shared" si="114"/>
        <v>LO</v>
      </c>
      <c r="I243" s="441">
        <f>IF($A243="*","",VLOOKUP("*#"&amp;$AS243,$A$10:$I$24,I$9+1,FALSE))</f>
        <v>3</v>
      </c>
      <c r="J243" s="163">
        <f ca="1">IF($A243="*","",OFFSET(UPS!$C$37,AU243,SUMIF($A$10:$A$24,"*#"&amp;AS243,$AT$10:$AT$24)))</f>
        <v>0.05</v>
      </c>
      <c r="K243" s="163"/>
      <c r="AR243" s="42">
        <f>AR242</f>
        <v>7</v>
      </c>
      <c r="AS243" s="42">
        <f t="shared" si="115"/>
        <v>3</v>
      </c>
      <c r="AU243" s="42">
        <f ca="1">SUMIF(UPS!B$38:B$171,C243,UPS!BD$38:BD$171)</f>
        <v>106</v>
      </c>
    </row>
    <row r="244" spans="1:48">
      <c r="B244" s="440" t="str">
        <f t="shared" si="113"/>
        <v>ACT_EFF</v>
      </c>
      <c r="C244" s="440" t="str">
        <f ca="1">IF($A244="*","",OFFSET(ITEMS_UPS!$C$22,AR244,0))</f>
        <v>ULGTGRLFSRU-N</v>
      </c>
      <c r="D244" s="440" t="str">
        <f ca="1">IF($A244="*","",IF(VLOOKUP("*#"&amp;$AS244,$A$10:$I$24,D$9+1,FALSE)="-","-",OFFSET(UPS!$C$37,AU244+AV244,SUMIF($A$10:$A$20,"*#"&amp;AS244,$AT$10:$AT$20))))</f>
        <v>-</v>
      </c>
      <c r="E244" s="440" t="s">
        <v>360</v>
      </c>
      <c r="F244" s="440" t="str">
        <f>IF($A244="*","",IF(VLOOKUP("*"&amp;$AS244,$A$10:$I$24,F$9+1,FALSE)="-","-",C244&amp;"-"&amp;RIGHT(VLOOKUP("*"&amp;$AS244,$A$10:$I$24,F$9+1,FALSE),1)))</f>
        <v>-</v>
      </c>
      <c r="G244" s="440" t="s">
        <v>337</v>
      </c>
      <c r="H244" s="441" t="str">
        <f t="shared" si="114"/>
        <v>-</v>
      </c>
      <c r="I244" s="441">
        <f>IF($A244="*","",VLOOKUP("*#"&amp;$AS244,$A$10:$I$24,I$9+1,FALSE))</f>
        <v>0</v>
      </c>
      <c r="J244" s="163">
        <f ca="1">IF($A244="*","",OFFSET(UPS!$C$37,AU244,SUMIF($A$10:$A$24,"*#"&amp;AS244,$AT$10:$AT$24)))</f>
        <v>0.95899999999999996</v>
      </c>
      <c r="K244" s="163"/>
      <c r="AR244" s="42">
        <f>AR243</f>
        <v>7</v>
      </c>
      <c r="AS244" s="42">
        <f t="shared" si="115"/>
        <v>15</v>
      </c>
      <c r="AU244" s="42">
        <f ca="1">AU242</f>
        <v>106</v>
      </c>
    </row>
    <row r="245" spans="1:48">
      <c r="B245" s="440" t="str">
        <f t="shared" si="113"/>
        <v>NCAP_COST</v>
      </c>
      <c r="C245" s="440" t="str">
        <f ca="1">IF($A245="*","",OFFSET(ITEMS_UPS!$C$22,AR245,0))</f>
        <v>ULGTGRLFSRU-N</v>
      </c>
      <c r="D245" s="440" t="str">
        <f ca="1">IF($A245="*","",IF(VLOOKUP("*#"&amp;$AS245,$A$10:$I$24,D$9+1,FALSE)="-","-",OFFSET(UPS!$C$37,AU245+AV245,SUMIF($A$10:$A$20,"*#"&amp;AS245,$AT$10:$AT$20))))</f>
        <v>-</v>
      </c>
      <c r="E245" s="440" t="str">
        <f>IF($A245="*","",IF(VLOOKUP("*"&amp;$AS245,$A$10:$I$23,E$9+1,FALSE)="-","-",C245&amp;"-"&amp;RIGHT(VLOOKUP("*"&amp;$AS245,$A$10:$I$23,E$9+1,FALSE),1)))</f>
        <v>-</v>
      </c>
      <c r="F245" s="440" t="str">
        <f>IF($A245="*","",IF(VLOOKUP("*"&amp;$AS245,$A$10:$I$24,F$9+1,FALSE)="-","-",C245&amp;"-"&amp;RIGHT(VLOOKUP("*"&amp;$AS245,$A$10:$I$24,F$9+1,FALSE),1)))</f>
        <v>-</v>
      </c>
      <c r="G245" s="440" t="str">
        <f>IF($A245="*","",VLOOKUP($B245,$B$10:$I$23,G$9,FALSE))</f>
        <v>-</v>
      </c>
      <c r="H245" s="441" t="str">
        <f t="shared" si="114"/>
        <v>-</v>
      </c>
      <c r="I245" s="441">
        <f>IF($A245="*","",VLOOKUP("*#"&amp;$AS245,$A$10:$I$24,I$9+1,FALSE))</f>
        <v>0</v>
      </c>
      <c r="J245" s="163">
        <f ca="1">IF($A245="*","",OFFSET(UPS!$C$37,AU245,SUMIF($A$10:$A$24,"*#"&amp;AS245,$AT$10:$AT$24)))</f>
        <v>92.820735398860336</v>
      </c>
      <c r="AR245" s="42">
        <f>AR244</f>
        <v>7</v>
      </c>
      <c r="AS245" s="42">
        <f t="shared" si="115"/>
        <v>12</v>
      </c>
      <c r="AU245" s="42">
        <f ca="1">AU244</f>
        <v>106</v>
      </c>
    </row>
    <row r="246" spans="1:48">
      <c r="B246" s="440" t="str">
        <f t="shared" si="113"/>
        <v>NCAP_TLIFE</v>
      </c>
      <c r="C246" s="440" t="str">
        <f ca="1">IF($A246="*","",OFFSET(ITEMS_UPS!$C$22,AR246,0))</f>
        <v>ULGTGRLFSRU-N</v>
      </c>
      <c r="D246" s="440" t="str">
        <f ca="1">IF($A246="*","",IF(VLOOKUP("*#"&amp;$AS246,$A$10:$I$24,D$9+1,FALSE)="-","-",OFFSET(UPS!$C$37,AU246+AV246,SUMIF($A$10:$A$20,"*#"&amp;AS246,$AT$10:$AT$20))))</f>
        <v>-</v>
      </c>
      <c r="E246" s="440" t="str">
        <f>IF($A246="*","",IF(VLOOKUP("*"&amp;$AS246,$A$10:$I$23,E$9+1,FALSE)="-","-",C246&amp;"-"&amp;RIGHT(VLOOKUP("*"&amp;$AS246,$A$10:$I$23,E$9+1,FALSE),1)))</f>
        <v>-</v>
      </c>
      <c r="F246" s="440" t="str">
        <f>IF($A246="*","",IF(VLOOKUP("*"&amp;$AS246,$A$10:$I$23,F$9+1,FALSE)="-","-",C246&amp;"-"&amp;RIGHT(VLOOKUP("*"&amp;$AS246,$A$10:$I$23,F$9+1,FALSE),1)))</f>
        <v>-</v>
      </c>
      <c r="G246" s="440" t="str">
        <f>IF($A246="*","",VLOOKUP($B246,$B$10:$I$23,G$9,FALSE))</f>
        <v>-</v>
      </c>
      <c r="H246" s="441" t="str">
        <f t="shared" si="114"/>
        <v>-</v>
      </c>
      <c r="I246" s="441">
        <f>IF($A246="*","",VLOOKUP("*#"&amp;$AS246,$A$10:$I$24,I$9+1,FALSE))</f>
        <v>0</v>
      </c>
      <c r="J246" s="163">
        <f ca="1">IF($A246="*","",OFFSET(UPS!$C$37,AU246,SUMIF($A$10:$A$24,"*#"&amp;AS246,$AT$10:$AT$24)))</f>
        <v>15</v>
      </c>
      <c r="AR246" s="42">
        <f>AR245</f>
        <v>7</v>
      </c>
      <c r="AS246" s="42">
        <f t="shared" si="115"/>
        <v>13</v>
      </c>
      <c r="AU246" s="42">
        <f ca="1">AU245</f>
        <v>106</v>
      </c>
    </row>
    <row r="247" spans="1:48">
      <c r="B247" s="440" t="str">
        <f t="shared" si="113"/>
        <v>NCAP_ILED</v>
      </c>
      <c r="C247" s="440" t="str">
        <f ca="1">IF($A247="*","",OFFSET(ITEMS_UPS!$C$22,AR247,0))</f>
        <v>ULGTGRLFSRU-N</v>
      </c>
      <c r="D247" s="440" t="str">
        <f ca="1">IF($A247="*","",IF(VLOOKUP("*#"&amp;$AS247,$A$10:$I$24,D$9+1,FALSE)="-","-",OFFSET(UPS!$C$37,AU247+AV247,SUMIF($A$10:$A$20,"*#"&amp;AS247,$AT$10:$AT$20))))</f>
        <v>-</v>
      </c>
      <c r="E247" s="440" t="str">
        <f>IF($A247="*","",IF(VLOOKUP("*"&amp;$AS247,$A$10:$I$23,E$9+1,FALSE)="-","-",C247&amp;"-"&amp;RIGHT(VLOOKUP("*"&amp;$AS247,$A$10:$I$23,E$9+1,FALSE),1)))</f>
        <v>-</v>
      </c>
      <c r="F247" s="440" t="str">
        <f>IF($A247="*","",IF(VLOOKUP("*"&amp;$AS247,$A$10:$I$23,F$9+1,FALSE)="-","-",C247&amp;"-"&amp;RIGHT(VLOOKUP("*"&amp;$AS247,$A$10:$I$23,F$9+1,FALSE),1)))</f>
        <v>-</v>
      </c>
      <c r="G247" s="440" t="str">
        <f>IF($A247="*","",VLOOKUP($B247,$B$10:$I$23,G$9,FALSE))</f>
        <v>-</v>
      </c>
      <c r="H247" s="441" t="str">
        <f t="shared" si="114"/>
        <v>-</v>
      </c>
      <c r="I247" s="441">
        <f>IF($A247="*","",VLOOKUP("*#"&amp;$AS247,$A$10:$I$24,I$9+1,FALSE))</f>
        <v>0</v>
      </c>
      <c r="J247" s="163">
        <f ca="1">IF($A247="*","",OFFSET(UPS!$C$37,AU247,SUMIF($A$10:$A$24,"*#"&amp;AS247,$AT$10:$AT$24)))</f>
        <v>-2</v>
      </c>
      <c r="K247" s="163"/>
      <c r="L247" s="163"/>
      <c r="M247" s="163"/>
      <c r="N247" s="163"/>
      <c r="O247" s="163"/>
      <c r="P247" s="163"/>
      <c r="Q247" s="163"/>
      <c r="R247" s="163"/>
      <c r="S247" s="163"/>
      <c r="T247" s="163"/>
      <c r="U247" s="163"/>
      <c r="V247" s="163"/>
      <c r="W247" s="163"/>
      <c r="X247" s="163"/>
      <c r="Y247" s="163"/>
      <c r="Z247" s="163"/>
      <c r="AA247" s="163"/>
      <c r="AB247" s="163"/>
      <c r="AC247" s="163"/>
      <c r="AD247" s="163"/>
      <c r="AE247" s="163"/>
      <c r="AF247" s="163"/>
      <c r="AG247" s="163"/>
      <c r="AH247" s="163"/>
      <c r="AI247" s="163"/>
      <c r="AJ247" s="163"/>
      <c r="AK247" s="163"/>
      <c r="AL247" s="163"/>
      <c r="AM247" s="163"/>
      <c r="AN247" s="163"/>
      <c r="AO247" s="163"/>
      <c r="AP247" s="163"/>
      <c r="AR247" s="42">
        <f>AR246</f>
        <v>7</v>
      </c>
      <c r="AS247" s="42">
        <f t="shared" si="115"/>
        <v>14</v>
      </c>
      <c r="AU247" s="42">
        <f ca="1">AU246</f>
        <v>106</v>
      </c>
    </row>
    <row r="248" spans="1:48">
      <c r="A248" s="42" t="s">
        <v>310</v>
      </c>
      <c r="B248" s="440"/>
      <c r="C248" s="440"/>
      <c r="D248" s="440"/>
      <c r="E248" s="440"/>
      <c r="F248" s="440"/>
      <c r="G248" s="440"/>
      <c r="H248" s="441"/>
      <c r="I248" s="441"/>
      <c r="J248" s="163"/>
      <c r="K248" s="163"/>
      <c r="L248" s="163"/>
      <c r="M248" s="163"/>
      <c r="N248" s="163"/>
      <c r="O248" s="163"/>
      <c r="P248" s="163"/>
      <c r="Q248" s="163"/>
      <c r="R248" s="163"/>
      <c r="S248" s="163"/>
      <c r="T248" s="163"/>
      <c r="U248" s="163"/>
      <c r="V248" s="163"/>
      <c r="W248" s="163"/>
      <c r="X248" s="163"/>
      <c r="Y248" s="163"/>
      <c r="Z248" s="163"/>
      <c r="AA248" s="163"/>
      <c r="AB248" s="163"/>
      <c r="AC248" s="163"/>
      <c r="AD248" s="163"/>
      <c r="AE248" s="163"/>
      <c r="AF248" s="163"/>
      <c r="AG248" s="163"/>
      <c r="AH248" s="163"/>
      <c r="AI248" s="163"/>
      <c r="AJ248" s="163"/>
      <c r="AK248" s="163"/>
      <c r="AL248" s="163"/>
      <c r="AM248" s="163"/>
      <c r="AN248" s="163"/>
      <c r="AO248" s="163"/>
      <c r="AP248" s="163"/>
    </row>
    <row r="249" spans="1:48">
      <c r="A249" s="42" t="s">
        <v>310</v>
      </c>
      <c r="B249" s="438" t="s">
        <v>1392</v>
      </c>
    </row>
    <row r="250" spans="1:48">
      <c r="B250" s="440" t="str">
        <f t="shared" ref="B250:B264" si="116">IF(A250="*","",VLOOKUP("*#"&amp;AS250,$A$9:$B$24,2,FALSE))</f>
        <v>ACT_COST</v>
      </c>
      <c r="C250" s="440" t="str">
        <f ca="1">IF($A250="*","",OFFSET(ITEMS_UPS!$C$8,AR250,0))</f>
        <v>USMRGASHGN</v>
      </c>
      <c r="D250" s="440" t="str">
        <f ca="1">IF($A250="*","",IF(VLOOKUP("*#"&amp;$AS250,$A$10:$I$24,D$9+1,FALSE)="-","-",OFFSET(UPS!$C$37,AU250+AV250,SUMIF($A$10:$A$20,"*#"&amp;AS250,$AT$10:$AT$20))))</f>
        <v>-</v>
      </c>
      <c r="E250" s="440" t="str">
        <f t="shared" ref="E250:E264" si="117">IF($A250="*","",IF(VLOOKUP("*#"&amp;$AS250,$A$10:$I$24,E$9+1,FALSE)="-","-",C250&amp;"-"&amp;RIGHT(VLOOKUP("*#"&amp;$AS250,$A$10:$I$24,E$9+1,FALSE),1)))</f>
        <v>-</v>
      </c>
      <c r="F250" s="440" t="str">
        <f t="shared" ref="F250:F264" si="118">IF($A250="*","",IF(VLOOKUP("*#"&amp;$AS250,$A$10:$I$24,F$9+1,FALSE)="-","-",C250&amp;"-"&amp;RIGHT(VLOOKUP("*#"&amp;$AS250,$A$10:$I$24,F$9+1,FALSE),1)))</f>
        <v>-</v>
      </c>
      <c r="G250" s="440" t="str">
        <f t="shared" ref="G250:G261" si="119">IF($A250="*","",VLOOKUP("*#"&amp;$AS250,$A$10:$I$20,G$9+1,FALSE))</f>
        <v>-</v>
      </c>
      <c r="H250" s="441" t="str">
        <f t="shared" ref="H250:H264" si="120">IF($A250="*","",VLOOKUP("*#"&amp;$AS250,$A$10:$I$24,H$9+1,FALSE))</f>
        <v>-</v>
      </c>
      <c r="I250" s="441">
        <f t="shared" ref="I250:I261" si="121">IF($A250="*","",VLOOKUP("*#"&amp;$AS250,$A$10:$I$20,I$9+1,FALSE))</f>
        <v>0</v>
      </c>
      <c r="J250" s="163">
        <f ca="1">IF($A250="*","",OFFSET(UPS!$C$37,AU250,SUMIF($A$10:$A$20,"*#"&amp;AS250,$AT$10:$AT$20)))</f>
        <v>0</v>
      </c>
      <c r="K250" s="163"/>
      <c r="AR250" s="42">
        <f>ROW(ITEMS_UPS!C31)-ROW(ITEMS_UPS!C8)</f>
        <v>23</v>
      </c>
      <c r="AS250" s="42">
        <v>1</v>
      </c>
      <c r="AU250" s="42">
        <f ca="1">SUMIF(UPS!B$38:B$171,C250,UPS!BD$38:BD$171)</f>
        <v>110</v>
      </c>
    </row>
    <row r="251" spans="1:48">
      <c r="B251" s="440" t="str">
        <f t="shared" si="116"/>
        <v>NCAP_AFA</v>
      </c>
      <c r="C251" s="440" t="str">
        <f ca="1">IF($A251="*","",OFFSET(ITEMS_UPS!$C$8,AR251,0))</f>
        <v>USMRGASHGN</v>
      </c>
      <c r="D251" s="440" t="str">
        <f ca="1">IF($A251="*","",IF(VLOOKUP("*#"&amp;$AS251,$A$10:$I$24,D$9+1,FALSE)="-","-",OFFSET(UPS!$C$37,AU251+AV251,SUMIF($A$10:$A$20,"*#"&amp;AS251,$AT$10:$AT$20))))</f>
        <v>-</v>
      </c>
      <c r="E251" s="440" t="str">
        <f t="shared" si="117"/>
        <v>-</v>
      </c>
      <c r="F251" s="440" t="str">
        <f t="shared" si="118"/>
        <v>-</v>
      </c>
      <c r="G251" s="440" t="str">
        <f t="shared" si="119"/>
        <v>ANNUAL</v>
      </c>
      <c r="H251" s="441" t="str">
        <f t="shared" si="120"/>
        <v>UP</v>
      </c>
      <c r="I251" s="441">
        <f t="shared" si="121"/>
        <v>3</v>
      </c>
      <c r="J251" s="163">
        <f ca="1">IF($A251="*","",OFFSET(UPS!$C$37,AU251,SUMIF($A$10:$A$20,"*#"&amp;AS251,$AT$10:$AT$20)))</f>
        <v>0.9</v>
      </c>
      <c r="K251" s="163"/>
      <c r="AR251" s="42">
        <f t="shared" ref="AR251:AR259" si="122">AR250</f>
        <v>23</v>
      </c>
      <c r="AS251" s="42">
        <f t="shared" ref="AS251:AS256" si="123">IF(AR251=AR250,AS250+1,1)</f>
        <v>2</v>
      </c>
      <c r="AU251" s="42">
        <f ca="1">SUMIF(UPS!B$38:B$171,C251,UPS!BD$38:BD$171)</f>
        <v>110</v>
      </c>
    </row>
    <row r="252" spans="1:48">
      <c r="B252" s="440" t="str">
        <f t="shared" si="116"/>
        <v>NCAP_AFA</v>
      </c>
      <c r="C252" s="440" t="str">
        <f ca="1">IF($A252="*","",OFFSET(ITEMS_UPS!$C$8,AR252,0))</f>
        <v>USMRGASHGN</v>
      </c>
      <c r="D252" s="440" t="str">
        <f ca="1">IF($A252="*","",IF(VLOOKUP("*#"&amp;$AS252,$A$10:$I$24,D$9+1,FALSE)="-","-",OFFSET(UPS!$C$37,AU252+AV252,SUMIF($A$10:$A$20,"*#"&amp;AS252,$AT$10:$AT$20))))</f>
        <v>-</v>
      </c>
      <c r="E252" s="440" t="str">
        <f t="shared" si="117"/>
        <v>-</v>
      </c>
      <c r="F252" s="440" t="str">
        <f t="shared" si="118"/>
        <v>-</v>
      </c>
      <c r="G252" s="440" t="str">
        <f t="shared" si="119"/>
        <v>ANNUAL</v>
      </c>
      <c r="H252" s="441" t="str">
        <f t="shared" si="120"/>
        <v>LO</v>
      </c>
      <c r="I252" s="441">
        <f t="shared" si="121"/>
        <v>3</v>
      </c>
      <c r="J252" s="163" t="str">
        <f ca="1">IF($A252="*","",OFFSET(UPS!$C$37,AU252,SUMIF($A$10:$A$20,"*#"&amp;AS252,$AT$10:$AT$20)))</f>
        <v/>
      </c>
      <c r="K252" s="163"/>
      <c r="AR252" s="42">
        <f t="shared" si="122"/>
        <v>23</v>
      </c>
      <c r="AS252" s="42">
        <f t="shared" si="123"/>
        <v>3</v>
      </c>
      <c r="AU252" s="42">
        <f ca="1">SUMIF(UPS!B$38:B$171,C252,UPS!BD$38:BD$171)</f>
        <v>110</v>
      </c>
    </row>
    <row r="253" spans="1:48">
      <c r="B253" s="440" t="str">
        <f t="shared" si="116"/>
        <v>NCAP_FOM</v>
      </c>
      <c r="C253" s="440" t="str">
        <f ca="1">IF($A253="*","",OFFSET(ITEMS_UPS!$C$8,AR253,0))</f>
        <v>USMRGASHGN</v>
      </c>
      <c r="D253" s="440" t="str">
        <f ca="1">IF($A253="*","",IF(VLOOKUP("*#"&amp;$AS253,$A$10:$I$24,D$9+1,FALSE)="-","-",OFFSET(UPS!$C$37,AU253+AV253,SUMIF($A$10:$A$20,"*#"&amp;AS253,$AT$10:$AT$20))))</f>
        <v>-</v>
      </c>
      <c r="E253" s="440" t="str">
        <f t="shared" si="117"/>
        <v>-</v>
      </c>
      <c r="F253" s="440" t="str">
        <f t="shared" si="118"/>
        <v>-</v>
      </c>
      <c r="G253" s="440" t="str">
        <f t="shared" si="119"/>
        <v>-</v>
      </c>
      <c r="H253" s="441" t="str">
        <f t="shared" si="120"/>
        <v>-</v>
      </c>
      <c r="I253" s="441">
        <f t="shared" si="121"/>
        <v>0</v>
      </c>
      <c r="J253" s="163">
        <f ca="1">IF($A253="*","",OFFSET(UPS!$C$37,AU253,SUMIF($A$10:$A$20,"*#"&amp;AS253,$AT$10:$AT$20)))</f>
        <v>5.6165845756230484</v>
      </c>
      <c r="K253" s="163"/>
      <c r="AR253" s="42">
        <f t="shared" si="122"/>
        <v>23</v>
      </c>
      <c r="AS253" s="42">
        <f t="shared" si="123"/>
        <v>4</v>
      </c>
      <c r="AU253" s="42">
        <f ca="1">SUMIF(UPS!B$38:B$171,C253,UPS!BD$38:BD$171)</f>
        <v>110</v>
      </c>
    </row>
    <row r="254" spans="1:48">
      <c r="B254" s="440" t="str">
        <f t="shared" si="116"/>
        <v>NCAP_BND</v>
      </c>
      <c r="C254" s="440" t="str">
        <f ca="1">IF($A254="*","",OFFSET(ITEMS_UPS!$C$8,AR254,0))</f>
        <v>USMRGASHGN</v>
      </c>
      <c r="D254" s="440" t="str">
        <f ca="1">IF($A254="*","",IF(VLOOKUP("*#"&amp;$AS254,$A$10:$I$24,D$9+1,FALSE)="-","-",OFFSET(UPS!$C$37,AU254+AV254,SUMIF($A$10:$A$20,"*#"&amp;AS254,$AT$10:$AT$20))))</f>
        <v>-</v>
      </c>
      <c r="E254" s="440" t="str">
        <f t="shared" si="117"/>
        <v>-</v>
      </c>
      <c r="F254" s="440" t="str">
        <f t="shared" si="118"/>
        <v>-</v>
      </c>
      <c r="G254" s="440" t="str">
        <f t="shared" si="119"/>
        <v>-</v>
      </c>
      <c r="H254" s="441" t="str">
        <f t="shared" si="120"/>
        <v>UP</v>
      </c>
      <c r="I254" s="441">
        <f t="shared" si="121"/>
        <v>3</v>
      </c>
      <c r="J254" s="163" t="str">
        <f ca="1">IF($A254="*","",OFFSET(UPS!$C$37,AU254,SUMIF($A$10:$A$20,"*#"&amp;AS254,$AT$10:$AT$20)))</f>
        <v/>
      </c>
      <c r="K254" s="163"/>
      <c r="M254" s="872"/>
      <c r="AR254" s="42">
        <f>AR252</f>
        <v>23</v>
      </c>
      <c r="AS254" s="42">
        <f t="shared" si="123"/>
        <v>5</v>
      </c>
      <c r="AU254" s="42">
        <f ca="1">SUMIF(UPS!B$38:B$171,C254,UPS!BD$38:BD$171)</f>
        <v>110</v>
      </c>
    </row>
    <row r="255" spans="1:48">
      <c r="B255" s="440" t="str">
        <f t="shared" si="116"/>
        <v>FLO_FUNC</v>
      </c>
      <c r="C255" s="440" t="str">
        <f ca="1">IF($A255="*","",OFFSET(ITEMS_UPS!$C$8,AR255,0))</f>
        <v>USMRGASHGN</v>
      </c>
      <c r="D255" s="440" t="str">
        <f ca="1">IF($A255="*","",IF(VLOOKUP("*#"&amp;$AS255,$A$10:$I$24,D$9+1,FALSE)="-","-",OFFSET(UPS!$C$37,AU255+AV255,SUMIF($A$10:$A$20,"*#"&amp;AS255,$AT$10:$AT$20))))</f>
        <v>-</v>
      </c>
      <c r="E255" s="440" t="str">
        <f t="shared" ca="1" si="117"/>
        <v>USMRGASHGN-I</v>
      </c>
      <c r="F255" s="440" t="str">
        <f t="shared" ca="1" si="118"/>
        <v>USMRGASHGN-O</v>
      </c>
      <c r="G255" s="440" t="str">
        <f t="shared" si="119"/>
        <v>ANNUAL</v>
      </c>
      <c r="H255" s="441" t="str">
        <f t="shared" si="120"/>
        <v>-</v>
      </c>
      <c r="I255" s="441">
        <f t="shared" si="121"/>
        <v>0</v>
      </c>
      <c r="J255" s="163">
        <f ca="1">IF($A255="*","",OFFSET(UPS!$C$37,AU255,SUMIF($A$10:$A$20,"*#"&amp;AS255,$AT$10:$AT$20)))</f>
        <v>0.8</v>
      </c>
      <c r="K255" s="163"/>
      <c r="AR255" s="42">
        <f t="shared" si="122"/>
        <v>23</v>
      </c>
      <c r="AS255" s="42">
        <f t="shared" si="123"/>
        <v>6</v>
      </c>
      <c r="AU255" s="42">
        <f ca="1">SUMIF(UPS!B$38:B$171,C255,UPS!BD$38:BD$171)</f>
        <v>110</v>
      </c>
    </row>
    <row r="256" spans="1:48">
      <c r="B256" s="440" t="str">
        <f t="shared" si="116"/>
        <v>FLO_SHAR</v>
      </c>
      <c r="C256" s="440" t="str">
        <f ca="1">IF($A256="*","",OFFSET(ITEMS_UPS!$C$8,AR256,0))</f>
        <v>USMRGASHGN</v>
      </c>
      <c r="D256" s="440" t="str">
        <f ca="1">IF($A256="*","",IF(VLOOKUP("*#"&amp;$AS256,$A$10:$I$24,D$9+1,FALSE)="-","-",OFFSET(UPS!$C$37,AU256+AV256,SUMIF($A$10:$A$20,"*#"&amp;AS256,$AT$10:$AT$20))))</f>
        <v>UPSGAS</v>
      </c>
      <c r="E256" s="440" t="str">
        <f t="shared" ca="1" si="117"/>
        <v>USMRGASHGN-I</v>
      </c>
      <c r="F256" s="440" t="str">
        <f t="shared" si="118"/>
        <v>-</v>
      </c>
      <c r="G256" s="440" t="str">
        <f t="shared" si="119"/>
        <v>ANNUAL</v>
      </c>
      <c r="H256" s="441" t="str">
        <f t="shared" si="120"/>
        <v>FX</v>
      </c>
      <c r="I256" s="441">
        <f t="shared" si="121"/>
        <v>3</v>
      </c>
      <c r="J256" s="163">
        <f ca="1">IF($A256="*","",OFFSET(UPS!$C$37,AU256+AV256,SUMIF($A$10:$A$20,"*#"&amp;AS256,$AV$10:$AV$20)))</f>
        <v>0.93659535804320382</v>
      </c>
      <c r="K256" s="163"/>
      <c r="AR256" s="42">
        <f t="shared" si="122"/>
        <v>23</v>
      </c>
      <c r="AS256" s="42">
        <f t="shared" si="123"/>
        <v>7</v>
      </c>
      <c r="AU256" s="42">
        <f ca="1">SUMIF(UPS!B$38:B$171,C256,UPS!BD$38:BD$171)</f>
        <v>110</v>
      </c>
      <c r="AV256" s="42">
        <v>0</v>
      </c>
    </row>
    <row r="257" spans="1:48">
      <c r="B257" s="440" t="str">
        <f t="shared" si="116"/>
        <v>FLO_SHAR</v>
      </c>
      <c r="C257" s="440" t="str">
        <f ca="1">IF($A257="*","",OFFSET(ITEMS_UPS!$C$8,AR257,0))</f>
        <v>USMRGASHGN</v>
      </c>
      <c r="D257" s="440" t="str">
        <f ca="1">IF($A257="*","",IF(VLOOKUP("*#"&amp;$AS257,$A$10:$I$24,D$9+1,FALSE)="-","-",OFFSET(UPS!$C$37,AU257+AV257,SUMIF($A$10:$A$20,"*#"&amp;AS257,$AT$10:$AT$20))))</f>
        <v>UPSHEN</v>
      </c>
      <c r="E257" s="440" t="str">
        <f t="shared" ca="1" si="117"/>
        <v>USMRGASHGN-I</v>
      </c>
      <c r="F257" s="440" t="str">
        <f t="shared" si="118"/>
        <v>-</v>
      </c>
      <c r="G257" s="440" t="str">
        <f t="shared" si="119"/>
        <v>ANNUAL</v>
      </c>
      <c r="H257" s="441" t="str">
        <f t="shared" si="120"/>
        <v>FX</v>
      </c>
      <c r="I257" s="441">
        <f t="shared" si="121"/>
        <v>3</v>
      </c>
      <c r="J257" s="163">
        <f ca="1">IF($A257="*","",OFFSET(UPS!$C$37,AU257+AV257,SUMIF($A$10:$A$20,"*#"&amp;AS257,$AV$10:$AV$20)))</f>
        <v>0</v>
      </c>
      <c r="K257" s="163"/>
      <c r="AR257" s="42">
        <f t="shared" si="122"/>
        <v>23</v>
      </c>
      <c r="AS257" s="42">
        <f>AS256</f>
        <v>7</v>
      </c>
      <c r="AU257" s="42">
        <f ca="1">SUMIF(UPS!B$38:B$171,C257,UPS!BD$38:BD$171)</f>
        <v>110</v>
      </c>
      <c r="AV257" s="42">
        <f>AV256+1</f>
        <v>1</v>
      </c>
    </row>
    <row r="258" spans="1:48">
      <c r="B258" s="440" t="str">
        <f t="shared" si="116"/>
        <v>FLO_SHAR</v>
      </c>
      <c r="C258" s="440" t="str">
        <f ca="1">IF($A258="*","",OFFSET(ITEMS_UPS!$C$8,AR258,0))</f>
        <v>USMRGASHGN</v>
      </c>
      <c r="D258" s="440" t="str">
        <f ca="1">IF($A258="*","",IF(VLOOKUP("*#"&amp;$AS258,$A$10:$I$24,D$9+1,FALSE)="-","-",OFFSET(UPS!$C$37,AU258+AV258,SUMIF($A$10:$A$20,"*#"&amp;AS258,$AT$10:$AT$20))))</f>
        <v>UPSELC</v>
      </c>
      <c r="E258" s="440" t="str">
        <f t="shared" ca="1" si="117"/>
        <v>USMRGASHGN-I</v>
      </c>
      <c r="F258" s="440" t="str">
        <f t="shared" si="118"/>
        <v>-</v>
      </c>
      <c r="G258" s="440" t="str">
        <f t="shared" si="119"/>
        <v>ANNUAL</v>
      </c>
      <c r="H258" s="441" t="str">
        <f t="shared" si="120"/>
        <v>FX</v>
      </c>
      <c r="I258" s="441">
        <f t="shared" si="121"/>
        <v>3</v>
      </c>
      <c r="J258" s="163">
        <f ca="1">IF($A258="*","",OFFSET(UPS!$C$37,AU258+AV258,SUMIF($A$10:$A$20,"*#"&amp;AS258,$AV$10:$AV$20)))</f>
        <v>6.3404641956796237E-2</v>
      </c>
      <c r="K258" s="163"/>
      <c r="AR258" s="42">
        <f t="shared" si="122"/>
        <v>23</v>
      </c>
      <c r="AS258" s="42">
        <v>7</v>
      </c>
      <c r="AU258" s="42">
        <f ca="1">SUMIF(UPS!B$38:B$171,C258,UPS!BD$38:BD$171)</f>
        <v>110</v>
      </c>
      <c r="AV258" s="42">
        <f>AV257+1</f>
        <v>2</v>
      </c>
    </row>
    <row r="259" spans="1:48">
      <c r="B259" s="440" t="str">
        <f t="shared" si="116"/>
        <v>FLO_SHAR</v>
      </c>
      <c r="C259" s="440" t="str">
        <f ca="1">IF($A259="*","",OFFSET(ITEMS_UPS!$C$8,AR259,0))</f>
        <v>USMRGASHGN</v>
      </c>
      <c r="D259" s="440" t="str">
        <f ca="1">IF($A259="*","",IF(VLOOKUP("*#"&amp;$AS259,$A$10:$I$24,D$9+1,FALSE)="-","-",OFFSET(UPS!$C$37,AU259+AV259,SUMIF($A$10:$A$20,"*#"&amp;AS259,$AT$10:$AT$20))))</f>
        <v>UPSHGN</v>
      </c>
      <c r="E259" s="440" t="str">
        <f t="shared" ca="1" si="117"/>
        <v>USMRGASHGN-O</v>
      </c>
      <c r="F259" s="440" t="str">
        <f t="shared" si="118"/>
        <v>-</v>
      </c>
      <c r="G259" s="440" t="str">
        <f t="shared" si="119"/>
        <v>ANNUAL</v>
      </c>
      <c r="H259" s="441" t="str">
        <f t="shared" si="120"/>
        <v>UP</v>
      </c>
      <c r="I259" s="441">
        <f t="shared" si="121"/>
        <v>3</v>
      </c>
      <c r="J259" s="163">
        <f ca="1">IF($A259="*","",OFFSET(UPS!$C$37,AU259+AV259,SUMIF($A$10:$A$20,"*#"&amp;AS259,$AV$10:$AV$20)))</f>
        <v>1</v>
      </c>
      <c r="K259" s="163"/>
      <c r="AR259" s="42">
        <f t="shared" si="122"/>
        <v>23</v>
      </c>
      <c r="AS259" s="42">
        <v>8</v>
      </c>
      <c r="AU259" s="42">
        <f ca="1">SUMIF(UPS!B$38:B$171,C259,UPS!BD$38:BD$171)</f>
        <v>110</v>
      </c>
      <c r="AV259" s="42">
        <f>AV258+1</f>
        <v>3</v>
      </c>
    </row>
    <row r="260" spans="1:48">
      <c r="B260" s="440" t="str">
        <f t="shared" si="116"/>
        <v>FLO_EMIS</v>
      </c>
      <c r="C260" s="440" t="str">
        <f ca="1">IF($A260="*","",OFFSET(ITEMS_UPS!$C$8,AR260,0))</f>
        <v>USMRGASHGN</v>
      </c>
      <c r="D260" s="440" t="str">
        <f>$D$18</f>
        <v>UPSCO2S</v>
      </c>
      <c r="E260" s="440" t="str">
        <f t="shared" ca="1" si="117"/>
        <v>USMRGASHGN-O</v>
      </c>
      <c r="F260" s="440" t="str">
        <f t="shared" si="118"/>
        <v>-</v>
      </c>
      <c r="G260" s="440" t="str">
        <f t="shared" si="119"/>
        <v>ANNUAL</v>
      </c>
      <c r="H260" s="441" t="str">
        <f t="shared" si="120"/>
        <v>-</v>
      </c>
      <c r="I260" s="441">
        <f t="shared" si="121"/>
        <v>0</v>
      </c>
      <c r="J260" s="163">
        <f ca="1">IF($A260="*","",OFFSET(UPS!$C$37,AU260,SUMIF($A$10:$A$20,"*#"&amp;AS260,$AT$10:$AT$20)))</f>
        <v>88.593333333333334</v>
      </c>
      <c r="K260" s="163"/>
      <c r="AR260" s="42">
        <f>AR259</f>
        <v>23</v>
      </c>
      <c r="AS260" s="42">
        <f>AS259+1</f>
        <v>9</v>
      </c>
      <c r="AU260" s="42">
        <f ca="1">SUMIF(UPS!B$38:B$171,C260,UPS!BD$38:BD$171)</f>
        <v>110</v>
      </c>
      <c r="AV260" s="42">
        <f t="shared" ref="AV260:AV261" si="124">AV259+1</f>
        <v>4</v>
      </c>
    </row>
    <row r="261" spans="1:48">
      <c r="B261" s="440" t="str">
        <f t="shared" si="116"/>
        <v>FLO_EMIS</v>
      </c>
      <c r="C261" s="440" t="str">
        <f ca="1">IF($A261="*","",OFFSET(ITEMS_UPS!$C$8,AR261,0))</f>
        <v>USMRGASHGN</v>
      </c>
      <c r="D261" s="440" t="str">
        <f>$D$19</f>
        <v>UPSCH4S</v>
      </c>
      <c r="E261" s="440" t="str">
        <f t="shared" ca="1" si="117"/>
        <v>USMRGASHGN-O</v>
      </c>
      <c r="F261" s="440" t="str">
        <f t="shared" si="118"/>
        <v>-</v>
      </c>
      <c r="G261" s="440" t="str">
        <f t="shared" si="119"/>
        <v>ANNUAL</v>
      </c>
      <c r="H261" s="441" t="str">
        <f t="shared" si="120"/>
        <v>-</v>
      </c>
      <c r="I261" s="441">
        <f t="shared" si="121"/>
        <v>0</v>
      </c>
      <c r="J261" s="163">
        <f ca="1">IF($A261="*","",OFFSET(UPS!$C$37,AU261,SUMIF($A$10:$A$20,"*#"&amp;AS261,$AT$10:$AT$20)))</f>
        <v>1.2177777777777774</v>
      </c>
      <c r="K261" s="163"/>
      <c r="AR261" s="42">
        <f>AR260</f>
        <v>23</v>
      </c>
      <c r="AS261" s="42">
        <f>AS260+1</f>
        <v>10</v>
      </c>
      <c r="AU261" s="42">
        <f ca="1">SUMIF(UPS!B$38:B$171,C261,UPS!BD$38:BD$171)</f>
        <v>110</v>
      </c>
      <c r="AV261" s="42">
        <f t="shared" si="124"/>
        <v>5</v>
      </c>
    </row>
    <row r="262" spans="1:48">
      <c r="B262" s="440" t="str">
        <f t="shared" si="116"/>
        <v>NCAP_COST</v>
      </c>
      <c r="C262" s="440" t="str">
        <f ca="1">IF($A262="*","",OFFSET(ITEMS_UPS!$C$8,AR262,0))</f>
        <v>USMRGASHGN</v>
      </c>
      <c r="D262" s="440" t="str">
        <f ca="1">IF($A262="*","",IF(VLOOKUP("*#"&amp;$AS262,$A$10:$I$24,D$9+1,FALSE)="-","-",OFFSET(UPS!$C$37,AU262+AV262,SUMIF($A$10:$A$20,"*#"&amp;AS262,$AT$10:$AT$20))))</f>
        <v>-</v>
      </c>
      <c r="E262" s="440" t="str">
        <f t="shared" si="117"/>
        <v>-</v>
      </c>
      <c r="F262" s="440" t="str">
        <f t="shared" si="118"/>
        <v>-</v>
      </c>
      <c r="G262" s="440" t="str">
        <f>IF($A262="*","",VLOOKUP("*#"&amp;$AS262,$A$10:$I$24,G$9+1,FALSE))</f>
        <v>-</v>
      </c>
      <c r="H262" s="441" t="str">
        <f t="shared" si="120"/>
        <v>-</v>
      </c>
      <c r="I262" s="441">
        <f>IF($A262="*","",VLOOKUP("*#"&amp;$AS262,$A$10:$I$24,I$9+1,FALSE))</f>
        <v>0</v>
      </c>
      <c r="J262" s="163">
        <f ca="1">IF($A262="*","",OFFSET(UPS!$C$37,AU262,SUMIF($A$10:$A$24,"*#"&amp;AS262,$AT$10:$AT$24)))</f>
        <v>128.68199999999999</v>
      </c>
      <c r="K262" s="163"/>
      <c r="L262" s="163"/>
      <c r="M262" s="163"/>
      <c r="N262" s="163"/>
      <c r="O262" s="163"/>
      <c r="P262" s="163"/>
      <c r="Q262" s="163"/>
      <c r="R262" s="163"/>
      <c r="S262" s="163"/>
      <c r="T262" s="163"/>
      <c r="U262" s="163"/>
      <c r="V262" s="163"/>
      <c r="W262" s="163"/>
      <c r="X262" s="163"/>
      <c r="Y262" s="163"/>
      <c r="Z262" s="163"/>
      <c r="AA262" s="163"/>
      <c r="AB262" s="163"/>
      <c r="AC262" s="163"/>
      <c r="AD262" s="163"/>
      <c r="AE262" s="163"/>
      <c r="AF262" s="163"/>
      <c r="AG262" s="163"/>
      <c r="AH262" s="163"/>
      <c r="AI262" s="163"/>
      <c r="AJ262" s="163"/>
      <c r="AK262" s="163"/>
      <c r="AL262" s="163"/>
      <c r="AM262" s="163"/>
      <c r="AN262" s="163"/>
      <c r="AO262" s="163"/>
      <c r="AP262" s="163"/>
      <c r="AR262" s="42">
        <f>AR261</f>
        <v>23</v>
      </c>
      <c r="AS262" s="42">
        <f>AS261+2</f>
        <v>12</v>
      </c>
      <c r="AU262" s="42">
        <f ca="1">SUMIF(UPS!B$38:B$171,C262,UPS!BD$38:BD$171)</f>
        <v>110</v>
      </c>
    </row>
    <row r="263" spans="1:48">
      <c r="B263" s="440" t="str">
        <f t="shared" si="116"/>
        <v>NCAP_TLIFE</v>
      </c>
      <c r="C263" s="440" t="str">
        <f ca="1">IF($A263="*","",OFFSET(ITEMS_UPS!$C$8,AR263,0))</f>
        <v>USMRGASHGN</v>
      </c>
      <c r="D263" s="440" t="str">
        <f ca="1">IF($A263="*","",IF(VLOOKUP("*#"&amp;$AS263,$A$10:$I$24,D$9+1,FALSE)="-","-",OFFSET(UPS!$C$37,AU263+AV263,SUMIF($A$10:$A$20,"*#"&amp;AS263,$AT$10:$AT$20))))</f>
        <v>-</v>
      </c>
      <c r="E263" s="440" t="str">
        <f t="shared" si="117"/>
        <v>-</v>
      </c>
      <c r="F263" s="440" t="str">
        <f t="shared" si="118"/>
        <v>-</v>
      </c>
      <c r="G263" s="440" t="str">
        <f>IF($A263="*","",VLOOKUP("*#"&amp;$AS263,$A$10:$I$24,G$9+1,FALSE))</f>
        <v>-</v>
      </c>
      <c r="H263" s="441" t="str">
        <f t="shared" si="120"/>
        <v>-</v>
      </c>
      <c r="I263" s="441">
        <f>IF($A263="*","",VLOOKUP("*#"&amp;$AS263,$A$10:$I$24,I$9+1,FALSE))</f>
        <v>0</v>
      </c>
      <c r="J263" s="163">
        <f ca="1">IF($A263="*","",OFFSET(UPS!$C$37,AU263,SUMIF($A$10:$A$24,"*#"&amp;AS263,$AT$10:$AT$24)))</f>
        <v>40</v>
      </c>
      <c r="K263" s="163"/>
      <c r="L263" s="163"/>
      <c r="M263" s="163"/>
      <c r="N263" s="163"/>
      <c r="O263" s="163"/>
      <c r="P263" s="163"/>
      <c r="Q263" s="163"/>
      <c r="R263" s="163"/>
      <c r="S263" s="163"/>
      <c r="T263" s="163"/>
      <c r="U263" s="163"/>
      <c r="V263" s="163"/>
      <c r="W263" s="163"/>
      <c r="X263" s="163"/>
      <c r="Y263" s="163"/>
      <c r="Z263" s="163"/>
      <c r="AA263" s="163"/>
      <c r="AB263" s="163"/>
      <c r="AC263" s="163"/>
      <c r="AD263" s="163"/>
      <c r="AE263" s="163"/>
      <c r="AF263" s="163"/>
      <c r="AG263" s="163"/>
      <c r="AH263" s="163"/>
      <c r="AI263" s="163"/>
      <c r="AJ263" s="163"/>
      <c r="AK263" s="163"/>
      <c r="AL263" s="163"/>
      <c r="AM263" s="163"/>
      <c r="AN263" s="163"/>
      <c r="AO263" s="163"/>
      <c r="AP263" s="163"/>
      <c r="AR263" s="42">
        <f>AR262</f>
        <v>23</v>
      </c>
      <c r="AS263" s="42">
        <f>AS262+1</f>
        <v>13</v>
      </c>
      <c r="AU263" s="42">
        <f ca="1">SUMIF(UPS!B$38:B$171,C263,UPS!BD$38:BD$171)</f>
        <v>110</v>
      </c>
    </row>
    <row r="264" spans="1:48">
      <c r="B264" s="440" t="str">
        <f t="shared" si="116"/>
        <v>NCAP_ILED</v>
      </c>
      <c r="C264" s="440" t="str">
        <f ca="1">IF($A264="*","",OFFSET(ITEMS_UPS!$C$8,AR264,0))</f>
        <v>USMRGASHGN</v>
      </c>
      <c r="D264" s="440" t="str">
        <f ca="1">IF($A264="*","",IF(VLOOKUP("*#"&amp;$AS264,$A$10:$I$24,D$9+1,FALSE)="-","-",OFFSET(UPS!$C$37,AU264+AV264,SUMIF($A$10:$A$20,"*#"&amp;AS264,$AT$10:$AT$20))))</f>
        <v>-</v>
      </c>
      <c r="E264" s="440" t="str">
        <f t="shared" si="117"/>
        <v>-</v>
      </c>
      <c r="F264" s="440" t="str">
        <f t="shared" si="118"/>
        <v>-</v>
      </c>
      <c r="G264" s="440" t="str">
        <f>IF($A264="*","",VLOOKUP("*#"&amp;$AS264,$A$10:$I$24,G$9+1,FALSE))</f>
        <v>-</v>
      </c>
      <c r="H264" s="441" t="str">
        <f t="shared" si="120"/>
        <v>-</v>
      </c>
      <c r="I264" s="441">
        <f>IF($A264="*","",VLOOKUP("*#"&amp;$AS264,$A$10:$I$24,I$9+1,FALSE))</f>
        <v>0</v>
      </c>
      <c r="J264" s="163">
        <f ca="1">IF($A264="*","",OFFSET(UPS!$C$37,AU264,SUMIF($A$10:$A$24,"*#"&amp;AS264,$AT$10:$AT$24)))</f>
        <v>-4</v>
      </c>
      <c r="K264" s="163"/>
      <c r="L264" s="163"/>
      <c r="M264" s="163"/>
      <c r="N264" s="163"/>
      <c r="O264" s="163"/>
      <c r="P264" s="163"/>
      <c r="Q264" s="163"/>
      <c r="R264" s="163"/>
      <c r="S264" s="163"/>
      <c r="T264" s="163"/>
      <c r="U264" s="163"/>
      <c r="V264" s="163"/>
      <c r="W264" s="163"/>
      <c r="X264" s="163"/>
      <c r="Y264" s="163"/>
      <c r="Z264" s="163"/>
      <c r="AA264" s="163"/>
      <c r="AB264" s="163"/>
      <c r="AC264" s="163"/>
      <c r="AD264" s="163"/>
      <c r="AE264" s="163"/>
      <c r="AF264" s="163"/>
      <c r="AG264" s="163"/>
      <c r="AH264" s="163"/>
      <c r="AI264" s="163"/>
      <c r="AJ264" s="163"/>
      <c r="AK264" s="163"/>
      <c r="AL264" s="163"/>
      <c r="AM264" s="163"/>
      <c r="AN264" s="163"/>
      <c r="AO264" s="163"/>
      <c r="AP264" s="163"/>
      <c r="AR264" s="42">
        <f>AR262</f>
        <v>23</v>
      </c>
      <c r="AS264" s="42">
        <f>AS263+1</f>
        <v>14</v>
      </c>
      <c r="AU264" s="42">
        <f ca="1">SUMIF(UPS!B$38:B$171,C264,UPS!BD$38:BD$171)</f>
        <v>110</v>
      </c>
    </row>
    <row r="265" spans="1:48">
      <c r="A265" s="42" t="s">
        <v>310</v>
      </c>
    </row>
    <row r="266" spans="1:48">
      <c r="B266" s="440" t="str">
        <f t="shared" ref="B266:B280" si="125">IF(A266="*","",VLOOKUP("*#"&amp;AS266,$A$9:$B$24,2,FALSE))</f>
        <v>ACT_COST</v>
      </c>
      <c r="C266" s="440" t="str">
        <f ca="1">IF($A266="*","",OFFSET(ITEMS_UPS!$C$8,AR266,0))</f>
        <v>USMRGICHGN</v>
      </c>
      <c r="D266" s="440" t="str">
        <f ca="1">IF($A266="*","",IF(VLOOKUP("*#"&amp;$AS266,$A$10:$I$24,D$9+1,FALSE)="-","-",OFFSET(UPS!$C$37,AU266+AV266,SUMIF($A$10:$A$20,"*#"&amp;AS266,$AT$10:$AT$20))))</f>
        <v>-</v>
      </c>
      <c r="E266" s="440" t="str">
        <f t="shared" ref="E266:E280" si="126">IF($A266="*","",IF(VLOOKUP("*#"&amp;$AS266,$A$10:$I$24,E$9+1,FALSE)="-","-",C266&amp;"-"&amp;RIGHT(VLOOKUP("*#"&amp;$AS266,$A$10:$I$24,E$9+1,FALSE),1)))</f>
        <v>-</v>
      </c>
      <c r="F266" s="440" t="str">
        <f t="shared" ref="F266:F280" si="127">IF($A266="*","",IF(VLOOKUP("*#"&amp;$AS266,$A$10:$I$24,F$9+1,FALSE)="-","-",C266&amp;"-"&amp;RIGHT(VLOOKUP("*#"&amp;$AS266,$A$10:$I$24,F$9+1,FALSE),1)))</f>
        <v>-</v>
      </c>
      <c r="G266" s="440" t="str">
        <f t="shared" ref="G266:G277" si="128">IF($A266="*","",VLOOKUP("*#"&amp;$AS266,$A$10:$I$20,G$9+1,FALSE))</f>
        <v>-</v>
      </c>
      <c r="H266" s="441" t="str">
        <f t="shared" ref="H266:H280" si="129">IF($A266="*","",VLOOKUP("*#"&amp;$AS266,$A$10:$I$24,H$9+1,FALSE))</f>
        <v>-</v>
      </c>
      <c r="I266" s="441">
        <f t="shared" ref="I266:I277" si="130">IF($A266="*","",VLOOKUP("*#"&amp;$AS266,$A$10:$I$20,I$9+1,FALSE))</f>
        <v>0</v>
      </c>
      <c r="J266" s="163">
        <f ca="1">IF($A266="*","",OFFSET(UPS!$C$37,AU266,SUMIF($A$10:$A$20,"*#"&amp;AS266,$AT$10:$AT$20)))</f>
        <v>0</v>
      </c>
      <c r="K266" s="163"/>
      <c r="AR266" s="42">
        <f>AR264+1</f>
        <v>24</v>
      </c>
      <c r="AS266" s="42">
        <v>1</v>
      </c>
      <c r="AU266" s="42">
        <f ca="1">SUMIF(UPS!B$38:B$171,C266,UPS!BD$38:BD$171)</f>
        <v>116</v>
      </c>
    </row>
    <row r="267" spans="1:48">
      <c r="B267" s="440" t="str">
        <f t="shared" si="125"/>
        <v>NCAP_AFA</v>
      </c>
      <c r="C267" s="440" t="str">
        <f ca="1">IF($A267="*","",OFFSET(ITEMS_UPS!$C$8,AR267,0))</f>
        <v>USMRGICHGN</v>
      </c>
      <c r="D267" s="440" t="str">
        <f ca="1">IF($A267="*","",IF(VLOOKUP("*#"&amp;$AS267,$A$10:$I$24,D$9+1,FALSE)="-","-",OFFSET(UPS!$C$37,AU267+AV267,SUMIF($A$10:$A$20,"*#"&amp;AS267,$AT$10:$AT$20))))</f>
        <v>-</v>
      </c>
      <c r="E267" s="440" t="str">
        <f t="shared" si="126"/>
        <v>-</v>
      </c>
      <c r="F267" s="440" t="str">
        <f t="shared" si="127"/>
        <v>-</v>
      </c>
      <c r="G267" s="440" t="str">
        <f t="shared" si="128"/>
        <v>ANNUAL</v>
      </c>
      <c r="H267" s="441" t="str">
        <f t="shared" si="129"/>
        <v>UP</v>
      </c>
      <c r="I267" s="441">
        <f t="shared" si="130"/>
        <v>3</v>
      </c>
      <c r="J267" s="163">
        <f ca="1">IF($A267="*","",OFFSET(UPS!$C$37,AU267,SUMIF($A$10:$A$20,"*#"&amp;AS267,$AT$10:$AT$20)))</f>
        <v>0.9</v>
      </c>
      <c r="K267" s="163"/>
      <c r="AR267" s="42">
        <f t="shared" ref="AR267:AR277" si="131">AR266</f>
        <v>24</v>
      </c>
      <c r="AS267" s="42">
        <f t="shared" ref="AS267:AS272" si="132">IF(AR267=AR266,AS266+1,1)</f>
        <v>2</v>
      </c>
      <c r="AU267" s="42">
        <f ca="1">SUMIF(UPS!B$38:B$171,C267,UPS!BD$38:BD$171)</f>
        <v>116</v>
      </c>
    </row>
    <row r="268" spans="1:48">
      <c r="B268" s="440" t="str">
        <f t="shared" si="125"/>
        <v>NCAP_AFA</v>
      </c>
      <c r="C268" s="440" t="str">
        <f ca="1">IF($A268="*","",OFFSET(ITEMS_UPS!$C$8,AR268,0))</f>
        <v>USMRGICHGN</v>
      </c>
      <c r="D268" s="440" t="str">
        <f ca="1">IF($A268="*","",IF(VLOOKUP("*#"&amp;$AS268,$A$10:$I$24,D$9+1,FALSE)="-","-",OFFSET(UPS!$C$37,AU268+AV268,SUMIF($A$10:$A$20,"*#"&amp;AS268,$AT$10:$AT$20))))</f>
        <v>-</v>
      </c>
      <c r="E268" s="440" t="str">
        <f t="shared" si="126"/>
        <v>-</v>
      </c>
      <c r="F268" s="440" t="str">
        <f t="shared" si="127"/>
        <v>-</v>
      </c>
      <c r="G268" s="440" t="str">
        <f t="shared" si="128"/>
        <v>ANNUAL</v>
      </c>
      <c r="H268" s="441" t="str">
        <f t="shared" si="129"/>
        <v>LO</v>
      </c>
      <c r="I268" s="441">
        <f t="shared" si="130"/>
        <v>3</v>
      </c>
      <c r="J268" s="163" t="str">
        <f ca="1">IF($A268="*","",OFFSET(UPS!$C$37,AU268,SUMIF($A$10:$A$20,"*#"&amp;AS268,$AT$10:$AT$20)))</f>
        <v/>
      </c>
      <c r="K268" s="163"/>
      <c r="AR268" s="42">
        <f t="shared" si="131"/>
        <v>24</v>
      </c>
      <c r="AS268" s="42">
        <f t="shared" si="132"/>
        <v>3</v>
      </c>
      <c r="AU268" s="42">
        <f ca="1">SUMIF(UPS!B$38:B$171,C268,UPS!BD$38:BD$171)</f>
        <v>116</v>
      </c>
    </row>
    <row r="269" spans="1:48">
      <c r="B269" s="440" t="str">
        <f t="shared" si="125"/>
        <v>NCAP_FOM</v>
      </c>
      <c r="C269" s="440" t="str">
        <f ca="1">IF($A269="*","",OFFSET(ITEMS_UPS!$C$8,AR269,0))</f>
        <v>USMRGICHGN</v>
      </c>
      <c r="D269" s="440" t="str">
        <f ca="1">IF($A269="*","",IF(VLOOKUP("*#"&amp;$AS269,$A$10:$I$24,D$9+1,FALSE)="-","-",OFFSET(UPS!$C$37,AU269+AV269,SUMIF($A$10:$A$20,"*#"&amp;AS269,$AT$10:$AT$20))))</f>
        <v>-</v>
      </c>
      <c r="E269" s="440" t="str">
        <f t="shared" si="126"/>
        <v>-</v>
      </c>
      <c r="F269" s="440" t="str">
        <f t="shared" si="127"/>
        <v>-</v>
      </c>
      <c r="G269" s="440" t="str">
        <f t="shared" si="128"/>
        <v>-</v>
      </c>
      <c r="H269" s="441" t="str">
        <f t="shared" si="129"/>
        <v>-</v>
      </c>
      <c r="I269" s="441">
        <f t="shared" si="130"/>
        <v>0</v>
      </c>
      <c r="J269" s="163">
        <f ca="1">IF($A269="*","",OFFSET(UPS!$C$37,AU269,SUMIF($A$10:$A$20,"*#"&amp;AS269,$AT$10:$AT$20)))</f>
        <v>5.6165845756230484</v>
      </c>
      <c r="K269" s="163"/>
      <c r="AR269" s="42">
        <f t="shared" si="131"/>
        <v>24</v>
      </c>
      <c r="AS269" s="42">
        <f t="shared" si="132"/>
        <v>4</v>
      </c>
      <c r="AU269" s="42">
        <f ca="1">SUMIF(UPS!B$38:B$171,C269,UPS!BD$38:BD$171)</f>
        <v>116</v>
      </c>
    </row>
    <row r="270" spans="1:48">
      <c r="B270" s="440" t="str">
        <f t="shared" si="125"/>
        <v>NCAP_BND</v>
      </c>
      <c r="C270" s="440" t="str">
        <f ca="1">IF($A270="*","",OFFSET(ITEMS_UPS!$C$8,AR270,0))</f>
        <v>USMRGICHGN</v>
      </c>
      <c r="D270" s="440" t="str">
        <f ca="1">IF($A270="*","",IF(VLOOKUP("*#"&amp;$AS270,$A$10:$I$24,D$9+1,FALSE)="-","-",OFFSET(UPS!$C$37,AU270+AV270,SUMIF($A$10:$A$20,"*#"&amp;AS270,$AT$10:$AT$20))))</f>
        <v>-</v>
      </c>
      <c r="E270" s="440" t="str">
        <f t="shared" si="126"/>
        <v>-</v>
      </c>
      <c r="F270" s="440" t="str">
        <f t="shared" si="127"/>
        <v>-</v>
      </c>
      <c r="G270" s="440" t="str">
        <f t="shared" si="128"/>
        <v>-</v>
      </c>
      <c r="H270" s="441" t="str">
        <f t="shared" si="129"/>
        <v>UP</v>
      </c>
      <c r="I270" s="441">
        <f t="shared" si="130"/>
        <v>3</v>
      </c>
      <c r="J270" s="163" t="str">
        <f ca="1">IF($A270="*","",OFFSET(UPS!$C$37,AU270,SUMIF($A$10:$A$20,"*#"&amp;AS270,$AT$10:$AT$20)))</f>
        <v/>
      </c>
      <c r="K270" s="163"/>
      <c r="AR270" s="42">
        <f>AR268</f>
        <v>24</v>
      </c>
      <c r="AS270" s="42">
        <f t="shared" si="132"/>
        <v>5</v>
      </c>
      <c r="AU270" s="42">
        <f ca="1">SUMIF(UPS!B$38:B$171,C270,UPS!BD$38:BD$171)</f>
        <v>116</v>
      </c>
    </row>
    <row r="271" spans="1:48">
      <c r="B271" s="440" t="str">
        <f t="shared" si="125"/>
        <v>FLO_FUNC</v>
      </c>
      <c r="C271" s="440" t="str">
        <f ca="1">IF($A271="*","",OFFSET(ITEMS_UPS!$C$8,AR271,0))</f>
        <v>USMRGICHGN</v>
      </c>
      <c r="D271" s="440" t="str">
        <f ca="1">IF($A271="*","",IF(VLOOKUP("*#"&amp;$AS271,$A$10:$I$24,D$9+1,FALSE)="-","-",OFFSET(UPS!$C$37,AU271+AV271,SUMIF($A$10:$A$20,"*#"&amp;AS271,$AT$10:$AT$20))))</f>
        <v>-</v>
      </c>
      <c r="E271" s="440" t="str">
        <f t="shared" ca="1" si="126"/>
        <v>USMRGICHGN-I</v>
      </c>
      <c r="F271" s="440" t="str">
        <f t="shared" ca="1" si="127"/>
        <v>USMRGICHGN-O</v>
      </c>
      <c r="G271" s="440" t="str">
        <f t="shared" si="128"/>
        <v>ANNUAL</v>
      </c>
      <c r="H271" s="441" t="str">
        <f t="shared" si="129"/>
        <v>-</v>
      </c>
      <c r="I271" s="441">
        <f t="shared" si="130"/>
        <v>0</v>
      </c>
      <c r="J271" s="163">
        <f ca="1">IF($A271="*","",OFFSET(UPS!$C$37,AU271,SUMIF($A$10:$A$20,"*#"&amp;AS271,$AT$10:$AT$20)))</f>
        <v>0.8</v>
      </c>
      <c r="K271" s="163"/>
      <c r="AR271" s="42">
        <f t="shared" si="131"/>
        <v>24</v>
      </c>
      <c r="AS271" s="42">
        <f t="shared" si="132"/>
        <v>6</v>
      </c>
      <c r="AU271" s="42">
        <f ca="1">SUMIF(UPS!B$38:B$171,C271,UPS!BD$38:BD$171)</f>
        <v>116</v>
      </c>
    </row>
    <row r="272" spans="1:48">
      <c r="B272" s="440" t="str">
        <f t="shared" si="125"/>
        <v>FLO_SHAR</v>
      </c>
      <c r="C272" s="440" t="str">
        <f ca="1">IF($A272="*","",OFFSET(ITEMS_UPS!$C$8,AR272,0))</f>
        <v>USMRGICHGN</v>
      </c>
      <c r="D272" s="440" t="str">
        <f ca="1">IF($A272="*","",IF(VLOOKUP("*#"&amp;$AS272,$A$10:$I$24,D$9+1,FALSE)="-","-",OFFSET(UPS!$C$37,AU272+AV272,SUMIF($A$10:$A$20,"*#"&amp;AS272,$AT$10:$AT$20))))</f>
        <v>UPSGIC</v>
      </c>
      <c r="E272" s="440" t="str">
        <f t="shared" ca="1" si="126"/>
        <v>USMRGICHGN-I</v>
      </c>
      <c r="F272" s="440" t="str">
        <f t="shared" si="127"/>
        <v>-</v>
      </c>
      <c r="G272" s="440" t="str">
        <f t="shared" si="128"/>
        <v>ANNUAL</v>
      </c>
      <c r="H272" s="441" t="str">
        <f t="shared" si="129"/>
        <v>FX</v>
      </c>
      <c r="I272" s="441">
        <f t="shared" si="130"/>
        <v>3</v>
      </c>
      <c r="J272" s="163">
        <f ca="1">IF($A272="*","",OFFSET(UPS!$C$37,AU272+AV272,SUMIF($A$10:$A$20,"*#"&amp;AS272,$AV$10:$AV$20)))</f>
        <v>0.93659535804320382</v>
      </c>
      <c r="K272" s="163"/>
      <c r="AR272" s="42">
        <f t="shared" si="131"/>
        <v>24</v>
      </c>
      <c r="AS272" s="42">
        <f t="shared" si="132"/>
        <v>7</v>
      </c>
      <c r="AU272" s="42">
        <f ca="1">SUMIF(UPS!B$38:B$171,C272,UPS!BD$38:BD$171)</f>
        <v>116</v>
      </c>
      <c r="AV272" s="42">
        <v>0</v>
      </c>
    </row>
    <row r="273" spans="1:48">
      <c r="B273" s="440" t="str">
        <f t="shared" si="125"/>
        <v>FLO_SHAR</v>
      </c>
      <c r="C273" s="440" t="str">
        <f ca="1">IF($A273="*","",OFFSET(ITEMS_UPS!$C$8,AR273,0))</f>
        <v>USMRGICHGN</v>
      </c>
      <c r="D273" s="440" t="str">
        <f ca="1">IF($A273="*","",IF(VLOOKUP("*#"&amp;$AS273,$A$10:$I$24,D$9+1,FALSE)="-","-",OFFSET(UPS!$C$37,AU273+AV273,SUMIF($A$10:$A$20,"*#"&amp;AS273,$AT$10:$AT$20))))</f>
        <v>UPSHEN</v>
      </c>
      <c r="E273" s="440" t="str">
        <f t="shared" ca="1" si="126"/>
        <v>USMRGICHGN-I</v>
      </c>
      <c r="F273" s="440" t="str">
        <f t="shared" si="127"/>
        <v>-</v>
      </c>
      <c r="G273" s="440" t="str">
        <f t="shared" si="128"/>
        <v>ANNUAL</v>
      </c>
      <c r="H273" s="441" t="str">
        <f t="shared" si="129"/>
        <v>FX</v>
      </c>
      <c r="I273" s="441">
        <f t="shared" si="130"/>
        <v>3</v>
      </c>
      <c r="J273" s="163">
        <f ca="1">IF($A273="*","",OFFSET(UPS!$C$37,AU273+AV273,SUMIF($A$10:$A$20,"*#"&amp;AS273,$AV$10:$AV$20)))</f>
        <v>0</v>
      </c>
      <c r="K273" s="163"/>
      <c r="AR273" s="42">
        <f t="shared" si="131"/>
        <v>24</v>
      </c>
      <c r="AS273" s="42">
        <f>AS272</f>
        <v>7</v>
      </c>
      <c r="AU273" s="42">
        <f ca="1">SUMIF(UPS!B$38:B$171,C273,UPS!BD$38:BD$171)</f>
        <v>116</v>
      </c>
      <c r="AV273" s="42">
        <f>AV272+1</f>
        <v>1</v>
      </c>
    </row>
    <row r="274" spans="1:48">
      <c r="B274" s="440" t="str">
        <f t="shared" si="125"/>
        <v>FLO_SHAR</v>
      </c>
      <c r="C274" s="440" t="str">
        <f ca="1">IF($A274="*","",OFFSET(ITEMS_UPS!$C$8,AR274,0))</f>
        <v>USMRGICHGN</v>
      </c>
      <c r="D274" s="440" t="str">
        <f ca="1">IF($A274="*","",IF(VLOOKUP("*#"&amp;$AS274,$A$10:$I$24,D$9+1,FALSE)="-","-",OFFSET(UPS!$C$37,AU274+AV274,SUMIF($A$10:$A$20,"*#"&amp;AS274,$AT$10:$AT$20))))</f>
        <v>UPSELC</v>
      </c>
      <c r="E274" s="440" t="str">
        <f t="shared" ca="1" si="126"/>
        <v>USMRGICHGN-I</v>
      </c>
      <c r="F274" s="440" t="str">
        <f t="shared" si="127"/>
        <v>-</v>
      </c>
      <c r="G274" s="440" t="str">
        <f t="shared" si="128"/>
        <v>ANNUAL</v>
      </c>
      <c r="H274" s="441" t="str">
        <f t="shared" si="129"/>
        <v>FX</v>
      </c>
      <c r="I274" s="441">
        <f t="shared" si="130"/>
        <v>3</v>
      </c>
      <c r="J274" s="163">
        <f ca="1">IF($A274="*","",OFFSET(UPS!$C$37,AU274+AV274,SUMIF($A$10:$A$20,"*#"&amp;AS274,$AV$10:$AV$20)))</f>
        <v>6.3404641956796237E-2</v>
      </c>
      <c r="K274" s="163"/>
      <c r="AR274" s="42">
        <f t="shared" si="131"/>
        <v>24</v>
      </c>
      <c r="AS274" s="42">
        <v>7</v>
      </c>
      <c r="AU274" s="42">
        <f ca="1">SUMIF(UPS!B$38:B$171,C274,UPS!BD$38:BD$171)</f>
        <v>116</v>
      </c>
      <c r="AV274" s="42">
        <f t="shared" ref="AV274:AV276" si="133">AV273+1</f>
        <v>2</v>
      </c>
    </row>
    <row r="275" spans="1:48">
      <c r="B275" s="440" t="str">
        <f t="shared" si="125"/>
        <v>FLO_SHAR</v>
      </c>
      <c r="C275" s="440" t="str">
        <f ca="1">IF($A275="*","",OFFSET(ITEMS_UPS!$C$8,AR275,0))</f>
        <v>USMRGICHGN</v>
      </c>
      <c r="D275" s="440" t="str">
        <f ca="1">IF($A275="*","",IF(VLOOKUP("*#"&amp;$AS275,$A$10:$I$24,D$9+1,FALSE)="-","-",OFFSET(UPS!$C$37,AU275+AV275,SUMIF($A$10:$A$20,"*#"&amp;AS275,$AT$10:$AT$20))))</f>
        <v>UPSHGN</v>
      </c>
      <c r="E275" s="440" t="str">
        <f t="shared" ca="1" si="126"/>
        <v>USMRGICHGN-O</v>
      </c>
      <c r="F275" s="440" t="str">
        <f t="shared" si="127"/>
        <v>-</v>
      </c>
      <c r="G275" s="440" t="str">
        <f t="shared" si="128"/>
        <v>ANNUAL</v>
      </c>
      <c r="H275" s="441" t="str">
        <f t="shared" si="129"/>
        <v>UP</v>
      </c>
      <c r="I275" s="441">
        <f t="shared" si="130"/>
        <v>3</v>
      </c>
      <c r="J275" s="163">
        <f ca="1">IF($A275="*","",OFFSET(UPS!$C$37,AU275+AV275,SUMIF($A$10:$A$20,"*#"&amp;AS275,$AV$10:$AV$20)))</f>
        <v>1</v>
      </c>
      <c r="K275" s="163"/>
      <c r="AR275" s="42">
        <f t="shared" si="131"/>
        <v>24</v>
      </c>
      <c r="AS275" s="42">
        <v>8</v>
      </c>
      <c r="AU275" s="42">
        <f ca="1">SUMIF(UPS!B$38:B$171,C275,UPS!BD$38:BD$171)</f>
        <v>116</v>
      </c>
      <c r="AV275" s="42">
        <f t="shared" si="133"/>
        <v>3</v>
      </c>
    </row>
    <row r="276" spans="1:48">
      <c r="B276" s="440" t="str">
        <f t="shared" si="125"/>
        <v>FLO_EMIS</v>
      </c>
      <c r="C276" s="440" t="str">
        <f ca="1">IF($A276="*","",OFFSET(ITEMS_UPS!$C$8,AR276,0))</f>
        <v>USMRGICHGN</v>
      </c>
      <c r="D276" s="440" t="str">
        <f>$D$18</f>
        <v>UPSCO2S</v>
      </c>
      <c r="E276" s="440" t="str">
        <f t="shared" ca="1" si="126"/>
        <v>USMRGICHGN-O</v>
      </c>
      <c r="F276" s="440" t="str">
        <f t="shared" si="127"/>
        <v>-</v>
      </c>
      <c r="G276" s="440" t="str">
        <f t="shared" si="128"/>
        <v>ANNUAL</v>
      </c>
      <c r="H276" s="441" t="str">
        <f t="shared" si="129"/>
        <v>-</v>
      </c>
      <c r="I276" s="441">
        <f t="shared" si="130"/>
        <v>0</v>
      </c>
      <c r="J276" s="163">
        <f ca="1">IF($A276="*","",OFFSET(UPS!$C$37,AU276,SUMIF($A$10:$A$20,"*#"&amp;AS276,$AT$10:$AT$20)))</f>
        <v>88.593333333333334</v>
      </c>
      <c r="K276" s="163"/>
      <c r="AR276" s="42">
        <f t="shared" si="131"/>
        <v>24</v>
      </c>
      <c r="AS276" s="42">
        <f>AS275+1</f>
        <v>9</v>
      </c>
      <c r="AU276" s="42">
        <f ca="1">AU275</f>
        <v>116</v>
      </c>
      <c r="AV276" s="42">
        <f t="shared" si="133"/>
        <v>4</v>
      </c>
    </row>
    <row r="277" spans="1:48">
      <c r="B277" s="440" t="str">
        <f t="shared" si="125"/>
        <v>FLO_EMIS</v>
      </c>
      <c r="C277" s="440" t="str">
        <f ca="1">IF($A277="*","",OFFSET(ITEMS_UPS!$C$8,AR277,0))</f>
        <v>USMRGICHGN</v>
      </c>
      <c r="D277" s="440" t="str">
        <f>$D$19</f>
        <v>UPSCH4S</v>
      </c>
      <c r="E277" s="440" t="str">
        <f t="shared" ca="1" si="126"/>
        <v>USMRGICHGN-O</v>
      </c>
      <c r="F277" s="440" t="str">
        <f t="shared" si="127"/>
        <v>-</v>
      </c>
      <c r="G277" s="440" t="str">
        <f t="shared" si="128"/>
        <v>ANNUAL</v>
      </c>
      <c r="H277" s="441" t="str">
        <f t="shared" si="129"/>
        <v>-</v>
      </c>
      <c r="I277" s="441">
        <f t="shared" si="130"/>
        <v>0</v>
      </c>
      <c r="J277" s="163">
        <f ca="1">IF($A277="*","",OFFSET(UPS!$C$37,AU277,SUMIF($A$10:$A$20,"*#"&amp;AS277,$AT$10:$AT$20)))</f>
        <v>1.2177777777777774</v>
      </c>
      <c r="K277" s="163"/>
      <c r="AR277" s="42">
        <f t="shared" si="131"/>
        <v>24</v>
      </c>
      <c r="AS277" s="42">
        <f>AS276+1</f>
        <v>10</v>
      </c>
      <c r="AU277" s="42">
        <f ca="1">SUMIF(UPS!B$38:B$171,C277,UPS!BD$38:BD$171)</f>
        <v>116</v>
      </c>
      <c r="AV277" s="42">
        <f>AV276+1</f>
        <v>5</v>
      </c>
    </row>
    <row r="278" spans="1:48">
      <c r="B278" s="440" t="str">
        <f t="shared" si="125"/>
        <v>NCAP_COST</v>
      </c>
      <c r="C278" s="440" t="str">
        <f ca="1">IF($A278="*","",OFFSET(ITEMS_UPS!$C$8,AR278,0))</f>
        <v>USMRGICHGN</v>
      </c>
      <c r="D278" s="440" t="str">
        <f ca="1">IF($A278="*","",IF(VLOOKUP("*#"&amp;$AS278,$A$10:$I$24,D$9+1,FALSE)="-","-",OFFSET(UPS!$C$37,AU278+AV278,SUMIF($A$10:$A$20,"*#"&amp;AS278,$AT$10:$AT$20))))</f>
        <v>-</v>
      </c>
      <c r="E278" s="440" t="str">
        <f t="shared" si="126"/>
        <v>-</v>
      </c>
      <c r="F278" s="440" t="str">
        <f t="shared" si="127"/>
        <v>-</v>
      </c>
      <c r="G278" s="440" t="str">
        <f>IF($A278="*","",VLOOKUP("*#"&amp;$AS278,$A$10:$I$24,G$9+1,FALSE))</f>
        <v>-</v>
      </c>
      <c r="H278" s="441" t="str">
        <f t="shared" si="129"/>
        <v>-</v>
      </c>
      <c r="I278" s="441">
        <f>IF($A278="*","",VLOOKUP("*#"&amp;$AS278,$A$10:$I$24,I$9+1,FALSE))</f>
        <v>0</v>
      </c>
      <c r="J278" s="163">
        <f ca="1">IF($A278="*","",OFFSET(UPS!$C$37,AU278,SUMIF($A$10:$A$24,"*#"&amp;AS278,$AT$10:$AT$24)))</f>
        <v>128.68199999999999</v>
      </c>
      <c r="K278" s="163"/>
      <c r="L278" s="163"/>
      <c r="M278" s="163"/>
      <c r="N278" s="163"/>
      <c r="O278" s="163"/>
      <c r="P278" s="163"/>
      <c r="Q278" s="163"/>
      <c r="R278" s="163"/>
      <c r="S278" s="163"/>
      <c r="T278" s="163"/>
      <c r="U278" s="163"/>
      <c r="V278" s="163"/>
      <c r="W278" s="163"/>
      <c r="X278" s="163"/>
      <c r="Y278" s="163"/>
      <c r="Z278" s="163"/>
      <c r="AA278" s="163"/>
      <c r="AB278" s="163"/>
      <c r="AC278" s="163"/>
      <c r="AD278" s="163"/>
      <c r="AE278" s="163"/>
      <c r="AF278" s="163"/>
      <c r="AG278" s="163"/>
      <c r="AH278" s="163"/>
      <c r="AI278" s="163"/>
      <c r="AJ278" s="163"/>
      <c r="AK278" s="163"/>
      <c r="AL278" s="163"/>
      <c r="AM278" s="163"/>
      <c r="AN278" s="163"/>
      <c r="AO278" s="163"/>
      <c r="AP278" s="163"/>
      <c r="AR278" s="42">
        <f>AR277</f>
        <v>24</v>
      </c>
      <c r="AS278" s="42">
        <f>AS277+2</f>
        <v>12</v>
      </c>
      <c r="AU278" s="42">
        <f ca="1">SUMIF(UPS!B$38:B$171,C278,UPS!BD$38:BD$171)</f>
        <v>116</v>
      </c>
    </row>
    <row r="279" spans="1:48">
      <c r="B279" s="440" t="str">
        <f t="shared" si="125"/>
        <v>NCAP_TLIFE</v>
      </c>
      <c r="C279" s="440" t="str">
        <f ca="1">IF($A279="*","",OFFSET(ITEMS_UPS!$C$8,AR279,0))</f>
        <v>USMRGICHGN</v>
      </c>
      <c r="D279" s="440" t="str">
        <f ca="1">IF($A279="*","",IF(VLOOKUP("*#"&amp;$AS279,$A$10:$I$24,D$9+1,FALSE)="-","-",OFFSET(UPS!$C$37,AU279+AV279,SUMIF($A$10:$A$20,"*#"&amp;AS279,$AT$10:$AT$20))))</f>
        <v>-</v>
      </c>
      <c r="E279" s="440" t="str">
        <f t="shared" si="126"/>
        <v>-</v>
      </c>
      <c r="F279" s="440" t="str">
        <f t="shared" si="127"/>
        <v>-</v>
      </c>
      <c r="G279" s="440" t="str">
        <f>IF($A279="*","",VLOOKUP("*#"&amp;$AS279,$A$10:$I$24,G$9+1,FALSE))</f>
        <v>-</v>
      </c>
      <c r="H279" s="441" t="str">
        <f t="shared" si="129"/>
        <v>-</v>
      </c>
      <c r="I279" s="441">
        <f>IF($A279="*","",VLOOKUP("*#"&amp;$AS279,$A$10:$I$24,I$9+1,FALSE))</f>
        <v>0</v>
      </c>
      <c r="J279" s="163">
        <f ca="1">IF($A279="*","",OFFSET(UPS!$C$37,AU279,SUMIF($A$10:$A$24,"*#"&amp;AS279,$AT$10:$AT$24)))</f>
        <v>40</v>
      </c>
      <c r="K279" s="163"/>
      <c r="L279" s="163"/>
      <c r="M279" s="163"/>
      <c r="N279" s="163"/>
      <c r="O279" s="163"/>
      <c r="P279" s="163"/>
      <c r="Q279" s="163"/>
      <c r="R279" s="163"/>
      <c r="S279" s="163"/>
      <c r="T279" s="163"/>
      <c r="U279" s="163"/>
      <c r="V279" s="163"/>
      <c r="W279" s="163"/>
      <c r="X279" s="163"/>
      <c r="Y279" s="163"/>
      <c r="Z279" s="163"/>
      <c r="AA279" s="163"/>
      <c r="AB279" s="163"/>
      <c r="AC279" s="163"/>
      <c r="AD279" s="163"/>
      <c r="AE279" s="163"/>
      <c r="AF279" s="163"/>
      <c r="AG279" s="163"/>
      <c r="AH279" s="163"/>
      <c r="AI279" s="163"/>
      <c r="AJ279" s="163"/>
      <c r="AK279" s="163"/>
      <c r="AL279" s="163"/>
      <c r="AM279" s="163"/>
      <c r="AN279" s="163"/>
      <c r="AO279" s="163"/>
      <c r="AP279" s="163"/>
      <c r="AR279" s="42">
        <f>AR278</f>
        <v>24</v>
      </c>
      <c r="AS279" s="42">
        <f>AS278+1</f>
        <v>13</v>
      </c>
      <c r="AU279" s="42">
        <f ca="1">SUMIF(UPS!B$38:B$171,C279,UPS!BD$38:BD$171)</f>
        <v>116</v>
      </c>
    </row>
    <row r="280" spans="1:48">
      <c r="B280" s="440" t="str">
        <f t="shared" si="125"/>
        <v>NCAP_ILED</v>
      </c>
      <c r="C280" s="440" t="str">
        <f ca="1">IF($A280="*","",OFFSET(ITEMS_UPS!$C$8,AR280,0))</f>
        <v>USMRGICHGN</v>
      </c>
      <c r="D280" s="440" t="str">
        <f ca="1">IF($A280="*","",IF(VLOOKUP("*#"&amp;$AS280,$A$10:$I$24,D$9+1,FALSE)="-","-",OFFSET(UPS!$C$37,AU280+AV280,SUMIF($A$10:$A$20,"*#"&amp;AS280,$AT$10:$AT$20))))</f>
        <v>-</v>
      </c>
      <c r="E280" s="440" t="str">
        <f t="shared" si="126"/>
        <v>-</v>
      </c>
      <c r="F280" s="440" t="str">
        <f t="shared" si="127"/>
        <v>-</v>
      </c>
      <c r="G280" s="440" t="str">
        <f>IF($A280="*","",VLOOKUP("*#"&amp;$AS280,$A$10:$I$24,G$9+1,FALSE))</f>
        <v>-</v>
      </c>
      <c r="H280" s="441" t="str">
        <f t="shared" si="129"/>
        <v>-</v>
      </c>
      <c r="I280" s="441">
        <f>IF($A280="*","",VLOOKUP("*#"&amp;$AS280,$A$10:$I$24,I$9+1,FALSE))</f>
        <v>0</v>
      </c>
      <c r="J280" s="163">
        <f ca="1">IF($A280="*","",OFFSET(UPS!$C$37,AU280,SUMIF($A$10:$A$24,"*#"&amp;AS280,$AT$10:$AT$24)))</f>
        <v>-4</v>
      </c>
      <c r="K280" s="163"/>
      <c r="L280" s="163"/>
      <c r="M280" s="163"/>
      <c r="N280" s="163"/>
      <c r="O280" s="163"/>
      <c r="P280" s="163"/>
      <c r="Q280" s="163"/>
      <c r="R280" s="163"/>
      <c r="S280" s="163"/>
      <c r="T280" s="163"/>
      <c r="U280" s="163"/>
      <c r="V280" s="163"/>
      <c r="W280" s="163"/>
      <c r="X280" s="163"/>
      <c r="Y280" s="163"/>
      <c r="Z280" s="163"/>
      <c r="AA280" s="163"/>
      <c r="AB280" s="163"/>
      <c r="AC280" s="163"/>
      <c r="AD280" s="163"/>
      <c r="AE280" s="163"/>
      <c r="AF280" s="163"/>
      <c r="AG280" s="163"/>
      <c r="AH280" s="163"/>
      <c r="AI280" s="163"/>
      <c r="AJ280" s="163"/>
      <c r="AK280" s="163"/>
      <c r="AL280" s="163"/>
      <c r="AM280" s="163"/>
      <c r="AN280" s="163"/>
      <c r="AO280" s="163"/>
      <c r="AP280" s="163"/>
      <c r="AR280" s="42">
        <f>AR278</f>
        <v>24</v>
      </c>
      <c r="AS280" s="42">
        <f>AS279+1</f>
        <v>14</v>
      </c>
      <c r="AU280" s="42">
        <f ca="1">SUMIF(UPS!B$38:B$171,C280,UPS!BD$38:BD$171)</f>
        <v>116</v>
      </c>
    </row>
    <row r="281" spans="1:48">
      <c r="A281" s="42" t="s">
        <v>310</v>
      </c>
      <c r="J281" s="163" t="str">
        <f ca="1">IF($A281="*","",OFFSET(UPS!$C$37,AU281,SUMIF($B$10:$B$20,B281,$AT$10:$AT$20)))</f>
        <v/>
      </c>
    </row>
    <row r="282" spans="1:48">
      <c r="B282" s="440" t="str">
        <f t="shared" ref="B282:B296" si="134">IF(A282="*","",VLOOKUP("*#"&amp;AS282,$A$9:$B$24,2,FALSE))</f>
        <v>ACT_COST</v>
      </c>
      <c r="C282" s="440" t="str">
        <f ca="1">IF($A282="*","",OFFSET(ITEMS_UPS!$C$8,AR282,0))</f>
        <v>UCOGCLEHGN</v>
      </c>
      <c r="D282" s="440" t="str">
        <f ca="1">IF($A282="*","",IF(VLOOKUP("*#"&amp;$AS282,$A$10:$I$24,D$9+1,FALSE)="-","-",OFFSET(UPS!$C$37,AU282+AV282,SUMIF($A$10:$A$20,"*#"&amp;AS282,$AT$10:$AT$20))))</f>
        <v>-</v>
      </c>
      <c r="E282" s="440" t="str">
        <f t="shared" ref="E282:E296" si="135">IF($A282="*","",IF(VLOOKUP("*#"&amp;$AS282,$A$10:$I$24,E$9+1,FALSE)="-","-",C282&amp;"-"&amp;RIGHT(VLOOKUP("*#"&amp;$AS282,$A$10:$I$24,E$9+1,FALSE),1)))</f>
        <v>-</v>
      </c>
      <c r="F282" s="440" t="str">
        <f t="shared" ref="F282:F296" si="136">IF($A282="*","",IF(VLOOKUP("*#"&amp;$AS282,$A$10:$I$24,F$9+1,FALSE)="-","-",C282&amp;"-"&amp;RIGHT(VLOOKUP("*#"&amp;$AS282,$A$10:$I$24,F$9+1,FALSE),1)))</f>
        <v>-</v>
      </c>
      <c r="G282" s="440" t="str">
        <f t="shared" ref="G282:G293" si="137">IF($A282="*","",VLOOKUP("*#"&amp;$AS282,$A$10:$I$20,G$9+1,FALSE))</f>
        <v>-</v>
      </c>
      <c r="H282" s="441" t="str">
        <f t="shared" ref="H282:H296" si="138">IF($A282="*","",VLOOKUP("*#"&amp;$AS282,$A$10:$I$24,H$9+1,FALSE))</f>
        <v>-</v>
      </c>
      <c r="I282" s="441">
        <f t="shared" ref="I282:I293" si="139">IF($A282="*","",VLOOKUP("*#"&amp;$AS282,$A$10:$I$20,I$9+1,FALSE))</f>
        <v>0</v>
      </c>
      <c r="J282" s="163">
        <f ca="1">IF($A282="*","",OFFSET(UPS!$C$37,AU282,SUMIF($A$10:$A$20,"*#"&amp;AS282,$AT$10:$AT$20)))</f>
        <v>0</v>
      </c>
      <c r="K282" s="163"/>
      <c r="AR282" s="42">
        <f>AR280+1</f>
        <v>25</v>
      </c>
      <c r="AS282" s="42">
        <v>1</v>
      </c>
      <c r="AU282" s="42">
        <f ca="1">SUMIF(UPS!B$38:B$171,C282,UPS!BD$38:BD$171)</f>
        <v>122</v>
      </c>
    </row>
    <row r="283" spans="1:48">
      <c r="B283" s="440" t="str">
        <f t="shared" si="134"/>
        <v>NCAP_AFA</v>
      </c>
      <c r="C283" s="440" t="str">
        <f ca="1">IF($A283="*","",OFFSET(ITEMS_UPS!$C$8,AR283,0))</f>
        <v>UCOGCLEHGN</v>
      </c>
      <c r="D283" s="440" t="str">
        <f ca="1">IF($A283="*","",IF(VLOOKUP("*#"&amp;$AS283,$A$10:$I$24,D$9+1,FALSE)="-","-",OFFSET(UPS!$C$37,AU283+AV283,SUMIF($A$10:$A$20,"*#"&amp;AS283,$AT$10:$AT$20))))</f>
        <v>-</v>
      </c>
      <c r="E283" s="440" t="str">
        <f t="shared" si="135"/>
        <v>-</v>
      </c>
      <c r="F283" s="440" t="str">
        <f t="shared" si="136"/>
        <v>-</v>
      </c>
      <c r="G283" s="440" t="str">
        <f t="shared" si="137"/>
        <v>ANNUAL</v>
      </c>
      <c r="H283" s="441" t="str">
        <f t="shared" si="138"/>
        <v>UP</v>
      </c>
      <c r="I283" s="441">
        <f t="shared" si="139"/>
        <v>3</v>
      </c>
      <c r="J283" s="163">
        <f ca="1">IF($A283="*","",OFFSET(UPS!$C$37,AU283,SUMIF($A$10:$A$20,"*#"&amp;AS283,$AT$10:$AT$20)))</f>
        <v>0.9</v>
      </c>
      <c r="K283" s="163"/>
      <c r="AR283" s="42">
        <f>AR282</f>
        <v>25</v>
      </c>
      <c r="AS283" s="42">
        <f t="shared" ref="AS283:AS288" si="140">IF(AR283=AR282,AS282+1,1)</f>
        <v>2</v>
      </c>
      <c r="AU283" s="42">
        <f ca="1">SUMIF(UPS!B$38:B$171,C283,UPS!BD$38:BD$171)</f>
        <v>122</v>
      </c>
    </row>
    <row r="284" spans="1:48">
      <c r="B284" s="440" t="str">
        <f t="shared" si="134"/>
        <v>NCAP_AFA</v>
      </c>
      <c r="C284" s="440" t="str">
        <f ca="1">IF($A284="*","",OFFSET(ITEMS_UPS!$C$8,AR284,0))</f>
        <v>UCOGCLEHGN</v>
      </c>
      <c r="D284" s="440" t="str">
        <f ca="1">IF($A284="*","",IF(VLOOKUP("*#"&amp;$AS284,$A$10:$I$24,D$9+1,FALSE)="-","-",OFFSET(UPS!$C$37,AU284+AV284,SUMIF($A$10:$A$20,"*#"&amp;AS284,$AT$10:$AT$20))))</f>
        <v>-</v>
      </c>
      <c r="E284" s="440" t="str">
        <f t="shared" si="135"/>
        <v>-</v>
      </c>
      <c r="F284" s="440" t="str">
        <f t="shared" si="136"/>
        <v>-</v>
      </c>
      <c r="G284" s="440" t="str">
        <f t="shared" si="137"/>
        <v>ANNUAL</v>
      </c>
      <c r="H284" s="441" t="str">
        <f t="shared" si="138"/>
        <v>LO</v>
      </c>
      <c r="I284" s="441">
        <f t="shared" si="139"/>
        <v>3</v>
      </c>
      <c r="J284" s="163" t="str">
        <f ca="1">IF($A284="*","",OFFSET(UPS!$C$37,AU284,SUMIF($A$10:$A$20,"*#"&amp;AS284,$AT$10:$AT$20)))</f>
        <v/>
      </c>
      <c r="K284" s="163"/>
      <c r="AR284" s="42">
        <f>AR283</f>
        <v>25</v>
      </c>
      <c r="AS284" s="42">
        <f t="shared" si="140"/>
        <v>3</v>
      </c>
      <c r="AU284" s="42">
        <f ca="1">SUMIF(UPS!B$38:B$171,C284,UPS!BD$38:BD$171)</f>
        <v>122</v>
      </c>
    </row>
    <row r="285" spans="1:48">
      <c r="B285" s="440" t="str">
        <f t="shared" si="134"/>
        <v>NCAP_FOM</v>
      </c>
      <c r="C285" s="440" t="str">
        <f ca="1">IF($A285="*","",OFFSET(ITEMS_UPS!$C$8,AR285,0))</f>
        <v>UCOGCLEHGN</v>
      </c>
      <c r="D285" s="440" t="str">
        <f ca="1">IF($A285="*","",IF(VLOOKUP("*#"&amp;$AS285,$A$10:$I$24,D$9+1,FALSE)="-","-",OFFSET(UPS!$C$37,AU285+AV285,SUMIF($A$10:$A$20,"*#"&amp;AS285,$AT$10:$AT$20))))</f>
        <v>-</v>
      </c>
      <c r="E285" s="440" t="str">
        <f t="shared" si="135"/>
        <v>-</v>
      </c>
      <c r="F285" s="440" t="str">
        <f t="shared" si="136"/>
        <v>-</v>
      </c>
      <c r="G285" s="440" t="str">
        <f t="shared" si="137"/>
        <v>-</v>
      </c>
      <c r="H285" s="441" t="str">
        <f t="shared" si="138"/>
        <v>-</v>
      </c>
      <c r="I285" s="441">
        <f t="shared" si="139"/>
        <v>0</v>
      </c>
      <c r="J285" s="163">
        <f ca="1">IF($A285="*","",OFFSET(UPS!$C$37,AU285,SUMIF($A$10:$A$20,"*#"&amp;AS285,$AT$10:$AT$20)))</f>
        <v>28.082922878115237</v>
      </c>
      <c r="K285" s="163"/>
      <c r="AR285" s="42">
        <f>AR284</f>
        <v>25</v>
      </c>
      <c r="AS285" s="42">
        <f t="shared" si="140"/>
        <v>4</v>
      </c>
      <c r="AU285" s="42">
        <f ca="1">SUMIF(UPS!B$38:B$171,C285,UPS!BD$38:BD$171)</f>
        <v>122</v>
      </c>
    </row>
    <row r="286" spans="1:48">
      <c r="B286" s="440" t="str">
        <f t="shared" si="134"/>
        <v>NCAP_BND</v>
      </c>
      <c r="C286" s="440" t="str">
        <f ca="1">IF($A286="*","",OFFSET(ITEMS_UPS!$C$8,AR286,0))</f>
        <v>UCOGCLEHGN</v>
      </c>
      <c r="D286" s="440" t="str">
        <f ca="1">IF($A286="*","",IF(VLOOKUP("*#"&amp;$AS286,$A$10:$I$24,D$9+1,FALSE)="-","-",OFFSET(UPS!$C$37,AU286+AV286,SUMIF($A$10:$A$20,"*#"&amp;AS286,$AT$10:$AT$20))))</f>
        <v>-</v>
      </c>
      <c r="E286" s="440" t="str">
        <f t="shared" si="135"/>
        <v>-</v>
      </c>
      <c r="F286" s="440" t="str">
        <f t="shared" si="136"/>
        <v>-</v>
      </c>
      <c r="G286" s="440" t="str">
        <f t="shared" si="137"/>
        <v>-</v>
      </c>
      <c r="H286" s="441" t="str">
        <f t="shared" si="138"/>
        <v>UP</v>
      </c>
      <c r="I286" s="441">
        <f t="shared" si="139"/>
        <v>3</v>
      </c>
      <c r="J286" s="163" t="str">
        <f ca="1">IF($A286="*","",OFFSET(UPS!$C$37,AU286,SUMIF($A$10:$A$20,"*#"&amp;AS286,$AT$10:$AT$20)))</f>
        <v/>
      </c>
      <c r="K286" s="163"/>
      <c r="AR286" s="42">
        <f>AR284</f>
        <v>25</v>
      </c>
      <c r="AS286" s="42">
        <f t="shared" si="140"/>
        <v>5</v>
      </c>
      <c r="AU286" s="42">
        <f ca="1">SUMIF(UPS!B$38:B$171,C286,UPS!BD$38:BD$171)</f>
        <v>122</v>
      </c>
    </row>
    <row r="287" spans="1:48" s="163" customFormat="1">
      <c r="B287" s="440" t="str">
        <f t="shared" si="134"/>
        <v>FLO_FUNC</v>
      </c>
      <c r="C287" s="440" t="str">
        <f ca="1">IF($A287="*","",OFFSET(ITEMS_UPS!$C$8,AR287,0))</f>
        <v>UCOGCLEHGN</v>
      </c>
      <c r="D287" s="440" t="str">
        <f ca="1">IF($A287="*","",IF(VLOOKUP("*#"&amp;$AS287,$A$10:$I$24,D$9+1,FALSE)="-","-",OFFSET(UPS!$C$37,AU287+AV287,SUMIF($A$10:$A$20,"*#"&amp;AS287,$AT$10:$AT$20))))</f>
        <v>-</v>
      </c>
      <c r="E287" s="440" t="str">
        <f t="shared" ca="1" si="135"/>
        <v>UCOGCLEHGN-I</v>
      </c>
      <c r="F287" s="440" t="str">
        <f t="shared" ca="1" si="136"/>
        <v>UCOGCLEHGN-O</v>
      </c>
      <c r="G287" s="440" t="str">
        <f t="shared" si="137"/>
        <v>ANNUAL</v>
      </c>
      <c r="H287" s="441" t="str">
        <f t="shared" si="138"/>
        <v>-</v>
      </c>
      <c r="I287" s="441">
        <f t="shared" si="139"/>
        <v>0</v>
      </c>
      <c r="J287" s="163">
        <f ca="1">IF($A287="*","",OFFSET(UPS!$C$37,AU287,SUMIF($A$10:$A$20,"*#"&amp;AS287,$AT$10:$AT$20)))</f>
        <v>0.65</v>
      </c>
      <c r="AR287" s="163">
        <f>AR286</f>
        <v>25</v>
      </c>
      <c r="AS287" s="42">
        <f t="shared" si="140"/>
        <v>6</v>
      </c>
      <c r="AU287" s="163">
        <f ca="1">AU286</f>
        <v>122</v>
      </c>
      <c r="AV287" s="42"/>
    </row>
    <row r="288" spans="1:48">
      <c r="B288" s="440" t="str">
        <f t="shared" si="134"/>
        <v>FLO_SHAR</v>
      </c>
      <c r="C288" s="440" t="str">
        <f ca="1">IF($A288="*","",OFFSET(ITEMS_UPS!$C$8,AR288,0))</f>
        <v>UCOGCLEHGN</v>
      </c>
      <c r="D288" s="440" t="str">
        <f ca="1">IF($A288="*","",IF(VLOOKUP("*#"&amp;$AS288,$A$10:$I$24,D$9+1,FALSE)="-","-",OFFSET(UPS!$C$37,AU288+AV288,SUMIF($A$10:$A$20,"*#"&amp;AS288,$AT$10:$AT$20))))</f>
        <v>UPSCLE</v>
      </c>
      <c r="E288" s="440" t="str">
        <f t="shared" ca="1" si="135"/>
        <v>UCOGCLEHGN-I</v>
      </c>
      <c r="F288" s="440" t="str">
        <f t="shared" si="136"/>
        <v>-</v>
      </c>
      <c r="G288" s="440" t="str">
        <f t="shared" si="137"/>
        <v>ANNUAL</v>
      </c>
      <c r="H288" s="441" t="str">
        <f t="shared" si="138"/>
        <v>FX</v>
      </c>
      <c r="I288" s="441">
        <f t="shared" si="139"/>
        <v>3</v>
      </c>
      <c r="J288" s="163">
        <f ca="1">IF($A288="*","",OFFSET(UPS!$C$37,AU288+AV288,SUMIF($A$10:$A$20,"*#"&amp;AS288,$AV$10:$AV$20)))</f>
        <v>0.69555865300183184</v>
      </c>
      <c r="K288" s="163"/>
      <c r="AR288" s="42">
        <f>AR286</f>
        <v>25</v>
      </c>
      <c r="AS288" s="42">
        <f t="shared" si="140"/>
        <v>7</v>
      </c>
      <c r="AU288" s="42">
        <f ca="1">SUMIF(UPS!B$38:B$171,C288,UPS!BD$38:BD$171)</f>
        <v>122</v>
      </c>
      <c r="AV288" s="42">
        <v>0</v>
      </c>
    </row>
    <row r="289" spans="1:51">
      <c r="B289" s="440" t="str">
        <f t="shared" si="134"/>
        <v>FLO_SHAR</v>
      </c>
      <c r="C289" s="440" t="str">
        <f ca="1">IF($A289="*","",OFFSET(ITEMS_UPS!$C$8,AR289,0))</f>
        <v>UCOGCLEHGN</v>
      </c>
      <c r="D289" s="440" t="str">
        <f ca="1">IF($A289="*","",IF(VLOOKUP("*#"&amp;$AS289,$A$10:$I$24,D$9+1,FALSE)="-","-",OFFSET(UPS!$C$37,AU289+AV289,SUMIF($A$10:$A$20,"*#"&amp;AS289,$AT$10:$AT$20))))</f>
        <v>UPSHEN</v>
      </c>
      <c r="E289" s="440" t="str">
        <f t="shared" ca="1" si="135"/>
        <v>UCOGCLEHGN-I</v>
      </c>
      <c r="F289" s="440" t="str">
        <f t="shared" si="136"/>
        <v>-</v>
      </c>
      <c r="G289" s="440" t="str">
        <f t="shared" si="137"/>
        <v>ANNUAL</v>
      </c>
      <c r="H289" s="441" t="str">
        <f t="shared" si="138"/>
        <v>FX</v>
      </c>
      <c r="I289" s="441">
        <f t="shared" si="139"/>
        <v>3</v>
      </c>
      <c r="J289" s="163">
        <f ca="1">IF($A289="*","",OFFSET(UPS!$C$37,AU289+AV289,SUMIF($A$10:$A$20,"*#"&amp;AS289,$AV$10:$AV$20)))</f>
        <v>0.24103670504137198</v>
      </c>
      <c r="K289" s="163"/>
      <c r="L289" s="163"/>
      <c r="M289" s="163"/>
      <c r="N289" s="163"/>
      <c r="O289" s="163"/>
      <c r="P289" s="163"/>
      <c r="Q289" s="163"/>
      <c r="R289" s="163"/>
      <c r="S289" s="163"/>
      <c r="T289" s="163"/>
      <c r="U289" s="163"/>
      <c r="V289" s="163"/>
      <c r="W289" s="163"/>
      <c r="X289" s="163"/>
      <c r="Y289" s="163"/>
      <c r="Z289" s="163"/>
      <c r="AA289" s="163"/>
      <c r="AB289" s="163"/>
      <c r="AC289" s="163"/>
      <c r="AD289" s="163"/>
      <c r="AE289" s="163"/>
      <c r="AF289" s="163"/>
      <c r="AG289" s="163"/>
      <c r="AH289" s="163"/>
      <c r="AI289" s="163"/>
      <c r="AJ289" s="163"/>
      <c r="AK289" s="163"/>
      <c r="AL289" s="163"/>
      <c r="AM289" s="163"/>
      <c r="AN289" s="163"/>
      <c r="AO289" s="163"/>
      <c r="AP289" s="163"/>
      <c r="AR289" s="42">
        <f>AR288</f>
        <v>25</v>
      </c>
      <c r="AS289" s="42">
        <f>AS288</f>
        <v>7</v>
      </c>
      <c r="AU289" s="42">
        <f ca="1">SUMIF(UPS!B$38:B$171,C289,UPS!BD$38:BD$171)</f>
        <v>122</v>
      </c>
      <c r="AV289" s="42">
        <f>AV288+1</f>
        <v>1</v>
      </c>
    </row>
    <row r="290" spans="1:51">
      <c r="B290" s="440" t="str">
        <f t="shared" si="134"/>
        <v>FLO_SHAR</v>
      </c>
      <c r="C290" s="440" t="str">
        <f ca="1">IF($A290="*","",OFFSET(ITEMS_UPS!$C$8,AR290,0))</f>
        <v>UCOGCLEHGN</v>
      </c>
      <c r="D290" s="440" t="str">
        <f ca="1">IF($A290="*","",IF(VLOOKUP("*#"&amp;$AS290,$A$10:$I$24,D$9+1,FALSE)="-","-",OFFSET(UPS!$C$37,AU290+AV290,SUMIF($A$10:$A$20,"*#"&amp;AS290,$AT$10:$AT$20))))</f>
        <v>UPSELC</v>
      </c>
      <c r="E290" s="440" t="str">
        <f t="shared" ca="1" si="135"/>
        <v>UCOGCLEHGN-I</v>
      </c>
      <c r="F290" s="440" t="str">
        <f t="shared" si="136"/>
        <v>-</v>
      </c>
      <c r="G290" s="440" t="str">
        <f t="shared" si="137"/>
        <v>ANNUAL</v>
      </c>
      <c r="H290" s="441" t="str">
        <f t="shared" si="138"/>
        <v>FX</v>
      </c>
      <c r="I290" s="441">
        <f t="shared" si="139"/>
        <v>3</v>
      </c>
      <c r="J290" s="163">
        <f ca="1">IF($A290="*","",OFFSET(UPS!$C$37,AU290+AV290,SUMIF($A$10:$A$20,"*#"&amp;AS290,$AV$10:$AV$20)))</f>
        <v>6.3404641956796237E-2</v>
      </c>
      <c r="K290" s="163"/>
      <c r="L290" s="163"/>
      <c r="M290" s="163"/>
      <c r="N290" s="163"/>
      <c r="O290" s="163"/>
      <c r="P290" s="163"/>
      <c r="Q290" s="163"/>
      <c r="R290" s="163"/>
      <c r="S290" s="163"/>
      <c r="T290" s="163"/>
      <c r="U290" s="163"/>
      <c r="V290" s="163"/>
      <c r="W290" s="163"/>
      <c r="X290" s="163"/>
      <c r="Y290" s="163"/>
      <c r="Z290" s="163"/>
      <c r="AA290" s="163"/>
      <c r="AB290" s="163"/>
      <c r="AC290" s="163"/>
      <c r="AD290" s="163"/>
      <c r="AE290" s="163"/>
      <c r="AF290" s="163"/>
      <c r="AG290" s="163"/>
      <c r="AH290" s="163"/>
      <c r="AI290" s="163"/>
      <c r="AJ290" s="163"/>
      <c r="AK290" s="163"/>
      <c r="AL290" s="163"/>
      <c r="AM290" s="163"/>
      <c r="AN290" s="163"/>
      <c r="AO290" s="163"/>
      <c r="AP290" s="163"/>
      <c r="AR290" s="42">
        <f>AR289</f>
        <v>25</v>
      </c>
      <c r="AS290" s="42">
        <f>AS289</f>
        <v>7</v>
      </c>
      <c r="AU290" s="42">
        <f ca="1">SUMIF(UPS!B$38:B$171,C290,UPS!BD$38:BD$171)</f>
        <v>122</v>
      </c>
      <c r="AV290" s="42">
        <f t="shared" ref="AV290:AV291" si="141">AV289+1</f>
        <v>2</v>
      </c>
    </row>
    <row r="291" spans="1:51">
      <c r="B291" s="440" t="str">
        <f t="shared" si="134"/>
        <v>FLO_SHAR</v>
      </c>
      <c r="C291" s="440" t="str">
        <f ca="1">IF($A291="*","",OFFSET(ITEMS_UPS!$C$8,AR291,0))</f>
        <v>UCOGCLEHGN</v>
      </c>
      <c r="D291" s="440" t="str">
        <f ca="1">IF($A291="*","",IF(VLOOKUP("*#"&amp;$AS291,$A$10:$I$24,D$9+1,FALSE)="-","-",OFFSET(UPS!$C$37,AU291+AV291,SUMIF($A$10:$A$20,"*#"&amp;AS291,$AT$10:$AT$20))))</f>
        <v>UPSHGN</v>
      </c>
      <c r="E291" s="440" t="str">
        <f t="shared" ca="1" si="135"/>
        <v>UCOGCLEHGN-O</v>
      </c>
      <c r="F291" s="440" t="str">
        <f t="shared" si="136"/>
        <v>-</v>
      </c>
      <c r="G291" s="440" t="str">
        <f t="shared" si="137"/>
        <v>ANNUAL</v>
      </c>
      <c r="H291" s="441" t="str">
        <f t="shared" si="138"/>
        <v>UP</v>
      </c>
      <c r="I291" s="441">
        <f t="shared" si="139"/>
        <v>3</v>
      </c>
      <c r="J291" s="163">
        <f ca="1">IF($A291="*","",OFFSET(UPS!$C$37,AU291+AV291,SUMIF($A$10:$A$20,"*#"&amp;AS291,$AV$10:$AV$20)))</f>
        <v>1</v>
      </c>
      <c r="K291" s="163"/>
      <c r="L291" s="163"/>
      <c r="M291" s="163"/>
      <c r="N291" s="163"/>
      <c r="O291" s="163"/>
      <c r="P291" s="163"/>
      <c r="Q291" s="163"/>
      <c r="R291" s="163"/>
      <c r="S291" s="163"/>
      <c r="T291" s="163"/>
      <c r="U291" s="163"/>
      <c r="V291" s="163"/>
      <c r="W291" s="163"/>
      <c r="X291" s="163"/>
      <c r="Y291" s="163"/>
      <c r="Z291" s="163"/>
      <c r="AA291" s="163"/>
      <c r="AB291" s="163"/>
      <c r="AC291" s="163"/>
      <c r="AD291" s="163"/>
      <c r="AE291" s="163"/>
      <c r="AF291" s="163"/>
      <c r="AG291" s="163"/>
      <c r="AH291" s="163"/>
      <c r="AI291" s="163"/>
      <c r="AJ291" s="163"/>
      <c r="AK291" s="163"/>
      <c r="AL291" s="163"/>
      <c r="AM291" s="163"/>
      <c r="AN291" s="163"/>
      <c r="AO291" s="163"/>
      <c r="AP291" s="163"/>
      <c r="AR291" s="42">
        <f t="shared" ref="AR291:AR296" si="142">AR289</f>
        <v>25</v>
      </c>
      <c r="AS291" s="42">
        <v>8</v>
      </c>
      <c r="AU291" s="42">
        <f ca="1">SUMIF(UPS!B$38:B$171,C291,UPS!BD$38:BD$171)</f>
        <v>122</v>
      </c>
      <c r="AV291" s="42">
        <f t="shared" si="141"/>
        <v>3</v>
      </c>
    </row>
    <row r="292" spans="1:51">
      <c r="B292" s="440" t="str">
        <f t="shared" si="134"/>
        <v>FLO_EMIS</v>
      </c>
      <c r="C292" s="440" t="str">
        <f ca="1">IF($A292="*","",OFFSET(ITEMS_UPS!$C$8,AR292,0))</f>
        <v>UCOGCLEHGN</v>
      </c>
      <c r="D292" s="440" t="str">
        <f>$D$18</f>
        <v>UPSCO2S</v>
      </c>
      <c r="E292" s="440" t="str">
        <f t="shared" ca="1" si="135"/>
        <v>UCOGCLEHGN-O</v>
      </c>
      <c r="F292" s="440" t="str">
        <f t="shared" si="136"/>
        <v>-</v>
      </c>
      <c r="G292" s="440" t="str">
        <f t="shared" si="137"/>
        <v>ANNUAL</v>
      </c>
      <c r="H292" s="441" t="str">
        <f t="shared" si="138"/>
        <v>-</v>
      </c>
      <c r="I292" s="441">
        <f t="shared" si="139"/>
        <v>0</v>
      </c>
      <c r="J292" s="163">
        <f ca="1">IF($A292="*","",OFFSET(UPS!$C$37,AU292,SUMIF($A$10:$A$20,"*#"&amp;AS292,$AT$10:$AT$20)))</f>
        <v>180.83333333333331</v>
      </c>
      <c r="K292" s="163"/>
      <c r="L292" s="163"/>
      <c r="M292" s="163"/>
      <c r="N292" s="163"/>
      <c r="O292" s="163"/>
      <c r="P292" s="163"/>
      <c r="Q292" s="163"/>
      <c r="R292" s="163"/>
      <c r="S292" s="163"/>
      <c r="T292" s="163"/>
      <c r="U292" s="163"/>
      <c r="V292" s="163"/>
      <c r="W292" s="163"/>
      <c r="X292" s="163"/>
      <c r="Y292" s="163"/>
      <c r="Z292" s="163"/>
      <c r="AA292" s="163"/>
      <c r="AB292" s="163"/>
      <c r="AC292" s="163"/>
      <c r="AD292" s="163"/>
      <c r="AE292" s="163"/>
      <c r="AF292" s="163"/>
      <c r="AG292" s="163"/>
      <c r="AH292" s="163"/>
      <c r="AI292" s="163"/>
      <c r="AJ292" s="163"/>
      <c r="AK292" s="163"/>
      <c r="AL292" s="163"/>
      <c r="AM292" s="163"/>
      <c r="AN292" s="163"/>
      <c r="AO292" s="163"/>
      <c r="AP292" s="163"/>
      <c r="AR292" s="42">
        <f t="shared" si="142"/>
        <v>25</v>
      </c>
      <c r="AS292" s="42">
        <f>AS291+1</f>
        <v>9</v>
      </c>
      <c r="AU292" s="42">
        <f ca="1">SUMIF(UPS!B$38:B$171,C292,UPS!BD$38:BD$171)</f>
        <v>122</v>
      </c>
      <c r="AY292" s="42" t="str">
        <f>D292</f>
        <v>UPSCO2S</v>
      </c>
    </row>
    <row r="293" spans="1:51">
      <c r="B293" s="440" t="str">
        <f t="shared" si="134"/>
        <v>FLO_EMIS</v>
      </c>
      <c r="C293" s="440" t="str">
        <f ca="1">IF($A293="*","",OFFSET(ITEMS_UPS!$C$8,AR293,0))</f>
        <v>UCOGCLEHGN</v>
      </c>
      <c r="D293" s="440" t="str">
        <f>$D$19</f>
        <v>UPSCH4S</v>
      </c>
      <c r="E293" s="440" t="str">
        <f t="shared" ca="1" si="135"/>
        <v>UCOGCLEHGN-O</v>
      </c>
      <c r="F293" s="440" t="str">
        <f t="shared" si="136"/>
        <v>-</v>
      </c>
      <c r="G293" s="440" t="str">
        <f t="shared" si="137"/>
        <v>ANNUAL</v>
      </c>
      <c r="H293" s="441" t="str">
        <f t="shared" si="138"/>
        <v>-</v>
      </c>
      <c r="I293" s="441">
        <f t="shared" si="139"/>
        <v>0</v>
      </c>
      <c r="J293" s="163">
        <f ca="1">IF($A293="*","",OFFSET(UPS!$C$37,AU293,SUMIF($A$10:$A$20,"*#"&amp;AS293,$AT$10:$AT$20)))</f>
        <v>0</v>
      </c>
      <c r="K293" s="163"/>
      <c r="L293" s="163"/>
      <c r="M293" s="163"/>
      <c r="N293" s="163"/>
      <c r="O293" s="163"/>
      <c r="P293" s="163"/>
      <c r="Q293" s="163"/>
      <c r="R293" s="163"/>
      <c r="S293" s="163"/>
      <c r="T293" s="163"/>
      <c r="U293" s="163"/>
      <c r="V293" s="163"/>
      <c r="W293" s="163"/>
      <c r="X293" s="163"/>
      <c r="Y293" s="163"/>
      <c r="Z293" s="163"/>
      <c r="AA293" s="163"/>
      <c r="AB293" s="163"/>
      <c r="AC293" s="163"/>
      <c r="AD293" s="163"/>
      <c r="AE293" s="163"/>
      <c r="AF293" s="163"/>
      <c r="AG293" s="163"/>
      <c r="AH293" s="163"/>
      <c r="AI293" s="163"/>
      <c r="AJ293" s="163"/>
      <c r="AK293" s="163"/>
      <c r="AL293" s="163"/>
      <c r="AM293" s="163"/>
      <c r="AN293" s="163"/>
      <c r="AO293" s="163"/>
      <c r="AP293" s="163"/>
      <c r="AR293" s="42">
        <f t="shared" si="142"/>
        <v>25</v>
      </c>
      <c r="AS293" s="42">
        <f>AS292+1</f>
        <v>10</v>
      </c>
      <c r="AU293" s="42">
        <f ca="1">SUMIF(UPS!B$38:B$171,C293,UPS!BD$38:BD$171)</f>
        <v>122</v>
      </c>
      <c r="AY293" s="42" t="str">
        <f>D293</f>
        <v>UPSCH4S</v>
      </c>
    </row>
    <row r="294" spans="1:51">
      <c r="B294" s="440" t="str">
        <f t="shared" si="134"/>
        <v>NCAP_COST</v>
      </c>
      <c r="C294" s="440" t="str">
        <f ca="1">IF($A294="*","",OFFSET(ITEMS_UPS!$C$8,AR294,0))</f>
        <v>UCOGCLEHGN</v>
      </c>
      <c r="D294" s="440" t="str">
        <f ca="1">IF($A294="*","",IF(VLOOKUP("*#"&amp;$AS294,$A$10:$I$24,D$9+1,FALSE)="-","-",OFFSET(UPS!$C$37,AU294+AV294,SUMIF($A$10:$A$20,"*#"&amp;AS294,$AT$10:$AT$20))))</f>
        <v>-</v>
      </c>
      <c r="E294" s="440" t="str">
        <f t="shared" si="135"/>
        <v>-</v>
      </c>
      <c r="F294" s="440" t="str">
        <f t="shared" si="136"/>
        <v>-</v>
      </c>
      <c r="G294" s="440" t="str">
        <f>IF($A294="*","",VLOOKUP("*#"&amp;$AS294,$A$10:$I$24,G$9+1,FALSE))</f>
        <v>-</v>
      </c>
      <c r="H294" s="441" t="str">
        <f t="shared" si="138"/>
        <v>-</v>
      </c>
      <c r="I294" s="441">
        <f>IF($A294="*","",VLOOKUP("*#"&amp;$AS294,$A$10:$I$24,I$9+1,FALSE))</f>
        <v>0</v>
      </c>
      <c r="J294" s="163">
        <f ca="1">IF($A294="*","",OFFSET(UPS!$C$37,AU294,SUMIF($A$10:$A$24,"*#"&amp;AS294,$AT$10:$AT$24)))</f>
        <v>443.23799999999994</v>
      </c>
      <c r="K294" s="163"/>
      <c r="L294" s="163"/>
      <c r="M294" s="163"/>
      <c r="N294" s="163"/>
      <c r="O294" s="163"/>
      <c r="P294" s="163"/>
      <c r="Q294" s="163"/>
      <c r="R294" s="163"/>
      <c r="S294" s="163"/>
      <c r="T294" s="163"/>
      <c r="U294" s="163"/>
      <c r="V294" s="163"/>
      <c r="W294" s="163"/>
      <c r="X294" s="163"/>
      <c r="Y294" s="163"/>
      <c r="Z294" s="163"/>
      <c r="AA294" s="163"/>
      <c r="AB294" s="163"/>
      <c r="AC294" s="163"/>
      <c r="AD294" s="163"/>
      <c r="AE294" s="163"/>
      <c r="AF294" s="163"/>
      <c r="AG294" s="163"/>
      <c r="AH294" s="163"/>
      <c r="AI294" s="163"/>
      <c r="AJ294" s="163"/>
      <c r="AK294" s="163"/>
      <c r="AL294" s="163"/>
      <c r="AM294" s="163"/>
      <c r="AN294" s="163"/>
      <c r="AO294" s="163"/>
      <c r="AP294" s="163"/>
      <c r="AR294" s="42">
        <f t="shared" si="142"/>
        <v>25</v>
      </c>
      <c r="AS294" s="42">
        <f>AS293+2</f>
        <v>12</v>
      </c>
      <c r="AU294" s="42">
        <f ca="1">SUMIF(UPS!B$38:B$171,C294,UPS!BD$38:BD$171)</f>
        <v>122</v>
      </c>
    </row>
    <row r="295" spans="1:51">
      <c r="B295" s="440" t="str">
        <f t="shared" si="134"/>
        <v>NCAP_TLIFE</v>
      </c>
      <c r="C295" s="440" t="str">
        <f ca="1">IF($A295="*","",OFFSET(ITEMS_UPS!$C$8,AR295,0))</f>
        <v>UCOGCLEHGN</v>
      </c>
      <c r="D295" s="440" t="str">
        <f ca="1">IF($A295="*","",IF(VLOOKUP("*#"&amp;$AS295,$A$10:$I$24,D$9+1,FALSE)="-","-",OFFSET(UPS!$C$37,AU295+AV295,SUMIF($A$10:$A$20,"*#"&amp;AS295,$AT$10:$AT$20))))</f>
        <v>-</v>
      </c>
      <c r="E295" s="440" t="str">
        <f t="shared" si="135"/>
        <v>-</v>
      </c>
      <c r="F295" s="440" t="str">
        <f t="shared" si="136"/>
        <v>-</v>
      </c>
      <c r="G295" s="440" t="str">
        <f>IF($A295="*","",VLOOKUP("*#"&amp;$AS295,$A$10:$I$24,G$9+1,FALSE))</f>
        <v>-</v>
      </c>
      <c r="H295" s="441" t="str">
        <f t="shared" si="138"/>
        <v>-</v>
      </c>
      <c r="I295" s="441">
        <f>IF($A295="*","",VLOOKUP("*#"&amp;$AS295,$A$10:$I$24,I$9+1,FALSE))</f>
        <v>0</v>
      </c>
      <c r="J295" s="163">
        <f ca="1">IF($A295="*","",OFFSET(UPS!$C$37,AU295,SUMIF($A$10:$A$24,"*#"&amp;AS295,$AT$10:$AT$24)))</f>
        <v>40</v>
      </c>
      <c r="K295" s="163"/>
      <c r="L295" s="163"/>
      <c r="M295" s="163"/>
      <c r="N295" s="163"/>
      <c r="O295" s="163"/>
      <c r="P295" s="163"/>
      <c r="Q295" s="163"/>
      <c r="R295" s="163"/>
      <c r="S295" s="163"/>
      <c r="T295" s="163"/>
      <c r="U295" s="163"/>
      <c r="V295" s="163"/>
      <c r="W295" s="163"/>
      <c r="X295" s="163"/>
      <c r="Y295" s="163"/>
      <c r="Z295" s="163"/>
      <c r="AA295" s="163"/>
      <c r="AB295" s="163"/>
      <c r="AC295" s="163"/>
      <c r="AD295" s="163"/>
      <c r="AE295" s="163"/>
      <c r="AF295" s="163"/>
      <c r="AG295" s="163"/>
      <c r="AH295" s="163"/>
      <c r="AI295" s="163"/>
      <c r="AJ295" s="163"/>
      <c r="AK295" s="163"/>
      <c r="AL295" s="163"/>
      <c r="AM295" s="163"/>
      <c r="AN295" s="163"/>
      <c r="AO295" s="163"/>
      <c r="AP295" s="163"/>
      <c r="AR295" s="42">
        <f t="shared" si="142"/>
        <v>25</v>
      </c>
      <c r="AS295" s="42">
        <f>AS294+1</f>
        <v>13</v>
      </c>
      <c r="AU295" s="42">
        <f ca="1">SUMIF(UPS!B$38:B$171,C295,UPS!BD$38:BD$171)</f>
        <v>122</v>
      </c>
    </row>
    <row r="296" spans="1:51">
      <c r="B296" s="440" t="str">
        <f t="shared" si="134"/>
        <v>NCAP_ILED</v>
      </c>
      <c r="C296" s="440" t="str">
        <f ca="1">IF($A296="*","",OFFSET(ITEMS_UPS!$C$8,AR296,0))</f>
        <v>UCOGCLEHGN</v>
      </c>
      <c r="D296" s="440" t="str">
        <f ca="1">IF($A296="*","",IF(VLOOKUP("*#"&amp;$AS296,$A$10:$I$24,D$9+1,FALSE)="-","-",OFFSET(UPS!$C$37,AU296+AV296,SUMIF($A$10:$A$20,"*#"&amp;AS296,$AT$10:$AT$20))))</f>
        <v>-</v>
      </c>
      <c r="E296" s="440" t="str">
        <f t="shared" si="135"/>
        <v>-</v>
      </c>
      <c r="F296" s="440" t="str">
        <f t="shared" si="136"/>
        <v>-</v>
      </c>
      <c r="G296" s="440" t="str">
        <f>IF($A296="*","",VLOOKUP("*#"&amp;$AS296,$A$10:$I$24,G$9+1,FALSE))</f>
        <v>-</v>
      </c>
      <c r="H296" s="441" t="str">
        <f t="shared" si="138"/>
        <v>-</v>
      </c>
      <c r="I296" s="441">
        <f>IF($A296="*","",VLOOKUP("*#"&amp;$AS296,$A$10:$I$24,I$9+1,FALSE))</f>
        <v>0</v>
      </c>
      <c r="J296" s="163">
        <f ca="1">IF($A296="*","",OFFSET(UPS!$C$37,AU296,SUMIF($A$10:$A$24,"*#"&amp;AS296,$AT$10:$AT$24)))</f>
        <v>-4</v>
      </c>
      <c r="K296" s="163"/>
      <c r="L296" s="163"/>
      <c r="M296" s="163"/>
      <c r="N296" s="163"/>
      <c r="O296" s="163"/>
      <c r="P296" s="163"/>
      <c r="Q296" s="163"/>
      <c r="R296" s="163"/>
      <c r="S296" s="163"/>
      <c r="T296" s="163"/>
      <c r="U296" s="163"/>
      <c r="V296" s="163"/>
      <c r="W296" s="163"/>
      <c r="X296" s="163"/>
      <c r="Y296" s="163"/>
      <c r="Z296" s="163"/>
      <c r="AA296" s="163"/>
      <c r="AB296" s="163"/>
      <c r="AC296" s="163"/>
      <c r="AD296" s="163"/>
      <c r="AE296" s="163"/>
      <c r="AF296" s="163"/>
      <c r="AG296" s="163"/>
      <c r="AH296" s="163"/>
      <c r="AI296" s="163"/>
      <c r="AJ296" s="163"/>
      <c r="AK296" s="163"/>
      <c r="AL296" s="163"/>
      <c r="AM296" s="163"/>
      <c r="AN296" s="163"/>
      <c r="AO296" s="163"/>
      <c r="AP296" s="163"/>
      <c r="AR296" s="42">
        <f t="shared" si="142"/>
        <v>25</v>
      </c>
      <c r="AS296" s="42">
        <f>AS295+1</f>
        <v>14</v>
      </c>
      <c r="AU296" s="42">
        <f ca="1">SUMIF(UPS!B$38:B$171,C296,UPS!BD$38:BD$171)</f>
        <v>122</v>
      </c>
    </row>
    <row r="297" spans="1:51">
      <c r="A297" s="42" t="s">
        <v>310</v>
      </c>
      <c r="B297" s="440"/>
      <c r="C297" s="440"/>
      <c r="D297" s="440"/>
      <c r="E297" s="440"/>
      <c r="F297" s="440"/>
      <c r="G297" s="440"/>
      <c r="H297" s="441"/>
      <c r="I297" s="441"/>
      <c r="J297" s="163"/>
      <c r="K297" s="163"/>
      <c r="L297" s="163"/>
      <c r="M297" s="163"/>
      <c r="N297" s="163"/>
      <c r="O297" s="163"/>
      <c r="P297" s="163"/>
      <c r="Q297" s="163"/>
      <c r="R297" s="163"/>
      <c r="S297" s="163"/>
      <c r="T297" s="163"/>
      <c r="U297" s="163"/>
      <c r="V297" s="163"/>
      <c r="W297" s="163"/>
      <c r="X297" s="163"/>
      <c r="Y297" s="163"/>
      <c r="Z297" s="163"/>
      <c r="AA297" s="163"/>
      <c r="AB297" s="163"/>
      <c r="AC297" s="163"/>
      <c r="AD297" s="163"/>
      <c r="AE297" s="163"/>
      <c r="AF297" s="163"/>
      <c r="AG297" s="163"/>
      <c r="AH297" s="163"/>
      <c r="AI297" s="163"/>
      <c r="AJ297" s="163"/>
      <c r="AK297" s="163"/>
      <c r="AL297" s="163"/>
      <c r="AM297" s="163"/>
      <c r="AN297" s="163"/>
      <c r="AO297" s="163"/>
      <c r="AP297" s="163"/>
    </row>
    <row r="298" spans="1:51">
      <c r="B298" s="440" t="str">
        <f t="shared" ref="B298:B309" si="143">IF(A298="*","",VLOOKUP("*#"&amp;AS298,$A$9:$B$24,2,FALSE))</f>
        <v>ACT_COST</v>
      </c>
      <c r="C298" s="440" t="str">
        <f ca="1">IF($A298="*","",OFFSET(ITEMS_UPS!$C$8,AR298,0))</f>
        <v>UELEP1HGN</v>
      </c>
      <c r="D298" s="440" t="str">
        <f ca="1">IF($A298="*","",IF(VLOOKUP("*#"&amp;$AS298,$A$10:$I$24,D$9+1,FALSE)="-","-",OFFSET(UPS!$C$37,AU298+AV298,SUMIF($A$10:$A$20,"*#"&amp;AS298,$AT$10:$AT$20))))</f>
        <v>-</v>
      </c>
      <c r="E298" s="440" t="str">
        <f t="shared" ref="E298:E309" si="144">IF($A298="*","",IF(VLOOKUP("*#"&amp;$AS298,$A$10:$I$24,E$9+1,FALSE)="-","-",C298&amp;"-"&amp;RIGHT(VLOOKUP("*#"&amp;$AS298,$A$10:$I$24,E$9+1,FALSE),1)))</f>
        <v>-</v>
      </c>
      <c r="F298" s="440" t="str">
        <f t="shared" ref="F298:F309" si="145">IF($A298="*","",IF(VLOOKUP("*#"&amp;$AS298,$A$10:$I$24,F$9+1,FALSE)="-","-",C298&amp;"-"&amp;RIGHT(VLOOKUP("*#"&amp;$AS298,$A$10:$I$24,F$9+1,FALSE),1)))</f>
        <v>-</v>
      </c>
      <c r="G298" s="440" t="str">
        <f t="shared" ref="G298:G306" si="146">IF($A298="*","",VLOOKUP("*#"&amp;$AS298,$A$10:$I$20,G$9+1,FALSE))</f>
        <v>-</v>
      </c>
      <c r="H298" s="441" t="str">
        <f t="shared" ref="H298:H314" si="147">IF($A298="*","",VLOOKUP("*#"&amp;$AS298,$A$10:$I$24,H$9+1,FALSE))</f>
        <v>-</v>
      </c>
      <c r="I298" s="441">
        <f t="shared" ref="I298:I306" si="148">IF($A298="*","",VLOOKUP("*#"&amp;$AS298,$A$10:$I$20,I$9+1,FALSE))</f>
        <v>0</v>
      </c>
      <c r="J298" s="163">
        <f ca="1">IF($A298="*","",OFFSET(UPS!$C$37,AU298,SUMIF($A$10:$A$20,"*#"&amp;AS298,$AT$10:$AT$20)))</f>
        <v>0</v>
      </c>
      <c r="K298" s="163" t="str">
        <f t="array" aca="1" ref="K298" ca="1">IFERROR(INDEX('Hydrogen-ELT'!$F$6:$J$17,MATCH(TS_TTech!$C298&amp;TS_TTech!$B298,'Hydrogen-ELT'!$A$6:$A$17&amp;'Hydrogen-ELT'!$B$6:$B$17,0),MATCH(TS_TTech!K$7,'Hydrogen-ELT'!$F$5:$J$5,0)),"")</f>
        <v/>
      </c>
      <c r="L298" s="163" t="str">
        <f t="array" aca="1" ref="L298" ca="1">IFERROR(INDEX('Hydrogen-ELT'!$F$6:$J$17,MATCH(TS_TTech!$C298&amp;TS_TTech!$B298,'Hydrogen-ELT'!$A$6:$A$17&amp;'Hydrogen-ELT'!$B$6:$B$17,0),MATCH(TS_TTech!L$7,'Hydrogen-ELT'!$F$5:$J$5,0)),"")</f>
        <v/>
      </c>
      <c r="M298" s="163" t="str">
        <f t="array" aca="1" ref="M298" ca="1">IFERROR(INDEX('Hydrogen-ELT'!$F$6:$J$17,MATCH(TS_TTech!$C298&amp;TS_TTech!$B298,'Hydrogen-ELT'!$A$6:$A$17&amp;'Hydrogen-ELT'!$B$6:$B$17,0),MATCH(TS_TTech!M$7,'Hydrogen-ELT'!$F$5:$J$5,0)),"")</f>
        <v/>
      </c>
      <c r="N298" s="163" t="str">
        <f t="array" aca="1" ref="N298" ca="1">IFERROR(INDEX('Hydrogen-ELT'!$F$6:$J$17,MATCH(TS_TTech!$C298&amp;TS_TTech!$B298,'Hydrogen-ELT'!$A$6:$A$17&amp;'Hydrogen-ELT'!$B$6:$B$17,0),MATCH(TS_TTech!N$7,'Hydrogen-ELT'!$F$5:$J$5,0)),"")</f>
        <v/>
      </c>
      <c r="O298" s="163" t="str">
        <f t="array" aca="1" ref="O298" ca="1">IFERROR(INDEX('Hydrogen-ELT'!$F$6:$J$17,MATCH(TS_TTech!$C298&amp;TS_TTech!$B298,'Hydrogen-ELT'!$A$6:$A$17&amp;'Hydrogen-ELT'!$B$6:$B$17,0),MATCH(TS_TTech!O$7,'Hydrogen-ELT'!$F$5:$J$5,0)),"")</f>
        <v/>
      </c>
      <c r="P298" s="163" t="str">
        <f t="array" aca="1" ref="P298" ca="1">IFERROR(INDEX('Hydrogen-ELT'!$F$6:$J$17,MATCH(TS_TTech!$C298&amp;TS_TTech!$B298,'Hydrogen-ELT'!$A$6:$A$17&amp;'Hydrogen-ELT'!$B$6:$B$17,0),MATCH(TS_TTech!P$7,'Hydrogen-ELT'!$F$5:$J$5,0)),"")</f>
        <v/>
      </c>
      <c r="Q298" s="163" t="str">
        <f t="array" aca="1" ref="Q298" ca="1">IFERROR(INDEX('Hydrogen-ELT'!$F$6:$J$17,MATCH(TS_TTech!$C298&amp;TS_TTech!$B298,'Hydrogen-ELT'!$A$6:$A$17&amp;'Hydrogen-ELT'!$B$6:$B$17,0),MATCH(TS_TTech!Q$7,'Hydrogen-ELT'!$F$5:$J$5,0)),"")</f>
        <v/>
      </c>
      <c r="R298" s="163" t="str">
        <f t="array" aca="1" ref="R298" ca="1">IFERROR(INDEX('Hydrogen-ELT'!$F$6:$J$17,MATCH(TS_TTech!$C298&amp;TS_TTech!$B298,'Hydrogen-ELT'!$A$6:$A$17&amp;'Hydrogen-ELT'!$B$6:$B$17,0),MATCH(TS_TTech!R$7,'Hydrogen-ELT'!$F$5:$J$5,0)),"")</f>
        <v/>
      </c>
      <c r="S298" s="163" t="str">
        <f t="array" aca="1" ref="S298" ca="1">IFERROR(INDEX('Hydrogen-ELT'!$F$6:$J$17,MATCH(TS_TTech!$C298&amp;TS_TTech!$B298,'Hydrogen-ELT'!$A$6:$A$17&amp;'Hydrogen-ELT'!$B$6:$B$17,0),MATCH(TS_TTech!S$7,'Hydrogen-ELT'!$F$5:$J$5,0)),"")</f>
        <v/>
      </c>
      <c r="T298" s="163" t="str">
        <f t="array" aca="1" ref="T298" ca="1">IFERROR(INDEX('Hydrogen-ELT'!$F$6:$J$17,MATCH(TS_TTech!$C298&amp;TS_TTech!$B298,'Hydrogen-ELT'!$A$6:$A$17&amp;'Hydrogen-ELT'!$B$6:$B$17,0),MATCH(TS_TTech!T$7,'Hydrogen-ELT'!$F$5:$J$5,0)),"")</f>
        <v/>
      </c>
      <c r="U298" s="163" t="str">
        <f t="array" aca="1" ref="U298" ca="1">IFERROR(INDEX('Hydrogen-ELT'!$F$6:$J$17,MATCH(TS_TTech!$C298&amp;TS_TTech!$B298,'Hydrogen-ELT'!$A$6:$A$17&amp;'Hydrogen-ELT'!$B$6:$B$17,0),MATCH(TS_TTech!U$7,'Hydrogen-ELT'!$F$5:$J$5,0)),"")</f>
        <v/>
      </c>
      <c r="V298" s="163" t="str">
        <f t="array" aca="1" ref="V298" ca="1">IFERROR(INDEX('Hydrogen-ELT'!$F$6:$J$17,MATCH(TS_TTech!$C298&amp;TS_TTech!$B298,'Hydrogen-ELT'!$A$6:$A$17&amp;'Hydrogen-ELT'!$B$6:$B$17,0),MATCH(TS_TTech!V$7,'Hydrogen-ELT'!$F$5:$J$5,0)),"")</f>
        <v/>
      </c>
      <c r="W298" s="163" t="str">
        <f t="array" aca="1" ref="W298" ca="1">IFERROR(INDEX('Hydrogen-ELT'!$F$6:$J$17,MATCH(TS_TTech!$C298&amp;TS_TTech!$B298,'Hydrogen-ELT'!$A$6:$A$17&amp;'Hydrogen-ELT'!$B$6:$B$17,0),MATCH(TS_TTech!W$7,'Hydrogen-ELT'!$F$5:$J$5,0)),"")</f>
        <v/>
      </c>
      <c r="X298" s="163" t="str">
        <f t="array" aca="1" ref="X298" ca="1">IFERROR(INDEX('Hydrogen-ELT'!$F$6:$J$17,MATCH(TS_TTech!$C298&amp;TS_TTech!$B298,'Hydrogen-ELT'!$A$6:$A$17&amp;'Hydrogen-ELT'!$B$6:$B$17,0),MATCH(TS_TTech!X$7,'Hydrogen-ELT'!$F$5:$J$5,0)),"")</f>
        <v/>
      </c>
      <c r="Y298" s="163" t="str">
        <f t="array" aca="1" ref="Y298" ca="1">IFERROR(INDEX('Hydrogen-ELT'!$F$6:$J$17,MATCH(TS_TTech!$C298&amp;TS_TTech!$B298,'Hydrogen-ELT'!$A$6:$A$17&amp;'Hydrogen-ELT'!$B$6:$B$17,0),MATCH(TS_TTech!Y$7,'Hydrogen-ELT'!$F$5:$J$5,0)),"")</f>
        <v/>
      </c>
      <c r="Z298" s="163" t="str">
        <f t="array" aca="1" ref="Z298" ca="1">IFERROR(INDEX('Hydrogen-ELT'!$F$6:$J$17,MATCH(TS_TTech!$C298&amp;TS_TTech!$B298,'Hydrogen-ELT'!$A$6:$A$17&amp;'Hydrogen-ELT'!$B$6:$B$17,0),MATCH(TS_TTech!Z$7,'Hydrogen-ELT'!$F$5:$J$5,0)),"")</f>
        <v/>
      </c>
      <c r="AA298" s="163" t="str">
        <f t="array" aca="1" ref="AA298" ca="1">IFERROR(INDEX('Hydrogen-ELT'!$F$6:$J$17,MATCH(TS_TTech!$C298&amp;TS_TTech!$B298,'Hydrogen-ELT'!$A$6:$A$17&amp;'Hydrogen-ELT'!$B$6:$B$17,0),MATCH(TS_TTech!AA$7,'Hydrogen-ELT'!$F$5:$J$5,0)),"")</f>
        <v/>
      </c>
      <c r="AB298" s="163" t="str">
        <f t="array" aca="1" ref="AB298" ca="1">IFERROR(INDEX('Hydrogen-ELT'!$F$6:$J$17,MATCH(TS_TTech!$C298&amp;TS_TTech!$B298,'Hydrogen-ELT'!$A$6:$A$17&amp;'Hydrogen-ELT'!$B$6:$B$17,0),MATCH(TS_TTech!AB$7,'Hydrogen-ELT'!$F$5:$J$5,0)),"")</f>
        <v/>
      </c>
      <c r="AC298" s="163" t="str">
        <f t="array" aca="1" ref="AC298" ca="1">IFERROR(INDEX('Hydrogen-ELT'!$F$6:$J$17,MATCH(TS_TTech!$C298&amp;TS_TTech!$B298,'Hydrogen-ELT'!$A$6:$A$17&amp;'Hydrogen-ELT'!$B$6:$B$17,0),MATCH(TS_TTech!AC$7,'Hydrogen-ELT'!$F$5:$J$5,0)),"")</f>
        <v/>
      </c>
      <c r="AD298" s="163" t="str">
        <f t="array" aca="1" ref="AD298" ca="1">IFERROR(INDEX('Hydrogen-ELT'!$F$6:$J$17,MATCH(TS_TTech!$C298&amp;TS_TTech!$B298,'Hydrogen-ELT'!$A$6:$A$17&amp;'Hydrogen-ELT'!$B$6:$B$17,0),MATCH(TS_TTech!AD$7,'Hydrogen-ELT'!$F$5:$J$5,0)),"")</f>
        <v/>
      </c>
      <c r="AE298" s="163" t="str">
        <f t="array" aca="1" ref="AE298" ca="1">IFERROR(INDEX('Hydrogen-ELT'!$F$6:$J$17,MATCH(TS_TTech!$C298&amp;TS_TTech!$B298,'Hydrogen-ELT'!$A$6:$A$17&amp;'Hydrogen-ELT'!$B$6:$B$17,0),MATCH(TS_TTech!AE$7,'Hydrogen-ELT'!$F$5:$J$5,0)),"")</f>
        <v/>
      </c>
      <c r="AF298" s="163" t="str">
        <f t="array" aca="1" ref="AF298" ca="1">IFERROR(INDEX('Hydrogen-ELT'!$F$6:$J$17,MATCH(TS_TTech!$C298&amp;TS_TTech!$B298,'Hydrogen-ELT'!$A$6:$A$17&amp;'Hydrogen-ELT'!$B$6:$B$17,0),MATCH(TS_TTech!AF$7,'Hydrogen-ELT'!$F$5:$J$5,0)),"")</f>
        <v/>
      </c>
      <c r="AG298" s="163" t="str">
        <f t="array" aca="1" ref="AG298" ca="1">IFERROR(INDEX('Hydrogen-ELT'!$F$6:$J$17,MATCH(TS_TTech!$C298&amp;TS_TTech!$B298,'Hydrogen-ELT'!$A$6:$A$17&amp;'Hydrogen-ELT'!$B$6:$B$17,0),MATCH(TS_TTech!AG$7,'Hydrogen-ELT'!$F$5:$J$5,0)),"")</f>
        <v/>
      </c>
      <c r="AH298" s="163" t="str">
        <f t="array" aca="1" ref="AH298" ca="1">IFERROR(INDEX('Hydrogen-ELT'!$F$6:$J$17,MATCH(TS_TTech!$C298&amp;TS_TTech!$B298,'Hydrogen-ELT'!$A$6:$A$17&amp;'Hydrogen-ELT'!$B$6:$B$17,0),MATCH(TS_TTech!AH$7,'Hydrogen-ELT'!$F$5:$J$5,0)),"")</f>
        <v/>
      </c>
      <c r="AI298" s="163" t="str">
        <f t="array" aca="1" ref="AI298" ca="1">IFERROR(INDEX('Hydrogen-ELT'!$F$6:$J$17,MATCH(TS_TTech!$C298&amp;TS_TTech!$B298,'Hydrogen-ELT'!$A$6:$A$17&amp;'Hydrogen-ELT'!$B$6:$B$17,0),MATCH(TS_TTech!AI$7,'Hydrogen-ELT'!$F$5:$J$5,0)),"")</f>
        <v/>
      </c>
      <c r="AJ298" s="163" t="str">
        <f t="array" aca="1" ref="AJ298" ca="1">IFERROR(INDEX('Hydrogen-ELT'!$F$6:$J$17,MATCH(TS_TTech!$C298&amp;TS_TTech!$B298,'Hydrogen-ELT'!$A$6:$A$17&amp;'Hydrogen-ELT'!$B$6:$B$17,0),MATCH(TS_TTech!AJ$7,'Hydrogen-ELT'!$F$5:$J$5,0)),"")</f>
        <v/>
      </c>
      <c r="AK298" s="163" t="str">
        <f t="array" aca="1" ref="AK298" ca="1">IFERROR(INDEX('Hydrogen-ELT'!$F$6:$J$17,MATCH(TS_TTech!$C298&amp;TS_TTech!$B298,'Hydrogen-ELT'!$A$6:$A$17&amp;'Hydrogen-ELT'!$B$6:$B$17,0),MATCH(TS_TTech!AK$7,'Hydrogen-ELT'!$F$5:$J$5,0)),"")</f>
        <v/>
      </c>
      <c r="AL298" s="163" t="str">
        <f t="array" aca="1" ref="AL298" ca="1">IFERROR(INDEX('Hydrogen-ELT'!$F$6:$J$17,MATCH(TS_TTech!$C298&amp;TS_TTech!$B298,'Hydrogen-ELT'!$A$6:$A$17&amp;'Hydrogen-ELT'!$B$6:$B$17,0),MATCH(TS_TTech!AL$7,'Hydrogen-ELT'!$F$5:$J$5,0)),"")</f>
        <v/>
      </c>
      <c r="AM298" s="163" t="str">
        <f t="array" aca="1" ref="AM298" ca="1">IFERROR(INDEX('Hydrogen-ELT'!$F$6:$J$17,MATCH(TS_TTech!$C298&amp;TS_TTech!$B298,'Hydrogen-ELT'!$A$6:$A$17&amp;'Hydrogen-ELT'!$B$6:$B$17,0),MATCH(TS_TTech!AM$7,'Hydrogen-ELT'!$F$5:$J$5,0)),"")</f>
        <v/>
      </c>
      <c r="AN298" s="163" t="str">
        <f t="array" aca="1" ref="AN298" ca="1">IFERROR(INDEX('Hydrogen-ELT'!$F$6:$J$17,MATCH(TS_TTech!$C298&amp;TS_TTech!$B298,'Hydrogen-ELT'!$A$6:$A$17&amp;'Hydrogen-ELT'!$B$6:$B$17,0),MATCH(TS_TTech!AN$7,'Hydrogen-ELT'!$F$5:$J$5,0)),"")</f>
        <v/>
      </c>
      <c r="AO298" s="163" t="str">
        <f t="array" aca="1" ref="AO298" ca="1">IFERROR(INDEX('Hydrogen-ELT'!$F$6:$J$17,MATCH(TS_TTech!$C298&amp;TS_TTech!$B298,'Hydrogen-ELT'!$A$6:$A$17&amp;'Hydrogen-ELT'!$B$6:$B$17,0),MATCH(TS_TTech!AO$7,'Hydrogen-ELT'!$F$5:$J$5,0)),"")</f>
        <v/>
      </c>
      <c r="AP298" s="163" t="str">
        <f t="array" aca="1" ref="AP298" ca="1">IFERROR(INDEX('Hydrogen-ELT'!$F$6:$J$17,MATCH(TS_TTech!$C298&amp;TS_TTech!$B298,'Hydrogen-ELT'!$A$6:$A$17&amp;'Hydrogen-ELT'!$B$6:$B$17,0),MATCH(TS_TTech!AP$7,'Hydrogen-ELT'!$F$5:$J$5,0)),"")</f>
        <v/>
      </c>
      <c r="AR298" s="42">
        <f>AR296+1</f>
        <v>26</v>
      </c>
      <c r="AS298" s="42">
        <v>1</v>
      </c>
      <c r="AU298" s="42">
        <f ca="1">SUMIF(UPS!B$38:B$171,C298,UPS!BD$38:BD$171)</f>
        <v>128</v>
      </c>
    </row>
    <row r="299" spans="1:51">
      <c r="B299" s="440" t="str">
        <f t="shared" si="143"/>
        <v>NCAP_AFA</v>
      </c>
      <c r="C299" s="440" t="str">
        <f ca="1">IF($A299="*","",OFFSET(ITEMS_UPS!$C$8,AR299,0))</f>
        <v>UELEP1HGN</v>
      </c>
      <c r="D299" s="440" t="str">
        <f ca="1">IF($A299="*","",IF(VLOOKUP("*#"&amp;$AS299,$A$10:$I$24,D$9+1,FALSE)="-","-",OFFSET(UPS!$C$37,AU299+AV299,SUMIF($A$10:$A$20,"*#"&amp;AS299,$AT$10:$AT$20))))</f>
        <v>-</v>
      </c>
      <c r="E299" s="440" t="str">
        <f t="shared" si="144"/>
        <v>-</v>
      </c>
      <c r="F299" s="440" t="str">
        <f t="shared" si="145"/>
        <v>-</v>
      </c>
      <c r="G299" s="440" t="str">
        <f t="shared" si="146"/>
        <v>ANNUAL</v>
      </c>
      <c r="H299" s="441" t="str">
        <f t="shared" si="147"/>
        <v>UP</v>
      </c>
      <c r="I299" s="441">
        <f t="shared" si="148"/>
        <v>3</v>
      </c>
      <c r="J299" s="163">
        <f ca="1">IF($A299="*","",OFFSET(UPS!$C$37,AU299,SUMIF($A$10:$A$20,"*#"&amp;AS299,$AT$10:$AT$20)))</f>
        <v>0.9</v>
      </c>
      <c r="K299" s="163" t="str">
        <f t="array" aca="1" ref="K299" ca="1">IFERROR(INDEX('Hydrogen-ELT'!$F$6:$J$17,MATCH(TS_TTech!$C299&amp;TS_TTech!$B299,'Hydrogen-ELT'!$A$6:$A$17&amp;'Hydrogen-ELT'!$B$6:$B$17,0),MATCH(TS_TTech!K$7,'Hydrogen-ELT'!$F$5:$J$5,0)),"")</f>
        <v/>
      </c>
      <c r="L299" s="163" t="str">
        <f t="array" aca="1" ref="L299" ca="1">IFERROR(INDEX('Hydrogen-ELT'!$F$6:$J$17,MATCH(TS_TTech!$C299&amp;TS_TTech!$B299,'Hydrogen-ELT'!$A$6:$A$17&amp;'Hydrogen-ELT'!$B$6:$B$17,0),MATCH(TS_TTech!L$7,'Hydrogen-ELT'!$F$5:$J$5,0)),"")</f>
        <v/>
      </c>
      <c r="M299" s="163" t="str">
        <f t="array" aca="1" ref="M299" ca="1">IFERROR(INDEX('Hydrogen-ELT'!$F$6:$J$17,MATCH(TS_TTech!$C299&amp;TS_TTech!$B299,'Hydrogen-ELT'!$A$6:$A$17&amp;'Hydrogen-ELT'!$B$6:$B$17,0),MATCH(TS_TTech!M$7,'Hydrogen-ELT'!$F$5:$J$5,0)),"")</f>
        <v/>
      </c>
      <c r="N299" s="163" t="str">
        <f t="array" aca="1" ref="N299" ca="1">IFERROR(INDEX('Hydrogen-ELT'!$F$6:$J$17,MATCH(TS_TTech!$C299&amp;TS_TTech!$B299,'Hydrogen-ELT'!$A$6:$A$17&amp;'Hydrogen-ELT'!$B$6:$B$17,0),MATCH(TS_TTech!N$7,'Hydrogen-ELT'!$F$5:$J$5,0)),"")</f>
        <v/>
      </c>
      <c r="O299" s="163" t="str">
        <f t="array" aca="1" ref="O299" ca="1">IFERROR(INDEX('Hydrogen-ELT'!$F$6:$J$17,MATCH(TS_TTech!$C299&amp;TS_TTech!$B299,'Hydrogen-ELT'!$A$6:$A$17&amp;'Hydrogen-ELT'!$B$6:$B$17,0),MATCH(TS_TTech!O$7,'Hydrogen-ELT'!$F$5:$J$5,0)),"")</f>
        <v/>
      </c>
      <c r="P299" s="163" t="str">
        <f t="array" aca="1" ref="P299" ca="1">IFERROR(INDEX('Hydrogen-ELT'!$F$6:$J$17,MATCH(TS_TTech!$C299&amp;TS_TTech!$B299,'Hydrogen-ELT'!$A$6:$A$17&amp;'Hydrogen-ELT'!$B$6:$B$17,0),MATCH(TS_TTech!P$7,'Hydrogen-ELT'!$F$5:$J$5,0)),"")</f>
        <v/>
      </c>
      <c r="Q299" s="163" t="str" cm="1">
        <f t="array" aca="1" ref="Q299" ca="1">IFERROR(INDEX('Hydrogen-ELT'!$F$6:$J$17,MATCH(TS_TTech!$C299&amp;TS_TTech!$B299,'Hydrogen-ELT'!$A$6:$A$17&amp;'Hydrogen-ELT'!$B$6:$B$17,0),MATCH(TS_TTech!Q$7,'Hydrogen-ELT'!$F$5:$J$5,0)),"")</f>
        <v/>
      </c>
      <c r="R299" s="163">
        <f t="array" aca="1" ref="R299" ca="1">IFERROR(INDEX('Hydrogen-ELT'!$F$6:$J$17,MATCH(TS_TTech!$C299&amp;TS_TTech!$B299,'Hydrogen-ELT'!$A$6:$A$17&amp;'Hydrogen-ELT'!$B$6:$B$17,0),MATCH(TS_TTech!R$7,'Hydrogen-ELT'!$F$5:$J$5,0)),"")</f>
        <v>0.9</v>
      </c>
      <c r="S299" s="163" t="str">
        <f t="array" aca="1" ref="S299" ca="1">IFERROR(INDEX('Hydrogen-ELT'!$F$6:$J$17,MATCH(TS_TTech!$C299&amp;TS_TTech!$B299,'Hydrogen-ELT'!$A$6:$A$17&amp;'Hydrogen-ELT'!$B$6:$B$17,0),MATCH(TS_TTech!S$7,'Hydrogen-ELT'!$F$5:$J$5,0)),"")</f>
        <v/>
      </c>
      <c r="T299" s="163" t="str">
        <f t="array" aca="1" ref="T299" ca="1">IFERROR(INDEX('Hydrogen-ELT'!$F$6:$J$17,MATCH(TS_TTech!$C299&amp;TS_TTech!$B299,'Hydrogen-ELT'!$A$6:$A$17&amp;'Hydrogen-ELT'!$B$6:$B$17,0),MATCH(TS_TTech!T$7,'Hydrogen-ELT'!$F$5:$J$5,0)),"")</f>
        <v/>
      </c>
      <c r="U299" s="163" t="str">
        <f t="array" aca="1" ref="U299" ca="1">IFERROR(INDEX('Hydrogen-ELT'!$F$6:$J$17,MATCH(TS_TTech!$C299&amp;TS_TTech!$B299,'Hydrogen-ELT'!$A$6:$A$17&amp;'Hydrogen-ELT'!$B$6:$B$17,0),MATCH(TS_TTech!U$7,'Hydrogen-ELT'!$F$5:$J$5,0)),"")</f>
        <v/>
      </c>
      <c r="V299" s="163" t="str">
        <f t="array" aca="1" ref="V299" ca="1">IFERROR(INDEX('Hydrogen-ELT'!$F$6:$J$17,MATCH(TS_TTech!$C299&amp;TS_TTech!$B299,'Hydrogen-ELT'!$A$6:$A$17&amp;'Hydrogen-ELT'!$B$6:$B$17,0),MATCH(TS_TTech!V$7,'Hydrogen-ELT'!$F$5:$J$5,0)),"")</f>
        <v/>
      </c>
      <c r="W299" s="163" t="str">
        <f t="array" aca="1" ref="W299" ca="1">IFERROR(INDEX('Hydrogen-ELT'!$F$6:$J$17,MATCH(TS_TTech!$C299&amp;TS_TTech!$B299,'Hydrogen-ELT'!$A$6:$A$17&amp;'Hydrogen-ELT'!$B$6:$B$17,0),MATCH(TS_TTech!W$7,'Hydrogen-ELT'!$F$5:$J$5,0)),"")</f>
        <v/>
      </c>
      <c r="X299" s="163" t="str">
        <f t="array" aca="1" ref="X299" ca="1">IFERROR(INDEX('Hydrogen-ELT'!$F$6:$J$17,MATCH(TS_TTech!$C299&amp;TS_TTech!$B299,'Hydrogen-ELT'!$A$6:$A$17&amp;'Hydrogen-ELT'!$B$6:$B$17,0),MATCH(TS_TTech!X$7,'Hydrogen-ELT'!$F$5:$J$5,0)),"")</f>
        <v/>
      </c>
      <c r="Y299" s="163" t="str">
        <f t="array" aca="1" ref="Y299" ca="1">IFERROR(INDEX('Hydrogen-ELT'!$F$6:$J$17,MATCH(TS_TTech!$C299&amp;TS_TTech!$B299,'Hydrogen-ELT'!$A$6:$A$17&amp;'Hydrogen-ELT'!$B$6:$B$17,0),MATCH(TS_TTech!Y$7,'Hydrogen-ELT'!$F$5:$J$5,0)),"")</f>
        <v/>
      </c>
      <c r="Z299" s="163" t="str">
        <f t="array" aca="1" ref="Z299" ca="1">IFERROR(INDEX('Hydrogen-ELT'!$F$6:$J$17,MATCH(TS_TTech!$C299&amp;TS_TTech!$B299,'Hydrogen-ELT'!$A$6:$A$17&amp;'Hydrogen-ELT'!$B$6:$B$17,0),MATCH(TS_TTech!Z$7,'Hydrogen-ELT'!$F$5:$J$5,0)),"")</f>
        <v/>
      </c>
      <c r="AA299" s="163" t="str">
        <f t="array" aca="1" ref="AA299" ca="1">IFERROR(INDEX('Hydrogen-ELT'!$F$6:$J$17,MATCH(TS_TTech!$C299&amp;TS_TTech!$B299,'Hydrogen-ELT'!$A$6:$A$17&amp;'Hydrogen-ELT'!$B$6:$B$17,0),MATCH(TS_TTech!AA$7,'Hydrogen-ELT'!$F$5:$J$5,0)),"")</f>
        <v/>
      </c>
      <c r="AB299" s="163">
        <f t="array" aca="1" ref="AB299" ca="1">IFERROR(INDEX('Hydrogen-ELT'!$F$6:$J$17,MATCH(TS_TTech!$C299&amp;TS_TTech!$B299,'Hydrogen-ELT'!$A$6:$A$17&amp;'Hydrogen-ELT'!$B$6:$B$17,0),MATCH(TS_TTech!AB$7,'Hydrogen-ELT'!$F$5:$J$5,0)),"")</f>
        <v>0.9</v>
      </c>
      <c r="AC299" s="163" t="str">
        <f t="array" aca="1" ref="AC299" ca="1">IFERROR(INDEX('Hydrogen-ELT'!$F$6:$J$17,MATCH(TS_TTech!$C299&amp;TS_TTech!$B299,'Hydrogen-ELT'!$A$6:$A$17&amp;'Hydrogen-ELT'!$B$6:$B$17,0),MATCH(TS_TTech!AC$7,'Hydrogen-ELT'!$F$5:$J$5,0)),"")</f>
        <v/>
      </c>
      <c r="AD299" s="163" t="str">
        <f t="array" aca="1" ref="AD299" ca="1">IFERROR(INDEX('Hydrogen-ELT'!$F$6:$J$17,MATCH(TS_TTech!$C299&amp;TS_TTech!$B299,'Hydrogen-ELT'!$A$6:$A$17&amp;'Hydrogen-ELT'!$B$6:$B$17,0),MATCH(TS_TTech!AD$7,'Hydrogen-ELT'!$F$5:$J$5,0)),"")</f>
        <v/>
      </c>
      <c r="AE299" s="163" t="str">
        <f t="array" aca="1" ref="AE299" ca="1">IFERROR(INDEX('Hydrogen-ELT'!$F$6:$J$17,MATCH(TS_TTech!$C299&amp;TS_TTech!$B299,'Hydrogen-ELT'!$A$6:$A$17&amp;'Hydrogen-ELT'!$B$6:$B$17,0),MATCH(TS_TTech!AE$7,'Hydrogen-ELT'!$F$5:$J$5,0)),"")</f>
        <v/>
      </c>
      <c r="AF299" s="163" t="str">
        <f t="array" aca="1" ref="AF299" ca="1">IFERROR(INDEX('Hydrogen-ELT'!$F$6:$J$17,MATCH(TS_TTech!$C299&amp;TS_TTech!$B299,'Hydrogen-ELT'!$A$6:$A$17&amp;'Hydrogen-ELT'!$B$6:$B$17,0),MATCH(TS_TTech!AF$7,'Hydrogen-ELT'!$F$5:$J$5,0)),"")</f>
        <v/>
      </c>
      <c r="AG299" s="163">
        <f t="array" aca="1" ref="AG299" ca="1">IFERROR(INDEX('Hydrogen-ELT'!$F$6:$J$17,MATCH(TS_TTech!$C299&amp;TS_TTech!$B299,'Hydrogen-ELT'!$A$6:$A$17&amp;'Hydrogen-ELT'!$B$6:$B$17,0),MATCH(TS_TTech!AG$7,'Hydrogen-ELT'!$F$5:$J$5,0)),"")</f>
        <v>0.9</v>
      </c>
      <c r="AH299" s="163" t="str">
        <f t="array" aca="1" ref="AH299" ca="1">IFERROR(INDEX('Hydrogen-ELT'!$F$6:$J$17,MATCH(TS_TTech!$C299&amp;TS_TTech!$B299,'Hydrogen-ELT'!$A$6:$A$17&amp;'Hydrogen-ELT'!$B$6:$B$17,0),MATCH(TS_TTech!AH$7,'Hydrogen-ELT'!$F$5:$J$5,0)),"")</f>
        <v/>
      </c>
      <c r="AI299" s="163" t="str">
        <f t="array" aca="1" ref="AI299" ca="1">IFERROR(INDEX('Hydrogen-ELT'!$F$6:$J$17,MATCH(TS_TTech!$C299&amp;TS_TTech!$B299,'Hydrogen-ELT'!$A$6:$A$17&amp;'Hydrogen-ELT'!$B$6:$B$17,0),MATCH(TS_TTech!AI$7,'Hydrogen-ELT'!$F$5:$J$5,0)),"")</f>
        <v/>
      </c>
      <c r="AJ299" s="163" t="str">
        <f t="array" aca="1" ref="AJ299" ca="1">IFERROR(INDEX('Hydrogen-ELT'!$F$6:$J$17,MATCH(TS_TTech!$C299&amp;TS_TTech!$B299,'Hydrogen-ELT'!$A$6:$A$17&amp;'Hydrogen-ELT'!$B$6:$B$17,0),MATCH(TS_TTech!AJ$7,'Hydrogen-ELT'!$F$5:$J$5,0)),"")</f>
        <v/>
      </c>
      <c r="AK299" s="163" t="str">
        <f t="array" aca="1" ref="AK299" ca="1">IFERROR(INDEX('Hydrogen-ELT'!$F$6:$J$17,MATCH(TS_TTech!$C299&amp;TS_TTech!$B299,'Hydrogen-ELT'!$A$6:$A$17&amp;'Hydrogen-ELT'!$B$6:$B$17,0),MATCH(TS_TTech!AK$7,'Hydrogen-ELT'!$F$5:$J$5,0)),"")</f>
        <v/>
      </c>
      <c r="AL299" s="163">
        <f t="array" aca="1" ref="AL299" ca="1">IFERROR(INDEX('Hydrogen-ELT'!$F$6:$J$17,MATCH(TS_TTech!$C299&amp;TS_TTech!$B299,'Hydrogen-ELT'!$A$6:$A$17&amp;'Hydrogen-ELT'!$B$6:$B$17,0),MATCH(TS_TTech!AL$7,'Hydrogen-ELT'!$F$5:$J$5,0)),"")</f>
        <v>0.9</v>
      </c>
      <c r="AM299" s="163" t="str">
        <f t="array" aca="1" ref="AM299" ca="1">IFERROR(INDEX('Hydrogen-ELT'!$F$6:$J$17,MATCH(TS_TTech!$C299&amp;TS_TTech!$B299,'Hydrogen-ELT'!$A$6:$A$17&amp;'Hydrogen-ELT'!$B$6:$B$17,0),MATCH(TS_TTech!AM$7,'Hydrogen-ELT'!$F$5:$J$5,0)),"")</f>
        <v/>
      </c>
      <c r="AN299" s="163">
        <f t="array" aca="1" ref="AN299" ca="1">IFERROR(INDEX('Hydrogen-ELT'!$F$6:$J$17,MATCH(TS_TTech!$C299&amp;TS_TTech!$B299,'Hydrogen-ELT'!$A$6:$A$17&amp;'Hydrogen-ELT'!$B$6:$B$17,0),MATCH(TS_TTech!AN$7,'Hydrogen-ELT'!$F$5:$J$5,0)),"")</f>
        <v>0.9</v>
      </c>
      <c r="AO299" s="163" t="str">
        <f t="array" aca="1" ref="AO299" ca="1">IFERROR(INDEX('Hydrogen-ELT'!$F$6:$J$17,MATCH(TS_TTech!$C299&amp;TS_TTech!$B299,'Hydrogen-ELT'!$A$6:$A$17&amp;'Hydrogen-ELT'!$B$6:$B$17,0),MATCH(TS_TTech!AO$7,'Hydrogen-ELT'!$F$5:$J$5,0)),"")</f>
        <v/>
      </c>
      <c r="AP299" s="163" t="str">
        <f t="array" aca="1" ref="AP299" ca="1">IFERROR(INDEX('Hydrogen-ELT'!$F$6:$J$17,MATCH(TS_TTech!$C299&amp;TS_TTech!$B299,'Hydrogen-ELT'!$A$6:$A$17&amp;'Hydrogen-ELT'!$B$6:$B$17,0),MATCH(TS_TTech!AP$7,'Hydrogen-ELT'!$F$5:$J$5,0)),"")</f>
        <v/>
      </c>
      <c r="AR299" s="42">
        <f>AR298</f>
        <v>26</v>
      </c>
      <c r="AS299" s="42">
        <f>IF(AR299=AR298,AS298+1,1)</f>
        <v>2</v>
      </c>
      <c r="AU299" s="42">
        <f ca="1">SUMIF(UPS!B$38:B$171,C299,UPS!BD$38:BD$171)</f>
        <v>128</v>
      </c>
    </row>
    <row r="300" spans="1:51">
      <c r="B300" s="440" t="str">
        <f t="shared" si="143"/>
        <v>NCAP_AFA</v>
      </c>
      <c r="C300" s="440" t="str">
        <f ca="1">IF($A300="*","",OFFSET(ITEMS_UPS!$C$8,AR300,0))</f>
        <v>UELEP1HGN</v>
      </c>
      <c r="D300" s="440" t="str">
        <f ca="1">IF($A300="*","",IF(VLOOKUP("*#"&amp;$AS300,$A$10:$I$24,D$9+1,FALSE)="-","-",OFFSET(UPS!$C$37,AU300+AV300,SUMIF($A$10:$A$20,"*#"&amp;AS300,$AT$10:$AT$20))))</f>
        <v>-</v>
      </c>
      <c r="E300" s="440" t="str">
        <f t="shared" si="144"/>
        <v>-</v>
      </c>
      <c r="F300" s="440" t="str">
        <f t="shared" si="145"/>
        <v>-</v>
      </c>
      <c r="G300" s="440" t="str">
        <f t="shared" si="146"/>
        <v>ANNUAL</v>
      </c>
      <c r="H300" s="441" t="str">
        <f t="shared" si="147"/>
        <v>LO</v>
      </c>
      <c r="I300" s="441">
        <f t="shared" si="148"/>
        <v>3</v>
      </c>
      <c r="J300" s="163" t="str">
        <f ca="1">IF($A300="*","",OFFSET(UPS!$C$37,AU300,SUMIF($A$10:$A$20,"*#"&amp;AS300,$AT$10:$AT$20)))</f>
        <v/>
      </c>
      <c r="K300" s="163" t="str">
        <f t="array" aca="1" ref="K300" ca="1">IFERROR(INDEX('Hydrogen-ELT'!$F$6:$J$17,MATCH(TS_TTech!$C300&amp;TS_TTech!$B300,'Hydrogen-ELT'!$A$6:$A$17&amp;'Hydrogen-ELT'!$B$6:$B$17,0),MATCH(TS_TTech!K$7,'Hydrogen-ELT'!$F$5:$J$5,0)),"")</f>
        <v/>
      </c>
      <c r="L300" s="163" t="str">
        <f t="array" aca="1" ref="L300" ca="1">IFERROR(INDEX('Hydrogen-ELT'!$F$6:$J$17,MATCH(TS_TTech!$C300&amp;TS_TTech!$B300,'Hydrogen-ELT'!$A$6:$A$17&amp;'Hydrogen-ELT'!$B$6:$B$17,0),MATCH(TS_TTech!L$7,'Hydrogen-ELT'!$F$5:$J$5,0)),"")</f>
        <v/>
      </c>
      <c r="M300" s="163" t="str">
        <f t="array" aca="1" ref="M300" ca="1">IFERROR(INDEX('Hydrogen-ELT'!$F$6:$J$17,MATCH(TS_TTech!$C300&amp;TS_TTech!$B300,'Hydrogen-ELT'!$A$6:$A$17&amp;'Hydrogen-ELT'!$B$6:$B$17,0),MATCH(TS_TTech!M$7,'Hydrogen-ELT'!$F$5:$J$5,0)),"")</f>
        <v/>
      </c>
      <c r="N300" s="163" t="str">
        <f t="array" aca="1" ref="N300" ca="1">IFERROR(INDEX('Hydrogen-ELT'!$F$6:$J$17,MATCH(TS_TTech!$C300&amp;TS_TTech!$B300,'Hydrogen-ELT'!$A$6:$A$17&amp;'Hydrogen-ELT'!$B$6:$B$17,0),MATCH(TS_TTech!N$7,'Hydrogen-ELT'!$F$5:$J$5,0)),"")</f>
        <v/>
      </c>
      <c r="O300" s="163" t="str">
        <f t="array" aca="1" ref="O300" ca="1">IFERROR(INDEX('Hydrogen-ELT'!$F$6:$J$17,MATCH(TS_TTech!$C300&amp;TS_TTech!$B300,'Hydrogen-ELT'!$A$6:$A$17&amp;'Hydrogen-ELT'!$B$6:$B$17,0),MATCH(TS_TTech!O$7,'Hydrogen-ELT'!$F$5:$J$5,0)),"")</f>
        <v/>
      </c>
      <c r="P300" s="163" t="str">
        <f t="array" aca="1" ref="P300" ca="1">IFERROR(INDEX('Hydrogen-ELT'!$F$6:$J$17,MATCH(TS_TTech!$C300&amp;TS_TTech!$B300,'Hydrogen-ELT'!$A$6:$A$17&amp;'Hydrogen-ELT'!$B$6:$B$17,0),MATCH(TS_TTech!P$7,'Hydrogen-ELT'!$F$5:$J$5,0)),"")</f>
        <v/>
      </c>
      <c r="Q300" s="163" t="str">
        <f t="array" aca="1" ref="Q300" ca="1">IFERROR(INDEX('Hydrogen-ELT'!$F$6:$J$17,MATCH(TS_TTech!$C300&amp;TS_TTech!$B300,'Hydrogen-ELT'!$A$6:$A$17&amp;'Hydrogen-ELT'!$B$6:$B$17,0),MATCH(TS_TTech!Q$7,'Hydrogen-ELT'!$F$5:$J$5,0)),"")</f>
        <v/>
      </c>
      <c r="R300" s="163"/>
      <c r="S300" s="163"/>
      <c r="T300" s="163"/>
      <c r="U300" s="163"/>
      <c r="V300" s="163"/>
      <c r="W300" s="163"/>
      <c r="X300" s="163"/>
      <c r="Y300" s="163"/>
      <c r="Z300" s="163"/>
      <c r="AA300" s="163"/>
      <c r="AB300" s="163"/>
      <c r="AC300" s="163"/>
      <c r="AD300" s="163"/>
      <c r="AE300" s="163"/>
      <c r="AF300" s="163"/>
      <c r="AG300" s="163"/>
      <c r="AH300" s="163"/>
      <c r="AI300" s="163"/>
      <c r="AJ300" s="163"/>
      <c r="AK300" s="163"/>
      <c r="AL300" s="163"/>
      <c r="AM300" s="163"/>
      <c r="AN300" s="163"/>
      <c r="AO300" s="163" t="str">
        <f t="array" aca="1" ref="AO300" ca="1">IFERROR(INDEX('Hydrogen-ELT'!$F$6:$J$17,MATCH(TS_TTech!$C300&amp;TS_TTech!$B300,'Hydrogen-ELT'!$A$6:$A$17&amp;'Hydrogen-ELT'!$B$6:$B$17,0),MATCH(TS_TTech!AO$7,'Hydrogen-ELT'!$F$5:$J$5,0)),"")</f>
        <v/>
      </c>
      <c r="AP300" s="163" t="str">
        <f t="array" aca="1" ref="AP300" ca="1">IFERROR(INDEX('Hydrogen-ELT'!$F$6:$J$17,MATCH(TS_TTech!$C300&amp;TS_TTech!$B300,'Hydrogen-ELT'!$A$6:$A$17&amp;'Hydrogen-ELT'!$B$6:$B$17,0),MATCH(TS_TTech!AP$7,'Hydrogen-ELT'!$F$5:$J$5,0)),"")</f>
        <v/>
      </c>
      <c r="AR300" s="42">
        <f>AR299</f>
        <v>26</v>
      </c>
      <c r="AS300" s="42">
        <f>IF(AR300=AR299,AS299+1,1)</f>
        <v>3</v>
      </c>
      <c r="AU300" s="42">
        <f ca="1">SUMIF(UPS!B$38:B$171,C300,UPS!BD$38:BD$171)</f>
        <v>128</v>
      </c>
    </row>
    <row r="301" spans="1:51">
      <c r="B301" s="440" t="str">
        <f t="shared" si="143"/>
        <v>NCAP_FOM</v>
      </c>
      <c r="C301" s="440" t="str">
        <f ca="1">IF($A301="*","",OFFSET(ITEMS_UPS!$C$8,AR301,0))</f>
        <v>UELEP1HGN</v>
      </c>
      <c r="D301" s="440" t="str">
        <f ca="1">IF($A301="*","",IF(VLOOKUP("*#"&amp;$AS301,$A$10:$I$24,D$9+1,FALSE)="-","-",OFFSET(UPS!$C$37,AU301+AV301,SUMIF($A$10:$A$20,"*#"&amp;AS301,$AT$10:$AT$20))))</f>
        <v>-</v>
      </c>
      <c r="E301" s="440" t="str">
        <f t="shared" si="144"/>
        <v>-</v>
      </c>
      <c r="F301" s="440" t="str">
        <f t="shared" si="145"/>
        <v>-</v>
      </c>
      <c r="G301" s="440" t="str">
        <f t="shared" si="146"/>
        <v>-</v>
      </c>
      <c r="H301" s="441" t="str">
        <f t="shared" si="147"/>
        <v>-</v>
      </c>
      <c r="I301" s="441">
        <f t="shared" si="148"/>
        <v>0</v>
      </c>
      <c r="J301" s="163">
        <f ca="1">IF($A301="*","",OFFSET(UPS!$C$37,AU301,SUMIF($A$10:$A$20,"*#"&amp;AS301,$AT$10:$AT$20)))</f>
        <v>294.63025210084032</v>
      </c>
      <c r="K301" s="163" t="str">
        <f t="array" aca="1" ref="K301" ca="1">IFERROR(INDEX('Hydrogen-ELT'!$F$6:$J$17,MATCH(TS_TTech!$C301&amp;TS_TTech!$B301,'Hydrogen-ELT'!$A$6:$A$17&amp;'Hydrogen-ELT'!$B$6:$B$17,0),MATCH(TS_TTech!K$7,'Hydrogen-ELT'!$F$5:$J$5,0)),"")</f>
        <v/>
      </c>
      <c r="L301" s="163" t="str">
        <f t="array" aca="1" ref="L301" ca="1">IFERROR(INDEX('Hydrogen-ELT'!$F$6:$J$17,MATCH(TS_TTech!$C301&amp;TS_TTech!$B301,'Hydrogen-ELT'!$A$6:$A$17&amp;'Hydrogen-ELT'!$B$6:$B$17,0),MATCH(TS_TTech!L$7,'Hydrogen-ELT'!$F$5:$J$5,0)),"")</f>
        <v/>
      </c>
      <c r="M301" s="163" t="str">
        <f t="array" aca="1" ref="M301" ca="1">IFERROR(INDEX('Hydrogen-ELT'!$F$6:$J$17,MATCH(TS_TTech!$C301&amp;TS_TTech!$B301,'Hydrogen-ELT'!$A$6:$A$17&amp;'Hydrogen-ELT'!$B$6:$B$17,0),MATCH(TS_TTech!M$7,'Hydrogen-ELT'!$F$5:$J$5,0)),"")</f>
        <v/>
      </c>
      <c r="N301" s="163" t="str">
        <f t="array" aca="1" ref="N301" ca="1">IFERROR(INDEX('Hydrogen-ELT'!$F$6:$J$17,MATCH(TS_TTech!$C301&amp;TS_TTech!$B301,'Hydrogen-ELT'!$A$6:$A$17&amp;'Hydrogen-ELT'!$B$6:$B$17,0),MATCH(TS_TTech!N$7,'Hydrogen-ELT'!$F$5:$J$5,0)),"")</f>
        <v/>
      </c>
      <c r="O301" s="163" t="str">
        <f t="array" aca="1" ref="O301" ca="1">IFERROR(INDEX('Hydrogen-ELT'!$F$6:$J$17,MATCH(TS_TTech!$C301&amp;TS_TTech!$B301,'Hydrogen-ELT'!$A$6:$A$17&amp;'Hydrogen-ELT'!$B$6:$B$17,0),MATCH(TS_TTech!O$7,'Hydrogen-ELT'!$F$5:$J$5,0)),"")</f>
        <v/>
      </c>
      <c r="P301" s="163" t="str">
        <f t="array" aca="1" ref="P301" ca="1">IFERROR(INDEX('Hydrogen-ELT'!$F$6:$J$17,MATCH(TS_TTech!$C301&amp;TS_TTech!$B301,'Hydrogen-ELT'!$A$6:$A$17&amp;'Hydrogen-ELT'!$B$6:$B$17,0),MATCH(TS_TTech!P$7,'Hydrogen-ELT'!$F$5:$J$5,0)),"")</f>
        <v/>
      </c>
      <c r="Q301" s="163" t="str">
        <f t="array" aca="1" ref="Q301" ca="1">IFERROR(INDEX('Hydrogen-ELT'!$F$6:$J$17,MATCH(TS_TTech!$C301&amp;TS_TTech!$B301,'Hydrogen-ELT'!$A$6:$A$17&amp;'Hydrogen-ELT'!$B$6:$B$17,0),MATCH(TS_TTech!Q$7,'Hydrogen-ELT'!$F$5:$J$5,0)),"")</f>
        <v/>
      </c>
      <c r="R301" s="163">
        <f t="array" aca="1" ref="R301" ca="1">IFERROR(INDEX('Hydrogen-ELT'!$F$6:$J$17,MATCH(TS_TTech!$C301&amp;TS_TTech!$B301,'Hydrogen-ELT'!$A$6:$A$17&amp;'Hydrogen-ELT'!$B$6:$B$17,0),MATCH(TS_TTech!R$7,'Hydrogen-ELT'!$F$5:$J$5,0)),"")</f>
        <v>294.63025210084032</v>
      </c>
      <c r="S301" s="163" t="str">
        <f t="array" aca="1" ref="S301" ca="1">IFERROR(INDEX('Hydrogen-ELT'!$F$6:$J$17,MATCH(TS_TTech!$C301&amp;TS_TTech!$B301,'Hydrogen-ELT'!$A$6:$A$17&amp;'Hydrogen-ELT'!$B$6:$B$17,0),MATCH(TS_TTech!S$7,'Hydrogen-ELT'!$F$5:$J$5,0)),"")</f>
        <v/>
      </c>
      <c r="T301" s="163" t="str">
        <f t="array" aca="1" ref="T301" ca="1">IFERROR(INDEX('Hydrogen-ELT'!$F$6:$J$17,MATCH(TS_TTech!$C301&amp;TS_TTech!$B301,'Hydrogen-ELT'!$A$6:$A$17&amp;'Hydrogen-ELT'!$B$6:$B$17,0),MATCH(TS_TTech!T$7,'Hydrogen-ELT'!$F$5:$J$5,0)),"")</f>
        <v/>
      </c>
      <c r="U301" s="163" t="str">
        <f t="array" aca="1" ref="U301" ca="1">IFERROR(INDEX('Hydrogen-ELT'!$F$6:$J$17,MATCH(TS_TTech!$C301&amp;TS_TTech!$B301,'Hydrogen-ELT'!$A$6:$A$17&amp;'Hydrogen-ELT'!$B$6:$B$17,0),MATCH(TS_TTech!U$7,'Hydrogen-ELT'!$F$5:$J$5,0)),"")</f>
        <v/>
      </c>
      <c r="V301" s="163" t="str">
        <f t="array" aca="1" ref="V301" ca="1">IFERROR(INDEX('Hydrogen-ELT'!$F$6:$J$17,MATCH(TS_TTech!$C301&amp;TS_TTech!$B301,'Hydrogen-ELT'!$A$6:$A$17&amp;'Hydrogen-ELT'!$B$6:$B$17,0),MATCH(TS_TTech!V$7,'Hydrogen-ELT'!$F$5:$J$5,0)),"")</f>
        <v/>
      </c>
      <c r="W301" s="163" t="str">
        <f t="array" aca="1" ref="W301" ca="1">IFERROR(INDEX('Hydrogen-ELT'!$F$6:$J$17,MATCH(TS_TTech!$C301&amp;TS_TTech!$B301,'Hydrogen-ELT'!$A$6:$A$17&amp;'Hydrogen-ELT'!$B$6:$B$17,0),MATCH(TS_TTech!W$7,'Hydrogen-ELT'!$F$5:$J$5,0)),"")</f>
        <v/>
      </c>
      <c r="X301" s="163" t="str">
        <f t="array" aca="1" ref="X301" ca="1">IFERROR(INDEX('Hydrogen-ELT'!$F$6:$J$17,MATCH(TS_TTech!$C301&amp;TS_TTech!$B301,'Hydrogen-ELT'!$A$6:$A$17&amp;'Hydrogen-ELT'!$B$6:$B$17,0),MATCH(TS_TTech!X$7,'Hydrogen-ELT'!$F$5:$J$5,0)),"")</f>
        <v/>
      </c>
      <c r="Y301" s="163" t="str">
        <f t="array" aca="1" ref="Y301" ca="1">IFERROR(INDEX('Hydrogen-ELT'!$F$6:$J$17,MATCH(TS_TTech!$C301&amp;TS_TTech!$B301,'Hydrogen-ELT'!$A$6:$A$17&amp;'Hydrogen-ELT'!$B$6:$B$17,0),MATCH(TS_TTech!Y$7,'Hydrogen-ELT'!$F$5:$J$5,0)),"")</f>
        <v/>
      </c>
      <c r="Z301" s="163" t="str">
        <f t="array" aca="1" ref="Z301" ca="1">IFERROR(INDEX('Hydrogen-ELT'!$F$6:$J$17,MATCH(TS_TTech!$C301&amp;TS_TTech!$B301,'Hydrogen-ELT'!$A$6:$A$17&amp;'Hydrogen-ELT'!$B$6:$B$17,0),MATCH(TS_TTech!Z$7,'Hydrogen-ELT'!$F$5:$J$5,0)),"")</f>
        <v/>
      </c>
      <c r="AA301" s="163" t="str">
        <f t="array" aca="1" ref="AA301" ca="1">IFERROR(INDEX('Hydrogen-ELT'!$F$6:$J$17,MATCH(TS_TTech!$C301&amp;TS_TTech!$B301,'Hydrogen-ELT'!$A$6:$A$17&amp;'Hydrogen-ELT'!$B$6:$B$17,0),MATCH(TS_TTech!AA$7,'Hydrogen-ELT'!$F$5:$J$5,0)),"")</f>
        <v/>
      </c>
      <c r="AB301" s="163">
        <f t="array" aca="1" ref="AB301" ca="1">IFERROR(INDEX('Hydrogen-ELT'!$F$6:$J$17,MATCH(TS_TTech!$C301&amp;TS_TTech!$B301,'Hydrogen-ELT'!$A$6:$A$17&amp;'Hydrogen-ELT'!$B$6:$B$17,0),MATCH(TS_TTech!AB$7,'Hydrogen-ELT'!$F$5:$J$5,0)),"")</f>
        <v>203.19327731092434</v>
      </c>
      <c r="AC301" s="163" t="str">
        <f t="array" aca="1" ref="AC301" ca="1">IFERROR(INDEX('Hydrogen-ELT'!$F$6:$J$17,MATCH(TS_TTech!$C301&amp;TS_TTech!$B301,'Hydrogen-ELT'!$A$6:$A$17&amp;'Hydrogen-ELT'!$B$6:$B$17,0),MATCH(TS_TTech!AC$7,'Hydrogen-ELT'!$F$5:$J$5,0)),"")</f>
        <v/>
      </c>
      <c r="AD301" s="163" t="str">
        <f t="array" aca="1" ref="AD301" ca="1">IFERROR(INDEX('Hydrogen-ELT'!$F$6:$J$17,MATCH(TS_TTech!$C301&amp;TS_TTech!$B301,'Hydrogen-ELT'!$A$6:$A$17&amp;'Hydrogen-ELT'!$B$6:$B$17,0),MATCH(TS_TTech!AD$7,'Hydrogen-ELT'!$F$5:$J$5,0)),"")</f>
        <v/>
      </c>
      <c r="AE301" s="163" t="str">
        <f t="array" aca="1" ref="AE301" ca="1">IFERROR(INDEX('Hydrogen-ELT'!$F$6:$J$17,MATCH(TS_TTech!$C301&amp;TS_TTech!$B301,'Hydrogen-ELT'!$A$6:$A$17&amp;'Hydrogen-ELT'!$B$6:$B$17,0),MATCH(TS_TTech!AE$7,'Hydrogen-ELT'!$F$5:$J$5,0)),"")</f>
        <v/>
      </c>
      <c r="AF301" s="163" t="str">
        <f t="array" aca="1" ref="AF301" ca="1">IFERROR(INDEX('Hydrogen-ELT'!$F$6:$J$17,MATCH(TS_TTech!$C301&amp;TS_TTech!$B301,'Hydrogen-ELT'!$A$6:$A$17&amp;'Hydrogen-ELT'!$B$6:$B$17,0),MATCH(TS_TTech!AF$7,'Hydrogen-ELT'!$F$5:$J$5,0)),"")</f>
        <v/>
      </c>
      <c r="AG301" s="163">
        <f t="array" aca="1" ref="AG301" ca="1">IFERROR(INDEX('Hydrogen-ELT'!$F$6:$J$17,MATCH(TS_TTech!$C301&amp;TS_TTech!$B301,'Hydrogen-ELT'!$A$6:$A$17&amp;'Hydrogen-ELT'!$B$6:$B$17,0),MATCH(TS_TTech!AG$7,'Hydrogen-ELT'!$F$5:$J$5,0)),"")</f>
        <v>111.75630252100839</v>
      </c>
      <c r="AH301" s="163" t="str">
        <f t="array" aca="1" ref="AH301" ca="1">IFERROR(INDEX('Hydrogen-ELT'!$F$6:$J$17,MATCH(TS_TTech!$C301&amp;TS_TTech!$B301,'Hydrogen-ELT'!$A$6:$A$17&amp;'Hydrogen-ELT'!$B$6:$B$17,0),MATCH(TS_TTech!AH$7,'Hydrogen-ELT'!$F$5:$J$5,0)),"")</f>
        <v/>
      </c>
      <c r="AI301" s="163" t="str">
        <f t="array" aca="1" ref="AI301" ca="1">IFERROR(INDEX('Hydrogen-ELT'!$F$6:$J$17,MATCH(TS_TTech!$C301&amp;TS_TTech!$B301,'Hydrogen-ELT'!$A$6:$A$17&amp;'Hydrogen-ELT'!$B$6:$B$17,0),MATCH(TS_TTech!AI$7,'Hydrogen-ELT'!$F$5:$J$5,0)),"")</f>
        <v/>
      </c>
      <c r="AJ301" s="163" t="str">
        <f t="array" aca="1" ref="AJ301" ca="1">IFERROR(INDEX('Hydrogen-ELT'!$F$6:$J$17,MATCH(TS_TTech!$C301&amp;TS_TTech!$B301,'Hydrogen-ELT'!$A$6:$A$17&amp;'Hydrogen-ELT'!$B$6:$B$17,0),MATCH(TS_TTech!AJ$7,'Hydrogen-ELT'!$F$5:$J$5,0)),"")</f>
        <v/>
      </c>
      <c r="AK301" s="163" t="str">
        <f t="array" aca="1" ref="AK301" ca="1">IFERROR(INDEX('Hydrogen-ELT'!$F$6:$J$17,MATCH(TS_TTech!$C301&amp;TS_TTech!$B301,'Hydrogen-ELT'!$A$6:$A$17&amp;'Hydrogen-ELT'!$B$6:$B$17,0),MATCH(TS_TTech!AK$7,'Hydrogen-ELT'!$F$5:$J$5,0)),"")</f>
        <v/>
      </c>
      <c r="AL301" s="163">
        <f t="array" aca="1" ref="AL301" ca="1">IFERROR(INDEX('Hydrogen-ELT'!$F$6:$J$17,MATCH(TS_TTech!$C301&amp;TS_TTech!$B301,'Hydrogen-ELT'!$A$6:$A$17&amp;'Hydrogen-ELT'!$B$6:$B$17,0),MATCH(TS_TTech!AL$7,'Hydrogen-ELT'!$F$5:$J$5,0)),"")</f>
        <v>94.065699006875491</v>
      </c>
      <c r="AM301" s="163" t="str">
        <f t="array" aca="1" ref="AM301" ca="1">IFERROR(INDEX('Hydrogen-ELT'!$F$6:$J$17,MATCH(TS_TTech!$C301&amp;TS_TTech!$B301,'Hydrogen-ELT'!$A$6:$A$17&amp;'Hydrogen-ELT'!$B$6:$B$17,0),MATCH(TS_TTech!AM$7,'Hydrogen-ELT'!$F$5:$J$5,0)),"")</f>
        <v/>
      </c>
      <c r="AN301" s="163">
        <f t="array" aca="1" ref="AN301" ca="1">IFERROR(INDEX('Hydrogen-ELT'!$F$6:$J$17,MATCH(TS_TTech!$C301&amp;TS_TTech!$B301,'Hydrogen-ELT'!$A$6:$A$17&amp;'Hydrogen-ELT'!$B$6:$B$17,0),MATCH(TS_TTech!AN$7,'Hydrogen-ELT'!$F$5:$J$5,0)),"")</f>
        <v>76.37509549274256</v>
      </c>
      <c r="AO301" s="163" t="str">
        <f t="array" aca="1" ref="AO301" ca="1">IFERROR(INDEX('Hydrogen-ELT'!$F$6:$J$17,MATCH(TS_TTech!$C301&amp;TS_TTech!$B301,'Hydrogen-ELT'!$A$6:$A$17&amp;'Hydrogen-ELT'!$B$6:$B$17,0),MATCH(TS_TTech!AO$7,'Hydrogen-ELT'!$F$5:$J$5,0)),"")</f>
        <v/>
      </c>
      <c r="AP301" s="163" t="str">
        <f t="array" aca="1" ref="AP301" ca="1">IFERROR(INDEX('Hydrogen-ELT'!$F$6:$J$17,MATCH(TS_TTech!$C301&amp;TS_TTech!$B301,'Hydrogen-ELT'!$A$6:$A$17&amp;'Hydrogen-ELT'!$B$6:$B$17,0),MATCH(TS_TTech!AP$7,'Hydrogen-ELT'!$F$5:$J$5,0)),"")</f>
        <v/>
      </c>
      <c r="AR301" s="42">
        <f>AR300</f>
        <v>26</v>
      </c>
      <c r="AS301" s="42">
        <f>IF(AR301=AR300,AS300+1,1)</f>
        <v>4</v>
      </c>
      <c r="AU301" s="42">
        <f ca="1">SUMIF(UPS!B$38:B$171,C301,UPS!BD$38:BD$171)</f>
        <v>128</v>
      </c>
    </row>
    <row r="302" spans="1:51">
      <c r="B302" s="440" t="str">
        <f t="shared" si="143"/>
        <v>FLO_FUNC</v>
      </c>
      <c r="C302" s="440" t="str">
        <f ca="1">IF($A302="*","",OFFSET(ITEMS_UPS!$C$8,AR302,0))</f>
        <v>UELEP1HGN</v>
      </c>
      <c r="D302" s="440" t="str">
        <f ca="1">IF($A302="*","",IF(VLOOKUP("*#"&amp;$AS302,$A$10:$I$24,D$9+1,FALSE)="-","-",OFFSET(UPS!$C$37,AU302+AV302,SUMIF($A$10:$A$20,"*#"&amp;AS302,$AT$10:$AT$20))))</f>
        <v>-</v>
      </c>
      <c r="E302" s="440" t="str">
        <f t="shared" ca="1" si="144"/>
        <v>UELEP1HGN-I</v>
      </c>
      <c r="F302" s="440" t="str">
        <f t="shared" ca="1" si="145"/>
        <v>UELEP1HGN-O</v>
      </c>
      <c r="G302" s="440" t="str">
        <f t="shared" si="146"/>
        <v>ANNUAL</v>
      </c>
      <c r="H302" s="441" t="str">
        <f t="shared" si="147"/>
        <v>-</v>
      </c>
      <c r="I302" s="441">
        <f t="shared" si="148"/>
        <v>0</v>
      </c>
      <c r="J302" s="163">
        <f ca="1">IF($A302="*","",OFFSET(UPS!$C$37,AU302,SUMIF($A$10:$A$20,"*#"&amp;AS302,$AT$10:$AT$20)))</f>
        <v>0.57999999999999996</v>
      </c>
      <c r="K302" s="163" t="str">
        <f t="array" aca="1" ref="K302" ca="1">IFERROR(INDEX('Hydrogen-ELT'!$F$6:$J$17,MATCH(TS_TTech!$C302&amp;TS_TTech!$B302,'Hydrogen-ELT'!$A$6:$A$17&amp;'Hydrogen-ELT'!$B$6:$B$17,0),MATCH(TS_TTech!K$7,'Hydrogen-ELT'!$F$5:$J$5,0)),"")</f>
        <v/>
      </c>
      <c r="L302" s="163" t="str">
        <f t="array" aca="1" ref="L302" ca="1">IFERROR(INDEX('Hydrogen-ELT'!$F$6:$J$17,MATCH(TS_TTech!$C302&amp;TS_TTech!$B302,'Hydrogen-ELT'!$A$6:$A$17&amp;'Hydrogen-ELT'!$B$6:$B$17,0),MATCH(TS_TTech!L$7,'Hydrogen-ELT'!$F$5:$J$5,0)),"")</f>
        <v/>
      </c>
      <c r="M302" s="163" t="str">
        <f t="array" aca="1" ref="M302" ca="1">IFERROR(INDEX('Hydrogen-ELT'!$F$6:$J$17,MATCH(TS_TTech!$C302&amp;TS_TTech!$B302,'Hydrogen-ELT'!$A$6:$A$17&amp;'Hydrogen-ELT'!$B$6:$B$17,0),MATCH(TS_TTech!M$7,'Hydrogen-ELT'!$F$5:$J$5,0)),"")</f>
        <v/>
      </c>
      <c r="N302" s="163" t="str">
        <f t="array" aca="1" ref="N302" ca="1">IFERROR(INDEX('Hydrogen-ELT'!$F$6:$J$17,MATCH(TS_TTech!$C302&amp;TS_TTech!$B302,'Hydrogen-ELT'!$A$6:$A$17&amp;'Hydrogen-ELT'!$B$6:$B$17,0),MATCH(TS_TTech!N$7,'Hydrogen-ELT'!$F$5:$J$5,0)),"")</f>
        <v/>
      </c>
      <c r="O302" s="163" t="str">
        <f t="array" aca="1" ref="O302" ca="1">IFERROR(INDEX('Hydrogen-ELT'!$F$6:$J$17,MATCH(TS_TTech!$C302&amp;TS_TTech!$B302,'Hydrogen-ELT'!$A$6:$A$17&amp;'Hydrogen-ELT'!$B$6:$B$17,0),MATCH(TS_TTech!O$7,'Hydrogen-ELT'!$F$5:$J$5,0)),"")</f>
        <v/>
      </c>
      <c r="P302" s="163" t="str">
        <f t="array" aca="1" ref="P302" ca="1">IFERROR(INDEX('Hydrogen-ELT'!$F$6:$J$17,MATCH(TS_TTech!$C302&amp;TS_TTech!$B302,'Hydrogen-ELT'!$A$6:$A$17&amp;'Hydrogen-ELT'!$B$6:$B$17,0),MATCH(TS_TTech!P$7,'Hydrogen-ELT'!$F$5:$J$5,0)),"")</f>
        <v/>
      </c>
      <c r="Q302" s="163" t="str">
        <f t="array" aca="1" ref="Q302" ca="1">IFERROR(INDEX('Hydrogen-ELT'!$F$6:$J$17,MATCH(TS_TTech!$C302&amp;TS_TTech!$B302,'Hydrogen-ELT'!$A$6:$A$17&amp;'Hydrogen-ELT'!$B$6:$B$17,0),MATCH(TS_TTech!Q$7,'Hydrogen-ELT'!$F$5:$J$5,0)),"")</f>
        <v/>
      </c>
      <c r="R302" s="163">
        <f t="array" aca="1" ref="R302" ca="1">IFERROR(INDEX('Hydrogen-ELT'!$F$6:$J$17,MATCH(TS_TTech!$C302&amp;TS_TTech!$B302,'Hydrogen-ELT'!$A$6:$A$17&amp;'Hydrogen-ELT'!$B$6:$B$17,0),MATCH(TS_TTech!R$7,'Hydrogen-ELT'!$F$5:$J$5,0)),"")</f>
        <v>0.57999999999999996</v>
      </c>
      <c r="S302" s="163" t="str">
        <f t="array" aca="1" ref="S302" ca="1">IFERROR(INDEX('Hydrogen-ELT'!$F$6:$J$17,MATCH(TS_TTech!$C302&amp;TS_TTech!$B302,'Hydrogen-ELT'!$A$6:$A$17&amp;'Hydrogen-ELT'!$B$6:$B$17,0),MATCH(TS_TTech!S$7,'Hydrogen-ELT'!$F$5:$J$5,0)),"")</f>
        <v/>
      </c>
      <c r="T302" s="163" t="str">
        <f t="array" aca="1" ref="T302" ca="1">IFERROR(INDEX('Hydrogen-ELT'!$F$6:$J$17,MATCH(TS_TTech!$C302&amp;TS_TTech!$B302,'Hydrogen-ELT'!$A$6:$A$17&amp;'Hydrogen-ELT'!$B$6:$B$17,0),MATCH(TS_TTech!T$7,'Hydrogen-ELT'!$F$5:$J$5,0)),"")</f>
        <v/>
      </c>
      <c r="U302" s="163" t="str">
        <f t="array" aca="1" ref="U302" ca="1">IFERROR(INDEX('Hydrogen-ELT'!$F$6:$J$17,MATCH(TS_TTech!$C302&amp;TS_TTech!$B302,'Hydrogen-ELT'!$A$6:$A$17&amp;'Hydrogen-ELT'!$B$6:$B$17,0),MATCH(TS_TTech!U$7,'Hydrogen-ELT'!$F$5:$J$5,0)),"")</f>
        <v/>
      </c>
      <c r="V302" s="163" t="str">
        <f t="array" aca="1" ref="V302" ca="1">IFERROR(INDEX('Hydrogen-ELT'!$F$6:$J$17,MATCH(TS_TTech!$C302&amp;TS_TTech!$B302,'Hydrogen-ELT'!$A$6:$A$17&amp;'Hydrogen-ELT'!$B$6:$B$17,0),MATCH(TS_TTech!V$7,'Hydrogen-ELT'!$F$5:$J$5,0)),"")</f>
        <v/>
      </c>
      <c r="W302" s="163" t="str">
        <f t="array" aca="1" ref="W302" ca="1">IFERROR(INDEX('Hydrogen-ELT'!$F$6:$J$17,MATCH(TS_TTech!$C302&amp;TS_TTech!$B302,'Hydrogen-ELT'!$A$6:$A$17&amp;'Hydrogen-ELT'!$B$6:$B$17,0),MATCH(TS_TTech!W$7,'Hydrogen-ELT'!$F$5:$J$5,0)),"")</f>
        <v/>
      </c>
      <c r="X302" s="163" t="str">
        <f t="array" aca="1" ref="X302" ca="1">IFERROR(INDEX('Hydrogen-ELT'!$F$6:$J$17,MATCH(TS_TTech!$C302&amp;TS_TTech!$B302,'Hydrogen-ELT'!$A$6:$A$17&amp;'Hydrogen-ELT'!$B$6:$B$17,0),MATCH(TS_TTech!X$7,'Hydrogen-ELT'!$F$5:$J$5,0)),"")</f>
        <v/>
      </c>
      <c r="Y302" s="163" t="str">
        <f t="array" aca="1" ref="Y302" ca="1">IFERROR(INDEX('Hydrogen-ELT'!$F$6:$J$17,MATCH(TS_TTech!$C302&amp;TS_TTech!$B302,'Hydrogen-ELT'!$A$6:$A$17&amp;'Hydrogen-ELT'!$B$6:$B$17,0),MATCH(TS_TTech!Y$7,'Hydrogen-ELT'!$F$5:$J$5,0)),"")</f>
        <v/>
      </c>
      <c r="Z302" s="163" t="str">
        <f t="array" aca="1" ref="Z302" ca="1">IFERROR(INDEX('Hydrogen-ELT'!$F$6:$J$17,MATCH(TS_TTech!$C302&amp;TS_TTech!$B302,'Hydrogen-ELT'!$A$6:$A$17&amp;'Hydrogen-ELT'!$B$6:$B$17,0),MATCH(TS_TTech!Z$7,'Hydrogen-ELT'!$F$5:$J$5,0)),"")</f>
        <v/>
      </c>
      <c r="AA302" s="163" t="str">
        <f t="array" aca="1" ref="AA302" ca="1">IFERROR(INDEX('Hydrogen-ELT'!$F$6:$J$17,MATCH(TS_TTech!$C302&amp;TS_TTech!$B302,'Hydrogen-ELT'!$A$6:$A$17&amp;'Hydrogen-ELT'!$B$6:$B$17,0),MATCH(TS_TTech!AA$7,'Hydrogen-ELT'!$F$5:$J$5,0)),"")</f>
        <v/>
      </c>
      <c r="AB302" s="163">
        <f t="array" aca="1" ref="AB302" ca="1">IFERROR(INDEX('Hydrogen-ELT'!$F$6:$J$17,MATCH(TS_TTech!$C302&amp;TS_TTech!$B302,'Hydrogen-ELT'!$A$6:$A$17&amp;'Hydrogen-ELT'!$B$6:$B$17,0),MATCH(TS_TTech!AB$7,'Hydrogen-ELT'!$F$5:$J$5,0)),"")</f>
        <v>0.65500000000000003</v>
      </c>
      <c r="AC302" s="163" t="str">
        <f t="array" aca="1" ref="AC302" ca="1">IFERROR(INDEX('Hydrogen-ELT'!$F$6:$J$17,MATCH(TS_TTech!$C302&amp;TS_TTech!$B302,'Hydrogen-ELT'!$A$6:$A$17&amp;'Hydrogen-ELT'!$B$6:$B$17,0),MATCH(TS_TTech!AC$7,'Hydrogen-ELT'!$F$5:$J$5,0)),"")</f>
        <v/>
      </c>
      <c r="AD302" s="163" t="str">
        <f t="array" aca="1" ref="AD302" ca="1">IFERROR(INDEX('Hydrogen-ELT'!$F$6:$J$17,MATCH(TS_TTech!$C302&amp;TS_TTech!$B302,'Hydrogen-ELT'!$A$6:$A$17&amp;'Hydrogen-ELT'!$B$6:$B$17,0),MATCH(TS_TTech!AD$7,'Hydrogen-ELT'!$F$5:$J$5,0)),"")</f>
        <v/>
      </c>
      <c r="AE302" s="163" t="str">
        <f t="array" aca="1" ref="AE302" ca="1">IFERROR(INDEX('Hydrogen-ELT'!$F$6:$J$17,MATCH(TS_TTech!$C302&amp;TS_TTech!$B302,'Hydrogen-ELT'!$A$6:$A$17&amp;'Hydrogen-ELT'!$B$6:$B$17,0),MATCH(TS_TTech!AE$7,'Hydrogen-ELT'!$F$5:$J$5,0)),"")</f>
        <v/>
      </c>
      <c r="AF302" s="163" t="str">
        <f t="array" aca="1" ref="AF302" ca="1">IFERROR(INDEX('Hydrogen-ELT'!$F$6:$J$17,MATCH(TS_TTech!$C302&amp;TS_TTech!$B302,'Hydrogen-ELT'!$A$6:$A$17&amp;'Hydrogen-ELT'!$B$6:$B$17,0),MATCH(TS_TTech!AF$7,'Hydrogen-ELT'!$F$5:$J$5,0)),"")</f>
        <v/>
      </c>
      <c r="AG302" s="163">
        <f t="array" aca="1" ref="AG302" ca="1">IFERROR(INDEX('Hydrogen-ELT'!$F$6:$J$17,MATCH(TS_TTech!$C302&amp;TS_TTech!$B302,'Hydrogen-ELT'!$A$6:$A$17&amp;'Hydrogen-ELT'!$B$6:$B$17,0),MATCH(TS_TTech!AG$7,'Hydrogen-ELT'!$F$5:$J$5,0)),"")</f>
        <v>0.70499999999999996</v>
      </c>
      <c r="AH302" s="163" t="str">
        <f t="array" aca="1" ref="AH302" ca="1">IFERROR(INDEX('Hydrogen-ELT'!$F$6:$J$17,MATCH(TS_TTech!$C302&amp;TS_TTech!$B302,'Hydrogen-ELT'!$A$6:$A$17&amp;'Hydrogen-ELT'!$B$6:$B$17,0),MATCH(TS_TTech!AH$7,'Hydrogen-ELT'!$F$5:$J$5,0)),"")</f>
        <v/>
      </c>
      <c r="AI302" s="163" t="str">
        <f t="array" aca="1" ref="AI302" ca="1">IFERROR(INDEX('Hydrogen-ELT'!$F$6:$J$17,MATCH(TS_TTech!$C302&amp;TS_TTech!$B302,'Hydrogen-ELT'!$A$6:$A$17&amp;'Hydrogen-ELT'!$B$6:$B$17,0),MATCH(TS_TTech!AI$7,'Hydrogen-ELT'!$F$5:$J$5,0)),"")</f>
        <v/>
      </c>
      <c r="AJ302" s="163" t="str">
        <f t="array" aca="1" ref="AJ302" ca="1">IFERROR(INDEX('Hydrogen-ELT'!$F$6:$J$17,MATCH(TS_TTech!$C302&amp;TS_TTech!$B302,'Hydrogen-ELT'!$A$6:$A$17&amp;'Hydrogen-ELT'!$B$6:$B$17,0),MATCH(TS_TTech!AJ$7,'Hydrogen-ELT'!$F$5:$J$5,0)),"")</f>
        <v/>
      </c>
      <c r="AK302" s="163" t="str">
        <f t="array" aca="1" ref="AK302" ca="1">IFERROR(INDEX('Hydrogen-ELT'!$F$6:$J$17,MATCH(TS_TTech!$C302&amp;TS_TTech!$B302,'Hydrogen-ELT'!$A$6:$A$17&amp;'Hydrogen-ELT'!$B$6:$B$17,0),MATCH(TS_TTech!AK$7,'Hydrogen-ELT'!$F$5:$J$5,0)),"")</f>
        <v/>
      </c>
      <c r="AL302" s="163">
        <f t="array" aca="1" ref="AL302" ca="1">IFERROR(INDEX('Hydrogen-ELT'!$F$6:$J$17,MATCH(TS_TTech!$C302&amp;TS_TTech!$B302,'Hydrogen-ELT'!$A$6:$A$17&amp;'Hydrogen-ELT'!$B$6:$B$17,0),MATCH(TS_TTech!AL$7,'Hydrogen-ELT'!$F$5:$J$5,0)),"")</f>
        <v>0.71300000000000097</v>
      </c>
      <c r="AM302" s="163" t="str">
        <f t="array" aca="1" ref="AM302" ca="1">IFERROR(INDEX('Hydrogen-ELT'!$F$6:$J$17,MATCH(TS_TTech!$C302&amp;TS_TTech!$B302,'Hydrogen-ELT'!$A$6:$A$17&amp;'Hydrogen-ELT'!$B$6:$B$17,0),MATCH(TS_TTech!AM$7,'Hydrogen-ELT'!$F$5:$J$5,0)),"")</f>
        <v/>
      </c>
      <c r="AN302" s="163">
        <f t="array" aca="1" ref="AN302" ca="1">IFERROR(INDEX('Hydrogen-ELT'!$F$6:$J$17,MATCH(TS_TTech!$C302&amp;TS_TTech!$B302,'Hydrogen-ELT'!$A$6:$A$17&amp;'Hydrogen-ELT'!$B$6:$B$17,0),MATCH(TS_TTech!AN$7,'Hydrogen-ELT'!$F$5:$J$5,0)),"")</f>
        <v>0.79500000000000171</v>
      </c>
      <c r="AO302" s="163" t="str">
        <f t="array" aca="1" ref="AO302" ca="1">IFERROR(INDEX('Hydrogen-ELT'!$F$6:$J$17,MATCH(TS_TTech!$C302&amp;TS_TTech!$B302,'Hydrogen-ELT'!$A$6:$A$17&amp;'Hydrogen-ELT'!$B$6:$B$17,0),MATCH(TS_TTech!AO$7,'Hydrogen-ELT'!$F$5:$J$5,0)),"")</f>
        <v/>
      </c>
      <c r="AP302" s="163" t="str">
        <f t="array" aca="1" ref="AP302" ca="1">IFERROR(INDEX('Hydrogen-ELT'!$F$6:$J$17,MATCH(TS_TTech!$C302&amp;TS_TTech!$B302,'Hydrogen-ELT'!$A$6:$A$17&amp;'Hydrogen-ELT'!$B$6:$B$17,0),MATCH(TS_TTech!AP$7,'Hydrogen-ELT'!$F$5:$J$5,0)),"")</f>
        <v/>
      </c>
      <c r="AR302" s="42">
        <f>AR300</f>
        <v>26</v>
      </c>
      <c r="AS302" s="42">
        <f>AS301+2</f>
        <v>6</v>
      </c>
      <c r="AU302" s="42">
        <f ca="1">SUMIF(UPS!B$38:B$171,C302,UPS!BD$38:BD$171)</f>
        <v>128</v>
      </c>
    </row>
    <row r="303" spans="1:51" s="163" customFormat="1">
      <c r="B303" s="440" t="str">
        <f t="shared" si="143"/>
        <v>FLO_SHAR</v>
      </c>
      <c r="C303" s="440" t="str">
        <f ca="1">IF($A303="*","",OFFSET(ITEMS_UPS!$C$8,AR303,0))</f>
        <v>UELEP1HGN</v>
      </c>
      <c r="D303" s="440" t="str">
        <f ca="1">IF($A303="*","",IF(VLOOKUP("*#"&amp;$AS303,$A$10:$I$24,D$9+1,FALSE)="-","-",OFFSET(UPS!$C$37,AU303+AV303,SUMIF($A$10:$A$20,"*#"&amp;AS303,$AT$10:$AT$20))))</f>
        <v>UPSELC</v>
      </c>
      <c r="E303" s="440" t="str">
        <f t="shared" ca="1" si="144"/>
        <v>UELEP1HGN-I</v>
      </c>
      <c r="F303" s="440" t="str">
        <f t="shared" si="145"/>
        <v>-</v>
      </c>
      <c r="G303" s="440" t="str">
        <f t="shared" si="146"/>
        <v>ANNUAL</v>
      </c>
      <c r="H303" s="441" t="str">
        <f t="shared" si="147"/>
        <v>FX</v>
      </c>
      <c r="I303" s="441">
        <f t="shared" si="148"/>
        <v>3</v>
      </c>
      <c r="J303" s="163">
        <f ca="1">IF($A303="*","",OFFSET(UPS!$C$37,AU303+AV303,SUMIF($A$10:$A$20,"*#"&amp;AS303,$AV$10:$AV$20)))</f>
        <v>1</v>
      </c>
      <c r="K303" s="163" t="str">
        <f t="array" aca="1" ref="K303" ca="1">IFERROR(INDEX('Hydrogen-ELT'!$F$6:$J$17,MATCH(TS_TTech!$C303&amp;TS_TTech!$B303,'Hydrogen-ELT'!$A$6:$A$17&amp;'Hydrogen-ELT'!$B$6:$B$17,0),MATCH(TS_TTech!K$7,'Hydrogen-ELT'!$F$5:$J$5,0)),"")</f>
        <v/>
      </c>
      <c r="L303" s="163" t="str">
        <f t="array" aca="1" ref="L303" ca="1">IFERROR(INDEX('Hydrogen-ELT'!$F$6:$J$17,MATCH(TS_TTech!$C303&amp;TS_TTech!$B303,'Hydrogen-ELT'!$A$6:$A$17&amp;'Hydrogen-ELT'!$B$6:$B$17,0),MATCH(TS_TTech!L$7,'Hydrogen-ELT'!$F$5:$J$5,0)),"")</f>
        <v/>
      </c>
      <c r="M303" s="163" t="str">
        <f t="array" aca="1" ref="M303" ca="1">IFERROR(INDEX('Hydrogen-ELT'!$F$6:$J$17,MATCH(TS_TTech!$C303&amp;TS_TTech!$B303,'Hydrogen-ELT'!$A$6:$A$17&amp;'Hydrogen-ELT'!$B$6:$B$17,0),MATCH(TS_TTech!M$7,'Hydrogen-ELT'!$F$5:$J$5,0)),"")</f>
        <v/>
      </c>
      <c r="N303" s="163" t="str">
        <f t="array" aca="1" ref="N303" ca="1">IFERROR(INDEX('Hydrogen-ELT'!$F$6:$J$17,MATCH(TS_TTech!$C303&amp;TS_TTech!$B303,'Hydrogen-ELT'!$A$6:$A$17&amp;'Hydrogen-ELT'!$B$6:$B$17,0),MATCH(TS_TTech!N$7,'Hydrogen-ELT'!$F$5:$J$5,0)),"")</f>
        <v/>
      </c>
      <c r="O303" s="163" t="str">
        <f t="array" aca="1" ref="O303" ca="1">IFERROR(INDEX('Hydrogen-ELT'!$F$6:$J$17,MATCH(TS_TTech!$C303&amp;TS_TTech!$B303,'Hydrogen-ELT'!$A$6:$A$17&amp;'Hydrogen-ELT'!$B$6:$B$17,0),MATCH(TS_TTech!O$7,'Hydrogen-ELT'!$F$5:$J$5,0)),"")</f>
        <v/>
      </c>
      <c r="P303" s="163" t="str">
        <f t="array" aca="1" ref="P303" ca="1">IFERROR(INDEX('Hydrogen-ELT'!$F$6:$J$17,MATCH(TS_TTech!$C303&amp;TS_TTech!$B303,'Hydrogen-ELT'!$A$6:$A$17&amp;'Hydrogen-ELT'!$B$6:$B$17,0),MATCH(TS_TTech!P$7,'Hydrogen-ELT'!$F$5:$J$5,0)),"")</f>
        <v/>
      </c>
      <c r="Q303" s="163" t="str">
        <f t="array" aca="1" ref="Q303" ca="1">IFERROR(INDEX('Hydrogen-ELT'!$F$6:$J$17,MATCH(TS_TTech!$C303&amp;TS_TTech!$B303,'Hydrogen-ELT'!$A$6:$A$17&amp;'Hydrogen-ELT'!$B$6:$B$17,0),MATCH(TS_TTech!Q$7,'Hydrogen-ELT'!$F$5:$J$5,0)),"")</f>
        <v/>
      </c>
      <c r="R303" s="163" t="str">
        <f t="array" aca="1" ref="R303" ca="1">IFERROR(INDEX('Hydrogen-ELT'!$F$6:$J$17,MATCH(TS_TTech!$C303&amp;TS_TTech!$B303,'Hydrogen-ELT'!$A$6:$A$17&amp;'Hydrogen-ELT'!$B$6:$B$17,0),MATCH(TS_TTech!R$7,'Hydrogen-ELT'!$F$5:$J$5,0)),"")</f>
        <v/>
      </c>
      <c r="S303" s="163" t="str">
        <f t="array" aca="1" ref="S303" ca="1">IFERROR(INDEX('Hydrogen-ELT'!$F$6:$J$17,MATCH(TS_TTech!$C303&amp;TS_TTech!$B303,'Hydrogen-ELT'!$A$6:$A$17&amp;'Hydrogen-ELT'!$B$6:$B$17,0),MATCH(TS_TTech!S$7,'Hydrogen-ELT'!$F$5:$J$5,0)),"")</f>
        <v/>
      </c>
      <c r="T303" s="163" t="str">
        <f t="array" aca="1" ref="T303" ca="1">IFERROR(INDEX('Hydrogen-ELT'!$F$6:$J$17,MATCH(TS_TTech!$C303&amp;TS_TTech!$B303,'Hydrogen-ELT'!$A$6:$A$17&amp;'Hydrogen-ELT'!$B$6:$B$17,0),MATCH(TS_TTech!T$7,'Hydrogen-ELT'!$F$5:$J$5,0)),"")</f>
        <v/>
      </c>
      <c r="U303" s="163" t="str">
        <f t="array" aca="1" ref="U303" ca="1">IFERROR(INDEX('Hydrogen-ELT'!$F$6:$J$17,MATCH(TS_TTech!$C303&amp;TS_TTech!$B303,'Hydrogen-ELT'!$A$6:$A$17&amp;'Hydrogen-ELT'!$B$6:$B$17,0),MATCH(TS_TTech!U$7,'Hydrogen-ELT'!$F$5:$J$5,0)),"")</f>
        <v/>
      </c>
      <c r="V303" s="163" t="str">
        <f t="array" aca="1" ref="V303" ca="1">IFERROR(INDEX('Hydrogen-ELT'!$F$6:$J$17,MATCH(TS_TTech!$C303&amp;TS_TTech!$B303,'Hydrogen-ELT'!$A$6:$A$17&amp;'Hydrogen-ELT'!$B$6:$B$17,0),MATCH(TS_TTech!V$7,'Hydrogen-ELT'!$F$5:$J$5,0)),"")</f>
        <v/>
      </c>
      <c r="W303" s="163" t="str">
        <f t="array" aca="1" ref="W303" ca="1">IFERROR(INDEX('Hydrogen-ELT'!$F$6:$J$17,MATCH(TS_TTech!$C303&amp;TS_TTech!$B303,'Hydrogen-ELT'!$A$6:$A$17&amp;'Hydrogen-ELT'!$B$6:$B$17,0),MATCH(TS_TTech!W$7,'Hydrogen-ELT'!$F$5:$J$5,0)),"")</f>
        <v/>
      </c>
      <c r="X303" s="163" t="str">
        <f t="array" aca="1" ref="X303" ca="1">IFERROR(INDEX('Hydrogen-ELT'!$F$6:$J$17,MATCH(TS_TTech!$C303&amp;TS_TTech!$B303,'Hydrogen-ELT'!$A$6:$A$17&amp;'Hydrogen-ELT'!$B$6:$B$17,0),MATCH(TS_TTech!X$7,'Hydrogen-ELT'!$F$5:$J$5,0)),"")</f>
        <v/>
      </c>
      <c r="Y303" s="163" t="str">
        <f t="array" aca="1" ref="Y303" ca="1">IFERROR(INDEX('Hydrogen-ELT'!$F$6:$J$17,MATCH(TS_TTech!$C303&amp;TS_TTech!$B303,'Hydrogen-ELT'!$A$6:$A$17&amp;'Hydrogen-ELT'!$B$6:$B$17,0),MATCH(TS_TTech!Y$7,'Hydrogen-ELT'!$F$5:$J$5,0)),"")</f>
        <v/>
      </c>
      <c r="Z303" s="163" t="str">
        <f t="array" aca="1" ref="Z303" ca="1">IFERROR(INDEX('Hydrogen-ELT'!$F$6:$J$17,MATCH(TS_TTech!$C303&amp;TS_TTech!$B303,'Hydrogen-ELT'!$A$6:$A$17&amp;'Hydrogen-ELT'!$B$6:$B$17,0),MATCH(TS_TTech!Z$7,'Hydrogen-ELT'!$F$5:$J$5,0)),"")</f>
        <v/>
      </c>
      <c r="AA303" s="163" t="str">
        <f t="array" aca="1" ref="AA303" ca="1">IFERROR(INDEX('Hydrogen-ELT'!$F$6:$J$17,MATCH(TS_TTech!$C303&amp;TS_TTech!$B303,'Hydrogen-ELT'!$A$6:$A$17&amp;'Hydrogen-ELT'!$B$6:$B$17,0),MATCH(TS_TTech!AA$7,'Hydrogen-ELT'!$F$5:$J$5,0)),"")</f>
        <v/>
      </c>
      <c r="AB303" s="163" t="str">
        <f t="array" aca="1" ref="AB303" ca="1">IFERROR(INDEX('Hydrogen-ELT'!$F$6:$J$17,MATCH(TS_TTech!$C303&amp;TS_TTech!$B303,'Hydrogen-ELT'!$A$6:$A$17&amp;'Hydrogen-ELT'!$B$6:$B$17,0),MATCH(TS_TTech!AB$7,'Hydrogen-ELT'!$F$5:$J$5,0)),"")</f>
        <v/>
      </c>
      <c r="AC303" s="163" t="str">
        <f t="array" aca="1" ref="AC303" ca="1">IFERROR(INDEX('Hydrogen-ELT'!$F$6:$J$17,MATCH(TS_TTech!$C303&amp;TS_TTech!$B303,'Hydrogen-ELT'!$A$6:$A$17&amp;'Hydrogen-ELT'!$B$6:$B$17,0),MATCH(TS_TTech!AC$7,'Hydrogen-ELT'!$F$5:$J$5,0)),"")</f>
        <v/>
      </c>
      <c r="AD303" s="163" t="str">
        <f t="array" aca="1" ref="AD303" ca="1">IFERROR(INDEX('Hydrogen-ELT'!$F$6:$J$17,MATCH(TS_TTech!$C303&amp;TS_TTech!$B303,'Hydrogen-ELT'!$A$6:$A$17&amp;'Hydrogen-ELT'!$B$6:$B$17,0),MATCH(TS_TTech!AD$7,'Hydrogen-ELT'!$F$5:$J$5,0)),"")</f>
        <v/>
      </c>
      <c r="AE303" s="163" t="str">
        <f t="array" aca="1" ref="AE303" ca="1">IFERROR(INDEX('Hydrogen-ELT'!$F$6:$J$17,MATCH(TS_TTech!$C303&amp;TS_TTech!$B303,'Hydrogen-ELT'!$A$6:$A$17&amp;'Hydrogen-ELT'!$B$6:$B$17,0),MATCH(TS_TTech!AE$7,'Hydrogen-ELT'!$F$5:$J$5,0)),"")</f>
        <v/>
      </c>
      <c r="AF303" s="163" t="str">
        <f t="array" aca="1" ref="AF303" ca="1">IFERROR(INDEX('Hydrogen-ELT'!$F$6:$J$17,MATCH(TS_TTech!$C303&amp;TS_TTech!$B303,'Hydrogen-ELT'!$A$6:$A$17&amp;'Hydrogen-ELT'!$B$6:$B$17,0),MATCH(TS_TTech!AF$7,'Hydrogen-ELT'!$F$5:$J$5,0)),"")</f>
        <v/>
      </c>
      <c r="AG303" s="163" t="str">
        <f t="array" aca="1" ref="AG303" ca="1">IFERROR(INDEX('Hydrogen-ELT'!$F$6:$J$17,MATCH(TS_TTech!$C303&amp;TS_TTech!$B303,'Hydrogen-ELT'!$A$6:$A$17&amp;'Hydrogen-ELT'!$B$6:$B$17,0),MATCH(TS_TTech!AG$7,'Hydrogen-ELT'!$F$5:$J$5,0)),"")</f>
        <v/>
      </c>
      <c r="AH303" s="163" t="str">
        <f t="array" aca="1" ref="AH303" ca="1">IFERROR(INDEX('Hydrogen-ELT'!$F$6:$J$17,MATCH(TS_TTech!$C303&amp;TS_TTech!$B303,'Hydrogen-ELT'!$A$6:$A$17&amp;'Hydrogen-ELT'!$B$6:$B$17,0),MATCH(TS_TTech!AH$7,'Hydrogen-ELT'!$F$5:$J$5,0)),"")</f>
        <v/>
      </c>
      <c r="AI303" s="163" t="str">
        <f t="array" aca="1" ref="AI303" ca="1">IFERROR(INDEX('Hydrogen-ELT'!$F$6:$J$17,MATCH(TS_TTech!$C303&amp;TS_TTech!$B303,'Hydrogen-ELT'!$A$6:$A$17&amp;'Hydrogen-ELT'!$B$6:$B$17,0),MATCH(TS_TTech!AI$7,'Hydrogen-ELT'!$F$5:$J$5,0)),"")</f>
        <v/>
      </c>
      <c r="AJ303" s="163" t="str">
        <f t="array" aca="1" ref="AJ303" ca="1">IFERROR(INDEX('Hydrogen-ELT'!$F$6:$J$17,MATCH(TS_TTech!$C303&amp;TS_TTech!$B303,'Hydrogen-ELT'!$A$6:$A$17&amp;'Hydrogen-ELT'!$B$6:$B$17,0),MATCH(TS_TTech!AJ$7,'Hydrogen-ELT'!$F$5:$J$5,0)),"")</f>
        <v/>
      </c>
      <c r="AK303" s="163" t="str">
        <f t="array" aca="1" ref="AK303" ca="1">IFERROR(INDEX('Hydrogen-ELT'!$F$6:$J$17,MATCH(TS_TTech!$C303&amp;TS_TTech!$B303,'Hydrogen-ELT'!$A$6:$A$17&amp;'Hydrogen-ELT'!$B$6:$B$17,0),MATCH(TS_TTech!AK$7,'Hydrogen-ELT'!$F$5:$J$5,0)),"")</f>
        <v/>
      </c>
      <c r="AL303" s="163" t="str">
        <f t="array" aca="1" ref="AL303" ca="1">IFERROR(INDEX('Hydrogen-ELT'!$F$6:$J$17,MATCH(TS_TTech!$C303&amp;TS_TTech!$B303,'Hydrogen-ELT'!$A$6:$A$17&amp;'Hydrogen-ELT'!$B$6:$B$17,0),MATCH(TS_TTech!AL$7,'Hydrogen-ELT'!$F$5:$J$5,0)),"")</f>
        <v/>
      </c>
      <c r="AM303" s="163" t="str">
        <f t="array" aca="1" ref="AM303" ca="1">IFERROR(INDEX('Hydrogen-ELT'!$F$6:$J$17,MATCH(TS_TTech!$C303&amp;TS_TTech!$B303,'Hydrogen-ELT'!$A$6:$A$17&amp;'Hydrogen-ELT'!$B$6:$B$17,0),MATCH(TS_TTech!AM$7,'Hydrogen-ELT'!$F$5:$J$5,0)),"")</f>
        <v/>
      </c>
      <c r="AN303" s="163" t="str">
        <f t="array" aca="1" ref="AN303" ca="1">IFERROR(INDEX('Hydrogen-ELT'!$F$6:$J$17,MATCH(TS_TTech!$C303&amp;TS_TTech!$B303,'Hydrogen-ELT'!$A$6:$A$17&amp;'Hydrogen-ELT'!$B$6:$B$17,0),MATCH(TS_TTech!AN$7,'Hydrogen-ELT'!$F$5:$J$5,0)),"")</f>
        <v/>
      </c>
      <c r="AO303" s="163" t="str">
        <f t="array" aca="1" ref="AO303" ca="1">IFERROR(INDEX('Hydrogen-ELT'!$F$6:$J$17,MATCH(TS_TTech!$C303&amp;TS_TTech!$B303,'Hydrogen-ELT'!$A$6:$A$17&amp;'Hydrogen-ELT'!$B$6:$B$17,0),MATCH(TS_TTech!AO$7,'Hydrogen-ELT'!$F$5:$J$5,0)),"")</f>
        <v/>
      </c>
      <c r="AP303" s="163" t="str">
        <f t="array" aca="1" ref="AP303" ca="1">IFERROR(INDEX('Hydrogen-ELT'!$F$6:$J$17,MATCH(TS_TTech!$C303&amp;TS_TTech!$B303,'Hydrogen-ELT'!$A$6:$A$17&amp;'Hydrogen-ELT'!$B$6:$B$17,0),MATCH(TS_TTech!AP$7,'Hydrogen-ELT'!$F$5:$J$5,0)),"")</f>
        <v/>
      </c>
      <c r="AR303" s="163">
        <f>AR302</f>
        <v>26</v>
      </c>
      <c r="AS303" s="42">
        <f>IF(AR303=AR302,AS302+1,1)</f>
        <v>7</v>
      </c>
      <c r="AU303" s="163">
        <f ca="1">AU302</f>
        <v>128</v>
      </c>
      <c r="AV303" s="42">
        <v>0</v>
      </c>
    </row>
    <row r="304" spans="1:51">
      <c r="B304" s="440" t="str">
        <f t="shared" si="143"/>
        <v>FLO_SHAR</v>
      </c>
      <c r="C304" s="440" t="str">
        <f ca="1">IF($A304="*","",OFFSET(ITEMS_UPS!$C$8,AR304,0))</f>
        <v>UELEP1HGN</v>
      </c>
      <c r="D304" s="440" t="str">
        <f ca="1">IF($A304="*","",IF(VLOOKUP("*#"&amp;$AS304,$A$10:$I$24,D$9+1,FALSE)="-","-",OFFSET(UPS!$C$37,AU304+AV304,SUMIF($A$10:$A$20,"*#"&amp;AS304,$AT$10:$AT$20))))</f>
        <v>UPSHGN</v>
      </c>
      <c r="E304" s="440" t="str">
        <f t="shared" ca="1" si="144"/>
        <v>UELEP1HGN-O</v>
      </c>
      <c r="F304" s="440" t="str">
        <f t="shared" si="145"/>
        <v>-</v>
      </c>
      <c r="G304" s="440" t="str">
        <f t="shared" si="146"/>
        <v>ANNUAL</v>
      </c>
      <c r="H304" s="441" t="str">
        <f t="shared" si="147"/>
        <v>UP</v>
      </c>
      <c r="I304" s="441">
        <f t="shared" si="148"/>
        <v>3</v>
      </c>
      <c r="J304" s="163">
        <f ca="1">IF($A304="*","",OFFSET(UPS!$C$37,AU304+AV304,SUMIF($A$10:$A$20,"*#"&amp;AS304,$AV$10:$AV$20)))</f>
        <v>1</v>
      </c>
      <c r="K304" s="163" t="str">
        <f t="array" aca="1" ref="K304" ca="1">IFERROR(INDEX('Hydrogen-ELT'!$F$6:$J$17,MATCH(TS_TTech!$C304&amp;TS_TTech!$B304,'Hydrogen-ELT'!$A$6:$A$17&amp;'Hydrogen-ELT'!$B$6:$B$17,0),MATCH(TS_TTech!K$7,'Hydrogen-ELT'!$F$5:$J$5,0)),"")</f>
        <v/>
      </c>
      <c r="L304" s="163" t="str">
        <f t="array" aca="1" ref="L304" ca="1">IFERROR(INDEX('Hydrogen-ELT'!$F$6:$J$17,MATCH(TS_TTech!$C304&amp;TS_TTech!$B304,'Hydrogen-ELT'!$A$6:$A$17&amp;'Hydrogen-ELT'!$B$6:$B$17,0),MATCH(TS_TTech!L$7,'Hydrogen-ELT'!$F$5:$J$5,0)),"")</f>
        <v/>
      </c>
      <c r="M304" s="163" t="str">
        <f t="array" aca="1" ref="M304" ca="1">IFERROR(INDEX('Hydrogen-ELT'!$F$6:$J$17,MATCH(TS_TTech!$C304&amp;TS_TTech!$B304,'Hydrogen-ELT'!$A$6:$A$17&amp;'Hydrogen-ELT'!$B$6:$B$17,0),MATCH(TS_TTech!M$7,'Hydrogen-ELT'!$F$5:$J$5,0)),"")</f>
        <v/>
      </c>
      <c r="N304" s="163" t="str">
        <f t="array" aca="1" ref="N304" ca="1">IFERROR(INDEX('Hydrogen-ELT'!$F$6:$J$17,MATCH(TS_TTech!$C304&amp;TS_TTech!$B304,'Hydrogen-ELT'!$A$6:$A$17&amp;'Hydrogen-ELT'!$B$6:$B$17,0),MATCH(TS_TTech!N$7,'Hydrogen-ELT'!$F$5:$J$5,0)),"")</f>
        <v/>
      </c>
      <c r="O304" s="163" t="str">
        <f t="array" aca="1" ref="O304" ca="1">IFERROR(INDEX('Hydrogen-ELT'!$F$6:$J$17,MATCH(TS_TTech!$C304&amp;TS_TTech!$B304,'Hydrogen-ELT'!$A$6:$A$17&amp;'Hydrogen-ELT'!$B$6:$B$17,0),MATCH(TS_TTech!O$7,'Hydrogen-ELT'!$F$5:$J$5,0)),"")</f>
        <v/>
      </c>
      <c r="P304" s="163" t="str">
        <f t="array" aca="1" ref="P304" ca="1">IFERROR(INDEX('Hydrogen-ELT'!$F$6:$J$17,MATCH(TS_TTech!$C304&amp;TS_TTech!$B304,'Hydrogen-ELT'!$A$6:$A$17&amp;'Hydrogen-ELT'!$B$6:$B$17,0),MATCH(TS_TTech!P$7,'Hydrogen-ELT'!$F$5:$J$5,0)),"")</f>
        <v/>
      </c>
      <c r="Q304" s="163" t="str">
        <f t="array" aca="1" ref="Q304" ca="1">IFERROR(INDEX('Hydrogen-ELT'!$F$6:$J$17,MATCH(TS_TTech!$C304&amp;TS_TTech!$B304,'Hydrogen-ELT'!$A$6:$A$17&amp;'Hydrogen-ELT'!$B$6:$B$17,0),MATCH(TS_TTech!Q$7,'Hydrogen-ELT'!$F$5:$J$5,0)),"")</f>
        <v/>
      </c>
      <c r="R304" s="163" t="str">
        <f t="array" aca="1" ref="R304" ca="1">IFERROR(INDEX('Hydrogen-ELT'!$F$6:$J$17,MATCH(TS_TTech!$C304&amp;TS_TTech!$B304,'Hydrogen-ELT'!$A$6:$A$17&amp;'Hydrogen-ELT'!$B$6:$B$17,0),MATCH(TS_TTech!R$7,'Hydrogen-ELT'!$F$5:$J$5,0)),"")</f>
        <v/>
      </c>
      <c r="S304" s="163" t="str">
        <f t="array" aca="1" ref="S304" ca="1">IFERROR(INDEX('Hydrogen-ELT'!$F$6:$J$17,MATCH(TS_TTech!$C304&amp;TS_TTech!$B304,'Hydrogen-ELT'!$A$6:$A$17&amp;'Hydrogen-ELT'!$B$6:$B$17,0),MATCH(TS_TTech!S$7,'Hydrogen-ELT'!$F$5:$J$5,0)),"")</f>
        <v/>
      </c>
      <c r="T304" s="163" t="str">
        <f t="array" aca="1" ref="T304" ca="1">IFERROR(INDEX('Hydrogen-ELT'!$F$6:$J$17,MATCH(TS_TTech!$C304&amp;TS_TTech!$B304,'Hydrogen-ELT'!$A$6:$A$17&amp;'Hydrogen-ELT'!$B$6:$B$17,0),MATCH(TS_TTech!T$7,'Hydrogen-ELT'!$F$5:$J$5,0)),"")</f>
        <v/>
      </c>
      <c r="U304" s="163" t="str">
        <f t="array" aca="1" ref="U304" ca="1">IFERROR(INDEX('Hydrogen-ELT'!$F$6:$J$17,MATCH(TS_TTech!$C304&amp;TS_TTech!$B304,'Hydrogen-ELT'!$A$6:$A$17&amp;'Hydrogen-ELT'!$B$6:$B$17,0),MATCH(TS_TTech!U$7,'Hydrogen-ELT'!$F$5:$J$5,0)),"")</f>
        <v/>
      </c>
      <c r="V304" s="163" t="str">
        <f t="array" aca="1" ref="V304" ca="1">IFERROR(INDEX('Hydrogen-ELT'!$F$6:$J$17,MATCH(TS_TTech!$C304&amp;TS_TTech!$B304,'Hydrogen-ELT'!$A$6:$A$17&amp;'Hydrogen-ELT'!$B$6:$B$17,0),MATCH(TS_TTech!V$7,'Hydrogen-ELT'!$F$5:$J$5,0)),"")</f>
        <v/>
      </c>
      <c r="W304" s="163" t="str">
        <f t="array" aca="1" ref="W304" ca="1">IFERROR(INDEX('Hydrogen-ELT'!$F$6:$J$17,MATCH(TS_TTech!$C304&amp;TS_TTech!$B304,'Hydrogen-ELT'!$A$6:$A$17&amp;'Hydrogen-ELT'!$B$6:$B$17,0),MATCH(TS_TTech!W$7,'Hydrogen-ELT'!$F$5:$J$5,0)),"")</f>
        <v/>
      </c>
      <c r="X304" s="163" t="str">
        <f t="array" aca="1" ref="X304" ca="1">IFERROR(INDEX('Hydrogen-ELT'!$F$6:$J$17,MATCH(TS_TTech!$C304&amp;TS_TTech!$B304,'Hydrogen-ELT'!$A$6:$A$17&amp;'Hydrogen-ELT'!$B$6:$B$17,0),MATCH(TS_TTech!X$7,'Hydrogen-ELT'!$F$5:$J$5,0)),"")</f>
        <v/>
      </c>
      <c r="Y304" s="163" t="str">
        <f t="array" aca="1" ref="Y304" ca="1">IFERROR(INDEX('Hydrogen-ELT'!$F$6:$J$17,MATCH(TS_TTech!$C304&amp;TS_TTech!$B304,'Hydrogen-ELT'!$A$6:$A$17&amp;'Hydrogen-ELT'!$B$6:$B$17,0),MATCH(TS_TTech!Y$7,'Hydrogen-ELT'!$F$5:$J$5,0)),"")</f>
        <v/>
      </c>
      <c r="Z304" s="163" t="str">
        <f t="array" aca="1" ref="Z304" ca="1">IFERROR(INDEX('Hydrogen-ELT'!$F$6:$J$17,MATCH(TS_TTech!$C304&amp;TS_TTech!$B304,'Hydrogen-ELT'!$A$6:$A$17&amp;'Hydrogen-ELT'!$B$6:$B$17,0),MATCH(TS_TTech!Z$7,'Hydrogen-ELT'!$F$5:$J$5,0)),"")</f>
        <v/>
      </c>
      <c r="AA304" s="163" t="str">
        <f t="array" aca="1" ref="AA304" ca="1">IFERROR(INDEX('Hydrogen-ELT'!$F$6:$J$17,MATCH(TS_TTech!$C304&amp;TS_TTech!$B304,'Hydrogen-ELT'!$A$6:$A$17&amp;'Hydrogen-ELT'!$B$6:$B$17,0),MATCH(TS_TTech!AA$7,'Hydrogen-ELT'!$F$5:$J$5,0)),"")</f>
        <v/>
      </c>
      <c r="AB304" s="163" t="str">
        <f t="array" aca="1" ref="AB304" ca="1">IFERROR(INDEX('Hydrogen-ELT'!$F$6:$J$17,MATCH(TS_TTech!$C304&amp;TS_TTech!$B304,'Hydrogen-ELT'!$A$6:$A$17&amp;'Hydrogen-ELT'!$B$6:$B$17,0),MATCH(TS_TTech!AB$7,'Hydrogen-ELT'!$F$5:$J$5,0)),"")</f>
        <v/>
      </c>
      <c r="AC304" s="163" t="str">
        <f t="array" aca="1" ref="AC304" ca="1">IFERROR(INDEX('Hydrogen-ELT'!$F$6:$J$17,MATCH(TS_TTech!$C304&amp;TS_TTech!$B304,'Hydrogen-ELT'!$A$6:$A$17&amp;'Hydrogen-ELT'!$B$6:$B$17,0),MATCH(TS_TTech!AC$7,'Hydrogen-ELT'!$F$5:$J$5,0)),"")</f>
        <v/>
      </c>
      <c r="AD304" s="163" t="str">
        <f t="array" aca="1" ref="AD304" ca="1">IFERROR(INDEX('Hydrogen-ELT'!$F$6:$J$17,MATCH(TS_TTech!$C304&amp;TS_TTech!$B304,'Hydrogen-ELT'!$A$6:$A$17&amp;'Hydrogen-ELT'!$B$6:$B$17,0),MATCH(TS_TTech!AD$7,'Hydrogen-ELT'!$F$5:$J$5,0)),"")</f>
        <v/>
      </c>
      <c r="AE304" s="163" t="str">
        <f t="array" aca="1" ref="AE304" ca="1">IFERROR(INDEX('Hydrogen-ELT'!$F$6:$J$17,MATCH(TS_TTech!$C304&amp;TS_TTech!$B304,'Hydrogen-ELT'!$A$6:$A$17&amp;'Hydrogen-ELT'!$B$6:$B$17,0),MATCH(TS_TTech!AE$7,'Hydrogen-ELT'!$F$5:$J$5,0)),"")</f>
        <v/>
      </c>
      <c r="AF304" s="163" t="str">
        <f t="array" aca="1" ref="AF304" ca="1">IFERROR(INDEX('Hydrogen-ELT'!$F$6:$J$17,MATCH(TS_TTech!$C304&amp;TS_TTech!$B304,'Hydrogen-ELT'!$A$6:$A$17&amp;'Hydrogen-ELT'!$B$6:$B$17,0),MATCH(TS_TTech!AF$7,'Hydrogen-ELT'!$F$5:$J$5,0)),"")</f>
        <v/>
      </c>
      <c r="AG304" s="163" t="str">
        <f t="array" aca="1" ref="AG304" ca="1">IFERROR(INDEX('Hydrogen-ELT'!$F$6:$J$17,MATCH(TS_TTech!$C304&amp;TS_TTech!$B304,'Hydrogen-ELT'!$A$6:$A$17&amp;'Hydrogen-ELT'!$B$6:$B$17,0),MATCH(TS_TTech!AG$7,'Hydrogen-ELT'!$F$5:$J$5,0)),"")</f>
        <v/>
      </c>
      <c r="AH304" s="163" t="str">
        <f t="array" aca="1" ref="AH304" ca="1">IFERROR(INDEX('Hydrogen-ELT'!$F$6:$J$17,MATCH(TS_TTech!$C304&amp;TS_TTech!$B304,'Hydrogen-ELT'!$A$6:$A$17&amp;'Hydrogen-ELT'!$B$6:$B$17,0),MATCH(TS_TTech!AH$7,'Hydrogen-ELT'!$F$5:$J$5,0)),"")</f>
        <v/>
      </c>
      <c r="AI304" s="163" t="str">
        <f t="array" aca="1" ref="AI304" ca="1">IFERROR(INDEX('Hydrogen-ELT'!$F$6:$J$17,MATCH(TS_TTech!$C304&amp;TS_TTech!$B304,'Hydrogen-ELT'!$A$6:$A$17&amp;'Hydrogen-ELT'!$B$6:$B$17,0),MATCH(TS_TTech!AI$7,'Hydrogen-ELT'!$F$5:$J$5,0)),"")</f>
        <v/>
      </c>
      <c r="AJ304" s="163" t="str">
        <f t="array" aca="1" ref="AJ304" ca="1">IFERROR(INDEX('Hydrogen-ELT'!$F$6:$J$17,MATCH(TS_TTech!$C304&amp;TS_TTech!$B304,'Hydrogen-ELT'!$A$6:$A$17&amp;'Hydrogen-ELT'!$B$6:$B$17,0),MATCH(TS_TTech!AJ$7,'Hydrogen-ELT'!$F$5:$J$5,0)),"")</f>
        <v/>
      </c>
      <c r="AK304" s="163" t="str">
        <f t="array" aca="1" ref="AK304" ca="1">IFERROR(INDEX('Hydrogen-ELT'!$F$6:$J$17,MATCH(TS_TTech!$C304&amp;TS_TTech!$B304,'Hydrogen-ELT'!$A$6:$A$17&amp;'Hydrogen-ELT'!$B$6:$B$17,0),MATCH(TS_TTech!AK$7,'Hydrogen-ELT'!$F$5:$J$5,0)),"")</f>
        <v/>
      </c>
      <c r="AL304" s="163" t="str">
        <f t="array" aca="1" ref="AL304" ca="1">IFERROR(INDEX('Hydrogen-ELT'!$F$6:$J$17,MATCH(TS_TTech!$C304&amp;TS_TTech!$B304,'Hydrogen-ELT'!$A$6:$A$17&amp;'Hydrogen-ELT'!$B$6:$B$17,0),MATCH(TS_TTech!AL$7,'Hydrogen-ELT'!$F$5:$J$5,0)),"")</f>
        <v/>
      </c>
      <c r="AM304" s="163" t="str">
        <f t="array" aca="1" ref="AM304" ca="1">IFERROR(INDEX('Hydrogen-ELT'!$F$6:$J$17,MATCH(TS_TTech!$C304&amp;TS_TTech!$B304,'Hydrogen-ELT'!$A$6:$A$17&amp;'Hydrogen-ELT'!$B$6:$B$17,0),MATCH(TS_TTech!AM$7,'Hydrogen-ELT'!$F$5:$J$5,0)),"")</f>
        <v/>
      </c>
      <c r="AN304" s="163" t="str">
        <f t="array" aca="1" ref="AN304" ca="1">IFERROR(INDEX('Hydrogen-ELT'!$F$6:$J$17,MATCH(TS_TTech!$C304&amp;TS_TTech!$B304,'Hydrogen-ELT'!$A$6:$A$17&amp;'Hydrogen-ELT'!$B$6:$B$17,0),MATCH(TS_TTech!AN$7,'Hydrogen-ELT'!$F$5:$J$5,0)),"")</f>
        <v/>
      </c>
      <c r="AO304" s="163" t="str">
        <f t="array" aca="1" ref="AO304" ca="1">IFERROR(INDEX('Hydrogen-ELT'!$F$6:$J$17,MATCH(TS_TTech!$C304&amp;TS_TTech!$B304,'Hydrogen-ELT'!$A$6:$A$17&amp;'Hydrogen-ELT'!$B$6:$B$17,0),MATCH(TS_TTech!AO$7,'Hydrogen-ELT'!$F$5:$J$5,0)),"")</f>
        <v/>
      </c>
      <c r="AP304" s="163" t="str">
        <f t="array" aca="1" ref="AP304" ca="1">IFERROR(INDEX('Hydrogen-ELT'!$F$6:$J$17,MATCH(TS_TTech!$C304&amp;TS_TTech!$B304,'Hydrogen-ELT'!$A$6:$A$17&amp;'Hydrogen-ELT'!$B$6:$B$17,0),MATCH(TS_TTech!AP$7,'Hydrogen-ELT'!$F$5:$J$5,0)),"")</f>
        <v/>
      </c>
      <c r="AR304" s="163">
        <f t="shared" ref="AR304:AR324" si="149">AR303</f>
        <v>26</v>
      </c>
      <c r="AS304" s="42">
        <f>IF(AR304=AR303,AS303+1,1)</f>
        <v>8</v>
      </c>
      <c r="AU304" s="42">
        <f ca="1">SUMIF(UPS!B$38:B$171,C304,UPS!BD$38:BD$171)</f>
        <v>128</v>
      </c>
      <c r="AV304" s="42">
        <v>1</v>
      </c>
    </row>
    <row r="305" spans="1:51">
      <c r="B305" s="440" t="str">
        <f t="shared" si="143"/>
        <v>FLO_EMIS</v>
      </c>
      <c r="C305" s="440" t="str">
        <f ca="1">IF($A305="*","",OFFSET(ITEMS_UPS!$C$8,AR305,0))</f>
        <v>UELEP1HGN</v>
      </c>
      <c r="D305" s="440" t="str">
        <f>$D$18</f>
        <v>UPSCO2S</v>
      </c>
      <c r="E305" s="440" t="str">
        <f t="shared" ca="1" si="144"/>
        <v>UELEP1HGN-O</v>
      </c>
      <c r="F305" s="440" t="str">
        <f t="shared" si="145"/>
        <v>-</v>
      </c>
      <c r="G305" s="440" t="str">
        <f t="shared" si="146"/>
        <v>ANNUAL</v>
      </c>
      <c r="H305" s="441" t="str">
        <f t="shared" si="147"/>
        <v>-</v>
      </c>
      <c r="I305" s="441">
        <f t="shared" si="148"/>
        <v>0</v>
      </c>
      <c r="J305" s="163">
        <f ca="1">IF($A305="*","",OFFSET(UPS!$C$37,AU305,SUMIF($A$10:$A$20,"*#"&amp;AS305,$AT$10:$AT$20)))</f>
        <v>0</v>
      </c>
      <c r="K305" s="163" t="str">
        <f t="array" aca="1" ref="K305" ca="1">IFERROR(INDEX('Hydrogen-ELT'!$F$6:$J$17,MATCH(TS_TTech!$C305&amp;TS_TTech!$B305,'Hydrogen-ELT'!$A$6:$A$17&amp;'Hydrogen-ELT'!$B$6:$B$17,0),MATCH(TS_TTech!K$7,'Hydrogen-ELT'!$F$5:$J$5,0)),"")</f>
        <v/>
      </c>
      <c r="L305" s="163" t="str">
        <f t="array" aca="1" ref="L305" ca="1">IFERROR(INDEX('Hydrogen-ELT'!$F$6:$J$17,MATCH(TS_TTech!$C305&amp;TS_TTech!$B305,'Hydrogen-ELT'!$A$6:$A$17&amp;'Hydrogen-ELT'!$B$6:$B$17,0),MATCH(TS_TTech!L$7,'Hydrogen-ELT'!$F$5:$J$5,0)),"")</f>
        <v/>
      </c>
      <c r="M305" s="163" t="str">
        <f t="array" aca="1" ref="M305" ca="1">IFERROR(INDEX('Hydrogen-ELT'!$F$6:$J$17,MATCH(TS_TTech!$C305&amp;TS_TTech!$B305,'Hydrogen-ELT'!$A$6:$A$17&amp;'Hydrogen-ELT'!$B$6:$B$17,0),MATCH(TS_TTech!M$7,'Hydrogen-ELT'!$F$5:$J$5,0)),"")</f>
        <v/>
      </c>
      <c r="N305" s="163" t="str">
        <f t="array" aca="1" ref="N305" ca="1">IFERROR(INDEX('Hydrogen-ELT'!$F$6:$J$17,MATCH(TS_TTech!$C305&amp;TS_TTech!$B305,'Hydrogen-ELT'!$A$6:$A$17&amp;'Hydrogen-ELT'!$B$6:$B$17,0),MATCH(TS_TTech!N$7,'Hydrogen-ELT'!$F$5:$J$5,0)),"")</f>
        <v/>
      </c>
      <c r="O305" s="163" t="str">
        <f t="array" aca="1" ref="O305" ca="1">IFERROR(INDEX('Hydrogen-ELT'!$F$6:$J$17,MATCH(TS_TTech!$C305&amp;TS_TTech!$B305,'Hydrogen-ELT'!$A$6:$A$17&amp;'Hydrogen-ELT'!$B$6:$B$17,0),MATCH(TS_TTech!O$7,'Hydrogen-ELT'!$F$5:$J$5,0)),"")</f>
        <v/>
      </c>
      <c r="P305" s="163" t="str">
        <f t="array" aca="1" ref="P305" ca="1">IFERROR(INDEX('Hydrogen-ELT'!$F$6:$J$17,MATCH(TS_TTech!$C305&amp;TS_TTech!$B305,'Hydrogen-ELT'!$A$6:$A$17&amp;'Hydrogen-ELT'!$B$6:$B$17,0),MATCH(TS_TTech!P$7,'Hydrogen-ELT'!$F$5:$J$5,0)),"")</f>
        <v/>
      </c>
      <c r="Q305" s="163" t="str">
        <f t="array" aca="1" ref="Q305" ca="1">IFERROR(INDEX('Hydrogen-ELT'!$F$6:$J$17,MATCH(TS_TTech!$C305&amp;TS_TTech!$B305,'Hydrogen-ELT'!$A$6:$A$17&amp;'Hydrogen-ELT'!$B$6:$B$17,0),MATCH(TS_TTech!Q$7,'Hydrogen-ELT'!$F$5:$J$5,0)),"")</f>
        <v/>
      </c>
      <c r="R305" s="163" t="str">
        <f t="array" aca="1" ref="R305" ca="1">IFERROR(INDEX('Hydrogen-ELT'!$F$6:$J$17,MATCH(TS_TTech!$C305&amp;TS_TTech!$B305,'Hydrogen-ELT'!$A$6:$A$17&amp;'Hydrogen-ELT'!$B$6:$B$17,0),MATCH(TS_TTech!R$7,'Hydrogen-ELT'!$F$5:$J$5,0)),"")</f>
        <v/>
      </c>
      <c r="S305" s="163" t="str">
        <f t="array" aca="1" ref="S305" ca="1">IFERROR(INDEX('Hydrogen-ELT'!$F$6:$J$17,MATCH(TS_TTech!$C305&amp;TS_TTech!$B305,'Hydrogen-ELT'!$A$6:$A$17&amp;'Hydrogen-ELT'!$B$6:$B$17,0),MATCH(TS_TTech!S$7,'Hydrogen-ELT'!$F$5:$J$5,0)),"")</f>
        <v/>
      </c>
      <c r="T305" s="163" t="str">
        <f t="array" aca="1" ref="T305" ca="1">IFERROR(INDEX('Hydrogen-ELT'!$F$6:$J$17,MATCH(TS_TTech!$C305&amp;TS_TTech!$B305,'Hydrogen-ELT'!$A$6:$A$17&amp;'Hydrogen-ELT'!$B$6:$B$17,0),MATCH(TS_TTech!T$7,'Hydrogen-ELT'!$F$5:$J$5,0)),"")</f>
        <v/>
      </c>
      <c r="U305" s="163" t="str">
        <f t="array" aca="1" ref="U305" ca="1">IFERROR(INDEX('Hydrogen-ELT'!$F$6:$J$17,MATCH(TS_TTech!$C305&amp;TS_TTech!$B305,'Hydrogen-ELT'!$A$6:$A$17&amp;'Hydrogen-ELT'!$B$6:$B$17,0),MATCH(TS_TTech!U$7,'Hydrogen-ELT'!$F$5:$J$5,0)),"")</f>
        <v/>
      </c>
      <c r="V305" s="163" t="str">
        <f t="array" aca="1" ref="V305" ca="1">IFERROR(INDEX('Hydrogen-ELT'!$F$6:$J$17,MATCH(TS_TTech!$C305&amp;TS_TTech!$B305,'Hydrogen-ELT'!$A$6:$A$17&amp;'Hydrogen-ELT'!$B$6:$B$17,0),MATCH(TS_TTech!V$7,'Hydrogen-ELT'!$F$5:$J$5,0)),"")</f>
        <v/>
      </c>
      <c r="W305" s="163" t="str">
        <f t="array" aca="1" ref="W305" ca="1">IFERROR(INDEX('Hydrogen-ELT'!$F$6:$J$17,MATCH(TS_TTech!$C305&amp;TS_TTech!$B305,'Hydrogen-ELT'!$A$6:$A$17&amp;'Hydrogen-ELT'!$B$6:$B$17,0),MATCH(TS_TTech!W$7,'Hydrogen-ELT'!$F$5:$J$5,0)),"")</f>
        <v/>
      </c>
      <c r="X305" s="163" t="str">
        <f t="array" aca="1" ref="X305" ca="1">IFERROR(INDEX('Hydrogen-ELT'!$F$6:$J$17,MATCH(TS_TTech!$C305&amp;TS_TTech!$B305,'Hydrogen-ELT'!$A$6:$A$17&amp;'Hydrogen-ELT'!$B$6:$B$17,0),MATCH(TS_TTech!X$7,'Hydrogen-ELT'!$F$5:$J$5,0)),"")</f>
        <v/>
      </c>
      <c r="Y305" s="163" t="str">
        <f t="array" aca="1" ref="Y305" ca="1">IFERROR(INDEX('Hydrogen-ELT'!$F$6:$J$17,MATCH(TS_TTech!$C305&amp;TS_TTech!$B305,'Hydrogen-ELT'!$A$6:$A$17&amp;'Hydrogen-ELT'!$B$6:$B$17,0),MATCH(TS_TTech!Y$7,'Hydrogen-ELT'!$F$5:$J$5,0)),"")</f>
        <v/>
      </c>
      <c r="Z305" s="163" t="str">
        <f t="array" aca="1" ref="Z305" ca="1">IFERROR(INDEX('Hydrogen-ELT'!$F$6:$J$17,MATCH(TS_TTech!$C305&amp;TS_TTech!$B305,'Hydrogen-ELT'!$A$6:$A$17&amp;'Hydrogen-ELT'!$B$6:$B$17,0),MATCH(TS_TTech!Z$7,'Hydrogen-ELT'!$F$5:$J$5,0)),"")</f>
        <v/>
      </c>
      <c r="AA305" s="163" t="str">
        <f t="array" aca="1" ref="AA305" ca="1">IFERROR(INDEX('Hydrogen-ELT'!$F$6:$J$17,MATCH(TS_TTech!$C305&amp;TS_TTech!$B305,'Hydrogen-ELT'!$A$6:$A$17&amp;'Hydrogen-ELT'!$B$6:$B$17,0),MATCH(TS_TTech!AA$7,'Hydrogen-ELT'!$F$5:$J$5,0)),"")</f>
        <v/>
      </c>
      <c r="AB305" s="163" t="str">
        <f t="array" aca="1" ref="AB305" ca="1">IFERROR(INDEX('Hydrogen-ELT'!$F$6:$J$17,MATCH(TS_TTech!$C305&amp;TS_TTech!$B305,'Hydrogen-ELT'!$A$6:$A$17&amp;'Hydrogen-ELT'!$B$6:$B$17,0),MATCH(TS_TTech!AB$7,'Hydrogen-ELT'!$F$5:$J$5,0)),"")</f>
        <v/>
      </c>
      <c r="AC305" s="163" t="str">
        <f t="array" aca="1" ref="AC305" ca="1">IFERROR(INDEX('Hydrogen-ELT'!$F$6:$J$17,MATCH(TS_TTech!$C305&amp;TS_TTech!$B305,'Hydrogen-ELT'!$A$6:$A$17&amp;'Hydrogen-ELT'!$B$6:$B$17,0),MATCH(TS_TTech!AC$7,'Hydrogen-ELT'!$F$5:$J$5,0)),"")</f>
        <v/>
      </c>
      <c r="AD305" s="163" t="str">
        <f t="array" aca="1" ref="AD305" ca="1">IFERROR(INDEX('Hydrogen-ELT'!$F$6:$J$17,MATCH(TS_TTech!$C305&amp;TS_TTech!$B305,'Hydrogen-ELT'!$A$6:$A$17&amp;'Hydrogen-ELT'!$B$6:$B$17,0),MATCH(TS_TTech!AD$7,'Hydrogen-ELT'!$F$5:$J$5,0)),"")</f>
        <v/>
      </c>
      <c r="AE305" s="163" t="str">
        <f t="array" aca="1" ref="AE305" ca="1">IFERROR(INDEX('Hydrogen-ELT'!$F$6:$J$17,MATCH(TS_TTech!$C305&amp;TS_TTech!$B305,'Hydrogen-ELT'!$A$6:$A$17&amp;'Hydrogen-ELT'!$B$6:$B$17,0),MATCH(TS_TTech!AE$7,'Hydrogen-ELT'!$F$5:$J$5,0)),"")</f>
        <v/>
      </c>
      <c r="AF305" s="163" t="str">
        <f t="array" aca="1" ref="AF305" ca="1">IFERROR(INDEX('Hydrogen-ELT'!$F$6:$J$17,MATCH(TS_TTech!$C305&amp;TS_TTech!$B305,'Hydrogen-ELT'!$A$6:$A$17&amp;'Hydrogen-ELT'!$B$6:$B$17,0),MATCH(TS_TTech!AF$7,'Hydrogen-ELT'!$F$5:$J$5,0)),"")</f>
        <v/>
      </c>
      <c r="AG305" s="163" t="str">
        <f t="array" aca="1" ref="AG305" ca="1">IFERROR(INDEX('Hydrogen-ELT'!$F$6:$J$17,MATCH(TS_TTech!$C305&amp;TS_TTech!$B305,'Hydrogen-ELT'!$A$6:$A$17&amp;'Hydrogen-ELT'!$B$6:$B$17,0),MATCH(TS_TTech!AG$7,'Hydrogen-ELT'!$F$5:$J$5,0)),"")</f>
        <v/>
      </c>
      <c r="AH305" s="163" t="str">
        <f t="array" aca="1" ref="AH305" ca="1">IFERROR(INDEX('Hydrogen-ELT'!$F$6:$J$17,MATCH(TS_TTech!$C305&amp;TS_TTech!$B305,'Hydrogen-ELT'!$A$6:$A$17&amp;'Hydrogen-ELT'!$B$6:$B$17,0),MATCH(TS_TTech!AH$7,'Hydrogen-ELT'!$F$5:$J$5,0)),"")</f>
        <v/>
      </c>
      <c r="AI305" s="163" t="str">
        <f t="array" aca="1" ref="AI305" ca="1">IFERROR(INDEX('Hydrogen-ELT'!$F$6:$J$17,MATCH(TS_TTech!$C305&amp;TS_TTech!$B305,'Hydrogen-ELT'!$A$6:$A$17&amp;'Hydrogen-ELT'!$B$6:$B$17,0),MATCH(TS_TTech!AI$7,'Hydrogen-ELT'!$F$5:$J$5,0)),"")</f>
        <v/>
      </c>
      <c r="AJ305" s="163" t="str">
        <f t="array" aca="1" ref="AJ305" ca="1">IFERROR(INDEX('Hydrogen-ELT'!$F$6:$J$17,MATCH(TS_TTech!$C305&amp;TS_TTech!$B305,'Hydrogen-ELT'!$A$6:$A$17&amp;'Hydrogen-ELT'!$B$6:$B$17,0),MATCH(TS_TTech!AJ$7,'Hydrogen-ELT'!$F$5:$J$5,0)),"")</f>
        <v/>
      </c>
      <c r="AK305" s="163" t="str">
        <f t="array" aca="1" ref="AK305" ca="1">IFERROR(INDEX('Hydrogen-ELT'!$F$6:$J$17,MATCH(TS_TTech!$C305&amp;TS_TTech!$B305,'Hydrogen-ELT'!$A$6:$A$17&amp;'Hydrogen-ELT'!$B$6:$B$17,0),MATCH(TS_TTech!AK$7,'Hydrogen-ELT'!$F$5:$J$5,0)),"")</f>
        <v/>
      </c>
      <c r="AL305" s="163" t="str">
        <f t="array" aca="1" ref="AL305" ca="1">IFERROR(INDEX('Hydrogen-ELT'!$F$6:$J$17,MATCH(TS_TTech!$C305&amp;TS_TTech!$B305,'Hydrogen-ELT'!$A$6:$A$17&amp;'Hydrogen-ELT'!$B$6:$B$17,0),MATCH(TS_TTech!AL$7,'Hydrogen-ELT'!$F$5:$J$5,0)),"")</f>
        <v/>
      </c>
      <c r="AM305" s="163" t="str">
        <f t="array" aca="1" ref="AM305" ca="1">IFERROR(INDEX('Hydrogen-ELT'!$F$6:$J$17,MATCH(TS_TTech!$C305&amp;TS_TTech!$B305,'Hydrogen-ELT'!$A$6:$A$17&amp;'Hydrogen-ELT'!$B$6:$B$17,0),MATCH(TS_TTech!AM$7,'Hydrogen-ELT'!$F$5:$J$5,0)),"")</f>
        <v/>
      </c>
      <c r="AN305" s="163" t="str">
        <f t="array" aca="1" ref="AN305" ca="1">IFERROR(INDEX('Hydrogen-ELT'!$F$6:$J$17,MATCH(TS_TTech!$C305&amp;TS_TTech!$B305,'Hydrogen-ELT'!$A$6:$A$17&amp;'Hydrogen-ELT'!$B$6:$B$17,0),MATCH(TS_TTech!AN$7,'Hydrogen-ELT'!$F$5:$J$5,0)),"")</f>
        <v/>
      </c>
      <c r="AO305" s="163" t="str">
        <f t="array" aca="1" ref="AO305" ca="1">IFERROR(INDEX('Hydrogen-ELT'!$F$6:$J$17,MATCH(TS_TTech!$C305&amp;TS_TTech!$B305,'Hydrogen-ELT'!$A$6:$A$17&amp;'Hydrogen-ELT'!$B$6:$B$17,0),MATCH(TS_TTech!AO$7,'Hydrogen-ELT'!$F$5:$J$5,0)),"")</f>
        <v/>
      </c>
      <c r="AP305" s="163" t="str">
        <f t="array" aca="1" ref="AP305" ca="1">IFERROR(INDEX('Hydrogen-ELT'!$F$6:$J$17,MATCH(TS_TTech!$C305&amp;TS_TTech!$B305,'Hydrogen-ELT'!$A$6:$A$17&amp;'Hydrogen-ELT'!$B$6:$B$17,0),MATCH(TS_TTech!AP$7,'Hydrogen-ELT'!$F$5:$J$5,0)),"")</f>
        <v/>
      </c>
      <c r="AR305" s="163">
        <f t="shared" si="149"/>
        <v>26</v>
      </c>
      <c r="AS305" s="42">
        <f>AS304+1</f>
        <v>9</v>
      </c>
      <c r="AU305" s="42">
        <f ca="1">SUMIF(UPS!B$38:B$171,C305,UPS!BD$38:BD$171)</f>
        <v>128</v>
      </c>
      <c r="AY305" s="42" t="str">
        <f>D305</f>
        <v>UPSCO2S</v>
      </c>
    </row>
    <row r="306" spans="1:51">
      <c r="B306" s="440" t="str">
        <f t="shared" si="143"/>
        <v>FLO_EMIS</v>
      </c>
      <c r="C306" s="440" t="str">
        <f ca="1">IF($A306="*","",OFFSET(ITEMS_UPS!$C$8,AR306,0))</f>
        <v>UELEP1HGN</v>
      </c>
      <c r="D306" s="440" t="str">
        <f>$D$19</f>
        <v>UPSCH4S</v>
      </c>
      <c r="E306" s="440" t="str">
        <f t="shared" ca="1" si="144"/>
        <v>UELEP1HGN-O</v>
      </c>
      <c r="F306" s="440" t="str">
        <f t="shared" si="145"/>
        <v>-</v>
      </c>
      <c r="G306" s="440" t="str">
        <f t="shared" si="146"/>
        <v>ANNUAL</v>
      </c>
      <c r="H306" s="441" t="str">
        <f t="shared" si="147"/>
        <v>-</v>
      </c>
      <c r="I306" s="441">
        <f t="shared" si="148"/>
        <v>0</v>
      </c>
      <c r="J306" s="163">
        <f ca="1">IF($A306="*","",OFFSET(UPS!$C$37,AU306,SUMIF($A$10:$A$20,"*#"&amp;AS306,$AT$10:$AT$20)))</f>
        <v>0</v>
      </c>
      <c r="K306" s="163" t="str">
        <f t="array" aca="1" ref="K306" ca="1">IFERROR(INDEX('Hydrogen-ELT'!$F$6:$J$17,MATCH(TS_TTech!$C306&amp;TS_TTech!$B306,'Hydrogen-ELT'!$A$6:$A$17&amp;'Hydrogen-ELT'!$B$6:$B$17,0),MATCH(TS_TTech!K$7,'Hydrogen-ELT'!$F$5:$J$5,0)),"")</f>
        <v/>
      </c>
      <c r="L306" s="163" t="str">
        <f t="array" aca="1" ref="L306" ca="1">IFERROR(INDEX('Hydrogen-ELT'!$F$6:$J$17,MATCH(TS_TTech!$C306&amp;TS_TTech!$B306,'Hydrogen-ELT'!$A$6:$A$17&amp;'Hydrogen-ELT'!$B$6:$B$17,0),MATCH(TS_TTech!L$7,'Hydrogen-ELT'!$F$5:$J$5,0)),"")</f>
        <v/>
      </c>
      <c r="M306" s="163" t="str">
        <f t="array" aca="1" ref="M306" ca="1">IFERROR(INDEX('Hydrogen-ELT'!$F$6:$J$17,MATCH(TS_TTech!$C306&amp;TS_TTech!$B306,'Hydrogen-ELT'!$A$6:$A$17&amp;'Hydrogen-ELT'!$B$6:$B$17,0),MATCH(TS_TTech!M$7,'Hydrogen-ELT'!$F$5:$J$5,0)),"")</f>
        <v/>
      </c>
      <c r="N306" s="163" t="str">
        <f t="array" aca="1" ref="N306" ca="1">IFERROR(INDEX('Hydrogen-ELT'!$F$6:$J$17,MATCH(TS_TTech!$C306&amp;TS_TTech!$B306,'Hydrogen-ELT'!$A$6:$A$17&amp;'Hydrogen-ELT'!$B$6:$B$17,0),MATCH(TS_TTech!N$7,'Hydrogen-ELT'!$F$5:$J$5,0)),"")</f>
        <v/>
      </c>
      <c r="O306" s="163" t="str">
        <f t="array" aca="1" ref="O306" ca="1">IFERROR(INDEX('Hydrogen-ELT'!$F$6:$J$17,MATCH(TS_TTech!$C306&amp;TS_TTech!$B306,'Hydrogen-ELT'!$A$6:$A$17&amp;'Hydrogen-ELT'!$B$6:$B$17,0),MATCH(TS_TTech!O$7,'Hydrogen-ELT'!$F$5:$J$5,0)),"")</f>
        <v/>
      </c>
      <c r="P306" s="163" t="str">
        <f t="array" aca="1" ref="P306" ca="1">IFERROR(INDEX('Hydrogen-ELT'!$F$6:$J$17,MATCH(TS_TTech!$C306&amp;TS_TTech!$B306,'Hydrogen-ELT'!$A$6:$A$17&amp;'Hydrogen-ELT'!$B$6:$B$17,0),MATCH(TS_TTech!P$7,'Hydrogen-ELT'!$F$5:$J$5,0)),"")</f>
        <v/>
      </c>
      <c r="Q306" s="163" t="str">
        <f t="array" aca="1" ref="Q306" ca="1">IFERROR(INDEX('Hydrogen-ELT'!$F$6:$J$17,MATCH(TS_TTech!$C306&amp;TS_TTech!$B306,'Hydrogen-ELT'!$A$6:$A$17&amp;'Hydrogen-ELT'!$B$6:$B$17,0),MATCH(TS_TTech!Q$7,'Hydrogen-ELT'!$F$5:$J$5,0)),"")</f>
        <v/>
      </c>
      <c r="R306" s="163" t="str">
        <f t="array" aca="1" ref="R306" ca="1">IFERROR(INDEX('Hydrogen-ELT'!$F$6:$J$17,MATCH(TS_TTech!$C306&amp;TS_TTech!$B306,'Hydrogen-ELT'!$A$6:$A$17&amp;'Hydrogen-ELT'!$B$6:$B$17,0),MATCH(TS_TTech!R$7,'Hydrogen-ELT'!$F$5:$J$5,0)),"")</f>
        <v/>
      </c>
      <c r="S306" s="163" t="str">
        <f t="array" aca="1" ref="S306" ca="1">IFERROR(INDEX('Hydrogen-ELT'!$F$6:$J$17,MATCH(TS_TTech!$C306&amp;TS_TTech!$B306,'Hydrogen-ELT'!$A$6:$A$17&amp;'Hydrogen-ELT'!$B$6:$B$17,0),MATCH(TS_TTech!S$7,'Hydrogen-ELT'!$F$5:$J$5,0)),"")</f>
        <v/>
      </c>
      <c r="T306" s="163" t="str">
        <f t="array" aca="1" ref="T306" ca="1">IFERROR(INDEX('Hydrogen-ELT'!$F$6:$J$17,MATCH(TS_TTech!$C306&amp;TS_TTech!$B306,'Hydrogen-ELT'!$A$6:$A$17&amp;'Hydrogen-ELT'!$B$6:$B$17,0),MATCH(TS_TTech!T$7,'Hydrogen-ELT'!$F$5:$J$5,0)),"")</f>
        <v/>
      </c>
      <c r="U306" s="163" t="str">
        <f t="array" aca="1" ref="U306" ca="1">IFERROR(INDEX('Hydrogen-ELT'!$F$6:$J$17,MATCH(TS_TTech!$C306&amp;TS_TTech!$B306,'Hydrogen-ELT'!$A$6:$A$17&amp;'Hydrogen-ELT'!$B$6:$B$17,0),MATCH(TS_TTech!U$7,'Hydrogen-ELT'!$F$5:$J$5,0)),"")</f>
        <v/>
      </c>
      <c r="V306" s="163" t="str">
        <f t="array" aca="1" ref="V306" ca="1">IFERROR(INDEX('Hydrogen-ELT'!$F$6:$J$17,MATCH(TS_TTech!$C306&amp;TS_TTech!$B306,'Hydrogen-ELT'!$A$6:$A$17&amp;'Hydrogen-ELT'!$B$6:$B$17,0),MATCH(TS_TTech!V$7,'Hydrogen-ELT'!$F$5:$J$5,0)),"")</f>
        <v/>
      </c>
      <c r="W306" s="163" t="str">
        <f t="array" aca="1" ref="W306" ca="1">IFERROR(INDEX('Hydrogen-ELT'!$F$6:$J$17,MATCH(TS_TTech!$C306&amp;TS_TTech!$B306,'Hydrogen-ELT'!$A$6:$A$17&amp;'Hydrogen-ELT'!$B$6:$B$17,0),MATCH(TS_TTech!W$7,'Hydrogen-ELT'!$F$5:$J$5,0)),"")</f>
        <v/>
      </c>
      <c r="X306" s="163" t="str">
        <f t="array" aca="1" ref="X306" ca="1">IFERROR(INDEX('Hydrogen-ELT'!$F$6:$J$17,MATCH(TS_TTech!$C306&amp;TS_TTech!$B306,'Hydrogen-ELT'!$A$6:$A$17&amp;'Hydrogen-ELT'!$B$6:$B$17,0),MATCH(TS_TTech!X$7,'Hydrogen-ELT'!$F$5:$J$5,0)),"")</f>
        <v/>
      </c>
      <c r="Y306" s="163" t="str">
        <f t="array" aca="1" ref="Y306" ca="1">IFERROR(INDEX('Hydrogen-ELT'!$F$6:$J$17,MATCH(TS_TTech!$C306&amp;TS_TTech!$B306,'Hydrogen-ELT'!$A$6:$A$17&amp;'Hydrogen-ELT'!$B$6:$B$17,0),MATCH(TS_TTech!Y$7,'Hydrogen-ELT'!$F$5:$J$5,0)),"")</f>
        <v/>
      </c>
      <c r="Z306" s="163" t="str">
        <f t="array" aca="1" ref="Z306" ca="1">IFERROR(INDEX('Hydrogen-ELT'!$F$6:$J$17,MATCH(TS_TTech!$C306&amp;TS_TTech!$B306,'Hydrogen-ELT'!$A$6:$A$17&amp;'Hydrogen-ELT'!$B$6:$B$17,0),MATCH(TS_TTech!Z$7,'Hydrogen-ELT'!$F$5:$J$5,0)),"")</f>
        <v/>
      </c>
      <c r="AA306" s="163" t="str">
        <f t="array" aca="1" ref="AA306" ca="1">IFERROR(INDEX('Hydrogen-ELT'!$F$6:$J$17,MATCH(TS_TTech!$C306&amp;TS_TTech!$B306,'Hydrogen-ELT'!$A$6:$A$17&amp;'Hydrogen-ELT'!$B$6:$B$17,0),MATCH(TS_TTech!AA$7,'Hydrogen-ELT'!$F$5:$J$5,0)),"")</f>
        <v/>
      </c>
      <c r="AB306" s="163" t="str">
        <f t="array" aca="1" ref="AB306" ca="1">IFERROR(INDEX('Hydrogen-ELT'!$F$6:$J$17,MATCH(TS_TTech!$C306&amp;TS_TTech!$B306,'Hydrogen-ELT'!$A$6:$A$17&amp;'Hydrogen-ELT'!$B$6:$B$17,0),MATCH(TS_TTech!AB$7,'Hydrogen-ELT'!$F$5:$J$5,0)),"")</f>
        <v/>
      </c>
      <c r="AC306" s="163" t="str">
        <f t="array" aca="1" ref="AC306" ca="1">IFERROR(INDEX('Hydrogen-ELT'!$F$6:$J$17,MATCH(TS_TTech!$C306&amp;TS_TTech!$B306,'Hydrogen-ELT'!$A$6:$A$17&amp;'Hydrogen-ELT'!$B$6:$B$17,0),MATCH(TS_TTech!AC$7,'Hydrogen-ELT'!$F$5:$J$5,0)),"")</f>
        <v/>
      </c>
      <c r="AD306" s="163" t="str">
        <f t="array" aca="1" ref="AD306" ca="1">IFERROR(INDEX('Hydrogen-ELT'!$F$6:$J$17,MATCH(TS_TTech!$C306&amp;TS_TTech!$B306,'Hydrogen-ELT'!$A$6:$A$17&amp;'Hydrogen-ELT'!$B$6:$B$17,0),MATCH(TS_TTech!AD$7,'Hydrogen-ELT'!$F$5:$J$5,0)),"")</f>
        <v/>
      </c>
      <c r="AE306" s="163" t="str">
        <f t="array" aca="1" ref="AE306" ca="1">IFERROR(INDEX('Hydrogen-ELT'!$F$6:$J$17,MATCH(TS_TTech!$C306&amp;TS_TTech!$B306,'Hydrogen-ELT'!$A$6:$A$17&amp;'Hydrogen-ELT'!$B$6:$B$17,0),MATCH(TS_TTech!AE$7,'Hydrogen-ELT'!$F$5:$J$5,0)),"")</f>
        <v/>
      </c>
      <c r="AF306" s="163" t="str">
        <f t="array" aca="1" ref="AF306" ca="1">IFERROR(INDEX('Hydrogen-ELT'!$F$6:$J$17,MATCH(TS_TTech!$C306&amp;TS_TTech!$B306,'Hydrogen-ELT'!$A$6:$A$17&amp;'Hydrogen-ELT'!$B$6:$B$17,0),MATCH(TS_TTech!AF$7,'Hydrogen-ELT'!$F$5:$J$5,0)),"")</f>
        <v/>
      </c>
      <c r="AG306" s="163" t="str">
        <f t="array" aca="1" ref="AG306" ca="1">IFERROR(INDEX('Hydrogen-ELT'!$F$6:$J$17,MATCH(TS_TTech!$C306&amp;TS_TTech!$B306,'Hydrogen-ELT'!$A$6:$A$17&amp;'Hydrogen-ELT'!$B$6:$B$17,0),MATCH(TS_TTech!AG$7,'Hydrogen-ELT'!$F$5:$J$5,0)),"")</f>
        <v/>
      </c>
      <c r="AH306" s="163" t="str">
        <f t="array" aca="1" ref="AH306" ca="1">IFERROR(INDEX('Hydrogen-ELT'!$F$6:$J$17,MATCH(TS_TTech!$C306&amp;TS_TTech!$B306,'Hydrogen-ELT'!$A$6:$A$17&amp;'Hydrogen-ELT'!$B$6:$B$17,0),MATCH(TS_TTech!AH$7,'Hydrogen-ELT'!$F$5:$J$5,0)),"")</f>
        <v/>
      </c>
      <c r="AI306" s="163" t="str">
        <f t="array" aca="1" ref="AI306" ca="1">IFERROR(INDEX('Hydrogen-ELT'!$F$6:$J$17,MATCH(TS_TTech!$C306&amp;TS_TTech!$B306,'Hydrogen-ELT'!$A$6:$A$17&amp;'Hydrogen-ELT'!$B$6:$B$17,0),MATCH(TS_TTech!AI$7,'Hydrogen-ELT'!$F$5:$J$5,0)),"")</f>
        <v/>
      </c>
      <c r="AJ306" s="163" t="str">
        <f t="array" aca="1" ref="AJ306" ca="1">IFERROR(INDEX('Hydrogen-ELT'!$F$6:$J$17,MATCH(TS_TTech!$C306&amp;TS_TTech!$B306,'Hydrogen-ELT'!$A$6:$A$17&amp;'Hydrogen-ELT'!$B$6:$B$17,0),MATCH(TS_TTech!AJ$7,'Hydrogen-ELT'!$F$5:$J$5,0)),"")</f>
        <v/>
      </c>
      <c r="AK306" s="163" t="str">
        <f t="array" aca="1" ref="AK306" ca="1">IFERROR(INDEX('Hydrogen-ELT'!$F$6:$J$17,MATCH(TS_TTech!$C306&amp;TS_TTech!$B306,'Hydrogen-ELT'!$A$6:$A$17&amp;'Hydrogen-ELT'!$B$6:$B$17,0),MATCH(TS_TTech!AK$7,'Hydrogen-ELT'!$F$5:$J$5,0)),"")</f>
        <v/>
      </c>
      <c r="AL306" s="163" t="str">
        <f t="array" aca="1" ref="AL306" ca="1">IFERROR(INDEX('Hydrogen-ELT'!$F$6:$J$17,MATCH(TS_TTech!$C306&amp;TS_TTech!$B306,'Hydrogen-ELT'!$A$6:$A$17&amp;'Hydrogen-ELT'!$B$6:$B$17,0),MATCH(TS_TTech!AL$7,'Hydrogen-ELT'!$F$5:$J$5,0)),"")</f>
        <v/>
      </c>
      <c r="AM306" s="163" t="str">
        <f t="array" aca="1" ref="AM306" ca="1">IFERROR(INDEX('Hydrogen-ELT'!$F$6:$J$17,MATCH(TS_TTech!$C306&amp;TS_TTech!$B306,'Hydrogen-ELT'!$A$6:$A$17&amp;'Hydrogen-ELT'!$B$6:$B$17,0),MATCH(TS_TTech!AM$7,'Hydrogen-ELT'!$F$5:$J$5,0)),"")</f>
        <v/>
      </c>
      <c r="AN306" s="163" t="str">
        <f t="array" aca="1" ref="AN306" ca="1">IFERROR(INDEX('Hydrogen-ELT'!$F$6:$J$17,MATCH(TS_TTech!$C306&amp;TS_TTech!$B306,'Hydrogen-ELT'!$A$6:$A$17&amp;'Hydrogen-ELT'!$B$6:$B$17,0),MATCH(TS_TTech!AN$7,'Hydrogen-ELT'!$F$5:$J$5,0)),"")</f>
        <v/>
      </c>
      <c r="AO306" s="163" t="str">
        <f t="array" aca="1" ref="AO306" ca="1">IFERROR(INDEX('Hydrogen-ELT'!$F$6:$J$17,MATCH(TS_TTech!$C306&amp;TS_TTech!$B306,'Hydrogen-ELT'!$A$6:$A$17&amp;'Hydrogen-ELT'!$B$6:$B$17,0),MATCH(TS_TTech!AO$7,'Hydrogen-ELT'!$F$5:$J$5,0)),"")</f>
        <v/>
      </c>
      <c r="AP306" s="163" t="str">
        <f t="array" aca="1" ref="AP306" ca="1">IFERROR(INDEX('Hydrogen-ELT'!$F$6:$J$17,MATCH(TS_TTech!$C306&amp;TS_TTech!$B306,'Hydrogen-ELT'!$A$6:$A$17&amp;'Hydrogen-ELT'!$B$6:$B$17,0),MATCH(TS_TTech!AP$7,'Hydrogen-ELT'!$F$5:$J$5,0)),"")</f>
        <v/>
      </c>
      <c r="AR306" s="163">
        <f t="shared" si="149"/>
        <v>26</v>
      </c>
      <c r="AS306" s="42">
        <f>AS305+1</f>
        <v>10</v>
      </c>
      <c r="AU306" s="42">
        <f ca="1">SUMIF(UPS!B$38:B$171,C306,UPS!BD$38:BD$171)</f>
        <v>128</v>
      </c>
      <c r="AY306" s="42" t="str">
        <f>D306</f>
        <v>UPSCH4S</v>
      </c>
    </row>
    <row r="307" spans="1:51">
      <c r="B307" s="440" t="str">
        <f t="shared" si="143"/>
        <v>NCAP_COST</v>
      </c>
      <c r="C307" s="440" t="str">
        <f ca="1">IF($A307="*","",OFFSET(ITEMS_UPS!$C$8,AR307,0))</f>
        <v>UELEP1HGN</v>
      </c>
      <c r="D307" s="440" t="str">
        <f ca="1">IF($A307="*","",IF(VLOOKUP("*#"&amp;$AS307,$A$10:$I$24,D$9+1,FALSE)="-","-",OFFSET(UPS!$C$37,AU307+AV307,SUMIF($A$10:$A$20,"*#"&amp;AS307,$AT$10:$AT$20))))</f>
        <v>-</v>
      </c>
      <c r="E307" s="440" t="str">
        <f t="shared" si="144"/>
        <v>-</v>
      </c>
      <c r="F307" s="440" t="str">
        <f t="shared" si="145"/>
        <v>-</v>
      </c>
      <c r="G307" s="440" t="str">
        <f>IF($A307="*","",VLOOKUP("*#"&amp;$AS307,$A$10:$I$24,G$9+1,FALSE))</f>
        <v>-</v>
      </c>
      <c r="H307" s="441" t="str">
        <f t="shared" si="147"/>
        <v>-</v>
      </c>
      <c r="I307" s="441">
        <f>IF($A307="*","",VLOOKUP("*#"&amp;$AS307,$A$10:$I$24,I$9+1,FALSE))</f>
        <v>0</v>
      </c>
      <c r="J307" s="163">
        <f ca="1">IF($A307="*","",OFFSET(UPS!$C$37,AU307,SUMIF($A$10:$A$24,"*#"&amp;AS307,$AT$10:$AT$24)))</f>
        <v>19642.016806722688</v>
      </c>
      <c r="K307" s="163" t="str">
        <f t="array" aca="1" ref="K307" ca="1">IFERROR(INDEX('Hydrogen-ELT'!$F$6:$J$17,MATCH(TS_TTech!$C307&amp;TS_TTech!$B307,'Hydrogen-ELT'!$A$6:$A$17&amp;'Hydrogen-ELT'!$B$6:$B$17,0),MATCH(TS_TTech!K$7,'Hydrogen-ELT'!$F$5:$J$5,0)),"")</f>
        <v/>
      </c>
      <c r="L307" s="163" t="str">
        <f t="array" aca="1" ref="L307" ca="1">IFERROR(INDEX('Hydrogen-ELT'!$F$6:$J$17,MATCH(TS_TTech!$C307&amp;TS_TTech!$B307,'Hydrogen-ELT'!$A$6:$A$17&amp;'Hydrogen-ELT'!$B$6:$B$17,0),MATCH(TS_TTech!L$7,'Hydrogen-ELT'!$F$5:$J$5,0)),"")</f>
        <v/>
      </c>
      <c r="M307" s="163" t="str">
        <f t="array" aca="1" ref="M307" ca="1">IFERROR(INDEX('Hydrogen-ELT'!$F$6:$J$17,MATCH(TS_TTech!$C307&amp;TS_TTech!$B307,'Hydrogen-ELT'!$A$6:$A$17&amp;'Hydrogen-ELT'!$B$6:$B$17,0),MATCH(TS_TTech!M$7,'Hydrogen-ELT'!$F$5:$J$5,0)),"")</f>
        <v/>
      </c>
      <c r="N307" s="163" t="str">
        <f t="array" aca="1" ref="N307" ca="1">IFERROR(INDEX('Hydrogen-ELT'!$F$6:$J$17,MATCH(TS_TTech!$C307&amp;TS_TTech!$B307,'Hydrogen-ELT'!$A$6:$A$17&amp;'Hydrogen-ELT'!$B$6:$B$17,0),MATCH(TS_TTech!N$7,'Hydrogen-ELT'!$F$5:$J$5,0)),"")</f>
        <v/>
      </c>
      <c r="O307" s="163" t="str">
        <f t="array" aca="1" ref="O307" ca="1">IFERROR(INDEX('Hydrogen-ELT'!$F$6:$J$17,MATCH(TS_TTech!$C307&amp;TS_TTech!$B307,'Hydrogen-ELT'!$A$6:$A$17&amp;'Hydrogen-ELT'!$B$6:$B$17,0),MATCH(TS_TTech!O$7,'Hydrogen-ELT'!$F$5:$J$5,0)),"")</f>
        <v/>
      </c>
      <c r="P307" s="163" t="str">
        <f t="array" aca="1" ref="P307" ca="1">IFERROR(INDEX('Hydrogen-ELT'!$F$6:$J$17,MATCH(TS_TTech!$C307&amp;TS_TTech!$B307,'Hydrogen-ELT'!$A$6:$A$17&amp;'Hydrogen-ELT'!$B$6:$B$17,0),MATCH(TS_TTech!P$7,'Hydrogen-ELT'!$F$5:$J$5,0)),"")</f>
        <v/>
      </c>
      <c r="Q307" s="163" t="str">
        <f t="array" aca="1" ref="Q307" ca="1">IFERROR(INDEX('Hydrogen-ELT'!$F$6:$J$17,MATCH(TS_TTech!$C307&amp;TS_TTech!$B307,'Hydrogen-ELT'!$A$6:$A$17&amp;'Hydrogen-ELT'!$B$6:$B$17,0),MATCH(TS_TTech!Q$7,'Hydrogen-ELT'!$F$5:$J$5,0)),"")</f>
        <v/>
      </c>
      <c r="R307" s="163">
        <f t="array" aca="1" ref="R307" ca="1">IFERROR(INDEX('Hydrogen-ELT'!$F$6:$J$17,MATCH(TS_TTech!$C307&amp;TS_TTech!$B307,'Hydrogen-ELT'!$A$6:$A$17&amp;'Hydrogen-ELT'!$B$6:$B$17,0),MATCH(TS_TTech!R$7,'Hydrogen-ELT'!$F$5:$J$5,0)),"")</f>
        <v>19642.016806722688</v>
      </c>
      <c r="S307" s="163" t="str">
        <f t="array" aca="1" ref="S307" ca="1">IFERROR(INDEX('Hydrogen-ELT'!$F$6:$J$17,MATCH(TS_TTech!$C307&amp;TS_TTech!$B307,'Hydrogen-ELT'!$A$6:$A$17&amp;'Hydrogen-ELT'!$B$6:$B$17,0),MATCH(TS_TTech!S$7,'Hydrogen-ELT'!$F$5:$J$5,0)),"")</f>
        <v/>
      </c>
      <c r="T307" s="163" t="str">
        <f t="array" aca="1" ref="T307" ca="1">IFERROR(INDEX('Hydrogen-ELT'!$F$6:$J$17,MATCH(TS_TTech!$C307&amp;TS_TTech!$B307,'Hydrogen-ELT'!$A$6:$A$17&amp;'Hydrogen-ELT'!$B$6:$B$17,0),MATCH(TS_TTech!T$7,'Hydrogen-ELT'!$F$5:$J$5,0)),"")</f>
        <v/>
      </c>
      <c r="U307" s="163" t="str">
        <f t="array" aca="1" ref="U307" ca="1">IFERROR(INDEX('Hydrogen-ELT'!$F$6:$J$17,MATCH(TS_TTech!$C307&amp;TS_TTech!$B307,'Hydrogen-ELT'!$A$6:$A$17&amp;'Hydrogen-ELT'!$B$6:$B$17,0),MATCH(TS_TTech!U$7,'Hydrogen-ELT'!$F$5:$J$5,0)),"")</f>
        <v/>
      </c>
      <c r="V307" s="163" t="str">
        <f t="array" aca="1" ref="V307" ca="1">IFERROR(INDEX('Hydrogen-ELT'!$F$6:$J$17,MATCH(TS_TTech!$C307&amp;TS_TTech!$B307,'Hydrogen-ELT'!$A$6:$A$17&amp;'Hydrogen-ELT'!$B$6:$B$17,0),MATCH(TS_TTech!V$7,'Hydrogen-ELT'!$F$5:$J$5,0)),"")</f>
        <v/>
      </c>
      <c r="W307" s="163" t="str">
        <f t="array" aca="1" ref="W307" ca="1">IFERROR(INDEX('Hydrogen-ELT'!$F$6:$J$17,MATCH(TS_TTech!$C307&amp;TS_TTech!$B307,'Hydrogen-ELT'!$A$6:$A$17&amp;'Hydrogen-ELT'!$B$6:$B$17,0),MATCH(TS_TTech!W$7,'Hydrogen-ELT'!$F$5:$J$5,0)),"")</f>
        <v/>
      </c>
      <c r="X307" s="163" t="str">
        <f t="array" aca="1" ref="X307" ca="1">IFERROR(INDEX('Hydrogen-ELT'!$F$6:$J$17,MATCH(TS_TTech!$C307&amp;TS_TTech!$B307,'Hydrogen-ELT'!$A$6:$A$17&amp;'Hydrogen-ELT'!$B$6:$B$17,0),MATCH(TS_TTech!X$7,'Hydrogen-ELT'!$F$5:$J$5,0)),"")</f>
        <v/>
      </c>
      <c r="Y307" s="163" t="str">
        <f t="array" aca="1" ref="Y307" ca="1">IFERROR(INDEX('Hydrogen-ELT'!$F$6:$J$17,MATCH(TS_TTech!$C307&amp;TS_TTech!$B307,'Hydrogen-ELT'!$A$6:$A$17&amp;'Hydrogen-ELT'!$B$6:$B$17,0),MATCH(TS_TTech!Y$7,'Hydrogen-ELT'!$F$5:$J$5,0)),"")</f>
        <v/>
      </c>
      <c r="Z307" s="163" t="str">
        <f t="array" aca="1" ref="Z307" ca="1">IFERROR(INDEX('Hydrogen-ELT'!$F$6:$J$17,MATCH(TS_TTech!$C307&amp;TS_TTech!$B307,'Hydrogen-ELT'!$A$6:$A$17&amp;'Hydrogen-ELT'!$B$6:$B$17,0),MATCH(TS_TTech!Z$7,'Hydrogen-ELT'!$F$5:$J$5,0)),"")</f>
        <v/>
      </c>
      <c r="AA307" s="163" t="str">
        <f t="array" aca="1" ref="AA307" ca="1">IFERROR(INDEX('Hydrogen-ELT'!$F$6:$J$17,MATCH(TS_TTech!$C307&amp;TS_TTech!$B307,'Hydrogen-ELT'!$A$6:$A$17&amp;'Hydrogen-ELT'!$B$6:$B$17,0),MATCH(TS_TTech!AA$7,'Hydrogen-ELT'!$F$5:$J$5,0)),"")</f>
        <v/>
      </c>
      <c r="AB307" s="163">
        <f t="array" aca="1" ref="AB307" ca="1">IFERROR(INDEX('Hydrogen-ELT'!$F$6:$J$17,MATCH(TS_TTech!$C307&amp;TS_TTech!$B307,'Hydrogen-ELT'!$A$6:$A$17&amp;'Hydrogen-ELT'!$B$6:$B$17,0),MATCH(TS_TTech!AB$7,'Hydrogen-ELT'!$F$5:$J$5,0)),"")</f>
        <v>13546.218487394957</v>
      </c>
      <c r="AC307" s="163" t="str">
        <f t="array" aca="1" ref="AC307" ca="1">IFERROR(INDEX('Hydrogen-ELT'!$F$6:$J$17,MATCH(TS_TTech!$C307&amp;TS_TTech!$B307,'Hydrogen-ELT'!$A$6:$A$17&amp;'Hydrogen-ELT'!$B$6:$B$17,0),MATCH(TS_TTech!AC$7,'Hydrogen-ELT'!$F$5:$J$5,0)),"")</f>
        <v/>
      </c>
      <c r="AD307" s="163" t="str">
        <f t="array" aca="1" ref="AD307" ca="1">IFERROR(INDEX('Hydrogen-ELT'!$F$6:$J$17,MATCH(TS_TTech!$C307&amp;TS_TTech!$B307,'Hydrogen-ELT'!$A$6:$A$17&amp;'Hydrogen-ELT'!$B$6:$B$17,0),MATCH(TS_TTech!AD$7,'Hydrogen-ELT'!$F$5:$J$5,0)),"")</f>
        <v/>
      </c>
      <c r="AE307" s="163" t="str">
        <f t="array" aca="1" ref="AE307" ca="1">IFERROR(INDEX('Hydrogen-ELT'!$F$6:$J$17,MATCH(TS_TTech!$C307&amp;TS_TTech!$B307,'Hydrogen-ELT'!$A$6:$A$17&amp;'Hydrogen-ELT'!$B$6:$B$17,0),MATCH(TS_TTech!AE$7,'Hydrogen-ELT'!$F$5:$J$5,0)),"")</f>
        <v/>
      </c>
      <c r="AF307" s="163" t="str">
        <f t="array" aca="1" ref="AF307" ca="1">IFERROR(INDEX('Hydrogen-ELT'!$F$6:$J$17,MATCH(TS_TTech!$C307&amp;TS_TTech!$B307,'Hydrogen-ELT'!$A$6:$A$17&amp;'Hydrogen-ELT'!$B$6:$B$17,0),MATCH(TS_TTech!AF$7,'Hydrogen-ELT'!$F$5:$J$5,0)),"")</f>
        <v/>
      </c>
      <c r="AG307" s="163">
        <f t="array" aca="1" ref="AG307" ca="1">IFERROR(INDEX('Hydrogen-ELT'!$F$6:$J$17,MATCH(TS_TTech!$C307&amp;TS_TTech!$B307,'Hydrogen-ELT'!$A$6:$A$17&amp;'Hydrogen-ELT'!$B$6:$B$17,0),MATCH(TS_TTech!AG$7,'Hydrogen-ELT'!$F$5:$J$5,0)),"")</f>
        <v>7450.4201680672268</v>
      </c>
      <c r="AH307" s="163" t="str">
        <f t="array" aca="1" ref="AH307" ca="1">IFERROR(INDEX('Hydrogen-ELT'!$F$6:$J$17,MATCH(TS_TTech!$C307&amp;TS_TTech!$B307,'Hydrogen-ELT'!$A$6:$A$17&amp;'Hydrogen-ELT'!$B$6:$B$17,0),MATCH(TS_TTech!AH$7,'Hydrogen-ELT'!$F$5:$J$5,0)),"")</f>
        <v/>
      </c>
      <c r="AI307" s="163" t="str">
        <f t="array" aca="1" ref="AI307" ca="1">IFERROR(INDEX('Hydrogen-ELT'!$F$6:$J$17,MATCH(TS_TTech!$C307&amp;TS_TTech!$B307,'Hydrogen-ELT'!$A$6:$A$17&amp;'Hydrogen-ELT'!$B$6:$B$17,0),MATCH(TS_TTech!AI$7,'Hydrogen-ELT'!$F$5:$J$5,0)),"")</f>
        <v/>
      </c>
      <c r="AJ307" s="163" t="str">
        <f t="array" aca="1" ref="AJ307" ca="1">IFERROR(INDEX('Hydrogen-ELT'!$F$6:$J$17,MATCH(TS_TTech!$C307&amp;TS_TTech!$B307,'Hydrogen-ELT'!$A$6:$A$17&amp;'Hydrogen-ELT'!$B$6:$B$17,0),MATCH(TS_TTech!AJ$7,'Hydrogen-ELT'!$F$5:$J$5,0)),"")</f>
        <v/>
      </c>
      <c r="AK307" s="163" t="str">
        <f t="array" aca="1" ref="AK307" ca="1">IFERROR(INDEX('Hydrogen-ELT'!$F$6:$J$17,MATCH(TS_TTech!$C307&amp;TS_TTech!$B307,'Hydrogen-ELT'!$A$6:$A$17&amp;'Hydrogen-ELT'!$B$6:$B$17,0),MATCH(TS_TTech!AK$7,'Hydrogen-ELT'!$F$5:$J$5,0)),"")</f>
        <v/>
      </c>
      <c r="AL307" s="163">
        <f t="array" aca="1" ref="AL307" ca="1">IFERROR(INDEX('Hydrogen-ELT'!$F$6:$J$17,MATCH(TS_TTech!$C307&amp;TS_TTech!$B307,'Hydrogen-ELT'!$A$6:$A$17&amp;'Hydrogen-ELT'!$B$6:$B$17,0),MATCH(TS_TTech!AL$7,'Hydrogen-ELT'!$F$5:$J$5,0)),"")</f>
        <v>6271.0466004583659</v>
      </c>
      <c r="AM307" s="163" t="str">
        <f t="array" aca="1" ref="AM307" ca="1">IFERROR(INDEX('Hydrogen-ELT'!$F$6:$J$17,MATCH(TS_TTech!$C307&amp;TS_TTech!$B307,'Hydrogen-ELT'!$A$6:$A$17&amp;'Hydrogen-ELT'!$B$6:$B$17,0),MATCH(TS_TTech!AM$7,'Hydrogen-ELT'!$F$5:$J$5,0)),"")</f>
        <v/>
      </c>
      <c r="AN307" s="163">
        <f t="array" aca="1" ref="AN307" ca="1">IFERROR(INDEX('Hydrogen-ELT'!$F$6:$J$17,MATCH(TS_TTech!$C307&amp;TS_TTech!$B307,'Hydrogen-ELT'!$A$6:$A$17&amp;'Hydrogen-ELT'!$B$6:$B$17,0),MATCH(TS_TTech!AN$7,'Hydrogen-ELT'!$F$5:$J$5,0)),"")</f>
        <v>5091.6730328495041</v>
      </c>
      <c r="AO307" s="163" t="str">
        <f t="array" aca="1" ref="AO307" ca="1">IFERROR(INDEX('Hydrogen-ELT'!$F$6:$J$17,MATCH(TS_TTech!$C307&amp;TS_TTech!$B307,'Hydrogen-ELT'!$A$6:$A$17&amp;'Hydrogen-ELT'!$B$6:$B$17,0),MATCH(TS_TTech!AO$7,'Hydrogen-ELT'!$F$5:$J$5,0)),"")</f>
        <v/>
      </c>
      <c r="AP307" s="163" t="str">
        <f t="array" aca="1" ref="AP307" ca="1">IFERROR(INDEX('Hydrogen-ELT'!$F$6:$J$17,MATCH(TS_TTech!$C307&amp;TS_TTech!$B307,'Hydrogen-ELT'!$A$6:$A$17&amp;'Hydrogen-ELT'!$B$6:$B$17,0),MATCH(TS_TTech!AP$7,'Hydrogen-ELT'!$F$5:$J$5,0)),"")</f>
        <v/>
      </c>
      <c r="AR307" s="163">
        <f t="shared" si="149"/>
        <v>26</v>
      </c>
      <c r="AS307" s="42">
        <f>AS306+2</f>
        <v>12</v>
      </c>
      <c r="AU307" s="42">
        <f ca="1">SUMIF(UPS!B$38:B$171,C307,UPS!BD$38:BD$171)</f>
        <v>128</v>
      </c>
    </row>
    <row r="308" spans="1:51">
      <c r="B308" s="440" t="str">
        <f t="shared" si="143"/>
        <v>NCAP_TLIFE</v>
      </c>
      <c r="C308" s="440" t="str">
        <f ca="1">IF($A308="*","",OFFSET(ITEMS_UPS!$C$8,AR308,0))</f>
        <v>UELEP1HGN</v>
      </c>
      <c r="D308" s="440" t="str">
        <f ca="1">IF($A308="*","",IF(VLOOKUP("*#"&amp;$AS308,$A$10:$I$24,D$9+1,FALSE)="-","-",OFFSET(UPS!$C$37,AU308+AV308,SUMIF($A$10:$A$20,"*#"&amp;AS308,$AT$10:$AT$20))))</f>
        <v>-</v>
      </c>
      <c r="E308" s="440" t="str">
        <f t="shared" si="144"/>
        <v>-</v>
      </c>
      <c r="F308" s="440" t="str">
        <f t="shared" si="145"/>
        <v>-</v>
      </c>
      <c r="G308" s="440" t="str">
        <f>IF($A308="*","",VLOOKUP("*#"&amp;$AS308,$A$10:$I$24,G$9+1,FALSE))</f>
        <v>-</v>
      </c>
      <c r="H308" s="441" t="str">
        <f t="shared" si="147"/>
        <v>-</v>
      </c>
      <c r="I308" s="441">
        <f>IF($A308="*","",VLOOKUP("*#"&amp;$AS308,$A$10:$I$24,I$9+1,FALSE))</f>
        <v>0</v>
      </c>
      <c r="J308" s="163">
        <f ca="1">IF($A308="*","",OFFSET(UPS!$C$37,AU308,SUMIF($A$10:$A$24,"*#"&amp;AS308,$AT$10:$AT$24)))</f>
        <v>7.6103500761035017</v>
      </c>
      <c r="K308" s="163" t="str">
        <f t="array" aca="1" ref="K308" ca="1">IFERROR(INDEX('Hydrogen-ELT'!$F$6:$J$17,MATCH(TS_TTech!$C308&amp;TS_TTech!$B308,'Hydrogen-ELT'!$A$6:$A$17&amp;'Hydrogen-ELT'!$B$6:$B$17,0),MATCH(TS_TTech!K$7,'Hydrogen-ELT'!$F$5:$J$5,0)),"")</f>
        <v/>
      </c>
      <c r="L308" s="163" t="str">
        <f t="array" aca="1" ref="L308" ca="1">IFERROR(INDEX('Hydrogen-ELT'!$F$6:$J$17,MATCH(TS_TTech!$C308&amp;TS_TTech!$B308,'Hydrogen-ELT'!$A$6:$A$17&amp;'Hydrogen-ELT'!$B$6:$B$17,0),MATCH(TS_TTech!L$7,'Hydrogen-ELT'!$F$5:$J$5,0)),"")</f>
        <v/>
      </c>
      <c r="M308" s="163" t="str">
        <f t="array" aca="1" ref="M308" ca="1">IFERROR(INDEX('Hydrogen-ELT'!$F$6:$J$17,MATCH(TS_TTech!$C308&amp;TS_TTech!$B308,'Hydrogen-ELT'!$A$6:$A$17&amp;'Hydrogen-ELT'!$B$6:$B$17,0),MATCH(TS_TTech!M$7,'Hydrogen-ELT'!$F$5:$J$5,0)),"")</f>
        <v/>
      </c>
      <c r="N308" s="163" t="str">
        <f t="array" aca="1" ref="N308" ca="1">IFERROR(INDEX('Hydrogen-ELT'!$F$6:$J$17,MATCH(TS_TTech!$C308&amp;TS_TTech!$B308,'Hydrogen-ELT'!$A$6:$A$17&amp;'Hydrogen-ELT'!$B$6:$B$17,0),MATCH(TS_TTech!N$7,'Hydrogen-ELT'!$F$5:$J$5,0)),"")</f>
        <v/>
      </c>
      <c r="O308" s="163" t="str">
        <f t="array" aca="1" ref="O308" ca="1">IFERROR(INDEX('Hydrogen-ELT'!$F$6:$J$17,MATCH(TS_TTech!$C308&amp;TS_TTech!$B308,'Hydrogen-ELT'!$A$6:$A$17&amp;'Hydrogen-ELT'!$B$6:$B$17,0),MATCH(TS_TTech!O$7,'Hydrogen-ELT'!$F$5:$J$5,0)),"")</f>
        <v/>
      </c>
      <c r="P308" s="163" t="str">
        <f t="array" aca="1" ref="P308" ca="1">IFERROR(INDEX('Hydrogen-ELT'!$F$6:$J$17,MATCH(TS_TTech!$C308&amp;TS_TTech!$B308,'Hydrogen-ELT'!$A$6:$A$17&amp;'Hydrogen-ELT'!$B$6:$B$17,0),MATCH(TS_TTech!P$7,'Hydrogen-ELT'!$F$5:$J$5,0)),"")</f>
        <v/>
      </c>
      <c r="Q308" s="163" t="str">
        <f t="array" aca="1" ref="Q308" ca="1">IFERROR(INDEX('Hydrogen-ELT'!$F$6:$J$17,MATCH(TS_TTech!$C308&amp;TS_TTech!$B308,'Hydrogen-ELT'!$A$6:$A$17&amp;'Hydrogen-ELT'!$B$6:$B$17,0),MATCH(TS_TTech!Q$7,'Hydrogen-ELT'!$F$5:$J$5,0)),"")</f>
        <v/>
      </c>
      <c r="R308" s="163">
        <f t="array" aca="1" ref="R308" ca="1">IFERROR(INDEX('Hydrogen-ELT'!$F$6:$J$17,MATCH(TS_TTech!$C308&amp;TS_TTech!$B308,'Hydrogen-ELT'!$A$6:$A$17&amp;'Hydrogen-ELT'!$B$6:$B$17,0),MATCH(TS_TTech!R$7,'Hydrogen-ELT'!$F$5:$J$5,0)),"")</f>
        <v>7.6103500761035017</v>
      </c>
      <c r="S308" s="163" t="str">
        <f t="array" aca="1" ref="S308" ca="1">IFERROR(INDEX('Hydrogen-ELT'!$F$6:$J$17,MATCH(TS_TTech!$C308&amp;TS_TTech!$B308,'Hydrogen-ELT'!$A$6:$A$17&amp;'Hydrogen-ELT'!$B$6:$B$17,0),MATCH(TS_TTech!S$7,'Hydrogen-ELT'!$F$5:$J$5,0)),"")</f>
        <v/>
      </c>
      <c r="T308" s="163" t="str">
        <f t="array" aca="1" ref="T308" ca="1">IFERROR(INDEX('Hydrogen-ELT'!$F$6:$J$17,MATCH(TS_TTech!$C308&amp;TS_TTech!$B308,'Hydrogen-ELT'!$A$6:$A$17&amp;'Hydrogen-ELT'!$B$6:$B$17,0),MATCH(TS_TTech!T$7,'Hydrogen-ELT'!$F$5:$J$5,0)),"")</f>
        <v/>
      </c>
      <c r="U308" s="163" t="str">
        <f t="array" aca="1" ref="U308" ca="1">IFERROR(INDEX('Hydrogen-ELT'!$F$6:$J$17,MATCH(TS_TTech!$C308&amp;TS_TTech!$B308,'Hydrogen-ELT'!$A$6:$A$17&amp;'Hydrogen-ELT'!$B$6:$B$17,0),MATCH(TS_TTech!U$7,'Hydrogen-ELT'!$F$5:$J$5,0)),"")</f>
        <v/>
      </c>
      <c r="V308" s="163" t="str">
        <f t="array" aca="1" ref="V308" ca="1">IFERROR(INDEX('Hydrogen-ELT'!$F$6:$J$17,MATCH(TS_TTech!$C308&amp;TS_TTech!$B308,'Hydrogen-ELT'!$A$6:$A$17&amp;'Hydrogen-ELT'!$B$6:$B$17,0),MATCH(TS_TTech!V$7,'Hydrogen-ELT'!$F$5:$J$5,0)),"")</f>
        <v/>
      </c>
      <c r="W308" s="163" t="str">
        <f t="array" aca="1" ref="W308" ca="1">IFERROR(INDEX('Hydrogen-ELT'!$F$6:$J$17,MATCH(TS_TTech!$C308&amp;TS_TTech!$B308,'Hydrogen-ELT'!$A$6:$A$17&amp;'Hydrogen-ELT'!$B$6:$B$17,0),MATCH(TS_TTech!W$7,'Hydrogen-ELT'!$F$5:$J$5,0)),"")</f>
        <v/>
      </c>
      <c r="X308" s="163" t="str">
        <f t="array" aca="1" ref="X308" ca="1">IFERROR(INDEX('Hydrogen-ELT'!$F$6:$J$17,MATCH(TS_TTech!$C308&amp;TS_TTech!$B308,'Hydrogen-ELT'!$A$6:$A$17&amp;'Hydrogen-ELT'!$B$6:$B$17,0),MATCH(TS_TTech!X$7,'Hydrogen-ELT'!$F$5:$J$5,0)),"")</f>
        <v/>
      </c>
      <c r="Y308" s="163" t="str">
        <f t="array" aca="1" ref="Y308" ca="1">IFERROR(INDEX('Hydrogen-ELT'!$F$6:$J$17,MATCH(TS_TTech!$C308&amp;TS_TTech!$B308,'Hydrogen-ELT'!$A$6:$A$17&amp;'Hydrogen-ELT'!$B$6:$B$17,0),MATCH(TS_TTech!Y$7,'Hydrogen-ELT'!$F$5:$J$5,0)),"")</f>
        <v/>
      </c>
      <c r="Z308" s="163" t="str">
        <f t="array" aca="1" ref="Z308" ca="1">IFERROR(INDEX('Hydrogen-ELT'!$F$6:$J$17,MATCH(TS_TTech!$C308&amp;TS_TTech!$B308,'Hydrogen-ELT'!$A$6:$A$17&amp;'Hydrogen-ELT'!$B$6:$B$17,0),MATCH(TS_TTech!Z$7,'Hydrogen-ELT'!$F$5:$J$5,0)),"")</f>
        <v/>
      </c>
      <c r="AA308" s="163" t="str">
        <f t="array" aca="1" ref="AA308" ca="1">IFERROR(INDEX('Hydrogen-ELT'!$F$6:$J$17,MATCH(TS_TTech!$C308&amp;TS_TTech!$B308,'Hydrogen-ELT'!$A$6:$A$17&amp;'Hydrogen-ELT'!$B$6:$B$17,0),MATCH(TS_TTech!AA$7,'Hydrogen-ELT'!$F$5:$J$5,0)),"")</f>
        <v/>
      </c>
      <c r="AB308" s="163">
        <f t="array" aca="1" ref="AB308" ca="1">IFERROR(INDEX('Hydrogen-ELT'!$F$6:$J$17,MATCH(TS_TTech!$C308&amp;TS_TTech!$B308,'Hydrogen-ELT'!$A$6:$A$17&amp;'Hydrogen-ELT'!$B$6:$B$17,0),MATCH(TS_TTech!AB$7,'Hydrogen-ELT'!$F$5:$J$5,0)),"")</f>
        <v>9.512937595129376</v>
      </c>
      <c r="AC308" s="163" t="str">
        <f t="array" aca="1" ref="AC308" ca="1">IFERROR(INDEX('Hydrogen-ELT'!$F$6:$J$17,MATCH(TS_TTech!$C308&amp;TS_TTech!$B308,'Hydrogen-ELT'!$A$6:$A$17&amp;'Hydrogen-ELT'!$B$6:$B$17,0),MATCH(TS_TTech!AC$7,'Hydrogen-ELT'!$F$5:$J$5,0)),"")</f>
        <v/>
      </c>
      <c r="AD308" s="163" t="str">
        <f t="array" aca="1" ref="AD308" ca="1">IFERROR(INDEX('Hydrogen-ELT'!$F$6:$J$17,MATCH(TS_TTech!$C308&amp;TS_TTech!$B308,'Hydrogen-ELT'!$A$6:$A$17&amp;'Hydrogen-ELT'!$B$6:$B$17,0),MATCH(TS_TTech!AD$7,'Hydrogen-ELT'!$F$5:$J$5,0)),"")</f>
        <v/>
      </c>
      <c r="AE308" s="163" t="str">
        <f t="array" aca="1" ref="AE308" ca="1">IFERROR(INDEX('Hydrogen-ELT'!$F$6:$J$17,MATCH(TS_TTech!$C308&amp;TS_TTech!$B308,'Hydrogen-ELT'!$A$6:$A$17&amp;'Hydrogen-ELT'!$B$6:$B$17,0),MATCH(TS_TTech!AE$7,'Hydrogen-ELT'!$F$5:$J$5,0)),"")</f>
        <v/>
      </c>
      <c r="AF308" s="163" t="str">
        <f t="array" aca="1" ref="AF308" ca="1">IFERROR(INDEX('Hydrogen-ELT'!$F$6:$J$17,MATCH(TS_TTech!$C308&amp;TS_TTech!$B308,'Hydrogen-ELT'!$A$6:$A$17&amp;'Hydrogen-ELT'!$B$6:$B$17,0),MATCH(TS_TTech!AF$7,'Hydrogen-ELT'!$F$5:$J$5,0)),"")</f>
        <v/>
      </c>
      <c r="AG308" s="163">
        <f t="array" aca="1" ref="AG308" ca="1">IFERROR(INDEX('Hydrogen-ELT'!$F$6:$J$17,MATCH(TS_TTech!$C308&amp;TS_TTech!$B308,'Hydrogen-ELT'!$A$6:$A$17&amp;'Hydrogen-ELT'!$B$6:$B$17,0),MATCH(TS_TTech!AG$7,'Hydrogen-ELT'!$F$5:$J$5,0)),"")</f>
        <v>15.854895991882291</v>
      </c>
      <c r="AH308" s="163" t="str">
        <f t="array" aca="1" ref="AH308" ca="1">IFERROR(INDEX('Hydrogen-ELT'!$F$6:$J$17,MATCH(TS_TTech!$C308&amp;TS_TTech!$B308,'Hydrogen-ELT'!$A$6:$A$17&amp;'Hydrogen-ELT'!$B$6:$B$17,0),MATCH(TS_TTech!AH$7,'Hydrogen-ELT'!$F$5:$J$5,0)),"")</f>
        <v/>
      </c>
      <c r="AI308" s="163" t="str">
        <f t="array" aca="1" ref="AI308" ca="1">IFERROR(INDEX('Hydrogen-ELT'!$F$6:$J$17,MATCH(TS_TTech!$C308&amp;TS_TTech!$B308,'Hydrogen-ELT'!$A$6:$A$17&amp;'Hydrogen-ELT'!$B$6:$B$17,0),MATCH(TS_TTech!AI$7,'Hydrogen-ELT'!$F$5:$J$5,0)),"")</f>
        <v/>
      </c>
      <c r="AJ308" s="163" t="str">
        <f t="array" aca="1" ref="AJ308" ca="1">IFERROR(INDEX('Hydrogen-ELT'!$F$6:$J$17,MATCH(TS_TTech!$C308&amp;TS_TTech!$B308,'Hydrogen-ELT'!$A$6:$A$17&amp;'Hydrogen-ELT'!$B$6:$B$17,0),MATCH(TS_TTech!AJ$7,'Hydrogen-ELT'!$F$5:$J$5,0)),"")</f>
        <v/>
      </c>
      <c r="AK308" s="163" t="str">
        <f t="array" aca="1" ref="AK308" ca="1">IFERROR(INDEX('Hydrogen-ELT'!$F$6:$J$17,MATCH(TS_TTech!$C308&amp;TS_TTech!$B308,'Hydrogen-ELT'!$A$6:$A$17&amp;'Hydrogen-ELT'!$B$6:$B$17,0),MATCH(TS_TTech!AK$7,'Hydrogen-ELT'!$F$5:$J$5,0)),"")</f>
        <v/>
      </c>
      <c r="AL308" s="163">
        <f t="array" aca="1" ref="AL308" ca="1">IFERROR(INDEX('Hydrogen-ELT'!$F$6:$J$17,MATCH(TS_TTech!$C308&amp;TS_TTech!$B308,'Hydrogen-ELT'!$A$6:$A$17&amp;'Hydrogen-ELT'!$B$6:$B$17,0),MATCH(TS_TTech!AL$7,'Hydrogen-ELT'!$F$5:$J$5,0)),"")</f>
        <v>15.854895991882291</v>
      </c>
      <c r="AM308" s="163" t="str">
        <f t="array" aca="1" ref="AM308" ca="1">IFERROR(INDEX('Hydrogen-ELT'!$F$6:$J$17,MATCH(TS_TTech!$C308&amp;TS_TTech!$B308,'Hydrogen-ELT'!$A$6:$A$17&amp;'Hydrogen-ELT'!$B$6:$B$17,0),MATCH(TS_TTech!AM$7,'Hydrogen-ELT'!$F$5:$J$5,0)),"")</f>
        <v/>
      </c>
      <c r="AN308" s="163">
        <f t="array" aca="1" ref="AN308" ca="1">IFERROR(INDEX('Hydrogen-ELT'!$F$6:$J$17,MATCH(TS_TTech!$C308&amp;TS_TTech!$B308,'Hydrogen-ELT'!$A$6:$A$17&amp;'Hydrogen-ELT'!$B$6:$B$17,0),MATCH(TS_TTech!AN$7,'Hydrogen-ELT'!$F$5:$J$5,0)),"")</f>
        <v>15.854895991882291</v>
      </c>
      <c r="AO308" s="163" t="str">
        <f t="array" aca="1" ref="AO308" ca="1">IFERROR(INDEX('Hydrogen-ELT'!$F$6:$J$17,MATCH(TS_TTech!$C308&amp;TS_TTech!$B308,'Hydrogen-ELT'!$A$6:$A$17&amp;'Hydrogen-ELT'!$B$6:$B$17,0),MATCH(TS_TTech!AO$7,'Hydrogen-ELT'!$F$5:$J$5,0)),"")</f>
        <v/>
      </c>
      <c r="AP308" s="163" t="str">
        <f t="array" aca="1" ref="AP308" ca="1">IFERROR(INDEX('Hydrogen-ELT'!$F$6:$J$17,MATCH(TS_TTech!$C308&amp;TS_TTech!$B308,'Hydrogen-ELT'!$A$6:$A$17&amp;'Hydrogen-ELT'!$B$6:$B$17,0),MATCH(TS_TTech!AP$7,'Hydrogen-ELT'!$F$5:$J$5,0)),"")</f>
        <v/>
      </c>
      <c r="AR308" s="163">
        <f t="shared" si="149"/>
        <v>26</v>
      </c>
      <c r="AS308" s="42">
        <f>AS307+1</f>
        <v>13</v>
      </c>
      <c r="AU308" s="42">
        <f ca="1">SUMIF(UPS!B$38:B$171,C308,UPS!BD$38:BD$171)</f>
        <v>128</v>
      </c>
    </row>
    <row r="309" spans="1:51">
      <c r="B309" s="440" t="str">
        <f t="shared" si="143"/>
        <v>NCAP_ILED</v>
      </c>
      <c r="C309" s="440" t="str">
        <f ca="1">IF($A309="*","",OFFSET(ITEMS_UPS!$C$8,AR309,0))</f>
        <v>UELEP1HGN</v>
      </c>
      <c r="D309" s="440" t="str">
        <f ca="1">IF($A309="*","",IF(VLOOKUP("*#"&amp;$AS309,$A$10:$I$24,D$9+1,FALSE)="-","-",OFFSET(UPS!$C$37,AU309+AV309,SUMIF($A$10:$A$20,"*#"&amp;AS309,$AT$10:$AT$20))))</f>
        <v>-</v>
      </c>
      <c r="E309" s="440" t="str">
        <f t="shared" si="144"/>
        <v>-</v>
      </c>
      <c r="F309" s="440" t="str">
        <f t="shared" si="145"/>
        <v>-</v>
      </c>
      <c r="G309" s="440" t="str">
        <f>IF($A309="*","",VLOOKUP("*#"&amp;$AS309,$A$10:$I$24,G$9+1,FALSE))</f>
        <v>-</v>
      </c>
      <c r="H309" s="441" t="str">
        <f t="shared" si="147"/>
        <v>-</v>
      </c>
      <c r="I309" s="441">
        <f>IF($A309="*","",VLOOKUP("*#"&amp;$AS309,$A$10:$I$24,I$9+1,FALSE))</f>
        <v>0</v>
      </c>
      <c r="J309" s="163">
        <f ca="1">IF($A309="*","",OFFSET(UPS!$C$37,AU309,SUMIF($A$10:$A$24,"*#"&amp;AS309,$AT$10:$AT$24)))</f>
        <v>-2</v>
      </c>
      <c r="K309" s="163" t="str">
        <f t="array" aca="1" ref="K309" ca="1">IFERROR(INDEX('Hydrogen-ELT'!$F$6:$J$17,MATCH(TS_TTech!$C309&amp;TS_TTech!$B309,'Hydrogen-ELT'!$A$6:$A$17&amp;'Hydrogen-ELT'!$B$6:$B$17,0),MATCH(TS_TTech!K$7,'Hydrogen-ELT'!$F$5:$J$5,0)),"")</f>
        <v/>
      </c>
      <c r="L309" s="163" t="str">
        <f t="array" aca="1" ref="L309" ca="1">IFERROR(INDEX('Hydrogen-ELT'!$F$6:$J$17,MATCH(TS_TTech!$C309&amp;TS_TTech!$B309,'Hydrogen-ELT'!$A$6:$A$17&amp;'Hydrogen-ELT'!$B$6:$B$17,0),MATCH(TS_TTech!L$7,'Hydrogen-ELT'!$F$5:$J$5,0)),"")</f>
        <v/>
      </c>
      <c r="M309" s="163" t="str">
        <f t="array" aca="1" ref="M309" ca="1">IFERROR(INDEX('Hydrogen-ELT'!$F$6:$J$17,MATCH(TS_TTech!$C309&amp;TS_TTech!$B309,'Hydrogen-ELT'!$A$6:$A$17&amp;'Hydrogen-ELT'!$B$6:$B$17,0),MATCH(TS_TTech!M$7,'Hydrogen-ELT'!$F$5:$J$5,0)),"")</f>
        <v/>
      </c>
      <c r="N309" s="163" t="str">
        <f t="array" aca="1" ref="N309" ca="1">IFERROR(INDEX('Hydrogen-ELT'!$F$6:$J$17,MATCH(TS_TTech!$C309&amp;TS_TTech!$B309,'Hydrogen-ELT'!$A$6:$A$17&amp;'Hydrogen-ELT'!$B$6:$B$17,0),MATCH(TS_TTech!N$7,'Hydrogen-ELT'!$F$5:$J$5,0)),"")</f>
        <v/>
      </c>
      <c r="O309" s="163" t="str">
        <f t="array" aca="1" ref="O309" ca="1">IFERROR(INDEX('Hydrogen-ELT'!$F$6:$J$17,MATCH(TS_TTech!$C309&amp;TS_TTech!$B309,'Hydrogen-ELT'!$A$6:$A$17&amp;'Hydrogen-ELT'!$B$6:$B$17,0),MATCH(TS_TTech!O$7,'Hydrogen-ELT'!$F$5:$J$5,0)),"")</f>
        <v/>
      </c>
      <c r="P309" s="163" t="str">
        <f t="array" aca="1" ref="P309" ca="1">IFERROR(INDEX('Hydrogen-ELT'!$F$6:$J$17,MATCH(TS_TTech!$C309&amp;TS_TTech!$B309,'Hydrogen-ELT'!$A$6:$A$17&amp;'Hydrogen-ELT'!$B$6:$B$17,0),MATCH(TS_TTech!P$7,'Hydrogen-ELT'!$F$5:$J$5,0)),"")</f>
        <v/>
      </c>
      <c r="Q309" s="163" t="str">
        <f t="array" aca="1" ref="Q309" ca="1">IFERROR(INDEX('Hydrogen-ELT'!$F$6:$J$17,MATCH(TS_TTech!$C309&amp;TS_TTech!$B309,'Hydrogen-ELT'!$A$6:$A$17&amp;'Hydrogen-ELT'!$B$6:$B$17,0),MATCH(TS_TTech!Q$7,'Hydrogen-ELT'!$F$5:$J$5,0)),"")</f>
        <v/>
      </c>
      <c r="R309" s="163">
        <f t="array" aca="1" ref="R309" ca="1">IFERROR(INDEX('Hydrogen-ELT'!$F$6:$J$17,MATCH(TS_TTech!$C309&amp;TS_TTech!$B309,'Hydrogen-ELT'!$A$6:$A$17&amp;'Hydrogen-ELT'!$B$6:$B$17,0),MATCH(TS_TTech!R$7,'Hydrogen-ELT'!$F$5:$J$5,0)),"")</f>
        <v>-2</v>
      </c>
      <c r="S309" s="163" t="str">
        <f t="array" aca="1" ref="S309" ca="1">IFERROR(INDEX('Hydrogen-ELT'!$F$6:$J$17,MATCH(TS_TTech!$C309&amp;TS_TTech!$B309,'Hydrogen-ELT'!$A$6:$A$17&amp;'Hydrogen-ELT'!$B$6:$B$17,0),MATCH(TS_TTech!S$7,'Hydrogen-ELT'!$F$5:$J$5,0)),"")</f>
        <v/>
      </c>
      <c r="T309" s="163" t="str">
        <f t="array" aca="1" ref="T309" ca="1">IFERROR(INDEX('Hydrogen-ELT'!$F$6:$J$17,MATCH(TS_TTech!$C309&amp;TS_TTech!$B309,'Hydrogen-ELT'!$A$6:$A$17&amp;'Hydrogen-ELT'!$B$6:$B$17,0),MATCH(TS_TTech!T$7,'Hydrogen-ELT'!$F$5:$J$5,0)),"")</f>
        <v/>
      </c>
      <c r="U309" s="163" t="str">
        <f t="array" aca="1" ref="U309" ca="1">IFERROR(INDEX('Hydrogen-ELT'!$F$6:$J$17,MATCH(TS_TTech!$C309&amp;TS_TTech!$B309,'Hydrogen-ELT'!$A$6:$A$17&amp;'Hydrogen-ELT'!$B$6:$B$17,0),MATCH(TS_TTech!U$7,'Hydrogen-ELT'!$F$5:$J$5,0)),"")</f>
        <v/>
      </c>
      <c r="V309" s="163" t="str">
        <f t="array" aca="1" ref="V309" ca="1">IFERROR(INDEX('Hydrogen-ELT'!$F$6:$J$17,MATCH(TS_TTech!$C309&amp;TS_TTech!$B309,'Hydrogen-ELT'!$A$6:$A$17&amp;'Hydrogen-ELT'!$B$6:$B$17,0),MATCH(TS_TTech!V$7,'Hydrogen-ELT'!$F$5:$J$5,0)),"")</f>
        <v/>
      </c>
      <c r="W309" s="163" t="str">
        <f t="array" aca="1" ref="W309" ca="1">IFERROR(INDEX('Hydrogen-ELT'!$F$6:$J$17,MATCH(TS_TTech!$C309&amp;TS_TTech!$B309,'Hydrogen-ELT'!$A$6:$A$17&amp;'Hydrogen-ELT'!$B$6:$B$17,0),MATCH(TS_TTech!W$7,'Hydrogen-ELT'!$F$5:$J$5,0)),"")</f>
        <v/>
      </c>
      <c r="X309" s="163" t="str">
        <f t="array" aca="1" ref="X309" ca="1">IFERROR(INDEX('Hydrogen-ELT'!$F$6:$J$17,MATCH(TS_TTech!$C309&amp;TS_TTech!$B309,'Hydrogen-ELT'!$A$6:$A$17&amp;'Hydrogen-ELT'!$B$6:$B$17,0),MATCH(TS_TTech!X$7,'Hydrogen-ELT'!$F$5:$J$5,0)),"")</f>
        <v/>
      </c>
      <c r="Y309" s="163" t="str">
        <f t="array" aca="1" ref="Y309" ca="1">IFERROR(INDEX('Hydrogen-ELT'!$F$6:$J$17,MATCH(TS_TTech!$C309&amp;TS_TTech!$B309,'Hydrogen-ELT'!$A$6:$A$17&amp;'Hydrogen-ELT'!$B$6:$B$17,0),MATCH(TS_TTech!Y$7,'Hydrogen-ELT'!$F$5:$J$5,0)),"")</f>
        <v/>
      </c>
      <c r="Z309" s="163" t="str">
        <f t="array" aca="1" ref="Z309" ca="1">IFERROR(INDEX('Hydrogen-ELT'!$F$6:$J$17,MATCH(TS_TTech!$C309&amp;TS_TTech!$B309,'Hydrogen-ELT'!$A$6:$A$17&amp;'Hydrogen-ELT'!$B$6:$B$17,0),MATCH(TS_TTech!Z$7,'Hydrogen-ELT'!$F$5:$J$5,0)),"")</f>
        <v/>
      </c>
      <c r="AA309" s="163" t="str">
        <f t="array" aca="1" ref="AA309" ca="1">IFERROR(INDEX('Hydrogen-ELT'!$F$6:$J$17,MATCH(TS_TTech!$C309&amp;TS_TTech!$B309,'Hydrogen-ELT'!$A$6:$A$17&amp;'Hydrogen-ELT'!$B$6:$B$17,0),MATCH(TS_TTech!AA$7,'Hydrogen-ELT'!$F$5:$J$5,0)),"")</f>
        <v/>
      </c>
      <c r="AB309" s="163">
        <f t="array" aca="1" ref="AB309" ca="1">IFERROR(INDEX('Hydrogen-ELT'!$F$6:$J$17,MATCH(TS_TTech!$C309&amp;TS_TTech!$B309,'Hydrogen-ELT'!$A$6:$A$17&amp;'Hydrogen-ELT'!$B$6:$B$17,0),MATCH(TS_TTech!AB$7,'Hydrogen-ELT'!$F$5:$J$5,0)),"")</f>
        <v>-2</v>
      </c>
      <c r="AC309" s="163" t="str">
        <f t="array" aca="1" ref="AC309" ca="1">IFERROR(INDEX('Hydrogen-ELT'!$F$6:$J$17,MATCH(TS_TTech!$C309&amp;TS_TTech!$B309,'Hydrogen-ELT'!$A$6:$A$17&amp;'Hydrogen-ELT'!$B$6:$B$17,0),MATCH(TS_TTech!AC$7,'Hydrogen-ELT'!$F$5:$J$5,0)),"")</f>
        <v/>
      </c>
      <c r="AD309" s="163" t="str">
        <f t="array" aca="1" ref="AD309" ca="1">IFERROR(INDEX('Hydrogen-ELT'!$F$6:$J$17,MATCH(TS_TTech!$C309&amp;TS_TTech!$B309,'Hydrogen-ELT'!$A$6:$A$17&amp;'Hydrogen-ELT'!$B$6:$B$17,0),MATCH(TS_TTech!AD$7,'Hydrogen-ELT'!$F$5:$J$5,0)),"")</f>
        <v/>
      </c>
      <c r="AE309" s="163" t="str">
        <f t="array" aca="1" ref="AE309" ca="1">IFERROR(INDEX('Hydrogen-ELT'!$F$6:$J$17,MATCH(TS_TTech!$C309&amp;TS_TTech!$B309,'Hydrogen-ELT'!$A$6:$A$17&amp;'Hydrogen-ELT'!$B$6:$B$17,0),MATCH(TS_TTech!AE$7,'Hydrogen-ELT'!$F$5:$J$5,0)),"")</f>
        <v/>
      </c>
      <c r="AF309" s="163" t="str">
        <f t="array" aca="1" ref="AF309" ca="1">IFERROR(INDEX('Hydrogen-ELT'!$F$6:$J$17,MATCH(TS_TTech!$C309&amp;TS_TTech!$B309,'Hydrogen-ELT'!$A$6:$A$17&amp;'Hydrogen-ELT'!$B$6:$B$17,0),MATCH(TS_TTech!AF$7,'Hydrogen-ELT'!$F$5:$J$5,0)),"")</f>
        <v/>
      </c>
      <c r="AG309" s="163">
        <f t="array" aca="1" ref="AG309" ca="1">IFERROR(INDEX('Hydrogen-ELT'!$F$6:$J$17,MATCH(TS_TTech!$C309&amp;TS_TTech!$B309,'Hydrogen-ELT'!$A$6:$A$17&amp;'Hydrogen-ELT'!$B$6:$B$17,0),MATCH(TS_TTech!AG$7,'Hydrogen-ELT'!$F$5:$J$5,0)),"")</f>
        <v>-2</v>
      </c>
      <c r="AH309" s="163" t="str">
        <f t="array" aca="1" ref="AH309" ca="1">IFERROR(INDEX('Hydrogen-ELT'!$F$6:$J$17,MATCH(TS_TTech!$C309&amp;TS_TTech!$B309,'Hydrogen-ELT'!$A$6:$A$17&amp;'Hydrogen-ELT'!$B$6:$B$17,0),MATCH(TS_TTech!AH$7,'Hydrogen-ELT'!$F$5:$J$5,0)),"")</f>
        <v/>
      </c>
      <c r="AI309" s="163" t="str">
        <f t="array" aca="1" ref="AI309" ca="1">IFERROR(INDEX('Hydrogen-ELT'!$F$6:$J$17,MATCH(TS_TTech!$C309&amp;TS_TTech!$B309,'Hydrogen-ELT'!$A$6:$A$17&amp;'Hydrogen-ELT'!$B$6:$B$17,0),MATCH(TS_TTech!AI$7,'Hydrogen-ELT'!$F$5:$J$5,0)),"")</f>
        <v/>
      </c>
      <c r="AJ309" s="163" t="str">
        <f t="array" aca="1" ref="AJ309" ca="1">IFERROR(INDEX('Hydrogen-ELT'!$F$6:$J$17,MATCH(TS_TTech!$C309&amp;TS_TTech!$B309,'Hydrogen-ELT'!$A$6:$A$17&amp;'Hydrogen-ELT'!$B$6:$B$17,0),MATCH(TS_TTech!AJ$7,'Hydrogen-ELT'!$F$5:$J$5,0)),"")</f>
        <v/>
      </c>
      <c r="AK309" s="163" t="str">
        <f t="array" aca="1" ref="AK309" ca="1">IFERROR(INDEX('Hydrogen-ELT'!$F$6:$J$17,MATCH(TS_TTech!$C309&amp;TS_TTech!$B309,'Hydrogen-ELT'!$A$6:$A$17&amp;'Hydrogen-ELT'!$B$6:$B$17,0),MATCH(TS_TTech!AK$7,'Hydrogen-ELT'!$F$5:$J$5,0)),"")</f>
        <v/>
      </c>
      <c r="AL309" s="163">
        <f t="array" aca="1" ref="AL309" ca="1">IFERROR(INDEX('Hydrogen-ELT'!$F$6:$J$17,MATCH(TS_TTech!$C309&amp;TS_TTech!$B309,'Hydrogen-ELT'!$A$6:$A$17&amp;'Hydrogen-ELT'!$B$6:$B$17,0),MATCH(TS_TTech!AL$7,'Hydrogen-ELT'!$F$5:$J$5,0)),"")</f>
        <v>-2</v>
      </c>
      <c r="AM309" s="163" t="str">
        <f t="array" aca="1" ref="AM309" ca="1">IFERROR(INDEX('Hydrogen-ELT'!$F$6:$J$17,MATCH(TS_TTech!$C309&amp;TS_TTech!$B309,'Hydrogen-ELT'!$A$6:$A$17&amp;'Hydrogen-ELT'!$B$6:$B$17,0),MATCH(TS_TTech!AM$7,'Hydrogen-ELT'!$F$5:$J$5,0)),"")</f>
        <v/>
      </c>
      <c r="AN309" s="163">
        <f t="array" aca="1" ref="AN309" ca="1">IFERROR(INDEX('Hydrogen-ELT'!$F$6:$J$17,MATCH(TS_TTech!$C309&amp;TS_TTech!$B309,'Hydrogen-ELT'!$A$6:$A$17&amp;'Hydrogen-ELT'!$B$6:$B$17,0),MATCH(TS_TTech!AN$7,'Hydrogen-ELT'!$F$5:$J$5,0)),"")</f>
        <v>-2</v>
      </c>
      <c r="AO309" s="163" t="str">
        <f t="array" aca="1" ref="AO309" ca="1">IFERROR(INDEX('Hydrogen-ELT'!$F$6:$J$17,MATCH(TS_TTech!$C309&amp;TS_TTech!$B309,'Hydrogen-ELT'!$A$6:$A$17&amp;'Hydrogen-ELT'!$B$6:$B$17,0),MATCH(TS_TTech!AO$7,'Hydrogen-ELT'!$F$5:$J$5,0)),"")</f>
        <v/>
      </c>
      <c r="AP309" s="163" t="str">
        <f t="array" aca="1" ref="AP309" ca="1">IFERROR(INDEX('Hydrogen-ELT'!$F$6:$J$17,MATCH(TS_TTech!$C309&amp;TS_TTech!$B309,'Hydrogen-ELT'!$A$6:$A$17&amp;'Hydrogen-ELT'!$B$6:$B$17,0),MATCH(TS_TTech!AP$7,'Hydrogen-ELT'!$F$5:$J$5,0)),"")</f>
        <v/>
      </c>
      <c r="AR309" s="163">
        <f t="shared" si="149"/>
        <v>26</v>
      </c>
      <c r="AS309" s="42">
        <f>AS308+1</f>
        <v>14</v>
      </c>
      <c r="AU309" s="42">
        <f ca="1">SUMIF(UPS!B$38:B$171,C309,UPS!BD$38:BD$171)</f>
        <v>128</v>
      </c>
    </row>
    <row r="310" spans="1:51">
      <c r="A310" s="42" t="s">
        <v>310</v>
      </c>
      <c r="B310" s="440"/>
      <c r="C310" s="440"/>
      <c r="D310" s="440"/>
      <c r="E310" s="440"/>
      <c r="F310" s="440"/>
      <c r="G310" s="440"/>
      <c r="H310" s="441"/>
      <c r="I310" s="441"/>
      <c r="J310" s="163"/>
      <c r="K310" s="163"/>
      <c r="L310" s="163"/>
      <c r="M310" s="163"/>
      <c r="N310" s="163"/>
      <c r="O310" s="163"/>
      <c r="P310" s="163"/>
      <c r="Q310" s="163"/>
      <c r="R310" s="163"/>
      <c r="S310" s="163"/>
      <c r="T310" s="163"/>
      <c r="U310" s="163"/>
      <c r="V310" s="163"/>
      <c r="W310" s="163"/>
      <c r="X310" s="163"/>
      <c r="Y310" s="163"/>
      <c r="Z310" s="163"/>
      <c r="AA310" s="163"/>
      <c r="AB310" s="163"/>
      <c r="AC310" s="163"/>
      <c r="AD310" s="163"/>
      <c r="AE310" s="163"/>
      <c r="AF310" s="163"/>
      <c r="AG310" s="163"/>
      <c r="AH310" s="163"/>
      <c r="AI310" s="163"/>
      <c r="AJ310" s="163"/>
      <c r="AK310" s="163"/>
      <c r="AL310" s="163"/>
      <c r="AM310" s="163"/>
      <c r="AN310" s="163"/>
      <c r="AO310" s="163"/>
      <c r="AP310" s="163"/>
      <c r="AR310" s="163"/>
    </row>
    <row r="311" spans="1:51">
      <c r="B311" s="440" t="str">
        <f t="shared" ref="B311:B322" si="150">IF(A311="*","",VLOOKUP("*#"&amp;AS311,$A$9:$B$24,2,FALSE))</f>
        <v>ACT_COST</v>
      </c>
      <c r="C311" s="440" t="str">
        <f ca="1">IF($A311="*","",OFFSET(ITEMS_UPS!$C$8,AR311,0))</f>
        <v>UELEA1HGN</v>
      </c>
      <c r="D311" s="440" t="str">
        <f ca="1">IF($A311="*","",IF(VLOOKUP("*#"&amp;$AS311,$A$10:$I$24,D$9+1,FALSE)="-","-",OFFSET(UPS!$C$37,AU311+AV311,SUMIF($A$10:$A$20,"*#"&amp;AS311,$AT$10:$AT$20))))</f>
        <v>-</v>
      </c>
      <c r="E311" s="440" t="str">
        <f t="shared" ref="E311:E322" si="151">IF($A311="*","",IF(VLOOKUP("*#"&amp;$AS311,$A$10:$I$24,E$9+1,FALSE)="-","-",C311&amp;"-"&amp;RIGHT(VLOOKUP("*#"&amp;$AS311,$A$10:$I$24,E$9+1,FALSE),1)))</f>
        <v>-</v>
      </c>
      <c r="F311" s="440" t="str">
        <f t="shared" ref="F311:F322" si="152">IF($A311="*","",IF(VLOOKUP("*#"&amp;$AS311,$A$10:$I$24,F$9+1,FALSE)="-","-",C311&amp;"-"&amp;RIGHT(VLOOKUP("*#"&amp;$AS311,$A$10:$I$24,F$9+1,FALSE),1)))</f>
        <v>-</v>
      </c>
      <c r="G311" s="440" t="str">
        <f t="shared" ref="G311:G319" si="153">IF($A311="*","",VLOOKUP("*#"&amp;$AS311,$A$10:$I$20,G$9+1,FALSE))</f>
        <v>-</v>
      </c>
      <c r="H311" s="441" t="str">
        <f t="shared" si="147"/>
        <v>-</v>
      </c>
      <c r="I311" s="441">
        <f t="shared" ref="I311:I319" si="154">IF($A311="*","",VLOOKUP("*#"&amp;$AS311,$A$10:$I$20,I$9+1,FALSE))</f>
        <v>0</v>
      </c>
      <c r="J311" s="163">
        <f ca="1">IF($A311="*","",OFFSET(UPS!$C$37,AU311,SUMIF($A$10:$A$20,"*#"&amp;AS311,$AT$10:$AT$20)))</f>
        <v>0</v>
      </c>
      <c r="K311" s="163" t="str">
        <f t="array" aca="1" ref="K311" ca="1">IFERROR(INDEX('Hydrogen-ELT'!$F$6:$J$17,MATCH(TS_TTech!$C311&amp;TS_TTech!$B311,'Hydrogen-ELT'!$A$6:$A$17&amp;'Hydrogen-ELT'!$B$6:$B$17,0),MATCH(TS_TTech!K$7,'Hydrogen-ELT'!$F$5:$J$5,0)),"")</f>
        <v/>
      </c>
      <c r="L311" s="163" t="str">
        <f t="array" aca="1" ref="L311" ca="1">IFERROR(INDEX('Hydrogen-ELT'!$F$6:$J$17,MATCH(TS_TTech!$C311&amp;TS_TTech!$B311,'Hydrogen-ELT'!$A$6:$A$17&amp;'Hydrogen-ELT'!$B$6:$B$17,0),MATCH(TS_TTech!L$7,'Hydrogen-ELT'!$F$5:$J$5,0)),"")</f>
        <v/>
      </c>
      <c r="M311" s="163" t="str">
        <f t="array" aca="1" ref="M311" ca="1">IFERROR(INDEX('Hydrogen-ELT'!$F$6:$J$17,MATCH(TS_TTech!$C311&amp;TS_TTech!$B311,'Hydrogen-ELT'!$A$6:$A$17&amp;'Hydrogen-ELT'!$B$6:$B$17,0),MATCH(TS_TTech!M$7,'Hydrogen-ELT'!$F$5:$J$5,0)),"")</f>
        <v/>
      </c>
      <c r="N311" s="163" t="str">
        <f t="array" aca="1" ref="N311" ca="1">IFERROR(INDEX('Hydrogen-ELT'!$F$6:$J$17,MATCH(TS_TTech!$C311&amp;TS_TTech!$B311,'Hydrogen-ELT'!$A$6:$A$17&amp;'Hydrogen-ELT'!$B$6:$B$17,0),MATCH(TS_TTech!N$7,'Hydrogen-ELT'!$F$5:$J$5,0)),"")</f>
        <v/>
      </c>
      <c r="O311" s="163" t="str">
        <f t="array" aca="1" ref="O311" ca="1">IFERROR(INDEX('Hydrogen-ELT'!$F$6:$J$17,MATCH(TS_TTech!$C311&amp;TS_TTech!$B311,'Hydrogen-ELT'!$A$6:$A$17&amp;'Hydrogen-ELT'!$B$6:$B$17,0),MATCH(TS_TTech!O$7,'Hydrogen-ELT'!$F$5:$J$5,0)),"")</f>
        <v/>
      </c>
      <c r="P311" s="163" t="str">
        <f t="array" aca="1" ref="P311" ca="1">IFERROR(INDEX('Hydrogen-ELT'!$F$6:$J$17,MATCH(TS_TTech!$C311&amp;TS_TTech!$B311,'Hydrogen-ELT'!$A$6:$A$17&amp;'Hydrogen-ELT'!$B$6:$B$17,0),MATCH(TS_TTech!P$7,'Hydrogen-ELT'!$F$5:$J$5,0)),"")</f>
        <v/>
      </c>
      <c r="Q311" s="163" t="str">
        <f t="array" aca="1" ref="Q311" ca="1">IFERROR(INDEX('Hydrogen-ELT'!$F$6:$J$17,MATCH(TS_TTech!$C311&amp;TS_TTech!$B311,'Hydrogen-ELT'!$A$6:$A$17&amp;'Hydrogen-ELT'!$B$6:$B$17,0),MATCH(TS_TTech!Q$7,'Hydrogen-ELT'!$F$5:$J$5,0)),"")</f>
        <v/>
      </c>
      <c r="R311" s="163" t="str">
        <f t="array" aca="1" ref="R311" ca="1">IFERROR(INDEX('Hydrogen-ELT'!$F$6:$J$17,MATCH(TS_TTech!$C311&amp;TS_TTech!$B311,'Hydrogen-ELT'!$A$6:$A$17&amp;'Hydrogen-ELT'!$B$6:$B$17,0),MATCH(TS_TTech!R$7,'Hydrogen-ELT'!$F$5:$J$5,0)),"")</f>
        <v/>
      </c>
      <c r="S311" s="163" t="str">
        <f t="array" aca="1" ref="S311" ca="1">IFERROR(INDEX('Hydrogen-ELT'!$F$6:$J$17,MATCH(TS_TTech!$C311&amp;TS_TTech!$B311,'Hydrogen-ELT'!$A$6:$A$17&amp;'Hydrogen-ELT'!$B$6:$B$17,0),MATCH(TS_TTech!S$7,'Hydrogen-ELT'!$F$5:$J$5,0)),"")</f>
        <v/>
      </c>
      <c r="T311" s="163" t="str">
        <f t="array" aca="1" ref="T311" ca="1">IFERROR(INDEX('Hydrogen-ELT'!$F$6:$J$17,MATCH(TS_TTech!$C311&amp;TS_TTech!$B311,'Hydrogen-ELT'!$A$6:$A$17&amp;'Hydrogen-ELT'!$B$6:$B$17,0),MATCH(TS_TTech!T$7,'Hydrogen-ELT'!$F$5:$J$5,0)),"")</f>
        <v/>
      </c>
      <c r="U311" s="163" t="str">
        <f t="array" aca="1" ref="U311" ca="1">IFERROR(INDEX('Hydrogen-ELT'!$F$6:$J$17,MATCH(TS_TTech!$C311&amp;TS_TTech!$B311,'Hydrogen-ELT'!$A$6:$A$17&amp;'Hydrogen-ELT'!$B$6:$B$17,0),MATCH(TS_TTech!U$7,'Hydrogen-ELT'!$F$5:$J$5,0)),"")</f>
        <v/>
      </c>
      <c r="V311" s="163" t="str">
        <f t="array" aca="1" ref="V311" ca="1">IFERROR(INDEX('Hydrogen-ELT'!$F$6:$J$17,MATCH(TS_TTech!$C311&amp;TS_TTech!$B311,'Hydrogen-ELT'!$A$6:$A$17&amp;'Hydrogen-ELT'!$B$6:$B$17,0),MATCH(TS_TTech!V$7,'Hydrogen-ELT'!$F$5:$J$5,0)),"")</f>
        <v/>
      </c>
      <c r="W311" s="163" t="str">
        <f t="array" aca="1" ref="W311" ca="1">IFERROR(INDEX('Hydrogen-ELT'!$F$6:$J$17,MATCH(TS_TTech!$C311&amp;TS_TTech!$B311,'Hydrogen-ELT'!$A$6:$A$17&amp;'Hydrogen-ELT'!$B$6:$B$17,0),MATCH(TS_TTech!W$7,'Hydrogen-ELT'!$F$5:$J$5,0)),"")</f>
        <v/>
      </c>
      <c r="X311" s="163" t="str">
        <f t="array" aca="1" ref="X311" ca="1">IFERROR(INDEX('Hydrogen-ELT'!$F$6:$J$17,MATCH(TS_TTech!$C311&amp;TS_TTech!$B311,'Hydrogen-ELT'!$A$6:$A$17&amp;'Hydrogen-ELT'!$B$6:$B$17,0),MATCH(TS_TTech!X$7,'Hydrogen-ELT'!$F$5:$J$5,0)),"")</f>
        <v/>
      </c>
      <c r="Y311" s="163" t="str">
        <f t="array" aca="1" ref="Y311" ca="1">IFERROR(INDEX('Hydrogen-ELT'!$F$6:$J$17,MATCH(TS_TTech!$C311&amp;TS_TTech!$B311,'Hydrogen-ELT'!$A$6:$A$17&amp;'Hydrogen-ELT'!$B$6:$B$17,0),MATCH(TS_TTech!Y$7,'Hydrogen-ELT'!$F$5:$J$5,0)),"")</f>
        <v/>
      </c>
      <c r="Z311" s="163" t="str">
        <f t="array" aca="1" ref="Z311" ca="1">IFERROR(INDEX('Hydrogen-ELT'!$F$6:$J$17,MATCH(TS_TTech!$C311&amp;TS_TTech!$B311,'Hydrogen-ELT'!$A$6:$A$17&amp;'Hydrogen-ELT'!$B$6:$B$17,0),MATCH(TS_TTech!Z$7,'Hydrogen-ELT'!$F$5:$J$5,0)),"")</f>
        <v/>
      </c>
      <c r="AA311" s="163" t="str">
        <f t="array" aca="1" ref="AA311" ca="1">IFERROR(INDEX('Hydrogen-ELT'!$F$6:$J$17,MATCH(TS_TTech!$C311&amp;TS_TTech!$B311,'Hydrogen-ELT'!$A$6:$A$17&amp;'Hydrogen-ELT'!$B$6:$B$17,0),MATCH(TS_TTech!AA$7,'Hydrogen-ELT'!$F$5:$J$5,0)),"")</f>
        <v/>
      </c>
      <c r="AB311" s="163" t="str">
        <f t="array" aca="1" ref="AB311" ca="1">IFERROR(INDEX('Hydrogen-ELT'!$F$6:$J$17,MATCH(TS_TTech!$C311&amp;TS_TTech!$B311,'Hydrogen-ELT'!$A$6:$A$17&amp;'Hydrogen-ELT'!$B$6:$B$17,0),MATCH(TS_TTech!AB$7,'Hydrogen-ELT'!$F$5:$J$5,0)),"")</f>
        <v/>
      </c>
      <c r="AC311" s="163" t="str">
        <f t="array" aca="1" ref="AC311" ca="1">IFERROR(INDEX('Hydrogen-ELT'!$F$6:$J$17,MATCH(TS_TTech!$C311&amp;TS_TTech!$B311,'Hydrogen-ELT'!$A$6:$A$17&amp;'Hydrogen-ELT'!$B$6:$B$17,0),MATCH(TS_TTech!AC$7,'Hydrogen-ELT'!$F$5:$J$5,0)),"")</f>
        <v/>
      </c>
      <c r="AD311" s="163" t="str">
        <f t="array" aca="1" ref="AD311" ca="1">IFERROR(INDEX('Hydrogen-ELT'!$F$6:$J$17,MATCH(TS_TTech!$C311&amp;TS_TTech!$B311,'Hydrogen-ELT'!$A$6:$A$17&amp;'Hydrogen-ELT'!$B$6:$B$17,0),MATCH(TS_TTech!AD$7,'Hydrogen-ELT'!$F$5:$J$5,0)),"")</f>
        <v/>
      </c>
      <c r="AE311" s="163" t="str">
        <f t="array" aca="1" ref="AE311" ca="1">IFERROR(INDEX('Hydrogen-ELT'!$F$6:$J$17,MATCH(TS_TTech!$C311&amp;TS_TTech!$B311,'Hydrogen-ELT'!$A$6:$A$17&amp;'Hydrogen-ELT'!$B$6:$B$17,0),MATCH(TS_TTech!AE$7,'Hydrogen-ELT'!$F$5:$J$5,0)),"")</f>
        <v/>
      </c>
      <c r="AF311" s="163" t="str">
        <f t="array" aca="1" ref="AF311" ca="1">IFERROR(INDEX('Hydrogen-ELT'!$F$6:$J$17,MATCH(TS_TTech!$C311&amp;TS_TTech!$B311,'Hydrogen-ELT'!$A$6:$A$17&amp;'Hydrogen-ELT'!$B$6:$B$17,0),MATCH(TS_TTech!AF$7,'Hydrogen-ELT'!$F$5:$J$5,0)),"")</f>
        <v/>
      </c>
      <c r="AG311" s="163" t="str">
        <f t="array" aca="1" ref="AG311" ca="1">IFERROR(INDEX('Hydrogen-ELT'!$F$6:$J$17,MATCH(TS_TTech!$C311&amp;TS_TTech!$B311,'Hydrogen-ELT'!$A$6:$A$17&amp;'Hydrogen-ELT'!$B$6:$B$17,0),MATCH(TS_TTech!AG$7,'Hydrogen-ELT'!$F$5:$J$5,0)),"")</f>
        <v/>
      </c>
      <c r="AH311" s="163" t="str">
        <f t="array" aca="1" ref="AH311" ca="1">IFERROR(INDEX('Hydrogen-ELT'!$F$6:$J$17,MATCH(TS_TTech!$C311&amp;TS_TTech!$B311,'Hydrogen-ELT'!$A$6:$A$17&amp;'Hydrogen-ELT'!$B$6:$B$17,0),MATCH(TS_TTech!AH$7,'Hydrogen-ELT'!$F$5:$J$5,0)),"")</f>
        <v/>
      </c>
      <c r="AI311" s="163" t="str">
        <f t="array" aca="1" ref="AI311" ca="1">IFERROR(INDEX('Hydrogen-ELT'!$F$6:$J$17,MATCH(TS_TTech!$C311&amp;TS_TTech!$B311,'Hydrogen-ELT'!$A$6:$A$17&amp;'Hydrogen-ELT'!$B$6:$B$17,0),MATCH(TS_TTech!AI$7,'Hydrogen-ELT'!$F$5:$J$5,0)),"")</f>
        <v/>
      </c>
      <c r="AJ311" s="163" t="str">
        <f t="array" aca="1" ref="AJ311" ca="1">IFERROR(INDEX('Hydrogen-ELT'!$F$6:$J$17,MATCH(TS_TTech!$C311&amp;TS_TTech!$B311,'Hydrogen-ELT'!$A$6:$A$17&amp;'Hydrogen-ELT'!$B$6:$B$17,0),MATCH(TS_TTech!AJ$7,'Hydrogen-ELT'!$F$5:$J$5,0)),"")</f>
        <v/>
      </c>
      <c r="AK311" s="163" t="str">
        <f t="array" aca="1" ref="AK311" ca="1">IFERROR(INDEX('Hydrogen-ELT'!$F$6:$J$17,MATCH(TS_TTech!$C311&amp;TS_TTech!$B311,'Hydrogen-ELT'!$A$6:$A$17&amp;'Hydrogen-ELT'!$B$6:$B$17,0),MATCH(TS_TTech!AK$7,'Hydrogen-ELT'!$F$5:$J$5,0)),"")</f>
        <v/>
      </c>
      <c r="AL311" s="163" t="str">
        <f t="array" aca="1" ref="AL311" ca="1">IFERROR(INDEX('Hydrogen-ELT'!$F$6:$J$17,MATCH(TS_TTech!$C311&amp;TS_TTech!$B311,'Hydrogen-ELT'!$A$6:$A$17&amp;'Hydrogen-ELT'!$B$6:$B$17,0),MATCH(TS_TTech!AL$7,'Hydrogen-ELT'!$F$5:$J$5,0)),"")</f>
        <v/>
      </c>
      <c r="AM311" s="163" t="str">
        <f t="array" aca="1" ref="AM311" ca="1">IFERROR(INDEX('Hydrogen-ELT'!$F$6:$J$17,MATCH(TS_TTech!$C311&amp;TS_TTech!$B311,'Hydrogen-ELT'!$A$6:$A$17&amp;'Hydrogen-ELT'!$B$6:$B$17,0),MATCH(TS_TTech!AM$7,'Hydrogen-ELT'!$F$5:$J$5,0)),"")</f>
        <v/>
      </c>
      <c r="AN311" s="163" t="str">
        <f t="array" aca="1" ref="AN311" ca="1">IFERROR(INDEX('Hydrogen-ELT'!$F$6:$J$17,MATCH(TS_TTech!$C311&amp;TS_TTech!$B311,'Hydrogen-ELT'!$A$6:$A$17&amp;'Hydrogen-ELT'!$B$6:$B$17,0),MATCH(TS_TTech!AN$7,'Hydrogen-ELT'!$F$5:$J$5,0)),"")</f>
        <v/>
      </c>
      <c r="AO311" s="163" t="str">
        <f t="array" aca="1" ref="AO311" ca="1">IFERROR(INDEX('Hydrogen-ELT'!$F$6:$J$17,MATCH(TS_TTech!$C311&amp;TS_TTech!$B311,'Hydrogen-ELT'!$A$6:$A$17&amp;'Hydrogen-ELT'!$B$6:$B$17,0),MATCH(TS_TTech!AO$7,'Hydrogen-ELT'!$F$5:$J$5,0)),"")</f>
        <v/>
      </c>
      <c r="AP311" s="163" t="str">
        <f t="array" aca="1" ref="AP311" ca="1">IFERROR(INDEX('Hydrogen-ELT'!$F$6:$J$17,MATCH(TS_TTech!$C311&amp;TS_TTech!$B311,'Hydrogen-ELT'!$A$6:$A$17&amp;'Hydrogen-ELT'!$B$6:$B$17,0),MATCH(TS_TTech!AP$7,'Hydrogen-ELT'!$F$5:$J$5,0)),"")</f>
        <v/>
      </c>
      <c r="AR311" s="42">
        <f>AR309+1</f>
        <v>27</v>
      </c>
      <c r="AS311" s="42">
        <v>1</v>
      </c>
      <c r="AU311" s="42">
        <f ca="1">SUMIF(UPS!B$38:B$171,C311,UPS!BD$38:BD$171)</f>
        <v>131</v>
      </c>
    </row>
    <row r="312" spans="1:51">
      <c r="B312" s="440" t="str">
        <f t="shared" si="150"/>
        <v>NCAP_AFA</v>
      </c>
      <c r="C312" s="440" t="str">
        <f ca="1">IF($A312="*","",OFFSET(ITEMS_UPS!$C$8,AR312,0))</f>
        <v>UELEA1HGN</v>
      </c>
      <c r="D312" s="440" t="str">
        <f ca="1">IF($A312="*","",IF(VLOOKUP("*#"&amp;$AS312,$A$10:$I$24,D$9+1,FALSE)="-","-",OFFSET(UPS!$C$37,AU312+AV312,SUMIF($A$10:$A$20,"*#"&amp;AS312,$AT$10:$AT$20))))</f>
        <v>-</v>
      </c>
      <c r="E312" s="440" t="str">
        <f t="shared" si="151"/>
        <v>-</v>
      </c>
      <c r="F312" s="440" t="str">
        <f t="shared" si="152"/>
        <v>-</v>
      </c>
      <c r="G312" s="440" t="str">
        <f t="shared" si="153"/>
        <v>ANNUAL</v>
      </c>
      <c r="H312" s="441" t="str">
        <f t="shared" si="147"/>
        <v>UP</v>
      </c>
      <c r="I312" s="441">
        <f t="shared" si="154"/>
        <v>3</v>
      </c>
      <c r="J312" s="163">
        <f ca="1">IF($A312="*","",OFFSET(UPS!$C$37,AU312,SUMIF($A$10:$A$20,"*#"&amp;AS312,$AT$10:$AT$20)))</f>
        <v>0.9</v>
      </c>
      <c r="K312" s="163" t="str">
        <f t="array" aca="1" ref="K312" ca="1">IFERROR(INDEX('Hydrogen-ELT'!$F$6:$J$17,MATCH(TS_TTech!$C312&amp;TS_TTech!$B312,'Hydrogen-ELT'!$A$6:$A$17&amp;'Hydrogen-ELT'!$B$6:$B$17,0),MATCH(TS_TTech!K$7,'Hydrogen-ELT'!$F$5:$J$5,0)),"")</f>
        <v/>
      </c>
      <c r="L312" s="163" t="str">
        <f t="array" aca="1" ref="L312" ca="1">IFERROR(INDEX('Hydrogen-ELT'!$F$6:$J$17,MATCH(TS_TTech!$C312&amp;TS_TTech!$B312,'Hydrogen-ELT'!$A$6:$A$17&amp;'Hydrogen-ELT'!$B$6:$B$17,0),MATCH(TS_TTech!L$7,'Hydrogen-ELT'!$F$5:$J$5,0)),"")</f>
        <v/>
      </c>
      <c r="M312" s="163" t="str">
        <f t="array" aca="1" ref="M312" ca="1">IFERROR(INDEX('Hydrogen-ELT'!$F$6:$J$17,MATCH(TS_TTech!$C312&amp;TS_TTech!$B312,'Hydrogen-ELT'!$A$6:$A$17&amp;'Hydrogen-ELT'!$B$6:$B$17,0),MATCH(TS_TTech!M$7,'Hydrogen-ELT'!$F$5:$J$5,0)),"")</f>
        <v/>
      </c>
      <c r="N312" s="163" t="str">
        <f t="array" aca="1" ref="N312" ca="1">IFERROR(INDEX('Hydrogen-ELT'!$F$6:$J$17,MATCH(TS_TTech!$C312&amp;TS_TTech!$B312,'Hydrogen-ELT'!$A$6:$A$17&amp;'Hydrogen-ELT'!$B$6:$B$17,0),MATCH(TS_TTech!N$7,'Hydrogen-ELT'!$F$5:$J$5,0)),"")</f>
        <v/>
      </c>
      <c r="O312" s="163" t="str">
        <f t="array" aca="1" ref="O312" ca="1">IFERROR(INDEX('Hydrogen-ELT'!$F$6:$J$17,MATCH(TS_TTech!$C312&amp;TS_TTech!$B312,'Hydrogen-ELT'!$A$6:$A$17&amp;'Hydrogen-ELT'!$B$6:$B$17,0),MATCH(TS_TTech!O$7,'Hydrogen-ELT'!$F$5:$J$5,0)),"")</f>
        <v/>
      </c>
      <c r="P312" s="163" t="str">
        <f t="array" aca="1" ref="P312" ca="1">IFERROR(INDEX('Hydrogen-ELT'!$F$6:$J$17,MATCH(TS_TTech!$C312&amp;TS_TTech!$B312,'Hydrogen-ELT'!$A$6:$A$17&amp;'Hydrogen-ELT'!$B$6:$B$17,0),MATCH(TS_TTech!P$7,'Hydrogen-ELT'!$F$5:$J$5,0)),"")</f>
        <v/>
      </c>
      <c r="Q312" s="163" t="str">
        <f t="array" aca="1" ref="Q312" ca="1">IFERROR(INDEX('Hydrogen-ELT'!$F$6:$J$17,MATCH(TS_TTech!$C312&amp;TS_TTech!$B312,'Hydrogen-ELT'!$A$6:$A$17&amp;'Hydrogen-ELT'!$B$6:$B$17,0),MATCH(TS_TTech!Q$7,'Hydrogen-ELT'!$F$5:$J$5,0)),"")</f>
        <v/>
      </c>
      <c r="R312" s="163">
        <f t="array" aca="1" ref="R312" ca="1">IFERROR(INDEX('Hydrogen-ELT'!$F$6:$J$17,MATCH(TS_TTech!$C312&amp;TS_TTech!$B312,'Hydrogen-ELT'!$A$6:$A$17&amp;'Hydrogen-ELT'!$B$6:$B$17,0),MATCH(TS_TTech!R$7,'Hydrogen-ELT'!$F$5:$J$5,0)),"")</f>
        <v>0.9</v>
      </c>
      <c r="S312" s="163" t="str">
        <f t="array" aca="1" ref="S312" ca="1">IFERROR(INDEX('Hydrogen-ELT'!$F$6:$J$17,MATCH(TS_TTech!$C312&amp;TS_TTech!$B312,'Hydrogen-ELT'!$A$6:$A$17&amp;'Hydrogen-ELT'!$B$6:$B$17,0),MATCH(TS_TTech!S$7,'Hydrogen-ELT'!$F$5:$J$5,0)),"")</f>
        <v/>
      </c>
      <c r="T312" s="163" t="str">
        <f t="array" aca="1" ref="T312" ca="1">IFERROR(INDEX('Hydrogen-ELT'!$F$6:$J$17,MATCH(TS_TTech!$C312&amp;TS_TTech!$B312,'Hydrogen-ELT'!$A$6:$A$17&amp;'Hydrogen-ELT'!$B$6:$B$17,0),MATCH(TS_TTech!T$7,'Hydrogen-ELT'!$F$5:$J$5,0)),"")</f>
        <v/>
      </c>
      <c r="U312" s="163" t="str">
        <f t="array" aca="1" ref="U312" ca="1">IFERROR(INDEX('Hydrogen-ELT'!$F$6:$J$17,MATCH(TS_TTech!$C312&amp;TS_TTech!$B312,'Hydrogen-ELT'!$A$6:$A$17&amp;'Hydrogen-ELT'!$B$6:$B$17,0),MATCH(TS_TTech!U$7,'Hydrogen-ELT'!$F$5:$J$5,0)),"")</f>
        <v/>
      </c>
      <c r="V312" s="163" t="str">
        <f t="array" aca="1" ref="V312" ca="1">IFERROR(INDEX('Hydrogen-ELT'!$F$6:$J$17,MATCH(TS_TTech!$C312&amp;TS_TTech!$B312,'Hydrogen-ELT'!$A$6:$A$17&amp;'Hydrogen-ELT'!$B$6:$B$17,0),MATCH(TS_TTech!V$7,'Hydrogen-ELT'!$F$5:$J$5,0)),"")</f>
        <v/>
      </c>
      <c r="W312" s="163" t="str">
        <f t="array" aca="1" ref="W312" ca="1">IFERROR(INDEX('Hydrogen-ELT'!$F$6:$J$17,MATCH(TS_TTech!$C312&amp;TS_TTech!$B312,'Hydrogen-ELT'!$A$6:$A$17&amp;'Hydrogen-ELT'!$B$6:$B$17,0),MATCH(TS_TTech!W$7,'Hydrogen-ELT'!$F$5:$J$5,0)),"")</f>
        <v/>
      </c>
      <c r="X312" s="163" t="str">
        <f t="array" aca="1" ref="X312" ca="1">IFERROR(INDEX('Hydrogen-ELT'!$F$6:$J$17,MATCH(TS_TTech!$C312&amp;TS_TTech!$B312,'Hydrogen-ELT'!$A$6:$A$17&amp;'Hydrogen-ELT'!$B$6:$B$17,0),MATCH(TS_TTech!X$7,'Hydrogen-ELT'!$F$5:$J$5,0)),"")</f>
        <v/>
      </c>
      <c r="Y312" s="163" t="str">
        <f t="array" aca="1" ref="Y312" ca="1">IFERROR(INDEX('Hydrogen-ELT'!$F$6:$J$17,MATCH(TS_TTech!$C312&amp;TS_TTech!$B312,'Hydrogen-ELT'!$A$6:$A$17&amp;'Hydrogen-ELT'!$B$6:$B$17,0),MATCH(TS_TTech!Y$7,'Hydrogen-ELT'!$F$5:$J$5,0)),"")</f>
        <v/>
      </c>
      <c r="Z312" s="163" t="str">
        <f t="array" aca="1" ref="Z312" ca="1">IFERROR(INDEX('Hydrogen-ELT'!$F$6:$J$17,MATCH(TS_TTech!$C312&amp;TS_TTech!$B312,'Hydrogen-ELT'!$A$6:$A$17&amp;'Hydrogen-ELT'!$B$6:$B$17,0),MATCH(TS_TTech!Z$7,'Hydrogen-ELT'!$F$5:$J$5,0)),"")</f>
        <v/>
      </c>
      <c r="AA312" s="163" t="str">
        <f t="array" aca="1" ref="AA312" ca="1">IFERROR(INDEX('Hydrogen-ELT'!$F$6:$J$17,MATCH(TS_TTech!$C312&amp;TS_TTech!$B312,'Hydrogen-ELT'!$A$6:$A$17&amp;'Hydrogen-ELT'!$B$6:$B$17,0),MATCH(TS_TTech!AA$7,'Hydrogen-ELT'!$F$5:$J$5,0)),"")</f>
        <v/>
      </c>
      <c r="AB312" s="163">
        <f t="array" aca="1" ref="AB312" ca="1">IFERROR(INDEX('Hydrogen-ELT'!$F$6:$J$17,MATCH(TS_TTech!$C312&amp;TS_TTech!$B312,'Hydrogen-ELT'!$A$6:$A$17&amp;'Hydrogen-ELT'!$B$6:$B$17,0),MATCH(TS_TTech!AB$7,'Hydrogen-ELT'!$F$5:$J$5,0)),"")</f>
        <v>0.9</v>
      </c>
      <c r="AC312" s="163" t="str">
        <f t="array" aca="1" ref="AC312" ca="1">IFERROR(INDEX('Hydrogen-ELT'!$F$6:$J$17,MATCH(TS_TTech!$C312&amp;TS_TTech!$B312,'Hydrogen-ELT'!$A$6:$A$17&amp;'Hydrogen-ELT'!$B$6:$B$17,0),MATCH(TS_TTech!AC$7,'Hydrogen-ELT'!$F$5:$J$5,0)),"")</f>
        <v/>
      </c>
      <c r="AD312" s="163" t="str">
        <f t="array" aca="1" ref="AD312" ca="1">IFERROR(INDEX('Hydrogen-ELT'!$F$6:$J$17,MATCH(TS_TTech!$C312&amp;TS_TTech!$B312,'Hydrogen-ELT'!$A$6:$A$17&amp;'Hydrogen-ELT'!$B$6:$B$17,0),MATCH(TS_TTech!AD$7,'Hydrogen-ELT'!$F$5:$J$5,0)),"")</f>
        <v/>
      </c>
      <c r="AE312" s="163" t="str">
        <f t="array" aca="1" ref="AE312" ca="1">IFERROR(INDEX('Hydrogen-ELT'!$F$6:$J$17,MATCH(TS_TTech!$C312&amp;TS_TTech!$B312,'Hydrogen-ELT'!$A$6:$A$17&amp;'Hydrogen-ELT'!$B$6:$B$17,0),MATCH(TS_TTech!AE$7,'Hydrogen-ELT'!$F$5:$J$5,0)),"")</f>
        <v/>
      </c>
      <c r="AF312" s="163" t="str">
        <f t="array" aca="1" ref="AF312" ca="1">IFERROR(INDEX('Hydrogen-ELT'!$F$6:$J$17,MATCH(TS_TTech!$C312&amp;TS_TTech!$B312,'Hydrogen-ELT'!$A$6:$A$17&amp;'Hydrogen-ELT'!$B$6:$B$17,0),MATCH(TS_TTech!AF$7,'Hydrogen-ELT'!$F$5:$J$5,0)),"")</f>
        <v/>
      </c>
      <c r="AG312" s="163">
        <f t="array" aca="1" ref="AG312" ca="1">IFERROR(INDEX('Hydrogen-ELT'!$F$6:$J$17,MATCH(TS_TTech!$C312&amp;TS_TTech!$B312,'Hydrogen-ELT'!$A$6:$A$17&amp;'Hydrogen-ELT'!$B$6:$B$17,0),MATCH(TS_TTech!AG$7,'Hydrogen-ELT'!$F$5:$J$5,0)),"")</f>
        <v>0.9</v>
      </c>
      <c r="AH312" s="163" t="str">
        <f t="array" aca="1" ref="AH312" ca="1">IFERROR(INDEX('Hydrogen-ELT'!$F$6:$J$17,MATCH(TS_TTech!$C312&amp;TS_TTech!$B312,'Hydrogen-ELT'!$A$6:$A$17&amp;'Hydrogen-ELT'!$B$6:$B$17,0),MATCH(TS_TTech!AH$7,'Hydrogen-ELT'!$F$5:$J$5,0)),"")</f>
        <v/>
      </c>
      <c r="AI312" s="163" t="str">
        <f t="array" aca="1" ref="AI312" ca="1">IFERROR(INDEX('Hydrogen-ELT'!$F$6:$J$17,MATCH(TS_TTech!$C312&amp;TS_TTech!$B312,'Hydrogen-ELT'!$A$6:$A$17&amp;'Hydrogen-ELT'!$B$6:$B$17,0),MATCH(TS_TTech!AI$7,'Hydrogen-ELT'!$F$5:$J$5,0)),"")</f>
        <v/>
      </c>
      <c r="AJ312" s="163" t="str">
        <f t="array" aca="1" ref="AJ312" ca="1">IFERROR(INDEX('Hydrogen-ELT'!$F$6:$J$17,MATCH(TS_TTech!$C312&amp;TS_TTech!$B312,'Hydrogen-ELT'!$A$6:$A$17&amp;'Hydrogen-ELT'!$B$6:$B$17,0),MATCH(TS_TTech!AJ$7,'Hydrogen-ELT'!$F$5:$J$5,0)),"")</f>
        <v/>
      </c>
      <c r="AK312" s="163" t="str">
        <f t="array" aca="1" ref="AK312" ca="1">IFERROR(INDEX('Hydrogen-ELT'!$F$6:$J$17,MATCH(TS_TTech!$C312&amp;TS_TTech!$B312,'Hydrogen-ELT'!$A$6:$A$17&amp;'Hydrogen-ELT'!$B$6:$B$17,0),MATCH(TS_TTech!AK$7,'Hydrogen-ELT'!$F$5:$J$5,0)),"")</f>
        <v/>
      </c>
      <c r="AL312" s="163">
        <f t="array" aca="1" ref="AL312" ca="1">IFERROR(INDEX('Hydrogen-ELT'!$F$6:$J$17,MATCH(TS_TTech!$C312&amp;TS_TTech!$B312,'Hydrogen-ELT'!$A$6:$A$17&amp;'Hydrogen-ELT'!$B$6:$B$17,0),MATCH(TS_TTech!AL$7,'Hydrogen-ELT'!$F$5:$J$5,0)),"")</f>
        <v>0.9</v>
      </c>
      <c r="AM312" s="163" t="str">
        <f t="array" aca="1" ref="AM312" ca="1">IFERROR(INDEX('Hydrogen-ELT'!$F$6:$J$17,MATCH(TS_TTech!$C312&amp;TS_TTech!$B312,'Hydrogen-ELT'!$A$6:$A$17&amp;'Hydrogen-ELT'!$B$6:$B$17,0),MATCH(TS_TTech!AM$7,'Hydrogen-ELT'!$F$5:$J$5,0)),"")</f>
        <v/>
      </c>
      <c r="AN312" s="163">
        <f t="array" aca="1" ref="AN312" ca="1">IFERROR(INDEX('Hydrogen-ELT'!$F$6:$J$17,MATCH(TS_TTech!$C312&amp;TS_TTech!$B312,'Hydrogen-ELT'!$A$6:$A$17&amp;'Hydrogen-ELT'!$B$6:$B$17,0),MATCH(TS_TTech!AN$7,'Hydrogen-ELT'!$F$5:$J$5,0)),"")</f>
        <v>0.9</v>
      </c>
      <c r="AO312" s="163" t="str">
        <f t="array" aca="1" ref="AO312" ca="1">IFERROR(INDEX('Hydrogen-ELT'!$F$6:$J$17,MATCH(TS_TTech!$C312&amp;TS_TTech!$B312,'Hydrogen-ELT'!$A$6:$A$17&amp;'Hydrogen-ELT'!$B$6:$B$17,0),MATCH(TS_TTech!AO$7,'Hydrogen-ELT'!$F$5:$J$5,0)),"")</f>
        <v/>
      </c>
      <c r="AP312" s="163" t="str">
        <f t="array" aca="1" ref="AP312" ca="1">IFERROR(INDEX('Hydrogen-ELT'!$F$6:$J$17,MATCH(TS_TTech!$C312&amp;TS_TTech!$B312,'Hydrogen-ELT'!$A$6:$A$17&amp;'Hydrogen-ELT'!$B$6:$B$17,0),MATCH(TS_TTech!AP$7,'Hydrogen-ELT'!$F$5:$J$5,0)),"")</f>
        <v/>
      </c>
      <c r="AR312" s="163">
        <f t="shared" si="149"/>
        <v>27</v>
      </c>
      <c r="AS312" s="42">
        <f>IF(AR312=AR311,AS311+1,1)</f>
        <v>2</v>
      </c>
      <c r="AU312" s="42">
        <f ca="1">SUMIF(UPS!B$38:B$171,C312,UPS!BD$38:BD$171)</f>
        <v>131</v>
      </c>
    </row>
    <row r="313" spans="1:51">
      <c r="B313" s="440" t="str">
        <f t="shared" si="150"/>
        <v>NCAP_AFA</v>
      </c>
      <c r="C313" s="440" t="str">
        <f ca="1">IF($A313="*","",OFFSET(ITEMS_UPS!$C$8,AR313,0))</f>
        <v>UELEA1HGN</v>
      </c>
      <c r="D313" s="440" t="str">
        <f ca="1">IF($A313="*","",IF(VLOOKUP("*#"&amp;$AS313,$A$10:$I$24,D$9+1,FALSE)="-","-",OFFSET(UPS!$C$37,AU313+AV313,SUMIF($A$10:$A$20,"*#"&amp;AS313,$AT$10:$AT$20))))</f>
        <v>-</v>
      </c>
      <c r="E313" s="440" t="str">
        <f t="shared" si="151"/>
        <v>-</v>
      </c>
      <c r="F313" s="440" t="str">
        <f t="shared" si="152"/>
        <v>-</v>
      </c>
      <c r="G313" s="440" t="str">
        <f t="shared" si="153"/>
        <v>ANNUAL</v>
      </c>
      <c r="H313" s="441" t="str">
        <f t="shared" si="147"/>
        <v>LO</v>
      </c>
      <c r="I313" s="441">
        <f t="shared" si="154"/>
        <v>3</v>
      </c>
      <c r="J313" s="163" t="str">
        <f ca="1">IF($A313="*","",OFFSET(UPS!$C$37,AU313,SUMIF($A$10:$A$20,"*#"&amp;AS313,$AT$10:$AT$20)))</f>
        <v/>
      </c>
      <c r="K313" s="163" t="str">
        <f t="array" aca="1" ref="K313" ca="1">IFERROR(INDEX('Hydrogen-ELT'!$F$6:$J$17,MATCH(TS_TTech!$C313&amp;TS_TTech!$B313,'Hydrogen-ELT'!$A$6:$A$17&amp;'Hydrogen-ELT'!$B$6:$B$17,0),MATCH(TS_TTech!K$7,'Hydrogen-ELT'!$F$5:$J$5,0)),"")</f>
        <v/>
      </c>
      <c r="L313" s="163" t="str">
        <f t="array" aca="1" ref="L313" ca="1">IFERROR(INDEX('Hydrogen-ELT'!$F$6:$J$17,MATCH(TS_TTech!$C313&amp;TS_TTech!$B313,'Hydrogen-ELT'!$A$6:$A$17&amp;'Hydrogen-ELT'!$B$6:$B$17,0),MATCH(TS_TTech!L$7,'Hydrogen-ELT'!$F$5:$J$5,0)),"")</f>
        <v/>
      </c>
      <c r="M313" s="163" t="str">
        <f t="array" aca="1" ref="M313" ca="1">IFERROR(INDEX('Hydrogen-ELT'!$F$6:$J$17,MATCH(TS_TTech!$C313&amp;TS_TTech!$B313,'Hydrogen-ELT'!$A$6:$A$17&amp;'Hydrogen-ELT'!$B$6:$B$17,0),MATCH(TS_TTech!M$7,'Hydrogen-ELT'!$F$5:$J$5,0)),"")</f>
        <v/>
      </c>
      <c r="N313" s="163" t="str">
        <f t="array" aca="1" ref="N313" ca="1">IFERROR(INDEX('Hydrogen-ELT'!$F$6:$J$17,MATCH(TS_TTech!$C313&amp;TS_TTech!$B313,'Hydrogen-ELT'!$A$6:$A$17&amp;'Hydrogen-ELT'!$B$6:$B$17,0),MATCH(TS_TTech!N$7,'Hydrogen-ELT'!$F$5:$J$5,0)),"")</f>
        <v/>
      </c>
      <c r="O313" s="163" t="str">
        <f t="array" aca="1" ref="O313" ca="1">IFERROR(INDEX('Hydrogen-ELT'!$F$6:$J$17,MATCH(TS_TTech!$C313&amp;TS_TTech!$B313,'Hydrogen-ELT'!$A$6:$A$17&amp;'Hydrogen-ELT'!$B$6:$B$17,0),MATCH(TS_TTech!O$7,'Hydrogen-ELT'!$F$5:$J$5,0)),"")</f>
        <v/>
      </c>
      <c r="P313" s="163" t="str">
        <f t="array" aca="1" ref="P313" ca="1">IFERROR(INDEX('Hydrogen-ELT'!$F$6:$J$17,MATCH(TS_TTech!$C313&amp;TS_TTech!$B313,'Hydrogen-ELT'!$A$6:$A$17&amp;'Hydrogen-ELT'!$B$6:$B$17,0),MATCH(TS_TTech!P$7,'Hydrogen-ELT'!$F$5:$J$5,0)),"")</f>
        <v/>
      </c>
      <c r="Q313" s="163" t="str">
        <f t="array" aca="1" ref="Q313" ca="1">IFERROR(INDEX('Hydrogen-ELT'!$F$6:$J$17,MATCH(TS_TTech!$C313&amp;TS_TTech!$B313,'Hydrogen-ELT'!$A$6:$A$17&amp;'Hydrogen-ELT'!$B$6:$B$17,0),MATCH(TS_TTech!Q$7,'Hydrogen-ELT'!$F$5:$J$5,0)),"")</f>
        <v/>
      </c>
      <c r="R313" s="163"/>
      <c r="S313" s="163"/>
      <c r="T313" s="163"/>
      <c r="U313" s="163"/>
      <c r="V313" s="163"/>
      <c r="W313" s="163"/>
      <c r="X313" s="163"/>
      <c r="Y313" s="163"/>
      <c r="Z313" s="163"/>
      <c r="AA313" s="163"/>
      <c r="AB313" s="163"/>
      <c r="AC313" s="163"/>
      <c r="AD313" s="163"/>
      <c r="AE313" s="163"/>
      <c r="AF313" s="163"/>
      <c r="AG313" s="163"/>
      <c r="AH313" s="163"/>
      <c r="AI313" s="163"/>
      <c r="AJ313" s="163"/>
      <c r="AK313" s="163"/>
      <c r="AL313" s="163"/>
      <c r="AM313" s="163"/>
      <c r="AN313" s="163"/>
      <c r="AO313" s="163"/>
      <c r="AP313" s="163" t="str">
        <f t="array" aca="1" ref="AP313" ca="1">IFERROR(INDEX('Hydrogen-ELT'!$F$6:$J$17,MATCH(TS_TTech!$C313&amp;TS_TTech!$B313,'Hydrogen-ELT'!$A$6:$A$17&amp;'Hydrogen-ELT'!$B$6:$B$17,0),MATCH(TS_TTech!AP$7,'Hydrogen-ELT'!$F$5:$J$5,0)),"")</f>
        <v/>
      </c>
      <c r="AR313" s="163">
        <f t="shared" si="149"/>
        <v>27</v>
      </c>
      <c r="AS313" s="42">
        <f t="shared" ref="AS313:AS324" si="155">IF(AR313=AR312,AS312+1,1)</f>
        <v>3</v>
      </c>
      <c r="AU313" s="42">
        <f ca="1">SUMIF(UPS!B$38:B$171,C313,UPS!BD$38:BD$171)</f>
        <v>131</v>
      </c>
    </row>
    <row r="314" spans="1:51">
      <c r="B314" s="440" t="str">
        <f t="shared" si="150"/>
        <v>NCAP_FOM</v>
      </c>
      <c r="C314" s="440" t="str">
        <f ca="1">IF($A314="*","",OFFSET(ITEMS_UPS!$C$8,AR314,0))</f>
        <v>UELEA1HGN</v>
      </c>
      <c r="D314" s="440" t="str">
        <f ca="1">IF($A314="*","",IF(VLOOKUP("*#"&amp;$AS314,$A$10:$I$24,D$9+1,FALSE)="-","-",OFFSET(UPS!$C$37,AU314+AV314,SUMIF($A$10:$A$20,"*#"&amp;AS314,$AT$10:$AT$20))))</f>
        <v>-</v>
      </c>
      <c r="E314" s="440" t="str">
        <f t="shared" si="151"/>
        <v>-</v>
      </c>
      <c r="F314" s="440" t="str">
        <f t="shared" si="152"/>
        <v>-</v>
      </c>
      <c r="G314" s="440" t="str">
        <f t="shared" si="153"/>
        <v>-</v>
      </c>
      <c r="H314" s="441" t="str">
        <f t="shared" si="147"/>
        <v>-</v>
      </c>
      <c r="I314" s="441">
        <f t="shared" si="154"/>
        <v>0</v>
      </c>
      <c r="J314" s="163">
        <f ca="1">IF($A314="*","",OFFSET(UPS!$C$37,AU314,SUMIF($A$10:$A$20,"*#"&amp;AS314,$AT$10:$AT$20)))</f>
        <v>193.03361344537814</v>
      </c>
      <c r="K314" s="163" t="str">
        <f t="array" aca="1" ref="K314" ca="1">IFERROR(INDEX('Hydrogen-ELT'!$F$6:$J$17,MATCH(TS_TTech!$C314&amp;TS_TTech!$B314,'Hydrogen-ELT'!$A$6:$A$17&amp;'Hydrogen-ELT'!$B$6:$B$17,0),MATCH(TS_TTech!K$7,'Hydrogen-ELT'!$F$5:$J$5,0)),"")</f>
        <v/>
      </c>
      <c r="L314" s="163" t="str">
        <f t="array" aca="1" ref="L314" ca="1">IFERROR(INDEX('Hydrogen-ELT'!$F$6:$J$17,MATCH(TS_TTech!$C314&amp;TS_TTech!$B314,'Hydrogen-ELT'!$A$6:$A$17&amp;'Hydrogen-ELT'!$B$6:$B$17,0),MATCH(TS_TTech!L$7,'Hydrogen-ELT'!$F$5:$J$5,0)),"")</f>
        <v/>
      </c>
      <c r="M314" s="163" t="str">
        <f t="array" aca="1" ref="M314" ca="1">IFERROR(INDEX('Hydrogen-ELT'!$F$6:$J$17,MATCH(TS_TTech!$C314&amp;TS_TTech!$B314,'Hydrogen-ELT'!$A$6:$A$17&amp;'Hydrogen-ELT'!$B$6:$B$17,0),MATCH(TS_TTech!M$7,'Hydrogen-ELT'!$F$5:$J$5,0)),"")</f>
        <v/>
      </c>
      <c r="N314" s="163" t="str">
        <f t="array" aca="1" ref="N314" ca="1">IFERROR(INDEX('Hydrogen-ELT'!$F$6:$J$17,MATCH(TS_TTech!$C314&amp;TS_TTech!$B314,'Hydrogen-ELT'!$A$6:$A$17&amp;'Hydrogen-ELT'!$B$6:$B$17,0),MATCH(TS_TTech!N$7,'Hydrogen-ELT'!$F$5:$J$5,0)),"")</f>
        <v/>
      </c>
      <c r="O314" s="163" t="str">
        <f t="array" aca="1" ref="O314" ca="1">IFERROR(INDEX('Hydrogen-ELT'!$F$6:$J$17,MATCH(TS_TTech!$C314&amp;TS_TTech!$B314,'Hydrogen-ELT'!$A$6:$A$17&amp;'Hydrogen-ELT'!$B$6:$B$17,0),MATCH(TS_TTech!O$7,'Hydrogen-ELT'!$F$5:$J$5,0)),"")</f>
        <v/>
      </c>
      <c r="P314" s="163" t="str">
        <f t="array" aca="1" ref="P314" ca="1">IFERROR(INDEX('Hydrogen-ELT'!$F$6:$J$17,MATCH(TS_TTech!$C314&amp;TS_TTech!$B314,'Hydrogen-ELT'!$A$6:$A$17&amp;'Hydrogen-ELT'!$B$6:$B$17,0),MATCH(TS_TTech!P$7,'Hydrogen-ELT'!$F$5:$J$5,0)),"")</f>
        <v/>
      </c>
      <c r="Q314" s="163" t="str">
        <f t="array" aca="1" ref="Q314" ca="1">IFERROR(INDEX('Hydrogen-ELT'!$F$6:$J$17,MATCH(TS_TTech!$C314&amp;TS_TTech!$B314,'Hydrogen-ELT'!$A$6:$A$17&amp;'Hydrogen-ELT'!$B$6:$B$17,0),MATCH(TS_TTech!Q$7,'Hydrogen-ELT'!$F$5:$J$5,0)),"")</f>
        <v/>
      </c>
      <c r="R314" s="163">
        <f t="array" aca="1" ref="R314" ca="1">IFERROR(INDEX('Hydrogen-ELT'!$F$6:$J$17,MATCH(TS_TTech!$C314&amp;TS_TTech!$B314,'Hydrogen-ELT'!$A$6:$A$17&amp;'Hydrogen-ELT'!$B$6:$B$17,0),MATCH(TS_TTech!R$7,'Hydrogen-ELT'!$F$5:$J$5,0)),"")</f>
        <v>193.03361344537814</v>
      </c>
      <c r="S314" s="163" t="str">
        <f t="array" aca="1" ref="S314" ca="1">IFERROR(INDEX('Hydrogen-ELT'!$F$6:$J$17,MATCH(TS_TTech!$C314&amp;TS_TTech!$B314,'Hydrogen-ELT'!$A$6:$A$17&amp;'Hydrogen-ELT'!$B$6:$B$17,0),MATCH(TS_TTech!S$7,'Hydrogen-ELT'!$F$5:$J$5,0)),"")</f>
        <v/>
      </c>
      <c r="T314" s="163" t="str">
        <f t="array" aca="1" ref="T314" ca="1">IFERROR(INDEX('Hydrogen-ELT'!$F$6:$J$17,MATCH(TS_TTech!$C314&amp;TS_TTech!$B314,'Hydrogen-ELT'!$A$6:$A$17&amp;'Hydrogen-ELT'!$B$6:$B$17,0),MATCH(TS_TTech!T$7,'Hydrogen-ELT'!$F$5:$J$5,0)),"")</f>
        <v/>
      </c>
      <c r="U314" s="163" t="str">
        <f t="array" aca="1" ref="U314" ca="1">IFERROR(INDEX('Hydrogen-ELT'!$F$6:$J$17,MATCH(TS_TTech!$C314&amp;TS_TTech!$B314,'Hydrogen-ELT'!$A$6:$A$17&amp;'Hydrogen-ELT'!$B$6:$B$17,0),MATCH(TS_TTech!U$7,'Hydrogen-ELT'!$F$5:$J$5,0)),"")</f>
        <v/>
      </c>
      <c r="V314" s="163" t="str">
        <f t="array" aca="1" ref="V314" ca="1">IFERROR(INDEX('Hydrogen-ELT'!$F$6:$J$17,MATCH(TS_TTech!$C314&amp;TS_TTech!$B314,'Hydrogen-ELT'!$A$6:$A$17&amp;'Hydrogen-ELT'!$B$6:$B$17,0),MATCH(TS_TTech!V$7,'Hydrogen-ELT'!$F$5:$J$5,0)),"")</f>
        <v/>
      </c>
      <c r="W314" s="163" t="str">
        <f t="array" aca="1" ref="W314" ca="1">IFERROR(INDEX('Hydrogen-ELT'!$F$6:$J$17,MATCH(TS_TTech!$C314&amp;TS_TTech!$B314,'Hydrogen-ELT'!$A$6:$A$17&amp;'Hydrogen-ELT'!$B$6:$B$17,0),MATCH(TS_TTech!W$7,'Hydrogen-ELT'!$F$5:$J$5,0)),"")</f>
        <v/>
      </c>
      <c r="X314" s="163" t="str">
        <f t="array" aca="1" ref="X314" ca="1">IFERROR(INDEX('Hydrogen-ELT'!$F$6:$J$17,MATCH(TS_TTech!$C314&amp;TS_TTech!$B314,'Hydrogen-ELT'!$A$6:$A$17&amp;'Hydrogen-ELT'!$B$6:$B$17,0),MATCH(TS_TTech!X$7,'Hydrogen-ELT'!$F$5:$J$5,0)),"")</f>
        <v/>
      </c>
      <c r="Y314" s="163" t="str">
        <f t="array" aca="1" ref="Y314" ca="1">IFERROR(INDEX('Hydrogen-ELT'!$F$6:$J$17,MATCH(TS_TTech!$C314&amp;TS_TTech!$B314,'Hydrogen-ELT'!$A$6:$A$17&amp;'Hydrogen-ELT'!$B$6:$B$17,0),MATCH(TS_TTech!Y$7,'Hydrogen-ELT'!$F$5:$J$5,0)),"")</f>
        <v/>
      </c>
      <c r="Z314" s="163" t="str">
        <f t="array" aca="1" ref="Z314" ca="1">IFERROR(INDEX('Hydrogen-ELT'!$F$6:$J$17,MATCH(TS_TTech!$C314&amp;TS_TTech!$B314,'Hydrogen-ELT'!$A$6:$A$17&amp;'Hydrogen-ELT'!$B$6:$B$17,0),MATCH(TS_TTech!Z$7,'Hydrogen-ELT'!$F$5:$J$5,0)),"")</f>
        <v/>
      </c>
      <c r="AA314" s="163" t="str">
        <f t="array" aca="1" ref="AA314" ca="1">IFERROR(INDEX('Hydrogen-ELT'!$F$6:$J$17,MATCH(TS_TTech!$C314&amp;TS_TTech!$B314,'Hydrogen-ELT'!$A$6:$A$17&amp;'Hydrogen-ELT'!$B$6:$B$17,0),MATCH(TS_TTech!AA$7,'Hydrogen-ELT'!$F$5:$J$5,0)),"")</f>
        <v/>
      </c>
      <c r="AB314" s="163">
        <f t="array" aca="1" ref="AB314" ca="1">IFERROR(INDEX('Hydrogen-ELT'!$F$6:$J$17,MATCH(TS_TTech!$C314&amp;TS_TTech!$B314,'Hydrogen-ELT'!$A$6:$A$17&amp;'Hydrogen-ELT'!$B$6:$B$17,0),MATCH(TS_TTech!AB$7,'Hydrogen-ELT'!$F$5:$J$5,0)),"")</f>
        <v>142.23529411764704</v>
      </c>
      <c r="AC314" s="163" t="str">
        <f t="array" aca="1" ref="AC314" ca="1">IFERROR(INDEX('Hydrogen-ELT'!$F$6:$J$17,MATCH(TS_TTech!$C314&amp;TS_TTech!$B314,'Hydrogen-ELT'!$A$6:$A$17&amp;'Hydrogen-ELT'!$B$6:$B$17,0),MATCH(TS_TTech!AC$7,'Hydrogen-ELT'!$F$5:$J$5,0)),"")</f>
        <v/>
      </c>
      <c r="AD314" s="163" t="str">
        <f t="array" aca="1" ref="AD314" ca="1">IFERROR(INDEX('Hydrogen-ELT'!$F$6:$J$17,MATCH(TS_TTech!$C314&amp;TS_TTech!$B314,'Hydrogen-ELT'!$A$6:$A$17&amp;'Hydrogen-ELT'!$B$6:$B$17,0),MATCH(TS_TTech!AD$7,'Hydrogen-ELT'!$F$5:$J$5,0)),"")</f>
        <v/>
      </c>
      <c r="AE314" s="163" t="str">
        <f t="array" aca="1" ref="AE314" ca="1">IFERROR(INDEX('Hydrogen-ELT'!$F$6:$J$17,MATCH(TS_TTech!$C314&amp;TS_TTech!$B314,'Hydrogen-ELT'!$A$6:$A$17&amp;'Hydrogen-ELT'!$B$6:$B$17,0),MATCH(TS_TTech!AE$7,'Hydrogen-ELT'!$F$5:$J$5,0)),"")</f>
        <v/>
      </c>
      <c r="AF314" s="163" t="str">
        <f t="array" aca="1" ref="AF314" ca="1">IFERROR(INDEX('Hydrogen-ELT'!$F$6:$J$17,MATCH(TS_TTech!$C314&amp;TS_TTech!$B314,'Hydrogen-ELT'!$A$6:$A$17&amp;'Hydrogen-ELT'!$B$6:$B$17,0),MATCH(TS_TTech!AF$7,'Hydrogen-ELT'!$F$5:$J$5,0)),"")</f>
        <v/>
      </c>
      <c r="AG314" s="163">
        <f t="array" aca="1" ref="AG314" ca="1">IFERROR(INDEX('Hydrogen-ELT'!$F$6:$J$17,MATCH(TS_TTech!$C314&amp;TS_TTech!$B314,'Hydrogen-ELT'!$A$6:$A$17&amp;'Hydrogen-ELT'!$B$6:$B$17,0),MATCH(TS_TTech!AG$7,'Hydrogen-ELT'!$F$5:$J$5,0)),"")</f>
        <v>91.436974789915965</v>
      </c>
      <c r="AH314" s="163" t="str">
        <f t="array" aca="1" ref="AH314" ca="1">IFERROR(INDEX('Hydrogen-ELT'!$F$6:$J$17,MATCH(TS_TTech!$C314&amp;TS_TTech!$B314,'Hydrogen-ELT'!$A$6:$A$17&amp;'Hydrogen-ELT'!$B$6:$B$17,0),MATCH(TS_TTech!AH$7,'Hydrogen-ELT'!$F$5:$J$5,0)),"")</f>
        <v/>
      </c>
      <c r="AI314" s="163" t="str">
        <f t="array" aca="1" ref="AI314" ca="1">IFERROR(INDEX('Hydrogen-ELT'!$F$6:$J$17,MATCH(TS_TTech!$C314&amp;TS_TTech!$B314,'Hydrogen-ELT'!$A$6:$A$17&amp;'Hydrogen-ELT'!$B$6:$B$17,0),MATCH(TS_TTech!AI$7,'Hydrogen-ELT'!$F$5:$J$5,0)),"")</f>
        <v/>
      </c>
      <c r="AJ314" s="163" t="str">
        <f t="array" aca="1" ref="AJ314" ca="1">IFERROR(INDEX('Hydrogen-ELT'!$F$6:$J$17,MATCH(TS_TTech!$C314&amp;TS_TTech!$B314,'Hydrogen-ELT'!$A$6:$A$17&amp;'Hydrogen-ELT'!$B$6:$B$17,0),MATCH(TS_TTech!AJ$7,'Hydrogen-ELT'!$F$5:$J$5,0)),"")</f>
        <v/>
      </c>
      <c r="AK314" s="163" t="str">
        <f t="array" aca="1" ref="AK314" ca="1">IFERROR(INDEX('Hydrogen-ELT'!$F$6:$J$17,MATCH(TS_TTech!$C314&amp;TS_TTech!$B314,'Hydrogen-ELT'!$A$6:$A$17&amp;'Hydrogen-ELT'!$B$6:$B$17,0),MATCH(TS_TTech!AK$7,'Hydrogen-ELT'!$F$5:$J$5,0)),"")</f>
        <v/>
      </c>
      <c r="AL314" s="163">
        <f t="array" aca="1" ref="AL314" ca="1">IFERROR(INDEX('Hydrogen-ELT'!$F$6:$J$17,MATCH(TS_TTech!$C314&amp;TS_TTech!$B314,'Hydrogen-ELT'!$A$6:$A$17&amp;'Hydrogen-ELT'!$B$6:$B$17,0),MATCH(TS_TTech!AL$7,'Hydrogen-ELT'!$F$5:$J$5,0)),"")</f>
        <v>72.854341736694693</v>
      </c>
      <c r="AM314" s="163" t="str">
        <f t="array" aca="1" ref="AM314" ca="1">IFERROR(INDEX('Hydrogen-ELT'!$F$6:$J$17,MATCH(TS_TTech!$C314&amp;TS_TTech!$B314,'Hydrogen-ELT'!$A$6:$A$17&amp;'Hydrogen-ELT'!$B$6:$B$17,0),MATCH(TS_TTech!AM$7,'Hydrogen-ELT'!$F$5:$J$5,0)),"")</f>
        <v/>
      </c>
      <c r="AN314" s="163">
        <f t="array" aca="1" ref="AN314" ca="1">IFERROR(INDEX('Hydrogen-ELT'!$F$6:$J$17,MATCH(TS_TTech!$C314&amp;TS_TTech!$B314,'Hydrogen-ELT'!$A$6:$A$17&amp;'Hydrogen-ELT'!$B$6:$B$17,0),MATCH(TS_TTech!AN$7,'Hydrogen-ELT'!$F$5:$J$5,0)),"")</f>
        <v>54.271708683473392</v>
      </c>
      <c r="AO314" s="163" t="str">
        <f t="array" aca="1" ref="AO314" ca="1">IFERROR(INDEX('Hydrogen-ELT'!$F$6:$J$17,MATCH(TS_TTech!$C314&amp;TS_TTech!$B314,'Hydrogen-ELT'!$A$6:$A$17&amp;'Hydrogen-ELT'!$B$6:$B$17,0),MATCH(TS_TTech!AO$7,'Hydrogen-ELT'!$F$5:$J$5,0)),"")</f>
        <v/>
      </c>
      <c r="AP314" s="163" t="str">
        <f t="array" aca="1" ref="AP314" ca="1">IFERROR(INDEX('Hydrogen-ELT'!$F$6:$J$17,MATCH(TS_TTech!$C314&amp;TS_TTech!$B314,'Hydrogen-ELT'!$A$6:$A$17&amp;'Hydrogen-ELT'!$B$6:$B$17,0),MATCH(TS_TTech!AP$7,'Hydrogen-ELT'!$F$5:$J$5,0)),"")</f>
        <v/>
      </c>
      <c r="AR314" s="163">
        <f t="shared" si="149"/>
        <v>27</v>
      </c>
      <c r="AS314" s="42">
        <f t="shared" si="155"/>
        <v>4</v>
      </c>
      <c r="AU314" s="42">
        <f ca="1">SUMIF(UPS!B$38:B$171,C314,UPS!BD$38:BD$171)</f>
        <v>131</v>
      </c>
    </row>
    <row r="315" spans="1:51">
      <c r="B315" s="440" t="str">
        <f t="shared" si="150"/>
        <v>NCAP_BND</v>
      </c>
      <c r="C315" s="440" t="str">
        <f ca="1">IF($A315="*","",OFFSET(ITEMS_UPS!$C$8,AR315,0))</f>
        <v>UELEA1HGN</v>
      </c>
      <c r="D315" s="440" t="str">
        <f ca="1">IF($A315="*","",IF(VLOOKUP("*#"&amp;$AS315,$A$10:$I$24,D$9+1,FALSE)="-","-",OFFSET(UPS!$C$37,AU315+AV315,SUMIF($A$10:$A$20,"*#"&amp;AS315,$AT$10:$AT$20))))</f>
        <v>-</v>
      </c>
      <c r="E315" s="440" t="str">
        <f t="shared" si="151"/>
        <v>-</v>
      </c>
      <c r="F315" s="440" t="str">
        <f t="shared" si="152"/>
        <v>-</v>
      </c>
      <c r="G315" s="440" t="str">
        <f t="shared" si="153"/>
        <v>-</v>
      </c>
      <c r="H315" s="441" t="str">
        <f t="shared" ref="H315:H322" si="156">IF($A315="*","",VLOOKUP("*#"&amp;$AS315,$A$10:$I$24,H$9+1,FALSE))</f>
        <v>UP</v>
      </c>
      <c r="I315" s="441">
        <f t="shared" si="154"/>
        <v>3</v>
      </c>
      <c r="J315" s="163" t="str">
        <f ca="1">IF($A315="*","",OFFSET(UPS!$C$37,AU315,SUMIF($A$10:$A$20,"*#"&amp;AS315,$AT$10:$AT$20)))</f>
        <v/>
      </c>
      <c r="K315" s="163" t="str">
        <f t="array" aca="1" ref="K315" ca="1">IFERROR(INDEX('Hydrogen-ELT'!$F$6:$J$17,MATCH(TS_TTech!$C315&amp;TS_TTech!$B315,'Hydrogen-ELT'!$A$6:$A$17&amp;'Hydrogen-ELT'!$B$6:$B$17,0),MATCH(TS_TTech!K$7,'Hydrogen-ELT'!$F$5:$J$5,0)),"")</f>
        <v/>
      </c>
      <c r="L315" s="163" t="str">
        <f t="array" aca="1" ref="L315" ca="1">IFERROR(INDEX('Hydrogen-ELT'!$F$6:$J$17,MATCH(TS_TTech!$C315&amp;TS_TTech!$B315,'Hydrogen-ELT'!$A$6:$A$17&amp;'Hydrogen-ELT'!$B$6:$B$17,0),MATCH(TS_TTech!L$7,'Hydrogen-ELT'!$F$5:$J$5,0)),"")</f>
        <v/>
      </c>
      <c r="M315" s="163" t="str">
        <f t="array" aca="1" ref="M315" ca="1">IFERROR(INDEX('Hydrogen-ELT'!$F$6:$J$17,MATCH(TS_TTech!$C315&amp;TS_TTech!$B315,'Hydrogen-ELT'!$A$6:$A$17&amp;'Hydrogen-ELT'!$B$6:$B$17,0),MATCH(TS_TTech!M$7,'Hydrogen-ELT'!$F$5:$J$5,0)),"")</f>
        <v/>
      </c>
      <c r="N315" s="163" t="str">
        <f t="array" aca="1" ref="N315" ca="1">IFERROR(INDEX('Hydrogen-ELT'!$F$6:$J$17,MATCH(TS_TTech!$C315&amp;TS_TTech!$B315,'Hydrogen-ELT'!$A$6:$A$17&amp;'Hydrogen-ELT'!$B$6:$B$17,0),MATCH(TS_TTech!N$7,'Hydrogen-ELT'!$F$5:$J$5,0)),"")</f>
        <v/>
      </c>
      <c r="O315" s="163" t="str">
        <f t="array" aca="1" ref="O315" ca="1">IFERROR(INDEX('Hydrogen-ELT'!$F$6:$J$17,MATCH(TS_TTech!$C315&amp;TS_TTech!$B315,'Hydrogen-ELT'!$A$6:$A$17&amp;'Hydrogen-ELT'!$B$6:$B$17,0),MATCH(TS_TTech!O$7,'Hydrogen-ELT'!$F$5:$J$5,0)),"")</f>
        <v/>
      </c>
      <c r="P315" s="163" t="str">
        <f t="array" aca="1" ref="P315" ca="1">IFERROR(INDEX('Hydrogen-ELT'!$F$6:$J$17,MATCH(TS_TTech!$C315&amp;TS_TTech!$B315,'Hydrogen-ELT'!$A$6:$A$17&amp;'Hydrogen-ELT'!$B$6:$B$17,0),MATCH(TS_TTech!P$7,'Hydrogen-ELT'!$F$5:$J$5,0)),"")</f>
        <v/>
      </c>
      <c r="Q315" s="163" t="str">
        <f t="array" aca="1" ref="Q315" ca="1">IFERROR(INDEX('Hydrogen-ELT'!$F$6:$J$17,MATCH(TS_TTech!$C315&amp;TS_TTech!$B315,'Hydrogen-ELT'!$A$6:$A$17&amp;'Hydrogen-ELT'!$B$6:$B$17,0),MATCH(TS_TTech!Q$7,'Hydrogen-ELT'!$F$5:$J$5,0)),"")</f>
        <v/>
      </c>
      <c r="R315" s="163" t="str">
        <f t="array" aca="1" ref="R315" ca="1">IFERROR(INDEX('Hydrogen-ELT'!$F$6:$J$17,MATCH(TS_TTech!$C315&amp;TS_TTech!$B315,'Hydrogen-ELT'!$A$6:$A$17&amp;'Hydrogen-ELT'!$B$6:$B$17,0),MATCH(TS_TTech!R$7,'Hydrogen-ELT'!$F$5:$J$5,0)),"")</f>
        <v/>
      </c>
      <c r="S315" s="163" t="str">
        <f t="array" aca="1" ref="S315" ca="1">IFERROR(INDEX('Hydrogen-ELT'!$F$6:$J$17,MATCH(TS_TTech!$C315&amp;TS_TTech!$B315,'Hydrogen-ELT'!$A$6:$A$17&amp;'Hydrogen-ELT'!$B$6:$B$17,0),MATCH(TS_TTech!S$7,'Hydrogen-ELT'!$F$5:$J$5,0)),"")</f>
        <v/>
      </c>
      <c r="T315" s="163" t="str">
        <f t="array" aca="1" ref="T315" ca="1">IFERROR(INDEX('Hydrogen-ELT'!$F$6:$J$17,MATCH(TS_TTech!$C315&amp;TS_TTech!$B315,'Hydrogen-ELT'!$A$6:$A$17&amp;'Hydrogen-ELT'!$B$6:$B$17,0),MATCH(TS_TTech!T$7,'Hydrogen-ELT'!$F$5:$J$5,0)),"")</f>
        <v/>
      </c>
      <c r="U315" s="163" t="str">
        <f t="array" aca="1" ref="U315" ca="1">IFERROR(INDEX('Hydrogen-ELT'!$F$6:$J$17,MATCH(TS_TTech!$C315&amp;TS_TTech!$B315,'Hydrogen-ELT'!$A$6:$A$17&amp;'Hydrogen-ELT'!$B$6:$B$17,0),MATCH(TS_TTech!U$7,'Hydrogen-ELT'!$F$5:$J$5,0)),"")</f>
        <v/>
      </c>
      <c r="V315" s="163" t="str">
        <f t="array" aca="1" ref="V315" ca="1">IFERROR(INDEX('Hydrogen-ELT'!$F$6:$J$17,MATCH(TS_TTech!$C315&amp;TS_TTech!$B315,'Hydrogen-ELT'!$A$6:$A$17&amp;'Hydrogen-ELT'!$B$6:$B$17,0),MATCH(TS_TTech!V$7,'Hydrogen-ELT'!$F$5:$J$5,0)),"")</f>
        <v/>
      </c>
      <c r="W315" s="163" t="str">
        <f t="array" aca="1" ref="W315" ca="1">IFERROR(INDEX('Hydrogen-ELT'!$F$6:$J$17,MATCH(TS_TTech!$C315&amp;TS_TTech!$B315,'Hydrogen-ELT'!$A$6:$A$17&amp;'Hydrogen-ELT'!$B$6:$B$17,0),MATCH(TS_TTech!W$7,'Hydrogen-ELT'!$F$5:$J$5,0)),"")</f>
        <v/>
      </c>
      <c r="X315" s="163" t="str">
        <f t="array" aca="1" ref="X315" ca="1">IFERROR(INDEX('Hydrogen-ELT'!$F$6:$J$17,MATCH(TS_TTech!$C315&amp;TS_TTech!$B315,'Hydrogen-ELT'!$A$6:$A$17&amp;'Hydrogen-ELT'!$B$6:$B$17,0),MATCH(TS_TTech!X$7,'Hydrogen-ELT'!$F$5:$J$5,0)),"")</f>
        <v/>
      </c>
      <c r="Y315" s="163" t="str">
        <f t="array" aca="1" ref="Y315" ca="1">IFERROR(INDEX('Hydrogen-ELT'!$F$6:$J$17,MATCH(TS_TTech!$C315&amp;TS_TTech!$B315,'Hydrogen-ELT'!$A$6:$A$17&amp;'Hydrogen-ELT'!$B$6:$B$17,0),MATCH(TS_TTech!Y$7,'Hydrogen-ELT'!$F$5:$J$5,0)),"")</f>
        <v/>
      </c>
      <c r="Z315" s="163" t="str">
        <f t="array" aca="1" ref="Z315" ca="1">IFERROR(INDEX('Hydrogen-ELT'!$F$6:$J$17,MATCH(TS_TTech!$C315&amp;TS_TTech!$B315,'Hydrogen-ELT'!$A$6:$A$17&amp;'Hydrogen-ELT'!$B$6:$B$17,0),MATCH(TS_TTech!Z$7,'Hydrogen-ELT'!$F$5:$J$5,0)),"")</f>
        <v/>
      </c>
      <c r="AA315" s="163" t="str">
        <f t="array" aca="1" ref="AA315" ca="1">IFERROR(INDEX('Hydrogen-ELT'!$F$6:$J$17,MATCH(TS_TTech!$C315&amp;TS_TTech!$B315,'Hydrogen-ELT'!$A$6:$A$17&amp;'Hydrogen-ELT'!$B$6:$B$17,0),MATCH(TS_TTech!AA$7,'Hydrogen-ELT'!$F$5:$J$5,0)),"")</f>
        <v/>
      </c>
      <c r="AB315" s="163" t="str">
        <f t="array" aca="1" ref="AB315" ca="1">IFERROR(INDEX('Hydrogen-ELT'!$F$6:$J$17,MATCH(TS_TTech!$C315&amp;TS_TTech!$B315,'Hydrogen-ELT'!$A$6:$A$17&amp;'Hydrogen-ELT'!$B$6:$B$17,0),MATCH(TS_TTech!AB$7,'Hydrogen-ELT'!$F$5:$J$5,0)),"")</f>
        <v/>
      </c>
      <c r="AC315" s="163" t="str">
        <f t="array" aca="1" ref="AC315" ca="1">IFERROR(INDEX('Hydrogen-ELT'!$F$6:$J$17,MATCH(TS_TTech!$C315&amp;TS_TTech!$B315,'Hydrogen-ELT'!$A$6:$A$17&amp;'Hydrogen-ELT'!$B$6:$B$17,0),MATCH(TS_TTech!AC$7,'Hydrogen-ELT'!$F$5:$J$5,0)),"")</f>
        <v/>
      </c>
      <c r="AD315" s="163" t="str">
        <f t="array" aca="1" ref="AD315" ca="1">IFERROR(INDEX('Hydrogen-ELT'!$F$6:$J$17,MATCH(TS_TTech!$C315&amp;TS_TTech!$B315,'Hydrogen-ELT'!$A$6:$A$17&amp;'Hydrogen-ELT'!$B$6:$B$17,0),MATCH(TS_TTech!AD$7,'Hydrogen-ELT'!$F$5:$J$5,0)),"")</f>
        <v/>
      </c>
      <c r="AE315" s="163" t="str">
        <f t="array" aca="1" ref="AE315" ca="1">IFERROR(INDEX('Hydrogen-ELT'!$F$6:$J$17,MATCH(TS_TTech!$C315&amp;TS_TTech!$B315,'Hydrogen-ELT'!$A$6:$A$17&amp;'Hydrogen-ELT'!$B$6:$B$17,0),MATCH(TS_TTech!AE$7,'Hydrogen-ELT'!$F$5:$J$5,0)),"")</f>
        <v/>
      </c>
      <c r="AF315" s="163" t="str">
        <f t="array" aca="1" ref="AF315" ca="1">IFERROR(INDEX('Hydrogen-ELT'!$F$6:$J$17,MATCH(TS_TTech!$C315&amp;TS_TTech!$B315,'Hydrogen-ELT'!$A$6:$A$17&amp;'Hydrogen-ELT'!$B$6:$B$17,0),MATCH(TS_TTech!AF$7,'Hydrogen-ELT'!$F$5:$J$5,0)),"")</f>
        <v/>
      </c>
      <c r="AG315" s="163" t="str">
        <f t="array" aca="1" ref="AG315" ca="1">IFERROR(INDEX('Hydrogen-ELT'!$F$6:$J$17,MATCH(TS_TTech!$C315&amp;TS_TTech!$B315,'Hydrogen-ELT'!$A$6:$A$17&amp;'Hydrogen-ELT'!$B$6:$B$17,0),MATCH(TS_TTech!AG$7,'Hydrogen-ELT'!$F$5:$J$5,0)),"")</f>
        <v/>
      </c>
      <c r="AH315" s="163" t="str">
        <f t="array" aca="1" ref="AH315" ca="1">IFERROR(INDEX('Hydrogen-ELT'!$F$6:$J$17,MATCH(TS_TTech!$C315&amp;TS_TTech!$B315,'Hydrogen-ELT'!$A$6:$A$17&amp;'Hydrogen-ELT'!$B$6:$B$17,0),MATCH(TS_TTech!AH$7,'Hydrogen-ELT'!$F$5:$J$5,0)),"")</f>
        <v/>
      </c>
      <c r="AI315" s="163" t="str">
        <f t="array" aca="1" ref="AI315" ca="1">IFERROR(INDEX('Hydrogen-ELT'!$F$6:$J$17,MATCH(TS_TTech!$C315&amp;TS_TTech!$B315,'Hydrogen-ELT'!$A$6:$A$17&amp;'Hydrogen-ELT'!$B$6:$B$17,0),MATCH(TS_TTech!AI$7,'Hydrogen-ELT'!$F$5:$J$5,0)),"")</f>
        <v/>
      </c>
      <c r="AJ315" s="163" t="str">
        <f t="array" aca="1" ref="AJ315" ca="1">IFERROR(INDEX('Hydrogen-ELT'!$F$6:$J$17,MATCH(TS_TTech!$C315&amp;TS_TTech!$B315,'Hydrogen-ELT'!$A$6:$A$17&amp;'Hydrogen-ELT'!$B$6:$B$17,0),MATCH(TS_TTech!AJ$7,'Hydrogen-ELT'!$F$5:$J$5,0)),"")</f>
        <v/>
      </c>
      <c r="AK315" s="163" t="str">
        <f t="array" aca="1" ref="AK315" ca="1">IFERROR(INDEX('Hydrogen-ELT'!$F$6:$J$17,MATCH(TS_TTech!$C315&amp;TS_TTech!$B315,'Hydrogen-ELT'!$A$6:$A$17&amp;'Hydrogen-ELT'!$B$6:$B$17,0),MATCH(TS_TTech!AK$7,'Hydrogen-ELT'!$F$5:$J$5,0)),"")</f>
        <v/>
      </c>
      <c r="AL315" s="163" t="str">
        <f t="array" aca="1" ref="AL315" ca="1">IFERROR(INDEX('Hydrogen-ELT'!$F$6:$J$17,MATCH(TS_TTech!$C315&amp;TS_TTech!$B315,'Hydrogen-ELT'!$A$6:$A$17&amp;'Hydrogen-ELT'!$B$6:$B$17,0),MATCH(TS_TTech!AL$7,'Hydrogen-ELT'!$F$5:$J$5,0)),"")</f>
        <v/>
      </c>
      <c r="AM315" s="163" t="str">
        <f t="array" aca="1" ref="AM315" ca="1">IFERROR(INDEX('Hydrogen-ELT'!$F$6:$J$17,MATCH(TS_TTech!$C315&amp;TS_TTech!$B315,'Hydrogen-ELT'!$A$6:$A$17&amp;'Hydrogen-ELT'!$B$6:$B$17,0),MATCH(TS_TTech!AM$7,'Hydrogen-ELT'!$F$5:$J$5,0)),"")</f>
        <v/>
      </c>
      <c r="AN315" s="163" t="str">
        <f t="array" aca="1" ref="AN315" ca="1">IFERROR(INDEX('Hydrogen-ELT'!$F$6:$J$17,MATCH(TS_TTech!$C315&amp;TS_TTech!$B315,'Hydrogen-ELT'!$A$6:$A$17&amp;'Hydrogen-ELT'!$B$6:$B$17,0),MATCH(TS_TTech!AN$7,'Hydrogen-ELT'!$F$5:$J$5,0)),"")</f>
        <v/>
      </c>
      <c r="AO315" s="163" t="str">
        <f t="array" aca="1" ref="AO315" ca="1">IFERROR(INDEX('Hydrogen-ELT'!$F$6:$J$17,MATCH(TS_TTech!$C315&amp;TS_TTech!$B315,'Hydrogen-ELT'!$A$6:$A$17&amp;'Hydrogen-ELT'!$B$6:$B$17,0),MATCH(TS_TTech!AO$7,'Hydrogen-ELT'!$F$5:$J$5,0)),"")</f>
        <v/>
      </c>
      <c r="AP315" s="163" t="str">
        <f t="array" aca="1" ref="AP315" ca="1">IFERROR(INDEX('Hydrogen-ELT'!$F$6:$J$17,MATCH(TS_TTech!$C315&amp;TS_TTech!$B315,'Hydrogen-ELT'!$A$6:$A$17&amp;'Hydrogen-ELT'!$B$6:$B$17,0),MATCH(TS_TTech!AP$7,'Hydrogen-ELT'!$F$5:$J$5,0)),"")</f>
        <v/>
      </c>
      <c r="AR315" s="163">
        <f t="shared" si="149"/>
        <v>27</v>
      </c>
      <c r="AS315" s="42">
        <f t="shared" si="155"/>
        <v>5</v>
      </c>
      <c r="AU315" s="42">
        <f ca="1">SUMIF(UPS!B$38:B$171,C315,UPS!BD$38:BD$171)</f>
        <v>131</v>
      </c>
    </row>
    <row r="316" spans="1:51">
      <c r="B316" s="440" t="str">
        <f t="shared" si="150"/>
        <v>FLO_FUNC</v>
      </c>
      <c r="C316" s="440" t="str">
        <f ca="1">IF($A316="*","",OFFSET(ITEMS_UPS!$C$8,AR316,0))</f>
        <v>UELEA1HGN</v>
      </c>
      <c r="D316" s="440" t="str">
        <f ca="1">IF($A316="*","",IF(VLOOKUP("*#"&amp;$AS316,$A$10:$I$24,D$9+1,FALSE)="-","-",OFFSET(UPS!$C$37,AU316+AV316,SUMIF($A$10:$A$20,"*#"&amp;AS316,$AT$10:$AT$20))))</f>
        <v>-</v>
      </c>
      <c r="E316" s="440" t="str">
        <f t="shared" ca="1" si="151"/>
        <v>UELEA1HGN-I</v>
      </c>
      <c r="F316" s="440" t="str">
        <f t="shared" ca="1" si="152"/>
        <v>UELEA1HGN-O</v>
      </c>
      <c r="G316" s="440" t="str">
        <f t="shared" si="153"/>
        <v>ANNUAL</v>
      </c>
      <c r="H316" s="441" t="str">
        <f t="shared" si="156"/>
        <v>-</v>
      </c>
      <c r="I316" s="441">
        <f t="shared" si="154"/>
        <v>0</v>
      </c>
      <c r="J316" s="163">
        <f ca="1">IF($A316="*","",OFFSET(UPS!$C$37,AU316,SUMIF($A$10:$A$20,"*#"&amp;AS316,$AT$10:$AT$20)))</f>
        <v>0.66500000000000004</v>
      </c>
      <c r="K316" s="163" t="str">
        <f t="array" aca="1" ref="K316" ca="1">IFERROR(INDEX('Hydrogen-ELT'!$F$6:$J$17,MATCH(TS_TTech!$C316&amp;TS_TTech!$B316,'Hydrogen-ELT'!$A$6:$A$17&amp;'Hydrogen-ELT'!$B$6:$B$17,0),MATCH(TS_TTech!K$7,'Hydrogen-ELT'!$F$5:$J$5,0)),"")</f>
        <v/>
      </c>
      <c r="L316" s="163" t="str">
        <f t="array" aca="1" ref="L316" ca="1">IFERROR(INDEX('Hydrogen-ELT'!$F$6:$J$17,MATCH(TS_TTech!$C316&amp;TS_TTech!$B316,'Hydrogen-ELT'!$A$6:$A$17&amp;'Hydrogen-ELT'!$B$6:$B$17,0),MATCH(TS_TTech!L$7,'Hydrogen-ELT'!$F$5:$J$5,0)),"")</f>
        <v/>
      </c>
      <c r="M316" s="163" t="str">
        <f t="array" aca="1" ref="M316" ca="1">IFERROR(INDEX('Hydrogen-ELT'!$F$6:$J$17,MATCH(TS_TTech!$C316&amp;TS_TTech!$B316,'Hydrogen-ELT'!$A$6:$A$17&amp;'Hydrogen-ELT'!$B$6:$B$17,0),MATCH(TS_TTech!M$7,'Hydrogen-ELT'!$F$5:$J$5,0)),"")</f>
        <v/>
      </c>
      <c r="N316" s="163" t="str">
        <f t="array" aca="1" ref="N316" ca="1">IFERROR(INDEX('Hydrogen-ELT'!$F$6:$J$17,MATCH(TS_TTech!$C316&amp;TS_TTech!$B316,'Hydrogen-ELT'!$A$6:$A$17&amp;'Hydrogen-ELT'!$B$6:$B$17,0),MATCH(TS_TTech!N$7,'Hydrogen-ELT'!$F$5:$J$5,0)),"")</f>
        <v/>
      </c>
      <c r="O316" s="163" t="str">
        <f t="array" aca="1" ref="O316" ca="1">IFERROR(INDEX('Hydrogen-ELT'!$F$6:$J$17,MATCH(TS_TTech!$C316&amp;TS_TTech!$B316,'Hydrogen-ELT'!$A$6:$A$17&amp;'Hydrogen-ELT'!$B$6:$B$17,0),MATCH(TS_TTech!O$7,'Hydrogen-ELT'!$F$5:$J$5,0)),"")</f>
        <v/>
      </c>
      <c r="P316" s="163" t="str">
        <f t="array" aca="1" ref="P316" ca="1">IFERROR(INDEX('Hydrogen-ELT'!$F$6:$J$17,MATCH(TS_TTech!$C316&amp;TS_TTech!$B316,'Hydrogen-ELT'!$A$6:$A$17&amp;'Hydrogen-ELT'!$B$6:$B$17,0),MATCH(TS_TTech!P$7,'Hydrogen-ELT'!$F$5:$J$5,0)),"")</f>
        <v/>
      </c>
      <c r="Q316" s="163" t="str">
        <f t="array" aca="1" ref="Q316" ca="1">IFERROR(INDEX('Hydrogen-ELT'!$F$6:$J$17,MATCH(TS_TTech!$C316&amp;TS_TTech!$B316,'Hydrogen-ELT'!$A$6:$A$17&amp;'Hydrogen-ELT'!$B$6:$B$17,0),MATCH(TS_TTech!Q$7,'Hydrogen-ELT'!$F$5:$J$5,0)),"")</f>
        <v/>
      </c>
      <c r="R316" s="163">
        <f t="array" aca="1" ref="R316" ca="1">IFERROR(INDEX('Hydrogen-ELT'!$F$6:$J$17,MATCH(TS_TTech!$C316&amp;TS_TTech!$B316,'Hydrogen-ELT'!$A$6:$A$17&amp;'Hydrogen-ELT'!$B$6:$B$17,0),MATCH(TS_TTech!R$7,'Hydrogen-ELT'!$F$5:$J$5,0)),"")</f>
        <v>0.66500000000000004</v>
      </c>
      <c r="S316" s="163" t="str">
        <f t="array" aca="1" ref="S316" ca="1">IFERROR(INDEX('Hydrogen-ELT'!$F$6:$J$17,MATCH(TS_TTech!$C316&amp;TS_TTech!$B316,'Hydrogen-ELT'!$A$6:$A$17&amp;'Hydrogen-ELT'!$B$6:$B$17,0),MATCH(TS_TTech!S$7,'Hydrogen-ELT'!$F$5:$J$5,0)),"")</f>
        <v/>
      </c>
      <c r="T316" s="163" t="str">
        <f t="array" aca="1" ref="T316" ca="1">IFERROR(INDEX('Hydrogen-ELT'!$F$6:$J$17,MATCH(TS_TTech!$C316&amp;TS_TTech!$B316,'Hydrogen-ELT'!$A$6:$A$17&amp;'Hydrogen-ELT'!$B$6:$B$17,0),MATCH(TS_TTech!T$7,'Hydrogen-ELT'!$F$5:$J$5,0)),"")</f>
        <v/>
      </c>
      <c r="U316" s="163" t="str">
        <f t="array" aca="1" ref="U316" ca="1">IFERROR(INDEX('Hydrogen-ELT'!$F$6:$J$17,MATCH(TS_TTech!$C316&amp;TS_TTech!$B316,'Hydrogen-ELT'!$A$6:$A$17&amp;'Hydrogen-ELT'!$B$6:$B$17,0),MATCH(TS_TTech!U$7,'Hydrogen-ELT'!$F$5:$J$5,0)),"")</f>
        <v/>
      </c>
      <c r="V316" s="163" t="str">
        <f t="array" aca="1" ref="V316" ca="1">IFERROR(INDEX('Hydrogen-ELT'!$F$6:$J$17,MATCH(TS_TTech!$C316&amp;TS_TTech!$B316,'Hydrogen-ELT'!$A$6:$A$17&amp;'Hydrogen-ELT'!$B$6:$B$17,0),MATCH(TS_TTech!V$7,'Hydrogen-ELT'!$F$5:$J$5,0)),"")</f>
        <v/>
      </c>
      <c r="W316" s="163" t="str">
        <f t="array" aca="1" ref="W316" ca="1">IFERROR(INDEX('Hydrogen-ELT'!$F$6:$J$17,MATCH(TS_TTech!$C316&amp;TS_TTech!$B316,'Hydrogen-ELT'!$A$6:$A$17&amp;'Hydrogen-ELT'!$B$6:$B$17,0),MATCH(TS_TTech!W$7,'Hydrogen-ELT'!$F$5:$J$5,0)),"")</f>
        <v/>
      </c>
      <c r="X316" s="163" t="str">
        <f t="array" aca="1" ref="X316" ca="1">IFERROR(INDEX('Hydrogen-ELT'!$F$6:$J$17,MATCH(TS_TTech!$C316&amp;TS_TTech!$B316,'Hydrogen-ELT'!$A$6:$A$17&amp;'Hydrogen-ELT'!$B$6:$B$17,0),MATCH(TS_TTech!X$7,'Hydrogen-ELT'!$F$5:$J$5,0)),"")</f>
        <v/>
      </c>
      <c r="Y316" s="163" t="str">
        <f t="array" aca="1" ref="Y316" ca="1">IFERROR(INDEX('Hydrogen-ELT'!$F$6:$J$17,MATCH(TS_TTech!$C316&amp;TS_TTech!$B316,'Hydrogen-ELT'!$A$6:$A$17&amp;'Hydrogen-ELT'!$B$6:$B$17,0),MATCH(TS_TTech!Y$7,'Hydrogen-ELT'!$F$5:$J$5,0)),"")</f>
        <v/>
      </c>
      <c r="Z316" s="163" t="str">
        <f t="array" aca="1" ref="Z316" ca="1">IFERROR(INDEX('Hydrogen-ELT'!$F$6:$J$17,MATCH(TS_TTech!$C316&amp;TS_TTech!$B316,'Hydrogen-ELT'!$A$6:$A$17&amp;'Hydrogen-ELT'!$B$6:$B$17,0),MATCH(TS_TTech!Z$7,'Hydrogen-ELT'!$F$5:$J$5,0)),"")</f>
        <v/>
      </c>
      <c r="AA316" s="163" t="str">
        <f t="array" aca="1" ref="AA316" ca="1">IFERROR(INDEX('Hydrogen-ELT'!$F$6:$J$17,MATCH(TS_TTech!$C316&amp;TS_TTech!$B316,'Hydrogen-ELT'!$A$6:$A$17&amp;'Hydrogen-ELT'!$B$6:$B$17,0),MATCH(TS_TTech!AA$7,'Hydrogen-ELT'!$F$5:$J$5,0)),"")</f>
        <v/>
      </c>
      <c r="AB316" s="163">
        <f t="array" aca="1" ref="AB316" ca="1">IFERROR(INDEX('Hydrogen-ELT'!$F$6:$J$17,MATCH(TS_TTech!$C316&amp;TS_TTech!$B316,'Hydrogen-ELT'!$A$6:$A$17&amp;'Hydrogen-ELT'!$B$6:$B$17,0),MATCH(TS_TTech!AB$7,'Hydrogen-ELT'!$F$5:$J$5,0)),"")</f>
        <v>0.68</v>
      </c>
      <c r="AC316" s="163" t="str">
        <f t="array" aca="1" ref="AC316" ca="1">IFERROR(INDEX('Hydrogen-ELT'!$F$6:$J$17,MATCH(TS_TTech!$C316&amp;TS_TTech!$B316,'Hydrogen-ELT'!$A$6:$A$17&amp;'Hydrogen-ELT'!$B$6:$B$17,0),MATCH(TS_TTech!AC$7,'Hydrogen-ELT'!$F$5:$J$5,0)),"")</f>
        <v/>
      </c>
      <c r="AD316" s="163" t="str">
        <f t="array" aca="1" ref="AD316" ca="1">IFERROR(INDEX('Hydrogen-ELT'!$F$6:$J$17,MATCH(TS_TTech!$C316&amp;TS_TTech!$B316,'Hydrogen-ELT'!$A$6:$A$17&amp;'Hydrogen-ELT'!$B$6:$B$17,0),MATCH(TS_TTech!AD$7,'Hydrogen-ELT'!$F$5:$J$5,0)),"")</f>
        <v/>
      </c>
      <c r="AE316" s="163" t="str">
        <f t="array" aca="1" ref="AE316" ca="1">IFERROR(INDEX('Hydrogen-ELT'!$F$6:$J$17,MATCH(TS_TTech!$C316&amp;TS_TTech!$B316,'Hydrogen-ELT'!$A$6:$A$17&amp;'Hydrogen-ELT'!$B$6:$B$17,0),MATCH(TS_TTech!AE$7,'Hydrogen-ELT'!$F$5:$J$5,0)),"")</f>
        <v/>
      </c>
      <c r="AF316" s="163" t="str">
        <f t="array" aca="1" ref="AF316" ca="1">IFERROR(INDEX('Hydrogen-ELT'!$F$6:$J$17,MATCH(TS_TTech!$C316&amp;TS_TTech!$B316,'Hydrogen-ELT'!$A$6:$A$17&amp;'Hydrogen-ELT'!$B$6:$B$17,0),MATCH(TS_TTech!AF$7,'Hydrogen-ELT'!$F$5:$J$5,0)),"")</f>
        <v/>
      </c>
      <c r="AG316" s="163">
        <f t="array" aca="1" ref="AG316" ca="1">IFERROR(INDEX('Hydrogen-ELT'!$F$6:$J$17,MATCH(TS_TTech!$C316&amp;TS_TTech!$B316,'Hydrogen-ELT'!$A$6:$A$17&amp;'Hydrogen-ELT'!$B$6:$B$17,0),MATCH(TS_TTech!AG$7,'Hydrogen-ELT'!$F$5:$J$5,0)),"")</f>
        <v>0.75</v>
      </c>
      <c r="AH316" s="163" t="str">
        <f t="array" aca="1" ref="AH316" ca="1">IFERROR(INDEX('Hydrogen-ELT'!$F$6:$J$17,MATCH(TS_TTech!$C316&amp;TS_TTech!$B316,'Hydrogen-ELT'!$A$6:$A$17&amp;'Hydrogen-ELT'!$B$6:$B$17,0),MATCH(TS_TTech!AH$7,'Hydrogen-ELT'!$F$5:$J$5,0)),"")</f>
        <v/>
      </c>
      <c r="AI316" s="163" t="str">
        <f t="array" aca="1" ref="AI316" ca="1">IFERROR(INDEX('Hydrogen-ELT'!$F$6:$J$17,MATCH(TS_TTech!$C316&amp;TS_TTech!$B316,'Hydrogen-ELT'!$A$6:$A$17&amp;'Hydrogen-ELT'!$B$6:$B$17,0),MATCH(TS_TTech!AI$7,'Hydrogen-ELT'!$F$5:$J$5,0)),"")</f>
        <v/>
      </c>
      <c r="AJ316" s="163" t="str">
        <f t="array" aca="1" ref="AJ316" ca="1">IFERROR(INDEX('Hydrogen-ELT'!$F$6:$J$17,MATCH(TS_TTech!$C316&amp;TS_TTech!$B316,'Hydrogen-ELT'!$A$6:$A$17&amp;'Hydrogen-ELT'!$B$6:$B$17,0),MATCH(TS_TTech!AJ$7,'Hydrogen-ELT'!$F$5:$J$5,0)),"")</f>
        <v/>
      </c>
      <c r="AK316" s="163" t="str">
        <f t="array" aca="1" ref="AK316" ca="1">IFERROR(INDEX('Hydrogen-ELT'!$F$6:$J$17,MATCH(TS_TTech!$C316&amp;TS_TTech!$B316,'Hydrogen-ELT'!$A$6:$A$17&amp;'Hydrogen-ELT'!$B$6:$B$17,0),MATCH(TS_TTech!AK$7,'Hydrogen-ELT'!$F$5:$J$5,0)),"")</f>
        <v/>
      </c>
      <c r="AL316" s="163">
        <f t="array" aca="1" ref="AL316" ca="1">IFERROR(INDEX('Hydrogen-ELT'!$F$6:$J$17,MATCH(TS_TTech!$C316&amp;TS_TTech!$B316,'Hydrogen-ELT'!$A$6:$A$17&amp;'Hydrogen-ELT'!$B$6:$B$17,0),MATCH(TS_TTech!AL$7,'Hydrogen-ELT'!$F$5:$J$5,0)),"")</f>
        <v>0.81579999999999941</v>
      </c>
      <c r="AM316" s="163" t="str">
        <f t="array" aca="1" ref="AM316" ca="1">IFERROR(INDEX('Hydrogen-ELT'!$F$6:$J$17,MATCH(TS_TTech!$C316&amp;TS_TTech!$B316,'Hydrogen-ELT'!$A$6:$A$17&amp;'Hydrogen-ELT'!$B$6:$B$17,0),MATCH(TS_TTech!AM$7,'Hydrogen-ELT'!$F$5:$J$5,0)),"")</f>
        <v/>
      </c>
      <c r="AN316" s="163">
        <f t="array" aca="1" ref="AN316" ca="1">IFERROR(INDEX('Hydrogen-ELT'!$F$6:$J$17,MATCH(TS_TTech!$C316&amp;TS_TTech!$B316,'Hydrogen-ELT'!$A$6:$A$17&amp;'Hydrogen-ELT'!$B$6:$B$17,0),MATCH(TS_TTech!AN$7,'Hydrogen-ELT'!$F$5:$J$5,0)),"")</f>
        <v>0.81579999999999941</v>
      </c>
      <c r="AO316" s="163" t="str">
        <f t="array" aca="1" ref="AO316" ca="1">IFERROR(INDEX('Hydrogen-ELT'!$F$6:$J$17,MATCH(TS_TTech!$C316&amp;TS_TTech!$B316,'Hydrogen-ELT'!$A$6:$A$17&amp;'Hydrogen-ELT'!$B$6:$B$17,0),MATCH(TS_TTech!AO$7,'Hydrogen-ELT'!$F$5:$J$5,0)),"")</f>
        <v/>
      </c>
      <c r="AP316" s="163" t="str">
        <f t="array" aca="1" ref="AP316" ca="1">IFERROR(INDEX('Hydrogen-ELT'!$F$6:$J$17,MATCH(TS_TTech!$C316&amp;TS_TTech!$B316,'Hydrogen-ELT'!$A$6:$A$17&amp;'Hydrogen-ELT'!$B$6:$B$17,0),MATCH(TS_TTech!AP$7,'Hydrogen-ELT'!$F$5:$J$5,0)),"")</f>
        <v/>
      </c>
      <c r="AR316" s="163">
        <f t="shared" si="149"/>
        <v>27</v>
      </c>
      <c r="AS316" s="42">
        <f t="shared" si="155"/>
        <v>6</v>
      </c>
      <c r="AU316" s="42">
        <f ca="1">SUMIF(UPS!B$38:B$171,C316,UPS!BD$38:BD$171)</f>
        <v>131</v>
      </c>
    </row>
    <row r="317" spans="1:51">
      <c r="B317" s="440" t="str">
        <f t="shared" si="150"/>
        <v>FLO_SHAR</v>
      </c>
      <c r="C317" s="440" t="str">
        <f ca="1">IF($A317="*","",OFFSET(ITEMS_UPS!$C$8,AR317,0))</f>
        <v>UELEA1HGN</v>
      </c>
      <c r="D317" s="440" t="str">
        <f ca="1">IF($A317="*","",IF(VLOOKUP("*#"&amp;$AS317,$A$10:$I$24,D$9+1,FALSE)="-","-",OFFSET(UPS!$C$37,AU317+AV317,SUMIF($A$10:$A$20,"*#"&amp;AS317,$AT$10:$AT$20))))</f>
        <v>UPSELC</v>
      </c>
      <c r="E317" s="440" t="str">
        <f t="shared" ca="1" si="151"/>
        <v>UELEA1HGN-I</v>
      </c>
      <c r="F317" s="440" t="str">
        <f t="shared" si="152"/>
        <v>-</v>
      </c>
      <c r="G317" s="440" t="str">
        <f t="shared" si="153"/>
        <v>ANNUAL</v>
      </c>
      <c r="H317" s="441" t="str">
        <f t="shared" si="156"/>
        <v>FX</v>
      </c>
      <c r="I317" s="441">
        <f t="shared" si="154"/>
        <v>3</v>
      </c>
      <c r="J317" s="163">
        <f ca="1">IF($A317="*","",OFFSET(UPS!$C$37,AU317+AV317,SUMIF($A$10:$A$20,"*#"&amp;AS317,$AV$10:$AV$20)))</f>
        <v>1</v>
      </c>
      <c r="K317" s="163" t="str">
        <f t="array" aca="1" ref="K317" ca="1">IFERROR(INDEX('Hydrogen-ELT'!$F$6:$J$17,MATCH(TS_TTech!$C317&amp;TS_TTech!$B317,'Hydrogen-ELT'!$A$6:$A$17&amp;'Hydrogen-ELT'!$B$6:$B$17,0),MATCH(TS_TTech!K$7,'Hydrogen-ELT'!$F$5:$J$5,0)),"")</f>
        <v/>
      </c>
      <c r="L317" s="163" t="str">
        <f t="array" aca="1" ref="L317" ca="1">IFERROR(INDEX('Hydrogen-ELT'!$F$6:$J$17,MATCH(TS_TTech!$C317&amp;TS_TTech!$B317,'Hydrogen-ELT'!$A$6:$A$17&amp;'Hydrogen-ELT'!$B$6:$B$17,0),MATCH(TS_TTech!L$7,'Hydrogen-ELT'!$F$5:$J$5,0)),"")</f>
        <v/>
      </c>
      <c r="M317" s="163" t="str">
        <f t="array" aca="1" ref="M317" ca="1">IFERROR(INDEX('Hydrogen-ELT'!$F$6:$J$17,MATCH(TS_TTech!$C317&amp;TS_TTech!$B317,'Hydrogen-ELT'!$A$6:$A$17&amp;'Hydrogen-ELT'!$B$6:$B$17,0),MATCH(TS_TTech!M$7,'Hydrogen-ELT'!$F$5:$J$5,0)),"")</f>
        <v/>
      </c>
      <c r="N317" s="163" t="str">
        <f t="array" aca="1" ref="N317" ca="1">IFERROR(INDEX('Hydrogen-ELT'!$F$6:$J$17,MATCH(TS_TTech!$C317&amp;TS_TTech!$B317,'Hydrogen-ELT'!$A$6:$A$17&amp;'Hydrogen-ELT'!$B$6:$B$17,0),MATCH(TS_TTech!N$7,'Hydrogen-ELT'!$F$5:$J$5,0)),"")</f>
        <v/>
      </c>
      <c r="O317" s="163" t="str">
        <f t="array" aca="1" ref="O317" ca="1">IFERROR(INDEX('Hydrogen-ELT'!$F$6:$J$17,MATCH(TS_TTech!$C317&amp;TS_TTech!$B317,'Hydrogen-ELT'!$A$6:$A$17&amp;'Hydrogen-ELT'!$B$6:$B$17,0),MATCH(TS_TTech!O$7,'Hydrogen-ELT'!$F$5:$J$5,0)),"")</f>
        <v/>
      </c>
      <c r="P317" s="163" t="str">
        <f t="array" aca="1" ref="P317" ca="1">IFERROR(INDEX('Hydrogen-ELT'!$F$6:$J$17,MATCH(TS_TTech!$C317&amp;TS_TTech!$B317,'Hydrogen-ELT'!$A$6:$A$17&amp;'Hydrogen-ELT'!$B$6:$B$17,0),MATCH(TS_TTech!P$7,'Hydrogen-ELT'!$F$5:$J$5,0)),"")</f>
        <v/>
      </c>
      <c r="Q317" s="163" t="str">
        <f t="array" aca="1" ref="Q317" ca="1">IFERROR(INDEX('Hydrogen-ELT'!$F$6:$J$17,MATCH(TS_TTech!$C317&amp;TS_TTech!$B317,'Hydrogen-ELT'!$A$6:$A$17&amp;'Hydrogen-ELT'!$B$6:$B$17,0),MATCH(TS_TTech!Q$7,'Hydrogen-ELT'!$F$5:$J$5,0)),"")</f>
        <v/>
      </c>
      <c r="R317" s="163" t="str">
        <f t="array" aca="1" ref="R317" ca="1">IFERROR(INDEX('Hydrogen-ELT'!$F$6:$J$17,MATCH(TS_TTech!$C317&amp;TS_TTech!$B317,'Hydrogen-ELT'!$A$6:$A$17&amp;'Hydrogen-ELT'!$B$6:$B$17,0),MATCH(TS_TTech!R$7,'Hydrogen-ELT'!$F$5:$J$5,0)),"")</f>
        <v/>
      </c>
      <c r="S317" s="163" t="str">
        <f t="array" aca="1" ref="S317" ca="1">IFERROR(INDEX('Hydrogen-ELT'!$F$6:$J$17,MATCH(TS_TTech!$C317&amp;TS_TTech!$B317,'Hydrogen-ELT'!$A$6:$A$17&amp;'Hydrogen-ELT'!$B$6:$B$17,0),MATCH(TS_TTech!S$7,'Hydrogen-ELT'!$F$5:$J$5,0)),"")</f>
        <v/>
      </c>
      <c r="T317" s="163" t="str">
        <f t="array" aca="1" ref="T317" ca="1">IFERROR(INDEX('Hydrogen-ELT'!$F$6:$J$17,MATCH(TS_TTech!$C317&amp;TS_TTech!$B317,'Hydrogen-ELT'!$A$6:$A$17&amp;'Hydrogen-ELT'!$B$6:$B$17,0),MATCH(TS_TTech!T$7,'Hydrogen-ELT'!$F$5:$J$5,0)),"")</f>
        <v/>
      </c>
      <c r="U317" s="163" t="str">
        <f t="array" aca="1" ref="U317" ca="1">IFERROR(INDEX('Hydrogen-ELT'!$F$6:$J$17,MATCH(TS_TTech!$C317&amp;TS_TTech!$B317,'Hydrogen-ELT'!$A$6:$A$17&amp;'Hydrogen-ELT'!$B$6:$B$17,0),MATCH(TS_TTech!U$7,'Hydrogen-ELT'!$F$5:$J$5,0)),"")</f>
        <v/>
      </c>
      <c r="V317" s="163" t="str">
        <f t="array" aca="1" ref="V317" ca="1">IFERROR(INDEX('Hydrogen-ELT'!$F$6:$J$17,MATCH(TS_TTech!$C317&amp;TS_TTech!$B317,'Hydrogen-ELT'!$A$6:$A$17&amp;'Hydrogen-ELT'!$B$6:$B$17,0),MATCH(TS_TTech!V$7,'Hydrogen-ELT'!$F$5:$J$5,0)),"")</f>
        <v/>
      </c>
      <c r="W317" s="163" t="str">
        <f t="array" aca="1" ref="W317" ca="1">IFERROR(INDEX('Hydrogen-ELT'!$F$6:$J$17,MATCH(TS_TTech!$C317&amp;TS_TTech!$B317,'Hydrogen-ELT'!$A$6:$A$17&amp;'Hydrogen-ELT'!$B$6:$B$17,0),MATCH(TS_TTech!W$7,'Hydrogen-ELT'!$F$5:$J$5,0)),"")</f>
        <v/>
      </c>
      <c r="X317" s="163" t="str">
        <f t="array" aca="1" ref="X317" ca="1">IFERROR(INDEX('Hydrogen-ELT'!$F$6:$J$17,MATCH(TS_TTech!$C317&amp;TS_TTech!$B317,'Hydrogen-ELT'!$A$6:$A$17&amp;'Hydrogen-ELT'!$B$6:$B$17,0),MATCH(TS_TTech!X$7,'Hydrogen-ELT'!$F$5:$J$5,0)),"")</f>
        <v/>
      </c>
      <c r="Y317" s="163" t="str">
        <f t="array" aca="1" ref="Y317" ca="1">IFERROR(INDEX('Hydrogen-ELT'!$F$6:$J$17,MATCH(TS_TTech!$C317&amp;TS_TTech!$B317,'Hydrogen-ELT'!$A$6:$A$17&amp;'Hydrogen-ELT'!$B$6:$B$17,0),MATCH(TS_TTech!Y$7,'Hydrogen-ELT'!$F$5:$J$5,0)),"")</f>
        <v/>
      </c>
      <c r="Z317" s="163" t="str">
        <f t="array" aca="1" ref="Z317" ca="1">IFERROR(INDEX('Hydrogen-ELT'!$F$6:$J$17,MATCH(TS_TTech!$C317&amp;TS_TTech!$B317,'Hydrogen-ELT'!$A$6:$A$17&amp;'Hydrogen-ELT'!$B$6:$B$17,0),MATCH(TS_TTech!Z$7,'Hydrogen-ELT'!$F$5:$J$5,0)),"")</f>
        <v/>
      </c>
      <c r="AA317" s="163" t="str">
        <f t="array" aca="1" ref="AA317" ca="1">IFERROR(INDEX('Hydrogen-ELT'!$F$6:$J$17,MATCH(TS_TTech!$C317&amp;TS_TTech!$B317,'Hydrogen-ELT'!$A$6:$A$17&amp;'Hydrogen-ELT'!$B$6:$B$17,0),MATCH(TS_TTech!AA$7,'Hydrogen-ELT'!$F$5:$J$5,0)),"")</f>
        <v/>
      </c>
      <c r="AB317" s="163" t="str">
        <f t="array" aca="1" ref="AB317" ca="1">IFERROR(INDEX('Hydrogen-ELT'!$F$6:$J$17,MATCH(TS_TTech!$C317&amp;TS_TTech!$B317,'Hydrogen-ELT'!$A$6:$A$17&amp;'Hydrogen-ELT'!$B$6:$B$17,0),MATCH(TS_TTech!AB$7,'Hydrogen-ELT'!$F$5:$J$5,0)),"")</f>
        <v/>
      </c>
      <c r="AC317" s="163" t="str">
        <f t="array" aca="1" ref="AC317" ca="1">IFERROR(INDEX('Hydrogen-ELT'!$F$6:$J$17,MATCH(TS_TTech!$C317&amp;TS_TTech!$B317,'Hydrogen-ELT'!$A$6:$A$17&amp;'Hydrogen-ELT'!$B$6:$B$17,0),MATCH(TS_TTech!AC$7,'Hydrogen-ELT'!$F$5:$J$5,0)),"")</f>
        <v/>
      </c>
      <c r="AD317" s="163" t="str">
        <f t="array" aca="1" ref="AD317" ca="1">IFERROR(INDEX('Hydrogen-ELT'!$F$6:$J$17,MATCH(TS_TTech!$C317&amp;TS_TTech!$B317,'Hydrogen-ELT'!$A$6:$A$17&amp;'Hydrogen-ELT'!$B$6:$B$17,0),MATCH(TS_TTech!AD$7,'Hydrogen-ELT'!$F$5:$J$5,0)),"")</f>
        <v/>
      </c>
      <c r="AE317" s="163" t="str">
        <f t="array" aca="1" ref="AE317" ca="1">IFERROR(INDEX('Hydrogen-ELT'!$F$6:$J$17,MATCH(TS_TTech!$C317&amp;TS_TTech!$B317,'Hydrogen-ELT'!$A$6:$A$17&amp;'Hydrogen-ELT'!$B$6:$B$17,0),MATCH(TS_TTech!AE$7,'Hydrogen-ELT'!$F$5:$J$5,0)),"")</f>
        <v/>
      </c>
      <c r="AF317" s="163" t="str">
        <f t="array" aca="1" ref="AF317" ca="1">IFERROR(INDEX('Hydrogen-ELT'!$F$6:$J$17,MATCH(TS_TTech!$C317&amp;TS_TTech!$B317,'Hydrogen-ELT'!$A$6:$A$17&amp;'Hydrogen-ELT'!$B$6:$B$17,0),MATCH(TS_TTech!AF$7,'Hydrogen-ELT'!$F$5:$J$5,0)),"")</f>
        <v/>
      </c>
      <c r="AG317" s="163" t="str">
        <f t="array" aca="1" ref="AG317" ca="1">IFERROR(INDEX('Hydrogen-ELT'!$F$6:$J$17,MATCH(TS_TTech!$C317&amp;TS_TTech!$B317,'Hydrogen-ELT'!$A$6:$A$17&amp;'Hydrogen-ELT'!$B$6:$B$17,0),MATCH(TS_TTech!AG$7,'Hydrogen-ELT'!$F$5:$J$5,0)),"")</f>
        <v/>
      </c>
      <c r="AH317" s="163" t="str">
        <f t="array" aca="1" ref="AH317" ca="1">IFERROR(INDEX('Hydrogen-ELT'!$F$6:$J$17,MATCH(TS_TTech!$C317&amp;TS_TTech!$B317,'Hydrogen-ELT'!$A$6:$A$17&amp;'Hydrogen-ELT'!$B$6:$B$17,0),MATCH(TS_TTech!AH$7,'Hydrogen-ELT'!$F$5:$J$5,0)),"")</f>
        <v/>
      </c>
      <c r="AI317" s="163" t="str">
        <f t="array" aca="1" ref="AI317" ca="1">IFERROR(INDEX('Hydrogen-ELT'!$F$6:$J$17,MATCH(TS_TTech!$C317&amp;TS_TTech!$B317,'Hydrogen-ELT'!$A$6:$A$17&amp;'Hydrogen-ELT'!$B$6:$B$17,0),MATCH(TS_TTech!AI$7,'Hydrogen-ELT'!$F$5:$J$5,0)),"")</f>
        <v/>
      </c>
      <c r="AJ317" s="163" t="str">
        <f t="array" aca="1" ref="AJ317" ca="1">IFERROR(INDEX('Hydrogen-ELT'!$F$6:$J$17,MATCH(TS_TTech!$C317&amp;TS_TTech!$B317,'Hydrogen-ELT'!$A$6:$A$17&amp;'Hydrogen-ELT'!$B$6:$B$17,0),MATCH(TS_TTech!AJ$7,'Hydrogen-ELT'!$F$5:$J$5,0)),"")</f>
        <v/>
      </c>
      <c r="AK317" s="163" t="str">
        <f t="array" aca="1" ref="AK317" ca="1">IFERROR(INDEX('Hydrogen-ELT'!$F$6:$J$17,MATCH(TS_TTech!$C317&amp;TS_TTech!$B317,'Hydrogen-ELT'!$A$6:$A$17&amp;'Hydrogen-ELT'!$B$6:$B$17,0),MATCH(TS_TTech!AK$7,'Hydrogen-ELT'!$F$5:$J$5,0)),"")</f>
        <v/>
      </c>
      <c r="AL317" s="163" t="str">
        <f t="array" aca="1" ref="AL317" ca="1">IFERROR(INDEX('Hydrogen-ELT'!$F$6:$J$17,MATCH(TS_TTech!$C317&amp;TS_TTech!$B317,'Hydrogen-ELT'!$A$6:$A$17&amp;'Hydrogen-ELT'!$B$6:$B$17,0),MATCH(TS_TTech!AL$7,'Hydrogen-ELT'!$F$5:$J$5,0)),"")</f>
        <v/>
      </c>
      <c r="AM317" s="163" t="str">
        <f t="array" aca="1" ref="AM317" ca="1">IFERROR(INDEX('Hydrogen-ELT'!$F$6:$J$17,MATCH(TS_TTech!$C317&amp;TS_TTech!$B317,'Hydrogen-ELT'!$A$6:$A$17&amp;'Hydrogen-ELT'!$B$6:$B$17,0),MATCH(TS_TTech!AM$7,'Hydrogen-ELT'!$F$5:$J$5,0)),"")</f>
        <v/>
      </c>
      <c r="AN317" s="163" t="str">
        <f t="array" aca="1" ref="AN317" ca="1">IFERROR(INDEX('Hydrogen-ELT'!$F$6:$J$17,MATCH(TS_TTech!$C317&amp;TS_TTech!$B317,'Hydrogen-ELT'!$A$6:$A$17&amp;'Hydrogen-ELT'!$B$6:$B$17,0),MATCH(TS_TTech!AN$7,'Hydrogen-ELT'!$F$5:$J$5,0)),"")</f>
        <v/>
      </c>
      <c r="AO317" s="163" t="str">
        <f t="array" aca="1" ref="AO317" ca="1">IFERROR(INDEX('Hydrogen-ELT'!$F$6:$J$17,MATCH(TS_TTech!$C317&amp;TS_TTech!$B317,'Hydrogen-ELT'!$A$6:$A$17&amp;'Hydrogen-ELT'!$B$6:$B$17,0),MATCH(TS_TTech!AO$7,'Hydrogen-ELT'!$F$5:$J$5,0)),"")</f>
        <v/>
      </c>
      <c r="AP317" s="163" t="str">
        <f t="array" aca="1" ref="AP317" ca="1">IFERROR(INDEX('Hydrogen-ELT'!$F$6:$J$17,MATCH(TS_TTech!$C317&amp;TS_TTech!$B317,'Hydrogen-ELT'!$A$6:$A$17&amp;'Hydrogen-ELT'!$B$6:$B$17,0),MATCH(TS_TTech!AP$7,'Hydrogen-ELT'!$F$5:$J$5,0)),"")</f>
        <v/>
      </c>
      <c r="AR317" s="163">
        <f t="shared" si="149"/>
        <v>27</v>
      </c>
      <c r="AS317" s="42">
        <f t="shared" si="155"/>
        <v>7</v>
      </c>
      <c r="AU317" s="42">
        <f ca="1">SUMIF(UPS!B$38:B$171,C317,UPS!BD$38:BD$171)</f>
        <v>131</v>
      </c>
      <c r="AV317" s="42">
        <v>0</v>
      </c>
    </row>
    <row r="318" spans="1:51">
      <c r="B318" s="440" t="str">
        <f t="shared" si="150"/>
        <v>FLO_SHAR</v>
      </c>
      <c r="C318" s="440" t="str">
        <f ca="1">IF($A318="*","",OFFSET(ITEMS_UPS!$C$8,AR318,0))</f>
        <v>UELEA1HGN</v>
      </c>
      <c r="D318" s="440" t="str">
        <f ca="1">IF($A318="*","",IF(VLOOKUP("*#"&amp;$AS318,$A$10:$I$24,D$9+1,FALSE)="-","-",OFFSET(UPS!$C$37,AU318+AV318,SUMIF($A$10:$A$20,"*#"&amp;AS318,$AT$10:$AT$20))))</f>
        <v>UPSHGN</v>
      </c>
      <c r="E318" s="440" t="str">
        <f t="shared" ca="1" si="151"/>
        <v>UELEA1HGN-O</v>
      </c>
      <c r="F318" s="440" t="str">
        <f t="shared" si="152"/>
        <v>-</v>
      </c>
      <c r="G318" s="440" t="str">
        <f t="shared" si="153"/>
        <v>ANNUAL</v>
      </c>
      <c r="H318" s="441" t="str">
        <f t="shared" si="156"/>
        <v>UP</v>
      </c>
      <c r="I318" s="441">
        <f t="shared" si="154"/>
        <v>3</v>
      </c>
      <c r="J318" s="163">
        <f ca="1">IF($A318="*","",OFFSET(UPS!$C$37,AU318+AV318,SUMIF($A$10:$A$20,"*#"&amp;AS318,$AV$10:$AV$20)))</f>
        <v>1</v>
      </c>
      <c r="K318" s="163" t="str">
        <f t="array" aca="1" ref="K318" ca="1">IFERROR(INDEX('Hydrogen-ELT'!$F$6:$J$17,MATCH(TS_TTech!$C318&amp;TS_TTech!$B318,'Hydrogen-ELT'!$A$6:$A$17&amp;'Hydrogen-ELT'!$B$6:$B$17,0),MATCH(TS_TTech!K$7,'Hydrogen-ELT'!$F$5:$J$5,0)),"")</f>
        <v/>
      </c>
      <c r="L318" s="163" t="str">
        <f t="array" aca="1" ref="L318" ca="1">IFERROR(INDEX('Hydrogen-ELT'!$F$6:$J$17,MATCH(TS_TTech!$C318&amp;TS_TTech!$B318,'Hydrogen-ELT'!$A$6:$A$17&amp;'Hydrogen-ELT'!$B$6:$B$17,0),MATCH(TS_TTech!L$7,'Hydrogen-ELT'!$F$5:$J$5,0)),"")</f>
        <v/>
      </c>
      <c r="M318" s="163" t="str">
        <f t="array" aca="1" ref="M318" ca="1">IFERROR(INDEX('Hydrogen-ELT'!$F$6:$J$17,MATCH(TS_TTech!$C318&amp;TS_TTech!$B318,'Hydrogen-ELT'!$A$6:$A$17&amp;'Hydrogen-ELT'!$B$6:$B$17,0),MATCH(TS_TTech!M$7,'Hydrogen-ELT'!$F$5:$J$5,0)),"")</f>
        <v/>
      </c>
      <c r="N318" s="163" t="str">
        <f t="array" aca="1" ref="N318" ca="1">IFERROR(INDEX('Hydrogen-ELT'!$F$6:$J$17,MATCH(TS_TTech!$C318&amp;TS_TTech!$B318,'Hydrogen-ELT'!$A$6:$A$17&amp;'Hydrogen-ELT'!$B$6:$B$17,0),MATCH(TS_TTech!N$7,'Hydrogen-ELT'!$F$5:$J$5,0)),"")</f>
        <v/>
      </c>
      <c r="O318" s="163" t="str">
        <f t="array" aca="1" ref="O318" ca="1">IFERROR(INDEX('Hydrogen-ELT'!$F$6:$J$17,MATCH(TS_TTech!$C318&amp;TS_TTech!$B318,'Hydrogen-ELT'!$A$6:$A$17&amp;'Hydrogen-ELT'!$B$6:$B$17,0),MATCH(TS_TTech!O$7,'Hydrogen-ELT'!$F$5:$J$5,0)),"")</f>
        <v/>
      </c>
      <c r="P318" s="163" t="str">
        <f t="array" aca="1" ref="P318" ca="1">IFERROR(INDEX('Hydrogen-ELT'!$F$6:$J$17,MATCH(TS_TTech!$C318&amp;TS_TTech!$B318,'Hydrogen-ELT'!$A$6:$A$17&amp;'Hydrogen-ELT'!$B$6:$B$17,0),MATCH(TS_TTech!P$7,'Hydrogen-ELT'!$F$5:$J$5,0)),"")</f>
        <v/>
      </c>
      <c r="Q318" s="163" t="str">
        <f t="array" aca="1" ref="Q318" ca="1">IFERROR(INDEX('Hydrogen-ELT'!$F$6:$J$17,MATCH(TS_TTech!$C318&amp;TS_TTech!$B318,'Hydrogen-ELT'!$A$6:$A$17&amp;'Hydrogen-ELT'!$B$6:$B$17,0),MATCH(TS_TTech!Q$7,'Hydrogen-ELT'!$F$5:$J$5,0)),"")</f>
        <v/>
      </c>
      <c r="R318" s="163" t="str">
        <f t="array" aca="1" ref="R318" ca="1">IFERROR(INDEX('Hydrogen-ELT'!$F$6:$J$17,MATCH(TS_TTech!$C318&amp;TS_TTech!$B318,'Hydrogen-ELT'!$A$6:$A$17&amp;'Hydrogen-ELT'!$B$6:$B$17,0),MATCH(TS_TTech!R$7,'Hydrogen-ELT'!$F$5:$J$5,0)),"")</f>
        <v/>
      </c>
      <c r="S318" s="163" t="str">
        <f t="array" aca="1" ref="S318" ca="1">IFERROR(INDEX('Hydrogen-ELT'!$F$6:$J$17,MATCH(TS_TTech!$C318&amp;TS_TTech!$B318,'Hydrogen-ELT'!$A$6:$A$17&amp;'Hydrogen-ELT'!$B$6:$B$17,0),MATCH(TS_TTech!S$7,'Hydrogen-ELT'!$F$5:$J$5,0)),"")</f>
        <v/>
      </c>
      <c r="T318" s="163" t="str">
        <f t="array" aca="1" ref="T318" ca="1">IFERROR(INDEX('Hydrogen-ELT'!$F$6:$J$17,MATCH(TS_TTech!$C318&amp;TS_TTech!$B318,'Hydrogen-ELT'!$A$6:$A$17&amp;'Hydrogen-ELT'!$B$6:$B$17,0),MATCH(TS_TTech!T$7,'Hydrogen-ELT'!$F$5:$J$5,0)),"")</f>
        <v/>
      </c>
      <c r="U318" s="163" t="str">
        <f t="array" aca="1" ref="U318" ca="1">IFERROR(INDEX('Hydrogen-ELT'!$F$6:$J$17,MATCH(TS_TTech!$C318&amp;TS_TTech!$B318,'Hydrogen-ELT'!$A$6:$A$17&amp;'Hydrogen-ELT'!$B$6:$B$17,0),MATCH(TS_TTech!U$7,'Hydrogen-ELT'!$F$5:$J$5,0)),"")</f>
        <v/>
      </c>
      <c r="V318" s="163" t="str">
        <f t="array" aca="1" ref="V318" ca="1">IFERROR(INDEX('Hydrogen-ELT'!$F$6:$J$17,MATCH(TS_TTech!$C318&amp;TS_TTech!$B318,'Hydrogen-ELT'!$A$6:$A$17&amp;'Hydrogen-ELT'!$B$6:$B$17,0),MATCH(TS_TTech!V$7,'Hydrogen-ELT'!$F$5:$J$5,0)),"")</f>
        <v/>
      </c>
      <c r="W318" s="163" t="str">
        <f t="array" aca="1" ref="W318" ca="1">IFERROR(INDEX('Hydrogen-ELT'!$F$6:$J$17,MATCH(TS_TTech!$C318&amp;TS_TTech!$B318,'Hydrogen-ELT'!$A$6:$A$17&amp;'Hydrogen-ELT'!$B$6:$B$17,0),MATCH(TS_TTech!W$7,'Hydrogen-ELT'!$F$5:$J$5,0)),"")</f>
        <v/>
      </c>
      <c r="X318" s="163" t="str">
        <f t="array" aca="1" ref="X318" ca="1">IFERROR(INDEX('Hydrogen-ELT'!$F$6:$J$17,MATCH(TS_TTech!$C318&amp;TS_TTech!$B318,'Hydrogen-ELT'!$A$6:$A$17&amp;'Hydrogen-ELT'!$B$6:$B$17,0),MATCH(TS_TTech!X$7,'Hydrogen-ELT'!$F$5:$J$5,0)),"")</f>
        <v/>
      </c>
      <c r="Y318" s="163" t="str">
        <f t="array" aca="1" ref="Y318" ca="1">IFERROR(INDEX('Hydrogen-ELT'!$F$6:$J$17,MATCH(TS_TTech!$C318&amp;TS_TTech!$B318,'Hydrogen-ELT'!$A$6:$A$17&amp;'Hydrogen-ELT'!$B$6:$B$17,0),MATCH(TS_TTech!Y$7,'Hydrogen-ELT'!$F$5:$J$5,0)),"")</f>
        <v/>
      </c>
      <c r="Z318" s="163" t="str">
        <f t="array" aca="1" ref="Z318" ca="1">IFERROR(INDEX('Hydrogen-ELT'!$F$6:$J$17,MATCH(TS_TTech!$C318&amp;TS_TTech!$B318,'Hydrogen-ELT'!$A$6:$A$17&amp;'Hydrogen-ELT'!$B$6:$B$17,0),MATCH(TS_TTech!Z$7,'Hydrogen-ELT'!$F$5:$J$5,0)),"")</f>
        <v/>
      </c>
      <c r="AA318" s="163" t="str">
        <f t="array" aca="1" ref="AA318" ca="1">IFERROR(INDEX('Hydrogen-ELT'!$F$6:$J$17,MATCH(TS_TTech!$C318&amp;TS_TTech!$B318,'Hydrogen-ELT'!$A$6:$A$17&amp;'Hydrogen-ELT'!$B$6:$B$17,0),MATCH(TS_TTech!AA$7,'Hydrogen-ELT'!$F$5:$J$5,0)),"")</f>
        <v/>
      </c>
      <c r="AB318" s="163" t="str">
        <f t="array" aca="1" ref="AB318" ca="1">IFERROR(INDEX('Hydrogen-ELT'!$F$6:$J$17,MATCH(TS_TTech!$C318&amp;TS_TTech!$B318,'Hydrogen-ELT'!$A$6:$A$17&amp;'Hydrogen-ELT'!$B$6:$B$17,0),MATCH(TS_TTech!AB$7,'Hydrogen-ELT'!$F$5:$J$5,0)),"")</f>
        <v/>
      </c>
      <c r="AC318" s="163" t="str">
        <f t="array" aca="1" ref="AC318" ca="1">IFERROR(INDEX('Hydrogen-ELT'!$F$6:$J$17,MATCH(TS_TTech!$C318&amp;TS_TTech!$B318,'Hydrogen-ELT'!$A$6:$A$17&amp;'Hydrogen-ELT'!$B$6:$B$17,0),MATCH(TS_TTech!AC$7,'Hydrogen-ELT'!$F$5:$J$5,0)),"")</f>
        <v/>
      </c>
      <c r="AD318" s="163" t="str">
        <f t="array" aca="1" ref="AD318" ca="1">IFERROR(INDEX('Hydrogen-ELT'!$F$6:$J$17,MATCH(TS_TTech!$C318&amp;TS_TTech!$B318,'Hydrogen-ELT'!$A$6:$A$17&amp;'Hydrogen-ELT'!$B$6:$B$17,0),MATCH(TS_TTech!AD$7,'Hydrogen-ELT'!$F$5:$J$5,0)),"")</f>
        <v/>
      </c>
      <c r="AE318" s="163" t="str">
        <f t="array" aca="1" ref="AE318" ca="1">IFERROR(INDEX('Hydrogen-ELT'!$F$6:$J$17,MATCH(TS_TTech!$C318&amp;TS_TTech!$B318,'Hydrogen-ELT'!$A$6:$A$17&amp;'Hydrogen-ELT'!$B$6:$B$17,0),MATCH(TS_TTech!AE$7,'Hydrogen-ELT'!$F$5:$J$5,0)),"")</f>
        <v/>
      </c>
      <c r="AF318" s="163" t="str">
        <f t="array" aca="1" ref="AF318" ca="1">IFERROR(INDEX('Hydrogen-ELT'!$F$6:$J$17,MATCH(TS_TTech!$C318&amp;TS_TTech!$B318,'Hydrogen-ELT'!$A$6:$A$17&amp;'Hydrogen-ELT'!$B$6:$B$17,0),MATCH(TS_TTech!AF$7,'Hydrogen-ELT'!$F$5:$J$5,0)),"")</f>
        <v/>
      </c>
      <c r="AG318" s="163" t="str">
        <f t="array" aca="1" ref="AG318" ca="1">IFERROR(INDEX('Hydrogen-ELT'!$F$6:$J$17,MATCH(TS_TTech!$C318&amp;TS_TTech!$B318,'Hydrogen-ELT'!$A$6:$A$17&amp;'Hydrogen-ELT'!$B$6:$B$17,0),MATCH(TS_TTech!AG$7,'Hydrogen-ELT'!$F$5:$J$5,0)),"")</f>
        <v/>
      </c>
      <c r="AH318" s="163" t="str">
        <f t="array" aca="1" ref="AH318" ca="1">IFERROR(INDEX('Hydrogen-ELT'!$F$6:$J$17,MATCH(TS_TTech!$C318&amp;TS_TTech!$B318,'Hydrogen-ELT'!$A$6:$A$17&amp;'Hydrogen-ELT'!$B$6:$B$17,0),MATCH(TS_TTech!AH$7,'Hydrogen-ELT'!$F$5:$J$5,0)),"")</f>
        <v/>
      </c>
      <c r="AI318" s="163" t="str">
        <f t="array" aca="1" ref="AI318" ca="1">IFERROR(INDEX('Hydrogen-ELT'!$F$6:$J$17,MATCH(TS_TTech!$C318&amp;TS_TTech!$B318,'Hydrogen-ELT'!$A$6:$A$17&amp;'Hydrogen-ELT'!$B$6:$B$17,0),MATCH(TS_TTech!AI$7,'Hydrogen-ELT'!$F$5:$J$5,0)),"")</f>
        <v/>
      </c>
      <c r="AJ318" s="163" t="str">
        <f t="array" aca="1" ref="AJ318" ca="1">IFERROR(INDEX('Hydrogen-ELT'!$F$6:$J$17,MATCH(TS_TTech!$C318&amp;TS_TTech!$B318,'Hydrogen-ELT'!$A$6:$A$17&amp;'Hydrogen-ELT'!$B$6:$B$17,0),MATCH(TS_TTech!AJ$7,'Hydrogen-ELT'!$F$5:$J$5,0)),"")</f>
        <v/>
      </c>
      <c r="AK318" s="163" t="str">
        <f t="array" aca="1" ref="AK318" ca="1">IFERROR(INDEX('Hydrogen-ELT'!$F$6:$J$17,MATCH(TS_TTech!$C318&amp;TS_TTech!$B318,'Hydrogen-ELT'!$A$6:$A$17&amp;'Hydrogen-ELT'!$B$6:$B$17,0),MATCH(TS_TTech!AK$7,'Hydrogen-ELT'!$F$5:$J$5,0)),"")</f>
        <v/>
      </c>
      <c r="AL318" s="163" t="str">
        <f t="array" aca="1" ref="AL318" ca="1">IFERROR(INDEX('Hydrogen-ELT'!$F$6:$J$17,MATCH(TS_TTech!$C318&amp;TS_TTech!$B318,'Hydrogen-ELT'!$A$6:$A$17&amp;'Hydrogen-ELT'!$B$6:$B$17,0),MATCH(TS_TTech!AL$7,'Hydrogen-ELT'!$F$5:$J$5,0)),"")</f>
        <v/>
      </c>
      <c r="AM318" s="163" t="str">
        <f t="array" aca="1" ref="AM318" ca="1">IFERROR(INDEX('Hydrogen-ELT'!$F$6:$J$17,MATCH(TS_TTech!$C318&amp;TS_TTech!$B318,'Hydrogen-ELT'!$A$6:$A$17&amp;'Hydrogen-ELT'!$B$6:$B$17,0),MATCH(TS_TTech!AM$7,'Hydrogen-ELT'!$F$5:$J$5,0)),"")</f>
        <v/>
      </c>
      <c r="AN318" s="163" t="str">
        <f t="array" aca="1" ref="AN318" ca="1">IFERROR(INDEX('Hydrogen-ELT'!$F$6:$J$17,MATCH(TS_TTech!$C318&amp;TS_TTech!$B318,'Hydrogen-ELT'!$A$6:$A$17&amp;'Hydrogen-ELT'!$B$6:$B$17,0),MATCH(TS_TTech!AN$7,'Hydrogen-ELT'!$F$5:$J$5,0)),"")</f>
        <v/>
      </c>
      <c r="AO318" s="163" t="str">
        <f t="array" aca="1" ref="AO318" ca="1">IFERROR(INDEX('Hydrogen-ELT'!$F$6:$J$17,MATCH(TS_TTech!$C318&amp;TS_TTech!$B318,'Hydrogen-ELT'!$A$6:$A$17&amp;'Hydrogen-ELT'!$B$6:$B$17,0),MATCH(TS_TTech!AO$7,'Hydrogen-ELT'!$F$5:$J$5,0)),"")</f>
        <v/>
      </c>
      <c r="AP318" s="163" t="str">
        <f t="array" aca="1" ref="AP318" ca="1">IFERROR(INDEX('Hydrogen-ELT'!$F$6:$J$17,MATCH(TS_TTech!$C318&amp;TS_TTech!$B318,'Hydrogen-ELT'!$A$6:$A$17&amp;'Hydrogen-ELT'!$B$6:$B$17,0),MATCH(TS_TTech!AP$7,'Hydrogen-ELT'!$F$5:$J$5,0)),"")</f>
        <v/>
      </c>
      <c r="AR318" s="163">
        <f t="shared" si="149"/>
        <v>27</v>
      </c>
      <c r="AS318" s="42">
        <f t="shared" si="155"/>
        <v>8</v>
      </c>
      <c r="AU318" s="42">
        <f ca="1">SUMIF(UPS!B$38:B$171,C318,UPS!BD$38:BD$171)</f>
        <v>131</v>
      </c>
      <c r="AV318" s="42">
        <v>1</v>
      </c>
    </row>
    <row r="319" spans="1:51">
      <c r="B319" s="440" t="str">
        <f t="shared" si="150"/>
        <v>FLO_EMIS</v>
      </c>
      <c r="C319" s="440" t="str">
        <f ca="1">IF($A319="*","",OFFSET(ITEMS_UPS!$C$8,AR319,0))</f>
        <v>UELEA1HGN</v>
      </c>
      <c r="D319" s="440" t="str">
        <f>$D$18</f>
        <v>UPSCO2S</v>
      </c>
      <c r="E319" s="440" t="str">
        <f t="shared" ca="1" si="151"/>
        <v>UELEA1HGN-O</v>
      </c>
      <c r="F319" s="440" t="str">
        <f t="shared" si="152"/>
        <v>-</v>
      </c>
      <c r="G319" s="440" t="str">
        <f t="shared" si="153"/>
        <v>ANNUAL</v>
      </c>
      <c r="H319" s="441" t="str">
        <f t="shared" si="156"/>
        <v>-</v>
      </c>
      <c r="I319" s="441">
        <f t="shared" si="154"/>
        <v>0</v>
      </c>
      <c r="J319" s="163">
        <f ca="1">IF($A319="*","",OFFSET(UPS!$C$37,AU319+AV319,SUMIF($A$10:$A$20,"*#"&amp;AS319,$AV$10:$AV$20)))</f>
        <v>0</v>
      </c>
      <c r="K319" s="163" t="str">
        <f t="array" aca="1" ref="K319" ca="1">IFERROR(INDEX('Hydrogen-ELT'!$F$6:$J$17,MATCH(TS_TTech!$C319&amp;TS_TTech!$B319,'Hydrogen-ELT'!$A$6:$A$17&amp;'Hydrogen-ELT'!$B$6:$B$17,0),MATCH(TS_TTech!K$7,'Hydrogen-ELT'!$F$5:$J$5,0)),"")</f>
        <v/>
      </c>
      <c r="L319" s="163" t="str">
        <f t="array" aca="1" ref="L319" ca="1">IFERROR(INDEX('Hydrogen-ELT'!$F$6:$J$17,MATCH(TS_TTech!$C319&amp;TS_TTech!$B319,'Hydrogen-ELT'!$A$6:$A$17&amp;'Hydrogen-ELT'!$B$6:$B$17,0),MATCH(TS_TTech!L$7,'Hydrogen-ELT'!$F$5:$J$5,0)),"")</f>
        <v/>
      </c>
      <c r="M319" s="163" t="str">
        <f t="array" aca="1" ref="M319" ca="1">IFERROR(INDEX('Hydrogen-ELT'!$F$6:$J$17,MATCH(TS_TTech!$C319&amp;TS_TTech!$B319,'Hydrogen-ELT'!$A$6:$A$17&amp;'Hydrogen-ELT'!$B$6:$B$17,0),MATCH(TS_TTech!M$7,'Hydrogen-ELT'!$F$5:$J$5,0)),"")</f>
        <v/>
      </c>
      <c r="N319" s="163" t="str">
        <f t="array" aca="1" ref="N319" ca="1">IFERROR(INDEX('Hydrogen-ELT'!$F$6:$J$17,MATCH(TS_TTech!$C319&amp;TS_TTech!$B319,'Hydrogen-ELT'!$A$6:$A$17&amp;'Hydrogen-ELT'!$B$6:$B$17,0),MATCH(TS_TTech!N$7,'Hydrogen-ELT'!$F$5:$J$5,0)),"")</f>
        <v/>
      </c>
      <c r="O319" s="163" t="str">
        <f t="array" aca="1" ref="O319" ca="1">IFERROR(INDEX('Hydrogen-ELT'!$F$6:$J$17,MATCH(TS_TTech!$C319&amp;TS_TTech!$B319,'Hydrogen-ELT'!$A$6:$A$17&amp;'Hydrogen-ELT'!$B$6:$B$17,0),MATCH(TS_TTech!O$7,'Hydrogen-ELT'!$F$5:$J$5,0)),"")</f>
        <v/>
      </c>
      <c r="P319" s="163" t="str">
        <f t="array" aca="1" ref="P319" ca="1">IFERROR(INDEX('Hydrogen-ELT'!$F$6:$J$17,MATCH(TS_TTech!$C319&amp;TS_TTech!$B319,'Hydrogen-ELT'!$A$6:$A$17&amp;'Hydrogen-ELT'!$B$6:$B$17,0),MATCH(TS_TTech!P$7,'Hydrogen-ELT'!$F$5:$J$5,0)),"")</f>
        <v/>
      </c>
      <c r="Q319" s="163" t="str">
        <f t="array" aca="1" ref="Q319" ca="1">IFERROR(INDEX('Hydrogen-ELT'!$F$6:$J$17,MATCH(TS_TTech!$C319&amp;TS_TTech!$B319,'Hydrogen-ELT'!$A$6:$A$17&amp;'Hydrogen-ELT'!$B$6:$B$17,0),MATCH(TS_TTech!Q$7,'Hydrogen-ELT'!$F$5:$J$5,0)),"")</f>
        <v/>
      </c>
      <c r="R319" s="163" t="str">
        <f t="array" aca="1" ref="R319" ca="1">IFERROR(INDEX('Hydrogen-ELT'!$F$6:$J$17,MATCH(TS_TTech!$C319&amp;TS_TTech!$B319,'Hydrogen-ELT'!$A$6:$A$17&amp;'Hydrogen-ELT'!$B$6:$B$17,0),MATCH(TS_TTech!R$7,'Hydrogen-ELT'!$F$5:$J$5,0)),"")</f>
        <v/>
      </c>
      <c r="S319" s="163" t="str">
        <f t="array" aca="1" ref="S319" ca="1">IFERROR(INDEX('Hydrogen-ELT'!$F$6:$J$17,MATCH(TS_TTech!$C319&amp;TS_TTech!$B319,'Hydrogen-ELT'!$A$6:$A$17&amp;'Hydrogen-ELT'!$B$6:$B$17,0),MATCH(TS_TTech!S$7,'Hydrogen-ELT'!$F$5:$J$5,0)),"")</f>
        <v/>
      </c>
      <c r="T319" s="163" t="str">
        <f t="array" aca="1" ref="T319" ca="1">IFERROR(INDEX('Hydrogen-ELT'!$F$6:$J$17,MATCH(TS_TTech!$C319&amp;TS_TTech!$B319,'Hydrogen-ELT'!$A$6:$A$17&amp;'Hydrogen-ELT'!$B$6:$B$17,0),MATCH(TS_TTech!T$7,'Hydrogen-ELT'!$F$5:$J$5,0)),"")</f>
        <v/>
      </c>
      <c r="U319" s="163" t="str">
        <f t="array" aca="1" ref="U319" ca="1">IFERROR(INDEX('Hydrogen-ELT'!$F$6:$J$17,MATCH(TS_TTech!$C319&amp;TS_TTech!$B319,'Hydrogen-ELT'!$A$6:$A$17&amp;'Hydrogen-ELT'!$B$6:$B$17,0),MATCH(TS_TTech!U$7,'Hydrogen-ELT'!$F$5:$J$5,0)),"")</f>
        <v/>
      </c>
      <c r="V319" s="163" t="str">
        <f t="array" aca="1" ref="V319" ca="1">IFERROR(INDEX('Hydrogen-ELT'!$F$6:$J$17,MATCH(TS_TTech!$C319&amp;TS_TTech!$B319,'Hydrogen-ELT'!$A$6:$A$17&amp;'Hydrogen-ELT'!$B$6:$B$17,0),MATCH(TS_TTech!V$7,'Hydrogen-ELT'!$F$5:$J$5,0)),"")</f>
        <v/>
      </c>
      <c r="W319" s="163" t="str">
        <f t="array" aca="1" ref="W319" ca="1">IFERROR(INDEX('Hydrogen-ELT'!$F$6:$J$17,MATCH(TS_TTech!$C319&amp;TS_TTech!$B319,'Hydrogen-ELT'!$A$6:$A$17&amp;'Hydrogen-ELT'!$B$6:$B$17,0),MATCH(TS_TTech!W$7,'Hydrogen-ELT'!$F$5:$J$5,0)),"")</f>
        <v/>
      </c>
      <c r="X319" s="163" t="str">
        <f t="array" aca="1" ref="X319" ca="1">IFERROR(INDEX('Hydrogen-ELT'!$F$6:$J$17,MATCH(TS_TTech!$C319&amp;TS_TTech!$B319,'Hydrogen-ELT'!$A$6:$A$17&amp;'Hydrogen-ELT'!$B$6:$B$17,0),MATCH(TS_TTech!X$7,'Hydrogen-ELT'!$F$5:$J$5,0)),"")</f>
        <v/>
      </c>
      <c r="Y319" s="163" t="str">
        <f t="array" aca="1" ref="Y319" ca="1">IFERROR(INDEX('Hydrogen-ELT'!$F$6:$J$17,MATCH(TS_TTech!$C319&amp;TS_TTech!$B319,'Hydrogen-ELT'!$A$6:$A$17&amp;'Hydrogen-ELT'!$B$6:$B$17,0),MATCH(TS_TTech!Y$7,'Hydrogen-ELT'!$F$5:$J$5,0)),"")</f>
        <v/>
      </c>
      <c r="Z319" s="163" t="str">
        <f t="array" aca="1" ref="Z319" ca="1">IFERROR(INDEX('Hydrogen-ELT'!$F$6:$J$17,MATCH(TS_TTech!$C319&amp;TS_TTech!$B319,'Hydrogen-ELT'!$A$6:$A$17&amp;'Hydrogen-ELT'!$B$6:$B$17,0),MATCH(TS_TTech!Z$7,'Hydrogen-ELT'!$F$5:$J$5,0)),"")</f>
        <v/>
      </c>
      <c r="AA319" s="163" t="str">
        <f t="array" aca="1" ref="AA319" ca="1">IFERROR(INDEX('Hydrogen-ELT'!$F$6:$J$17,MATCH(TS_TTech!$C319&amp;TS_TTech!$B319,'Hydrogen-ELT'!$A$6:$A$17&amp;'Hydrogen-ELT'!$B$6:$B$17,0),MATCH(TS_TTech!AA$7,'Hydrogen-ELT'!$F$5:$J$5,0)),"")</f>
        <v/>
      </c>
      <c r="AB319" s="163" t="str">
        <f t="array" aca="1" ref="AB319" ca="1">IFERROR(INDEX('Hydrogen-ELT'!$F$6:$J$17,MATCH(TS_TTech!$C319&amp;TS_TTech!$B319,'Hydrogen-ELT'!$A$6:$A$17&amp;'Hydrogen-ELT'!$B$6:$B$17,0),MATCH(TS_TTech!AB$7,'Hydrogen-ELT'!$F$5:$J$5,0)),"")</f>
        <v/>
      </c>
      <c r="AC319" s="163" t="str">
        <f t="array" aca="1" ref="AC319" ca="1">IFERROR(INDEX('Hydrogen-ELT'!$F$6:$J$17,MATCH(TS_TTech!$C319&amp;TS_TTech!$B319,'Hydrogen-ELT'!$A$6:$A$17&amp;'Hydrogen-ELT'!$B$6:$B$17,0),MATCH(TS_TTech!AC$7,'Hydrogen-ELT'!$F$5:$J$5,0)),"")</f>
        <v/>
      </c>
      <c r="AD319" s="163" t="str">
        <f t="array" aca="1" ref="AD319" ca="1">IFERROR(INDEX('Hydrogen-ELT'!$F$6:$J$17,MATCH(TS_TTech!$C319&amp;TS_TTech!$B319,'Hydrogen-ELT'!$A$6:$A$17&amp;'Hydrogen-ELT'!$B$6:$B$17,0),MATCH(TS_TTech!AD$7,'Hydrogen-ELT'!$F$5:$J$5,0)),"")</f>
        <v/>
      </c>
      <c r="AE319" s="163" t="str">
        <f t="array" aca="1" ref="AE319" ca="1">IFERROR(INDEX('Hydrogen-ELT'!$F$6:$J$17,MATCH(TS_TTech!$C319&amp;TS_TTech!$B319,'Hydrogen-ELT'!$A$6:$A$17&amp;'Hydrogen-ELT'!$B$6:$B$17,0),MATCH(TS_TTech!AE$7,'Hydrogen-ELT'!$F$5:$J$5,0)),"")</f>
        <v/>
      </c>
      <c r="AF319" s="163" t="str">
        <f t="array" aca="1" ref="AF319" ca="1">IFERROR(INDEX('Hydrogen-ELT'!$F$6:$J$17,MATCH(TS_TTech!$C319&amp;TS_TTech!$B319,'Hydrogen-ELT'!$A$6:$A$17&amp;'Hydrogen-ELT'!$B$6:$B$17,0),MATCH(TS_TTech!AF$7,'Hydrogen-ELT'!$F$5:$J$5,0)),"")</f>
        <v/>
      </c>
      <c r="AG319" s="163" t="str">
        <f t="array" aca="1" ref="AG319" ca="1">IFERROR(INDEX('Hydrogen-ELT'!$F$6:$J$17,MATCH(TS_TTech!$C319&amp;TS_TTech!$B319,'Hydrogen-ELT'!$A$6:$A$17&amp;'Hydrogen-ELT'!$B$6:$B$17,0),MATCH(TS_TTech!AG$7,'Hydrogen-ELT'!$F$5:$J$5,0)),"")</f>
        <v/>
      </c>
      <c r="AH319" s="163" t="str">
        <f t="array" aca="1" ref="AH319" ca="1">IFERROR(INDEX('Hydrogen-ELT'!$F$6:$J$17,MATCH(TS_TTech!$C319&amp;TS_TTech!$B319,'Hydrogen-ELT'!$A$6:$A$17&amp;'Hydrogen-ELT'!$B$6:$B$17,0),MATCH(TS_TTech!AH$7,'Hydrogen-ELT'!$F$5:$J$5,0)),"")</f>
        <v/>
      </c>
      <c r="AI319" s="163" t="str">
        <f t="array" aca="1" ref="AI319" ca="1">IFERROR(INDEX('Hydrogen-ELT'!$F$6:$J$17,MATCH(TS_TTech!$C319&amp;TS_TTech!$B319,'Hydrogen-ELT'!$A$6:$A$17&amp;'Hydrogen-ELT'!$B$6:$B$17,0),MATCH(TS_TTech!AI$7,'Hydrogen-ELT'!$F$5:$J$5,0)),"")</f>
        <v/>
      </c>
      <c r="AJ319" s="163" t="str">
        <f t="array" aca="1" ref="AJ319" ca="1">IFERROR(INDEX('Hydrogen-ELT'!$F$6:$J$17,MATCH(TS_TTech!$C319&amp;TS_TTech!$B319,'Hydrogen-ELT'!$A$6:$A$17&amp;'Hydrogen-ELT'!$B$6:$B$17,0),MATCH(TS_TTech!AJ$7,'Hydrogen-ELT'!$F$5:$J$5,0)),"")</f>
        <v/>
      </c>
      <c r="AK319" s="163" t="str">
        <f t="array" aca="1" ref="AK319" ca="1">IFERROR(INDEX('Hydrogen-ELT'!$F$6:$J$17,MATCH(TS_TTech!$C319&amp;TS_TTech!$B319,'Hydrogen-ELT'!$A$6:$A$17&amp;'Hydrogen-ELT'!$B$6:$B$17,0),MATCH(TS_TTech!AK$7,'Hydrogen-ELT'!$F$5:$J$5,0)),"")</f>
        <v/>
      </c>
      <c r="AL319" s="163" t="str">
        <f t="array" aca="1" ref="AL319" ca="1">IFERROR(INDEX('Hydrogen-ELT'!$F$6:$J$17,MATCH(TS_TTech!$C319&amp;TS_TTech!$B319,'Hydrogen-ELT'!$A$6:$A$17&amp;'Hydrogen-ELT'!$B$6:$B$17,0),MATCH(TS_TTech!AL$7,'Hydrogen-ELT'!$F$5:$J$5,0)),"")</f>
        <v/>
      </c>
      <c r="AM319" s="163" t="str">
        <f t="array" aca="1" ref="AM319" ca="1">IFERROR(INDEX('Hydrogen-ELT'!$F$6:$J$17,MATCH(TS_TTech!$C319&amp;TS_TTech!$B319,'Hydrogen-ELT'!$A$6:$A$17&amp;'Hydrogen-ELT'!$B$6:$B$17,0),MATCH(TS_TTech!AM$7,'Hydrogen-ELT'!$F$5:$J$5,0)),"")</f>
        <v/>
      </c>
      <c r="AN319" s="163" t="str">
        <f t="array" aca="1" ref="AN319" ca="1">IFERROR(INDEX('Hydrogen-ELT'!$F$6:$J$17,MATCH(TS_TTech!$C319&amp;TS_TTech!$B319,'Hydrogen-ELT'!$A$6:$A$17&amp;'Hydrogen-ELT'!$B$6:$B$17,0),MATCH(TS_TTech!AN$7,'Hydrogen-ELT'!$F$5:$J$5,0)),"")</f>
        <v/>
      </c>
      <c r="AO319" s="163" t="str">
        <f t="array" aca="1" ref="AO319" ca="1">IFERROR(INDEX('Hydrogen-ELT'!$F$6:$J$17,MATCH(TS_TTech!$C319&amp;TS_TTech!$B319,'Hydrogen-ELT'!$A$6:$A$17&amp;'Hydrogen-ELT'!$B$6:$B$17,0),MATCH(TS_TTech!AO$7,'Hydrogen-ELT'!$F$5:$J$5,0)),"")</f>
        <v/>
      </c>
      <c r="AP319" s="163" t="str">
        <f t="array" aca="1" ref="AP319" ca="1">IFERROR(INDEX('Hydrogen-ELT'!$F$6:$J$17,MATCH(TS_TTech!$C319&amp;TS_TTech!$B319,'Hydrogen-ELT'!$A$6:$A$17&amp;'Hydrogen-ELT'!$B$6:$B$17,0),MATCH(TS_TTech!AP$7,'Hydrogen-ELT'!$F$5:$J$5,0)),"")</f>
        <v/>
      </c>
      <c r="AR319" s="163">
        <f t="shared" si="149"/>
        <v>27</v>
      </c>
      <c r="AS319" s="42">
        <f t="shared" si="155"/>
        <v>9</v>
      </c>
      <c r="AU319" s="42">
        <f ca="1">SUMIF(UPS!B$38:B$171,C319,UPS!BD$38:BD$171)</f>
        <v>131</v>
      </c>
    </row>
    <row r="320" spans="1:51">
      <c r="B320" s="440" t="str">
        <f t="shared" si="150"/>
        <v>FLO_EMIS</v>
      </c>
      <c r="C320" s="440" t="str">
        <f ca="1">IF($A320="*","",OFFSET(ITEMS_UPS!$C$8,AR320,0))</f>
        <v>UELEA1HGN</v>
      </c>
      <c r="D320" s="440" t="str">
        <f>$D$19</f>
        <v>UPSCH4S</v>
      </c>
      <c r="E320" s="440" t="str">
        <f t="shared" ca="1" si="151"/>
        <v>UELEA1HGN-O</v>
      </c>
      <c r="F320" s="440" t="str">
        <f t="shared" si="152"/>
        <v>-</v>
      </c>
      <c r="G320" s="440" t="str">
        <f>IF($A320="*","",VLOOKUP("*#"&amp;$AS320,$A$10:$I$24,G$9+1,FALSE))</f>
        <v>ANNUAL</v>
      </c>
      <c r="H320" s="441" t="str">
        <f t="shared" si="156"/>
        <v>-</v>
      </c>
      <c r="I320" s="441">
        <f>IF($A320="*","",VLOOKUP("*#"&amp;$AS320,$A$10:$I$24,I$9+1,FALSE))</f>
        <v>0</v>
      </c>
      <c r="J320" s="163">
        <f ca="1">IF($A320="*","",OFFSET(UPS!$C$37,AU320+AV320,SUMIF($A$10:$A$20,"*#"&amp;AS320,$AV$10:$AV$20)))</f>
        <v>0</v>
      </c>
      <c r="K320" s="163" t="str">
        <f t="array" aca="1" ref="K320" ca="1">IFERROR(INDEX('Hydrogen-ELT'!$F$6:$J$17,MATCH(TS_TTech!$C320&amp;TS_TTech!$B320,'Hydrogen-ELT'!$A$6:$A$17&amp;'Hydrogen-ELT'!$B$6:$B$17,0),MATCH(TS_TTech!K$7,'Hydrogen-ELT'!$F$5:$J$5,0)),"")</f>
        <v/>
      </c>
      <c r="L320" s="163" t="str">
        <f t="array" aca="1" ref="L320" ca="1">IFERROR(INDEX('Hydrogen-ELT'!$F$6:$J$17,MATCH(TS_TTech!$C320&amp;TS_TTech!$B320,'Hydrogen-ELT'!$A$6:$A$17&amp;'Hydrogen-ELT'!$B$6:$B$17,0),MATCH(TS_TTech!L$7,'Hydrogen-ELT'!$F$5:$J$5,0)),"")</f>
        <v/>
      </c>
      <c r="M320" s="163" t="str">
        <f t="array" aca="1" ref="M320" ca="1">IFERROR(INDEX('Hydrogen-ELT'!$F$6:$J$17,MATCH(TS_TTech!$C320&amp;TS_TTech!$B320,'Hydrogen-ELT'!$A$6:$A$17&amp;'Hydrogen-ELT'!$B$6:$B$17,0),MATCH(TS_TTech!M$7,'Hydrogen-ELT'!$F$5:$J$5,0)),"")</f>
        <v/>
      </c>
      <c r="N320" s="163" t="str">
        <f t="array" aca="1" ref="N320" ca="1">IFERROR(INDEX('Hydrogen-ELT'!$F$6:$J$17,MATCH(TS_TTech!$C320&amp;TS_TTech!$B320,'Hydrogen-ELT'!$A$6:$A$17&amp;'Hydrogen-ELT'!$B$6:$B$17,0),MATCH(TS_TTech!N$7,'Hydrogen-ELT'!$F$5:$J$5,0)),"")</f>
        <v/>
      </c>
      <c r="O320" s="163" t="str">
        <f t="array" aca="1" ref="O320" ca="1">IFERROR(INDEX('Hydrogen-ELT'!$F$6:$J$17,MATCH(TS_TTech!$C320&amp;TS_TTech!$B320,'Hydrogen-ELT'!$A$6:$A$17&amp;'Hydrogen-ELT'!$B$6:$B$17,0),MATCH(TS_TTech!O$7,'Hydrogen-ELT'!$F$5:$J$5,0)),"")</f>
        <v/>
      </c>
      <c r="P320" s="163" t="str">
        <f t="array" aca="1" ref="P320" ca="1">IFERROR(INDEX('Hydrogen-ELT'!$F$6:$J$17,MATCH(TS_TTech!$C320&amp;TS_TTech!$B320,'Hydrogen-ELT'!$A$6:$A$17&amp;'Hydrogen-ELT'!$B$6:$B$17,0),MATCH(TS_TTech!P$7,'Hydrogen-ELT'!$F$5:$J$5,0)),"")</f>
        <v/>
      </c>
      <c r="Q320" s="163" t="str">
        <f t="array" aca="1" ref="Q320" ca="1">IFERROR(INDEX('Hydrogen-ELT'!$F$6:$J$17,MATCH(TS_TTech!$C320&amp;TS_TTech!$B320,'Hydrogen-ELT'!$A$6:$A$17&amp;'Hydrogen-ELT'!$B$6:$B$17,0),MATCH(TS_TTech!Q$7,'Hydrogen-ELT'!$F$5:$J$5,0)),"")</f>
        <v/>
      </c>
      <c r="R320" s="163" t="str">
        <f t="array" aca="1" ref="R320" ca="1">IFERROR(INDEX('Hydrogen-ELT'!$F$6:$J$17,MATCH(TS_TTech!$C320&amp;TS_TTech!$B320,'Hydrogen-ELT'!$A$6:$A$17&amp;'Hydrogen-ELT'!$B$6:$B$17,0),MATCH(TS_TTech!R$7,'Hydrogen-ELT'!$F$5:$J$5,0)),"")</f>
        <v/>
      </c>
      <c r="S320" s="163" t="str">
        <f t="array" aca="1" ref="S320" ca="1">IFERROR(INDEX('Hydrogen-ELT'!$F$6:$J$17,MATCH(TS_TTech!$C320&amp;TS_TTech!$B320,'Hydrogen-ELT'!$A$6:$A$17&amp;'Hydrogen-ELT'!$B$6:$B$17,0),MATCH(TS_TTech!S$7,'Hydrogen-ELT'!$F$5:$J$5,0)),"")</f>
        <v/>
      </c>
      <c r="T320" s="163" t="str">
        <f t="array" aca="1" ref="T320" ca="1">IFERROR(INDEX('Hydrogen-ELT'!$F$6:$J$17,MATCH(TS_TTech!$C320&amp;TS_TTech!$B320,'Hydrogen-ELT'!$A$6:$A$17&amp;'Hydrogen-ELT'!$B$6:$B$17,0),MATCH(TS_TTech!T$7,'Hydrogen-ELT'!$F$5:$J$5,0)),"")</f>
        <v/>
      </c>
      <c r="U320" s="163" t="str">
        <f t="array" aca="1" ref="U320" ca="1">IFERROR(INDEX('Hydrogen-ELT'!$F$6:$J$17,MATCH(TS_TTech!$C320&amp;TS_TTech!$B320,'Hydrogen-ELT'!$A$6:$A$17&amp;'Hydrogen-ELT'!$B$6:$B$17,0),MATCH(TS_TTech!U$7,'Hydrogen-ELT'!$F$5:$J$5,0)),"")</f>
        <v/>
      </c>
      <c r="V320" s="163" t="str">
        <f t="array" aca="1" ref="V320" ca="1">IFERROR(INDEX('Hydrogen-ELT'!$F$6:$J$17,MATCH(TS_TTech!$C320&amp;TS_TTech!$B320,'Hydrogen-ELT'!$A$6:$A$17&amp;'Hydrogen-ELT'!$B$6:$B$17,0),MATCH(TS_TTech!V$7,'Hydrogen-ELT'!$F$5:$J$5,0)),"")</f>
        <v/>
      </c>
      <c r="W320" s="163" t="str">
        <f t="array" aca="1" ref="W320" ca="1">IFERROR(INDEX('Hydrogen-ELT'!$F$6:$J$17,MATCH(TS_TTech!$C320&amp;TS_TTech!$B320,'Hydrogen-ELT'!$A$6:$A$17&amp;'Hydrogen-ELT'!$B$6:$B$17,0),MATCH(TS_TTech!W$7,'Hydrogen-ELT'!$F$5:$J$5,0)),"")</f>
        <v/>
      </c>
      <c r="X320" s="163" t="str">
        <f t="array" aca="1" ref="X320" ca="1">IFERROR(INDEX('Hydrogen-ELT'!$F$6:$J$17,MATCH(TS_TTech!$C320&amp;TS_TTech!$B320,'Hydrogen-ELT'!$A$6:$A$17&amp;'Hydrogen-ELT'!$B$6:$B$17,0),MATCH(TS_TTech!X$7,'Hydrogen-ELT'!$F$5:$J$5,0)),"")</f>
        <v/>
      </c>
      <c r="Y320" s="163" t="str">
        <f t="array" aca="1" ref="Y320" ca="1">IFERROR(INDEX('Hydrogen-ELT'!$F$6:$J$17,MATCH(TS_TTech!$C320&amp;TS_TTech!$B320,'Hydrogen-ELT'!$A$6:$A$17&amp;'Hydrogen-ELT'!$B$6:$B$17,0),MATCH(TS_TTech!Y$7,'Hydrogen-ELT'!$F$5:$J$5,0)),"")</f>
        <v/>
      </c>
      <c r="Z320" s="163" t="str">
        <f t="array" aca="1" ref="Z320" ca="1">IFERROR(INDEX('Hydrogen-ELT'!$F$6:$J$17,MATCH(TS_TTech!$C320&amp;TS_TTech!$B320,'Hydrogen-ELT'!$A$6:$A$17&amp;'Hydrogen-ELT'!$B$6:$B$17,0),MATCH(TS_TTech!Z$7,'Hydrogen-ELT'!$F$5:$J$5,0)),"")</f>
        <v/>
      </c>
      <c r="AA320" s="163" t="str">
        <f t="array" aca="1" ref="AA320" ca="1">IFERROR(INDEX('Hydrogen-ELT'!$F$6:$J$17,MATCH(TS_TTech!$C320&amp;TS_TTech!$B320,'Hydrogen-ELT'!$A$6:$A$17&amp;'Hydrogen-ELT'!$B$6:$B$17,0),MATCH(TS_TTech!AA$7,'Hydrogen-ELT'!$F$5:$J$5,0)),"")</f>
        <v/>
      </c>
      <c r="AB320" s="163" t="str">
        <f t="array" aca="1" ref="AB320" ca="1">IFERROR(INDEX('Hydrogen-ELT'!$F$6:$J$17,MATCH(TS_TTech!$C320&amp;TS_TTech!$B320,'Hydrogen-ELT'!$A$6:$A$17&amp;'Hydrogen-ELT'!$B$6:$B$17,0),MATCH(TS_TTech!AB$7,'Hydrogen-ELT'!$F$5:$J$5,0)),"")</f>
        <v/>
      </c>
      <c r="AC320" s="163" t="str">
        <f t="array" aca="1" ref="AC320" ca="1">IFERROR(INDEX('Hydrogen-ELT'!$F$6:$J$17,MATCH(TS_TTech!$C320&amp;TS_TTech!$B320,'Hydrogen-ELT'!$A$6:$A$17&amp;'Hydrogen-ELT'!$B$6:$B$17,0),MATCH(TS_TTech!AC$7,'Hydrogen-ELT'!$F$5:$J$5,0)),"")</f>
        <v/>
      </c>
      <c r="AD320" s="163" t="str">
        <f t="array" aca="1" ref="AD320" ca="1">IFERROR(INDEX('Hydrogen-ELT'!$F$6:$J$17,MATCH(TS_TTech!$C320&amp;TS_TTech!$B320,'Hydrogen-ELT'!$A$6:$A$17&amp;'Hydrogen-ELT'!$B$6:$B$17,0),MATCH(TS_TTech!AD$7,'Hydrogen-ELT'!$F$5:$J$5,0)),"")</f>
        <v/>
      </c>
      <c r="AE320" s="163" t="str">
        <f t="array" aca="1" ref="AE320" ca="1">IFERROR(INDEX('Hydrogen-ELT'!$F$6:$J$17,MATCH(TS_TTech!$C320&amp;TS_TTech!$B320,'Hydrogen-ELT'!$A$6:$A$17&amp;'Hydrogen-ELT'!$B$6:$B$17,0),MATCH(TS_TTech!AE$7,'Hydrogen-ELT'!$F$5:$J$5,0)),"")</f>
        <v/>
      </c>
      <c r="AF320" s="163" t="str">
        <f t="array" aca="1" ref="AF320" ca="1">IFERROR(INDEX('Hydrogen-ELT'!$F$6:$J$17,MATCH(TS_TTech!$C320&amp;TS_TTech!$B320,'Hydrogen-ELT'!$A$6:$A$17&amp;'Hydrogen-ELT'!$B$6:$B$17,0),MATCH(TS_TTech!AF$7,'Hydrogen-ELT'!$F$5:$J$5,0)),"")</f>
        <v/>
      </c>
      <c r="AG320" s="163" t="str">
        <f t="array" aca="1" ref="AG320" ca="1">IFERROR(INDEX('Hydrogen-ELT'!$F$6:$J$17,MATCH(TS_TTech!$C320&amp;TS_TTech!$B320,'Hydrogen-ELT'!$A$6:$A$17&amp;'Hydrogen-ELT'!$B$6:$B$17,0),MATCH(TS_TTech!AG$7,'Hydrogen-ELT'!$F$5:$J$5,0)),"")</f>
        <v/>
      </c>
      <c r="AH320" s="163" t="str">
        <f t="array" aca="1" ref="AH320" ca="1">IFERROR(INDEX('Hydrogen-ELT'!$F$6:$J$17,MATCH(TS_TTech!$C320&amp;TS_TTech!$B320,'Hydrogen-ELT'!$A$6:$A$17&amp;'Hydrogen-ELT'!$B$6:$B$17,0),MATCH(TS_TTech!AH$7,'Hydrogen-ELT'!$F$5:$J$5,0)),"")</f>
        <v/>
      </c>
      <c r="AI320" s="163" t="str">
        <f t="array" aca="1" ref="AI320" ca="1">IFERROR(INDEX('Hydrogen-ELT'!$F$6:$J$17,MATCH(TS_TTech!$C320&amp;TS_TTech!$B320,'Hydrogen-ELT'!$A$6:$A$17&amp;'Hydrogen-ELT'!$B$6:$B$17,0),MATCH(TS_TTech!AI$7,'Hydrogen-ELT'!$F$5:$J$5,0)),"")</f>
        <v/>
      </c>
      <c r="AJ320" s="163" t="str">
        <f t="array" aca="1" ref="AJ320" ca="1">IFERROR(INDEX('Hydrogen-ELT'!$F$6:$J$17,MATCH(TS_TTech!$C320&amp;TS_TTech!$B320,'Hydrogen-ELT'!$A$6:$A$17&amp;'Hydrogen-ELT'!$B$6:$B$17,0),MATCH(TS_TTech!AJ$7,'Hydrogen-ELT'!$F$5:$J$5,0)),"")</f>
        <v/>
      </c>
      <c r="AK320" s="163" t="str">
        <f t="array" aca="1" ref="AK320" ca="1">IFERROR(INDEX('Hydrogen-ELT'!$F$6:$J$17,MATCH(TS_TTech!$C320&amp;TS_TTech!$B320,'Hydrogen-ELT'!$A$6:$A$17&amp;'Hydrogen-ELT'!$B$6:$B$17,0),MATCH(TS_TTech!AK$7,'Hydrogen-ELT'!$F$5:$J$5,0)),"")</f>
        <v/>
      </c>
      <c r="AL320" s="163" t="str">
        <f t="array" aca="1" ref="AL320" ca="1">IFERROR(INDEX('Hydrogen-ELT'!$F$6:$J$17,MATCH(TS_TTech!$C320&amp;TS_TTech!$B320,'Hydrogen-ELT'!$A$6:$A$17&amp;'Hydrogen-ELT'!$B$6:$B$17,0),MATCH(TS_TTech!AL$7,'Hydrogen-ELT'!$F$5:$J$5,0)),"")</f>
        <v/>
      </c>
      <c r="AM320" s="163" t="str">
        <f t="array" aca="1" ref="AM320" ca="1">IFERROR(INDEX('Hydrogen-ELT'!$F$6:$J$17,MATCH(TS_TTech!$C320&amp;TS_TTech!$B320,'Hydrogen-ELT'!$A$6:$A$17&amp;'Hydrogen-ELT'!$B$6:$B$17,0),MATCH(TS_TTech!AM$7,'Hydrogen-ELT'!$F$5:$J$5,0)),"")</f>
        <v/>
      </c>
      <c r="AN320" s="163" t="str">
        <f t="array" aca="1" ref="AN320" ca="1">IFERROR(INDEX('Hydrogen-ELT'!$F$6:$J$17,MATCH(TS_TTech!$C320&amp;TS_TTech!$B320,'Hydrogen-ELT'!$A$6:$A$17&amp;'Hydrogen-ELT'!$B$6:$B$17,0),MATCH(TS_TTech!AN$7,'Hydrogen-ELT'!$F$5:$J$5,0)),"")</f>
        <v/>
      </c>
      <c r="AO320" s="163" t="str">
        <f t="array" aca="1" ref="AO320" ca="1">IFERROR(INDEX('Hydrogen-ELT'!$F$6:$J$17,MATCH(TS_TTech!$C320&amp;TS_TTech!$B320,'Hydrogen-ELT'!$A$6:$A$17&amp;'Hydrogen-ELT'!$B$6:$B$17,0),MATCH(TS_TTech!AO$7,'Hydrogen-ELT'!$F$5:$J$5,0)),"")</f>
        <v/>
      </c>
      <c r="AP320" s="163" t="str">
        <f t="array" aca="1" ref="AP320" ca="1">IFERROR(INDEX('Hydrogen-ELT'!$F$6:$J$17,MATCH(TS_TTech!$C320&amp;TS_TTech!$B320,'Hydrogen-ELT'!$A$6:$A$17&amp;'Hydrogen-ELT'!$B$6:$B$17,0),MATCH(TS_TTech!AP$7,'Hydrogen-ELT'!$F$5:$J$5,0)),"")</f>
        <v/>
      </c>
      <c r="AR320" s="163">
        <f t="shared" si="149"/>
        <v>27</v>
      </c>
      <c r="AS320" s="42">
        <f t="shared" si="155"/>
        <v>10</v>
      </c>
      <c r="AU320" s="42">
        <f ca="1">SUMIF(UPS!B$38:B$171,C320,UPS!BD$38:BD$171)</f>
        <v>131</v>
      </c>
    </row>
    <row r="321" spans="1:47">
      <c r="B321" s="440" t="str">
        <f t="shared" si="150"/>
        <v>PRC_RESID</v>
      </c>
      <c r="C321" s="440" t="str">
        <f ca="1">IF($A321="*","",OFFSET(ITEMS_UPS!$C$8,AR321,0))</f>
        <v>UELEA1HGN</v>
      </c>
      <c r="D321" s="440" t="str">
        <f ca="1">IF($A321="*","",IF(VLOOKUP("*#"&amp;$AS321,$A$10:$I$24,D$9+1,FALSE)="-","-",OFFSET(UPS!$C$37,AU321+AV321,SUMIF($A$10:$A$20,"*#"&amp;AS321,$AT$10:$AT$20))))</f>
        <v>-</v>
      </c>
      <c r="E321" s="440" t="str">
        <f t="shared" si="151"/>
        <v>-</v>
      </c>
      <c r="F321" s="440" t="str">
        <f t="shared" si="152"/>
        <v>-</v>
      </c>
      <c r="G321" s="440" t="str">
        <f>IF($A321="*","",VLOOKUP("*#"&amp;$AS321,$A$10:$I$24,G$9+1,FALSE))</f>
        <v>-</v>
      </c>
      <c r="H321" s="441" t="str">
        <f t="shared" si="156"/>
        <v>-</v>
      </c>
      <c r="I321" s="441">
        <f>IF($A321="*","",VLOOKUP("*#"&amp;$AS321,$A$10:$I$24,I$9+1,FALSE))</f>
        <v>0</v>
      </c>
      <c r="J321" s="163">
        <f ca="1">IF($A321="*","",OFFSET(UPS!$C$37,AU321+AV321,SUMIF($A$10:$A$20,"*#"&amp;AS321,$AV$10:$AV$20)))</f>
        <v>0</v>
      </c>
      <c r="K321" s="163" t="str">
        <f t="array" aca="1" ref="K321" ca="1">IFERROR(INDEX('Hydrogen-ELT'!$F$6:$J$17,MATCH(TS_TTech!$C321&amp;TS_TTech!$B321,'Hydrogen-ELT'!$A$6:$A$17&amp;'Hydrogen-ELT'!$B$6:$B$17,0),MATCH(TS_TTech!K$7,'Hydrogen-ELT'!$F$5:$J$5,0)),"")</f>
        <v/>
      </c>
      <c r="L321" s="163" t="str">
        <f t="array" aca="1" ref="L321" ca="1">IFERROR(INDEX('Hydrogen-ELT'!$F$6:$J$17,MATCH(TS_TTech!$C321&amp;TS_TTech!$B321,'Hydrogen-ELT'!$A$6:$A$17&amp;'Hydrogen-ELT'!$B$6:$B$17,0),MATCH(TS_TTech!L$7,'Hydrogen-ELT'!$F$5:$J$5,0)),"")</f>
        <v/>
      </c>
      <c r="M321" s="163" t="str">
        <f t="array" aca="1" ref="M321" ca="1">IFERROR(INDEX('Hydrogen-ELT'!$F$6:$J$17,MATCH(TS_TTech!$C321&amp;TS_TTech!$B321,'Hydrogen-ELT'!$A$6:$A$17&amp;'Hydrogen-ELT'!$B$6:$B$17,0),MATCH(TS_TTech!M$7,'Hydrogen-ELT'!$F$5:$J$5,0)),"")</f>
        <v/>
      </c>
      <c r="N321" s="163" t="str">
        <f t="array" aca="1" ref="N321" ca="1">IFERROR(INDEX('Hydrogen-ELT'!$F$6:$J$17,MATCH(TS_TTech!$C321&amp;TS_TTech!$B321,'Hydrogen-ELT'!$A$6:$A$17&amp;'Hydrogen-ELT'!$B$6:$B$17,0),MATCH(TS_TTech!N$7,'Hydrogen-ELT'!$F$5:$J$5,0)),"")</f>
        <v/>
      </c>
      <c r="O321" s="163" t="str">
        <f t="array" aca="1" ref="O321" ca="1">IFERROR(INDEX('Hydrogen-ELT'!$F$6:$J$17,MATCH(TS_TTech!$C321&amp;TS_TTech!$B321,'Hydrogen-ELT'!$A$6:$A$17&amp;'Hydrogen-ELT'!$B$6:$B$17,0),MATCH(TS_TTech!O$7,'Hydrogen-ELT'!$F$5:$J$5,0)),"")</f>
        <v/>
      </c>
      <c r="P321" s="163" t="str">
        <f t="array" aca="1" ref="P321" ca="1">IFERROR(INDEX('Hydrogen-ELT'!$F$6:$J$17,MATCH(TS_TTech!$C321&amp;TS_TTech!$B321,'Hydrogen-ELT'!$A$6:$A$17&amp;'Hydrogen-ELT'!$B$6:$B$17,0),MATCH(TS_TTech!P$7,'Hydrogen-ELT'!$F$5:$J$5,0)),"")</f>
        <v/>
      </c>
      <c r="Q321" s="163" t="str">
        <f t="array" aca="1" ref="Q321" ca="1">IFERROR(INDEX('Hydrogen-ELT'!$F$6:$J$17,MATCH(TS_TTech!$C321&amp;TS_TTech!$B321,'Hydrogen-ELT'!$A$6:$A$17&amp;'Hydrogen-ELT'!$B$6:$B$17,0),MATCH(TS_TTech!Q$7,'Hydrogen-ELT'!$F$5:$J$5,0)),"")</f>
        <v/>
      </c>
      <c r="R321" s="163" t="str">
        <f t="array" aca="1" ref="R321" ca="1">IFERROR(INDEX('Hydrogen-ELT'!$F$6:$J$17,MATCH(TS_TTech!$C321&amp;TS_TTech!$B321,'Hydrogen-ELT'!$A$6:$A$17&amp;'Hydrogen-ELT'!$B$6:$B$17,0),MATCH(TS_TTech!R$7,'Hydrogen-ELT'!$F$5:$J$5,0)),"")</f>
        <v/>
      </c>
      <c r="S321" s="163" t="str">
        <f t="array" aca="1" ref="S321" ca="1">IFERROR(INDEX('Hydrogen-ELT'!$F$6:$J$17,MATCH(TS_TTech!$C321&amp;TS_TTech!$B321,'Hydrogen-ELT'!$A$6:$A$17&amp;'Hydrogen-ELT'!$B$6:$B$17,0),MATCH(TS_TTech!S$7,'Hydrogen-ELT'!$F$5:$J$5,0)),"")</f>
        <v/>
      </c>
      <c r="T321" s="163" t="str">
        <f t="array" aca="1" ref="T321" ca="1">IFERROR(INDEX('Hydrogen-ELT'!$F$6:$J$17,MATCH(TS_TTech!$C321&amp;TS_TTech!$B321,'Hydrogen-ELT'!$A$6:$A$17&amp;'Hydrogen-ELT'!$B$6:$B$17,0),MATCH(TS_TTech!T$7,'Hydrogen-ELT'!$F$5:$J$5,0)),"")</f>
        <v/>
      </c>
      <c r="U321" s="163" t="str">
        <f t="array" aca="1" ref="U321" ca="1">IFERROR(INDEX('Hydrogen-ELT'!$F$6:$J$17,MATCH(TS_TTech!$C321&amp;TS_TTech!$B321,'Hydrogen-ELT'!$A$6:$A$17&amp;'Hydrogen-ELT'!$B$6:$B$17,0),MATCH(TS_TTech!U$7,'Hydrogen-ELT'!$F$5:$J$5,0)),"")</f>
        <v/>
      </c>
      <c r="V321" s="163" t="str">
        <f t="array" aca="1" ref="V321" ca="1">IFERROR(INDEX('Hydrogen-ELT'!$F$6:$J$17,MATCH(TS_TTech!$C321&amp;TS_TTech!$B321,'Hydrogen-ELT'!$A$6:$A$17&amp;'Hydrogen-ELT'!$B$6:$B$17,0),MATCH(TS_TTech!V$7,'Hydrogen-ELT'!$F$5:$J$5,0)),"")</f>
        <v/>
      </c>
      <c r="W321" s="163" t="str">
        <f t="array" aca="1" ref="W321" ca="1">IFERROR(INDEX('Hydrogen-ELT'!$F$6:$J$17,MATCH(TS_TTech!$C321&amp;TS_TTech!$B321,'Hydrogen-ELT'!$A$6:$A$17&amp;'Hydrogen-ELT'!$B$6:$B$17,0),MATCH(TS_TTech!W$7,'Hydrogen-ELT'!$F$5:$J$5,0)),"")</f>
        <v/>
      </c>
      <c r="X321" s="163" t="str">
        <f t="array" aca="1" ref="X321" ca="1">IFERROR(INDEX('Hydrogen-ELT'!$F$6:$J$17,MATCH(TS_TTech!$C321&amp;TS_TTech!$B321,'Hydrogen-ELT'!$A$6:$A$17&amp;'Hydrogen-ELT'!$B$6:$B$17,0),MATCH(TS_TTech!X$7,'Hydrogen-ELT'!$F$5:$J$5,0)),"")</f>
        <v/>
      </c>
      <c r="Y321" s="163" t="str">
        <f t="array" aca="1" ref="Y321" ca="1">IFERROR(INDEX('Hydrogen-ELT'!$F$6:$J$17,MATCH(TS_TTech!$C321&amp;TS_TTech!$B321,'Hydrogen-ELT'!$A$6:$A$17&amp;'Hydrogen-ELT'!$B$6:$B$17,0),MATCH(TS_TTech!Y$7,'Hydrogen-ELT'!$F$5:$J$5,0)),"")</f>
        <v/>
      </c>
      <c r="Z321" s="163" t="str">
        <f t="array" aca="1" ref="Z321" ca="1">IFERROR(INDEX('Hydrogen-ELT'!$F$6:$J$17,MATCH(TS_TTech!$C321&amp;TS_TTech!$B321,'Hydrogen-ELT'!$A$6:$A$17&amp;'Hydrogen-ELT'!$B$6:$B$17,0),MATCH(TS_TTech!Z$7,'Hydrogen-ELT'!$F$5:$J$5,0)),"")</f>
        <v/>
      </c>
      <c r="AA321" s="163" t="str">
        <f t="array" aca="1" ref="AA321" ca="1">IFERROR(INDEX('Hydrogen-ELT'!$F$6:$J$17,MATCH(TS_TTech!$C321&amp;TS_TTech!$B321,'Hydrogen-ELT'!$A$6:$A$17&amp;'Hydrogen-ELT'!$B$6:$B$17,0),MATCH(TS_TTech!AA$7,'Hydrogen-ELT'!$F$5:$J$5,0)),"")</f>
        <v/>
      </c>
      <c r="AB321" s="163" t="str">
        <f t="array" aca="1" ref="AB321" ca="1">IFERROR(INDEX('Hydrogen-ELT'!$F$6:$J$17,MATCH(TS_TTech!$C321&amp;TS_TTech!$B321,'Hydrogen-ELT'!$A$6:$A$17&amp;'Hydrogen-ELT'!$B$6:$B$17,0),MATCH(TS_TTech!AB$7,'Hydrogen-ELT'!$F$5:$J$5,0)),"")</f>
        <v/>
      </c>
      <c r="AC321" s="163" t="str">
        <f t="array" aca="1" ref="AC321" ca="1">IFERROR(INDEX('Hydrogen-ELT'!$F$6:$J$17,MATCH(TS_TTech!$C321&amp;TS_TTech!$B321,'Hydrogen-ELT'!$A$6:$A$17&amp;'Hydrogen-ELT'!$B$6:$B$17,0),MATCH(TS_TTech!AC$7,'Hydrogen-ELT'!$F$5:$J$5,0)),"")</f>
        <v/>
      </c>
      <c r="AD321" s="163" t="str">
        <f t="array" aca="1" ref="AD321" ca="1">IFERROR(INDEX('Hydrogen-ELT'!$F$6:$J$17,MATCH(TS_TTech!$C321&amp;TS_TTech!$B321,'Hydrogen-ELT'!$A$6:$A$17&amp;'Hydrogen-ELT'!$B$6:$B$17,0),MATCH(TS_TTech!AD$7,'Hydrogen-ELT'!$F$5:$J$5,0)),"")</f>
        <v/>
      </c>
      <c r="AE321" s="163" t="str">
        <f t="array" aca="1" ref="AE321" ca="1">IFERROR(INDEX('Hydrogen-ELT'!$F$6:$J$17,MATCH(TS_TTech!$C321&amp;TS_TTech!$B321,'Hydrogen-ELT'!$A$6:$A$17&amp;'Hydrogen-ELT'!$B$6:$B$17,0),MATCH(TS_TTech!AE$7,'Hydrogen-ELT'!$F$5:$J$5,0)),"")</f>
        <v/>
      </c>
      <c r="AF321" s="163" t="str">
        <f t="array" aca="1" ref="AF321" ca="1">IFERROR(INDEX('Hydrogen-ELT'!$F$6:$J$17,MATCH(TS_TTech!$C321&amp;TS_TTech!$B321,'Hydrogen-ELT'!$A$6:$A$17&amp;'Hydrogen-ELT'!$B$6:$B$17,0),MATCH(TS_TTech!AF$7,'Hydrogen-ELT'!$F$5:$J$5,0)),"")</f>
        <v/>
      </c>
      <c r="AG321" s="163" t="str">
        <f t="array" aca="1" ref="AG321" ca="1">IFERROR(INDEX('Hydrogen-ELT'!$F$6:$J$17,MATCH(TS_TTech!$C321&amp;TS_TTech!$B321,'Hydrogen-ELT'!$A$6:$A$17&amp;'Hydrogen-ELT'!$B$6:$B$17,0),MATCH(TS_TTech!AG$7,'Hydrogen-ELT'!$F$5:$J$5,0)),"")</f>
        <v/>
      </c>
      <c r="AH321" s="163" t="str">
        <f t="array" aca="1" ref="AH321" ca="1">IFERROR(INDEX('Hydrogen-ELT'!$F$6:$J$17,MATCH(TS_TTech!$C321&amp;TS_TTech!$B321,'Hydrogen-ELT'!$A$6:$A$17&amp;'Hydrogen-ELT'!$B$6:$B$17,0),MATCH(TS_TTech!AH$7,'Hydrogen-ELT'!$F$5:$J$5,0)),"")</f>
        <v/>
      </c>
      <c r="AI321" s="163" t="str">
        <f t="array" aca="1" ref="AI321" ca="1">IFERROR(INDEX('Hydrogen-ELT'!$F$6:$J$17,MATCH(TS_TTech!$C321&amp;TS_TTech!$B321,'Hydrogen-ELT'!$A$6:$A$17&amp;'Hydrogen-ELT'!$B$6:$B$17,0),MATCH(TS_TTech!AI$7,'Hydrogen-ELT'!$F$5:$J$5,0)),"")</f>
        <v/>
      </c>
      <c r="AJ321" s="163" t="str">
        <f t="array" aca="1" ref="AJ321" ca="1">IFERROR(INDEX('Hydrogen-ELT'!$F$6:$J$17,MATCH(TS_TTech!$C321&amp;TS_TTech!$B321,'Hydrogen-ELT'!$A$6:$A$17&amp;'Hydrogen-ELT'!$B$6:$B$17,0),MATCH(TS_TTech!AJ$7,'Hydrogen-ELT'!$F$5:$J$5,0)),"")</f>
        <v/>
      </c>
      <c r="AK321" s="163" t="str">
        <f t="array" aca="1" ref="AK321" ca="1">IFERROR(INDEX('Hydrogen-ELT'!$F$6:$J$17,MATCH(TS_TTech!$C321&amp;TS_TTech!$B321,'Hydrogen-ELT'!$A$6:$A$17&amp;'Hydrogen-ELT'!$B$6:$B$17,0),MATCH(TS_TTech!AK$7,'Hydrogen-ELT'!$F$5:$J$5,0)),"")</f>
        <v/>
      </c>
      <c r="AL321" s="163" t="str">
        <f t="array" aca="1" ref="AL321" ca="1">IFERROR(INDEX('Hydrogen-ELT'!$F$6:$J$17,MATCH(TS_TTech!$C321&amp;TS_TTech!$B321,'Hydrogen-ELT'!$A$6:$A$17&amp;'Hydrogen-ELT'!$B$6:$B$17,0),MATCH(TS_TTech!AL$7,'Hydrogen-ELT'!$F$5:$J$5,0)),"")</f>
        <v/>
      </c>
      <c r="AM321" s="163" t="str">
        <f t="array" aca="1" ref="AM321" ca="1">IFERROR(INDEX('Hydrogen-ELT'!$F$6:$J$17,MATCH(TS_TTech!$C321&amp;TS_TTech!$B321,'Hydrogen-ELT'!$A$6:$A$17&amp;'Hydrogen-ELT'!$B$6:$B$17,0),MATCH(TS_TTech!AM$7,'Hydrogen-ELT'!$F$5:$J$5,0)),"")</f>
        <v/>
      </c>
      <c r="AN321" s="163" t="str">
        <f t="array" aca="1" ref="AN321" ca="1">IFERROR(INDEX('Hydrogen-ELT'!$F$6:$J$17,MATCH(TS_TTech!$C321&amp;TS_TTech!$B321,'Hydrogen-ELT'!$A$6:$A$17&amp;'Hydrogen-ELT'!$B$6:$B$17,0),MATCH(TS_TTech!AN$7,'Hydrogen-ELT'!$F$5:$J$5,0)),"")</f>
        <v/>
      </c>
      <c r="AO321" s="163" t="str">
        <f t="array" aca="1" ref="AO321" ca="1">IFERROR(INDEX('Hydrogen-ELT'!$F$6:$J$17,MATCH(TS_TTech!$C321&amp;TS_TTech!$B321,'Hydrogen-ELT'!$A$6:$A$17&amp;'Hydrogen-ELT'!$B$6:$B$17,0),MATCH(TS_TTech!AO$7,'Hydrogen-ELT'!$F$5:$J$5,0)),"")</f>
        <v/>
      </c>
      <c r="AP321" s="163" t="str">
        <f t="array" aca="1" ref="AP321" ca="1">IFERROR(INDEX('Hydrogen-ELT'!$F$6:$J$17,MATCH(TS_TTech!$C321&amp;TS_TTech!$B321,'Hydrogen-ELT'!$A$6:$A$17&amp;'Hydrogen-ELT'!$B$6:$B$17,0),MATCH(TS_TTech!AP$7,'Hydrogen-ELT'!$F$5:$J$5,0)),"")</f>
        <v/>
      </c>
      <c r="AR321" s="163">
        <f t="shared" si="149"/>
        <v>27</v>
      </c>
      <c r="AS321" s="42">
        <f t="shared" si="155"/>
        <v>11</v>
      </c>
      <c r="AU321" s="42">
        <f ca="1">SUMIF(UPS!B$38:B$171,C321,UPS!BD$38:BD$171)</f>
        <v>131</v>
      </c>
    </row>
    <row r="322" spans="1:47">
      <c r="B322" s="440" t="str">
        <f t="shared" si="150"/>
        <v>NCAP_COST</v>
      </c>
      <c r="C322" s="440" t="str">
        <f ca="1">IF($A322="*","",OFFSET(ITEMS_UPS!$C$8,AR322,0))</f>
        <v>UELEA1HGN</v>
      </c>
      <c r="D322" s="440" t="str">
        <f ca="1">IF($A322="*","",IF(VLOOKUP("*#"&amp;$AS322,$A$10:$I$24,D$9+1,FALSE)="-","-",OFFSET(UPS!$C$37,AU322+AV322,SUMIF($A$10:$A$20,"*#"&amp;AS322,$AT$10:$AT$20))))</f>
        <v>-</v>
      </c>
      <c r="E322" s="440" t="str">
        <f t="shared" si="151"/>
        <v>-</v>
      </c>
      <c r="F322" s="440" t="str">
        <f t="shared" si="152"/>
        <v>-</v>
      </c>
      <c r="G322" s="440" t="str">
        <f>IF($A322="*","",VLOOKUP("*#"&amp;$AS322,$A$10:$I$24,G$9+1,FALSE))</f>
        <v>-</v>
      </c>
      <c r="H322" s="441" t="str">
        <f t="shared" si="156"/>
        <v>-</v>
      </c>
      <c r="I322" s="441">
        <f>IF($A322="*","",VLOOKUP("*#"&amp;$AS322,$A$10:$I$24,I$9+1,FALSE))</f>
        <v>0</v>
      </c>
      <c r="J322" s="163">
        <f ca="1">IF($A322="*","",OFFSET(UPS!$C$37,AU322,SUMIF($A$10:$A$24,"*#"&amp;AS322,$AT$10:$AT$24)))</f>
        <v>12868.90756302521</v>
      </c>
      <c r="K322" s="163" t="str">
        <f t="array" aca="1" ref="K322" ca="1">IFERROR(INDEX('Hydrogen-ELT'!$F$6:$J$17,MATCH(TS_TTech!$C322&amp;TS_TTech!$B322,'Hydrogen-ELT'!$A$6:$A$17&amp;'Hydrogen-ELT'!$B$6:$B$17,0),MATCH(TS_TTech!K$7,'Hydrogen-ELT'!$F$5:$J$5,0)),"")</f>
        <v/>
      </c>
      <c r="L322" s="163" t="str">
        <f t="array" aca="1" ref="L322" ca="1">IFERROR(INDEX('Hydrogen-ELT'!$F$6:$J$17,MATCH(TS_TTech!$C322&amp;TS_TTech!$B322,'Hydrogen-ELT'!$A$6:$A$17&amp;'Hydrogen-ELT'!$B$6:$B$17,0),MATCH(TS_TTech!L$7,'Hydrogen-ELT'!$F$5:$J$5,0)),"")</f>
        <v/>
      </c>
      <c r="M322" s="163" t="str">
        <f t="array" aca="1" ref="M322" ca="1">IFERROR(INDEX('Hydrogen-ELT'!$F$6:$J$17,MATCH(TS_TTech!$C322&amp;TS_TTech!$B322,'Hydrogen-ELT'!$A$6:$A$17&amp;'Hydrogen-ELT'!$B$6:$B$17,0),MATCH(TS_TTech!M$7,'Hydrogen-ELT'!$F$5:$J$5,0)),"")</f>
        <v/>
      </c>
      <c r="N322" s="163" t="str">
        <f t="array" aca="1" ref="N322" ca="1">IFERROR(INDEX('Hydrogen-ELT'!$F$6:$J$17,MATCH(TS_TTech!$C322&amp;TS_TTech!$B322,'Hydrogen-ELT'!$A$6:$A$17&amp;'Hydrogen-ELT'!$B$6:$B$17,0),MATCH(TS_TTech!N$7,'Hydrogen-ELT'!$F$5:$J$5,0)),"")</f>
        <v/>
      </c>
      <c r="O322" s="163" t="str">
        <f t="array" aca="1" ref="O322" ca="1">IFERROR(INDEX('Hydrogen-ELT'!$F$6:$J$17,MATCH(TS_TTech!$C322&amp;TS_TTech!$B322,'Hydrogen-ELT'!$A$6:$A$17&amp;'Hydrogen-ELT'!$B$6:$B$17,0),MATCH(TS_TTech!O$7,'Hydrogen-ELT'!$F$5:$J$5,0)),"")</f>
        <v/>
      </c>
      <c r="P322" s="163" t="str">
        <f t="array" aca="1" ref="P322" ca="1">IFERROR(INDEX('Hydrogen-ELT'!$F$6:$J$17,MATCH(TS_TTech!$C322&amp;TS_TTech!$B322,'Hydrogen-ELT'!$A$6:$A$17&amp;'Hydrogen-ELT'!$B$6:$B$17,0),MATCH(TS_TTech!P$7,'Hydrogen-ELT'!$F$5:$J$5,0)),"")</f>
        <v/>
      </c>
      <c r="Q322" s="163" t="str">
        <f t="array" aca="1" ref="Q322" ca="1">IFERROR(INDEX('Hydrogen-ELT'!$F$6:$J$17,MATCH(TS_TTech!$C322&amp;TS_TTech!$B322,'Hydrogen-ELT'!$A$6:$A$17&amp;'Hydrogen-ELT'!$B$6:$B$17,0),MATCH(TS_TTech!Q$7,'Hydrogen-ELT'!$F$5:$J$5,0)),"")</f>
        <v/>
      </c>
      <c r="R322" s="163">
        <f t="array" aca="1" ref="R322" ca="1">IFERROR(INDEX('Hydrogen-ELT'!$F$6:$J$17,MATCH(TS_TTech!$C322&amp;TS_TTech!$B322,'Hydrogen-ELT'!$A$6:$A$17&amp;'Hydrogen-ELT'!$B$6:$B$17,0),MATCH(TS_TTech!R$7,'Hydrogen-ELT'!$F$5:$J$5,0)),"")</f>
        <v>12868.90756302521</v>
      </c>
      <c r="S322" s="163" t="str">
        <f t="array" aca="1" ref="S322" ca="1">IFERROR(INDEX('Hydrogen-ELT'!$F$6:$J$17,MATCH(TS_TTech!$C322&amp;TS_TTech!$B322,'Hydrogen-ELT'!$A$6:$A$17&amp;'Hydrogen-ELT'!$B$6:$B$17,0),MATCH(TS_TTech!S$7,'Hydrogen-ELT'!$F$5:$J$5,0)),"")</f>
        <v/>
      </c>
      <c r="T322" s="163" t="str">
        <f t="array" aca="1" ref="T322" ca="1">IFERROR(INDEX('Hydrogen-ELT'!$F$6:$J$17,MATCH(TS_TTech!$C322&amp;TS_TTech!$B322,'Hydrogen-ELT'!$A$6:$A$17&amp;'Hydrogen-ELT'!$B$6:$B$17,0),MATCH(TS_TTech!T$7,'Hydrogen-ELT'!$F$5:$J$5,0)),"")</f>
        <v/>
      </c>
      <c r="U322" s="163" t="str">
        <f t="array" aca="1" ref="U322" ca="1">IFERROR(INDEX('Hydrogen-ELT'!$F$6:$J$17,MATCH(TS_TTech!$C322&amp;TS_TTech!$B322,'Hydrogen-ELT'!$A$6:$A$17&amp;'Hydrogen-ELT'!$B$6:$B$17,0),MATCH(TS_TTech!U$7,'Hydrogen-ELT'!$F$5:$J$5,0)),"")</f>
        <v/>
      </c>
      <c r="V322" s="163" t="str">
        <f t="array" aca="1" ref="V322" ca="1">IFERROR(INDEX('Hydrogen-ELT'!$F$6:$J$17,MATCH(TS_TTech!$C322&amp;TS_TTech!$B322,'Hydrogen-ELT'!$A$6:$A$17&amp;'Hydrogen-ELT'!$B$6:$B$17,0),MATCH(TS_TTech!V$7,'Hydrogen-ELT'!$F$5:$J$5,0)),"")</f>
        <v/>
      </c>
      <c r="W322" s="163" t="str">
        <f t="array" aca="1" ref="W322" ca="1">IFERROR(INDEX('Hydrogen-ELT'!$F$6:$J$17,MATCH(TS_TTech!$C322&amp;TS_TTech!$B322,'Hydrogen-ELT'!$A$6:$A$17&amp;'Hydrogen-ELT'!$B$6:$B$17,0),MATCH(TS_TTech!W$7,'Hydrogen-ELT'!$F$5:$J$5,0)),"")</f>
        <v/>
      </c>
      <c r="X322" s="163" t="str">
        <f t="array" aca="1" ref="X322" ca="1">IFERROR(INDEX('Hydrogen-ELT'!$F$6:$J$17,MATCH(TS_TTech!$C322&amp;TS_TTech!$B322,'Hydrogen-ELT'!$A$6:$A$17&amp;'Hydrogen-ELT'!$B$6:$B$17,0),MATCH(TS_TTech!X$7,'Hydrogen-ELT'!$F$5:$J$5,0)),"")</f>
        <v/>
      </c>
      <c r="Y322" s="163" t="str">
        <f t="array" aca="1" ref="Y322" ca="1">IFERROR(INDEX('Hydrogen-ELT'!$F$6:$J$17,MATCH(TS_TTech!$C322&amp;TS_TTech!$B322,'Hydrogen-ELT'!$A$6:$A$17&amp;'Hydrogen-ELT'!$B$6:$B$17,0),MATCH(TS_TTech!Y$7,'Hydrogen-ELT'!$F$5:$J$5,0)),"")</f>
        <v/>
      </c>
      <c r="Z322" s="163" t="str">
        <f t="array" aca="1" ref="Z322" ca="1">IFERROR(INDEX('Hydrogen-ELT'!$F$6:$J$17,MATCH(TS_TTech!$C322&amp;TS_TTech!$B322,'Hydrogen-ELT'!$A$6:$A$17&amp;'Hydrogen-ELT'!$B$6:$B$17,0),MATCH(TS_TTech!Z$7,'Hydrogen-ELT'!$F$5:$J$5,0)),"")</f>
        <v/>
      </c>
      <c r="AA322" s="163" t="str">
        <f t="array" aca="1" ref="AA322" ca="1">IFERROR(INDEX('Hydrogen-ELT'!$F$6:$J$17,MATCH(TS_TTech!$C322&amp;TS_TTech!$B322,'Hydrogen-ELT'!$A$6:$A$17&amp;'Hydrogen-ELT'!$B$6:$B$17,0),MATCH(TS_TTech!AA$7,'Hydrogen-ELT'!$F$5:$J$5,0)),"")</f>
        <v/>
      </c>
      <c r="AB322" s="163">
        <f t="array" aca="1" ref="AB322" ca="1">IFERROR(INDEX('Hydrogen-ELT'!$F$6:$J$17,MATCH(TS_TTech!$C322&amp;TS_TTech!$B322,'Hydrogen-ELT'!$A$6:$A$17&amp;'Hydrogen-ELT'!$B$6:$B$17,0),MATCH(TS_TTech!AB$7,'Hydrogen-ELT'!$F$5:$J$5,0)),"")</f>
        <v>9482.3529411764703</v>
      </c>
      <c r="AC322" s="163" t="str">
        <f t="array" aca="1" ref="AC322" ca="1">IFERROR(INDEX('Hydrogen-ELT'!$F$6:$J$17,MATCH(TS_TTech!$C322&amp;TS_TTech!$B322,'Hydrogen-ELT'!$A$6:$A$17&amp;'Hydrogen-ELT'!$B$6:$B$17,0),MATCH(TS_TTech!AC$7,'Hydrogen-ELT'!$F$5:$J$5,0)),"")</f>
        <v/>
      </c>
      <c r="AD322" s="163" t="str">
        <f t="array" aca="1" ref="AD322" ca="1">IFERROR(INDEX('Hydrogen-ELT'!$F$6:$J$17,MATCH(TS_TTech!$C322&amp;TS_TTech!$B322,'Hydrogen-ELT'!$A$6:$A$17&amp;'Hydrogen-ELT'!$B$6:$B$17,0),MATCH(TS_TTech!AD$7,'Hydrogen-ELT'!$F$5:$J$5,0)),"")</f>
        <v/>
      </c>
      <c r="AE322" s="163" t="str">
        <f t="array" aca="1" ref="AE322" ca="1">IFERROR(INDEX('Hydrogen-ELT'!$F$6:$J$17,MATCH(TS_TTech!$C322&amp;TS_TTech!$B322,'Hydrogen-ELT'!$A$6:$A$17&amp;'Hydrogen-ELT'!$B$6:$B$17,0),MATCH(TS_TTech!AE$7,'Hydrogen-ELT'!$F$5:$J$5,0)),"")</f>
        <v/>
      </c>
      <c r="AF322" s="163" t="str">
        <f t="array" aca="1" ref="AF322" ca="1">IFERROR(INDEX('Hydrogen-ELT'!$F$6:$J$17,MATCH(TS_TTech!$C322&amp;TS_TTech!$B322,'Hydrogen-ELT'!$A$6:$A$17&amp;'Hydrogen-ELT'!$B$6:$B$17,0),MATCH(TS_TTech!AF$7,'Hydrogen-ELT'!$F$5:$J$5,0)),"")</f>
        <v/>
      </c>
      <c r="AG322" s="163">
        <f t="array" aca="1" ref="AG322" ca="1">IFERROR(INDEX('Hydrogen-ELT'!$F$6:$J$17,MATCH(TS_TTech!$C322&amp;TS_TTech!$B322,'Hydrogen-ELT'!$A$6:$A$17&amp;'Hydrogen-ELT'!$B$6:$B$17,0),MATCH(TS_TTech!AG$7,'Hydrogen-ELT'!$F$5:$J$5,0)),"")</f>
        <v>6095.7983193277314</v>
      </c>
      <c r="AH322" s="163" t="str">
        <f t="array" aca="1" ref="AH322" ca="1">IFERROR(INDEX('Hydrogen-ELT'!$F$6:$J$17,MATCH(TS_TTech!$C322&amp;TS_TTech!$B322,'Hydrogen-ELT'!$A$6:$A$17&amp;'Hydrogen-ELT'!$B$6:$B$17,0),MATCH(TS_TTech!AH$7,'Hydrogen-ELT'!$F$5:$J$5,0)),"")</f>
        <v/>
      </c>
      <c r="AI322" s="163" t="str">
        <f t="array" aca="1" ref="AI322" ca="1">IFERROR(INDEX('Hydrogen-ELT'!$F$6:$J$17,MATCH(TS_TTech!$C322&amp;TS_TTech!$B322,'Hydrogen-ELT'!$A$6:$A$17&amp;'Hydrogen-ELT'!$B$6:$B$17,0),MATCH(TS_TTech!AI$7,'Hydrogen-ELT'!$F$5:$J$5,0)),"")</f>
        <v/>
      </c>
      <c r="AJ322" s="163" t="str">
        <f t="array" aca="1" ref="AJ322" ca="1">IFERROR(INDEX('Hydrogen-ELT'!$F$6:$J$17,MATCH(TS_TTech!$C322&amp;TS_TTech!$B322,'Hydrogen-ELT'!$A$6:$A$17&amp;'Hydrogen-ELT'!$B$6:$B$17,0),MATCH(TS_TTech!AJ$7,'Hydrogen-ELT'!$F$5:$J$5,0)),"")</f>
        <v/>
      </c>
      <c r="AK322" s="163" t="str">
        <f t="array" aca="1" ref="AK322" ca="1">IFERROR(INDEX('Hydrogen-ELT'!$F$6:$J$17,MATCH(TS_TTech!$C322&amp;TS_TTech!$B322,'Hydrogen-ELT'!$A$6:$A$17&amp;'Hydrogen-ELT'!$B$6:$B$17,0),MATCH(TS_TTech!AK$7,'Hydrogen-ELT'!$F$5:$J$5,0)),"")</f>
        <v/>
      </c>
      <c r="AL322" s="163">
        <f t="array" aca="1" ref="AL322" ca="1">IFERROR(INDEX('Hydrogen-ELT'!$F$6:$J$17,MATCH(TS_TTech!$C322&amp;TS_TTech!$B322,'Hydrogen-ELT'!$A$6:$A$17&amp;'Hydrogen-ELT'!$B$6:$B$17,0),MATCH(TS_TTech!AL$7,'Hydrogen-ELT'!$F$5:$J$5,0)),"")</f>
        <v>4856.9561157796461</v>
      </c>
      <c r="AM322" s="163" t="str">
        <f t="array" aca="1" ref="AM322" ca="1">IFERROR(INDEX('Hydrogen-ELT'!$F$6:$J$17,MATCH(TS_TTech!$C322&amp;TS_TTech!$B322,'Hydrogen-ELT'!$A$6:$A$17&amp;'Hydrogen-ELT'!$B$6:$B$17,0),MATCH(TS_TTech!AM$7,'Hydrogen-ELT'!$F$5:$J$5,0)),"")</f>
        <v/>
      </c>
      <c r="AN322" s="163">
        <f t="array" aca="1" ref="AN322" ca="1">IFERROR(INDEX('Hydrogen-ELT'!$F$6:$J$17,MATCH(TS_TTech!$C322&amp;TS_TTech!$B322,'Hydrogen-ELT'!$A$6:$A$17&amp;'Hydrogen-ELT'!$B$6:$B$17,0),MATCH(TS_TTech!AN$7,'Hydrogen-ELT'!$F$5:$J$5,0)),"")</f>
        <v>3618.1139122315594</v>
      </c>
      <c r="AO322" s="163" t="str">
        <f t="array" aca="1" ref="AO322" ca="1">IFERROR(INDEX('Hydrogen-ELT'!$F$6:$J$17,MATCH(TS_TTech!$C322&amp;TS_TTech!$B322,'Hydrogen-ELT'!$A$6:$A$17&amp;'Hydrogen-ELT'!$B$6:$B$17,0),MATCH(TS_TTech!AO$7,'Hydrogen-ELT'!$F$5:$J$5,0)),"")</f>
        <v/>
      </c>
      <c r="AP322" s="163" t="str">
        <f t="array" aca="1" ref="AP322" ca="1">IFERROR(INDEX('Hydrogen-ELT'!$F$6:$J$17,MATCH(TS_TTech!$C322&amp;TS_TTech!$B322,'Hydrogen-ELT'!$A$6:$A$17&amp;'Hydrogen-ELT'!$B$6:$B$17,0),MATCH(TS_TTech!AP$7,'Hydrogen-ELT'!$F$5:$J$5,0)),"")</f>
        <v/>
      </c>
      <c r="AR322" s="163">
        <f t="shared" si="149"/>
        <v>27</v>
      </c>
      <c r="AS322" s="42">
        <f t="shared" si="155"/>
        <v>12</v>
      </c>
      <c r="AU322" s="42">
        <f ca="1">SUMIF(UPS!B$38:B$171,C322,UPS!BD$38:BD$171)</f>
        <v>131</v>
      </c>
    </row>
    <row r="323" spans="1:47">
      <c r="B323" s="440" t="str">
        <f t="shared" ref="B323:B324" si="157">IF(A323="*","",VLOOKUP("*#"&amp;AS323,$A$9:$B$24,2,FALSE))</f>
        <v>NCAP_TLIFE</v>
      </c>
      <c r="C323" s="440" t="str">
        <f ca="1">IF($A323="*","",OFFSET(ITEMS_UPS!$C$8,AR323,0))</f>
        <v>UELEA1HGN</v>
      </c>
      <c r="D323" s="440" t="str">
        <f ca="1">IF($A323="*","",IF(VLOOKUP("*#"&amp;$AS323,$A$10:$I$24,D$9+1,FALSE)="-","-",OFFSET(UPS!$C$37,AU323+AV323,SUMIF($A$10:$A$20,"*#"&amp;AS323,$AT$10:$AT$20))))</f>
        <v>-</v>
      </c>
      <c r="E323" s="440" t="str">
        <f t="shared" ref="E323:E324" si="158">IF($A323="*","",IF(VLOOKUP("*#"&amp;$AS323,$A$10:$I$24,E$9+1,FALSE)="-","-",C323&amp;"-"&amp;RIGHT(VLOOKUP("*#"&amp;$AS323,$A$10:$I$24,E$9+1,FALSE),1)))</f>
        <v>-</v>
      </c>
      <c r="F323" s="440" t="str">
        <f t="shared" ref="F323:F324" si="159">IF($A323="*","",IF(VLOOKUP("*#"&amp;$AS323,$A$10:$I$24,F$9+1,FALSE)="-","-",C323&amp;"-"&amp;RIGHT(VLOOKUP("*#"&amp;$AS323,$A$10:$I$24,F$9+1,FALSE),1)))</f>
        <v>-</v>
      </c>
      <c r="G323" s="440" t="str">
        <f t="shared" ref="G323:I324" si="160">IF($A323="*","",VLOOKUP("*#"&amp;$AS323,$A$10:$I$24,G$9+1,FALSE))</f>
        <v>-</v>
      </c>
      <c r="H323" s="441" t="str">
        <f t="shared" si="160"/>
        <v>-</v>
      </c>
      <c r="I323" s="441">
        <f t="shared" si="160"/>
        <v>0</v>
      </c>
      <c r="J323" s="163">
        <f ca="1">IF($A323="*","",OFFSET(UPS!$C$37,AU323,SUMIF($A$10:$A$24,"*#"&amp;AS323,$AT$10:$AT$24)))</f>
        <v>9.512937595129376</v>
      </c>
      <c r="K323" s="163" t="str">
        <f t="array" aca="1" ref="K323" ca="1">IFERROR(INDEX('Hydrogen-ELT'!$F$6:$J$17,MATCH(TS_TTech!$C323&amp;TS_TTech!$B323,'Hydrogen-ELT'!$A$6:$A$17&amp;'Hydrogen-ELT'!$B$6:$B$17,0),MATCH(TS_TTech!K$7,'Hydrogen-ELT'!$F$5:$J$5,0)),"")</f>
        <v/>
      </c>
      <c r="L323" s="163" t="str">
        <f t="array" aca="1" ref="L323" ca="1">IFERROR(INDEX('Hydrogen-ELT'!$F$6:$J$17,MATCH(TS_TTech!$C323&amp;TS_TTech!$B323,'Hydrogen-ELT'!$A$6:$A$17&amp;'Hydrogen-ELT'!$B$6:$B$17,0),MATCH(TS_TTech!L$7,'Hydrogen-ELT'!$F$5:$J$5,0)),"")</f>
        <v/>
      </c>
      <c r="M323" s="163" t="str">
        <f t="array" aca="1" ref="M323" ca="1">IFERROR(INDEX('Hydrogen-ELT'!$F$6:$J$17,MATCH(TS_TTech!$C323&amp;TS_TTech!$B323,'Hydrogen-ELT'!$A$6:$A$17&amp;'Hydrogen-ELT'!$B$6:$B$17,0),MATCH(TS_TTech!M$7,'Hydrogen-ELT'!$F$5:$J$5,0)),"")</f>
        <v/>
      </c>
      <c r="N323" s="163" t="str">
        <f t="array" aca="1" ref="N323" ca="1">IFERROR(INDEX('Hydrogen-ELT'!$F$6:$J$17,MATCH(TS_TTech!$C323&amp;TS_TTech!$B323,'Hydrogen-ELT'!$A$6:$A$17&amp;'Hydrogen-ELT'!$B$6:$B$17,0),MATCH(TS_TTech!N$7,'Hydrogen-ELT'!$F$5:$J$5,0)),"")</f>
        <v/>
      </c>
      <c r="O323" s="163" t="str">
        <f t="array" aca="1" ref="O323" ca="1">IFERROR(INDEX('Hydrogen-ELT'!$F$6:$J$17,MATCH(TS_TTech!$C323&amp;TS_TTech!$B323,'Hydrogen-ELT'!$A$6:$A$17&amp;'Hydrogen-ELT'!$B$6:$B$17,0),MATCH(TS_TTech!O$7,'Hydrogen-ELT'!$F$5:$J$5,0)),"")</f>
        <v/>
      </c>
      <c r="P323" s="163" t="str">
        <f t="array" aca="1" ref="P323" ca="1">IFERROR(INDEX('Hydrogen-ELT'!$F$6:$J$17,MATCH(TS_TTech!$C323&amp;TS_TTech!$B323,'Hydrogen-ELT'!$A$6:$A$17&amp;'Hydrogen-ELT'!$B$6:$B$17,0),MATCH(TS_TTech!P$7,'Hydrogen-ELT'!$F$5:$J$5,0)),"")</f>
        <v/>
      </c>
      <c r="Q323" s="163" t="str">
        <f t="array" aca="1" ref="Q323" ca="1">IFERROR(INDEX('Hydrogen-ELT'!$F$6:$J$17,MATCH(TS_TTech!$C323&amp;TS_TTech!$B323,'Hydrogen-ELT'!$A$6:$A$17&amp;'Hydrogen-ELT'!$B$6:$B$17,0),MATCH(TS_TTech!Q$7,'Hydrogen-ELT'!$F$5:$J$5,0)),"")</f>
        <v/>
      </c>
      <c r="R323" s="163">
        <f t="array" aca="1" ref="R323" ca="1">IFERROR(INDEX('Hydrogen-ELT'!$F$6:$J$17,MATCH(TS_TTech!$C323&amp;TS_TTech!$B323,'Hydrogen-ELT'!$A$6:$A$17&amp;'Hydrogen-ELT'!$B$6:$B$17,0),MATCH(TS_TTech!R$7,'Hydrogen-ELT'!$F$5:$J$5,0)),"")</f>
        <v>9.512937595129376</v>
      </c>
      <c r="S323" s="163" t="str">
        <f t="array" aca="1" ref="S323" ca="1">IFERROR(INDEX('Hydrogen-ELT'!$F$6:$J$17,MATCH(TS_TTech!$C323&amp;TS_TTech!$B323,'Hydrogen-ELT'!$A$6:$A$17&amp;'Hydrogen-ELT'!$B$6:$B$17,0),MATCH(TS_TTech!S$7,'Hydrogen-ELT'!$F$5:$J$5,0)),"")</f>
        <v/>
      </c>
      <c r="T323" s="163" t="str">
        <f t="array" aca="1" ref="T323" ca="1">IFERROR(INDEX('Hydrogen-ELT'!$F$6:$J$17,MATCH(TS_TTech!$C323&amp;TS_TTech!$B323,'Hydrogen-ELT'!$A$6:$A$17&amp;'Hydrogen-ELT'!$B$6:$B$17,0),MATCH(TS_TTech!T$7,'Hydrogen-ELT'!$F$5:$J$5,0)),"")</f>
        <v/>
      </c>
      <c r="U323" s="163" t="str">
        <f t="array" aca="1" ref="U323" ca="1">IFERROR(INDEX('Hydrogen-ELT'!$F$6:$J$17,MATCH(TS_TTech!$C323&amp;TS_TTech!$B323,'Hydrogen-ELT'!$A$6:$A$17&amp;'Hydrogen-ELT'!$B$6:$B$17,0),MATCH(TS_TTech!U$7,'Hydrogen-ELT'!$F$5:$J$5,0)),"")</f>
        <v/>
      </c>
      <c r="V323" s="163" t="str">
        <f t="array" aca="1" ref="V323" ca="1">IFERROR(INDEX('Hydrogen-ELT'!$F$6:$J$17,MATCH(TS_TTech!$C323&amp;TS_TTech!$B323,'Hydrogen-ELT'!$A$6:$A$17&amp;'Hydrogen-ELT'!$B$6:$B$17,0),MATCH(TS_TTech!V$7,'Hydrogen-ELT'!$F$5:$J$5,0)),"")</f>
        <v/>
      </c>
      <c r="W323" s="163" t="str">
        <f t="array" aca="1" ref="W323" ca="1">IFERROR(INDEX('Hydrogen-ELT'!$F$6:$J$17,MATCH(TS_TTech!$C323&amp;TS_TTech!$B323,'Hydrogen-ELT'!$A$6:$A$17&amp;'Hydrogen-ELT'!$B$6:$B$17,0),MATCH(TS_TTech!W$7,'Hydrogen-ELT'!$F$5:$J$5,0)),"")</f>
        <v/>
      </c>
      <c r="X323" s="163" t="str">
        <f t="array" aca="1" ref="X323" ca="1">IFERROR(INDEX('Hydrogen-ELT'!$F$6:$J$17,MATCH(TS_TTech!$C323&amp;TS_TTech!$B323,'Hydrogen-ELT'!$A$6:$A$17&amp;'Hydrogen-ELT'!$B$6:$B$17,0),MATCH(TS_TTech!X$7,'Hydrogen-ELT'!$F$5:$J$5,0)),"")</f>
        <v/>
      </c>
      <c r="Y323" s="163" t="str">
        <f t="array" aca="1" ref="Y323" ca="1">IFERROR(INDEX('Hydrogen-ELT'!$F$6:$J$17,MATCH(TS_TTech!$C323&amp;TS_TTech!$B323,'Hydrogen-ELT'!$A$6:$A$17&amp;'Hydrogen-ELT'!$B$6:$B$17,0),MATCH(TS_TTech!Y$7,'Hydrogen-ELT'!$F$5:$J$5,0)),"")</f>
        <v/>
      </c>
      <c r="Z323" s="163" t="str">
        <f t="array" aca="1" ref="Z323" ca="1">IFERROR(INDEX('Hydrogen-ELT'!$F$6:$J$17,MATCH(TS_TTech!$C323&amp;TS_TTech!$B323,'Hydrogen-ELT'!$A$6:$A$17&amp;'Hydrogen-ELT'!$B$6:$B$17,0),MATCH(TS_TTech!Z$7,'Hydrogen-ELT'!$F$5:$J$5,0)),"")</f>
        <v/>
      </c>
      <c r="AA323" s="163" t="str">
        <f t="array" aca="1" ref="AA323" ca="1">IFERROR(INDEX('Hydrogen-ELT'!$F$6:$J$17,MATCH(TS_TTech!$C323&amp;TS_TTech!$B323,'Hydrogen-ELT'!$A$6:$A$17&amp;'Hydrogen-ELT'!$B$6:$B$17,0),MATCH(TS_TTech!AA$7,'Hydrogen-ELT'!$F$5:$J$5,0)),"")</f>
        <v/>
      </c>
      <c r="AB323" s="163">
        <f t="array" aca="1" ref="AB323" ca="1">IFERROR(INDEX('Hydrogen-ELT'!$F$6:$J$17,MATCH(TS_TTech!$C323&amp;TS_TTech!$B323,'Hydrogen-ELT'!$A$6:$A$17&amp;'Hydrogen-ELT'!$B$6:$B$17,0),MATCH(TS_TTech!AB$7,'Hydrogen-ELT'!$F$5:$J$5,0)),"")</f>
        <v>12.049720953830542</v>
      </c>
      <c r="AC323" s="163" t="str">
        <f t="array" aca="1" ref="AC323" ca="1">IFERROR(INDEX('Hydrogen-ELT'!$F$6:$J$17,MATCH(TS_TTech!$C323&amp;TS_TTech!$B323,'Hydrogen-ELT'!$A$6:$A$17&amp;'Hydrogen-ELT'!$B$6:$B$17,0),MATCH(TS_TTech!AC$7,'Hydrogen-ELT'!$F$5:$J$5,0)),"")</f>
        <v/>
      </c>
      <c r="AD323" s="163" t="str">
        <f t="array" aca="1" ref="AD323" ca="1">IFERROR(INDEX('Hydrogen-ELT'!$F$6:$J$17,MATCH(TS_TTech!$C323&amp;TS_TTech!$B323,'Hydrogen-ELT'!$A$6:$A$17&amp;'Hydrogen-ELT'!$B$6:$B$17,0),MATCH(TS_TTech!AD$7,'Hydrogen-ELT'!$F$5:$J$5,0)),"")</f>
        <v/>
      </c>
      <c r="AE323" s="163" t="str">
        <f t="array" aca="1" ref="AE323" ca="1">IFERROR(INDEX('Hydrogen-ELT'!$F$6:$J$17,MATCH(TS_TTech!$C323&amp;TS_TTech!$B323,'Hydrogen-ELT'!$A$6:$A$17&amp;'Hydrogen-ELT'!$B$6:$B$17,0),MATCH(TS_TTech!AE$7,'Hydrogen-ELT'!$F$5:$J$5,0)),"")</f>
        <v/>
      </c>
      <c r="AF323" s="163" t="str">
        <f t="array" aca="1" ref="AF323" ca="1">IFERROR(INDEX('Hydrogen-ELT'!$F$6:$J$17,MATCH(TS_TTech!$C323&amp;TS_TTech!$B323,'Hydrogen-ELT'!$A$6:$A$17&amp;'Hydrogen-ELT'!$B$6:$B$17,0),MATCH(TS_TTech!AF$7,'Hydrogen-ELT'!$F$5:$J$5,0)),"")</f>
        <v/>
      </c>
      <c r="AG323" s="163">
        <f t="array" aca="1" ref="AG323" ca="1">IFERROR(INDEX('Hydrogen-ELT'!$F$6:$J$17,MATCH(TS_TTech!$C323&amp;TS_TTech!$B323,'Hydrogen-ELT'!$A$6:$A$17&amp;'Hydrogen-ELT'!$B$6:$B$17,0),MATCH(TS_TTech!AG$7,'Hydrogen-ELT'!$F$5:$J$5,0)),"")</f>
        <v>15.854895991882291</v>
      </c>
      <c r="AH323" s="163" t="str">
        <f t="array" aca="1" ref="AH323" ca="1">IFERROR(INDEX('Hydrogen-ELT'!$F$6:$J$17,MATCH(TS_TTech!$C323&amp;TS_TTech!$B323,'Hydrogen-ELT'!$A$6:$A$17&amp;'Hydrogen-ELT'!$B$6:$B$17,0),MATCH(TS_TTech!AH$7,'Hydrogen-ELT'!$F$5:$J$5,0)),"")</f>
        <v/>
      </c>
      <c r="AI323" s="163" t="str">
        <f t="array" aca="1" ref="AI323" ca="1">IFERROR(INDEX('Hydrogen-ELT'!$F$6:$J$17,MATCH(TS_TTech!$C323&amp;TS_TTech!$B323,'Hydrogen-ELT'!$A$6:$A$17&amp;'Hydrogen-ELT'!$B$6:$B$17,0),MATCH(TS_TTech!AI$7,'Hydrogen-ELT'!$F$5:$J$5,0)),"")</f>
        <v/>
      </c>
      <c r="AJ323" s="163" t="str">
        <f t="array" aca="1" ref="AJ323" ca="1">IFERROR(INDEX('Hydrogen-ELT'!$F$6:$J$17,MATCH(TS_TTech!$C323&amp;TS_TTech!$B323,'Hydrogen-ELT'!$A$6:$A$17&amp;'Hydrogen-ELT'!$B$6:$B$17,0),MATCH(TS_TTech!AJ$7,'Hydrogen-ELT'!$F$5:$J$5,0)),"")</f>
        <v/>
      </c>
      <c r="AK323" s="163" t="str">
        <f t="array" aca="1" ref="AK323" ca="1">IFERROR(INDEX('Hydrogen-ELT'!$F$6:$J$17,MATCH(TS_TTech!$C323&amp;TS_TTech!$B323,'Hydrogen-ELT'!$A$6:$A$17&amp;'Hydrogen-ELT'!$B$6:$B$17,0),MATCH(TS_TTech!AK$7,'Hydrogen-ELT'!$F$5:$J$5,0)),"")</f>
        <v/>
      </c>
      <c r="AL323" s="163">
        <f t="array" aca="1" ref="AL323" ca="1">IFERROR(INDEX('Hydrogen-ELT'!$F$6:$J$17,MATCH(TS_TTech!$C323&amp;TS_TTech!$B323,'Hydrogen-ELT'!$A$6:$A$17&amp;'Hydrogen-ELT'!$B$6:$B$17,0),MATCH(TS_TTech!AL$7,'Hydrogen-ELT'!$F$5:$J$5,0)),"")</f>
        <v>15.854895991882291</v>
      </c>
      <c r="AM323" s="163" t="str">
        <f t="array" aca="1" ref="AM323" ca="1">IFERROR(INDEX('Hydrogen-ELT'!$F$6:$J$17,MATCH(TS_TTech!$C323&amp;TS_TTech!$B323,'Hydrogen-ELT'!$A$6:$A$17&amp;'Hydrogen-ELT'!$B$6:$B$17,0),MATCH(TS_TTech!AM$7,'Hydrogen-ELT'!$F$5:$J$5,0)),"")</f>
        <v/>
      </c>
      <c r="AN323" s="163">
        <f t="array" aca="1" ref="AN323" ca="1">IFERROR(INDEX('Hydrogen-ELT'!$F$6:$J$17,MATCH(TS_TTech!$C323&amp;TS_TTech!$B323,'Hydrogen-ELT'!$A$6:$A$17&amp;'Hydrogen-ELT'!$B$6:$B$17,0),MATCH(TS_TTech!AN$7,'Hydrogen-ELT'!$F$5:$J$5,0)),"")</f>
        <v>15.854895991882291</v>
      </c>
      <c r="AO323" s="163" t="str">
        <f t="array" aca="1" ref="AO323" ca="1">IFERROR(INDEX('Hydrogen-ELT'!$F$6:$J$17,MATCH(TS_TTech!$C323&amp;TS_TTech!$B323,'Hydrogen-ELT'!$A$6:$A$17&amp;'Hydrogen-ELT'!$B$6:$B$17,0),MATCH(TS_TTech!AO$7,'Hydrogen-ELT'!$F$5:$J$5,0)),"")</f>
        <v/>
      </c>
      <c r="AP323" s="163" t="str">
        <f t="array" aca="1" ref="AP323" ca="1">IFERROR(INDEX('Hydrogen-ELT'!$F$6:$J$17,MATCH(TS_TTech!$C323&amp;TS_TTech!$B323,'Hydrogen-ELT'!$A$6:$A$17&amp;'Hydrogen-ELT'!$B$6:$B$17,0),MATCH(TS_TTech!AP$7,'Hydrogen-ELT'!$F$5:$J$5,0)),"")</f>
        <v/>
      </c>
      <c r="AR323" s="163">
        <f t="shared" si="149"/>
        <v>27</v>
      </c>
      <c r="AS323" s="42">
        <f t="shared" si="155"/>
        <v>13</v>
      </c>
      <c r="AU323" s="42">
        <f ca="1">SUMIF(UPS!B$38:B$171,C323,UPS!BD$38:BD$171)</f>
        <v>131</v>
      </c>
    </row>
    <row r="324" spans="1:47">
      <c r="B324" s="440" t="str">
        <f t="shared" si="157"/>
        <v>NCAP_ILED</v>
      </c>
      <c r="C324" s="440" t="str">
        <f ca="1">IF($A324="*","",OFFSET(ITEMS_UPS!$C$8,AR324,0))</f>
        <v>UELEA1HGN</v>
      </c>
      <c r="D324" s="440" t="str">
        <f ca="1">IF($A324="*","",IF(VLOOKUP("*#"&amp;$AS324,$A$10:$I$24,D$9+1,FALSE)="-","-",OFFSET(UPS!$C$37,AU324+AV324,SUMIF($A$10:$A$20,"*#"&amp;AS324,$AT$10:$AT$20))))</f>
        <v>-</v>
      </c>
      <c r="E324" s="440" t="str">
        <f t="shared" si="158"/>
        <v>-</v>
      </c>
      <c r="F324" s="440" t="str">
        <f t="shared" si="159"/>
        <v>-</v>
      </c>
      <c r="G324" s="440" t="str">
        <f t="shared" si="160"/>
        <v>-</v>
      </c>
      <c r="H324" s="441" t="str">
        <f t="shared" si="160"/>
        <v>-</v>
      </c>
      <c r="I324" s="441">
        <f t="shared" si="160"/>
        <v>0</v>
      </c>
      <c r="J324" s="163">
        <f ca="1">IF($A324="*","",OFFSET(UPS!$C$37,AU324,SUMIF($A$10:$A$24,"*#"&amp;AS324,$AT$10:$AT$24)))</f>
        <v>-2</v>
      </c>
      <c r="K324" s="163" t="str">
        <f t="array" aca="1" ref="K324" ca="1">IFERROR(INDEX('Hydrogen-ELT'!$F$6:$J$17,MATCH(TS_TTech!$C324&amp;TS_TTech!$B324,'Hydrogen-ELT'!$A$6:$A$17&amp;'Hydrogen-ELT'!$B$6:$B$17,0),MATCH(TS_TTech!K$7,'Hydrogen-ELT'!$F$5:$J$5,0)),"")</f>
        <v/>
      </c>
      <c r="L324" s="163" t="str">
        <f t="array" aca="1" ref="L324" ca="1">IFERROR(INDEX('Hydrogen-ELT'!$F$6:$J$17,MATCH(TS_TTech!$C324&amp;TS_TTech!$B324,'Hydrogen-ELT'!$A$6:$A$17&amp;'Hydrogen-ELT'!$B$6:$B$17,0),MATCH(TS_TTech!L$7,'Hydrogen-ELT'!$F$5:$J$5,0)),"")</f>
        <v/>
      </c>
      <c r="M324" s="163" t="str">
        <f t="array" aca="1" ref="M324" ca="1">IFERROR(INDEX('Hydrogen-ELT'!$F$6:$J$17,MATCH(TS_TTech!$C324&amp;TS_TTech!$B324,'Hydrogen-ELT'!$A$6:$A$17&amp;'Hydrogen-ELT'!$B$6:$B$17,0),MATCH(TS_TTech!M$7,'Hydrogen-ELT'!$F$5:$J$5,0)),"")</f>
        <v/>
      </c>
      <c r="N324" s="163" t="str">
        <f t="array" aca="1" ref="N324" ca="1">IFERROR(INDEX('Hydrogen-ELT'!$F$6:$J$17,MATCH(TS_TTech!$C324&amp;TS_TTech!$B324,'Hydrogen-ELT'!$A$6:$A$17&amp;'Hydrogen-ELT'!$B$6:$B$17,0),MATCH(TS_TTech!N$7,'Hydrogen-ELT'!$F$5:$J$5,0)),"")</f>
        <v/>
      </c>
      <c r="O324" s="163" t="str">
        <f t="array" aca="1" ref="O324" ca="1">IFERROR(INDEX('Hydrogen-ELT'!$F$6:$J$17,MATCH(TS_TTech!$C324&amp;TS_TTech!$B324,'Hydrogen-ELT'!$A$6:$A$17&amp;'Hydrogen-ELT'!$B$6:$B$17,0),MATCH(TS_TTech!O$7,'Hydrogen-ELT'!$F$5:$J$5,0)),"")</f>
        <v/>
      </c>
      <c r="P324" s="163" t="str">
        <f t="array" aca="1" ref="P324" ca="1">IFERROR(INDEX('Hydrogen-ELT'!$F$6:$J$17,MATCH(TS_TTech!$C324&amp;TS_TTech!$B324,'Hydrogen-ELT'!$A$6:$A$17&amp;'Hydrogen-ELT'!$B$6:$B$17,0),MATCH(TS_TTech!P$7,'Hydrogen-ELT'!$F$5:$J$5,0)),"")</f>
        <v/>
      </c>
      <c r="Q324" s="163" t="str">
        <f t="array" aca="1" ref="Q324" ca="1">IFERROR(INDEX('Hydrogen-ELT'!$F$6:$J$17,MATCH(TS_TTech!$C324&amp;TS_TTech!$B324,'Hydrogen-ELT'!$A$6:$A$17&amp;'Hydrogen-ELT'!$B$6:$B$17,0),MATCH(TS_TTech!Q$7,'Hydrogen-ELT'!$F$5:$J$5,0)),"")</f>
        <v/>
      </c>
      <c r="R324" s="163">
        <f t="array" aca="1" ref="R324" ca="1">IFERROR(INDEX('Hydrogen-ELT'!$F$6:$J$17,MATCH(TS_TTech!$C324&amp;TS_TTech!$B324,'Hydrogen-ELT'!$A$6:$A$17&amp;'Hydrogen-ELT'!$B$6:$B$17,0),MATCH(TS_TTech!R$7,'Hydrogen-ELT'!$F$5:$J$5,0)),"")</f>
        <v>-2</v>
      </c>
      <c r="S324" s="163" t="str">
        <f t="array" aca="1" ref="S324" ca="1">IFERROR(INDEX('Hydrogen-ELT'!$F$6:$J$17,MATCH(TS_TTech!$C324&amp;TS_TTech!$B324,'Hydrogen-ELT'!$A$6:$A$17&amp;'Hydrogen-ELT'!$B$6:$B$17,0),MATCH(TS_TTech!S$7,'Hydrogen-ELT'!$F$5:$J$5,0)),"")</f>
        <v/>
      </c>
      <c r="T324" s="163" t="str">
        <f t="array" aca="1" ref="T324" ca="1">IFERROR(INDEX('Hydrogen-ELT'!$F$6:$J$17,MATCH(TS_TTech!$C324&amp;TS_TTech!$B324,'Hydrogen-ELT'!$A$6:$A$17&amp;'Hydrogen-ELT'!$B$6:$B$17,0),MATCH(TS_TTech!T$7,'Hydrogen-ELT'!$F$5:$J$5,0)),"")</f>
        <v/>
      </c>
      <c r="U324" s="163" t="str">
        <f t="array" aca="1" ref="U324" ca="1">IFERROR(INDEX('Hydrogen-ELT'!$F$6:$J$17,MATCH(TS_TTech!$C324&amp;TS_TTech!$B324,'Hydrogen-ELT'!$A$6:$A$17&amp;'Hydrogen-ELT'!$B$6:$B$17,0),MATCH(TS_TTech!U$7,'Hydrogen-ELT'!$F$5:$J$5,0)),"")</f>
        <v/>
      </c>
      <c r="V324" s="163" t="str">
        <f t="array" aca="1" ref="V324" ca="1">IFERROR(INDEX('Hydrogen-ELT'!$F$6:$J$17,MATCH(TS_TTech!$C324&amp;TS_TTech!$B324,'Hydrogen-ELT'!$A$6:$A$17&amp;'Hydrogen-ELT'!$B$6:$B$17,0),MATCH(TS_TTech!V$7,'Hydrogen-ELT'!$F$5:$J$5,0)),"")</f>
        <v/>
      </c>
      <c r="W324" s="163" t="str">
        <f t="array" aca="1" ref="W324" ca="1">IFERROR(INDEX('Hydrogen-ELT'!$F$6:$J$17,MATCH(TS_TTech!$C324&amp;TS_TTech!$B324,'Hydrogen-ELT'!$A$6:$A$17&amp;'Hydrogen-ELT'!$B$6:$B$17,0),MATCH(TS_TTech!W$7,'Hydrogen-ELT'!$F$5:$J$5,0)),"")</f>
        <v/>
      </c>
      <c r="X324" s="163" t="str">
        <f t="array" aca="1" ref="X324" ca="1">IFERROR(INDEX('Hydrogen-ELT'!$F$6:$J$17,MATCH(TS_TTech!$C324&amp;TS_TTech!$B324,'Hydrogen-ELT'!$A$6:$A$17&amp;'Hydrogen-ELT'!$B$6:$B$17,0),MATCH(TS_TTech!X$7,'Hydrogen-ELT'!$F$5:$J$5,0)),"")</f>
        <v/>
      </c>
      <c r="Y324" s="163" t="str">
        <f t="array" aca="1" ref="Y324" ca="1">IFERROR(INDEX('Hydrogen-ELT'!$F$6:$J$17,MATCH(TS_TTech!$C324&amp;TS_TTech!$B324,'Hydrogen-ELT'!$A$6:$A$17&amp;'Hydrogen-ELT'!$B$6:$B$17,0),MATCH(TS_TTech!Y$7,'Hydrogen-ELT'!$F$5:$J$5,0)),"")</f>
        <v/>
      </c>
      <c r="Z324" s="163" t="str">
        <f t="array" aca="1" ref="Z324" ca="1">IFERROR(INDEX('Hydrogen-ELT'!$F$6:$J$17,MATCH(TS_TTech!$C324&amp;TS_TTech!$B324,'Hydrogen-ELT'!$A$6:$A$17&amp;'Hydrogen-ELT'!$B$6:$B$17,0),MATCH(TS_TTech!Z$7,'Hydrogen-ELT'!$F$5:$J$5,0)),"")</f>
        <v/>
      </c>
      <c r="AA324" s="163" t="str">
        <f t="array" aca="1" ref="AA324" ca="1">IFERROR(INDEX('Hydrogen-ELT'!$F$6:$J$17,MATCH(TS_TTech!$C324&amp;TS_TTech!$B324,'Hydrogen-ELT'!$A$6:$A$17&amp;'Hydrogen-ELT'!$B$6:$B$17,0),MATCH(TS_TTech!AA$7,'Hydrogen-ELT'!$F$5:$J$5,0)),"")</f>
        <v/>
      </c>
      <c r="AB324" s="163">
        <f t="array" aca="1" ref="AB324" ca="1">IFERROR(INDEX('Hydrogen-ELT'!$F$6:$J$17,MATCH(TS_TTech!$C324&amp;TS_TTech!$B324,'Hydrogen-ELT'!$A$6:$A$17&amp;'Hydrogen-ELT'!$B$6:$B$17,0),MATCH(TS_TTech!AB$7,'Hydrogen-ELT'!$F$5:$J$5,0)),"")</f>
        <v>-2</v>
      </c>
      <c r="AC324" s="163" t="str">
        <f t="array" aca="1" ref="AC324" ca="1">IFERROR(INDEX('Hydrogen-ELT'!$F$6:$J$17,MATCH(TS_TTech!$C324&amp;TS_TTech!$B324,'Hydrogen-ELT'!$A$6:$A$17&amp;'Hydrogen-ELT'!$B$6:$B$17,0),MATCH(TS_TTech!AC$7,'Hydrogen-ELT'!$F$5:$J$5,0)),"")</f>
        <v/>
      </c>
      <c r="AD324" s="163" t="str">
        <f t="array" aca="1" ref="AD324" ca="1">IFERROR(INDEX('Hydrogen-ELT'!$F$6:$J$17,MATCH(TS_TTech!$C324&amp;TS_TTech!$B324,'Hydrogen-ELT'!$A$6:$A$17&amp;'Hydrogen-ELT'!$B$6:$B$17,0),MATCH(TS_TTech!AD$7,'Hydrogen-ELT'!$F$5:$J$5,0)),"")</f>
        <v/>
      </c>
      <c r="AE324" s="163" t="str">
        <f t="array" aca="1" ref="AE324" ca="1">IFERROR(INDEX('Hydrogen-ELT'!$F$6:$J$17,MATCH(TS_TTech!$C324&amp;TS_TTech!$B324,'Hydrogen-ELT'!$A$6:$A$17&amp;'Hydrogen-ELT'!$B$6:$B$17,0),MATCH(TS_TTech!AE$7,'Hydrogen-ELT'!$F$5:$J$5,0)),"")</f>
        <v/>
      </c>
      <c r="AF324" s="163" t="str">
        <f t="array" aca="1" ref="AF324" ca="1">IFERROR(INDEX('Hydrogen-ELT'!$F$6:$J$17,MATCH(TS_TTech!$C324&amp;TS_TTech!$B324,'Hydrogen-ELT'!$A$6:$A$17&amp;'Hydrogen-ELT'!$B$6:$B$17,0),MATCH(TS_TTech!AF$7,'Hydrogen-ELT'!$F$5:$J$5,0)),"")</f>
        <v/>
      </c>
      <c r="AG324" s="163">
        <f t="array" aca="1" ref="AG324" ca="1">IFERROR(INDEX('Hydrogen-ELT'!$F$6:$J$17,MATCH(TS_TTech!$C324&amp;TS_TTech!$B324,'Hydrogen-ELT'!$A$6:$A$17&amp;'Hydrogen-ELT'!$B$6:$B$17,0),MATCH(TS_TTech!AG$7,'Hydrogen-ELT'!$F$5:$J$5,0)),"")</f>
        <v>-2</v>
      </c>
      <c r="AH324" s="163" t="str">
        <f t="array" aca="1" ref="AH324" ca="1">IFERROR(INDEX('Hydrogen-ELT'!$F$6:$J$17,MATCH(TS_TTech!$C324&amp;TS_TTech!$B324,'Hydrogen-ELT'!$A$6:$A$17&amp;'Hydrogen-ELT'!$B$6:$B$17,0),MATCH(TS_TTech!AH$7,'Hydrogen-ELT'!$F$5:$J$5,0)),"")</f>
        <v/>
      </c>
      <c r="AI324" s="163" t="str">
        <f t="array" aca="1" ref="AI324" ca="1">IFERROR(INDEX('Hydrogen-ELT'!$F$6:$J$17,MATCH(TS_TTech!$C324&amp;TS_TTech!$B324,'Hydrogen-ELT'!$A$6:$A$17&amp;'Hydrogen-ELT'!$B$6:$B$17,0),MATCH(TS_TTech!AI$7,'Hydrogen-ELT'!$F$5:$J$5,0)),"")</f>
        <v/>
      </c>
      <c r="AJ324" s="163" t="str">
        <f t="array" aca="1" ref="AJ324" ca="1">IFERROR(INDEX('Hydrogen-ELT'!$F$6:$J$17,MATCH(TS_TTech!$C324&amp;TS_TTech!$B324,'Hydrogen-ELT'!$A$6:$A$17&amp;'Hydrogen-ELT'!$B$6:$B$17,0),MATCH(TS_TTech!AJ$7,'Hydrogen-ELT'!$F$5:$J$5,0)),"")</f>
        <v/>
      </c>
      <c r="AK324" s="163" t="str">
        <f t="array" aca="1" ref="AK324" ca="1">IFERROR(INDEX('Hydrogen-ELT'!$F$6:$J$17,MATCH(TS_TTech!$C324&amp;TS_TTech!$B324,'Hydrogen-ELT'!$A$6:$A$17&amp;'Hydrogen-ELT'!$B$6:$B$17,0),MATCH(TS_TTech!AK$7,'Hydrogen-ELT'!$F$5:$J$5,0)),"")</f>
        <v/>
      </c>
      <c r="AL324" s="163">
        <f t="array" aca="1" ref="AL324" ca="1">IFERROR(INDEX('Hydrogen-ELT'!$F$6:$J$17,MATCH(TS_TTech!$C324&amp;TS_TTech!$B324,'Hydrogen-ELT'!$A$6:$A$17&amp;'Hydrogen-ELT'!$B$6:$B$17,0),MATCH(TS_TTech!AL$7,'Hydrogen-ELT'!$F$5:$J$5,0)),"")</f>
        <v>-2</v>
      </c>
      <c r="AM324" s="163" t="str">
        <f t="array" aca="1" ref="AM324" ca="1">IFERROR(INDEX('Hydrogen-ELT'!$F$6:$J$17,MATCH(TS_TTech!$C324&amp;TS_TTech!$B324,'Hydrogen-ELT'!$A$6:$A$17&amp;'Hydrogen-ELT'!$B$6:$B$17,0),MATCH(TS_TTech!AM$7,'Hydrogen-ELT'!$F$5:$J$5,0)),"")</f>
        <v/>
      </c>
      <c r="AN324" s="163">
        <f t="array" aca="1" ref="AN324" ca="1">IFERROR(INDEX('Hydrogen-ELT'!$F$6:$J$17,MATCH(TS_TTech!$C324&amp;TS_TTech!$B324,'Hydrogen-ELT'!$A$6:$A$17&amp;'Hydrogen-ELT'!$B$6:$B$17,0),MATCH(TS_TTech!AN$7,'Hydrogen-ELT'!$F$5:$J$5,0)),"")</f>
        <v>-2</v>
      </c>
      <c r="AO324" s="163" t="str">
        <f t="array" aca="1" ref="AO324" ca="1">IFERROR(INDEX('Hydrogen-ELT'!$F$6:$J$17,MATCH(TS_TTech!$C324&amp;TS_TTech!$B324,'Hydrogen-ELT'!$A$6:$A$17&amp;'Hydrogen-ELT'!$B$6:$B$17,0),MATCH(TS_TTech!AO$7,'Hydrogen-ELT'!$F$5:$J$5,0)),"")</f>
        <v/>
      </c>
      <c r="AP324" s="163" t="str">
        <f t="array" aca="1" ref="AP324" ca="1">IFERROR(INDEX('Hydrogen-ELT'!$F$6:$J$17,MATCH(TS_TTech!$C324&amp;TS_TTech!$B324,'Hydrogen-ELT'!$A$6:$A$17&amp;'Hydrogen-ELT'!$B$6:$B$17,0),MATCH(TS_TTech!AP$7,'Hydrogen-ELT'!$F$5:$J$5,0)),"")</f>
        <v/>
      </c>
      <c r="AR324" s="163">
        <f t="shared" si="149"/>
        <v>27</v>
      </c>
      <c r="AS324" s="42">
        <f t="shared" si="155"/>
        <v>14</v>
      </c>
      <c r="AU324" s="42">
        <f ca="1">SUMIF(UPS!B$38:B$171,C324,UPS!BD$38:BD$171)</f>
        <v>131</v>
      </c>
    </row>
    <row r="325" spans="1:47">
      <c r="A325" s="42" t="s">
        <v>310</v>
      </c>
      <c r="B325" s="440"/>
      <c r="C325" s="440"/>
      <c r="D325" s="440"/>
      <c r="E325" s="440"/>
      <c r="F325" s="440"/>
      <c r="G325" s="440"/>
      <c r="H325" s="441"/>
      <c r="I325" s="441"/>
      <c r="J325" s="163"/>
      <c r="K325" s="163"/>
      <c r="L325" s="163"/>
      <c r="M325" s="163"/>
      <c r="N325" s="163"/>
      <c r="O325" s="163"/>
      <c r="P325" s="163"/>
      <c r="Q325" s="163"/>
      <c r="R325" s="163"/>
      <c r="S325" s="163"/>
      <c r="T325" s="163"/>
      <c r="U325" s="163"/>
      <c r="V325" s="163"/>
      <c r="W325" s="163"/>
      <c r="X325" s="163"/>
      <c r="Y325" s="163"/>
      <c r="Z325" s="163"/>
      <c r="AA325" s="163"/>
      <c r="AB325" s="163"/>
      <c r="AC325" s="163"/>
      <c r="AD325" s="163"/>
      <c r="AE325" s="163"/>
      <c r="AF325" s="163"/>
      <c r="AG325" s="163"/>
      <c r="AH325" s="163"/>
      <c r="AI325" s="163"/>
      <c r="AJ325" s="163"/>
      <c r="AK325" s="163"/>
      <c r="AL325" s="163"/>
      <c r="AM325" s="163"/>
      <c r="AN325" s="163"/>
      <c r="AO325" s="163"/>
      <c r="AP325" s="163"/>
      <c r="AR325" s="163"/>
    </row>
    <row r="326" spans="1:47">
      <c r="A326" s="42" t="s">
        <v>310</v>
      </c>
      <c r="B326" s="440"/>
      <c r="C326" s="440"/>
      <c r="D326" s="440"/>
      <c r="E326" s="440"/>
      <c r="F326" s="440"/>
      <c r="G326" s="440"/>
      <c r="H326" s="441"/>
      <c r="I326" s="441"/>
      <c r="J326" s="163"/>
      <c r="K326" s="163"/>
      <c r="L326" s="163"/>
      <c r="M326" s="163"/>
      <c r="N326" s="163"/>
      <c r="O326" s="163"/>
      <c r="P326" s="163"/>
      <c r="Q326" s="163"/>
      <c r="R326" s="163"/>
      <c r="S326" s="163"/>
      <c r="T326" s="163"/>
      <c r="U326" s="163"/>
      <c r="V326" s="163"/>
      <c r="W326" s="163"/>
      <c r="X326" s="163"/>
      <c r="Y326" s="163"/>
      <c r="Z326" s="163"/>
      <c r="AA326" s="163"/>
      <c r="AB326" s="163"/>
      <c r="AC326" s="163"/>
      <c r="AD326" s="163"/>
      <c r="AE326" s="163"/>
      <c r="AF326" s="163"/>
      <c r="AG326" s="163"/>
      <c r="AH326" s="163"/>
      <c r="AI326" s="163"/>
      <c r="AJ326" s="163"/>
      <c r="AK326" s="163"/>
      <c r="AL326" s="163"/>
      <c r="AM326" s="163"/>
      <c r="AN326" s="163"/>
      <c r="AO326" s="163"/>
      <c r="AP326" s="163"/>
      <c r="AR326" s="163"/>
    </row>
    <row r="327" spans="1:47">
      <c r="A327" s="42" t="s">
        <v>310</v>
      </c>
      <c r="B327" s="440"/>
      <c r="C327" s="440"/>
      <c r="D327" s="440"/>
      <c r="E327" s="440"/>
      <c r="F327" s="440"/>
      <c r="G327" s="440"/>
      <c r="H327" s="441"/>
      <c r="I327" s="441"/>
      <c r="J327" s="163"/>
      <c r="K327" s="163"/>
      <c r="L327" s="163"/>
      <c r="M327" s="163"/>
      <c r="N327" s="163"/>
      <c r="O327" s="163"/>
      <c r="P327" s="163"/>
      <c r="Q327" s="163"/>
      <c r="R327" s="163"/>
      <c r="S327" s="163"/>
      <c r="T327" s="163"/>
      <c r="U327" s="163"/>
      <c r="V327" s="163"/>
      <c r="W327" s="163"/>
      <c r="X327" s="163"/>
      <c r="Y327" s="163"/>
      <c r="Z327" s="163"/>
      <c r="AA327" s="163"/>
      <c r="AB327" s="163"/>
      <c r="AC327" s="163"/>
      <c r="AD327" s="163"/>
      <c r="AE327" s="163"/>
      <c r="AF327" s="163"/>
      <c r="AG327" s="163"/>
      <c r="AH327" s="163"/>
      <c r="AI327" s="163"/>
      <c r="AJ327" s="163"/>
      <c r="AK327" s="163"/>
      <c r="AL327" s="163"/>
      <c r="AM327" s="163"/>
      <c r="AN327" s="163"/>
      <c r="AO327" s="163"/>
      <c r="AP327" s="163"/>
      <c r="AR327" s="163"/>
    </row>
    <row r="328" spans="1:47">
      <c r="A328" s="42" t="s">
        <v>310</v>
      </c>
      <c r="B328" s="440"/>
      <c r="C328" s="440"/>
      <c r="D328" s="440"/>
      <c r="E328" s="440"/>
      <c r="F328" s="440"/>
      <c r="G328" s="440"/>
      <c r="H328" s="441"/>
      <c r="I328" s="441"/>
      <c r="J328" s="163"/>
      <c r="K328" s="163"/>
      <c r="L328" s="163"/>
      <c r="M328" s="163"/>
      <c r="N328" s="163"/>
      <c r="O328" s="163"/>
      <c r="P328" s="163"/>
      <c r="Q328" s="163"/>
      <c r="R328" s="163"/>
      <c r="S328" s="163"/>
      <c r="T328" s="163"/>
      <c r="U328" s="163"/>
      <c r="V328" s="163"/>
      <c r="W328" s="163"/>
      <c r="X328" s="163"/>
      <c r="Y328" s="163"/>
      <c r="Z328" s="163"/>
      <c r="AA328" s="163"/>
      <c r="AB328" s="163"/>
      <c r="AC328" s="163"/>
      <c r="AD328" s="163"/>
      <c r="AE328" s="163"/>
      <c r="AF328" s="163"/>
      <c r="AG328" s="163"/>
      <c r="AH328" s="163"/>
      <c r="AI328" s="163"/>
      <c r="AJ328" s="163"/>
      <c r="AK328" s="163"/>
      <c r="AL328" s="163"/>
      <c r="AM328" s="163"/>
      <c r="AN328" s="163"/>
      <c r="AO328" s="163"/>
      <c r="AP328" s="163"/>
      <c r="AR328" s="163"/>
    </row>
    <row r="329" spans="1:47">
      <c r="A329" s="42" t="s">
        <v>310</v>
      </c>
      <c r="B329" s="440"/>
      <c r="C329" s="440"/>
      <c r="D329" s="440"/>
      <c r="E329" s="440"/>
      <c r="F329" s="440"/>
      <c r="G329" s="440"/>
      <c r="H329" s="441"/>
      <c r="I329" s="441"/>
      <c r="J329" s="163"/>
      <c r="K329" s="163"/>
      <c r="L329" s="163"/>
      <c r="M329" s="163"/>
      <c r="N329" s="163"/>
      <c r="O329" s="163"/>
      <c r="P329" s="163"/>
      <c r="Q329" s="163"/>
      <c r="R329" s="163"/>
      <c r="S329" s="163"/>
      <c r="T329" s="163"/>
      <c r="U329" s="163"/>
      <c r="V329" s="163"/>
      <c r="W329" s="163"/>
      <c r="X329" s="163"/>
      <c r="Y329" s="163"/>
      <c r="Z329" s="163"/>
      <c r="AA329" s="163"/>
      <c r="AB329" s="163"/>
      <c r="AC329" s="163"/>
      <c r="AD329" s="163"/>
      <c r="AE329" s="163"/>
      <c r="AF329" s="163"/>
      <c r="AG329" s="163"/>
      <c r="AH329" s="163"/>
      <c r="AI329" s="163"/>
      <c r="AJ329" s="163"/>
      <c r="AK329" s="163"/>
      <c r="AL329" s="163"/>
      <c r="AM329" s="163"/>
      <c r="AN329" s="163"/>
      <c r="AO329" s="163"/>
      <c r="AP329" s="163"/>
      <c r="AR329" s="163"/>
    </row>
    <row r="330" spans="1:47">
      <c r="A330" s="42" t="s">
        <v>310</v>
      </c>
    </row>
  </sheetData>
  <autoFilter ref="B1:C309" xr:uid="{00000000-0009-0000-0000-000020000000}"/>
  <pageMargins left="0.7" right="0.7" top="0.75" bottom="0.75" header="0.3" footer="0.3"/>
  <pageSetup paperSize="9" orientation="portrait" horizontalDpi="4294967292" verticalDpi="4294967292"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1:O347"/>
  <sheetViews>
    <sheetView topLeftCell="A311" workbookViewId="0">
      <selection activeCell="B340" sqref="B340"/>
    </sheetView>
  </sheetViews>
  <sheetFormatPr defaultColWidth="11.42578125" defaultRowHeight="11.25"/>
  <cols>
    <col min="1" max="1" width="12.28515625" style="42" customWidth="1"/>
    <col min="2" max="2" width="12" style="42" customWidth="1"/>
    <col min="3" max="3" width="13.7109375" style="42" bestFit="1" customWidth="1"/>
    <col min="4" max="4" width="11.42578125" style="42" customWidth="1"/>
    <col min="5" max="5" width="13" style="42" customWidth="1"/>
    <col min="6" max="6" width="12.7109375" style="42" customWidth="1"/>
    <col min="7" max="8" width="11.42578125" style="42" customWidth="1"/>
    <col min="9" max="9" width="5.7109375" style="42" customWidth="1"/>
    <col min="10" max="10" width="11.42578125" style="42" customWidth="1"/>
    <col min="11" max="15" width="4.7109375" style="42" customWidth="1"/>
    <col min="16" max="16384" width="11.42578125" style="42"/>
  </cols>
  <sheetData>
    <row r="1" spans="1:15">
      <c r="A1" s="41" t="str">
        <f>IF(Index!B8=0,"TID DATA","")</f>
        <v>TID DATA</v>
      </c>
      <c r="B1" s="42" t="s">
        <v>308</v>
      </c>
      <c r="K1" s="42" t="s">
        <v>310</v>
      </c>
      <c r="L1" s="42" t="s">
        <v>310</v>
      </c>
      <c r="M1" s="42" t="s">
        <v>310</v>
      </c>
      <c r="N1" s="42" t="s">
        <v>310</v>
      </c>
      <c r="O1" s="42" t="s">
        <v>310</v>
      </c>
    </row>
    <row r="2" spans="1:15">
      <c r="A2" s="42" t="s">
        <v>310</v>
      </c>
      <c r="K2" s="42" t="s">
        <v>320</v>
      </c>
      <c r="L2" s="42" t="s">
        <v>321</v>
      </c>
      <c r="M2" s="42" t="s">
        <v>322</v>
      </c>
      <c r="N2" s="42" t="s">
        <v>847</v>
      </c>
      <c r="O2" s="42" t="s">
        <v>848</v>
      </c>
    </row>
    <row r="3" spans="1:15" ht="15" customHeight="1">
      <c r="A3" s="42" t="s">
        <v>310</v>
      </c>
    </row>
    <row r="4" spans="1:15">
      <c r="A4" s="42" t="s">
        <v>310</v>
      </c>
    </row>
    <row r="5" spans="1:15">
      <c r="A5" s="42" t="s">
        <v>310</v>
      </c>
    </row>
    <row r="6" spans="1:15">
      <c r="A6" s="42" t="s">
        <v>310</v>
      </c>
    </row>
    <row r="7" spans="1:15" ht="22.5" customHeight="1">
      <c r="A7" s="42" t="s">
        <v>310</v>
      </c>
      <c r="B7" s="41" t="s">
        <v>323</v>
      </c>
      <c r="C7" s="41" t="s">
        <v>324</v>
      </c>
      <c r="D7" s="41" t="s">
        <v>325</v>
      </c>
      <c r="E7" s="41" t="s">
        <v>326</v>
      </c>
      <c r="F7" s="41" t="s">
        <v>327</v>
      </c>
      <c r="G7" s="41" t="s">
        <v>328</v>
      </c>
      <c r="H7" s="41" t="s">
        <v>329</v>
      </c>
      <c r="I7" s="495"/>
    </row>
    <row r="8" spans="1:15">
      <c r="A8" s="42" t="s">
        <v>310</v>
      </c>
      <c r="B8" s="41"/>
      <c r="C8" s="41"/>
      <c r="D8" s="41"/>
      <c r="E8" s="41"/>
      <c r="F8" s="41"/>
      <c r="G8" s="41"/>
      <c r="H8" s="41"/>
    </row>
    <row r="9" spans="1:15">
      <c r="A9" s="42" t="s">
        <v>310</v>
      </c>
      <c r="B9" s="164">
        <v>1</v>
      </c>
      <c r="C9" s="164">
        <f t="shared" ref="C9:I9" si="0">B9+1</f>
        <v>2</v>
      </c>
      <c r="D9" s="164">
        <f t="shared" si="0"/>
        <v>3</v>
      </c>
      <c r="E9" s="164">
        <f t="shared" si="0"/>
        <v>4</v>
      </c>
      <c r="F9" s="164">
        <f t="shared" si="0"/>
        <v>5</v>
      </c>
      <c r="G9" s="164">
        <f t="shared" si="0"/>
        <v>6</v>
      </c>
      <c r="H9" s="164">
        <f t="shared" si="0"/>
        <v>7</v>
      </c>
      <c r="I9" s="164">
        <f t="shared" si="0"/>
        <v>8</v>
      </c>
    </row>
    <row r="10" spans="1:15">
      <c r="A10" s="42" t="s">
        <v>331</v>
      </c>
      <c r="B10" s="438" t="s">
        <v>862</v>
      </c>
      <c r="C10" s="438" t="s">
        <v>334</v>
      </c>
      <c r="D10" s="438" t="s">
        <v>345</v>
      </c>
      <c r="E10" s="438" t="s">
        <v>852</v>
      </c>
      <c r="F10" s="438" t="s">
        <v>334</v>
      </c>
      <c r="G10" s="438" t="s">
        <v>334</v>
      </c>
      <c r="H10" s="438" t="s">
        <v>334</v>
      </c>
      <c r="I10" s="41">
        <v>1</v>
      </c>
      <c r="M10" s="42">
        <f>UPS!$D$37</f>
        <v>1</v>
      </c>
    </row>
    <row r="11" spans="1:15">
      <c r="A11" s="42" t="s">
        <v>335</v>
      </c>
      <c r="B11" s="438" t="s">
        <v>862</v>
      </c>
      <c r="C11" s="438" t="s">
        <v>334</v>
      </c>
      <c r="D11" s="438" t="s">
        <v>345</v>
      </c>
      <c r="E11" s="438" t="s">
        <v>853</v>
      </c>
      <c r="F11" s="438" t="s">
        <v>334</v>
      </c>
      <c r="G11" s="438" t="s">
        <v>334</v>
      </c>
      <c r="H11" s="438" t="s">
        <v>334</v>
      </c>
      <c r="I11" s="41">
        <v>1</v>
      </c>
      <c r="M11" s="42">
        <f>UPS!$E$37</f>
        <v>2</v>
      </c>
    </row>
    <row r="12" spans="1:15">
      <c r="A12" s="42" t="s">
        <v>343</v>
      </c>
      <c r="B12" s="438" t="s">
        <v>340</v>
      </c>
      <c r="C12" s="438" t="s">
        <v>333</v>
      </c>
      <c r="D12" s="438" t="s">
        <v>334</v>
      </c>
      <c r="E12" s="438" t="s">
        <v>853</v>
      </c>
      <c r="F12" s="438" t="s">
        <v>334</v>
      </c>
      <c r="G12" s="438" t="s">
        <v>334</v>
      </c>
      <c r="H12" s="438" t="s">
        <v>334</v>
      </c>
      <c r="I12" s="41">
        <v>1</v>
      </c>
    </row>
    <row r="13" spans="1:15">
      <c r="A13" s="42" t="s">
        <v>346</v>
      </c>
      <c r="B13" s="438" t="s">
        <v>342</v>
      </c>
      <c r="C13" s="438" t="s">
        <v>333</v>
      </c>
      <c r="D13" s="438" t="s">
        <v>334</v>
      </c>
      <c r="E13" s="438" t="s">
        <v>334</v>
      </c>
      <c r="F13" s="438" t="s">
        <v>334</v>
      </c>
      <c r="G13" s="438" t="s">
        <v>334</v>
      </c>
      <c r="H13" s="438" t="s">
        <v>334</v>
      </c>
      <c r="I13" s="41">
        <v>1</v>
      </c>
    </row>
    <row r="14" spans="1:15">
      <c r="A14" s="42" t="s">
        <v>358</v>
      </c>
      <c r="B14" s="438" t="s">
        <v>361</v>
      </c>
      <c r="C14" s="438" t="s">
        <v>333</v>
      </c>
      <c r="D14" s="438" t="s">
        <v>345</v>
      </c>
      <c r="E14" s="438" t="s">
        <v>334</v>
      </c>
      <c r="F14" s="438" t="s">
        <v>334</v>
      </c>
      <c r="G14" s="438" t="s">
        <v>334</v>
      </c>
      <c r="H14" s="438" t="s">
        <v>334</v>
      </c>
      <c r="I14" s="41">
        <v>1</v>
      </c>
      <c r="M14" s="42">
        <f>UPS!$D$37</f>
        <v>1</v>
      </c>
    </row>
    <row r="15" spans="1:15">
      <c r="A15" s="42" t="s">
        <v>854</v>
      </c>
      <c r="B15" s="438" t="s">
        <v>344</v>
      </c>
      <c r="C15" s="438" t="s">
        <v>333</v>
      </c>
      <c r="D15" s="438" t="s">
        <v>345</v>
      </c>
      <c r="E15" s="438" t="s">
        <v>334</v>
      </c>
      <c r="F15" s="438" t="s">
        <v>334</v>
      </c>
      <c r="G15" s="438" t="s">
        <v>334</v>
      </c>
      <c r="H15" s="438" t="s">
        <v>334</v>
      </c>
      <c r="I15" s="41">
        <v>1</v>
      </c>
      <c r="M15" s="42">
        <f>UPS!$E$37</f>
        <v>2</v>
      </c>
    </row>
    <row r="16" spans="1:15">
      <c r="A16" s="42" t="s">
        <v>857</v>
      </c>
      <c r="B16" s="438" t="s">
        <v>344</v>
      </c>
      <c r="C16" s="438" t="s">
        <v>333</v>
      </c>
      <c r="D16" s="438" t="str">
        <f>sector_prefix&amp;emissions_start</f>
        <v>UPSCO2S</v>
      </c>
      <c r="E16" s="438" t="s">
        <v>334</v>
      </c>
      <c r="F16" s="438" t="s">
        <v>334</v>
      </c>
      <c r="G16" s="438" t="s">
        <v>334</v>
      </c>
      <c r="H16" s="438" t="s">
        <v>334</v>
      </c>
      <c r="I16" s="41">
        <v>1</v>
      </c>
    </row>
    <row r="17" spans="1:15">
      <c r="A17" s="42" t="s">
        <v>858</v>
      </c>
      <c r="B17" s="438" t="s">
        <v>344</v>
      </c>
      <c r="C17" s="438" t="s">
        <v>333</v>
      </c>
      <c r="D17" s="438" t="str">
        <f>sector_prefix&amp;NameConv!$AZ$4</f>
        <v>UPSCH4S</v>
      </c>
      <c r="E17" s="438" t="s">
        <v>334</v>
      </c>
      <c r="F17" s="438" t="s">
        <v>334</v>
      </c>
      <c r="G17" s="438" t="s">
        <v>334</v>
      </c>
      <c r="H17" s="438" t="s">
        <v>334</v>
      </c>
      <c r="I17" s="41">
        <v>1</v>
      </c>
    </row>
    <row r="18" spans="1:15">
      <c r="A18" s="42" t="s">
        <v>859</v>
      </c>
      <c r="B18" s="438" t="s">
        <v>13416</v>
      </c>
      <c r="C18" s="438" t="s">
        <v>333</v>
      </c>
      <c r="D18" s="438" t="s">
        <v>334</v>
      </c>
      <c r="E18" s="438" t="s">
        <v>334</v>
      </c>
      <c r="F18" s="438" t="s">
        <v>334</v>
      </c>
      <c r="G18" s="438" t="s">
        <v>334</v>
      </c>
      <c r="H18" s="438" t="s">
        <v>334</v>
      </c>
      <c r="I18" s="41">
        <v>1</v>
      </c>
      <c r="M18" s="42">
        <f>UPS!$L$37</f>
        <v>9</v>
      </c>
    </row>
    <row r="19" spans="1:15">
      <c r="A19" s="42" t="s">
        <v>310</v>
      </c>
      <c r="B19" s="438" t="s">
        <v>569</v>
      </c>
      <c r="C19" s="438"/>
      <c r="D19" s="438"/>
      <c r="E19" s="438"/>
      <c r="F19" s="438"/>
      <c r="G19" s="438"/>
      <c r="H19" s="438"/>
    </row>
    <row r="20" spans="1:15">
      <c r="A20" s="42" t="str">
        <f ca="1">IF(LEFT(OFFSET(SUP!$A$57,K20,0),2)="\I","*","")</f>
        <v/>
      </c>
      <c r="B20" s="440" t="str">
        <f ca="1">IF(A20="*","",VLOOKUP("*"&amp;L20,$A$9:$B$18,2,FALSE))</f>
        <v>COM_GMAP</v>
      </c>
      <c r="C20" s="440" t="str">
        <f ca="1">IF($A20="*","",OFFSET(ITEMS_UPS!$C$8,K20,0))</f>
        <v>UREFOCRCO-E</v>
      </c>
      <c r="D20" s="440" t="str">
        <f ca="1">IF($A20="*","",IF(VLOOKUP("*"&amp;$L20,$A$10:$H$18,D$9+1,FALSE)="-","-",OFFSET(UPS!$C$37,N20+O20,SUMIF($A$10:$A$18,"*"&amp;L20,$M$10:$M$18))))</f>
        <v>UPSOCR</v>
      </c>
      <c r="E20" s="440" t="str">
        <f t="shared" ref="E20:E43" ca="1" si="1">IF($A20="*","",IF(VLOOKUP("*"&amp;$L20,$A$10:$H$18,E$9+1,FALSE)="-","-",C20&amp;"-"&amp;RIGHT(VLOOKUP("*"&amp;$L20,$A$10:$H$18,E$9+1,FALSE),1)))</f>
        <v>UREFOCRCO-E-I</v>
      </c>
      <c r="F20" s="440" t="str">
        <f t="shared" ref="F20:F43" ca="1" si="2">IF($A20="*","",IF(VLOOKUP("*"&amp;$L20,$A$10:$H$18,F$9+1,FALSE)="-","-",C20&amp;"-"&amp;RIGHT(VLOOKUP("*"&amp;$L20,$A$10:$H$18,F$9+1,FALSE),1)))</f>
        <v>-</v>
      </c>
      <c r="G20" s="440" t="str">
        <f t="shared" ref="G20:G43" ca="1" si="3">IF($A20="*","",VLOOKUP($B20,$B$10:$H$18,G$9,FALSE))</f>
        <v>-</v>
      </c>
      <c r="H20" s="440" t="str">
        <f t="shared" ref="H20:H43" ca="1" si="4">IF($A20="*","",VLOOKUP("*"&amp;$L20,$A$10:$H$18,H$9+1,FALSE))</f>
        <v>-</v>
      </c>
      <c r="I20" s="163">
        <v>1</v>
      </c>
      <c r="K20" s="42">
        <v>1</v>
      </c>
      <c r="L20" s="42">
        <v>1</v>
      </c>
      <c r="N20" s="42">
        <f ca="1">SUMIF(UPS!B$38:B$123,C20,UPS!BD$38:BD$123)</f>
        <v>1</v>
      </c>
      <c r="O20" s="42">
        <v>0</v>
      </c>
    </row>
    <row r="21" spans="1:15">
      <c r="A21" s="42" t="str">
        <f ca="1">IF(LEFT(OFFSET(SUP!$A$57,K21,0),2)="\I","*","")</f>
        <v/>
      </c>
      <c r="B21" s="440" t="str">
        <f t="shared" ref="B21:B43" ca="1" si="5">IF(A21="*","",VLOOKUP("*"&amp;L21,$A$9:$B$18,2,FALSE))</f>
        <v>COM_GMAP</v>
      </c>
      <c r="C21" s="440" t="str">
        <f ca="1">IF($A21="*","",OFFSET(ITEMS_UPS!$C$8,K21,0))</f>
        <v>UREFOCRCO-E</v>
      </c>
      <c r="D21" s="440" t="str">
        <f ca="1">IF($A21="*","",IF(VLOOKUP("*"&amp;$L21,$A$10:$H$18,D$9+1,FALSE)="-","-",OFFSET(UPS!$C$37,N21+O21,SUMIF($A$10:$A$18,"*"&amp;L21,$M$10:$M$18))))</f>
        <v>UPSGIC</v>
      </c>
      <c r="E21" s="440" t="str">
        <f t="shared" ca="1" si="1"/>
        <v>UREFOCRCO-E-I</v>
      </c>
      <c r="F21" s="440" t="str">
        <f t="shared" ca="1" si="2"/>
        <v>-</v>
      </c>
      <c r="G21" s="440" t="str">
        <f t="shared" ca="1" si="3"/>
        <v>-</v>
      </c>
      <c r="H21" s="440" t="str">
        <f t="shared" ca="1" si="4"/>
        <v>-</v>
      </c>
      <c r="I21" s="163">
        <v>1</v>
      </c>
      <c r="K21" s="42">
        <v>1</v>
      </c>
      <c r="L21" s="42">
        <f>L20</f>
        <v>1</v>
      </c>
      <c r="N21" s="42">
        <f ca="1">SUMIF(UPS!B$38:B$123,C21,UPS!BD$38:BD$123)</f>
        <v>1</v>
      </c>
      <c r="O21" s="42">
        <f>O20+1</f>
        <v>1</v>
      </c>
    </row>
    <row r="22" spans="1:15">
      <c r="A22" s="42" t="str">
        <f ca="1">IF(LEFT(OFFSET(SUP!$A$57,K22,0),2)="\I","*","")</f>
        <v/>
      </c>
      <c r="B22" s="440" t="str">
        <f t="shared" ca="1" si="5"/>
        <v>COM_GMAP</v>
      </c>
      <c r="C22" s="440" t="str">
        <f ca="1">IF($A22="*","",OFFSET(ITEMS_UPS!$C$8,K22,0))</f>
        <v>UREFOCRCO-E</v>
      </c>
      <c r="D22" s="440" t="str">
        <f ca="1">IF($A22="*","",IF(VLOOKUP("*"&amp;$L22,$A$10:$H$18,D$9+1,FALSE)="-","-",OFFSET(UPS!$C$37,N22+O22,SUMIF($A$10:$A$18,"*"&amp;L22,$M$10:$M$18))))</f>
        <v>UPSELC</v>
      </c>
      <c r="E22" s="440" t="str">
        <f t="shared" ca="1" si="1"/>
        <v>UREFOCRCO-E-I</v>
      </c>
      <c r="F22" s="440" t="str">
        <f t="shared" ca="1" si="2"/>
        <v>-</v>
      </c>
      <c r="G22" s="440" t="str">
        <f t="shared" ca="1" si="3"/>
        <v>-</v>
      </c>
      <c r="H22" s="440" t="str">
        <f t="shared" ca="1" si="4"/>
        <v>-</v>
      </c>
      <c r="I22" s="163">
        <v>1</v>
      </c>
      <c r="K22" s="42">
        <v>1</v>
      </c>
      <c r="L22" s="42">
        <f>L21</f>
        <v>1</v>
      </c>
      <c r="N22" s="42">
        <f ca="1">SUMIF(UPS!B$38:B$123,C22,UPS!BD$38:BD$123)</f>
        <v>1</v>
      </c>
      <c r="O22" s="42">
        <f t="shared" ref="O22:O29" si="6">O21+1</f>
        <v>2</v>
      </c>
    </row>
    <row r="23" spans="1:15">
      <c r="A23" s="42" t="str">
        <f ca="1">IF(LEFT(OFFSET(SUP!$A$57,K23,0),2)="\I","*","")</f>
        <v/>
      </c>
      <c r="B23" s="440" t="str">
        <f t="shared" ca="1" si="5"/>
        <v>COM_GMAP</v>
      </c>
      <c r="C23" s="440" t="str">
        <f ca="1">IF($A23="*","",OFFSET(ITEMS_UPS!$C$8,K23,0))</f>
        <v>UREFOCRCO-E</v>
      </c>
      <c r="D23" s="440" t="str">
        <f ca="1">IF($A23="*","",IF(VLOOKUP("*"&amp;$L23,$A$10:$H$18,D$9+1,FALSE)="-","-",OFFSET(UPS!$C$37,N23+O23,SUMIF($A$10:$A$18,"*"&amp;L23,$M$10:$M$18))))</f>
        <v>OAG</v>
      </c>
      <c r="E23" s="440" t="str">
        <f t="shared" ca="1" si="1"/>
        <v>UREFOCRCO-E-O</v>
      </c>
      <c r="F23" s="440" t="str">
        <f t="shared" ca="1" si="2"/>
        <v>-</v>
      </c>
      <c r="G23" s="440" t="str">
        <f t="shared" ca="1" si="3"/>
        <v>-</v>
      </c>
      <c r="H23" s="440" t="str">
        <f t="shared" ca="1" si="4"/>
        <v>-</v>
      </c>
      <c r="I23" s="163">
        <v>1</v>
      </c>
      <c r="K23" s="42">
        <f t="shared" ref="K23:K28" si="7">K20</f>
        <v>1</v>
      </c>
      <c r="L23" s="42">
        <v>2</v>
      </c>
      <c r="N23" s="42">
        <f ca="1">SUMIF(UPS!B$38:B$123,C23,UPS!BD$38:BD$123)</f>
        <v>1</v>
      </c>
      <c r="O23" s="42">
        <f t="shared" si="6"/>
        <v>3</v>
      </c>
    </row>
    <row r="24" spans="1:15">
      <c r="A24" s="42" t="str">
        <f ca="1">IF(LEFT(OFFSET(SUP!$A$57,K24,0),2)="\I","*","")</f>
        <v/>
      </c>
      <c r="B24" s="440" t="str">
        <f t="shared" ca="1" si="5"/>
        <v>COM_GMAP</v>
      </c>
      <c r="C24" s="440" t="str">
        <f ca="1">IF($A24="*","",OFFSET(ITEMS_UPS!$C$8,K24,0))</f>
        <v>UREFOCRCO-E</v>
      </c>
      <c r="D24" s="440" t="str">
        <f ca="1">IF($A24="*","",IF(VLOOKUP("*"&amp;$L24,$A$10:$H$18,D$9+1,FALSE)="-","-",OFFSET(UPS!$C$37,N24+O24,SUMIF($A$10:$A$18,"*"&amp;L24,$M$10:$M$18))))</f>
        <v>ODS</v>
      </c>
      <c r="E24" s="440" t="str">
        <f t="shared" ca="1" si="1"/>
        <v>UREFOCRCO-E-O</v>
      </c>
      <c r="F24" s="440" t="str">
        <f t="shared" ca="1" si="2"/>
        <v>-</v>
      </c>
      <c r="G24" s="440" t="str">
        <f t="shared" ca="1" si="3"/>
        <v>-</v>
      </c>
      <c r="H24" s="440" t="str">
        <f t="shared" ca="1" si="4"/>
        <v>-</v>
      </c>
      <c r="I24" s="163">
        <v>1</v>
      </c>
      <c r="K24" s="42">
        <f t="shared" si="7"/>
        <v>1</v>
      </c>
      <c r="L24" s="42">
        <f t="shared" ref="L24:L29" si="8">L23</f>
        <v>2</v>
      </c>
      <c r="N24" s="42">
        <f ca="1">SUMIF(UPS!B$38:B$123,C24,UPS!BD$38:BD$123)</f>
        <v>1</v>
      </c>
      <c r="O24" s="42">
        <f t="shared" si="6"/>
        <v>4</v>
      </c>
    </row>
    <row r="25" spans="1:15">
      <c r="A25" s="42" t="str">
        <f ca="1">IF(LEFT(OFFSET(SUP!$A$57,K25,0),2)="\I","*","")</f>
        <v/>
      </c>
      <c r="B25" s="440" t="str">
        <f t="shared" ca="1" si="5"/>
        <v>COM_GMAP</v>
      </c>
      <c r="C25" s="440" t="str">
        <f ca="1">IF($A25="*","",OFFSET(ITEMS_UPS!$C$8,K25,0))</f>
        <v>UREFOCRCO-E</v>
      </c>
      <c r="D25" s="440" t="str">
        <f ca="1">IF($A25="*","",IF(VLOOKUP("*"&amp;$L25,$A$10:$H$18,D$9+1,FALSE)="-","-",OFFSET(UPS!$C$37,N25+O25,SUMIF($A$10:$A$18,"*"&amp;L25,$M$10:$M$18))))</f>
        <v>OGS</v>
      </c>
      <c r="E25" s="440" t="str">
        <f t="shared" ca="1" si="1"/>
        <v>UREFOCRCO-E-O</v>
      </c>
      <c r="F25" s="440" t="str">
        <f t="shared" ca="1" si="2"/>
        <v>-</v>
      </c>
      <c r="G25" s="440" t="str">
        <f t="shared" ca="1" si="3"/>
        <v>-</v>
      </c>
      <c r="H25" s="440" t="str">
        <f t="shared" ca="1" si="4"/>
        <v>-</v>
      </c>
      <c r="I25" s="163">
        <v>1</v>
      </c>
      <c r="K25" s="42">
        <f t="shared" si="7"/>
        <v>1</v>
      </c>
      <c r="L25" s="42">
        <f t="shared" si="8"/>
        <v>2</v>
      </c>
      <c r="N25" s="42">
        <f ca="1">SUMIF(UPS!B$38:B$123,C25,UPS!BD$38:BD$123)</f>
        <v>1</v>
      </c>
      <c r="O25" s="42">
        <f t="shared" si="6"/>
        <v>5</v>
      </c>
    </row>
    <row r="26" spans="1:15">
      <c r="A26" s="42" t="str">
        <f ca="1">IF(LEFT(OFFSET(SUP!$A$57,K26,0),2)="\I","*","")</f>
        <v/>
      </c>
      <c r="B26" s="440" t="str">
        <f t="shared" ca="1" si="5"/>
        <v>COM_GMAP</v>
      </c>
      <c r="C26" s="440" t="str">
        <f ca="1">IF($A26="*","",OFFSET(ITEMS_UPS!$C$8,K26,0))</f>
        <v>UREFOCRCO-E</v>
      </c>
      <c r="D26" s="440" t="str">
        <f ca="1">IF($A26="*","",IF(VLOOKUP("*"&amp;$L26,$A$10:$H$18,D$9+1,FALSE)="-","-",OFFSET(UPS!$C$37,N26+O26,SUMIF($A$10:$A$18,"*"&amp;L26,$M$10:$M$18))))</f>
        <v>OHF</v>
      </c>
      <c r="E26" s="440" t="str">
        <f t="shared" ca="1" si="1"/>
        <v>UREFOCRCO-E-O</v>
      </c>
      <c r="F26" s="440" t="str">
        <f t="shared" ca="1" si="2"/>
        <v>-</v>
      </c>
      <c r="G26" s="440" t="str">
        <f t="shared" ca="1" si="3"/>
        <v>-</v>
      </c>
      <c r="H26" s="440" t="str">
        <f t="shared" ca="1" si="4"/>
        <v>-</v>
      </c>
      <c r="I26" s="163">
        <v>1</v>
      </c>
      <c r="K26" s="42">
        <f t="shared" si="7"/>
        <v>1</v>
      </c>
      <c r="L26" s="42">
        <f t="shared" si="8"/>
        <v>2</v>
      </c>
      <c r="N26" s="42">
        <f ca="1">SUMIF(UPS!B$38:B$123,C26,UPS!BD$38:BD$123)</f>
        <v>1</v>
      </c>
      <c r="O26" s="42">
        <f t="shared" si="6"/>
        <v>6</v>
      </c>
    </row>
    <row r="27" spans="1:15">
      <c r="A27" s="42" t="str">
        <f ca="1">IF(LEFT(OFFSET(SUP!$A$57,K27,0),2)="\I","*","")</f>
        <v/>
      </c>
      <c r="B27" s="440" t="str">
        <f t="shared" ca="1" si="5"/>
        <v>COM_GMAP</v>
      </c>
      <c r="C27" s="440" t="str">
        <f ca="1">IF($A27="*","",OFFSET(ITEMS_UPS!$C$8,K27,0))</f>
        <v>UREFOCRCO-E</v>
      </c>
      <c r="D27" s="440" t="str">
        <f ca="1">IF($A27="*","",IF(VLOOKUP("*"&amp;$L27,$A$10:$H$18,D$9+1,FALSE)="-","-",OFFSET(UPS!$C$37,N27+O27,SUMIF($A$10:$A$18,"*"&amp;L27,$M$10:$M$18))))</f>
        <v>OKE</v>
      </c>
      <c r="E27" s="440" t="str">
        <f t="shared" ca="1" si="1"/>
        <v>UREFOCRCO-E-O</v>
      </c>
      <c r="F27" s="440" t="str">
        <f t="shared" ca="1" si="2"/>
        <v>-</v>
      </c>
      <c r="G27" s="440" t="str">
        <f t="shared" ca="1" si="3"/>
        <v>-</v>
      </c>
      <c r="H27" s="440" t="str">
        <f t="shared" ca="1" si="4"/>
        <v>-</v>
      </c>
      <c r="I27" s="163">
        <v>1</v>
      </c>
      <c r="K27" s="42">
        <f t="shared" si="7"/>
        <v>1</v>
      </c>
      <c r="L27" s="42">
        <f t="shared" si="8"/>
        <v>2</v>
      </c>
      <c r="N27" s="42">
        <f ca="1">SUMIF(UPS!B$38:B$123,C27,UPS!BD$38:BD$123)</f>
        <v>1</v>
      </c>
      <c r="O27" s="42">
        <f t="shared" si="6"/>
        <v>7</v>
      </c>
    </row>
    <row r="28" spans="1:15">
      <c r="A28" s="42" t="str">
        <f ca="1">IF(LEFT(OFFSET(SUP!$A$57,K28,0),2)="\I","*","")</f>
        <v/>
      </c>
      <c r="B28" s="440" t="str">
        <f t="shared" ca="1" si="5"/>
        <v>COM_GMAP</v>
      </c>
      <c r="C28" s="440" t="str">
        <f ca="1">IF($A28="*","",OFFSET(ITEMS_UPS!$C$8,K28,0))</f>
        <v>UREFOCRCO-E</v>
      </c>
      <c r="D28" s="440" t="str">
        <f ca="1">IF($A28="*","",IF(VLOOKUP("*"&amp;$L28,$A$10:$H$18,D$9+1,FALSE)="-","-",OFFSET(UPS!$C$37,N28+O28,SUMIF($A$10:$A$18,"*"&amp;L28,$M$10:$M$18))))</f>
        <v>OLP</v>
      </c>
      <c r="E28" s="440" t="str">
        <f t="shared" ca="1" si="1"/>
        <v>UREFOCRCO-E-O</v>
      </c>
      <c r="F28" s="440" t="str">
        <f t="shared" ca="1" si="2"/>
        <v>-</v>
      </c>
      <c r="G28" s="440" t="str">
        <f t="shared" ca="1" si="3"/>
        <v>-</v>
      </c>
      <c r="H28" s="440" t="str">
        <f t="shared" ca="1" si="4"/>
        <v>-</v>
      </c>
      <c r="I28" s="163">
        <v>1</v>
      </c>
      <c r="K28" s="42">
        <f t="shared" si="7"/>
        <v>1</v>
      </c>
      <c r="L28" s="42">
        <f t="shared" si="8"/>
        <v>2</v>
      </c>
      <c r="N28" s="42">
        <f ca="1">SUMIF(UPS!B$38:B$123,C28,UPS!BD$38:BD$123)</f>
        <v>1</v>
      </c>
      <c r="O28" s="42">
        <f t="shared" si="6"/>
        <v>8</v>
      </c>
    </row>
    <row r="29" spans="1:15">
      <c r="A29" s="42" t="str">
        <f ca="1">IF(LEFT(OFFSET(SUP!$A$57,K29,0),2)="\I","*","")</f>
        <v/>
      </c>
      <c r="B29" s="440" t="str">
        <f t="shared" ca="1" si="5"/>
        <v>COM_GMAP</v>
      </c>
      <c r="C29" s="440" t="str">
        <f ca="1">IF($A29="*","",OFFSET(ITEMS_UPS!$C$8,K29,0))</f>
        <v>UREFOCRCO-E</v>
      </c>
      <c r="D29" s="440" t="str">
        <f ca="1">IF($A29="*","",IF(VLOOKUP("*"&amp;$L29,$A$10:$H$18,D$9+1,FALSE)="-","-",OFFSET(UPS!$C$37,N29+O29,SUMIF($A$10:$A$18,"*"&amp;L29,$M$10:$M$18))))</f>
        <v>OTH</v>
      </c>
      <c r="E29" s="440" t="str">
        <f t="shared" ca="1" si="1"/>
        <v>UREFOCRCO-E-O</v>
      </c>
      <c r="F29" s="440" t="str">
        <f t="shared" ca="1" si="2"/>
        <v>-</v>
      </c>
      <c r="G29" s="440" t="str">
        <f t="shared" ca="1" si="3"/>
        <v>-</v>
      </c>
      <c r="H29" s="440" t="str">
        <f t="shared" ca="1" si="4"/>
        <v>-</v>
      </c>
      <c r="I29" s="163">
        <v>1</v>
      </c>
      <c r="K29" s="42">
        <f>K23</f>
        <v>1</v>
      </c>
      <c r="L29" s="42">
        <f t="shared" si="8"/>
        <v>2</v>
      </c>
      <c r="N29" s="42">
        <f ca="1">SUMIF(UPS!B$38:B$123,C29,UPS!BD$38:BD$123)</f>
        <v>1</v>
      </c>
      <c r="O29" s="42">
        <f t="shared" si="6"/>
        <v>9</v>
      </c>
    </row>
    <row r="30" spans="1:15">
      <c r="A30" s="42" t="str">
        <f ca="1">IF(LEFT(OFFSET(SUP!$A$57,K30,0),2)="\I","*","")</f>
        <v/>
      </c>
      <c r="B30" s="440" t="str">
        <f t="shared" ca="1" si="5"/>
        <v>PRC_ACTUNT</v>
      </c>
      <c r="C30" s="440" t="str">
        <f ca="1">IF($A30="*","",OFFSET(ITEMS_UPS!$C$8,K30,0))</f>
        <v>UREFOCRCO-E</v>
      </c>
      <c r="D30" s="440" t="str">
        <f ca="1">IF($A30="*","",IF(VLOOKUP("*"&amp;$L30,$A$10:$H$18,D$9+1,FALSE)="-","-",OFFSET(UPS!$C$37,N30+O30,SUMIF($A$10:$A$18,"*"&amp;L30,$M$10:$M$18))))</f>
        <v>-</v>
      </c>
      <c r="E30" s="440" t="str">
        <f t="shared" ca="1" si="1"/>
        <v>UREFOCRCO-E-O</v>
      </c>
      <c r="F30" s="440" t="str">
        <f t="shared" ca="1" si="2"/>
        <v>-</v>
      </c>
      <c r="G30" s="440" t="str">
        <f t="shared" ca="1" si="3"/>
        <v>-</v>
      </c>
      <c r="H30" s="440" t="str">
        <f t="shared" ca="1" si="4"/>
        <v>-</v>
      </c>
      <c r="I30" s="163">
        <v>1</v>
      </c>
      <c r="K30" s="42">
        <f>K23</f>
        <v>1</v>
      </c>
      <c r="L30" s="42">
        <f>IF(K30=K27,L27+1,1)</f>
        <v>3</v>
      </c>
      <c r="N30" s="42">
        <f ca="1">SUMIF(UPS!B$38:B$123,C30,UPS!BD$38:BD$123)</f>
        <v>1</v>
      </c>
    </row>
    <row r="31" spans="1:15">
      <c r="A31" s="42" t="str">
        <f ca="1">IF(LEFT(OFFSET(SUP!$A$57,K31,0),2)="\I","*","")</f>
        <v/>
      </c>
      <c r="B31" s="440" t="str">
        <f t="shared" ca="1" si="5"/>
        <v>PRC_CAPACT</v>
      </c>
      <c r="C31" s="440" t="str">
        <f ca="1">IF($A31="*","",OFFSET(ITEMS_UPS!$C$8,K31,0))</f>
        <v>UREFOCRCO-E</v>
      </c>
      <c r="D31" s="440" t="str">
        <f ca="1">IF($A31="*","",IF(VLOOKUP("*"&amp;$L31,$A$10:$H$18,D$9+1,FALSE)="-","-",OFFSET(UPS!$C$37,N31+O31,SUMIF($A$10:$A$18,"*"&amp;L31,$M$10:$M$18))))</f>
        <v>-</v>
      </c>
      <c r="E31" s="440" t="str">
        <f t="shared" ca="1" si="1"/>
        <v>-</v>
      </c>
      <c r="F31" s="440" t="str">
        <f t="shared" ca="1" si="2"/>
        <v>-</v>
      </c>
      <c r="G31" s="440" t="str">
        <f t="shared" ca="1" si="3"/>
        <v>-</v>
      </c>
      <c r="H31" s="440" t="str">
        <f t="shared" ca="1" si="4"/>
        <v>-</v>
      </c>
      <c r="I31" s="163">
        <v>1</v>
      </c>
      <c r="K31" s="42">
        <f t="shared" ref="K31:K43" si="9">K30</f>
        <v>1</v>
      </c>
      <c r="L31" s="42">
        <f>IF(K31=K30,L30+1,1)</f>
        <v>4</v>
      </c>
      <c r="N31" s="42">
        <f ca="1">SUMIF(UPS!B$38:B$123,C31,UPS!BD$38:BD$123)</f>
        <v>1</v>
      </c>
    </row>
    <row r="32" spans="1:15">
      <c r="A32" s="42" t="str">
        <f ca="1">IF(LEFT(OFFSET(SUP!$A$57,K32,0),2)="\I","*","")</f>
        <v/>
      </c>
      <c r="B32" s="440" t="str">
        <f t="shared" ca="1" si="5"/>
        <v>TOP-IN</v>
      </c>
      <c r="C32" s="440" t="str">
        <f ca="1">IF($A32="*","",OFFSET(ITEMS_UPS!$C$8,K32,0))</f>
        <v>UREFOCRCO-E</v>
      </c>
      <c r="D32" s="440" t="str">
        <f ca="1">IF($A32="*","",IF(VLOOKUP("*"&amp;$L32,$A$10:$H$18,D$9+1,FALSE)="-","-",OFFSET(UPS!$C$37,N32+O32,SUMIF($A$10:$A$18,"*"&amp;L32,$M$10:$M$18))))</f>
        <v>UPSOCR</v>
      </c>
      <c r="E32" s="440" t="str">
        <f t="shared" ca="1" si="1"/>
        <v>-</v>
      </c>
      <c r="F32" s="440" t="str">
        <f t="shared" ca="1" si="2"/>
        <v>-</v>
      </c>
      <c r="G32" s="440" t="str">
        <f t="shared" ca="1" si="3"/>
        <v>-</v>
      </c>
      <c r="H32" s="440" t="str">
        <f t="shared" ca="1" si="4"/>
        <v>-</v>
      </c>
      <c r="I32" s="163">
        <v>1</v>
      </c>
      <c r="K32" s="42">
        <f t="shared" si="9"/>
        <v>1</v>
      </c>
      <c r="L32" s="42">
        <f>IF(K32=K31,L31+1,1)</f>
        <v>5</v>
      </c>
      <c r="N32" s="42">
        <f ca="1">SUMIF(UPS!B$38:B$123,C32,UPS!BD$38:BD$123)</f>
        <v>1</v>
      </c>
      <c r="O32" s="42">
        <v>0</v>
      </c>
    </row>
    <row r="33" spans="1:15">
      <c r="A33" s="42" t="str">
        <f ca="1">IF(LEFT(OFFSET(SUP!$A$57,K33,0),2)="\I","*","")</f>
        <v/>
      </c>
      <c r="B33" s="440" t="str">
        <f t="shared" ca="1" si="5"/>
        <v>TOP-IN</v>
      </c>
      <c r="C33" s="440" t="str">
        <f ca="1">IF($A33="*","",OFFSET(ITEMS_UPS!$C$8,K33,0))</f>
        <v>UREFOCRCO-E</v>
      </c>
      <c r="D33" s="440" t="str">
        <f ca="1">IF($A33="*","",IF(VLOOKUP("*"&amp;$L33,$A$10:$H$18,D$9+1,FALSE)="-","-",OFFSET(UPS!$C$37,N33+O33,SUMIF($A$10:$A$18,"*"&amp;L33,$M$10:$M$18))))</f>
        <v>UPSGIC</v>
      </c>
      <c r="E33" s="440" t="str">
        <f t="shared" ca="1" si="1"/>
        <v>-</v>
      </c>
      <c r="F33" s="440" t="str">
        <f t="shared" ca="1" si="2"/>
        <v>-</v>
      </c>
      <c r="G33" s="440" t="str">
        <f t="shared" ca="1" si="3"/>
        <v>-</v>
      </c>
      <c r="H33" s="440" t="str">
        <f t="shared" ca="1" si="4"/>
        <v>-</v>
      </c>
      <c r="I33" s="163">
        <v>1</v>
      </c>
      <c r="K33" s="42">
        <f t="shared" si="9"/>
        <v>1</v>
      </c>
      <c r="L33" s="42">
        <f>L32</f>
        <v>5</v>
      </c>
      <c r="N33" s="42">
        <f ca="1">SUMIF(UPS!B$38:B$123,C33,UPS!BD$38:BD$123)</f>
        <v>1</v>
      </c>
      <c r="O33" s="42">
        <f>O32+1</f>
        <v>1</v>
      </c>
    </row>
    <row r="34" spans="1:15">
      <c r="A34" s="42" t="str">
        <f ca="1">IF(LEFT(OFFSET(SUP!$A$57,K34,0),2)="\I","*","")</f>
        <v/>
      </c>
      <c r="B34" s="440" t="str">
        <f t="shared" ca="1" si="5"/>
        <v>TOP-IN</v>
      </c>
      <c r="C34" s="440" t="str">
        <f ca="1">IF($A34="*","",OFFSET(ITEMS_UPS!$C$8,K34,0))</f>
        <v>UREFOCRCO-E</v>
      </c>
      <c r="D34" s="440" t="str">
        <f ca="1">IF($A34="*","",IF(VLOOKUP("*"&amp;$L34,$A$10:$H$18,D$9+1,FALSE)="-","-",OFFSET(UPS!$C$37,N34+O34,SUMIF($A$10:$A$18,"*"&amp;L34,$M$10:$M$18))))</f>
        <v>UPSELC</v>
      </c>
      <c r="E34" s="440" t="str">
        <f t="shared" ca="1" si="1"/>
        <v>-</v>
      </c>
      <c r="F34" s="440" t="str">
        <f t="shared" ca="1" si="2"/>
        <v>-</v>
      </c>
      <c r="G34" s="440" t="str">
        <f t="shared" ca="1" si="3"/>
        <v>-</v>
      </c>
      <c r="H34" s="440" t="str">
        <f t="shared" ca="1" si="4"/>
        <v>-</v>
      </c>
      <c r="I34" s="163">
        <v>1</v>
      </c>
      <c r="K34" s="42">
        <f t="shared" si="9"/>
        <v>1</v>
      </c>
      <c r="L34" s="42">
        <f>L33</f>
        <v>5</v>
      </c>
      <c r="N34" s="42">
        <f ca="1">SUMIF(UPS!B$38:B$123,C34,UPS!BD$38:BD$123)</f>
        <v>1</v>
      </c>
      <c r="O34" s="42">
        <f>O33+1</f>
        <v>2</v>
      </c>
    </row>
    <row r="35" spans="1:15">
      <c r="A35" s="42" t="str">
        <f ca="1">IF(LEFT(OFFSET(SUP!$A$57,K35,0),2)="\I","*","")</f>
        <v/>
      </c>
      <c r="B35" s="440" t="str">
        <f t="shared" ca="1" si="5"/>
        <v>TOP-OUT</v>
      </c>
      <c r="C35" s="440" t="str">
        <f ca="1">IF($A35="*","",OFFSET(ITEMS_UPS!$C$8,K35,0))</f>
        <v>UREFOCRCO-E</v>
      </c>
      <c r="D35" s="440" t="str">
        <f ca="1">IF($A35="*","",IF(VLOOKUP("*"&amp;$L35,$A$10:$H$18,D$9+1,FALSE)="-","-",OFFSET(UPS!$C$37,N35+O35,SUMIF($A$10:$A$18,"*"&amp;L35,$M$10:$M$18))))</f>
        <v>OAG</v>
      </c>
      <c r="E35" s="440" t="str">
        <f t="shared" ca="1" si="1"/>
        <v>-</v>
      </c>
      <c r="F35" s="440" t="str">
        <f t="shared" ca="1" si="2"/>
        <v>-</v>
      </c>
      <c r="G35" s="440" t="str">
        <f t="shared" ca="1" si="3"/>
        <v>-</v>
      </c>
      <c r="H35" s="440" t="str">
        <f t="shared" ca="1" si="4"/>
        <v>-</v>
      </c>
      <c r="I35" s="163">
        <v>1</v>
      </c>
      <c r="K35" s="42">
        <f t="shared" si="9"/>
        <v>1</v>
      </c>
      <c r="L35" s="42">
        <v>6</v>
      </c>
      <c r="N35" s="42">
        <f ca="1">SUMIF(UPS!B$38:B$123,C35,UPS!BD$38:BD$123)</f>
        <v>1</v>
      </c>
      <c r="O35" s="42">
        <f t="shared" ref="O35:O41" si="10">O34+1</f>
        <v>3</v>
      </c>
    </row>
    <row r="36" spans="1:15">
      <c r="A36" s="42" t="str">
        <f ca="1">IF(LEFT(OFFSET(SUP!$A$57,K36,0),2)="\I","*","")</f>
        <v/>
      </c>
      <c r="B36" s="440" t="str">
        <f t="shared" ca="1" si="5"/>
        <v>TOP-OUT</v>
      </c>
      <c r="C36" s="440" t="str">
        <f ca="1">IF($A36="*","",OFFSET(ITEMS_UPS!$C$8,K36,0))</f>
        <v>UREFOCRCO-E</v>
      </c>
      <c r="D36" s="440" t="str">
        <f ca="1">IF($A36="*","",IF(VLOOKUP("*"&amp;$L36,$A$10:$H$18,D$9+1,FALSE)="-","-",OFFSET(UPS!$C$37,N36+O36,SUMIF($A$10:$A$18,"*"&amp;L36,$M$10:$M$18))))</f>
        <v>ODS</v>
      </c>
      <c r="E36" s="440" t="str">
        <f t="shared" ca="1" si="1"/>
        <v>-</v>
      </c>
      <c r="F36" s="440" t="str">
        <f t="shared" ca="1" si="2"/>
        <v>-</v>
      </c>
      <c r="G36" s="440" t="str">
        <f t="shared" ca="1" si="3"/>
        <v>-</v>
      </c>
      <c r="H36" s="440" t="str">
        <f t="shared" ca="1" si="4"/>
        <v>-</v>
      </c>
      <c r="I36" s="163">
        <v>1</v>
      </c>
      <c r="K36" s="42">
        <f t="shared" si="9"/>
        <v>1</v>
      </c>
      <c r="L36" s="42">
        <f t="shared" ref="L36:L41" si="11">L35</f>
        <v>6</v>
      </c>
      <c r="N36" s="42">
        <f ca="1">SUMIF(UPS!B$38:B$123,C36,UPS!BD$38:BD$123)</f>
        <v>1</v>
      </c>
      <c r="O36" s="42">
        <f t="shared" si="10"/>
        <v>4</v>
      </c>
    </row>
    <row r="37" spans="1:15">
      <c r="A37" s="42" t="str">
        <f ca="1">IF(LEFT(OFFSET(SUP!$A$57,K37,0),2)="\I","*","")</f>
        <v/>
      </c>
      <c r="B37" s="440" t="str">
        <f t="shared" ca="1" si="5"/>
        <v>TOP-OUT</v>
      </c>
      <c r="C37" s="440" t="str">
        <f ca="1">IF($A37="*","",OFFSET(ITEMS_UPS!$C$8,K37,0))</f>
        <v>UREFOCRCO-E</v>
      </c>
      <c r="D37" s="440" t="str">
        <f ca="1">IF($A37="*","",IF(VLOOKUP("*"&amp;$L37,$A$10:$H$18,D$9+1,FALSE)="-","-",OFFSET(UPS!$C$37,N37+O37,SUMIF($A$10:$A$18,"*"&amp;L37,$M$10:$M$18))))</f>
        <v>OGS</v>
      </c>
      <c r="E37" s="440" t="str">
        <f t="shared" ca="1" si="1"/>
        <v>-</v>
      </c>
      <c r="F37" s="440" t="str">
        <f t="shared" ca="1" si="2"/>
        <v>-</v>
      </c>
      <c r="G37" s="440" t="str">
        <f t="shared" ca="1" si="3"/>
        <v>-</v>
      </c>
      <c r="H37" s="440" t="str">
        <f t="shared" ca="1" si="4"/>
        <v>-</v>
      </c>
      <c r="I37" s="163">
        <v>1</v>
      </c>
      <c r="K37" s="42">
        <f t="shared" si="9"/>
        <v>1</v>
      </c>
      <c r="L37" s="42">
        <f t="shared" si="11"/>
        <v>6</v>
      </c>
      <c r="N37" s="42">
        <f ca="1">SUMIF(UPS!B$38:B$123,C37,UPS!BD$38:BD$123)</f>
        <v>1</v>
      </c>
      <c r="O37" s="42">
        <f t="shared" si="10"/>
        <v>5</v>
      </c>
    </row>
    <row r="38" spans="1:15">
      <c r="A38" s="42" t="str">
        <f ca="1">IF(LEFT(OFFSET(SUP!$A$57,K38,0),2)="\I","*","")</f>
        <v/>
      </c>
      <c r="B38" s="440" t="str">
        <f t="shared" ca="1" si="5"/>
        <v>TOP-OUT</v>
      </c>
      <c r="C38" s="440" t="str">
        <f ca="1">IF($A38="*","",OFFSET(ITEMS_UPS!$C$8,K38,0))</f>
        <v>UREFOCRCO-E</v>
      </c>
      <c r="D38" s="440" t="str">
        <f ca="1">IF($A38="*","",IF(VLOOKUP("*"&amp;$L38,$A$10:$H$18,D$9+1,FALSE)="-","-",OFFSET(UPS!$C$37,N38+O38,SUMIF($A$10:$A$18,"*"&amp;L38,$M$10:$M$18))))</f>
        <v>OHF</v>
      </c>
      <c r="E38" s="440" t="str">
        <f t="shared" ca="1" si="1"/>
        <v>-</v>
      </c>
      <c r="F38" s="440" t="str">
        <f t="shared" ca="1" si="2"/>
        <v>-</v>
      </c>
      <c r="G38" s="440" t="str">
        <f t="shared" ca="1" si="3"/>
        <v>-</v>
      </c>
      <c r="H38" s="440" t="str">
        <f t="shared" ca="1" si="4"/>
        <v>-</v>
      </c>
      <c r="I38" s="163">
        <v>1</v>
      </c>
      <c r="K38" s="42">
        <f t="shared" si="9"/>
        <v>1</v>
      </c>
      <c r="L38" s="42">
        <f t="shared" si="11"/>
        <v>6</v>
      </c>
      <c r="N38" s="42">
        <f ca="1">SUMIF(UPS!B$38:B$123,C38,UPS!BD$38:BD$123)</f>
        <v>1</v>
      </c>
      <c r="O38" s="42">
        <f t="shared" si="10"/>
        <v>6</v>
      </c>
    </row>
    <row r="39" spans="1:15">
      <c r="A39" s="42" t="str">
        <f ca="1">IF(LEFT(OFFSET(SUP!$A$57,K39,0),2)="\I","*","")</f>
        <v/>
      </c>
      <c r="B39" s="440" t="str">
        <f t="shared" ca="1" si="5"/>
        <v>TOP-OUT</v>
      </c>
      <c r="C39" s="440" t="str">
        <f ca="1">IF($A39="*","",OFFSET(ITEMS_UPS!$C$8,K39,0))</f>
        <v>UREFOCRCO-E</v>
      </c>
      <c r="D39" s="440" t="str">
        <f ca="1">IF($A39="*","",IF(VLOOKUP("*"&amp;$L39,$A$10:$H$18,D$9+1,FALSE)="-","-",OFFSET(UPS!$C$37,N39+O39,SUMIF($A$10:$A$18,"*"&amp;L39,$M$10:$M$18))))</f>
        <v>OKE</v>
      </c>
      <c r="E39" s="440" t="str">
        <f t="shared" ca="1" si="1"/>
        <v>-</v>
      </c>
      <c r="F39" s="440" t="str">
        <f t="shared" ca="1" si="2"/>
        <v>-</v>
      </c>
      <c r="G39" s="440" t="str">
        <f t="shared" ca="1" si="3"/>
        <v>-</v>
      </c>
      <c r="H39" s="440" t="str">
        <f t="shared" ca="1" si="4"/>
        <v>-</v>
      </c>
      <c r="I39" s="163">
        <v>1</v>
      </c>
      <c r="K39" s="42">
        <f t="shared" si="9"/>
        <v>1</v>
      </c>
      <c r="L39" s="42">
        <f t="shared" si="11"/>
        <v>6</v>
      </c>
      <c r="N39" s="42">
        <f ca="1">SUMIF(UPS!B$38:B$123,C39,UPS!BD$38:BD$123)</f>
        <v>1</v>
      </c>
      <c r="O39" s="42">
        <f t="shared" si="10"/>
        <v>7</v>
      </c>
    </row>
    <row r="40" spans="1:15">
      <c r="A40" s="42" t="str">
        <f ca="1">IF(LEFT(OFFSET(SUP!$A$57,K40,0),2)="\I","*","")</f>
        <v/>
      </c>
      <c r="B40" s="440" t="str">
        <f t="shared" ca="1" si="5"/>
        <v>TOP-OUT</v>
      </c>
      <c r="C40" s="440" t="str">
        <f ca="1">IF($A40="*","",OFFSET(ITEMS_UPS!$C$8,K40,0))</f>
        <v>UREFOCRCO-E</v>
      </c>
      <c r="D40" s="440" t="str">
        <f ca="1">IF($A40="*","",IF(VLOOKUP("*"&amp;$L40,$A$10:$H$18,D$9+1,FALSE)="-","-",OFFSET(UPS!$C$37,N40+O40,SUMIF($A$10:$A$18,"*"&amp;L40,$M$10:$M$18))))</f>
        <v>OLP</v>
      </c>
      <c r="E40" s="440" t="str">
        <f t="shared" ca="1" si="1"/>
        <v>-</v>
      </c>
      <c r="F40" s="440" t="str">
        <f t="shared" ca="1" si="2"/>
        <v>-</v>
      </c>
      <c r="G40" s="440" t="str">
        <f t="shared" ca="1" si="3"/>
        <v>-</v>
      </c>
      <c r="H40" s="440" t="str">
        <f t="shared" ca="1" si="4"/>
        <v>-</v>
      </c>
      <c r="I40" s="163">
        <v>1</v>
      </c>
      <c r="K40" s="42">
        <f t="shared" si="9"/>
        <v>1</v>
      </c>
      <c r="L40" s="42">
        <f t="shared" si="11"/>
        <v>6</v>
      </c>
      <c r="N40" s="42">
        <f ca="1">SUMIF(UPS!B$38:B$123,C40,UPS!BD$38:BD$123)</f>
        <v>1</v>
      </c>
      <c r="O40" s="42">
        <f t="shared" si="10"/>
        <v>8</v>
      </c>
    </row>
    <row r="41" spans="1:15">
      <c r="A41" s="42" t="str">
        <f ca="1">IF(LEFT(OFFSET(SUP!$A$57,K41,0),2)="\I","*","")</f>
        <v/>
      </c>
      <c r="B41" s="440" t="str">
        <f t="shared" ca="1" si="5"/>
        <v>TOP-OUT</v>
      </c>
      <c r="C41" s="440" t="str">
        <f ca="1">IF($A41="*","",OFFSET(ITEMS_UPS!$C$8,K41,0))</f>
        <v>UREFOCRCO-E</v>
      </c>
      <c r="D41" s="440" t="str">
        <f ca="1">IF($A41="*","",IF(VLOOKUP("*"&amp;$L41,$A$10:$H$18,D$9+1,FALSE)="-","-",OFFSET(UPS!$C$37,N41+O41,SUMIF($A$10:$A$18,"*"&amp;L41,$M$10:$M$18))))</f>
        <v>OTH</v>
      </c>
      <c r="E41" s="440" t="str">
        <f t="shared" ca="1" si="1"/>
        <v>-</v>
      </c>
      <c r="F41" s="440" t="str">
        <f t="shared" ca="1" si="2"/>
        <v>-</v>
      </c>
      <c r="G41" s="440" t="str">
        <f t="shared" ca="1" si="3"/>
        <v>-</v>
      </c>
      <c r="H41" s="440" t="str">
        <f t="shared" ca="1" si="4"/>
        <v>-</v>
      </c>
      <c r="I41" s="163">
        <v>1</v>
      </c>
      <c r="K41" s="42">
        <f t="shared" si="9"/>
        <v>1</v>
      </c>
      <c r="L41" s="42">
        <f t="shared" si="11"/>
        <v>6</v>
      </c>
      <c r="N41" s="42">
        <f ca="1">SUMIF(UPS!B$38:B$123,C41,UPS!BD$38:BD$123)</f>
        <v>1</v>
      </c>
      <c r="O41" s="42">
        <f t="shared" si="10"/>
        <v>9</v>
      </c>
    </row>
    <row r="42" spans="1:15">
      <c r="B42" s="440" t="str">
        <f t="shared" si="5"/>
        <v>TOP-OUT</v>
      </c>
      <c r="C42" s="440" t="str">
        <f ca="1">IF($A42="*","",OFFSET(ITEMS_UPS!$C$8,K42,0))</f>
        <v>UREFOCRCO-E</v>
      </c>
      <c r="D42" s="440" t="str">
        <f>$D$16</f>
        <v>UPSCO2S</v>
      </c>
      <c r="E42" s="440" t="str">
        <f t="shared" si="1"/>
        <v>-</v>
      </c>
      <c r="F42" s="440" t="str">
        <f t="shared" si="2"/>
        <v>-</v>
      </c>
      <c r="G42" s="440" t="str">
        <f t="shared" si="3"/>
        <v>-</v>
      </c>
      <c r="H42" s="440" t="str">
        <f t="shared" si="4"/>
        <v>-</v>
      </c>
      <c r="I42" s="163">
        <v>1</v>
      </c>
      <c r="K42" s="42">
        <f t="shared" si="9"/>
        <v>1</v>
      </c>
      <c r="L42" s="42">
        <f>L41+1</f>
        <v>7</v>
      </c>
      <c r="N42" s="42">
        <f ca="1">SUMIF(UPS!B$38:B$123,C42,UPS!BD$38:BD$123)</f>
        <v>1</v>
      </c>
    </row>
    <row r="43" spans="1:15">
      <c r="B43" s="440" t="str">
        <f t="shared" si="5"/>
        <v>TOP-OUT</v>
      </c>
      <c r="C43" s="440" t="str">
        <f ca="1">IF($A43="*","",OFFSET(ITEMS_UPS!$C$8,K43,0))</f>
        <v>UREFOCRCO-E</v>
      </c>
      <c r="D43" s="440" t="str">
        <f>$D$17</f>
        <v>UPSCH4S</v>
      </c>
      <c r="E43" s="440" t="str">
        <f t="shared" si="1"/>
        <v>-</v>
      </c>
      <c r="F43" s="440" t="str">
        <f t="shared" si="2"/>
        <v>-</v>
      </c>
      <c r="G43" s="440" t="str">
        <f t="shared" si="3"/>
        <v>-</v>
      </c>
      <c r="H43" s="440" t="str">
        <f t="shared" si="4"/>
        <v>-</v>
      </c>
      <c r="I43" s="163">
        <v>1</v>
      </c>
      <c r="K43" s="42">
        <f t="shared" si="9"/>
        <v>1</v>
      </c>
      <c r="L43" s="42">
        <f>L42+1</f>
        <v>8</v>
      </c>
      <c r="N43" s="42">
        <f ca="1">SUMIF(UPS!B$38:B$123,C43,UPS!BD$38:BD$123)</f>
        <v>1</v>
      </c>
    </row>
    <row r="44" spans="1:15">
      <c r="A44" s="42" t="s">
        <v>310</v>
      </c>
      <c r="B44" s="440"/>
      <c r="C44" s="440"/>
      <c r="D44" s="440"/>
      <c r="E44" s="440"/>
      <c r="F44" s="440"/>
      <c r="G44" s="440"/>
      <c r="H44" s="440"/>
      <c r="I44" s="163"/>
    </row>
    <row r="45" spans="1:15">
      <c r="B45" s="440" t="str">
        <f t="shared" ref="B45:B68" si="12">IF(A45="*","",VLOOKUP("*"&amp;L45,$A$9:$B$18,2,FALSE))</f>
        <v>COM_GMAP</v>
      </c>
      <c r="C45" s="440" t="str">
        <f ca="1">IF($A45="*","",OFFSET(ITEMS_UPS!$C$8,K45,0))</f>
        <v>UREFOCRIN-E</v>
      </c>
      <c r="D45" s="440" t="str">
        <f ca="1">IF($A45="*","",IF(VLOOKUP("*"&amp;$L45,$A$10:$H$18,D$9+1,FALSE)="-","-",OFFSET(UPS!$C$37,N45+O45,SUMIF($A$10:$A$18,"*"&amp;L45,$M$10:$M$18))))</f>
        <v>UPSOCR</v>
      </c>
      <c r="E45" s="440" t="str">
        <f t="shared" ref="E45:E68" ca="1" si="13">IF($A45="*","",IF(VLOOKUP("*"&amp;$L45,$A$10:$H$18,E$9+1,FALSE)="-","-",C45&amp;"-"&amp;RIGHT(VLOOKUP("*"&amp;$L45,$A$10:$H$18,E$9+1,FALSE),1)))</f>
        <v>UREFOCRIN-E-I</v>
      </c>
      <c r="F45" s="440" t="str">
        <f t="shared" ref="F45:F68" si="14">IF($A45="*","",IF(VLOOKUP("*"&amp;$L45,$A$10:$H$18,F$9+1,FALSE)="-","-",C45&amp;"-"&amp;RIGHT(VLOOKUP("*"&amp;$L45,$A$10:$H$18,F$9+1,FALSE),1)))</f>
        <v>-</v>
      </c>
      <c r="G45" s="440" t="str">
        <f t="shared" ref="G45:G68" si="15">IF($A45="*","",VLOOKUP($B45,$B$10:$H$18,G$9,FALSE))</f>
        <v>-</v>
      </c>
      <c r="H45" s="440" t="str">
        <f t="shared" ref="H45:H68" si="16">IF($A45="*","",VLOOKUP("*"&amp;$L45,$A$10:$H$18,H$9+1,FALSE))</f>
        <v>-</v>
      </c>
      <c r="I45" s="163">
        <v>1</v>
      </c>
      <c r="K45" s="42">
        <v>2</v>
      </c>
      <c r="L45" s="42">
        <v>1</v>
      </c>
      <c r="N45" s="42">
        <f ca="1">SUMIF(UPS!B$38:B$123,C45,UPS!BD$38:BD$123)</f>
        <v>12</v>
      </c>
      <c r="O45" s="42">
        <v>0</v>
      </c>
    </row>
    <row r="46" spans="1:15">
      <c r="B46" s="440" t="str">
        <f t="shared" si="12"/>
        <v>COM_GMAP</v>
      </c>
      <c r="C46" s="440" t="str">
        <f ca="1">IF($A46="*","",OFFSET(ITEMS_UPS!$C$8,K46,0))</f>
        <v>UREFOCRIN-E</v>
      </c>
      <c r="D46" s="440" t="str">
        <f ca="1">IF($A46="*","",IF(VLOOKUP("*"&amp;$L46,$A$10:$H$18,D$9+1,FALSE)="-","-",OFFSET(UPS!$C$37,N46+O46,SUMIF($A$10:$A$18,"*"&amp;L46,$M$10:$M$18))))</f>
        <v>UPSGAS</v>
      </c>
      <c r="E46" s="440" t="str">
        <f t="shared" ca="1" si="13"/>
        <v>UREFOCRIN-E-I</v>
      </c>
      <c r="F46" s="440" t="str">
        <f t="shared" si="14"/>
        <v>-</v>
      </c>
      <c r="G46" s="440" t="str">
        <f t="shared" si="15"/>
        <v>-</v>
      </c>
      <c r="H46" s="440" t="str">
        <f t="shared" si="16"/>
        <v>-</v>
      </c>
      <c r="I46" s="163">
        <v>1</v>
      </c>
      <c r="K46" s="42">
        <f>K45</f>
        <v>2</v>
      </c>
      <c r="L46" s="42">
        <f>L45</f>
        <v>1</v>
      </c>
      <c r="N46" s="42">
        <f ca="1">SUMIF(UPS!B$38:B$123,C46,UPS!BD$38:BD$123)</f>
        <v>12</v>
      </c>
      <c r="O46" s="42">
        <f>O45+1</f>
        <v>1</v>
      </c>
    </row>
    <row r="47" spans="1:15">
      <c r="B47" s="440" t="str">
        <f t="shared" si="12"/>
        <v>COM_GMAP</v>
      </c>
      <c r="C47" s="440" t="str">
        <f ca="1">IF($A47="*","",OFFSET(ITEMS_UPS!$C$8,K47,0))</f>
        <v>UREFOCRIN-E</v>
      </c>
      <c r="D47" s="440" t="str">
        <f ca="1">IF($A47="*","",IF(VLOOKUP("*"&amp;$L47,$A$10:$H$18,D$9+1,FALSE)="-","-",OFFSET(UPS!$C$37,N47+O47,SUMIF($A$10:$A$18,"*"&amp;L47,$M$10:$M$18))))</f>
        <v>UPSELC</v>
      </c>
      <c r="E47" s="440" t="str">
        <f t="shared" ca="1" si="13"/>
        <v>UREFOCRIN-E-I</v>
      </c>
      <c r="F47" s="440" t="str">
        <f t="shared" si="14"/>
        <v>-</v>
      </c>
      <c r="G47" s="440" t="str">
        <f t="shared" si="15"/>
        <v>-</v>
      </c>
      <c r="H47" s="440" t="str">
        <f t="shared" si="16"/>
        <v>-</v>
      </c>
      <c r="I47" s="163">
        <v>1</v>
      </c>
      <c r="K47" s="42">
        <f t="shared" ref="K47:L68" si="17">K46</f>
        <v>2</v>
      </c>
      <c r="L47" s="42">
        <f>L46</f>
        <v>1</v>
      </c>
      <c r="N47" s="42">
        <f ca="1">SUMIF(UPS!B$38:B$123,C47,UPS!BD$38:BD$123)</f>
        <v>12</v>
      </c>
      <c r="O47" s="42">
        <f t="shared" ref="O47:O54" si="18">O46+1</f>
        <v>2</v>
      </c>
    </row>
    <row r="48" spans="1:15">
      <c r="B48" s="440" t="str">
        <f t="shared" si="12"/>
        <v>COM_GMAP</v>
      </c>
      <c r="C48" s="440" t="str">
        <f ca="1">IF($A48="*","",OFFSET(ITEMS_UPS!$C$8,K48,0))</f>
        <v>UREFOCRIN-E</v>
      </c>
      <c r="D48" s="440" t="str">
        <f ca="1">IF($A48="*","",IF(VLOOKUP("*"&amp;$L48,$A$10:$H$18,D$9+1,FALSE)="-","-",OFFSET(UPS!$C$37,N48+O48,SUMIF($A$10:$A$18,"*"&amp;L48,$M$10:$M$18))))</f>
        <v>OAG</v>
      </c>
      <c r="E48" s="440" t="str">
        <f t="shared" ca="1" si="13"/>
        <v>UREFOCRIN-E-O</v>
      </c>
      <c r="F48" s="440" t="str">
        <f t="shared" si="14"/>
        <v>-</v>
      </c>
      <c r="G48" s="440" t="str">
        <f t="shared" si="15"/>
        <v>-</v>
      </c>
      <c r="H48" s="440" t="str">
        <f t="shared" si="16"/>
        <v>-</v>
      </c>
      <c r="I48" s="163">
        <v>1</v>
      </c>
      <c r="K48" s="42">
        <f t="shared" si="17"/>
        <v>2</v>
      </c>
      <c r="L48" s="42">
        <v>2</v>
      </c>
      <c r="N48" s="42">
        <f ca="1">SUMIF(UPS!B$38:B$123,C48,UPS!BD$38:BD$123)</f>
        <v>12</v>
      </c>
      <c r="O48" s="42">
        <f t="shared" si="18"/>
        <v>3</v>
      </c>
    </row>
    <row r="49" spans="2:15">
      <c r="B49" s="440" t="str">
        <f t="shared" si="12"/>
        <v>COM_GMAP</v>
      </c>
      <c r="C49" s="440" t="str">
        <f ca="1">IF($A49="*","",OFFSET(ITEMS_UPS!$C$8,K49,0))</f>
        <v>UREFOCRIN-E</v>
      </c>
      <c r="D49" s="440" t="str">
        <f ca="1">IF($A49="*","",IF(VLOOKUP("*"&amp;$L49,$A$10:$H$18,D$9+1,FALSE)="-","-",OFFSET(UPS!$C$37,N49+O49,SUMIF($A$10:$A$18,"*"&amp;L49,$M$10:$M$18))))</f>
        <v>ODS</v>
      </c>
      <c r="E49" s="440" t="str">
        <f t="shared" ca="1" si="13"/>
        <v>UREFOCRIN-E-O</v>
      </c>
      <c r="F49" s="440" t="str">
        <f t="shared" si="14"/>
        <v>-</v>
      </c>
      <c r="G49" s="440" t="str">
        <f t="shared" si="15"/>
        <v>-</v>
      </c>
      <c r="H49" s="440" t="str">
        <f t="shared" si="16"/>
        <v>-</v>
      </c>
      <c r="I49" s="163">
        <v>1</v>
      </c>
      <c r="K49" s="42">
        <f t="shared" si="17"/>
        <v>2</v>
      </c>
      <c r="L49" s="42">
        <f>L48</f>
        <v>2</v>
      </c>
      <c r="N49" s="42">
        <f ca="1">SUMIF(UPS!B$38:B$123,C49,UPS!BD$38:BD$123)</f>
        <v>12</v>
      </c>
      <c r="O49" s="42">
        <f t="shared" si="18"/>
        <v>4</v>
      </c>
    </row>
    <row r="50" spans="2:15">
      <c r="B50" s="440" t="str">
        <f t="shared" si="12"/>
        <v>COM_GMAP</v>
      </c>
      <c r="C50" s="440" t="str">
        <f ca="1">IF($A50="*","",OFFSET(ITEMS_UPS!$C$8,K50,0))</f>
        <v>UREFOCRIN-E</v>
      </c>
      <c r="D50" s="440" t="str">
        <f ca="1">IF($A50="*","",IF(VLOOKUP("*"&amp;$L50,$A$10:$H$18,D$9+1,FALSE)="-","-",OFFSET(UPS!$C$37,N50+O50,SUMIF($A$10:$A$18,"*"&amp;L50,$M$10:$M$18))))</f>
        <v>OGS</v>
      </c>
      <c r="E50" s="440" t="str">
        <f t="shared" ca="1" si="13"/>
        <v>UREFOCRIN-E-O</v>
      </c>
      <c r="F50" s="440" t="str">
        <f t="shared" si="14"/>
        <v>-</v>
      </c>
      <c r="G50" s="440" t="str">
        <f t="shared" si="15"/>
        <v>-</v>
      </c>
      <c r="H50" s="440" t="str">
        <f t="shared" si="16"/>
        <v>-</v>
      </c>
      <c r="I50" s="163">
        <v>1</v>
      </c>
      <c r="K50" s="42">
        <f t="shared" si="17"/>
        <v>2</v>
      </c>
      <c r="L50" s="42">
        <f t="shared" si="17"/>
        <v>2</v>
      </c>
      <c r="N50" s="42">
        <f ca="1">SUMIF(UPS!B$38:B$123,C50,UPS!BD$38:BD$123)</f>
        <v>12</v>
      </c>
      <c r="O50" s="42">
        <f t="shared" si="18"/>
        <v>5</v>
      </c>
    </row>
    <row r="51" spans="2:15">
      <c r="B51" s="440" t="str">
        <f t="shared" si="12"/>
        <v>COM_GMAP</v>
      </c>
      <c r="C51" s="440" t="str">
        <f ca="1">IF($A51="*","",OFFSET(ITEMS_UPS!$C$8,K51,0))</f>
        <v>UREFOCRIN-E</v>
      </c>
      <c r="D51" s="440" t="str">
        <f ca="1">IF($A51="*","",IF(VLOOKUP("*"&amp;$L51,$A$10:$H$18,D$9+1,FALSE)="-","-",OFFSET(UPS!$C$37,N51+O51,SUMIF($A$10:$A$18,"*"&amp;L51,$M$10:$M$18))))</f>
        <v>OHF</v>
      </c>
      <c r="E51" s="440" t="str">
        <f t="shared" ca="1" si="13"/>
        <v>UREFOCRIN-E-O</v>
      </c>
      <c r="F51" s="440" t="str">
        <f t="shared" si="14"/>
        <v>-</v>
      </c>
      <c r="G51" s="440" t="str">
        <f t="shared" si="15"/>
        <v>-</v>
      </c>
      <c r="H51" s="440" t="str">
        <f t="shared" si="16"/>
        <v>-</v>
      </c>
      <c r="I51" s="163">
        <v>1</v>
      </c>
      <c r="K51" s="42">
        <f t="shared" si="17"/>
        <v>2</v>
      </c>
      <c r="L51" s="42">
        <f t="shared" si="17"/>
        <v>2</v>
      </c>
      <c r="N51" s="42">
        <f ca="1">SUMIF(UPS!B$38:B$123,C51,UPS!BD$38:BD$123)</f>
        <v>12</v>
      </c>
      <c r="O51" s="42">
        <f t="shared" si="18"/>
        <v>6</v>
      </c>
    </row>
    <row r="52" spans="2:15">
      <c r="B52" s="440" t="str">
        <f t="shared" si="12"/>
        <v>COM_GMAP</v>
      </c>
      <c r="C52" s="440" t="str">
        <f ca="1">IF($A52="*","",OFFSET(ITEMS_UPS!$C$8,K52,0))</f>
        <v>UREFOCRIN-E</v>
      </c>
      <c r="D52" s="440" t="str">
        <f ca="1">IF($A52="*","",IF(VLOOKUP("*"&amp;$L52,$A$10:$H$18,D$9+1,FALSE)="-","-",OFFSET(UPS!$C$37,N52+O52,SUMIF($A$10:$A$18,"*"&amp;L52,$M$10:$M$18))))</f>
        <v>OKE</v>
      </c>
      <c r="E52" s="440" t="str">
        <f t="shared" ca="1" si="13"/>
        <v>UREFOCRIN-E-O</v>
      </c>
      <c r="F52" s="440" t="str">
        <f t="shared" si="14"/>
        <v>-</v>
      </c>
      <c r="G52" s="440" t="str">
        <f t="shared" si="15"/>
        <v>-</v>
      </c>
      <c r="H52" s="440" t="str">
        <f t="shared" si="16"/>
        <v>-</v>
      </c>
      <c r="I52" s="163">
        <v>1</v>
      </c>
      <c r="K52" s="42">
        <f t="shared" si="17"/>
        <v>2</v>
      </c>
      <c r="L52" s="42">
        <f t="shared" si="17"/>
        <v>2</v>
      </c>
      <c r="N52" s="42">
        <f ca="1">SUMIF(UPS!B$38:B$123,C52,UPS!BD$38:BD$123)</f>
        <v>12</v>
      </c>
      <c r="O52" s="42">
        <f t="shared" si="18"/>
        <v>7</v>
      </c>
    </row>
    <row r="53" spans="2:15">
      <c r="B53" s="440" t="str">
        <f t="shared" si="12"/>
        <v>COM_GMAP</v>
      </c>
      <c r="C53" s="440" t="str">
        <f ca="1">IF($A53="*","",OFFSET(ITEMS_UPS!$C$8,K53,0))</f>
        <v>UREFOCRIN-E</v>
      </c>
      <c r="D53" s="440" t="str">
        <f ca="1">IF($A53="*","",IF(VLOOKUP("*"&amp;$L53,$A$10:$H$18,D$9+1,FALSE)="-","-",OFFSET(UPS!$C$37,N53+O53,SUMIF($A$10:$A$18,"*"&amp;L53,$M$10:$M$18))))</f>
        <v>OLP</v>
      </c>
      <c r="E53" s="440" t="str">
        <f t="shared" ca="1" si="13"/>
        <v>UREFOCRIN-E-O</v>
      </c>
      <c r="F53" s="440" t="str">
        <f t="shared" si="14"/>
        <v>-</v>
      </c>
      <c r="G53" s="440" t="str">
        <f t="shared" si="15"/>
        <v>-</v>
      </c>
      <c r="H53" s="440" t="str">
        <f t="shared" si="16"/>
        <v>-</v>
      </c>
      <c r="I53" s="163">
        <v>1</v>
      </c>
      <c r="K53" s="42">
        <f t="shared" si="17"/>
        <v>2</v>
      </c>
      <c r="L53" s="42">
        <f t="shared" si="17"/>
        <v>2</v>
      </c>
      <c r="N53" s="42">
        <f ca="1">SUMIF(UPS!B$38:B$123,C53,UPS!BD$38:BD$123)</f>
        <v>12</v>
      </c>
      <c r="O53" s="42">
        <f t="shared" si="18"/>
        <v>8</v>
      </c>
    </row>
    <row r="54" spans="2:15">
      <c r="B54" s="440" t="str">
        <f t="shared" si="12"/>
        <v>COM_GMAP</v>
      </c>
      <c r="C54" s="440" t="str">
        <f ca="1">IF($A54="*","",OFFSET(ITEMS_UPS!$C$8,K54,0))</f>
        <v>UREFOCRIN-E</v>
      </c>
      <c r="D54" s="440" t="str">
        <f ca="1">IF($A54="*","",IF(VLOOKUP("*"&amp;$L54,$A$10:$H$18,D$9+1,FALSE)="-","-",OFFSET(UPS!$C$37,N54+O54,SUMIF($A$10:$A$18,"*"&amp;L54,$M$10:$M$18))))</f>
        <v>OTH</v>
      </c>
      <c r="E54" s="440" t="str">
        <f t="shared" ca="1" si="13"/>
        <v>UREFOCRIN-E-O</v>
      </c>
      <c r="F54" s="440" t="str">
        <f t="shared" si="14"/>
        <v>-</v>
      </c>
      <c r="G54" s="440" t="str">
        <f t="shared" si="15"/>
        <v>-</v>
      </c>
      <c r="H54" s="440" t="str">
        <f t="shared" si="16"/>
        <v>-</v>
      </c>
      <c r="I54" s="163">
        <v>1</v>
      </c>
      <c r="K54" s="42">
        <f t="shared" si="17"/>
        <v>2</v>
      </c>
      <c r="L54" s="42">
        <f t="shared" si="17"/>
        <v>2</v>
      </c>
      <c r="N54" s="42">
        <f ca="1">SUMIF(UPS!B$38:B$123,C54,UPS!BD$38:BD$123)</f>
        <v>12</v>
      </c>
      <c r="O54" s="42">
        <f t="shared" si="18"/>
        <v>9</v>
      </c>
    </row>
    <row r="55" spans="2:15">
      <c r="B55" s="440" t="str">
        <f t="shared" si="12"/>
        <v>PRC_ACTUNT</v>
      </c>
      <c r="C55" s="440" t="str">
        <f ca="1">IF($A55="*","",OFFSET(ITEMS_UPS!$C$8,K55,0))</f>
        <v>UREFOCRIN-E</v>
      </c>
      <c r="D55" s="440" t="str">
        <f ca="1">IF($A55="*","",IF(VLOOKUP("*"&amp;$L55,$A$10:$H$18,D$9+1,FALSE)="-","-",OFFSET(UPS!$C$37,N55+O55,SUMIF($A$10:$A$18,"*"&amp;L55,$M$10:$M$18))))</f>
        <v>-</v>
      </c>
      <c r="E55" s="440" t="str">
        <f t="shared" ca="1" si="13"/>
        <v>UREFOCRIN-E-O</v>
      </c>
      <c r="F55" s="440" t="str">
        <f t="shared" si="14"/>
        <v>-</v>
      </c>
      <c r="G55" s="440" t="str">
        <f t="shared" si="15"/>
        <v>-</v>
      </c>
      <c r="H55" s="440" t="str">
        <f t="shared" si="16"/>
        <v>-</v>
      </c>
      <c r="I55" s="163">
        <v>1</v>
      </c>
      <c r="K55" s="42">
        <f t="shared" si="17"/>
        <v>2</v>
      </c>
      <c r="L55" s="42">
        <f>IF(K55=K52,L52+1,1)</f>
        <v>3</v>
      </c>
      <c r="N55" s="42">
        <f ca="1">SUMIF(UPS!B$38:B$123,C55,UPS!BD$38:BD$123)</f>
        <v>12</v>
      </c>
    </row>
    <row r="56" spans="2:15">
      <c r="B56" s="440" t="str">
        <f t="shared" si="12"/>
        <v>PRC_CAPACT</v>
      </c>
      <c r="C56" s="440" t="str">
        <f ca="1">IF($A56="*","",OFFSET(ITEMS_UPS!$C$8,K56,0))</f>
        <v>UREFOCRIN-E</v>
      </c>
      <c r="D56" s="440" t="str">
        <f ca="1">IF($A56="*","",IF(VLOOKUP("*"&amp;$L56,$A$10:$H$18,D$9+1,FALSE)="-","-",OFFSET(UPS!$C$37,N56+O56,SUMIF($A$10:$A$18,"*"&amp;L56,$M$10:$M$18))))</f>
        <v>-</v>
      </c>
      <c r="E56" s="440" t="str">
        <f t="shared" si="13"/>
        <v>-</v>
      </c>
      <c r="F56" s="440" t="str">
        <f t="shared" si="14"/>
        <v>-</v>
      </c>
      <c r="G56" s="440" t="str">
        <f t="shared" si="15"/>
        <v>-</v>
      </c>
      <c r="H56" s="440" t="str">
        <f t="shared" si="16"/>
        <v>-</v>
      </c>
      <c r="I56" s="163">
        <v>1</v>
      </c>
      <c r="K56" s="42">
        <f t="shared" si="17"/>
        <v>2</v>
      </c>
      <c r="L56" s="42">
        <f>IF(K56=K55,L55+1,1)</f>
        <v>4</v>
      </c>
      <c r="N56" s="42">
        <f ca="1">SUMIF(UPS!B$38:B$123,C56,UPS!BD$38:BD$123)</f>
        <v>12</v>
      </c>
    </row>
    <row r="57" spans="2:15">
      <c r="B57" s="440" t="str">
        <f t="shared" si="12"/>
        <v>TOP-IN</v>
      </c>
      <c r="C57" s="440" t="str">
        <f ca="1">IF($A57="*","",OFFSET(ITEMS_UPS!$C$8,K57,0))</f>
        <v>UREFOCRIN-E</v>
      </c>
      <c r="D57" s="440" t="str">
        <f ca="1">IF($A57="*","",IF(VLOOKUP("*"&amp;$L57,$A$10:$H$18,D$9+1,FALSE)="-","-",OFFSET(UPS!$C$37,N57+O57,SUMIF($A$10:$A$18,"*"&amp;L57,$M$10:$M$18))))</f>
        <v>UPSOCR</v>
      </c>
      <c r="E57" s="440" t="str">
        <f t="shared" si="13"/>
        <v>-</v>
      </c>
      <c r="F57" s="440" t="str">
        <f t="shared" si="14"/>
        <v>-</v>
      </c>
      <c r="G57" s="440" t="str">
        <f t="shared" si="15"/>
        <v>-</v>
      </c>
      <c r="H57" s="440" t="str">
        <f t="shared" si="16"/>
        <v>-</v>
      </c>
      <c r="I57" s="163">
        <v>1</v>
      </c>
      <c r="K57" s="42">
        <f t="shared" si="17"/>
        <v>2</v>
      </c>
      <c r="L57" s="42">
        <f>IF(K57=K56,L56+1,1)</f>
        <v>5</v>
      </c>
      <c r="N57" s="42">
        <f ca="1">SUMIF(UPS!B$38:B$123,C57,UPS!BD$38:BD$123)</f>
        <v>12</v>
      </c>
      <c r="O57" s="42">
        <v>0</v>
      </c>
    </row>
    <row r="58" spans="2:15">
      <c r="B58" s="440" t="str">
        <f t="shared" si="12"/>
        <v>TOP-IN</v>
      </c>
      <c r="C58" s="440" t="str">
        <f ca="1">IF($A58="*","",OFFSET(ITEMS_UPS!$C$8,K58,0))</f>
        <v>UREFOCRIN-E</v>
      </c>
      <c r="D58" s="440" t="str">
        <f ca="1">IF($A58="*","",IF(VLOOKUP("*"&amp;$L58,$A$10:$H$18,D$9+1,FALSE)="-","-",OFFSET(UPS!$C$37,N58+O58,SUMIF($A$10:$A$18,"*"&amp;L58,$M$10:$M$18))))</f>
        <v>UPSGAS</v>
      </c>
      <c r="E58" s="440" t="str">
        <f t="shared" si="13"/>
        <v>-</v>
      </c>
      <c r="F58" s="440" t="str">
        <f t="shared" si="14"/>
        <v>-</v>
      </c>
      <c r="G58" s="440" t="str">
        <f t="shared" si="15"/>
        <v>-</v>
      </c>
      <c r="H58" s="440" t="str">
        <f t="shared" si="16"/>
        <v>-</v>
      </c>
      <c r="I58" s="163">
        <v>1</v>
      </c>
      <c r="K58" s="42">
        <f t="shared" si="17"/>
        <v>2</v>
      </c>
      <c r="L58" s="42">
        <f>L57</f>
        <v>5</v>
      </c>
      <c r="N58" s="42">
        <f ca="1">SUMIF(UPS!B$38:B$123,C58,UPS!BD$38:BD$123)</f>
        <v>12</v>
      </c>
      <c r="O58" s="42">
        <f>O57+1</f>
        <v>1</v>
      </c>
    </row>
    <row r="59" spans="2:15">
      <c r="B59" s="440" t="str">
        <f t="shared" si="12"/>
        <v>TOP-IN</v>
      </c>
      <c r="C59" s="440" t="str">
        <f ca="1">IF($A59="*","",OFFSET(ITEMS_UPS!$C$8,K59,0))</f>
        <v>UREFOCRIN-E</v>
      </c>
      <c r="D59" s="440" t="str">
        <f ca="1">IF($A59="*","",IF(VLOOKUP("*"&amp;$L59,$A$10:$H$18,D$9+1,FALSE)="-","-",OFFSET(UPS!$C$37,N59+O59,SUMIF($A$10:$A$18,"*"&amp;L59,$M$10:$M$18))))</f>
        <v>UPSELC</v>
      </c>
      <c r="E59" s="440" t="str">
        <f t="shared" si="13"/>
        <v>-</v>
      </c>
      <c r="F59" s="440" t="str">
        <f t="shared" si="14"/>
        <v>-</v>
      </c>
      <c r="G59" s="440" t="str">
        <f t="shared" si="15"/>
        <v>-</v>
      </c>
      <c r="H59" s="440" t="str">
        <f t="shared" si="16"/>
        <v>-</v>
      </c>
      <c r="I59" s="163">
        <v>1</v>
      </c>
      <c r="K59" s="42">
        <f t="shared" si="17"/>
        <v>2</v>
      </c>
      <c r="L59" s="42">
        <f>L58</f>
        <v>5</v>
      </c>
      <c r="N59" s="42">
        <f ca="1">SUMIF(UPS!B$38:B$123,C59,UPS!BD$38:BD$123)</f>
        <v>12</v>
      </c>
      <c r="O59" s="42">
        <f>O58+1</f>
        <v>2</v>
      </c>
    </row>
    <row r="60" spans="2:15">
      <c r="B60" s="440" t="str">
        <f t="shared" si="12"/>
        <v>TOP-OUT</v>
      </c>
      <c r="C60" s="440" t="str">
        <f ca="1">IF($A60="*","",OFFSET(ITEMS_UPS!$C$8,K60,0))</f>
        <v>UREFOCRIN-E</v>
      </c>
      <c r="D60" s="440" t="str">
        <f ca="1">IF($A60="*","",IF(VLOOKUP("*"&amp;$L60,$A$10:$H$18,D$9+1,FALSE)="-","-",OFFSET(UPS!$C$37,N60+O60,SUMIF($A$10:$A$18,"*"&amp;L60,$M$10:$M$18))))</f>
        <v>OAG</v>
      </c>
      <c r="E60" s="440" t="str">
        <f t="shared" si="13"/>
        <v>-</v>
      </c>
      <c r="F60" s="440" t="str">
        <f t="shared" si="14"/>
        <v>-</v>
      </c>
      <c r="G60" s="440" t="str">
        <f t="shared" si="15"/>
        <v>-</v>
      </c>
      <c r="H60" s="440" t="str">
        <f t="shared" si="16"/>
        <v>-</v>
      </c>
      <c r="I60" s="163">
        <v>1</v>
      </c>
      <c r="K60" s="42">
        <f t="shared" si="17"/>
        <v>2</v>
      </c>
      <c r="L60" s="42">
        <v>6</v>
      </c>
      <c r="N60" s="42">
        <f ca="1">SUMIF(UPS!B$38:B$123,C60,UPS!BD$38:BD$123)</f>
        <v>12</v>
      </c>
      <c r="O60" s="42">
        <f t="shared" ref="O60:O66" si="19">O59+1</f>
        <v>3</v>
      </c>
    </row>
    <row r="61" spans="2:15">
      <c r="B61" s="440" t="str">
        <f t="shared" si="12"/>
        <v>TOP-OUT</v>
      </c>
      <c r="C61" s="440" t="str">
        <f ca="1">IF($A61="*","",OFFSET(ITEMS_UPS!$C$8,K61,0))</f>
        <v>UREFOCRIN-E</v>
      </c>
      <c r="D61" s="440" t="str">
        <f ca="1">IF($A61="*","",IF(VLOOKUP("*"&amp;$L61,$A$10:$H$18,D$9+1,FALSE)="-","-",OFFSET(UPS!$C$37,N61+O61,SUMIF($A$10:$A$18,"*"&amp;L61,$M$10:$M$18))))</f>
        <v>ODS</v>
      </c>
      <c r="E61" s="440" t="str">
        <f t="shared" si="13"/>
        <v>-</v>
      </c>
      <c r="F61" s="440" t="str">
        <f t="shared" si="14"/>
        <v>-</v>
      </c>
      <c r="G61" s="440" t="str">
        <f t="shared" si="15"/>
        <v>-</v>
      </c>
      <c r="H61" s="440" t="str">
        <f t="shared" si="16"/>
        <v>-</v>
      </c>
      <c r="I61" s="163">
        <v>1</v>
      </c>
      <c r="K61" s="42">
        <f t="shared" si="17"/>
        <v>2</v>
      </c>
      <c r="L61" s="42">
        <f>L60</f>
        <v>6</v>
      </c>
      <c r="N61" s="42">
        <f ca="1">SUMIF(UPS!B$38:B$123,C61,UPS!BD$38:BD$123)</f>
        <v>12</v>
      </c>
      <c r="O61" s="42">
        <f t="shared" si="19"/>
        <v>4</v>
      </c>
    </row>
    <row r="62" spans="2:15">
      <c r="B62" s="440" t="str">
        <f t="shared" si="12"/>
        <v>TOP-OUT</v>
      </c>
      <c r="C62" s="440" t="str">
        <f ca="1">IF($A62="*","",OFFSET(ITEMS_UPS!$C$8,K62,0))</f>
        <v>UREFOCRIN-E</v>
      </c>
      <c r="D62" s="440" t="str">
        <f ca="1">IF($A62="*","",IF(VLOOKUP("*"&amp;$L62,$A$10:$H$18,D$9+1,FALSE)="-","-",OFFSET(UPS!$C$37,N62+O62,SUMIF($A$10:$A$18,"*"&amp;L62,$M$10:$M$18))))</f>
        <v>OGS</v>
      </c>
      <c r="E62" s="440" t="str">
        <f t="shared" si="13"/>
        <v>-</v>
      </c>
      <c r="F62" s="440" t="str">
        <f t="shared" si="14"/>
        <v>-</v>
      </c>
      <c r="G62" s="440" t="str">
        <f t="shared" si="15"/>
        <v>-</v>
      </c>
      <c r="H62" s="440" t="str">
        <f t="shared" si="16"/>
        <v>-</v>
      </c>
      <c r="I62" s="163">
        <v>1</v>
      </c>
      <c r="K62" s="42">
        <f t="shared" si="17"/>
        <v>2</v>
      </c>
      <c r="L62" s="42">
        <f>L61</f>
        <v>6</v>
      </c>
      <c r="N62" s="42">
        <f ca="1">SUMIF(UPS!B$38:B$123,C62,UPS!BD$38:BD$123)</f>
        <v>12</v>
      </c>
      <c r="O62" s="42">
        <f t="shared" si="19"/>
        <v>5</v>
      </c>
    </row>
    <row r="63" spans="2:15">
      <c r="B63" s="440" t="str">
        <f t="shared" si="12"/>
        <v>TOP-OUT</v>
      </c>
      <c r="C63" s="440" t="str">
        <f ca="1">IF($A63="*","",OFFSET(ITEMS_UPS!$C$8,K63,0))</f>
        <v>UREFOCRIN-E</v>
      </c>
      <c r="D63" s="440" t="str">
        <f ca="1">IF($A63="*","",IF(VLOOKUP("*"&amp;$L63,$A$10:$H$18,D$9+1,FALSE)="-","-",OFFSET(UPS!$C$37,N63+O63,SUMIF($A$10:$A$18,"*"&amp;L63,$M$10:$M$18))))</f>
        <v>OHF</v>
      </c>
      <c r="E63" s="440" t="str">
        <f t="shared" si="13"/>
        <v>-</v>
      </c>
      <c r="F63" s="440" t="str">
        <f t="shared" si="14"/>
        <v>-</v>
      </c>
      <c r="G63" s="440" t="str">
        <f t="shared" si="15"/>
        <v>-</v>
      </c>
      <c r="H63" s="440" t="str">
        <f t="shared" si="16"/>
        <v>-</v>
      </c>
      <c r="I63" s="163">
        <v>1</v>
      </c>
      <c r="K63" s="42">
        <f t="shared" si="17"/>
        <v>2</v>
      </c>
      <c r="L63" s="42">
        <f t="shared" si="17"/>
        <v>6</v>
      </c>
      <c r="N63" s="42">
        <f ca="1">SUMIF(UPS!B$38:B$123,C63,UPS!BD$38:BD$123)</f>
        <v>12</v>
      </c>
      <c r="O63" s="42">
        <f t="shared" si="19"/>
        <v>6</v>
      </c>
    </row>
    <row r="64" spans="2:15">
      <c r="B64" s="440" t="str">
        <f t="shared" si="12"/>
        <v>TOP-OUT</v>
      </c>
      <c r="C64" s="440" t="str">
        <f ca="1">IF($A64="*","",OFFSET(ITEMS_UPS!$C$8,K64,0))</f>
        <v>UREFOCRIN-E</v>
      </c>
      <c r="D64" s="440" t="str">
        <f ca="1">IF($A64="*","",IF(VLOOKUP("*"&amp;$L64,$A$10:$H$18,D$9+1,FALSE)="-","-",OFFSET(UPS!$C$37,N64+O64,SUMIF($A$10:$A$18,"*"&amp;L64,$M$10:$M$18))))</f>
        <v>OKE</v>
      </c>
      <c r="E64" s="440" t="str">
        <f t="shared" si="13"/>
        <v>-</v>
      </c>
      <c r="F64" s="440" t="str">
        <f t="shared" si="14"/>
        <v>-</v>
      </c>
      <c r="G64" s="440" t="str">
        <f t="shared" si="15"/>
        <v>-</v>
      </c>
      <c r="H64" s="440" t="str">
        <f t="shared" si="16"/>
        <v>-</v>
      </c>
      <c r="I64" s="163">
        <v>1</v>
      </c>
      <c r="K64" s="42">
        <f t="shared" si="17"/>
        <v>2</v>
      </c>
      <c r="L64" s="42">
        <f t="shared" si="17"/>
        <v>6</v>
      </c>
      <c r="N64" s="42">
        <f ca="1">SUMIF(UPS!B$38:B$123,C64,UPS!BD$38:BD$123)</f>
        <v>12</v>
      </c>
      <c r="O64" s="42">
        <f t="shared" si="19"/>
        <v>7</v>
      </c>
    </row>
    <row r="65" spans="1:15">
      <c r="B65" s="440" t="str">
        <f t="shared" si="12"/>
        <v>TOP-OUT</v>
      </c>
      <c r="C65" s="440" t="str">
        <f ca="1">IF($A65="*","",OFFSET(ITEMS_UPS!$C$8,K65,0))</f>
        <v>UREFOCRIN-E</v>
      </c>
      <c r="D65" s="440" t="str">
        <f ca="1">IF($A65="*","",IF(VLOOKUP("*"&amp;$L65,$A$10:$H$18,D$9+1,FALSE)="-","-",OFFSET(UPS!$C$37,N65+O65,SUMIF($A$10:$A$18,"*"&amp;L65,$M$10:$M$18))))</f>
        <v>OLP</v>
      </c>
      <c r="E65" s="440" t="str">
        <f t="shared" si="13"/>
        <v>-</v>
      </c>
      <c r="F65" s="440" t="str">
        <f t="shared" si="14"/>
        <v>-</v>
      </c>
      <c r="G65" s="440" t="str">
        <f t="shared" si="15"/>
        <v>-</v>
      </c>
      <c r="H65" s="440" t="str">
        <f t="shared" si="16"/>
        <v>-</v>
      </c>
      <c r="I65" s="163">
        <v>1</v>
      </c>
      <c r="K65" s="42">
        <f t="shared" si="17"/>
        <v>2</v>
      </c>
      <c r="L65" s="42">
        <f t="shared" si="17"/>
        <v>6</v>
      </c>
      <c r="N65" s="42">
        <f ca="1">SUMIF(UPS!B$38:B$123,C65,UPS!BD$38:BD$123)</f>
        <v>12</v>
      </c>
      <c r="O65" s="42">
        <f t="shared" si="19"/>
        <v>8</v>
      </c>
    </row>
    <row r="66" spans="1:15">
      <c r="B66" s="440" t="str">
        <f t="shared" si="12"/>
        <v>TOP-OUT</v>
      </c>
      <c r="C66" s="440" t="str">
        <f ca="1">IF($A66="*","",OFFSET(ITEMS_UPS!$C$8,K66,0))</f>
        <v>UREFOCRIN-E</v>
      </c>
      <c r="D66" s="440" t="str">
        <f ca="1">IF($A66="*","",IF(VLOOKUP("*"&amp;$L66,$A$10:$H$18,D$9+1,FALSE)="-","-",OFFSET(UPS!$C$37,N66+O66,SUMIF($A$10:$A$18,"*"&amp;L66,$M$10:$M$18))))</f>
        <v>OTH</v>
      </c>
      <c r="E66" s="440" t="str">
        <f t="shared" si="13"/>
        <v>-</v>
      </c>
      <c r="F66" s="440" t="str">
        <f t="shared" si="14"/>
        <v>-</v>
      </c>
      <c r="G66" s="440" t="str">
        <f t="shared" si="15"/>
        <v>-</v>
      </c>
      <c r="H66" s="440" t="str">
        <f t="shared" si="16"/>
        <v>-</v>
      </c>
      <c r="I66" s="163">
        <v>1</v>
      </c>
      <c r="K66" s="42">
        <f t="shared" si="17"/>
        <v>2</v>
      </c>
      <c r="L66" s="42">
        <f t="shared" si="17"/>
        <v>6</v>
      </c>
      <c r="N66" s="42">
        <f ca="1">SUMIF(UPS!B$38:B$123,C66,UPS!BD$38:BD$123)</f>
        <v>12</v>
      </c>
      <c r="O66" s="42">
        <f t="shared" si="19"/>
        <v>9</v>
      </c>
    </row>
    <row r="67" spans="1:15">
      <c r="B67" s="440" t="str">
        <f t="shared" si="12"/>
        <v>TOP-OUT</v>
      </c>
      <c r="C67" s="440" t="str">
        <f ca="1">IF($A67="*","",OFFSET(ITEMS_UPS!$C$8,K67,0))</f>
        <v>UREFOCRIN-E</v>
      </c>
      <c r="D67" s="440" t="str">
        <f>$D$16</f>
        <v>UPSCO2S</v>
      </c>
      <c r="E67" s="440" t="str">
        <f t="shared" si="13"/>
        <v>-</v>
      </c>
      <c r="F67" s="440" t="str">
        <f t="shared" si="14"/>
        <v>-</v>
      </c>
      <c r="G67" s="440" t="str">
        <f t="shared" si="15"/>
        <v>-</v>
      </c>
      <c r="H67" s="440" t="str">
        <f t="shared" si="16"/>
        <v>-</v>
      </c>
      <c r="I67" s="163">
        <v>1</v>
      </c>
      <c r="K67" s="42">
        <f t="shared" si="17"/>
        <v>2</v>
      </c>
      <c r="L67" s="42">
        <f>L66+1</f>
        <v>7</v>
      </c>
      <c r="N67" s="42">
        <f ca="1">SUMIF(UPS!B$38:B$123,C67,UPS!BD$38:BD$123)</f>
        <v>12</v>
      </c>
    </row>
    <row r="68" spans="1:15">
      <c r="B68" s="440" t="str">
        <f t="shared" si="12"/>
        <v>TOP-OUT</v>
      </c>
      <c r="C68" s="440" t="str">
        <f ca="1">IF($A68="*","",OFFSET(ITEMS_UPS!$C$8,K68,0))</f>
        <v>UREFOCRIN-E</v>
      </c>
      <c r="D68" s="440" t="str">
        <f>$D$17</f>
        <v>UPSCH4S</v>
      </c>
      <c r="E68" s="440" t="str">
        <f t="shared" si="13"/>
        <v>-</v>
      </c>
      <c r="F68" s="440" t="str">
        <f t="shared" si="14"/>
        <v>-</v>
      </c>
      <c r="G68" s="440" t="str">
        <f t="shared" si="15"/>
        <v>-</v>
      </c>
      <c r="H68" s="440" t="str">
        <f t="shared" si="16"/>
        <v>-</v>
      </c>
      <c r="I68" s="163">
        <v>1</v>
      </c>
      <c r="K68" s="42">
        <f t="shared" si="17"/>
        <v>2</v>
      </c>
      <c r="L68" s="42">
        <f>L67+1</f>
        <v>8</v>
      </c>
      <c r="N68" s="42">
        <f ca="1">SUMIF(UPS!B$38:B$123,C68,UPS!BD$38:BD$123)</f>
        <v>12</v>
      </c>
    </row>
    <row r="69" spans="1:15">
      <c r="A69" s="42" t="s">
        <v>310</v>
      </c>
      <c r="B69" s="440"/>
      <c r="C69" s="440"/>
      <c r="D69" s="440"/>
      <c r="E69" s="440"/>
      <c r="F69" s="440"/>
      <c r="G69" s="440"/>
      <c r="H69" s="440"/>
      <c r="I69" s="163"/>
    </row>
    <row r="70" spans="1:15">
      <c r="B70" s="440" t="str">
        <f t="shared" ref="B70:B91" si="20">IF(A70="*","",VLOOKUP("*"&amp;L70,$A$9:$B$18,2,FALSE))</f>
        <v>COM_GMAP</v>
      </c>
      <c r="C70" s="440" t="str">
        <f ca="1">IF($A70="*","",OFFSET(ITEMS_UPS!$C$8,K70,0))</f>
        <v>UGTLGICCO-E</v>
      </c>
      <c r="D70" s="440" t="str">
        <f ca="1">IF($A70="*","",IF(VLOOKUP("*"&amp;$L70,$A$10:$H$18,D$9+1,FALSE)="-","-",OFFSET(UPS!$C$37,N70+O70,SUMIF($A$10:$A$18,"*"&amp;L70,$M$10:$M$18))))</f>
        <v>UPSGIC</v>
      </c>
      <c r="E70" s="440" t="str">
        <f t="shared" ref="E70:E91" ca="1" si="21">IF($A70="*","",IF(VLOOKUP("*"&amp;$L70,$A$10:$H$18,E$9+1,FALSE)="-","-",C70&amp;"-"&amp;RIGHT(VLOOKUP("*"&amp;$L70,$A$10:$H$18,E$9+1,FALSE),1)))</f>
        <v>UGTLGICCO-E-I</v>
      </c>
      <c r="F70" s="440" t="str">
        <f t="shared" ref="F70:F91" si="22">IF($A70="*","",IF(VLOOKUP("*"&amp;$L70,$A$10:$H$18,F$9+1,FALSE)="-","-",C70&amp;"-"&amp;RIGHT(VLOOKUP("*"&amp;$L70,$A$10:$H$18,F$9+1,FALSE),1)))</f>
        <v>-</v>
      </c>
      <c r="G70" s="440" t="str">
        <f t="shared" ref="G70:G91" si="23">IF($A70="*","",VLOOKUP($B70,$B$10:$H$18,G$9,FALSE))</f>
        <v>-</v>
      </c>
      <c r="H70" s="440" t="str">
        <f t="shared" ref="H70:H91" si="24">IF($A70="*","",VLOOKUP("*"&amp;$L70,$A$10:$H$18,H$9+1,FALSE))</f>
        <v>-</v>
      </c>
      <c r="I70" s="163">
        <v>1</v>
      </c>
      <c r="K70" s="42">
        <v>3</v>
      </c>
      <c r="L70" s="42">
        <v>1</v>
      </c>
      <c r="N70" s="42">
        <f ca="1">SUMIF(UPS!B$38:B$123,C70,UPS!BD$38:BD$123)</f>
        <v>23</v>
      </c>
      <c r="O70" s="42">
        <v>0</v>
      </c>
    </row>
    <row r="71" spans="1:15">
      <c r="B71" s="440" t="str">
        <f t="shared" si="20"/>
        <v>COM_GMAP</v>
      </c>
      <c r="C71" s="440" t="str">
        <f ca="1">IF($A71="*","",OFFSET(ITEMS_UPS!$C$8,K71,0))</f>
        <v>UGTLGICCO-E</v>
      </c>
      <c r="D71" s="440" t="str">
        <f ca="1">IF($A71="*","",IF(VLOOKUP("*"&amp;$L71,$A$10:$H$18,D$9+1,FALSE)="-","-",OFFSET(UPS!$C$37,N71+O71,SUMIF($A$10:$A$18,"*"&amp;L71,$M$10:$M$18))))</f>
        <v>UPSOCR</v>
      </c>
      <c r="E71" s="440" t="str">
        <f t="shared" ca="1" si="21"/>
        <v>UGTLGICCO-E-I</v>
      </c>
      <c r="F71" s="440" t="str">
        <f t="shared" si="22"/>
        <v>-</v>
      </c>
      <c r="G71" s="440" t="str">
        <f t="shared" si="23"/>
        <v>-</v>
      </c>
      <c r="H71" s="440" t="str">
        <f t="shared" si="24"/>
        <v>-</v>
      </c>
      <c r="I71" s="163">
        <v>1</v>
      </c>
      <c r="K71" s="42">
        <f>K70</f>
        <v>3</v>
      </c>
      <c r="L71" s="42">
        <f>L70</f>
        <v>1</v>
      </c>
      <c r="N71" s="42">
        <f ca="1">SUMIF(UPS!B$38:B$123,C71,UPS!BD$38:BD$123)</f>
        <v>23</v>
      </c>
      <c r="O71" s="42">
        <f t="shared" ref="O71:O78" si="25">O70+1</f>
        <v>1</v>
      </c>
    </row>
    <row r="72" spans="1:15">
      <c r="B72" s="440" t="str">
        <f>IF(A72="*","",VLOOKUP("*"&amp;L72,$A$9:$B$18,2,FALSE))</f>
        <v>COM_GMAP</v>
      </c>
      <c r="C72" s="440" t="str">
        <f ca="1">IF($A72="*","",OFFSET(ITEMS_UPS!$C$8,K72,0))</f>
        <v>UGTLGICCO-E</v>
      </c>
      <c r="D72" s="440" t="str">
        <f ca="1">IF($A72="*","",IF(VLOOKUP("*"&amp;$L72,$A$10:$H$18,D$9+1,FALSE)="-","-",OFFSET(UPS!$C$37,N72+O72,SUMIF($A$10:$A$18,"*"&amp;L72,$M$10:$M$18))))</f>
        <v>UPSELC</v>
      </c>
      <c r="E72" s="440" t="str">
        <f ca="1">IF($A72="*","",IF(VLOOKUP("*"&amp;$L72,$A$10:$H$18,E$9+1,FALSE)="-","-",C72&amp;"-"&amp;RIGHT(VLOOKUP("*"&amp;$L72,$A$10:$H$18,E$9+1,FALSE),1)))</f>
        <v>UGTLGICCO-E-I</v>
      </c>
      <c r="F72" s="440" t="str">
        <f>IF($A72="*","",IF(VLOOKUP("*"&amp;$L72,$A$10:$H$18,F$9+1,FALSE)="-","-",C72&amp;"-"&amp;RIGHT(VLOOKUP("*"&amp;$L72,$A$10:$H$18,F$9+1,FALSE),1)))</f>
        <v>-</v>
      </c>
      <c r="G72" s="440" t="str">
        <f t="shared" si="23"/>
        <v>-</v>
      </c>
      <c r="H72" s="440" t="str">
        <f t="shared" si="24"/>
        <v>-</v>
      </c>
      <c r="I72" s="163">
        <v>1</v>
      </c>
      <c r="K72" s="42">
        <f>K71</f>
        <v>3</v>
      </c>
      <c r="L72" s="42">
        <f>L71</f>
        <v>1</v>
      </c>
      <c r="N72" s="42">
        <f ca="1">SUMIF(UPS!B$38:B$123,C72,UPS!BD$38:BD$123)</f>
        <v>23</v>
      </c>
      <c r="O72" s="42">
        <f t="shared" si="25"/>
        <v>2</v>
      </c>
    </row>
    <row r="73" spans="1:15">
      <c r="B73" s="440" t="str">
        <f t="shared" si="20"/>
        <v>COM_GMAP</v>
      </c>
      <c r="C73" s="440" t="str">
        <f ca="1">IF($A73="*","",OFFSET(ITEMS_UPS!$C$8,K73,0))</f>
        <v>UGTLGICCO-E</v>
      </c>
      <c r="D73" s="440" t="str">
        <f ca="1">IF($A73="*","",IF(VLOOKUP("*"&amp;$L73,$A$10:$H$18,D$9+1,FALSE)="-","-",OFFSET(UPS!$C$37,N73+O73,SUMIF($A$10:$A$18,"*"&amp;L73,$M$10:$M$18))))</f>
        <v>OHF</v>
      </c>
      <c r="E73" s="440" t="str">
        <f t="shared" ca="1" si="21"/>
        <v>UGTLGICCO-E-O</v>
      </c>
      <c r="F73" s="440" t="str">
        <f t="shared" si="22"/>
        <v>-</v>
      </c>
      <c r="G73" s="440" t="str">
        <f t="shared" si="23"/>
        <v>-</v>
      </c>
      <c r="H73" s="440" t="str">
        <f t="shared" si="24"/>
        <v>-</v>
      </c>
      <c r="I73" s="163">
        <v>1</v>
      </c>
      <c r="K73" s="42">
        <f>K71</f>
        <v>3</v>
      </c>
      <c r="L73" s="42">
        <v>2</v>
      </c>
      <c r="N73" s="42">
        <f ca="1">SUMIF(UPS!B$38:B$123,C73,UPS!BD$38:BD$123)</f>
        <v>23</v>
      </c>
      <c r="O73" s="42">
        <f t="shared" si="25"/>
        <v>3</v>
      </c>
    </row>
    <row r="74" spans="1:15">
      <c r="B74" s="440" t="str">
        <f t="shared" si="20"/>
        <v>COM_GMAP</v>
      </c>
      <c r="C74" s="440" t="str">
        <f ca="1">IF($A74="*","",OFFSET(ITEMS_UPS!$C$8,K74,0))</f>
        <v>UGTLGICCO-E</v>
      </c>
      <c r="D74" s="440" t="str">
        <f ca="1">IF($A74="*","",IF(VLOOKUP("*"&amp;$L74,$A$10:$H$18,D$9+1,FALSE)="-","-",OFFSET(UPS!$C$37,N74+O74,SUMIF($A$10:$A$18,"*"&amp;L74,$M$10:$M$18))))</f>
        <v>ODS</v>
      </c>
      <c r="E74" s="440" t="str">
        <f t="shared" ca="1" si="21"/>
        <v>UGTLGICCO-E-O</v>
      </c>
      <c r="F74" s="440" t="str">
        <f t="shared" si="22"/>
        <v>-</v>
      </c>
      <c r="G74" s="440" t="str">
        <f t="shared" si="23"/>
        <v>-</v>
      </c>
      <c r="H74" s="440" t="str">
        <f t="shared" si="24"/>
        <v>-</v>
      </c>
      <c r="I74" s="163">
        <v>1</v>
      </c>
      <c r="K74" s="42">
        <f t="shared" ref="K74:L91" si="26">K73</f>
        <v>3</v>
      </c>
      <c r="L74" s="42">
        <f>L73</f>
        <v>2</v>
      </c>
      <c r="N74" s="42">
        <f ca="1">SUMIF(UPS!B$38:B$123,C74,UPS!BD$38:BD$123)</f>
        <v>23</v>
      </c>
      <c r="O74" s="42">
        <f t="shared" si="25"/>
        <v>4</v>
      </c>
    </row>
    <row r="75" spans="1:15">
      <c r="B75" s="440" t="str">
        <f t="shared" si="20"/>
        <v>COM_GMAP</v>
      </c>
      <c r="C75" s="440" t="str">
        <f ca="1">IF($A75="*","",OFFSET(ITEMS_UPS!$C$8,K75,0))</f>
        <v>UGTLGICCO-E</v>
      </c>
      <c r="D75" s="440" t="str">
        <f ca="1">IF($A75="*","",IF(VLOOKUP("*"&amp;$L75,$A$10:$H$18,D$9+1,FALSE)="-","-",OFFSET(UPS!$C$37,N75+O75,SUMIF($A$10:$A$18,"*"&amp;L75,$M$10:$M$18))))</f>
        <v>OGS</v>
      </c>
      <c r="E75" s="440" t="str">
        <f t="shared" ca="1" si="21"/>
        <v>UGTLGICCO-E-O</v>
      </c>
      <c r="F75" s="440" t="str">
        <f t="shared" si="22"/>
        <v>-</v>
      </c>
      <c r="G75" s="440" t="str">
        <f t="shared" si="23"/>
        <v>-</v>
      </c>
      <c r="H75" s="440" t="str">
        <f t="shared" si="24"/>
        <v>-</v>
      </c>
      <c r="I75" s="163">
        <v>1</v>
      </c>
      <c r="K75" s="42">
        <f t="shared" si="26"/>
        <v>3</v>
      </c>
      <c r="L75" s="42">
        <f t="shared" si="26"/>
        <v>2</v>
      </c>
      <c r="N75" s="42">
        <f ca="1">SUMIF(UPS!B$38:B$123,C75,UPS!BD$38:BD$123)</f>
        <v>23</v>
      </c>
      <c r="O75" s="42">
        <f t="shared" si="25"/>
        <v>5</v>
      </c>
    </row>
    <row r="76" spans="1:15">
      <c r="B76" s="440" t="str">
        <f t="shared" si="20"/>
        <v>COM_GMAP</v>
      </c>
      <c r="C76" s="440" t="str">
        <f ca="1">IF($A76="*","",OFFSET(ITEMS_UPS!$C$8,K76,0))</f>
        <v>UGTLGICCO-E</v>
      </c>
      <c r="D76" s="440" t="str">
        <f ca="1">IF($A76="*","",IF(VLOOKUP("*"&amp;$L76,$A$10:$H$18,D$9+1,FALSE)="-","-",OFFSET(UPS!$C$37,N76+O76,SUMIF($A$10:$A$18,"*"&amp;L76,$M$10:$M$18))))</f>
        <v>OKE</v>
      </c>
      <c r="E76" s="440" t="str">
        <f t="shared" ca="1" si="21"/>
        <v>UGTLGICCO-E-O</v>
      </c>
      <c r="F76" s="440" t="str">
        <f t="shared" si="22"/>
        <v>-</v>
      </c>
      <c r="G76" s="440" t="str">
        <f t="shared" si="23"/>
        <v>-</v>
      </c>
      <c r="H76" s="440" t="str">
        <f t="shared" si="24"/>
        <v>-</v>
      </c>
      <c r="I76" s="163">
        <v>1</v>
      </c>
      <c r="K76" s="42">
        <f t="shared" si="26"/>
        <v>3</v>
      </c>
      <c r="L76" s="42">
        <f t="shared" si="26"/>
        <v>2</v>
      </c>
      <c r="N76" s="42">
        <f ca="1">SUMIF(UPS!B$38:B$123,C76,UPS!BD$38:BD$123)</f>
        <v>23</v>
      </c>
      <c r="O76" s="42">
        <f t="shared" si="25"/>
        <v>6</v>
      </c>
    </row>
    <row r="77" spans="1:15">
      <c r="B77" s="440" t="str">
        <f t="shared" si="20"/>
        <v>COM_GMAP</v>
      </c>
      <c r="C77" s="440" t="str">
        <f ca="1">IF($A77="*","",OFFSET(ITEMS_UPS!$C$8,K77,0))</f>
        <v>UGTLGICCO-E</v>
      </c>
      <c r="D77" s="440" t="str">
        <f ca="1">IF($A77="*","",IF(VLOOKUP("*"&amp;$L77,$A$10:$H$18,D$9+1,FALSE)="-","-",OFFSET(UPS!$C$37,N77+O77,SUMIF($A$10:$A$18,"*"&amp;L77,$M$10:$M$18))))</f>
        <v>OLP</v>
      </c>
      <c r="E77" s="440" t="str">
        <f t="shared" ca="1" si="21"/>
        <v>UGTLGICCO-E-O</v>
      </c>
      <c r="F77" s="440" t="str">
        <f t="shared" si="22"/>
        <v>-</v>
      </c>
      <c r="G77" s="440" t="str">
        <f t="shared" si="23"/>
        <v>-</v>
      </c>
      <c r="H77" s="440" t="str">
        <f t="shared" si="24"/>
        <v>-</v>
      </c>
      <c r="I77" s="163">
        <v>1</v>
      </c>
      <c r="K77" s="42">
        <f t="shared" si="26"/>
        <v>3</v>
      </c>
      <c r="L77" s="42">
        <f t="shared" si="26"/>
        <v>2</v>
      </c>
      <c r="N77" s="42">
        <f ca="1">SUMIF(UPS!B$38:B$123,C77,UPS!BD$38:BD$123)</f>
        <v>23</v>
      </c>
      <c r="O77" s="42">
        <f t="shared" si="25"/>
        <v>7</v>
      </c>
    </row>
    <row r="78" spans="1:15">
      <c r="B78" s="440" t="str">
        <f t="shared" si="20"/>
        <v>COM_GMAP</v>
      </c>
      <c r="C78" s="440" t="str">
        <f ca="1">IF($A78="*","",OFFSET(ITEMS_UPS!$C$8,K78,0))</f>
        <v>UGTLGICCO-E</v>
      </c>
      <c r="D78" s="440" t="str">
        <f ca="1">IF($A78="*","",IF(VLOOKUP("*"&amp;$L78,$A$10:$H$18,D$9+1,FALSE)="-","-",OFFSET(UPS!$C$37,N78+O78,SUMIF($A$10:$A$18,"*"&amp;L78,$M$10:$M$18))))</f>
        <v>OTH</v>
      </c>
      <c r="E78" s="440" t="str">
        <f t="shared" ca="1" si="21"/>
        <v>UGTLGICCO-E-O</v>
      </c>
      <c r="F78" s="440" t="str">
        <f t="shared" si="22"/>
        <v>-</v>
      </c>
      <c r="G78" s="440" t="str">
        <f t="shared" si="23"/>
        <v>-</v>
      </c>
      <c r="H78" s="440" t="str">
        <f t="shared" si="24"/>
        <v>-</v>
      </c>
      <c r="I78" s="163">
        <v>1</v>
      </c>
      <c r="K78" s="42">
        <f t="shared" si="26"/>
        <v>3</v>
      </c>
      <c r="L78" s="42">
        <f t="shared" si="26"/>
        <v>2</v>
      </c>
      <c r="N78" s="42">
        <f ca="1">SUMIF(UPS!B$38:B$123,C78,UPS!BD$38:BD$123)</f>
        <v>23</v>
      </c>
      <c r="O78" s="42">
        <f t="shared" si="25"/>
        <v>8</v>
      </c>
    </row>
    <row r="79" spans="1:15">
      <c r="B79" s="440" t="str">
        <f t="shared" si="20"/>
        <v>PRC_ACTUNT</v>
      </c>
      <c r="C79" s="440" t="str">
        <f ca="1">IF($A79="*","",OFFSET(ITEMS_UPS!$C$8,K79,0))</f>
        <v>UGTLGICCO-E</v>
      </c>
      <c r="D79" s="440" t="str">
        <f ca="1">IF($A79="*","",IF(VLOOKUP("*"&amp;$L79,$A$10:$H$18,D$9+1,FALSE)="-","-",OFFSET(UPS!$C$37,N79+O79,SUMIF($A$10:$A$18,"*"&amp;L79,$M$10:$M$18))))</f>
        <v>-</v>
      </c>
      <c r="E79" s="440" t="str">
        <f t="shared" ca="1" si="21"/>
        <v>UGTLGICCO-E-O</v>
      </c>
      <c r="F79" s="440" t="str">
        <f t="shared" si="22"/>
        <v>-</v>
      </c>
      <c r="G79" s="440" t="str">
        <f t="shared" si="23"/>
        <v>-</v>
      </c>
      <c r="H79" s="440" t="str">
        <f t="shared" si="24"/>
        <v>-</v>
      </c>
      <c r="I79" s="163">
        <v>1</v>
      </c>
      <c r="K79" s="42">
        <f t="shared" si="26"/>
        <v>3</v>
      </c>
      <c r="L79" s="42">
        <v>3</v>
      </c>
      <c r="N79" s="42">
        <f ca="1">SUMIF(UPS!B$38:B$123,C79,UPS!BD$38:BD$123)</f>
        <v>23</v>
      </c>
    </row>
    <row r="80" spans="1:15">
      <c r="B80" s="440" t="str">
        <f t="shared" si="20"/>
        <v>PRC_CAPACT</v>
      </c>
      <c r="C80" s="440" t="str">
        <f ca="1">IF($A80="*","",OFFSET(ITEMS_UPS!$C$8,K80,0))</f>
        <v>UGTLGICCO-E</v>
      </c>
      <c r="D80" s="440" t="str">
        <f ca="1">IF($A80="*","",IF(VLOOKUP("*"&amp;$L80,$A$10:$H$18,D$9+1,FALSE)="-","-",OFFSET(UPS!$C$37,N80+O80,SUMIF($A$10:$A$18,"*"&amp;L80,$M$10:$M$18))))</f>
        <v>-</v>
      </c>
      <c r="E80" s="440" t="str">
        <f t="shared" si="21"/>
        <v>-</v>
      </c>
      <c r="F80" s="440" t="str">
        <f t="shared" si="22"/>
        <v>-</v>
      </c>
      <c r="G80" s="440" t="str">
        <f t="shared" si="23"/>
        <v>-</v>
      </c>
      <c r="H80" s="440" t="str">
        <f t="shared" si="24"/>
        <v>-</v>
      </c>
      <c r="I80" s="163">
        <v>1</v>
      </c>
      <c r="K80" s="42">
        <f>K79</f>
        <v>3</v>
      </c>
      <c r="L80" s="42">
        <f>IF(K80=K79,L79+1,1)</f>
        <v>4</v>
      </c>
      <c r="N80" s="42">
        <f ca="1">SUMIF(UPS!B$38:B$123,C80,UPS!BD$38:BD$123)</f>
        <v>23</v>
      </c>
    </row>
    <row r="81" spans="1:15">
      <c r="B81" s="440" t="str">
        <f t="shared" si="20"/>
        <v>TOP-IN</v>
      </c>
      <c r="C81" s="440" t="str">
        <f ca="1">IF($A81="*","",OFFSET(ITEMS_UPS!$C$8,K81,0))</f>
        <v>UGTLGICCO-E</v>
      </c>
      <c r="D81" s="440" t="str">
        <f ca="1">IF($A81="*","",IF(VLOOKUP("*"&amp;$L81,$A$10:$H$18,D$9+1,FALSE)="-","-",OFFSET(UPS!$C$37,N81+O81,SUMIF($A$10:$A$18,"*"&amp;L81,$M$10:$M$18))))</f>
        <v>UPSGIC</v>
      </c>
      <c r="E81" s="440" t="str">
        <f t="shared" si="21"/>
        <v>-</v>
      </c>
      <c r="F81" s="440" t="str">
        <f t="shared" si="22"/>
        <v>-</v>
      </c>
      <c r="G81" s="440" t="str">
        <f t="shared" si="23"/>
        <v>-</v>
      </c>
      <c r="H81" s="440" t="str">
        <f t="shared" si="24"/>
        <v>-</v>
      </c>
      <c r="I81" s="163">
        <v>1</v>
      </c>
      <c r="K81" s="42">
        <f>K80</f>
        <v>3</v>
      </c>
      <c r="L81" s="42">
        <f>IF(K81=K80,L80+1,1)</f>
        <v>5</v>
      </c>
      <c r="N81" s="42">
        <f ca="1">SUMIF(UPS!B$38:B$123,C81,UPS!BD$38:BD$123)</f>
        <v>23</v>
      </c>
      <c r="O81" s="42">
        <v>0</v>
      </c>
    </row>
    <row r="82" spans="1:15">
      <c r="B82" s="440" t="str">
        <f>IF(A82="*","",VLOOKUP("*"&amp;L82,$A$9:$B$18,2,FALSE))</f>
        <v>TOP-IN</v>
      </c>
      <c r="C82" s="440" t="str">
        <f ca="1">IF($A82="*","",OFFSET(ITEMS_UPS!$C$8,K82,0))</f>
        <v>UGTLGICCO-E</v>
      </c>
      <c r="D82" s="440" t="str">
        <f ca="1">IF($A82="*","",IF(VLOOKUP("*"&amp;$L82,$A$10:$H$18,D$9+1,FALSE)="-","-",OFFSET(UPS!$C$37,N82+O82,SUMIF($A$10:$A$18,"*"&amp;L82,$M$10:$M$18))))</f>
        <v>UPSOCR</v>
      </c>
      <c r="E82" s="440" t="str">
        <f t="shared" si="21"/>
        <v>-</v>
      </c>
      <c r="F82" s="440" t="str">
        <f t="shared" si="22"/>
        <v>-</v>
      </c>
      <c r="G82" s="440" t="str">
        <f t="shared" si="23"/>
        <v>-</v>
      </c>
      <c r="H82" s="440" t="str">
        <f t="shared" si="24"/>
        <v>-</v>
      </c>
      <c r="I82" s="163">
        <v>1</v>
      </c>
      <c r="K82" s="42">
        <f t="shared" si="26"/>
        <v>3</v>
      </c>
      <c r="L82" s="42">
        <f>L81</f>
        <v>5</v>
      </c>
      <c r="N82" s="42">
        <f ca="1">SUMIF(UPS!B$38:B$123,C82,UPS!BD$38:BD$123)</f>
        <v>23</v>
      </c>
      <c r="O82" s="42">
        <f t="shared" ref="O82:O89" si="27">O81+1</f>
        <v>1</v>
      </c>
    </row>
    <row r="83" spans="1:15">
      <c r="B83" s="440" t="str">
        <f t="shared" si="20"/>
        <v>TOP-IN</v>
      </c>
      <c r="C83" s="440" t="str">
        <f ca="1">IF($A83="*","",OFFSET(ITEMS_UPS!$C$8,K83,0))</f>
        <v>UGTLGICCO-E</v>
      </c>
      <c r="D83" s="440" t="str">
        <f ca="1">IF($A83="*","",IF(VLOOKUP("*"&amp;$L83,$A$10:$H$18,D$9+1,FALSE)="-","-",OFFSET(UPS!$C$37,N83+O83,SUMIF($A$10:$A$18,"*"&amp;L83,$M$10:$M$18))))</f>
        <v>UPSELC</v>
      </c>
      <c r="E83" s="440" t="str">
        <f t="shared" si="21"/>
        <v>-</v>
      </c>
      <c r="F83" s="440" t="str">
        <f t="shared" si="22"/>
        <v>-</v>
      </c>
      <c r="G83" s="440" t="str">
        <f t="shared" si="23"/>
        <v>-</v>
      </c>
      <c r="H83" s="440" t="str">
        <f t="shared" si="24"/>
        <v>-</v>
      </c>
      <c r="I83" s="163">
        <v>1</v>
      </c>
      <c r="K83" s="42">
        <f t="shared" si="26"/>
        <v>3</v>
      </c>
      <c r="L83" s="42">
        <f>L82</f>
        <v>5</v>
      </c>
      <c r="N83" s="42">
        <f ca="1">SUMIF(UPS!B$38:B$123,C83,UPS!BD$38:BD$123)</f>
        <v>23</v>
      </c>
      <c r="O83" s="42">
        <f t="shared" si="27"/>
        <v>2</v>
      </c>
    </row>
    <row r="84" spans="1:15">
      <c r="B84" s="440" t="str">
        <f t="shared" si="20"/>
        <v>TOP-OUT</v>
      </c>
      <c r="C84" s="440" t="str">
        <f ca="1">IF($A84="*","",OFFSET(ITEMS_UPS!$C$8,K84,0))</f>
        <v>UGTLGICCO-E</v>
      </c>
      <c r="D84" s="440" t="str">
        <f ca="1">IF($A84="*","",IF(VLOOKUP("*"&amp;$L84,$A$10:$H$18,D$9+1,FALSE)="-","-",OFFSET(UPS!$C$37,N84+O84,SUMIF($A$10:$A$18,"*"&amp;L84,$M$10:$M$18))))</f>
        <v>OHF</v>
      </c>
      <c r="E84" s="440" t="str">
        <f t="shared" si="21"/>
        <v>-</v>
      </c>
      <c r="F84" s="440" t="str">
        <f t="shared" si="22"/>
        <v>-</v>
      </c>
      <c r="G84" s="440" t="str">
        <f t="shared" si="23"/>
        <v>-</v>
      </c>
      <c r="H84" s="440" t="str">
        <f t="shared" si="24"/>
        <v>-</v>
      </c>
      <c r="I84" s="163">
        <v>1</v>
      </c>
      <c r="K84" s="42">
        <f t="shared" si="26"/>
        <v>3</v>
      </c>
      <c r="L84" s="42">
        <v>6</v>
      </c>
      <c r="N84" s="42">
        <f ca="1">SUMIF(UPS!B$38:B$123,C84,UPS!BD$38:BD$123)</f>
        <v>23</v>
      </c>
      <c r="O84" s="42">
        <f t="shared" si="27"/>
        <v>3</v>
      </c>
    </row>
    <row r="85" spans="1:15">
      <c r="B85" s="440" t="str">
        <f t="shared" si="20"/>
        <v>TOP-OUT</v>
      </c>
      <c r="C85" s="440" t="str">
        <f ca="1">IF($A85="*","",OFFSET(ITEMS_UPS!$C$8,K85,0))</f>
        <v>UGTLGICCO-E</v>
      </c>
      <c r="D85" s="440" t="str">
        <f ca="1">IF($A85="*","",IF(VLOOKUP("*"&amp;$L85,$A$10:$H$18,D$9+1,FALSE)="-","-",OFFSET(UPS!$C$37,N85+O85,SUMIF($A$10:$A$18,"*"&amp;L85,$M$10:$M$18))))</f>
        <v>ODS</v>
      </c>
      <c r="E85" s="440" t="str">
        <f t="shared" si="21"/>
        <v>-</v>
      </c>
      <c r="F85" s="440" t="str">
        <f t="shared" si="22"/>
        <v>-</v>
      </c>
      <c r="G85" s="440" t="str">
        <f t="shared" si="23"/>
        <v>-</v>
      </c>
      <c r="H85" s="440" t="str">
        <f t="shared" si="24"/>
        <v>-</v>
      </c>
      <c r="I85" s="163">
        <v>1</v>
      </c>
      <c r="K85" s="42">
        <f t="shared" si="26"/>
        <v>3</v>
      </c>
      <c r="L85" s="42">
        <f>L84</f>
        <v>6</v>
      </c>
      <c r="N85" s="42">
        <f ca="1">SUMIF(UPS!B$38:B$123,C85,UPS!BD$38:BD$123)</f>
        <v>23</v>
      </c>
      <c r="O85" s="42">
        <f t="shared" si="27"/>
        <v>4</v>
      </c>
    </row>
    <row r="86" spans="1:15">
      <c r="B86" s="440" t="str">
        <f t="shared" si="20"/>
        <v>TOP-OUT</v>
      </c>
      <c r="C86" s="440" t="str">
        <f ca="1">IF($A86="*","",OFFSET(ITEMS_UPS!$C$8,K86,0))</f>
        <v>UGTLGICCO-E</v>
      </c>
      <c r="D86" s="440" t="str">
        <f ca="1">IF($A86="*","",IF(VLOOKUP("*"&amp;$L86,$A$10:$H$18,D$9+1,FALSE)="-","-",OFFSET(UPS!$C$37,N86+O86,SUMIF($A$10:$A$18,"*"&amp;L86,$M$10:$M$18))))</f>
        <v>OGS</v>
      </c>
      <c r="E86" s="440" t="str">
        <f t="shared" si="21"/>
        <v>-</v>
      </c>
      <c r="F86" s="440" t="str">
        <f t="shared" si="22"/>
        <v>-</v>
      </c>
      <c r="G86" s="440" t="str">
        <f t="shared" si="23"/>
        <v>-</v>
      </c>
      <c r="H86" s="440" t="str">
        <f t="shared" si="24"/>
        <v>-</v>
      </c>
      <c r="I86" s="163">
        <v>1</v>
      </c>
      <c r="K86" s="42">
        <f t="shared" si="26"/>
        <v>3</v>
      </c>
      <c r="L86" s="42">
        <f t="shared" si="26"/>
        <v>6</v>
      </c>
      <c r="N86" s="42">
        <f ca="1">SUMIF(UPS!B$38:B$123,C86,UPS!BD$38:BD$123)</f>
        <v>23</v>
      </c>
      <c r="O86" s="42">
        <f t="shared" si="27"/>
        <v>5</v>
      </c>
    </row>
    <row r="87" spans="1:15">
      <c r="B87" s="440" t="str">
        <f t="shared" si="20"/>
        <v>TOP-OUT</v>
      </c>
      <c r="C87" s="440" t="str">
        <f ca="1">IF($A87="*","",OFFSET(ITEMS_UPS!$C$8,K87,0))</f>
        <v>UGTLGICCO-E</v>
      </c>
      <c r="D87" s="440" t="str">
        <f ca="1">IF($A87="*","",IF(VLOOKUP("*"&amp;$L87,$A$10:$H$18,D$9+1,FALSE)="-","-",OFFSET(UPS!$C$37,N87+O87,SUMIF($A$10:$A$18,"*"&amp;L87,$M$10:$M$18))))</f>
        <v>OKE</v>
      </c>
      <c r="E87" s="440" t="str">
        <f t="shared" si="21"/>
        <v>-</v>
      </c>
      <c r="F87" s="440" t="str">
        <f t="shared" si="22"/>
        <v>-</v>
      </c>
      <c r="G87" s="440" t="str">
        <f t="shared" si="23"/>
        <v>-</v>
      </c>
      <c r="H87" s="440" t="str">
        <f t="shared" si="24"/>
        <v>-</v>
      </c>
      <c r="I87" s="163">
        <v>1</v>
      </c>
      <c r="K87" s="42">
        <f t="shared" si="26"/>
        <v>3</v>
      </c>
      <c r="L87" s="42">
        <f t="shared" si="26"/>
        <v>6</v>
      </c>
      <c r="N87" s="42">
        <f ca="1">SUMIF(UPS!B$38:B$123,C87,UPS!BD$38:BD$123)</f>
        <v>23</v>
      </c>
      <c r="O87" s="42">
        <f t="shared" si="27"/>
        <v>6</v>
      </c>
    </row>
    <row r="88" spans="1:15">
      <c r="B88" s="440" t="str">
        <f t="shared" si="20"/>
        <v>TOP-OUT</v>
      </c>
      <c r="C88" s="440" t="str">
        <f ca="1">IF($A88="*","",OFFSET(ITEMS_UPS!$C$8,K88,0))</f>
        <v>UGTLGICCO-E</v>
      </c>
      <c r="D88" s="440" t="str">
        <f ca="1">IF($A88="*","",IF(VLOOKUP("*"&amp;$L88,$A$10:$H$18,D$9+1,FALSE)="-","-",OFFSET(UPS!$C$37,N88+O88,SUMIF($A$10:$A$18,"*"&amp;L88,$M$10:$M$18))))</f>
        <v>OLP</v>
      </c>
      <c r="E88" s="440" t="str">
        <f t="shared" si="21"/>
        <v>-</v>
      </c>
      <c r="F88" s="440" t="str">
        <f t="shared" si="22"/>
        <v>-</v>
      </c>
      <c r="G88" s="440" t="str">
        <f t="shared" si="23"/>
        <v>-</v>
      </c>
      <c r="H88" s="440" t="str">
        <f t="shared" si="24"/>
        <v>-</v>
      </c>
      <c r="I88" s="163">
        <v>1</v>
      </c>
      <c r="K88" s="42">
        <f t="shared" si="26"/>
        <v>3</v>
      </c>
      <c r="L88" s="42">
        <f t="shared" si="26"/>
        <v>6</v>
      </c>
      <c r="N88" s="42">
        <f ca="1">SUMIF(UPS!B$38:B$123,C88,UPS!BD$38:BD$123)</f>
        <v>23</v>
      </c>
      <c r="O88" s="42">
        <f t="shared" si="27"/>
        <v>7</v>
      </c>
    </row>
    <row r="89" spans="1:15">
      <c r="B89" s="440" t="str">
        <f t="shared" ref="B89" si="28">IF(A89="*","",VLOOKUP("*"&amp;L89,$A$9:$B$18,2,FALSE))</f>
        <v>TOP-OUT</v>
      </c>
      <c r="C89" s="440" t="str">
        <f ca="1">IF($A89="*","",OFFSET(ITEMS_UPS!$C$8,K89,0))</f>
        <v>UGTLGICCO-E</v>
      </c>
      <c r="D89" s="440" t="str">
        <f ca="1">IF($A89="*","",IF(VLOOKUP("*"&amp;$L89,$A$10:$H$18,D$9+1,FALSE)="-","-",OFFSET(UPS!$C$37,N89+O89,SUMIF($A$10:$A$18,"*"&amp;L89,$M$10:$M$18))))</f>
        <v>OTH</v>
      </c>
      <c r="E89" s="440" t="str">
        <f t="shared" ref="E89" si="29">IF($A89="*","",IF(VLOOKUP("*"&amp;$L89,$A$10:$H$18,E$9+1,FALSE)="-","-",C89&amp;"-"&amp;RIGHT(VLOOKUP("*"&amp;$L89,$A$10:$H$18,E$9+1,FALSE),1)))</f>
        <v>-</v>
      </c>
      <c r="F89" s="440" t="str">
        <f t="shared" ref="F89" si="30">IF($A89="*","",IF(VLOOKUP("*"&amp;$L89,$A$10:$H$18,F$9+1,FALSE)="-","-",C89&amp;"-"&amp;RIGHT(VLOOKUP("*"&amp;$L89,$A$10:$H$18,F$9+1,FALSE),1)))</f>
        <v>-</v>
      </c>
      <c r="G89" s="440" t="str">
        <f t="shared" si="23"/>
        <v>-</v>
      </c>
      <c r="H89" s="440" t="str">
        <f t="shared" si="24"/>
        <v>-</v>
      </c>
      <c r="I89" s="163">
        <v>2</v>
      </c>
      <c r="K89" s="42">
        <f t="shared" si="26"/>
        <v>3</v>
      </c>
      <c r="L89" s="42">
        <f t="shared" si="26"/>
        <v>6</v>
      </c>
      <c r="N89" s="42">
        <f ca="1">SUMIF(UPS!B$38:B$123,C89,UPS!BD$38:BD$123)</f>
        <v>23</v>
      </c>
      <c r="O89" s="42">
        <f t="shared" si="27"/>
        <v>8</v>
      </c>
    </row>
    <row r="90" spans="1:15">
      <c r="B90" s="440" t="str">
        <f t="shared" si="20"/>
        <v>TOP-OUT</v>
      </c>
      <c r="C90" s="440" t="str">
        <f ca="1">IF($A90="*","",OFFSET(ITEMS_UPS!$C$8,K90,0))</f>
        <v>UGTLGICCO-E</v>
      </c>
      <c r="D90" s="440" t="str">
        <f>$D$16</f>
        <v>UPSCO2S</v>
      </c>
      <c r="E90" s="440" t="str">
        <f t="shared" si="21"/>
        <v>-</v>
      </c>
      <c r="F90" s="440" t="str">
        <f t="shared" si="22"/>
        <v>-</v>
      </c>
      <c r="G90" s="440" t="str">
        <f t="shared" si="23"/>
        <v>-</v>
      </c>
      <c r="H90" s="440" t="str">
        <f t="shared" si="24"/>
        <v>-</v>
      </c>
      <c r="I90" s="163">
        <v>1</v>
      </c>
      <c r="K90" s="42">
        <f>K87</f>
        <v>3</v>
      </c>
      <c r="L90" s="42">
        <f>L87</f>
        <v>6</v>
      </c>
      <c r="N90" s="42">
        <f ca="1">SUMIF(UPS!B$38:B$123,C90,UPS!BD$38:BD$123)</f>
        <v>23</v>
      </c>
    </row>
    <row r="91" spans="1:15">
      <c r="B91" s="440" t="str">
        <f t="shared" si="20"/>
        <v>TOP-OUT</v>
      </c>
      <c r="C91" s="440" t="str">
        <f ca="1">IF($A91="*","",OFFSET(ITEMS_UPS!$C$8,K91,0))</f>
        <v>UGTLGICCO-E</v>
      </c>
      <c r="D91" s="440" t="str">
        <f>$D$17</f>
        <v>UPSCH4S</v>
      </c>
      <c r="E91" s="440" t="str">
        <f t="shared" si="21"/>
        <v>-</v>
      </c>
      <c r="F91" s="440" t="str">
        <f t="shared" si="22"/>
        <v>-</v>
      </c>
      <c r="G91" s="440" t="str">
        <f t="shared" si="23"/>
        <v>-</v>
      </c>
      <c r="H91" s="440" t="str">
        <f t="shared" si="24"/>
        <v>-</v>
      </c>
      <c r="I91" s="163">
        <v>1</v>
      </c>
      <c r="K91" s="42">
        <f t="shared" si="26"/>
        <v>3</v>
      </c>
      <c r="L91" s="42">
        <v>6</v>
      </c>
      <c r="N91" s="42">
        <f ca="1">SUMIF(UPS!B$38:B$123,C91,UPS!BD$38:BD$123)</f>
        <v>23</v>
      </c>
    </row>
    <row r="92" spans="1:15">
      <c r="A92" s="42" t="s">
        <v>310</v>
      </c>
      <c r="B92" s="440"/>
      <c r="C92" s="440"/>
      <c r="D92" s="440"/>
      <c r="E92" s="440"/>
      <c r="F92" s="440"/>
      <c r="G92" s="440"/>
      <c r="H92" s="440"/>
      <c r="I92" s="163"/>
    </row>
    <row r="93" spans="1:15">
      <c r="B93" s="440" t="str">
        <f t="shared" ref="B93:B118" si="31">IF(A93="*","",VLOOKUP("*"&amp;L93,$A$9:$B$18,2,FALSE))</f>
        <v>COM_GMAP</v>
      </c>
      <c r="C93" s="440" t="str">
        <f ca="1">IF($A93="*","",OFFSET(ITEMS_UPS!$C$8,K93,0))</f>
        <v>UCTLCLEIN-E</v>
      </c>
      <c r="D93" s="440" t="str">
        <f ca="1">IF($A93="*","",IF(VLOOKUP("*"&amp;$L93,$A$10:$H$18,D$9+1,FALSE)="-","-",OFFSET(UPS!$C$37,N93+O93,SUMIF($A$10:$A$18,"*"&amp;L93,$M$10:$M$18))))</f>
        <v>UPSCLE</v>
      </c>
      <c r="E93" s="440" t="str">
        <f t="shared" ref="E93:E118" ca="1" si="32">IF($A93="*","",IF(VLOOKUP("*"&amp;$L93,$A$10:$H$18,E$9+1,FALSE)="-","-",C93&amp;"-"&amp;RIGHT(VLOOKUP("*"&amp;$L93,$A$10:$H$18,E$9+1,FALSE),1)))</f>
        <v>UCTLCLEIN-E-I</v>
      </c>
      <c r="F93" s="440" t="str">
        <f t="shared" ref="F93:F118" si="33">IF($A93="*","",IF(VLOOKUP("*"&amp;$L93,$A$10:$H$18,F$9+1,FALSE)="-","-",C93&amp;"-"&amp;RIGHT(VLOOKUP("*"&amp;$L93,$A$10:$H$18,F$9+1,FALSE),1)))</f>
        <v>-</v>
      </c>
      <c r="G93" s="440" t="str">
        <f t="shared" ref="G93:G118" si="34">IF($A93="*","",VLOOKUP($B93,$B$10:$H$18,G$9,FALSE))</f>
        <v>-</v>
      </c>
      <c r="H93" s="440" t="str">
        <f t="shared" ref="H93:H118" si="35">IF($A93="*","",VLOOKUP("*"&amp;$L93,$A$10:$H$18,H$9+1,FALSE))</f>
        <v>-</v>
      </c>
      <c r="I93" s="163">
        <v>1</v>
      </c>
      <c r="K93" s="42">
        <v>4</v>
      </c>
      <c r="L93" s="42">
        <v>1</v>
      </c>
      <c r="N93" s="42">
        <f ca="1">SUMIF(UPS!B$38:B$123,C93,UPS!BD$38:BD$123)</f>
        <v>53</v>
      </c>
      <c r="O93" s="42">
        <v>0</v>
      </c>
    </row>
    <row r="94" spans="1:15">
      <c r="B94" s="440" t="str">
        <f t="shared" si="31"/>
        <v>COM_GMAP</v>
      </c>
      <c r="C94" s="440" t="str">
        <f ca="1">IF($A94="*","",OFFSET(ITEMS_UPS!$C$8,K94,0))</f>
        <v>UCTLCLEIN-E</v>
      </c>
      <c r="D94" s="440" t="str">
        <f ca="1">IF($A94="*","",IF(VLOOKUP("*"&amp;$L94,$A$10:$H$18,D$9+1,FALSE)="-","-",OFFSET(UPS!$C$37,N94+O94,SUMIF($A$10:$A$18,"*"&amp;L94,$M$10:$M$18))))</f>
        <v>UPSGAS</v>
      </c>
      <c r="E94" s="440" t="str">
        <f t="shared" ca="1" si="32"/>
        <v>UCTLCLEIN-E-I</v>
      </c>
      <c r="F94" s="440" t="str">
        <f t="shared" si="33"/>
        <v>-</v>
      </c>
      <c r="G94" s="440" t="str">
        <f t="shared" si="34"/>
        <v>-</v>
      </c>
      <c r="H94" s="440" t="str">
        <f t="shared" si="35"/>
        <v>-</v>
      </c>
      <c r="I94" s="163">
        <v>1</v>
      </c>
      <c r="K94" s="42">
        <f>K93</f>
        <v>4</v>
      </c>
      <c r="L94" s="42">
        <f>L93</f>
        <v>1</v>
      </c>
      <c r="N94" s="42">
        <f ca="1">SUMIF(UPS!B$38:B$123,C94,UPS!BD$38:BD$123)</f>
        <v>53</v>
      </c>
      <c r="O94" s="42">
        <f>O93+1</f>
        <v>1</v>
      </c>
    </row>
    <row r="95" spans="1:15">
      <c r="B95" s="440" t="str">
        <f t="shared" si="31"/>
        <v>COM_GMAP</v>
      </c>
      <c r="C95" s="440" t="str">
        <f ca="1">IF($A95="*","",OFFSET(ITEMS_UPS!$C$8,K95,0))</f>
        <v>UCTLCLEIN-E</v>
      </c>
      <c r="D95" s="440" t="str">
        <f ca="1">IF($A95="*","",IF(VLOOKUP("*"&amp;$L95,$A$10:$H$18,D$9+1,FALSE)="-","-",OFFSET(UPS!$C$37,N95+O95,SUMIF($A$10:$A$18,"*"&amp;L95,$M$10:$M$18))))</f>
        <v>UPSELC</v>
      </c>
      <c r="E95" s="440" t="str">
        <f t="shared" ca="1" si="32"/>
        <v>UCTLCLEIN-E-I</v>
      </c>
      <c r="F95" s="440" t="str">
        <f t="shared" si="33"/>
        <v>-</v>
      </c>
      <c r="G95" s="440" t="str">
        <f t="shared" si="34"/>
        <v>-</v>
      </c>
      <c r="H95" s="440" t="str">
        <f t="shared" si="35"/>
        <v>-</v>
      </c>
      <c r="I95" s="163">
        <v>1</v>
      </c>
      <c r="K95" s="42">
        <f t="shared" ref="K95:L118" si="36">K94</f>
        <v>4</v>
      </c>
      <c r="L95" s="42">
        <f>L94</f>
        <v>1</v>
      </c>
      <c r="N95" s="42">
        <f ca="1">SUMIF(UPS!B$38:B$123,C95,UPS!BD$38:BD$123)</f>
        <v>53</v>
      </c>
      <c r="O95" s="42">
        <f t="shared" ref="O95:O103" si="37">O94+1</f>
        <v>2</v>
      </c>
    </row>
    <row r="96" spans="1:15">
      <c r="B96" s="440" t="str">
        <f t="shared" si="31"/>
        <v>COM_GMAP</v>
      </c>
      <c r="C96" s="440" t="str">
        <f ca="1">IF($A96="*","",OFFSET(ITEMS_UPS!$C$8,K96,0))</f>
        <v>UCTLCLEIN-E</v>
      </c>
      <c r="D96" s="440" t="str">
        <f ca="1">IF($A96="*","",IF(VLOOKUP("*"&amp;$L96,$A$10:$H$18,D$9+1,FALSE)="-","-",OFFSET(UPS!$C$37,N96+O96,SUMIF($A$10:$A$18,"*"&amp;L96,$M$10:$M$18))))</f>
        <v>UPSHEE</v>
      </c>
      <c r="E96" s="440" t="str">
        <f t="shared" ca="1" si="32"/>
        <v>UCTLCLEIN-E-I</v>
      </c>
      <c r="F96" s="440" t="str">
        <f t="shared" si="33"/>
        <v>-</v>
      </c>
      <c r="G96" s="440" t="str">
        <f t="shared" si="34"/>
        <v>-</v>
      </c>
      <c r="H96" s="440" t="str">
        <f t="shared" si="35"/>
        <v>-</v>
      </c>
      <c r="I96" s="163">
        <v>1</v>
      </c>
      <c r="K96" s="42">
        <f t="shared" si="36"/>
        <v>4</v>
      </c>
      <c r="L96" s="42">
        <f>L95</f>
        <v>1</v>
      </c>
      <c r="N96" s="42">
        <f ca="1">SUMIF(UPS!B$38:B$123,C96,UPS!BD$38:BD$123)</f>
        <v>53</v>
      </c>
      <c r="O96" s="42">
        <f t="shared" si="37"/>
        <v>3</v>
      </c>
    </row>
    <row r="97" spans="2:15">
      <c r="B97" s="440" t="str">
        <f t="shared" si="31"/>
        <v>COM_GMAP</v>
      </c>
      <c r="C97" s="440" t="str">
        <f ca="1">IF($A97="*","",OFFSET(ITEMS_UPS!$C$8,K97,0))</f>
        <v>UCTLCLEIN-E</v>
      </c>
      <c r="D97" s="440" t="str">
        <f ca="1">IF($A97="*","",IF(VLOOKUP("*"&amp;$L97,$A$10:$H$18,D$9+1,FALSE)="-","-",OFFSET(UPS!$C$37,N97+O97,SUMIF($A$10:$A$18,"*"&amp;L97,$M$10:$M$18))))</f>
        <v>OAG</v>
      </c>
      <c r="E97" s="440" t="str">
        <f t="shared" ca="1" si="32"/>
        <v>UCTLCLEIN-E-O</v>
      </c>
      <c r="F97" s="440" t="str">
        <f t="shared" si="33"/>
        <v>-</v>
      </c>
      <c r="G97" s="440" t="str">
        <f t="shared" si="34"/>
        <v>-</v>
      </c>
      <c r="H97" s="440" t="str">
        <f t="shared" si="35"/>
        <v>-</v>
      </c>
      <c r="I97" s="163">
        <v>1</v>
      </c>
      <c r="K97" s="42">
        <f>K95</f>
        <v>4</v>
      </c>
      <c r="L97" s="42">
        <v>2</v>
      </c>
      <c r="N97" s="42">
        <f ca="1">SUMIF(UPS!B$38:B$123,C97,UPS!BD$38:BD$123)</f>
        <v>53</v>
      </c>
      <c r="O97" s="42">
        <f t="shared" si="37"/>
        <v>4</v>
      </c>
    </row>
    <row r="98" spans="2:15">
      <c r="B98" s="440" t="str">
        <f t="shared" si="31"/>
        <v>COM_GMAP</v>
      </c>
      <c r="C98" s="440" t="str">
        <f ca="1">IF($A98="*","",OFFSET(ITEMS_UPS!$C$8,K98,0))</f>
        <v>UCTLCLEIN-E</v>
      </c>
      <c r="D98" s="440" t="str">
        <f ca="1">IF($A98="*","",IF(VLOOKUP("*"&amp;$L98,$A$10:$H$18,D$9+1,FALSE)="-","-",OFFSET(UPS!$C$37,N98+O98,SUMIF($A$10:$A$18,"*"&amp;L98,$M$10:$M$18))))</f>
        <v>ODS</v>
      </c>
      <c r="E98" s="440" t="str">
        <f t="shared" ca="1" si="32"/>
        <v>UCTLCLEIN-E-O</v>
      </c>
      <c r="F98" s="440" t="str">
        <f t="shared" si="33"/>
        <v>-</v>
      </c>
      <c r="G98" s="440" t="str">
        <f t="shared" si="34"/>
        <v>-</v>
      </c>
      <c r="H98" s="440" t="str">
        <f t="shared" si="35"/>
        <v>-</v>
      </c>
      <c r="I98" s="163">
        <v>1</v>
      </c>
      <c r="K98" s="42">
        <f t="shared" si="36"/>
        <v>4</v>
      </c>
      <c r="L98" s="42">
        <f>L97</f>
        <v>2</v>
      </c>
      <c r="N98" s="42">
        <f ca="1">SUMIF(UPS!B$38:B$123,C98,UPS!BD$38:BD$123)</f>
        <v>53</v>
      </c>
      <c r="O98" s="42">
        <f t="shared" si="37"/>
        <v>5</v>
      </c>
    </row>
    <row r="99" spans="2:15">
      <c r="B99" s="440" t="str">
        <f t="shared" si="31"/>
        <v>COM_GMAP</v>
      </c>
      <c r="C99" s="440" t="str">
        <f ca="1">IF($A99="*","",OFFSET(ITEMS_UPS!$C$8,K99,0))</f>
        <v>UCTLCLEIN-E</v>
      </c>
      <c r="D99" s="440" t="str">
        <f ca="1">IF($A99="*","",IF(VLOOKUP("*"&amp;$L99,$A$10:$H$18,D$9+1,FALSE)="-","-",OFFSET(UPS!$C$37,N99+O99,SUMIF($A$10:$A$18,"*"&amp;L99,$M$10:$M$18))))</f>
        <v>OGS</v>
      </c>
      <c r="E99" s="440" t="str">
        <f t="shared" ca="1" si="32"/>
        <v>UCTLCLEIN-E-O</v>
      </c>
      <c r="F99" s="440" t="str">
        <f t="shared" si="33"/>
        <v>-</v>
      </c>
      <c r="G99" s="440" t="str">
        <f t="shared" si="34"/>
        <v>-</v>
      </c>
      <c r="H99" s="440" t="str">
        <f t="shared" si="35"/>
        <v>-</v>
      </c>
      <c r="I99" s="163">
        <v>1</v>
      </c>
      <c r="K99" s="42">
        <f t="shared" si="36"/>
        <v>4</v>
      </c>
      <c r="L99" s="42">
        <f t="shared" si="36"/>
        <v>2</v>
      </c>
      <c r="N99" s="42">
        <f ca="1">SUMIF(UPS!B$38:B$123,C99,UPS!BD$38:BD$123)</f>
        <v>53</v>
      </c>
      <c r="O99" s="42">
        <f t="shared" si="37"/>
        <v>6</v>
      </c>
    </row>
    <row r="100" spans="2:15">
      <c r="B100" s="440" t="str">
        <f t="shared" si="31"/>
        <v>COM_GMAP</v>
      </c>
      <c r="C100" s="440" t="str">
        <f ca="1">IF($A100="*","",OFFSET(ITEMS_UPS!$C$8,K100,0))</f>
        <v>UCTLCLEIN-E</v>
      </c>
      <c r="D100" s="440" t="str">
        <f ca="1">IF($A100="*","",IF(VLOOKUP("*"&amp;$L100,$A$10:$H$18,D$9+1,FALSE)="-","-",OFFSET(UPS!$C$37,N100+O100,SUMIF($A$10:$A$18,"*"&amp;L100,$M$10:$M$18))))</f>
        <v>GIM</v>
      </c>
      <c r="E100" s="440" t="str">
        <f t="shared" ca="1" si="32"/>
        <v>UCTLCLEIN-E-O</v>
      </c>
      <c r="F100" s="440" t="str">
        <f t="shared" si="33"/>
        <v>-</v>
      </c>
      <c r="G100" s="440" t="str">
        <f t="shared" si="34"/>
        <v>-</v>
      </c>
      <c r="H100" s="440" t="str">
        <f t="shared" si="35"/>
        <v>-</v>
      </c>
      <c r="I100" s="163">
        <v>1</v>
      </c>
      <c r="K100" s="42">
        <f t="shared" si="36"/>
        <v>4</v>
      </c>
      <c r="L100" s="42">
        <f t="shared" si="36"/>
        <v>2</v>
      </c>
      <c r="N100" s="42">
        <f ca="1">SUMIF(UPS!B$38:B$123,C100,UPS!BD$38:BD$123)</f>
        <v>53</v>
      </c>
      <c r="O100" s="42">
        <f t="shared" si="37"/>
        <v>7</v>
      </c>
    </row>
    <row r="101" spans="2:15">
      <c r="B101" s="440" t="str">
        <f t="shared" si="31"/>
        <v>COM_GMAP</v>
      </c>
      <c r="C101" s="440" t="str">
        <f ca="1">IF($A101="*","",OFFSET(ITEMS_UPS!$C$8,K101,0))</f>
        <v>UCTLCLEIN-E</v>
      </c>
      <c r="D101" s="440" t="str">
        <f ca="1">IF($A101="*","",IF(VLOOKUP("*"&amp;$L101,$A$10:$H$18,D$9+1,FALSE)="-","-",OFFSET(UPS!$C$37,N101+O101,SUMIF($A$10:$A$18,"*"&amp;L101,$M$10:$M$18))))</f>
        <v>OKE</v>
      </c>
      <c r="E101" s="440" t="str">
        <f t="shared" ca="1" si="32"/>
        <v>UCTLCLEIN-E-O</v>
      </c>
      <c r="F101" s="440" t="str">
        <f t="shared" si="33"/>
        <v>-</v>
      </c>
      <c r="G101" s="440" t="str">
        <f t="shared" si="34"/>
        <v>-</v>
      </c>
      <c r="H101" s="440" t="str">
        <f t="shared" si="35"/>
        <v>-</v>
      </c>
      <c r="I101" s="163">
        <v>1</v>
      </c>
      <c r="K101" s="42">
        <f t="shared" si="36"/>
        <v>4</v>
      </c>
      <c r="L101" s="42">
        <f t="shared" si="36"/>
        <v>2</v>
      </c>
      <c r="N101" s="42">
        <f ca="1">SUMIF(UPS!B$38:B$123,C101,UPS!BD$38:BD$123)</f>
        <v>53</v>
      </c>
      <c r="O101" s="42">
        <f t="shared" si="37"/>
        <v>8</v>
      </c>
    </row>
    <row r="102" spans="2:15">
      <c r="B102" s="440" t="str">
        <f t="shared" si="31"/>
        <v>COM_GMAP</v>
      </c>
      <c r="C102" s="440" t="str">
        <f ca="1">IF($A102="*","",OFFSET(ITEMS_UPS!$C$8,K102,0))</f>
        <v>UCTLCLEIN-E</v>
      </c>
      <c r="D102" s="440" t="str">
        <f ca="1">IF($A102="*","",IF(VLOOKUP("*"&amp;$L102,$A$10:$H$18,D$9+1,FALSE)="-","-",OFFSET(UPS!$C$37,N102+O102,SUMIF($A$10:$A$18,"*"&amp;L102,$M$10:$M$18))))</f>
        <v>OLP</v>
      </c>
      <c r="E102" s="440" t="str">
        <f t="shared" ca="1" si="32"/>
        <v>UCTLCLEIN-E-O</v>
      </c>
      <c r="F102" s="440" t="str">
        <f t="shared" si="33"/>
        <v>-</v>
      </c>
      <c r="G102" s="440" t="str">
        <f t="shared" si="34"/>
        <v>-</v>
      </c>
      <c r="H102" s="440" t="str">
        <f t="shared" si="35"/>
        <v>-</v>
      </c>
      <c r="I102" s="163">
        <v>1</v>
      </c>
      <c r="K102" s="42">
        <f t="shared" si="36"/>
        <v>4</v>
      </c>
      <c r="L102" s="42">
        <f t="shared" si="36"/>
        <v>2</v>
      </c>
      <c r="N102" s="42">
        <f ca="1">SUMIF(UPS!B$38:B$123,C102,UPS!BD$38:BD$123)</f>
        <v>53</v>
      </c>
      <c r="O102" s="42">
        <f t="shared" si="37"/>
        <v>9</v>
      </c>
    </row>
    <row r="103" spans="2:15">
      <c r="B103" s="440" t="str">
        <f t="shared" si="31"/>
        <v>COM_GMAP</v>
      </c>
      <c r="C103" s="440" t="str">
        <f ca="1">IF($A103="*","",OFFSET(ITEMS_UPS!$C$8,K103,0))</f>
        <v>UCTLCLEIN-E</v>
      </c>
      <c r="D103" s="440" t="str">
        <f ca="1">IF($A103="*","",IF(VLOOKUP("*"&amp;$L103,$A$10:$H$18,D$9+1,FALSE)="-","-",OFFSET(UPS!$C$37,N103+O103,SUMIF($A$10:$A$18,"*"&amp;L103,$M$10:$M$18))))</f>
        <v>OTH</v>
      </c>
      <c r="E103" s="440" t="str">
        <f t="shared" ca="1" si="32"/>
        <v>UCTLCLEIN-E-O</v>
      </c>
      <c r="F103" s="440" t="str">
        <f t="shared" si="33"/>
        <v>-</v>
      </c>
      <c r="G103" s="440" t="str">
        <f t="shared" si="34"/>
        <v>-</v>
      </c>
      <c r="H103" s="440" t="str">
        <f t="shared" si="35"/>
        <v>-</v>
      </c>
      <c r="I103" s="163">
        <v>1</v>
      </c>
      <c r="K103" s="42">
        <f t="shared" si="36"/>
        <v>4</v>
      </c>
      <c r="L103" s="42">
        <f t="shared" si="36"/>
        <v>2</v>
      </c>
      <c r="N103" s="42">
        <f ca="1">SUMIF(UPS!B$38:B$123,C103,UPS!BD$38:BD$123)</f>
        <v>53</v>
      </c>
      <c r="O103" s="42">
        <f t="shared" si="37"/>
        <v>10</v>
      </c>
    </row>
    <row r="104" spans="2:15">
      <c r="B104" s="440" t="str">
        <f t="shared" si="31"/>
        <v>PRC_ACTUNT</v>
      </c>
      <c r="C104" s="440" t="str">
        <f ca="1">IF($A104="*","",OFFSET(ITEMS_UPS!$C$8,K104,0))</f>
        <v>UCTLCLEIN-E</v>
      </c>
      <c r="D104" s="440" t="str">
        <f ca="1">IF($A104="*","",IF(VLOOKUP("*"&amp;$L104,$A$10:$H$18,D$9+1,FALSE)="-","-",OFFSET(UPS!$C$37,N104+O104,SUMIF($A$10:$A$18,"*"&amp;L104,$M$10:$M$18))))</f>
        <v>-</v>
      </c>
      <c r="E104" s="440" t="str">
        <f t="shared" ca="1" si="32"/>
        <v>UCTLCLEIN-E-O</v>
      </c>
      <c r="F104" s="440" t="str">
        <f t="shared" si="33"/>
        <v>-</v>
      </c>
      <c r="G104" s="440" t="str">
        <f t="shared" si="34"/>
        <v>-</v>
      </c>
      <c r="H104" s="440" t="str">
        <f t="shared" si="35"/>
        <v>-</v>
      </c>
      <c r="I104" s="163">
        <v>1</v>
      </c>
      <c r="K104" s="42">
        <f t="shared" si="36"/>
        <v>4</v>
      </c>
      <c r="L104" s="42">
        <f>IF(K104=K101,L101+1,1)</f>
        <v>3</v>
      </c>
      <c r="N104" s="42">
        <f ca="1">SUMIF(UPS!B$38:B$123,C104,UPS!BD$38:BD$123)</f>
        <v>53</v>
      </c>
    </row>
    <row r="105" spans="2:15">
      <c r="B105" s="440" t="str">
        <f t="shared" si="31"/>
        <v>PRC_CAPACT</v>
      </c>
      <c r="C105" s="440" t="str">
        <f ca="1">IF($A105="*","",OFFSET(ITEMS_UPS!$C$8,K105,0))</f>
        <v>UCTLCLEIN-E</v>
      </c>
      <c r="D105" s="440" t="str">
        <f ca="1">IF($A105="*","",IF(VLOOKUP("*"&amp;$L105,$A$10:$H$18,D$9+1,FALSE)="-","-",OFFSET(UPS!$C$37,N105+O105,SUMIF($A$10:$A$18,"*"&amp;L105,$M$10:$M$18))))</f>
        <v>-</v>
      </c>
      <c r="E105" s="440" t="str">
        <f t="shared" si="32"/>
        <v>-</v>
      </c>
      <c r="F105" s="440" t="str">
        <f t="shared" si="33"/>
        <v>-</v>
      </c>
      <c r="G105" s="440" t="str">
        <f t="shared" si="34"/>
        <v>-</v>
      </c>
      <c r="H105" s="440" t="str">
        <f t="shared" si="35"/>
        <v>-</v>
      </c>
      <c r="I105" s="163">
        <v>1</v>
      </c>
      <c r="K105" s="42">
        <f t="shared" si="36"/>
        <v>4</v>
      </c>
      <c r="L105" s="42">
        <f>IF(K105=K104,L104+1,1)</f>
        <v>4</v>
      </c>
      <c r="N105" s="42">
        <f ca="1">SUMIF(UPS!B$38:B$123,C105,UPS!BD$38:BD$123)</f>
        <v>53</v>
      </c>
    </row>
    <row r="106" spans="2:15">
      <c r="B106" s="440" t="str">
        <f t="shared" si="31"/>
        <v>TOP-IN</v>
      </c>
      <c r="C106" s="440" t="str">
        <f ca="1">IF($A106="*","",OFFSET(ITEMS_UPS!$C$8,K106,0))</f>
        <v>UCTLCLEIN-E</v>
      </c>
      <c r="D106" s="440" t="str">
        <f ca="1">IF($A106="*","",IF(VLOOKUP("*"&amp;$L106,$A$10:$H$18,D$9+1,FALSE)="-","-",OFFSET(UPS!$C$37,N106+O106,SUMIF($A$10:$A$18,"*"&amp;L106,$M$10:$M$18))))</f>
        <v>UPSCLE</v>
      </c>
      <c r="E106" s="440" t="str">
        <f t="shared" si="32"/>
        <v>-</v>
      </c>
      <c r="F106" s="440" t="str">
        <f t="shared" si="33"/>
        <v>-</v>
      </c>
      <c r="G106" s="440" t="str">
        <f t="shared" si="34"/>
        <v>-</v>
      </c>
      <c r="H106" s="440" t="str">
        <f t="shared" si="35"/>
        <v>-</v>
      </c>
      <c r="I106" s="163">
        <v>1</v>
      </c>
      <c r="K106" s="42">
        <f t="shared" si="36"/>
        <v>4</v>
      </c>
      <c r="L106" s="42">
        <f>IF(K106=K105,L105+1,1)</f>
        <v>5</v>
      </c>
      <c r="N106" s="42">
        <f ca="1">SUMIF(UPS!B$38:B$123,C106,UPS!BD$38:BD$123)</f>
        <v>53</v>
      </c>
      <c r="O106" s="42">
        <v>0</v>
      </c>
    </row>
    <row r="107" spans="2:15">
      <c r="B107" s="440" t="str">
        <f t="shared" si="31"/>
        <v>TOP-IN</v>
      </c>
      <c r="C107" s="440" t="str">
        <f ca="1">IF($A107="*","",OFFSET(ITEMS_UPS!$C$8,K107,0))</f>
        <v>UCTLCLEIN-E</v>
      </c>
      <c r="D107" s="440" t="str">
        <f ca="1">IF($A107="*","",IF(VLOOKUP("*"&amp;$L107,$A$10:$H$18,D$9+1,FALSE)="-","-",OFFSET(UPS!$C$37,N107+O107,SUMIF($A$10:$A$18,"*"&amp;L107,$M$10:$M$18))))</f>
        <v>UPSGAS</v>
      </c>
      <c r="E107" s="440" t="str">
        <f t="shared" si="32"/>
        <v>-</v>
      </c>
      <c r="F107" s="440" t="str">
        <f t="shared" si="33"/>
        <v>-</v>
      </c>
      <c r="G107" s="440" t="str">
        <f t="shared" si="34"/>
        <v>-</v>
      </c>
      <c r="H107" s="440" t="str">
        <f t="shared" si="35"/>
        <v>-</v>
      </c>
      <c r="I107" s="163">
        <v>1</v>
      </c>
      <c r="K107" s="42">
        <f t="shared" si="36"/>
        <v>4</v>
      </c>
      <c r="L107" s="42">
        <f>L106</f>
        <v>5</v>
      </c>
      <c r="N107" s="42">
        <f ca="1">SUMIF(UPS!B$38:B$123,C107,UPS!BD$38:BD$123)</f>
        <v>53</v>
      </c>
      <c r="O107" s="42">
        <f>O106+1</f>
        <v>1</v>
      </c>
    </row>
    <row r="108" spans="2:15">
      <c r="B108" s="440" t="str">
        <f t="shared" si="31"/>
        <v>TOP-IN</v>
      </c>
      <c r="C108" s="440" t="str">
        <f ca="1">IF($A108="*","",OFFSET(ITEMS_UPS!$C$8,K108,0))</f>
        <v>UCTLCLEIN-E</v>
      </c>
      <c r="D108" s="440" t="str">
        <f ca="1">IF($A108="*","",IF(VLOOKUP("*"&amp;$L108,$A$10:$H$18,D$9+1,FALSE)="-","-",OFFSET(UPS!$C$37,N108+O108,SUMIF($A$10:$A$18,"*"&amp;L108,$M$10:$M$18))))</f>
        <v>UPSELC</v>
      </c>
      <c r="E108" s="440" t="str">
        <f t="shared" si="32"/>
        <v>-</v>
      </c>
      <c r="F108" s="440" t="str">
        <f t="shared" si="33"/>
        <v>-</v>
      </c>
      <c r="G108" s="440" t="str">
        <f t="shared" si="34"/>
        <v>-</v>
      </c>
      <c r="H108" s="440" t="str">
        <f t="shared" si="35"/>
        <v>-</v>
      </c>
      <c r="I108" s="163">
        <v>1</v>
      </c>
      <c r="K108" s="42">
        <f t="shared" si="36"/>
        <v>4</v>
      </c>
      <c r="L108" s="42">
        <f>L107</f>
        <v>5</v>
      </c>
      <c r="N108" s="42">
        <f ca="1">SUMIF(UPS!B$38:B$123,C108,UPS!BD$38:BD$123)</f>
        <v>53</v>
      </c>
      <c r="O108" s="42">
        <f>O107+1</f>
        <v>2</v>
      </c>
    </row>
    <row r="109" spans="2:15">
      <c r="B109" s="440" t="str">
        <f t="shared" si="31"/>
        <v>TOP-IN</v>
      </c>
      <c r="C109" s="440" t="str">
        <f ca="1">IF($A109="*","",OFFSET(ITEMS_UPS!$C$8,K109,0))</f>
        <v>UCTLCLEIN-E</v>
      </c>
      <c r="D109" s="440" t="str">
        <f ca="1">IF($A109="*","",IF(VLOOKUP("*"&amp;$L109,$A$10:$H$18,D$9+1,FALSE)="-","-",OFFSET(UPS!$C$37,N109+O109,SUMIF($A$10:$A$18,"*"&amp;L109,$M$10:$M$18))))</f>
        <v>UPSHEE</v>
      </c>
      <c r="E109" s="440" t="str">
        <f t="shared" si="32"/>
        <v>-</v>
      </c>
      <c r="F109" s="440" t="str">
        <f t="shared" si="33"/>
        <v>-</v>
      </c>
      <c r="G109" s="440" t="str">
        <f t="shared" si="34"/>
        <v>-</v>
      </c>
      <c r="H109" s="440" t="str">
        <f t="shared" si="35"/>
        <v>-</v>
      </c>
      <c r="I109" s="163">
        <v>1</v>
      </c>
      <c r="K109" s="42">
        <f t="shared" si="36"/>
        <v>4</v>
      </c>
      <c r="L109" s="42">
        <f>L108</f>
        <v>5</v>
      </c>
      <c r="N109" s="42">
        <f ca="1">SUMIF(UPS!B$38:B$123,C109,UPS!BD$38:BD$123)</f>
        <v>53</v>
      </c>
      <c r="O109" s="42">
        <f>O108+1</f>
        <v>3</v>
      </c>
    </row>
    <row r="110" spans="2:15">
      <c r="B110" s="440" t="str">
        <f t="shared" si="31"/>
        <v>TOP-OUT</v>
      </c>
      <c r="C110" s="440" t="str">
        <f ca="1">IF($A110="*","",OFFSET(ITEMS_UPS!$C$8,K110,0))</f>
        <v>UCTLCLEIN-E</v>
      </c>
      <c r="D110" s="440" t="str">
        <f ca="1">IF($A110="*","",IF(VLOOKUP("*"&amp;$L110,$A$10:$H$18,D$9+1,FALSE)="-","-",OFFSET(UPS!$C$37,N110+O110,SUMIF($A$10:$A$18,"*"&amp;L110,$M$10:$M$18))))</f>
        <v>OAG</v>
      </c>
      <c r="E110" s="440" t="str">
        <f t="shared" si="32"/>
        <v>-</v>
      </c>
      <c r="F110" s="440" t="str">
        <f t="shared" si="33"/>
        <v>-</v>
      </c>
      <c r="G110" s="440" t="str">
        <f t="shared" si="34"/>
        <v>-</v>
      </c>
      <c r="H110" s="440" t="str">
        <f t="shared" si="35"/>
        <v>-</v>
      </c>
      <c r="I110" s="163">
        <v>1</v>
      </c>
      <c r="K110" s="42">
        <f>K108</f>
        <v>4</v>
      </c>
      <c r="L110" s="42">
        <v>6</v>
      </c>
      <c r="N110" s="42">
        <f ca="1">SUMIF(UPS!B$38:B$123,C110,UPS!BD$38:BD$123)</f>
        <v>53</v>
      </c>
      <c r="O110" s="42">
        <f t="shared" ref="O110:O116" si="38">O109+1</f>
        <v>4</v>
      </c>
    </row>
    <row r="111" spans="2:15">
      <c r="B111" s="440" t="str">
        <f t="shared" si="31"/>
        <v>TOP-OUT</v>
      </c>
      <c r="C111" s="440" t="str">
        <f ca="1">IF($A111="*","",OFFSET(ITEMS_UPS!$C$8,K111,0))</f>
        <v>UCTLCLEIN-E</v>
      </c>
      <c r="D111" s="440" t="str">
        <f ca="1">IF($A111="*","",IF(VLOOKUP("*"&amp;$L111,$A$10:$H$18,D$9+1,FALSE)="-","-",OFFSET(UPS!$C$37,N111+O111,SUMIF($A$10:$A$18,"*"&amp;L111,$M$10:$M$18))))</f>
        <v>ODS</v>
      </c>
      <c r="E111" s="440" t="str">
        <f t="shared" si="32"/>
        <v>-</v>
      </c>
      <c r="F111" s="440" t="str">
        <f t="shared" si="33"/>
        <v>-</v>
      </c>
      <c r="G111" s="440" t="str">
        <f t="shared" si="34"/>
        <v>-</v>
      </c>
      <c r="H111" s="440" t="str">
        <f t="shared" si="35"/>
        <v>-</v>
      </c>
      <c r="I111" s="163">
        <v>1</v>
      </c>
      <c r="K111" s="42">
        <f t="shared" si="36"/>
        <v>4</v>
      </c>
      <c r="L111" s="42">
        <f>L110</f>
        <v>6</v>
      </c>
      <c r="N111" s="42">
        <f ca="1">SUMIF(UPS!B$38:B$123,C111,UPS!BD$38:BD$123)</f>
        <v>53</v>
      </c>
      <c r="O111" s="42">
        <f t="shared" si="38"/>
        <v>5</v>
      </c>
    </row>
    <row r="112" spans="2:15">
      <c r="B112" s="440" t="str">
        <f t="shared" si="31"/>
        <v>TOP-OUT</v>
      </c>
      <c r="C112" s="440" t="str">
        <f ca="1">IF($A112="*","",OFFSET(ITEMS_UPS!$C$8,K112,0))</f>
        <v>UCTLCLEIN-E</v>
      </c>
      <c r="D112" s="440" t="str">
        <f ca="1">IF($A112="*","",IF(VLOOKUP("*"&amp;$L112,$A$10:$H$18,D$9+1,FALSE)="-","-",OFFSET(UPS!$C$37,N112+O112,SUMIF($A$10:$A$18,"*"&amp;L112,$M$10:$M$18))))</f>
        <v>OGS</v>
      </c>
      <c r="E112" s="440" t="str">
        <f t="shared" si="32"/>
        <v>-</v>
      </c>
      <c r="F112" s="440" t="str">
        <f t="shared" si="33"/>
        <v>-</v>
      </c>
      <c r="G112" s="440" t="str">
        <f t="shared" si="34"/>
        <v>-</v>
      </c>
      <c r="H112" s="440" t="str">
        <f t="shared" si="35"/>
        <v>-</v>
      </c>
      <c r="I112" s="163">
        <v>1</v>
      </c>
      <c r="K112" s="42">
        <f t="shared" si="36"/>
        <v>4</v>
      </c>
      <c r="L112" s="42">
        <f>L111</f>
        <v>6</v>
      </c>
      <c r="N112" s="42">
        <f ca="1">SUMIF(UPS!B$38:B$123,C112,UPS!BD$38:BD$123)</f>
        <v>53</v>
      </c>
      <c r="O112" s="42">
        <f t="shared" si="38"/>
        <v>6</v>
      </c>
    </row>
    <row r="113" spans="1:15">
      <c r="B113" s="440" t="str">
        <f t="shared" si="31"/>
        <v>TOP-OUT</v>
      </c>
      <c r="C113" s="440" t="str">
        <f ca="1">IF($A113="*","",OFFSET(ITEMS_UPS!$C$8,K113,0))</f>
        <v>UCTLCLEIN-E</v>
      </c>
      <c r="D113" s="440" t="str">
        <f ca="1">IF($A113="*","",IF(VLOOKUP("*"&amp;$L113,$A$10:$H$18,D$9+1,FALSE)="-","-",OFFSET(UPS!$C$37,N113+O113,SUMIF($A$10:$A$18,"*"&amp;L113,$M$10:$M$18))))</f>
        <v>GIM</v>
      </c>
      <c r="E113" s="440" t="str">
        <f t="shared" si="32"/>
        <v>-</v>
      </c>
      <c r="F113" s="440" t="str">
        <f t="shared" si="33"/>
        <v>-</v>
      </c>
      <c r="G113" s="440" t="str">
        <f t="shared" si="34"/>
        <v>-</v>
      </c>
      <c r="H113" s="440" t="str">
        <f t="shared" si="35"/>
        <v>-</v>
      </c>
      <c r="I113" s="163">
        <v>1</v>
      </c>
      <c r="K113" s="42">
        <f t="shared" si="36"/>
        <v>4</v>
      </c>
      <c r="L113" s="42">
        <f t="shared" si="36"/>
        <v>6</v>
      </c>
      <c r="N113" s="42">
        <f ca="1">SUMIF(UPS!B$38:B$123,C113,UPS!BD$38:BD$123)</f>
        <v>53</v>
      </c>
      <c r="O113" s="42">
        <f t="shared" si="38"/>
        <v>7</v>
      </c>
    </row>
    <row r="114" spans="1:15">
      <c r="B114" s="440" t="str">
        <f t="shared" si="31"/>
        <v>TOP-OUT</v>
      </c>
      <c r="C114" s="440" t="str">
        <f ca="1">IF($A114="*","",OFFSET(ITEMS_UPS!$C$8,K114,0))</f>
        <v>UCTLCLEIN-E</v>
      </c>
      <c r="D114" s="440" t="str">
        <f ca="1">IF($A114="*","",IF(VLOOKUP("*"&amp;$L114,$A$10:$H$18,D$9+1,FALSE)="-","-",OFFSET(UPS!$C$37,N114+O114,SUMIF($A$10:$A$18,"*"&amp;L114,$M$10:$M$18))))</f>
        <v>OKE</v>
      </c>
      <c r="E114" s="440" t="str">
        <f t="shared" si="32"/>
        <v>-</v>
      </c>
      <c r="F114" s="440" t="str">
        <f t="shared" si="33"/>
        <v>-</v>
      </c>
      <c r="G114" s="440" t="str">
        <f t="shared" si="34"/>
        <v>-</v>
      </c>
      <c r="H114" s="440" t="str">
        <f t="shared" si="35"/>
        <v>-</v>
      </c>
      <c r="I114" s="163">
        <v>1</v>
      </c>
      <c r="K114" s="42">
        <f t="shared" si="36"/>
        <v>4</v>
      </c>
      <c r="L114" s="42">
        <f t="shared" si="36"/>
        <v>6</v>
      </c>
      <c r="N114" s="42">
        <f ca="1">SUMIF(UPS!B$38:B$123,C114,UPS!BD$38:BD$123)</f>
        <v>53</v>
      </c>
      <c r="O114" s="42">
        <f t="shared" si="38"/>
        <v>8</v>
      </c>
    </row>
    <row r="115" spans="1:15">
      <c r="B115" s="440" t="str">
        <f t="shared" si="31"/>
        <v>TOP-OUT</v>
      </c>
      <c r="C115" s="440" t="str">
        <f ca="1">IF($A115="*","",OFFSET(ITEMS_UPS!$C$8,K115,0))</f>
        <v>UCTLCLEIN-E</v>
      </c>
      <c r="D115" s="440" t="str">
        <f ca="1">IF($A115="*","",IF(VLOOKUP("*"&amp;$L115,$A$10:$H$18,D$9+1,FALSE)="-","-",OFFSET(UPS!$C$37,N115+O115,SUMIF($A$10:$A$18,"*"&amp;L115,$M$10:$M$18))))</f>
        <v>OLP</v>
      </c>
      <c r="E115" s="440" t="str">
        <f t="shared" si="32"/>
        <v>-</v>
      </c>
      <c r="F115" s="440" t="str">
        <f t="shared" si="33"/>
        <v>-</v>
      </c>
      <c r="G115" s="440" t="str">
        <f t="shared" si="34"/>
        <v>-</v>
      </c>
      <c r="H115" s="440" t="str">
        <f t="shared" si="35"/>
        <v>-</v>
      </c>
      <c r="I115" s="163">
        <v>1</v>
      </c>
      <c r="K115" s="42">
        <f t="shared" si="36"/>
        <v>4</v>
      </c>
      <c r="L115" s="42">
        <f t="shared" si="36"/>
        <v>6</v>
      </c>
      <c r="N115" s="42">
        <f ca="1">SUMIF(UPS!B$38:B$123,C115,UPS!BD$38:BD$123)</f>
        <v>53</v>
      </c>
      <c r="O115" s="42">
        <f t="shared" si="38"/>
        <v>9</v>
      </c>
    </row>
    <row r="116" spans="1:15">
      <c r="B116" s="440" t="str">
        <f t="shared" si="31"/>
        <v>TOP-OUT</v>
      </c>
      <c r="C116" s="440" t="str">
        <f ca="1">IF($A116="*","",OFFSET(ITEMS_UPS!$C$8,K116,0))</f>
        <v>UCTLCLEIN-E</v>
      </c>
      <c r="D116" s="440" t="str">
        <f ca="1">IF($A116="*","",IF(VLOOKUP("*"&amp;$L116,$A$10:$H$18,D$9+1,FALSE)="-","-",OFFSET(UPS!$C$37,N116+O116,SUMIF($A$10:$A$18,"*"&amp;L116,$M$10:$M$18))))</f>
        <v>OTH</v>
      </c>
      <c r="E116" s="440" t="str">
        <f t="shared" si="32"/>
        <v>-</v>
      </c>
      <c r="F116" s="440" t="str">
        <f t="shared" si="33"/>
        <v>-</v>
      </c>
      <c r="G116" s="440" t="str">
        <f t="shared" si="34"/>
        <v>-</v>
      </c>
      <c r="H116" s="440" t="str">
        <f t="shared" si="35"/>
        <v>-</v>
      </c>
      <c r="I116" s="163">
        <v>1</v>
      </c>
      <c r="K116" s="42">
        <f t="shared" si="36"/>
        <v>4</v>
      </c>
      <c r="L116" s="42">
        <f t="shared" si="36"/>
        <v>6</v>
      </c>
      <c r="N116" s="42">
        <f ca="1">SUMIF(UPS!B$38:B$123,C116,UPS!BD$38:BD$123)</f>
        <v>53</v>
      </c>
      <c r="O116" s="42">
        <f t="shared" si="38"/>
        <v>10</v>
      </c>
    </row>
    <row r="117" spans="1:15">
      <c r="B117" s="440" t="str">
        <f t="shared" si="31"/>
        <v>TOP-OUT</v>
      </c>
      <c r="C117" s="440" t="str">
        <f ca="1">IF($A117="*","",OFFSET(ITEMS_UPS!$C$8,K117,0))</f>
        <v>UCTLCLEIN-E</v>
      </c>
      <c r="D117" s="440" t="str">
        <f>ITEMS_XFEmiss!$C$5</f>
        <v>CO2SF</v>
      </c>
      <c r="E117" s="440" t="str">
        <f t="shared" si="32"/>
        <v>-</v>
      </c>
      <c r="F117" s="440" t="str">
        <f t="shared" si="33"/>
        <v>-</v>
      </c>
      <c r="G117" s="440" t="str">
        <f t="shared" si="34"/>
        <v>-</v>
      </c>
      <c r="H117" s="440" t="str">
        <f t="shared" si="35"/>
        <v>-</v>
      </c>
      <c r="I117" s="163">
        <v>1</v>
      </c>
      <c r="K117" s="42">
        <f t="shared" si="36"/>
        <v>4</v>
      </c>
      <c r="L117" s="42">
        <f t="shared" ref="L117" si="39">L116</f>
        <v>6</v>
      </c>
      <c r="N117" s="42">
        <f ca="1">SUMIF(UPS!B$38:B$123,C117,UPS!BD$38:BD$123)</f>
        <v>53</v>
      </c>
    </row>
    <row r="118" spans="1:15">
      <c r="B118" s="440" t="str">
        <f t="shared" si="31"/>
        <v>TOP-OUT</v>
      </c>
      <c r="C118" s="440" t="str">
        <f ca="1">IF($A118="*","",OFFSET(ITEMS_UPS!$C$8,K118,0))</f>
        <v>UCTLCLEIN-E</v>
      </c>
      <c r="D118" s="440" t="str">
        <f>ITEMS_XFEmiss!$C$3</f>
        <v>CH4SF</v>
      </c>
      <c r="E118" s="440" t="str">
        <f t="shared" si="32"/>
        <v>-</v>
      </c>
      <c r="F118" s="440" t="str">
        <f t="shared" si="33"/>
        <v>-</v>
      </c>
      <c r="G118" s="440" t="str">
        <f t="shared" si="34"/>
        <v>-</v>
      </c>
      <c r="H118" s="440" t="str">
        <f t="shared" si="35"/>
        <v>-</v>
      </c>
      <c r="I118" s="163">
        <v>1</v>
      </c>
      <c r="K118" s="42">
        <f t="shared" si="36"/>
        <v>4</v>
      </c>
      <c r="L118" s="42">
        <f t="shared" ref="L118" si="40">L117</f>
        <v>6</v>
      </c>
      <c r="N118" s="42">
        <f ca="1">SUMIF(UPS!B$38:B$123,C118,UPS!BD$38:BD$123)</f>
        <v>53</v>
      </c>
    </row>
    <row r="119" spans="1:15">
      <c r="A119" s="42" t="s">
        <v>310</v>
      </c>
      <c r="B119" s="438" t="s">
        <v>601</v>
      </c>
      <c r="C119" s="440"/>
      <c r="D119" s="440"/>
      <c r="E119" s="440"/>
      <c r="F119" s="440"/>
      <c r="G119" s="440"/>
      <c r="H119" s="440"/>
      <c r="I119" s="163"/>
    </row>
    <row r="120" spans="1:15">
      <c r="B120" s="440" t="str">
        <f t="shared" ref="B120:B146" si="41">IF(A120="*","",VLOOKUP("*"&amp;L120,$A$9:$B$18,2,FALSE))</f>
        <v>COM_GMAP</v>
      </c>
      <c r="C120" s="440" t="str">
        <f ca="1">IF($A120="*","",OFFSET(ITEMS_UPS!$C$8,K120,0))</f>
        <v>UCTLCLEIN-N</v>
      </c>
      <c r="D120" s="440" t="str">
        <f ca="1">IF($A120="*","",IF(VLOOKUP("*"&amp;$L120,$A$10:$H$18,D$9+1,FALSE)="-","-",OFFSET(UPS!$C$37,N120+O120,SUMIF($A$10:$A$18,"*"&amp;L120,$M$10:$M$18))))</f>
        <v>UPSCLE</v>
      </c>
      <c r="E120" s="440" t="str">
        <f t="shared" ref="E120:E146" ca="1" si="42">IF($A120="*","",IF(VLOOKUP("*"&amp;$L120,$A$10:$H$18,E$9+1,FALSE)="-","-",C120&amp;"-"&amp;RIGHT(VLOOKUP("*"&amp;$L120,$A$10:$H$18,E$9+1,FALSE),1)))</f>
        <v>UCTLCLEIN-N-I</v>
      </c>
      <c r="F120" s="440" t="str">
        <f t="shared" ref="F120:F146" si="43">IF($A120="*","",IF(VLOOKUP("*"&amp;$L120,$A$10:$H$18,F$9+1,FALSE)="-","-",C120&amp;"-"&amp;RIGHT(VLOOKUP("*"&amp;$L120,$A$10:$H$18,F$9+1,FALSE),1)))</f>
        <v>-</v>
      </c>
      <c r="G120" s="440" t="str">
        <f t="shared" ref="G120:H146" si="44">IF($A120="*","",VLOOKUP($B120,$B$10:$H$18,G$9,FALSE))</f>
        <v>-</v>
      </c>
      <c r="H120" s="440" t="str">
        <f t="shared" ref="H120:H145" si="45">IF($A120="*","",VLOOKUP("*"&amp;$L120,$A$10:$H$18,H$9+1,FALSE))</f>
        <v>-</v>
      </c>
      <c r="I120" s="163">
        <v>1</v>
      </c>
      <c r="K120" s="42">
        <v>6</v>
      </c>
      <c r="L120" s="42">
        <v>1</v>
      </c>
      <c r="N120" s="42">
        <f ca="1">SUMIF(UPS!B$38:B$123,C120,UPS!BD$38:BD$123)</f>
        <v>65</v>
      </c>
      <c r="O120" s="42">
        <v>0</v>
      </c>
    </row>
    <row r="121" spans="1:15">
      <c r="B121" s="440" t="str">
        <f t="shared" si="41"/>
        <v>COM_GMAP</v>
      </c>
      <c r="C121" s="440" t="str">
        <f ca="1">IF($A121="*","",OFFSET(ITEMS_UPS!$C$8,K121,0))</f>
        <v>UCTLCLEIN-N</v>
      </c>
      <c r="D121" s="440" t="str">
        <f ca="1">IF($A121="*","",IF(VLOOKUP("*"&amp;$L121,$A$10:$H$18,D$9+1,FALSE)="-","-",OFFSET(UPS!$C$37,N121+O121,SUMIF($A$10:$A$18,"*"&amp;L121,$M$10:$M$18))))</f>
        <v>UPSGAS</v>
      </c>
      <c r="E121" s="440" t="str">
        <f t="shared" ca="1" si="42"/>
        <v>UCTLCLEIN-N-I</v>
      </c>
      <c r="F121" s="440" t="str">
        <f t="shared" si="43"/>
        <v>-</v>
      </c>
      <c r="G121" s="440" t="str">
        <f t="shared" si="44"/>
        <v>-</v>
      </c>
      <c r="H121" s="440" t="str">
        <f t="shared" si="45"/>
        <v>-</v>
      </c>
      <c r="I121" s="163">
        <v>1</v>
      </c>
      <c r="K121" s="42">
        <f t="shared" ref="K121:L123" si="46">K120</f>
        <v>6</v>
      </c>
      <c r="L121" s="42">
        <f t="shared" si="46"/>
        <v>1</v>
      </c>
      <c r="N121" s="42">
        <f ca="1">SUMIF(UPS!B$38:B$123,C121,UPS!BD$38:BD$123)</f>
        <v>65</v>
      </c>
      <c r="O121" s="42">
        <f>O120+1</f>
        <v>1</v>
      </c>
    </row>
    <row r="122" spans="1:15">
      <c r="B122" s="440" t="str">
        <f t="shared" si="41"/>
        <v>COM_GMAP</v>
      </c>
      <c r="C122" s="440" t="str">
        <f ca="1">IF($A122="*","",OFFSET(ITEMS_UPS!$C$8,K122,0))</f>
        <v>UCTLCLEIN-N</v>
      </c>
      <c r="D122" s="440" t="str">
        <f ca="1">IF($A122="*","",IF(VLOOKUP("*"&amp;$L122,$A$10:$H$18,D$9+1,FALSE)="-","-",OFFSET(UPS!$C$37,N122+O122,SUMIF($A$10:$A$18,"*"&amp;L122,$M$10:$M$18))))</f>
        <v>UPSELC</v>
      </c>
      <c r="E122" s="440" t="str">
        <f t="shared" ca="1" si="42"/>
        <v>UCTLCLEIN-N-I</v>
      </c>
      <c r="F122" s="440" t="str">
        <f t="shared" si="43"/>
        <v>-</v>
      </c>
      <c r="G122" s="440" t="str">
        <f t="shared" si="44"/>
        <v>-</v>
      </c>
      <c r="H122" s="440" t="str">
        <f t="shared" si="45"/>
        <v>-</v>
      </c>
      <c r="I122" s="163">
        <v>1</v>
      </c>
      <c r="K122" s="42">
        <f t="shared" si="46"/>
        <v>6</v>
      </c>
      <c r="L122" s="42">
        <f t="shared" si="46"/>
        <v>1</v>
      </c>
      <c r="N122" s="42">
        <f ca="1">SUMIF(UPS!B$38:B$123,C122,UPS!BD$38:BD$123)</f>
        <v>65</v>
      </c>
      <c r="O122" s="42">
        <f t="shared" ref="O122:O130" si="47">O121+1</f>
        <v>2</v>
      </c>
    </row>
    <row r="123" spans="1:15">
      <c r="B123" s="440" t="str">
        <f t="shared" si="41"/>
        <v>COM_GMAP</v>
      </c>
      <c r="C123" s="440" t="str">
        <f ca="1">IF($A123="*","",OFFSET(ITEMS_UPS!$C$8,K123,0))</f>
        <v>UCTLCLEIN-N</v>
      </c>
      <c r="D123" s="440" t="str">
        <f ca="1">IF($A123="*","",IF(VLOOKUP("*"&amp;$L123,$A$10:$H$18,D$9+1,FALSE)="-","-",OFFSET(UPS!$C$37,N123+O123,SUMIF($A$10:$A$18,"*"&amp;L123,$M$10:$M$18))))</f>
        <v>UPSHEN</v>
      </c>
      <c r="E123" s="440" t="str">
        <f t="shared" ca="1" si="42"/>
        <v>UCTLCLEIN-N-I</v>
      </c>
      <c r="F123" s="440" t="str">
        <f t="shared" si="43"/>
        <v>-</v>
      </c>
      <c r="G123" s="440" t="str">
        <f t="shared" si="44"/>
        <v>-</v>
      </c>
      <c r="H123" s="440" t="str">
        <f t="shared" si="45"/>
        <v>-</v>
      </c>
      <c r="I123" s="163">
        <v>1</v>
      </c>
      <c r="K123" s="42">
        <f t="shared" si="46"/>
        <v>6</v>
      </c>
      <c r="L123" s="42">
        <f t="shared" si="46"/>
        <v>1</v>
      </c>
      <c r="N123" s="42">
        <f ca="1">SUMIF(UPS!B$38:B$123,C123,UPS!BD$38:BD$123)</f>
        <v>65</v>
      </c>
      <c r="O123" s="42">
        <f t="shared" si="47"/>
        <v>3</v>
      </c>
    </row>
    <row r="124" spans="1:15">
      <c r="B124" s="440" t="str">
        <f t="shared" si="41"/>
        <v>COM_GMAP</v>
      </c>
      <c r="C124" s="440" t="str">
        <f ca="1">IF($A124="*","",OFFSET(ITEMS_UPS!$C$8,K124,0))</f>
        <v>UCTLCLEIN-N</v>
      </c>
      <c r="D124" s="440" t="str">
        <f ca="1">IF($A124="*","",IF(VLOOKUP("*"&amp;$L124,$A$10:$H$18,D$9+1,FALSE)="-","-",OFFSET(UPS!$C$37,N124+O124,SUMIF($A$10:$A$18,"*"&amp;L124,$M$10:$M$18))))</f>
        <v>OAG</v>
      </c>
      <c r="E124" s="440" t="str">
        <f t="shared" ca="1" si="42"/>
        <v>UCTLCLEIN-N-O</v>
      </c>
      <c r="F124" s="440" t="str">
        <f t="shared" si="43"/>
        <v>-</v>
      </c>
      <c r="G124" s="440" t="str">
        <f t="shared" si="44"/>
        <v>-</v>
      </c>
      <c r="H124" s="440" t="str">
        <f t="shared" si="45"/>
        <v>-</v>
      </c>
      <c r="I124" s="163">
        <v>1</v>
      </c>
      <c r="K124" s="42">
        <f>K122</f>
        <v>6</v>
      </c>
      <c r="L124" s="42">
        <v>2</v>
      </c>
      <c r="N124" s="42">
        <f ca="1">SUMIF(UPS!B$38:B$123,C124,UPS!BD$38:BD$123)</f>
        <v>65</v>
      </c>
      <c r="O124" s="42">
        <f t="shared" si="47"/>
        <v>4</v>
      </c>
    </row>
    <row r="125" spans="1:15">
      <c r="B125" s="440" t="str">
        <f t="shared" si="41"/>
        <v>COM_GMAP</v>
      </c>
      <c r="C125" s="440" t="str">
        <f ca="1">IF($A125="*","",OFFSET(ITEMS_UPS!$C$8,K125,0))</f>
        <v>UCTLCLEIN-N</v>
      </c>
      <c r="D125" s="440" t="str">
        <f ca="1">IF($A125="*","",IF(VLOOKUP("*"&amp;$L125,$A$10:$H$18,D$9+1,FALSE)="-","-",OFFSET(UPS!$C$37,N125+O125,SUMIF($A$10:$A$18,"*"&amp;L125,$M$10:$M$18))))</f>
        <v>ODS</v>
      </c>
      <c r="E125" s="440" t="str">
        <f t="shared" ca="1" si="42"/>
        <v>UCTLCLEIN-N-O</v>
      </c>
      <c r="F125" s="440" t="str">
        <f t="shared" si="43"/>
        <v>-</v>
      </c>
      <c r="G125" s="440" t="str">
        <f t="shared" si="44"/>
        <v>-</v>
      </c>
      <c r="H125" s="440" t="str">
        <f t="shared" si="45"/>
        <v>-</v>
      </c>
      <c r="I125" s="163">
        <v>1</v>
      </c>
      <c r="K125" s="42">
        <f t="shared" ref="K125:L130" si="48">K124</f>
        <v>6</v>
      </c>
      <c r="L125" s="42">
        <f t="shared" si="48"/>
        <v>2</v>
      </c>
      <c r="N125" s="42">
        <f ca="1">SUMIF(UPS!B$38:B$123,C125,UPS!BD$38:BD$123)</f>
        <v>65</v>
      </c>
      <c r="O125" s="42">
        <f t="shared" si="47"/>
        <v>5</v>
      </c>
    </row>
    <row r="126" spans="1:15">
      <c r="B126" s="440" t="str">
        <f t="shared" si="41"/>
        <v>COM_GMAP</v>
      </c>
      <c r="C126" s="440" t="str">
        <f ca="1">IF($A126="*","",OFFSET(ITEMS_UPS!$C$8,K126,0))</f>
        <v>UCTLCLEIN-N</v>
      </c>
      <c r="D126" s="440" t="str">
        <f ca="1">IF($A126="*","",IF(VLOOKUP("*"&amp;$L126,$A$10:$H$18,D$9+1,FALSE)="-","-",OFFSET(UPS!$C$37,N126+O126,SUMIF($A$10:$A$18,"*"&amp;L126,$M$10:$M$18))))</f>
        <v>OGS</v>
      </c>
      <c r="E126" s="440" t="str">
        <f t="shared" ca="1" si="42"/>
        <v>UCTLCLEIN-N-O</v>
      </c>
      <c r="F126" s="440" t="str">
        <f t="shared" si="43"/>
        <v>-</v>
      </c>
      <c r="G126" s="440" t="str">
        <f t="shared" si="44"/>
        <v>-</v>
      </c>
      <c r="H126" s="440" t="str">
        <f t="shared" si="45"/>
        <v>-</v>
      </c>
      <c r="I126" s="163">
        <v>1</v>
      </c>
      <c r="K126" s="42">
        <f t="shared" si="48"/>
        <v>6</v>
      </c>
      <c r="L126" s="42">
        <f t="shared" si="48"/>
        <v>2</v>
      </c>
      <c r="N126" s="42">
        <f ca="1">SUMIF(UPS!B$38:B$123,C126,UPS!BD$38:BD$123)</f>
        <v>65</v>
      </c>
      <c r="O126" s="42">
        <f t="shared" si="47"/>
        <v>6</v>
      </c>
    </row>
    <row r="127" spans="1:15">
      <c r="B127" s="440" t="str">
        <f t="shared" si="41"/>
        <v>COM_GMAP</v>
      </c>
      <c r="C127" s="440" t="str">
        <f ca="1">IF($A127="*","",OFFSET(ITEMS_UPS!$C$8,K127,0))</f>
        <v>UCTLCLEIN-N</v>
      </c>
      <c r="D127" s="440" t="str">
        <f ca="1">IF($A127="*","",IF(VLOOKUP("*"&amp;$L127,$A$10:$H$18,D$9+1,FALSE)="-","-",OFFSET(UPS!$C$37,N127+O127,SUMIF($A$10:$A$18,"*"&amp;L127,$M$10:$M$18))))</f>
        <v>GIM</v>
      </c>
      <c r="E127" s="440" t="str">
        <f t="shared" ca="1" si="42"/>
        <v>UCTLCLEIN-N-O</v>
      </c>
      <c r="F127" s="440" t="str">
        <f t="shared" si="43"/>
        <v>-</v>
      </c>
      <c r="G127" s="440" t="str">
        <f t="shared" si="44"/>
        <v>-</v>
      </c>
      <c r="H127" s="440" t="str">
        <f t="shared" si="45"/>
        <v>-</v>
      </c>
      <c r="I127" s="163">
        <v>1</v>
      </c>
      <c r="K127" s="42">
        <f t="shared" si="48"/>
        <v>6</v>
      </c>
      <c r="L127" s="42">
        <f t="shared" si="48"/>
        <v>2</v>
      </c>
      <c r="N127" s="42">
        <f ca="1">SUMIF(UPS!B$38:B$123,C127,UPS!BD$38:BD$123)</f>
        <v>65</v>
      </c>
      <c r="O127" s="42">
        <f t="shared" si="47"/>
        <v>7</v>
      </c>
    </row>
    <row r="128" spans="1:15">
      <c r="B128" s="440" t="str">
        <f t="shared" si="41"/>
        <v>COM_GMAP</v>
      </c>
      <c r="C128" s="440" t="str">
        <f ca="1">IF($A128="*","",OFFSET(ITEMS_UPS!$C$8,K128,0))</f>
        <v>UCTLCLEIN-N</v>
      </c>
      <c r="D128" s="440" t="str">
        <f ca="1">IF($A128="*","",IF(VLOOKUP("*"&amp;$L128,$A$10:$H$18,D$9+1,FALSE)="-","-",OFFSET(UPS!$C$37,N128+O128,SUMIF($A$10:$A$18,"*"&amp;L128,$M$10:$M$18))))</f>
        <v>OKE</v>
      </c>
      <c r="E128" s="440" t="str">
        <f t="shared" ca="1" si="42"/>
        <v>UCTLCLEIN-N-O</v>
      </c>
      <c r="F128" s="440" t="str">
        <f t="shared" si="43"/>
        <v>-</v>
      </c>
      <c r="G128" s="440" t="str">
        <f t="shared" si="44"/>
        <v>-</v>
      </c>
      <c r="H128" s="440" t="str">
        <f t="shared" si="45"/>
        <v>-</v>
      </c>
      <c r="I128" s="163">
        <v>1</v>
      </c>
      <c r="K128" s="42">
        <f t="shared" si="48"/>
        <v>6</v>
      </c>
      <c r="L128" s="42">
        <f t="shared" si="48"/>
        <v>2</v>
      </c>
      <c r="N128" s="42">
        <f ca="1">SUMIF(UPS!B$38:B$123,C128,UPS!BD$38:BD$123)</f>
        <v>65</v>
      </c>
      <c r="O128" s="42">
        <f t="shared" si="47"/>
        <v>8</v>
      </c>
    </row>
    <row r="129" spans="2:15">
      <c r="B129" s="440" t="str">
        <f t="shared" si="41"/>
        <v>COM_GMAP</v>
      </c>
      <c r="C129" s="440" t="str">
        <f ca="1">IF($A129="*","",OFFSET(ITEMS_UPS!$C$8,K129,0))</f>
        <v>UCTLCLEIN-N</v>
      </c>
      <c r="D129" s="440" t="str">
        <f ca="1">IF($A129="*","",IF(VLOOKUP("*"&amp;$L129,$A$10:$H$18,D$9+1,FALSE)="-","-",OFFSET(UPS!$C$37,N129+O129,SUMIF($A$10:$A$18,"*"&amp;L129,$M$10:$M$18))))</f>
        <v>OLP</v>
      </c>
      <c r="E129" s="440" t="str">
        <f t="shared" ca="1" si="42"/>
        <v>UCTLCLEIN-N-O</v>
      </c>
      <c r="F129" s="440" t="str">
        <f t="shared" si="43"/>
        <v>-</v>
      </c>
      <c r="G129" s="440" t="str">
        <f t="shared" si="44"/>
        <v>-</v>
      </c>
      <c r="H129" s="440" t="str">
        <f t="shared" si="45"/>
        <v>-</v>
      </c>
      <c r="I129" s="163">
        <v>1</v>
      </c>
      <c r="K129" s="42">
        <f t="shared" si="48"/>
        <v>6</v>
      </c>
      <c r="L129" s="42">
        <f t="shared" si="48"/>
        <v>2</v>
      </c>
      <c r="N129" s="42">
        <f ca="1">SUMIF(UPS!B$38:B$123,C129,UPS!BD$38:BD$123)</f>
        <v>65</v>
      </c>
      <c r="O129" s="42">
        <f t="shared" si="47"/>
        <v>9</v>
      </c>
    </row>
    <row r="130" spans="2:15">
      <c r="B130" s="440" t="str">
        <f t="shared" si="41"/>
        <v>COM_GMAP</v>
      </c>
      <c r="C130" s="440" t="str">
        <f ca="1">IF($A130="*","",OFFSET(ITEMS_UPS!$C$8,K130,0))</f>
        <v>UCTLCLEIN-N</v>
      </c>
      <c r="D130" s="440" t="str">
        <f ca="1">IF($A130="*","",IF(VLOOKUP("*"&amp;$L130,$A$10:$H$18,D$9+1,FALSE)="-","-",OFFSET(UPS!$C$37,N130+O130,SUMIF($A$10:$A$18,"*"&amp;L130,$M$10:$M$18))))</f>
        <v>OTH</v>
      </c>
      <c r="E130" s="440" t="str">
        <f t="shared" ca="1" si="42"/>
        <v>UCTLCLEIN-N-O</v>
      </c>
      <c r="F130" s="440" t="str">
        <f t="shared" si="43"/>
        <v>-</v>
      </c>
      <c r="G130" s="440" t="str">
        <f t="shared" si="44"/>
        <v>-</v>
      </c>
      <c r="H130" s="440" t="str">
        <f t="shared" si="45"/>
        <v>-</v>
      </c>
      <c r="I130" s="163">
        <v>1</v>
      </c>
      <c r="K130" s="42">
        <f t="shared" si="48"/>
        <v>6</v>
      </c>
      <c r="L130" s="42">
        <f t="shared" si="48"/>
        <v>2</v>
      </c>
      <c r="N130" s="42">
        <f ca="1">SUMIF(UPS!B$38:B$123,C130,UPS!BD$38:BD$123)</f>
        <v>65</v>
      </c>
      <c r="O130" s="42">
        <f t="shared" si="47"/>
        <v>10</v>
      </c>
    </row>
    <row r="131" spans="2:15">
      <c r="B131" s="440" t="str">
        <f t="shared" si="41"/>
        <v>PRC_ACTUNT</v>
      </c>
      <c r="C131" s="440" t="str">
        <f ca="1">IF($A131="*","",OFFSET(ITEMS_UPS!$C$8,K131,0))</f>
        <v>UCTLCLEIN-N</v>
      </c>
      <c r="D131" s="440" t="str">
        <f ca="1">IF($A131="*","",IF(VLOOKUP("*"&amp;$L131,$A$10:$H$18,D$9+1,FALSE)="-","-",OFFSET(UPS!$C$37,N131+O131,SUMIF($A$10:$A$18,"*"&amp;L131,$M$10:$M$18))))</f>
        <v>-</v>
      </c>
      <c r="E131" s="440" t="str">
        <f t="shared" ca="1" si="42"/>
        <v>UCTLCLEIN-N-O</v>
      </c>
      <c r="F131" s="440" t="str">
        <f t="shared" si="43"/>
        <v>-</v>
      </c>
      <c r="G131" s="440" t="str">
        <f t="shared" si="44"/>
        <v>-</v>
      </c>
      <c r="H131" s="440" t="str">
        <f t="shared" si="45"/>
        <v>-</v>
      </c>
      <c r="I131" s="163">
        <v>1</v>
      </c>
      <c r="K131" s="42">
        <f t="shared" ref="K131:K136" si="49">K130</f>
        <v>6</v>
      </c>
      <c r="L131" s="42">
        <f>IF(K131=K128,L128+1,1)</f>
        <v>3</v>
      </c>
      <c r="N131" s="42">
        <f ca="1">SUMIF(UPS!B$38:B$123,C131,UPS!BD$38:BD$123)</f>
        <v>65</v>
      </c>
    </row>
    <row r="132" spans="2:15">
      <c r="B132" s="440" t="str">
        <f t="shared" si="41"/>
        <v>PRC_CAPACT</v>
      </c>
      <c r="C132" s="440" t="str">
        <f ca="1">IF($A132="*","",OFFSET(ITEMS_UPS!$C$8,K132,0))</f>
        <v>UCTLCLEIN-N</v>
      </c>
      <c r="D132" s="440" t="str">
        <f ca="1">IF($A132="*","",IF(VLOOKUP("*"&amp;$L132,$A$10:$H$18,D$9+1,FALSE)="-","-",OFFSET(UPS!$C$37,N132+O132,SUMIF($A$10:$A$18,"*"&amp;L132,$M$10:$M$18))))</f>
        <v>-</v>
      </c>
      <c r="E132" s="440" t="str">
        <f t="shared" si="42"/>
        <v>-</v>
      </c>
      <c r="F132" s="440" t="str">
        <f t="shared" si="43"/>
        <v>-</v>
      </c>
      <c r="G132" s="440" t="str">
        <f t="shared" si="44"/>
        <v>-</v>
      </c>
      <c r="H132" s="440" t="str">
        <f t="shared" si="45"/>
        <v>-</v>
      </c>
      <c r="I132" s="163">
        <v>1</v>
      </c>
      <c r="K132" s="42">
        <f t="shared" si="49"/>
        <v>6</v>
      </c>
      <c r="L132" s="42">
        <f>IF(K132=K131,L131+1,1)</f>
        <v>4</v>
      </c>
      <c r="N132" s="42">
        <f ca="1">SUMIF(UPS!B$38:B$123,C132,UPS!BD$38:BD$123)</f>
        <v>65</v>
      </c>
    </row>
    <row r="133" spans="2:15">
      <c r="B133" s="440" t="str">
        <f t="shared" si="41"/>
        <v>TOP-IN</v>
      </c>
      <c r="C133" s="440" t="str">
        <f ca="1">IF($A133="*","",OFFSET(ITEMS_UPS!$C$8,K133,0))</f>
        <v>UCTLCLEIN-N</v>
      </c>
      <c r="D133" s="440" t="str">
        <f ca="1">IF($A133="*","",IF(VLOOKUP("*"&amp;$L133,$A$10:$H$18,D$9+1,FALSE)="-","-",OFFSET(UPS!$C$37,N133+O133,SUMIF($A$10:$A$18,"*"&amp;L133,$M$10:$M$18))))</f>
        <v>UPSCLE</v>
      </c>
      <c r="E133" s="440" t="str">
        <f t="shared" si="42"/>
        <v>-</v>
      </c>
      <c r="F133" s="440" t="str">
        <f t="shared" si="43"/>
        <v>-</v>
      </c>
      <c r="G133" s="440" t="str">
        <f t="shared" si="44"/>
        <v>-</v>
      </c>
      <c r="H133" s="440" t="str">
        <f t="shared" si="45"/>
        <v>-</v>
      </c>
      <c r="I133" s="163">
        <v>1</v>
      </c>
      <c r="K133" s="42">
        <f t="shared" si="49"/>
        <v>6</v>
      </c>
      <c r="L133" s="42">
        <f>IF(K133=K132,L132+1,1)</f>
        <v>5</v>
      </c>
      <c r="N133" s="42">
        <f ca="1">SUMIF(UPS!B$38:B$123,C133,UPS!BD$38:BD$123)</f>
        <v>65</v>
      </c>
      <c r="O133" s="42">
        <v>0</v>
      </c>
    </row>
    <row r="134" spans="2:15">
      <c r="B134" s="440" t="str">
        <f t="shared" si="41"/>
        <v>TOP-IN</v>
      </c>
      <c r="C134" s="440" t="str">
        <f ca="1">IF($A134="*","",OFFSET(ITEMS_UPS!$C$8,K134,0))</f>
        <v>UCTLCLEIN-N</v>
      </c>
      <c r="D134" s="440" t="str">
        <f ca="1">IF($A134="*","",IF(VLOOKUP("*"&amp;$L134,$A$10:$H$18,D$9+1,FALSE)="-","-",OFFSET(UPS!$C$37,N134+O134,SUMIF($A$10:$A$18,"*"&amp;L134,$M$10:$M$18))))</f>
        <v>UPSGAS</v>
      </c>
      <c r="E134" s="440" t="str">
        <f t="shared" si="42"/>
        <v>-</v>
      </c>
      <c r="F134" s="440" t="str">
        <f t="shared" si="43"/>
        <v>-</v>
      </c>
      <c r="G134" s="440" t="str">
        <f t="shared" si="44"/>
        <v>-</v>
      </c>
      <c r="H134" s="440" t="str">
        <f t="shared" si="45"/>
        <v>-</v>
      </c>
      <c r="I134" s="163">
        <v>1</v>
      </c>
      <c r="K134" s="42">
        <f t="shared" si="49"/>
        <v>6</v>
      </c>
      <c r="L134" s="42">
        <f>L133</f>
        <v>5</v>
      </c>
      <c r="N134" s="42">
        <f ca="1">SUMIF(UPS!B$38:B$123,C134,UPS!BD$38:BD$123)</f>
        <v>65</v>
      </c>
      <c r="O134" s="42">
        <f>O133+1</f>
        <v>1</v>
      </c>
    </row>
    <row r="135" spans="2:15">
      <c r="B135" s="440" t="str">
        <f t="shared" si="41"/>
        <v>TOP-IN</v>
      </c>
      <c r="C135" s="440" t="str">
        <f ca="1">IF($A135="*","",OFFSET(ITEMS_UPS!$C$8,K135,0))</f>
        <v>UCTLCLEIN-N</v>
      </c>
      <c r="D135" s="440" t="str">
        <f ca="1">IF($A135="*","",IF(VLOOKUP("*"&amp;$L135,$A$10:$H$18,D$9+1,FALSE)="-","-",OFFSET(UPS!$C$37,N135+O135,SUMIF($A$10:$A$18,"*"&amp;L135,$M$10:$M$18))))</f>
        <v>UPSELC</v>
      </c>
      <c r="E135" s="440" t="str">
        <f t="shared" si="42"/>
        <v>-</v>
      </c>
      <c r="F135" s="440" t="str">
        <f t="shared" si="43"/>
        <v>-</v>
      </c>
      <c r="G135" s="440" t="str">
        <f t="shared" si="44"/>
        <v>-</v>
      </c>
      <c r="H135" s="440" t="str">
        <f t="shared" si="45"/>
        <v>-</v>
      </c>
      <c r="I135" s="163">
        <v>1</v>
      </c>
      <c r="K135" s="42">
        <f t="shared" si="49"/>
        <v>6</v>
      </c>
      <c r="L135" s="42">
        <f>L134</f>
        <v>5</v>
      </c>
      <c r="N135" s="42">
        <f ca="1">SUMIF(UPS!B$38:B$123,C135,UPS!BD$38:BD$123)</f>
        <v>65</v>
      </c>
      <c r="O135" s="42">
        <f>O134+1</f>
        <v>2</v>
      </c>
    </row>
    <row r="136" spans="2:15">
      <c r="B136" s="440" t="str">
        <f t="shared" si="41"/>
        <v>TOP-IN</v>
      </c>
      <c r="C136" s="440" t="str">
        <f ca="1">IF($A136="*","",OFFSET(ITEMS_UPS!$C$8,K136,0))</f>
        <v>UCTLCLEIN-N</v>
      </c>
      <c r="D136" s="440" t="str">
        <f ca="1">IF($A136="*","",IF(VLOOKUP("*"&amp;$L136,$A$10:$H$18,D$9+1,FALSE)="-","-",OFFSET(UPS!$C$37,N136+O136,SUMIF($A$10:$A$18,"*"&amp;L136,$M$10:$M$18))))</f>
        <v>UPSHEN</v>
      </c>
      <c r="E136" s="440" t="str">
        <f t="shared" si="42"/>
        <v>-</v>
      </c>
      <c r="F136" s="440" t="str">
        <f t="shared" si="43"/>
        <v>-</v>
      </c>
      <c r="G136" s="440" t="str">
        <f t="shared" si="44"/>
        <v>-</v>
      </c>
      <c r="H136" s="440" t="str">
        <f t="shared" si="45"/>
        <v>-</v>
      </c>
      <c r="I136" s="163">
        <v>1</v>
      </c>
      <c r="K136" s="42">
        <f t="shared" si="49"/>
        <v>6</v>
      </c>
      <c r="L136" s="42">
        <f>L135</f>
        <v>5</v>
      </c>
      <c r="N136" s="42">
        <f ca="1">SUMIF(UPS!B$38:B$123,C136,UPS!BD$38:BD$123)</f>
        <v>65</v>
      </c>
      <c r="O136" s="42">
        <f>O135+1</f>
        <v>3</v>
      </c>
    </row>
    <row r="137" spans="2:15">
      <c r="B137" s="440" t="str">
        <f t="shared" si="41"/>
        <v>TOP-OUT</v>
      </c>
      <c r="C137" s="440" t="str">
        <f ca="1">IF($A137="*","",OFFSET(ITEMS_UPS!$C$8,K137,0))</f>
        <v>UCTLCLEIN-N</v>
      </c>
      <c r="D137" s="440" t="str">
        <f ca="1">IF($A137="*","",IF(VLOOKUP("*"&amp;$L137,$A$10:$H$18,D$9+1,FALSE)="-","-",OFFSET(UPS!$C$37,N137+O137,SUMIF($A$10:$A$18,"*"&amp;L137,$M$10:$M$18))))</f>
        <v>OAG</v>
      </c>
      <c r="E137" s="440" t="str">
        <f t="shared" si="42"/>
        <v>-</v>
      </c>
      <c r="F137" s="440" t="str">
        <f t="shared" si="43"/>
        <v>-</v>
      </c>
      <c r="G137" s="440" t="str">
        <f t="shared" si="44"/>
        <v>-</v>
      </c>
      <c r="H137" s="440" t="str">
        <f t="shared" si="45"/>
        <v>-</v>
      </c>
      <c r="I137" s="163">
        <v>1</v>
      </c>
      <c r="K137" s="42">
        <f>K135</f>
        <v>6</v>
      </c>
      <c r="L137" s="42">
        <v>6</v>
      </c>
      <c r="N137" s="42">
        <f ca="1">SUMIF(UPS!B$38:B$123,C137,UPS!BD$38:BD$123)</f>
        <v>65</v>
      </c>
      <c r="O137" s="42">
        <f t="shared" ref="O137:O143" si="50">O136+1</f>
        <v>4</v>
      </c>
    </row>
    <row r="138" spans="2:15">
      <c r="B138" s="440" t="str">
        <f t="shared" si="41"/>
        <v>TOP-OUT</v>
      </c>
      <c r="C138" s="440" t="str">
        <f ca="1">IF($A138="*","",OFFSET(ITEMS_UPS!$C$8,K138,0))</f>
        <v>UCTLCLEIN-N</v>
      </c>
      <c r="D138" s="440" t="str">
        <f ca="1">IF($A138="*","",IF(VLOOKUP("*"&amp;$L138,$A$10:$H$18,D$9+1,FALSE)="-","-",OFFSET(UPS!$C$37,N138+O138,SUMIF($A$10:$A$18,"*"&amp;L138,$M$10:$M$18))))</f>
        <v>ODS</v>
      </c>
      <c r="E138" s="440" t="str">
        <f t="shared" si="42"/>
        <v>-</v>
      </c>
      <c r="F138" s="440" t="str">
        <f t="shared" si="43"/>
        <v>-</v>
      </c>
      <c r="G138" s="440" t="str">
        <f t="shared" si="44"/>
        <v>-</v>
      </c>
      <c r="H138" s="440" t="str">
        <f t="shared" si="45"/>
        <v>-</v>
      </c>
      <c r="I138" s="163">
        <v>1</v>
      </c>
      <c r="K138" s="42">
        <f t="shared" ref="K138:L145" si="51">K137</f>
        <v>6</v>
      </c>
      <c r="L138" s="42">
        <f>L137</f>
        <v>6</v>
      </c>
      <c r="N138" s="42">
        <f ca="1">SUMIF(UPS!B$38:B$123,C138,UPS!BD$38:BD$123)</f>
        <v>65</v>
      </c>
      <c r="O138" s="42">
        <f t="shared" si="50"/>
        <v>5</v>
      </c>
    </row>
    <row r="139" spans="2:15">
      <c r="B139" s="440" t="str">
        <f t="shared" si="41"/>
        <v>TOP-OUT</v>
      </c>
      <c r="C139" s="440" t="str">
        <f ca="1">IF($A139="*","",OFFSET(ITEMS_UPS!$C$8,K139,0))</f>
        <v>UCTLCLEIN-N</v>
      </c>
      <c r="D139" s="440" t="str">
        <f ca="1">IF($A139="*","",IF(VLOOKUP("*"&amp;$L139,$A$10:$H$18,D$9+1,FALSE)="-","-",OFFSET(UPS!$C$37,N139+O139,SUMIF($A$10:$A$18,"*"&amp;L139,$M$10:$M$18))))</f>
        <v>OGS</v>
      </c>
      <c r="E139" s="440" t="str">
        <f t="shared" si="42"/>
        <v>-</v>
      </c>
      <c r="F139" s="440" t="str">
        <f t="shared" si="43"/>
        <v>-</v>
      </c>
      <c r="G139" s="440" t="str">
        <f t="shared" si="44"/>
        <v>-</v>
      </c>
      <c r="H139" s="440" t="str">
        <f t="shared" si="45"/>
        <v>-</v>
      </c>
      <c r="I139" s="163">
        <v>1</v>
      </c>
      <c r="K139" s="42">
        <f t="shared" si="51"/>
        <v>6</v>
      </c>
      <c r="L139" s="42">
        <f>L138</f>
        <v>6</v>
      </c>
      <c r="N139" s="42">
        <f ca="1">SUMIF(UPS!B$38:B$123,C139,UPS!BD$38:BD$123)</f>
        <v>65</v>
      </c>
      <c r="O139" s="42">
        <f t="shared" si="50"/>
        <v>6</v>
      </c>
    </row>
    <row r="140" spans="2:15">
      <c r="B140" s="440" t="str">
        <f t="shared" si="41"/>
        <v>TOP-OUT</v>
      </c>
      <c r="C140" s="440" t="str">
        <f ca="1">IF($A140="*","",OFFSET(ITEMS_UPS!$C$8,K140,0))</f>
        <v>UCTLCLEIN-N</v>
      </c>
      <c r="D140" s="440" t="str">
        <f ca="1">IF($A140="*","",IF(VLOOKUP("*"&amp;$L140,$A$10:$H$18,D$9+1,FALSE)="-","-",OFFSET(UPS!$C$37,N140+O140,SUMIF($A$10:$A$18,"*"&amp;L140,$M$10:$M$18))))</f>
        <v>GIM</v>
      </c>
      <c r="E140" s="440" t="str">
        <f t="shared" si="42"/>
        <v>-</v>
      </c>
      <c r="F140" s="440" t="str">
        <f t="shared" si="43"/>
        <v>-</v>
      </c>
      <c r="G140" s="440" t="str">
        <f t="shared" si="44"/>
        <v>-</v>
      </c>
      <c r="H140" s="440" t="str">
        <f t="shared" si="45"/>
        <v>-</v>
      </c>
      <c r="I140" s="163">
        <v>1</v>
      </c>
      <c r="K140" s="42">
        <f t="shared" si="51"/>
        <v>6</v>
      </c>
      <c r="L140" s="42">
        <f t="shared" si="51"/>
        <v>6</v>
      </c>
      <c r="N140" s="42">
        <f ca="1">SUMIF(UPS!B$38:B$123,C140,UPS!BD$38:BD$123)</f>
        <v>65</v>
      </c>
      <c r="O140" s="42">
        <f t="shared" si="50"/>
        <v>7</v>
      </c>
    </row>
    <row r="141" spans="2:15">
      <c r="B141" s="440" t="str">
        <f t="shared" si="41"/>
        <v>TOP-OUT</v>
      </c>
      <c r="C141" s="440" t="str">
        <f ca="1">IF($A141="*","",OFFSET(ITEMS_UPS!$C$8,K141,0))</f>
        <v>UCTLCLEIN-N</v>
      </c>
      <c r="D141" s="440" t="str">
        <f ca="1">IF($A141="*","",IF(VLOOKUP("*"&amp;$L141,$A$10:$H$18,D$9+1,FALSE)="-","-",OFFSET(UPS!$C$37,N141+O141,SUMIF($A$10:$A$18,"*"&amp;L141,$M$10:$M$18))))</f>
        <v>OKE</v>
      </c>
      <c r="E141" s="440" t="str">
        <f t="shared" si="42"/>
        <v>-</v>
      </c>
      <c r="F141" s="440" t="str">
        <f t="shared" si="43"/>
        <v>-</v>
      </c>
      <c r="G141" s="440" t="str">
        <f t="shared" si="44"/>
        <v>-</v>
      </c>
      <c r="H141" s="440" t="str">
        <f t="shared" si="45"/>
        <v>-</v>
      </c>
      <c r="I141" s="163">
        <v>1</v>
      </c>
      <c r="K141" s="42">
        <f t="shared" si="51"/>
        <v>6</v>
      </c>
      <c r="L141" s="42">
        <f t="shared" si="51"/>
        <v>6</v>
      </c>
      <c r="N141" s="42">
        <f ca="1">SUMIF(UPS!B$38:B$123,C141,UPS!BD$38:BD$123)</f>
        <v>65</v>
      </c>
      <c r="O141" s="42">
        <f t="shared" si="50"/>
        <v>8</v>
      </c>
    </row>
    <row r="142" spans="2:15">
      <c r="B142" s="440" t="str">
        <f t="shared" si="41"/>
        <v>TOP-OUT</v>
      </c>
      <c r="C142" s="440" t="str">
        <f ca="1">IF($A142="*","",OFFSET(ITEMS_UPS!$C$8,K142,0))</f>
        <v>UCTLCLEIN-N</v>
      </c>
      <c r="D142" s="440" t="str">
        <f ca="1">IF($A142="*","",IF(VLOOKUP("*"&amp;$L142,$A$10:$H$18,D$9+1,FALSE)="-","-",OFFSET(UPS!$C$37,N142+O142,SUMIF($A$10:$A$18,"*"&amp;L142,$M$10:$M$18))))</f>
        <v>OLP</v>
      </c>
      <c r="E142" s="440" t="str">
        <f t="shared" si="42"/>
        <v>-</v>
      </c>
      <c r="F142" s="440" t="str">
        <f t="shared" si="43"/>
        <v>-</v>
      </c>
      <c r="G142" s="440" t="str">
        <f t="shared" si="44"/>
        <v>-</v>
      </c>
      <c r="H142" s="440" t="str">
        <f t="shared" si="45"/>
        <v>-</v>
      </c>
      <c r="I142" s="163">
        <v>1</v>
      </c>
      <c r="K142" s="42">
        <f t="shared" si="51"/>
        <v>6</v>
      </c>
      <c r="L142" s="42">
        <f t="shared" si="51"/>
        <v>6</v>
      </c>
      <c r="N142" s="42">
        <f ca="1">SUMIF(UPS!B$38:B$123,C142,UPS!BD$38:BD$123)</f>
        <v>65</v>
      </c>
      <c r="O142" s="42">
        <f t="shared" si="50"/>
        <v>9</v>
      </c>
    </row>
    <row r="143" spans="2:15">
      <c r="B143" s="440" t="str">
        <f t="shared" si="41"/>
        <v>TOP-OUT</v>
      </c>
      <c r="C143" s="440" t="str">
        <f ca="1">IF($A143="*","",OFFSET(ITEMS_UPS!$C$8,K143,0))</f>
        <v>UCTLCLEIN-N</v>
      </c>
      <c r="D143" s="440" t="str">
        <f ca="1">IF($A143="*","",IF(VLOOKUP("*"&amp;$L143,$A$10:$H$18,D$9+1,FALSE)="-","-",OFFSET(UPS!$C$37,N143+O143,SUMIF($A$10:$A$18,"*"&amp;L143,$M$10:$M$18))))</f>
        <v>OTH</v>
      </c>
      <c r="E143" s="440" t="str">
        <f t="shared" si="42"/>
        <v>-</v>
      </c>
      <c r="F143" s="440" t="str">
        <f t="shared" si="43"/>
        <v>-</v>
      </c>
      <c r="G143" s="440" t="str">
        <f t="shared" si="44"/>
        <v>-</v>
      </c>
      <c r="H143" s="440" t="str">
        <f t="shared" si="45"/>
        <v>-</v>
      </c>
      <c r="I143" s="163">
        <v>1</v>
      </c>
      <c r="K143" s="42">
        <f t="shared" si="51"/>
        <v>6</v>
      </c>
      <c r="L143" s="42">
        <f t="shared" si="51"/>
        <v>6</v>
      </c>
      <c r="N143" s="42">
        <f ca="1">SUMIF(UPS!B$38:B$123,C143,UPS!BD$38:BD$123)</f>
        <v>65</v>
      </c>
      <c r="O143" s="42">
        <f t="shared" si="50"/>
        <v>10</v>
      </c>
    </row>
    <row r="144" spans="2:15">
      <c r="B144" s="440" t="str">
        <f t="shared" si="41"/>
        <v>TOP-OUT</v>
      </c>
      <c r="C144" s="440" t="str">
        <f ca="1">IF($A144="*","",OFFSET(ITEMS_UPS!$C$8,K144,0))</f>
        <v>UCTLCLEIN-N</v>
      </c>
      <c r="D144" s="440" t="str">
        <f>ITEMS_XFEmiss!$C$5</f>
        <v>CO2SF</v>
      </c>
      <c r="E144" s="440" t="str">
        <f t="shared" si="42"/>
        <v>-</v>
      </c>
      <c r="F144" s="440" t="str">
        <f t="shared" si="43"/>
        <v>-</v>
      </c>
      <c r="G144" s="440" t="str">
        <f t="shared" si="44"/>
        <v>-</v>
      </c>
      <c r="H144" s="440" t="str">
        <f t="shared" si="45"/>
        <v>-</v>
      </c>
      <c r="I144" s="163">
        <v>1</v>
      </c>
      <c r="K144" s="42">
        <f t="shared" si="51"/>
        <v>6</v>
      </c>
      <c r="L144" s="42">
        <f>L143+1</f>
        <v>7</v>
      </c>
      <c r="N144" s="42">
        <f ca="1">SUMIF(UPS!B$38:B$123,C144,UPS!BD$38:BD$123)</f>
        <v>65</v>
      </c>
    </row>
    <row r="145" spans="1:15">
      <c r="B145" s="440" t="str">
        <f t="shared" si="41"/>
        <v>TOP-OUT</v>
      </c>
      <c r="C145" s="440" t="str">
        <f ca="1">IF($A145="*","",OFFSET(ITEMS_UPS!$C$8,K145,0))</f>
        <v>UCTLCLEIN-N</v>
      </c>
      <c r="D145" s="440" t="str">
        <f>ITEMS_XFEmiss!$C$3</f>
        <v>CH4SF</v>
      </c>
      <c r="E145" s="440" t="str">
        <f t="shared" si="42"/>
        <v>-</v>
      </c>
      <c r="F145" s="440" t="str">
        <f t="shared" si="43"/>
        <v>-</v>
      </c>
      <c r="G145" s="440" t="str">
        <f t="shared" si="44"/>
        <v>-</v>
      </c>
      <c r="H145" s="440" t="str">
        <f t="shared" si="45"/>
        <v>-</v>
      </c>
      <c r="I145" s="163">
        <v>1</v>
      </c>
      <c r="K145" s="42">
        <f t="shared" si="51"/>
        <v>6</v>
      </c>
      <c r="L145" s="42">
        <f>L144+1</f>
        <v>8</v>
      </c>
      <c r="N145" s="42">
        <f ca="1">SUMIF(UPS!B$38:B$123,C145,UPS!BD$38:BD$123)</f>
        <v>65</v>
      </c>
    </row>
    <row r="146" spans="1:15" s="525" customFormat="1">
      <c r="B146" s="524" t="str">
        <f t="shared" si="41"/>
        <v>NCAP_START</v>
      </c>
      <c r="C146" s="524" t="str">
        <f ca="1">IF($A146="*","",OFFSET(ITEMS_UPS!$C$8,K146,0))</f>
        <v>UCTLCLEIN-N</v>
      </c>
      <c r="D146" s="524" t="str">
        <f ca="1">IF($A146="*","",IF(VLOOKUP("*"&amp;$L146,$A$10:$H$18,D$9+1,FALSE)="-","-",OFFSET(UPS!$C$37,N146+O146,SUMIF($A$10:$A$18,"*"&amp;L146,$M$10:$M$18))))</f>
        <v>-</v>
      </c>
      <c r="E146" s="524" t="str">
        <f t="shared" si="42"/>
        <v>-</v>
      </c>
      <c r="F146" s="524" t="str">
        <f t="shared" si="43"/>
        <v>-</v>
      </c>
      <c r="G146" s="524" t="str">
        <f t="shared" si="44"/>
        <v>-</v>
      </c>
      <c r="H146" s="524" t="str">
        <f t="shared" si="44"/>
        <v>-</v>
      </c>
      <c r="I146" s="524">
        <f ca="1">IF($A146="*","",OFFSET(UPS!$C$37,N146,SUMIF($B$10:$B$18,B146,$M$10:$M$18)))</f>
        <v>2030</v>
      </c>
      <c r="K146" s="525">
        <f>K145</f>
        <v>6</v>
      </c>
      <c r="L146" s="525">
        <f>L145+1</f>
        <v>9</v>
      </c>
      <c r="N146" s="525">
        <f ca="1">SUMIF(UPS!B$38:B$123,C146,UPS!BD$38:BD$123)</f>
        <v>65</v>
      </c>
    </row>
    <row r="147" spans="1:15">
      <c r="A147" s="42" t="s">
        <v>310</v>
      </c>
      <c r="B147" s="438"/>
      <c r="C147" s="438"/>
      <c r="D147" s="438"/>
      <c r="E147" s="438"/>
      <c r="F147" s="438"/>
      <c r="G147" s="438"/>
      <c r="H147" s="438"/>
    </row>
    <row r="148" spans="1:15">
      <c r="B148" s="440" t="str">
        <f t="shared" ref="B148:B169" si="52">IF(A148="*","",VLOOKUP("*"&amp;L148,$A$9:$B$18,2,FALSE))</f>
        <v>COM_GMAP</v>
      </c>
      <c r="C148" s="440" t="str">
        <f ca="1">IF($A148="*","",OFFSET(ITEMS_UPS!$C$8,K148,0))</f>
        <v>UGTLGASIN-N</v>
      </c>
      <c r="D148" s="440" t="str">
        <f ca="1">IF($A148="*","",IF(VLOOKUP("*"&amp;$L148,$A$10:$H$18,D$9+1,FALSE)="-","-",OFFSET(UPS!$C$37,N148+O148,SUMIF($A$10:$A$18,"*"&amp;L148,$M$10:$M$18))))</f>
        <v>UPSGAS</v>
      </c>
      <c r="E148" s="440" t="str">
        <f t="shared" ref="E148:E170" ca="1" si="53">IF($A148="*","",IF(VLOOKUP("*"&amp;$L148,$A$10:$H$18,E$9+1,FALSE)="-","-",C148&amp;"-"&amp;RIGHT(VLOOKUP("*"&amp;$L148,$A$10:$H$18,E$9+1,FALSE),1)))</f>
        <v>UGTLGASIN-N-I</v>
      </c>
      <c r="F148" s="440" t="str">
        <f t="shared" ref="F148:F170" si="54">IF($A148="*","",IF(VLOOKUP("*"&amp;$L148,$A$10:$H$18,F$9+1,FALSE)="-","-",C148&amp;"-"&amp;RIGHT(VLOOKUP("*"&amp;$L148,$A$10:$H$18,F$9+1,FALSE),1)))</f>
        <v>-</v>
      </c>
      <c r="G148" s="440" t="str">
        <f t="shared" ref="G148:G169" si="55">IF($A148="*","",VLOOKUP($B148,$B$10:$H$18,G$9,FALSE))</f>
        <v>-</v>
      </c>
      <c r="H148" s="440" t="str">
        <f t="shared" ref="H148:H169" si="56">IF($A148="*","",VLOOKUP("*"&amp;$L148,$A$10:$H$18,H$9+1,FALSE))</f>
        <v>-</v>
      </c>
      <c r="I148" s="163">
        <v>1</v>
      </c>
      <c r="K148" s="42">
        <v>7</v>
      </c>
      <c r="L148" s="42">
        <v>1</v>
      </c>
      <c r="N148" s="42">
        <f ca="1">SUMIF(UPS!B$38:B$123,C148,UPS!BD$38:BD$123)</f>
        <v>33</v>
      </c>
      <c r="O148" s="42">
        <v>0</v>
      </c>
    </row>
    <row r="149" spans="1:15">
      <c r="B149" s="440" t="str">
        <f t="shared" si="52"/>
        <v>COM_GMAP</v>
      </c>
      <c r="C149" s="440" t="str">
        <f ca="1">IF($A149="*","",OFFSET(ITEMS_UPS!$C$8,K149,0))</f>
        <v>UGTLGASIN-N</v>
      </c>
      <c r="D149" s="440" t="str">
        <f ca="1">IF($A149="*","",IF(VLOOKUP("*"&amp;$L149,$A$10:$H$18,D$9+1,FALSE)="-","-",OFFSET(UPS!$C$37,N149+O149,SUMIF($A$10:$A$18,"*"&amp;L149,$M$10:$M$18))))</f>
        <v>UPSOCR</v>
      </c>
      <c r="E149" s="440" t="str">
        <f t="shared" ca="1" si="53"/>
        <v>UGTLGASIN-N-I</v>
      </c>
      <c r="F149" s="440" t="str">
        <f t="shared" si="54"/>
        <v>-</v>
      </c>
      <c r="G149" s="440" t="str">
        <f t="shared" si="55"/>
        <v>-</v>
      </c>
      <c r="H149" s="440" t="str">
        <f t="shared" si="56"/>
        <v>-</v>
      </c>
      <c r="I149" s="163">
        <v>1</v>
      </c>
      <c r="K149" s="42">
        <f>K148</f>
        <v>7</v>
      </c>
      <c r="L149" s="42">
        <f>L148</f>
        <v>1</v>
      </c>
      <c r="N149" s="42">
        <f ca="1">SUMIF(UPS!B$38:B$123,C149,UPS!BD$38:BD$123)</f>
        <v>33</v>
      </c>
      <c r="O149" s="42">
        <f>O148+1</f>
        <v>1</v>
      </c>
    </row>
    <row r="150" spans="1:15">
      <c r="B150" s="440" t="str">
        <f t="shared" si="52"/>
        <v>COM_GMAP</v>
      </c>
      <c r="C150" s="440" t="str">
        <f ca="1">IF($A150="*","",OFFSET(ITEMS_UPS!$C$8,K150,0))</f>
        <v>UGTLGASIN-N</v>
      </c>
      <c r="D150" s="440" t="str">
        <f ca="1">IF($A150="*","",IF(VLOOKUP("*"&amp;$L150,$A$10:$H$18,D$9+1,FALSE)="-","-",OFFSET(UPS!$C$37,N150+O150,SUMIF($A$10:$A$18,"*"&amp;L150,$M$10:$M$18))))</f>
        <v>UPSELC</v>
      </c>
      <c r="E150" s="440" t="str">
        <f t="shared" ca="1" si="53"/>
        <v>UGTLGASIN-N-I</v>
      </c>
      <c r="F150" s="440" t="str">
        <f t="shared" si="54"/>
        <v>-</v>
      </c>
      <c r="G150" s="440" t="str">
        <f t="shared" si="55"/>
        <v>-</v>
      </c>
      <c r="H150" s="440" t="str">
        <f t="shared" si="56"/>
        <v>-</v>
      </c>
      <c r="I150" s="163">
        <v>1</v>
      </c>
      <c r="K150" s="42">
        <f t="shared" ref="K150:L169" si="57">K149</f>
        <v>7</v>
      </c>
      <c r="L150" s="42">
        <f>L149</f>
        <v>1</v>
      </c>
      <c r="N150" s="42">
        <f ca="1">SUMIF(UPS!B$38:B$123,C150,UPS!BD$38:BD$123)</f>
        <v>33</v>
      </c>
      <c r="O150" s="42">
        <f t="shared" ref="O150:O156" si="58">O149+1</f>
        <v>2</v>
      </c>
    </row>
    <row r="151" spans="1:15">
      <c r="B151" s="440" t="str">
        <f t="shared" si="52"/>
        <v>COM_GMAP</v>
      </c>
      <c r="C151" s="440" t="str">
        <f ca="1">IF($A151="*","",OFFSET(ITEMS_UPS!$C$8,K151,0))</f>
        <v>UGTLGASIN-N</v>
      </c>
      <c r="D151" s="440" t="str">
        <f ca="1">IF($A151="*","",IF(VLOOKUP("*"&amp;$L151,$A$10:$H$18,D$9+1,FALSE)="-","-",OFFSET(UPS!$C$37,N151+O151,SUMIF($A$10:$A$18,"*"&amp;L151,$M$10:$M$18))))</f>
        <v>OAG</v>
      </c>
      <c r="E151" s="440" t="str">
        <f t="shared" ca="1" si="53"/>
        <v>UGTLGASIN-N-O</v>
      </c>
      <c r="F151" s="440" t="str">
        <f t="shared" si="54"/>
        <v>-</v>
      </c>
      <c r="G151" s="440" t="str">
        <f t="shared" si="55"/>
        <v>-</v>
      </c>
      <c r="H151" s="440" t="str">
        <f t="shared" si="56"/>
        <v>-</v>
      </c>
      <c r="I151" s="163">
        <v>1</v>
      </c>
      <c r="K151" s="42">
        <f t="shared" si="57"/>
        <v>7</v>
      </c>
      <c r="L151" s="42">
        <v>2</v>
      </c>
      <c r="N151" s="42">
        <f ca="1">SUMIF(UPS!B$38:B$123,C151,UPS!BD$38:BD$123)</f>
        <v>33</v>
      </c>
      <c r="O151" s="42">
        <f t="shared" si="58"/>
        <v>3</v>
      </c>
    </row>
    <row r="152" spans="1:15">
      <c r="B152" s="440" t="str">
        <f t="shared" si="52"/>
        <v>COM_GMAP</v>
      </c>
      <c r="C152" s="440" t="str">
        <f ca="1">IF($A152="*","",OFFSET(ITEMS_UPS!$C$8,K152,0))</f>
        <v>UGTLGASIN-N</v>
      </c>
      <c r="D152" s="440" t="str">
        <f ca="1">IF($A152="*","",IF(VLOOKUP("*"&amp;$L152,$A$10:$H$18,D$9+1,FALSE)="-","-",OFFSET(UPS!$C$37,N152+O152,SUMIF($A$10:$A$18,"*"&amp;L152,$M$10:$M$18))))</f>
        <v>ODS</v>
      </c>
      <c r="E152" s="440" t="str">
        <f t="shared" ca="1" si="53"/>
        <v>UGTLGASIN-N-O</v>
      </c>
      <c r="F152" s="440" t="str">
        <f t="shared" si="54"/>
        <v>-</v>
      </c>
      <c r="G152" s="440" t="str">
        <f t="shared" si="55"/>
        <v>-</v>
      </c>
      <c r="H152" s="440" t="str">
        <f t="shared" si="56"/>
        <v>-</v>
      </c>
      <c r="I152" s="163">
        <v>1</v>
      </c>
      <c r="K152" s="42">
        <f t="shared" si="57"/>
        <v>7</v>
      </c>
      <c r="L152" s="42">
        <f>L151</f>
        <v>2</v>
      </c>
      <c r="N152" s="42">
        <f ca="1">SUMIF(UPS!B$38:B$123,C152,UPS!BD$38:BD$123)</f>
        <v>33</v>
      </c>
      <c r="O152" s="42">
        <f t="shared" si="58"/>
        <v>4</v>
      </c>
    </row>
    <row r="153" spans="1:15">
      <c r="B153" s="440" t="str">
        <f t="shared" si="52"/>
        <v>COM_GMAP</v>
      </c>
      <c r="C153" s="440" t="str">
        <f ca="1">IF($A153="*","",OFFSET(ITEMS_UPS!$C$8,K153,0))</f>
        <v>UGTLGASIN-N</v>
      </c>
      <c r="D153" s="440" t="str">
        <f ca="1">IF($A153="*","",IF(VLOOKUP("*"&amp;$L153,$A$10:$H$18,D$9+1,FALSE)="-","-",OFFSET(UPS!$C$37,N153+O153,SUMIF($A$10:$A$18,"*"&amp;L153,$M$10:$M$18))))</f>
        <v>OGS</v>
      </c>
      <c r="E153" s="440" t="str">
        <f t="shared" ca="1" si="53"/>
        <v>UGTLGASIN-N-O</v>
      </c>
      <c r="F153" s="440" t="str">
        <f t="shared" si="54"/>
        <v>-</v>
      </c>
      <c r="G153" s="440" t="str">
        <f t="shared" si="55"/>
        <v>-</v>
      </c>
      <c r="H153" s="440" t="str">
        <f t="shared" si="56"/>
        <v>-</v>
      </c>
      <c r="I153" s="163">
        <v>1</v>
      </c>
      <c r="K153" s="42">
        <f t="shared" si="57"/>
        <v>7</v>
      </c>
      <c r="L153" s="42">
        <f t="shared" si="57"/>
        <v>2</v>
      </c>
      <c r="N153" s="42">
        <f ca="1">SUMIF(UPS!B$38:B$123,C153,UPS!BD$38:BD$123)</f>
        <v>33</v>
      </c>
      <c r="O153" s="42">
        <f t="shared" si="58"/>
        <v>5</v>
      </c>
    </row>
    <row r="154" spans="1:15">
      <c r="B154" s="440" t="str">
        <f t="shared" si="52"/>
        <v>COM_GMAP</v>
      </c>
      <c r="C154" s="440" t="str">
        <f ca="1">IF($A154="*","",OFFSET(ITEMS_UPS!$C$8,K154,0))</f>
        <v>UGTLGASIN-N</v>
      </c>
      <c r="D154" s="440" t="str">
        <f ca="1">IF($A154="*","",IF(VLOOKUP("*"&amp;$L154,$A$10:$H$18,D$9+1,FALSE)="-","-",OFFSET(UPS!$C$37,N154+O154,SUMIF($A$10:$A$18,"*"&amp;L154,$M$10:$M$18))))</f>
        <v>OKE</v>
      </c>
      <c r="E154" s="440" t="str">
        <f t="shared" ca="1" si="53"/>
        <v>UGTLGASIN-N-O</v>
      </c>
      <c r="F154" s="440" t="str">
        <f t="shared" si="54"/>
        <v>-</v>
      </c>
      <c r="G154" s="440" t="str">
        <f t="shared" si="55"/>
        <v>-</v>
      </c>
      <c r="H154" s="440" t="str">
        <f t="shared" si="56"/>
        <v>-</v>
      </c>
      <c r="I154" s="163">
        <v>1</v>
      </c>
      <c r="K154" s="42">
        <f t="shared" si="57"/>
        <v>7</v>
      </c>
      <c r="L154" s="42">
        <f t="shared" si="57"/>
        <v>2</v>
      </c>
      <c r="N154" s="42">
        <f ca="1">SUMIF(UPS!B$38:B$123,C154,UPS!BD$38:BD$123)</f>
        <v>33</v>
      </c>
      <c r="O154" s="42">
        <f t="shared" si="58"/>
        <v>6</v>
      </c>
    </row>
    <row r="155" spans="1:15">
      <c r="B155" s="440" t="str">
        <f t="shared" si="52"/>
        <v>COM_GMAP</v>
      </c>
      <c r="C155" s="440" t="str">
        <f ca="1">IF($A155="*","",OFFSET(ITEMS_UPS!$C$8,K155,0))</f>
        <v>UGTLGASIN-N</v>
      </c>
      <c r="D155" s="440" t="str">
        <f ca="1">IF($A155="*","",IF(VLOOKUP("*"&amp;$L155,$A$10:$H$18,D$9+1,FALSE)="-","-",OFFSET(UPS!$C$37,N155+O155,SUMIF($A$10:$A$18,"*"&amp;L155,$M$10:$M$18))))</f>
        <v>OLP</v>
      </c>
      <c r="E155" s="440" t="str">
        <f t="shared" ca="1" si="53"/>
        <v>UGTLGASIN-N-O</v>
      </c>
      <c r="F155" s="440" t="str">
        <f t="shared" si="54"/>
        <v>-</v>
      </c>
      <c r="G155" s="440" t="str">
        <f t="shared" si="55"/>
        <v>-</v>
      </c>
      <c r="H155" s="440" t="str">
        <f t="shared" si="56"/>
        <v>-</v>
      </c>
      <c r="I155" s="163">
        <v>1</v>
      </c>
      <c r="K155" s="42">
        <f t="shared" si="57"/>
        <v>7</v>
      </c>
      <c r="L155" s="42">
        <f t="shared" si="57"/>
        <v>2</v>
      </c>
      <c r="N155" s="42">
        <f ca="1">SUMIF(UPS!B$38:B$123,C155,UPS!BD$38:BD$123)</f>
        <v>33</v>
      </c>
      <c r="O155" s="42">
        <f t="shared" si="58"/>
        <v>7</v>
      </c>
    </row>
    <row r="156" spans="1:15">
      <c r="B156" s="440" t="str">
        <f t="shared" si="52"/>
        <v>COM_GMAP</v>
      </c>
      <c r="C156" s="440" t="str">
        <f ca="1">IF($A156="*","",OFFSET(ITEMS_UPS!$C$8,K156,0))</f>
        <v>UGTLGASIN-N</v>
      </c>
      <c r="D156" s="440" t="str">
        <f ca="1">IF($A156="*","",IF(VLOOKUP("*"&amp;$L156,$A$10:$H$18,D$9+1,FALSE)="-","-",OFFSET(UPS!$C$37,N156+O156,SUMIF($A$10:$A$18,"*"&amp;L156,$M$10:$M$18))))</f>
        <v>OTH</v>
      </c>
      <c r="E156" s="440" t="str">
        <f t="shared" ca="1" si="53"/>
        <v>UGTLGASIN-N-O</v>
      </c>
      <c r="F156" s="440" t="str">
        <f t="shared" si="54"/>
        <v>-</v>
      </c>
      <c r="G156" s="440" t="str">
        <f t="shared" si="55"/>
        <v>-</v>
      </c>
      <c r="H156" s="440" t="str">
        <f t="shared" si="56"/>
        <v>-</v>
      </c>
      <c r="I156" s="163">
        <v>1</v>
      </c>
      <c r="K156" s="42">
        <f t="shared" si="57"/>
        <v>7</v>
      </c>
      <c r="L156" s="42">
        <f t="shared" si="57"/>
        <v>2</v>
      </c>
      <c r="N156" s="42">
        <f ca="1">SUMIF(UPS!B$38:B$123,C156,UPS!BD$38:BD$123)</f>
        <v>33</v>
      </c>
      <c r="O156" s="42">
        <f t="shared" si="58"/>
        <v>8</v>
      </c>
    </row>
    <row r="157" spans="1:15">
      <c r="B157" s="440" t="str">
        <f t="shared" si="52"/>
        <v>PRC_ACTUNT</v>
      </c>
      <c r="C157" s="440" t="str">
        <f ca="1">IF($A157="*","",OFFSET(ITEMS_UPS!$C$8,K157,0))</f>
        <v>UGTLGASIN-N</v>
      </c>
      <c r="D157" s="440" t="str">
        <f ca="1">IF($A157="*","",IF(VLOOKUP("*"&amp;$L157,$A$10:$H$18,D$9+1,FALSE)="-","-",OFFSET(UPS!$C$37,N157+O157,SUMIF($A$10:$A$18,"*"&amp;L157,$M$10:$M$18))))</f>
        <v>-</v>
      </c>
      <c r="E157" s="440" t="str">
        <f t="shared" ca="1" si="53"/>
        <v>UGTLGASIN-N-O</v>
      </c>
      <c r="F157" s="440" t="str">
        <f t="shared" si="54"/>
        <v>-</v>
      </c>
      <c r="G157" s="440" t="str">
        <f t="shared" si="55"/>
        <v>-</v>
      </c>
      <c r="H157" s="440" t="str">
        <f t="shared" si="56"/>
        <v>-</v>
      </c>
      <c r="I157" s="163">
        <v>1</v>
      </c>
      <c r="K157" s="42">
        <f>K156</f>
        <v>7</v>
      </c>
      <c r="L157" s="42">
        <f>IF(K157=K155,L155+1,1)</f>
        <v>3</v>
      </c>
      <c r="N157" s="42">
        <f ca="1">SUMIF(UPS!B$38:B$123,C157,UPS!BD$38:BD$123)</f>
        <v>33</v>
      </c>
    </row>
    <row r="158" spans="1:15">
      <c r="B158" s="440" t="str">
        <f t="shared" si="52"/>
        <v>PRC_CAPACT</v>
      </c>
      <c r="C158" s="440" t="str">
        <f ca="1">IF($A158="*","",OFFSET(ITEMS_UPS!$C$8,K158,0))</f>
        <v>UGTLGASIN-N</v>
      </c>
      <c r="D158" s="440" t="str">
        <f ca="1">IF($A158="*","",IF(VLOOKUP("*"&amp;$L158,$A$10:$H$18,D$9+1,FALSE)="-","-",OFFSET(UPS!$C$37,N158+O158,SUMIF($A$10:$A$18,"*"&amp;L158,$M$10:$M$18))))</f>
        <v>-</v>
      </c>
      <c r="E158" s="440" t="str">
        <f t="shared" si="53"/>
        <v>-</v>
      </c>
      <c r="F158" s="440" t="str">
        <f t="shared" si="54"/>
        <v>-</v>
      </c>
      <c r="G158" s="440" t="str">
        <f t="shared" si="55"/>
        <v>-</v>
      </c>
      <c r="H158" s="440" t="str">
        <f t="shared" si="56"/>
        <v>-</v>
      </c>
      <c r="I158" s="163">
        <v>1</v>
      </c>
      <c r="K158" s="42">
        <f t="shared" si="57"/>
        <v>7</v>
      </c>
      <c r="L158" s="42">
        <f>IF(K158=K157,L157+1,1)</f>
        <v>4</v>
      </c>
      <c r="N158" s="42">
        <f ca="1">SUMIF(UPS!B$38:B$123,C158,UPS!BD$38:BD$123)</f>
        <v>33</v>
      </c>
    </row>
    <row r="159" spans="1:15">
      <c r="B159" s="440" t="str">
        <f t="shared" si="52"/>
        <v>TOP-IN</v>
      </c>
      <c r="C159" s="440" t="str">
        <f ca="1">IF($A159="*","",OFFSET(ITEMS_UPS!$C$8,K159,0))</f>
        <v>UGTLGASIN-N</v>
      </c>
      <c r="D159" s="440" t="str">
        <f ca="1">IF($A159="*","",IF(VLOOKUP("*"&amp;$L159,$A$10:$H$18,D$9+1,FALSE)="-","-",OFFSET(UPS!$C$37,N159+O159,SUMIF($A$10:$A$18,"*"&amp;L159,$M$10:$M$18))))</f>
        <v>UPSGAS</v>
      </c>
      <c r="E159" s="440" t="str">
        <f t="shared" si="53"/>
        <v>-</v>
      </c>
      <c r="F159" s="440" t="str">
        <f t="shared" si="54"/>
        <v>-</v>
      </c>
      <c r="G159" s="440" t="str">
        <f t="shared" si="55"/>
        <v>-</v>
      </c>
      <c r="H159" s="440" t="str">
        <f t="shared" si="56"/>
        <v>-</v>
      </c>
      <c r="I159" s="163">
        <v>1</v>
      </c>
      <c r="K159" s="42">
        <f t="shared" si="57"/>
        <v>7</v>
      </c>
      <c r="L159" s="42">
        <f>IF(K159=K158,L158+1,1)</f>
        <v>5</v>
      </c>
      <c r="N159" s="42">
        <f ca="1">SUMIF(UPS!B$38:B$123,C159,UPS!BD$38:BD$123)</f>
        <v>33</v>
      </c>
      <c r="O159" s="42">
        <v>0</v>
      </c>
    </row>
    <row r="160" spans="1:15">
      <c r="B160" s="440" t="str">
        <f t="shared" si="52"/>
        <v>TOP-IN</v>
      </c>
      <c r="C160" s="440" t="str">
        <f ca="1">IF($A160="*","",OFFSET(ITEMS_UPS!$C$8,K160,0))</f>
        <v>UGTLGASIN-N</v>
      </c>
      <c r="D160" s="440" t="str">
        <f ca="1">IF($A160="*","",IF(VLOOKUP("*"&amp;$L160,$A$10:$H$18,D$9+1,FALSE)="-","-",OFFSET(UPS!$C$37,N160+O160,SUMIF($A$10:$A$18,"*"&amp;L160,$M$10:$M$18))))</f>
        <v>UPSOCR</v>
      </c>
      <c r="E160" s="440" t="str">
        <f t="shared" si="53"/>
        <v>-</v>
      </c>
      <c r="F160" s="440" t="str">
        <f t="shared" si="54"/>
        <v>-</v>
      </c>
      <c r="G160" s="440" t="str">
        <f t="shared" si="55"/>
        <v>-</v>
      </c>
      <c r="H160" s="440" t="str">
        <f t="shared" si="56"/>
        <v>-</v>
      </c>
      <c r="I160" s="163">
        <v>1</v>
      </c>
      <c r="K160" s="42">
        <f t="shared" si="57"/>
        <v>7</v>
      </c>
      <c r="L160" s="42">
        <f>L159</f>
        <v>5</v>
      </c>
      <c r="N160" s="42">
        <f ca="1">SUMIF(UPS!B$38:B$123,C160,UPS!BD$38:BD$123)</f>
        <v>33</v>
      </c>
      <c r="O160" s="42">
        <f>O159+1</f>
        <v>1</v>
      </c>
    </row>
    <row r="161" spans="1:15">
      <c r="B161" s="440" t="str">
        <f t="shared" si="52"/>
        <v>TOP-IN</v>
      </c>
      <c r="C161" s="440" t="str">
        <f ca="1">IF($A161="*","",OFFSET(ITEMS_UPS!$C$8,K161,0))</f>
        <v>UGTLGASIN-N</v>
      </c>
      <c r="D161" s="440" t="str">
        <f ca="1">IF($A161="*","",IF(VLOOKUP("*"&amp;$L161,$A$10:$H$18,D$9+1,FALSE)="-","-",OFFSET(UPS!$C$37,N161+O161,SUMIF($A$10:$A$18,"*"&amp;L161,$M$10:$M$18))))</f>
        <v>UPSELC</v>
      </c>
      <c r="E161" s="440" t="str">
        <f t="shared" si="53"/>
        <v>-</v>
      </c>
      <c r="F161" s="440" t="str">
        <f t="shared" si="54"/>
        <v>-</v>
      </c>
      <c r="G161" s="440" t="str">
        <f t="shared" si="55"/>
        <v>-</v>
      </c>
      <c r="H161" s="440" t="str">
        <f t="shared" si="56"/>
        <v>-</v>
      </c>
      <c r="I161" s="163">
        <v>1</v>
      </c>
      <c r="K161" s="42">
        <f t="shared" si="57"/>
        <v>7</v>
      </c>
      <c r="L161" s="42">
        <f>L160</f>
        <v>5</v>
      </c>
      <c r="N161" s="42">
        <f ca="1">SUMIF(UPS!B$38:B$123,C161,UPS!BD$38:BD$123)</f>
        <v>33</v>
      </c>
      <c r="O161" s="42">
        <f>O160+1</f>
        <v>2</v>
      </c>
    </row>
    <row r="162" spans="1:15">
      <c r="B162" s="440" t="str">
        <f t="shared" si="52"/>
        <v>TOP-OUT</v>
      </c>
      <c r="C162" s="440" t="str">
        <f ca="1">IF($A162="*","",OFFSET(ITEMS_UPS!$C$8,K162,0))</f>
        <v>UGTLGASIN-N</v>
      </c>
      <c r="D162" s="440" t="str">
        <f ca="1">IF($A162="*","",IF(VLOOKUP("*"&amp;$L162,$A$10:$H$18,D$9+1,FALSE)="-","-",OFFSET(UPS!$C$37,N162+O162,SUMIF($A$10:$A$18,"*"&amp;L162,$M$10:$M$18))))</f>
        <v>OAG</v>
      </c>
      <c r="E162" s="440" t="str">
        <f t="shared" si="53"/>
        <v>-</v>
      </c>
      <c r="F162" s="440" t="str">
        <f t="shared" si="54"/>
        <v>-</v>
      </c>
      <c r="G162" s="440" t="str">
        <f t="shared" si="55"/>
        <v>-</v>
      </c>
      <c r="H162" s="440" t="str">
        <f t="shared" si="56"/>
        <v>-</v>
      </c>
      <c r="I162" s="163">
        <v>1</v>
      </c>
      <c r="K162" s="42">
        <f t="shared" si="57"/>
        <v>7</v>
      </c>
      <c r="L162" s="42">
        <f>IF(K162=K160,L160+1,1)</f>
        <v>6</v>
      </c>
      <c r="N162" s="42">
        <f ca="1">SUMIF(UPS!B$38:B$123,C162,UPS!BD$38:BD$123)</f>
        <v>33</v>
      </c>
      <c r="O162" s="42">
        <f t="shared" ref="O162:O167" si="59">O161+1</f>
        <v>3</v>
      </c>
    </row>
    <row r="163" spans="1:15">
      <c r="B163" s="440" t="str">
        <f t="shared" si="52"/>
        <v>TOP-OUT</v>
      </c>
      <c r="C163" s="440" t="str">
        <f ca="1">IF($A163="*","",OFFSET(ITEMS_UPS!$C$8,K163,0))</f>
        <v>UGTLGASIN-N</v>
      </c>
      <c r="D163" s="440" t="str">
        <f ca="1">IF($A163="*","",IF(VLOOKUP("*"&amp;$L163,$A$10:$H$18,D$9+1,FALSE)="-","-",OFFSET(UPS!$C$37,N163+O163,SUMIF($A$10:$A$18,"*"&amp;L163,$M$10:$M$18))))</f>
        <v>ODS</v>
      </c>
      <c r="E163" s="440" t="str">
        <f t="shared" si="53"/>
        <v>-</v>
      </c>
      <c r="F163" s="440" t="str">
        <f t="shared" si="54"/>
        <v>-</v>
      </c>
      <c r="G163" s="440" t="str">
        <f t="shared" si="55"/>
        <v>-</v>
      </c>
      <c r="H163" s="440" t="str">
        <f t="shared" si="56"/>
        <v>-</v>
      </c>
      <c r="I163" s="163">
        <v>1</v>
      </c>
      <c r="K163" s="42">
        <f t="shared" si="57"/>
        <v>7</v>
      </c>
      <c r="L163" s="42">
        <f>L162</f>
        <v>6</v>
      </c>
      <c r="N163" s="42">
        <f ca="1">SUMIF(UPS!B$38:B$123,C163,UPS!BD$38:BD$123)</f>
        <v>33</v>
      </c>
      <c r="O163" s="42">
        <f t="shared" si="59"/>
        <v>4</v>
      </c>
    </row>
    <row r="164" spans="1:15">
      <c r="B164" s="440" t="str">
        <f t="shared" si="52"/>
        <v>TOP-OUT</v>
      </c>
      <c r="C164" s="440" t="str">
        <f ca="1">IF($A164="*","",OFFSET(ITEMS_UPS!$C$8,K164,0))</f>
        <v>UGTLGASIN-N</v>
      </c>
      <c r="D164" s="440" t="str">
        <f ca="1">IF($A164="*","",IF(VLOOKUP("*"&amp;$L164,$A$10:$H$18,D$9+1,FALSE)="-","-",OFFSET(UPS!$C$37,N164+O164,SUMIF($A$10:$A$18,"*"&amp;L164,$M$10:$M$18))))</f>
        <v>OGS</v>
      </c>
      <c r="E164" s="440" t="str">
        <f t="shared" si="53"/>
        <v>-</v>
      </c>
      <c r="F164" s="440" t="str">
        <f t="shared" si="54"/>
        <v>-</v>
      </c>
      <c r="G164" s="440" t="str">
        <f t="shared" si="55"/>
        <v>-</v>
      </c>
      <c r="H164" s="440" t="str">
        <f t="shared" si="56"/>
        <v>-</v>
      </c>
      <c r="I164" s="163">
        <v>1</v>
      </c>
      <c r="K164" s="42">
        <f t="shared" si="57"/>
        <v>7</v>
      </c>
      <c r="L164" s="42">
        <f>L163</f>
        <v>6</v>
      </c>
      <c r="N164" s="42">
        <f ca="1">SUMIF(UPS!B$38:B$123,C164,UPS!BD$38:BD$123)</f>
        <v>33</v>
      </c>
      <c r="O164" s="42">
        <f t="shared" si="59"/>
        <v>5</v>
      </c>
    </row>
    <row r="165" spans="1:15">
      <c r="B165" s="440" t="str">
        <f t="shared" si="52"/>
        <v>TOP-OUT</v>
      </c>
      <c r="C165" s="440" t="str">
        <f ca="1">IF($A165="*","",OFFSET(ITEMS_UPS!$C$8,K165,0))</f>
        <v>UGTLGASIN-N</v>
      </c>
      <c r="D165" s="440" t="str">
        <f ca="1">IF($A165="*","",IF(VLOOKUP("*"&amp;$L165,$A$10:$H$18,D$9+1,FALSE)="-","-",OFFSET(UPS!$C$37,N165+O165,SUMIF($A$10:$A$18,"*"&amp;L165,$M$10:$M$18))))</f>
        <v>OKE</v>
      </c>
      <c r="E165" s="440" t="str">
        <f t="shared" si="53"/>
        <v>-</v>
      </c>
      <c r="F165" s="440" t="str">
        <f t="shared" si="54"/>
        <v>-</v>
      </c>
      <c r="G165" s="440" t="str">
        <f t="shared" si="55"/>
        <v>-</v>
      </c>
      <c r="H165" s="440" t="str">
        <f t="shared" si="56"/>
        <v>-</v>
      </c>
      <c r="I165" s="163">
        <v>1</v>
      </c>
      <c r="K165" s="42">
        <f t="shared" si="57"/>
        <v>7</v>
      </c>
      <c r="L165" s="42">
        <f t="shared" si="57"/>
        <v>6</v>
      </c>
      <c r="N165" s="42">
        <f ca="1">SUMIF(UPS!B$38:B$123,C165,UPS!BD$38:BD$123)</f>
        <v>33</v>
      </c>
      <c r="O165" s="42">
        <f t="shared" si="59"/>
        <v>6</v>
      </c>
    </row>
    <row r="166" spans="1:15">
      <c r="B166" s="440" t="str">
        <f t="shared" si="52"/>
        <v>TOP-OUT</v>
      </c>
      <c r="C166" s="440" t="str">
        <f ca="1">IF($A166="*","",OFFSET(ITEMS_UPS!$C$8,K166,0))</f>
        <v>UGTLGASIN-N</v>
      </c>
      <c r="D166" s="440" t="str">
        <f ca="1">IF($A166="*","",IF(VLOOKUP("*"&amp;$L166,$A$10:$H$18,D$9+1,FALSE)="-","-",OFFSET(UPS!$C$37,N166+O166,SUMIF($A$10:$A$18,"*"&amp;L166,$M$10:$M$18))))</f>
        <v>OLP</v>
      </c>
      <c r="E166" s="440" t="str">
        <f t="shared" si="53"/>
        <v>-</v>
      </c>
      <c r="F166" s="440" t="str">
        <f t="shared" si="54"/>
        <v>-</v>
      </c>
      <c r="G166" s="440" t="str">
        <f t="shared" si="55"/>
        <v>-</v>
      </c>
      <c r="H166" s="440" t="str">
        <f t="shared" si="56"/>
        <v>-</v>
      </c>
      <c r="I166" s="163">
        <v>1</v>
      </c>
      <c r="K166" s="42">
        <f t="shared" si="57"/>
        <v>7</v>
      </c>
      <c r="L166" s="42">
        <f t="shared" si="57"/>
        <v>6</v>
      </c>
      <c r="N166" s="42">
        <f ca="1">SUMIF(UPS!B$38:B$123,C166,UPS!BD$38:BD$123)</f>
        <v>33</v>
      </c>
      <c r="O166" s="42">
        <f t="shared" si="59"/>
        <v>7</v>
      </c>
    </row>
    <row r="167" spans="1:15">
      <c r="B167" s="440" t="str">
        <f t="shared" si="52"/>
        <v>TOP-OUT</v>
      </c>
      <c r="C167" s="440" t="str">
        <f ca="1">IF($A167="*","",OFFSET(ITEMS_UPS!$C$8,K167,0))</f>
        <v>UGTLGASIN-N</v>
      </c>
      <c r="D167" s="440" t="str">
        <f ca="1">IF($A167="*","",IF(VLOOKUP("*"&amp;$L167,$A$10:$H$18,D$9+1,FALSE)="-","-",OFFSET(UPS!$C$37,N167+O167,SUMIF($A$10:$A$18,"*"&amp;L167,$M$10:$M$18))))</f>
        <v>OTH</v>
      </c>
      <c r="E167" s="440" t="str">
        <f t="shared" si="53"/>
        <v>-</v>
      </c>
      <c r="F167" s="440" t="str">
        <f t="shared" si="54"/>
        <v>-</v>
      </c>
      <c r="G167" s="440" t="str">
        <f t="shared" si="55"/>
        <v>-</v>
      </c>
      <c r="H167" s="440" t="str">
        <f t="shared" si="56"/>
        <v>-</v>
      </c>
      <c r="I167" s="163">
        <v>1</v>
      </c>
      <c r="K167" s="42">
        <f t="shared" si="57"/>
        <v>7</v>
      </c>
      <c r="L167" s="42">
        <f t="shared" si="57"/>
        <v>6</v>
      </c>
      <c r="N167" s="42">
        <f ca="1">SUMIF(UPS!B$38:B$123,C167,UPS!BD$38:BD$123)</f>
        <v>33</v>
      </c>
      <c r="O167" s="42">
        <f t="shared" si="59"/>
        <v>8</v>
      </c>
    </row>
    <row r="168" spans="1:15">
      <c r="B168" s="440" t="str">
        <f t="shared" si="52"/>
        <v>TOP-OUT</v>
      </c>
      <c r="C168" s="440" t="str">
        <f ca="1">IF($A168="*","",OFFSET(ITEMS_UPS!$C$8,K168,0))</f>
        <v>UGTLGASIN-N</v>
      </c>
      <c r="D168" s="440" t="str">
        <f>$D$16</f>
        <v>UPSCO2S</v>
      </c>
      <c r="E168" s="440" t="str">
        <f t="shared" si="53"/>
        <v>-</v>
      </c>
      <c r="F168" s="440" t="str">
        <f t="shared" si="54"/>
        <v>-</v>
      </c>
      <c r="G168" s="440" t="str">
        <f t="shared" si="55"/>
        <v>-</v>
      </c>
      <c r="H168" s="440" t="str">
        <f t="shared" si="56"/>
        <v>-</v>
      </c>
      <c r="I168" s="163">
        <v>1</v>
      </c>
      <c r="K168" s="42">
        <f>K167</f>
        <v>7</v>
      </c>
      <c r="L168" s="42">
        <f>IF(K168=K166,L166+1,1)</f>
        <v>7</v>
      </c>
      <c r="N168" s="42">
        <f ca="1">SUMIF(UPS!B$38:B$123,C168,UPS!BD$38:BD$123)</f>
        <v>33</v>
      </c>
    </row>
    <row r="169" spans="1:15">
      <c r="B169" s="440" t="str">
        <f t="shared" si="52"/>
        <v>TOP-OUT</v>
      </c>
      <c r="C169" s="440" t="str">
        <f ca="1">IF($A169="*","",OFFSET(ITEMS_UPS!$C$8,K169,0))</f>
        <v>UGTLGASIN-N</v>
      </c>
      <c r="D169" s="440" t="str">
        <f>$D$17</f>
        <v>UPSCH4S</v>
      </c>
      <c r="E169" s="440" t="str">
        <f t="shared" si="53"/>
        <v>-</v>
      </c>
      <c r="F169" s="440" t="str">
        <f t="shared" si="54"/>
        <v>-</v>
      </c>
      <c r="G169" s="440" t="str">
        <f t="shared" si="55"/>
        <v>-</v>
      </c>
      <c r="H169" s="440" t="str">
        <f t="shared" si="56"/>
        <v>-</v>
      </c>
      <c r="I169" s="163">
        <v>1</v>
      </c>
      <c r="K169" s="42">
        <f t="shared" si="57"/>
        <v>7</v>
      </c>
      <c r="L169" s="42">
        <v>8</v>
      </c>
      <c r="N169" s="42">
        <f ca="1">SUMIF(UPS!B$38:B$123,C169,UPS!BD$38:BD$123)</f>
        <v>33</v>
      </c>
    </row>
    <row r="170" spans="1:15" s="525" customFormat="1">
      <c r="B170" s="524" t="str">
        <f>IF(A170="*","",VLOOKUP("*"&amp;L170,$A$9:$B$18,2,FALSE))</f>
        <v>NCAP_START</v>
      </c>
      <c r="C170" s="524" t="str">
        <f ca="1">IF($A170="*","",OFFSET(ITEMS_UPS!$C$8,K170,0))</f>
        <v>UGTLGASIN-N</v>
      </c>
      <c r="D170" s="524" t="str">
        <f ca="1">IF($A170="*","",IF(VLOOKUP("*"&amp;$L170,$A$10:$H$18,D$9+1,FALSE)="-","-",OFFSET(UPS!$C$37,N170+O170,SUMIF($A$10:$A$18,"*"&amp;L170,$M$10:$M$18))))</f>
        <v>-</v>
      </c>
      <c r="E170" s="524" t="str">
        <f t="shared" si="53"/>
        <v>-</v>
      </c>
      <c r="F170" s="524" t="str">
        <f t="shared" si="54"/>
        <v>-</v>
      </c>
      <c r="G170" s="524" t="str">
        <f>IF($A170="*","",VLOOKUP($B170,$B$10:$H$18,G$9,FALSE))</f>
        <v>-</v>
      </c>
      <c r="H170" s="524" t="str">
        <f>IF($A170="*","",VLOOKUP($B170,$B$10:$H$18,H$9,FALSE))</f>
        <v>-</v>
      </c>
      <c r="I170" s="524">
        <f ca="1">IF($A170="*","",OFFSET(UPS!$C$37,N170,SUMIF($B$10:$B$18,B170,$M$10:$M$18)))</f>
        <v>2025</v>
      </c>
      <c r="K170" s="525">
        <f>K169</f>
        <v>7</v>
      </c>
      <c r="L170" s="525">
        <f>L169+1</f>
        <v>9</v>
      </c>
      <c r="N170" s="525">
        <f ca="1">SUMIF(UPS!B$38:B$123,C170,UPS!BD$38:BD$123)</f>
        <v>33</v>
      </c>
    </row>
    <row r="171" spans="1:15">
      <c r="A171" s="42" t="s">
        <v>310</v>
      </c>
      <c r="B171" s="438"/>
      <c r="C171" s="438"/>
      <c r="D171" s="438"/>
      <c r="E171" s="438"/>
      <c r="F171" s="438"/>
      <c r="G171" s="438"/>
      <c r="H171" s="438"/>
    </row>
    <row r="172" spans="1:15">
      <c r="B172" s="440" t="str">
        <f t="shared" ref="B172:B193" si="60">IF(A172="*","",VLOOKUP("*"&amp;L172,$A$9:$B$18,2,FALSE))</f>
        <v>COM_GMAP</v>
      </c>
      <c r="C172" s="440" t="str">
        <f ca="1">IF($A172="*","",OFFSET(ITEMS_UPS!$C$8,K172,0))</f>
        <v>UGTLGICCO-N</v>
      </c>
      <c r="D172" s="440" t="str">
        <f ca="1">IF($A172="*","",IF(VLOOKUP("*"&amp;$L172,$A$10:$H$18,D$9+1,FALSE)="-","-",OFFSET(UPS!$C$37,N172+O172,SUMIF($A$10:$A$18,"*"&amp;L172,$M$10:$M$18))))</f>
        <v>UPSGIC</v>
      </c>
      <c r="E172" s="440" t="str">
        <f t="shared" ref="E172:E193" ca="1" si="61">IF($A172="*","",IF(VLOOKUP("*"&amp;$L172,$A$10:$H$18,E$9+1,FALSE)="-","-",C172&amp;"-"&amp;RIGHT(VLOOKUP("*"&amp;$L172,$A$10:$H$18,E$9+1,FALSE),1)))</f>
        <v>UGTLGICCO-N-I</v>
      </c>
      <c r="F172" s="440" t="str">
        <f t="shared" ref="F172:F193" si="62">IF($A172="*","",IF(VLOOKUP("*"&amp;$L172,$A$10:$H$18,F$9+1,FALSE)="-","-",C172&amp;"-"&amp;RIGHT(VLOOKUP("*"&amp;$L172,$A$10:$H$18,F$9+1,FALSE),1)))</f>
        <v>-</v>
      </c>
      <c r="G172" s="440" t="str">
        <f t="shared" ref="G172:G193" si="63">IF($A172="*","",VLOOKUP($B172,$B$10:$H$18,G$9,FALSE))</f>
        <v>-</v>
      </c>
      <c r="H172" s="440" t="str">
        <f t="shared" ref="H172:H193" si="64">IF($A172="*","",VLOOKUP("*"&amp;$L172,$A$10:$H$18,H$9+1,FALSE))</f>
        <v>-</v>
      </c>
      <c r="I172" s="163">
        <v>1</v>
      </c>
      <c r="K172" s="42">
        <f>K170+1</f>
        <v>8</v>
      </c>
      <c r="L172" s="42">
        <v>1</v>
      </c>
      <c r="N172" s="42">
        <f ca="1">SUMIF(UPS!B$38:B$123,C172,UPS!BD$38:BD$123)</f>
        <v>43</v>
      </c>
      <c r="O172" s="42">
        <v>0</v>
      </c>
    </row>
    <row r="173" spans="1:15">
      <c r="B173" s="440" t="str">
        <f t="shared" si="60"/>
        <v>COM_GMAP</v>
      </c>
      <c r="C173" s="440" t="str">
        <f ca="1">IF($A173="*","",OFFSET(ITEMS_UPS!$C$8,K173,0))</f>
        <v>UGTLGICCO-N</v>
      </c>
      <c r="D173" s="440" t="str">
        <f ca="1">IF($A173="*","",IF(VLOOKUP("*"&amp;$L173,$A$10:$H$18,D$9+1,FALSE)="-","-",OFFSET(UPS!$C$37,N173+O173,SUMIF($A$10:$A$18,"*"&amp;L173,$M$10:$M$18))))</f>
        <v>UPSOCR</v>
      </c>
      <c r="E173" s="440" t="str">
        <f t="shared" ca="1" si="61"/>
        <v>UGTLGICCO-N-I</v>
      </c>
      <c r="F173" s="440" t="str">
        <f t="shared" si="62"/>
        <v>-</v>
      </c>
      <c r="G173" s="440" t="str">
        <f t="shared" si="63"/>
        <v>-</v>
      </c>
      <c r="H173" s="440" t="str">
        <f t="shared" si="64"/>
        <v>-</v>
      </c>
      <c r="I173" s="163">
        <v>1</v>
      </c>
      <c r="K173" s="42">
        <f>K172</f>
        <v>8</v>
      </c>
      <c r="L173" s="42">
        <f>L172</f>
        <v>1</v>
      </c>
      <c r="N173" s="42">
        <f ca="1">SUMIF(UPS!B$38:B$123,C173,UPS!BD$38:BD$123)</f>
        <v>43</v>
      </c>
      <c r="O173" s="42">
        <f>O172+1</f>
        <v>1</v>
      </c>
    </row>
    <row r="174" spans="1:15">
      <c r="B174" s="440" t="str">
        <f t="shared" si="60"/>
        <v>COM_GMAP</v>
      </c>
      <c r="C174" s="440" t="str">
        <f ca="1">IF($A174="*","",OFFSET(ITEMS_UPS!$C$8,K174,0))</f>
        <v>UGTLGICCO-N</v>
      </c>
      <c r="D174" s="440" t="str">
        <f ca="1">IF($A174="*","",IF(VLOOKUP("*"&amp;$L174,$A$10:$H$18,D$9+1,FALSE)="-","-",OFFSET(UPS!$C$37,N174+O174,SUMIF($A$10:$A$18,"*"&amp;L174,$M$10:$M$18))))</f>
        <v>UPSELC</v>
      </c>
      <c r="E174" s="440" t="str">
        <f t="shared" ca="1" si="61"/>
        <v>UGTLGICCO-N-I</v>
      </c>
      <c r="F174" s="440" t="str">
        <f t="shared" si="62"/>
        <v>-</v>
      </c>
      <c r="G174" s="440" t="str">
        <f t="shared" si="63"/>
        <v>-</v>
      </c>
      <c r="H174" s="440" t="str">
        <f t="shared" si="64"/>
        <v>-</v>
      </c>
      <c r="I174" s="163">
        <v>1</v>
      </c>
      <c r="K174" s="42">
        <f>K173</f>
        <v>8</v>
      </c>
      <c r="L174" s="42">
        <f>L173</f>
        <v>1</v>
      </c>
      <c r="N174" s="42">
        <f ca="1">SUMIF(UPS!B$38:B$123,C174,UPS!BD$38:BD$123)</f>
        <v>43</v>
      </c>
      <c r="O174" s="42">
        <f t="shared" ref="O174:O180" si="65">O173+1</f>
        <v>2</v>
      </c>
    </row>
    <row r="175" spans="1:15">
      <c r="B175" s="440" t="str">
        <f t="shared" si="60"/>
        <v>COM_GMAP</v>
      </c>
      <c r="C175" s="440" t="str">
        <f ca="1">IF($A175="*","",OFFSET(ITEMS_UPS!$C$8,K175,0))</f>
        <v>UGTLGICCO-N</v>
      </c>
      <c r="D175" s="440" t="str">
        <f ca="1">IF($A175="*","",IF(VLOOKUP("*"&amp;$L175,$A$10:$H$18,D$9+1,FALSE)="-","-",OFFSET(UPS!$C$37,N175+O175,SUMIF($A$10:$A$18,"*"&amp;L175,$M$10:$M$18))))</f>
        <v>OAG</v>
      </c>
      <c r="E175" s="440" t="str">
        <f t="shared" ca="1" si="61"/>
        <v>UGTLGICCO-N-O</v>
      </c>
      <c r="F175" s="440" t="str">
        <f t="shared" si="62"/>
        <v>-</v>
      </c>
      <c r="G175" s="440" t="str">
        <f t="shared" si="63"/>
        <v>-</v>
      </c>
      <c r="H175" s="440" t="str">
        <f t="shared" si="64"/>
        <v>-</v>
      </c>
      <c r="I175" s="163">
        <v>1</v>
      </c>
      <c r="K175" s="42">
        <f t="shared" ref="K175:K194" si="66">K174</f>
        <v>8</v>
      </c>
      <c r="L175" s="42">
        <v>2</v>
      </c>
      <c r="N175" s="42">
        <f ca="1">SUMIF(UPS!B$38:B$123,C175,UPS!BD$38:BD$123)</f>
        <v>43</v>
      </c>
      <c r="O175" s="42">
        <f t="shared" si="65"/>
        <v>3</v>
      </c>
    </row>
    <row r="176" spans="1:15">
      <c r="B176" s="440" t="str">
        <f t="shared" si="60"/>
        <v>COM_GMAP</v>
      </c>
      <c r="C176" s="440" t="str">
        <f ca="1">IF($A176="*","",OFFSET(ITEMS_UPS!$C$8,K176,0))</f>
        <v>UGTLGICCO-N</v>
      </c>
      <c r="D176" s="440" t="str">
        <f ca="1">IF($A176="*","",IF(VLOOKUP("*"&amp;$L176,$A$10:$H$18,D$9+1,FALSE)="-","-",OFFSET(UPS!$C$37,N176+O176,SUMIF($A$10:$A$18,"*"&amp;L176,$M$10:$M$18))))</f>
        <v>ODS</v>
      </c>
      <c r="E176" s="440" t="str">
        <f t="shared" ca="1" si="61"/>
        <v>UGTLGICCO-N-O</v>
      </c>
      <c r="F176" s="440" t="str">
        <f t="shared" si="62"/>
        <v>-</v>
      </c>
      <c r="G176" s="440" t="str">
        <f t="shared" si="63"/>
        <v>-</v>
      </c>
      <c r="H176" s="440" t="str">
        <f t="shared" si="64"/>
        <v>-</v>
      </c>
      <c r="I176" s="163">
        <v>1</v>
      </c>
      <c r="K176" s="42">
        <f t="shared" si="66"/>
        <v>8</v>
      </c>
      <c r="L176" s="42">
        <f>L175</f>
        <v>2</v>
      </c>
      <c r="N176" s="42">
        <f ca="1">SUMIF(UPS!B$38:B$123,C176,UPS!BD$38:BD$123)</f>
        <v>43</v>
      </c>
      <c r="O176" s="42">
        <f t="shared" si="65"/>
        <v>4</v>
      </c>
    </row>
    <row r="177" spans="2:15">
      <c r="B177" s="440" t="str">
        <f t="shared" si="60"/>
        <v>COM_GMAP</v>
      </c>
      <c r="C177" s="440" t="str">
        <f ca="1">IF($A177="*","",OFFSET(ITEMS_UPS!$C$8,K177,0))</f>
        <v>UGTLGICCO-N</v>
      </c>
      <c r="D177" s="440" t="str">
        <f ca="1">IF($A177="*","",IF(VLOOKUP("*"&amp;$L177,$A$10:$H$18,D$9+1,FALSE)="-","-",OFFSET(UPS!$C$37,N177+O177,SUMIF($A$10:$A$18,"*"&amp;L177,$M$10:$M$18))))</f>
        <v>OGS</v>
      </c>
      <c r="E177" s="440" t="str">
        <f t="shared" ca="1" si="61"/>
        <v>UGTLGICCO-N-O</v>
      </c>
      <c r="F177" s="440" t="str">
        <f t="shared" si="62"/>
        <v>-</v>
      </c>
      <c r="G177" s="440" t="str">
        <f t="shared" si="63"/>
        <v>-</v>
      </c>
      <c r="H177" s="440" t="str">
        <f t="shared" si="64"/>
        <v>-</v>
      </c>
      <c r="I177" s="163">
        <v>1</v>
      </c>
      <c r="K177" s="42">
        <f t="shared" si="66"/>
        <v>8</v>
      </c>
      <c r="L177" s="42">
        <f>L176</f>
        <v>2</v>
      </c>
      <c r="N177" s="42">
        <f ca="1">SUMIF(UPS!B$38:B$123,C177,UPS!BD$38:BD$123)</f>
        <v>43</v>
      </c>
      <c r="O177" s="42">
        <f t="shared" si="65"/>
        <v>5</v>
      </c>
    </row>
    <row r="178" spans="2:15">
      <c r="B178" s="440" t="str">
        <f t="shared" si="60"/>
        <v>COM_GMAP</v>
      </c>
      <c r="C178" s="440" t="str">
        <f ca="1">IF($A178="*","",OFFSET(ITEMS_UPS!$C$8,K178,0))</f>
        <v>UGTLGICCO-N</v>
      </c>
      <c r="D178" s="440" t="str">
        <f ca="1">IF($A178="*","",IF(VLOOKUP("*"&amp;$L178,$A$10:$H$18,D$9+1,FALSE)="-","-",OFFSET(UPS!$C$37,N178+O178,SUMIF($A$10:$A$18,"*"&amp;L178,$M$10:$M$18))))</f>
        <v>OKE</v>
      </c>
      <c r="E178" s="440" t="str">
        <f t="shared" ca="1" si="61"/>
        <v>UGTLGICCO-N-O</v>
      </c>
      <c r="F178" s="440" t="str">
        <f t="shared" si="62"/>
        <v>-</v>
      </c>
      <c r="G178" s="440" t="str">
        <f t="shared" si="63"/>
        <v>-</v>
      </c>
      <c r="H178" s="440" t="str">
        <f t="shared" si="64"/>
        <v>-</v>
      </c>
      <c r="I178" s="163">
        <v>1</v>
      </c>
      <c r="K178" s="42">
        <f t="shared" si="66"/>
        <v>8</v>
      </c>
      <c r="L178" s="42">
        <f>L177</f>
        <v>2</v>
      </c>
      <c r="N178" s="42">
        <f ca="1">SUMIF(UPS!B$38:B$123,C178,UPS!BD$38:BD$123)</f>
        <v>43</v>
      </c>
      <c r="O178" s="42">
        <f t="shared" si="65"/>
        <v>6</v>
      </c>
    </row>
    <row r="179" spans="2:15">
      <c r="B179" s="440" t="str">
        <f t="shared" si="60"/>
        <v>COM_GMAP</v>
      </c>
      <c r="C179" s="440" t="str">
        <f ca="1">IF($A179="*","",OFFSET(ITEMS_UPS!$C$8,K179,0))</f>
        <v>UGTLGICCO-N</v>
      </c>
      <c r="D179" s="440" t="str">
        <f ca="1">IF($A179="*","",IF(VLOOKUP("*"&amp;$L179,$A$10:$H$18,D$9+1,FALSE)="-","-",OFFSET(UPS!$C$37,N179+O179,SUMIF($A$10:$A$18,"*"&amp;L179,$M$10:$M$18))))</f>
        <v>OLP</v>
      </c>
      <c r="E179" s="440" t="str">
        <f t="shared" ca="1" si="61"/>
        <v>UGTLGICCO-N-O</v>
      </c>
      <c r="F179" s="440" t="str">
        <f t="shared" si="62"/>
        <v>-</v>
      </c>
      <c r="G179" s="440" t="str">
        <f t="shared" si="63"/>
        <v>-</v>
      </c>
      <c r="H179" s="440" t="str">
        <f t="shared" si="64"/>
        <v>-</v>
      </c>
      <c r="I179" s="163">
        <v>1</v>
      </c>
      <c r="K179" s="42">
        <f t="shared" si="66"/>
        <v>8</v>
      </c>
      <c r="L179" s="42">
        <f>L178</f>
        <v>2</v>
      </c>
      <c r="N179" s="42">
        <f ca="1">SUMIF(UPS!B$38:B$123,C179,UPS!BD$38:BD$123)</f>
        <v>43</v>
      </c>
      <c r="O179" s="42">
        <f t="shared" si="65"/>
        <v>7</v>
      </c>
    </row>
    <row r="180" spans="2:15">
      <c r="B180" s="440" t="str">
        <f t="shared" si="60"/>
        <v>COM_GMAP</v>
      </c>
      <c r="C180" s="440" t="str">
        <f ca="1">IF($A180="*","",OFFSET(ITEMS_UPS!$C$8,K180,0))</f>
        <v>UGTLGICCO-N</v>
      </c>
      <c r="D180" s="440" t="str">
        <f ca="1">IF($A180="*","",IF(VLOOKUP("*"&amp;$L180,$A$10:$H$18,D$9+1,FALSE)="-","-",OFFSET(UPS!$C$37,N180+O180,SUMIF($A$10:$A$18,"*"&amp;L180,$M$10:$M$18))))</f>
        <v>OTH</v>
      </c>
      <c r="E180" s="440" t="str">
        <f t="shared" ca="1" si="61"/>
        <v>UGTLGICCO-N-O</v>
      </c>
      <c r="F180" s="440" t="str">
        <f t="shared" si="62"/>
        <v>-</v>
      </c>
      <c r="G180" s="440" t="str">
        <f t="shared" si="63"/>
        <v>-</v>
      </c>
      <c r="H180" s="440" t="str">
        <f t="shared" si="64"/>
        <v>-</v>
      </c>
      <c r="I180" s="163">
        <v>1</v>
      </c>
      <c r="K180" s="42">
        <f t="shared" si="66"/>
        <v>8</v>
      </c>
      <c r="L180" s="42">
        <f>L179</f>
        <v>2</v>
      </c>
      <c r="N180" s="42">
        <f ca="1">SUMIF(UPS!B$38:B$123,C180,UPS!BD$38:BD$123)</f>
        <v>43</v>
      </c>
      <c r="O180" s="42">
        <f t="shared" si="65"/>
        <v>8</v>
      </c>
    </row>
    <row r="181" spans="2:15">
      <c r="B181" s="440" t="str">
        <f t="shared" si="60"/>
        <v>PRC_ACTUNT</v>
      </c>
      <c r="C181" s="440" t="str">
        <f ca="1">IF($A181="*","",OFFSET(ITEMS_UPS!$C$8,K181,0))</f>
        <v>UGTLGICCO-N</v>
      </c>
      <c r="D181" s="440" t="str">
        <f ca="1">IF($A181="*","",IF(VLOOKUP("*"&amp;$L181,$A$10:$H$18,D$9+1,FALSE)="-","-",OFFSET(UPS!$C$37,N181+O181,SUMIF($A$10:$A$18,"*"&amp;L181,$M$10:$M$18))))</f>
        <v>-</v>
      </c>
      <c r="E181" s="440" t="str">
        <f t="shared" ca="1" si="61"/>
        <v>UGTLGICCO-N-O</v>
      </c>
      <c r="F181" s="440" t="str">
        <f t="shared" si="62"/>
        <v>-</v>
      </c>
      <c r="G181" s="440" t="str">
        <f t="shared" si="63"/>
        <v>-</v>
      </c>
      <c r="H181" s="440" t="str">
        <f t="shared" si="64"/>
        <v>-</v>
      </c>
      <c r="I181" s="163">
        <v>1</v>
      </c>
      <c r="K181" s="42">
        <f t="shared" si="66"/>
        <v>8</v>
      </c>
      <c r="L181" s="42">
        <f>IF(K181=K179,L179+1,1)</f>
        <v>3</v>
      </c>
      <c r="N181" s="42">
        <f ca="1">SUMIF(UPS!B$38:B$123,C181,UPS!BD$38:BD$123)</f>
        <v>43</v>
      </c>
    </row>
    <row r="182" spans="2:15">
      <c r="B182" s="440" t="str">
        <f t="shared" si="60"/>
        <v>PRC_CAPACT</v>
      </c>
      <c r="C182" s="440" t="str">
        <f ca="1">IF($A182="*","",OFFSET(ITEMS_UPS!$C$8,K182,0))</f>
        <v>UGTLGICCO-N</v>
      </c>
      <c r="D182" s="440" t="str">
        <f ca="1">IF($A182="*","",IF(VLOOKUP("*"&amp;$L182,$A$10:$H$18,D$9+1,FALSE)="-","-",OFFSET(UPS!$C$37,N182+O182,SUMIF($A$10:$A$18,"*"&amp;L182,$M$10:$M$18))))</f>
        <v>-</v>
      </c>
      <c r="E182" s="440" t="str">
        <f t="shared" si="61"/>
        <v>-</v>
      </c>
      <c r="F182" s="440" t="str">
        <f t="shared" si="62"/>
        <v>-</v>
      </c>
      <c r="G182" s="440" t="str">
        <f t="shared" si="63"/>
        <v>-</v>
      </c>
      <c r="H182" s="440" t="str">
        <f t="shared" si="64"/>
        <v>-</v>
      </c>
      <c r="I182" s="163">
        <v>1</v>
      </c>
      <c r="K182" s="42">
        <f t="shared" si="66"/>
        <v>8</v>
      </c>
      <c r="L182" s="42">
        <f>IF(K182=K181,L181+1,1)</f>
        <v>4</v>
      </c>
      <c r="N182" s="42">
        <f ca="1">SUMIF(UPS!B$38:B$123,C182,UPS!BD$38:BD$123)</f>
        <v>43</v>
      </c>
    </row>
    <row r="183" spans="2:15">
      <c r="B183" s="440" t="str">
        <f t="shared" si="60"/>
        <v>TOP-IN</v>
      </c>
      <c r="C183" s="440" t="str">
        <f ca="1">IF($A183="*","",OFFSET(ITEMS_UPS!$C$8,K183,0))</f>
        <v>UGTLGICCO-N</v>
      </c>
      <c r="D183" s="440" t="str">
        <f ca="1">IF($A183="*","",IF(VLOOKUP("*"&amp;$L183,$A$10:$H$18,D$9+1,FALSE)="-","-",OFFSET(UPS!$C$37,N183+O183,SUMIF($A$10:$A$18,"*"&amp;L183,$M$10:$M$18))))</f>
        <v>UPSGIC</v>
      </c>
      <c r="E183" s="440" t="str">
        <f t="shared" si="61"/>
        <v>-</v>
      </c>
      <c r="F183" s="440" t="str">
        <f t="shared" si="62"/>
        <v>-</v>
      </c>
      <c r="G183" s="440" t="str">
        <f t="shared" si="63"/>
        <v>-</v>
      </c>
      <c r="H183" s="440" t="str">
        <f t="shared" si="64"/>
        <v>-</v>
      </c>
      <c r="I183" s="163">
        <v>1</v>
      </c>
      <c r="K183" s="42">
        <f t="shared" si="66"/>
        <v>8</v>
      </c>
      <c r="L183" s="42">
        <f>IF(K183=K182,L182+1,1)</f>
        <v>5</v>
      </c>
      <c r="N183" s="42">
        <f ca="1">SUMIF(UPS!B$38:B$123,C183,UPS!BD$38:BD$123)</f>
        <v>43</v>
      </c>
      <c r="O183" s="42">
        <v>0</v>
      </c>
    </row>
    <row r="184" spans="2:15">
      <c r="B184" s="440" t="str">
        <f t="shared" si="60"/>
        <v>TOP-IN</v>
      </c>
      <c r="C184" s="440" t="str">
        <f ca="1">IF($A184="*","",OFFSET(ITEMS_UPS!$C$8,K184,0))</f>
        <v>UGTLGICCO-N</v>
      </c>
      <c r="D184" s="440" t="str">
        <f ca="1">IF($A184="*","",IF(VLOOKUP("*"&amp;$L184,$A$10:$H$18,D$9+1,FALSE)="-","-",OFFSET(UPS!$C$37,N184+O184,SUMIF($A$10:$A$18,"*"&amp;L184,$M$10:$M$18))))</f>
        <v>UPSOCR</v>
      </c>
      <c r="E184" s="440" t="str">
        <f t="shared" si="61"/>
        <v>-</v>
      </c>
      <c r="F184" s="440" t="str">
        <f t="shared" si="62"/>
        <v>-</v>
      </c>
      <c r="G184" s="440" t="str">
        <f t="shared" si="63"/>
        <v>-</v>
      </c>
      <c r="H184" s="440" t="str">
        <f t="shared" si="64"/>
        <v>-</v>
      </c>
      <c r="I184" s="163">
        <v>1</v>
      </c>
      <c r="K184" s="42">
        <f t="shared" si="66"/>
        <v>8</v>
      </c>
      <c r="L184" s="42">
        <f>L183</f>
        <v>5</v>
      </c>
      <c r="N184" s="42">
        <f ca="1">SUMIF(UPS!B$38:B$123,C184,UPS!BD$38:BD$123)</f>
        <v>43</v>
      </c>
      <c r="O184" s="42">
        <f>O183+1</f>
        <v>1</v>
      </c>
    </row>
    <row r="185" spans="2:15">
      <c r="B185" s="440" t="str">
        <f t="shared" si="60"/>
        <v>TOP-IN</v>
      </c>
      <c r="C185" s="440" t="str">
        <f ca="1">IF($A185="*","",OFFSET(ITEMS_UPS!$C$8,K185,0))</f>
        <v>UGTLGICCO-N</v>
      </c>
      <c r="D185" s="440" t="str">
        <f ca="1">IF($A185="*","",IF(VLOOKUP("*"&amp;$L185,$A$10:$H$18,D$9+1,FALSE)="-","-",OFFSET(UPS!$C$37,N185+O185,SUMIF($A$10:$A$18,"*"&amp;L185,$M$10:$M$18))))</f>
        <v>UPSELC</v>
      </c>
      <c r="E185" s="440" t="str">
        <f t="shared" si="61"/>
        <v>-</v>
      </c>
      <c r="F185" s="440" t="str">
        <f t="shared" si="62"/>
        <v>-</v>
      </c>
      <c r="G185" s="440" t="str">
        <f t="shared" si="63"/>
        <v>-</v>
      </c>
      <c r="H185" s="440" t="str">
        <f t="shared" si="64"/>
        <v>-</v>
      </c>
      <c r="I185" s="163">
        <v>1</v>
      </c>
      <c r="K185" s="42">
        <f t="shared" si="66"/>
        <v>8</v>
      </c>
      <c r="L185" s="42">
        <f>L184</f>
        <v>5</v>
      </c>
      <c r="N185" s="42">
        <f ca="1">SUMIF(UPS!B$38:B$123,C185,UPS!BD$38:BD$123)</f>
        <v>43</v>
      </c>
      <c r="O185" s="42">
        <f>O184+1</f>
        <v>2</v>
      </c>
    </row>
    <row r="186" spans="2:15">
      <c r="B186" s="440" t="str">
        <f t="shared" si="60"/>
        <v>TOP-OUT</v>
      </c>
      <c r="C186" s="440" t="str">
        <f ca="1">IF($A186="*","",OFFSET(ITEMS_UPS!$C$8,K186,0))</f>
        <v>UGTLGICCO-N</v>
      </c>
      <c r="D186" s="440" t="str">
        <f ca="1">IF($A186="*","",IF(VLOOKUP("*"&amp;$L186,$A$10:$H$18,D$9+1,FALSE)="-","-",OFFSET(UPS!$C$37,N186+O186,SUMIF($A$10:$A$18,"*"&amp;L186,$M$10:$M$18))))</f>
        <v>OAG</v>
      </c>
      <c r="E186" s="440" t="str">
        <f t="shared" si="61"/>
        <v>-</v>
      </c>
      <c r="F186" s="440" t="str">
        <f t="shared" si="62"/>
        <v>-</v>
      </c>
      <c r="G186" s="440" t="str">
        <f t="shared" si="63"/>
        <v>-</v>
      </c>
      <c r="H186" s="440" t="str">
        <f t="shared" si="64"/>
        <v>-</v>
      </c>
      <c r="I186" s="163">
        <v>1</v>
      </c>
      <c r="K186" s="42">
        <f t="shared" si="66"/>
        <v>8</v>
      </c>
      <c r="L186" s="42">
        <f>IF(K186=K184,L184+1,1)</f>
        <v>6</v>
      </c>
      <c r="N186" s="42">
        <f ca="1">SUMIF(UPS!B$38:B$123,C186,UPS!BD$38:BD$123)</f>
        <v>43</v>
      </c>
      <c r="O186" s="42">
        <f t="shared" ref="O186:O191" si="67">O185+1</f>
        <v>3</v>
      </c>
    </row>
    <row r="187" spans="2:15">
      <c r="B187" s="440" t="str">
        <f t="shared" si="60"/>
        <v>TOP-OUT</v>
      </c>
      <c r="C187" s="440" t="str">
        <f ca="1">IF($A187="*","",OFFSET(ITEMS_UPS!$C$8,K187,0))</f>
        <v>UGTLGICCO-N</v>
      </c>
      <c r="D187" s="440" t="str">
        <f ca="1">IF($A187="*","",IF(VLOOKUP("*"&amp;$L187,$A$10:$H$18,D$9+1,FALSE)="-","-",OFFSET(UPS!$C$37,N187+O187,SUMIF($A$10:$A$18,"*"&amp;L187,$M$10:$M$18))))</f>
        <v>ODS</v>
      </c>
      <c r="E187" s="440" t="str">
        <f t="shared" si="61"/>
        <v>-</v>
      </c>
      <c r="F187" s="440" t="str">
        <f t="shared" si="62"/>
        <v>-</v>
      </c>
      <c r="G187" s="440" t="str">
        <f t="shared" si="63"/>
        <v>-</v>
      </c>
      <c r="H187" s="440" t="str">
        <f t="shared" si="64"/>
        <v>-</v>
      </c>
      <c r="I187" s="163">
        <v>1</v>
      </c>
      <c r="K187" s="42">
        <f t="shared" si="66"/>
        <v>8</v>
      </c>
      <c r="L187" s="42">
        <f>L186</f>
        <v>6</v>
      </c>
      <c r="N187" s="42">
        <f ca="1">SUMIF(UPS!B$38:B$123,C187,UPS!BD$38:BD$123)</f>
        <v>43</v>
      </c>
      <c r="O187" s="42">
        <f t="shared" si="67"/>
        <v>4</v>
      </c>
    </row>
    <row r="188" spans="2:15">
      <c r="B188" s="440" t="str">
        <f t="shared" si="60"/>
        <v>TOP-OUT</v>
      </c>
      <c r="C188" s="440" t="str">
        <f ca="1">IF($A188="*","",OFFSET(ITEMS_UPS!$C$8,K188,0))</f>
        <v>UGTLGICCO-N</v>
      </c>
      <c r="D188" s="440" t="str">
        <f ca="1">IF($A188="*","",IF(VLOOKUP("*"&amp;$L188,$A$10:$H$18,D$9+1,FALSE)="-","-",OFFSET(UPS!$C$37,N188+O188,SUMIF($A$10:$A$18,"*"&amp;L188,$M$10:$M$18))))</f>
        <v>OGS</v>
      </c>
      <c r="E188" s="440" t="str">
        <f t="shared" si="61"/>
        <v>-</v>
      </c>
      <c r="F188" s="440" t="str">
        <f t="shared" si="62"/>
        <v>-</v>
      </c>
      <c r="G188" s="440" t="str">
        <f t="shared" si="63"/>
        <v>-</v>
      </c>
      <c r="H188" s="440" t="str">
        <f t="shared" si="64"/>
        <v>-</v>
      </c>
      <c r="I188" s="163">
        <v>1</v>
      </c>
      <c r="K188" s="42">
        <f t="shared" si="66"/>
        <v>8</v>
      </c>
      <c r="L188" s="42">
        <f>L187</f>
        <v>6</v>
      </c>
      <c r="N188" s="42">
        <f ca="1">SUMIF(UPS!B$38:B$123,C188,UPS!BD$38:BD$123)</f>
        <v>43</v>
      </c>
      <c r="O188" s="42">
        <f t="shared" si="67"/>
        <v>5</v>
      </c>
    </row>
    <row r="189" spans="2:15">
      <c r="B189" s="440" t="str">
        <f t="shared" si="60"/>
        <v>TOP-OUT</v>
      </c>
      <c r="C189" s="440" t="str">
        <f ca="1">IF($A189="*","",OFFSET(ITEMS_UPS!$C$8,K189,0))</f>
        <v>UGTLGICCO-N</v>
      </c>
      <c r="D189" s="440" t="str">
        <f ca="1">IF($A189="*","",IF(VLOOKUP("*"&amp;$L189,$A$10:$H$18,D$9+1,FALSE)="-","-",OFFSET(UPS!$C$37,N189+O189,SUMIF($A$10:$A$18,"*"&amp;L189,$M$10:$M$18))))</f>
        <v>OKE</v>
      </c>
      <c r="E189" s="440" t="str">
        <f t="shared" si="61"/>
        <v>-</v>
      </c>
      <c r="F189" s="440" t="str">
        <f t="shared" si="62"/>
        <v>-</v>
      </c>
      <c r="G189" s="440" t="str">
        <f t="shared" si="63"/>
        <v>-</v>
      </c>
      <c r="H189" s="440" t="str">
        <f t="shared" si="64"/>
        <v>-</v>
      </c>
      <c r="I189" s="163">
        <v>1</v>
      </c>
      <c r="K189" s="42">
        <f t="shared" si="66"/>
        <v>8</v>
      </c>
      <c r="L189" s="42">
        <f>L188</f>
        <v>6</v>
      </c>
      <c r="N189" s="42">
        <f ca="1">SUMIF(UPS!B$38:B$123,C189,UPS!BD$38:BD$123)</f>
        <v>43</v>
      </c>
      <c r="O189" s="42">
        <f t="shared" si="67"/>
        <v>6</v>
      </c>
    </row>
    <row r="190" spans="2:15">
      <c r="B190" s="440" t="str">
        <f t="shared" si="60"/>
        <v>TOP-OUT</v>
      </c>
      <c r="C190" s="440" t="str">
        <f ca="1">IF($A190="*","",OFFSET(ITEMS_UPS!$C$8,K190,0))</f>
        <v>UGTLGICCO-N</v>
      </c>
      <c r="D190" s="440" t="str">
        <f ca="1">IF($A190="*","",IF(VLOOKUP("*"&amp;$L190,$A$10:$H$18,D$9+1,FALSE)="-","-",OFFSET(UPS!$C$37,N190+O190,SUMIF($A$10:$A$18,"*"&amp;L190,$M$10:$M$18))))</f>
        <v>OLP</v>
      </c>
      <c r="E190" s="440" t="str">
        <f t="shared" si="61"/>
        <v>-</v>
      </c>
      <c r="F190" s="440" t="str">
        <f t="shared" si="62"/>
        <v>-</v>
      </c>
      <c r="G190" s="440" t="str">
        <f t="shared" si="63"/>
        <v>-</v>
      </c>
      <c r="H190" s="440" t="str">
        <f t="shared" si="64"/>
        <v>-</v>
      </c>
      <c r="I190" s="163">
        <v>1</v>
      </c>
      <c r="K190" s="42">
        <f t="shared" si="66"/>
        <v>8</v>
      </c>
      <c r="L190" s="42">
        <f>L189</f>
        <v>6</v>
      </c>
      <c r="N190" s="42">
        <f ca="1">SUMIF(UPS!B$38:B$123,C190,UPS!BD$38:BD$123)</f>
        <v>43</v>
      </c>
      <c r="O190" s="42">
        <f t="shared" si="67"/>
        <v>7</v>
      </c>
    </row>
    <row r="191" spans="2:15">
      <c r="B191" s="440" t="str">
        <f t="shared" si="60"/>
        <v>TOP-OUT</v>
      </c>
      <c r="C191" s="440" t="str">
        <f ca="1">IF($A191="*","",OFFSET(ITEMS_UPS!$C$8,K191,0))</f>
        <v>UGTLGICCO-N</v>
      </c>
      <c r="D191" s="440" t="str">
        <f ca="1">IF($A191="*","",IF(VLOOKUP("*"&amp;$L191,$A$10:$H$18,D$9+1,FALSE)="-","-",OFFSET(UPS!$C$37,N191+O191,SUMIF($A$10:$A$18,"*"&amp;L191,$M$10:$M$18))))</f>
        <v>OTH</v>
      </c>
      <c r="E191" s="440" t="str">
        <f t="shared" si="61"/>
        <v>-</v>
      </c>
      <c r="F191" s="440" t="str">
        <f t="shared" si="62"/>
        <v>-</v>
      </c>
      <c r="G191" s="440" t="str">
        <f t="shared" si="63"/>
        <v>-</v>
      </c>
      <c r="H191" s="440" t="str">
        <f t="shared" si="64"/>
        <v>-</v>
      </c>
      <c r="I191" s="163">
        <v>1</v>
      </c>
      <c r="K191" s="42">
        <f t="shared" si="66"/>
        <v>8</v>
      </c>
      <c r="L191" s="42">
        <f>L190</f>
        <v>6</v>
      </c>
      <c r="N191" s="42">
        <f ca="1">SUMIF(UPS!B$38:B$123,C191,UPS!BD$38:BD$123)</f>
        <v>43</v>
      </c>
      <c r="O191" s="42">
        <f t="shared" si="67"/>
        <v>8</v>
      </c>
    </row>
    <row r="192" spans="2:15">
      <c r="B192" s="440" t="str">
        <f t="shared" si="60"/>
        <v>TOP-OUT</v>
      </c>
      <c r="C192" s="440" t="str">
        <f ca="1">IF($A192="*","",OFFSET(ITEMS_UPS!$C$8,K192,0))</f>
        <v>UGTLGICCO-N</v>
      </c>
      <c r="D192" s="440" t="str">
        <f>$D$16</f>
        <v>UPSCO2S</v>
      </c>
      <c r="E192" s="440" t="str">
        <f t="shared" si="61"/>
        <v>-</v>
      </c>
      <c r="F192" s="440" t="str">
        <f t="shared" si="62"/>
        <v>-</v>
      </c>
      <c r="G192" s="440" t="str">
        <f t="shared" si="63"/>
        <v>-</v>
      </c>
      <c r="H192" s="440" t="str">
        <f t="shared" si="64"/>
        <v>-</v>
      </c>
      <c r="I192" s="163">
        <v>1</v>
      </c>
      <c r="K192" s="42">
        <f t="shared" si="66"/>
        <v>8</v>
      </c>
      <c r="L192" s="42">
        <f>IF(K192=K190,L190+1,1)</f>
        <v>7</v>
      </c>
      <c r="N192" s="42">
        <f ca="1">SUMIF(UPS!B$38:B$123,C192,UPS!BD$38:BD$123)</f>
        <v>43</v>
      </c>
    </row>
    <row r="193" spans="1:15">
      <c r="B193" s="440" t="str">
        <f t="shared" si="60"/>
        <v>TOP-OUT</v>
      </c>
      <c r="C193" s="440" t="str">
        <f ca="1">IF($A193="*","",OFFSET(ITEMS_UPS!$C$8,K193,0))</f>
        <v>UGTLGICCO-N</v>
      </c>
      <c r="D193" s="440" t="str">
        <f>$D$17</f>
        <v>UPSCH4S</v>
      </c>
      <c r="E193" s="440" t="str">
        <f t="shared" si="61"/>
        <v>-</v>
      </c>
      <c r="F193" s="440" t="str">
        <f t="shared" si="62"/>
        <v>-</v>
      </c>
      <c r="G193" s="440" t="str">
        <f t="shared" si="63"/>
        <v>-</v>
      </c>
      <c r="H193" s="440" t="str">
        <f t="shared" si="64"/>
        <v>-</v>
      </c>
      <c r="I193" s="163">
        <v>1</v>
      </c>
      <c r="K193" s="42">
        <f t="shared" si="66"/>
        <v>8</v>
      </c>
      <c r="L193" s="42">
        <v>8</v>
      </c>
      <c r="N193" s="42">
        <f ca="1">SUMIF(UPS!B$38:B$123,C193,UPS!BD$38:BD$123)</f>
        <v>43</v>
      </c>
    </row>
    <row r="194" spans="1:15" s="525" customFormat="1">
      <c r="B194" s="524" t="str">
        <f>IF(A194="*","",VLOOKUP("*"&amp;L194,$A$9:$B$18,2,FALSE))</f>
        <v>NCAP_START</v>
      </c>
      <c r="C194" s="524" t="str">
        <f ca="1">IF($A194="*","",OFFSET(ITEMS_UPS!$C$8,K194,0))</f>
        <v>UGTLGICCO-N</v>
      </c>
      <c r="D194" s="524" t="str">
        <f ca="1">IF($A194="*","",IF(VLOOKUP("*"&amp;$L194,$A$10:$H$18,D$9+1,FALSE)="-","-",OFFSET(UPS!$C$37,N194+O194,SUMIF($A$10:$A$18,"*"&amp;L194,$M$10:$M$18))))</f>
        <v>-</v>
      </c>
      <c r="E194" s="524" t="str">
        <f>IF($A194="*","",IF(VLOOKUP("*"&amp;$L194,$A$10:$H$18,E$9+1,FALSE)="-","-",C194&amp;"-"&amp;RIGHT(VLOOKUP("*"&amp;$L194,$A$10:$H$18,E$9+1,FALSE),1)))</f>
        <v>-</v>
      </c>
      <c r="F194" s="524" t="str">
        <f>IF($A194="*","",IF(VLOOKUP("*"&amp;$L194,$A$10:$H$18,F$9+1,FALSE)="-","-",C194&amp;"-"&amp;RIGHT(VLOOKUP("*"&amp;$L194,$A$10:$H$18,F$9+1,FALSE),1)))</f>
        <v>-</v>
      </c>
      <c r="G194" s="524" t="str">
        <f>IF($A194="*","",VLOOKUP($B194,$B$10:$H$18,G$9,FALSE))</f>
        <v>-</v>
      </c>
      <c r="H194" s="524" t="str">
        <f>IF($A194="*","",VLOOKUP($B194,$B$10:$H$18,H$9,FALSE))</f>
        <v>-</v>
      </c>
      <c r="I194" s="524">
        <f ca="1">IF($A194="*","",OFFSET(UPS!$C$37,N194,SUMIF($B$10:$B$18,B194,$M$10:$M$18)))</f>
        <v>2025</v>
      </c>
      <c r="K194" s="525">
        <f t="shared" si="66"/>
        <v>8</v>
      </c>
      <c r="L194" s="525">
        <f>L193+1</f>
        <v>9</v>
      </c>
      <c r="N194" s="525">
        <f ca="1">SUMIF(UPS!B$38:B$123,C194,UPS!BD$38:BD$123)</f>
        <v>43</v>
      </c>
    </row>
    <row r="195" spans="1:15">
      <c r="A195" s="42" t="s">
        <v>310</v>
      </c>
      <c r="B195" s="438"/>
      <c r="C195" s="438"/>
      <c r="D195" s="438"/>
      <c r="E195" s="438"/>
      <c r="F195" s="438"/>
      <c r="G195" s="438"/>
      <c r="H195" s="438"/>
    </row>
    <row r="196" spans="1:15">
      <c r="B196" s="440" t="str">
        <f t="shared" ref="B196:B217" si="68">IF(A196="*","",VLOOKUP("*"&amp;L196,$A$9:$B$18,2,FALSE))</f>
        <v>COM_GMAP</v>
      </c>
      <c r="C196" s="440" t="str">
        <f ca="1">IF($A196="*","",OFFSET(ITEMS_UPS!$C$8,K196,0))</f>
        <v>UREFOCRCO-N</v>
      </c>
      <c r="D196" s="440" t="str">
        <f ca="1">IF($A196="*","",IF(VLOOKUP("*"&amp;$L196,$A$10:$H$18,D$9+1,FALSE)="-","-",OFFSET(UPS!$C$37,N196+O196,SUMIF($A$10:$A$18,"*"&amp;L196,$M$10:$M$18))))</f>
        <v>UPSOCR</v>
      </c>
      <c r="E196" s="440" t="str">
        <f t="shared" ref="E196:E218" ca="1" si="69">IF($A196="*","",IF(VLOOKUP("*"&amp;$L196,$A$10:$H$18,E$9+1,FALSE)="-","-",C196&amp;"-"&amp;RIGHT(VLOOKUP("*"&amp;$L196,$A$10:$H$18,E$9+1,FALSE),1)))</f>
        <v>UREFOCRCO-N-I</v>
      </c>
      <c r="F196" s="440" t="str">
        <f t="shared" ref="F196:F218" si="70">IF($A196="*","",IF(VLOOKUP("*"&amp;$L196,$A$10:$H$18,F$9+1,FALSE)="-","-",C196&amp;"-"&amp;RIGHT(VLOOKUP("*"&amp;$L196,$A$10:$H$18,F$9+1,FALSE),1)))</f>
        <v>-</v>
      </c>
      <c r="G196" s="440" t="str">
        <f t="shared" ref="G196:G217" si="71">IF($A196="*","",VLOOKUP($B196,$B$10:$H$18,G$9,FALSE))</f>
        <v>-</v>
      </c>
      <c r="H196" s="440" t="str">
        <f t="shared" ref="H196:H217" si="72">IF($A196="*","",VLOOKUP("*"&amp;$L196,$A$10:$H$18,H$9+1,FALSE))</f>
        <v>-</v>
      </c>
      <c r="I196" s="163">
        <v>1</v>
      </c>
      <c r="K196" s="42">
        <f>K194+1</f>
        <v>9</v>
      </c>
      <c r="L196" s="42">
        <v>1</v>
      </c>
      <c r="N196" s="42">
        <f ca="1">SUMIF(UPS!B$38:B$123,C196,UPS!BD$38:BD$123)</f>
        <v>77</v>
      </c>
      <c r="O196" s="42">
        <v>0</v>
      </c>
    </row>
    <row r="197" spans="1:15">
      <c r="B197" s="440" t="str">
        <f t="shared" si="68"/>
        <v>COM_GMAP</v>
      </c>
      <c r="C197" s="440" t="str">
        <f ca="1">IF($A197="*","",OFFSET(ITEMS_UPS!$C$8,K197,0))</f>
        <v>UREFOCRCO-N</v>
      </c>
      <c r="D197" s="440" t="str">
        <f ca="1">IF($A197="*","",IF(VLOOKUP("*"&amp;$L197,$A$10:$H$18,D$9+1,FALSE)="-","-",OFFSET(UPS!$C$37,N197+O197,SUMIF($A$10:$A$18,"*"&amp;L197,$M$10:$M$18))))</f>
        <v>UPSGIC</v>
      </c>
      <c r="E197" s="440" t="str">
        <f t="shared" ca="1" si="69"/>
        <v>UREFOCRCO-N-I</v>
      </c>
      <c r="F197" s="440" t="str">
        <f t="shared" si="70"/>
        <v>-</v>
      </c>
      <c r="G197" s="440" t="str">
        <f t="shared" si="71"/>
        <v>-</v>
      </c>
      <c r="H197" s="440" t="str">
        <f t="shared" si="72"/>
        <v>-</v>
      </c>
      <c r="I197" s="163">
        <v>1</v>
      </c>
      <c r="K197" s="42">
        <f>K196</f>
        <v>9</v>
      </c>
      <c r="L197" s="42">
        <f>L196</f>
        <v>1</v>
      </c>
      <c r="N197" s="42">
        <f ca="1">SUMIF(UPS!B$38:B$123,C197,UPS!BD$38:BD$123)</f>
        <v>77</v>
      </c>
      <c r="O197" s="42">
        <f>O196+1</f>
        <v>1</v>
      </c>
    </row>
    <row r="198" spans="1:15">
      <c r="B198" s="440" t="str">
        <f t="shared" si="68"/>
        <v>COM_GMAP</v>
      </c>
      <c r="C198" s="440" t="str">
        <f ca="1">IF($A198="*","",OFFSET(ITEMS_UPS!$C$8,K198,0))</f>
        <v>UREFOCRCO-N</v>
      </c>
      <c r="D198" s="440" t="str">
        <f ca="1">IF($A198="*","",IF(VLOOKUP("*"&amp;$L198,$A$10:$H$18,D$9+1,FALSE)="-","-",OFFSET(UPS!$C$37,N198+O198,SUMIF($A$10:$A$18,"*"&amp;L198,$M$10:$M$18))))</f>
        <v>UPSELC</v>
      </c>
      <c r="E198" s="440" t="str">
        <f t="shared" ca="1" si="69"/>
        <v>UREFOCRCO-N-I</v>
      </c>
      <c r="F198" s="440" t="str">
        <f t="shared" si="70"/>
        <v>-</v>
      </c>
      <c r="G198" s="440" t="str">
        <f t="shared" si="71"/>
        <v>-</v>
      </c>
      <c r="H198" s="440" t="str">
        <f t="shared" si="72"/>
        <v>-</v>
      </c>
      <c r="I198" s="163">
        <v>1</v>
      </c>
      <c r="K198" s="42">
        <f>K197</f>
        <v>9</v>
      </c>
      <c r="L198" s="42">
        <f>L197</f>
        <v>1</v>
      </c>
      <c r="N198" s="42">
        <f ca="1">SUMIF(UPS!B$38:B$123,C198,UPS!BD$38:BD$123)</f>
        <v>77</v>
      </c>
      <c r="O198" s="42">
        <f t="shared" ref="O198:O204" si="73">O197+1</f>
        <v>2</v>
      </c>
    </row>
    <row r="199" spans="1:15">
      <c r="B199" s="440" t="str">
        <f t="shared" si="68"/>
        <v>COM_GMAP</v>
      </c>
      <c r="C199" s="440" t="str">
        <f ca="1">IF($A199="*","",OFFSET(ITEMS_UPS!$C$8,K199,0))</f>
        <v>UREFOCRCO-N</v>
      </c>
      <c r="D199" s="440" t="str">
        <f ca="1">IF($A199="*","",IF(VLOOKUP("*"&amp;$L199,$A$10:$H$18,D$9+1,FALSE)="-","-",OFFSET(UPS!$C$37,N199+O199,SUMIF($A$10:$A$18,"*"&amp;L199,$M$10:$M$18))))</f>
        <v>OAG</v>
      </c>
      <c r="E199" s="440" t="str">
        <f t="shared" ca="1" si="69"/>
        <v>UREFOCRCO-N-O</v>
      </c>
      <c r="F199" s="440" t="str">
        <f t="shared" si="70"/>
        <v>-</v>
      </c>
      <c r="G199" s="440" t="str">
        <f t="shared" si="71"/>
        <v>-</v>
      </c>
      <c r="H199" s="440" t="str">
        <f t="shared" si="72"/>
        <v>-</v>
      </c>
      <c r="I199" s="163">
        <v>1</v>
      </c>
      <c r="K199" s="42">
        <f t="shared" ref="K199:K205" si="74">K198</f>
        <v>9</v>
      </c>
      <c r="L199" s="42">
        <v>2</v>
      </c>
      <c r="N199" s="42">
        <f ca="1">SUMIF(UPS!B$38:B$123,C199,UPS!BD$38:BD$123)</f>
        <v>77</v>
      </c>
      <c r="O199" s="42">
        <f t="shared" si="73"/>
        <v>3</v>
      </c>
    </row>
    <row r="200" spans="1:15">
      <c r="B200" s="440" t="str">
        <f t="shared" si="68"/>
        <v>COM_GMAP</v>
      </c>
      <c r="C200" s="440" t="str">
        <f ca="1">IF($A200="*","",OFFSET(ITEMS_UPS!$C$8,K200,0))</f>
        <v>UREFOCRCO-N</v>
      </c>
      <c r="D200" s="440" t="str">
        <f ca="1">IF($A200="*","",IF(VLOOKUP("*"&amp;$L200,$A$10:$H$18,D$9+1,FALSE)="-","-",OFFSET(UPS!$C$37,N200+O200,SUMIF($A$10:$A$18,"*"&amp;L200,$M$10:$M$18))))</f>
        <v>ODS</v>
      </c>
      <c r="E200" s="440" t="str">
        <f t="shared" ca="1" si="69"/>
        <v>UREFOCRCO-N-O</v>
      </c>
      <c r="F200" s="440" t="str">
        <f t="shared" si="70"/>
        <v>-</v>
      </c>
      <c r="G200" s="440" t="str">
        <f t="shared" si="71"/>
        <v>-</v>
      </c>
      <c r="H200" s="440" t="str">
        <f t="shared" si="72"/>
        <v>-</v>
      </c>
      <c r="I200" s="163">
        <v>1</v>
      </c>
      <c r="K200" s="42">
        <f t="shared" si="74"/>
        <v>9</v>
      </c>
      <c r="L200" s="42">
        <f>L199</f>
        <v>2</v>
      </c>
      <c r="N200" s="42">
        <f ca="1">SUMIF(UPS!B$38:B$123,C200,UPS!BD$38:BD$123)</f>
        <v>77</v>
      </c>
      <c r="O200" s="42">
        <f t="shared" si="73"/>
        <v>4</v>
      </c>
    </row>
    <row r="201" spans="1:15">
      <c r="B201" s="440" t="str">
        <f t="shared" si="68"/>
        <v>COM_GMAP</v>
      </c>
      <c r="C201" s="440" t="str">
        <f ca="1">IF($A201="*","",OFFSET(ITEMS_UPS!$C$8,K201,0))</f>
        <v>UREFOCRCO-N</v>
      </c>
      <c r="D201" s="440" t="str">
        <f ca="1">IF($A201="*","",IF(VLOOKUP("*"&amp;$L201,$A$10:$H$18,D$9+1,FALSE)="-","-",OFFSET(UPS!$C$37,N201+O201,SUMIF($A$10:$A$18,"*"&amp;L201,$M$10:$M$18))))</f>
        <v>OGS</v>
      </c>
      <c r="E201" s="440" t="str">
        <f t="shared" ca="1" si="69"/>
        <v>UREFOCRCO-N-O</v>
      </c>
      <c r="F201" s="440" t="str">
        <f t="shared" si="70"/>
        <v>-</v>
      </c>
      <c r="G201" s="440" t="str">
        <f t="shared" si="71"/>
        <v>-</v>
      </c>
      <c r="H201" s="440" t="str">
        <f t="shared" si="72"/>
        <v>-</v>
      </c>
      <c r="I201" s="163">
        <v>1</v>
      </c>
      <c r="K201" s="42">
        <f t="shared" si="74"/>
        <v>9</v>
      </c>
      <c r="L201" s="42">
        <f>L200</f>
        <v>2</v>
      </c>
      <c r="N201" s="42">
        <f ca="1">SUMIF(UPS!B$38:B$123,C201,UPS!BD$38:BD$123)</f>
        <v>77</v>
      </c>
      <c r="O201" s="42">
        <f t="shared" si="73"/>
        <v>5</v>
      </c>
    </row>
    <row r="202" spans="1:15">
      <c r="B202" s="440" t="str">
        <f t="shared" si="68"/>
        <v>COM_GMAP</v>
      </c>
      <c r="C202" s="440" t="str">
        <f ca="1">IF($A202="*","",OFFSET(ITEMS_UPS!$C$8,K202,0))</f>
        <v>UREFOCRCO-N</v>
      </c>
      <c r="D202" s="440" t="str">
        <f ca="1">IF($A202="*","",IF(VLOOKUP("*"&amp;$L202,$A$10:$H$18,D$9+1,FALSE)="-","-",OFFSET(UPS!$C$37,N202+O202,SUMIF($A$10:$A$18,"*"&amp;L202,$M$10:$M$18))))</f>
        <v>OHF</v>
      </c>
      <c r="E202" s="440" t="str">
        <f t="shared" ca="1" si="69"/>
        <v>UREFOCRCO-N-O</v>
      </c>
      <c r="F202" s="440" t="str">
        <f t="shared" si="70"/>
        <v>-</v>
      </c>
      <c r="G202" s="440" t="str">
        <f t="shared" si="71"/>
        <v>-</v>
      </c>
      <c r="H202" s="440" t="str">
        <f t="shared" si="72"/>
        <v>-</v>
      </c>
      <c r="I202" s="163">
        <v>1</v>
      </c>
      <c r="K202" s="42">
        <f t="shared" si="74"/>
        <v>9</v>
      </c>
      <c r="L202" s="42">
        <f>L201</f>
        <v>2</v>
      </c>
      <c r="N202" s="42">
        <f ca="1">SUMIF(UPS!B$38:B$123,C202,UPS!BD$38:BD$123)</f>
        <v>77</v>
      </c>
      <c r="O202" s="42">
        <f t="shared" si="73"/>
        <v>6</v>
      </c>
    </row>
    <row r="203" spans="1:15">
      <c r="B203" s="440" t="str">
        <f t="shared" si="68"/>
        <v>COM_GMAP</v>
      </c>
      <c r="C203" s="440" t="str">
        <f ca="1">IF($A203="*","",OFFSET(ITEMS_UPS!$C$8,K203,0))</f>
        <v>UREFOCRCO-N</v>
      </c>
      <c r="D203" s="440" t="str">
        <f ca="1">IF($A203="*","",IF(VLOOKUP("*"&amp;$L203,$A$10:$H$18,D$9+1,FALSE)="-","-",OFFSET(UPS!$C$37,N203+O203,SUMIF($A$10:$A$18,"*"&amp;L203,$M$10:$M$18))))</f>
        <v>OKE</v>
      </c>
      <c r="E203" s="440" t="str">
        <f t="shared" ca="1" si="69"/>
        <v>UREFOCRCO-N-O</v>
      </c>
      <c r="F203" s="440" t="str">
        <f t="shared" si="70"/>
        <v>-</v>
      </c>
      <c r="G203" s="440" t="str">
        <f t="shared" si="71"/>
        <v>-</v>
      </c>
      <c r="H203" s="440" t="str">
        <f t="shared" si="72"/>
        <v>-</v>
      </c>
      <c r="I203" s="163">
        <v>1</v>
      </c>
      <c r="K203" s="42">
        <f t="shared" si="74"/>
        <v>9</v>
      </c>
      <c r="L203" s="42">
        <f>L202</f>
        <v>2</v>
      </c>
      <c r="N203" s="42">
        <f ca="1">SUMIF(UPS!B$38:B$123,C203,UPS!BD$38:BD$123)</f>
        <v>77</v>
      </c>
      <c r="O203" s="42">
        <f t="shared" si="73"/>
        <v>7</v>
      </c>
    </row>
    <row r="204" spans="1:15">
      <c r="B204" s="440" t="str">
        <f t="shared" si="68"/>
        <v>COM_GMAP</v>
      </c>
      <c r="C204" s="440" t="str">
        <f ca="1">IF($A204="*","",OFFSET(ITEMS_UPS!$C$8,K204,0))</f>
        <v>UREFOCRCO-N</v>
      </c>
      <c r="D204" s="440" t="str">
        <f ca="1">IF($A204="*","",IF(VLOOKUP("*"&amp;$L204,$A$10:$H$18,D$9+1,FALSE)="-","-",OFFSET(UPS!$C$37,N204+O204,SUMIF($A$10:$A$18,"*"&amp;L204,$M$10:$M$18))))</f>
        <v>OLP</v>
      </c>
      <c r="E204" s="440" t="str">
        <f t="shared" ca="1" si="69"/>
        <v>UREFOCRCO-N-O</v>
      </c>
      <c r="F204" s="440" t="str">
        <f t="shared" si="70"/>
        <v>-</v>
      </c>
      <c r="G204" s="440" t="str">
        <f t="shared" si="71"/>
        <v>-</v>
      </c>
      <c r="H204" s="440" t="str">
        <f t="shared" si="72"/>
        <v>-</v>
      </c>
      <c r="I204" s="163">
        <v>1</v>
      </c>
      <c r="K204" s="42">
        <f t="shared" si="74"/>
        <v>9</v>
      </c>
      <c r="L204" s="42">
        <f>L203</f>
        <v>2</v>
      </c>
      <c r="N204" s="42">
        <f ca="1">SUMIF(UPS!B$38:B$123,C204,UPS!BD$38:BD$123)</f>
        <v>77</v>
      </c>
      <c r="O204" s="42">
        <f t="shared" si="73"/>
        <v>8</v>
      </c>
    </row>
    <row r="205" spans="1:15">
      <c r="B205" s="440" t="str">
        <f t="shared" si="68"/>
        <v>PRC_ACTUNT</v>
      </c>
      <c r="C205" s="440" t="str">
        <f ca="1">IF($A205="*","",OFFSET(ITEMS_UPS!$C$8,K205,0))</f>
        <v>UREFOCRCO-N</v>
      </c>
      <c r="D205" s="440" t="str">
        <f ca="1">IF($A205="*","",IF(VLOOKUP("*"&amp;$L205,$A$10:$H$18,D$9+1,FALSE)="-","-",OFFSET(UPS!$C$37,N205+O205,SUMIF($A$10:$A$18,"*"&amp;L205,$M$10:$M$18))))</f>
        <v>-</v>
      </c>
      <c r="E205" s="440" t="str">
        <f t="shared" ca="1" si="69"/>
        <v>UREFOCRCO-N-O</v>
      </c>
      <c r="F205" s="440" t="str">
        <f t="shared" si="70"/>
        <v>-</v>
      </c>
      <c r="G205" s="440" t="str">
        <f t="shared" si="71"/>
        <v>-</v>
      </c>
      <c r="H205" s="440" t="str">
        <f t="shared" si="72"/>
        <v>-</v>
      </c>
      <c r="I205" s="163">
        <v>1</v>
      </c>
      <c r="K205" s="42">
        <f t="shared" si="74"/>
        <v>9</v>
      </c>
      <c r="L205" s="42">
        <f>IF(K205=K203,L203+1,1)</f>
        <v>3</v>
      </c>
      <c r="N205" s="42">
        <f ca="1">SUMIF(UPS!B$38:B$123,C205,UPS!BD$38:BD$123)</f>
        <v>77</v>
      </c>
    </row>
    <row r="206" spans="1:15">
      <c r="B206" s="440" t="str">
        <f t="shared" si="68"/>
        <v>PRC_CAPACT</v>
      </c>
      <c r="C206" s="440" t="str">
        <f ca="1">IF($A206="*","",OFFSET(ITEMS_UPS!$C$8,K206,0))</f>
        <v>UREFOCRCO-N</v>
      </c>
      <c r="D206" s="440" t="str">
        <f ca="1">IF($A206="*","",IF(VLOOKUP("*"&amp;$L206,$A$10:$H$18,D$9+1,FALSE)="-","-",OFFSET(UPS!$C$37,N206+O206,SUMIF($A$10:$A$18,"*"&amp;L206,$M$10:$M$18))))</f>
        <v>-</v>
      </c>
      <c r="E206" s="440" t="str">
        <f t="shared" si="69"/>
        <v>-</v>
      </c>
      <c r="F206" s="440" t="str">
        <f t="shared" si="70"/>
        <v>-</v>
      </c>
      <c r="G206" s="440" t="str">
        <f t="shared" si="71"/>
        <v>-</v>
      </c>
      <c r="H206" s="440" t="str">
        <f t="shared" si="72"/>
        <v>-</v>
      </c>
      <c r="I206" s="163">
        <v>1</v>
      </c>
      <c r="K206" s="42">
        <f t="shared" ref="K206:K212" si="75">K205</f>
        <v>9</v>
      </c>
      <c r="L206" s="42">
        <f>IF(K206=K205,L205+1,1)</f>
        <v>4</v>
      </c>
      <c r="N206" s="42">
        <f ca="1">SUMIF(UPS!B$38:B$123,C206,UPS!BD$38:BD$123)</f>
        <v>77</v>
      </c>
    </row>
    <row r="207" spans="1:15">
      <c r="B207" s="440" t="str">
        <f t="shared" si="68"/>
        <v>TOP-IN</v>
      </c>
      <c r="C207" s="440" t="str">
        <f ca="1">IF($A207="*","",OFFSET(ITEMS_UPS!$C$8,K207,0))</f>
        <v>UREFOCRCO-N</v>
      </c>
      <c r="D207" s="440" t="str">
        <f ca="1">IF($A207="*","",IF(VLOOKUP("*"&amp;$L207,$A$10:$H$18,D$9+1,FALSE)="-","-",OFFSET(UPS!$C$37,N207+O207,SUMIF($A$10:$A$18,"*"&amp;L207,$M$10:$M$18))))</f>
        <v>UPSOCR</v>
      </c>
      <c r="E207" s="440" t="str">
        <f t="shared" si="69"/>
        <v>-</v>
      </c>
      <c r="F207" s="440" t="str">
        <f t="shared" si="70"/>
        <v>-</v>
      </c>
      <c r="G207" s="440" t="str">
        <f t="shared" si="71"/>
        <v>-</v>
      </c>
      <c r="H207" s="440" t="str">
        <f t="shared" si="72"/>
        <v>-</v>
      </c>
      <c r="I207" s="163">
        <v>1</v>
      </c>
      <c r="K207" s="42">
        <f t="shared" si="75"/>
        <v>9</v>
      </c>
      <c r="L207" s="42">
        <f>IF(K207=K206,L206+1,1)</f>
        <v>5</v>
      </c>
      <c r="N207" s="42">
        <f ca="1">SUMIF(UPS!B$38:B$123,C207,UPS!BD$38:BD$123)</f>
        <v>77</v>
      </c>
      <c r="O207" s="42">
        <v>0</v>
      </c>
    </row>
    <row r="208" spans="1:15">
      <c r="B208" s="440" t="str">
        <f t="shared" si="68"/>
        <v>TOP-IN</v>
      </c>
      <c r="C208" s="440" t="str">
        <f ca="1">IF($A208="*","",OFFSET(ITEMS_UPS!$C$8,K208,0))</f>
        <v>UREFOCRCO-N</v>
      </c>
      <c r="D208" s="440" t="str">
        <f ca="1">IF($A208="*","",IF(VLOOKUP("*"&amp;$L208,$A$10:$H$18,D$9+1,FALSE)="-","-",OFFSET(UPS!$C$37,N208+O208,SUMIF($A$10:$A$18,"*"&amp;L208,$M$10:$M$18))))</f>
        <v>UPSGIC</v>
      </c>
      <c r="E208" s="440" t="str">
        <f t="shared" si="69"/>
        <v>-</v>
      </c>
      <c r="F208" s="440" t="str">
        <f t="shared" si="70"/>
        <v>-</v>
      </c>
      <c r="G208" s="440" t="str">
        <f t="shared" si="71"/>
        <v>-</v>
      </c>
      <c r="H208" s="440" t="str">
        <f t="shared" si="72"/>
        <v>-</v>
      </c>
      <c r="I208" s="163">
        <v>1</v>
      </c>
      <c r="K208" s="42">
        <f t="shared" si="75"/>
        <v>9</v>
      </c>
      <c r="L208" s="42">
        <f>L207</f>
        <v>5</v>
      </c>
      <c r="N208" s="42">
        <f ca="1">SUMIF(UPS!B$38:B$123,C208,UPS!BD$38:BD$123)</f>
        <v>77</v>
      </c>
      <c r="O208" s="42">
        <f>O207+1</f>
        <v>1</v>
      </c>
    </row>
    <row r="209" spans="1:15">
      <c r="B209" s="440" t="str">
        <f t="shared" si="68"/>
        <v>TOP-IN</v>
      </c>
      <c r="C209" s="440" t="str">
        <f ca="1">IF($A209="*","",OFFSET(ITEMS_UPS!$C$8,K209,0))</f>
        <v>UREFOCRCO-N</v>
      </c>
      <c r="D209" s="440" t="str">
        <f ca="1">IF($A209="*","",IF(VLOOKUP("*"&amp;$L209,$A$10:$H$18,D$9+1,FALSE)="-","-",OFFSET(UPS!$C$37,N209+O209,SUMIF($A$10:$A$18,"*"&amp;L209,$M$10:$M$18))))</f>
        <v>UPSELC</v>
      </c>
      <c r="E209" s="440" t="str">
        <f t="shared" si="69"/>
        <v>-</v>
      </c>
      <c r="F209" s="440" t="str">
        <f t="shared" si="70"/>
        <v>-</v>
      </c>
      <c r="G209" s="440" t="str">
        <f t="shared" si="71"/>
        <v>-</v>
      </c>
      <c r="H209" s="440" t="str">
        <f t="shared" si="72"/>
        <v>-</v>
      </c>
      <c r="I209" s="163">
        <v>1</v>
      </c>
      <c r="K209" s="42">
        <f t="shared" si="75"/>
        <v>9</v>
      </c>
      <c r="L209" s="42">
        <f>L208</f>
        <v>5</v>
      </c>
      <c r="N209" s="42">
        <f ca="1">SUMIF(UPS!B$38:B$123,C209,UPS!BD$38:BD$123)</f>
        <v>77</v>
      </c>
      <c r="O209" s="42">
        <f>O208+1</f>
        <v>2</v>
      </c>
    </row>
    <row r="210" spans="1:15">
      <c r="B210" s="440" t="str">
        <f t="shared" si="68"/>
        <v>TOP-OUT</v>
      </c>
      <c r="C210" s="440" t="str">
        <f ca="1">IF($A210="*","",OFFSET(ITEMS_UPS!$C$8,K210,0))</f>
        <v>UREFOCRCO-N</v>
      </c>
      <c r="D210" s="440" t="str">
        <f ca="1">IF($A210="*","",IF(VLOOKUP("*"&amp;$L210,$A$10:$H$18,D$9+1,FALSE)="-","-",OFFSET(UPS!$C$37,N210+O210,SUMIF($A$10:$A$18,"*"&amp;L210,$M$10:$M$18))))</f>
        <v>OAG</v>
      </c>
      <c r="E210" s="440" t="str">
        <f t="shared" si="69"/>
        <v>-</v>
      </c>
      <c r="F210" s="440" t="str">
        <f t="shared" si="70"/>
        <v>-</v>
      </c>
      <c r="G210" s="440" t="str">
        <f t="shared" si="71"/>
        <v>-</v>
      </c>
      <c r="H210" s="440" t="str">
        <f t="shared" si="72"/>
        <v>-</v>
      </c>
      <c r="I210" s="163">
        <v>1</v>
      </c>
      <c r="K210" s="42">
        <f t="shared" si="75"/>
        <v>9</v>
      </c>
      <c r="L210" s="42">
        <f>IF(K210=K208,L208+1,1)</f>
        <v>6</v>
      </c>
      <c r="N210" s="42">
        <f ca="1">SUMIF(UPS!B$38:B$123,C210,UPS!BD$38:BD$123)</f>
        <v>77</v>
      </c>
      <c r="O210" s="42">
        <f t="shared" ref="O210:O215" si="76">O209+1</f>
        <v>3</v>
      </c>
    </row>
    <row r="211" spans="1:15">
      <c r="B211" s="440" t="str">
        <f t="shared" si="68"/>
        <v>TOP-OUT</v>
      </c>
      <c r="C211" s="440" t="str">
        <f ca="1">IF($A211="*","",OFFSET(ITEMS_UPS!$C$8,K211,0))</f>
        <v>UREFOCRCO-N</v>
      </c>
      <c r="D211" s="440" t="str">
        <f ca="1">IF($A211="*","",IF(VLOOKUP("*"&amp;$L211,$A$10:$H$18,D$9+1,FALSE)="-","-",OFFSET(UPS!$C$37,N211+O211,SUMIF($A$10:$A$18,"*"&amp;L211,$M$10:$M$18))))</f>
        <v>ODS</v>
      </c>
      <c r="E211" s="440" t="str">
        <f t="shared" si="69"/>
        <v>-</v>
      </c>
      <c r="F211" s="440" t="str">
        <f t="shared" si="70"/>
        <v>-</v>
      </c>
      <c r="G211" s="440" t="str">
        <f t="shared" si="71"/>
        <v>-</v>
      </c>
      <c r="H211" s="440" t="str">
        <f t="shared" si="72"/>
        <v>-</v>
      </c>
      <c r="I211" s="163">
        <v>1</v>
      </c>
      <c r="K211" s="42">
        <f t="shared" si="75"/>
        <v>9</v>
      </c>
      <c r="L211" s="42">
        <f>L210</f>
        <v>6</v>
      </c>
      <c r="N211" s="42">
        <f ca="1">SUMIF(UPS!B$38:B$123,C211,UPS!BD$38:BD$123)</f>
        <v>77</v>
      </c>
      <c r="O211" s="42">
        <f t="shared" si="76"/>
        <v>4</v>
      </c>
    </row>
    <row r="212" spans="1:15">
      <c r="B212" s="440" t="str">
        <f t="shared" si="68"/>
        <v>TOP-OUT</v>
      </c>
      <c r="C212" s="440" t="str">
        <f ca="1">IF($A212="*","",OFFSET(ITEMS_UPS!$C$8,K212,0))</f>
        <v>UREFOCRCO-N</v>
      </c>
      <c r="D212" s="440" t="str">
        <f ca="1">IF($A212="*","",IF(VLOOKUP("*"&amp;$L212,$A$10:$H$18,D$9+1,FALSE)="-","-",OFFSET(UPS!$C$37,N212+O212,SUMIF($A$10:$A$18,"*"&amp;L212,$M$10:$M$18))))</f>
        <v>OGS</v>
      </c>
      <c r="E212" s="440" t="str">
        <f t="shared" si="69"/>
        <v>-</v>
      </c>
      <c r="F212" s="440" t="str">
        <f t="shared" si="70"/>
        <v>-</v>
      </c>
      <c r="G212" s="440" t="str">
        <f t="shared" si="71"/>
        <v>-</v>
      </c>
      <c r="H212" s="440" t="str">
        <f t="shared" si="72"/>
        <v>-</v>
      </c>
      <c r="I212" s="163">
        <v>1</v>
      </c>
      <c r="K212" s="42">
        <f t="shared" si="75"/>
        <v>9</v>
      </c>
      <c r="L212" s="42">
        <f>L211</f>
        <v>6</v>
      </c>
      <c r="N212" s="42">
        <f ca="1">SUMIF(UPS!B$38:B$123,C212,UPS!BD$38:BD$123)</f>
        <v>77</v>
      </c>
      <c r="O212" s="42">
        <f t="shared" si="76"/>
        <v>5</v>
      </c>
    </row>
    <row r="213" spans="1:15">
      <c r="B213" s="440" t="str">
        <f t="shared" si="68"/>
        <v>TOP-OUT</v>
      </c>
      <c r="C213" s="440" t="str">
        <f ca="1">IF($A213="*","",OFFSET(ITEMS_UPS!$C$8,K213,0))</f>
        <v>UREFOCRCO-N</v>
      </c>
      <c r="D213" s="440" t="str">
        <f ca="1">IF($A213="*","",IF(VLOOKUP("*"&amp;$L213,$A$10:$H$18,D$9+1,FALSE)="-","-",OFFSET(UPS!$C$37,N213+O213,SUMIF($A$10:$A$18,"*"&amp;L213,$M$10:$M$18))))</f>
        <v>OHF</v>
      </c>
      <c r="E213" s="440" t="str">
        <f t="shared" si="69"/>
        <v>-</v>
      </c>
      <c r="F213" s="440" t="str">
        <f t="shared" si="70"/>
        <v>-</v>
      </c>
      <c r="G213" s="440" t="str">
        <f t="shared" si="71"/>
        <v>-</v>
      </c>
      <c r="H213" s="440" t="str">
        <f t="shared" si="72"/>
        <v>-</v>
      </c>
      <c r="I213" s="163">
        <v>1</v>
      </c>
      <c r="K213" s="42">
        <f t="shared" ref="K213:K218" si="77">K212</f>
        <v>9</v>
      </c>
      <c r="L213" s="42">
        <f>L212</f>
        <v>6</v>
      </c>
      <c r="N213" s="42">
        <f ca="1">SUMIF(UPS!B$38:B$123,C213,UPS!BD$38:BD$123)</f>
        <v>77</v>
      </c>
      <c r="O213" s="42">
        <f t="shared" si="76"/>
        <v>6</v>
      </c>
    </row>
    <row r="214" spans="1:15">
      <c r="B214" s="440" t="str">
        <f t="shared" si="68"/>
        <v>TOP-OUT</v>
      </c>
      <c r="C214" s="440" t="str">
        <f ca="1">IF($A214="*","",OFFSET(ITEMS_UPS!$C$8,K214,0))</f>
        <v>UREFOCRCO-N</v>
      </c>
      <c r="D214" s="440" t="str">
        <f ca="1">IF($A214="*","",IF(VLOOKUP("*"&amp;$L214,$A$10:$H$18,D$9+1,FALSE)="-","-",OFFSET(UPS!$C$37,N214+O214,SUMIF($A$10:$A$18,"*"&amp;L214,$M$10:$M$18))))</f>
        <v>OKE</v>
      </c>
      <c r="E214" s="440" t="str">
        <f t="shared" si="69"/>
        <v>-</v>
      </c>
      <c r="F214" s="440" t="str">
        <f t="shared" si="70"/>
        <v>-</v>
      </c>
      <c r="G214" s="440" t="str">
        <f t="shared" si="71"/>
        <v>-</v>
      </c>
      <c r="H214" s="440" t="str">
        <f t="shared" si="72"/>
        <v>-</v>
      </c>
      <c r="I214" s="163">
        <v>1</v>
      </c>
      <c r="K214" s="42">
        <f t="shared" si="77"/>
        <v>9</v>
      </c>
      <c r="L214" s="42">
        <f>L213</f>
        <v>6</v>
      </c>
      <c r="N214" s="42">
        <f ca="1">SUMIF(UPS!B$38:B$123,C214,UPS!BD$38:BD$123)</f>
        <v>77</v>
      </c>
      <c r="O214" s="42">
        <f t="shared" si="76"/>
        <v>7</v>
      </c>
    </row>
    <row r="215" spans="1:15">
      <c r="B215" s="440" t="str">
        <f t="shared" si="68"/>
        <v>TOP-OUT</v>
      </c>
      <c r="C215" s="440" t="str">
        <f ca="1">IF($A215="*","",OFFSET(ITEMS_UPS!$C$8,K215,0))</f>
        <v>UREFOCRCO-N</v>
      </c>
      <c r="D215" s="440" t="str">
        <f ca="1">IF($A215="*","",IF(VLOOKUP("*"&amp;$L215,$A$10:$H$18,D$9+1,FALSE)="-","-",OFFSET(UPS!$C$37,N215+O215,SUMIF($A$10:$A$18,"*"&amp;L215,$M$10:$M$18))))</f>
        <v>OLP</v>
      </c>
      <c r="E215" s="440" t="str">
        <f t="shared" si="69"/>
        <v>-</v>
      </c>
      <c r="F215" s="440" t="str">
        <f t="shared" si="70"/>
        <v>-</v>
      </c>
      <c r="G215" s="440" t="str">
        <f t="shared" si="71"/>
        <v>-</v>
      </c>
      <c r="H215" s="440" t="str">
        <f t="shared" si="72"/>
        <v>-</v>
      </c>
      <c r="I215" s="163">
        <v>1</v>
      </c>
      <c r="K215" s="42">
        <f t="shared" si="77"/>
        <v>9</v>
      </c>
      <c r="L215" s="42">
        <f>L214</f>
        <v>6</v>
      </c>
      <c r="N215" s="42">
        <f ca="1">SUMIF(UPS!B$38:B$123,C215,UPS!BD$38:BD$123)</f>
        <v>77</v>
      </c>
      <c r="O215" s="42">
        <f t="shared" si="76"/>
        <v>8</v>
      </c>
    </row>
    <row r="216" spans="1:15">
      <c r="B216" s="440" t="str">
        <f t="shared" si="68"/>
        <v>TOP-OUT</v>
      </c>
      <c r="C216" s="440" t="str">
        <f ca="1">IF($A216="*","",OFFSET(ITEMS_UPS!$C$8,K216,0))</f>
        <v>UREFOCRCO-N</v>
      </c>
      <c r="D216" s="440" t="str">
        <f>$D$16</f>
        <v>UPSCO2S</v>
      </c>
      <c r="E216" s="440" t="str">
        <f t="shared" si="69"/>
        <v>-</v>
      </c>
      <c r="F216" s="440" t="str">
        <f t="shared" si="70"/>
        <v>-</v>
      </c>
      <c r="G216" s="440" t="str">
        <f t="shared" si="71"/>
        <v>-</v>
      </c>
      <c r="H216" s="440" t="str">
        <f t="shared" si="72"/>
        <v>-</v>
      </c>
      <c r="I216" s="163">
        <v>1</v>
      </c>
      <c r="K216" s="42">
        <f t="shared" si="77"/>
        <v>9</v>
      </c>
      <c r="L216" s="42">
        <f>IF(K216=K214,L214+1,1)</f>
        <v>7</v>
      </c>
      <c r="N216" s="42">
        <f ca="1">SUMIF(UPS!B$38:B$123,C216,UPS!BD$38:BD$123)</f>
        <v>77</v>
      </c>
    </row>
    <row r="217" spans="1:15">
      <c r="B217" s="440" t="str">
        <f t="shared" si="68"/>
        <v>TOP-OUT</v>
      </c>
      <c r="C217" s="440" t="str">
        <f ca="1">IF($A217="*","",OFFSET(ITEMS_UPS!$C$8,K217,0))</f>
        <v>UREFOCRCO-N</v>
      </c>
      <c r="D217" s="440" t="str">
        <f>$D$17</f>
        <v>UPSCH4S</v>
      </c>
      <c r="E217" s="440" t="str">
        <f t="shared" si="69"/>
        <v>-</v>
      </c>
      <c r="F217" s="440" t="str">
        <f t="shared" si="70"/>
        <v>-</v>
      </c>
      <c r="G217" s="440" t="str">
        <f t="shared" si="71"/>
        <v>-</v>
      </c>
      <c r="H217" s="440" t="str">
        <f t="shared" si="72"/>
        <v>-</v>
      </c>
      <c r="I217" s="163">
        <v>1</v>
      </c>
      <c r="K217" s="42">
        <f t="shared" si="77"/>
        <v>9</v>
      </c>
      <c r="L217" s="42">
        <v>8</v>
      </c>
      <c r="N217" s="42">
        <f ca="1">SUMIF(UPS!B$38:B$123,C217,UPS!BD$38:BD$123)</f>
        <v>77</v>
      </c>
    </row>
    <row r="218" spans="1:15" s="525" customFormat="1">
      <c r="B218" s="524" t="str">
        <f>IF(A218="*","",VLOOKUP("*"&amp;L218,$A$9:$B$18,2,FALSE))</f>
        <v>NCAP_START</v>
      </c>
      <c r="C218" s="524" t="str">
        <f ca="1">IF($A218="*","",OFFSET(ITEMS_UPS!$C$8,K218,0))</f>
        <v>UREFOCRCO-N</v>
      </c>
      <c r="D218" s="524" t="str">
        <f ca="1">IF($A218="*","",IF(VLOOKUP("*"&amp;$L218,$A$10:$H$18,D$9+1,FALSE)="-","-",OFFSET(UPS!$C$37,N218+O218,SUMIF($A$10:$A$18,"*"&amp;L218,$M$10:$M$18))))</f>
        <v>-</v>
      </c>
      <c r="E218" s="524" t="str">
        <f t="shared" si="69"/>
        <v>-</v>
      </c>
      <c r="F218" s="524" t="str">
        <f t="shared" si="70"/>
        <v>-</v>
      </c>
      <c r="G218" s="524" t="str">
        <f>IF($A218="*","",VLOOKUP($B218,$B$10:$H$18,G$9,FALSE))</f>
        <v>-</v>
      </c>
      <c r="H218" s="524" t="str">
        <f>IF($A218="*","",VLOOKUP($B218,$B$10:$H$18,H$9,FALSE))</f>
        <v>-</v>
      </c>
      <c r="I218" s="524">
        <f ca="1">IF($A218="*","",OFFSET(UPS!$C$37,N218,SUMIF($B$10:$B$18,B218,$M$10:$M$18)))</f>
        <v>2030</v>
      </c>
      <c r="K218" s="525">
        <f t="shared" si="77"/>
        <v>9</v>
      </c>
      <c r="L218" s="525">
        <f>L217+1</f>
        <v>9</v>
      </c>
      <c r="N218" s="525">
        <f ca="1">SUMIF(UPS!B$38:B$123,C218,UPS!BD$38:BD$123)</f>
        <v>77</v>
      </c>
    </row>
    <row r="219" spans="1:15">
      <c r="A219" s="42" t="s">
        <v>310</v>
      </c>
      <c r="B219" s="438" t="str">
        <f ca="1">OFFSET(UPS!$A$172,L219,0)</f>
        <v>Refinery CTL Boiler Existing</v>
      </c>
      <c r="L219" s="42">
        <v>1</v>
      </c>
    </row>
    <row r="220" spans="1:15">
      <c r="B220" s="440" t="s">
        <v>340</v>
      </c>
      <c r="C220" s="440" t="str">
        <f ca="1">OFFSET(UPS!$B$172,L220,0)</f>
        <v>UHETCLE-E</v>
      </c>
      <c r="D220" s="440" t="s">
        <v>334</v>
      </c>
      <c r="E220" s="440" t="str">
        <f ca="1">OFFSET(UPS!$E$172,L220,0)</f>
        <v>UPSHEE</v>
      </c>
      <c r="F220" s="440" t="s">
        <v>334</v>
      </c>
      <c r="G220" s="440" t="s">
        <v>334</v>
      </c>
      <c r="H220" s="440" t="s">
        <v>334</v>
      </c>
      <c r="I220" s="163">
        <v>1</v>
      </c>
      <c r="L220" s="42">
        <v>1</v>
      </c>
    </row>
    <row r="221" spans="1:15">
      <c r="B221" s="440" t="s">
        <v>342</v>
      </c>
      <c r="C221" s="440" t="str">
        <f>UPS!$B$173</f>
        <v>UHETCLE-E</v>
      </c>
      <c r="D221" s="440" t="s">
        <v>334</v>
      </c>
      <c r="E221" s="440" t="s">
        <v>334</v>
      </c>
      <c r="F221" s="440" t="s">
        <v>334</v>
      </c>
      <c r="G221" s="440" t="s">
        <v>334</v>
      </c>
      <c r="H221" s="440" t="s">
        <v>334</v>
      </c>
      <c r="I221" s="163">
        <v>1</v>
      </c>
      <c r="L221" s="42">
        <v>1</v>
      </c>
    </row>
    <row r="222" spans="1:15">
      <c r="B222" s="440" t="s">
        <v>361</v>
      </c>
      <c r="C222" s="440" t="str">
        <f>UPS!$B$173</f>
        <v>UHETCLE-E</v>
      </c>
      <c r="D222" s="440" t="str">
        <f ca="1">OFFSET(UPS!$D$172,L222,0)</f>
        <v>UPSCLE</v>
      </c>
      <c r="E222" s="440" t="s">
        <v>334</v>
      </c>
      <c r="F222" s="440" t="s">
        <v>334</v>
      </c>
      <c r="G222" s="440" t="s">
        <v>334</v>
      </c>
      <c r="H222" s="440" t="s">
        <v>334</v>
      </c>
      <c r="I222" s="163">
        <v>1</v>
      </c>
      <c r="L222" s="42">
        <v>1</v>
      </c>
    </row>
    <row r="223" spans="1:15">
      <c r="B223" s="440" t="s">
        <v>344</v>
      </c>
      <c r="C223" s="440" t="str">
        <f>UPS!$B$173</f>
        <v>UHETCLE-E</v>
      </c>
      <c r="D223" s="440" t="str">
        <f ca="1">OFFSET(UPS!$E$172,L223,0)</f>
        <v>UPSHEE</v>
      </c>
      <c r="E223" s="440" t="s">
        <v>334</v>
      </c>
      <c r="F223" s="440" t="s">
        <v>334</v>
      </c>
      <c r="G223" s="440" t="s">
        <v>334</v>
      </c>
      <c r="H223" s="440" t="s">
        <v>334</v>
      </c>
      <c r="I223" s="163">
        <v>1</v>
      </c>
      <c r="L223" s="42">
        <v>1</v>
      </c>
    </row>
    <row r="224" spans="1:15">
      <c r="B224" s="440" t="s">
        <v>344</v>
      </c>
      <c r="C224" s="440" t="str">
        <f>UPS!$B$173</f>
        <v>UHETCLE-E</v>
      </c>
      <c r="D224" s="440" t="str">
        <f>TS_TTech!D194</f>
        <v>UPSCO2S</v>
      </c>
      <c r="E224" s="440" t="s">
        <v>334</v>
      </c>
      <c r="F224" s="440" t="s">
        <v>334</v>
      </c>
      <c r="G224" s="440" t="s">
        <v>334</v>
      </c>
      <c r="H224" s="440" t="s">
        <v>334</v>
      </c>
      <c r="I224" s="163">
        <v>1</v>
      </c>
      <c r="L224" s="42">
        <v>1</v>
      </c>
    </row>
    <row r="225" spans="1:15">
      <c r="B225" s="440" t="s">
        <v>344</v>
      </c>
      <c r="C225" s="440" t="str">
        <f>UPS!$B$173</f>
        <v>UHETCLE-E</v>
      </c>
      <c r="D225" s="440" t="str">
        <f>TS_TTech!D195</f>
        <v>UPSCH4S</v>
      </c>
      <c r="E225" s="440" t="s">
        <v>334</v>
      </c>
      <c r="F225" s="440" t="s">
        <v>334</v>
      </c>
      <c r="G225" s="440" t="s">
        <v>334</v>
      </c>
      <c r="H225" s="440" t="s">
        <v>334</v>
      </c>
      <c r="I225" s="163">
        <v>1</v>
      </c>
      <c r="L225" s="42">
        <v>1</v>
      </c>
    </row>
    <row r="226" spans="1:15">
      <c r="A226" s="42" t="s">
        <v>310</v>
      </c>
      <c r="B226" s="438" t="str">
        <f ca="1">OFFSET(UPS!$A$172,L226,0)</f>
        <v>Refinery CTL Boiler New</v>
      </c>
      <c r="L226" s="42">
        <f>L219+1</f>
        <v>2</v>
      </c>
    </row>
    <row r="227" spans="1:15">
      <c r="B227" s="440" t="s">
        <v>340</v>
      </c>
      <c r="C227" s="440" t="str">
        <f ca="1">OFFSET(UPS!$B$172,L227,0)</f>
        <v>UHETCLE-N</v>
      </c>
      <c r="D227" s="440" t="s">
        <v>334</v>
      </c>
      <c r="E227" s="440" t="str">
        <f ca="1">OFFSET(UPS!$E$172,L227,0)</f>
        <v>UPSHEN</v>
      </c>
      <c r="F227" s="440" t="s">
        <v>334</v>
      </c>
      <c r="G227" s="440" t="s">
        <v>334</v>
      </c>
      <c r="H227" s="440" t="s">
        <v>334</v>
      </c>
      <c r="I227" s="163">
        <v>1</v>
      </c>
      <c r="L227" s="42">
        <f>L220+1</f>
        <v>2</v>
      </c>
    </row>
    <row r="228" spans="1:15">
      <c r="B228" s="440" t="s">
        <v>342</v>
      </c>
      <c r="C228" s="440" t="str">
        <f ca="1">OFFSET(UPS!$B$172,L228,0)</f>
        <v>UHETCLE-N</v>
      </c>
      <c r="D228" s="440" t="s">
        <v>334</v>
      </c>
      <c r="E228" s="440" t="s">
        <v>334</v>
      </c>
      <c r="F228" s="440" t="s">
        <v>334</v>
      </c>
      <c r="G228" s="440" t="s">
        <v>334</v>
      </c>
      <c r="H228" s="440" t="s">
        <v>334</v>
      </c>
      <c r="I228" s="163">
        <v>1</v>
      </c>
      <c r="L228" s="42">
        <f>L221+1</f>
        <v>2</v>
      </c>
    </row>
    <row r="229" spans="1:15">
      <c r="B229" s="440" t="s">
        <v>361</v>
      </c>
      <c r="C229" s="440" t="str">
        <f ca="1">OFFSET(UPS!$B$172,L229,0)</f>
        <v>UHETCLE-N</v>
      </c>
      <c r="D229" s="440" t="str">
        <f ca="1">OFFSET(UPS!$D$172,L229,0)</f>
        <v>UPSCLE</v>
      </c>
      <c r="E229" s="440" t="s">
        <v>334</v>
      </c>
      <c r="F229" s="440" t="s">
        <v>334</v>
      </c>
      <c r="G229" s="440" t="s">
        <v>334</v>
      </c>
      <c r="H229" s="440" t="s">
        <v>334</v>
      </c>
      <c r="I229" s="163">
        <v>1</v>
      </c>
      <c r="L229" s="42">
        <f>L222+1</f>
        <v>2</v>
      </c>
    </row>
    <row r="230" spans="1:15">
      <c r="B230" s="440" t="s">
        <v>344</v>
      </c>
      <c r="C230" s="440" t="str">
        <f ca="1">OFFSET(UPS!$B$172,L230,0)</f>
        <v>UHETCLE-N</v>
      </c>
      <c r="D230" s="440" t="str">
        <f ca="1">OFFSET(UPS!$E$172,L230,0)</f>
        <v>UPSHEN</v>
      </c>
      <c r="E230" s="440" t="s">
        <v>334</v>
      </c>
      <c r="F230" s="440" t="s">
        <v>334</v>
      </c>
      <c r="G230" s="440" t="s">
        <v>334</v>
      </c>
      <c r="H230" s="440" t="s">
        <v>334</v>
      </c>
      <c r="I230" s="163">
        <v>1</v>
      </c>
      <c r="L230" s="42">
        <f>L221+1</f>
        <v>2</v>
      </c>
    </row>
    <row r="231" spans="1:15">
      <c r="B231" s="440" t="s">
        <v>344</v>
      </c>
      <c r="C231" s="440" t="str">
        <f ca="1">OFFSET(UPS!$B$172,L231,0)</f>
        <v>UHETCLE-N</v>
      </c>
      <c r="D231" s="440" t="str">
        <f>D224</f>
        <v>UPSCO2S</v>
      </c>
      <c r="E231" s="440" t="s">
        <v>334</v>
      </c>
      <c r="F231" s="440" t="s">
        <v>334</v>
      </c>
      <c r="G231" s="440" t="s">
        <v>334</v>
      </c>
      <c r="H231" s="440" t="s">
        <v>334</v>
      </c>
      <c r="I231" s="163">
        <v>1</v>
      </c>
      <c r="L231" s="42">
        <f>L222+1</f>
        <v>2</v>
      </c>
    </row>
    <row r="232" spans="1:15">
      <c r="B232" s="440" t="s">
        <v>344</v>
      </c>
      <c r="C232" s="440" t="str">
        <f ca="1">OFFSET(UPS!$B$172,L232,0)</f>
        <v>UHETCLE-N</v>
      </c>
      <c r="D232" s="440" t="str">
        <f>D225</f>
        <v>UPSCH4S</v>
      </c>
      <c r="E232" s="440" t="s">
        <v>334</v>
      </c>
      <c r="F232" s="440" t="s">
        <v>334</v>
      </c>
      <c r="G232" s="440" t="s">
        <v>334</v>
      </c>
      <c r="H232" s="440" t="s">
        <v>334</v>
      </c>
      <c r="I232" s="163">
        <v>1</v>
      </c>
      <c r="L232" s="42">
        <f>L223+1</f>
        <v>2</v>
      </c>
    </row>
    <row r="233" spans="1:15">
      <c r="A233" s="42" t="s">
        <v>310</v>
      </c>
      <c r="B233" s="438" t="str">
        <f ca="1">OFFSET(UPS!$A$172,L233,0)</f>
        <v>Conversion Methane Rich Gas Natural Gas for use in industry and refineries</v>
      </c>
      <c r="L233" s="42">
        <f>L226+1</f>
        <v>3</v>
      </c>
    </row>
    <row r="234" spans="1:15">
      <c r="B234" s="440" t="s">
        <v>340</v>
      </c>
      <c r="C234" s="440" t="str">
        <f ca="1">OFFSET(UPS!$B$172,L234,0)</f>
        <v>UTRNGIMGAS</v>
      </c>
      <c r="D234" s="440" t="s">
        <v>334</v>
      </c>
      <c r="E234" s="440" t="str">
        <f ca="1">OFFSET(UPS!$E$172,L234,0)</f>
        <v>GAS</v>
      </c>
      <c r="F234" s="440" t="s">
        <v>334</v>
      </c>
      <c r="G234" s="440" t="s">
        <v>334</v>
      </c>
      <c r="H234" s="440" t="s">
        <v>334</v>
      </c>
      <c r="I234" s="163">
        <v>1</v>
      </c>
      <c r="L234" s="42">
        <f>L227+1</f>
        <v>3</v>
      </c>
    </row>
    <row r="235" spans="1:15">
      <c r="B235" s="440" t="s">
        <v>342</v>
      </c>
      <c r="C235" s="440" t="str">
        <f ca="1">OFFSET(UPS!$B$172,L235,0)</f>
        <v>UTRNGIMGAS</v>
      </c>
      <c r="D235" s="440" t="s">
        <v>334</v>
      </c>
      <c r="E235" s="440" t="s">
        <v>334</v>
      </c>
      <c r="F235" s="440" t="s">
        <v>334</v>
      </c>
      <c r="G235" s="440" t="s">
        <v>334</v>
      </c>
      <c r="H235" s="440" t="s">
        <v>334</v>
      </c>
      <c r="I235" s="163">
        <v>1</v>
      </c>
      <c r="L235" s="42">
        <f>L228+1</f>
        <v>3</v>
      </c>
    </row>
    <row r="236" spans="1:15">
      <c r="B236" s="440" t="s">
        <v>361</v>
      </c>
      <c r="C236" s="440" t="str">
        <f ca="1">OFFSET(UPS!$B$172,L236,0)</f>
        <v>UTRNGIMGAS</v>
      </c>
      <c r="D236" s="440" t="str">
        <f ca="1">OFFSET(UPS!$D$172,L236,0)</f>
        <v>GIM</v>
      </c>
      <c r="E236" s="440" t="s">
        <v>334</v>
      </c>
      <c r="F236" s="440" t="s">
        <v>334</v>
      </c>
      <c r="G236" s="440" t="s">
        <v>334</v>
      </c>
      <c r="H236" s="440" t="s">
        <v>334</v>
      </c>
      <c r="I236" s="163">
        <v>1</v>
      </c>
      <c r="L236" s="42">
        <f>L229+1</f>
        <v>3</v>
      </c>
    </row>
    <row r="237" spans="1:15">
      <c r="B237" s="440" t="s">
        <v>344</v>
      </c>
      <c r="C237" s="440" t="str">
        <f ca="1">OFFSET(UPS!$B$172,L237,0)</f>
        <v>UTRNGIMGAS</v>
      </c>
      <c r="D237" s="440" t="str">
        <f ca="1">OFFSET(UPS!$E$172,L237,0)</f>
        <v>GAS</v>
      </c>
      <c r="E237" s="440" t="s">
        <v>334</v>
      </c>
      <c r="F237" s="440" t="s">
        <v>334</v>
      </c>
      <c r="G237" s="440" t="s">
        <v>334</v>
      </c>
      <c r="H237" s="440" t="s">
        <v>334</v>
      </c>
      <c r="I237" s="163">
        <v>1</v>
      </c>
      <c r="L237" s="42">
        <f>L232+1</f>
        <v>3</v>
      </c>
    </row>
    <row r="238" spans="1:15">
      <c r="A238" s="42" t="s">
        <v>310</v>
      </c>
      <c r="B238" s="438" t="s">
        <v>1011</v>
      </c>
    </row>
    <row r="239" spans="1:15" s="163" customFormat="1" ht="12" customHeight="1">
      <c r="B239" s="440" t="s">
        <v>340</v>
      </c>
      <c r="C239" s="440" t="str">
        <f ca="1">IF($A239="*","",OFFSET(ITEMS_UPS!$C$22,K239,0))</f>
        <v>UGASGIC-N</v>
      </c>
      <c r="D239" s="440" t="s">
        <v>334</v>
      </c>
      <c r="E239" s="440" t="str">
        <f ca="1">OFFSET(UPS!$E$37,N239+O239,0)</f>
        <v>GAS</v>
      </c>
      <c r="F239" s="440" t="str">
        <f>IF($A239="*","",IF(VLOOKUP("*"&amp;$L239,$A$10:$H$18,F$9+1,FALSE)="-","-",C239&amp;"-"&amp;RIGHT(VLOOKUP("*"&amp;$L239,$A$10:$H$18,F$9+1,FALSE),1)))</f>
        <v>-</v>
      </c>
      <c r="G239" s="440" t="str">
        <f t="shared" ref="G239:H279" si="78">IF($A239="*","",VLOOKUP($B239,$B$10:$H$18,G$9,FALSE))</f>
        <v>-</v>
      </c>
      <c r="H239" s="440" t="str">
        <f t="shared" ref="H239:H260" si="79">IF($A239="*","",VLOOKUP("*"&amp;$L239,$A$10:$H$18,H$9+1,FALSE))</f>
        <v>-</v>
      </c>
      <c r="I239" s="163">
        <v>1</v>
      </c>
      <c r="K239" s="163">
        <v>1</v>
      </c>
      <c r="L239" s="163">
        <v>2</v>
      </c>
      <c r="N239" s="163">
        <f ca="1">SUMIF(UPS!B$38:B$176,C239,UPS!BD$38:BD$176)</f>
        <v>88</v>
      </c>
      <c r="O239" s="163">
        <v>1</v>
      </c>
    </row>
    <row r="240" spans="1:15" s="163" customFormat="1">
      <c r="B240" s="440" t="str">
        <f>IF(A240="*","",VLOOKUP("*"&amp;L240,$A$9:$B$18,2,FALSE))</f>
        <v>PRC_CAPACT</v>
      </c>
      <c r="C240" s="440" t="str">
        <f ca="1">IF($A240="*","",OFFSET(ITEMS_UPS!$C$22,K240,0))</f>
        <v>UGASGIC-N</v>
      </c>
      <c r="D240" s="440" t="str">
        <f ca="1">IF($A240="*","",IF(VLOOKUP("*"&amp;$L240,$A$10:$H$18,D$9+1,FALSE)="-","-",OFFSET(UPS!$C$37,N240+O240,SUMIF($A$10:$A$18,"*"&amp;L240,$M$10:$M$18))))</f>
        <v>-</v>
      </c>
      <c r="E240" s="440" t="str">
        <f>IF($A240="*","",IF(VLOOKUP("*"&amp;$L240,$A$10:$H$18,E$9+1,FALSE)="-","-",C240&amp;"-"&amp;RIGHT(VLOOKUP("*"&amp;$L240,$A$10:$H$18,E$9+1,FALSE),1)))</f>
        <v>-</v>
      </c>
      <c r="F240" s="440" t="str">
        <f>IF($A240="*","",IF(VLOOKUP("*"&amp;$L240,$A$10:$H$18,F$9+1,FALSE)="-","-",C240&amp;"-"&amp;RIGHT(VLOOKUP("*"&amp;$L240,$A$10:$H$18,F$9+1,FALSE),1)))</f>
        <v>-</v>
      </c>
      <c r="G240" s="440" t="str">
        <f t="shared" si="78"/>
        <v>-</v>
      </c>
      <c r="H240" s="440" t="str">
        <f t="shared" si="79"/>
        <v>-</v>
      </c>
      <c r="I240" s="163">
        <v>1</v>
      </c>
      <c r="K240" s="163">
        <f>K239</f>
        <v>1</v>
      </c>
      <c r="L240" s="163">
        <v>4</v>
      </c>
      <c r="N240" s="163">
        <f ca="1">N239</f>
        <v>88</v>
      </c>
    </row>
    <row r="241" spans="1:15" s="163" customFormat="1">
      <c r="B241" s="440" t="str">
        <f>IF(A241="*","",VLOOKUP("*"&amp;L241,$A$9:$B$18,2,FALSE))</f>
        <v>TOP-IN</v>
      </c>
      <c r="C241" s="440" t="str">
        <f ca="1">IF($A241="*","",OFFSET(ITEMS_UPS!$C$22,K241,0))</f>
        <v>UGASGIC-N</v>
      </c>
      <c r="D241" s="440" t="str">
        <f ca="1">IF($A241="*","",IF(VLOOKUP("*"&amp;$L241,$A$10:$H$18,D$9+1,FALSE)="-","-",OFFSET(UPS!$C$37,N241+O241,SUMIF($A$10:$A$18,"*"&amp;L241,$M$10:$M$18))))</f>
        <v>GIC</v>
      </c>
      <c r="E241" s="440" t="str">
        <f>IF($A241="*","",IF(VLOOKUP("*"&amp;$L241,$A$10:$H$18,E$9+1,FALSE)="-","-",C241&amp;"-"&amp;RIGHT(VLOOKUP("*"&amp;$L241,$A$10:$H$18,E$9+1,FALSE),1)))</f>
        <v>-</v>
      </c>
      <c r="F241" s="440" t="str">
        <f>IF($A241="*","",IF(VLOOKUP("*"&amp;$L241,$A$10:$H$18,F$9+1,FALSE)="-","-",C241&amp;"-"&amp;RIGHT(VLOOKUP("*"&amp;$L241,$A$10:$H$18,F$9+1,FALSE),1)))</f>
        <v>-</v>
      </c>
      <c r="G241" s="440" t="str">
        <f t="shared" si="78"/>
        <v>-</v>
      </c>
      <c r="H241" s="440" t="str">
        <f t="shared" si="79"/>
        <v>-</v>
      </c>
      <c r="I241" s="163">
        <v>1</v>
      </c>
      <c r="K241" s="163">
        <f>K240</f>
        <v>1</v>
      </c>
      <c r="L241" s="163">
        <v>5</v>
      </c>
      <c r="N241" s="163">
        <f ca="1">N240</f>
        <v>88</v>
      </c>
    </row>
    <row r="242" spans="1:15" s="163" customFormat="1">
      <c r="B242" s="440" t="str">
        <f>IF(A242="*","",VLOOKUP("*"&amp;L242,$A$9:$B$18,2,FALSE))</f>
        <v>TOP-OUT</v>
      </c>
      <c r="C242" s="440" t="str">
        <f ca="1">IF($A242="*","",OFFSET(ITEMS_UPS!$C$22,K242,0))</f>
        <v>UGASGIC-N</v>
      </c>
      <c r="D242" s="440" t="str">
        <f ca="1">IF($A242="*","",IF(VLOOKUP("*"&amp;$L242,$A$10:$H$18,D$9+1,FALSE)="-","-",OFFSET(UPS!$C$37,N242+O242,SUMIF($A$10:$A$18,"*"&amp;L242,$M$10:$M$18))))</f>
        <v>GAS</v>
      </c>
      <c r="E242" s="440" t="str">
        <f>IF($A242="*","",IF(VLOOKUP("*"&amp;$L242,$A$10:$H$18,E$9+1,FALSE)="-","-",C242&amp;"-"&amp;RIGHT(VLOOKUP("*"&amp;$L242,$A$10:$H$18,E$9+1,FALSE),1)))</f>
        <v>-</v>
      </c>
      <c r="F242" s="440" t="str">
        <f>IF($A242="*","",IF(VLOOKUP("*"&amp;$L242,$A$10:$H$18,F$9+1,FALSE)="-","-",C242&amp;"-"&amp;RIGHT(VLOOKUP("*"&amp;$L242,$A$10:$H$18,F$9+1,FALSE),1)))</f>
        <v>-</v>
      </c>
      <c r="G242" s="440" t="str">
        <f t="shared" si="78"/>
        <v>-</v>
      </c>
      <c r="H242" s="440" t="str">
        <f t="shared" si="79"/>
        <v>-</v>
      </c>
      <c r="I242" s="163">
        <v>1</v>
      </c>
      <c r="K242" s="163">
        <f>K241</f>
        <v>1</v>
      </c>
      <c r="L242" s="163">
        <v>6</v>
      </c>
      <c r="N242" s="163">
        <f ca="1">N241</f>
        <v>88</v>
      </c>
      <c r="O242" s="163">
        <v>1</v>
      </c>
    </row>
    <row r="243" spans="1:15" s="163" customFormat="1">
      <c r="B243" s="440" t="str">
        <f>IF(A243="*","",VLOOKUP("*"&amp;L243,$A$9:$B$18,2,FALSE))</f>
        <v>NCAP_START</v>
      </c>
      <c r="C243" s="440" t="str">
        <f ca="1">IF($A243="*","",OFFSET(ITEMS_UPS!$C$22,K243,0))</f>
        <v>UGASGIC-N</v>
      </c>
      <c r="D243" s="440" t="str">
        <f ca="1">IF($A243="*","",IF(VLOOKUP("*"&amp;$L243,$A$10:$H$18,D$9+1,FALSE)="-","-",OFFSET(UPS!$C$37,N243+O243,SUMIF($A$10:$A$18,"*"&amp;L243,$M$10:$M$18))))</f>
        <v>-</v>
      </c>
      <c r="E243" s="440" t="str">
        <f>IF($A243="*","",IF(VLOOKUP("*"&amp;$L243,$A$10:$H$18,E$9+1,FALSE)="-","-",C243&amp;"-"&amp;RIGHT(VLOOKUP("*"&amp;$L243,$A$10:$H$18,E$9+1,FALSE),1)))</f>
        <v>-</v>
      </c>
      <c r="F243" s="440" t="str">
        <f>IF($A243="*","",IF(VLOOKUP("*"&amp;$L243,$A$10:$H$18,F$9+1,FALSE)="-","-",C243&amp;"-"&amp;RIGHT(VLOOKUP("*"&amp;$L243,$A$10:$H$18,F$9+1,FALSE),1)))</f>
        <v>-</v>
      </c>
      <c r="G243" s="440" t="str">
        <f t="shared" si="78"/>
        <v>-</v>
      </c>
      <c r="H243" s="524" t="str">
        <f t="shared" si="78"/>
        <v>-</v>
      </c>
      <c r="I243" s="524">
        <f ca="1">IF($A243="*","",OFFSET(UPS!$C$37,N243,SUMIF($B$10:$B$18,B243,$M$10:$M$18)))</f>
        <v>2022</v>
      </c>
      <c r="K243" s="163">
        <f>K242</f>
        <v>1</v>
      </c>
      <c r="L243" s="163">
        <v>9</v>
      </c>
      <c r="N243" s="163">
        <f ca="1">N242</f>
        <v>88</v>
      </c>
    </row>
    <row r="244" spans="1:15">
      <c r="A244" s="42" t="s">
        <v>310</v>
      </c>
      <c r="B244" s="438"/>
    </row>
    <row r="245" spans="1:15">
      <c r="B245" s="440" t="s">
        <v>340</v>
      </c>
      <c r="C245" s="440" t="str">
        <f ca="1">IF($A245="*","",OFFSET(ITEMS_UPS!$C$22,K245,0))</f>
        <v>UGASGIB-N</v>
      </c>
      <c r="D245" s="440" t="s">
        <v>334</v>
      </c>
      <c r="E245" s="440" t="str">
        <f ca="1">OFFSET(UPS!$E$37,N245+O245,0)</f>
        <v>GTB</v>
      </c>
      <c r="F245" s="440" t="str">
        <f>IF($A245="*","",IF(VLOOKUP("*"&amp;$L245,$A$10:$H$18,F$9+1,FALSE)="-","-",C245&amp;"-"&amp;RIGHT(VLOOKUP("*"&amp;$L245,$A$10:$H$18,F$9+1,FALSE),1)))</f>
        <v>-</v>
      </c>
      <c r="G245" s="440" t="str">
        <f t="shared" si="78"/>
        <v>-</v>
      </c>
      <c r="H245" s="440" t="str">
        <f t="shared" si="79"/>
        <v>-</v>
      </c>
      <c r="I245" s="163">
        <v>1</v>
      </c>
      <c r="K245" s="42">
        <f>K239+1</f>
        <v>2</v>
      </c>
      <c r="L245" s="42">
        <v>2</v>
      </c>
      <c r="N245" s="163">
        <f ca="1">SUMIF(UPS!B$38:B$176,C245,UPS!BD$38:BD$176)</f>
        <v>91</v>
      </c>
      <c r="O245" s="42">
        <v>1</v>
      </c>
    </row>
    <row r="246" spans="1:15">
      <c r="B246" s="440" t="str">
        <f>IF(A246="*","",VLOOKUP("*"&amp;L246,$A$9:$B$18,2,FALSE))</f>
        <v>PRC_CAPACT</v>
      </c>
      <c r="C246" s="440" t="str">
        <f ca="1">IF($A246="*","",OFFSET(ITEMS_UPS!$C$22,K246,0))</f>
        <v>UGASGIB-N</v>
      </c>
      <c r="D246" s="440" t="str">
        <f ca="1">IF($A246="*","",IF(VLOOKUP("*"&amp;$L246,$A$10:$H$18,D$9+1,FALSE)="-","-",OFFSET(UPS!$C$37,N246+O246,SUMIF($A$10:$A$18,"*"&amp;L246,$M$10:$M$18))))</f>
        <v>-</v>
      </c>
      <c r="E246" s="440" t="str">
        <f>IF($A246="*","",IF(VLOOKUP("*"&amp;$L246,$A$10:$H$18,E$9+1,FALSE)="-","-",C246&amp;"-"&amp;RIGHT(VLOOKUP("*"&amp;$L246,$A$10:$H$18,E$9+1,FALSE),1)))</f>
        <v>-</v>
      </c>
      <c r="F246" s="440" t="str">
        <f>IF($A246="*","",IF(VLOOKUP("*"&amp;$L246,$A$10:$H$18,F$9+1,FALSE)="-","-",C246&amp;"-"&amp;RIGHT(VLOOKUP("*"&amp;$L246,$A$10:$H$18,F$9+1,FALSE),1)))</f>
        <v>-</v>
      </c>
      <c r="G246" s="440" t="str">
        <f t="shared" si="78"/>
        <v>-</v>
      </c>
      <c r="H246" s="440" t="str">
        <f t="shared" si="79"/>
        <v>-</v>
      </c>
      <c r="I246" s="163">
        <v>1</v>
      </c>
      <c r="K246" s="163">
        <f>K245</f>
        <v>2</v>
      </c>
      <c r="L246" s="42">
        <v>4</v>
      </c>
      <c r="N246" s="163">
        <f ca="1">N245</f>
        <v>91</v>
      </c>
    </row>
    <row r="247" spans="1:15">
      <c r="B247" s="440" t="str">
        <f>IF(A247="*","",VLOOKUP("*"&amp;L247,$A$9:$B$18,2,FALSE))</f>
        <v>TOP-IN</v>
      </c>
      <c r="C247" s="440" t="str">
        <f ca="1">IF($A247="*","",OFFSET(ITEMS_UPS!$C$22,K247,0))</f>
        <v>UGASGIB-N</v>
      </c>
      <c r="D247" s="440" t="str">
        <f ca="1">IF($A247="*","",IF(VLOOKUP("*"&amp;$L247,$A$10:$H$18,D$9+1,FALSE)="-","-",OFFSET(UPS!$C$37,N247+O247,SUMIF($A$10:$A$18,"*"&amp;L247,$M$10:$M$18))))</f>
        <v>GIB</v>
      </c>
      <c r="E247" s="440" t="str">
        <f>IF($A247="*","",IF(VLOOKUP("*"&amp;$L247,$A$10:$H$18,E$9+1,FALSE)="-","-",C247&amp;"-"&amp;RIGHT(VLOOKUP("*"&amp;$L247,$A$10:$H$18,E$9+1,FALSE),1)))</f>
        <v>-</v>
      </c>
      <c r="F247" s="440" t="str">
        <f>IF($A247="*","",IF(VLOOKUP("*"&amp;$L247,$A$10:$H$18,F$9+1,FALSE)="-","-",C247&amp;"-"&amp;RIGHT(VLOOKUP("*"&amp;$L247,$A$10:$H$18,F$9+1,FALSE),1)))</f>
        <v>-</v>
      </c>
      <c r="G247" s="440" t="str">
        <f t="shared" si="78"/>
        <v>-</v>
      </c>
      <c r="H247" s="440" t="str">
        <f t="shared" si="79"/>
        <v>-</v>
      </c>
      <c r="I247" s="163">
        <v>1</v>
      </c>
      <c r="K247" s="163">
        <f>K246</f>
        <v>2</v>
      </c>
      <c r="L247" s="42">
        <v>5</v>
      </c>
      <c r="N247" s="163">
        <f ca="1">N246</f>
        <v>91</v>
      </c>
    </row>
    <row r="248" spans="1:15">
      <c r="B248" s="440" t="str">
        <f>IF(A248="*","",VLOOKUP("*"&amp;L248,$A$9:$B$18,2,FALSE))</f>
        <v>TOP-OUT</v>
      </c>
      <c r="C248" s="440" t="str">
        <f ca="1">IF($A248="*","",OFFSET(ITEMS_UPS!$C$22,K248,0))</f>
        <v>UGASGIB-N</v>
      </c>
      <c r="D248" s="440" t="str">
        <f ca="1">IF($A248="*","",IF(VLOOKUP("*"&amp;$L248,$A$10:$H$18,D$9+1,FALSE)="-","-",OFFSET(UPS!$C$37,N248+O248,SUMIF($A$10:$A$18,"*"&amp;L248,$M$10:$M$18))))</f>
        <v>GTB</v>
      </c>
      <c r="E248" s="440" t="str">
        <f>IF($A248="*","",IF(VLOOKUP("*"&amp;$L248,$A$10:$H$18,E$9+1,FALSE)="-","-",C248&amp;"-"&amp;RIGHT(VLOOKUP("*"&amp;$L248,$A$10:$H$18,E$9+1,FALSE),1)))</f>
        <v>-</v>
      </c>
      <c r="F248" s="440" t="str">
        <f>IF($A248="*","",IF(VLOOKUP("*"&amp;$L248,$A$10:$H$18,F$9+1,FALSE)="-","-",C248&amp;"-"&amp;RIGHT(VLOOKUP("*"&amp;$L248,$A$10:$H$18,F$9+1,FALSE),1)))</f>
        <v>-</v>
      </c>
      <c r="G248" s="440" t="str">
        <f t="shared" si="78"/>
        <v>-</v>
      </c>
      <c r="H248" s="440" t="str">
        <f t="shared" si="79"/>
        <v>-</v>
      </c>
      <c r="I248" s="163">
        <v>1</v>
      </c>
      <c r="K248" s="163">
        <f>K247</f>
        <v>2</v>
      </c>
      <c r="L248" s="42">
        <v>6</v>
      </c>
      <c r="N248" s="163">
        <f ca="1">N247</f>
        <v>91</v>
      </c>
      <c r="O248" s="42">
        <v>1</v>
      </c>
    </row>
    <row r="249" spans="1:15">
      <c r="B249" s="440" t="str">
        <f>IF(A249="*","",VLOOKUP("*"&amp;L249,$A$9:$B$18,2,FALSE))</f>
        <v>NCAP_START</v>
      </c>
      <c r="C249" s="440" t="str">
        <f ca="1">IF($A249="*","",OFFSET(ITEMS_UPS!$C$22,K249,0))</f>
        <v>UGASGIB-N</v>
      </c>
      <c r="D249" s="440" t="str">
        <f ca="1">IF($A249="*","",IF(VLOOKUP("*"&amp;$L249,$A$10:$H$18,D$9+1,FALSE)="-","-",OFFSET(UPS!$C$37,N249+O249,SUMIF($A$10:$A$18,"*"&amp;L249,$M$10:$M$18))))</f>
        <v>-</v>
      </c>
      <c r="E249" s="440" t="str">
        <f>IF($A249="*","",IF(VLOOKUP("*"&amp;$L249,$A$10:$H$18,E$9+1,FALSE)="-","-",C249&amp;"-"&amp;RIGHT(VLOOKUP("*"&amp;$L249,$A$10:$H$18,E$9+1,FALSE),1)))</f>
        <v>-</v>
      </c>
      <c r="F249" s="440" t="str">
        <f>IF($A249="*","",IF(VLOOKUP("*"&amp;$L249,$A$10:$H$18,F$9+1,FALSE)="-","-",C249&amp;"-"&amp;RIGHT(VLOOKUP("*"&amp;$L249,$A$10:$H$18,F$9+1,FALSE),1)))</f>
        <v>-</v>
      </c>
      <c r="G249" s="440" t="str">
        <f t="shared" si="78"/>
        <v>-</v>
      </c>
      <c r="H249" s="524" t="str">
        <f t="shared" si="78"/>
        <v>-</v>
      </c>
      <c r="I249" s="524">
        <f ca="1">IF($A249="*","",OFFSET(UPS!$C$37,N249,SUMIF($B$10:$B$18,B249,$M$10:$M$18)))</f>
        <v>2022</v>
      </c>
      <c r="K249" s="163">
        <f>K248</f>
        <v>2</v>
      </c>
      <c r="L249" s="42">
        <v>9</v>
      </c>
      <c r="N249" s="163">
        <f ca="1">N248</f>
        <v>91</v>
      </c>
    </row>
    <row r="250" spans="1:15">
      <c r="A250" s="42" t="s">
        <v>310</v>
      </c>
      <c r="B250" s="438"/>
    </row>
    <row r="251" spans="1:15">
      <c r="B251" s="440" t="s">
        <v>340</v>
      </c>
      <c r="C251" s="440" t="str">
        <f ca="1">IF($A251="*","",OFFSET(ITEMS_UPS!$C$22,K251,0))</f>
        <v>UGASGRM-N</v>
      </c>
      <c r="D251" s="440" t="s">
        <v>334</v>
      </c>
      <c r="E251" s="440" t="str">
        <f ca="1">OFFSET(UPS!$E$37,N251+O251,0)</f>
        <v>GAS</v>
      </c>
      <c r="F251" s="440" t="str">
        <f>IF($A251="*","",IF(VLOOKUP("*"&amp;$L251,$A$10:$H$18,F$9+1,FALSE)="-","-",C251&amp;"-"&amp;RIGHT(VLOOKUP("*"&amp;$L251,$A$10:$H$18,F$9+1,FALSE),1)))</f>
        <v>-</v>
      </c>
      <c r="G251" s="440" t="str">
        <f t="shared" si="78"/>
        <v>-</v>
      </c>
      <c r="H251" s="440" t="str">
        <f t="shared" si="79"/>
        <v>-</v>
      </c>
      <c r="I251" s="163">
        <v>1</v>
      </c>
      <c r="K251" s="42">
        <f>K245+1</f>
        <v>3</v>
      </c>
      <c r="L251" s="42">
        <v>2</v>
      </c>
      <c r="N251" s="163">
        <f ca="1">SUMIF(UPS!B$38:B$176,C251,UPS!BD$38:BD$176)</f>
        <v>94</v>
      </c>
      <c r="O251" s="42">
        <v>1</v>
      </c>
    </row>
    <row r="252" spans="1:15">
      <c r="B252" s="440" t="str">
        <f>IF(A252="*","",VLOOKUP("*"&amp;L252,$A$9:$B$18,2,FALSE))</f>
        <v>PRC_CAPACT</v>
      </c>
      <c r="C252" s="440" t="str">
        <f ca="1">IF($A252="*","",OFFSET(ITEMS_UPS!$C$22,K252,0))</f>
        <v>UGASGRM-N</v>
      </c>
      <c r="D252" s="440" t="str">
        <f ca="1">IF($A252="*","",IF(VLOOKUP("*"&amp;$L252,$A$10:$H$18,D$9+1,FALSE)="-","-",OFFSET(UPS!$C$37,N252+O252,SUMIF($A$10:$A$18,"*"&amp;L252,$M$10:$M$18))))</f>
        <v>-</v>
      </c>
      <c r="E252" s="440" t="str">
        <f>IF($A252="*","",IF(VLOOKUP("*"&amp;$L252,$A$10:$H$18,E$9+1,FALSE)="-","-",C252&amp;"-"&amp;RIGHT(VLOOKUP("*"&amp;$L252,$A$10:$H$18,E$9+1,FALSE),1)))</f>
        <v>-</v>
      </c>
      <c r="F252" s="440" t="str">
        <f>IF($A252="*","",IF(VLOOKUP("*"&amp;$L252,$A$10:$H$18,F$9+1,FALSE)="-","-",C252&amp;"-"&amp;RIGHT(VLOOKUP("*"&amp;$L252,$A$10:$H$18,F$9+1,FALSE),1)))</f>
        <v>-</v>
      </c>
      <c r="G252" s="440" t="str">
        <f t="shared" si="78"/>
        <v>-</v>
      </c>
      <c r="H252" s="440" t="str">
        <f t="shared" si="79"/>
        <v>-</v>
      </c>
      <c r="I252" s="163">
        <v>1</v>
      </c>
      <c r="K252" s="163">
        <f>K251</f>
        <v>3</v>
      </c>
      <c r="L252" s="42">
        <v>4</v>
      </c>
      <c r="N252" s="163">
        <f ca="1">N251</f>
        <v>94</v>
      </c>
    </row>
    <row r="253" spans="1:15">
      <c r="B253" s="440" t="str">
        <f>IF(A253="*","",VLOOKUP("*"&amp;L253,$A$9:$B$18,2,FALSE))</f>
        <v>TOP-IN</v>
      </c>
      <c r="C253" s="440" t="str">
        <f ca="1">IF($A253="*","",OFFSET(ITEMS_UPS!$C$22,K253,0))</f>
        <v>UGASGRM-N</v>
      </c>
      <c r="D253" s="440" t="str">
        <f ca="1">IF($A253="*","",IF(VLOOKUP("*"&amp;$L253,$A$10:$H$18,D$9+1,FALSE)="-","-",OFFSET(UPS!$C$37,N253+O253,SUMIF($A$10:$A$18,"*"&amp;L253,$M$10:$M$18))))</f>
        <v>GRM</v>
      </c>
      <c r="E253" s="440" t="str">
        <f>IF($A253="*","",IF(VLOOKUP("*"&amp;$L253,$A$10:$H$18,E$9+1,FALSE)="-","-",C253&amp;"-"&amp;RIGHT(VLOOKUP("*"&amp;$L253,$A$10:$H$18,E$9+1,FALSE),1)))</f>
        <v>-</v>
      </c>
      <c r="F253" s="440" t="str">
        <f>IF($A253="*","",IF(VLOOKUP("*"&amp;$L253,$A$10:$H$18,F$9+1,FALSE)="-","-",C253&amp;"-"&amp;RIGHT(VLOOKUP("*"&amp;$L253,$A$10:$H$18,F$9+1,FALSE),1)))</f>
        <v>-</v>
      </c>
      <c r="G253" s="440" t="str">
        <f t="shared" si="78"/>
        <v>-</v>
      </c>
      <c r="H253" s="440" t="str">
        <f t="shared" si="79"/>
        <v>-</v>
      </c>
      <c r="I253" s="163">
        <v>1</v>
      </c>
      <c r="K253" s="163">
        <f>K252</f>
        <v>3</v>
      </c>
      <c r="L253" s="42">
        <v>5</v>
      </c>
      <c r="N253" s="163">
        <f ca="1">N252</f>
        <v>94</v>
      </c>
    </row>
    <row r="254" spans="1:15">
      <c r="B254" s="440" t="str">
        <f>IF(A254="*","",VLOOKUP("*"&amp;L254,$A$9:$B$18,2,FALSE))</f>
        <v>TOP-OUT</v>
      </c>
      <c r="C254" s="440" t="str">
        <f ca="1">IF($A254="*","",OFFSET(ITEMS_UPS!$C$22,K254,0))</f>
        <v>UGASGRM-N</v>
      </c>
      <c r="D254" s="440" t="str">
        <f ca="1">IF($A254="*","",IF(VLOOKUP("*"&amp;$L254,$A$10:$H$18,D$9+1,FALSE)="-","-",OFFSET(UPS!$C$37,N254+O254,SUMIF($A$10:$A$18,"*"&amp;L254,$M$10:$M$18))))</f>
        <v>GAS</v>
      </c>
      <c r="E254" s="440" t="str">
        <f>IF($A254="*","",IF(VLOOKUP("*"&amp;$L254,$A$10:$H$18,E$9+1,FALSE)="-","-",C254&amp;"-"&amp;RIGHT(VLOOKUP("*"&amp;$L254,$A$10:$H$18,E$9+1,FALSE),1)))</f>
        <v>-</v>
      </c>
      <c r="F254" s="440" t="str">
        <f>IF($A254="*","",IF(VLOOKUP("*"&amp;$L254,$A$10:$H$18,F$9+1,FALSE)="-","-",C254&amp;"-"&amp;RIGHT(VLOOKUP("*"&amp;$L254,$A$10:$H$18,F$9+1,FALSE),1)))</f>
        <v>-</v>
      </c>
      <c r="G254" s="440" t="str">
        <f t="shared" si="78"/>
        <v>-</v>
      </c>
      <c r="H254" s="440" t="str">
        <f t="shared" si="79"/>
        <v>-</v>
      </c>
      <c r="I254" s="163">
        <v>1</v>
      </c>
      <c r="K254" s="163">
        <f>K253</f>
        <v>3</v>
      </c>
      <c r="L254" s="42">
        <v>6</v>
      </c>
      <c r="N254" s="163">
        <f ca="1">N253</f>
        <v>94</v>
      </c>
      <c r="O254" s="42">
        <v>1</v>
      </c>
    </row>
    <row r="255" spans="1:15">
      <c r="B255" s="440" t="str">
        <f>IF(A255="*","",VLOOKUP("*"&amp;L255,$A$9:$B$18,2,FALSE))</f>
        <v>NCAP_START</v>
      </c>
      <c r="C255" s="440" t="str">
        <f ca="1">IF($A255="*","",OFFSET(ITEMS_UPS!$C$22,K255,0))</f>
        <v>UGASGRM-N</v>
      </c>
      <c r="D255" s="440" t="str">
        <f ca="1">IF($A255="*","",IF(VLOOKUP("*"&amp;$L255,$A$10:$H$18,D$9+1,FALSE)="-","-",OFFSET(UPS!$C$37,N255+O255,SUMIF($A$10:$A$18,"*"&amp;L255,$M$10:$M$18))))</f>
        <v>-</v>
      </c>
      <c r="E255" s="440" t="str">
        <f>IF($A255="*","",IF(VLOOKUP("*"&amp;$L255,$A$10:$H$18,E$9+1,FALSE)="-","-",C255&amp;"-"&amp;RIGHT(VLOOKUP("*"&amp;$L255,$A$10:$H$18,E$9+1,FALSE),1)))</f>
        <v>-</v>
      </c>
      <c r="F255" s="440" t="str">
        <f>IF($A255="*","",IF(VLOOKUP("*"&amp;$L255,$A$10:$H$18,F$9+1,FALSE)="-","-",C255&amp;"-"&amp;RIGHT(VLOOKUP("*"&amp;$L255,$A$10:$H$18,F$9+1,FALSE),1)))</f>
        <v>-</v>
      </c>
      <c r="G255" s="440" t="str">
        <f t="shared" si="78"/>
        <v>-</v>
      </c>
      <c r="H255" s="524" t="str">
        <f t="shared" si="78"/>
        <v>-</v>
      </c>
      <c r="I255" s="524">
        <f ca="1">IF($A255="*","",OFFSET(UPS!$C$37,N255,SUMIF($B$10:$B$18,B255,$M$10:$M$18)))</f>
        <v>2030</v>
      </c>
      <c r="K255" s="163">
        <f>K254</f>
        <v>3</v>
      </c>
      <c r="L255" s="42">
        <v>9</v>
      </c>
      <c r="N255" s="163">
        <f ca="1">N254</f>
        <v>94</v>
      </c>
    </row>
    <row r="256" spans="1:15">
      <c r="A256" s="42" t="s">
        <v>310</v>
      </c>
      <c r="B256" s="438"/>
    </row>
    <row r="257" spans="1:15">
      <c r="B257" s="440" t="s">
        <v>340</v>
      </c>
      <c r="C257" s="440" t="str">
        <f ca="1">IF($A257="*","",OFFSET(ITEMS_UPS!$C$22,K257,0))</f>
        <v>UGASGRS-N</v>
      </c>
      <c r="D257" s="440" t="s">
        <v>334</v>
      </c>
      <c r="E257" s="440" t="str">
        <f ca="1">OFFSET(UPS!$E$37,N257+O257,0)</f>
        <v>GAS</v>
      </c>
      <c r="F257" s="440" t="str">
        <f>IF($A257="*","",IF(VLOOKUP("*"&amp;$L257,$A$10:$H$18,F$9+1,FALSE)="-","-",C257&amp;"-"&amp;RIGHT(VLOOKUP("*"&amp;$L257,$A$10:$H$18,F$9+1,FALSE),1)))</f>
        <v>-</v>
      </c>
      <c r="G257" s="440" t="str">
        <f t="shared" si="78"/>
        <v>-</v>
      </c>
      <c r="H257" s="440" t="str">
        <f t="shared" si="79"/>
        <v>-</v>
      </c>
      <c r="I257" s="163">
        <v>1</v>
      </c>
      <c r="K257" s="42">
        <f>K251+1</f>
        <v>4</v>
      </c>
      <c r="L257" s="42">
        <v>2</v>
      </c>
      <c r="N257" s="163">
        <f ca="1">SUMIF(UPS!B$38:B$176,C257,UPS!BD$38:BD$176)</f>
        <v>97</v>
      </c>
      <c r="O257" s="42">
        <v>1</v>
      </c>
    </row>
    <row r="258" spans="1:15">
      <c r="B258" s="440" t="str">
        <f>IF(A258="*","",VLOOKUP("*"&amp;L258,$A$9:$B$18,2,FALSE))</f>
        <v>PRC_CAPACT</v>
      </c>
      <c r="C258" s="440" t="str">
        <f ca="1">IF($A258="*","",OFFSET(ITEMS_UPS!$C$22,K258,0))</f>
        <v>UGASGRS-N</v>
      </c>
      <c r="D258" s="440" t="str">
        <f ca="1">IF($A258="*","",IF(VLOOKUP("*"&amp;$L258,$A$10:$H$18,D$9+1,FALSE)="-","-",OFFSET(UPS!$C$37,N258+O258,SUMIF($A$10:$A$18,"*"&amp;L258,$M$10:$M$18))))</f>
        <v>-</v>
      </c>
      <c r="E258" s="440" t="str">
        <f>IF($A258="*","",IF(VLOOKUP("*"&amp;$L258,$A$10:$H$18,E$9+1,FALSE)="-","-",C258&amp;"-"&amp;RIGHT(VLOOKUP("*"&amp;$L258,$A$10:$H$18,E$9+1,FALSE),1)))</f>
        <v>-</v>
      </c>
      <c r="F258" s="440" t="str">
        <f>IF($A258="*","",IF(VLOOKUP("*"&amp;$L258,$A$10:$H$18,F$9+1,FALSE)="-","-",C258&amp;"-"&amp;RIGHT(VLOOKUP("*"&amp;$L258,$A$10:$H$18,F$9+1,FALSE),1)))</f>
        <v>-</v>
      </c>
      <c r="G258" s="440" t="str">
        <f t="shared" si="78"/>
        <v>-</v>
      </c>
      <c r="H258" s="440" t="str">
        <f t="shared" si="79"/>
        <v>-</v>
      </c>
      <c r="I258" s="163">
        <v>1</v>
      </c>
      <c r="K258" s="163">
        <f>K257</f>
        <v>4</v>
      </c>
      <c r="L258" s="42">
        <v>4</v>
      </c>
      <c r="N258" s="163">
        <f ca="1">N257</f>
        <v>97</v>
      </c>
    </row>
    <row r="259" spans="1:15">
      <c r="B259" s="440" t="str">
        <f>IF(A259="*","",VLOOKUP("*"&amp;L259,$A$9:$B$18,2,FALSE))</f>
        <v>TOP-IN</v>
      </c>
      <c r="C259" s="440" t="str">
        <f ca="1">IF($A259="*","",OFFSET(ITEMS_UPS!$C$22,K259,0))</f>
        <v>UGASGRS-N</v>
      </c>
      <c r="D259" s="440" t="str">
        <f ca="1">IF($A259="*","",IF(VLOOKUP("*"&amp;$L259,$A$10:$H$18,D$9+1,FALSE)="-","-",OFFSET(UPS!$C$37,N259+O259,SUMIF($A$10:$A$18,"*"&amp;L259,$M$10:$M$18))))</f>
        <v>GRS</v>
      </c>
      <c r="E259" s="440" t="str">
        <f>IF($A259="*","",IF(VLOOKUP("*"&amp;$L259,$A$10:$H$18,E$9+1,FALSE)="-","-",C259&amp;"-"&amp;RIGHT(VLOOKUP("*"&amp;$L259,$A$10:$H$18,E$9+1,FALSE),1)))</f>
        <v>-</v>
      </c>
      <c r="F259" s="440" t="str">
        <f>IF($A259="*","",IF(VLOOKUP("*"&amp;$L259,$A$10:$H$18,F$9+1,FALSE)="-","-",C259&amp;"-"&amp;RIGHT(VLOOKUP("*"&amp;$L259,$A$10:$H$18,F$9+1,FALSE),1)))</f>
        <v>-</v>
      </c>
      <c r="G259" s="440" t="str">
        <f t="shared" si="78"/>
        <v>-</v>
      </c>
      <c r="H259" s="440" t="str">
        <f t="shared" si="79"/>
        <v>-</v>
      </c>
      <c r="I259" s="163">
        <v>1</v>
      </c>
      <c r="K259" s="163">
        <f>K258</f>
        <v>4</v>
      </c>
      <c r="L259" s="42">
        <v>5</v>
      </c>
      <c r="N259" s="163">
        <f ca="1">N258</f>
        <v>97</v>
      </c>
    </row>
    <row r="260" spans="1:15">
      <c r="B260" s="440" t="str">
        <f>IF(A260="*","",VLOOKUP("*"&amp;L260,$A$9:$B$18,2,FALSE))</f>
        <v>TOP-OUT</v>
      </c>
      <c r="C260" s="440" t="str">
        <f ca="1">IF($A260="*","",OFFSET(ITEMS_UPS!$C$22,K260,0))</f>
        <v>UGASGRS-N</v>
      </c>
      <c r="D260" s="440" t="str">
        <f ca="1">IF($A260="*","",IF(VLOOKUP("*"&amp;$L260,$A$10:$H$18,D$9+1,FALSE)="-","-",OFFSET(UPS!$C$37,N260+O260,SUMIF($A$10:$A$18,"*"&amp;L260,$M$10:$M$18))))</f>
        <v>GAS</v>
      </c>
      <c r="E260" s="440" t="str">
        <f>IF($A260="*","",IF(VLOOKUP("*"&amp;$L260,$A$10:$H$18,E$9+1,FALSE)="-","-",C260&amp;"-"&amp;RIGHT(VLOOKUP("*"&amp;$L260,$A$10:$H$18,E$9+1,FALSE),1)))</f>
        <v>-</v>
      </c>
      <c r="F260" s="440" t="str">
        <f>IF($A260="*","",IF(VLOOKUP("*"&amp;$L260,$A$10:$H$18,F$9+1,FALSE)="-","-",C260&amp;"-"&amp;RIGHT(VLOOKUP("*"&amp;$L260,$A$10:$H$18,F$9+1,FALSE),1)))</f>
        <v>-</v>
      </c>
      <c r="G260" s="440" t="str">
        <f t="shared" si="78"/>
        <v>-</v>
      </c>
      <c r="H260" s="440" t="str">
        <f t="shared" si="79"/>
        <v>-</v>
      </c>
      <c r="I260" s="163">
        <v>1</v>
      </c>
      <c r="K260" s="163">
        <f>K259</f>
        <v>4</v>
      </c>
      <c r="L260" s="42">
        <v>6</v>
      </c>
      <c r="N260" s="163">
        <f ca="1">N259</f>
        <v>97</v>
      </c>
      <c r="O260" s="42">
        <v>1</v>
      </c>
    </row>
    <row r="261" spans="1:15" s="649" customFormat="1">
      <c r="B261" s="440" t="str">
        <f>IF(A261="*","",VLOOKUP("*"&amp;L261,$A$9:$B$18,2,FALSE))</f>
        <v>NCAP_START</v>
      </c>
      <c r="C261" s="440" t="str">
        <f ca="1">IF($A261="*","",OFFSET(ITEMS_UPS!$C$22,K261,0))</f>
        <v>UGASGRS-N</v>
      </c>
      <c r="D261" s="440" t="str">
        <f ca="1">IF($A261="*","",IF(VLOOKUP("*"&amp;$L261,$A$10:$H$18,D$9+1,FALSE)="-","-",OFFSET(UPS!$C$37,N261+O261,SUMIF($A$10:$A$18,"*"&amp;L261,$M$10:$M$18))))</f>
        <v>-</v>
      </c>
      <c r="E261" s="440" t="str">
        <f>IF($A261="*","",IF(VLOOKUP("*"&amp;$L261,$A$10:$H$18,E$9+1,FALSE)="-","-",C261&amp;"-"&amp;RIGHT(VLOOKUP("*"&amp;$L261,$A$10:$H$18,E$9+1,FALSE),1)))</f>
        <v>-</v>
      </c>
      <c r="F261" s="440" t="str">
        <f>IF($A261="*","",IF(VLOOKUP("*"&amp;$L261,$A$10:$H$18,F$9+1,FALSE)="-","-",C261&amp;"-"&amp;RIGHT(VLOOKUP("*"&amp;$L261,$A$10:$H$18,F$9+1,FALSE),1)))</f>
        <v>-</v>
      </c>
      <c r="G261" s="440" t="str">
        <f t="shared" si="78"/>
        <v>-</v>
      </c>
      <c r="H261" s="524" t="str">
        <f t="shared" si="78"/>
        <v>-</v>
      </c>
      <c r="I261" s="524">
        <f ca="1">IF($A261="*","",OFFSET(UPS!$C$37,N261,SUMIF($B$10:$B$18,B261,$M$10:$M$18)))</f>
        <v>2012</v>
      </c>
      <c r="J261" s="517"/>
      <c r="K261" s="163">
        <f>K260</f>
        <v>4</v>
      </c>
      <c r="L261" s="649">
        <v>9</v>
      </c>
      <c r="N261" s="163">
        <f ca="1">N260</f>
        <v>97</v>
      </c>
    </row>
    <row r="262" spans="1:15">
      <c r="A262" s="42" t="s">
        <v>310</v>
      </c>
      <c r="B262" s="438"/>
    </row>
    <row r="263" spans="1:15">
      <c r="B263" s="440" t="s">
        <v>340</v>
      </c>
      <c r="C263" s="440" t="str">
        <f ca="1">IF($A263="*","",OFFSET(ITEMS_UPS!$C$22,K263,0))</f>
        <v>UGASGIH-N</v>
      </c>
      <c r="D263" s="440" t="s">
        <v>334</v>
      </c>
      <c r="E263" s="440" t="str">
        <f ca="1">OFFSET(UPS!$E$37,N263+O263,0)</f>
        <v>GAS</v>
      </c>
      <c r="F263" s="440" t="str">
        <f>IF($A263="*","",IF(VLOOKUP("*"&amp;$L263,$A$10:$H$18,F$9+1,FALSE)="-","-",C263&amp;"-"&amp;RIGHT(VLOOKUP("*"&amp;$L263,$A$10:$H$18,F$9+1,FALSE),1)))</f>
        <v>-</v>
      </c>
      <c r="G263" s="440" t="str">
        <f t="shared" si="78"/>
        <v>-</v>
      </c>
      <c r="H263" s="440" t="str">
        <f>IF($A263="*","",VLOOKUP("*"&amp;$L263,$A$10:$H$18,H$9+1,FALSE))</f>
        <v>-</v>
      </c>
      <c r="I263" s="163">
        <v>1</v>
      </c>
      <c r="K263" s="42">
        <f>K257+1</f>
        <v>5</v>
      </c>
      <c r="L263" s="42">
        <v>2</v>
      </c>
      <c r="N263" s="163">
        <f ca="1">SUMIF(UPS!B$38:B$176,C263,UPS!BD$38:BD$176)</f>
        <v>100</v>
      </c>
      <c r="O263" s="42">
        <v>1</v>
      </c>
    </row>
    <row r="264" spans="1:15">
      <c r="B264" s="440" t="str">
        <f>IF(A264="*","",VLOOKUP("*"&amp;L264,$A$9:$B$18,2,FALSE))</f>
        <v>PRC_CAPACT</v>
      </c>
      <c r="C264" s="440" t="str">
        <f ca="1">IF($A264="*","",OFFSET(ITEMS_UPS!$C$22,K264,0))</f>
        <v>UGASGIH-N</v>
      </c>
      <c r="D264" s="440" t="str">
        <f ca="1">IF($A264="*","",IF(VLOOKUP("*"&amp;$L264,$A$10:$H$18,D$9+1,FALSE)="-","-",OFFSET(UPS!$C$37,N264+O264,SUMIF($A$10:$A$18,"*"&amp;L264,$M$10:$M$18))))</f>
        <v>-</v>
      </c>
      <c r="E264" s="440" t="str">
        <f>IF($A264="*","",IF(VLOOKUP("*"&amp;$L264,$A$10:$H$18,E$9+1,FALSE)="-","-",C264&amp;"-"&amp;RIGHT(VLOOKUP("*"&amp;$L264,$A$10:$H$18,E$9+1,FALSE),1)))</f>
        <v>-</v>
      </c>
      <c r="F264" s="440" t="str">
        <f>IF($A264="*","",IF(VLOOKUP("*"&amp;$L264,$A$10:$H$18,F$9+1,FALSE)="-","-",C264&amp;"-"&amp;RIGHT(VLOOKUP("*"&amp;$L264,$A$10:$H$18,F$9+1,FALSE),1)))</f>
        <v>-</v>
      </c>
      <c r="G264" s="440" t="str">
        <f t="shared" si="78"/>
        <v>-</v>
      </c>
      <c r="H264" s="440" t="str">
        <f>IF($A264="*","",VLOOKUP("*"&amp;$L264,$A$10:$H$18,H$9+1,FALSE))</f>
        <v>-</v>
      </c>
      <c r="I264" s="163">
        <v>1</v>
      </c>
      <c r="K264" s="163">
        <f>K263</f>
        <v>5</v>
      </c>
      <c r="L264" s="42">
        <v>4</v>
      </c>
      <c r="N264" s="163">
        <f ca="1">N263</f>
        <v>100</v>
      </c>
    </row>
    <row r="265" spans="1:15">
      <c r="B265" s="440" t="str">
        <f>IF(A265="*","",VLOOKUP("*"&amp;L265,$A$9:$B$18,2,FALSE))</f>
        <v>TOP-IN</v>
      </c>
      <c r="C265" s="440" t="str">
        <f ca="1">IF($A265="*","",OFFSET(ITEMS_UPS!$C$22,K265,0))</f>
        <v>UGASGIH-N</v>
      </c>
      <c r="D265" s="440" t="str">
        <f ca="1">IF($A265="*","",IF(VLOOKUP("*"&amp;$L265,$A$10:$H$18,D$9+1,FALSE)="-","-",OFFSET(UPS!$C$37,N265+O265,SUMIF($A$10:$A$18,"*"&amp;L265,$M$10:$M$18))))</f>
        <v>GIH</v>
      </c>
      <c r="E265" s="440" t="str">
        <f>IF($A265="*","",IF(VLOOKUP("*"&amp;$L265,$A$10:$H$18,E$9+1,FALSE)="-","-",C265&amp;"-"&amp;RIGHT(VLOOKUP("*"&amp;$L265,$A$10:$H$18,E$9+1,FALSE),1)))</f>
        <v>-</v>
      </c>
      <c r="F265" s="440" t="str">
        <f>IF($A265="*","",IF(VLOOKUP("*"&amp;$L265,$A$10:$H$18,F$9+1,FALSE)="-","-",C265&amp;"-"&amp;RIGHT(VLOOKUP("*"&amp;$L265,$A$10:$H$18,F$9+1,FALSE),1)))</f>
        <v>-</v>
      </c>
      <c r="G265" s="440" t="str">
        <f t="shared" si="78"/>
        <v>-</v>
      </c>
      <c r="H265" s="440" t="str">
        <f>IF($A265="*","",VLOOKUP("*"&amp;$L265,$A$10:$H$18,H$9+1,FALSE))</f>
        <v>-</v>
      </c>
      <c r="I265" s="163">
        <v>1</v>
      </c>
      <c r="K265" s="163">
        <f>K264</f>
        <v>5</v>
      </c>
      <c r="L265" s="42">
        <v>5</v>
      </c>
      <c r="N265" s="163">
        <f ca="1">N264</f>
        <v>100</v>
      </c>
    </row>
    <row r="266" spans="1:15">
      <c r="B266" s="440" t="str">
        <f>IF(A266="*","",VLOOKUP("*"&amp;L266,$A$9:$B$18,2,FALSE))</f>
        <v>TOP-OUT</v>
      </c>
      <c r="C266" s="440" t="str">
        <f ca="1">IF($A266="*","",OFFSET(ITEMS_UPS!$C$22,K266,0))</f>
        <v>UGASGIH-N</v>
      </c>
      <c r="D266" s="440" t="str">
        <f ca="1">IF($A266="*","",IF(VLOOKUP("*"&amp;$L266,$A$10:$H$18,D$9+1,FALSE)="-","-",OFFSET(UPS!$C$37,N266+O266,SUMIF($A$10:$A$18,"*"&amp;L266,$M$10:$M$18))))</f>
        <v>GAS</v>
      </c>
      <c r="E266" s="440" t="str">
        <f>IF($A266="*","",IF(VLOOKUP("*"&amp;$L266,$A$10:$H$18,E$9+1,FALSE)="-","-",C266&amp;"-"&amp;RIGHT(VLOOKUP("*"&amp;$L266,$A$10:$H$18,E$9+1,FALSE),1)))</f>
        <v>-</v>
      </c>
      <c r="F266" s="440" t="str">
        <f>IF($A266="*","",IF(VLOOKUP("*"&amp;$L266,$A$10:$H$18,F$9+1,FALSE)="-","-",C266&amp;"-"&amp;RIGHT(VLOOKUP("*"&amp;$L266,$A$10:$H$18,F$9+1,FALSE),1)))</f>
        <v>-</v>
      </c>
      <c r="G266" s="440" t="str">
        <f t="shared" si="78"/>
        <v>-</v>
      </c>
      <c r="H266" s="440" t="str">
        <f>IF($A266="*","",VLOOKUP("*"&amp;$L266,$A$10:$H$18,H$9+1,FALSE))</f>
        <v>-</v>
      </c>
      <c r="I266" s="163">
        <v>1</v>
      </c>
      <c r="K266" s="163">
        <f>K265</f>
        <v>5</v>
      </c>
      <c r="L266" s="42">
        <v>6</v>
      </c>
      <c r="N266" s="163">
        <f ca="1">N265</f>
        <v>100</v>
      </c>
      <c r="O266" s="42">
        <v>1</v>
      </c>
    </row>
    <row r="267" spans="1:15" s="649" customFormat="1">
      <c r="B267" s="440" t="str">
        <f>IF(A267="*","",VLOOKUP("*"&amp;L267,$A$9:$B$18,2,FALSE))</f>
        <v>NCAP_START</v>
      </c>
      <c r="C267" s="440" t="str">
        <f ca="1">IF($A267="*","",OFFSET(ITEMS_UPS!$C$22,K267,0))</f>
        <v>UGASGIH-N</v>
      </c>
      <c r="D267" s="440" t="str">
        <f ca="1">IF($A267="*","",IF(VLOOKUP("*"&amp;$L267,$A$10:$H$18,D$9+1,FALSE)="-","-",OFFSET(UPS!$C$37,N267+O267,SUMIF($A$10:$A$18,"*"&amp;L267,$M$10:$M$18))))</f>
        <v>-</v>
      </c>
      <c r="E267" s="440" t="str">
        <f>IF($A267="*","",IF(VLOOKUP("*"&amp;$L267,$A$10:$H$18,E$9+1,FALSE)="-","-",C267&amp;"-"&amp;RIGHT(VLOOKUP("*"&amp;$L267,$A$10:$H$18,E$9+1,FALSE),1)))</f>
        <v>-</v>
      </c>
      <c r="F267" s="440" t="str">
        <f>IF($A267="*","",IF(VLOOKUP("*"&amp;$L267,$A$10:$H$18,F$9+1,FALSE)="-","-",C267&amp;"-"&amp;RIGHT(VLOOKUP("*"&amp;$L267,$A$10:$H$18,F$9+1,FALSE),1)))</f>
        <v>-</v>
      </c>
      <c r="G267" s="440" t="str">
        <f t="shared" si="78"/>
        <v>-</v>
      </c>
      <c r="H267" s="524" t="str">
        <f t="shared" si="78"/>
        <v>-</v>
      </c>
      <c r="I267" s="524">
        <f ca="1">IF($A267="*","",OFFSET(UPS!$C$37,N267,SUMIF($B$10:$B$18,B267,$M$10:$M$18)))</f>
        <v>2027</v>
      </c>
      <c r="J267" s="517"/>
      <c r="K267" s="163">
        <f>K266</f>
        <v>5</v>
      </c>
      <c r="L267" s="649">
        <v>9</v>
      </c>
      <c r="N267" s="163">
        <f ca="1">N266</f>
        <v>100</v>
      </c>
    </row>
    <row r="268" spans="1:15">
      <c r="A268" s="42" t="s">
        <v>310</v>
      </c>
      <c r="B268" s="438"/>
    </row>
    <row r="269" spans="1:15">
      <c r="B269" s="440" t="s">
        <v>340</v>
      </c>
      <c r="C269" s="440" t="str">
        <f ca="1">IF($A269="*","",OFFSET(ITEMS_UPS!$C$22,K269,0))</f>
        <v>ULGTGRL-N</v>
      </c>
      <c r="D269" s="440" t="s">
        <v>334</v>
      </c>
      <c r="E269" s="440" t="str">
        <f ca="1">OFFSET(UPS!$E$37,N269+O269,0)</f>
        <v>GIC</v>
      </c>
      <c r="F269" s="440" t="str">
        <f>IF($A269="*","",IF(VLOOKUP("*"&amp;$L269,$A$10:$H$18,F$9+1,FALSE)="-","-",C269&amp;"-"&amp;RIGHT(VLOOKUP("*"&amp;$L269,$A$10:$H$18,F$9+1,FALSE),1)))</f>
        <v>-</v>
      </c>
      <c r="G269" s="440" t="str">
        <f t="shared" si="78"/>
        <v>-</v>
      </c>
      <c r="H269" s="440" t="str">
        <f>IF($A269="*","",VLOOKUP("*"&amp;$L269,$A$10:$H$18,H$9+1,FALSE))</f>
        <v>-</v>
      </c>
      <c r="I269" s="163">
        <v>1</v>
      </c>
      <c r="K269" s="42">
        <f>K263+1</f>
        <v>6</v>
      </c>
      <c r="L269" s="42">
        <v>2</v>
      </c>
      <c r="N269" s="163">
        <f ca="1">SUMIF(UPS!B$38:B$176,C269,UPS!BD$38:BD$176)</f>
        <v>103</v>
      </c>
      <c r="O269" s="42">
        <v>1</v>
      </c>
    </row>
    <row r="270" spans="1:15">
      <c r="B270" s="440" t="str">
        <f>IF(A270="*","",VLOOKUP("*"&amp;L270,$A$9:$B$18,2,FALSE))</f>
        <v>PRC_CAPACT</v>
      </c>
      <c r="C270" s="440" t="str">
        <f ca="1">IF($A270="*","",OFFSET(ITEMS_UPS!$C$22,K270,0))</f>
        <v>ULGTGRL-N</v>
      </c>
      <c r="D270" s="440" t="str">
        <f ca="1">IF($A270="*","",IF(VLOOKUP("*"&amp;$L270,$A$10:$H$18,D$9+1,FALSE)="-","-",OFFSET(UPS!$C$37,N270+O270,SUMIF($A$10:$A$18,"*"&amp;L270,$M$10:$M$18))))</f>
        <v>-</v>
      </c>
      <c r="E270" s="440" t="str">
        <f>IF($A270="*","",IF(VLOOKUP("*"&amp;$L270,$A$10:$H$18,E$9+1,FALSE)="-","-",C270&amp;"-"&amp;RIGHT(VLOOKUP("*"&amp;$L270,$A$10:$H$18,E$9+1,FALSE),1)))</f>
        <v>-</v>
      </c>
      <c r="F270" s="440" t="str">
        <f>IF($A270="*","",IF(VLOOKUP("*"&amp;$L270,$A$10:$H$18,F$9+1,FALSE)="-","-",C270&amp;"-"&amp;RIGHT(VLOOKUP("*"&amp;$L270,$A$10:$H$18,F$9+1,FALSE),1)))</f>
        <v>-</v>
      </c>
      <c r="G270" s="440" t="str">
        <f t="shared" si="78"/>
        <v>-</v>
      </c>
      <c r="H270" s="440" t="str">
        <f>IF($A270="*","",VLOOKUP("*"&amp;$L270,$A$10:$H$18,H$9+1,FALSE))</f>
        <v>-</v>
      </c>
      <c r="I270" s="163">
        <v>1</v>
      </c>
      <c r="K270" s="163">
        <f>K269</f>
        <v>6</v>
      </c>
      <c r="L270" s="42">
        <v>4</v>
      </c>
      <c r="N270" s="163">
        <f ca="1">N269</f>
        <v>103</v>
      </c>
    </row>
    <row r="271" spans="1:15">
      <c r="B271" s="440" t="str">
        <f>IF(A271="*","",VLOOKUP("*"&amp;L271,$A$9:$B$18,2,FALSE))</f>
        <v>TOP-IN</v>
      </c>
      <c r="C271" s="440" t="str">
        <f ca="1">IF($A271="*","",OFFSET(ITEMS_UPS!$C$22,K271,0))</f>
        <v>ULGTGRL-N</v>
      </c>
      <c r="D271" s="440" t="str">
        <f ca="1">IF($A271="*","",IF(VLOOKUP("*"&amp;$L271,$A$10:$H$18,D$9+1,FALSE)="-","-",OFFSET(UPS!$C$37,N271+O271,SUMIF($A$10:$A$18,"*"&amp;L271,$M$10:$M$18))))</f>
        <v>GRL</v>
      </c>
      <c r="E271" s="440" t="str">
        <f>IF($A271="*","",IF(VLOOKUP("*"&amp;$L271,$A$10:$H$18,E$9+1,FALSE)="-","-",C271&amp;"-"&amp;RIGHT(VLOOKUP("*"&amp;$L271,$A$10:$H$18,E$9+1,FALSE),1)))</f>
        <v>-</v>
      </c>
      <c r="F271" s="440" t="str">
        <f>IF($A271="*","",IF(VLOOKUP("*"&amp;$L271,$A$10:$H$18,F$9+1,FALSE)="-","-",C271&amp;"-"&amp;RIGHT(VLOOKUP("*"&amp;$L271,$A$10:$H$18,F$9+1,FALSE),1)))</f>
        <v>-</v>
      </c>
      <c r="G271" s="440" t="str">
        <f t="shared" si="78"/>
        <v>-</v>
      </c>
      <c r="H271" s="440" t="str">
        <f>IF($A271="*","",VLOOKUP("*"&amp;$L271,$A$10:$H$18,H$9+1,FALSE))</f>
        <v>-</v>
      </c>
      <c r="I271" s="163">
        <v>1</v>
      </c>
      <c r="K271" s="163">
        <f>K270</f>
        <v>6</v>
      </c>
      <c r="L271" s="42">
        <v>5</v>
      </c>
      <c r="N271" s="163">
        <f ca="1">N270</f>
        <v>103</v>
      </c>
    </row>
    <row r="272" spans="1:15">
      <c r="B272" s="440" t="str">
        <f>IF(A272="*","",VLOOKUP("*"&amp;L272,$A$9:$B$18,2,FALSE))</f>
        <v>TOP-OUT</v>
      </c>
      <c r="C272" s="440" t="str">
        <f ca="1">IF($A272="*","",OFFSET(ITEMS_UPS!$C$22,K272,0))</f>
        <v>ULGTGRL-N</v>
      </c>
      <c r="D272" s="440" t="str">
        <f ca="1">IF($A272="*","",IF(VLOOKUP("*"&amp;$L272,$A$10:$H$18,D$9+1,FALSE)="-","-",OFFSET(UPS!$C$37,N272+O272,SUMIF($A$10:$A$18,"*"&amp;L272,$M$10:$M$18))))</f>
        <v>GIC</v>
      </c>
      <c r="E272" s="440" t="str">
        <f>IF($A272="*","",IF(VLOOKUP("*"&amp;$L272,$A$10:$H$18,E$9+1,FALSE)="-","-",C272&amp;"-"&amp;RIGHT(VLOOKUP("*"&amp;$L272,$A$10:$H$18,E$9+1,FALSE),1)))</f>
        <v>-</v>
      </c>
      <c r="F272" s="440" t="str">
        <f>IF($A272="*","",IF(VLOOKUP("*"&amp;$L272,$A$10:$H$18,F$9+1,FALSE)="-","-",C272&amp;"-"&amp;RIGHT(VLOOKUP("*"&amp;$L272,$A$10:$H$18,F$9+1,FALSE),1)))</f>
        <v>-</v>
      </c>
      <c r="G272" s="440" t="str">
        <f t="shared" si="78"/>
        <v>-</v>
      </c>
      <c r="H272" s="440" t="str">
        <f>IF($A272="*","",VLOOKUP("*"&amp;$L272,$A$10:$H$18,H$9+1,FALSE))</f>
        <v>-</v>
      </c>
      <c r="I272" s="163">
        <v>1</v>
      </c>
      <c r="K272" s="163">
        <f>K271</f>
        <v>6</v>
      </c>
      <c r="L272" s="42">
        <v>6</v>
      </c>
      <c r="N272" s="163">
        <f ca="1">N271</f>
        <v>103</v>
      </c>
      <c r="O272" s="42">
        <v>1</v>
      </c>
    </row>
    <row r="273" spans="1:15" s="649" customFormat="1">
      <c r="B273" s="440" t="str">
        <f>IF(A273="*","",VLOOKUP("*"&amp;L273,$A$9:$B$18,2,FALSE))</f>
        <v>NCAP_START</v>
      </c>
      <c r="C273" s="440" t="str">
        <f ca="1">IF($A273="*","",OFFSET(ITEMS_UPS!$C$22,K273,0))</f>
        <v>ULGTGRL-N</v>
      </c>
      <c r="D273" s="440" t="str">
        <f ca="1">IF($A273="*","",IF(VLOOKUP("*"&amp;$L273,$A$10:$H$18,D$9+1,FALSE)="-","-",OFFSET(UPS!$C$37,N273+O273,SUMIF($A$10:$A$18,"*"&amp;L273,$M$10:$M$18))))</f>
        <v>-</v>
      </c>
      <c r="E273" s="440" t="str">
        <f>IF($A273="*","",IF(VLOOKUP("*"&amp;$L273,$A$10:$H$18,E$9+1,FALSE)="-","-",C273&amp;"-"&amp;RIGHT(VLOOKUP("*"&amp;$L273,$A$10:$H$18,E$9+1,FALSE),1)))</f>
        <v>-</v>
      </c>
      <c r="F273" s="440" t="str">
        <f>IF($A273="*","",IF(VLOOKUP("*"&amp;$L273,$A$10:$H$18,F$9+1,FALSE)="-","-",C273&amp;"-"&amp;RIGHT(VLOOKUP("*"&amp;$L273,$A$10:$H$18,F$9+1,FALSE),1)))</f>
        <v>-</v>
      </c>
      <c r="G273" s="440" t="str">
        <f t="shared" si="78"/>
        <v>-</v>
      </c>
      <c r="H273" s="524" t="str">
        <f t="shared" si="78"/>
        <v>-</v>
      </c>
      <c r="I273" s="524">
        <f ca="1">IF($A273="*","",OFFSET(UPS!$C$37,N273,SUMIF($B$10:$B$18,B273,$M$10:$M$18)))</f>
        <v>2027</v>
      </c>
      <c r="J273" s="517"/>
      <c r="K273" s="163">
        <f>K272</f>
        <v>6</v>
      </c>
      <c r="L273" s="649">
        <v>9</v>
      </c>
      <c r="N273" s="163">
        <f ca="1">N272</f>
        <v>103</v>
      </c>
    </row>
    <row r="274" spans="1:15">
      <c r="A274" s="42" t="s">
        <v>310</v>
      </c>
      <c r="B274" s="438"/>
    </row>
    <row r="275" spans="1:15">
      <c r="B275" s="440" t="s">
        <v>340</v>
      </c>
      <c r="C275" s="440" t="str">
        <f ca="1">IF($A275="*","",OFFSET(ITEMS_UPS!$C$22,K275,0))</f>
        <v>ULGTGRLFSRU-N</v>
      </c>
      <c r="D275" s="440" t="s">
        <v>334</v>
      </c>
      <c r="E275" s="440" t="str">
        <f ca="1">OFFSET(UPS!$E$37,N275+O275,0)</f>
        <v>GIC</v>
      </c>
      <c r="F275" s="440" t="str">
        <f>IF($A275="*","",IF(VLOOKUP("*"&amp;$L275,$A$10:$H$18,F$9+1,FALSE)="-","-",C275&amp;"-"&amp;RIGHT(VLOOKUP("*"&amp;$L275,$A$10:$H$18,F$9+1,FALSE),1)))</f>
        <v>-</v>
      </c>
      <c r="G275" s="440" t="str">
        <f t="shared" si="78"/>
        <v>-</v>
      </c>
      <c r="H275" s="440" t="str">
        <f>IF($A275="*","",VLOOKUP("*"&amp;$L275,$A$10:$H$18,H$9+1,FALSE))</f>
        <v>-</v>
      </c>
      <c r="I275" s="163">
        <v>1</v>
      </c>
      <c r="K275" s="42">
        <f>K269+1</f>
        <v>7</v>
      </c>
      <c r="L275" s="42">
        <v>2</v>
      </c>
      <c r="N275" s="163">
        <f ca="1">SUMIF(UPS!B$38:B$176,C275,UPS!BD$38:BD$176)</f>
        <v>106</v>
      </c>
      <c r="O275" s="42">
        <v>1</v>
      </c>
    </row>
    <row r="276" spans="1:15">
      <c r="B276" s="440" t="str">
        <f>IF(A276="*","",VLOOKUP("*"&amp;L276,$A$9:$B$18,2,FALSE))</f>
        <v>PRC_CAPACT</v>
      </c>
      <c r="C276" s="440" t="str">
        <f ca="1">IF($A276="*","",OFFSET(ITEMS_UPS!$C$22,K276,0))</f>
        <v>ULGTGRLFSRU-N</v>
      </c>
      <c r="D276" s="440" t="str">
        <f ca="1">IF($A276="*","",IF(VLOOKUP("*"&amp;$L276,$A$10:$H$18,D$9+1,FALSE)="-","-",OFFSET(UPS!$C$37,N276+O276,SUMIF($A$10:$A$18,"*"&amp;L276,$M$10:$M$18))))</f>
        <v>-</v>
      </c>
      <c r="E276" s="440" t="str">
        <f>IF($A276="*","",IF(VLOOKUP("*"&amp;$L276,$A$10:$H$18,E$9+1,FALSE)="-","-",C276&amp;"-"&amp;RIGHT(VLOOKUP("*"&amp;$L276,$A$10:$H$18,E$9+1,FALSE),1)))</f>
        <v>-</v>
      </c>
      <c r="F276" s="440" t="str">
        <f>IF($A276="*","",IF(VLOOKUP("*"&amp;$L276,$A$10:$H$18,F$9+1,FALSE)="-","-",C276&amp;"-"&amp;RIGHT(VLOOKUP("*"&amp;$L276,$A$10:$H$18,F$9+1,FALSE),1)))</f>
        <v>-</v>
      </c>
      <c r="G276" s="440" t="str">
        <f t="shared" si="78"/>
        <v>-</v>
      </c>
      <c r="H276" s="440" t="str">
        <f>IF($A276="*","",VLOOKUP("*"&amp;$L276,$A$10:$H$18,H$9+1,FALSE))</f>
        <v>-</v>
      </c>
      <c r="I276" s="163">
        <v>1</v>
      </c>
      <c r="K276" s="163">
        <f>K275</f>
        <v>7</v>
      </c>
      <c r="L276" s="42">
        <v>4</v>
      </c>
      <c r="N276" s="163">
        <f ca="1">N275</f>
        <v>106</v>
      </c>
    </row>
    <row r="277" spans="1:15">
      <c r="B277" s="440" t="str">
        <f>IF(A277="*","",VLOOKUP("*"&amp;L277,$A$9:$B$18,2,FALSE))</f>
        <v>TOP-IN</v>
      </c>
      <c r="C277" s="440" t="str">
        <f ca="1">IF($A277="*","",OFFSET(ITEMS_UPS!$C$22,K277,0))</f>
        <v>ULGTGRLFSRU-N</v>
      </c>
      <c r="D277" s="440" t="str">
        <f ca="1">IF($A277="*","",IF(VLOOKUP("*"&amp;$L277,$A$10:$H$18,D$9+1,FALSE)="-","-",OFFSET(UPS!$C$37,N277+O277,SUMIF($A$10:$A$18,"*"&amp;L277,$M$10:$M$18))))</f>
        <v>GRL</v>
      </c>
      <c r="E277" s="440" t="str">
        <f>IF($A277="*","",IF(VLOOKUP("*"&amp;$L277,$A$10:$H$18,E$9+1,FALSE)="-","-",C277&amp;"-"&amp;RIGHT(VLOOKUP("*"&amp;$L277,$A$10:$H$18,E$9+1,FALSE),1)))</f>
        <v>-</v>
      </c>
      <c r="F277" s="440" t="str">
        <f>IF($A277="*","",IF(VLOOKUP("*"&amp;$L277,$A$10:$H$18,F$9+1,FALSE)="-","-",C277&amp;"-"&amp;RIGHT(VLOOKUP("*"&amp;$L277,$A$10:$H$18,F$9+1,FALSE),1)))</f>
        <v>-</v>
      </c>
      <c r="G277" s="440" t="str">
        <f t="shared" si="78"/>
        <v>-</v>
      </c>
      <c r="H277" s="440" t="str">
        <f>IF($A277="*","",VLOOKUP("*"&amp;$L277,$A$10:$H$18,H$9+1,FALSE))</f>
        <v>-</v>
      </c>
      <c r="I277" s="163">
        <v>1</v>
      </c>
      <c r="K277" s="163">
        <f>K276</f>
        <v>7</v>
      </c>
      <c r="L277" s="42">
        <v>5</v>
      </c>
      <c r="N277" s="163">
        <f ca="1">N276</f>
        <v>106</v>
      </c>
    </row>
    <row r="278" spans="1:15">
      <c r="B278" s="440" t="str">
        <f>IF(A278="*","",VLOOKUP("*"&amp;L278,$A$9:$B$18,2,FALSE))</f>
        <v>TOP-OUT</v>
      </c>
      <c r="C278" s="440" t="str">
        <f ca="1">IF($A278="*","",OFFSET(ITEMS_UPS!$C$22,K278,0))</f>
        <v>ULGTGRLFSRU-N</v>
      </c>
      <c r="D278" s="440" t="str">
        <f ca="1">IF($A278="*","",IF(VLOOKUP("*"&amp;$L278,$A$10:$H$18,D$9+1,FALSE)="-","-",OFFSET(UPS!$C$37,N278+O278,SUMIF($A$10:$A$18,"*"&amp;L278,$M$10:$M$18))))</f>
        <v>GIC</v>
      </c>
      <c r="E278" s="440" t="str">
        <f>IF($A278="*","",IF(VLOOKUP("*"&amp;$L278,$A$10:$H$18,E$9+1,FALSE)="-","-",C278&amp;"-"&amp;RIGHT(VLOOKUP("*"&amp;$L278,$A$10:$H$18,E$9+1,FALSE),1)))</f>
        <v>-</v>
      </c>
      <c r="F278" s="440" t="str">
        <f>IF($A278="*","",IF(VLOOKUP("*"&amp;$L278,$A$10:$H$18,F$9+1,FALSE)="-","-",C278&amp;"-"&amp;RIGHT(VLOOKUP("*"&amp;$L278,$A$10:$H$18,F$9+1,FALSE),1)))</f>
        <v>-</v>
      </c>
      <c r="G278" s="440" t="str">
        <f t="shared" si="78"/>
        <v>-</v>
      </c>
      <c r="H278" s="440" t="str">
        <f>IF($A278="*","",VLOOKUP("*"&amp;$L278,$A$10:$H$18,H$9+1,FALSE))</f>
        <v>-</v>
      </c>
      <c r="I278" s="163">
        <v>1</v>
      </c>
      <c r="K278" s="163">
        <f>K277</f>
        <v>7</v>
      </c>
      <c r="L278" s="42">
        <v>6</v>
      </c>
      <c r="N278" s="163">
        <f ca="1">N277</f>
        <v>106</v>
      </c>
      <c r="O278" s="42">
        <v>1</v>
      </c>
    </row>
    <row r="279" spans="1:15" s="649" customFormat="1">
      <c r="B279" s="440" t="str">
        <f>IF(A279="*","",VLOOKUP("*"&amp;L279,$A$9:$B$18,2,FALSE))</f>
        <v>NCAP_START</v>
      </c>
      <c r="C279" s="440" t="str">
        <f ca="1">IF($A279="*","",OFFSET(ITEMS_UPS!$C$22,K279,0))</f>
        <v>ULGTGRLFSRU-N</v>
      </c>
      <c r="D279" s="440" t="str">
        <f ca="1">IF($A279="*","",IF(VLOOKUP("*"&amp;$L279,$A$10:$H$18,D$9+1,FALSE)="-","-",OFFSET(UPS!$C$37,N279+O279,SUMIF($A$10:$A$18,"*"&amp;L279,$M$10:$M$18))))</f>
        <v>-</v>
      </c>
      <c r="E279" s="440" t="str">
        <f>IF($A279="*","",IF(VLOOKUP("*"&amp;$L279,$A$10:$H$18,E$9+1,FALSE)="-","-",C279&amp;"-"&amp;RIGHT(VLOOKUP("*"&amp;$L279,$A$10:$H$18,E$9+1,FALSE),1)))</f>
        <v>-</v>
      </c>
      <c r="F279" s="440" t="str">
        <f>IF($A279="*","",IF(VLOOKUP("*"&amp;$L279,$A$10:$H$18,F$9+1,FALSE)="-","-",C279&amp;"-"&amp;RIGHT(VLOOKUP("*"&amp;$L279,$A$10:$H$18,F$9+1,FALSE),1)))</f>
        <v>-</v>
      </c>
      <c r="G279" s="440" t="str">
        <f t="shared" si="78"/>
        <v>-</v>
      </c>
      <c r="H279" s="524" t="str">
        <f t="shared" si="78"/>
        <v>-</v>
      </c>
      <c r="I279" s="524">
        <f ca="1">IF($A279="*","",OFFSET(UPS!$C$37,N279,SUMIF($B$10:$B$18,B279,$M$10:$M$18)))</f>
        <v>2025</v>
      </c>
      <c r="J279" s="517"/>
      <c r="K279" s="163">
        <f>K278</f>
        <v>7</v>
      </c>
      <c r="L279" s="649">
        <v>9</v>
      </c>
      <c r="N279" s="163">
        <f ca="1">N278</f>
        <v>106</v>
      </c>
    </row>
    <row r="280" spans="1:15">
      <c r="A280" s="42" t="s">
        <v>310</v>
      </c>
      <c r="B280" s="438" t="s">
        <v>1393</v>
      </c>
    </row>
    <row r="281" spans="1:15">
      <c r="B281" s="440" t="str">
        <f t="shared" ref="B281:B294" si="80">IF(A281="*","",VLOOKUP("*"&amp;L281,$A$9:$B$18,2,FALSE))</f>
        <v>COM_GMAP</v>
      </c>
      <c r="C281" s="440" t="str">
        <f ca="1">IF($A281="*","",OFFSET(ITEMS_UPS!$C$8,K281,0))</f>
        <v>USMRGASHGN</v>
      </c>
      <c r="D281" s="440" t="str">
        <f ca="1">IF($A281="*","",IF(VLOOKUP("*"&amp;$L281,$A$10:$H$18,D$9+1,FALSE)="-","-",OFFSET(UPS!$C$37,N281+O281,SUMIF($A$10:$A$18,"*"&amp;L281,$M$10:$M$18))))</f>
        <v>UPSGAS</v>
      </c>
      <c r="E281" s="440" t="str">
        <f t="shared" ref="E281:E294" ca="1" si="81">IF($A281="*","",IF(VLOOKUP("*"&amp;$L281,$A$10:$H$18,E$9+1,FALSE)="-","-",C281&amp;"-"&amp;RIGHT(VLOOKUP("*"&amp;$L281,$A$10:$H$18,E$9+1,FALSE),1)))</f>
        <v>USMRGASHGN-I</v>
      </c>
      <c r="F281" s="440" t="str">
        <f t="shared" ref="F281:F294" si="82">IF($A281="*","",IF(VLOOKUP("*"&amp;$L281,$A$10:$H$18,F$9+1,FALSE)="-","-",C281&amp;"-"&amp;RIGHT(VLOOKUP("*"&amp;$L281,$A$10:$H$18,F$9+1,FALSE),1)))</f>
        <v>-</v>
      </c>
      <c r="G281" s="440" t="str">
        <f t="shared" ref="G281:H337" si="83">IF($A281="*","",VLOOKUP($B281,$B$10:$H$18,G$9,FALSE))</f>
        <v>-</v>
      </c>
      <c r="H281" s="440" t="str">
        <f t="shared" ref="H281:H294" si="84">IF($A281="*","",VLOOKUP("*"&amp;$L281,$A$10:$H$18,H$9+1,FALSE))</f>
        <v>-</v>
      </c>
      <c r="I281" s="163">
        <v>1</v>
      </c>
      <c r="K281" s="42">
        <f>ROW(ITEMS_UPS!C31)-ROW(ITEMS_UPS!C8)</f>
        <v>23</v>
      </c>
      <c r="L281" s="42">
        <v>1</v>
      </c>
      <c r="N281" s="163">
        <f ca="1">SUMIF(UPS!B$38:B$176,C281,UPS!BD$38:BD$176)</f>
        <v>110</v>
      </c>
      <c r="O281" s="42">
        <v>0</v>
      </c>
    </row>
    <row r="282" spans="1:15">
      <c r="B282" s="440" t="str">
        <f t="shared" si="80"/>
        <v>COM_GMAP</v>
      </c>
      <c r="C282" s="440" t="str">
        <f ca="1">IF($A282="*","",OFFSET(ITEMS_UPS!$C$8,K282,0))</f>
        <v>USMRGASHGN</v>
      </c>
      <c r="D282" s="440" t="str">
        <f ca="1">IF($A282="*","",IF(VLOOKUP("*"&amp;$L282,$A$10:$H$18,D$9+1,FALSE)="-","-",OFFSET(UPS!$C$37,N282+O282,SUMIF($A$10:$A$18,"*"&amp;L282,$M$10:$M$18))))</f>
        <v>UPSHEN</v>
      </c>
      <c r="E282" s="440" t="str">
        <f t="shared" ca="1" si="81"/>
        <v>USMRGASHGN-I</v>
      </c>
      <c r="F282" s="440" t="str">
        <f t="shared" si="82"/>
        <v>-</v>
      </c>
      <c r="G282" s="440" t="str">
        <f t="shared" si="83"/>
        <v>-</v>
      </c>
      <c r="H282" s="440" t="str">
        <f t="shared" si="84"/>
        <v>-</v>
      </c>
      <c r="I282" s="163">
        <v>1</v>
      </c>
      <c r="K282" s="42">
        <f>K281</f>
        <v>23</v>
      </c>
      <c r="L282" s="42">
        <f>L281</f>
        <v>1</v>
      </c>
      <c r="N282" s="42">
        <f ca="1">N281</f>
        <v>110</v>
      </c>
      <c r="O282" s="42">
        <f>O281+1</f>
        <v>1</v>
      </c>
    </row>
    <row r="283" spans="1:15">
      <c r="B283" s="440" t="str">
        <f t="shared" si="80"/>
        <v>COM_GMAP</v>
      </c>
      <c r="C283" s="440" t="str">
        <f ca="1">IF($A283="*","",OFFSET(ITEMS_UPS!$C$8,K283,0))</f>
        <v>USMRGASHGN</v>
      </c>
      <c r="D283" s="440" t="str">
        <f ca="1">IF($A283="*","",IF(VLOOKUP("*"&amp;$L283,$A$10:$H$18,D$9+1,FALSE)="-","-",OFFSET(UPS!$C$37,N283+O283,SUMIF($A$10:$A$18,"*"&amp;L283,$M$10:$M$18))))</f>
        <v>UPSELC</v>
      </c>
      <c r="E283" s="440" t="str">
        <f t="shared" ca="1" si="81"/>
        <v>USMRGASHGN-I</v>
      </c>
      <c r="F283" s="440" t="str">
        <f t="shared" si="82"/>
        <v>-</v>
      </c>
      <c r="G283" s="440" t="str">
        <f t="shared" si="83"/>
        <v>-</v>
      </c>
      <c r="H283" s="440" t="str">
        <f t="shared" si="84"/>
        <v>-</v>
      </c>
      <c r="I283" s="163">
        <v>1</v>
      </c>
      <c r="K283" s="42">
        <f>K282</f>
        <v>23</v>
      </c>
      <c r="L283" s="42">
        <f>L282</f>
        <v>1</v>
      </c>
      <c r="N283" s="42">
        <f t="shared" ref="N283:N294" ca="1" si="85">N282</f>
        <v>110</v>
      </c>
      <c r="O283" s="42">
        <f>O282+1</f>
        <v>2</v>
      </c>
    </row>
    <row r="284" spans="1:15">
      <c r="B284" s="440" t="str">
        <f t="shared" si="80"/>
        <v>COM_GMAP</v>
      </c>
      <c r="C284" s="440" t="str">
        <f ca="1">IF($A284="*","",OFFSET(ITEMS_UPS!$C$8,K284,0))</f>
        <v>USMRGASHGN</v>
      </c>
      <c r="D284" s="440" t="str">
        <f ca="1">IF($A284="*","",IF(VLOOKUP("*"&amp;$L284,$A$10:$H$18,D$9+1,FALSE)="-","-",OFFSET(UPS!$C$37,N284+O284,SUMIF($A$10:$A$18,"*"&amp;L284,$M$10:$M$18))))</f>
        <v>UPSHGN</v>
      </c>
      <c r="E284" s="440" t="str">
        <f t="shared" ca="1" si="81"/>
        <v>USMRGASHGN-O</v>
      </c>
      <c r="F284" s="440" t="str">
        <f t="shared" si="82"/>
        <v>-</v>
      </c>
      <c r="G284" s="440" t="str">
        <f t="shared" si="83"/>
        <v>-</v>
      </c>
      <c r="H284" s="440" t="str">
        <f t="shared" si="84"/>
        <v>-</v>
      </c>
      <c r="I284" s="163">
        <v>1</v>
      </c>
      <c r="K284" s="42">
        <f t="shared" ref="K284:K294" si="86">K283</f>
        <v>23</v>
      </c>
      <c r="L284" s="42">
        <v>2</v>
      </c>
      <c r="N284" s="42">
        <f t="shared" ca="1" si="85"/>
        <v>110</v>
      </c>
      <c r="O284" s="42">
        <f>O283+1</f>
        <v>3</v>
      </c>
    </row>
    <row r="285" spans="1:15">
      <c r="B285" s="440" t="str">
        <f t="shared" si="80"/>
        <v>COM_GMAP</v>
      </c>
      <c r="C285" s="440" t="str">
        <f ca="1">IF($A285="*","",OFFSET(ITEMS_UPS!$C$8,K285,0))</f>
        <v>USMRGASHGN</v>
      </c>
      <c r="D285" s="440" t="str">
        <f ca="1">IF($A285="*","",IF(VLOOKUP("*"&amp;$L285,$A$10:$H$18,D$9+1,FALSE)="-","-",OFFSET(UPS!$C$37,N285+O285,SUMIF($A$10:$A$18,"*"&amp;L285,$M$10:$M$18))))</f>
        <v>HEN</v>
      </c>
      <c r="E285" s="440" t="str">
        <f t="shared" ca="1" si="81"/>
        <v>USMRGASHGN-O</v>
      </c>
      <c r="F285" s="440" t="str">
        <f t="shared" si="82"/>
        <v>-</v>
      </c>
      <c r="G285" s="440" t="str">
        <f t="shared" si="83"/>
        <v>-</v>
      </c>
      <c r="H285" s="440" t="str">
        <f t="shared" si="84"/>
        <v>-</v>
      </c>
      <c r="I285" s="163">
        <v>1</v>
      </c>
      <c r="K285" s="42">
        <f t="shared" si="86"/>
        <v>23</v>
      </c>
      <c r="L285" s="42">
        <f>L284</f>
        <v>2</v>
      </c>
      <c r="N285" s="42">
        <f t="shared" ca="1" si="85"/>
        <v>110</v>
      </c>
      <c r="O285" s="42">
        <f>O284+1</f>
        <v>4</v>
      </c>
    </row>
    <row r="286" spans="1:15">
      <c r="B286" s="440" t="str">
        <f t="shared" si="80"/>
        <v>PRC_ACTUNT</v>
      </c>
      <c r="C286" s="440" t="str">
        <f ca="1">IF($A286="*","",OFFSET(ITEMS_UPS!$C$8,K286,0))</f>
        <v>USMRGASHGN</v>
      </c>
      <c r="D286" s="440" t="str">
        <f ca="1">IF($A286="*","",IF(VLOOKUP("*"&amp;$L286,$A$10:$H$18,D$9+1,FALSE)="-","-",OFFSET(UPS!$C$37,N286+O286,SUMIF($A$10:$A$18,"*"&amp;L286,$M$10:$M$18))))</f>
        <v>-</v>
      </c>
      <c r="E286" s="440" t="str">
        <f t="shared" ca="1" si="81"/>
        <v>USMRGASHGN-O</v>
      </c>
      <c r="F286" s="440" t="str">
        <f t="shared" si="82"/>
        <v>-</v>
      </c>
      <c r="G286" s="440" t="str">
        <f t="shared" si="83"/>
        <v>-</v>
      </c>
      <c r="H286" s="440" t="str">
        <f t="shared" si="84"/>
        <v>-</v>
      </c>
      <c r="I286" s="163">
        <v>1</v>
      </c>
      <c r="K286" s="42">
        <f t="shared" si="86"/>
        <v>23</v>
      </c>
      <c r="L286" s="42">
        <f>IF(K286=K285,L285+1,1)</f>
        <v>3</v>
      </c>
      <c r="N286" s="42">
        <f ca="1">N285</f>
        <v>110</v>
      </c>
    </row>
    <row r="287" spans="1:15">
      <c r="B287" s="440" t="str">
        <f t="shared" si="80"/>
        <v>PRC_CAPACT</v>
      </c>
      <c r="C287" s="440" t="str">
        <f ca="1">IF($A287="*","",OFFSET(ITEMS_UPS!$C$8,K287,0))</f>
        <v>USMRGASHGN</v>
      </c>
      <c r="D287" s="440" t="str">
        <f ca="1">IF($A287="*","",IF(VLOOKUP("*"&amp;$L287,$A$10:$H$18,D$9+1,FALSE)="-","-",OFFSET(UPS!$C$37,N287+O287,SUMIF($A$10:$A$18,"*"&amp;L287,$M$10:$M$18))))</f>
        <v>-</v>
      </c>
      <c r="E287" s="440" t="str">
        <f t="shared" si="81"/>
        <v>-</v>
      </c>
      <c r="F287" s="440" t="str">
        <f t="shared" si="82"/>
        <v>-</v>
      </c>
      <c r="G287" s="440" t="str">
        <f t="shared" si="83"/>
        <v>-</v>
      </c>
      <c r="H287" s="440" t="str">
        <f t="shared" si="84"/>
        <v>-</v>
      </c>
      <c r="I287" s="163">
        <v>1</v>
      </c>
      <c r="K287" s="42">
        <f t="shared" si="86"/>
        <v>23</v>
      </c>
      <c r="L287" s="42">
        <f>IF(K287=K286,L286+1,1)</f>
        <v>4</v>
      </c>
      <c r="N287" s="42">
        <f t="shared" ca="1" si="85"/>
        <v>110</v>
      </c>
    </row>
    <row r="288" spans="1:15">
      <c r="B288" s="440" t="str">
        <f t="shared" si="80"/>
        <v>TOP-IN</v>
      </c>
      <c r="C288" s="440" t="str">
        <f ca="1">IF($A288="*","",OFFSET(ITEMS_UPS!$C$8,K288,0))</f>
        <v>USMRGASHGN</v>
      </c>
      <c r="D288" s="440" t="str">
        <f ca="1">IF($A288="*","",IF(VLOOKUP("*"&amp;$L288,$A$10:$H$18,D$9+1,FALSE)="-","-",OFFSET(UPS!$C$37,N288+O288,SUMIF($A$10:$A$18,"*"&amp;L288,$M$10:$M$18))))</f>
        <v>UPSGAS</v>
      </c>
      <c r="E288" s="440" t="str">
        <f t="shared" si="81"/>
        <v>-</v>
      </c>
      <c r="F288" s="440" t="str">
        <f t="shared" si="82"/>
        <v>-</v>
      </c>
      <c r="G288" s="440" t="str">
        <f t="shared" si="83"/>
        <v>-</v>
      </c>
      <c r="H288" s="440" t="str">
        <f t="shared" si="84"/>
        <v>-</v>
      </c>
      <c r="I288" s="163">
        <v>1</v>
      </c>
      <c r="K288" s="42">
        <f t="shared" si="86"/>
        <v>23</v>
      </c>
      <c r="L288" s="42">
        <f>IF(K288=K287,L287+1,1)</f>
        <v>5</v>
      </c>
      <c r="N288" s="42">
        <f t="shared" ca="1" si="85"/>
        <v>110</v>
      </c>
      <c r="O288" s="42">
        <v>0</v>
      </c>
    </row>
    <row r="289" spans="1:15">
      <c r="B289" s="440" t="str">
        <f t="shared" si="80"/>
        <v>TOP-IN</v>
      </c>
      <c r="C289" s="440" t="str">
        <f ca="1">IF($A289="*","",OFFSET(ITEMS_UPS!$C$8,K289,0))</f>
        <v>USMRGASHGN</v>
      </c>
      <c r="D289" s="440" t="str">
        <f ca="1">IF($A289="*","",IF(VLOOKUP("*"&amp;$L289,$A$10:$H$18,D$9+1,FALSE)="-","-",OFFSET(UPS!$C$37,N289+O289,SUMIF($A$10:$A$18,"*"&amp;L289,$M$10:$M$18))))</f>
        <v>UPSHEN</v>
      </c>
      <c r="E289" s="440" t="str">
        <f t="shared" si="81"/>
        <v>-</v>
      </c>
      <c r="F289" s="440" t="str">
        <f t="shared" si="82"/>
        <v>-</v>
      </c>
      <c r="G289" s="440" t="str">
        <f t="shared" si="83"/>
        <v>-</v>
      </c>
      <c r="H289" s="440" t="str">
        <f t="shared" si="84"/>
        <v>-</v>
      </c>
      <c r="I289" s="163">
        <v>1</v>
      </c>
      <c r="K289" s="42">
        <f t="shared" si="86"/>
        <v>23</v>
      </c>
      <c r="L289" s="42">
        <f>L288</f>
        <v>5</v>
      </c>
      <c r="N289" s="42">
        <f t="shared" ca="1" si="85"/>
        <v>110</v>
      </c>
      <c r="O289" s="42">
        <f>O288+1</f>
        <v>1</v>
      </c>
    </row>
    <row r="290" spans="1:15">
      <c r="B290" s="440" t="str">
        <f t="shared" si="80"/>
        <v>TOP-IN</v>
      </c>
      <c r="C290" s="440" t="str">
        <f ca="1">IF($A290="*","",OFFSET(ITEMS_UPS!$C$8,K290,0))</f>
        <v>USMRGASHGN</v>
      </c>
      <c r="D290" s="440" t="str">
        <f ca="1">IF($A290="*","",IF(VLOOKUP("*"&amp;$L290,$A$10:$H$18,D$9+1,FALSE)="-","-",OFFSET(UPS!$C$37,N290+O290,SUMIF($A$10:$A$18,"*"&amp;L290,$M$10:$M$18))))</f>
        <v>UPSELC</v>
      </c>
      <c r="E290" s="440" t="str">
        <f t="shared" si="81"/>
        <v>-</v>
      </c>
      <c r="F290" s="440" t="str">
        <f t="shared" si="82"/>
        <v>-</v>
      </c>
      <c r="G290" s="440" t="str">
        <f t="shared" si="83"/>
        <v>-</v>
      </c>
      <c r="H290" s="440" t="str">
        <f t="shared" si="84"/>
        <v>-</v>
      </c>
      <c r="I290" s="163">
        <v>1</v>
      </c>
      <c r="K290" s="42">
        <f t="shared" si="86"/>
        <v>23</v>
      </c>
      <c r="L290" s="42">
        <f>L289</f>
        <v>5</v>
      </c>
      <c r="N290" s="42">
        <f t="shared" ca="1" si="85"/>
        <v>110</v>
      </c>
      <c r="O290" s="42">
        <f>O289+1</f>
        <v>2</v>
      </c>
    </row>
    <row r="291" spans="1:15">
      <c r="B291" s="440" t="str">
        <f t="shared" si="80"/>
        <v>TOP-OUT</v>
      </c>
      <c r="C291" s="440" t="str">
        <f ca="1">IF($A291="*","",OFFSET(ITEMS_UPS!$C$8,K291,0))</f>
        <v>USMRGASHGN</v>
      </c>
      <c r="D291" s="440" t="str">
        <f ca="1">IF($A291="*","",IF(VLOOKUP("*"&amp;$L291,$A$10:$H$18,D$9+1,FALSE)="-","-",OFFSET(UPS!$C$37,N291+O291,SUMIF($A$10:$A$18,"*"&amp;L291,$M$10:$M$18))))</f>
        <v>UPSHGN</v>
      </c>
      <c r="E291" s="440" t="str">
        <f t="shared" si="81"/>
        <v>-</v>
      </c>
      <c r="F291" s="440" t="str">
        <f t="shared" si="82"/>
        <v>-</v>
      </c>
      <c r="G291" s="440" t="str">
        <f t="shared" si="83"/>
        <v>-</v>
      </c>
      <c r="H291" s="440" t="str">
        <f t="shared" si="84"/>
        <v>-</v>
      </c>
      <c r="I291" s="163">
        <v>1</v>
      </c>
      <c r="K291" s="42">
        <f t="shared" si="86"/>
        <v>23</v>
      </c>
      <c r="L291" s="42">
        <v>6</v>
      </c>
      <c r="N291" s="42">
        <f t="shared" ca="1" si="85"/>
        <v>110</v>
      </c>
      <c r="O291" s="42">
        <f>O290+1</f>
        <v>3</v>
      </c>
    </row>
    <row r="292" spans="1:15">
      <c r="B292" s="440" t="str">
        <f t="shared" si="80"/>
        <v>TOP-OUT</v>
      </c>
      <c r="C292" s="440" t="str">
        <f ca="1">IF($A292="*","",OFFSET(ITEMS_UPS!$C$8,K292,0))</f>
        <v>USMRGASHGN</v>
      </c>
      <c r="D292" s="440" t="str">
        <f ca="1">IF($A292="*","",IF(VLOOKUP("*"&amp;$L292,$A$10:$H$18,D$9+1,FALSE)="-","-",OFFSET(UPS!$C$37,N292+O292,SUMIF($A$10:$A$18,"*"&amp;L292,$M$10:$M$18))))</f>
        <v>HEN</v>
      </c>
      <c r="E292" s="440" t="str">
        <f t="shared" si="81"/>
        <v>-</v>
      </c>
      <c r="F292" s="440" t="str">
        <f t="shared" si="82"/>
        <v>-</v>
      </c>
      <c r="G292" s="440" t="str">
        <f t="shared" si="83"/>
        <v>-</v>
      </c>
      <c r="H292" s="440" t="str">
        <f t="shared" si="84"/>
        <v>-</v>
      </c>
      <c r="I292" s="163">
        <v>1</v>
      </c>
      <c r="K292" s="42">
        <f t="shared" si="86"/>
        <v>23</v>
      </c>
      <c r="L292" s="42">
        <f>L291</f>
        <v>6</v>
      </c>
      <c r="N292" s="42">
        <f t="shared" ca="1" si="85"/>
        <v>110</v>
      </c>
      <c r="O292" s="42">
        <f>O291+1</f>
        <v>4</v>
      </c>
    </row>
    <row r="293" spans="1:15">
      <c r="B293" s="440" t="str">
        <f t="shared" si="80"/>
        <v>TOP-OUT</v>
      </c>
      <c r="C293" s="440" t="str">
        <f ca="1">IF($A293="*","",OFFSET(ITEMS_UPS!$C$8,K293,0))</f>
        <v>USMRGASHGN</v>
      </c>
      <c r="D293" s="440" t="str">
        <f>$D$16</f>
        <v>UPSCO2S</v>
      </c>
      <c r="E293" s="440" t="str">
        <f t="shared" si="81"/>
        <v>-</v>
      </c>
      <c r="F293" s="440" t="str">
        <f t="shared" si="82"/>
        <v>-</v>
      </c>
      <c r="G293" s="440" t="str">
        <f t="shared" si="83"/>
        <v>-</v>
      </c>
      <c r="H293" s="440" t="str">
        <f t="shared" si="84"/>
        <v>-</v>
      </c>
      <c r="I293" s="163">
        <v>1</v>
      </c>
      <c r="K293" s="42">
        <f t="shared" si="86"/>
        <v>23</v>
      </c>
      <c r="L293" s="42">
        <f>L292+1</f>
        <v>7</v>
      </c>
      <c r="N293" s="42">
        <f t="shared" ca="1" si="85"/>
        <v>110</v>
      </c>
    </row>
    <row r="294" spans="1:15">
      <c r="B294" s="440" t="str">
        <f t="shared" si="80"/>
        <v>TOP-OUT</v>
      </c>
      <c r="C294" s="440" t="str">
        <f ca="1">IF($A294="*","",OFFSET(ITEMS_UPS!$C$8,K294,0))</f>
        <v>USMRGASHGN</v>
      </c>
      <c r="D294" s="440" t="str">
        <f>$D$17</f>
        <v>UPSCH4S</v>
      </c>
      <c r="E294" s="440" t="str">
        <f t="shared" si="81"/>
        <v>-</v>
      </c>
      <c r="F294" s="440" t="str">
        <f t="shared" si="82"/>
        <v>-</v>
      </c>
      <c r="G294" s="440" t="str">
        <f t="shared" si="83"/>
        <v>-</v>
      </c>
      <c r="H294" s="440" t="str">
        <f t="shared" si="84"/>
        <v>-</v>
      </c>
      <c r="I294" s="163">
        <v>1</v>
      </c>
      <c r="K294" s="42">
        <f t="shared" si="86"/>
        <v>23</v>
      </c>
      <c r="L294" s="42">
        <f>L293+1</f>
        <v>8</v>
      </c>
      <c r="N294" s="42">
        <f t="shared" ca="1" si="85"/>
        <v>110</v>
      </c>
    </row>
    <row r="295" spans="1:15" s="525" customFormat="1">
      <c r="B295" s="524" t="str">
        <f>IF(A295="*","",VLOOKUP("*"&amp;L295,$A$9:$B$18,2,FALSE))</f>
        <v>NCAP_START</v>
      </c>
      <c r="C295" s="524" t="str">
        <f ca="1">IF($A295="*","",OFFSET(ITEMS_UPS!$C$8,K295,0))</f>
        <v>USMRGASHGN</v>
      </c>
      <c r="D295" s="524" t="str">
        <f ca="1">IF($A295="*","",IF(VLOOKUP("*"&amp;$L295,$A$10:$H$18,D$9+1,FALSE)="-","-",OFFSET(UPS!$C$37,N295+O295,SUMIF($A$10:$A$18,"*"&amp;L295,$M$10:$M$18))))</f>
        <v>-</v>
      </c>
      <c r="E295" s="524" t="str">
        <f>IF($A295="*","",IF(VLOOKUP("*"&amp;$L295,$A$10:$H$18,E$9+1,FALSE)="-","-",C295&amp;"-"&amp;RIGHT(VLOOKUP("*"&amp;$L295,$A$10:$H$18,E$9+1,FALSE),1)))</f>
        <v>-</v>
      </c>
      <c r="F295" s="524" t="str">
        <f>IF($A295="*","",IF(VLOOKUP("*"&amp;$L295,$A$10:$H$18,F$9+1,FALSE)="-","-",C295&amp;"-"&amp;RIGHT(VLOOKUP("*"&amp;$L295,$A$10:$H$18,F$9+1,FALSE),1)))</f>
        <v>-</v>
      </c>
      <c r="G295" s="524" t="str">
        <f t="shared" si="83"/>
        <v>-</v>
      </c>
      <c r="H295" s="524" t="str">
        <f t="shared" si="83"/>
        <v>-</v>
      </c>
      <c r="I295" s="524">
        <f ca="1">IF($A295="*","",OFFSET(UPS!$C$37,N295,SUMIF($B$10:$B$18,B295,$M$10:$M$18)))</f>
        <v>2025</v>
      </c>
      <c r="K295" s="42">
        <f>K294</f>
        <v>23</v>
      </c>
      <c r="L295" s="525">
        <f>L294+1</f>
        <v>9</v>
      </c>
      <c r="N295" s="42">
        <f ca="1">N294</f>
        <v>110</v>
      </c>
    </row>
    <row r="296" spans="1:15">
      <c r="A296" s="42" t="s">
        <v>310</v>
      </c>
    </row>
    <row r="297" spans="1:15">
      <c r="B297" s="440" t="str">
        <f t="shared" ref="B297:B309" si="87">IF(A297="*","",VLOOKUP("*"&amp;L297,$A$9:$B$18,2,FALSE))</f>
        <v>COM_GMAP</v>
      </c>
      <c r="C297" s="440" t="str">
        <f ca="1">IF($A297="*","",OFFSET(ITEMS_UPS!$C$8,K297,0))</f>
        <v>USMRGICHGN</v>
      </c>
      <c r="D297" s="440" t="str">
        <f ca="1">IF($A297="*","",IF(VLOOKUP("*"&amp;$L297,$A$10:$H$18,D$9+1,FALSE)="-","-",OFFSET(UPS!$C$37,N297+O297,SUMIF($A$10:$A$18,"*"&amp;L297,$M$10:$M$18))))</f>
        <v>UPSGIC</v>
      </c>
      <c r="E297" s="440" t="str">
        <f t="shared" ref="E297:E309" ca="1" si="88">IF($A297="*","",IF(VLOOKUP("*"&amp;$L297,$A$10:$H$18,E$9+1,FALSE)="-","-",C297&amp;"-"&amp;RIGHT(VLOOKUP("*"&amp;$L297,$A$10:$H$18,E$9+1,FALSE),1)))</f>
        <v>USMRGICHGN-I</v>
      </c>
      <c r="F297" s="440" t="str">
        <f t="shared" ref="F297:F309" si="89">IF($A297="*","",IF(VLOOKUP("*"&amp;$L297,$A$10:$H$18,F$9+1,FALSE)="-","-",C297&amp;"-"&amp;RIGHT(VLOOKUP("*"&amp;$L297,$A$10:$H$18,F$9+1,FALSE),1)))</f>
        <v>-</v>
      </c>
      <c r="G297" s="440" t="str">
        <f t="shared" si="83"/>
        <v>-</v>
      </c>
      <c r="H297" s="440" t="str">
        <f t="shared" ref="H297:H309" si="90">IF($A297="*","",VLOOKUP("*"&amp;$L297,$A$10:$H$18,H$9+1,FALSE))</f>
        <v>-</v>
      </c>
      <c r="I297" s="163">
        <v>1</v>
      </c>
      <c r="K297" s="42">
        <f>K281+1</f>
        <v>24</v>
      </c>
      <c r="L297" s="42">
        <v>1</v>
      </c>
      <c r="N297" s="163">
        <f ca="1">SUMIF(UPS!B$38:B$176,C297,UPS!BD$38:BD$176)</f>
        <v>116</v>
      </c>
      <c r="O297" s="42">
        <v>0</v>
      </c>
    </row>
    <row r="298" spans="1:15">
      <c r="B298" s="440" t="str">
        <f t="shared" si="87"/>
        <v>COM_GMAP</v>
      </c>
      <c r="C298" s="440" t="str">
        <f ca="1">IF($A298="*","",OFFSET(ITEMS_UPS!$C$8,K298,0))</f>
        <v>USMRGICHGN</v>
      </c>
      <c r="D298" s="440" t="str">
        <f ca="1">IF($A298="*","",IF(VLOOKUP("*"&amp;$L298,$A$10:$H$18,D$9+1,FALSE)="-","-",OFFSET(UPS!$C$37,N298+O298,SUMIF($A$10:$A$18,"*"&amp;L298,$M$10:$M$18))))</f>
        <v>UPSHEN</v>
      </c>
      <c r="E298" s="440" t="str">
        <f t="shared" ca="1" si="88"/>
        <v>USMRGICHGN-I</v>
      </c>
      <c r="F298" s="440" t="str">
        <f t="shared" si="89"/>
        <v>-</v>
      </c>
      <c r="G298" s="440" t="str">
        <f t="shared" si="83"/>
        <v>-</v>
      </c>
      <c r="H298" s="440" t="str">
        <f t="shared" si="90"/>
        <v>-</v>
      </c>
      <c r="I298" s="163">
        <v>1</v>
      </c>
      <c r="K298" s="42">
        <f>K297</f>
        <v>24</v>
      </c>
      <c r="L298" s="42">
        <f>L297</f>
        <v>1</v>
      </c>
      <c r="N298" s="42">
        <f ca="1">N297</f>
        <v>116</v>
      </c>
      <c r="O298" s="42">
        <f>O297+1</f>
        <v>1</v>
      </c>
    </row>
    <row r="299" spans="1:15">
      <c r="B299" s="440" t="str">
        <f t="shared" si="87"/>
        <v>COM_GMAP</v>
      </c>
      <c r="C299" s="440" t="str">
        <f ca="1">IF($A299="*","",OFFSET(ITEMS_UPS!$C$8,K299,0))</f>
        <v>USMRGICHGN</v>
      </c>
      <c r="D299" s="440" t="str">
        <f ca="1">IF($A299="*","",IF(VLOOKUP("*"&amp;$L299,$A$10:$H$18,D$9+1,FALSE)="-","-",OFFSET(UPS!$C$37,N299+O299,SUMIF($A$10:$A$18,"*"&amp;L299,$M$10:$M$18))))</f>
        <v>UPSELC</v>
      </c>
      <c r="E299" s="440" t="str">
        <f t="shared" ca="1" si="88"/>
        <v>USMRGICHGN-I</v>
      </c>
      <c r="F299" s="440" t="str">
        <f t="shared" si="89"/>
        <v>-</v>
      </c>
      <c r="G299" s="440" t="str">
        <f t="shared" si="83"/>
        <v>-</v>
      </c>
      <c r="H299" s="440" t="str">
        <f t="shared" si="90"/>
        <v>-</v>
      </c>
      <c r="I299" s="163">
        <v>1</v>
      </c>
      <c r="K299" s="42">
        <f>K298</f>
        <v>24</v>
      </c>
      <c r="L299" s="42">
        <f>L298</f>
        <v>1</v>
      </c>
      <c r="N299" s="42">
        <f ca="1">N298</f>
        <v>116</v>
      </c>
      <c r="O299" s="42">
        <f>O298+1</f>
        <v>2</v>
      </c>
    </row>
    <row r="300" spans="1:15">
      <c r="B300" s="440" t="str">
        <f t="shared" si="87"/>
        <v>COM_GMAP</v>
      </c>
      <c r="C300" s="440" t="str">
        <f ca="1">IF($A300="*","",OFFSET(ITEMS_UPS!$C$8,K300,0))</f>
        <v>USMRGICHGN</v>
      </c>
      <c r="D300" s="440" t="str">
        <f ca="1">IF($A300="*","",IF(VLOOKUP("*"&amp;$L300,$A$10:$H$18,D$9+1,FALSE)="-","-",OFFSET(UPS!$C$37,N300+O300,SUMIF($A$10:$A$18,"*"&amp;L300,$M$10:$M$18))))</f>
        <v>UPSHGN</v>
      </c>
      <c r="E300" s="440" t="str">
        <f t="shared" ca="1" si="88"/>
        <v>USMRGICHGN-O</v>
      </c>
      <c r="F300" s="440" t="str">
        <f t="shared" si="89"/>
        <v>-</v>
      </c>
      <c r="G300" s="440" t="str">
        <f t="shared" si="83"/>
        <v>-</v>
      </c>
      <c r="H300" s="440" t="str">
        <f t="shared" si="90"/>
        <v>-</v>
      </c>
      <c r="I300" s="163">
        <v>1</v>
      </c>
      <c r="K300" s="42">
        <f>K299</f>
        <v>24</v>
      </c>
      <c r="L300" s="42">
        <v>2</v>
      </c>
      <c r="N300" s="42">
        <f ca="1">N299</f>
        <v>116</v>
      </c>
      <c r="O300" s="42">
        <f>O299+1</f>
        <v>3</v>
      </c>
    </row>
    <row r="301" spans="1:15">
      <c r="B301" s="440" t="str">
        <f t="shared" si="87"/>
        <v>COM_GMAP</v>
      </c>
      <c r="C301" s="440" t="str">
        <f ca="1">IF($A301="*","",OFFSET(ITEMS_UPS!$C$8,K301,0))</f>
        <v>USMRGICHGN</v>
      </c>
      <c r="D301" s="440" t="str">
        <f ca="1">IF($A301="*","",IF(VLOOKUP("*"&amp;$L301,$A$10:$H$18,D$9+1,FALSE)="-","-",OFFSET(UPS!$C$37,N301+O301,SUMIF($A$10:$A$18,"*"&amp;L301,$M$10:$M$18))))</f>
        <v>HEN</v>
      </c>
      <c r="E301" s="440" t="str">
        <f t="shared" ca="1" si="88"/>
        <v>USMRGICHGN-O</v>
      </c>
      <c r="F301" s="440" t="str">
        <f t="shared" si="89"/>
        <v>-</v>
      </c>
      <c r="G301" s="440" t="str">
        <f t="shared" si="83"/>
        <v>-</v>
      </c>
      <c r="H301" s="440" t="str">
        <f t="shared" si="90"/>
        <v>-</v>
      </c>
      <c r="I301" s="163">
        <v>1</v>
      </c>
      <c r="K301" s="42">
        <f>K300</f>
        <v>24</v>
      </c>
      <c r="L301" s="42">
        <f>L300</f>
        <v>2</v>
      </c>
      <c r="N301" s="42">
        <f ca="1">N300</f>
        <v>116</v>
      </c>
      <c r="O301" s="42">
        <f>O300+1</f>
        <v>4</v>
      </c>
    </row>
    <row r="302" spans="1:15">
      <c r="B302" s="440" t="str">
        <f t="shared" si="87"/>
        <v>PRC_ACTUNT</v>
      </c>
      <c r="C302" s="440" t="str">
        <f ca="1">IF($A302="*","",OFFSET(ITEMS_UPS!$C$8,K302,0))</f>
        <v>USMRGICHGN</v>
      </c>
      <c r="D302" s="440" t="str">
        <f ca="1">IF($A302="*","",IF(VLOOKUP("*"&amp;$L302,$A$10:$H$18,D$9+1,FALSE)="-","-",OFFSET(UPS!$C$37,N302+O302,SUMIF($A$10:$A$18,"*"&amp;L302,$M$10:$M$18))))</f>
        <v>-</v>
      </c>
      <c r="E302" s="440" t="str">
        <f t="shared" ca="1" si="88"/>
        <v>USMRGICHGN-O</v>
      </c>
      <c r="F302" s="440" t="str">
        <f t="shared" si="89"/>
        <v>-</v>
      </c>
      <c r="G302" s="440" t="str">
        <f t="shared" si="83"/>
        <v>-</v>
      </c>
      <c r="H302" s="440" t="str">
        <f t="shared" si="90"/>
        <v>-</v>
      </c>
      <c r="I302" s="163">
        <v>1</v>
      </c>
      <c r="K302" s="42">
        <f>K300</f>
        <v>24</v>
      </c>
      <c r="L302" s="42">
        <f>IF(K302=K300,L300+1,1)</f>
        <v>3</v>
      </c>
      <c r="N302" s="42">
        <f ca="1">N300</f>
        <v>116</v>
      </c>
    </row>
    <row r="303" spans="1:15">
      <c r="B303" s="440" t="str">
        <f t="shared" si="87"/>
        <v>PRC_CAPACT</v>
      </c>
      <c r="C303" s="440" t="str">
        <f ca="1">IF($A303="*","",OFFSET(ITEMS_UPS!$C$8,K303,0))</f>
        <v>USMRGICHGN</v>
      </c>
      <c r="D303" s="440" t="str">
        <f ca="1">IF($A303="*","",IF(VLOOKUP("*"&amp;$L303,$A$10:$H$18,D$9+1,FALSE)="-","-",OFFSET(UPS!$C$37,N303+O303,SUMIF($A$10:$A$18,"*"&amp;L303,$M$10:$M$18))))</f>
        <v>-</v>
      </c>
      <c r="E303" s="440" t="str">
        <f t="shared" si="88"/>
        <v>-</v>
      </c>
      <c r="F303" s="440" t="str">
        <f t="shared" si="89"/>
        <v>-</v>
      </c>
      <c r="G303" s="440" t="str">
        <f t="shared" si="83"/>
        <v>-</v>
      </c>
      <c r="H303" s="440" t="str">
        <f t="shared" si="90"/>
        <v>-</v>
      </c>
      <c r="I303" s="163">
        <v>1</v>
      </c>
      <c r="K303" s="42">
        <f t="shared" ref="K303:K309" si="91">K302</f>
        <v>24</v>
      </c>
      <c r="L303" s="42">
        <f>IF(K303=K302,L302+1,1)</f>
        <v>4</v>
      </c>
      <c r="N303" s="42">
        <f t="shared" ref="N303:N309" ca="1" si="92">N302</f>
        <v>116</v>
      </c>
    </row>
    <row r="304" spans="1:15">
      <c r="B304" s="440" t="str">
        <f t="shared" si="87"/>
        <v>TOP-IN</v>
      </c>
      <c r="C304" s="440" t="str">
        <f ca="1">IF($A304="*","",OFFSET(ITEMS_UPS!$C$8,K304,0))</f>
        <v>USMRGICHGN</v>
      </c>
      <c r="D304" s="440" t="str">
        <f ca="1">IF($A304="*","",IF(VLOOKUP("*"&amp;$L304,$A$10:$H$18,D$9+1,FALSE)="-","-",OFFSET(UPS!$C$37,N304+O304,SUMIF($A$10:$A$18,"*"&amp;L304,$M$10:$M$18))))</f>
        <v>UPSGIC</v>
      </c>
      <c r="E304" s="440" t="str">
        <f t="shared" si="88"/>
        <v>-</v>
      </c>
      <c r="F304" s="440" t="str">
        <f t="shared" si="89"/>
        <v>-</v>
      </c>
      <c r="G304" s="440" t="str">
        <f t="shared" si="83"/>
        <v>-</v>
      </c>
      <c r="H304" s="440" t="str">
        <f t="shared" si="90"/>
        <v>-</v>
      </c>
      <c r="I304" s="163">
        <v>1</v>
      </c>
      <c r="K304" s="42">
        <f t="shared" si="91"/>
        <v>24</v>
      </c>
      <c r="L304" s="42">
        <f>IF(K304=K303,L303+1,1)</f>
        <v>5</v>
      </c>
      <c r="N304" s="42">
        <f t="shared" ca="1" si="92"/>
        <v>116</v>
      </c>
      <c r="O304" s="42">
        <v>0</v>
      </c>
    </row>
    <row r="305" spans="1:15">
      <c r="B305" s="440" t="str">
        <f t="shared" si="87"/>
        <v>TOP-IN</v>
      </c>
      <c r="C305" s="440" t="str">
        <f ca="1">IF($A305="*","",OFFSET(ITEMS_UPS!$C$8,K305,0))</f>
        <v>USMRGICHGN</v>
      </c>
      <c r="D305" s="440" t="str">
        <f ca="1">IF($A305="*","",IF(VLOOKUP("*"&amp;$L305,$A$10:$H$18,D$9+1,FALSE)="-","-",OFFSET(UPS!$C$37,N305+O305,SUMIF($A$10:$A$18,"*"&amp;L305,$M$10:$M$18))))</f>
        <v>UPSHEN</v>
      </c>
      <c r="E305" s="440" t="str">
        <f t="shared" si="88"/>
        <v>-</v>
      </c>
      <c r="F305" s="440" t="str">
        <f t="shared" si="89"/>
        <v>-</v>
      </c>
      <c r="G305" s="440" t="str">
        <f t="shared" si="83"/>
        <v>-</v>
      </c>
      <c r="H305" s="440" t="str">
        <f t="shared" si="90"/>
        <v>-</v>
      </c>
      <c r="I305" s="163">
        <v>1</v>
      </c>
      <c r="K305" s="42">
        <f t="shared" si="91"/>
        <v>24</v>
      </c>
      <c r="L305" s="42">
        <f>L304</f>
        <v>5</v>
      </c>
      <c r="N305" s="42">
        <f t="shared" ca="1" si="92"/>
        <v>116</v>
      </c>
      <c r="O305" s="42">
        <f>O304+1</f>
        <v>1</v>
      </c>
    </row>
    <row r="306" spans="1:15">
      <c r="B306" s="440" t="str">
        <f t="shared" si="87"/>
        <v>TOP-IN</v>
      </c>
      <c r="C306" s="440" t="str">
        <f ca="1">IF($A306="*","",OFFSET(ITEMS_UPS!$C$8,K306,0))</f>
        <v>USMRGICHGN</v>
      </c>
      <c r="D306" s="440" t="str">
        <f ca="1">IF($A306="*","",IF(VLOOKUP("*"&amp;$L306,$A$10:$H$18,D$9+1,FALSE)="-","-",OFFSET(UPS!$C$37,N306+O306,SUMIF($A$10:$A$18,"*"&amp;L306,$M$10:$M$18))))</f>
        <v>UPSELC</v>
      </c>
      <c r="E306" s="440" t="str">
        <f t="shared" si="88"/>
        <v>-</v>
      </c>
      <c r="F306" s="440" t="str">
        <f t="shared" si="89"/>
        <v>-</v>
      </c>
      <c r="G306" s="440" t="str">
        <f t="shared" si="83"/>
        <v>-</v>
      </c>
      <c r="H306" s="440" t="str">
        <f t="shared" si="90"/>
        <v>-</v>
      </c>
      <c r="I306" s="163">
        <v>1</v>
      </c>
      <c r="K306" s="42">
        <f t="shared" si="91"/>
        <v>24</v>
      </c>
      <c r="L306" s="42">
        <f>L305</f>
        <v>5</v>
      </c>
      <c r="N306" s="42">
        <f t="shared" ca="1" si="92"/>
        <v>116</v>
      </c>
      <c r="O306" s="42">
        <f>O305+1</f>
        <v>2</v>
      </c>
    </row>
    <row r="307" spans="1:15">
      <c r="B307" s="440" t="str">
        <f t="shared" si="87"/>
        <v>TOP-OUT</v>
      </c>
      <c r="C307" s="440" t="str">
        <f ca="1">IF($A307="*","",OFFSET(ITEMS_UPS!$C$8,K307,0))</f>
        <v>USMRGICHGN</v>
      </c>
      <c r="D307" s="440" t="str">
        <f ca="1">IF($A307="*","",IF(VLOOKUP("*"&amp;$L307,$A$10:$H$18,D$9+1,FALSE)="-","-",OFFSET(UPS!$C$37,N307+O307,SUMIF($A$10:$A$18,"*"&amp;L307,$M$10:$M$18))))</f>
        <v>UPSHGN</v>
      </c>
      <c r="E307" s="440" t="str">
        <f t="shared" si="88"/>
        <v>-</v>
      </c>
      <c r="F307" s="440" t="str">
        <f t="shared" si="89"/>
        <v>-</v>
      </c>
      <c r="G307" s="440" t="str">
        <f t="shared" si="83"/>
        <v>-</v>
      </c>
      <c r="H307" s="440" t="str">
        <f t="shared" si="90"/>
        <v>-</v>
      </c>
      <c r="I307" s="163">
        <v>1</v>
      </c>
      <c r="K307" s="42">
        <f t="shared" si="91"/>
        <v>24</v>
      </c>
      <c r="L307" s="42">
        <v>6</v>
      </c>
      <c r="N307" s="42">
        <f t="shared" ca="1" si="92"/>
        <v>116</v>
      </c>
      <c r="O307" s="42">
        <f>O306+1</f>
        <v>3</v>
      </c>
    </row>
    <row r="308" spans="1:15">
      <c r="B308" s="440" t="str">
        <f t="shared" si="87"/>
        <v>TOP-OUT</v>
      </c>
      <c r="C308" s="440" t="str">
        <f ca="1">IF($A308="*","",OFFSET(ITEMS_UPS!$C$8,K308,0))</f>
        <v>USMRGICHGN</v>
      </c>
      <c r="D308" s="440" t="str">
        <f>$D$16</f>
        <v>UPSCO2S</v>
      </c>
      <c r="E308" s="440" t="str">
        <f t="shared" si="88"/>
        <v>-</v>
      </c>
      <c r="F308" s="440" t="str">
        <f t="shared" si="89"/>
        <v>-</v>
      </c>
      <c r="G308" s="440" t="str">
        <f t="shared" si="83"/>
        <v>-</v>
      </c>
      <c r="H308" s="440" t="str">
        <f t="shared" si="90"/>
        <v>-</v>
      </c>
      <c r="I308" s="163">
        <v>1</v>
      </c>
      <c r="K308" s="42">
        <f t="shared" si="91"/>
        <v>24</v>
      </c>
      <c r="L308" s="42">
        <f>L307+1</f>
        <v>7</v>
      </c>
      <c r="N308" s="42">
        <f ca="1">N307</f>
        <v>116</v>
      </c>
    </row>
    <row r="309" spans="1:15">
      <c r="B309" s="440" t="str">
        <f t="shared" si="87"/>
        <v>TOP-OUT</v>
      </c>
      <c r="C309" s="440" t="str">
        <f ca="1">IF($A309="*","",OFFSET(ITEMS_UPS!$C$8,K309,0))</f>
        <v>USMRGICHGN</v>
      </c>
      <c r="D309" s="440" t="str">
        <f>$D$17</f>
        <v>UPSCH4S</v>
      </c>
      <c r="E309" s="440" t="str">
        <f t="shared" si="88"/>
        <v>-</v>
      </c>
      <c r="F309" s="440" t="str">
        <f t="shared" si="89"/>
        <v>-</v>
      </c>
      <c r="G309" s="440" t="str">
        <f t="shared" si="83"/>
        <v>-</v>
      </c>
      <c r="H309" s="440" t="str">
        <f t="shared" si="90"/>
        <v>-</v>
      </c>
      <c r="I309" s="163">
        <v>1</v>
      </c>
      <c r="K309" s="42">
        <f t="shared" si="91"/>
        <v>24</v>
      </c>
      <c r="L309" s="42">
        <f>L308+1</f>
        <v>8</v>
      </c>
      <c r="N309" s="42">
        <f t="shared" ca="1" si="92"/>
        <v>116</v>
      </c>
    </row>
    <row r="310" spans="1:15" s="525" customFormat="1">
      <c r="B310" s="524" t="str">
        <f>IF(A310="*","",VLOOKUP("*"&amp;L310,$A$9:$B$18,2,FALSE))</f>
        <v>NCAP_START</v>
      </c>
      <c r="C310" s="524" t="str">
        <f ca="1">C309</f>
        <v>USMRGICHGN</v>
      </c>
      <c r="D310" s="524" t="str">
        <f ca="1">IF($A310="*","",IF(VLOOKUP("*"&amp;$L310,$A$10:$H$18,D$9+1,FALSE)="-","-",OFFSET(UPS!$C$37,N310+O310,SUMIF($A$10:$A$18,"*"&amp;L310,$M$10:$M$18))))</f>
        <v>-</v>
      </c>
      <c r="E310" s="524" t="str">
        <f>IF($A310="*","",IF(VLOOKUP("*"&amp;$L310,$A$10:$H$18,E$9+1,FALSE)="-","-",C310&amp;"-"&amp;RIGHT(VLOOKUP("*"&amp;$L310,$A$10:$H$18,E$9+1,FALSE),1)))</f>
        <v>-</v>
      </c>
      <c r="F310" s="524" t="str">
        <f>IF($A310="*","",IF(VLOOKUP("*"&amp;$L310,$A$10:$H$18,F$9+1,FALSE)="-","-",C310&amp;"-"&amp;RIGHT(VLOOKUP("*"&amp;$L310,$A$10:$H$18,F$9+1,FALSE),1)))</f>
        <v>-</v>
      </c>
      <c r="G310" s="524" t="str">
        <f t="shared" si="83"/>
        <v>-</v>
      </c>
      <c r="H310" s="524" t="str">
        <f t="shared" si="83"/>
        <v>-</v>
      </c>
      <c r="I310" s="524">
        <f ca="1">IF($A310="*","",OFFSET(UPS!$C$37,N310,SUMIF($B$10:$B$18,B310,$M$10:$M$18)))</f>
        <v>2025</v>
      </c>
      <c r="K310" s="42">
        <f>K309</f>
        <v>24</v>
      </c>
      <c r="L310" s="525">
        <f>L309+1</f>
        <v>9</v>
      </c>
      <c r="N310" s="42">
        <f ca="1">N309</f>
        <v>116</v>
      </c>
    </row>
    <row r="311" spans="1:15">
      <c r="A311" s="42" t="s">
        <v>310</v>
      </c>
    </row>
    <row r="312" spans="1:15">
      <c r="B312" s="440" t="str">
        <f t="shared" ref="B312:B324" si="93">IF(A312="*","",VLOOKUP("*"&amp;L312,$A$9:$B$18,2,FALSE))</f>
        <v>COM_GMAP</v>
      </c>
      <c r="C312" s="440" t="str">
        <f ca="1">IF($A312="*","",OFFSET(ITEMS_UPS!$C$8,K312,0))</f>
        <v>UCOGCLEHGN</v>
      </c>
      <c r="D312" s="440" t="str">
        <f ca="1">IF($A312="*","",IF(VLOOKUP("*"&amp;$L312,$A$10:$H$18,D$9+1,FALSE)="-","-",OFFSET(UPS!$C$37,N312+O312,SUMIF($A$10:$A$18,"*"&amp;L312,$M$10:$M$18))))</f>
        <v>UPSCLE</v>
      </c>
      <c r="E312" s="440" t="str">
        <f t="shared" ref="E312:E324" ca="1" si="94">IF($A312="*","",IF(VLOOKUP("*"&amp;$L312,$A$10:$H$18,E$9+1,FALSE)="-","-",C312&amp;"-"&amp;RIGHT(VLOOKUP("*"&amp;$L312,$A$10:$H$18,E$9+1,FALSE),1)))</f>
        <v>UCOGCLEHGN-I</v>
      </c>
      <c r="F312" s="440" t="str">
        <f t="shared" ref="F312:F324" si="95">IF($A312="*","",IF(VLOOKUP("*"&amp;$L312,$A$10:$H$18,F$9+1,FALSE)="-","-",C312&amp;"-"&amp;RIGHT(VLOOKUP("*"&amp;$L312,$A$10:$H$18,F$9+1,FALSE),1)))</f>
        <v>-</v>
      </c>
      <c r="G312" s="440" t="str">
        <f t="shared" si="83"/>
        <v>-</v>
      </c>
      <c r="H312" s="440" t="str">
        <f t="shared" ref="H312:H324" si="96">IF($A312="*","",VLOOKUP("*"&amp;$L312,$A$10:$H$18,H$9+1,FALSE))</f>
        <v>-</v>
      </c>
      <c r="I312" s="163">
        <v>1</v>
      </c>
      <c r="K312" s="42">
        <f>K297+1</f>
        <v>25</v>
      </c>
      <c r="L312" s="42">
        <v>1</v>
      </c>
      <c r="N312" s="163">
        <f ca="1">SUMIF(UPS!B$38:B$176,C312,UPS!BD$38:BD$176)</f>
        <v>122</v>
      </c>
      <c r="O312" s="42">
        <v>0</v>
      </c>
    </row>
    <row r="313" spans="1:15">
      <c r="B313" s="440" t="str">
        <f t="shared" si="93"/>
        <v>COM_GMAP</v>
      </c>
      <c r="C313" s="440" t="str">
        <f ca="1">IF($A313="*","",OFFSET(ITEMS_UPS!$C$8,K313,0))</f>
        <v>UCOGCLEHGN</v>
      </c>
      <c r="D313" s="440" t="str">
        <f ca="1">IF($A313="*","",IF(VLOOKUP("*"&amp;$L313,$A$10:$H$18,D$9+1,FALSE)="-","-",OFFSET(UPS!$C$37,N313+O313,SUMIF($A$10:$A$18,"*"&amp;L313,$M$10:$M$18))))</f>
        <v>UPSHEN</v>
      </c>
      <c r="E313" s="440" t="str">
        <f t="shared" ca="1" si="94"/>
        <v>UCOGCLEHGN-I</v>
      </c>
      <c r="F313" s="440" t="str">
        <f t="shared" si="95"/>
        <v>-</v>
      </c>
      <c r="G313" s="440" t="str">
        <f t="shared" si="83"/>
        <v>-</v>
      </c>
      <c r="H313" s="440" t="str">
        <f t="shared" si="96"/>
        <v>-</v>
      </c>
      <c r="I313" s="163">
        <v>1</v>
      </c>
      <c r="K313" s="42">
        <f>K312</f>
        <v>25</v>
      </c>
      <c r="L313" s="42">
        <f>L312</f>
        <v>1</v>
      </c>
      <c r="N313" s="42">
        <f ca="1">N312</f>
        <v>122</v>
      </c>
      <c r="O313" s="42">
        <f>O312+1</f>
        <v>1</v>
      </c>
    </row>
    <row r="314" spans="1:15">
      <c r="B314" s="440" t="str">
        <f t="shared" si="93"/>
        <v>COM_GMAP</v>
      </c>
      <c r="C314" s="440" t="str">
        <f ca="1">IF($A314="*","",OFFSET(ITEMS_UPS!$C$8,K314,0))</f>
        <v>UCOGCLEHGN</v>
      </c>
      <c r="D314" s="440" t="str">
        <f ca="1">IF($A314="*","",IF(VLOOKUP("*"&amp;$L314,$A$10:$H$18,D$9+1,FALSE)="-","-",OFFSET(UPS!$C$37,N314+O314,SUMIF($A$10:$A$18,"*"&amp;L314,$M$10:$M$18))))</f>
        <v>UPSELC</v>
      </c>
      <c r="E314" s="440" t="str">
        <f t="shared" ca="1" si="94"/>
        <v>UCOGCLEHGN-I</v>
      </c>
      <c r="F314" s="440" t="str">
        <f t="shared" si="95"/>
        <v>-</v>
      </c>
      <c r="G314" s="440" t="str">
        <f t="shared" si="83"/>
        <v>-</v>
      </c>
      <c r="H314" s="440" t="str">
        <f t="shared" si="96"/>
        <v>-</v>
      </c>
      <c r="I314" s="163">
        <v>1</v>
      </c>
      <c r="K314" s="42">
        <f>K313</f>
        <v>25</v>
      </c>
      <c r="L314" s="42">
        <f>L313</f>
        <v>1</v>
      </c>
      <c r="N314" s="42">
        <f ca="1">N313</f>
        <v>122</v>
      </c>
      <c r="O314" s="42">
        <f>O313+1</f>
        <v>2</v>
      </c>
    </row>
    <row r="315" spans="1:15">
      <c r="B315" s="440" t="str">
        <f t="shared" si="93"/>
        <v>COM_GMAP</v>
      </c>
      <c r="C315" s="440" t="str">
        <f ca="1">IF($A315="*","",OFFSET(ITEMS_UPS!$C$8,K315,0))</f>
        <v>UCOGCLEHGN</v>
      </c>
      <c r="D315" s="440" t="str">
        <f ca="1">IF($A315="*","",IF(VLOOKUP("*"&amp;$L315,$A$10:$H$18,D$9+1,FALSE)="-","-",OFFSET(UPS!$C$37,N315+O315,SUMIF($A$10:$A$18,"*"&amp;L315,$M$10:$M$18))))</f>
        <v>UPSHGN</v>
      </c>
      <c r="E315" s="440" t="str">
        <f t="shared" ca="1" si="94"/>
        <v>UCOGCLEHGN-O</v>
      </c>
      <c r="F315" s="440" t="str">
        <f t="shared" si="95"/>
        <v>-</v>
      </c>
      <c r="G315" s="440" t="str">
        <f t="shared" si="83"/>
        <v>-</v>
      </c>
      <c r="H315" s="440" t="str">
        <f t="shared" si="96"/>
        <v>-</v>
      </c>
      <c r="I315" s="163">
        <v>1</v>
      </c>
      <c r="K315" s="42">
        <f>K314</f>
        <v>25</v>
      </c>
      <c r="L315" s="42">
        <v>2</v>
      </c>
      <c r="N315" s="42">
        <f ca="1">N314</f>
        <v>122</v>
      </c>
      <c r="O315" s="42">
        <f>O314+1</f>
        <v>3</v>
      </c>
    </row>
    <row r="316" spans="1:15">
      <c r="B316" s="440" t="str">
        <f t="shared" si="93"/>
        <v>COM_GMAP</v>
      </c>
      <c r="C316" s="440" t="str">
        <f ca="1">IF($A316="*","",OFFSET(ITEMS_UPS!$C$8,K316,0))</f>
        <v>UCOGCLEHGN</v>
      </c>
      <c r="D316" s="440" t="str">
        <f ca="1">IF($A316="*","",IF(VLOOKUP("*"&amp;$L316,$A$10:$H$18,D$9+1,FALSE)="-","-",OFFSET(UPS!$C$37,N316+O316,SUMIF($A$10:$A$18,"*"&amp;L316,$M$10:$M$18))))</f>
        <v>GIM</v>
      </c>
      <c r="E316" s="440" t="str">
        <f t="shared" ca="1" si="94"/>
        <v>UCOGCLEHGN-O</v>
      </c>
      <c r="F316" s="440" t="str">
        <f t="shared" si="95"/>
        <v>-</v>
      </c>
      <c r="G316" s="440" t="str">
        <f t="shared" si="83"/>
        <v>-</v>
      </c>
      <c r="H316" s="440" t="str">
        <f t="shared" si="96"/>
        <v>-</v>
      </c>
      <c r="I316" s="163">
        <v>1</v>
      </c>
      <c r="K316" s="42">
        <f>K315</f>
        <v>25</v>
      </c>
      <c r="L316" s="42">
        <f>L315</f>
        <v>2</v>
      </c>
      <c r="N316" s="42">
        <f ca="1">N315</f>
        <v>122</v>
      </c>
      <c r="O316" s="42">
        <f>O315+1</f>
        <v>4</v>
      </c>
    </row>
    <row r="317" spans="1:15">
      <c r="B317" s="440" t="str">
        <f t="shared" si="93"/>
        <v>PRC_ACTUNT</v>
      </c>
      <c r="C317" s="440" t="str">
        <f ca="1">IF($A317="*","",OFFSET(ITEMS_UPS!$C$8,K317,0))</f>
        <v>UCOGCLEHGN</v>
      </c>
      <c r="D317" s="440" t="str">
        <f ca="1">IF($A317="*","",IF(VLOOKUP("*"&amp;$L317,$A$10:$H$18,D$9+1,FALSE)="-","-",OFFSET(UPS!$C$37,N317+O317,SUMIF($A$10:$A$18,"*"&amp;L317,$M$10:$M$18))))</f>
        <v>-</v>
      </c>
      <c r="E317" s="440" t="str">
        <f t="shared" ca="1" si="94"/>
        <v>UCOGCLEHGN-O</v>
      </c>
      <c r="F317" s="440" t="str">
        <f t="shared" si="95"/>
        <v>-</v>
      </c>
      <c r="G317" s="440" t="str">
        <f t="shared" si="83"/>
        <v>-</v>
      </c>
      <c r="H317" s="440" t="str">
        <f t="shared" si="96"/>
        <v>-</v>
      </c>
      <c r="I317" s="163">
        <v>1</v>
      </c>
      <c r="K317" s="42">
        <f>K315</f>
        <v>25</v>
      </c>
      <c r="L317" s="42">
        <f>IF(K317=K315,L315+1,1)</f>
        <v>3</v>
      </c>
      <c r="N317" s="42">
        <f ca="1">N315</f>
        <v>122</v>
      </c>
    </row>
    <row r="318" spans="1:15">
      <c r="B318" s="440" t="str">
        <f t="shared" si="93"/>
        <v>PRC_CAPACT</v>
      </c>
      <c r="C318" s="440" t="str">
        <f ca="1">IF($A318="*","",OFFSET(ITEMS_UPS!$C$8,K318,0))</f>
        <v>UCOGCLEHGN</v>
      </c>
      <c r="D318" s="440" t="str">
        <f ca="1">IF($A318="*","",IF(VLOOKUP("*"&amp;$L318,$A$10:$H$18,D$9+1,FALSE)="-","-",OFFSET(UPS!$C$37,N318+O318,SUMIF($A$10:$A$18,"*"&amp;L318,$M$10:$M$18))))</f>
        <v>-</v>
      </c>
      <c r="E318" s="440" t="str">
        <f t="shared" si="94"/>
        <v>-</v>
      </c>
      <c r="F318" s="440" t="str">
        <f t="shared" si="95"/>
        <v>-</v>
      </c>
      <c r="G318" s="440" t="str">
        <f t="shared" si="83"/>
        <v>-</v>
      </c>
      <c r="H318" s="440" t="str">
        <f t="shared" si="96"/>
        <v>-</v>
      </c>
      <c r="I318" s="163">
        <v>1</v>
      </c>
      <c r="K318" s="42">
        <f t="shared" ref="K318:K324" si="97">K317</f>
        <v>25</v>
      </c>
      <c r="L318" s="42">
        <f>IF(K318=K317,L317+1,1)</f>
        <v>4</v>
      </c>
      <c r="N318" s="42">
        <f t="shared" ref="N318:N324" ca="1" si="98">N317</f>
        <v>122</v>
      </c>
    </row>
    <row r="319" spans="1:15">
      <c r="B319" s="440" t="str">
        <f t="shared" si="93"/>
        <v>TOP-IN</v>
      </c>
      <c r="C319" s="440" t="str">
        <f ca="1">IF($A319="*","",OFFSET(ITEMS_UPS!$C$8,K319,0))</f>
        <v>UCOGCLEHGN</v>
      </c>
      <c r="D319" s="440" t="str">
        <f ca="1">IF($A319="*","",IF(VLOOKUP("*"&amp;$L319,$A$10:$H$18,D$9+1,FALSE)="-","-",OFFSET(UPS!$C$37,N319+O319,SUMIF($A$10:$A$18,"*"&amp;L319,$M$10:$M$18))))</f>
        <v>UPSCLE</v>
      </c>
      <c r="E319" s="440" t="str">
        <f t="shared" si="94"/>
        <v>-</v>
      </c>
      <c r="F319" s="440" t="str">
        <f t="shared" si="95"/>
        <v>-</v>
      </c>
      <c r="G319" s="440" t="str">
        <f t="shared" si="83"/>
        <v>-</v>
      </c>
      <c r="H319" s="440" t="str">
        <f t="shared" si="96"/>
        <v>-</v>
      </c>
      <c r="I319" s="163">
        <v>1</v>
      </c>
      <c r="K319" s="42">
        <f t="shared" si="97"/>
        <v>25</v>
      </c>
      <c r="L319" s="42">
        <f>IF(K319=K318,L318+1,1)</f>
        <v>5</v>
      </c>
      <c r="N319" s="42">
        <f t="shared" ca="1" si="98"/>
        <v>122</v>
      </c>
      <c r="O319" s="42">
        <v>0</v>
      </c>
    </row>
    <row r="320" spans="1:15">
      <c r="B320" s="440" t="str">
        <f t="shared" si="93"/>
        <v>TOP-IN</v>
      </c>
      <c r="C320" s="440" t="str">
        <f ca="1">IF($A320="*","",OFFSET(ITEMS_UPS!$C$8,K320,0))</f>
        <v>UCOGCLEHGN</v>
      </c>
      <c r="D320" s="440" t="str">
        <f ca="1">IF($A320="*","",IF(VLOOKUP("*"&amp;$L320,$A$10:$H$18,D$9+1,FALSE)="-","-",OFFSET(UPS!$C$37,N320+O320,SUMIF($A$10:$A$18,"*"&amp;L320,$M$10:$M$18))))</f>
        <v>UPSHEN</v>
      </c>
      <c r="E320" s="440" t="str">
        <f t="shared" si="94"/>
        <v>-</v>
      </c>
      <c r="F320" s="440" t="str">
        <f t="shared" si="95"/>
        <v>-</v>
      </c>
      <c r="G320" s="440" t="str">
        <f t="shared" si="83"/>
        <v>-</v>
      </c>
      <c r="H320" s="440" t="str">
        <f t="shared" si="96"/>
        <v>-</v>
      </c>
      <c r="I320" s="163">
        <v>1</v>
      </c>
      <c r="K320" s="42">
        <f t="shared" si="97"/>
        <v>25</v>
      </c>
      <c r="L320" s="42">
        <f>L319</f>
        <v>5</v>
      </c>
      <c r="N320" s="42">
        <f t="shared" ca="1" si="98"/>
        <v>122</v>
      </c>
      <c r="O320" s="42">
        <f>O319+1</f>
        <v>1</v>
      </c>
    </row>
    <row r="321" spans="1:15">
      <c r="B321" s="440" t="str">
        <f t="shared" si="93"/>
        <v>TOP-IN</v>
      </c>
      <c r="C321" s="440" t="str">
        <f ca="1">IF($A321="*","",OFFSET(ITEMS_UPS!$C$8,K321,0))</f>
        <v>UCOGCLEHGN</v>
      </c>
      <c r="D321" s="440" t="str">
        <f ca="1">IF($A321="*","",IF(VLOOKUP("*"&amp;$L321,$A$10:$H$18,D$9+1,FALSE)="-","-",OFFSET(UPS!$C$37,N321+O321,SUMIF($A$10:$A$18,"*"&amp;L321,$M$10:$M$18))))</f>
        <v>UPSELC</v>
      </c>
      <c r="E321" s="440" t="str">
        <f t="shared" si="94"/>
        <v>-</v>
      </c>
      <c r="F321" s="440" t="str">
        <f t="shared" si="95"/>
        <v>-</v>
      </c>
      <c r="G321" s="440" t="str">
        <f t="shared" si="83"/>
        <v>-</v>
      </c>
      <c r="H321" s="440" t="str">
        <f t="shared" si="96"/>
        <v>-</v>
      </c>
      <c r="I321" s="163">
        <v>1</v>
      </c>
      <c r="K321" s="42">
        <f t="shared" si="97"/>
        <v>25</v>
      </c>
      <c r="L321" s="42">
        <f>L320</f>
        <v>5</v>
      </c>
      <c r="N321" s="42">
        <f t="shared" ca="1" si="98"/>
        <v>122</v>
      </c>
      <c r="O321" s="42">
        <f>O320+1</f>
        <v>2</v>
      </c>
    </row>
    <row r="322" spans="1:15">
      <c r="B322" s="440" t="str">
        <f t="shared" si="93"/>
        <v>TOP-OUT</v>
      </c>
      <c r="C322" s="440" t="str">
        <f ca="1">IF($A322="*","",OFFSET(ITEMS_UPS!$C$8,K322,0))</f>
        <v>UCOGCLEHGN</v>
      </c>
      <c r="D322" s="440" t="str">
        <f ca="1">IF($A322="*","",IF(VLOOKUP("*"&amp;$L322,$A$10:$H$18,D$9+1,FALSE)="-","-",OFFSET(UPS!$C$37,N322+O322,SUMIF($A$10:$A$18,"*"&amp;L322,$M$10:$M$18))))</f>
        <v>UPSHGN</v>
      </c>
      <c r="E322" s="440" t="str">
        <f t="shared" si="94"/>
        <v>-</v>
      </c>
      <c r="F322" s="440" t="str">
        <f t="shared" si="95"/>
        <v>-</v>
      </c>
      <c r="G322" s="440" t="str">
        <f t="shared" si="83"/>
        <v>-</v>
      </c>
      <c r="H322" s="440" t="str">
        <f t="shared" si="96"/>
        <v>-</v>
      </c>
      <c r="I322" s="163">
        <v>1</v>
      </c>
      <c r="K322" s="42">
        <f t="shared" si="97"/>
        <v>25</v>
      </c>
      <c r="L322" s="42">
        <v>6</v>
      </c>
      <c r="N322" s="42">
        <f t="shared" ca="1" si="98"/>
        <v>122</v>
      </c>
      <c r="O322" s="42">
        <f>O321+1</f>
        <v>3</v>
      </c>
    </row>
    <row r="323" spans="1:15">
      <c r="B323" s="440" t="str">
        <f t="shared" si="93"/>
        <v>TOP-OUT</v>
      </c>
      <c r="C323" s="440" t="str">
        <f ca="1">IF($A323="*","",OFFSET(ITEMS_UPS!$C$8,K323,0))</f>
        <v>UCOGCLEHGN</v>
      </c>
      <c r="D323" s="440" t="str">
        <f>$D$16</f>
        <v>UPSCO2S</v>
      </c>
      <c r="E323" s="440" t="str">
        <f t="shared" si="94"/>
        <v>-</v>
      </c>
      <c r="F323" s="440" t="str">
        <f t="shared" si="95"/>
        <v>-</v>
      </c>
      <c r="G323" s="440" t="str">
        <f t="shared" si="83"/>
        <v>-</v>
      </c>
      <c r="H323" s="440" t="str">
        <f t="shared" si="96"/>
        <v>-</v>
      </c>
      <c r="I323" s="163">
        <v>1</v>
      </c>
      <c r="K323" s="42">
        <f t="shared" si="97"/>
        <v>25</v>
      </c>
      <c r="L323" s="42">
        <f>L322+1</f>
        <v>7</v>
      </c>
      <c r="N323" s="42">
        <f ca="1">N322</f>
        <v>122</v>
      </c>
    </row>
    <row r="324" spans="1:15">
      <c r="B324" s="440" t="str">
        <f t="shared" si="93"/>
        <v>TOP-OUT</v>
      </c>
      <c r="C324" s="440" t="str">
        <f ca="1">IF($A324="*","",OFFSET(ITEMS_UPS!$C$8,K324,0))</f>
        <v>UCOGCLEHGN</v>
      </c>
      <c r="D324" s="440" t="str">
        <f>$D$17</f>
        <v>UPSCH4S</v>
      </c>
      <c r="E324" s="440" t="str">
        <f t="shared" si="94"/>
        <v>-</v>
      </c>
      <c r="F324" s="440" t="str">
        <f t="shared" si="95"/>
        <v>-</v>
      </c>
      <c r="G324" s="440" t="str">
        <f t="shared" si="83"/>
        <v>-</v>
      </c>
      <c r="H324" s="440" t="str">
        <f t="shared" si="96"/>
        <v>-</v>
      </c>
      <c r="I324" s="163">
        <v>1</v>
      </c>
      <c r="K324" s="42">
        <f t="shared" si="97"/>
        <v>25</v>
      </c>
      <c r="L324" s="42">
        <f>L323+1</f>
        <v>8</v>
      </c>
      <c r="N324" s="42">
        <f t="shared" ca="1" si="98"/>
        <v>122</v>
      </c>
    </row>
    <row r="325" spans="1:15" s="525" customFormat="1">
      <c r="B325" s="524" t="str">
        <f>IF(A325="*","",VLOOKUP("*"&amp;L325,$A$9:$B$18,2,FALSE))</f>
        <v>NCAP_START</v>
      </c>
      <c r="C325" s="524" t="str">
        <f ca="1">C324</f>
        <v>UCOGCLEHGN</v>
      </c>
      <c r="D325" s="524" t="str">
        <f ca="1">IF($A325="*","",IF(VLOOKUP("*"&amp;$L325,$A$10:$H$18,D$9+1,FALSE)="-","-",OFFSET(UPS!$C$37,N325+O325,SUMIF($A$10:$A$18,"*"&amp;L325,$M$10:$M$18))))</f>
        <v>-</v>
      </c>
      <c r="E325" s="524" t="str">
        <f>IF($A325="*","",IF(VLOOKUP("*"&amp;$L325,$A$10:$H$18,E$9+1,FALSE)="-","-",C325&amp;"-"&amp;RIGHT(VLOOKUP("*"&amp;$L325,$A$10:$H$18,E$9+1,FALSE),1)))</f>
        <v>-</v>
      </c>
      <c r="F325" s="524" t="str">
        <f>IF($A325="*","",IF(VLOOKUP("*"&amp;$L325,$A$10:$H$18,F$9+1,FALSE)="-","-",C325&amp;"-"&amp;RIGHT(VLOOKUP("*"&amp;$L325,$A$10:$H$18,F$9+1,FALSE),1)))</f>
        <v>-</v>
      </c>
      <c r="G325" s="524" t="str">
        <f t="shared" si="83"/>
        <v>-</v>
      </c>
      <c r="H325" s="524" t="str">
        <f t="shared" si="83"/>
        <v>-</v>
      </c>
      <c r="I325" s="524">
        <f ca="1">IF($A325="*","",OFFSET(UPS!$C$37,N325,SUMIF($B$10:$B$18,B325,$M$10:$M$18)))</f>
        <v>2025</v>
      </c>
      <c r="K325" s="42">
        <f>K324</f>
        <v>25</v>
      </c>
      <c r="L325" s="525">
        <f>L324+1</f>
        <v>9</v>
      </c>
      <c r="N325" s="42">
        <f ca="1">N324</f>
        <v>122</v>
      </c>
    </row>
    <row r="326" spans="1:15">
      <c r="A326" s="42" t="s">
        <v>310</v>
      </c>
      <c r="B326" s="438"/>
    </row>
    <row r="327" spans="1:15">
      <c r="B327" s="440" t="str">
        <f t="shared" ref="B327:B334" si="99">IF(A327="*","",VLOOKUP("*"&amp;L327,$A$9:$B$18,2,FALSE))</f>
        <v>COM_GMAP</v>
      </c>
      <c r="C327" s="440" t="str">
        <f ca="1">IF($A327="*","",OFFSET(ITEMS_UPS!$C$8,K327,0))</f>
        <v>UELEP1HGN</v>
      </c>
      <c r="D327" s="440" t="str">
        <f ca="1">IF($A327="*","",IF(VLOOKUP("*"&amp;$L327,$A$10:$H$18,D$9+1,FALSE)="-","-",OFFSET(UPS!$C$37,N327+O327,SUMIF($A$10:$A$18,"*"&amp;L327,$M$10:$M$18))))</f>
        <v>UPSELC</v>
      </c>
      <c r="E327" s="440" t="str">
        <f t="shared" ref="E327:E334" ca="1" si="100">IF($A327="*","",IF(VLOOKUP("*"&amp;$L327,$A$10:$H$18,E$9+1,FALSE)="-","-",C327&amp;"-"&amp;RIGHT(VLOOKUP("*"&amp;$L327,$A$10:$H$18,E$9+1,FALSE),1)))</f>
        <v>UELEP1HGN-I</v>
      </c>
      <c r="F327" s="440" t="str">
        <f t="shared" ref="F327:F334" si="101">IF($A327="*","",IF(VLOOKUP("*"&amp;$L327,$A$10:$H$18,F$9+1,FALSE)="-","-",C327&amp;"-"&amp;RIGHT(VLOOKUP("*"&amp;$L327,$A$10:$H$18,F$9+1,FALSE),1)))</f>
        <v>-</v>
      </c>
      <c r="G327" s="440" t="str">
        <f t="shared" si="83"/>
        <v>-</v>
      </c>
      <c r="H327" s="440" t="str">
        <f t="shared" ref="H327:H334" si="102">IF($A327="*","",VLOOKUP("*"&amp;$L327,$A$10:$H$18,H$9+1,FALSE))</f>
        <v>-</v>
      </c>
      <c r="I327" s="163">
        <v>1</v>
      </c>
      <c r="K327" s="42">
        <f>K312+1</f>
        <v>26</v>
      </c>
      <c r="L327" s="42">
        <v>1</v>
      </c>
      <c r="N327" s="163">
        <f ca="1">SUMIF(UPS!B$38:B$176,C327,UPS!BD$38:BD$176)</f>
        <v>128</v>
      </c>
      <c r="O327" s="42">
        <v>0</v>
      </c>
    </row>
    <row r="328" spans="1:15" s="649" customFormat="1">
      <c r="B328" s="440" t="str">
        <f t="shared" si="99"/>
        <v>COM_GMAP</v>
      </c>
      <c r="C328" s="440" t="str">
        <f ca="1">IF($A328="*","",OFFSET(ITEMS_UPS!$C$8,K328,0))</f>
        <v>UELEP1HGN</v>
      </c>
      <c r="D328" s="440" t="str">
        <f ca="1">IF($A328="*","",IF(VLOOKUP("*"&amp;$L328,$A$10:$H$18,D$9+1,FALSE)="-","-",OFFSET(UPS!$C$37,N328+O328,SUMIF($A$10:$A$18,"*"&amp;L328,$M$10:$M$18))))</f>
        <v>UPSHGN</v>
      </c>
      <c r="E328" s="440" t="str">
        <f t="shared" ca="1" si="100"/>
        <v>UELEP1HGN-O</v>
      </c>
      <c r="F328" s="440" t="str">
        <f t="shared" si="101"/>
        <v>-</v>
      </c>
      <c r="G328" s="440" t="str">
        <f t="shared" si="83"/>
        <v>-</v>
      </c>
      <c r="H328" s="440" t="str">
        <f t="shared" si="102"/>
        <v>-</v>
      </c>
      <c r="I328" s="163">
        <v>1</v>
      </c>
      <c r="J328" s="42"/>
      <c r="K328" s="42">
        <f>K327</f>
        <v>26</v>
      </c>
      <c r="L328" s="42">
        <v>2</v>
      </c>
      <c r="M328" s="42"/>
      <c r="N328" s="42">
        <f ca="1">N327</f>
        <v>128</v>
      </c>
      <c r="O328" s="42">
        <f>O327+1</f>
        <v>1</v>
      </c>
    </row>
    <row r="329" spans="1:15">
      <c r="B329" s="440" t="str">
        <f t="shared" si="99"/>
        <v>PRC_ACTUNT</v>
      </c>
      <c r="C329" s="440" t="str">
        <f ca="1">IF($A329="*","",OFFSET(ITEMS_UPS!$C$8,K329,0))</f>
        <v>UELEP1HGN</v>
      </c>
      <c r="D329" s="440" t="str">
        <f ca="1">IF($A329="*","",IF(VLOOKUP("*"&amp;$L329,$A$10:$H$18,D$9+1,FALSE)="-","-",OFFSET(UPS!$C$37,N329+O329,SUMIF($A$10:$A$18,"*"&amp;L329,$M$10:$M$18))))</f>
        <v>-</v>
      </c>
      <c r="E329" s="440" t="str">
        <f t="shared" ca="1" si="100"/>
        <v>UELEP1HGN-O</v>
      </c>
      <c r="F329" s="440" t="str">
        <f t="shared" si="101"/>
        <v>-</v>
      </c>
      <c r="G329" s="440" t="str">
        <f t="shared" si="83"/>
        <v>-</v>
      </c>
      <c r="H329" s="440" t="str">
        <f t="shared" si="102"/>
        <v>-</v>
      </c>
      <c r="I329" s="163">
        <v>1</v>
      </c>
      <c r="K329" s="42">
        <f t="shared" ref="K329:K345" si="103">K328</f>
        <v>26</v>
      </c>
      <c r="L329" s="42">
        <f>IF(K329=K328,L328+1,1)</f>
        <v>3</v>
      </c>
      <c r="N329" s="42">
        <f t="shared" ref="N329:N345" ca="1" si="104">N328</f>
        <v>128</v>
      </c>
    </row>
    <row r="330" spans="1:15">
      <c r="B330" s="440" t="str">
        <f t="shared" si="99"/>
        <v>PRC_CAPACT</v>
      </c>
      <c r="C330" s="440" t="str">
        <f ca="1">IF($A330="*","",OFFSET(ITEMS_UPS!$C$8,K330,0))</f>
        <v>UELEP1HGN</v>
      </c>
      <c r="D330" s="440" t="str">
        <f ca="1">IF($A330="*","",IF(VLOOKUP("*"&amp;$L330,$A$10:$H$18,D$9+1,FALSE)="-","-",OFFSET(UPS!$C$37,N330+O330,SUMIF($A$10:$A$18,"*"&amp;L330,$M$10:$M$18))))</f>
        <v>-</v>
      </c>
      <c r="E330" s="440" t="str">
        <f t="shared" si="100"/>
        <v>-</v>
      </c>
      <c r="F330" s="440" t="str">
        <f t="shared" si="101"/>
        <v>-</v>
      </c>
      <c r="G330" s="440" t="str">
        <f t="shared" si="83"/>
        <v>-</v>
      </c>
      <c r="H330" s="440" t="str">
        <f t="shared" si="102"/>
        <v>-</v>
      </c>
      <c r="I330" s="163">
        <v>31.535999999999998</v>
      </c>
      <c r="K330" s="42">
        <f t="shared" si="103"/>
        <v>26</v>
      </c>
      <c r="L330" s="42">
        <f>IF(K330=K329,L329+1,1)</f>
        <v>4</v>
      </c>
      <c r="N330" s="42">
        <f t="shared" ca="1" si="104"/>
        <v>128</v>
      </c>
    </row>
    <row r="331" spans="1:15">
      <c r="B331" s="440" t="str">
        <f t="shared" si="99"/>
        <v>TOP-IN</v>
      </c>
      <c r="C331" s="440" t="str">
        <f ca="1">IF($A331="*","",OFFSET(ITEMS_UPS!$C$8,K331,0))</f>
        <v>UELEP1HGN</v>
      </c>
      <c r="D331" s="440" t="str">
        <f ca="1">IF($A331="*","",IF(VLOOKUP("*"&amp;$L331,$A$10:$H$18,D$9+1,FALSE)="-","-",OFFSET(UPS!$C$37,N331+O331,SUMIF($A$10:$A$18,"*"&amp;L331,$M$10:$M$18))))</f>
        <v>UPSELC</v>
      </c>
      <c r="E331" s="440" t="str">
        <f t="shared" si="100"/>
        <v>-</v>
      </c>
      <c r="F331" s="440" t="str">
        <f t="shared" si="101"/>
        <v>-</v>
      </c>
      <c r="G331" s="440" t="str">
        <f t="shared" si="83"/>
        <v>-</v>
      </c>
      <c r="H331" s="440" t="str">
        <f t="shared" si="102"/>
        <v>-</v>
      </c>
      <c r="I331" s="163">
        <v>1</v>
      </c>
      <c r="K331" s="42">
        <f t="shared" si="103"/>
        <v>26</v>
      </c>
      <c r="L331" s="42">
        <f>IF(K331=K330,L330+1,1)</f>
        <v>5</v>
      </c>
      <c r="N331" s="42">
        <f t="shared" ca="1" si="104"/>
        <v>128</v>
      </c>
      <c r="O331" s="42">
        <v>0</v>
      </c>
    </row>
    <row r="332" spans="1:15">
      <c r="B332" s="440" t="str">
        <f t="shared" si="99"/>
        <v>TOP-OUT</v>
      </c>
      <c r="C332" s="440" t="str">
        <f ca="1">IF($A332="*","",OFFSET(ITEMS_UPS!$C$8,K332,0))</f>
        <v>UELEP1HGN</v>
      </c>
      <c r="D332" s="440" t="str">
        <f ca="1">IF($A332="*","",IF(VLOOKUP("*"&amp;$L332,$A$10:$H$18,D$9+1,FALSE)="-","-",OFFSET(UPS!$C$37,N332+O332,SUMIF($A$10:$A$18,"*"&amp;L332,$M$10:$M$18))))</f>
        <v>UPSHGN</v>
      </c>
      <c r="E332" s="440" t="str">
        <f t="shared" si="100"/>
        <v>-</v>
      </c>
      <c r="F332" s="440" t="str">
        <f t="shared" si="101"/>
        <v>-</v>
      </c>
      <c r="G332" s="440" t="str">
        <f t="shared" si="83"/>
        <v>-</v>
      </c>
      <c r="H332" s="440" t="str">
        <f t="shared" si="102"/>
        <v>-</v>
      </c>
      <c r="I332" s="163">
        <v>1</v>
      </c>
      <c r="K332" s="42">
        <f t="shared" si="103"/>
        <v>26</v>
      </c>
      <c r="L332" s="42">
        <v>6</v>
      </c>
      <c r="N332" s="42">
        <f t="shared" ca="1" si="104"/>
        <v>128</v>
      </c>
      <c r="O332" s="42">
        <v>1</v>
      </c>
    </row>
    <row r="333" spans="1:15">
      <c r="B333" s="440" t="str">
        <f t="shared" si="99"/>
        <v>TOP-OUT</v>
      </c>
      <c r="C333" s="440" t="str">
        <f ca="1">IF($A333="*","",OFFSET(ITEMS_UPS!$C$8,K333,0))</f>
        <v>UELEP1HGN</v>
      </c>
      <c r="D333" s="440" t="str">
        <f>$D$16</f>
        <v>UPSCO2S</v>
      </c>
      <c r="E333" s="440" t="str">
        <f t="shared" si="100"/>
        <v>-</v>
      </c>
      <c r="F333" s="440" t="str">
        <f t="shared" si="101"/>
        <v>-</v>
      </c>
      <c r="G333" s="440" t="str">
        <f t="shared" si="83"/>
        <v>-</v>
      </c>
      <c r="H333" s="440" t="str">
        <f t="shared" si="102"/>
        <v>-</v>
      </c>
      <c r="I333" s="163">
        <v>1</v>
      </c>
      <c r="K333" s="42">
        <f t="shared" si="103"/>
        <v>26</v>
      </c>
      <c r="L333" s="42">
        <f>L332+1</f>
        <v>7</v>
      </c>
      <c r="N333" s="42">
        <f t="shared" ca="1" si="104"/>
        <v>128</v>
      </c>
    </row>
    <row r="334" spans="1:15">
      <c r="B334" s="440" t="str">
        <f t="shared" si="99"/>
        <v>TOP-OUT</v>
      </c>
      <c r="C334" s="440" t="str">
        <f ca="1">IF($A334="*","",OFFSET(ITEMS_UPS!$C$8,K334,0))</f>
        <v>UELEP1HGN</v>
      </c>
      <c r="D334" s="440" t="str">
        <f>$D$17</f>
        <v>UPSCH4S</v>
      </c>
      <c r="E334" s="440" t="str">
        <f t="shared" si="100"/>
        <v>-</v>
      </c>
      <c r="F334" s="440" t="str">
        <f t="shared" si="101"/>
        <v>-</v>
      </c>
      <c r="G334" s="440" t="str">
        <f t="shared" si="83"/>
        <v>-</v>
      </c>
      <c r="H334" s="440" t="str">
        <f t="shared" si="102"/>
        <v>-</v>
      </c>
      <c r="I334" s="163">
        <v>1</v>
      </c>
      <c r="K334" s="42">
        <f t="shared" si="103"/>
        <v>26</v>
      </c>
      <c r="L334" s="42">
        <f>L333+1</f>
        <v>8</v>
      </c>
      <c r="N334" s="42">
        <f t="shared" ca="1" si="104"/>
        <v>128</v>
      </c>
    </row>
    <row r="335" spans="1:15">
      <c r="B335" s="524" t="str">
        <f>IF(A335="*","",VLOOKUP("*"&amp;L335,$A$9:$B$18,2,FALSE))</f>
        <v>NCAP_START</v>
      </c>
      <c r="C335" s="524" t="str">
        <f ca="1">C334</f>
        <v>UELEP1HGN</v>
      </c>
      <c r="D335" s="524" t="str">
        <f ca="1">IF($A335="*","",IF(VLOOKUP("*"&amp;$L335,$A$10:$H$18,D$9+1,FALSE)="-","-",OFFSET(UPS!$C$37,N335+O335,SUMIF($A$10:$A$18,"*"&amp;L335,$M$10:$M$18))))</f>
        <v>-</v>
      </c>
      <c r="E335" s="524" t="str">
        <f>IF($A335="*","",IF(VLOOKUP("*"&amp;$L335,$A$10:$H$18,E$9+1,FALSE)="-","-",C335&amp;"-"&amp;RIGHT(VLOOKUP("*"&amp;$L335,$A$10:$H$18,E$9+1,FALSE),1)))</f>
        <v>-</v>
      </c>
      <c r="F335" s="524" t="str">
        <f>IF($A335="*","",IF(VLOOKUP("*"&amp;$L335,$A$10:$H$18,F$9+1,FALSE)="-","-",C335&amp;"-"&amp;RIGHT(VLOOKUP("*"&amp;$L335,$A$10:$H$18,F$9+1,FALSE),1)))</f>
        <v>-</v>
      </c>
      <c r="G335" s="524" t="str">
        <f t="shared" si="83"/>
        <v>-</v>
      </c>
      <c r="H335" s="524" t="str">
        <f t="shared" si="83"/>
        <v>-</v>
      </c>
      <c r="I335" s="524">
        <f ca="1">IF($A335="*","",OFFSET(UPS!$C$37,N335,SUMIF($B$10:$B$18,B335,$M$10:$M$18)))</f>
        <v>2020</v>
      </c>
      <c r="J335" s="525"/>
      <c r="K335" s="42">
        <f t="shared" si="103"/>
        <v>26</v>
      </c>
      <c r="L335" s="525">
        <f>L334+1</f>
        <v>9</v>
      </c>
      <c r="M335" s="525"/>
      <c r="N335" s="42">
        <f t="shared" ca="1" si="104"/>
        <v>128</v>
      </c>
      <c r="O335" s="525"/>
    </row>
    <row r="336" spans="1:15">
      <c r="A336" s="42" t="s">
        <v>310</v>
      </c>
      <c r="B336" s="438"/>
    </row>
    <row r="337" spans="2:15">
      <c r="B337" s="440" t="str">
        <f t="shared" ref="B337:B344" si="105">IF(A337="*","",VLOOKUP("*"&amp;L337,$A$9:$B$18,2,FALSE))</f>
        <v>COM_GMAP</v>
      </c>
      <c r="C337" s="440" t="str">
        <f ca="1">IF($A337="*","",OFFSET(ITEMS_UPS!$C$8,K337,0))</f>
        <v>UELEA1HGN</v>
      </c>
      <c r="D337" s="440" t="str">
        <f ca="1">IF($A337="*","",IF(VLOOKUP("*"&amp;$L337,$A$10:$H$18,D$9+1,FALSE)="-","-",OFFSET(UPS!$C$37,N337+O337,SUMIF($A$10:$A$18,"*"&amp;L337,$M$10:$M$18))))</f>
        <v>UPSELC</v>
      </c>
      <c r="E337" s="440" t="str">
        <f t="shared" ref="E337:E344" ca="1" si="106">IF($A337="*","",IF(VLOOKUP("*"&amp;$L337,$A$10:$H$18,E$9+1,FALSE)="-","-",C337&amp;"-"&amp;RIGHT(VLOOKUP("*"&amp;$L337,$A$10:$H$18,E$9+1,FALSE),1)))</f>
        <v>UELEA1HGN-I</v>
      </c>
      <c r="F337" s="440" t="str">
        <f t="shared" ref="F337:F344" si="107">IF($A337="*","",IF(VLOOKUP("*"&amp;$L337,$A$10:$H$18,F$9+1,FALSE)="-","-",C337&amp;"-"&amp;RIGHT(VLOOKUP("*"&amp;$L337,$A$10:$H$18,F$9+1,FALSE),1)))</f>
        <v>-</v>
      </c>
      <c r="G337" s="440" t="str">
        <f t="shared" si="83"/>
        <v>-</v>
      </c>
      <c r="H337" s="440" t="str">
        <f t="shared" ref="H337:H344" si="108">IF($A337="*","",VLOOKUP("*"&amp;$L337,$A$10:$H$18,H$9+1,FALSE))</f>
        <v>-</v>
      </c>
      <c r="I337" s="163">
        <v>1</v>
      </c>
      <c r="K337" s="42">
        <v>27</v>
      </c>
      <c r="L337" s="42">
        <v>1</v>
      </c>
      <c r="N337" s="163">
        <f ca="1">SUMIF(UPS!B$38:B$176,C337,UPS!BD$38:BD$176)</f>
        <v>131</v>
      </c>
      <c r="O337" s="42">
        <v>0</v>
      </c>
    </row>
    <row r="338" spans="2:15" s="649" customFormat="1">
      <c r="B338" s="440" t="str">
        <f t="shared" si="105"/>
        <v>COM_GMAP</v>
      </c>
      <c r="C338" s="440" t="str">
        <f ca="1">IF($A338="*","",OFFSET(ITEMS_UPS!$C$8,K338,0))</f>
        <v>UELEA1HGN</v>
      </c>
      <c r="D338" s="440" t="str">
        <f ca="1">IF($A338="*","",IF(VLOOKUP("*"&amp;$L338,$A$10:$H$18,D$9+1,FALSE)="-","-",OFFSET(UPS!$C$37,N338+O338,SUMIF($A$10:$A$18,"*"&amp;L338,$M$10:$M$18))))</f>
        <v>UPSHGN</v>
      </c>
      <c r="E338" s="440" t="str">
        <f t="shared" ca="1" si="106"/>
        <v>UELEA1HGN-O</v>
      </c>
      <c r="F338" s="440" t="str">
        <f t="shared" si="107"/>
        <v>-</v>
      </c>
      <c r="G338" s="440" t="str">
        <f t="shared" ref="G338:H345" si="109">IF($A338="*","",VLOOKUP($B338,$B$10:$H$18,G$9,FALSE))</f>
        <v>-</v>
      </c>
      <c r="H338" s="440" t="str">
        <f t="shared" si="108"/>
        <v>-</v>
      </c>
      <c r="I338" s="163">
        <v>1</v>
      </c>
      <c r="J338" s="42"/>
      <c r="K338" s="42">
        <f>K337</f>
        <v>27</v>
      </c>
      <c r="L338" s="42">
        <v>2</v>
      </c>
      <c r="M338" s="42"/>
      <c r="N338" s="42">
        <f ca="1">N337</f>
        <v>131</v>
      </c>
      <c r="O338" s="42">
        <f>O337+1</f>
        <v>1</v>
      </c>
    </row>
    <row r="339" spans="2:15">
      <c r="B339" s="440" t="str">
        <f t="shared" si="105"/>
        <v>PRC_ACTUNT</v>
      </c>
      <c r="C339" s="440" t="str">
        <f ca="1">IF($A339="*","",OFFSET(ITEMS_UPS!$C$8,K339,0))</f>
        <v>UELEA1HGN</v>
      </c>
      <c r="D339" s="440" t="str">
        <f ca="1">IF($A339="*","",IF(VLOOKUP("*"&amp;$L339,$A$10:$H$18,D$9+1,FALSE)="-","-",OFFSET(UPS!$C$37,N339+O339,SUMIF($A$10:$A$18,"*"&amp;L339,$M$10:$M$18))))</f>
        <v>-</v>
      </c>
      <c r="E339" s="440" t="str">
        <f t="shared" ca="1" si="106"/>
        <v>UELEA1HGN-O</v>
      </c>
      <c r="F339" s="440" t="str">
        <f t="shared" si="107"/>
        <v>-</v>
      </c>
      <c r="G339" s="440" t="str">
        <f t="shared" si="109"/>
        <v>-</v>
      </c>
      <c r="H339" s="440" t="str">
        <f t="shared" si="108"/>
        <v>-</v>
      </c>
      <c r="I339" s="163">
        <v>1</v>
      </c>
      <c r="K339" s="42">
        <f t="shared" si="103"/>
        <v>27</v>
      </c>
      <c r="L339" s="42">
        <f>IF(K339=K338,L338+1,1)</f>
        <v>3</v>
      </c>
      <c r="N339" s="42">
        <f t="shared" ca="1" si="104"/>
        <v>131</v>
      </c>
    </row>
    <row r="340" spans="2:15">
      <c r="B340" s="440" t="str">
        <f t="shared" si="105"/>
        <v>PRC_CAPACT</v>
      </c>
      <c r="C340" s="440" t="str">
        <f ca="1">IF($A340="*","",OFFSET(ITEMS_UPS!$C$8,K340,0))</f>
        <v>UELEA1HGN</v>
      </c>
      <c r="D340" s="440" t="str">
        <f ca="1">IF($A340="*","",IF(VLOOKUP("*"&amp;$L340,$A$10:$H$18,D$9+1,FALSE)="-","-",OFFSET(UPS!$C$37,N340+O340,SUMIF($A$10:$A$18,"*"&amp;L340,$M$10:$M$18))))</f>
        <v>-</v>
      </c>
      <c r="E340" s="440" t="str">
        <f t="shared" si="106"/>
        <v>-</v>
      </c>
      <c r="F340" s="440" t="str">
        <f t="shared" si="107"/>
        <v>-</v>
      </c>
      <c r="G340" s="440" t="str">
        <f t="shared" si="109"/>
        <v>-</v>
      </c>
      <c r="H340" s="440" t="str">
        <f t="shared" si="108"/>
        <v>-</v>
      </c>
      <c r="I340" s="163">
        <v>31.535999999999998</v>
      </c>
      <c r="K340" s="42">
        <f t="shared" si="103"/>
        <v>27</v>
      </c>
      <c r="L340" s="42">
        <f>IF(K340=K339,L339+1,1)</f>
        <v>4</v>
      </c>
      <c r="N340" s="42">
        <f t="shared" ca="1" si="104"/>
        <v>131</v>
      </c>
    </row>
    <row r="341" spans="2:15">
      <c r="B341" s="440" t="str">
        <f t="shared" si="105"/>
        <v>TOP-IN</v>
      </c>
      <c r="C341" s="440" t="str">
        <f ca="1">IF($A341="*","",OFFSET(ITEMS_UPS!$C$8,K341,0))</f>
        <v>UELEA1HGN</v>
      </c>
      <c r="D341" s="440" t="str">
        <f ca="1">IF($A341="*","",IF(VLOOKUP("*"&amp;$L341,$A$10:$H$18,D$9+1,FALSE)="-","-",OFFSET(UPS!$C$37,N341+O341,SUMIF($A$10:$A$18,"*"&amp;L341,$M$10:$M$18))))</f>
        <v>UPSELC</v>
      </c>
      <c r="E341" s="440" t="str">
        <f t="shared" si="106"/>
        <v>-</v>
      </c>
      <c r="F341" s="440" t="str">
        <f t="shared" si="107"/>
        <v>-</v>
      </c>
      <c r="G341" s="440" t="str">
        <f t="shared" si="109"/>
        <v>-</v>
      </c>
      <c r="H341" s="440" t="str">
        <f t="shared" si="108"/>
        <v>-</v>
      </c>
      <c r="I341" s="163">
        <v>1</v>
      </c>
      <c r="K341" s="42">
        <f t="shared" si="103"/>
        <v>27</v>
      </c>
      <c r="L341" s="42">
        <f>IF(K341=K340,L340+1,1)</f>
        <v>5</v>
      </c>
      <c r="N341" s="42">
        <f t="shared" ca="1" si="104"/>
        <v>131</v>
      </c>
      <c r="O341" s="42">
        <v>0</v>
      </c>
    </row>
    <row r="342" spans="2:15">
      <c r="B342" s="440" t="str">
        <f t="shared" si="105"/>
        <v>TOP-OUT</v>
      </c>
      <c r="C342" s="440" t="str">
        <f ca="1">IF($A342="*","",OFFSET(ITEMS_UPS!$C$8,K342,0))</f>
        <v>UELEA1HGN</v>
      </c>
      <c r="D342" s="440" t="str">
        <f ca="1">IF($A342="*","",IF(VLOOKUP("*"&amp;$L342,$A$10:$H$18,D$9+1,FALSE)="-","-",OFFSET(UPS!$C$37,N342+O342,SUMIF($A$10:$A$18,"*"&amp;L342,$M$10:$M$18))))</f>
        <v>UPSHGN</v>
      </c>
      <c r="E342" s="440" t="str">
        <f t="shared" si="106"/>
        <v>-</v>
      </c>
      <c r="F342" s="440" t="str">
        <f t="shared" si="107"/>
        <v>-</v>
      </c>
      <c r="G342" s="440" t="str">
        <f t="shared" si="109"/>
        <v>-</v>
      </c>
      <c r="H342" s="440" t="str">
        <f t="shared" si="108"/>
        <v>-</v>
      </c>
      <c r="I342" s="163">
        <v>1</v>
      </c>
      <c r="K342" s="42">
        <f t="shared" si="103"/>
        <v>27</v>
      </c>
      <c r="L342" s="42">
        <v>6</v>
      </c>
      <c r="N342" s="42">
        <f t="shared" ca="1" si="104"/>
        <v>131</v>
      </c>
      <c r="O342" s="42">
        <v>1</v>
      </c>
    </row>
    <row r="343" spans="2:15">
      <c r="B343" s="440" t="str">
        <f t="shared" si="105"/>
        <v>TOP-OUT</v>
      </c>
      <c r="C343" s="440" t="str">
        <f ca="1">IF($A343="*","",OFFSET(ITEMS_UPS!$C$8,K343,0))</f>
        <v>UELEA1HGN</v>
      </c>
      <c r="D343" s="440" t="str">
        <f>$D$16</f>
        <v>UPSCO2S</v>
      </c>
      <c r="E343" s="440" t="str">
        <f t="shared" si="106"/>
        <v>-</v>
      </c>
      <c r="F343" s="440" t="str">
        <f t="shared" si="107"/>
        <v>-</v>
      </c>
      <c r="G343" s="440" t="str">
        <f t="shared" si="109"/>
        <v>-</v>
      </c>
      <c r="H343" s="440" t="str">
        <f t="shared" si="108"/>
        <v>-</v>
      </c>
      <c r="I343" s="163">
        <v>1</v>
      </c>
      <c r="K343" s="42">
        <f t="shared" si="103"/>
        <v>27</v>
      </c>
      <c r="L343" s="42">
        <f>L342+1</f>
        <v>7</v>
      </c>
      <c r="N343" s="42">
        <f t="shared" ca="1" si="104"/>
        <v>131</v>
      </c>
    </row>
    <row r="344" spans="2:15">
      <c r="B344" s="440" t="str">
        <f t="shared" si="105"/>
        <v>TOP-OUT</v>
      </c>
      <c r="C344" s="440" t="str">
        <f ca="1">IF($A344="*","",OFFSET(ITEMS_UPS!$C$8,K344,0))</f>
        <v>UELEA1HGN</v>
      </c>
      <c r="D344" s="440" t="str">
        <f>$D$17</f>
        <v>UPSCH4S</v>
      </c>
      <c r="E344" s="440" t="str">
        <f t="shared" si="106"/>
        <v>-</v>
      </c>
      <c r="F344" s="440" t="str">
        <f t="shared" si="107"/>
        <v>-</v>
      </c>
      <c r="G344" s="440" t="str">
        <f t="shared" si="109"/>
        <v>-</v>
      </c>
      <c r="H344" s="440" t="str">
        <f t="shared" si="108"/>
        <v>-</v>
      </c>
      <c r="I344" s="163">
        <v>1</v>
      </c>
      <c r="K344" s="42">
        <f t="shared" si="103"/>
        <v>27</v>
      </c>
      <c r="L344" s="42">
        <f>L343+1</f>
        <v>8</v>
      </c>
      <c r="N344" s="42">
        <f t="shared" ca="1" si="104"/>
        <v>131</v>
      </c>
    </row>
    <row r="345" spans="2:15">
      <c r="B345" s="524" t="str">
        <f>IF(A345="*","",VLOOKUP("*"&amp;L345,$A$9:$B$18,2,FALSE))</f>
        <v>NCAP_START</v>
      </c>
      <c r="C345" s="524" t="str">
        <f ca="1">C344</f>
        <v>UELEA1HGN</v>
      </c>
      <c r="D345" s="524" t="str">
        <f ca="1">IF($A345="*","",IF(VLOOKUP("*"&amp;$L345,$A$10:$H$18,D$9+1,FALSE)="-","-",OFFSET(UPS!$C$37,N345+O345,SUMIF($A$10:$A$18,"*"&amp;L345,$M$10:$M$18))))</f>
        <v>-</v>
      </c>
      <c r="E345" s="524" t="str">
        <f>IF($A345="*","",IF(VLOOKUP("*"&amp;$L345,$A$10:$H$18,E$9+1,FALSE)="-","-",C345&amp;"-"&amp;RIGHT(VLOOKUP("*"&amp;$L345,$A$10:$H$18,E$9+1,FALSE),1)))</f>
        <v>-</v>
      </c>
      <c r="F345" s="524" t="str">
        <f>IF($A345="*","",IF(VLOOKUP("*"&amp;$L345,$A$10:$H$18,F$9+1,FALSE)="-","-",C345&amp;"-"&amp;RIGHT(VLOOKUP("*"&amp;$L345,$A$10:$H$18,F$9+1,FALSE),1)))</f>
        <v>-</v>
      </c>
      <c r="G345" s="524" t="str">
        <f t="shared" si="109"/>
        <v>-</v>
      </c>
      <c r="H345" s="524" t="str">
        <f t="shared" si="109"/>
        <v>-</v>
      </c>
      <c r="I345" s="524">
        <f ca="1">IF($A345="*","",OFFSET(UPS!$C$37,N345,SUMIF($B$10:$B$18,B345,$M$10:$M$18)))</f>
        <v>2020</v>
      </c>
      <c r="J345" s="525"/>
      <c r="K345" s="42">
        <f t="shared" si="103"/>
        <v>27</v>
      </c>
      <c r="L345" s="525">
        <f>L344+1</f>
        <v>9</v>
      </c>
      <c r="M345" s="525"/>
      <c r="N345" s="42">
        <f t="shared" ca="1" si="104"/>
        <v>131</v>
      </c>
      <c r="O345" s="525"/>
    </row>
    <row r="346" spans="2:15">
      <c r="B346" s="524"/>
      <c r="C346" s="524"/>
      <c r="D346" s="524"/>
      <c r="E346" s="524"/>
      <c r="F346" s="524"/>
      <c r="G346" s="524"/>
      <c r="H346" s="524"/>
      <c r="I346" s="524"/>
      <c r="J346" s="525"/>
      <c r="L346" s="525"/>
      <c r="M346" s="525"/>
      <c r="O346" s="525"/>
    </row>
    <row r="347" spans="2:15">
      <c r="B347" s="524"/>
      <c r="C347" s="524"/>
      <c r="D347" s="524"/>
      <c r="E347" s="524"/>
      <c r="F347" s="524"/>
      <c r="G347" s="524"/>
      <c r="H347" s="524"/>
      <c r="I347" s="524"/>
      <c r="J347" s="525"/>
      <c r="L347" s="525"/>
      <c r="M347" s="525"/>
      <c r="O347" s="525"/>
    </row>
  </sheetData>
  <pageMargins left="0.7" right="0.7" top="0.75" bottom="0.75" header="0.3" footer="0.3"/>
  <pageSetup paperSize="9" orientation="portrait" horizontalDpi="4294967292" verticalDpi="4294967292"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3"/>
  <dimension ref="A1:P82"/>
  <sheetViews>
    <sheetView workbookViewId="0">
      <selection activeCell="E10" sqref="E10:F10"/>
    </sheetView>
  </sheetViews>
  <sheetFormatPr defaultColWidth="11.42578125" defaultRowHeight="11.25"/>
  <cols>
    <col min="1" max="2" width="11.42578125" style="526" customWidth="1"/>
    <col min="3" max="3" width="12" style="526" customWidth="1"/>
    <col min="4" max="4" width="44.7109375" style="526" customWidth="1"/>
    <col min="5" max="5" width="11.42578125" style="526" customWidth="1"/>
    <col min="6" max="6" width="17.28515625" style="526" customWidth="1"/>
    <col min="7" max="16384" width="11.42578125" style="526"/>
  </cols>
  <sheetData>
    <row r="1" spans="1:16">
      <c r="A1" s="423" t="str">
        <f>IF(Index!B8=0,"ITEMS","")</f>
        <v>ITEMS</v>
      </c>
      <c r="B1" s="422" t="s">
        <v>308</v>
      </c>
      <c r="C1" s="422"/>
      <c r="D1" s="422"/>
      <c r="E1" s="422"/>
      <c r="F1" s="422"/>
      <c r="G1" s="422"/>
      <c r="H1" s="422"/>
      <c r="I1" s="526" t="s">
        <v>310</v>
      </c>
      <c r="J1" s="526" t="s">
        <v>310</v>
      </c>
    </row>
    <row r="2" spans="1:16">
      <c r="A2" s="422" t="s">
        <v>310</v>
      </c>
      <c r="B2" s="422"/>
      <c r="C2" s="422"/>
      <c r="D2" s="422"/>
      <c r="E2" s="422"/>
      <c r="F2" s="422"/>
      <c r="G2" s="422"/>
      <c r="H2" s="422"/>
      <c r="I2" s="526" t="s">
        <v>923</v>
      </c>
      <c r="J2" s="526" t="s">
        <v>870</v>
      </c>
    </row>
    <row r="3" spans="1:16">
      <c r="A3" s="422" t="s">
        <v>310</v>
      </c>
      <c r="B3" s="422"/>
      <c r="D3" s="422"/>
      <c r="E3" s="422"/>
      <c r="F3" s="422"/>
      <c r="G3" s="422"/>
      <c r="H3" s="422"/>
      <c r="M3" s="526" t="s">
        <v>14572</v>
      </c>
    </row>
    <row r="4" spans="1:16">
      <c r="A4" s="422" t="s">
        <v>310</v>
      </c>
      <c r="B4" s="422"/>
      <c r="D4" s="422"/>
      <c r="E4" s="422"/>
      <c r="F4" s="422"/>
      <c r="G4" s="422"/>
      <c r="H4" s="422"/>
      <c r="L4" s="1679" t="s">
        <v>14571</v>
      </c>
      <c r="M4" s="1678" t="s">
        <v>277</v>
      </c>
      <c r="N4" s="1678" t="s">
        <v>1199</v>
      </c>
      <c r="O4" s="1677" t="s">
        <v>14569</v>
      </c>
      <c r="P4" s="1677" t="s">
        <v>14570</v>
      </c>
    </row>
    <row r="5" spans="1:16">
      <c r="A5" s="422" t="s">
        <v>310</v>
      </c>
      <c r="B5" s="422"/>
      <c r="C5" s="422"/>
      <c r="D5" s="422"/>
      <c r="E5" s="422"/>
      <c r="F5" s="422"/>
      <c r="G5" s="422"/>
      <c r="H5" s="422"/>
    </row>
    <row r="6" spans="1:16">
      <c r="A6" s="422" t="s">
        <v>310</v>
      </c>
      <c r="B6" s="422"/>
      <c r="C6" s="422" t="str">
        <f ca="1">OFFSET(NameConv!$F$59,J10,I10)</f>
        <v>COA</v>
      </c>
      <c r="D6" s="422"/>
      <c r="E6" s="422"/>
      <c r="F6" s="422"/>
      <c r="G6" s="422"/>
      <c r="H6" s="422"/>
    </row>
    <row r="7" spans="1:16">
      <c r="A7" s="422" t="s">
        <v>310</v>
      </c>
      <c r="B7" s="422"/>
      <c r="C7" s="422"/>
      <c r="D7" s="422"/>
      <c r="E7" s="422"/>
      <c r="F7" s="422"/>
      <c r="G7" s="422"/>
      <c r="H7" s="422"/>
    </row>
    <row r="8" spans="1:16">
      <c r="A8" s="422" t="s">
        <v>310</v>
      </c>
      <c r="B8" s="423" t="s">
        <v>311</v>
      </c>
      <c r="C8" s="421" t="s">
        <v>312</v>
      </c>
      <c r="D8" s="423" t="s">
        <v>313</v>
      </c>
      <c r="E8" s="423" t="s">
        <v>314</v>
      </c>
      <c r="F8" s="423" t="s">
        <v>315</v>
      </c>
      <c r="G8" s="423" t="s">
        <v>316</v>
      </c>
      <c r="H8" s="422"/>
    </row>
    <row r="9" spans="1:16">
      <c r="A9" s="422" t="s">
        <v>310</v>
      </c>
      <c r="B9" s="423" t="s">
        <v>922</v>
      </c>
      <c r="C9" s="421"/>
      <c r="D9" s="423"/>
      <c r="E9" s="423"/>
      <c r="F9" s="423"/>
      <c r="G9" s="423"/>
      <c r="H9" s="422"/>
    </row>
    <row r="10" spans="1:16" ht="15">
      <c r="A10" s="883" t="str">
        <f ca="1">IF(INDEX(Demand.Sectors,MATCH(MID(C10,2,3),NameConv!$G$4:$M$4,0)),"","*")</f>
        <v/>
      </c>
      <c r="B10" s="420" t="str">
        <f ca="1">IF(A10="*","","T")</f>
        <v>T</v>
      </c>
      <c r="C10" s="419" t="str">
        <f ca="1">"X"&amp;OFFSET(NameConv!$F$4,0,I10)&amp;OFFSET(NameConv!$F$59,J10,I10)</f>
        <v>XAGRCOA</v>
      </c>
      <c r="D10" s="419" t="str">
        <f ca="1">IF($A10="",OFFSET(NameConv!$F$3,0,I10)&amp;" "&amp;VLOOKUP(RIGHT(C10,3),NameConv!$C$5:$D$44,2,FALSE), "")</f>
        <v>Agriculture Coal</v>
      </c>
      <c r="E10" s="420" t="str">
        <f ca="1">"PJ,"&amp;IF(RIGHT(C10,3)="ELC","GW","PJa")</f>
        <v>PJ,PJa</v>
      </c>
      <c r="F10" s="420" t="str">
        <f ca="1">"PRC,PRE,"&amp;IF($L10,"DAYNITE","ANNUAL")</f>
        <v>PRC,PRE,ANNUAL</v>
      </c>
      <c r="G10" s="423"/>
      <c r="H10" s="422"/>
      <c r="I10" s="738">
        <f>Model_RUN_code</f>
        <v>1</v>
      </c>
      <c r="J10" s="526">
        <v>1</v>
      </c>
      <c r="L10" s="526">
        <f ca="1">SUMPRODUCT(M10:P10)</f>
        <v>0</v>
      </c>
      <c r="M10" s="526">
        <f ca="1">IFERROR(IF(FIND(M$4,$C10)&gt;0,1,0),0)</f>
        <v>0</v>
      </c>
      <c r="N10" s="526">
        <f ca="1">IFERROR(IF(FIND(N$4,$C10)&gt;0,1,0),0)</f>
        <v>0</v>
      </c>
    </row>
    <row r="11" spans="1:16">
      <c r="A11" s="883" t="str">
        <f ca="1">IF(INDEX(Demand.Sectors,MATCH(MID(C11,2,3),NameConv!$G$4:$M$4,0)),"","*")</f>
        <v/>
      </c>
      <c r="B11" s="420" t="str">
        <f ca="1">IF(A11="*","","T")</f>
        <v>T</v>
      </c>
      <c r="C11" s="419" t="str">
        <f ca="1">"X"&amp;OFFSET(NameConv!$F$4,0,I11)&amp;OFFSET(NameConv!$F$59,J11,I11)</f>
        <v>XAGRELC</v>
      </c>
      <c r="D11" s="419" t="str">
        <f ca="1">IF($A11="",OFFSET(NameConv!$F$3,0,I11)&amp;" "&amp;VLOOKUP(RIGHT(C11,3),NameConv!$C$5:$D$44,2,FALSE), "")</f>
        <v>Agriculture Electricity</v>
      </c>
      <c r="E11" s="420" t="str">
        <f ca="1">"PJ,"&amp;IF(RIGHT(C11,3)="ELC","GW","PJa")</f>
        <v>PJ,GW</v>
      </c>
      <c r="F11" s="420" t="str">
        <f t="shared" ref="F11:F74" ca="1" si="0">"PRC,PRE,"&amp;IF($L11,"DAYNITE","ANNUAL")</f>
        <v>PRC,PRE,DAYNITE</v>
      </c>
      <c r="I11" s="526">
        <f ca="1">IF(J10=SUMIF(NameConv!$G$4:$M$4,MID(C10,2,3),NameConv!$G$45:$M$45),I10+1,I10)</f>
        <v>1</v>
      </c>
      <c r="J11" s="526">
        <f ca="1">IF(I11=I10,J10+1,1)</f>
        <v>2</v>
      </c>
      <c r="L11" s="526">
        <f t="shared" ref="L11:L31" ca="1" si="1">SUMPRODUCT(M11:P11)</f>
        <v>1</v>
      </c>
      <c r="M11" s="526">
        <f t="shared" ref="M11:N32" ca="1" si="2">IFERROR(IF(FIND(M$4,$C11)&gt;0,1,0),0)</f>
        <v>1</v>
      </c>
      <c r="N11" s="526">
        <f t="shared" ca="1" si="2"/>
        <v>0</v>
      </c>
    </row>
    <row r="12" spans="1:16">
      <c r="A12" s="883" t="str">
        <f ca="1">IF(INDEX(Demand.Sectors,MATCH(MID(C12,2,3),NameConv!$G$4:$M$4,0)),"","*")</f>
        <v/>
      </c>
      <c r="B12" s="420" t="str">
        <f t="shared" ref="B12:B29" ca="1" si="3">IF(A12="*","","T")</f>
        <v>T</v>
      </c>
      <c r="C12" s="419" t="str">
        <f ca="1">"X"&amp;OFFSET(NameConv!$F$4,0,I12)&amp;OFFSET(NameConv!$F$59,J12,I12)</f>
        <v>XAGRODS</v>
      </c>
      <c r="D12" s="419" t="str">
        <f ca="1">IF($A12="",OFFSET(NameConv!$F$3,0,I12)&amp;" "&amp;VLOOKUP(RIGHT(C12,3),NameConv!$C$5:$D$44,2,FALSE), "")</f>
        <v>Agriculture Oil Diesel</v>
      </c>
      <c r="E12" s="420" t="str">
        <f t="shared" ref="E12:E29" ca="1" si="4">"PJ,"&amp;IF(RIGHT(C12,3)="ELC","GW","PJa")</f>
        <v>PJ,PJa</v>
      </c>
      <c r="F12" s="420" t="str">
        <f t="shared" ca="1" si="0"/>
        <v>PRC,PRE,ANNUAL</v>
      </c>
      <c r="I12" s="526">
        <f ca="1">IF(J11=SUMIF(NameConv!$G$4:$M$4,MID(C11,2,3),NameConv!$G$45:$M$45),I11+1,I11)</f>
        <v>1</v>
      </c>
      <c r="J12" s="526">
        <f t="shared" ref="J12:J29" ca="1" si="5">IF(I12=I11,J11+1,1)</f>
        <v>3</v>
      </c>
      <c r="L12" s="526">
        <f t="shared" ca="1" si="1"/>
        <v>0</v>
      </c>
      <c r="M12" s="526">
        <f t="shared" ca="1" si="2"/>
        <v>0</v>
      </c>
      <c r="N12" s="526">
        <f t="shared" ca="1" si="2"/>
        <v>0</v>
      </c>
    </row>
    <row r="13" spans="1:16">
      <c r="A13" s="883" t="str">
        <f ca="1">IF(INDEX(Demand.Sectors,MATCH(MID(C13,2,3),NameConv!$G$4:$M$4,0)),"","*")</f>
        <v/>
      </c>
      <c r="B13" s="420" t="str">
        <f t="shared" ca="1" si="3"/>
        <v>T</v>
      </c>
      <c r="C13" s="419" t="str">
        <f ca="1">"X"&amp;OFFSET(NameConv!$F$4,0,I13)&amp;OFFSET(NameConv!$F$59,J13,I13)</f>
        <v>XAGROGS</v>
      </c>
      <c r="D13" s="419" t="str">
        <f ca="1">IF($A13="",OFFSET(NameConv!$F$3,0,I13)&amp;" "&amp;VLOOKUP(RIGHT(C13,3),NameConv!$C$5:$D$44,2,FALSE), "")</f>
        <v>Agriculture Oil Gasoline</v>
      </c>
      <c r="E13" s="420" t="str">
        <f t="shared" ca="1" si="4"/>
        <v>PJ,PJa</v>
      </c>
      <c r="F13" s="420" t="str">
        <f t="shared" ca="1" si="0"/>
        <v>PRC,PRE,ANNUAL</v>
      </c>
      <c r="I13" s="526">
        <f ca="1">IF(J12=SUMIF(NameConv!$G$4:$M$4,MID(C12,2,3),NameConv!$G$45:$M$45),I12+1,I12)</f>
        <v>1</v>
      </c>
      <c r="J13" s="526">
        <f t="shared" ca="1" si="5"/>
        <v>4</v>
      </c>
      <c r="L13" s="526">
        <f t="shared" ca="1" si="1"/>
        <v>0</v>
      </c>
      <c r="M13" s="526">
        <f t="shared" ca="1" si="2"/>
        <v>0</v>
      </c>
      <c r="N13" s="526">
        <f t="shared" ca="1" si="2"/>
        <v>0</v>
      </c>
    </row>
    <row r="14" spans="1:16">
      <c r="A14" s="883" t="str">
        <f ca="1">IF(INDEX(Demand.Sectors,MATCH(MID(C14,2,3),NameConv!$G$4:$M$4,0)),"","*")</f>
        <v/>
      </c>
      <c r="B14" s="420" t="str">
        <f t="shared" ca="1" si="3"/>
        <v>T</v>
      </c>
      <c r="C14" s="419" t="str">
        <f ca="1">"X"&amp;OFFSET(NameConv!$F$4,0,I14)&amp;OFFSET(NameConv!$F$59,J14,I14)</f>
        <v>XAGROHF</v>
      </c>
      <c r="D14" s="419" t="str">
        <f ca="1">IF($A14="",OFFSET(NameConv!$F$3,0,I14)&amp;" "&amp;VLOOKUP(RIGHT(C14,3),NameConv!$C$5:$D$44,2,FALSE), "")</f>
        <v>Agriculture Oil HFO</v>
      </c>
      <c r="E14" s="420" t="str">
        <f t="shared" ca="1" si="4"/>
        <v>PJ,PJa</v>
      </c>
      <c r="F14" s="420" t="str">
        <f t="shared" ca="1" si="0"/>
        <v>PRC,PRE,ANNUAL</v>
      </c>
      <c r="I14" s="526">
        <f ca="1">IF(J13=SUMIF(NameConv!$G$4:$M$4,MID(C13,2,3),NameConv!$G$45:$M$45),I13+1,I13)</f>
        <v>1</v>
      </c>
      <c r="J14" s="526">
        <f t="shared" ca="1" si="5"/>
        <v>5</v>
      </c>
      <c r="L14" s="526">
        <f t="shared" ca="1" si="1"/>
        <v>0</v>
      </c>
      <c r="M14" s="526">
        <f t="shared" ca="1" si="2"/>
        <v>0</v>
      </c>
      <c r="N14" s="526">
        <f t="shared" ca="1" si="2"/>
        <v>0</v>
      </c>
    </row>
    <row r="15" spans="1:16">
      <c r="A15" s="883" t="str">
        <f ca="1">IF(INDEX(Demand.Sectors,MATCH(MID(C15,2,3),NameConv!$G$4:$M$4,0)),"","*")</f>
        <v/>
      </c>
      <c r="B15" s="420" t="str">
        <f t="shared" ca="1" si="3"/>
        <v>T</v>
      </c>
      <c r="C15" s="419" t="str">
        <f ca="1">"X"&amp;OFFSET(NameConv!$F$4,0,I15)&amp;OFFSET(NameConv!$F$59,J15,I15)</f>
        <v>XAGROKE</v>
      </c>
      <c r="D15" s="419" t="str">
        <f ca="1">IF($A15="",OFFSET(NameConv!$F$3,0,I15)&amp;" "&amp;VLOOKUP(RIGHT(C15,3),NameConv!$C$5:$D$44,2,FALSE), "")</f>
        <v>Agriculture Oil Kerosene</v>
      </c>
      <c r="E15" s="420" t="str">
        <f t="shared" ca="1" si="4"/>
        <v>PJ,PJa</v>
      </c>
      <c r="F15" s="420" t="str">
        <f t="shared" ca="1" si="0"/>
        <v>PRC,PRE,ANNUAL</v>
      </c>
      <c r="I15" s="526">
        <f ca="1">IF(J14=SUMIF(NameConv!$G$4:$M$4,MID(C14,2,3),NameConv!$G$45:$M$45),I14+1,I14)</f>
        <v>1</v>
      </c>
      <c r="J15" s="526">
        <f t="shared" ca="1" si="5"/>
        <v>6</v>
      </c>
      <c r="L15" s="526">
        <f t="shared" ca="1" si="1"/>
        <v>0</v>
      </c>
      <c r="M15" s="526">
        <f t="shared" ca="1" si="2"/>
        <v>0</v>
      </c>
      <c r="N15" s="526">
        <f t="shared" ca="1" si="2"/>
        <v>0</v>
      </c>
    </row>
    <row r="16" spans="1:16">
      <c r="A16" s="883" t="str">
        <f ca="1">IF(INDEX(Demand.Sectors,MATCH(MID(C16,2,3),NameConv!$G$4:$M$4,0)),"","*")</f>
        <v/>
      </c>
      <c r="B16" s="420" t="str">
        <f t="shared" ca="1" si="3"/>
        <v>T</v>
      </c>
      <c r="C16" s="419" t="str">
        <f ca="1">"X"&amp;OFFSET(NameConv!$F$4,0,I16)&amp;OFFSET(NameConv!$F$59,J16,I16)</f>
        <v>XAGROLP</v>
      </c>
      <c r="D16" s="419" t="str">
        <f ca="1">IF($A16="",OFFSET(NameConv!$F$3,0,I16)&amp;" "&amp;VLOOKUP(RIGHT(C16,3),NameConv!$C$5:$D$44,2,FALSE), "")</f>
        <v>Agriculture Oil LPG</v>
      </c>
      <c r="E16" s="420" t="str">
        <f t="shared" ca="1" si="4"/>
        <v>PJ,PJa</v>
      </c>
      <c r="F16" s="420" t="str">
        <f t="shared" ca="1" si="0"/>
        <v>PRC,PRE,ANNUAL</v>
      </c>
      <c r="I16" s="526">
        <f ca="1">IF(J15=SUMIF(NameConv!$G$4:$M$4,MID(C15,2,3),NameConv!$G$45:$M$45),I15+1,I15)</f>
        <v>1</v>
      </c>
      <c r="J16" s="526">
        <f t="shared" ca="1" si="5"/>
        <v>7</v>
      </c>
      <c r="L16" s="526">
        <f t="shared" ca="1" si="1"/>
        <v>0</v>
      </c>
      <c r="M16" s="526">
        <f t="shared" ca="1" si="2"/>
        <v>0</v>
      </c>
      <c r="N16" s="526">
        <f t="shared" ca="1" si="2"/>
        <v>0</v>
      </c>
    </row>
    <row r="17" spans="1:14">
      <c r="A17" s="883" t="str">
        <f ca="1">IF(INDEX(Demand.Sectors,MATCH(MID(C17,2,3),NameConv!$G$4:$M$4,0)),"","*")</f>
        <v/>
      </c>
      <c r="B17" s="420" t="str">
        <f t="shared" ca="1" si="3"/>
        <v>T</v>
      </c>
      <c r="C17" s="419" t="str">
        <f ca="1">"X"&amp;OFFSET(NameConv!$F$4,0,I17)&amp;OFFSET(NameConv!$F$59,J17,I17)</f>
        <v>XCOMCOA</v>
      </c>
      <c r="D17" s="419" t="str">
        <f ca="1">IF($A17="",OFFSET(NameConv!$F$3,0,I17)&amp;" "&amp;VLOOKUP(RIGHT(C17,3),NameConv!$C$5:$D$44,2,FALSE), "")</f>
        <v>Commercial Coal</v>
      </c>
      <c r="E17" s="420" t="str">
        <f t="shared" ca="1" si="4"/>
        <v>PJ,PJa</v>
      </c>
      <c r="F17" s="420" t="str">
        <f t="shared" ca="1" si="0"/>
        <v>PRC,PRE,ANNUAL</v>
      </c>
      <c r="I17" s="526">
        <f ca="1">IF(J16=SUMIF(NameConv!$G$4:$M$4,MID(C16,2,3),NameConv!$G$45:$M$45),I16+1,I16)</f>
        <v>2</v>
      </c>
      <c r="J17" s="526">
        <f t="shared" ca="1" si="5"/>
        <v>1</v>
      </c>
      <c r="L17" s="526">
        <f t="shared" ca="1" si="1"/>
        <v>0</v>
      </c>
      <c r="M17" s="526">
        <f t="shared" ca="1" si="2"/>
        <v>0</v>
      </c>
      <c r="N17" s="526">
        <f t="shared" ca="1" si="2"/>
        <v>0</v>
      </c>
    </row>
    <row r="18" spans="1:14">
      <c r="A18" s="883" t="str">
        <f ca="1">IF(INDEX(Demand.Sectors,MATCH(MID(C18,2,3),NameConv!$G$4:$M$4,0)),"","*")</f>
        <v/>
      </c>
      <c r="B18" s="420" t="str">
        <f t="shared" ca="1" si="3"/>
        <v>T</v>
      </c>
      <c r="C18" s="419" t="str">
        <f ca="1">"X"&amp;OFFSET(NameConv!$F$4,0,I18)&amp;OFFSET(NameConv!$F$59,J18,I18)</f>
        <v>XCOMELC</v>
      </c>
      <c r="D18" s="419" t="str">
        <f ca="1">IF($A18="",OFFSET(NameConv!$F$3,0,I18)&amp;" "&amp;VLOOKUP(RIGHT(C18,3),NameConv!$C$5:$D$44,2,FALSE), "")</f>
        <v>Commercial Electricity</v>
      </c>
      <c r="E18" s="420" t="str">
        <f t="shared" ca="1" si="4"/>
        <v>PJ,GW</v>
      </c>
      <c r="F18" s="420" t="str">
        <f t="shared" ca="1" si="0"/>
        <v>PRC,PRE,DAYNITE</v>
      </c>
      <c r="I18" s="526">
        <f ca="1">IF(J17=SUMIF(NameConv!$G$4:$M$4,MID(C17,2,3),NameConv!$G$45:$M$45),I17+1,I17)</f>
        <v>2</v>
      </c>
      <c r="J18" s="526">
        <f t="shared" ca="1" si="5"/>
        <v>2</v>
      </c>
      <c r="L18" s="526">
        <f t="shared" ca="1" si="1"/>
        <v>1</v>
      </c>
      <c r="M18" s="526">
        <f t="shared" ca="1" si="2"/>
        <v>1</v>
      </c>
      <c r="N18" s="526">
        <f t="shared" ca="1" si="2"/>
        <v>0</v>
      </c>
    </row>
    <row r="19" spans="1:14">
      <c r="A19" s="883" t="str">
        <f ca="1">IF(INDEX(Demand.Sectors,MATCH(MID(C19,2,3),NameConv!$G$4:$M$4,0)),"","*")</f>
        <v/>
      </c>
      <c r="B19" s="420" t="str">
        <f t="shared" ca="1" si="3"/>
        <v>T</v>
      </c>
      <c r="C19" s="419" t="str">
        <f ca="1">"X"&amp;OFFSET(NameConv!$F$4,0,I19)&amp;OFFSET(NameConv!$F$59,J19,I19)</f>
        <v>XCOMGAS</v>
      </c>
      <c r="D19" s="419" t="str">
        <f ca="1">IF($A19="",OFFSET(NameConv!$F$3,0,I19)&amp;" "&amp;VLOOKUP(RIGHT(C19,3),NameConv!$C$5:$D$44,2,FALSE), "")</f>
        <v>Commercial Gas South Africa</v>
      </c>
      <c r="E19" s="420" t="str">
        <f t="shared" ca="1" si="4"/>
        <v>PJ,PJa</v>
      </c>
      <c r="F19" s="420" t="str">
        <f t="shared" ca="1" si="0"/>
        <v>PRC,PRE,ANNUAL</v>
      </c>
      <c r="I19" s="526">
        <f ca="1">IF(J18=SUMIF(NameConv!$G$4:$M$4,MID(C18,2,3),NameConv!$G$45:$M$45),I18+1,I18)</f>
        <v>2</v>
      </c>
      <c r="J19" s="526">
        <f t="shared" ca="1" si="5"/>
        <v>3</v>
      </c>
      <c r="L19" s="526">
        <f t="shared" ca="1" si="1"/>
        <v>0</v>
      </c>
      <c r="M19" s="526">
        <f t="shared" ca="1" si="2"/>
        <v>0</v>
      </c>
      <c r="N19" s="526">
        <f t="shared" ca="1" si="2"/>
        <v>0</v>
      </c>
    </row>
    <row r="20" spans="1:14">
      <c r="A20" s="883" t="str">
        <f ca="1">IF(INDEX(Demand.Sectors,MATCH(MID(C20,2,3),NameConv!$G$4:$M$4,0)),"","*")</f>
        <v/>
      </c>
      <c r="B20" s="420" t="str">
        <f t="shared" ca="1" si="3"/>
        <v>T</v>
      </c>
      <c r="C20" s="419" t="str">
        <f ca="1">"X"&amp;OFFSET(NameConv!$F$4,0,I20)&amp;OFFSET(NameConv!$F$59,J20,I20)</f>
        <v>XCOMODS</v>
      </c>
      <c r="D20" s="419" t="str">
        <f ca="1">IF($A20="",OFFSET(NameConv!$F$3,0,I20)&amp;" "&amp;VLOOKUP(RIGHT(C20,3),NameConv!$C$5:$D$44,2,FALSE), "")</f>
        <v>Commercial Oil Diesel</v>
      </c>
      <c r="E20" s="420" t="str">
        <f t="shared" ca="1" si="4"/>
        <v>PJ,PJa</v>
      </c>
      <c r="F20" s="420" t="str">
        <f t="shared" ca="1" si="0"/>
        <v>PRC,PRE,ANNUAL</v>
      </c>
      <c r="I20" s="526">
        <f ca="1">IF(J19=SUMIF(NameConv!$G$4:$M$4,MID(C19,2,3),NameConv!$G$45:$M$45),I19+1,I19)</f>
        <v>2</v>
      </c>
      <c r="J20" s="526">
        <f t="shared" ca="1" si="5"/>
        <v>4</v>
      </c>
      <c r="L20" s="526">
        <f t="shared" ca="1" si="1"/>
        <v>0</v>
      </c>
      <c r="M20" s="526">
        <f t="shared" ca="1" si="2"/>
        <v>0</v>
      </c>
      <c r="N20" s="526">
        <f t="shared" ca="1" si="2"/>
        <v>0</v>
      </c>
    </row>
    <row r="21" spans="1:14">
      <c r="A21" s="883" t="str">
        <f ca="1">IF(INDEX(Demand.Sectors,MATCH(MID(C21,2,3),NameConv!$G$4:$M$4,0)),"","*")</f>
        <v/>
      </c>
      <c r="B21" s="420" t="str">
        <f t="shared" ca="1" si="3"/>
        <v>T</v>
      </c>
      <c r="C21" s="419" t="str">
        <f ca="1">"X"&amp;OFFSET(NameConv!$F$4,0,I21)&amp;OFFSET(NameConv!$F$59,J21,I21)</f>
        <v>XCOMOGS</v>
      </c>
      <c r="D21" s="419" t="str">
        <f ca="1">IF($A21="",OFFSET(NameConv!$F$3,0,I21)&amp;" "&amp;VLOOKUP(RIGHT(C21,3),NameConv!$C$5:$D$44,2,FALSE), "")</f>
        <v>Commercial Oil Gasoline</v>
      </c>
      <c r="E21" s="420" t="str">
        <f t="shared" ca="1" si="4"/>
        <v>PJ,PJa</v>
      </c>
      <c r="F21" s="420" t="str">
        <f t="shared" ca="1" si="0"/>
        <v>PRC,PRE,ANNUAL</v>
      </c>
      <c r="I21" s="526">
        <f ca="1">IF(J20=SUMIF(NameConv!$G$4:$M$4,MID(C20,2,3),NameConv!$G$45:$M$45),I20+1,I20)</f>
        <v>2</v>
      </c>
      <c r="J21" s="526">
        <f t="shared" ca="1" si="5"/>
        <v>5</v>
      </c>
      <c r="L21" s="526">
        <f t="shared" ca="1" si="1"/>
        <v>0</v>
      </c>
      <c r="M21" s="526">
        <f t="shared" ca="1" si="2"/>
        <v>0</v>
      </c>
      <c r="N21" s="526">
        <f t="shared" ca="1" si="2"/>
        <v>0</v>
      </c>
    </row>
    <row r="22" spans="1:14">
      <c r="A22" s="883" t="str">
        <f ca="1">IF(INDEX(Demand.Sectors,MATCH(MID(C22,2,3),NameConv!$G$4:$M$4,0)),"","*")</f>
        <v/>
      </c>
      <c r="B22" s="420" t="str">
        <f t="shared" ca="1" si="3"/>
        <v>T</v>
      </c>
      <c r="C22" s="419" t="str">
        <f ca="1">"X"&amp;OFFSET(NameConv!$F$4,0,I22)&amp;OFFSET(NameConv!$F$59,J22,I22)</f>
        <v>XCOMOHF</v>
      </c>
      <c r="D22" s="419" t="str">
        <f ca="1">IF($A22="",OFFSET(NameConv!$F$3,0,I22)&amp;" "&amp;VLOOKUP(RIGHT(C22,3),NameConv!$C$5:$D$44,2,FALSE), "")</f>
        <v>Commercial Oil HFO</v>
      </c>
      <c r="E22" s="420" t="str">
        <f t="shared" ca="1" si="4"/>
        <v>PJ,PJa</v>
      </c>
      <c r="F22" s="420" t="str">
        <f t="shared" ca="1" si="0"/>
        <v>PRC,PRE,ANNUAL</v>
      </c>
      <c r="I22" s="526">
        <f ca="1">IF(J21=SUMIF(NameConv!$G$4:$M$4,MID(C21,2,3),NameConv!$G$45:$M$45),I21+1,I21)</f>
        <v>2</v>
      </c>
      <c r="J22" s="526">
        <f t="shared" ca="1" si="5"/>
        <v>6</v>
      </c>
      <c r="L22" s="526">
        <f t="shared" ca="1" si="1"/>
        <v>0</v>
      </c>
      <c r="M22" s="526">
        <f t="shared" ca="1" si="2"/>
        <v>0</v>
      </c>
      <c r="N22" s="526">
        <f t="shared" ca="1" si="2"/>
        <v>0</v>
      </c>
    </row>
    <row r="23" spans="1:14">
      <c r="A23" s="883" t="str">
        <f ca="1">IF(INDEX(Demand.Sectors,MATCH(MID(C23,2,3),NameConv!$G$4:$M$4,0)),"","*")</f>
        <v/>
      </c>
      <c r="B23" s="420" t="str">
        <f t="shared" ca="1" si="3"/>
        <v>T</v>
      </c>
      <c r="C23" s="419" t="str">
        <f ca="1">"X"&amp;OFFSET(NameConv!$F$4,0,I23)&amp;OFFSET(NameConv!$F$59,J23,I23)</f>
        <v>XCOMOKE</v>
      </c>
      <c r="D23" s="419" t="str">
        <f ca="1">IF($A23="",OFFSET(NameConv!$F$3,0,I23)&amp;" "&amp;VLOOKUP(RIGHT(C23,3),NameConv!$C$5:$D$44,2,FALSE), "")</f>
        <v>Commercial Oil Kerosene</v>
      </c>
      <c r="E23" s="420" t="str">
        <f t="shared" ca="1" si="4"/>
        <v>PJ,PJa</v>
      </c>
      <c r="F23" s="420" t="str">
        <f t="shared" ca="1" si="0"/>
        <v>PRC,PRE,ANNUAL</v>
      </c>
      <c r="I23" s="526">
        <f ca="1">IF(J22=SUMIF(NameConv!$G$4:$M$4,MID(C22,2,3),NameConv!$G$45:$M$45),I22+1,I22)</f>
        <v>2</v>
      </c>
      <c r="J23" s="526">
        <f t="shared" ca="1" si="5"/>
        <v>7</v>
      </c>
      <c r="L23" s="526">
        <f t="shared" ca="1" si="1"/>
        <v>0</v>
      </c>
      <c r="M23" s="526">
        <f t="shared" ca="1" si="2"/>
        <v>0</v>
      </c>
      <c r="N23" s="526">
        <f t="shared" ca="1" si="2"/>
        <v>0</v>
      </c>
    </row>
    <row r="24" spans="1:14">
      <c r="A24" s="883" t="str">
        <f ca="1">IF(INDEX(Demand.Sectors,MATCH(MID(C24,2,3),NameConv!$G$4:$M$4,0)),"","*")</f>
        <v/>
      </c>
      <c r="B24" s="420" t="str">
        <f t="shared" ca="1" si="3"/>
        <v>T</v>
      </c>
      <c r="C24" s="419" t="str">
        <f ca="1">"X"&amp;OFFSET(NameConv!$F$4,0,I24)&amp;OFFSET(NameConv!$F$59,J24,I24)</f>
        <v>XCOMOLP</v>
      </c>
      <c r="D24" s="419" t="str">
        <f ca="1">IF($A24="",OFFSET(NameConv!$F$3,0,I24)&amp;" "&amp;VLOOKUP(RIGHT(C24,3),NameConv!$C$5:$D$44,2,FALSE), "")</f>
        <v>Commercial Oil LPG</v>
      </c>
      <c r="E24" s="420" t="str">
        <f t="shared" ca="1" si="4"/>
        <v>PJ,PJa</v>
      </c>
      <c r="F24" s="420" t="str">
        <f t="shared" ca="1" si="0"/>
        <v>PRC,PRE,ANNUAL</v>
      </c>
      <c r="I24" s="526">
        <f ca="1">IF(J23=SUMIF(NameConv!$G$4:$M$4,MID(C23,2,3),NameConv!$G$45:$M$45),I23+1,I23)</f>
        <v>2</v>
      </c>
      <c r="J24" s="526">
        <f t="shared" ca="1" si="5"/>
        <v>8</v>
      </c>
      <c r="L24" s="526">
        <f t="shared" ca="1" si="1"/>
        <v>0</v>
      </c>
      <c r="M24" s="526">
        <f t="shared" ca="1" si="2"/>
        <v>0</v>
      </c>
      <c r="N24" s="526">
        <f t="shared" ca="1" si="2"/>
        <v>0</v>
      </c>
    </row>
    <row r="25" spans="1:14">
      <c r="A25" s="883" t="str">
        <f ca="1">IF(INDEX(Demand.Sectors,MATCH(MID(C25,2,3),NameConv!$G$4:$M$4,0)),"","*")</f>
        <v/>
      </c>
      <c r="B25" s="420" t="str">
        <f t="shared" ca="1" si="3"/>
        <v>T</v>
      </c>
      <c r="C25" s="419" t="str">
        <f ca="1">"X"&amp;OFFSET(NameConv!$F$4,0,I25)&amp;OFFSET(NameConv!$F$59,J25,I25)</f>
        <v>XINDBIB</v>
      </c>
      <c r="D25" s="419" t="str">
        <f ca="1">IF($A25="",OFFSET(NameConv!$F$3,0,I25)&amp;" "&amp;VLOOKUP(RIGHT(C25,3),NameConv!$C$5:$D$44,2,FALSE), "")</f>
        <v>Industry Biomass bagasse</v>
      </c>
      <c r="E25" s="420" t="str">
        <f t="shared" ca="1" si="4"/>
        <v>PJ,PJa</v>
      </c>
      <c r="F25" s="420" t="str">
        <f t="shared" ca="1" si="0"/>
        <v>PRC,PRE,ANNUAL</v>
      </c>
      <c r="I25" s="526">
        <f ca="1">IF(J24=SUMIF(NameConv!$G$4:$M$4,MID(C24,2,3),NameConv!$G$45:$M$45),I24+1,I24)</f>
        <v>3</v>
      </c>
      <c r="J25" s="526">
        <f t="shared" ca="1" si="5"/>
        <v>1</v>
      </c>
      <c r="L25" s="526">
        <f t="shared" ca="1" si="1"/>
        <v>0</v>
      </c>
      <c r="M25" s="526">
        <f t="shared" ca="1" si="2"/>
        <v>0</v>
      </c>
      <c r="N25" s="526">
        <f t="shared" ca="1" si="2"/>
        <v>0</v>
      </c>
    </row>
    <row r="26" spans="1:14">
      <c r="A26" s="883" t="str">
        <f ca="1">IF(INDEX(Demand.Sectors,MATCH(MID(C26,2,3),NameConv!$G$4:$M$4,0)),"","*")</f>
        <v/>
      </c>
      <c r="B26" s="420" t="str">
        <f t="shared" ca="1" si="3"/>
        <v>T</v>
      </c>
      <c r="C26" s="419" t="str">
        <f ca="1">"X"&amp;OFFSET(NameConv!$F$4,0,I26)&amp;OFFSET(NameConv!$F$59,J26,I26)</f>
        <v>XINDBIW</v>
      </c>
      <c r="D26" s="419" t="str">
        <f ca="1">IF($A26="",OFFSET(NameConv!$F$3,0,I26)&amp;" "&amp;VLOOKUP(RIGHT(C26,3),NameConv!$C$5:$D$44,2,FALSE), "")</f>
        <v>Industry Biomass Wood</v>
      </c>
      <c r="E26" s="420" t="str">
        <f t="shared" ca="1" si="4"/>
        <v>PJ,PJa</v>
      </c>
      <c r="F26" s="420" t="str">
        <f t="shared" ca="1" si="0"/>
        <v>PRC,PRE,ANNUAL</v>
      </c>
      <c r="I26" s="526">
        <f ca="1">IF(J25=SUMIF(NameConv!$G$4:$M$4,MID(C25,2,3),NameConv!$G$45:$M$45),I25+1,I25)</f>
        <v>3</v>
      </c>
      <c r="J26" s="526">
        <f t="shared" ca="1" si="5"/>
        <v>2</v>
      </c>
      <c r="L26" s="526">
        <f t="shared" ca="1" si="1"/>
        <v>0</v>
      </c>
      <c r="M26" s="526">
        <f t="shared" ca="1" si="2"/>
        <v>0</v>
      </c>
      <c r="N26" s="526">
        <f t="shared" ca="1" si="2"/>
        <v>0</v>
      </c>
    </row>
    <row r="27" spans="1:14">
      <c r="A27" s="883" t="str">
        <f ca="1">IF(INDEX(Demand.Sectors,MATCH(MID(C27,2,3),NameConv!$G$4:$M$4,0)),"","*")</f>
        <v/>
      </c>
      <c r="B27" s="420" t="str">
        <f t="shared" ca="1" si="3"/>
        <v>T</v>
      </c>
      <c r="C27" s="419" t="str">
        <f ca="1">"X"&amp;OFFSET(NameConv!$F$4,0,I27)&amp;OFFSET(NameConv!$F$59,J27,I27)</f>
        <v>XINDCOA</v>
      </c>
      <c r="D27" s="419" t="str">
        <f ca="1">IF($A27="",OFFSET(NameConv!$F$3,0,I27)&amp;" "&amp;VLOOKUP(RIGHT(C27,3),NameConv!$C$5:$D$44,2,FALSE), "")</f>
        <v>Industry Coal</v>
      </c>
      <c r="E27" s="420" t="str">
        <f t="shared" ca="1" si="4"/>
        <v>PJ,PJa</v>
      </c>
      <c r="F27" s="420" t="str">
        <f t="shared" ca="1" si="0"/>
        <v>PRC,PRE,ANNUAL</v>
      </c>
      <c r="I27" s="526">
        <f ca="1">IF(J26=SUMIF(NameConv!$G$4:$M$4,MID(C26,2,3),NameConv!$G$45:$M$45),I26+1,I26)</f>
        <v>3</v>
      </c>
      <c r="J27" s="526">
        <f t="shared" ca="1" si="5"/>
        <v>3</v>
      </c>
      <c r="L27" s="526">
        <f t="shared" ca="1" si="1"/>
        <v>0</v>
      </c>
      <c r="M27" s="526">
        <f t="shared" ca="1" si="2"/>
        <v>0</v>
      </c>
      <c r="N27" s="526">
        <f t="shared" ca="1" si="2"/>
        <v>0</v>
      </c>
    </row>
    <row r="28" spans="1:14">
      <c r="A28" s="883" t="str">
        <f ca="1">IF(INDEX(Demand.Sectors,MATCH(MID(C28,2,3),NameConv!$G$4:$M$4,0)),"","*")</f>
        <v/>
      </c>
      <c r="B28" s="420" t="str">
        <f t="shared" ca="1" si="3"/>
        <v>T</v>
      </c>
      <c r="C28" s="419" t="str">
        <f ca="1">"X"&amp;OFFSET(NameConv!$F$4,0,I28)&amp;OFFSET(NameConv!$F$59,J28,I28)</f>
        <v>XINDCOK</v>
      </c>
      <c r="D28" s="419" t="str">
        <f ca="1">IF($A28="",OFFSET(NameConv!$F$3,0,I28)&amp;" "&amp;VLOOKUP(RIGHT(C28,3),NameConv!$C$5:$D$44,2,FALSE), "")</f>
        <v>Industry Coal Coking</v>
      </c>
      <c r="E28" s="420" t="str">
        <f t="shared" ca="1" si="4"/>
        <v>PJ,PJa</v>
      </c>
      <c r="F28" s="420" t="str">
        <f t="shared" ca="1" si="0"/>
        <v>PRC,PRE,ANNUAL</v>
      </c>
      <c r="I28" s="526">
        <f ca="1">IF(J27=SUMIF(NameConv!$G$4:$M$4,MID(C27,2,3),NameConv!$G$45:$M$45),I27+1,I27)</f>
        <v>3</v>
      </c>
      <c r="J28" s="526">
        <f t="shared" ca="1" si="5"/>
        <v>4</v>
      </c>
      <c r="L28" s="526">
        <f t="shared" ca="1" si="1"/>
        <v>0</v>
      </c>
      <c r="M28" s="526">
        <f t="shared" ca="1" si="2"/>
        <v>0</v>
      </c>
      <c r="N28" s="526">
        <f t="shared" ca="1" si="2"/>
        <v>0</v>
      </c>
    </row>
    <row r="29" spans="1:14">
      <c r="A29" s="883" t="str">
        <f ca="1">IF(INDEX(Demand.Sectors,MATCH(MID(C29,2,3),NameConv!$G$4:$M$4,0)),"","*")</f>
        <v/>
      </c>
      <c r="B29" s="420" t="str">
        <f t="shared" ca="1" si="3"/>
        <v>T</v>
      </c>
      <c r="C29" s="419" t="str">
        <f ca="1">"X"&amp;OFFSET(NameConv!$F$4,0,I29)&amp;OFFSET(NameConv!$F$59,J29,I29)</f>
        <v>XINDCLE</v>
      </c>
      <c r="D29" s="419" t="str">
        <f ca="1">IF($A29="",OFFSET(NameConv!$F$3,0,I29)&amp;" "&amp;VLOOKUP(RIGHT(C29,3),NameConv!$C$5:$D$44,2,FALSE), "")</f>
        <v>Industry Coal low grade</v>
      </c>
      <c r="E29" s="420" t="str">
        <f t="shared" ca="1" si="4"/>
        <v>PJ,PJa</v>
      </c>
      <c r="F29" s="420" t="str">
        <f t="shared" ca="1" si="0"/>
        <v>PRC,PRE,ANNUAL</v>
      </c>
      <c r="I29" s="526">
        <f ca="1">IF(J28=SUMIF(NameConv!$G$4:$M$4,MID(C28,2,3),NameConv!$G$45:$M$45),I28+1,I28)</f>
        <v>3</v>
      </c>
      <c r="J29" s="526">
        <f t="shared" ca="1" si="5"/>
        <v>5</v>
      </c>
      <c r="L29" s="526">
        <f t="shared" ca="1" si="1"/>
        <v>0</v>
      </c>
      <c r="M29" s="526">
        <f t="shared" ca="1" si="2"/>
        <v>0</v>
      </c>
      <c r="N29" s="526">
        <f t="shared" ca="1" si="2"/>
        <v>0</v>
      </c>
    </row>
    <row r="30" spans="1:14">
      <c r="A30" s="883" t="str">
        <f ca="1">IF(INDEX(Demand.Sectors,MATCH(MID(C30,2,3),NameConv!$G$4:$M$4,0)),"","*")</f>
        <v/>
      </c>
      <c r="B30" s="420" t="str">
        <f t="shared" ref="B30:B39" ca="1" si="6">IF(A30="*","","T")</f>
        <v>T</v>
      </c>
      <c r="C30" s="419" t="str">
        <f ca="1">"X"&amp;OFFSET(NameConv!$F$4,0,I30)&amp;OFFSET(NameConv!$F$59,J30,I30)</f>
        <v>XINDELC</v>
      </c>
      <c r="D30" s="419" t="str">
        <f ca="1">IF($A30="",OFFSET(NameConv!$F$3,0,I30)&amp;" "&amp;VLOOKUP(RIGHT(C30,3),NameConv!$C$5:$D$44,2,FALSE), "")</f>
        <v>Industry Electricity</v>
      </c>
      <c r="E30" s="420" t="str">
        <f t="shared" ref="E30:E39" ca="1" si="7">"PJ,"&amp;IF(RIGHT(C30,3)="ELC","GW","PJa")</f>
        <v>PJ,GW</v>
      </c>
      <c r="F30" s="420" t="str">
        <f t="shared" ca="1" si="0"/>
        <v>PRC,PRE,DAYNITE</v>
      </c>
      <c r="I30" s="526">
        <f ca="1">IF(J29=SUMIF(NameConv!$G$4:$M$4,MID(C29,2,3),NameConv!$G$45:$M$45),I29+1,I29)</f>
        <v>3</v>
      </c>
      <c r="J30" s="526">
        <f t="shared" ref="J30:J39" ca="1" si="8">IF(I30=I29,J29+1,1)</f>
        <v>6</v>
      </c>
      <c r="L30" s="526">
        <f t="shared" ca="1" si="1"/>
        <v>1</v>
      </c>
      <c r="M30" s="526">
        <f t="shared" ca="1" si="2"/>
        <v>1</v>
      </c>
      <c r="N30" s="526">
        <f t="shared" ca="1" si="2"/>
        <v>0</v>
      </c>
    </row>
    <row r="31" spans="1:14">
      <c r="A31" s="883" t="str">
        <f ca="1">IF(INDEX(Demand.Sectors,MATCH(MID(C31,2,3),NameConv!$G$4:$M$4,0)),"","*")</f>
        <v/>
      </c>
      <c r="B31" s="420" t="str">
        <f t="shared" ca="1" si="6"/>
        <v>T</v>
      </c>
      <c r="C31" s="419" t="str">
        <f ca="1">"X"&amp;OFFSET(NameConv!$F$4,0,I31)&amp;OFFSET(NameConv!$F$59,J31,I31)</f>
        <v>XINDGAS</v>
      </c>
      <c r="D31" s="419" t="str">
        <f ca="1">IF($A31="",OFFSET(NameConv!$F$3,0,I31)&amp;" "&amp;VLOOKUP(RIGHT(C31,3),NameConv!$C$5:$D$44,2,FALSE), "")</f>
        <v>Industry Gas South Africa</v>
      </c>
      <c r="E31" s="420" t="str">
        <f t="shared" ca="1" si="7"/>
        <v>PJ,PJa</v>
      </c>
      <c r="F31" s="420" t="str">
        <f t="shared" ca="1" si="0"/>
        <v>PRC,PRE,ANNUAL</v>
      </c>
      <c r="I31" s="526">
        <f ca="1">IF(J30=SUMIF(NameConv!$G$4:$M$4,MID(C30,2,3),NameConv!$G$45:$M$45),I30+1,I30)</f>
        <v>3</v>
      </c>
      <c r="J31" s="526">
        <f t="shared" ca="1" si="8"/>
        <v>7</v>
      </c>
      <c r="L31" s="526">
        <f t="shared" ca="1" si="1"/>
        <v>0</v>
      </c>
      <c r="M31" s="526">
        <f t="shared" ref="M31:N31" ca="1" si="9">IFERROR(IF(FIND(M$4,$C31)&gt;0,1,0),0)</f>
        <v>0</v>
      </c>
      <c r="N31" s="526">
        <f t="shared" ca="1" si="9"/>
        <v>0</v>
      </c>
    </row>
    <row r="32" spans="1:14">
      <c r="A32" s="883" t="str">
        <f ca="1">IF(INDEX(Demand.Sectors,MATCH(MID(C32,2,3),NameConv!$G$4:$M$4,0)),"","*")</f>
        <v/>
      </c>
      <c r="B32" s="420" t="str">
        <f t="shared" ca="1" si="6"/>
        <v>T</v>
      </c>
      <c r="C32" s="419" t="str">
        <f ca="1">"X"&amp;OFFSET(NameConv!$F$4,0,I32)&amp;OFFSET(NameConv!$F$59,J32,I32)</f>
        <v>XINDODS</v>
      </c>
      <c r="D32" s="419" t="str">
        <f ca="1">IF($A32="",OFFSET(NameConv!$F$3,0,I32)&amp;" "&amp;VLOOKUP(RIGHT(C32,3),NameConv!$C$5:$D$44,2,FALSE), "")</f>
        <v>Industry Oil Diesel</v>
      </c>
      <c r="E32" s="420" t="str">
        <f t="shared" ca="1" si="7"/>
        <v>PJ,PJa</v>
      </c>
      <c r="F32" s="420" t="str">
        <f t="shared" ca="1" si="0"/>
        <v>PRC,PRE,ANNUAL</v>
      </c>
      <c r="I32" s="526">
        <f ca="1">IF(J31=SUMIF(NameConv!$G$4:$M$4,MID(C31,2,3),NameConv!$G$45:$M$45),I31+1,I31)</f>
        <v>3</v>
      </c>
      <c r="J32" s="526">
        <f t="shared" ca="1" si="8"/>
        <v>8</v>
      </c>
      <c r="L32" s="526">
        <f t="shared" ref="L32:L80" ca="1" si="10">SUMPRODUCT(M32:P32)</f>
        <v>0</v>
      </c>
      <c r="M32" s="526">
        <f t="shared" ca="1" si="2"/>
        <v>0</v>
      </c>
      <c r="N32" s="526">
        <f t="shared" ca="1" si="2"/>
        <v>0</v>
      </c>
    </row>
    <row r="33" spans="1:14">
      <c r="A33" s="883" t="str">
        <f ca="1">IF(INDEX(Demand.Sectors,MATCH(MID(C33,2,3),NameConv!$G$4:$M$4,0)),"","*")</f>
        <v/>
      </c>
      <c r="B33" s="420" t="str">
        <f t="shared" ca="1" si="6"/>
        <v>T</v>
      </c>
      <c r="C33" s="419" t="str">
        <f ca="1">"X"&amp;OFFSET(NameConv!$F$4,0,I33)&amp;OFFSET(NameConv!$F$59,J33,I33)</f>
        <v>XINDOGS</v>
      </c>
      <c r="D33" s="419" t="str">
        <f ca="1">IF($A33="",OFFSET(NameConv!$F$3,0,I33)&amp;" "&amp;VLOOKUP(RIGHT(C33,3),NameConv!$C$5:$D$44,2,FALSE), "")</f>
        <v>Industry Oil Gasoline</v>
      </c>
      <c r="E33" s="420" t="str">
        <f t="shared" ca="1" si="7"/>
        <v>PJ,PJa</v>
      </c>
      <c r="F33" s="420" t="str">
        <f t="shared" ca="1" si="0"/>
        <v>PRC,PRE,ANNUAL</v>
      </c>
      <c r="I33" s="526">
        <f ca="1">IF(J32=SUMIF(NameConv!$G$4:$M$4,MID(C32,2,3),NameConv!$G$45:$M$45),I32+1,I32)</f>
        <v>3</v>
      </c>
      <c r="J33" s="526">
        <f t="shared" ca="1" si="8"/>
        <v>9</v>
      </c>
      <c r="L33" s="526">
        <f t="shared" ca="1" si="10"/>
        <v>0</v>
      </c>
      <c r="M33" s="526">
        <f t="shared" ref="M33:N80" ca="1" si="11">IFERROR(IF(FIND(M$4,$C33)&gt;0,1,0),0)</f>
        <v>0</v>
      </c>
      <c r="N33" s="526">
        <f t="shared" ca="1" si="11"/>
        <v>0</v>
      </c>
    </row>
    <row r="34" spans="1:14">
      <c r="A34" s="883" t="str">
        <f ca="1">IF(INDEX(Demand.Sectors,MATCH(MID(C34,2,3),NameConv!$G$4:$M$4,0)),"","*")</f>
        <v/>
      </c>
      <c r="B34" s="420" t="str">
        <f t="shared" ca="1" si="6"/>
        <v>T</v>
      </c>
      <c r="C34" s="419" t="str">
        <f ca="1">"X"&amp;OFFSET(NameConv!$F$4,0,I34)&amp;OFFSET(NameConv!$F$59,J34,I34)</f>
        <v>XINDOHF</v>
      </c>
      <c r="D34" s="419" t="str">
        <f ca="1">IF($A34="",OFFSET(NameConv!$F$3,0,I34)&amp;" "&amp;VLOOKUP(RIGHT(C34,3),NameConv!$C$5:$D$44,2,FALSE), "")</f>
        <v>Industry Oil HFO</v>
      </c>
      <c r="E34" s="420" t="str">
        <f t="shared" ca="1" si="7"/>
        <v>PJ,PJa</v>
      </c>
      <c r="F34" s="420" t="str">
        <f t="shared" ca="1" si="0"/>
        <v>PRC,PRE,ANNUAL</v>
      </c>
      <c r="I34" s="526">
        <f ca="1">IF(J33=SUMIF(NameConv!$G$4:$M$4,MID(C33,2,3),NameConv!$G$45:$M$45),I33+1,I33)</f>
        <v>3</v>
      </c>
      <c r="J34" s="526">
        <f t="shared" ca="1" si="8"/>
        <v>10</v>
      </c>
      <c r="L34" s="526">
        <f t="shared" ca="1" si="10"/>
        <v>0</v>
      </c>
      <c r="M34" s="526">
        <f t="shared" ca="1" si="11"/>
        <v>0</v>
      </c>
      <c r="N34" s="526">
        <f t="shared" ca="1" si="11"/>
        <v>0</v>
      </c>
    </row>
    <row r="35" spans="1:14">
      <c r="A35" s="883" t="str">
        <f ca="1">IF(INDEX(Demand.Sectors,MATCH(MID(C35,2,3),NameConv!$G$4:$M$4,0)),"","*")</f>
        <v/>
      </c>
      <c r="B35" s="420" t="str">
        <f t="shared" ca="1" si="6"/>
        <v>T</v>
      </c>
      <c r="C35" s="419" t="str">
        <f ca="1">"X"&amp;OFFSET(NameConv!$F$4,0,I35)&amp;OFFSET(NameConv!$F$59,J35,I35)</f>
        <v>XINDOLP</v>
      </c>
      <c r="D35" s="419" t="str">
        <f ca="1">IF($A35="",OFFSET(NameConv!$F$3,0,I35)&amp;" "&amp;VLOOKUP(RIGHT(C35,3),NameConv!$C$5:$D$44,2,FALSE), "")</f>
        <v>Industry Oil LPG</v>
      </c>
      <c r="E35" s="420" t="str">
        <f t="shared" ca="1" si="7"/>
        <v>PJ,PJa</v>
      </c>
      <c r="F35" s="420" t="str">
        <f t="shared" ca="1" si="0"/>
        <v>PRC,PRE,ANNUAL</v>
      </c>
      <c r="I35" s="526">
        <f ca="1">IF(J34=SUMIF(NameConv!$G$4:$M$4,MID(C34,2,3),NameConv!$G$45:$M$45),I34+1,I34)</f>
        <v>3</v>
      </c>
      <c r="J35" s="526">
        <f t="shared" ca="1" si="8"/>
        <v>11</v>
      </c>
      <c r="L35" s="526">
        <f t="shared" ca="1" si="10"/>
        <v>0</v>
      </c>
      <c r="M35" s="526">
        <f t="shared" ca="1" si="11"/>
        <v>0</v>
      </c>
      <c r="N35" s="526">
        <f t="shared" ca="1" si="11"/>
        <v>0</v>
      </c>
    </row>
    <row r="36" spans="1:14">
      <c r="A36" s="883" t="str">
        <f ca="1">IF(INDEX(Demand.Sectors,MATCH(MID(C36,2,3),NameConv!$G$4:$M$4,0)),"","*")</f>
        <v/>
      </c>
      <c r="B36" s="420" t="str">
        <f t="shared" ca="1" si="6"/>
        <v>T</v>
      </c>
      <c r="C36" s="419" t="str">
        <f ca="1">"X"&amp;OFFSET(NameConv!$F$4,0,I36)&amp;OFFSET(NameConv!$F$59,J36,I36)</f>
        <v>XINDWAS</v>
      </c>
      <c r="D36" s="419" t="str">
        <f ca="1">IF($A36="",OFFSET(NameConv!$F$3,0,I36)&amp;" "&amp;VLOOKUP(RIGHT(C36,3),NameConv!$C$5:$D$44,2,FALSE), "")</f>
        <v>Industry Waste</v>
      </c>
      <c r="E36" s="420" t="str">
        <f t="shared" ca="1" si="7"/>
        <v>PJ,PJa</v>
      </c>
      <c r="F36" s="420" t="str">
        <f t="shared" ca="1" si="0"/>
        <v>PRC,PRE,ANNUAL</v>
      </c>
      <c r="I36" s="526">
        <f ca="1">IF(J35=SUMIF(NameConv!$G$4:$M$4,MID(C35,2,3),NameConv!$G$45:$M$45),I35+1,I35)</f>
        <v>3</v>
      </c>
      <c r="J36" s="526">
        <f t="shared" ca="1" si="8"/>
        <v>12</v>
      </c>
      <c r="L36" s="526">
        <f t="shared" ca="1" si="10"/>
        <v>0</v>
      </c>
      <c r="M36" s="526">
        <f t="shared" ca="1" si="11"/>
        <v>0</v>
      </c>
      <c r="N36" s="526">
        <f t="shared" ca="1" si="11"/>
        <v>0</v>
      </c>
    </row>
    <row r="37" spans="1:14">
      <c r="A37" s="883" t="str">
        <f ca="1">IF(INDEX(Demand.Sectors,MATCH(MID(C37,2,3),NameConv!$G$4:$M$4,0)),"","*")</f>
        <v/>
      </c>
      <c r="B37" s="420" t="str">
        <f t="shared" ca="1" si="6"/>
        <v>T</v>
      </c>
      <c r="C37" s="419" t="str">
        <f ca="1">"X"&amp;OFFSET(NameConv!$F$4,0,I37)&amp;OFFSET(NameConv!$F$59,J37,I37)</f>
        <v>XTRAELC</v>
      </c>
      <c r="D37" s="419" t="str">
        <f ca="1">IF($A37="",OFFSET(NameConv!$F$3,0,I37)&amp;" "&amp;VLOOKUP(RIGHT(C37,3),NameConv!$C$5:$D$44,2,FALSE), "")</f>
        <v>Transport Electricity</v>
      </c>
      <c r="E37" s="420" t="str">
        <f t="shared" ca="1" si="7"/>
        <v>PJ,GW</v>
      </c>
      <c r="F37" s="420" t="str">
        <f t="shared" ca="1" si="0"/>
        <v>PRC,PRE,DAYNITE</v>
      </c>
      <c r="I37" s="526">
        <f ca="1">IF(J36=SUMIF(NameConv!$G$4:$M$4,MID(C36,2,3),NameConv!$G$45:$M$45),I36+1,I36)</f>
        <v>4</v>
      </c>
      <c r="J37" s="526">
        <f t="shared" ca="1" si="8"/>
        <v>1</v>
      </c>
      <c r="L37" s="526">
        <f t="shared" ca="1" si="10"/>
        <v>1</v>
      </c>
      <c r="M37" s="526">
        <f t="shared" ca="1" si="11"/>
        <v>1</v>
      </c>
      <c r="N37" s="526">
        <f t="shared" ca="1" si="11"/>
        <v>0</v>
      </c>
    </row>
    <row r="38" spans="1:14">
      <c r="A38" s="883" t="str">
        <f ca="1">IF(INDEX(Demand.Sectors,MATCH(MID(C38,2,3),NameConv!$G$4:$M$4,0)),"","*")</f>
        <v/>
      </c>
      <c r="B38" s="420" t="str">
        <f t="shared" ca="1" si="6"/>
        <v>T</v>
      </c>
      <c r="C38" s="419" t="str">
        <f ca="1">"X"&amp;OFFSET(NameConv!$F$4,0,I38)&amp;OFFSET(NameConv!$F$59,J38,I38)</f>
        <v>XTRAGAS</v>
      </c>
      <c r="D38" s="419" t="str">
        <f ca="1">IF($A38="",OFFSET(NameConv!$F$3,0,I38)&amp;" "&amp;VLOOKUP(RIGHT(C38,3),NameConv!$C$5:$D$44,2,FALSE), "")</f>
        <v>Transport Gas South Africa</v>
      </c>
      <c r="E38" s="420" t="str">
        <f t="shared" ca="1" si="7"/>
        <v>PJ,PJa</v>
      </c>
      <c r="F38" s="420" t="str">
        <f t="shared" ca="1" si="0"/>
        <v>PRC,PRE,ANNUAL</v>
      </c>
      <c r="I38" s="526">
        <f ca="1">IF(J37=SUMIF(NameConv!$G$4:$M$4,MID(C37,2,3),NameConv!$G$45:$M$45),I37+1,I37)</f>
        <v>4</v>
      </c>
      <c r="J38" s="526">
        <f t="shared" ca="1" si="8"/>
        <v>2</v>
      </c>
      <c r="L38" s="526">
        <f t="shared" ca="1" si="10"/>
        <v>0</v>
      </c>
      <c r="M38" s="526">
        <f t="shared" ca="1" si="11"/>
        <v>0</v>
      </c>
      <c r="N38" s="526">
        <f t="shared" ca="1" si="11"/>
        <v>0</v>
      </c>
    </row>
    <row r="39" spans="1:14">
      <c r="A39" s="883" t="str">
        <f ca="1">IF(INDEX(Demand.Sectors,MATCH(MID(C39,2,3),NameConv!$G$4:$M$4,0)),"","*")</f>
        <v/>
      </c>
      <c r="B39" s="420" t="str">
        <f t="shared" ca="1" si="6"/>
        <v>T</v>
      </c>
      <c r="C39" s="419" t="str">
        <f ca="1">"X"&amp;OFFSET(NameConv!$F$4,0,I39)&amp;OFFSET(NameConv!$F$59,J39,I39)</f>
        <v>XTRAHGN</v>
      </c>
      <c r="D39" s="419" t="str">
        <f ca="1">IF($A39="",OFFSET(NameConv!$F$3,0,I39)&amp;" "&amp;VLOOKUP(RIGHT(C39,3),NameConv!$C$5:$D$44,2,FALSE), "")</f>
        <v>Transport Hydrogen</v>
      </c>
      <c r="E39" s="420" t="str">
        <f t="shared" ca="1" si="7"/>
        <v>PJ,PJa</v>
      </c>
      <c r="F39" s="420" t="str">
        <f t="shared" ca="1" si="0"/>
        <v>PRC,PRE,DAYNITE</v>
      </c>
      <c r="I39" s="526">
        <f ca="1">IF(J38=SUMIF(NameConv!$G$4:$M$4,MID(C38,2,3),NameConv!$G$45:$M$45),I38+1,I38)</f>
        <v>4</v>
      </c>
      <c r="J39" s="526">
        <f t="shared" ca="1" si="8"/>
        <v>3</v>
      </c>
      <c r="L39" s="526">
        <f t="shared" ca="1" si="10"/>
        <v>1</v>
      </c>
      <c r="M39" s="526">
        <f t="shared" ca="1" si="11"/>
        <v>0</v>
      </c>
      <c r="N39" s="526">
        <f t="shared" ca="1" si="11"/>
        <v>1</v>
      </c>
    </row>
    <row r="40" spans="1:14">
      <c r="A40" s="883" t="str">
        <f ca="1">IF(INDEX(Demand.Sectors,MATCH(MID(C40,2,3),NameConv!$G$4:$M$4,0)),"","*")</f>
        <v/>
      </c>
      <c r="B40" s="420" t="str">
        <f t="shared" ref="B40:B49" ca="1" si="12">IF(A40="*","","T")</f>
        <v>T</v>
      </c>
      <c r="C40" s="419" t="str">
        <f ca="1">"X"&amp;OFFSET(NameConv!$F$4,0,I40)&amp;OFFSET(NameConv!$F$59,J40,I40)</f>
        <v>XTRAOAG</v>
      </c>
      <c r="D40" s="419" t="str">
        <f ca="1">IF($A40="",OFFSET(NameConv!$F$3,0,I40)&amp;" "&amp;VLOOKUP(RIGHT(C40,3),NameConv!$C$5:$D$44,2,FALSE), "")</f>
        <v>Transport Oil Av Gasoline</v>
      </c>
      <c r="E40" s="420" t="str">
        <f t="shared" ref="E40:E49" ca="1" si="13">"PJ,"&amp;IF(RIGHT(C40,3)="ELC","GW","PJa")</f>
        <v>PJ,PJa</v>
      </c>
      <c r="F40" s="420" t="str">
        <f t="shared" ca="1" si="0"/>
        <v>PRC,PRE,ANNUAL</v>
      </c>
      <c r="I40" s="526">
        <f ca="1">IF(J39=SUMIF(NameConv!$G$4:$M$4,MID(C39,2,3),NameConv!$G$45:$M$45),I39+1,I39)</f>
        <v>4</v>
      </c>
      <c r="J40" s="526">
        <f t="shared" ref="J40:J49" ca="1" si="14">IF(I40=I39,J39+1,1)</f>
        <v>4</v>
      </c>
      <c r="L40" s="526">
        <f t="shared" ca="1" si="10"/>
        <v>0</v>
      </c>
      <c r="M40" s="526">
        <f t="shared" ca="1" si="11"/>
        <v>0</v>
      </c>
      <c r="N40" s="526">
        <f t="shared" ca="1" si="11"/>
        <v>0</v>
      </c>
    </row>
    <row r="41" spans="1:14">
      <c r="A41" s="883" t="str">
        <f ca="1">IF(INDEX(Demand.Sectors,MATCH(MID(C41,2,3),NameConv!$G$4:$M$4,0)),"","*")</f>
        <v/>
      </c>
      <c r="B41" s="420" t="str">
        <f t="shared" ca="1" si="12"/>
        <v>T</v>
      </c>
      <c r="C41" s="419" t="str">
        <f ca="1">"X"&amp;OFFSET(NameConv!$F$4,0,I41)&amp;OFFSET(NameConv!$F$59,J41,I41)</f>
        <v>XTRAODS</v>
      </c>
      <c r="D41" s="419" t="str">
        <f ca="1">IF($A41="",OFFSET(NameConv!$F$3,0,I41)&amp;" "&amp;VLOOKUP(RIGHT(C41,3),NameConv!$C$5:$D$44,2,FALSE), "")</f>
        <v>Transport Oil Diesel</v>
      </c>
      <c r="E41" s="420" t="str">
        <f t="shared" ca="1" si="13"/>
        <v>PJ,PJa</v>
      </c>
      <c r="F41" s="420" t="str">
        <f t="shared" ca="1" si="0"/>
        <v>PRC,PRE,ANNUAL</v>
      </c>
      <c r="I41" s="526">
        <f ca="1">IF(J40=SUMIF(NameConv!$G$4:$M$4,MID(C40,2,3),NameConv!$G$45:$M$45),I40+1,I40)</f>
        <v>4</v>
      </c>
      <c r="J41" s="526">
        <f t="shared" ca="1" si="14"/>
        <v>5</v>
      </c>
      <c r="L41" s="526">
        <f t="shared" ca="1" si="10"/>
        <v>0</v>
      </c>
      <c r="M41" s="526">
        <f t="shared" ca="1" si="11"/>
        <v>0</v>
      </c>
      <c r="N41" s="526">
        <f t="shared" ca="1" si="11"/>
        <v>0</v>
      </c>
    </row>
    <row r="42" spans="1:14">
      <c r="A42" s="883" t="str">
        <f ca="1">IF(INDEX(Demand.Sectors,MATCH(MID(C42,2,3),NameConv!$G$4:$M$4,0)),"","*")</f>
        <v/>
      </c>
      <c r="B42" s="420" t="str">
        <f t="shared" ca="1" si="12"/>
        <v>T</v>
      </c>
      <c r="C42" s="419" t="str">
        <f ca="1">"X"&amp;OFFSET(NameConv!$F$4,0,I42)&amp;OFFSET(NameConv!$F$59,J42,I42)</f>
        <v>XTRAOGS</v>
      </c>
      <c r="D42" s="419" t="str">
        <f ca="1">IF($A42="",OFFSET(NameConv!$F$3,0,I42)&amp;" "&amp;VLOOKUP(RIGHT(C42,3),NameConv!$C$5:$D$44,2,FALSE), "")</f>
        <v>Transport Oil Gasoline</v>
      </c>
      <c r="E42" s="420" t="str">
        <f t="shared" ca="1" si="13"/>
        <v>PJ,PJa</v>
      </c>
      <c r="F42" s="420" t="str">
        <f t="shared" ca="1" si="0"/>
        <v>PRC,PRE,ANNUAL</v>
      </c>
      <c r="I42" s="526">
        <f ca="1">IF(J41=SUMIF(NameConv!$G$4:$M$4,MID(C41,2,3),NameConv!$G$45:$M$45),I41+1,I41)</f>
        <v>4</v>
      </c>
      <c r="J42" s="526">
        <f t="shared" ca="1" si="14"/>
        <v>6</v>
      </c>
      <c r="L42" s="526">
        <f t="shared" ca="1" si="10"/>
        <v>0</v>
      </c>
      <c r="M42" s="526">
        <f t="shared" ca="1" si="11"/>
        <v>0</v>
      </c>
      <c r="N42" s="526">
        <f t="shared" ca="1" si="11"/>
        <v>0</v>
      </c>
    </row>
    <row r="43" spans="1:14">
      <c r="A43" s="883" t="str">
        <f ca="1">IF(INDEX(Demand.Sectors,MATCH(MID(C43,2,3),NameConv!$G$4:$M$4,0)),"","*")</f>
        <v/>
      </c>
      <c r="B43" s="420" t="str">
        <f t="shared" ca="1" si="12"/>
        <v>T</v>
      </c>
      <c r="C43" s="419" t="str">
        <f ca="1">"X"&amp;OFFSET(NameConv!$F$4,0,I43)&amp;OFFSET(NameConv!$F$59,J43,I43)</f>
        <v>XTRAOHF</v>
      </c>
      <c r="D43" s="419" t="str">
        <f ca="1">IF($A43="",OFFSET(NameConv!$F$3,0,I43)&amp;" "&amp;VLOOKUP(RIGHT(C43,3),NameConv!$C$5:$D$44,2,FALSE), "")</f>
        <v>Transport Oil HFO</v>
      </c>
      <c r="E43" s="420" t="str">
        <f t="shared" ca="1" si="13"/>
        <v>PJ,PJa</v>
      </c>
      <c r="F43" s="420" t="str">
        <f t="shared" ca="1" si="0"/>
        <v>PRC,PRE,ANNUAL</v>
      </c>
      <c r="I43" s="526">
        <f ca="1">IF(J42=SUMIF(NameConv!$G$4:$M$4,MID(C42,2,3),NameConv!$G$45:$M$45),I42+1,I42)</f>
        <v>4</v>
      </c>
      <c r="J43" s="526">
        <f t="shared" ca="1" si="14"/>
        <v>7</v>
      </c>
      <c r="L43" s="526">
        <f t="shared" ca="1" si="10"/>
        <v>0</v>
      </c>
      <c r="M43" s="526">
        <f t="shared" ca="1" si="11"/>
        <v>0</v>
      </c>
      <c r="N43" s="526">
        <f t="shared" ca="1" si="11"/>
        <v>0</v>
      </c>
    </row>
    <row r="44" spans="1:14">
      <c r="A44" s="883" t="str">
        <f ca="1">IF(INDEX(Demand.Sectors,MATCH(MID(C44,2,3),NameConv!$G$4:$M$4,0)),"","*")</f>
        <v/>
      </c>
      <c r="B44" s="420" t="str">
        <f t="shared" ca="1" si="12"/>
        <v>T</v>
      </c>
      <c r="C44" s="419" t="str">
        <f ca="1">"X"&amp;OFFSET(NameConv!$F$4,0,I44)&amp;OFFSET(NameConv!$F$59,J44,I44)</f>
        <v>XTRAOKE</v>
      </c>
      <c r="D44" s="419" t="str">
        <f ca="1">IF($A44="",OFFSET(NameConv!$F$3,0,I44)&amp;" "&amp;VLOOKUP(RIGHT(C44,3),NameConv!$C$5:$D$44,2,FALSE), "")</f>
        <v>Transport Oil Kerosene</v>
      </c>
      <c r="E44" s="420" t="str">
        <f t="shared" ca="1" si="13"/>
        <v>PJ,PJa</v>
      </c>
      <c r="F44" s="420" t="str">
        <f t="shared" ca="1" si="0"/>
        <v>PRC,PRE,ANNUAL</v>
      </c>
      <c r="I44" s="526">
        <f ca="1">IF(J43=SUMIF(NameConv!$G$4:$M$4,MID(C43,2,3),NameConv!$G$45:$M$45),I43+1,I43)</f>
        <v>4</v>
      </c>
      <c r="J44" s="526">
        <f t="shared" ca="1" si="14"/>
        <v>8</v>
      </c>
      <c r="L44" s="526">
        <f t="shared" ca="1" si="10"/>
        <v>0</v>
      </c>
      <c r="M44" s="526">
        <f t="shared" ca="1" si="11"/>
        <v>0</v>
      </c>
      <c r="N44" s="526">
        <f t="shared" ca="1" si="11"/>
        <v>0</v>
      </c>
    </row>
    <row r="45" spans="1:14">
      <c r="A45" s="883" t="str">
        <f ca="1">IF(INDEX(Demand.Sectors,MATCH(MID(C45,2,3),NameConv!$G$4:$M$4,0)),"","*")</f>
        <v/>
      </c>
      <c r="B45" s="420" t="str">
        <f t="shared" ca="1" si="12"/>
        <v>T</v>
      </c>
      <c r="C45" s="419" t="str">
        <f ca="1">"X"&amp;OFFSET(NameConv!$F$4,0,I45)&amp;OFFSET(NameConv!$F$59,J45,I45)</f>
        <v>XRESBIW</v>
      </c>
      <c r="D45" s="419" t="str">
        <f ca="1">IF($A45="",OFFSET(NameConv!$F$3,0,I45)&amp;" "&amp;VLOOKUP(RIGHT(C45,3),NameConv!$C$5:$D$44,2,FALSE), "")</f>
        <v>Residential Biomass Wood</v>
      </c>
      <c r="E45" s="420" t="str">
        <f t="shared" ca="1" si="13"/>
        <v>PJ,PJa</v>
      </c>
      <c r="F45" s="420" t="str">
        <f t="shared" ca="1" si="0"/>
        <v>PRC,PRE,ANNUAL</v>
      </c>
      <c r="I45" s="526">
        <f ca="1">IF(J44=SUMIF(NameConv!$G$4:$M$4,MID(C44,2,3),NameConv!$G$45:$M$45),I44+1,I44)</f>
        <v>5</v>
      </c>
      <c r="J45" s="526">
        <f t="shared" ca="1" si="14"/>
        <v>1</v>
      </c>
      <c r="L45" s="526">
        <f t="shared" ca="1" si="10"/>
        <v>0</v>
      </c>
      <c r="M45" s="526">
        <f t="shared" ca="1" si="11"/>
        <v>0</v>
      </c>
      <c r="N45" s="526">
        <f t="shared" ca="1" si="11"/>
        <v>0</v>
      </c>
    </row>
    <row r="46" spans="1:14">
      <c r="A46" s="883" t="str">
        <f ca="1">IF(INDEX(Demand.Sectors,MATCH(MID(C46,2,3),NameConv!$G$4:$M$4,0)),"","*")</f>
        <v/>
      </c>
      <c r="B46" s="420" t="str">
        <f t="shared" ca="1" si="12"/>
        <v>T</v>
      </c>
      <c r="C46" s="419" t="str">
        <f ca="1">"X"&amp;OFFSET(NameConv!$F$4,0,I46)&amp;OFFSET(NameConv!$F$59,J46,I46)</f>
        <v>XRESCOA</v>
      </c>
      <c r="D46" s="419" t="str">
        <f ca="1">IF($A46="",OFFSET(NameConv!$F$3,0,I46)&amp;" "&amp;VLOOKUP(RIGHT(C46,3),NameConv!$C$5:$D$44,2,FALSE), "")</f>
        <v>Residential Coal</v>
      </c>
      <c r="E46" s="420" t="str">
        <f t="shared" ca="1" si="13"/>
        <v>PJ,PJa</v>
      </c>
      <c r="F46" s="420" t="str">
        <f t="shared" ca="1" si="0"/>
        <v>PRC,PRE,ANNUAL</v>
      </c>
      <c r="I46" s="526">
        <f ca="1">IF(J45=SUMIF(NameConv!$G$4:$M$4,MID(C45,2,3),NameConv!$G$45:$M$45),I45+1,I45)</f>
        <v>5</v>
      </c>
      <c r="J46" s="526">
        <f t="shared" ca="1" si="14"/>
        <v>2</v>
      </c>
      <c r="L46" s="526">
        <f t="shared" ca="1" si="10"/>
        <v>0</v>
      </c>
      <c r="M46" s="526">
        <f t="shared" ca="1" si="11"/>
        <v>0</v>
      </c>
      <c r="N46" s="526">
        <f t="shared" ca="1" si="11"/>
        <v>0</v>
      </c>
    </row>
    <row r="47" spans="1:14">
      <c r="A47" s="883" t="str">
        <f ca="1">IF(INDEX(Demand.Sectors,MATCH(MID(C47,2,3),NameConv!$G$4:$M$4,0)),"","*")</f>
        <v/>
      </c>
      <c r="B47" s="420" t="str">
        <f t="shared" ca="1" si="12"/>
        <v>T</v>
      </c>
      <c r="C47" s="419" t="str">
        <f ca="1">"X"&amp;OFFSET(NameConv!$F$4,0,I47)&amp;OFFSET(NameConv!$F$59,J47,I47)</f>
        <v>XRESELC</v>
      </c>
      <c r="D47" s="419" t="str">
        <f ca="1">IF($A47="",OFFSET(NameConv!$F$3,0,I47)&amp;" "&amp;VLOOKUP(RIGHT(C47,3),NameConv!$C$5:$D$44,2,FALSE), "")</f>
        <v>Residential Electricity</v>
      </c>
      <c r="E47" s="420" t="str">
        <f t="shared" ca="1" si="13"/>
        <v>PJ,GW</v>
      </c>
      <c r="F47" s="420" t="str">
        <f t="shared" ca="1" si="0"/>
        <v>PRC,PRE,DAYNITE</v>
      </c>
      <c r="I47" s="526">
        <f ca="1">IF(J46=SUMIF(NameConv!$G$4:$M$4,MID(C46,2,3),NameConv!$G$45:$M$45),I46+1,I46)</f>
        <v>5</v>
      </c>
      <c r="J47" s="526">
        <f t="shared" ca="1" si="14"/>
        <v>3</v>
      </c>
      <c r="L47" s="526">
        <f t="shared" ca="1" si="10"/>
        <v>1</v>
      </c>
      <c r="M47" s="526">
        <f t="shared" ca="1" si="11"/>
        <v>1</v>
      </c>
      <c r="N47" s="526">
        <f t="shared" ca="1" si="11"/>
        <v>0</v>
      </c>
    </row>
    <row r="48" spans="1:14">
      <c r="A48" s="883" t="str">
        <f ca="1">IF(INDEX(Demand.Sectors,MATCH(MID(C48,2,3),NameConv!$G$4:$M$4,0)),"","*")</f>
        <v/>
      </c>
      <c r="B48" s="420" t="str">
        <f t="shared" ca="1" si="12"/>
        <v>T</v>
      </c>
      <c r="C48" s="419" t="str">
        <f ca="1">"X"&amp;OFFSET(NameConv!$F$4,0,I48)&amp;OFFSET(NameConv!$F$59,J48,I48)</f>
        <v>XRESGAS</v>
      </c>
      <c r="D48" s="419" t="str">
        <f ca="1">IF($A48="",OFFSET(NameConv!$F$3,0,I48)&amp;" "&amp;VLOOKUP(RIGHT(C48,3),NameConv!$C$5:$D$44,2,FALSE), "")</f>
        <v>Residential Gas South Africa</v>
      </c>
      <c r="E48" s="420" t="str">
        <f t="shared" ca="1" si="13"/>
        <v>PJ,PJa</v>
      </c>
      <c r="F48" s="420" t="str">
        <f t="shared" ca="1" si="0"/>
        <v>PRC,PRE,ANNUAL</v>
      </c>
      <c r="I48" s="526">
        <f ca="1">IF(J47=SUMIF(NameConv!$G$4:$M$4,MID(C47,2,3),NameConv!$G$45:$M$45),I47+1,I47)</f>
        <v>5</v>
      </c>
      <c r="J48" s="526">
        <f t="shared" ca="1" si="14"/>
        <v>4</v>
      </c>
      <c r="L48" s="526">
        <f t="shared" ca="1" si="10"/>
        <v>0</v>
      </c>
      <c r="M48" s="526">
        <f t="shared" ca="1" si="11"/>
        <v>0</v>
      </c>
      <c r="N48" s="526">
        <f t="shared" ca="1" si="11"/>
        <v>0</v>
      </c>
    </row>
    <row r="49" spans="1:14">
      <c r="A49" s="883" t="str">
        <f ca="1">IF(INDEX(Demand.Sectors,MATCH(MID(C49,2,3),NameConv!$G$4:$M$4,0)),"","*")</f>
        <v/>
      </c>
      <c r="B49" s="420" t="str">
        <f t="shared" ca="1" si="12"/>
        <v>T</v>
      </c>
      <c r="C49" s="419" t="str">
        <f ca="1">"X"&amp;OFFSET(NameConv!$F$4,0,I49)&amp;OFFSET(NameConv!$F$59,J49,I49)</f>
        <v>XRESOKE</v>
      </c>
      <c r="D49" s="419" t="str">
        <f ca="1">IF($A49="",OFFSET(NameConv!$F$3,0,I49)&amp;" "&amp;VLOOKUP(RIGHT(C49,3),NameConv!$C$5:$D$44,2,FALSE), "")</f>
        <v>Residential Oil Kerosene</v>
      </c>
      <c r="E49" s="420" t="str">
        <f t="shared" ca="1" si="13"/>
        <v>PJ,PJa</v>
      </c>
      <c r="F49" s="420" t="str">
        <f t="shared" ca="1" si="0"/>
        <v>PRC,PRE,ANNUAL</v>
      </c>
      <c r="I49" s="526">
        <f ca="1">IF(J48=SUMIF(NameConv!$G$4:$M$4,MID(C48,2,3),NameConv!$G$45:$M$45),I48+1,I48)</f>
        <v>5</v>
      </c>
      <c r="J49" s="526">
        <f t="shared" ca="1" si="14"/>
        <v>5</v>
      </c>
      <c r="L49" s="526">
        <f t="shared" ca="1" si="10"/>
        <v>0</v>
      </c>
      <c r="M49" s="526">
        <f t="shared" ca="1" si="11"/>
        <v>0</v>
      </c>
      <c r="N49" s="526">
        <f t="shared" ca="1" si="11"/>
        <v>0</v>
      </c>
    </row>
    <row r="50" spans="1:14">
      <c r="A50" s="883" t="str">
        <f ca="1">IF(INDEX(Demand.Sectors,MATCH(MID(C50,2,3),NameConv!$G$4:$M$4,0)),"","*")</f>
        <v/>
      </c>
      <c r="B50" s="420" t="str">
        <f t="shared" ref="B50:B57" ca="1" si="15">IF(A50="*","","T")</f>
        <v>T</v>
      </c>
      <c r="C50" s="419" t="str">
        <f ca="1">"X"&amp;OFFSET(NameConv!$F$4,0,I50)&amp;OFFSET(NameConv!$F$59,J50,I50)</f>
        <v>XRESOLP</v>
      </c>
      <c r="D50" s="419" t="str">
        <f ca="1">IF($A50="",OFFSET(NameConv!$F$3,0,I50)&amp;" "&amp;VLOOKUP(RIGHT(C50,3),NameConv!$C$5:$D$44,2,FALSE), "")</f>
        <v>Residential Oil LPG</v>
      </c>
      <c r="E50" s="420" t="str">
        <f t="shared" ref="E50:E57" ca="1" si="16">"PJ,"&amp;IF(RIGHT(C50,3)="ELC","GW","PJa")</f>
        <v>PJ,PJa</v>
      </c>
      <c r="F50" s="420" t="str">
        <f t="shared" ca="1" si="0"/>
        <v>PRC,PRE,ANNUAL</v>
      </c>
      <c r="I50" s="526">
        <f ca="1">IF(J49=SUMIF(NameConv!$G$4:$M$4,MID(C49,2,3),NameConv!$G$45:$M$45),I49+1,I49)</f>
        <v>5</v>
      </c>
      <c r="J50" s="526">
        <f t="shared" ref="J50:J57" ca="1" si="17">IF(I50=I49,J49+1,1)</f>
        <v>6</v>
      </c>
      <c r="L50" s="526">
        <f t="shared" ca="1" si="10"/>
        <v>0</v>
      </c>
      <c r="M50" s="526">
        <f t="shared" ca="1" si="11"/>
        <v>0</v>
      </c>
      <c r="N50" s="526">
        <f t="shared" ca="1" si="11"/>
        <v>0</v>
      </c>
    </row>
    <row r="51" spans="1:14">
      <c r="A51" s="883" t="str">
        <f ca="1">IF(INDEX(Demand.Sectors,MATCH(MID(C51,2,3),NameConv!$G$4:$M$4,0)),"","*")</f>
        <v/>
      </c>
      <c r="B51" s="420" t="str">
        <f t="shared" ca="1" si="15"/>
        <v>T</v>
      </c>
      <c r="C51" s="419" t="str">
        <f ca="1">"X"&amp;OFFSET(NameConv!$F$4,0,I51)&amp;OFFSET(NameConv!$F$59,J51,I51)</f>
        <v>XPWRBIG</v>
      </c>
      <c r="D51" s="419" t="str">
        <f ca="1">IF($A51="",OFFSET(NameConv!$F$3,0,I51)&amp;" "&amp;VLOOKUP(RIGHT(C51,3),NameConv!$C$5:$D$44,2,FALSE), "")</f>
        <v>Power Sector Biogas</v>
      </c>
      <c r="E51" s="420" t="str">
        <f t="shared" ca="1" si="16"/>
        <v>PJ,PJa</v>
      </c>
      <c r="F51" s="420" t="str">
        <f t="shared" ca="1" si="0"/>
        <v>PRC,PRE,ANNUAL</v>
      </c>
      <c r="I51" s="526">
        <f ca="1">IF(J50=SUMIF(NameConv!$G$4:$M$4,MID(C50,2,3),NameConv!$G$45:$M$45),I50+1,I50)</f>
        <v>6</v>
      </c>
      <c r="J51" s="526">
        <f t="shared" ca="1" si="17"/>
        <v>1</v>
      </c>
      <c r="L51" s="526">
        <f t="shared" ca="1" si="10"/>
        <v>0</v>
      </c>
      <c r="M51" s="526">
        <f t="shared" ca="1" si="11"/>
        <v>0</v>
      </c>
      <c r="N51" s="526">
        <f t="shared" ca="1" si="11"/>
        <v>0</v>
      </c>
    </row>
    <row r="52" spans="1:14">
      <c r="A52" s="883" t="str">
        <f ca="1">IF(INDEX(Demand.Sectors,MATCH(MID(C52,2,3),NameConv!$G$4:$M$4,0)),"","*")</f>
        <v/>
      </c>
      <c r="B52" s="420" t="str">
        <f t="shared" ca="1" si="15"/>
        <v>T</v>
      </c>
      <c r="C52" s="419" t="str">
        <f ca="1">"X"&amp;OFFSET(NameConv!$F$4,0,I52)&amp;OFFSET(NameConv!$F$59,J52,I52)</f>
        <v>XPWRBIB</v>
      </c>
      <c r="D52" s="419" t="str">
        <f ca="1">IF($A52="",OFFSET(NameConv!$F$3,0,I52)&amp;" "&amp;VLOOKUP(RIGHT(C52,3),NameConv!$C$5:$D$44,2,FALSE), "")</f>
        <v>Power Sector Biomass bagasse</v>
      </c>
      <c r="E52" s="420" t="str">
        <f t="shared" ca="1" si="16"/>
        <v>PJ,PJa</v>
      </c>
      <c r="F52" s="420" t="str">
        <f t="shared" ca="1" si="0"/>
        <v>PRC,PRE,ANNUAL</v>
      </c>
      <c r="I52" s="526">
        <f ca="1">IF(J51=SUMIF(NameConv!$G$4:$M$4,MID(C51,2,3),NameConv!$G$45:$M$45),I51+1,I51)</f>
        <v>6</v>
      </c>
      <c r="J52" s="526">
        <f t="shared" ca="1" si="17"/>
        <v>2</v>
      </c>
      <c r="L52" s="526">
        <f t="shared" ca="1" si="10"/>
        <v>0</v>
      </c>
      <c r="M52" s="526">
        <f t="shared" ca="1" si="11"/>
        <v>0</v>
      </c>
      <c r="N52" s="526">
        <f t="shared" ca="1" si="11"/>
        <v>0</v>
      </c>
    </row>
    <row r="53" spans="1:14">
      <c r="A53" s="883" t="str">
        <f ca="1">IF(INDEX(Demand.Sectors,MATCH(MID(C53,2,3),NameConv!$G$4:$M$4,0)),"","*")</f>
        <v/>
      </c>
      <c r="B53" s="420" t="str">
        <f t="shared" ca="1" si="15"/>
        <v>T</v>
      </c>
      <c r="C53" s="419" t="str">
        <f ca="1">"X"&amp;OFFSET(NameConv!$F$4,0,I53)&amp;OFFSET(NameConv!$F$59,J53,I53)</f>
        <v>XPWRBIO</v>
      </c>
      <c r="D53" s="419" t="str">
        <f ca="1">IF($A53="",OFFSET(NameConv!$F$3,0,I53)&amp;" "&amp;VLOOKUP(RIGHT(C53,3),NameConv!$C$5:$D$44,2,FALSE), "")</f>
        <v>Power Sector Biomass Other</v>
      </c>
      <c r="E53" s="420" t="str">
        <f t="shared" ca="1" si="16"/>
        <v>PJ,PJa</v>
      </c>
      <c r="F53" s="420" t="str">
        <f t="shared" ca="1" si="0"/>
        <v>PRC,PRE,ANNUAL</v>
      </c>
      <c r="I53" s="526">
        <f ca="1">IF(J52=SUMIF(NameConv!$G$4:$M$4,MID(C52,2,3),NameConv!$G$45:$M$45),I52+1,I52)</f>
        <v>6</v>
      </c>
      <c r="J53" s="526">
        <f t="shared" ca="1" si="17"/>
        <v>3</v>
      </c>
      <c r="L53" s="526">
        <f t="shared" ca="1" si="10"/>
        <v>0</v>
      </c>
      <c r="M53" s="526">
        <f t="shared" ca="1" si="11"/>
        <v>0</v>
      </c>
      <c r="N53" s="526">
        <f t="shared" ca="1" si="11"/>
        <v>0</v>
      </c>
    </row>
    <row r="54" spans="1:14">
      <c r="A54" s="883" t="str">
        <f ca="1">IF(INDEX(Demand.Sectors,MATCH(MID(C54,2,3),NameConv!$G$4:$M$4,0)),"","*")</f>
        <v/>
      </c>
      <c r="B54" s="420" t="str">
        <f t="shared" ca="1" si="15"/>
        <v>T</v>
      </c>
      <c r="C54" s="419" t="str">
        <f ca="1">"X"&amp;OFFSET(NameConv!$F$4,0,I54)&amp;OFFSET(NameConv!$F$59,J54,I54)</f>
        <v>XPWRBIW</v>
      </c>
      <c r="D54" s="419" t="str">
        <f ca="1">IF($A54="",OFFSET(NameConv!$F$3,0,I54)&amp;" "&amp;VLOOKUP(RIGHT(C54,3),NameConv!$C$5:$D$44,2,FALSE), "")</f>
        <v>Power Sector Biomass Wood</v>
      </c>
      <c r="E54" s="420" t="str">
        <f t="shared" ca="1" si="16"/>
        <v>PJ,PJa</v>
      </c>
      <c r="F54" s="420" t="str">
        <f t="shared" ca="1" si="0"/>
        <v>PRC,PRE,ANNUAL</v>
      </c>
      <c r="I54" s="526">
        <f ca="1">IF(J53=SUMIF(NameConv!$G$4:$M$4,MID(C53,2,3),NameConv!$G$45:$M$45),I53+1,I53)</f>
        <v>6</v>
      </c>
      <c r="J54" s="526">
        <f t="shared" ca="1" si="17"/>
        <v>4</v>
      </c>
      <c r="L54" s="526">
        <f t="shared" ca="1" si="10"/>
        <v>0</v>
      </c>
      <c r="M54" s="526">
        <f t="shared" ca="1" si="11"/>
        <v>0</v>
      </c>
      <c r="N54" s="526">
        <f t="shared" ca="1" si="11"/>
        <v>0</v>
      </c>
    </row>
    <row r="55" spans="1:14">
      <c r="A55" s="883" t="str">
        <f ca="1">IF(INDEX(Demand.Sectors,MATCH(MID(C55,2,3),NameConv!$G$4:$M$4,0)),"","*")</f>
        <v/>
      </c>
      <c r="B55" s="420" t="str">
        <f t="shared" ca="1" si="15"/>
        <v>T</v>
      </c>
      <c r="C55" s="419" t="str">
        <f ca="1">"X"&amp;OFFSET(NameConv!$F$4,0,I55)&amp;OFFSET(NameConv!$F$59,J55,I55)</f>
        <v>XPWRCLD</v>
      </c>
      <c r="D55" s="419" t="str">
        <f ca="1">IF($A55="",OFFSET(NameConv!$F$3,0,I55)&amp;" "&amp;VLOOKUP(RIGHT(C55,3),NameConv!$C$5:$D$44,2,FALSE), "")</f>
        <v>Power Sector Coal Discard</v>
      </c>
      <c r="E55" s="420" t="str">
        <f t="shared" ca="1" si="16"/>
        <v>PJ,PJa</v>
      </c>
      <c r="F55" s="420" t="str">
        <f t="shared" ca="1" si="0"/>
        <v>PRC,PRE,ANNUAL</v>
      </c>
      <c r="I55" s="526">
        <f ca="1">IF(J54=SUMIF(NameConv!$G$4:$M$4,MID(C54,2,3),NameConv!$G$45:$M$45),I54+1,I54)</f>
        <v>6</v>
      </c>
      <c r="J55" s="526">
        <f t="shared" ca="1" si="17"/>
        <v>5</v>
      </c>
      <c r="L55" s="526">
        <f t="shared" ca="1" si="10"/>
        <v>0</v>
      </c>
      <c r="M55" s="526">
        <f t="shared" ca="1" si="11"/>
        <v>0</v>
      </c>
      <c r="N55" s="526">
        <f t="shared" ca="1" si="11"/>
        <v>0</v>
      </c>
    </row>
    <row r="56" spans="1:14">
      <c r="A56" s="883" t="str">
        <f ca="1">IF(INDEX(Demand.Sectors,MATCH(MID(C56,2,3),NameConv!$G$4:$M$4,0)),"","*")</f>
        <v/>
      </c>
      <c r="B56" s="420" t="str">
        <f t="shared" ca="1" si="15"/>
        <v>T</v>
      </c>
      <c r="C56" s="419" t="str">
        <f ca="1">"X"&amp;OFFSET(NameConv!$F$4,0,I56)&amp;OFFSET(NameConv!$F$59,J56,I56)</f>
        <v>XPWRCLE</v>
      </c>
      <c r="D56" s="419" t="str">
        <f ca="1">IF($A56="",OFFSET(NameConv!$F$3,0,I56)&amp;" "&amp;VLOOKUP(RIGHT(C56,3),NameConv!$C$5:$D$44,2,FALSE), "")</f>
        <v>Power Sector Coal low grade</v>
      </c>
      <c r="E56" s="420" t="str">
        <f t="shared" ca="1" si="16"/>
        <v>PJ,PJa</v>
      </c>
      <c r="F56" s="420" t="str">
        <f t="shared" ca="1" si="0"/>
        <v>PRC,PRE,ANNUAL</v>
      </c>
      <c r="I56" s="526">
        <f ca="1">IF(J55=SUMIF(NameConv!$G$4:$M$4,MID(C55,2,3),NameConv!$G$45:$M$45),I55+1,I55)</f>
        <v>6</v>
      </c>
      <c r="J56" s="526">
        <f t="shared" ca="1" si="17"/>
        <v>6</v>
      </c>
      <c r="L56" s="526">
        <f t="shared" ca="1" si="10"/>
        <v>0</v>
      </c>
      <c r="M56" s="526">
        <f t="shared" ca="1" si="11"/>
        <v>0</v>
      </c>
      <c r="N56" s="526">
        <f t="shared" ca="1" si="11"/>
        <v>0</v>
      </c>
    </row>
    <row r="57" spans="1:14">
      <c r="A57" s="883" t="str">
        <f ca="1">IF(INDEX(Demand.Sectors,MATCH(MID(C57,2,3),NameConv!$G$4:$M$4,0)),"","*")</f>
        <v/>
      </c>
      <c r="B57" s="420" t="str">
        <f t="shared" ca="1" si="15"/>
        <v>T</v>
      </c>
      <c r="C57" s="419" t="str">
        <f ca="1">"X"&amp;OFFSET(NameConv!$F$4,0,I57)&amp;OFFSET(NameConv!$F$59,J57,I57)</f>
        <v>XPWRCRB</v>
      </c>
      <c r="D57" s="419" t="str">
        <f ca="1">IF($A57="",OFFSET(NameConv!$F$3,0,I57)&amp;" "&amp;VLOOKUP(RIGHT(C57,3),NameConv!$C$5:$D$44,2,FALSE), "")</f>
        <v>Power Sector Coal for plants in Botswana</v>
      </c>
      <c r="E57" s="420" t="str">
        <f t="shared" ca="1" si="16"/>
        <v>PJ,PJa</v>
      </c>
      <c r="F57" s="420" t="str">
        <f t="shared" ca="1" si="0"/>
        <v>PRC,PRE,ANNUAL</v>
      </c>
      <c r="I57" s="526">
        <f ca="1">IF(J56=SUMIF(NameConv!$G$4:$M$4,MID(C56,2,3),NameConv!$G$45:$M$45),I56+1,I56)</f>
        <v>6</v>
      </c>
      <c r="J57" s="526">
        <f t="shared" ca="1" si="17"/>
        <v>7</v>
      </c>
      <c r="L57" s="526">
        <f t="shared" ca="1" si="10"/>
        <v>0</v>
      </c>
      <c r="M57" s="526">
        <f t="shared" ca="1" si="11"/>
        <v>0</v>
      </c>
      <c r="N57" s="526">
        <f t="shared" ca="1" si="11"/>
        <v>0</v>
      </c>
    </row>
    <row r="58" spans="1:14">
      <c r="A58" s="883" t="str">
        <f ca="1">IF(INDEX(Demand.Sectors,MATCH(MID(C58,2,3),NameConv!$G$4:$M$4,0)),"","*")</f>
        <v/>
      </c>
      <c r="B58" s="420" t="str">
        <f ca="1">IF(A58="*","","T")</f>
        <v>T</v>
      </c>
      <c r="C58" s="419" t="str">
        <f ca="1">"X"&amp;OFFSET(NameConv!$F$4,0,I58)&amp;OFFSET(NameConv!$F$59,J58,I58)</f>
        <v>XPWRGAS</v>
      </c>
      <c r="D58" s="419" t="str">
        <f ca="1">IF($A58="",OFFSET(NameConv!$F$3,0,I58)&amp;" "&amp;VLOOKUP(RIGHT(C58,3),NameConv!$C$5:$D$44,2,FALSE), "")</f>
        <v>Power Sector Gas South Africa</v>
      </c>
      <c r="E58" s="420" t="str">
        <f ca="1">"PJ,"&amp;IF(RIGHT(C58,3)="ELC","GW","PJa")</f>
        <v>PJ,PJa</v>
      </c>
      <c r="F58" s="420" t="str">
        <f t="shared" ca="1" si="0"/>
        <v>PRC,PRE,ANNUAL</v>
      </c>
      <c r="I58" s="526">
        <f ca="1">IF(J57=SUMIF(NameConv!$G$4:$M$4,MID(C57,2,3),NameConv!$G$45:$M$45),I57+1,I57)</f>
        <v>6</v>
      </c>
      <c r="J58" s="526">
        <f ca="1">IF(I58=I57,J57+1,1)</f>
        <v>8</v>
      </c>
      <c r="L58" s="526">
        <f t="shared" ca="1" si="10"/>
        <v>0</v>
      </c>
      <c r="M58" s="526">
        <f t="shared" ca="1" si="11"/>
        <v>0</v>
      </c>
      <c r="N58" s="526">
        <f t="shared" ca="1" si="11"/>
        <v>0</v>
      </c>
    </row>
    <row r="59" spans="1:14">
      <c r="A59" s="883" t="str">
        <f ca="1">IF(INDEX(Demand.Sectors,MATCH(MID(C59,2,3),NameConv!$G$4:$M$4,0)),"","*")</f>
        <v/>
      </c>
      <c r="B59" s="420" t="str">
        <f ca="1">IF(A59="*","","T")</f>
        <v>T</v>
      </c>
      <c r="C59" s="419" t="str">
        <f ca="1">"X"&amp;OFFSET(NameConv!$F$4,0,I59)&amp;OFFSET(NameConv!$F$59,J59,I59)</f>
        <v>XPWRGRS</v>
      </c>
      <c r="D59" s="419" t="str">
        <f ca="1">IF($A59="",OFFSET(NameConv!$F$3,0,I59)&amp;" "&amp;VLOOKUP(RIGHT(C59,3),NameConv!$C$5:$D$44,2,FALSE), "")</f>
        <v>Power Sector Gas Southern Mozambique</v>
      </c>
      <c r="E59" s="420" t="str">
        <f ca="1">"PJ,"&amp;IF(RIGHT(C59,3)="ELC","GW","PJa")</f>
        <v>PJ,PJa</v>
      </c>
      <c r="F59" s="420" t="str">
        <f t="shared" ca="1" si="0"/>
        <v>PRC,PRE,ANNUAL</v>
      </c>
      <c r="I59" s="526">
        <f ca="1">IF(J58=SUMIF(NameConv!$G$4:$M$4,MID(C58,2,3),NameConv!$G$45:$M$45),I58+1,I58)</f>
        <v>6</v>
      </c>
      <c r="J59" s="526">
        <f ca="1">IF(I59=I58,J58+1,1)</f>
        <v>9</v>
      </c>
      <c r="L59" s="526">
        <f t="shared" ca="1" si="10"/>
        <v>0</v>
      </c>
      <c r="M59" s="526">
        <f t="shared" ca="1" si="11"/>
        <v>0</v>
      </c>
      <c r="N59" s="526">
        <f t="shared" ca="1" si="11"/>
        <v>0</v>
      </c>
    </row>
    <row r="60" spans="1:14">
      <c r="A60" s="883" t="str">
        <f ca="1">IF(INDEX(Demand.Sectors,MATCH(MID(C60,2,3),NameConv!$G$4:$M$4,0)),"","*")</f>
        <v/>
      </c>
      <c r="B60" s="420" t="str">
        <f t="shared" ref="B60:B76" ca="1" si="18">IF(A60="*","","T")</f>
        <v>T</v>
      </c>
      <c r="C60" s="419" t="str">
        <f ca="1">"X"&amp;OFFSET(NameConv!$F$4,0,I60)&amp;OFFSET(NameConv!$F$59,J60,I60)</f>
        <v>XPWRGRN</v>
      </c>
      <c r="D60" s="419" t="str">
        <f ca="1">IF($A60="",OFFSET(NameConv!$F$3,0,I60)&amp;" "&amp;VLOOKUP(RIGHT(C60,3),NameConv!$C$5:$D$44,2,FALSE), "")</f>
        <v>Power Sector Gas Namibia</v>
      </c>
      <c r="E60" s="420" t="str">
        <f t="shared" ref="E60:E76" ca="1" si="19">"PJ,"&amp;IF(RIGHT(C60,3)="ELC","GW","PJa")</f>
        <v>PJ,PJa</v>
      </c>
      <c r="F60" s="420" t="str">
        <f t="shared" ca="1" si="0"/>
        <v>PRC,PRE,ANNUAL</v>
      </c>
      <c r="I60" s="526">
        <f ca="1">IF(J59=SUMIF(NameConv!$G$4:$M$4,MID(C59,2,3),NameConv!$G$45:$M$45),I59+1,I59)</f>
        <v>6</v>
      </c>
      <c r="J60" s="526">
        <f t="shared" ref="J60:J76" ca="1" si="20">IF(I60=I59,J59+1,1)</f>
        <v>10</v>
      </c>
      <c r="L60" s="526">
        <f t="shared" ca="1" si="10"/>
        <v>0</v>
      </c>
      <c r="M60" s="526">
        <f t="shared" ca="1" si="11"/>
        <v>0</v>
      </c>
      <c r="N60" s="526">
        <f t="shared" ca="1" si="11"/>
        <v>0</v>
      </c>
    </row>
    <row r="61" spans="1:14">
      <c r="A61" s="883" t="str">
        <f ca="1">IF(INDEX(Demand.Sectors,MATCH(MID(C61,2,3),NameConv!$G$4:$M$4,0)),"","*")</f>
        <v/>
      </c>
      <c r="B61" s="420" t="str">
        <f t="shared" ca="1" si="18"/>
        <v>T</v>
      </c>
      <c r="C61" s="419" t="str">
        <f ca="1">"X"&amp;OFFSET(NameConv!$F$4,0,I61)&amp;OFFSET(NameConv!$F$59,J61,I61)</f>
        <v>XPWRGRM</v>
      </c>
      <c r="D61" s="419" t="str">
        <f ca="1">IF($A61="",OFFSET(NameConv!$F$3,0,I61)&amp;" "&amp;VLOOKUP(RIGHT(C61,3),NameConv!$C$5:$D$44,2,FALSE), "")</f>
        <v>Power Sector Gas Northern Mozambique</v>
      </c>
      <c r="E61" s="420" t="str">
        <f t="shared" ca="1" si="19"/>
        <v>PJ,PJa</v>
      </c>
      <c r="F61" s="420" t="str">
        <f t="shared" ca="1" si="0"/>
        <v>PRC,PRE,ANNUAL</v>
      </c>
      <c r="I61" s="526">
        <f ca="1">IF(J60=SUMIF(NameConv!$G$4:$M$4,MID(C60,2,3),NameConv!$G$45:$M$45),I60+1,I60)</f>
        <v>6</v>
      </c>
      <c r="J61" s="526">
        <f t="shared" ca="1" si="20"/>
        <v>11</v>
      </c>
      <c r="L61" s="526">
        <f t="shared" ca="1" si="10"/>
        <v>0</v>
      </c>
      <c r="M61" s="526">
        <f t="shared" ca="1" si="11"/>
        <v>0</v>
      </c>
      <c r="N61" s="526">
        <f t="shared" ca="1" si="11"/>
        <v>0</v>
      </c>
    </row>
    <row r="62" spans="1:14">
      <c r="A62" s="883" t="str">
        <f ca="1">IF(INDEX(Demand.Sectors,MATCH(MID(C62,2,3),NameConv!$G$4:$M$4,0)),"","*")</f>
        <v/>
      </c>
      <c r="B62" s="420" t="str">
        <f t="shared" ca="1" si="18"/>
        <v>T</v>
      </c>
      <c r="C62" s="419" t="str">
        <f ca="1">"X"&amp;OFFSET(NameConv!$F$4,0,I62)&amp;OFFSET(NameConv!$F$59,J62,I62)</f>
        <v>XPWRGIH</v>
      </c>
      <c r="D62" s="419" t="str">
        <f ca="1">IF($A62="",OFFSET(NameConv!$F$3,0,I62)&amp;" "&amp;VLOOKUP(RIGHT(C62,3),NameConv!$C$5:$D$44,2,FALSE), "")</f>
        <v>Power Sector Gas Indigenous Shale</v>
      </c>
      <c r="E62" s="420" t="str">
        <f t="shared" ca="1" si="19"/>
        <v>PJ,PJa</v>
      </c>
      <c r="F62" s="420" t="str">
        <f t="shared" ca="1" si="0"/>
        <v>PRC,PRE,ANNUAL</v>
      </c>
      <c r="I62" s="526">
        <f ca="1">IF(J61=SUMIF(NameConv!$G$4:$M$4,MID(C61,2,3),NameConv!$G$45:$M$45),I61+1,I61)</f>
        <v>6</v>
      </c>
      <c r="J62" s="526">
        <f t="shared" ca="1" si="20"/>
        <v>12</v>
      </c>
      <c r="L62" s="526">
        <f t="shared" ca="1" si="10"/>
        <v>0</v>
      </c>
      <c r="M62" s="526">
        <f t="shared" ca="1" si="11"/>
        <v>0</v>
      </c>
      <c r="N62" s="526">
        <f t="shared" ca="1" si="11"/>
        <v>0</v>
      </c>
    </row>
    <row r="63" spans="1:14">
      <c r="A63" s="883" t="str">
        <f ca="1">IF(INDEX(Demand.Sectors,MATCH(MID(C63,2,3),NameConv!$G$4:$M$4,0)),"","*")</f>
        <v/>
      </c>
      <c r="B63" s="420" t="str">
        <f t="shared" ca="1" si="18"/>
        <v>T</v>
      </c>
      <c r="C63" s="419" t="str">
        <f ca="1">"X"&amp;OFFSET(NameConv!$F$4,0,I63)&amp;OFFSET(NameConv!$F$59,J63,I63)</f>
        <v>XPWRGIC</v>
      </c>
      <c r="D63" s="419" t="str">
        <f ca="1">IF($A63="",OFFSET(NameConv!$F$3,0,I63)&amp;" "&amp;VLOOKUP(RIGHT(C63,3),NameConv!$C$5:$D$44,2,FALSE), "")</f>
        <v>Power Sector Coastal Gas</v>
      </c>
      <c r="E63" s="420" t="str">
        <f t="shared" ca="1" si="19"/>
        <v>PJ,PJa</v>
      </c>
      <c r="F63" s="420" t="str">
        <f t="shared" ca="1" si="0"/>
        <v>PRC,PRE,ANNUAL</v>
      </c>
      <c r="I63" s="526">
        <f ca="1">IF(J62=SUMIF(NameConv!$G$4:$M$4,MID(C62,2,3),NameConv!$G$45:$M$45),I62+1,I62)</f>
        <v>6</v>
      </c>
      <c r="J63" s="526">
        <f t="shared" ca="1" si="20"/>
        <v>13</v>
      </c>
      <c r="L63" s="526">
        <f t="shared" ca="1" si="10"/>
        <v>0</v>
      </c>
      <c r="M63" s="526">
        <f t="shared" ca="1" si="11"/>
        <v>0</v>
      </c>
      <c r="N63" s="526">
        <f t="shared" ca="1" si="11"/>
        <v>0</v>
      </c>
    </row>
    <row r="64" spans="1:14">
      <c r="A64" s="883" t="str">
        <f ca="1">IF(INDEX(Demand.Sectors,MATCH(MID(C64,2,3),NameConv!$G$4:$M$4,0)),"","*")</f>
        <v/>
      </c>
      <c r="B64" s="420" t="str">
        <f t="shared" ca="1" si="18"/>
        <v>T</v>
      </c>
      <c r="C64" s="419" t="str">
        <f ca="1">"X"&amp;OFFSET(NameConv!$F$4,0,I64)&amp;OFFSET(NameConv!$F$59,J64,I64)</f>
        <v>XPWRHYD</v>
      </c>
      <c r="D64" s="419" t="str">
        <f ca="1">IF($A64="",OFFSET(NameConv!$F$3,0,I64)&amp;" "&amp;VLOOKUP(RIGHT(C64,3),NameConv!$C$5:$D$44,2,FALSE), "")</f>
        <v>Power Sector Hydro</v>
      </c>
      <c r="E64" s="420" t="str">
        <f t="shared" ca="1" si="19"/>
        <v>PJ,PJa</v>
      </c>
      <c r="F64" s="420" t="str">
        <f t="shared" ca="1" si="0"/>
        <v>PRC,PRE,ANNUAL</v>
      </c>
      <c r="I64" s="526">
        <f ca="1">IF(J63=SUMIF(NameConv!$G$4:$M$4,MID(C63,2,3),NameConv!$G$45:$M$45),I63+1,I63)</f>
        <v>6</v>
      </c>
      <c r="J64" s="526">
        <f t="shared" ca="1" si="20"/>
        <v>14</v>
      </c>
      <c r="L64" s="526">
        <f t="shared" ca="1" si="10"/>
        <v>0</v>
      </c>
      <c r="M64" s="526">
        <f t="shared" ca="1" si="11"/>
        <v>0</v>
      </c>
      <c r="N64" s="526">
        <f t="shared" ca="1" si="11"/>
        <v>0</v>
      </c>
    </row>
    <row r="65" spans="1:14">
      <c r="A65" s="883" t="str">
        <f ca="1">IF(INDEX(Demand.Sectors,MATCH(MID(C65,2,3),NameConv!$G$4:$M$4,0)),"","*")</f>
        <v/>
      </c>
      <c r="B65" s="420" t="str">
        <f t="shared" ca="1" si="18"/>
        <v>T</v>
      </c>
      <c r="C65" s="419" t="str">
        <f ca="1">"X"&amp;OFFSET(NameConv!$F$4,0,I65)&amp;OFFSET(NameConv!$F$59,J65,I65)</f>
        <v>XPWRHGN</v>
      </c>
      <c r="D65" s="419" t="str">
        <f ca="1">IF($A65="",OFFSET(NameConv!$F$3,0,I65)&amp;" "&amp;VLOOKUP(RIGHT(C65,3),NameConv!$C$5:$D$44,2,FALSE), "")</f>
        <v>Power Sector Hydrogen</v>
      </c>
      <c r="E65" s="420" t="str">
        <f t="shared" ca="1" si="19"/>
        <v>PJ,PJa</v>
      </c>
      <c r="F65" s="420" t="str">
        <f t="shared" ca="1" si="0"/>
        <v>PRC,PRE,DAYNITE</v>
      </c>
      <c r="I65" s="526">
        <f ca="1">IF(J64=SUMIF(NameConv!$G$4:$M$4,MID(C64,2,3),NameConv!$G$45:$M$45),I64+1,I64)</f>
        <v>6</v>
      </c>
      <c r="J65" s="526">
        <f t="shared" ca="1" si="20"/>
        <v>15</v>
      </c>
      <c r="L65" s="526">
        <f t="shared" ca="1" si="10"/>
        <v>1</v>
      </c>
      <c r="M65" s="526">
        <f t="shared" ca="1" si="11"/>
        <v>0</v>
      </c>
      <c r="N65" s="526">
        <f t="shared" ca="1" si="11"/>
        <v>1</v>
      </c>
    </row>
    <row r="66" spans="1:14">
      <c r="A66" s="883" t="str">
        <f ca="1">IF(INDEX(Demand.Sectors,MATCH(MID(C66,2,3),NameConv!$G$4:$M$4,0)),"","*")</f>
        <v/>
      </c>
      <c r="B66" s="420" t="str">
        <f t="shared" ca="1" si="18"/>
        <v>T</v>
      </c>
      <c r="C66" s="419" t="str">
        <f ca="1">"X"&amp;OFFSET(NameConv!$F$4,0,I66)&amp;OFFSET(NameConv!$F$59,J66,I66)</f>
        <v>XPWRNUC</v>
      </c>
      <c r="D66" s="419" t="str">
        <f ca="1">IF($A66="",OFFSET(NameConv!$F$3,0,I66)&amp;" "&amp;VLOOKUP(RIGHT(C66,3),NameConv!$C$5:$D$44,2,FALSE), "")</f>
        <v>Power Sector Nuclear</v>
      </c>
      <c r="E66" s="420" t="str">
        <f t="shared" ca="1" si="19"/>
        <v>PJ,PJa</v>
      </c>
      <c r="F66" s="420" t="str">
        <f t="shared" ca="1" si="0"/>
        <v>PRC,PRE,ANNUAL</v>
      </c>
      <c r="I66" s="526">
        <f ca="1">IF(J65=SUMIF(NameConv!$G$4:$M$4,MID(C65,2,3),NameConv!$G$45:$M$45),I65+1,I65)</f>
        <v>6</v>
      </c>
      <c r="J66" s="526">
        <f t="shared" ca="1" si="20"/>
        <v>16</v>
      </c>
      <c r="L66" s="526">
        <f t="shared" ca="1" si="10"/>
        <v>0</v>
      </c>
      <c r="M66" s="526">
        <f t="shared" ca="1" si="11"/>
        <v>0</v>
      </c>
      <c r="N66" s="526">
        <f t="shared" ca="1" si="11"/>
        <v>0</v>
      </c>
    </row>
    <row r="67" spans="1:14">
      <c r="A67" s="883" t="str">
        <f ca="1">IF(INDEX(Demand.Sectors,MATCH(MID(C67,2,3),NameConv!$G$4:$M$4,0)),"","*")</f>
        <v/>
      </c>
      <c r="B67" s="420" t="str">
        <f t="shared" ca="1" si="18"/>
        <v>T</v>
      </c>
      <c r="C67" s="419" t="str">
        <f ca="1">"X"&amp;OFFSET(NameConv!$F$4,0,I67)&amp;OFFSET(NameConv!$F$59,J67,I67)</f>
        <v>XPWRODS</v>
      </c>
      <c r="D67" s="419" t="str">
        <f ca="1">IF($A67="",OFFSET(NameConv!$F$3,0,I67)&amp;" "&amp;VLOOKUP(RIGHT(C67,3),NameConv!$C$5:$D$44,2,FALSE), "")</f>
        <v>Power Sector Oil Diesel</v>
      </c>
      <c r="E67" s="420" t="str">
        <f t="shared" ca="1" si="19"/>
        <v>PJ,PJa</v>
      </c>
      <c r="F67" s="420" t="str">
        <f t="shared" ca="1" si="0"/>
        <v>PRC,PRE,ANNUAL</v>
      </c>
      <c r="I67" s="526">
        <f ca="1">IF(J66=SUMIF(NameConv!$G$4:$M$4,MID(C66,2,3),NameConv!$G$45:$M$45),I66+1,I66)</f>
        <v>6</v>
      </c>
      <c r="J67" s="526">
        <f t="shared" ca="1" si="20"/>
        <v>17</v>
      </c>
      <c r="L67" s="526">
        <f t="shared" ca="1" si="10"/>
        <v>0</v>
      </c>
      <c r="M67" s="526">
        <f t="shared" ca="1" si="11"/>
        <v>0</v>
      </c>
      <c r="N67" s="526">
        <f t="shared" ca="1" si="11"/>
        <v>0</v>
      </c>
    </row>
    <row r="68" spans="1:14">
      <c r="A68" s="883" t="str">
        <f ca="1">IF(INDEX(Demand.Sectors,MATCH(MID(C68,2,3),NameConv!$G$4:$M$4,0)),"","*")</f>
        <v/>
      </c>
      <c r="B68" s="420" t="str">
        <f t="shared" ca="1" si="18"/>
        <v>T</v>
      </c>
      <c r="C68" s="419" t="str">
        <f ca="1">"X"&amp;OFFSET(NameConv!$F$4,0,I68)&amp;OFFSET(NameConv!$F$59,J68,I68)</f>
        <v>XPWRSOL</v>
      </c>
      <c r="D68" s="419" t="str">
        <f ca="1">IF($A68="",OFFSET(NameConv!$F$3,0,I68)&amp;" "&amp;VLOOKUP(RIGHT(C68,3),NameConv!$C$5:$D$44,2,FALSE), "")</f>
        <v>Power Sector Solar</v>
      </c>
      <c r="E68" s="420" t="str">
        <f t="shared" ca="1" si="19"/>
        <v>PJ,PJa</v>
      </c>
      <c r="F68" s="420" t="str">
        <f t="shared" ca="1" si="0"/>
        <v>PRC,PRE,ANNUAL</v>
      </c>
      <c r="I68" s="526">
        <f ca="1">IF(J67=SUMIF(NameConv!$G$4:$M$4,MID(C67,2,3),NameConv!$G$45:$M$45),I67+1,I67)</f>
        <v>6</v>
      </c>
      <c r="J68" s="526">
        <f t="shared" ca="1" si="20"/>
        <v>18</v>
      </c>
      <c r="L68" s="526">
        <f t="shared" ca="1" si="10"/>
        <v>0</v>
      </c>
      <c r="M68" s="526">
        <f t="shared" ca="1" si="11"/>
        <v>0</v>
      </c>
      <c r="N68" s="526">
        <f t="shared" ca="1" si="11"/>
        <v>0</v>
      </c>
    </row>
    <row r="69" spans="1:14">
      <c r="A69" s="883" t="str">
        <f ca="1">IF(INDEX(Demand.Sectors,MATCH(MID(C69,2,3),NameConv!$G$4:$M$4,0)),"","*")</f>
        <v/>
      </c>
      <c r="B69" s="420" t="str">
        <f t="shared" ca="1" si="18"/>
        <v>T</v>
      </c>
      <c r="C69" s="419" t="str">
        <f ca="1">"X"&amp;OFFSET(NameConv!$F$4,0,I69)&amp;OFFSET(NameConv!$F$59,J69,I69)</f>
        <v>XPWRWND</v>
      </c>
      <c r="D69" s="419" t="str">
        <f ca="1">IF($A69="",OFFSET(NameConv!$F$3,0,I69)&amp;" "&amp;VLOOKUP(RIGHT(C69,3),NameConv!$C$5:$D$44,2,FALSE), "")</f>
        <v>Power Sector Wind</v>
      </c>
      <c r="E69" s="420" t="str">
        <f t="shared" ca="1" si="19"/>
        <v>PJ,PJa</v>
      </c>
      <c r="F69" s="420" t="str">
        <f t="shared" ca="1" si="0"/>
        <v>PRC,PRE,ANNUAL</v>
      </c>
      <c r="I69" s="526">
        <f ca="1">IF(J68=SUMIF(NameConv!$G$4:$M$4,MID(C68,2,3),NameConv!$G$45:$M$45),I68+1,I68)</f>
        <v>6</v>
      </c>
      <c r="J69" s="526">
        <f t="shared" ca="1" si="20"/>
        <v>19</v>
      </c>
      <c r="L69" s="526">
        <f t="shared" ca="1" si="10"/>
        <v>0</v>
      </c>
      <c r="M69" s="526">
        <f t="shared" ca="1" si="11"/>
        <v>0</v>
      </c>
      <c r="N69" s="526">
        <f t="shared" ca="1" si="11"/>
        <v>0</v>
      </c>
    </row>
    <row r="70" spans="1:14">
      <c r="A70" s="883" t="str">
        <f ca="1">IF(INDEX(Demand.Sectors,MATCH(MID(C70,2,3),NameConv!$G$4:$M$4,0)),"","*")</f>
        <v/>
      </c>
      <c r="B70" s="420" t="str">
        <f t="shared" ca="1" si="18"/>
        <v>T</v>
      </c>
      <c r="C70" s="419" t="str">
        <f ca="1">"X"&amp;OFFSET(NameConv!$F$4,0,I70)&amp;OFFSET(NameConv!$F$59,J70,I70)</f>
        <v>XUPSBIE</v>
      </c>
      <c r="D70" s="419" t="str">
        <f ca="1">IF($A70="",OFFSET(NameConv!$F$3,0,I70)&amp;" "&amp;VLOOKUP(RIGHT(C70,3),NameConv!$C$5:$D$44,2,FALSE), "")</f>
        <v>Supply Sector Bioethanol</v>
      </c>
      <c r="E70" s="420" t="str">
        <f t="shared" ca="1" si="19"/>
        <v>PJ,PJa</v>
      </c>
      <c r="F70" s="420" t="str">
        <f t="shared" ca="1" si="0"/>
        <v>PRC,PRE,ANNUAL</v>
      </c>
      <c r="I70" s="526">
        <f ca="1">IF(J69=SUMIF(NameConv!$G$4:$M$4,MID(C69,2,3),NameConv!$G$45:$M$45),I69+1,I69)</f>
        <v>7</v>
      </c>
      <c r="J70" s="526">
        <f t="shared" ca="1" si="20"/>
        <v>1</v>
      </c>
      <c r="L70" s="526">
        <f t="shared" ca="1" si="10"/>
        <v>0</v>
      </c>
      <c r="M70" s="526">
        <f t="shared" ca="1" si="11"/>
        <v>0</v>
      </c>
      <c r="N70" s="526">
        <f t="shared" ca="1" si="11"/>
        <v>0</v>
      </c>
    </row>
    <row r="71" spans="1:14">
      <c r="A71" s="883" t="str">
        <f ca="1">IF(INDEX(Demand.Sectors,MATCH(MID(C71,2,3),NameConv!$G$4:$M$4,0)),"","*")</f>
        <v/>
      </c>
      <c r="B71" s="420" t="str">
        <f t="shared" ca="1" si="18"/>
        <v>T</v>
      </c>
      <c r="C71" s="419" t="str">
        <f ca="1">"X"&amp;OFFSET(NameConv!$F$4,0,I71)&amp;OFFSET(NameConv!$F$59,J71,I71)</f>
        <v>XUPSBID</v>
      </c>
      <c r="D71" s="419" t="str">
        <f ca="1">IF($A71="",OFFSET(NameConv!$F$3,0,I71)&amp;" "&amp;VLOOKUP(RIGHT(C71,3),NameConv!$C$5:$D$44,2,FALSE), "")</f>
        <v>Supply Sector Biodiesel</v>
      </c>
      <c r="E71" s="420" t="str">
        <f t="shared" ca="1" si="19"/>
        <v>PJ,PJa</v>
      </c>
      <c r="F71" s="420" t="str">
        <f t="shared" ca="1" si="0"/>
        <v>PRC,PRE,ANNUAL</v>
      </c>
      <c r="I71" s="526">
        <f ca="1">IF(J70=SUMIF(NameConv!$G$4:$M$4,MID(C70,2,3),NameConv!$G$45:$M$45),I70+1,I70)</f>
        <v>7</v>
      </c>
      <c r="J71" s="526">
        <f t="shared" ca="1" si="20"/>
        <v>2</v>
      </c>
      <c r="L71" s="526">
        <f t="shared" ca="1" si="10"/>
        <v>0</v>
      </c>
      <c r="M71" s="526">
        <f t="shared" ca="1" si="11"/>
        <v>0</v>
      </c>
      <c r="N71" s="526">
        <f t="shared" ca="1" si="11"/>
        <v>0</v>
      </c>
    </row>
    <row r="72" spans="1:14">
      <c r="A72" s="883" t="str">
        <f ca="1">IF(INDEX(Demand.Sectors,MATCH(MID(C72,2,3),NameConv!$G$4:$M$4,0)),"","*")</f>
        <v/>
      </c>
      <c r="B72" s="420" t="str">
        <f t="shared" ca="1" si="18"/>
        <v>T</v>
      </c>
      <c r="C72" s="419" t="str">
        <f ca="1">"X"&amp;OFFSET(NameConv!$F$4,0,I72)&amp;OFFSET(NameConv!$F$59,J72,I72)</f>
        <v>XUPSCLE</v>
      </c>
      <c r="D72" s="419" t="str">
        <f ca="1">IF($A72="",OFFSET(NameConv!$F$3,0,I72)&amp;" "&amp;VLOOKUP(RIGHT(C72,3),NameConv!$C$5:$D$44,2,FALSE), "")</f>
        <v>Supply Sector Coal low grade</v>
      </c>
      <c r="E72" s="420" t="str">
        <f t="shared" ca="1" si="19"/>
        <v>PJ,PJa</v>
      </c>
      <c r="F72" s="420" t="str">
        <f t="shared" ca="1" si="0"/>
        <v>PRC,PRE,ANNUAL</v>
      </c>
      <c r="I72" s="526">
        <f ca="1">IF(J71=SUMIF(NameConv!$G$4:$M$4,MID(C71,2,3),NameConv!$G$45:$M$45),I71+1,I71)</f>
        <v>7</v>
      </c>
      <c r="J72" s="526">
        <f t="shared" ca="1" si="20"/>
        <v>3</v>
      </c>
      <c r="L72" s="526">
        <f t="shared" ca="1" si="10"/>
        <v>0</v>
      </c>
      <c r="M72" s="526">
        <f t="shared" ca="1" si="11"/>
        <v>0</v>
      </c>
      <c r="N72" s="526">
        <f t="shared" ca="1" si="11"/>
        <v>0</v>
      </c>
    </row>
    <row r="73" spans="1:14">
      <c r="A73" s="883" t="str">
        <f ca="1">IF(INDEX(Demand.Sectors,MATCH(MID(C73,2,3),NameConv!$G$4:$M$4,0)),"","*")</f>
        <v/>
      </c>
      <c r="B73" s="420" t="str">
        <f t="shared" ca="1" si="18"/>
        <v>T</v>
      </c>
      <c r="C73" s="419" t="str">
        <f ca="1">"X"&amp;OFFSET(NameConv!$F$4,0,I73)&amp;OFFSET(NameConv!$F$59,J73,I73)</f>
        <v>XUPSELC</v>
      </c>
      <c r="D73" s="419" t="str">
        <f ca="1">IF($A73="",OFFSET(NameConv!$F$3,0,I73)&amp;" "&amp;VLOOKUP(RIGHT(C73,3),NameConv!$C$5:$D$44,2,FALSE), "")</f>
        <v>Supply Sector Electricity</v>
      </c>
      <c r="E73" s="420" t="str">
        <f t="shared" ca="1" si="19"/>
        <v>PJ,GW</v>
      </c>
      <c r="F73" s="420" t="str">
        <f t="shared" ca="1" si="0"/>
        <v>PRC,PRE,DAYNITE</v>
      </c>
      <c r="I73" s="526">
        <f ca="1">IF(J72=SUMIF(NameConv!$G$4:$M$4,MID(C72,2,3),NameConv!$G$45:$M$45),I72+1,I72)</f>
        <v>7</v>
      </c>
      <c r="J73" s="526">
        <f t="shared" ca="1" si="20"/>
        <v>4</v>
      </c>
      <c r="L73" s="526">
        <f t="shared" ca="1" si="10"/>
        <v>1</v>
      </c>
      <c r="M73" s="526">
        <f t="shared" ca="1" si="11"/>
        <v>1</v>
      </c>
      <c r="N73" s="526">
        <f t="shared" ca="1" si="11"/>
        <v>0</v>
      </c>
    </row>
    <row r="74" spans="1:14">
      <c r="A74" s="883" t="str">
        <f ca="1">IF(INDEX(Demand.Sectors,MATCH(MID(C74,2,3),NameConv!$G$4:$M$4,0)),"","*")</f>
        <v/>
      </c>
      <c r="B74" s="420" t="str">
        <f t="shared" ca="1" si="18"/>
        <v>T</v>
      </c>
      <c r="C74" s="419" t="str">
        <f ca="1">"X"&amp;OFFSET(NameConv!$F$4,0,I74)&amp;OFFSET(NameConv!$F$59,J74,I74)</f>
        <v>XUPSGAS</v>
      </c>
      <c r="D74" s="419" t="str">
        <f ca="1">IF($A74="",OFFSET(NameConv!$F$3,0,I74)&amp;" "&amp;VLOOKUP(RIGHT(C74,3),NameConv!$C$5:$D$44,2,FALSE), "")</f>
        <v>Supply Sector Gas South Africa</v>
      </c>
      <c r="E74" s="420" t="str">
        <f t="shared" ca="1" si="19"/>
        <v>PJ,PJa</v>
      </c>
      <c r="F74" s="420" t="str">
        <f t="shared" ca="1" si="0"/>
        <v>PRC,PRE,ANNUAL</v>
      </c>
      <c r="I74" s="526">
        <f ca="1">IF(J73=SUMIF(NameConv!$G$4:$M$4,MID(C73,2,3),NameConv!$G$45:$M$45),I73+1,I73)</f>
        <v>7</v>
      </c>
      <c r="J74" s="526">
        <f t="shared" ca="1" si="20"/>
        <v>5</v>
      </c>
      <c r="L74" s="526">
        <f t="shared" ca="1" si="10"/>
        <v>0</v>
      </c>
      <c r="M74" s="526">
        <f t="shared" ca="1" si="11"/>
        <v>0</v>
      </c>
      <c r="N74" s="526">
        <f t="shared" ca="1" si="11"/>
        <v>0</v>
      </c>
    </row>
    <row r="75" spans="1:14">
      <c r="A75" s="883" t="str">
        <f ca="1">IF(INDEX(Demand.Sectors,MATCH(MID(C75,2,3),NameConv!$G$4:$M$4,0)),"","*")</f>
        <v/>
      </c>
      <c r="B75" s="420" t="str">
        <f t="shared" ca="1" si="18"/>
        <v>T</v>
      </c>
      <c r="C75" s="419" t="str">
        <f ca="1">"X"&amp;OFFSET(NameConv!$F$4,0,I75)&amp;OFFSET(NameConv!$F$59,J75,I75)</f>
        <v>XUPSGIC</v>
      </c>
      <c r="D75" s="419" t="str">
        <f ca="1">IF($A75="",OFFSET(NameConv!$F$3,0,I75)&amp;" "&amp;VLOOKUP(RIGHT(C75,3),NameConv!$C$5:$D$44,2,FALSE), "")</f>
        <v>Supply Sector Coastal Gas</v>
      </c>
      <c r="E75" s="420" t="str">
        <f t="shared" ca="1" si="19"/>
        <v>PJ,PJa</v>
      </c>
      <c r="F75" s="420" t="str">
        <f t="shared" ref="F75:F80" ca="1" si="21">"PRC,PRE,"&amp;IF($L75,"DAYNITE","ANNUAL")</f>
        <v>PRC,PRE,ANNUAL</v>
      </c>
      <c r="I75" s="526">
        <f ca="1">IF(J74=SUMIF(NameConv!$G$4:$M$4,MID(C74,2,3),NameConv!$G$45:$M$45),I74+1,I74)</f>
        <v>7</v>
      </c>
      <c r="J75" s="526">
        <f t="shared" ca="1" si="20"/>
        <v>6</v>
      </c>
      <c r="L75" s="526">
        <f t="shared" ca="1" si="10"/>
        <v>0</v>
      </c>
      <c r="M75" s="526">
        <f t="shared" ca="1" si="11"/>
        <v>0</v>
      </c>
      <c r="N75" s="526">
        <f t="shared" ca="1" si="11"/>
        <v>0</v>
      </c>
    </row>
    <row r="76" spans="1:14">
      <c r="A76" s="883" t="str">
        <f ca="1">IF(INDEX(Demand.Sectors,MATCH(MID(C76,2,3),NameConv!$G$4:$M$4,0)),"","*")</f>
        <v/>
      </c>
      <c r="B76" s="420" t="str">
        <f t="shared" ca="1" si="18"/>
        <v>T</v>
      </c>
      <c r="C76" s="419" t="str">
        <f ca="1">"X"&amp;OFFSET(NameConv!$F$4,0,I76)&amp;OFFSET(NameConv!$F$59,J76,I76)</f>
        <v>XUPSHEE</v>
      </c>
      <c r="D76" s="419" t="str">
        <f ca="1">IF($A76="",OFFSET(NameConv!$F$3,0,I76)&amp;" "&amp;VLOOKUP(RIGHT(C76,3),NameConv!$C$5:$D$44,2,FALSE), "")</f>
        <v>Supply Sector Heat-Steam Existing</v>
      </c>
      <c r="E76" s="420" t="str">
        <f t="shared" ca="1" si="19"/>
        <v>PJ,PJa</v>
      </c>
      <c r="F76" s="420" t="str">
        <f t="shared" ca="1" si="21"/>
        <v>PRC,PRE,ANNUAL</v>
      </c>
      <c r="I76" s="526">
        <f ca="1">IF(J75=SUMIF(NameConv!$G$4:$M$4,MID(C75,2,3),NameConv!$G$45:$M$45),I75+1,I75)</f>
        <v>7</v>
      </c>
      <c r="J76" s="526">
        <f t="shared" ca="1" si="20"/>
        <v>7</v>
      </c>
      <c r="L76" s="526">
        <f t="shared" ca="1" si="10"/>
        <v>0</v>
      </c>
      <c r="M76" s="526">
        <f t="shared" ca="1" si="11"/>
        <v>0</v>
      </c>
      <c r="N76" s="526">
        <f t="shared" ca="1" si="11"/>
        <v>0</v>
      </c>
    </row>
    <row r="77" spans="1:14">
      <c r="A77" s="883" t="str">
        <f ca="1">IF(INDEX(Demand.Sectors,MATCH(MID(C77,2,3),NameConv!$G$4:$M$4,0)),"","*")</f>
        <v/>
      </c>
      <c r="B77" s="420" t="str">
        <f ca="1">IF(A77="*","","T")</f>
        <v>T</v>
      </c>
      <c r="C77" s="419" t="str">
        <f ca="1">"X"&amp;OFFSET(NameConv!$F$4,0,I77)&amp;OFFSET(NameConv!$F$59,J77,I77)</f>
        <v>XUPSHEN</v>
      </c>
      <c r="D77" s="419" t="str">
        <f ca="1">IF($A77="",OFFSET(NameConv!$F$3,0,I77)&amp;" "&amp;VLOOKUP(RIGHT(C77,3),NameConv!$C$5:$D$44,2,FALSE), "")</f>
        <v>Supply Sector Heat-Steam New</v>
      </c>
      <c r="E77" s="420" t="str">
        <f ca="1">"PJ,"&amp;IF(RIGHT(C77,3)="ELC","GW","PJa")</f>
        <v>PJ,PJa</v>
      </c>
      <c r="F77" s="420" t="str">
        <f t="shared" ca="1" si="21"/>
        <v>PRC,PRE,ANNUAL</v>
      </c>
      <c r="I77" s="526">
        <f ca="1">IF(J76=SUMIF(NameConv!$G$4:$M$4,MID(C76,2,3),NameConv!$G$45:$M$45),I76+1,I76)</f>
        <v>7</v>
      </c>
      <c r="J77" s="526">
        <f ca="1">IF(I77=I76,J76+1,1)</f>
        <v>8</v>
      </c>
      <c r="L77" s="526">
        <f t="shared" ca="1" si="10"/>
        <v>0</v>
      </c>
      <c r="M77" s="526">
        <f t="shared" ca="1" si="11"/>
        <v>0</v>
      </c>
      <c r="N77" s="526">
        <f t="shared" ca="1" si="11"/>
        <v>0</v>
      </c>
    </row>
    <row r="78" spans="1:14">
      <c r="B78" s="420" t="str">
        <f t="shared" ref="B78" si="22">IF(A78="*","","T")</f>
        <v>T</v>
      </c>
      <c r="C78" s="419" t="str">
        <f ca="1">"X"&amp;OFFSET(NameConv!$F$4,0,I78)&amp;OFFSET(NameConv!$F$59,J78,I78)</f>
        <v>XUPSHGN</v>
      </c>
      <c r="D78" s="419" t="str">
        <f ca="1">IF($A78="",OFFSET(NameConv!$F$3,0,I78)&amp;" "&amp;VLOOKUP(RIGHT(C78,3),NameConv!$C$5:$D$44,2,FALSE), "")</f>
        <v>Supply Sector Hydrogen</v>
      </c>
      <c r="E78" s="420" t="str">
        <f t="shared" ref="E78" ca="1" si="23">"PJ,"&amp;IF(RIGHT(C78,3)="ELC","GW","PJa")</f>
        <v>PJ,PJa</v>
      </c>
      <c r="F78" s="420" t="str">
        <f t="shared" ca="1" si="21"/>
        <v>PRC,PRE,DAYNITE</v>
      </c>
      <c r="I78" s="526">
        <f ca="1">IF(J77=SUMIF(NameConv!$G$4:$M$4,MID(C77,2,3),NameConv!$G$45:$M$45),I77+1,I77)</f>
        <v>7</v>
      </c>
      <c r="J78" s="526">
        <f t="shared" ref="J78" ca="1" si="24">IF(I78=I77,J77+1,1)</f>
        <v>9</v>
      </c>
      <c r="L78" s="526">
        <f t="shared" ca="1" si="10"/>
        <v>1</v>
      </c>
      <c r="M78" s="526">
        <f t="shared" ca="1" si="11"/>
        <v>0</v>
      </c>
      <c r="N78" s="526">
        <f t="shared" ca="1" si="11"/>
        <v>1</v>
      </c>
    </row>
    <row r="79" spans="1:14">
      <c r="B79" s="420" t="str">
        <f t="shared" ref="B79" si="25">IF(A79="*","","T")</f>
        <v>T</v>
      </c>
      <c r="C79" s="419" t="str">
        <f ca="1">"X"&amp;OFFSET(NameConv!$F$4,0,I79)&amp;OFFSET(NameConv!$F$59,J79,I79)</f>
        <v>XUPSOCR</v>
      </c>
      <c r="D79" s="419" t="str">
        <f ca="1">IF($A79="",OFFSET(NameConv!$F$3,0,I79)&amp;" "&amp;VLOOKUP(RIGHT(C79,3),NameConv!$C$5:$D$44,2,FALSE), "")</f>
        <v>Supply Sector Oil Crude</v>
      </c>
      <c r="E79" s="420" t="str">
        <f t="shared" ref="E79" ca="1" si="26">"PJ,"&amp;IF(RIGHT(C79,3)="ELC","GW","PJa")</f>
        <v>PJ,PJa</v>
      </c>
      <c r="F79" s="420" t="str">
        <f t="shared" ca="1" si="21"/>
        <v>PRC,PRE,ANNUAL</v>
      </c>
      <c r="I79" s="526">
        <f ca="1">IF(J78=SUMIF(NameConv!$G$4:$M$4,MID(C78,2,3),NameConv!$G$45:$M$45),I78+1,I78)</f>
        <v>7</v>
      </c>
      <c r="J79" s="526">
        <f t="shared" ref="J79" ca="1" si="27">IF(I79=I78,J78+1,1)</f>
        <v>10</v>
      </c>
      <c r="L79" s="526">
        <f t="shared" ca="1" si="10"/>
        <v>0</v>
      </c>
      <c r="M79" s="526">
        <f t="shared" ca="1" si="11"/>
        <v>0</v>
      </c>
      <c r="N79" s="526">
        <f t="shared" ca="1" si="11"/>
        <v>0</v>
      </c>
    </row>
    <row r="80" spans="1:14">
      <c r="B80" s="420" t="str">
        <f t="shared" ref="B80" si="28">IF(A80="*","","T")</f>
        <v>T</v>
      </c>
      <c r="C80" s="419" t="str">
        <f ca="1">"X"&amp;OFFSET(NameConv!$F$4,0,I80)&amp;OFFSET(NameConv!$F$59,J80,I80)</f>
        <v>XUPSOHF</v>
      </c>
      <c r="D80" s="419" t="str">
        <f ca="1">IF($A80="",OFFSET(NameConv!$F$3,0,I80)&amp;" "&amp;VLOOKUP(RIGHT(C80,3),NameConv!$C$5:$D$44,2,FALSE), "")</f>
        <v>Supply Sector Oil HFO</v>
      </c>
      <c r="E80" s="420" t="str">
        <f t="shared" ref="E80" ca="1" si="29">"PJ,"&amp;IF(RIGHT(C80,3)="ELC","GW","PJa")</f>
        <v>PJ,PJa</v>
      </c>
      <c r="F80" s="420" t="str">
        <f t="shared" ca="1" si="21"/>
        <v>PRC,PRE,ANNUAL</v>
      </c>
      <c r="I80" s="526">
        <f ca="1">IF(J79=SUMIF(NameConv!$G$4:$M$4,MID(C79,2,3),NameConv!$G$45:$M$45),I79+1,I79)</f>
        <v>7</v>
      </c>
      <c r="J80" s="526">
        <f t="shared" ref="J80" ca="1" si="30">IF(I80=I79,J79+1,1)</f>
        <v>11</v>
      </c>
      <c r="L80" s="526">
        <f t="shared" ca="1" si="10"/>
        <v>0</v>
      </c>
      <c r="M80" s="526">
        <f t="shared" ca="1" si="11"/>
        <v>0</v>
      </c>
      <c r="N80" s="526">
        <f t="shared" ca="1" si="11"/>
        <v>0</v>
      </c>
    </row>
    <row r="81" spans="2:6">
      <c r="B81" s="420"/>
      <c r="C81" s="419"/>
      <c r="D81" s="419"/>
      <c r="E81" s="420"/>
      <c r="F81" s="420"/>
    </row>
    <row r="82" spans="2:6">
      <c r="B82" s="420"/>
      <c r="C82" s="419"/>
      <c r="D82" s="419"/>
      <c r="E82" s="420"/>
      <c r="F82" s="420"/>
    </row>
  </sheetData>
  <pageMargins left="0.7" right="0.7" top="0.75" bottom="0.75" header="0.3" footer="0.3"/>
  <pageSetup paperSize="9" orientation="portrait" horizontalDpi="4294967292" verticalDpi="4294967292"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9"/>
  <dimension ref="A1:P80"/>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6.7109375" style="42" customWidth="1"/>
    <col min="5" max="5" width="8.7109375" style="42" customWidth="1"/>
    <col min="6" max="6" width="28.7109375" style="42" customWidth="1"/>
    <col min="7" max="7" width="11.42578125" style="42" customWidth="1"/>
    <col min="8" max="8" width="11.42578125" style="526" customWidth="1"/>
    <col min="9" max="16384" width="11.42578125" style="42"/>
  </cols>
  <sheetData>
    <row r="1" spans="1:16">
      <c r="A1" s="41" t="str">
        <f>IF(Index!B8=0,"ITEMS","")</f>
        <v>ITEMS</v>
      </c>
      <c r="B1" s="42" t="s">
        <v>308</v>
      </c>
      <c r="I1" s="526" t="s">
        <v>310</v>
      </c>
      <c r="J1" s="526" t="s">
        <v>310</v>
      </c>
    </row>
    <row r="2" spans="1:16">
      <c r="A2" s="42" t="s">
        <v>310</v>
      </c>
      <c r="I2" s="526" t="s">
        <v>923</v>
      </c>
      <c r="J2" s="526" t="s">
        <v>870</v>
      </c>
    </row>
    <row r="3" spans="1:16" ht="18.75" customHeight="1">
      <c r="A3" s="42" t="s">
        <v>310</v>
      </c>
      <c r="I3" s="526"/>
      <c r="J3" s="526"/>
    </row>
    <row r="4" spans="1:16">
      <c r="A4" s="42" t="s">
        <v>310</v>
      </c>
      <c r="I4" s="526"/>
      <c r="J4" s="526"/>
    </row>
    <row r="5" spans="1:16">
      <c r="A5" s="42" t="s">
        <v>310</v>
      </c>
      <c r="I5" s="526"/>
      <c r="J5" s="526"/>
      <c r="L5" s="526"/>
      <c r="M5" s="526" t="s">
        <v>14572</v>
      </c>
      <c r="N5" s="526"/>
      <c r="O5" s="526"/>
      <c r="P5" s="526"/>
    </row>
    <row r="6" spans="1:16">
      <c r="A6" s="42" t="s">
        <v>310</v>
      </c>
      <c r="I6" s="526"/>
      <c r="J6" s="526"/>
      <c r="L6" s="1679" t="s">
        <v>14571</v>
      </c>
      <c r="M6" s="1678" t="s">
        <v>277</v>
      </c>
      <c r="N6" s="1677" t="s">
        <v>1199</v>
      </c>
      <c r="O6" s="1677" t="s">
        <v>14569</v>
      </c>
      <c r="P6" s="1677" t="s">
        <v>14569</v>
      </c>
    </row>
    <row r="7" spans="1:16">
      <c r="A7" s="42" t="s">
        <v>310</v>
      </c>
      <c r="B7" s="41" t="s">
        <v>311</v>
      </c>
      <c r="C7" s="161" t="s">
        <v>312</v>
      </c>
      <c r="D7" s="41" t="s">
        <v>313</v>
      </c>
      <c r="E7" s="41" t="s">
        <v>314</v>
      </c>
      <c r="F7" s="41" t="s">
        <v>315</v>
      </c>
      <c r="G7" s="41" t="s">
        <v>316</v>
      </c>
      <c r="I7" s="526"/>
      <c r="J7" s="526"/>
      <c r="L7" s="526" t="s">
        <v>14575</v>
      </c>
      <c r="M7" s="526" t="s">
        <v>277</v>
      </c>
      <c r="N7" s="526" t="s">
        <v>14574</v>
      </c>
      <c r="O7" s="526" t="s">
        <v>14574</v>
      </c>
      <c r="P7" s="526" t="s">
        <v>14574</v>
      </c>
    </row>
    <row r="8" spans="1:16">
      <c r="A8" s="42" t="s">
        <v>310</v>
      </c>
      <c r="B8" s="438" t="s">
        <v>351</v>
      </c>
      <c r="E8" s="438"/>
      <c r="F8" s="438"/>
      <c r="I8" s="526"/>
      <c r="J8" s="526"/>
    </row>
    <row r="9" spans="1:16" ht="15">
      <c r="A9" s="42" t="str">
        <f ca="1">IF(INDEX(Demand.Sectors,MATCH(LEFT(C9,3),NameConv!$G$4:$M$4,0)),"","*")</f>
        <v/>
      </c>
      <c r="B9" s="438" t="s">
        <v>352</v>
      </c>
      <c r="C9" s="419" t="str">
        <f ca="1">OFFSET(NameConv!$F$4,0,I9)&amp;OFFSET(NameConv!$F$59,J9,I9)</f>
        <v>AGRCOA</v>
      </c>
      <c r="D9" s="419" t="str">
        <f ca="1">IF($A9="",OFFSET(NameConv!$F$3,0,I9)&amp;" "&amp;VLOOKUP(RIGHT(C9,3),NameConv!$C$5:$D$44,2,FALSE),"")</f>
        <v>Agriculture Coal</v>
      </c>
      <c r="E9" s="438" t="s">
        <v>248</v>
      </c>
      <c r="F9" s="438" t="str">
        <f ca="1">IF($L9,"COM,NRG,DAYNITE,"&amp;INDEX($M$7:$P$7,MATCH($L9,$M9:$P9,0)),"COM,NRG,ANNUAL,FOSSIL")</f>
        <v>COM,NRG,ANNUAL,FOSSIL</v>
      </c>
      <c r="H9" s="42"/>
      <c r="I9" s="738">
        <f>Model_RUN_code</f>
        <v>1</v>
      </c>
      <c r="J9" s="526">
        <v>1</v>
      </c>
      <c r="L9" s="526">
        <f ca="1">IF(SUMPRODUCT(M9:P9)&gt;=1,1,0)</f>
        <v>0</v>
      </c>
      <c r="M9" s="526">
        <f ca="1">IFERROR(IF(FIND(M$6,$C9)&gt;0,1,0),0)</f>
        <v>0</v>
      </c>
      <c r="N9" s="526">
        <f t="shared" ref="N9:P24" ca="1" si="0">IFERROR(IF(FIND(N$6,$C9)&gt;0,1,0),0)</f>
        <v>0</v>
      </c>
      <c r="O9" s="526">
        <f t="shared" ca="1" si="0"/>
        <v>0</v>
      </c>
      <c r="P9" s="526">
        <f ca="1">IFERROR(IF(FIND(P$6,$C9)&gt;0,1,0),0)</f>
        <v>0</v>
      </c>
    </row>
    <row r="10" spans="1:16">
      <c r="A10" s="42" t="str">
        <f ca="1">IF(INDEX(Demand.Sectors,MATCH(LEFT(C10,3),NameConv!$G$4:$M$4,0)),"","*")</f>
        <v/>
      </c>
      <c r="B10" s="438" t="s">
        <v>352</v>
      </c>
      <c r="C10" s="419" t="str">
        <f ca="1">OFFSET(NameConv!$F$4,0,I10)&amp;OFFSET(NameConv!$F$59,J10,I10)</f>
        <v>AGRELC</v>
      </c>
      <c r="D10" s="419" t="str">
        <f ca="1">IF($A10="",OFFSET(NameConv!$F$3,0,I10)&amp;" "&amp;VLOOKUP(RIGHT(C10,3),NameConv!$C$5:$D$44,2,FALSE),"")</f>
        <v>Agriculture Electricity</v>
      </c>
      <c r="E10" s="438" t="s">
        <v>248</v>
      </c>
      <c r="F10" s="438" t="str">
        <f t="shared" ref="F10:F73" ca="1" si="1">IF($L10,"COM,NRG,DAYNITE,"&amp;INDEX($M$7:$P$7,MATCH($L10,$M10:$P10,0)),"COM,NRG,ANNUAL,FOSSIL")</f>
        <v>COM,NRG,DAYNITE,ELC</v>
      </c>
      <c r="H10" s="42"/>
      <c r="I10" s="526">
        <f ca="1">IF(J9=SUMIF(NameConv!$G$4:$M$4,LEFT(C9,3),NameConv!$G$45:$M$45),I9+1,I9)</f>
        <v>1</v>
      </c>
      <c r="J10" s="526">
        <f ca="1">IF(I10=I9,J9+1,1)</f>
        <v>2</v>
      </c>
      <c r="L10" s="526">
        <f t="shared" ref="L10:L73" ca="1" si="2">IF(SUMPRODUCT(M10:P10)&gt;=1,1,0)</f>
        <v>1</v>
      </c>
      <c r="M10" s="526">
        <f t="shared" ref="M10:P41" ca="1" si="3">IFERROR(IF(FIND(M$6,$C10)&gt;0,1,0),0)</f>
        <v>1</v>
      </c>
      <c r="N10" s="526">
        <f t="shared" ca="1" si="0"/>
        <v>0</v>
      </c>
      <c r="O10" s="526">
        <f t="shared" ca="1" si="0"/>
        <v>0</v>
      </c>
      <c r="P10" s="526">
        <f t="shared" ca="1" si="0"/>
        <v>0</v>
      </c>
    </row>
    <row r="11" spans="1:16">
      <c r="A11" s="42" t="str">
        <f ca="1">IF(INDEX(Demand.Sectors,MATCH(LEFT(C11,3),NameConv!$G$4:$M$4,0)),"","*")</f>
        <v/>
      </c>
      <c r="B11" s="438" t="s">
        <v>352</v>
      </c>
      <c r="C11" s="419" t="str">
        <f ca="1">OFFSET(NameConv!$F$4,0,I11)&amp;OFFSET(NameConv!$F$59,J11,I11)</f>
        <v>AGRODS</v>
      </c>
      <c r="D11" s="419" t="str">
        <f ca="1">IF($A11="",OFFSET(NameConv!$F$3,0,I11)&amp;" "&amp;VLOOKUP(RIGHT(C11,3),NameConv!$C$5:$D$44,2,FALSE),"")</f>
        <v>Agriculture Oil Diesel</v>
      </c>
      <c r="E11" s="438" t="s">
        <v>248</v>
      </c>
      <c r="F11" s="438" t="str">
        <f t="shared" ca="1" si="1"/>
        <v>COM,NRG,ANNUAL,FOSSIL</v>
      </c>
      <c r="H11" s="42"/>
      <c r="I11" s="526">
        <f ca="1">IF(J10=SUMIF(NameConv!$G$4:$M$4,LEFT(C10,3),NameConv!$G$45:$M$45),I10+1,I10)</f>
        <v>1</v>
      </c>
      <c r="J11" s="526">
        <f ca="1">IF(I11=I10,J10+1,1)</f>
        <v>3</v>
      </c>
      <c r="L11" s="526">
        <f t="shared" ca="1" si="2"/>
        <v>0</v>
      </c>
      <c r="M11" s="526">
        <f t="shared" ca="1" si="3"/>
        <v>0</v>
      </c>
      <c r="N11" s="526">
        <f t="shared" ca="1" si="0"/>
        <v>0</v>
      </c>
      <c r="O11" s="526">
        <f t="shared" ca="1" si="0"/>
        <v>0</v>
      </c>
      <c r="P11" s="526">
        <f t="shared" ca="1" si="0"/>
        <v>0</v>
      </c>
    </row>
    <row r="12" spans="1:16">
      <c r="A12" s="42" t="str">
        <f ca="1">IF(INDEX(Demand.Sectors,MATCH(LEFT(C12,3),NameConv!$G$4:$M$4,0)),"","*")</f>
        <v/>
      </c>
      <c r="B12" s="438" t="s">
        <v>352</v>
      </c>
      <c r="C12" s="419" t="str">
        <f ca="1">OFFSET(NameConv!$F$4,0,I12)&amp;OFFSET(NameConv!$F$59,J12,I12)</f>
        <v>AGROGS</v>
      </c>
      <c r="D12" s="419" t="str">
        <f ca="1">IF($A12="",OFFSET(NameConv!$F$3,0,I12)&amp;" "&amp;VLOOKUP(RIGHT(C12,3),NameConv!$C$5:$D$44,2,FALSE),"")</f>
        <v>Agriculture Oil Gasoline</v>
      </c>
      <c r="E12" s="438" t="s">
        <v>248</v>
      </c>
      <c r="F12" s="438" t="str">
        <f t="shared" ca="1" si="1"/>
        <v>COM,NRG,ANNUAL,FOSSIL</v>
      </c>
      <c r="H12" s="42"/>
      <c r="I12" s="526">
        <f ca="1">IF(J11=SUMIF(NameConv!$G$4:$M$4,LEFT(C11,3),NameConv!$G$45:$M$45),I11+1,I11)</f>
        <v>1</v>
      </c>
      <c r="J12" s="526">
        <f ca="1">IF(I12=I11,J11+1,1)</f>
        <v>4</v>
      </c>
      <c r="L12" s="526">
        <f t="shared" ca="1" si="2"/>
        <v>0</v>
      </c>
      <c r="M12" s="526">
        <f t="shared" ca="1" si="3"/>
        <v>0</v>
      </c>
      <c r="N12" s="526">
        <f t="shared" ca="1" si="0"/>
        <v>0</v>
      </c>
      <c r="O12" s="526">
        <f t="shared" ca="1" si="0"/>
        <v>0</v>
      </c>
      <c r="P12" s="526">
        <f t="shared" ca="1" si="0"/>
        <v>0</v>
      </c>
    </row>
    <row r="13" spans="1:16">
      <c r="A13" s="42" t="str">
        <f ca="1">IF(INDEX(Demand.Sectors,MATCH(LEFT(C13,3),NameConv!$G$4:$M$4,0)),"","*")</f>
        <v/>
      </c>
      <c r="B13" s="438" t="s">
        <v>352</v>
      </c>
      <c r="C13" s="419" t="str">
        <f ca="1">OFFSET(NameConv!$F$4,0,I13)&amp;OFFSET(NameConv!$F$59,J13,I13)</f>
        <v>AGROHF</v>
      </c>
      <c r="D13" s="419" t="str">
        <f ca="1">IF($A13="",OFFSET(NameConv!$F$3,0,I13)&amp;" "&amp;VLOOKUP(RIGHT(C13,3),NameConv!$C$5:$D$44,2,FALSE),"")</f>
        <v>Agriculture Oil HFO</v>
      </c>
      <c r="E13" s="438" t="s">
        <v>248</v>
      </c>
      <c r="F13" s="438" t="str">
        <f t="shared" ca="1" si="1"/>
        <v>COM,NRG,ANNUAL,FOSSIL</v>
      </c>
      <c r="H13" s="42"/>
      <c r="I13" s="526">
        <f ca="1">IF(J12=SUMIF(NameConv!$G$4:$M$4,LEFT(C12,3),NameConv!$G$45:$M$45),I12+1,I12)</f>
        <v>1</v>
      </c>
      <c r="J13" s="526">
        <f ca="1">IF(I13=I12,J12+1,1)</f>
        <v>5</v>
      </c>
      <c r="L13" s="526">
        <f t="shared" ca="1" si="2"/>
        <v>0</v>
      </c>
      <c r="M13" s="526">
        <f t="shared" ca="1" si="3"/>
        <v>0</v>
      </c>
      <c r="N13" s="526">
        <f t="shared" ca="1" si="0"/>
        <v>0</v>
      </c>
      <c r="O13" s="526">
        <f t="shared" ca="1" si="0"/>
        <v>0</v>
      </c>
      <c r="P13" s="526">
        <f t="shared" ca="1" si="0"/>
        <v>0</v>
      </c>
    </row>
    <row r="14" spans="1:16">
      <c r="A14" s="42" t="str">
        <f ca="1">IF(INDEX(Demand.Sectors,MATCH(LEFT(C14,3),NameConv!$G$4:$M$4,0)),"","*")</f>
        <v/>
      </c>
      <c r="B14" s="438" t="s">
        <v>352</v>
      </c>
      <c r="C14" s="419" t="str">
        <f ca="1">OFFSET(NameConv!$F$4,0,I14)&amp;OFFSET(NameConv!$F$59,J14,I14)</f>
        <v>AGROKE</v>
      </c>
      <c r="D14" s="419" t="str">
        <f ca="1">IF($A14="",OFFSET(NameConv!$F$3,0,I14)&amp;" "&amp;VLOOKUP(RIGHT(C14,3),NameConv!$C$5:$D$44,2,FALSE),"")</f>
        <v>Agriculture Oil Kerosene</v>
      </c>
      <c r="E14" s="438" t="s">
        <v>248</v>
      </c>
      <c r="F14" s="438" t="str">
        <f t="shared" ca="1" si="1"/>
        <v>COM,NRG,ANNUAL,FOSSIL</v>
      </c>
      <c r="H14" s="42"/>
      <c r="I14" s="526">
        <f ca="1">IF(J13=SUMIF(NameConv!$G$4:$M$4,LEFT(C13,3),NameConv!$G$45:$M$45),I13+1,I13)</f>
        <v>1</v>
      </c>
      <c r="J14" s="526">
        <f ca="1">IF(I14=I13,J13+1,1)</f>
        <v>6</v>
      </c>
      <c r="L14" s="526">
        <f t="shared" ca="1" si="2"/>
        <v>0</v>
      </c>
      <c r="M14" s="526">
        <f t="shared" ca="1" si="3"/>
        <v>0</v>
      </c>
      <c r="N14" s="526">
        <f t="shared" ca="1" si="0"/>
        <v>0</v>
      </c>
      <c r="O14" s="526">
        <f t="shared" ca="1" si="0"/>
        <v>0</v>
      </c>
      <c r="P14" s="526">
        <f t="shared" ca="1" si="0"/>
        <v>0</v>
      </c>
    </row>
    <row r="15" spans="1:16">
      <c r="A15" s="42" t="str">
        <f ca="1">IF(INDEX(Demand.Sectors,MATCH(LEFT(C15,3),NameConv!$G$4:$M$4,0)),"","*")</f>
        <v/>
      </c>
      <c r="B15" s="438" t="s">
        <v>352</v>
      </c>
      <c r="C15" s="419" t="str">
        <f ca="1">OFFSET(NameConv!$F$4,0,I15)&amp;OFFSET(NameConv!$F$59,J15,I15)</f>
        <v>AGROLP</v>
      </c>
      <c r="D15" s="419" t="str">
        <f ca="1">IF($A15="",OFFSET(NameConv!$F$3,0,I15)&amp;" "&amp;VLOOKUP(RIGHT(C15,3),NameConv!$C$5:$D$44,2,FALSE),"")</f>
        <v>Agriculture Oil LPG</v>
      </c>
      <c r="E15" s="438" t="s">
        <v>248</v>
      </c>
      <c r="F15" s="438" t="str">
        <f t="shared" ca="1" si="1"/>
        <v>COM,NRG,ANNUAL,FOSSIL</v>
      </c>
      <c r="H15" s="42"/>
      <c r="I15" s="526">
        <f ca="1">IF(J14=SUMIF(NameConv!$G$4:$M$4,LEFT(C14,3),NameConv!$G$45:$M$45),I14+1,I14)</f>
        <v>1</v>
      </c>
      <c r="J15" s="526">
        <f t="shared" ref="J15:J33" ca="1" si="4">IF(I15=I14,J14+1,1)</f>
        <v>7</v>
      </c>
      <c r="L15" s="526">
        <f t="shared" ca="1" si="2"/>
        <v>0</v>
      </c>
      <c r="M15" s="526">
        <f t="shared" ca="1" si="3"/>
        <v>0</v>
      </c>
      <c r="N15" s="526">
        <f t="shared" ca="1" si="0"/>
        <v>0</v>
      </c>
      <c r="O15" s="526">
        <f t="shared" ca="1" si="0"/>
        <v>0</v>
      </c>
      <c r="P15" s="526">
        <f t="shared" ca="1" si="0"/>
        <v>0</v>
      </c>
    </row>
    <row r="16" spans="1:16">
      <c r="A16" s="42" t="str">
        <f ca="1">IF(INDEX(Demand.Sectors,MATCH(LEFT(C16,3),NameConv!$G$4:$M$4,0)),"","*")</f>
        <v/>
      </c>
      <c r="B16" s="438" t="s">
        <v>352</v>
      </c>
      <c r="C16" s="419" t="str">
        <f ca="1">OFFSET(NameConv!$F$4,0,I16)&amp;OFFSET(NameConv!$F$59,J16,I16)</f>
        <v>COMCOA</v>
      </c>
      <c r="D16" s="419" t="str">
        <f ca="1">IF($A16="",OFFSET(NameConv!$F$3,0,I16)&amp;" "&amp;VLOOKUP(RIGHT(C16,3),NameConv!$C$5:$D$44,2,FALSE),"")</f>
        <v>Commercial Coal</v>
      </c>
      <c r="E16" s="438" t="s">
        <v>248</v>
      </c>
      <c r="F16" s="438" t="str">
        <f t="shared" ca="1" si="1"/>
        <v>COM,NRG,ANNUAL,FOSSIL</v>
      </c>
      <c r="H16" s="42"/>
      <c r="I16" s="526">
        <f ca="1">IF(J15=SUMIF(NameConv!$G$4:$M$4,LEFT(C15,3),NameConv!$G$45:$M$45),I15+1,I15)</f>
        <v>2</v>
      </c>
      <c r="J16" s="526">
        <f t="shared" ca="1" si="4"/>
        <v>1</v>
      </c>
      <c r="L16" s="526">
        <f t="shared" ca="1" si="2"/>
        <v>0</v>
      </c>
      <c r="M16" s="526">
        <f t="shared" ca="1" si="3"/>
        <v>0</v>
      </c>
      <c r="N16" s="526">
        <f t="shared" ca="1" si="0"/>
        <v>0</v>
      </c>
      <c r="O16" s="526">
        <f t="shared" ca="1" si="0"/>
        <v>0</v>
      </c>
      <c r="P16" s="526">
        <f t="shared" ca="1" si="0"/>
        <v>0</v>
      </c>
    </row>
    <row r="17" spans="1:16">
      <c r="A17" s="42" t="str">
        <f ca="1">IF(INDEX(Demand.Sectors,MATCH(LEFT(C17,3),NameConv!$G$4:$M$4,0)),"","*")</f>
        <v/>
      </c>
      <c r="B17" s="438" t="s">
        <v>352</v>
      </c>
      <c r="C17" s="419" t="str">
        <f ca="1">OFFSET(NameConv!$F$4,0,I17)&amp;OFFSET(NameConv!$F$59,J17,I17)</f>
        <v>COMELC</v>
      </c>
      <c r="D17" s="419" t="str">
        <f ca="1">IF($A17="",OFFSET(NameConv!$F$3,0,I17)&amp;" "&amp;VLOOKUP(RIGHT(C17,3),NameConv!$C$5:$D$44,2,FALSE),"")</f>
        <v>Commercial Electricity</v>
      </c>
      <c r="E17" s="438" t="s">
        <v>248</v>
      </c>
      <c r="F17" s="438" t="str">
        <f t="shared" ca="1" si="1"/>
        <v>COM,NRG,DAYNITE,ELC</v>
      </c>
      <c r="H17" s="42"/>
      <c r="I17" s="526">
        <f ca="1">IF(J16=SUMIF(NameConv!$G$4:$M$4,LEFT(C16,3),NameConv!$G$45:$M$45),I16+1,I16)</f>
        <v>2</v>
      </c>
      <c r="J17" s="526">
        <f t="shared" ca="1" si="4"/>
        <v>2</v>
      </c>
      <c r="L17" s="526">
        <f t="shared" ca="1" si="2"/>
        <v>1</v>
      </c>
      <c r="M17" s="526">
        <f t="shared" ca="1" si="3"/>
        <v>1</v>
      </c>
      <c r="N17" s="526">
        <f t="shared" ca="1" si="0"/>
        <v>0</v>
      </c>
      <c r="O17" s="526">
        <f t="shared" ca="1" si="0"/>
        <v>0</v>
      </c>
      <c r="P17" s="526">
        <f t="shared" ca="1" si="0"/>
        <v>0</v>
      </c>
    </row>
    <row r="18" spans="1:16">
      <c r="A18" s="42" t="str">
        <f ca="1">IF(INDEX(Demand.Sectors,MATCH(LEFT(C18,3),NameConv!$G$4:$M$4,0)),"","*")</f>
        <v/>
      </c>
      <c r="B18" s="438" t="s">
        <v>352</v>
      </c>
      <c r="C18" s="419" t="str">
        <f ca="1">OFFSET(NameConv!$F$4,0,I18)&amp;OFFSET(NameConv!$F$59,J18,I18)</f>
        <v>COMGAS</v>
      </c>
      <c r="D18" s="419" t="str">
        <f ca="1">IF($A18="",OFFSET(NameConv!$F$3,0,I18)&amp;" "&amp;VLOOKUP(RIGHT(C18,3),NameConv!$C$5:$D$44,2,FALSE),"")</f>
        <v>Commercial Gas South Africa</v>
      </c>
      <c r="E18" s="438" t="s">
        <v>248</v>
      </c>
      <c r="F18" s="438" t="str">
        <f t="shared" ca="1" si="1"/>
        <v>COM,NRG,ANNUAL,FOSSIL</v>
      </c>
      <c r="H18" s="42"/>
      <c r="I18" s="526">
        <f ca="1">IF(J17=SUMIF(NameConv!$G$4:$M$4,LEFT(C17,3),NameConv!$G$45:$M$45),I17+1,I17)</f>
        <v>2</v>
      </c>
      <c r="J18" s="526">
        <f t="shared" ca="1" si="4"/>
        <v>3</v>
      </c>
      <c r="L18" s="526">
        <f t="shared" ca="1" si="2"/>
        <v>0</v>
      </c>
      <c r="M18" s="526">
        <f t="shared" ca="1" si="3"/>
        <v>0</v>
      </c>
      <c r="N18" s="526">
        <f t="shared" ca="1" si="0"/>
        <v>0</v>
      </c>
      <c r="O18" s="526">
        <f t="shared" ca="1" si="0"/>
        <v>0</v>
      </c>
      <c r="P18" s="526">
        <f t="shared" ca="1" si="0"/>
        <v>0</v>
      </c>
    </row>
    <row r="19" spans="1:16">
      <c r="A19" s="42" t="str">
        <f ca="1">IF(INDEX(Demand.Sectors,MATCH(LEFT(C19,3),NameConv!$G$4:$M$4,0)),"","*")</f>
        <v/>
      </c>
      <c r="B19" s="438" t="s">
        <v>352</v>
      </c>
      <c r="C19" s="419" t="str">
        <f ca="1">OFFSET(NameConv!$F$4,0,I19)&amp;OFFSET(NameConv!$F$59,J19,I19)</f>
        <v>COMODS</v>
      </c>
      <c r="D19" s="419" t="str">
        <f ca="1">IF($A19="",OFFSET(NameConv!$F$3,0,I19)&amp;" "&amp;VLOOKUP(RIGHT(C19,3),NameConv!$C$5:$D$44,2,FALSE),"")</f>
        <v>Commercial Oil Diesel</v>
      </c>
      <c r="E19" s="438" t="s">
        <v>248</v>
      </c>
      <c r="F19" s="438" t="str">
        <f t="shared" ca="1" si="1"/>
        <v>COM,NRG,ANNUAL,FOSSIL</v>
      </c>
      <c r="H19" s="42"/>
      <c r="I19" s="526">
        <f ca="1">IF(J18=SUMIF(NameConv!$G$4:$M$4,LEFT(C18,3),NameConv!$G$45:$M$45),I18+1,I18)</f>
        <v>2</v>
      </c>
      <c r="J19" s="526">
        <f t="shared" ca="1" si="4"/>
        <v>4</v>
      </c>
      <c r="L19" s="526">
        <f t="shared" ca="1" si="2"/>
        <v>0</v>
      </c>
      <c r="M19" s="526">
        <f t="shared" ca="1" si="3"/>
        <v>0</v>
      </c>
      <c r="N19" s="526">
        <f t="shared" ca="1" si="0"/>
        <v>0</v>
      </c>
      <c r="O19" s="526">
        <f t="shared" ca="1" si="0"/>
        <v>0</v>
      </c>
      <c r="P19" s="526">
        <f t="shared" ca="1" si="0"/>
        <v>0</v>
      </c>
    </row>
    <row r="20" spans="1:16">
      <c r="A20" s="42" t="str">
        <f ca="1">IF(INDEX(Demand.Sectors,MATCH(LEFT(C20,3),NameConv!$G$4:$M$4,0)),"","*")</f>
        <v/>
      </c>
      <c r="B20" s="438" t="s">
        <v>352</v>
      </c>
      <c r="C20" s="419" t="str">
        <f ca="1">OFFSET(NameConv!$F$4,0,I20)&amp;OFFSET(NameConv!$F$59,J20,I20)</f>
        <v>COMOGS</v>
      </c>
      <c r="D20" s="419" t="str">
        <f ca="1">IF($A20="",OFFSET(NameConv!$F$3,0,I20)&amp;" "&amp;VLOOKUP(RIGHT(C20,3),NameConv!$C$5:$D$44,2,FALSE),"")</f>
        <v>Commercial Oil Gasoline</v>
      </c>
      <c r="E20" s="438" t="s">
        <v>248</v>
      </c>
      <c r="F20" s="438" t="str">
        <f t="shared" ca="1" si="1"/>
        <v>COM,NRG,ANNUAL,FOSSIL</v>
      </c>
      <c r="H20" s="42"/>
      <c r="I20" s="526">
        <f ca="1">IF(J19=SUMIF(NameConv!$G$4:$M$4,LEFT(C19,3),NameConv!$G$45:$M$45),I19+1,I19)</f>
        <v>2</v>
      </c>
      <c r="J20" s="526">
        <f t="shared" ca="1" si="4"/>
        <v>5</v>
      </c>
      <c r="L20" s="526">
        <f t="shared" ca="1" si="2"/>
        <v>0</v>
      </c>
      <c r="M20" s="526">
        <f t="shared" ca="1" si="3"/>
        <v>0</v>
      </c>
      <c r="N20" s="526">
        <f t="shared" ca="1" si="0"/>
        <v>0</v>
      </c>
      <c r="O20" s="526">
        <f t="shared" ca="1" si="0"/>
        <v>0</v>
      </c>
      <c r="P20" s="526">
        <f t="shared" ca="1" si="0"/>
        <v>0</v>
      </c>
    </row>
    <row r="21" spans="1:16">
      <c r="A21" s="42" t="str">
        <f ca="1">IF(INDEX(Demand.Sectors,MATCH(LEFT(C21,3),NameConv!$G$4:$M$4,0)),"","*")</f>
        <v/>
      </c>
      <c r="B21" s="438" t="s">
        <v>352</v>
      </c>
      <c r="C21" s="419" t="str">
        <f ca="1">OFFSET(NameConv!$F$4,0,I21)&amp;OFFSET(NameConv!$F$59,J21,I21)</f>
        <v>COMOHF</v>
      </c>
      <c r="D21" s="419" t="str">
        <f ca="1">IF($A21="",OFFSET(NameConv!$F$3,0,I21)&amp;" "&amp;VLOOKUP(RIGHT(C21,3),NameConv!$C$5:$D$44,2,FALSE),"")</f>
        <v>Commercial Oil HFO</v>
      </c>
      <c r="E21" s="438" t="s">
        <v>248</v>
      </c>
      <c r="F21" s="438" t="str">
        <f t="shared" ca="1" si="1"/>
        <v>COM,NRG,ANNUAL,FOSSIL</v>
      </c>
      <c r="H21" s="42"/>
      <c r="I21" s="526">
        <f ca="1">IF(J20=SUMIF(NameConv!$G$4:$M$4,LEFT(C20,3),NameConv!$G$45:$M$45),I20+1,I20)</f>
        <v>2</v>
      </c>
      <c r="J21" s="526">
        <f t="shared" ca="1" si="4"/>
        <v>6</v>
      </c>
      <c r="L21" s="526">
        <f t="shared" ca="1" si="2"/>
        <v>0</v>
      </c>
      <c r="M21" s="526">
        <f t="shared" ca="1" si="3"/>
        <v>0</v>
      </c>
      <c r="N21" s="526">
        <f t="shared" ca="1" si="0"/>
        <v>0</v>
      </c>
      <c r="O21" s="526">
        <f t="shared" ca="1" si="0"/>
        <v>0</v>
      </c>
      <c r="P21" s="526">
        <f t="shared" ca="1" si="0"/>
        <v>0</v>
      </c>
    </row>
    <row r="22" spans="1:16">
      <c r="A22" s="42" t="str">
        <f ca="1">IF(INDEX(Demand.Sectors,MATCH(LEFT(C22,3),NameConv!$G$4:$M$4,0)),"","*")</f>
        <v/>
      </c>
      <c r="B22" s="438" t="s">
        <v>352</v>
      </c>
      <c r="C22" s="419" t="str">
        <f ca="1">OFFSET(NameConv!$F$4,0,I22)&amp;OFFSET(NameConv!$F$59,J22,I22)</f>
        <v>COMOKE</v>
      </c>
      <c r="D22" s="419" t="str">
        <f ca="1">IF($A22="",OFFSET(NameConv!$F$3,0,I22)&amp;" "&amp;VLOOKUP(RIGHT(C22,3),NameConv!$C$5:$D$44,2,FALSE),"")</f>
        <v>Commercial Oil Kerosene</v>
      </c>
      <c r="E22" s="438" t="s">
        <v>248</v>
      </c>
      <c r="F22" s="438" t="str">
        <f t="shared" ca="1" si="1"/>
        <v>COM,NRG,ANNUAL,FOSSIL</v>
      </c>
      <c r="H22" s="42"/>
      <c r="I22" s="526">
        <f ca="1">IF(J21=SUMIF(NameConv!$G$4:$M$4,LEFT(C21,3),NameConv!$G$45:$M$45),I21+1,I21)</f>
        <v>2</v>
      </c>
      <c r="J22" s="526">
        <f t="shared" ca="1" si="4"/>
        <v>7</v>
      </c>
      <c r="L22" s="526">
        <f t="shared" ca="1" si="2"/>
        <v>0</v>
      </c>
      <c r="M22" s="526">
        <f t="shared" ca="1" si="3"/>
        <v>0</v>
      </c>
      <c r="N22" s="526">
        <f t="shared" ca="1" si="0"/>
        <v>0</v>
      </c>
      <c r="O22" s="526">
        <f t="shared" ca="1" si="0"/>
        <v>0</v>
      </c>
      <c r="P22" s="526">
        <f t="shared" ca="1" si="0"/>
        <v>0</v>
      </c>
    </row>
    <row r="23" spans="1:16">
      <c r="A23" s="42" t="str">
        <f ca="1">IF(INDEX(Demand.Sectors,MATCH(LEFT(C23,3),NameConv!$G$4:$M$4,0)),"","*")</f>
        <v/>
      </c>
      <c r="B23" s="438" t="s">
        <v>352</v>
      </c>
      <c r="C23" s="419" t="str">
        <f ca="1">OFFSET(NameConv!$F$4,0,I23)&amp;OFFSET(NameConv!$F$59,J23,I23)</f>
        <v>COMOLP</v>
      </c>
      <c r="D23" s="419" t="str">
        <f ca="1">IF($A23="",OFFSET(NameConv!$F$3,0,I23)&amp;" "&amp;VLOOKUP(RIGHT(C23,3),NameConv!$C$5:$D$44,2,FALSE),"")</f>
        <v>Commercial Oil LPG</v>
      </c>
      <c r="E23" s="438" t="s">
        <v>248</v>
      </c>
      <c r="F23" s="438" t="str">
        <f t="shared" ca="1" si="1"/>
        <v>COM,NRG,ANNUAL,FOSSIL</v>
      </c>
      <c r="H23" s="42"/>
      <c r="I23" s="526">
        <f ca="1">IF(J22=SUMIF(NameConv!$G$4:$M$4,LEFT(C22,3),NameConv!$G$45:$M$45),I22+1,I22)</f>
        <v>2</v>
      </c>
      <c r="J23" s="526">
        <f t="shared" ca="1" si="4"/>
        <v>8</v>
      </c>
      <c r="L23" s="526">
        <f t="shared" ca="1" si="2"/>
        <v>0</v>
      </c>
      <c r="M23" s="526">
        <f t="shared" ca="1" si="3"/>
        <v>0</v>
      </c>
      <c r="N23" s="526">
        <f t="shared" ca="1" si="0"/>
        <v>0</v>
      </c>
      <c r="O23" s="526">
        <f t="shared" ca="1" si="0"/>
        <v>0</v>
      </c>
      <c r="P23" s="526">
        <f t="shared" ca="1" si="0"/>
        <v>0</v>
      </c>
    </row>
    <row r="24" spans="1:16">
      <c r="A24" s="42" t="str">
        <f ca="1">IF(INDEX(Demand.Sectors,MATCH(LEFT(C24,3),NameConv!$G$4:$M$4,0)),"","*")</f>
        <v/>
      </c>
      <c r="B24" s="438" t="s">
        <v>352</v>
      </c>
      <c r="C24" s="419" t="str">
        <f ca="1">OFFSET(NameConv!$F$4,0,I24)&amp;OFFSET(NameConv!$F$59,J24,I24)</f>
        <v>INDBIB</v>
      </c>
      <c r="D24" s="419" t="str">
        <f ca="1">IF($A24="",OFFSET(NameConv!$F$3,0,I24)&amp;" "&amp;VLOOKUP(RIGHT(C24,3),NameConv!$C$5:$D$44,2,FALSE),"")</f>
        <v>Industry Biomass bagasse</v>
      </c>
      <c r="E24" s="438" t="s">
        <v>248</v>
      </c>
      <c r="F24" s="438" t="str">
        <f t="shared" ca="1" si="1"/>
        <v>COM,NRG,ANNUAL,FOSSIL</v>
      </c>
      <c r="H24" s="42"/>
      <c r="I24" s="526">
        <f ca="1">IF(J23=SUMIF(NameConv!$G$4:$M$4,LEFT(C23,3),NameConv!$G$45:$M$45),I23+1,I23)</f>
        <v>3</v>
      </c>
      <c r="J24" s="526">
        <f t="shared" ca="1" si="4"/>
        <v>1</v>
      </c>
      <c r="L24" s="526">
        <f t="shared" ca="1" si="2"/>
        <v>0</v>
      </c>
      <c r="M24" s="526">
        <f t="shared" ca="1" si="3"/>
        <v>0</v>
      </c>
      <c r="N24" s="526">
        <f t="shared" ca="1" si="0"/>
        <v>0</v>
      </c>
      <c r="O24" s="526">
        <f t="shared" ca="1" si="0"/>
        <v>0</v>
      </c>
      <c r="P24" s="526">
        <f t="shared" ca="1" si="0"/>
        <v>0</v>
      </c>
    </row>
    <row r="25" spans="1:16">
      <c r="A25" s="42" t="str">
        <f ca="1">IF(INDEX(Demand.Sectors,MATCH(LEFT(C25,3),NameConv!$G$4:$M$4,0)),"","*")</f>
        <v/>
      </c>
      <c r="B25" s="438" t="s">
        <v>352</v>
      </c>
      <c r="C25" s="419" t="str">
        <f ca="1">OFFSET(NameConv!$F$4,0,I25)&amp;OFFSET(NameConv!$F$59,J25,I25)</f>
        <v>INDBIW</v>
      </c>
      <c r="D25" s="419" t="str">
        <f ca="1">IF($A25="",OFFSET(NameConv!$F$3,0,I25)&amp;" "&amp;VLOOKUP(RIGHT(C25,3),NameConv!$C$5:$D$44,2,FALSE),"")</f>
        <v>Industry Biomass Wood</v>
      </c>
      <c r="E25" s="438" t="s">
        <v>248</v>
      </c>
      <c r="F25" s="438" t="str">
        <f t="shared" ca="1" si="1"/>
        <v>COM,NRG,ANNUAL,FOSSIL</v>
      </c>
      <c r="H25" s="42"/>
      <c r="I25" s="526">
        <f ca="1">IF(J24=SUMIF(NameConv!$G$4:$M$4,LEFT(C24,3),NameConv!$G$45:$M$45),I24+1,I24)</f>
        <v>3</v>
      </c>
      <c r="J25" s="526">
        <f t="shared" ca="1" si="4"/>
        <v>2</v>
      </c>
      <c r="L25" s="526">
        <f t="shared" ca="1" si="2"/>
        <v>0</v>
      </c>
      <c r="M25" s="526">
        <f t="shared" ca="1" si="3"/>
        <v>0</v>
      </c>
      <c r="N25" s="526">
        <f t="shared" ca="1" si="3"/>
        <v>0</v>
      </c>
      <c r="O25" s="526">
        <f t="shared" ca="1" si="3"/>
        <v>0</v>
      </c>
      <c r="P25" s="526">
        <f t="shared" ca="1" si="3"/>
        <v>0</v>
      </c>
    </row>
    <row r="26" spans="1:16">
      <c r="A26" s="42" t="str">
        <f ca="1">IF(INDEX(Demand.Sectors,MATCH(LEFT(C26,3),NameConv!$G$4:$M$4,0)),"","*")</f>
        <v/>
      </c>
      <c r="B26" s="438" t="s">
        <v>352</v>
      </c>
      <c r="C26" s="419" t="str">
        <f ca="1">OFFSET(NameConv!$F$4,0,I26)&amp;OFFSET(NameConv!$F$59,J26,I26)</f>
        <v>INDCOA</v>
      </c>
      <c r="D26" s="419" t="str">
        <f ca="1">IF($A26="",OFFSET(NameConv!$F$3,0,I26)&amp;" "&amp;VLOOKUP(RIGHT(C26,3),NameConv!$C$5:$D$44,2,FALSE),"")</f>
        <v>Industry Coal</v>
      </c>
      <c r="E26" s="438" t="s">
        <v>248</v>
      </c>
      <c r="F26" s="438" t="str">
        <f t="shared" ca="1" si="1"/>
        <v>COM,NRG,ANNUAL,FOSSIL</v>
      </c>
      <c r="H26" s="42"/>
      <c r="I26" s="526">
        <f ca="1">IF(J25=SUMIF(NameConv!$G$4:$M$4,LEFT(C25,3),NameConv!$G$45:$M$45),I25+1,I25)</f>
        <v>3</v>
      </c>
      <c r="J26" s="526">
        <f t="shared" ca="1" si="4"/>
        <v>3</v>
      </c>
      <c r="L26" s="526">
        <f t="shared" ca="1" si="2"/>
        <v>0</v>
      </c>
      <c r="M26" s="526">
        <f t="shared" ca="1" si="3"/>
        <v>0</v>
      </c>
      <c r="N26" s="526">
        <f t="shared" ca="1" si="3"/>
        <v>0</v>
      </c>
      <c r="O26" s="526">
        <f t="shared" ca="1" si="3"/>
        <v>0</v>
      </c>
      <c r="P26" s="526">
        <f t="shared" ca="1" si="3"/>
        <v>0</v>
      </c>
    </row>
    <row r="27" spans="1:16">
      <c r="A27" s="42" t="str">
        <f ca="1">IF(INDEX(Demand.Sectors,MATCH(LEFT(C27,3),NameConv!$G$4:$M$4,0)),"","*")</f>
        <v/>
      </c>
      <c r="B27" s="438" t="s">
        <v>352</v>
      </c>
      <c r="C27" s="419" t="str">
        <f ca="1">OFFSET(NameConv!$F$4,0,I27)&amp;OFFSET(NameConv!$F$59,J27,I27)</f>
        <v>INDCOK</v>
      </c>
      <c r="D27" s="419" t="str">
        <f ca="1">IF($A27="",OFFSET(NameConv!$F$3,0,I27)&amp;" "&amp;VLOOKUP(RIGHT(C27,3),NameConv!$C$5:$D$44,2,FALSE),"")</f>
        <v>Industry Coal Coking</v>
      </c>
      <c r="E27" s="438" t="s">
        <v>248</v>
      </c>
      <c r="F27" s="438" t="str">
        <f t="shared" ca="1" si="1"/>
        <v>COM,NRG,ANNUAL,FOSSIL</v>
      </c>
      <c r="H27" s="42"/>
      <c r="I27" s="526">
        <f ca="1">IF(J26=SUMIF(NameConv!$G$4:$M$4,LEFT(C26,3),NameConv!$G$45:$M$45),I26+1,I26)</f>
        <v>3</v>
      </c>
      <c r="J27" s="526">
        <f t="shared" ca="1" si="4"/>
        <v>4</v>
      </c>
      <c r="L27" s="526">
        <f t="shared" ca="1" si="2"/>
        <v>0</v>
      </c>
      <c r="M27" s="526">
        <f t="shared" ca="1" si="3"/>
        <v>0</v>
      </c>
      <c r="N27" s="526">
        <f t="shared" ca="1" si="3"/>
        <v>0</v>
      </c>
      <c r="O27" s="526">
        <f t="shared" ca="1" si="3"/>
        <v>0</v>
      </c>
      <c r="P27" s="526">
        <f t="shared" ca="1" si="3"/>
        <v>0</v>
      </c>
    </row>
    <row r="28" spans="1:16">
      <c r="A28" s="42" t="str">
        <f ca="1">IF(INDEX(Demand.Sectors,MATCH(LEFT(C28,3),NameConv!$G$4:$M$4,0)),"","*")</f>
        <v/>
      </c>
      <c r="B28" s="438" t="s">
        <v>352</v>
      </c>
      <c r="C28" s="419" t="str">
        <f ca="1">OFFSET(NameConv!$F$4,0,I28)&amp;OFFSET(NameConv!$F$59,J28,I28)</f>
        <v>INDCLE</v>
      </c>
      <c r="D28" s="419" t="str">
        <f ca="1">IF($A28="",OFFSET(NameConv!$F$3,0,I28)&amp;" "&amp;VLOOKUP(RIGHT(C28,3),NameConv!$C$5:$D$44,2,FALSE),"")</f>
        <v>Industry Coal low grade</v>
      </c>
      <c r="E28" s="438" t="s">
        <v>248</v>
      </c>
      <c r="F28" s="438" t="str">
        <f t="shared" ca="1" si="1"/>
        <v>COM,NRG,ANNUAL,FOSSIL</v>
      </c>
      <c r="H28" s="42"/>
      <c r="I28" s="526">
        <f ca="1">IF(J27=SUMIF(NameConv!$G$4:$M$4,LEFT(C27,3),NameConv!$G$45:$M$45),I27+1,I27)</f>
        <v>3</v>
      </c>
      <c r="J28" s="526">
        <f t="shared" ca="1" si="4"/>
        <v>5</v>
      </c>
      <c r="L28" s="526">
        <f t="shared" ca="1" si="2"/>
        <v>0</v>
      </c>
      <c r="M28" s="526">
        <f t="shared" ca="1" si="3"/>
        <v>0</v>
      </c>
      <c r="N28" s="526">
        <f t="shared" ca="1" si="3"/>
        <v>0</v>
      </c>
      <c r="O28" s="526">
        <f t="shared" ca="1" si="3"/>
        <v>0</v>
      </c>
      <c r="P28" s="526">
        <f t="shared" ca="1" si="3"/>
        <v>0</v>
      </c>
    </row>
    <row r="29" spans="1:16">
      <c r="A29" s="42" t="str">
        <f ca="1">IF(INDEX(Demand.Sectors,MATCH(LEFT(C29,3),NameConv!$G$4:$M$4,0)),"","*")</f>
        <v/>
      </c>
      <c r="B29" s="438" t="s">
        <v>352</v>
      </c>
      <c r="C29" s="419" t="str">
        <f ca="1">OFFSET(NameConv!$F$4,0,I29)&amp;OFFSET(NameConv!$F$59,J29,I29)</f>
        <v>INDELC</v>
      </c>
      <c r="D29" s="419" t="str">
        <f ca="1">IF($A29="",OFFSET(NameConv!$F$3,0,I29)&amp;" "&amp;VLOOKUP(RIGHT(C29,3),NameConv!$C$5:$D$44,2,FALSE),"")</f>
        <v>Industry Electricity</v>
      </c>
      <c r="E29" s="438" t="s">
        <v>248</v>
      </c>
      <c r="F29" s="438" t="str">
        <f t="shared" ca="1" si="1"/>
        <v>COM,NRG,DAYNITE,ELC</v>
      </c>
      <c r="H29" s="42"/>
      <c r="I29" s="526">
        <f ca="1">IF(J28=SUMIF(NameConv!$G$4:$M$4,LEFT(C28,3),NameConv!$G$45:$M$45),I28+1,I28)</f>
        <v>3</v>
      </c>
      <c r="J29" s="526">
        <f t="shared" ca="1" si="4"/>
        <v>6</v>
      </c>
      <c r="L29" s="526">
        <f t="shared" ca="1" si="2"/>
        <v>1</v>
      </c>
      <c r="M29" s="526">
        <f t="shared" ca="1" si="3"/>
        <v>1</v>
      </c>
      <c r="N29" s="526">
        <f t="shared" ca="1" si="3"/>
        <v>0</v>
      </c>
      <c r="O29" s="526">
        <f t="shared" ca="1" si="3"/>
        <v>0</v>
      </c>
      <c r="P29" s="526">
        <f t="shared" ca="1" si="3"/>
        <v>0</v>
      </c>
    </row>
    <row r="30" spans="1:16">
      <c r="A30" s="42" t="str">
        <f ca="1">IF(INDEX(Demand.Sectors,MATCH(LEFT(C30,3),NameConv!$G$4:$M$4,0)),"","*")</f>
        <v/>
      </c>
      <c r="B30" s="438" t="s">
        <v>352</v>
      </c>
      <c r="C30" s="419" t="str">
        <f ca="1">OFFSET(NameConv!$F$4,0,I30)&amp;OFFSET(NameConv!$F$59,J30,I30)</f>
        <v>INDGAS</v>
      </c>
      <c r="D30" s="419" t="str">
        <f ca="1">IF($A30="",OFFSET(NameConv!$F$3,0,I30)&amp;" "&amp;VLOOKUP(RIGHT(C30,3),NameConv!$C$5:$D$44,2,FALSE),"")</f>
        <v>Industry Gas South Africa</v>
      </c>
      <c r="E30" s="438" t="s">
        <v>248</v>
      </c>
      <c r="F30" s="438" t="str">
        <f t="shared" ca="1" si="1"/>
        <v>COM,NRG,ANNUAL,FOSSIL</v>
      </c>
      <c r="H30" s="42"/>
      <c r="I30" s="526">
        <f ca="1">IF(J29=SUMIF(NameConv!$G$4:$M$4,LEFT(C29,3),NameConv!$G$45:$M$45),I29+1,I29)</f>
        <v>3</v>
      </c>
      <c r="J30" s="526">
        <f t="shared" ca="1" si="4"/>
        <v>7</v>
      </c>
      <c r="L30" s="526">
        <f t="shared" ca="1" si="2"/>
        <v>0</v>
      </c>
      <c r="M30" s="526">
        <f t="shared" ca="1" si="3"/>
        <v>0</v>
      </c>
      <c r="N30" s="526">
        <f t="shared" ca="1" si="3"/>
        <v>0</v>
      </c>
      <c r="O30" s="526">
        <f t="shared" ca="1" si="3"/>
        <v>0</v>
      </c>
      <c r="P30" s="526">
        <f t="shared" ca="1" si="3"/>
        <v>0</v>
      </c>
    </row>
    <row r="31" spans="1:16">
      <c r="A31" s="42" t="str">
        <f ca="1">IF(INDEX(Demand.Sectors,MATCH(LEFT(C31,3),NameConv!$G$4:$M$4,0)),"","*")</f>
        <v/>
      </c>
      <c r="B31" s="438" t="s">
        <v>352</v>
      </c>
      <c r="C31" s="419" t="str">
        <f ca="1">OFFSET(NameConv!$F$4,0,I31)&amp;OFFSET(NameConv!$F$59,J31,I31)</f>
        <v>INDODS</v>
      </c>
      <c r="D31" s="419" t="str">
        <f ca="1">IF($A31="",OFFSET(NameConv!$F$3,0,I31)&amp;" "&amp;VLOOKUP(RIGHT(C31,3),NameConv!$C$5:$D$44,2,FALSE),"")</f>
        <v>Industry Oil Diesel</v>
      </c>
      <c r="E31" s="438" t="s">
        <v>248</v>
      </c>
      <c r="F31" s="438" t="str">
        <f t="shared" ca="1" si="1"/>
        <v>COM,NRG,ANNUAL,FOSSIL</v>
      </c>
      <c r="H31" s="42"/>
      <c r="I31" s="526">
        <f ca="1">IF(J30=SUMIF(NameConv!$G$4:$M$4,LEFT(C30,3),NameConv!$G$45:$M$45),I30+1,I30)</f>
        <v>3</v>
      </c>
      <c r="J31" s="526">
        <f t="shared" ca="1" si="4"/>
        <v>8</v>
      </c>
      <c r="L31" s="526">
        <f t="shared" ca="1" si="2"/>
        <v>0</v>
      </c>
      <c r="M31" s="526">
        <f t="shared" ca="1" si="3"/>
        <v>0</v>
      </c>
      <c r="N31" s="526">
        <f t="shared" ca="1" si="3"/>
        <v>0</v>
      </c>
      <c r="O31" s="526">
        <f t="shared" ca="1" si="3"/>
        <v>0</v>
      </c>
      <c r="P31" s="526">
        <f t="shared" ca="1" si="3"/>
        <v>0</v>
      </c>
    </row>
    <row r="32" spans="1:16">
      <c r="A32" s="42" t="str">
        <f ca="1">IF(INDEX(Demand.Sectors,MATCH(LEFT(C32,3),NameConv!$G$4:$M$4,0)),"","*")</f>
        <v/>
      </c>
      <c r="B32" s="438" t="s">
        <v>352</v>
      </c>
      <c r="C32" s="419" t="str">
        <f ca="1">OFFSET(NameConv!$F$4,0,I32)&amp;OFFSET(NameConv!$F$59,J32,I32)</f>
        <v>INDOGS</v>
      </c>
      <c r="D32" s="419" t="str">
        <f ca="1">IF($A32="",OFFSET(NameConv!$F$3,0,I32)&amp;" "&amp;VLOOKUP(RIGHT(C32,3),NameConv!$C$5:$D$44,2,FALSE),"")</f>
        <v>Industry Oil Gasoline</v>
      </c>
      <c r="E32" s="438" t="s">
        <v>248</v>
      </c>
      <c r="F32" s="438" t="str">
        <f t="shared" ca="1" si="1"/>
        <v>COM,NRG,ANNUAL,FOSSIL</v>
      </c>
      <c r="H32" s="42"/>
      <c r="I32" s="526">
        <f ca="1">IF(J31=SUMIF(NameConv!$G$4:$M$4,LEFT(C31,3),NameConv!$G$45:$M$45),I31+1,I31)</f>
        <v>3</v>
      </c>
      <c r="J32" s="526">
        <f t="shared" ca="1" si="4"/>
        <v>9</v>
      </c>
      <c r="L32" s="526">
        <f t="shared" ca="1" si="2"/>
        <v>0</v>
      </c>
      <c r="M32" s="526">
        <f t="shared" ca="1" si="3"/>
        <v>0</v>
      </c>
      <c r="N32" s="526">
        <f t="shared" ca="1" si="3"/>
        <v>0</v>
      </c>
      <c r="O32" s="526">
        <f t="shared" ca="1" si="3"/>
        <v>0</v>
      </c>
      <c r="P32" s="526">
        <f t="shared" ca="1" si="3"/>
        <v>0</v>
      </c>
    </row>
    <row r="33" spans="1:16">
      <c r="A33" s="42" t="str">
        <f ca="1">IF(INDEX(Demand.Sectors,MATCH(LEFT(C33,3),NameConv!$G$4:$M$4,0)),"","*")</f>
        <v/>
      </c>
      <c r="B33" s="438" t="s">
        <v>352</v>
      </c>
      <c r="C33" s="419" t="str">
        <f ca="1">OFFSET(NameConv!$F$4,0,I33)&amp;OFFSET(NameConv!$F$59,J33,I33)</f>
        <v>INDOHF</v>
      </c>
      <c r="D33" s="419" t="str">
        <f ca="1">IF($A33="",OFFSET(NameConv!$F$3,0,I33)&amp;" "&amp;VLOOKUP(RIGHT(C33,3),NameConv!$C$5:$D$44,2,FALSE),"")</f>
        <v>Industry Oil HFO</v>
      </c>
      <c r="E33" s="438" t="s">
        <v>248</v>
      </c>
      <c r="F33" s="438" t="str">
        <f t="shared" ca="1" si="1"/>
        <v>COM,NRG,ANNUAL,FOSSIL</v>
      </c>
      <c r="H33" s="42"/>
      <c r="I33" s="526">
        <f ca="1">IF(J32=SUMIF(NameConv!$G$4:$M$4,LEFT(C32,3),NameConv!$G$45:$M$45),I32+1,I32)</f>
        <v>3</v>
      </c>
      <c r="J33" s="526">
        <f t="shared" ca="1" si="4"/>
        <v>10</v>
      </c>
      <c r="L33" s="526">
        <f t="shared" ca="1" si="2"/>
        <v>0</v>
      </c>
      <c r="M33" s="526">
        <f t="shared" ca="1" si="3"/>
        <v>0</v>
      </c>
      <c r="N33" s="526">
        <f t="shared" ca="1" si="3"/>
        <v>0</v>
      </c>
      <c r="O33" s="526">
        <f t="shared" ca="1" si="3"/>
        <v>0</v>
      </c>
      <c r="P33" s="526">
        <f t="shared" ca="1" si="3"/>
        <v>0</v>
      </c>
    </row>
    <row r="34" spans="1:16">
      <c r="A34" s="42" t="str">
        <f ca="1">IF(INDEX(Demand.Sectors,MATCH(LEFT(C34,3),NameConv!$G$4:$M$4,0)),"","*")</f>
        <v/>
      </c>
      <c r="B34" s="438" t="s">
        <v>352</v>
      </c>
      <c r="C34" s="419" t="str">
        <f ca="1">OFFSET(NameConv!$F$4,0,I34)&amp;OFFSET(NameConv!$F$59,J34,I34)</f>
        <v>INDOLP</v>
      </c>
      <c r="D34" s="419" t="str">
        <f ca="1">IF($A34="",OFFSET(NameConv!$F$3,0,I34)&amp;" "&amp;VLOOKUP(RIGHT(C34,3),NameConv!$C$5:$D$44,2,FALSE),"")</f>
        <v>Industry Oil LPG</v>
      </c>
      <c r="E34" s="438" t="s">
        <v>248</v>
      </c>
      <c r="F34" s="438" t="str">
        <f t="shared" ca="1" si="1"/>
        <v>COM,NRG,ANNUAL,FOSSIL</v>
      </c>
      <c r="H34" s="42"/>
      <c r="I34" s="526">
        <f ca="1">IF(J33=SUMIF(NameConv!$G$4:$M$4,LEFT(C33,3),NameConv!$G$45:$M$45),I33+1,I33)</f>
        <v>3</v>
      </c>
      <c r="J34" s="526">
        <f t="shared" ref="J34:J43" ca="1" si="5">IF(I34=I33,J33+1,1)</f>
        <v>11</v>
      </c>
      <c r="L34" s="526">
        <f t="shared" ca="1" si="2"/>
        <v>0</v>
      </c>
      <c r="M34" s="526">
        <f t="shared" ca="1" si="3"/>
        <v>0</v>
      </c>
      <c r="N34" s="526">
        <f t="shared" ca="1" si="3"/>
        <v>0</v>
      </c>
      <c r="O34" s="526">
        <f t="shared" ca="1" si="3"/>
        <v>0</v>
      </c>
      <c r="P34" s="526">
        <f t="shared" ca="1" si="3"/>
        <v>0</v>
      </c>
    </row>
    <row r="35" spans="1:16">
      <c r="A35" s="42" t="str">
        <f ca="1">IF(INDEX(Demand.Sectors,MATCH(LEFT(C35,3),NameConv!$G$4:$M$4,0)),"","*")</f>
        <v/>
      </c>
      <c r="B35" s="438" t="s">
        <v>352</v>
      </c>
      <c r="C35" s="419" t="str">
        <f ca="1">OFFSET(NameConv!$F$4,0,I35)&amp;OFFSET(NameConv!$F$59,J35,I35)</f>
        <v>INDWAS</v>
      </c>
      <c r="D35" s="419" t="str">
        <f ca="1">IF($A35="",OFFSET(NameConv!$F$3,0,I35)&amp;" "&amp;VLOOKUP(RIGHT(C35,3),NameConv!$C$5:$D$44,2,FALSE),"")</f>
        <v>Industry Waste</v>
      </c>
      <c r="E35" s="438" t="s">
        <v>248</v>
      </c>
      <c r="F35" s="438" t="str">
        <f t="shared" ca="1" si="1"/>
        <v>COM,NRG,ANNUAL,FOSSIL</v>
      </c>
      <c r="H35" s="42"/>
      <c r="I35" s="526">
        <f ca="1">IF(J34=SUMIF(NameConv!$G$4:$M$4,LEFT(C34,3),NameConv!$G$45:$M$45),I34+1,I34)</f>
        <v>3</v>
      </c>
      <c r="J35" s="526">
        <f t="shared" ca="1" si="5"/>
        <v>12</v>
      </c>
      <c r="L35" s="526">
        <f t="shared" ca="1" si="2"/>
        <v>0</v>
      </c>
      <c r="M35" s="526">
        <f t="shared" ca="1" si="3"/>
        <v>0</v>
      </c>
      <c r="N35" s="526">
        <f t="shared" ca="1" si="3"/>
        <v>0</v>
      </c>
      <c r="O35" s="526">
        <f t="shared" ca="1" si="3"/>
        <v>0</v>
      </c>
      <c r="P35" s="526">
        <f t="shared" ca="1" si="3"/>
        <v>0</v>
      </c>
    </row>
    <row r="36" spans="1:16">
      <c r="A36" s="42" t="str">
        <f ca="1">IF(INDEX(Demand.Sectors,MATCH(LEFT(C36,3),NameConv!$G$4:$M$4,0)),"","*")</f>
        <v/>
      </c>
      <c r="B36" s="438" t="s">
        <v>352</v>
      </c>
      <c r="C36" s="419" t="str">
        <f ca="1">OFFSET(NameConv!$F$4,0,I36)&amp;OFFSET(NameConv!$F$59,J36,I36)</f>
        <v>TRAELC</v>
      </c>
      <c r="D36" s="419" t="str">
        <f ca="1">IF($A36="",OFFSET(NameConv!$F$3,0,I36)&amp;" "&amp;VLOOKUP(RIGHT(C36,3),NameConv!$C$5:$D$44,2,FALSE),"")</f>
        <v>Transport Electricity</v>
      </c>
      <c r="E36" s="438" t="s">
        <v>248</v>
      </c>
      <c r="F36" s="438" t="str">
        <f ca="1">IF($L36,"COM,NRG,DAYNITE,"&amp;INDEX($M$7:$P$7,MATCH($L36,$M36:$P36,0)),"COM,NRG,ANNUAL,FOSSIL")</f>
        <v>COM,NRG,DAYNITE,ELC</v>
      </c>
      <c r="H36" s="42"/>
      <c r="I36" s="526">
        <f ca="1">IF(J35=SUMIF(NameConv!$G$4:$M$4,LEFT(C35,3),NameConv!$G$45:$M$45),I35+1,I35)</f>
        <v>4</v>
      </c>
      <c r="J36" s="526">
        <f t="shared" ca="1" si="5"/>
        <v>1</v>
      </c>
      <c r="L36" s="526">
        <f t="shared" ca="1" si="2"/>
        <v>1</v>
      </c>
      <c r="M36" s="526">
        <f t="shared" ca="1" si="3"/>
        <v>1</v>
      </c>
      <c r="N36" s="526">
        <f t="shared" ca="1" si="3"/>
        <v>0</v>
      </c>
      <c r="O36" s="526">
        <f t="shared" ca="1" si="3"/>
        <v>0</v>
      </c>
      <c r="P36" s="526">
        <f t="shared" ca="1" si="3"/>
        <v>0</v>
      </c>
    </row>
    <row r="37" spans="1:16">
      <c r="A37" s="42" t="str">
        <f ca="1">IF(INDEX(Demand.Sectors,MATCH(LEFT(C37,3),NameConv!$G$4:$M$4,0)),"","*")</f>
        <v/>
      </c>
      <c r="B37" s="438" t="s">
        <v>352</v>
      </c>
      <c r="C37" s="419" t="str">
        <f ca="1">OFFSET(NameConv!$F$4,0,I37)&amp;OFFSET(NameConv!$F$59,J37,I37)</f>
        <v>TRAGAS</v>
      </c>
      <c r="D37" s="419" t="str">
        <f ca="1">IF($A37="",OFFSET(NameConv!$F$3,0,I37)&amp;" "&amp;VLOOKUP(RIGHT(C37,3),NameConv!$C$5:$D$44,2,FALSE),"")</f>
        <v>Transport Gas South Africa</v>
      </c>
      <c r="E37" s="438" t="s">
        <v>248</v>
      </c>
      <c r="F37" s="438" t="str">
        <f t="shared" ca="1" si="1"/>
        <v>COM,NRG,ANNUAL,FOSSIL</v>
      </c>
      <c r="H37" s="42"/>
      <c r="I37" s="526">
        <f ca="1">IF(J36=SUMIF(NameConv!$G$4:$M$4,LEFT(C36,3),NameConv!$G$45:$M$45),I36+1,I36)</f>
        <v>4</v>
      </c>
      <c r="J37" s="526">
        <f t="shared" ca="1" si="5"/>
        <v>2</v>
      </c>
      <c r="L37" s="526">
        <f t="shared" ca="1" si="2"/>
        <v>0</v>
      </c>
      <c r="M37" s="526">
        <f t="shared" ca="1" si="3"/>
        <v>0</v>
      </c>
      <c r="N37" s="526">
        <f t="shared" ca="1" si="3"/>
        <v>0</v>
      </c>
      <c r="O37" s="526">
        <f t="shared" ca="1" si="3"/>
        <v>0</v>
      </c>
      <c r="P37" s="526">
        <f t="shared" ca="1" si="3"/>
        <v>0</v>
      </c>
    </row>
    <row r="38" spans="1:16">
      <c r="A38" s="42" t="str">
        <f ca="1">IF(INDEX(Demand.Sectors,MATCH(LEFT(C38,3),NameConv!$G$4:$M$4,0)),"","*")</f>
        <v/>
      </c>
      <c r="B38" s="438" t="s">
        <v>352</v>
      </c>
      <c r="C38" s="419" t="str">
        <f ca="1">OFFSET(NameConv!$F$4,0,I38)&amp;OFFSET(NameConv!$F$59,J38,I38)</f>
        <v>TRAHGN</v>
      </c>
      <c r="D38" s="419" t="str">
        <f ca="1">IF($A38="",OFFSET(NameConv!$F$3,0,I38)&amp;" "&amp;VLOOKUP(RIGHT(C38,3),NameConv!$C$5:$D$44,2,FALSE),"")</f>
        <v>Transport Hydrogen</v>
      </c>
      <c r="E38" s="438" t="s">
        <v>248</v>
      </c>
      <c r="F38" s="438" t="str">
        <f t="shared" ca="1" si="1"/>
        <v>COM,NRG,DAYNITE,FOSSIL</v>
      </c>
      <c r="H38" s="42"/>
      <c r="I38" s="526">
        <f ca="1">IF(J37=SUMIF(NameConv!$G$4:$M$4,LEFT(C37,3),NameConv!$G$45:$M$45),I37+1,I37)</f>
        <v>4</v>
      </c>
      <c r="J38" s="526">
        <f t="shared" ca="1" si="5"/>
        <v>3</v>
      </c>
      <c r="L38" s="526">
        <f t="shared" ca="1" si="2"/>
        <v>1</v>
      </c>
      <c r="M38" s="526">
        <f t="shared" ca="1" si="3"/>
        <v>0</v>
      </c>
      <c r="N38" s="526">
        <f t="shared" ca="1" si="3"/>
        <v>1</v>
      </c>
      <c r="O38" s="526">
        <f t="shared" ca="1" si="3"/>
        <v>0</v>
      </c>
      <c r="P38" s="526">
        <f t="shared" ca="1" si="3"/>
        <v>0</v>
      </c>
    </row>
    <row r="39" spans="1:16">
      <c r="A39" s="42" t="str">
        <f ca="1">IF(INDEX(Demand.Sectors,MATCH(LEFT(C39,3),NameConv!$G$4:$M$4,0)),"","*")</f>
        <v/>
      </c>
      <c r="B39" s="438" t="s">
        <v>352</v>
      </c>
      <c r="C39" s="419" t="str">
        <f ca="1">OFFSET(NameConv!$F$4,0,I39)&amp;OFFSET(NameConv!$F$59,J39,I39)</f>
        <v>TRAOAG</v>
      </c>
      <c r="D39" s="419" t="str">
        <f ca="1">IF($A39="",OFFSET(NameConv!$F$3,0,I39)&amp;" "&amp;VLOOKUP(RIGHT(C39,3),NameConv!$C$5:$D$44,2,FALSE),"")</f>
        <v>Transport Oil Av Gasoline</v>
      </c>
      <c r="E39" s="438" t="s">
        <v>248</v>
      </c>
      <c r="F39" s="438" t="str">
        <f t="shared" ca="1" si="1"/>
        <v>COM,NRG,ANNUAL,FOSSIL</v>
      </c>
      <c r="H39" s="42"/>
      <c r="I39" s="526">
        <f ca="1">IF(J38=SUMIF(NameConv!$G$4:$M$4,LEFT(C38,3),NameConv!$G$45:$M$45),I38+1,I38)</f>
        <v>4</v>
      </c>
      <c r="J39" s="526">
        <f t="shared" ca="1" si="5"/>
        <v>4</v>
      </c>
      <c r="L39" s="526">
        <f t="shared" ca="1" si="2"/>
        <v>0</v>
      </c>
      <c r="M39" s="526">
        <f t="shared" ca="1" si="3"/>
        <v>0</v>
      </c>
      <c r="N39" s="526">
        <f t="shared" ca="1" si="3"/>
        <v>0</v>
      </c>
      <c r="O39" s="526">
        <f t="shared" ca="1" si="3"/>
        <v>0</v>
      </c>
      <c r="P39" s="526">
        <f t="shared" ca="1" si="3"/>
        <v>0</v>
      </c>
    </row>
    <row r="40" spans="1:16">
      <c r="A40" s="42" t="str">
        <f ca="1">IF(INDEX(Demand.Sectors,MATCH(LEFT(C40,3),NameConv!$G$4:$M$4,0)),"","*")</f>
        <v/>
      </c>
      <c r="B40" s="438" t="s">
        <v>352</v>
      </c>
      <c r="C40" s="419" t="str">
        <f ca="1">OFFSET(NameConv!$F$4,0,I40)&amp;OFFSET(NameConv!$F$59,J40,I40)</f>
        <v>TRAODS</v>
      </c>
      <c r="D40" s="419" t="str">
        <f ca="1">IF($A40="",OFFSET(NameConv!$F$3,0,I40)&amp;" "&amp;VLOOKUP(RIGHT(C40,3),NameConv!$C$5:$D$44,2,FALSE),"")</f>
        <v>Transport Oil Diesel</v>
      </c>
      <c r="E40" s="438" t="s">
        <v>248</v>
      </c>
      <c r="F40" s="438" t="str">
        <f t="shared" ca="1" si="1"/>
        <v>COM,NRG,ANNUAL,FOSSIL</v>
      </c>
      <c r="H40" s="42"/>
      <c r="I40" s="526">
        <f ca="1">IF(J39=SUMIF(NameConv!$G$4:$M$4,LEFT(C39,3),NameConv!$G$45:$M$45),I39+1,I39)</f>
        <v>4</v>
      </c>
      <c r="J40" s="526">
        <f t="shared" ca="1" si="5"/>
        <v>5</v>
      </c>
      <c r="L40" s="526">
        <f t="shared" ca="1" si="2"/>
        <v>0</v>
      </c>
      <c r="M40" s="526">
        <f t="shared" ca="1" si="3"/>
        <v>0</v>
      </c>
      <c r="N40" s="526">
        <f t="shared" ca="1" si="3"/>
        <v>0</v>
      </c>
      <c r="O40" s="526">
        <f t="shared" ca="1" si="3"/>
        <v>0</v>
      </c>
      <c r="P40" s="526">
        <f t="shared" ca="1" si="3"/>
        <v>0</v>
      </c>
    </row>
    <row r="41" spans="1:16">
      <c r="A41" s="42" t="str">
        <f ca="1">IF(INDEX(Demand.Sectors,MATCH(LEFT(C41,3),NameConv!$G$4:$M$4,0)),"","*")</f>
        <v/>
      </c>
      <c r="B41" s="438" t="s">
        <v>352</v>
      </c>
      <c r="C41" s="419" t="str">
        <f ca="1">OFFSET(NameConv!$F$4,0,I41)&amp;OFFSET(NameConv!$F$59,J41,I41)</f>
        <v>TRAOGS</v>
      </c>
      <c r="D41" s="419" t="str">
        <f ca="1">IF($A41="",OFFSET(NameConv!$F$3,0,I41)&amp;" "&amp;VLOOKUP(RIGHT(C41,3),NameConv!$C$5:$D$44,2,FALSE),"")</f>
        <v>Transport Oil Gasoline</v>
      </c>
      <c r="E41" s="438" t="s">
        <v>248</v>
      </c>
      <c r="F41" s="438" t="str">
        <f t="shared" ca="1" si="1"/>
        <v>COM,NRG,ANNUAL,FOSSIL</v>
      </c>
      <c r="H41" s="42"/>
      <c r="I41" s="526">
        <f ca="1">IF(J40=SUMIF(NameConv!$G$4:$M$4,LEFT(C40,3),NameConv!$G$45:$M$45),I40+1,I40)</f>
        <v>4</v>
      </c>
      <c r="J41" s="526">
        <f t="shared" ca="1" si="5"/>
        <v>6</v>
      </c>
      <c r="L41" s="526">
        <f t="shared" ca="1" si="2"/>
        <v>0</v>
      </c>
      <c r="M41" s="526">
        <f t="shared" ca="1" si="3"/>
        <v>0</v>
      </c>
      <c r="N41" s="526">
        <f t="shared" ca="1" si="3"/>
        <v>0</v>
      </c>
      <c r="O41" s="526">
        <f t="shared" ca="1" si="3"/>
        <v>0</v>
      </c>
      <c r="P41" s="526">
        <f t="shared" ca="1" si="3"/>
        <v>0</v>
      </c>
    </row>
    <row r="42" spans="1:16">
      <c r="A42" s="42" t="str">
        <f ca="1">IF(INDEX(Demand.Sectors,MATCH(LEFT(C42,3),NameConv!$G$4:$M$4,0)),"","*")</f>
        <v/>
      </c>
      <c r="B42" s="438" t="s">
        <v>352</v>
      </c>
      <c r="C42" s="419" t="str">
        <f ca="1">OFFSET(NameConv!$F$4,0,I42)&amp;OFFSET(NameConv!$F$59,J42,I42)</f>
        <v>TRAOHF</v>
      </c>
      <c r="D42" s="419" t="str">
        <f ca="1">IF($A42="",OFFSET(NameConv!$F$3,0,I42)&amp;" "&amp;VLOOKUP(RIGHT(C42,3),NameConv!$C$5:$D$44,2,FALSE),"")</f>
        <v>Transport Oil HFO</v>
      </c>
      <c r="E42" s="438" t="s">
        <v>248</v>
      </c>
      <c r="F42" s="438" t="str">
        <f t="shared" ca="1" si="1"/>
        <v>COM,NRG,ANNUAL,FOSSIL</v>
      </c>
      <c r="H42" s="42"/>
      <c r="I42" s="526">
        <f ca="1">IF(J41=SUMIF(NameConv!$G$4:$M$4,LEFT(C41,3),NameConv!$G$45:$M$45),I41+1,I41)</f>
        <v>4</v>
      </c>
      <c r="J42" s="526">
        <f t="shared" ca="1" si="5"/>
        <v>7</v>
      </c>
      <c r="L42" s="526">
        <f t="shared" ca="1" si="2"/>
        <v>0</v>
      </c>
      <c r="M42" s="526">
        <f t="shared" ref="M42:P79" ca="1" si="6">IFERROR(IF(FIND(M$6,$C42)&gt;0,1,0),0)</f>
        <v>0</v>
      </c>
      <c r="N42" s="526">
        <f t="shared" ca="1" si="6"/>
        <v>0</v>
      </c>
      <c r="O42" s="526">
        <f t="shared" ca="1" si="6"/>
        <v>0</v>
      </c>
      <c r="P42" s="526">
        <f t="shared" ca="1" si="6"/>
        <v>0</v>
      </c>
    </row>
    <row r="43" spans="1:16">
      <c r="A43" s="42" t="str">
        <f ca="1">IF(INDEX(Demand.Sectors,MATCH(LEFT(C43,3),NameConv!$G$4:$M$4,0)),"","*")</f>
        <v/>
      </c>
      <c r="B43" s="438" t="s">
        <v>352</v>
      </c>
      <c r="C43" s="419" t="str">
        <f ca="1">OFFSET(NameConv!$F$4,0,I43)&amp;OFFSET(NameConv!$F$59,J43,I43)</f>
        <v>TRAOKE</v>
      </c>
      <c r="D43" s="419" t="str">
        <f ca="1">IF($A43="",OFFSET(NameConv!$F$3,0,I43)&amp;" "&amp;VLOOKUP(RIGHT(C43,3),NameConv!$C$5:$D$44,2,FALSE),"")</f>
        <v>Transport Oil Kerosene</v>
      </c>
      <c r="E43" s="438" t="s">
        <v>248</v>
      </c>
      <c r="F43" s="438" t="str">
        <f t="shared" ca="1" si="1"/>
        <v>COM,NRG,ANNUAL,FOSSIL</v>
      </c>
      <c r="H43" s="42"/>
      <c r="I43" s="526">
        <f ca="1">IF(J42=SUMIF(NameConv!$G$4:$M$4,LEFT(C42,3),NameConv!$G$45:$M$45),I42+1,I42)</f>
        <v>4</v>
      </c>
      <c r="J43" s="526">
        <f t="shared" ca="1" si="5"/>
        <v>8</v>
      </c>
      <c r="L43" s="526">
        <f t="shared" ca="1" si="2"/>
        <v>0</v>
      </c>
      <c r="M43" s="526">
        <f t="shared" ca="1" si="6"/>
        <v>0</v>
      </c>
      <c r="N43" s="526">
        <f t="shared" ca="1" si="6"/>
        <v>0</v>
      </c>
      <c r="O43" s="526">
        <f t="shared" ca="1" si="6"/>
        <v>0</v>
      </c>
      <c r="P43" s="526">
        <f t="shared" ca="1" si="6"/>
        <v>0</v>
      </c>
    </row>
    <row r="44" spans="1:16">
      <c r="A44" s="42" t="str">
        <f ca="1">IF(INDEX(Demand.Sectors,MATCH(LEFT(C44,3),NameConv!$G$4:$M$4,0)),"","*")</f>
        <v/>
      </c>
      <c r="B44" s="438" t="s">
        <v>352</v>
      </c>
      <c r="C44" s="419" t="str">
        <f ca="1">OFFSET(NameConv!$F$4,0,I44)&amp;OFFSET(NameConv!$F$59,J44,I44)</f>
        <v>RESBIW</v>
      </c>
      <c r="D44" s="419" t="str">
        <f ca="1">IF($A44="",OFFSET(NameConv!$F$3,0,I44)&amp;" "&amp;VLOOKUP(RIGHT(C44,3),NameConv!$C$5:$D$44,2,FALSE),"")</f>
        <v>Residential Biomass Wood</v>
      </c>
      <c r="E44" s="438" t="s">
        <v>248</v>
      </c>
      <c r="F44" s="438" t="str">
        <f t="shared" ca="1" si="1"/>
        <v>COM,NRG,ANNUAL,FOSSIL</v>
      </c>
      <c r="H44" s="42"/>
      <c r="I44" s="526">
        <f ca="1">IF(J43=SUMIF(NameConv!$G$4:$M$4,LEFT(C43,3),NameConv!$G$45:$M$45),I43+1,I43)</f>
        <v>5</v>
      </c>
      <c r="J44" s="526">
        <f t="shared" ref="J44:J49" ca="1" si="7">IF(I44=I43,J43+1,1)</f>
        <v>1</v>
      </c>
      <c r="L44" s="526">
        <f t="shared" ca="1" si="2"/>
        <v>0</v>
      </c>
      <c r="M44" s="526">
        <f t="shared" ca="1" si="6"/>
        <v>0</v>
      </c>
      <c r="N44" s="526">
        <f t="shared" ca="1" si="6"/>
        <v>0</v>
      </c>
      <c r="O44" s="526">
        <f t="shared" ca="1" si="6"/>
        <v>0</v>
      </c>
      <c r="P44" s="526">
        <f t="shared" ca="1" si="6"/>
        <v>0</v>
      </c>
    </row>
    <row r="45" spans="1:16">
      <c r="A45" s="42" t="str">
        <f ca="1">IF(INDEX(Demand.Sectors,MATCH(LEFT(C45,3),NameConv!$G$4:$M$4,0)),"","*")</f>
        <v/>
      </c>
      <c r="B45" s="438" t="s">
        <v>352</v>
      </c>
      <c r="C45" s="419" t="str">
        <f ca="1">OFFSET(NameConv!$F$4,0,I45)&amp;OFFSET(NameConv!$F$59,J45,I45)</f>
        <v>RESCOA</v>
      </c>
      <c r="D45" s="419" t="str">
        <f ca="1">IF($A45="",OFFSET(NameConv!$F$3,0,I45)&amp;" "&amp;VLOOKUP(RIGHT(C45,3),NameConv!$C$5:$D$44,2,FALSE),"")</f>
        <v>Residential Coal</v>
      </c>
      <c r="E45" s="438" t="s">
        <v>248</v>
      </c>
      <c r="F45" s="438" t="str">
        <f ca="1">IF($L45,"COM,NRG,DAYNITE,"&amp;INDEX($M$7:$P$7,MATCH($L45,$M45:$P45,0)),"COM,NRG,ANNUAL,FOSSIL")</f>
        <v>COM,NRG,ANNUAL,FOSSIL</v>
      </c>
      <c r="H45" s="42"/>
      <c r="I45" s="526">
        <f ca="1">IF(J44=SUMIF(NameConv!$G$4:$M$4,LEFT(C44,3),NameConv!$G$45:$M$45),I44+1,I44)</f>
        <v>5</v>
      </c>
      <c r="J45" s="526">
        <f t="shared" ca="1" si="7"/>
        <v>2</v>
      </c>
      <c r="L45" s="526">
        <f t="shared" ca="1" si="2"/>
        <v>0</v>
      </c>
      <c r="M45" s="526">
        <f t="shared" ca="1" si="6"/>
        <v>0</v>
      </c>
      <c r="N45" s="526">
        <f t="shared" ca="1" si="6"/>
        <v>0</v>
      </c>
      <c r="O45" s="526">
        <f t="shared" ca="1" si="6"/>
        <v>0</v>
      </c>
      <c r="P45" s="526">
        <f t="shared" ca="1" si="6"/>
        <v>0</v>
      </c>
    </row>
    <row r="46" spans="1:16">
      <c r="A46" s="42" t="str">
        <f ca="1">IF(INDEX(Demand.Sectors,MATCH(LEFT(C46,3),NameConv!$G$4:$M$4,0)),"","*")</f>
        <v/>
      </c>
      <c r="B46" s="438" t="s">
        <v>352</v>
      </c>
      <c r="C46" s="419" t="str">
        <f ca="1">OFFSET(NameConv!$F$4,0,I46)&amp;OFFSET(NameConv!$F$59,J46,I46)</f>
        <v>RESELC</v>
      </c>
      <c r="D46" s="419" t="str">
        <f ca="1">IF($A46="",OFFSET(NameConv!$F$3,0,I46)&amp;" "&amp;VLOOKUP(RIGHT(C46,3),NameConv!$C$5:$D$44,2,FALSE),"")</f>
        <v>Residential Electricity</v>
      </c>
      <c r="E46" s="438" t="s">
        <v>248</v>
      </c>
      <c r="F46" s="438" t="str">
        <f t="shared" ca="1" si="1"/>
        <v>COM,NRG,DAYNITE,ELC</v>
      </c>
      <c r="H46" s="42"/>
      <c r="I46" s="526">
        <f ca="1">IF(J45=SUMIF(NameConv!$G$4:$M$4,LEFT(C45,3),NameConv!$G$45:$M$45),I45+1,I45)</f>
        <v>5</v>
      </c>
      <c r="J46" s="526">
        <f t="shared" ca="1" si="7"/>
        <v>3</v>
      </c>
      <c r="L46" s="526">
        <f t="shared" ca="1" si="2"/>
        <v>1</v>
      </c>
      <c r="M46" s="526">
        <f t="shared" ca="1" si="6"/>
        <v>1</v>
      </c>
      <c r="N46" s="526">
        <f t="shared" ca="1" si="6"/>
        <v>0</v>
      </c>
      <c r="O46" s="526">
        <f t="shared" ca="1" si="6"/>
        <v>0</v>
      </c>
      <c r="P46" s="526">
        <f t="shared" ca="1" si="6"/>
        <v>0</v>
      </c>
    </row>
    <row r="47" spans="1:16">
      <c r="A47" s="42" t="str">
        <f ca="1">IF(INDEX(Demand.Sectors,MATCH(LEFT(C47,3),NameConv!$G$4:$M$4,0)),"","*")</f>
        <v/>
      </c>
      <c r="B47" s="438" t="s">
        <v>352</v>
      </c>
      <c r="C47" s="419" t="str">
        <f ca="1">OFFSET(NameConv!$F$4,0,I47)&amp;OFFSET(NameConv!$F$59,J47,I47)</f>
        <v>RESGAS</v>
      </c>
      <c r="D47" s="419" t="str">
        <f ca="1">IF($A47="",OFFSET(NameConv!$F$3,0,I47)&amp;" "&amp;VLOOKUP(RIGHT(C47,3),NameConv!$C$5:$D$44,2,FALSE),"")</f>
        <v>Residential Gas South Africa</v>
      </c>
      <c r="E47" s="438" t="s">
        <v>248</v>
      </c>
      <c r="F47" s="438" t="str">
        <f t="shared" ca="1" si="1"/>
        <v>COM,NRG,ANNUAL,FOSSIL</v>
      </c>
      <c r="H47" s="42"/>
      <c r="I47" s="526">
        <f ca="1">IF(J46=SUMIF(NameConv!$G$4:$M$4,LEFT(C46,3),NameConv!$G$45:$M$45),I46+1,I46)</f>
        <v>5</v>
      </c>
      <c r="J47" s="526">
        <f t="shared" ca="1" si="7"/>
        <v>4</v>
      </c>
      <c r="L47" s="526">
        <f t="shared" ca="1" si="2"/>
        <v>0</v>
      </c>
      <c r="M47" s="526">
        <f t="shared" ca="1" si="6"/>
        <v>0</v>
      </c>
      <c r="N47" s="526">
        <f t="shared" ca="1" si="6"/>
        <v>0</v>
      </c>
      <c r="O47" s="526">
        <f t="shared" ca="1" si="6"/>
        <v>0</v>
      </c>
      <c r="P47" s="526">
        <f t="shared" ca="1" si="6"/>
        <v>0</v>
      </c>
    </row>
    <row r="48" spans="1:16">
      <c r="A48" s="42" t="str">
        <f ca="1">IF(INDEX(Demand.Sectors,MATCH(LEFT(C48,3),NameConv!$G$4:$M$4,0)),"","*")</f>
        <v/>
      </c>
      <c r="B48" s="438" t="s">
        <v>352</v>
      </c>
      <c r="C48" s="419" t="str">
        <f ca="1">OFFSET(NameConv!$F$4,0,I48)&amp;OFFSET(NameConv!$F$59,J48,I48)</f>
        <v>RESOKE</v>
      </c>
      <c r="D48" s="419" t="str">
        <f ca="1">IF($A48="",OFFSET(NameConv!$F$3,0,I48)&amp;" "&amp;VLOOKUP(RIGHT(C48,3),NameConv!$C$5:$D$44,2,FALSE),"")</f>
        <v>Residential Oil Kerosene</v>
      </c>
      <c r="E48" s="438" t="s">
        <v>248</v>
      </c>
      <c r="F48" s="438" t="str">
        <f t="shared" ca="1" si="1"/>
        <v>COM,NRG,ANNUAL,FOSSIL</v>
      </c>
      <c r="H48" s="42"/>
      <c r="I48" s="526">
        <f ca="1">IF(J47=SUMIF(NameConv!$G$4:$M$4,LEFT(C47,3),NameConv!$G$45:$M$45),I47+1,I47)</f>
        <v>5</v>
      </c>
      <c r="J48" s="526">
        <f t="shared" ca="1" si="7"/>
        <v>5</v>
      </c>
      <c r="L48" s="526">
        <f t="shared" ca="1" si="2"/>
        <v>0</v>
      </c>
      <c r="M48" s="526">
        <f t="shared" ca="1" si="6"/>
        <v>0</v>
      </c>
      <c r="N48" s="526">
        <f t="shared" ca="1" si="6"/>
        <v>0</v>
      </c>
      <c r="O48" s="526">
        <f t="shared" ca="1" si="6"/>
        <v>0</v>
      </c>
      <c r="P48" s="526">
        <f t="shared" ca="1" si="6"/>
        <v>0</v>
      </c>
    </row>
    <row r="49" spans="1:16">
      <c r="A49" s="42" t="str">
        <f ca="1">IF(INDEX(Demand.Sectors,MATCH(LEFT(C49,3),NameConv!$G$4:$M$4,0)),"","*")</f>
        <v/>
      </c>
      <c r="B49" s="438" t="s">
        <v>352</v>
      </c>
      <c r="C49" s="419" t="str">
        <f ca="1">OFFSET(NameConv!$F$4,0,I49)&amp;OFFSET(NameConv!$F$59,J49,I49)</f>
        <v>RESOLP</v>
      </c>
      <c r="D49" s="419" t="str">
        <f ca="1">IF($A49="",OFFSET(NameConv!$F$3,0,I49)&amp;" "&amp;VLOOKUP(RIGHT(C49,3),NameConv!$C$5:$D$44,2,FALSE),"")</f>
        <v>Residential Oil LPG</v>
      </c>
      <c r="E49" s="438" t="s">
        <v>248</v>
      </c>
      <c r="F49" s="438" t="str">
        <f t="shared" ca="1" si="1"/>
        <v>COM,NRG,ANNUAL,FOSSIL</v>
      </c>
      <c r="H49" s="42"/>
      <c r="I49" s="526">
        <f ca="1">IF(J48=SUMIF(NameConv!$G$4:$M$4,LEFT(C48,3),NameConv!$G$45:$M$45),I48+1,I48)</f>
        <v>5</v>
      </c>
      <c r="J49" s="526">
        <f t="shared" ca="1" si="7"/>
        <v>6</v>
      </c>
      <c r="L49" s="526">
        <f t="shared" ca="1" si="2"/>
        <v>0</v>
      </c>
      <c r="M49" s="526">
        <f t="shared" ca="1" si="6"/>
        <v>0</v>
      </c>
      <c r="N49" s="526">
        <f t="shared" ca="1" si="6"/>
        <v>0</v>
      </c>
      <c r="O49" s="526">
        <f t="shared" ca="1" si="6"/>
        <v>0</v>
      </c>
      <c r="P49" s="526">
        <f t="shared" ca="1" si="6"/>
        <v>0</v>
      </c>
    </row>
    <row r="50" spans="1:16">
      <c r="A50" s="42" t="str">
        <f ca="1">IF(INDEX(Demand.Sectors,MATCH(LEFT(C50,3),NameConv!$G$4:$M$4,0)),"","*")</f>
        <v/>
      </c>
      <c r="B50" s="438" t="s">
        <v>352</v>
      </c>
      <c r="C50" s="419" t="str">
        <f ca="1">OFFSET(NameConv!$F$4,0,I50)&amp;OFFSET(NameConv!$F$59,J50,I50)</f>
        <v>PWRBIG</v>
      </c>
      <c r="D50" s="419" t="str">
        <f ca="1">IF($A50="",OFFSET(NameConv!$F$3,0,I50)&amp;" "&amp;VLOOKUP(RIGHT(C50,3),NameConv!$C$5:$D$44,2,FALSE),"")</f>
        <v>Power Sector Biogas</v>
      </c>
      <c r="E50" s="438" t="s">
        <v>248</v>
      </c>
      <c r="F50" s="438" t="str">
        <f ca="1">IF($L50,"COM,NRG,DAYNITE,"&amp;INDEX($M$7:$P$7,MATCH($L50,$M50:$P50,0)),"COM,NRG,ANNUAL,FOSSIL")</f>
        <v>COM,NRG,ANNUAL,FOSSIL</v>
      </c>
      <c r="H50" s="42"/>
      <c r="I50" s="526">
        <f ca="1">IF(J49=SUMIF(NameConv!$G$4:$M$4,LEFT(C49,3),NameConv!$G$45:$M$45),I49+1,I49)</f>
        <v>6</v>
      </c>
      <c r="J50" s="526">
        <f t="shared" ref="J50:J56" ca="1" si="8">IF(I50=I49,J49+1,1)</f>
        <v>1</v>
      </c>
      <c r="L50" s="526">
        <f t="shared" ca="1" si="2"/>
        <v>0</v>
      </c>
      <c r="M50" s="526">
        <f t="shared" ca="1" si="6"/>
        <v>0</v>
      </c>
      <c r="N50" s="526">
        <f t="shared" ca="1" si="6"/>
        <v>0</v>
      </c>
      <c r="O50" s="526">
        <f t="shared" ca="1" si="6"/>
        <v>0</v>
      </c>
      <c r="P50" s="526">
        <f t="shared" ca="1" si="6"/>
        <v>0</v>
      </c>
    </row>
    <row r="51" spans="1:16">
      <c r="A51" s="42" t="str">
        <f ca="1">IF(INDEX(Demand.Sectors,MATCH(LEFT(C51,3),NameConv!$G$4:$M$4,0)),"","*")</f>
        <v/>
      </c>
      <c r="B51" s="438" t="s">
        <v>352</v>
      </c>
      <c r="C51" s="419" t="str">
        <f ca="1">OFFSET(NameConv!$F$4,0,I51)&amp;OFFSET(NameConv!$F$59,J51,I51)</f>
        <v>PWRBIB</v>
      </c>
      <c r="D51" s="419" t="str">
        <f ca="1">IF($A51="",OFFSET(NameConv!$F$3,0,I51)&amp;" "&amp;VLOOKUP(RIGHT(C51,3),NameConv!$C$5:$D$44,2,FALSE),"")</f>
        <v>Power Sector Biomass bagasse</v>
      </c>
      <c r="E51" s="438" t="s">
        <v>248</v>
      </c>
      <c r="F51" s="438" t="str">
        <f t="shared" ca="1" si="1"/>
        <v>COM,NRG,ANNUAL,FOSSIL</v>
      </c>
      <c r="H51" s="42"/>
      <c r="I51" s="526">
        <f ca="1">IF(J50=SUMIF(NameConv!$G$4:$M$4,LEFT(C50,3),NameConv!$G$45:$M$45),I50+1,I50)</f>
        <v>6</v>
      </c>
      <c r="J51" s="526">
        <f t="shared" ca="1" si="8"/>
        <v>2</v>
      </c>
      <c r="L51" s="526">
        <f t="shared" ca="1" si="2"/>
        <v>0</v>
      </c>
      <c r="M51" s="526">
        <f t="shared" ca="1" si="6"/>
        <v>0</v>
      </c>
      <c r="N51" s="526">
        <f t="shared" ca="1" si="6"/>
        <v>0</v>
      </c>
      <c r="O51" s="526">
        <f t="shared" ca="1" si="6"/>
        <v>0</v>
      </c>
      <c r="P51" s="526">
        <f t="shared" ca="1" si="6"/>
        <v>0</v>
      </c>
    </row>
    <row r="52" spans="1:16">
      <c r="A52" s="42" t="str">
        <f ca="1">IF(INDEX(Demand.Sectors,MATCH(LEFT(C52,3),NameConv!$G$4:$M$4,0)),"","*")</f>
        <v/>
      </c>
      <c r="B52" s="438" t="s">
        <v>352</v>
      </c>
      <c r="C52" s="419" t="str">
        <f ca="1">OFFSET(NameConv!$F$4,0,I52)&amp;OFFSET(NameConv!$F$59,J52,I52)</f>
        <v>PWRBIO</v>
      </c>
      <c r="D52" s="419" t="str">
        <f ca="1">IF($A52="",OFFSET(NameConv!$F$3,0,I52)&amp;" "&amp;VLOOKUP(RIGHT(C52,3),NameConv!$C$5:$D$44,2,FALSE),"")</f>
        <v>Power Sector Biomass Other</v>
      </c>
      <c r="E52" s="438" t="s">
        <v>248</v>
      </c>
      <c r="F52" s="438" t="str">
        <f t="shared" ca="1" si="1"/>
        <v>COM,NRG,ANNUAL,FOSSIL</v>
      </c>
      <c r="H52" s="42"/>
      <c r="I52" s="526">
        <f ca="1">IF(J51=SUMIF(NameConv!$G$4:$M$4,LEFT(C51,3),NameConv!$G$45:$M$45),I51+1,I51)</f>
        <v>6</v>
      </c>
      <c r="J52" s="526">
        <f t="shared" ca="1" si="8"/>
        <v>3</v>
      </c>
      <c r="L52" s="526">
        <f t="shared" ca="1" si="2"/>
        <v>0</v>
      </c>
      <c r="M52" s="526">
        <f t="shared" ca="1" si="6"/>
        <v>0</v>
      </c>
      <c r="N52" s="526">
        <f t="shared" ca="1" si="6"/>
        <v>0</v>
      </c>
      <c r="O52" s="526">
        <f t="shared" ca="1" si="6"/>
        <v>0</v>
      </c>
      <c r="P52" s="526">
        <f t="shared" ca="1" si="6"/>
        <v>0</v>
      </c>
    </row>
    <row r="53" spans="1:16">
      <c r="A53" s="42" t="str">
        <f ca="1">IF(INDEX(Demand.Sectors,MATCH(LEFT(C53,3),NameConv!$G$4:$M$4,0)),"","*")</f>
        <v/>
      </c>
      <c r="B53" s="438" t="s">
        <v>352</v>
      </c>
      <c r="C53" s="419" t="str">
        <f ca="1">OFFSET(NameConv!$F$4,0,I53)&amp;OFFSET(NameConv!$F$59,J53,I53)</f>
        <v>PWRBIW</v>
      </c>
      <c r="D53" s="419" t="str">
        <f ca="1">IF($A53="",OFFSET(NameConv!$F$3,0,I53)&amp;" "&amp;VLOOKUP(RIGHT(C53,3),NameConv!$C$5:$D$44,2,FALSE),"")</f>
        <v>Power Sector Biomass Wood</v>
      </c>
      <c r="E53" s="438" t="s">
        <v>248</v>
      </c>
      <c r="F53" s="438" t="str">
        <f t="shared" ca="1" si="1"/>
        <v>COM,NRG,ANNUAL,FOSSIL</v>
      </c>
      <c r="H53" s="42"/>
      <c r="I53" s="526">
        <f ca="1">IF(J52=SUMIF(NameConv!$G$4:$M$4,LEFT(C52,3),NameConv!$G$45:$M$45),I52+1,I52)</f>
        <v>6</v>
      </c>
      <c r="J53" s="526">
        <f t="shared" ca="1" si="8"/>
        <v>4</v>
      </c>
      <c r="L53" s="526">
        <f t="shared" ca="1" si="2"/>
        <v>0</v>
      </c>
      <c r="M53" s="526">
        <f t="shared" ca="1" si="6"/>
        <v>0</v>
      </c>
      <c r="N53" s="526">
        <f t="shared" ca="1" si="6"/>
        <v>0</v>
      </c>
      <c r="O53" s="526">
        <f t="shared" ca="1" si="6"/>
        <v>0</v>
      </c>
      <c r="P53" s="526">
        <f t="shared" ca="1" si="6"/>
        <v>0</v>
      </c>
    </row>
    <row r="54" spans="1:16">
      <c r="A54" s="42" t="str">
        <f ca="1">IF(INDEX(Demand.Sectors,MATCH(LEFT(C54,3),NameConv!$G$4:$M$4,0)),"","*")</f>
        <v/>
      </c>
      <c r="B54" s="438" t="s">
        <v>352</v>
      </c>
      <c r="C54" s="419" t="str">
        <f ca="1">OFFSET(NameConv!$F$4,0,I54)&amp;OFFSET(NameConv!$F$59,J54,I54)</f>
        <v>PWRCLD</v>
      </c>
      <c r="D54" s="419" t="str">
        <f ca="1">IF($A54="",OFFSET(NameConv!$F$3,0,I54)&amp;" "&amp;VLOOKUP(RIGHT(C54,3),NameConv!$C$5:$D$44,2,FALSE),"")</f>
        <v>Power Sector Coal Discard</v>
      </c>
      <c r="E54" s="438" t="s">
        <v>248</v>
      </c>
      <c r="F54" s="438" t="str">
        <f t="shared" ca="1" si="1"/>
        <v>COM,NRG,ANNUAL,FOSSIL</v>
      </c>
      <c r="H54" s="42"/>
      <c r="I54" s="526">
        <f ca="1">IF(J53=SUMIF(NameConv!$G$4:$M$4,LEFT(C53,3),NameConv!$G$45:$M$45),I53+1,I53)</f>
        <v>6</v>
      </c>
      <c r="J54" s="526">
        <f t="shared" ca="1" si="8"/>
        <v>5</v>
      </c>
      <c r="L54" s="526">
        <f t="shared" ca="1" si="2"/>
        <v>0</v>
      </c>
      <c r="M54" s="526">
        <f t="shared" ca="1" si="6"/>
        <v>0</v>
      </c>
      <c r="N54" s="526">
        <f t="shared" ca="1" si="6"/>
        <v>0</v>
      </c>
      <c r="O54" s="526">
        <f t="shared" ca="1" si="6"/>
        <v>0</v>
      </c>
      <c r="P54" s="526">
        <f t="shared" ca="1" si="6"/>
        <v>0</v>
      </c>
    </row>
    <row r="55" spans="1:16">
      <c r="A55" s="42" t="str">
        <f ca="1">IF(INDEX(Demand.Sectors,MATCH(LEFT(C55,3),NameConv!$G$4:$M$4,0)),"","*")</f>
        <v/>
      </c>
      <c r="B55" s="438" t="s">
        <v>352</v>
      </c>
      <c r="C55" s="419" t="str">
        <f ca="1">OFFSET(NameConv!$F$4,0,I55)&amp;OFFSET(NameConv!$F$59,J55,I55)</f>
        <v>PWRCLE</v>
      </c>
      <c r="D55" s="419" t="str">
        <f ca="1">IF($A55="",OFFSET(NameConv!$F$3,0,I55)&amp;" "&amp;VLOOKUP(RIGHT(C55,3),NameConv!$C$5:$D$44,2,FALSE),"")</f>
        <v>Power Sector Coal low grade</v>
      </c>
      <c r="E55" s="438" t="s">
        <v>248</v>
      </c>
      <c r="F55" s="438" t="str">
        <f t="shared" ca="1" si="1"/>
        <v>COM,NRG,ANNUAL,FOSSIL</v>
      </c>
      <c r="H55" s="42"/>
      <c r="I55" s="526">
        <f ca="1">IF(J54=SUMIF(NameConv!$G$4:$M$4,LEFT(C54,3),NameConv!$G$45:$M$45),I54+1,I54)</f>
        <v>6</v>
      </c>
      <c r="J55" s="526">
        <f t="shared" ca="1" si="8"/>
        <v>6</v>
      </c>
      <c r="L55" s="526">
        <f t="shared" ca="1" si="2"/>
        <v>0</v>
      </c>
      <c r="M55" s="526">
        <f t="shared" ca="1" si="6"/>
        <v>0</v>
      </c>
      <c r="N55" s="526">
        <f t="shared" ca="1" si="6"/>
        <v>0</v>
      </c>
      <c r="O55" s="526">
        <f t="shared" ca="1" si="6"/>
        <v>0</v>
      </c>
      <c r="P55" s="526">
        <f t="shared" ca="1" si="6"/>
        <v>0</v>
      </c>
    </row>
    <row r="56" spans="1:16">
      <c r="A56" s="42" t="str">
        <f ca="1">IF(INDEX(Demand.Sectors,MATCH(LEFT(C56,3),NameConv!$G$4:$M$4,0)),"","*")</f>
        <v/>
      </c>
      <c r="B56" s="438" t="s">
        <v>352</v>
      </c>
      <c r="C56" s="419" t="str">
        <f ca="1">OFFSET(NameConv!$F$4,0,I56)&amp;OFFSET(NameConv!$F$59,J56,I56)</f>
        <v>PWRCRB</v>
      </c>
      <c r="D56" s="419" t="str">
        <f ca="1">IF($A56="",OFFSET(NameConv!$F$3,0,I56)&amp;" "&amp;VLOOKUP(RIGHT(C56,3),NameConv!$C$5:$D$44,2,FALSE),"")</f>
        <v>Power Sector Coal for plants in Botswana</v>
      </c>
      <c r="E56" s="438" t="s">
        <v>248</v>
      </c>
      <c r="F56" s="438" t="str">
        <f t="shared" ca="1" si="1"/>
        <v>COM,NRG,ANNUAL,FOSSIL</v>
      </c>
      <c r="H56" s="42"/>
      <c r="I56" s="526">
        <f ca="1">IF(J55=SUMIF(NameConv!$G$4:$M$4,LEFT(C55,3),NameConv!$G$45:$M$45),I55+1,I55)</f>
        <v>6</v>
      </c>
      <c r="J56" s="526">
        <f t="shared" ca="1" si="8"/>
        <v>7</v>
      </c>
      <c r="L56" s="526">
        <f t="shared" ca="1" si="2"/>
        <v>0</v>
      </c>
      <c r="M56" s="526">
        <f t="shared" ca="1" si="6"/>
        <v>0</v>
      </c>
      <c r="N56" s="526">
        <f t="shared" ca="1" si="6"/>
        <v>0</v>
      </c>
      <c r="O56" s="526">
        <f t="shared" ca="1" si="6"/>
        <v>0</v>
      </c>
      <c r="P56" s="526">
        <f t="shared" ca="1" si="6"/>
        <v>0</v>
      </c>
    </row>
    <row r="57" spans="1:16">
      <c r="A57" s="42" t="str">
        <f ca="1">IF(INDEX(Demand.Sectors,MATCH(LEFT(C57,3),NameConv!$G$4:$M$4,0)),"","*")</f>
        <v/>
      </c>
      <c r="B57" s="438" t="s">
        <v>352</v>
      </c>
      <c r="C57" s="419" t="str">
        <f ca="1">OFFSET(NameConv!$F$4,0,I57)&amp;OFFSET(NameConv!$F$59,J57,I57)</f>
        <v>PWRGAS</v>
      </c>
      <c r="D57" s="419" t="str">
        <f ca="1">IF($A57="",OFFSET(NameConv!$F$3,0,I57)&amp;" "&amp;VLOOKUP(RIGHT(C57,3),NameConv!$C$5:$D$44,2,FALSE),"")</f>
        <v>Power Sector Gas South Africa</v>
      </c>
      <c r="E57" s="438" t="s">
        <v>248</v>
      </c>
      <c r="F57" s="438" t="str">
        <f t="shared" ca="1" si="1"/>
        <v>COM,NRG,ANNUAL,FOSSIL</v>
      </c>
      <c r="H57" s="42"/>
      <c r="I57" s="526">
        <f ca="1">IF(J56=SUMIF(NameConv!$G$4:$M$4,LEFT(C56,3),NameConv!$G$45:$M$45),I56+1,I56)</f>
        <v>6</v>
      </c>
      <c r="J57" s="526">
        <f ca="1">IF(I57=I56,J56+1,1)</f>
        <v>8</v>
      </c>
      <c r="L57" s="526">
        <f t="shared" ca="1" si="2"/>
        <v>0</v>
      </c>
      <c r="M57" s="526">
        <f t="shared" ca="1" si="6"/>
        <v>0</v>
      </c>
      <c r="N57" s="526">
        <f t="shared" ca="1" si="6"/>
        <v>0</v>
      </c>
      <c r="O57" s="526">
        <f t="shared" ca="1" si="6"/>
        <v>0</v>
      </c>
      <c r="P57" s="526">
        <f t="shared" ca="1" si="6"/>
        <v>0</v>
      </c>
    </row>
    <row r="58" spans="1:16">
      <c r="A58" s="42" t="str">
        <f ca="1">IF(INDEX(Demand.Sectors,MATCH(LEFT(C58,3),NameConv!$G$4:$M$4,0)),"","*")</f>
        <v/>
      </c>
      <c r="B58" s="438" t="s">
        <v>352</v>
      </c>
      <c r="C58" s="419" t="str">
        <f ca="1">OFFSET(NameConv!$F$4,0,I58)&amp;OFFSET(NameConv!$F$59,J58,I58)</f>
        <v>PWRGRS</v>
      </c>
      <c r="D58" s="419" t="str">
        <f ca="1">IF($A58="",OFFSET(NameConv!$F$3,0,I58)&amp;" "&amp;VLOOKUP(RIGHT(C58,3),NameConv!$C$5:$D$44,2,FALSE),"")</f>
        <v>Power Sector Gas Southern Mozambique</v>
      </c>
      <c r="E58" s="438" t="s">
        <v>248</v>
      </c>
      <c r="F58" s="438" t="str">
        <f t="shared" ca="1" si="1"/>
        <v>COM,NRG,ANNUAL,FOSSIL</v>
      </c>
      <c r="H58" s="42"/>
      <c r="I58" s="526">
        <f ca="1">IF(J57=SUMIF(NameConv!$G$4:$M$4,LEFT(C57,3),NameConv!$G$45:$M$45),I57+1,I57)</f>
        <v>6</v>
      </c>
      <c r="J58" s="526">
        <f ca="1">IF(I58=I57,J57+1,1)</f>
        <v>9</v>
      </c>
      <c r="L58" s="526">
        <f t="shared" ca="1" si="2"/>
        <v>0</v>
      </c>
      <c r="M58" s="526">
        <f t="shared" ca="1" si="6"/>
        <v>0</v>
      </c>
      <c r="N58" s="526">
        <f t="shared" ca="1" si="6"/>
        <v>0</v>
      </c>
      <c r="O58" s="526">
        <f t="shared" ca="1" si="6"/>
        <v>0</v>
      </c>
      <c r="P58" s="526">
        <f t="shared" ca="1" si="6"/>
        <v>0</v>
      </c>
    </row>
    <row r="59" spans="1:16">
      <c r="A59" s="42" t="str">
        <f ca="1">IF(INDEX(Demand.Sectors,MATCH(LEFT(C59,3),NameConv!$G$4:$M$4,0)),"","*")</f>
        <v/>
      </c>
      <c r="B59" s="438" t="s">
        <v>352</v>
      </c>
      <c r="C59" s="419" t="str">
        <f ca="1">OFFSET(NameConv!$F$4,0,I59)&amp;OFFSET(NameConv!$F$59,J59,I59)</f>
        <v>PWRGRN</v>
      </c>
      <c r="D59" s="419" t="str">
        <f ca="1">IF($A59="",OFFSET(NameConv!$F$3,0,I59)&amp;" "&amp;VLOOKUP(RIGHT(C59,3),NameConv!$C$5:$D$44,2,FALSE),"")</f>
        <v>Power Sector Gas Namibia</v>
      </c>
      <c r="E59" s="438" t="s">
        <v>248</v>
      </c>
      <c r="F59" s="438" t="str">
        <f t="shared" ca="1" si="1"/>
        <v>COM,NRG,ANNUAL,FOSSIL</v>
      </c>
      <c r="H59" s="42"/>
      <c r="I59" s="526">
        <f ca="1">IF(J58=SUMIF(NameConv!$G$4:$M$4,LEFT(C58,3),NameConv!$G$45:$M$45),I58+1,I58)</f>
        <v>6</v>
      </c>
      <c r="J59" s="526">
        <f t="shared" ref="J59:J68" ca="1" si="9">IF(I59=I58,J58+1,1)</f>
        <v>10</v>
      </c>
      <c r="L59" s="526">
        <f t="shared" ca="1" si="2"/>
        <v>0</v>
      </c>
      <c r="M59" s="526">
        <f t="shared" ca="1" si="6"/>
        <v>0</v>
      </c>
      <c r="N59" s="526">
        <f t="shared" ca="1" si="6"/>
        <v>0</v>
      </c>
      <c r="O59" s="526">
        <f t="shared" ca="1" si="6"/>
        <v>0</v>
      </c>
      <c r="P59" s="526">
        <f t="shared" ca="1" si="6"/>
        <v>0</v>
      </c>
    </row>
    <row r="60" spans="1:16">
      <c r="A60" s="42" t="str">
        <f ca="1">IF(INDEX(Demand.Sectors,MATCH(LEFT(C60,3),NameConv!$G$4:$M$4,0)),"","*")</f>
        <v/>
      </c>
      <c r="B60" s="438" t="s">
        <v>352</v>
      </c>
      <c r="C60" s="419" t="str">
        <f ca="1">OFFSET(NameConv!$F$4,0,I60)&amp;OFFSET(NameConv!$F$59,J60,I60)</f>
        <v>PWRGRM</v>
      </c>
      <c r="D60" s="419" t="str">
        <f ca="1">IF($A60="",OFFSET(NameConv!$F$3,0,I60)&amp;" "&amp;VLOOKUP(RIGHT(C60,3),NameConv!$C$5:$D$44,2,FALSE),"")</f>
        <v>Power Sector Gas Northern Mozambique</v>
      </c>
      <c r="E60" s="438" t="s">
        <v>248</v>
      </c>
      <c r="F60" s="438" t="str">
        <f t="shared" ca="1" si="1"/>
        <v>COM,NRG,ANNUAL,FOSSIL</v>
      </c>
      <c r="H60" s="42"/>
      <c r="I60" s="526">
        <f ca="1">IF(J59=SUMIF(NameConv!$G$4:$M$4,LEFT(C59,3),NameConv!$G$45:$M$45),I59+1,I59)</f>
        <v>6</v>
      </c>
      <c r="J60" s="526">
        <f t="shared" ca="1" si="9"/>
        <v>11</v>
      </c>
      <c r="L60" s="526">
        <f t="shared" ca="1" si="2"/>
        <v>0</v>
      </c>
      <c r="M60" s="526">
        <f t="shared" ca="1" si="6"/>
        <v>0</v>
      </c>
      <c r="N60" s="526">
        <f t="shared" ca="1" si="6"/>
        <v>0</v>
      </c>
      <c r="O60" s="526">
        <f t="shared" ca="1" si="6"/>
        <v>0</v>
      </c>
      <c r="P60" s="526">
        <f t="shared" ca="1" si="6"/>
        <v>0</v>
      </c>
    </row>
    <row r="61" spans="1:16">
      <c r="A61" s="42" t="str">
        <f ca="1">IF(INDEX(Demand.Sectors,MATCH(LEFT(C61,3),NameConv!$G$4:$M$4,0)),"","*")</f>
        <v/>
      </c>
      <c r="B61" s="438" t="s">
        <v>352</v>
      </c>
      <c r="C61" s="419" t="str">
        <f ca="1">OFFSET(NameConv!$F$4,0,I61)&amp;OFFSET(NameConv!$F$59,J61,I61)</f>
        <v>PWRGIH</v>
      </c>
      <c r="D61" s="419" t="str">
        <f ca="1">IF($A61="",OFFSET(NameConv!$F$3,0,I61)&amp;" "&amp;VLOOKUP(RIGHT(C61,3),NameConv!$C$5:$D$44,2,FALSE),"")</f>
        <v>Power Sector Gas Indigenous Shale</v>
      </c>
      <c r="E61" s="438" t="s">
        <v>248</v>
      </c>
      <c r="F61" s="438" t="str">
        <f t="shared" ca="1" si="1"/>
        <v>COM,NRG,ANNUAL,FOSSIL</v>
      </c>
      <c r="H61" s="42"/>
      <c r="I61" s="526">
        <f ca="1">IF(J60=SUMIF(NameConv!$G$4:$M$4,LEFT(C60,3),NameConv!$G$45:$M$45),I60+1,I60)</f>
        <v>6</v>
      </c>
      <c r="J61" s="526">
        <f t="shared" ca="1" si="9"/>
        <v>12</v>
      </c>
      <c r="L61" s="526">
        <f t="shared" ca="1" si="2"/>
        <v>0</v>
      </c>
      <c r="M61" s="526">
        <f t="shared" ca="1" si="6"/>
        <v>0</v>
      </c>
      <c r="N61" s="526">
        <f t="shared" ca="1" si="6"/>
        <v>0</v>
      </c>
      <c r="O61" s="526">
        <f t="shared" ca="1" si="6"/>
        <v>0</v>
      </c>
      <c r="P61" s="526">
        <f t="shared" ca="1" si="6"/>
        <v>0</v>
      </c>
    </row>
    <row r="62" spans="1:16">
      <c r="A62" s="42" t="str">
        <f ca="1">IF(INDEX(Demand.Sectors,MATCH(LEFT(C62,3),NameConv!$G$4:$M$4,0)),"","*")</f>
        <v/>
      </c>
      <c r="B62" s="438" t="s">
        <v>352</v>
      </c>
      <c r="C62" s="419" t="str">
        <f ca="1">OFFSET(NameConv!$F$4,0,I62)&amp;OFFSET(NameConv!$F$59,J62,I62)</f>
        <v>PWRGIC</v>
      </c>
      <c r="D62" s="419" t="str">
        <f ca="1">IF($A62="",OFFSET(NameConv!$F$3,0,I62)&amp;" "&amp;VLOOKUP(RIGHT(C62,3),NameConv!$C$5:$D$44,2,FALSE),"")</f>
        <v>Power Sector Coastal Gas</v>
      </c>
      <c r="E62" s="438" t="s">
        <v>248</v>
      </c>
      <c r="F62" s="438" t="str">
        <f t="shared" ca="1" si="1"/>
        <v>COM,NRG,ANNUAL,FOSSIL</v>
      </c>
      <c r="H62" s="42"/>
      <c r="I62" s="526">
        <f ca="1">IF(J61=SUMIF(NameConv!$G$4:$M$4,LEFT(C61,3),NameConv!$G$45:$M$45),I61+1,I61)</f>
        <v>6</v>
      </c>
      <c r="J62" s="526">
        <f t="shared" ca="1" si="9"/>
        <v>13</v>
      </c>
      <c r="L62" s="526">
        <f t="shared" ca="1" si="2"/>
        <v>0</v>
      </c>
      <c r="M62" s="526">
        <f t="shared" ca="1" si="6"/>
        <v>0</v>
      </c>
      <c r="N62" s="526">
        <f t="shared" ca="1" si="6"/>
        <v>0</v>
      </c>
      <c r="O62" s="526">
        <f t="shared" ca="1" si="6"/>
        <v>0</v>
      </c>
      <c r="P62" s="526">
        <f t="shared" ca="1" si="6"/>
        <v>0</v>
      </c>
    </row>
    <row r="63" spans="1:16">
      <c r="A63" s="42" t="str">
        <f ca="1">IF(INDEX(Demand.Sectors,MATCH(LEFT(C63,3),NameConv!$G$4:$M$4,0)),"","*")</f>
        <v/>
      </c>
      <c r="B63" s="438" t="s">
        <v>352</v>
      </c>
      <c r="C63" s="419" t="str">
        <f ca="1">OFFSET(NameConv!$F$4,0,I63)&amp;OFFSET(NameConv!$F$59,J63,I63)</f>
        <v>PWRHYD</v>
      </c>
      <c r="D63" s="419" t="str">
        <f ca="1">IF($A63="",OFFSET(NameConv!$F$3,0,I63)&amp;" "&amp;VLOOKUP(RIGHT(C63,3),NameConv!$C$5:$D$44,2,FALSE),"")</f>
        <v>Power Sector Hydro</v>
      </c>
      <c r="E63" s="438" t="s">
        <v>248</v>
      </c>
      <c r="F63" s="438" t="str">
        <f t="shared" ca="1" si="1"/>
        <v>COM,NRG,ANNUAL,FOSSIL</v>
      </c>
      <c r="H63" s="42"/>
      <c r="I63" s="526">
        <f ca="1">IF(J62=SUMIF(NameConv!$G$4:$M$4,LEFT(C62,3),NameConv!$G$45:$M$45),I62+1,I62)</f>
        <v>6</v>
      </c>
      <c r="J63" s="526">
        <f t="shared" ca="1" si="9"/>
        <v>14</v>
      </c>
      <c r="L63" s="526">
        <f t="shared" ca="1" si="2"/>
        <v>0</v>
      </c>
      <c r="M63" s="526">
        <f t="shared" ca="1" si="6"/>
        <v>0</v>
      </c>
      <c r="N63" s="526">
        <f t="shared" ca="1" si="6"/>
        <v>0</v>
      </c>
      <c r="O63" s="526">
        <f t="shared" ca="1" si="6"/>
        <v>0</v>
      </c>
      <c r="P63" s="526">
        <f t="shared" ca="1" si="6"/>
        <v>0</v>
      </c>
    </row>
    <row r="64" spans="1:16">
      <c r="A64" s="42" t="str">
        <f ca="1">IF(INDEX(Demand.Sectors,MATCH(LEFT(C64,3),NameConv!$G$4:$M$4,0)),"","*")</f>
        <v/>
      </c>
      <c r="B64" s="438" t="s">
        <v>352</v>
      </c>
      <c r="C64" s="419" t="str">
        <f ca="1">OFFSET(NameConv!$F$4,0,I64)&amp;OFFSET(NameConv!$F$59,J64,I64)</f>
        <v>PWRHGN</v>
      </c>
      <c r="D64" s="419" t="str">
        <f ca="1">IF($A64="",OFFSET(NameConv!$F$3,0,I64)&amp;" "&amp;VLOOKUP(RIGHT(C64,3),NameConv!$C$5:$D$44,2,FALSE),"")</f>
        <v>Power Sector Hydrogen</v>
      </c>
      <c r="E64" s="438" t="s">
        <v>248</v>
      </c>
      <c r="F64" s="438" t="str">
        <f t="shared" ca="1" si="1"/>
        <v>COM,NRG,DAYNITE,FOSSIL</v>
      </c>
      <c r="H64" s="42"/>
      <c r="I64" s="526">
        <f ca="1">IF(J63=SUMIF(NameConv!$G$4:$M$4,LEFT(C63,3),NameConv!$G$45:$M$45),I63+1,I63)</f>
        <v>6</v>
      </c>
      <c r="J64" s="526">
        <f t="shared" ca="1" si="9"/>
        <v>15</v>
      </c>
      <c r="L64" s="526">
        <f t="shared" ca="1" si="2"/>
        <v>1</v>
      </c>
      <c r="M64" s="526">
        <f t="shared" ca="1" si="6"/>
        <v>0</v>
      </c>
      <c r="N64" s="526">
        <f t="shared" ca="1" si="6"/>
        <v>1</v>
      </c>
      <c r="O64" s="526">
        <f t="shared" ca="1" si="6"/>
        <v>0</v>
      </c>
      <c r="P64" s="526">
        <f t="shared" ca="1" si="6"/>
        <v>0</v>
      </c>
    </row>
    <row r="65" spans="1:16">
      <c r="A65" s="42" t="str">
        <f ca="1">IF(INDEX(Demand.Sectors,MATCH(LEFT(C65,3),NameConv!$G$4:$M$4,0)),"","*")</f>
        <v/>
      </c>
      <c r="B65" s="438" t="s">
        <v>352</v>
      </c>
      <c r="C65" s="419" t="str">
        <f ca="1">OFFSET(NameConv!$F$4,0,I65)&amp;OFFSET(NameConv!$F$59,J65,I65)</f>
        <v>PWRNUC</v>
      </c>
      <c r="D65" s="419" t="str">
        <f ca="1">IF($A65="",OFFSET(NameConv!$F$3,0,I65)&amp;" "&amp;VLOOKUP(RIGHT(C65,3),NameConv!$C$5:$D$44,2,FALSE),"")</f>
        <v>Power Sector Nuclear</v>
      </c>
      <c r="E65" s="438" t="s">
        <v>248</v>
      </c>
      <c r="F65" s="438" t="str">
        <f t="shared" ca="1" si="1"/>
        <v>COM,NRG,ANNUAL,FOSSIL</v>
      </c>
      <c r="H65" s="42"/>
      <c r="I65" s="526">
        <f ca="1">IF(J64=SUMIF(NameConv!$G$4:$M$4,LEFT(C64,3),NameConv!$G$45:$M$45),I64+1,I64)</f>
        <v>6</v>
      </c>
      <c r="J65" s="526">
        <f t="shared" ca="1" si="9"/>
        <v>16</v>
      </c>
      <c r="L65" s="526">
        <f t="shared" ca="1" si="2"/>
        <v>0</v>
      </c>
      <c r="M65" s="526">
        <f t="shared" ca="1" si="6"/>
        <v>0</v>
      </c>
      <c r="N65" s="526">
        <f t="shared" ca="1" si="6"/>
        <v>0</v>
      </c>
      <c r="O65" s="526">
        <f t="shared" ca="1" si="6"/>
        <v>0</v>
      </c>
      <c r="P65" s="526">
        <f t="shared" ca="1" si="6"/>
        <v>0</v>
      </c>
    </row>
    <row r="66" spans="1:16">
      <c r="A66" s="42" t="str">
        <f ca="1">IF(INDEX(Demand.Sectors,MATCH(LEFT(C66,3),NameConv!$G$4:$M$4,0)),"","*")</f>
        <v/>
      </c>
      <c r="B66" s="438" t="s">
        <v>352</v>
      </c>
      <c r="C66" s="419" t="str">
        <f ca="1">OFFSET(NameConv!$F$4,0,I66)&amp;OFFSET(NameConv!$F$59,J66,I66)</f>
        <v>PWRODS</v>
      </c>
      <c r="D66" s="419" t="str">
        <f ca="1">IF($A66="",OFFSET(NameConv!$F$3,0,I66)&amp;" "&amp;VLOOKUP(RIGHT(C66,3),NameConv!$C$5:$D$44,2,FALSE),"")</f>
        <v>Power Sector Oil Diesel</v>
      </c>
      <c r="E66" s="438" t="s">
        <v>248</v>
      </c>
      <c r="F66" s="438" t="str">
        <f t="shared" ca="1" si="1"/>
        <v>COM,NRG,ANNUAL,FOSSIL</v>
      </c>
      <c r="H66" s="42"/>
      <c r="I66" s="526">
        <f ca="1">IF(J65=SUMIF(NameConv!$G$4:$M$4,LEFT(C65,3),NameConv!$G$45:$M$45),I65+1,I65)</f>
        <v>6</v>
      </c>
      <c r="J66" s="526">
        <f t="shared" ca="1" si="9"/>
        <v>17</v>
      </c>
      <c r="L66" s="526">
        <f t="shared" ca="1" si="2"/>
        <v>0</v>
      </c>
      <c r="M66" s="526">
        <f t="shared" ca="1" si="6"/>
        <v>0</v>
      </c>
      <c r="N66" s="526">
        <f t="shared" ca="1" si="6"/>
        <v>0</v>
      </c>
      <c r="O66" s="526">
        <f t="shared" ca="1" si="6"/>
        <v>0</v>
      </c>
      <c r="P66" s="526">
        <f t="shared" ca="1" si="6"/>
        <v>0</v>
      </c>
    </row>
    <row r="67" spans="1:16">
      <c r="A67" s="42" t="str">
        <f ca="1">IF(INDEX(Demand.Sectors,MATCH(LEFT(C67,3),NameConv!$G$4:$M$4,0)),"","*")</f>
        <v/>
      </c>
      <c r="B67" s="438" t="s">
        <v>352</v>
      </c>
      <c r="C67" s="419" t="str">
        <f ca="1">OFFSET(NameConv!$F$4,0,I67)&amp;OFFSET(NameConv!$F$59,J67,I67)</f>
        <v>PWRSOL</v>
      </c>
      <c r="D67" s="419" t="str">
        <f ca="1">IF($A67="",OFFSET(NameConv!$F$3,0,I67)&amp;" "&amp;VLOOKUP(RIGHT(C67,3),NameConv!$C$5:$D$44,2,FALSE),"")</f>
        <v>Power Sector Solar</v>
      </c>
      <c r="E67" s="438" t="s">
        <v>248</v>
      </c>
      <c r="F67" s="438" t="str">
        <f t="shared" ca="1" si="1"/>
        <v>COM,NRG,ANNUAL,FOSSIL</v>
      </c>
      <c r="H67" s="42"/>
      <c r="I67" s="526">
        <f ca="1">IF(J66=SUMIF(NameConv!$G$4:$M$4,LEFT(C66,3),NameConv!$G$45:$M$45),I66+1,I66)</f>
        <v>6</v>
      </c>
      <c r="J67" s="526">
        <f t="shared" ca="1" si="9"/>
        <v>18</v>
      </c>
      <c r="L67" s="526">
        <f t="shared" ca="1" si="2"/>
        <v>0</v>
      </c>
      <c r="M67" s="526">
        <f t="shared" ca="1" si="6"/>
        <v>0</v>
      </c>
      <c r="N67" s="526">
        <f t="shared" ca="1" si="6"/>
        <v>0</v>
      </c>
      <c r="O67" s="526">
        <f t="shared" ca="1" si="6"/>
        <v>0</v>
      </c>
      <c r="P67" s="526">
        <f t="shared" ca="1" si="6"/>
        <v>0</v>
      </c>
    </row>
    <row r="68" spans="1:16">
      <c r="A68" s="42" t="str">
        <f ca="1">IF(INDEX(Demand.Sectors,MATCH(LEFT(C68,3),NameConv!$G$4:$M$4,0)),"","*")</f>
        <v/>
      </c>
      <c r="B68" s="438" t="s">
        <v>352</v>
      </c>
      <c r="C68" s="419" t="str">
        <f ca="1">OFFSET(NameConv!$F$4,0,I68)&amp;OFFSET(NameConv!$F$59,J68,I68)</f>
        <v>PWRWND</v>
      </c>
      <c r="D68" s="419" t="str">
        <f ca="1">IF($A68="",OFFSET(NameConv!$F$3,0,I68)&amp;" "&amp;VLOOKUP(RIGHT(C68,3),NameConv!$C$5:$D$44,2,FALSE),"")</f>
        <v>Power Sector Wind</v>
      </c>
      <c r="E68" s="438" t="s">
        <v>248</v>
      </c>
      <c r="F68" s="438" t="str">
        <f t="shared" ca="1" si="1"/>
        <v>COM,NRG,ANNUAL,FOSSIL</v>
      </c>
      <c r="H68" s="42"/>
      <c r="I68" s="526">
        <f ca="1">IF(J67=SUMIF(NameConv!$G$4:$M$4,LEFT(C67,3),NameConv!$G$45:$M$45),I67+1,I67)</f>
        <v>6</v>
      </c>
      <c r="J68" s="526">
        <f t="shared" ca="1" si="9"/>
        <v>19</v>
      </c>
      <c r="L68" s="526">
        <f t="shared" ca="1" si="2"/>
        <v>0</v>
      </c>
      <c r="M68" s="526">
        <f t="shared" ca="1" si="6"/>
        <v>0</v>
      </c>
      <c r="N68" s="526">
        <f t="shared" ca="1" si="6"/>
        <v>0</v>
      </c>
      <c r="O68" s="526">
        <f t="shared" ca="1" si="6"/>
        <v>0</v>
      </c>
      <c r="P68" s="526">
        <f t="shared" ca="1" si="6"/>
        <v>0</v>
      </c>
    </row>
    <row r="69" spans="1:16">
      <c r="A69" s="42" t="str">
        <f ca="1">IF(INDEX(Demand.Sectors,MATCH(LEFT(C69,3),NameConv!$G$4:$M$4,0)),"","*")</f>
        <v/>
      </c>
      <c r="B69" s="438" t="s">
        <v>352</v>
      </c>
      <c r="C69" s="419" t="str">
        <f ca="1">OFFSET(NameConv!$F$4,0,I69)&amp;OFFSET(NameConv!$F$59,J69,I69)</f>
        <v>UPSBIE</v>
      </c>
      <c r="D69" s="419" t="str">
        <f ca="1">IF($A69="",OFFSET(NameConv!$F$3,0,I69)&amp;" "&amp;VLOOKUP(RIGHT(C69,3),NameConv!$C$5:$D$44,2,FALSE),"")</f>
        <v>Supply Sector Bioethanol</v>
      </c>
      <c r="E69" s="438" t="s">
        <v>248</v>
      </c>
      <c r="F69" s="438" t="str">
        <f t="shared" ca="1" si="1"/>
        <v>COM,NRG,ANNUAL,FOSSIL</v>
      </c>
      <c r="H69" s="42"/>
      <c r="I69" s="526">
        <f ca="1">IF(J68=SUMIF(NameConv!$G$4:$M$4,LEFT(C68,3),NameConv!$G$45:$M$45),I68+1,I68)</f>
        <v>7</v>
      </c>
      <c r="J69" s="526">
        <f t="shared" ref="J69:J70" ca="1" si="10">IF(I69=I68,J68+1,1)</f>
        <v>1</v>
      </c>
      <c r="L69" s="526">
        <f t="shared" ca="1" si="2"/>
        <v>0</v>
      </c>
      <c r="M69" s="526">
        <f t="shared" ca="1" si="6"/>
        <v>0</v>
      </c>
      <c r="N69" s="526">
        <f t="shared" ca="1" si="6"/>
        <v>0</v>
      </c>
      <c r="O69" s="526">
        <f t="shared" ca="1" si="6"/>
        <v>0</v>
      </c>
      <c r="P69" s="526">
        <f t="shared" ca="1" si="6"/>
        <v>0</v>
      </c>
    </row>
    <row r="70" spans="1:16">
      <c r="A70" s="42" t="str">
        <f ca="1">IF(INDEX(Demand.Sectors,MATCH(LEFT(C70,3),NameConv!$G$4:$M$4,0)),"","*")</f>
        <v/>
      </c>
      <c r="B70" s="438" t="s">
        <v>352</v>
      </c>
      <c r="C70" s="419" t="str">
        <f ca="1">OFFSET(NameConv!$F$4,0,I70)&amp;OFFSET(NameConv!$F$59,J70,I70)</f>
        <v>UPSBID</v>
      </c>
      <c r="D70" s="419" t="str">
        <f ca="1">IF($A70="",OFFSET(NameConv!$F$3,0,I70)&amp;" "&amp;VLOOKUP(RIGHT(C70,3),NameConv!$C$5:$D$44,2,FALSE),"")</f>
        <v>Supply Sector Biodiesel</v>
      </c>
      <c r="E70" s="438" t="s">
        <v>248</v>
      </c>
      <c r="F70" s="438" t="str">
        <f t="shared" ca="1" si="1"/>
        <v>COM,NRG,ANNUAL,FOSSIL</v>
      </c>
      <c r="H70" s="42"/>
      <c r="I70" s="526">
        <f ca="1">IF(J69=SUMIF(NameConv!$G$4:$M$4,LEFT(C69,3),NameConv!$G$45:$M$45),I69+1,I69)</f>
        <v>7</v>
      </c>
      <c r="J70" s="526">
        <f t="shared" ca="1" si="10"/>
        <v>2</v>
      </c>
      <c r="L70" s="526">
        <f t="shared" ca="1" si="2"/>
        <v>0</v>
      </c>
      <c r="M70" s="526">
        <f t="shared" ca="1" si="6"/>
        <v>0</v>
      </c>
      <c r="N70" s="526">
        <f t="shared" ca="1" si="6"/>
        <v>0</v>
      </c>
      <c r="O70" s="526">
        <f t="shared" ca="1" si="6"/>
        <v>0</v>
      </c>
      <c r="P70" s="526">
        <f t="shared" ca="1" si="6"/>
        <v>0</v>
      </c>
    </row>
    <row r="71" spans="1:16">
      <c r="A71" s="42" t="str">
        <f ca="1">IF(INDEX(Demand.Sectors,MATCH(LEFT(C71,3),NameConv!$G$4:$M$4,0)),"","*")</f>
        <v/>
      </c>
      <c r="B71" s="438" t="s">
        <v>352</v>
      </c>
      <c r="C71" s="419" t="str">
        <f ca="1">OFFSET(NameConv!$F$4,0,I71)&amp;OFFSET(NameConv!$F$59,J71,I71)</f>
        <v>UPSCLE</v>
      </c>
      <c r="D71" s="419" t="str">
        <f ca="1">IF($A71="",OFFSET(NameConv!$F$3,0,I71)&amp;" "&amp;VLOOKUP(RIGHT(C71,3),NameConv!$C$5:$D$44,2,FALSE),"")</f>
        <v>Supply Sector Coal low grade</v>
      </c>
      <c r="E71" s="438" t="s">
        <v>248</v>
      </c>
      <c r="F71" s="438" t="str">
        <f t="shared" ca="1" si="1"/>
        <v>COM,NRG,ANNUAL,FOSSIL</v>
      </c>
      <c r="H71" s="42"/>
      <c r="I71" s="526">
        <f ca="1">IF(J70=SUMIF(NameConv!$G$4:$M$4,LEFT(C70,3),NameConv!$G$45:$M$45),I70+1,I70)</f>
        <v>7</v>
      </c>
      <c r="J71" s="526">
        <f t="shared" ref="J71:J77" ca="1" si="11">IF(I71=I70,J70+1,1)</f>
        <v>3</v>
      </c>
      <c r="L71" s="526">
        <f t="shared" ca="1" si="2"/>
        <v>0</v>
      </c>
      <c r="M71" s="526">
        <f t="shared" ca="1" si="6"/>
        <v>0</v>
      </c>
      <c r="N71" s="526">
        <f t="shared" ca="1" si="6"/>
        <v>0</v>
      </c>
      <c r="O71" s="526">
        <f t="shared" ca="1" si="6"/>
        <v>0</v>
      </c>
      <c r="P71" s="526">
        <f t="shared" ca="1" si="6"/>
        <v>0</v>
      </c>
    </row>
    <row r="72" spans="1:16">
      <c r="A72" s="42" t="str">
        <f ca="1">IF(INDEX(Demand.Sectors,MATCH(LEFT(C72,3),NameConv!$G$4:$M$4,0)),"","*")</f>
        <v/>
      </c>
      <c r="B72" s="438" t="s">
        <v>352</v>
      </c>
      <c r="C72" s="419" t="str">
        <f ca="1">OFFSET(NameConv!$F$4,0,I72)&amp;OFFSET(NameConv!$F$59,J72,I72)</f>
        <v>UPSELC</v>
      </c>
      <c r="D72" s="419" t="str">
        <f ca="1">IF($A72="",OFFSET(NameConv!$F$3,0,I72)&amp;" "&amp;VLOOKUP(RIGHT(C72,3),NameConv!$C$5:$D$44,2,FALSE),"")</f>
        <v>Supply Sector Electricity</v>
      </c>
      <c r="E72" s="438" t="s">
        <v>248</v>
      </c>
      <c r="F72" s="438" t="str">
        <f t="shared" ca="1" si="1"/>
        <v>COM,NRG,DAYNITE,ELC</v>
      </c>
      <c r="H72" s="42"/>
      <c r="I72" s="526">
        <f ca="1">IF(J71=SUMIF(NameConv!$G$4:$M$4,LEFT(C71,3),NameConv!$G$45:$M$45),I71+1,I71)</f>
        <v>7</v>
      </c>
      <c r="J72" s="526">
        <f t="shared" ca="1" si="11"/>
        <v>4</v>
      </c>
      <c r="L72" s="526">
        <f t="shared" ca="1" si="2"/>
        <v>1</v>
      </c>
      <c r="M72" s="526">
        <f t="shared" ca="1" si="6"/>
        <v>1</v>
      </c>
      <c r="N72" s="526">
        <f t="shared" ca="1" si="6"/>
        <v>0</v>
      </c>
      <c r="O72" s="526">
        <f t="shared" ca="1" si="6"/>
        <v>0</v>
      </c>
      <c r="P72" s="526">
        <f t="shared" ca="1" si="6"/>
        <v>0</v>
      </c>
    </row>
    <row r="73" spans="1:16">
      <c r="A73" s="42" t="str">
        <f ca="1">IF(INDEX(Demand.Sectors,MATCH(LEFT(C73,3),NameConv!$G$4:$M$4,0)),"","*")</f>
        <v/>
      </c>
      <c r="B73" s="438" t="s">
        <v>352</v>
      </c>
      <c r="C73" s="419" t="str">
        <f ca="1">OFFSET(NameConv!$F$4,0,I73)&amp;OFFSET(NameConv!$F$59,J73,I73)</f>
        <v>UPSGAS</v>
      </c>
      <c r="D73" s="419" t="str">
        <f ca="1">IF($A73="",OFFSET(NameConv!$F$3,0,I73)&amp;" "&amp;VLOOKUP(RIGHT(C73,3),NameConv!$C$5:$D$44,2,FALSE),"")</f>
        <v>Supply Sector Gas South Africa</v>
      </c>
      <c r="E73" s="438" t="s">
        <v>248</v>
      </c>
      <c r="F73" s="438" t="str">
        <f t="shared" ca="1" si="1"/>
        <v>COM,NRG,ANNUAL,FOSSIL</v>
      </c>
      <c r="H73" s="42"/>
      <c r="I73" s="526">
        <f ca="1">IF(J72=SUMIF(NameConv!$G$4:$M$4,LEFT(C72,3),NameConv!$G$45:$M$45),I72+1,I72)</f>
        <v>7</v>
      </c>
      <c r="J73" s="526">
        <f t="shared" ca="1" si="11"/>
        <v>5</v>
      </c>
      <c r="L73" s="526">
        <f t="shared" ca="1" si="2"/>
        <v>0</v>
      </c>
      <c r="M73" s="526">
        <f t="shared" ca="1" si="6"/>
        <v>0</v>
      </c>
      <c r="N73" s="526">
        <f t="shared" ca="1" si="6"/>
        <v>0</v>
      </c>
      <c r="O73" s="526">
        <f t="shared" ca="1" si="6"/>
        <v>0</v>
      </c>
      <c r="P73" s="526">
        <f t="shared" ca="1" si="6"/>
        <v>0</v>
      </c>
    </row>
    <row r="74" spans="1:16">
      <c r="A74" s="42" t="str">
        <f ca="1">IF(INDEX(Demand.Sectors,MATCH(LEFT(C74,3),NameConv!$G$4:$M$4,0)),"","*")</f>
        <v/>
      </c>
      <c r="B74" s="438" t="s">
        <v>352</v>
      </c>
      <c r="C74" s="419" t="str">
        <f ca="1">OFFSET(NameConv!$F$4,0,I74)&amp;OFFSET(NameConv!$F$59,J74,I74)</f>
        <v>UPSGIC</v>
      </c>
      <c r="D74" s="419" t="str">
        <f ca="1">IF($A74="",OFFSET(NameConv!$F$3,0,I74)&amp;" "&amp;VLOOKUP(RIGHT(C74,3),NameConv!$C$5:$D$44,2,FALSE),"")</f>
        <v>Supply Sector Coastal Gas</v>
      </c>
      <c r="E74" s="438" t="s">
        <v>248</v>
      </c>
      <c r="F74" s="438" t="str">
        <f t="shared" ref="F74:F79" ca="1" si="12">IF($L74,"COM,NRG,DAYNITE,"&amp;INDEX($M$7:$P$7,MATCH($L74,$M74:$P74,0)),"COM,NRG,ANNUAL,FOSSIL")</f>
        <v>COM,NRG,ANNUAL,FOSSIL</v>
      </c>
      <c r="H74" s="42"/>
      <c r="I74" s="526">
        <f ca="1">IF(J73=SUMIF(NameConv!$G$4:$M$4,LEFT(C73,3),NameConv!$G$45:$M$45),I73+1,I73)</f>
        <v>7</v>
      </c>
      <c r="J74" s="526">
        <f t="shared" ca="1" si="11"/>
        <v>6</v>
      </c>
      <c r="L74" s="526">
        <f t="shared" ref="L74:L79" ca="1" si="13">IF(SUMPRODUCT(M74:P74)&gt;=1,1,0)</f>
        <v>0</v>
      </c>
      <c r="M74" s="526">
        <f t="shared" ca="1" si="6"/>
        <v>0</v>
      </c>
      <c r="N74" s="526">
        <f t="shared" ca="1" si="6"/>
        <v>0</v>
      </c>
      <c r="O74" s="526">
        <f t="shared" ca="1" si="6"/>
        <v>0</v>
      </c>
      <c r="P74" s="526">
        <f t="shared" ca="1" si="6"/>
        <v>0</v>
      </c>
    </row>
    <row r="75" spans="1:16">
      <c r="A75" s="42" t="str">
        <f ca="1">IF(INDEX(Demand.Sectors,MATCH(LEFT(C75,3),NameConv!$G$4:$M$4,0)),"","*")</f>
        <v/>
      </c>
      <c r="B75" s="438" t="s">
        <v>352</v>
      </c>
      <c r="C75" s="419" t="str">
        <f ca="1">OFFSET(NameConv!$F$4,0,I75)&amp;OFFSET(NameConv!$F$59,J75,I75)</f>
        <v>UPSHEE</v>
      </c>
      <c r="D75" s="419" t="str">
        <f ca="1">IF($A75="",OFFSET(NameConv!$F$3,0,I75)&amp;" "&amp;VLOOKUP(RIGHT(C75,3),NameConv!$C$5:$D$44,2,FALSE),"")</f>
        <v>Supply Sector Heat-Steam Existing</v>
      </c>
      <c r="E75" s="438" t="s">
        <v>248</v>
      </c>
      <c r="F75" s="438" t="str">
        <f t="shared" ca="1" si="12"/>
        <v>COM,NRG,ANNUAL,FOSSIL</v>
      </c>
      <c r="H75" s="42"/>
      <c r="I75" s="526">
        <f ca="1">IF(J74=SUMIF(NameConv!$G$4:$M$4,LEFT(C74,3),NameConv!$G$45:$M$45),I74+1,I74)</f>
        <v>7</v>
      </c>
      <c r="J75" s="526">
        <f t="shared" ca="1" si="11"/>
        <v>7</v>
      </c>
      <c r="L75" s="526">
        <f t="shared" ca="1" si="13"/>
        <v>0</v>
      </c>
      <c r="M75" s="526">
        <f t="shared" ca="1" si="6"/>
        <v>0</v>
      </c>
      <c r="N75" s="526">
        <f t="shared" ca="1" si="6"/>
        <v>0</v>
      </c>
      <c r="O75" s="526">
        <f t="shared" ca="1" si="6"/>
        <v>0</v>
      </c>
      <c r="P75" s="526">
        <f t="shared" ca="1" si="6"/>
        <v>0</v>
      </c>
    </row>
    <row r="76" spans="1:16">
      <c r="A76" s="42" t="str">
        <f ca="1">IF(INDEX(Demand.Sectors,MATCH(LEFT(C76,3),NameConv!$G$4:$M$4,0)),"","*")</f>
        <v/>
      </c>
      <c r="B76" s="438" t="s">
        <v>352</v>
      </c>
      <c r="C76" s="419" t="str">
        <f ca="1">OFFSET(NameConv!$F$4,0,I76)&amp;OFFSET(NameConv!$F$59,J76,I76)</f>
        <v>UPSHEN</v>
      </c>
      <c r="D76" s="419" t="str">
        <f ca="1">IF($A76="",OFFSET(NameConv!$F$3,0,I76)&amp;" "&amp;VLOOKUP(RIGHT(C76,3),NameConv!$C$5:$D$44,2,FALSE),"")</f>
        <v>Supply Sector Heat-Steam New</v>
      </c>
      <c r="E76" s="438" t="s">
        <v>248</v>
      </c>
      <c r="F76" s="438" t="str">
        <f t="shared" ca="1" si="12"/>
        <v>COM,NRG,ANNUAL,FOSSIL</v>
      </c>
      <c r="H76" s="42"/>
      <c r="I76" s="526">
        <f ca="1">IF(J75=SUMIF(NameConv!$G$4:$M$4,LEFT(C75,3),NameConv!$G$45:$M$45),I75+1,I75)</f>
        <v>7</v>
      </c>
      <c r="J76" s="526">
        <f t="shared" ca="1" si="11"/>
        <v>8</v>
      </c>
      <c r="L76" s="526">
        <f t="shared" ca="1" si="13"/>
        <v>0</v>
      </c>
      <c r="M76" s="526">
        <f t="shared" ca="1" si="6"/>
        <v>0</v>
      </c>
      <c r="N76" s="526">
        <f t="shared" ca="1" si="6"/>
        <v>0</v>
      </c>
      <c r="O76" s="526">
        <f t="shared" ca="1" si="6"/>
        <v>0</v>
      </c>
      <c r="P76" s="526">
        <f t="shared" ca="1" si="6"/>
        <v>0</v>
      </c>
    </row>
    <row r="77" spans="1:16">
      <c r="B77" s="438" t="s">
        <v>352</v>
      </c>
      <c r="C77" s="419" t="str">
        <f ca="1">OFFSET(NameConv!$F$4,0,I77)&amp;OFFSET(NameConv!$F$59,J77,I77)</f>
        <v>UPSHGN</v>
      </c>
      <c r="D77" s="419" t="str">
        <f ca="1">IF($A77="",OFFSET(NameConv!$F$3,0,I77)&amp;" "&amp;VLOOKUP(RIGHT(C77,3),NameConv!$C$5:$D$44,2,FALSE),"")</f>
        <v>Supply Sector Hydrogen</v>
      </c>
      <c r="E77" s="438" t="s">
        <v>248</v>
      </c>
      <c r="F77" s="438" t="str">
        <f ca="1">IF($L77,"COM,NRG,DAYNITE,"&amp;INDEX($M$7:$P$7,MATCH($L77,$M77:$P77,0)),"COM,NRG,ANNUAL,FOSSIL")</f>
        <v>COM,NRG,DAYNITE,FOSSIL</v>
      </c>
      <c r="H77" s="42"/>
      <c r="I77" s="526">
        <f ca="1">IF(J76=SUMIF(NameConv!$G$4:$M$4,LEFT(C76,3),NameConv!$G$45:$M$45),I76+1,I76)</f>
        <v>7</v>
      </c>
      <c r="J77" s="526">
        <f t="shared" ca="1" si="11"/>
        <v>9</v>
      </c>
      <c r="L77" s="526">
        <f t="shared" ca="1" si="13"/>
        <v>1</v>
      </c>
      <c r="M77" s="526">
        <f t="shared" ca="1" si="6"/>
        <v>0</v>
      </c>
      <c r="N77" s="526">
        <f t="shared" ca="1" si="6"/>
        <v>1</v>
      </c>
      <c r="O77" s="526">
        <f t="shared" ca="1" si="6"/>
        <v>0</v>
      </c>
      <c r="P77" s="526">
        <f t="shared" ca="1" si="6"/>
        <v>0</v>
      </c>
    </row>
    <row r="78" spans="1:16">
      <c r="B78" s="438" t="s">
        <v>352</v>
      </c>
      <c r="C78" s="419" t="str">
        <f ca="1">OFFSET(NameConv!$F$4,0,I78)&amp;OFFSET(NameConv!$F$59,J78,I78)</f>
        <v>UPSOCR</v>
      </c>
      <c r="D78" s="419" t="str">
        <f ca="1">IF($A78="",OFFSET(NameConv!$F$3,0,I78)&amp;" "&amp;VLOOKUP(RIGHT(C78,3),NameConv!$C$5:$D$44,2,FALSE),"")</f>
        <v>Supply Sector Oil Crude</v>
      </c>
      <c r="E78" s="438" t="s">
        <v>248</v>
      </c>
      <c r="F78" s="438" t="str">
        <f t="shared" ca="1" si="12"/>
        <v>COM,NRG,ANNUAL,FOSSIL</v>
      </c>
      <c r="H78" s="42"/>
      <c r="I78" s="526">
        <f ca="1">IF(J77=SUMIF(NameConv!$G$4:$M$4,LEFT(C77,3),NameConv!$G$45:$M$45),I77+1,I77)</f>
        <v>7</v>
      </c>
      <c r="J78" s="526">
        <f t="shared" ref="J78:J79" ca="1" si="14">IF(I78=I77,J77+1,1)</f>
        <v>10</v>
      </c>
      <c r="L78" s="526">
        <f t="shared" ca="1" si="13"/>
        <v>0</v>
      </c>
      <c r="M78" s="526">
        <f t="shared" ca="1" si="6"/>
        <v>0</v>
      </c>
      <c r="N78" s="526">
        <f t="shared" ca="1" si="6"/>
        <v>0</v>
      </c>
      <c r="O78" s="526">
        <f t="shared" ca="1" si="6"/>
        <v>0</v>
      </c>
      <c r="P78" s="526">
        <f t="shared" ca="1" si="6"/>
        <v>0</v>
      </c>
    </row>
    <row r="79" spans="1:16">
      <c r="B79" s="438" t="s">
        <v>352</v>
      </c>
      <c r="C79" s="419" t="str">
        <f ca="1">OFFSET(NameConv!$F$4,0,I79)&amp;OFFSET(NameConv!$F$59,J79,I79)</f>
        <v>UPSOHF</v>
      </c>
      <c r="D79" s="419" t="str">
        <f ca="1">IF($A79="",OFFSET(NameConv!$F$3,0,I79)&amp;" "&amp;VLOOKUP(RIGHT(C79,3),NameConv!$C$5:$D$44,2,FALSE),"")</f>
        <v>Supply Sector Oil HFO</v>
      </c>
      <c r="E79" s="438" t="s">
        <v>248</v>
      </c>
      <c r="F79" s="438" t="str">
        <f t="shared" ca="1" si="12"/>
        <v>COM,NRG,ANNUAL,FOSSIL</v>
      </c>
      <c r="H79" s="42"/>
      <c r="I79" s="526">
        <f ca="1">IF(J78=SUMIF(NameConv!$G$4:$M$4,LEFT(C78,3),NameConv!$G$45:$M$45),I78+1,I78)</f>
        <v>7</v>
      </c>
      <c r="J79" s="526">
        <f t="shared" ca="1" si="14"/>
        <v>11</v>
      </c>
      <c r="L79" s="526">
        <f t="shared" ca="1" si="13"/>
        <v>0</v>
      </c>
      <c r="M79" s="526">
        <f t="shared" ca="1" si="6"/>
        <v>0</v>
      </c>
      <c r="N79" s="526">
        <f t="shared" ca="1" si="6"/>
        <v>0</v>
      </c>
      <c r="O79" s="526">
        <f t="shared" ca="1" si="6"/>
        <v>0</v>
      </c>
      <c r="P79" s="526">
        <f t="shared" ca="1" si="6"/>
        <v>0</v>
      </c>
    </row>
    <row r="80" spans="1:16">
      <c r="B80" s="438"/>
      <c r="C80" s="419"/>
      <c r="D80" s="419"/>
      <c r="E80" s="438"/>
      <c r="F80" s="438"/>
      <c r="H80" s="42"/>
      <c r="I80" s="526"/>
      <c r="J80" s="526"/>
    </row>
  </sheetData>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28673" r:id="rId4" name="cmdCheckItemsSheet">
          <controlPr defaultSize="0" autoLine="0" r:id="rId5">
            <anchor moveWithCells="1">
              <from>
                <xdr:col>0</xdr:col>
                <xdr:colOff>19050</xdr:colOff>
                <xdr:row>2</xdr:row>
                <xdr:rowOff>0</xdr:rowOff>
              </from>
              <to>
                <xdr:col>1</xdr:col>
                <xdr:colOff>9525</xdr:colOff>
                <xdr:row>3</xdr:row>
                <xdr:rowOff>0</xdr:rowOff>
              </to>
            </anchor>
          </controlPr>
        </control>
      </mc:Choice>
      <mc:Fallback>
        <control shapeId="28673" r:id="rId4" name="cmdCheckItemsSheet"/>
      </mc:Fallback>
    </mc:AlternateContent>
    <mc:AlternateContent xmlns:mc="http://schemas.openxmlformats.org/markup-compatibility/2006">
      <mc:Choice Requires="x14">
        <control shapeId="28674" r:id="rId6" name="cmdSpecifyComponent">
          <controlPr defaultSize="0" autoLine="0" autoPict="0" r:id="rId7">
            <anchor moveWithCells="1">
              <from>
                <xdr:col>1</xdr:col>
                <xdr:colOff>19050</xdr:colOff>
                <xdr:row>3</xdr:row>
                <xdr:rowOff>0</xdr:rowOff>
              </from>
              <to>
                <xdr:col>2</xdr:col>
                <xdr:colOff>171450</xdr:colOff>
                <xdr:row>4</xdr:row>
                <xdr:rowOff>95250</xdr:rowOff>
              </to>
            </anchor>
          </controlPr>
        </control>
      </mc:Choice>
      <mc:Fallback>
        <control shapeId="28674" r:id="rId6" name="cmdSpecifyComponent"/>
      </mc:Fallback>
    </mc:AlternateContent>
    <mc:AlternateContent xmlns:mc="http://schemas.openxmlformats.org/markup-compatibility/2006">
      <mc:Choice Requires="x14">
        <control shapeId="28675" r:id="rId8" name="cmdSpecifyUnits">
          <controlPr defaultSize="0" autoLine="0" r:id="rId9">
            <anchor moveWithCells="1">
              <from>
                <xdr:col>4</xdr:col>
                <xdr:colOff>19050</xdr:colOff>
                <xdr:row>3</xdr:row>
                <xdr:rowOff>0</xdr:rowOff>
              </from>
              <to>
                <xdr:col>5</xdr:col>
                <xdr:colOff>104775</xdr:colOff>
                <xdr:row>4</xdr:row>
                <xdr:rowOff>95250</xdr:rowOff>
              </to>
            </anchor>
          </controlPr>
        </control>
      </mc:Choice>
      <mc:Fallback>
        <control shapeId="28675" r:id="rId8" name="cmdSpecifyUnits"/>
      </mc:Fallback>
    </mc:AlternateContent>
    <mc:AlternateContent xmlns:mc="http://schemas.openxmlformats.org/markup-compatibility/2006">
      <mc:Choice Requires="x14">
        <control shapeId="28676" r:id="rId10" name="cmdSpecifySets">
          <controlPr defaultSize="0" autoLine="0" r:id="rId11">
            <anchor moveWithCells="1">
              <from>
                <xdr:col>5</xdr:col>
                <xdr:colOff>19050</xdr:colOff>
                <xdr:row>3</xdr:row>
                <xdr:rowOff>0</xdr:rowOff>
              </from>
              <to>
                <xdr:col>6</xdr:col>
                <xdr:colOff>9525</xdr:colOff>
                <xdr:row>4</xdr:row>
                <xdr:rowOff>95250</xdr:rowOff>
              </to>
            </anchor>
          </controlPr>
        </control>
      </mc:Choice>
      <mc:Fallback>
        <control shapeId="28676" r:id="rId10" name="cmdSpecifySets"/>
      </mc:Fallback>
    </mc:AlternateContent>
  </control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dimension ref="A1:AT319"/>
  <sheetViews>
    <sheetView topLeftCell="A247" workbookViewId="0">
      <selection activeCell="D15" sqref="D15:J15"/>
    </sheetView>
  </sheetViews>
  <sheetFormatPr defaultColWidth="11.42578125" defaultRowHeight="11.25"/>
  <cols>
    <col min="1" max="1" width="6.7109375" style="495" bestFit="1" customWidth="1"/>
    <col min="2" max="2" width="12" style="495" customWidth="1"/>
    <col min="3" max="3" width="11.28515625" style="495" customWidth="1"/>
    <col min="4" max="7" width="11.42578125" style="495" customWidth="1"/>
    <col min="8" max="8" width="4.28515625" style="495" bestFit="1" customWidth="1"/>
    <col min="9" max="9" width="7.42578125" style="511" customWidth="1"/>
    <col min="10" max="10" width="7.42578125" style="495" customWidth="1"/>
    <col min="11" max="13" width="5.42578125" style="495" customWidth="1"/>
    <col min="14" max="14" width="5.85546875" style="495" customWidth="1"/>
    <col min="15" max="40" width="4.42578125" style="495" customWidth="1"/>
    <col min="41" max="41" width="5.5703125" style="495" customWidth="1"/>
    <col min="42" max="42" width="5.28515625" style="495" customWidth="1"/>
    <col min="43" max="43" width="5.42578125" style="495" customWidth="1"/>
    <col min="44" max="16384" width="11.42578125" style="495"/>
  </cols>
  <sheetData>
    <row r="1" spans="1:46">
      <c r="A1" s="522" t="str">
        <f>IF(Index!B8=0,"TS DATA","")</f>
        <v>TS DATA</v>
      </c>
      <c r="B1" s="495" t="s">
        <v>308</v>
      </c>
      <c r="AR1" s="495" t="s">
        <v>310</v>
      </c>
      <c r="AS1" s="495" t="s">
        <v>310</v>
      </c>
      <c r="AT1" s="495" t="s">
        <v>310</v>
      </c>
    </row>
    <row r="2" spans="1:46">
      <c r="A2" s="495" t="s">
        <v>310</v>
      </c>
      <c r="AR2" s="495" t="s">
        <v>320</v>
      </c>
      <c r="AS2" s="495" t="s">
        <v>931</v>
      </c>
      <c r="AT2" s="495" t="s">
        <v>930</v>
      </c>
    </row>
    <row r="3" spans="1:46" ht="15" customHeight="1">
      <c r="A3" s="495" t="s">
        <v>310</v>
      </c>
    </row>
    <row r="4" spans="1:46">
      <c r="A4" s="495" t="s">
        <v>310</v>
      </c>
    </row>
    <row r="5" spans="1:46">
      <c r="A5" s="495" t="s">
        <v>310</v>
      </c>
    </row>
    <row r="6" spans="1:46">
      <c r="A6" s="495" t="s">
        <v>310</v>
      </c>
    </row>
    <row r="7" spans="1:46" ht="22.5" customHeight="1">
      <c r="A7" s="495" t="s">
        <v>310</v>
      </c>
      <c r="B7" s="522" t="s">
        <v>323</v>
      </c>
      <c r="C7" s="522" t="s">
        <v>324</v>
      </c>
      <c r="D7" s="522" t="s">
        <v>325</v>
      </c>
      <c r="E7" s="522" t="s">
        <v>326</v>
      </c>
      <c r="F7" s="522" t="s">
        <v>327</v>
      </c>
      <c r="G7" s="522" t="s">
        <v>328</v>
      </c>
      <c r="H7" s="522"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c r="AR7" s="738">
        <v>4</v>
      </c>
    </row>
    <row r="8" spans="1:46">
      <c r="A8" s="495" t="s">
        <v>310</v>
      </c>
      <c r="B8" s="522"/>
      <c r="C8" s="522"/>
      <c r="D8" s="522"/>
      <c r="E8" s="522"/>
      <c r="F8" s="522"/>
      <c r="G8" s="522"/>
      <c r="H8" s="522"/>
      <c r="I8" s="512"/>
    </row>
    <row r="9" spans="1:46">
      <c r="A9" s="495" t="s">
        <v>310</v>
      </c>
      <c r="B9" s="511">
        <v>1</v>
      </c>
      <c r="C9" s="511">
        <v>2</v>
      </c>
      <c r="D9" s="511">
        <v>3</v>
      </c>
      <c r="E9" s="511">
        <v>4</v>
      </c>
      <c r="F9" s="511">
        <v>5</v>
      </c>
      <c r="G9" s="511">
        <v>6</v>
      </c>
      <c r="H9" s="511">
        <v>7</v>
      </c>
      <c r="I9" s="513">
        <v>8</v>
      </c>
      <c r="L9" s="164" t="s">
        <v>14370</v>
      </c>
      <c r="N9" s="1690" t="s">
        <v>14564</v>
      </c>
    </row>
    <row r="10" spans="1:46">
      <c r="A10" s="495" t="s">
        <v>331</v>
      </c>
      <c r="B10" s="420" t="s">
        <v>359</v>
      </c>
      <c r="C10" s="420" t="s">
        <v>333</v>
      </c>
      <c r="D10" s="420" t="s">
        <v>334</v>
      </c>
      <c r="E10" s="420" t="s">
        <v>360</v>
      </c>
      <c r="F10" s="420" t="s">
        <v>334</v>
      </c>
      <c r="G10" s="420" t="s">
        <v>337</v>
      </c>
      <c r="H10" s="420" t="s">
        <v>334</v>
      </c>
      <c r="I10" s="514">
        <v>0</v>
      </c>
      <c r="L10" s="1648">
        <v>0</v>
      </c>
      <c r="N10" s="1690" t="s">
        <v>310</v>
      </c>
    </row>
    <row r="11" spans="1:46">
      <c r="A11" s="495" t="s">
        <v>335</v>
      </c>
      <c r="B11" s="420" t="s">
        <v>839</v>
      </c>
      <c r="C11" s="420" t="s">
        <v>333</v>
      </c>
      <c r="D11" s="420" t="s">
        <v>334</v>
      </c>
      <c r="E11" s="420" t="s">
        <v>334</v>
      </c>
      <c r="F11" s="420" t="s">
        <v>334</v>
      </c>
      <c r="G11" s="420" t="s">
        <v>334</v>
      </c>
      <c r="H11" s="420" t="s">
        <v>334</v>
      </c>
      <c r="I11" s="514">
        <v>0</v>
      </c>
      <c r="L11" s="1648">
        <v>1</v>
      </c>
    </row>
    <row r="12" spans="1:46">
      <c r="A12" s="495" t="s">
        <v>343</v>
      </c>
      <c r="B12" s="420" t="s">
        <v>861</v>
      </c>
      <c r="C12" s="420" t="s">
        <v>333</v>
      </c>
      <c r="D12" s="420" t="s">
        <v>334</v>
      </c>
      <c r="E12" s="420" t="s">
        <v>334</v>
      </c>
      <c r="F12" s="420" t="s">
        <v>334</v>
      </c>
      <c r="G12" s="420" t="s">
        <v>334</v>
      </c>
      <c r="H12" s="420" t="s">
        <v>334</v>
      </c>
      <c r="I12" s="514">
        <v>0</v>
      </c>
      <c r="J12" s="495">
        <f>NameConv!AF1</f>
        <v>60</v>
      </c>
      <c r="L12" s="1648">
        <v>0</v>
      </c>
    </row>
    <row r="13" spans="1:46">
      <c r="A13" s="495" t="s">
        <v>346</v>
      </c>
      <c r="B13" s="420" t="s">
        <v>860</v>
      </c>
      <c r="C13" s="420" t="s">
        <v>333</v>
      </c>
      <c r="D13" s="420" t="s">
        <v>334</v>
      </c>
      <c r="E13" s="420" t="s">
        <v>334</v>
      </c>
      <c r="F13" s="420" t="s">
        <v>334</v>
      </c>
      <c r="G13" s="420" t="s">
        <v>334</v>
      </c>
      <c r="H13" s="420" t="s">
        <v>334</v>
      </c>
      <c r="I13" s="514">
        <v>0</v>
      </c>
      <c r="L13" s="1648">
        <v>0</v>
      </c>
    </row>
    <row r="14" spans="1:46">
      <c r="A14" s="495" t="s">
        <v>310</v>
      </c>
      <c r="B14" s="420"/>
      <c r="C14" s="420"/>
      <c r="D14" s="420"/>
      <c r="E14" s="420"/>
      <c r="F14" s="420"/>
      <c r="G14" s="420"/>
      <c r="H14" s="420"/>
      <c r="I14" s="514"/>
    </row>
    <row r="15" spans="1:46" ht="15">
      <c r="A15" s="883" t="str">
        <f ca="1">IF(INDEX(Demand.Sectors,MATCH(MID(C15,2,3),NameConv!$G$4:$M$4,0)),"","*")</f>
        <v/>
      </c>
      <c r="B15" s="518" t="str">
        <f t="shared" ref="B15:B78" ca="1" si="0">IF(A15="*","",VLOOKUP("*"&amp;AR15,$A$9:$B$13,2,FALSE))</f>
        <v>ACT_EFF</v>
      </c>
      <c r="C15" s="518" t="str">
        <f ca="1">"X"&amp;OFFSET(NameConv!$F$4,0,AT15)&amp;OFFSET(NameConv!$F$59,AS15,AT15)</f>
        <v>XAGRCOA</v>
      </c>
      <c r="D15" s="518" t="str">
        <f t="shared" ref="D15:I31" ca="1" si="1">IF($A15="*","",VLOOKUP($B15,$B$10:$I$13,D$9,FALSE))</f>
        <v>-</v>
      </c>
      <c r="E15" s="518" t="str">
        <f t="shared" ca="1" si="1"/>
        <v>ACTGRP</v>
      </c>
      <c r="F15" s="518" t="str">
        <f t="shared" ca="1" si="1"/>
        <v>-</v>
      </c>
      <c r="G15" s="518" t="str">
        <f t="shared" ca="1" si="1"/>
        <v>ANNUAL</v>
      </c>
      <c r="H15" s="518" t="str">
        <f t="shared" ca="1" si="1"/>
        <v>-</v>
      </c>
      <c r="I15" s="516">
        <f t="shared" ca="1" si="1"/>
        <v>0</v>
      </c>
      <c r="J15" s="518">
        <f ca="1">IF(INDEX($L$10:$L$13,MATCH($B15,$B$10:$B$13,0)),zar.2010,1)*SUMIF(NameConv!$C$4:$C$44,RIGHT(C15,3),OFFSET(INDIRECT(B15),0,AT15-1,NameConv!$A$45,1))</f>
        <v>1</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495">
        <v>1</v>
      </c>
      <c r="AS15" s="495">
        <v>1</v>
      </c>
      <c r="AT15" s="738">
        <f>Model_RUN_code</f>
        <v>1</v>
      </c>
    </row>
    <row r="16" spans="1:46">
      <c r="A16" s="883" t="str">
        <f ca="1">IF(INDEX(Demand.Sectors,MATCH(MID(C16,2,3),NameConv!$G$4:$M$4,0)),"","*")</f>
        <v/>
      </c>
      <c r="B16" s="518" t="str">
        <f t="shared" ca="1" si="0"/>
        <v>ACT_EFF</v>
      </c>
      <c r="C16" s="518" t="str">
        <f ca="1">"X"&amp;OFFSET(NameConv!$F$4,0,AT16)&amp;OFFSET(NameConv!$F$59,AS16,AT16)</f>
        <v>XAGRELC</v>
      </c>
      <c r="D16" s="518" t="str">
        <f t="shared" ca="1" si="1"/>
        <v>-</v>
      </c>
      <c r="E16" s="518" t="str">
        <f t="shared" ca="1" si="1"/>
        <v>ACTGRP</v>
      </c>
      <c r="F16" s="518" t="str">
        <f t="shared" ca="1" si="1"/>
        <v>-</v>
      </c>
      <c r="G16" s="518" t="str">
        <f t="shared" ca="1" si="1"/>
        <v>ANNUAL</v>
      </c>
      <c r="H16" s="518" t="str">
        <f t="shared" ca="1" si="1"/>
        <v>-</v>
      </c>
      <c r="I16" s="516">
        <f t="shared" ca="1" si="1"/>
        <v>0</v>
      </c>
      <c r="J16" s="518">
        <f ca="1">IF(INDEX($L$10:$L$13,MATCH($B16,$B$10:$B$13,0)),zar.2010,1)*SUMIF(NameConv!$C$4:$C$44,RIGHT(C16,3),OFFSET(INDIRECT(B16),0,AT16-1,NameConv!$A$45,1))</f>
        <v>0.92614771720220124</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495">
        <f ca="1">IF(AT15&lt;&gt;AT16,1,IF(AS15=OFFSET(NameConv!$F$45,0,AT15),AR15+1,AR15))</f>
        <v>1</v>
      </c>
      <c r="AS16" s="495">
        <f ca="1">IF(AR16=AR15,AS15+1,1)</f>
        <v>2</v>
      </c>
      <c r="AT16" s="526">
        <f ca="1">IF(AND(AR15=$AR$7,AS15=SUMIF(NameConv!$G$4:$M$4,MID(C15,2,3),NameConv!$G$45:$M$45)),AT15+1,AT15)</f>
        <v>1</v>
      </c>
    </row>
    <row r="17" spans="1:46">
      <c r="A17" s="883" t="str">
        <f ca="1">IF(INDEX(Demand.Sectors,MATCH(MID(C17,2,3),NameConv!$G$4:$M$4,0)),"","*")</f>
        <v/>
      </c>
      <c r="B17" s="518" t="str">
        <f t="shared" ca="1" si="0"/>
        <v>ACT_EFF</v>
      </c>
      <c r="C17" s="518" t="str">
        <f ca="1">"X"&amp;OFFSET(NameConv!$F$4,0,AT17)&amp;OFFSET(NameConv!$F$59,AS17,AT17)</f>
        <v>XAGRODS</v>
      </c>
      <c r="D17" s="518" t="str">
        <f t="shared" ca="1" si="1"/>
        <v>-</v>
      </c>
      <c r="E17" s="518" t="str">
        <f t="shared" ca="1" si="1"/>
        <v>ACTGRP</v>
      </c>
      <c r="F17" s="518" t="str">
        <f t="shared" ca="1" si="1"/>
        <v>-</v>
      </c>
      <c r="G17" s="518" t="str">
        <f t="shared" ca="1" si="1"/>
        <v>ANNUAL</v>
      </c>
      <c r="H17" s="518" t="str">
        <f t="shared" ca="1" si="1"/>
        <v>-</v>
      </c>
      <c r="I17" s="516">
        <f t="shared" ca="1" si="1"/>
        <v>0</v>
      </c>
      <c r="J17" s="518">
        <f ca="1">IF(INDEX($L$10:$L$13,MATCH($B17,$B$10:$B$13,0)),zar.2010,1)*SUMIF(NameConv!$C$4:$C$44,RIGHT(C17,3),OFFSET(INDIRECT(B17),0,AT17-1,NameConv!$A$45,1))</f>
        <v>1</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495">
        <f ca="1">IF(AT16&lt;&gt;AT17,1,IF(AS16=OFFSET(NameConv!$F$45,0,AT16),AR16+1,AR16))</f>
        <v>1</v>
      </c>
      <c r="AS17" s="495">
        <f t="shared" ref="AS17:AS25" ca="1" si="2">IF(AR17=AR16,AS16+1,1)</f>
        <v>3</v>
      </c>
      <c r="AT17" s="526">
        <f ca="1">IF(AND(AR16=$AR$7,AS16=SUMIF(NameConv!$G$4:$M$4,MID(C16,2,3),NameConv!$G$45:$M$45)),AT16+1,AT16)</f>
        <v>1</v>
      </c>
    </row>
    <row r="18" spans="1:46">
      <c r="A18" s="883" t="str">
        <f ca="1">IF(INDEX(Demand.Sectors,MATCH(MID(C18,2,3),NameConv!$G$4:$M$4,0)),"","*")</f>
        <v/>
      </c>
      <c r="B18" s="518" t="str">
        <f t="shared" ca="1" si="0"/>
        <v>ACT_EFF</v>
      </c>
      <c r="C18" s="518" t="str">
        <f ca="1">"X"&amp;OFFSET(NameConv!$F$4,0,AT18)&amp;OFFSET(NameConv!$F$59,AS18,AT18)</f>
        <v>XAGROGS</v>
      </c>
      <c r="D18" s="518" t="str">
        <f t="shared" ca="1" si="1"/>
        <v>-</v>
      </c>
      <c r="E18" s="518" t="str">
        <f t="shared" ca="1" si="1"/>
        <v>ACTGRP</v>
      </c>
      <c r="F18" s="518" t="str">
        <f t="shared" ca="1" si="1"/>
        <v>-</v>
      </c>
      <c r="G18" s="518" t="str">
        <f t="shared" ca="1" si="1"/>
        <v>ANNUAL</v>
      </c>
      <c r="H18" s="518" t="str">
        <f t="shared" ca="1" si="1"/>
        <v>-</v>
      </c>
      <c r="I18" s="516">
        <f t="shared" ca="1" si="1"/>
        <v>0</v>
      </c>
      <c r="J18" s="518">
        <f ca="1">IF(INDEX($L$10:$L$13,MATCH($B18,$B$10:$B$13,0)),zar.2010,1)*SUMIF(NameConv!$C$4:$C$44,RIGHT(C18,3),OFFSET(INDIRECT(B18),0,AT18-1,NameConv!$A$45,1))</f>
        <v>1</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495">
        <f ca="1">IF(AT17&lt;&gt;AT18,1,IF(AS17=OFFSET(NameConv!$F$45,0,AT17),AR17+1,AR17))</f>
        <v>1</v>
      </c>
      <c r="AS18" s="495">
        <f t="shared" ca="1" si="2"/>
        <v>4</v>
      </c>
      <c r="AT18" s="526">
        <f ca="1">IF(AND(AR17=$AR$7,AS17=SUMIF(NameConv!$G$4:$M$4,MID(C17,2,3),NameConv!$G$45:$M$45)),AT17+1,AT17)</f>
        <v>1</v>
      </c>
    </row>
    <row r="19" spans="1:46">
      <c r="A19" s="883" t="str">
        <f ca="1">IF(INDEX(Demand.Sectors,MATCH(MID(C19,2,3),NameConv!$G$4:$M$4,0)),"","*")</f>
        <v/>
      </c>
      <c r="B19" s="518" t="str">
        <f t="shared" ca="1" si="0"/>
        <v>ACT_EFF</v>
      </c>
      <c r="C19" s="518" t="str">
        <f ca="1">"X"&amp;OFFSET(NameConv!$F$4,0,AT19)&amp;OFFSET(NameConv!$F$59,AS19,AT19)</f>
        <v>XAGROHF</v>
      </c>
      <c r="D19" s="518" t="str">
        <f t="shared" ca="1" si="1"/>
        <v>-</v>
      </c>
      <c r="E19" s="518" t="str">
        <f t="shared" ca="1" si="1"/>
        <v>ACTGRP</v>
      </c>
      <c r="F19" s="518" t="str">
        <f t="shared" ca="1" si="1"/>
        <v>-</v>
      </c>
      <c r="G19" s="518" t="str">
        <f t="shared" ca="1" si="1"/>
        <v>ANNUAL</v>
      </c>
      <c r="H19" s="518" t="str">
        <f t="shared" ca="1" si="1"/>
        <v>-</v>
      </c>
      <c r="I19" s="516">
        <f t="shared" ca="1" si="1"/>
        <v>0</v>
      </c>
      <c r="J19" s="518">
        <f ca="1">IF(INDEX($L$10:$L$13,MATCH($B19,$B$10:$B$13,0)),zar.2010,1)*SUMIF(NameConv!$C$4:$C$44,RIGHT(C19,3),OFFSET(INDIRECT(B19),0,AT19-1,NameConv!$A$45,1))</f>
        <v>1</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495">
        <f ca="1">IF(AT18&lt;&gt;AT19,1,IF(AS18=OFFSET(NameConv!$F$45,0,AT18),AR18+1,AR18))</f>
        <v>1</v>
      </c>
      <c r="AS19" s="495">
        <f t="shared" ca="1" si="2"/>
        <v>5</v>
      </c>
      <c r="AT19" s="526">
        <f ca="1">IF(AND(AR18=$AR$7,AS18=SUMIF(NameConv!$G$4:$M$4,MID(C18,2,3),NameConv!$G$45:$M$45)),AT18+1,AT18)</f>
        <v>1</v>
      </c>
    </row>
    <row r="20" spans="1:46">
      <c r="A20" s="883" t="str">
        <f ca="1">IF(INDEX(Demand.Sectors,MATCH(MID(C20,2,3),NameConv!$G$4:$M$4,0)),"","*")</f>
        <v/>
      </c>
      <c r="B20" s="518" t="str">
        <f t="shared" ca="1" si="0"/>
        <v>ACT_EFF</v>
      </c>
      <c r="C20" s="518" t="str">
        <f ca="1">"X"&amp;OFFSET(NameConv!$F$4,0,AT20)&amp;OFFSET(NameConv!$F$59,AS20,AT20)</f>
        <v>XAGROKE</v>
      </c>
      <c r="D20" s="518" t="str">
        <f t="shared" ca="1" si="1"/>
        <v>-</v>
      </c>
      <c r="E20" s="518" t="str">
        <f t="shared" ca="1" si="1"/>
        <v>ACTGRP</v>
      </c>
      <c r="F20" s="518" t="str">
        <f t="shared" ca="1" si="1"/>
        <v>-</v>
      </c>
      <c r="G20" s="518" t="str">
        <f t="shared" ca="1" si="1"/>
        <v>ANNUAL</v>
      </c>
      <c r="H20" s="518" t="str">
        <f t="shared" ca="1" si="1"/>
        <v>-</v>
      </c>
      <c r="I20" s="516">
        <f t="shared" ca="1" si="1"/>
        <v>0</v>
      </c>
      <c r="J20" s="518">
        <f ca="1">IF(INDEX($L$10:$L$13,MATCH($B20,$B$10:$B$13,0)),zar.2010,1)*SUMIF(NameConv!$C$4:$C$44,RIGHT(C20,3),OFFSET(INDIRECT(B20),0,AT20-1,NameConv!$A$45,1))</f>
        <v>1</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495">
        <f ca="1">IF(AT19&lt;&gt;AT20,1,IF(AS19=OFFSET(NameConv!$F$45,0,AT19),AR19+1,AR19))</f>
        <v>1</v>
      </c>
      <c r="AS20" s="495">
        <f t="shared" ca="1" si="2"/>
        <v>6</v>
      </c>
      <c r="AT20" s="526">
        <f ca="1">IF(AND(AR19=$AR$7,AS19=SUMIF(NameConv!$G$4:$M$4,MID(C19,2,3),NameConv!$G$45:$M$45)),AT19+1,AT19)</f>
        <v>1</v>
      </c>
    </row>
    <row r="21" spans="1:46">
      <c r="A21" s="883" t="str">
        <f ca="1">IF(INDEX(Demand.Sectors,MATCH(MID(C21,2,3),NameConv!$G$4:$M$4,0)),"","*")</f>
        <v/>
      </c>
      <c r="B21" s="518" t="str">
        <f t="shared" ca="1" si="0"/>
        <v>ACT_EFF</v>
      </c>
      <c r="C21" s="518" t="str">
        <f ca="1">"X"&amp;OFFSET(NameConv!$F$4,0,AT21)&amp;OFFSET(NameConv!$F$59,AS21,AT21)</f>
        <v>XAGROLP</v>
      </c>
      <c r="D21" s="518" t="str">
        <f t="shared" ca="1" si="1"/>
        <v>-</v>
      </c>
      <c r="E21" s="518" t="str">
        <f t="shared" ca="1" si="1"/>
        <v>ACTGRP</v>
      </c>
      <c r="F21" s="518" t="str">
        <f t="shared" ca="1" si="1"/>
        <v>-</v>
      </c>
      <c r="G21" s="518" t="str">
        <f t="shared" ca="1" si="1"/>
        <v>ANNUAL</v>
      </c>
      <c r="H21" s="518" t="str">
        <f t="shared" ca="1" si="1"/>
        <v>-</v>
      </c>
      <c r="I21" s="516">
        <f t="shared" ca="1" si="1"/>
        <v>0</v>
      </c>
      <c r="J21" s="518">
        <f ca="1">IF(INDEX($L$10:$L$13,MATCH($B21,$B$10:$B$13,0)),zar.2010,1)*SUMIF(NameConv!$C$4:$C$44,RIGHT(C21,3),OFFSET(INDIRECT(B21),0,AT21-1,NameConv!$A$45,1))</f>
        <v>1</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495">
        <f ca="1">IF(AT20&lt;&gt;AT21,1,IF(AS20=OFFSET(NameConv!$F$45,0,AT20),AR20+1,AR20))</f>
        <v>1</v>
      </c>
      <c r="AS21" s="495">
        <f t="shared" ca="1" si="2"/>
        <v>7</v>
      </c>
      <c r="AT21" s="526">
        <f ca="1">IF(AND(AR20=$AR$7,AS20=SUMIF(NameConv!$G$4:$M$4,MID(C20,2,3),NameConv!$G$45:$M$45)),AT20+1,AT20)</f>
        <v>1</v>
      </c>
    </row>
    <row r="22" spans="1:46">
      <c r="A22" s="883" t="str">
        <f ca="1">IF(INDEX(Demand.Sectors,MATCH(MID(C22,2,3),NameConv!$G$4:$M$4,0)),"","*")</f>
        <v/>
      </c>
      <c r="B22" s="518" t="str">
        <f t="shared" ca="1" si="0"/>
        <v>NCAP_COST</v>
      </c>
      <c r="C22" s="518" t="str">
        <f ca="1">"X"&amp;OFFSET(NameConv!$F$4,0,AT22)&amp;OFFSET(NameConv!$F$59,AS22,AT22)</f>
        <v>XAGRCOA</v>
      </c>
      <c r="D22" s="518" t="str">
        <f t="shared" ca="1" si="1"/>
        <v>-</v>
      </c>
      <c r="E22" s="518" t="str">
        <f t="shared" ca="1" si="1"/>
        <v>-</v>
      </c>
      <c r="F22" s="518" t="str">
        <f t="shared" ca="1" si="1"/>
        <v>-</v>
      </c>
      <c r="G22" s="518" t="str">
        <f t="shared" ca="1" si="1"/>
        <v>-</v>
      </c>
      <c r="H22" s="518" t="str">
        <f t="shared" ca="1" si="1"/>
        <v>-</v>
      </c>
      <c r="I22" s="516">
        <f t="shared" ca="1" si="1"/>
        <v>0</v>
      </c>
      <c r="J22" s="518">
        <f ca="1">IF(INDEX($L$10:$L$13,MATCH($B22,$B$10:$B$13,0)),zar.2010,1)*SUMIF(NameConv!$C$4:$C$44,RIGHT(C22,3),OFFSET(INDIRECT(B22),0,AT22-1,NameConv!$A$45,1))</f>
        <v>1.3094103081137337E-4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495">
        <f ca="1">IF(AT21&lt;&gt;AT22,1,IF(AS21=OFFSET(NameConv!$F$45,0,AT21),AR21+1,AR21))</f>
        <v>2</v>
      </c>
      <c r="AS22" s="495">
        <f t="shared" ca="1" si="2"/>
        <v>1</v>
      </c>
      <c r="AT22" s="526">
        <f ca="1">IF(AND(AR21=$AR$7,AS21=SUMIF(NameConv!$G$4:$M$4,MID(C21,2,3),NameConv!$G$45:$M$45)),AT21+1,AT21)</f>
        <v>1</v>
      </c>
    </row>
    <row r="23" spans="1:46">
      <c r="A23" s="883" t="str">
        <f ca="1">IF(INDEX(Demand.Sectors,MATCH(MID(C23,2,3),NameConv!$G$4:$M$4,0)),"","*")</f>
        <v/>
      </c>
      <c r="B23" s="518" t="str">
        <f t="shared" ca="1" si="0"/>
        <v>NCAP_COST</v>
      </c>
      <c r="C23" s="518" t="str">
        <f ca="1">"X"&amp;OFFSET(NameConv!$F$4,0,AT23)&amp;OFFSET(NameConv!$F$59,AS23,AT23)</f>
        <v>XAGRELC</v>
      </c>
      <c r="D23" s="518" t="str">
        <f t="shared" ca="1" si="1"/>
        <v>-</v>
      </c>
      <c r="E23" s="518" t="str">
        <f t="shared" ca="1" si="1"/>
        <v>-</v>
      </c>
      <c r="F23" s="518" t="str">
        <f t="shared" ca="1" si="1"/>
        <v>-</v>
      </c>
      <c r="G23" s="518" t="str">
        <f t="shared" ca="1" si="1"/>
        <v>-</v>
      </c>
      <c r="H23" s="518" t="str">
        <f t="shared" ca="1" si="1"/>
        <v>-</v>
      </c>
      <c r="I23" s="516">
        <f t="shared" ca="1" si="1"/>
        <v>0</v>
      </c>
      <c r="J23" s="518">
        <f ca="1">IF(INDEX($L$10:$L$13,MATCH($B23,$B$10:$B$13,0)),zar.2010,1)*SUMIF(NameConv!$C$4:$C$44,RIGHT(C23,3),OFFSET(INDIRECT(B23),0,AT23-1,NameConv!$A$45,1))</f>
        <v>30869.197522392027</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495">
        <f ca="1">IF(AT22&lt;&gt;AT23,1,IF(AS22=OFFSET(NameConv!$F$45,0,AT22),AR22+1,AR22))</f>
        <v>2</v>
      </c>
      <c r="AS23" s="495">
        <f t="shared" ca="1" si="2"/>
        <v>2</v>
      </c>
      <c r="AT23" s="526">
        <f ca="1">IF(AND(AR22=$AR$7,AS22=SUMIF(NameConv!$G$4:$M$4,MID(C22,2,3),NameConv!$G$45:$M$45)),AT22+1,AT22)</f>
        <v>1</v>
      </c>
    </row>
    <row r="24" spans="1:46">
      <c r="A24" s="883" t="str">
        <f ca="1">IF(INDEX(Demand.Sectors,MATCH(MID(C24,2,3),NameConv!$G$4:$M$4,0)),"","*")</f>
        <v/>
      </c>
      <c r="B24" s="518" t="str">
        <f t="shared" ca="1" si="0"/>
        <v>NCAP_COST</v>
      </c>
      <c r="C24" s="518" t="str">
        <f ca="1">"X"&amp;OFFSET(NameConv!$F$4,0,AT24)&amp;OFFSET(NameConv!$F$59,AS24,AT24)</f>
        <v>XAGRODS</v>
      </c>
      <c r="D24" s="518" t="str">
        <f t="shared" ca="1" si="1"/>
        <v>-</v>
      </c>
      <c r="E24" s="518" t="str">
        <f t="shared" ca="1" si="1"/>
        <v>-</v>
      </c>
      <c r="F24" s="518" t="str">
        <f t="shared" ca="1" si="1"/>
        <v>-</v>
      </c>
      <c r="G24" s="518" t="str">
        <f t="shared" ca="1" si="1"/>
        <v>-</v>
      </c>
      <c r="H24" s="518" t="str">
        <f t="shared" ca="1" si="1"/>
        <v>-</v>
      </c>
      <c r="I24" s="516">
        <f t="shared" ca="1" si="1"/>
        <v>0</v>
      </c>
      <c r="J24" s="518">
        <f ca="1">IF(INDEX($L$10:$L$13,MATCH($B24,$B$10:$B$13,0)),zar.2010,1)*SUMIF(NameConv!$C$4:$C$44,RIGHT(C24,3),OFFSET(INDIRECT(B24),0,AT24-1,NameConv!$A$45,1))</f>
        <v>1.3094103081137337E-4</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495">
        <f ca="1">IF(AT23&lt;&gt;AT24,1,IF(AS23=OFFSET(NameConv!$F$45,0,AT23),AR23+1,AR23))</f>
        <v>2</v>
      </c>
      <c r="AS24" s="495">
        <f t="shared" ca="1" si="2"/>
        <v>3</v>
      </c>
      <c r="AT24" s="526">
        <f ca="1">IF(AND(AR23=$AR$7,AS23=SUMIF(NameConv!$G$4:$M$4,MID(C23,2,3),NameConv!$G$45:$M$45)),AT23+1,AT23)</f>
        <v>1</v>
      </c>
    </row>
    <row r="25" spans="1:46">
      <c r="A25" s="883" t="str">
        <f ca="1">IF(INDEX(Demand.Sectors,MATCH(MID(C25,2,3),NameConv!$G$4:$M$4,0)),"","*")</f>
        <v/>
      </c>
      <c r="B25" s="518" t="str">
        <f t="shared" ca="1" si="0"/>
        <v>NCAP_COST</v>
      </c>
      <c r="C25" s="518" t="str">
        <f ca="1">"X"&amp;OFFSET(NameConv!$F$4,0,AT25)&amp;OFFSET(NameConv!$F$59,AS25,AT25)</f>
        <v>XAGROGS</v>
      </c>
      <c r="D25" s="518" t="str">
        <f t="shared" ca="1" si="1"/>
        <v>-</v>
      </c>
      <c r="E25" s="518" t="str">
        <f t="shared" ca="1" si="1"/>
        <v>-</v>
      </c>
      <c r="F25" s="518" t="str">
        <f t="shared" ca="1" si="1"/>
        <v>-</v>
      </c>
      <c r="G25" s="518" t="str">
        <f t="shared" ca="1" si="1"/>
        <v>-</v>
      </c>
      <c r="H25" s="518" t="str">
        <f t="shared" ca="1" si="1"/>
        <v>-</v>
      </c>
      <c r="I25" s="516">
        <f t="shared" ca="1" si="1"/>
        <v>0</v>
      </c>
      <c r="J25" s="518">
        <f ca="1">IF(INDEX($L$10:$L$13,MATCH($B25,$B$10:$B$13,0)),zar.2010,1)*SUMIF(NameConv!$C$4:$C$44,RIGHT(C25,3),OFFSET(INDIRECT(B25),0,AT25-1,NameConv!$A$45,1))</f>
        <v>1.3094103081137337E-4</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495">
        <f ca="1">IF(AT24&lt;&gt;AT25,1,IF(AS24=OFFSET(NameConv!$F$45,0,AT24),AR24+1,AR24))</f>
        <v>2</v>
      </c>
      <c r="AS25" s="495">
        <f t="shared" ca="1" si="2"/>
        <v>4</v>
      </c>
      <c r="AT25" s="526">
        <f ca="1">IF(AND(AR24=$AR$7,AS24=SUMIF(NameConv!$G$4:$M$4,MID(C24,2,3),NameConv!$G$45:$M$45)),AT24+1,AT24)</f>
        <v>1</v>
      </c>
    </row>
    <row r="26" spans="1:46">
      <c r="A26" s="883" t="str">
        <f ca="1">IF(INDEX(Demand.Sectors,MATCH(MID(C26,2,3),NameConv!$G$4:$M$4,0)),"","*")</f>
        <v/>
      </c>
      <c r="B26" s="518" t="str">
        <f t="shared" ca="1" si="0"/>
        <v>NCAP_COST</v>
      </c>
      <c r="C26" s="518" t="str">
        <f ca="1">"X"&amp;OFFSET(NameConv!$F$4,0,AT26)&amp;OFFSET(NameConv!$F$59,AS26,AT26)</f>
        <v>XAGROHF</v>
      </c>
      <c r="D26" s="518" t="str">
        <f t="shared" ca="1" si="1"/>
        <v>-</v>
      </c>
      <c r="E26" s="518" t="str">
        <f t="shared" ca="1" si="1"/>
        <v>-</v>
      </c>
      <c r="F26" s="518" t="str">
        <f t="shared" ca="1" si="1"/>
        <v>-</v>
      </c>
      <c r="G26" s="518" t="str">
        <f t="shared" ca="1" si="1"/>
        <v>-</v>
      </c>
      <c r="H26" s="518" t="str">
        <f t="shared" ca="1" si="1"/>
        <v>-</v>
      </c>
      <c r="I26" s="516">
        <f t="shared" ca="1" si="1"/>
        <v>0</v>
      </c>
      <c r="J26" s="518">
        <f ca="1">IF(INDEX($L$10:$L$13,MATCH($B26,$B$10:$B$13,0)),zar.2010,1)*SUMIF(NameConv!$C$4:$C$44,RIGHT(C26,3),OFFSET(INDIRECT(B26),0,AT26-1,NameConv!$A$45,1))</f>
        <v>1.3094103081137337E-4</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495">
        <f ca="1">IF(AT25&lt;&gt;AT26,1,IF(AS25=OFFSET(NameConv!$F$45,0,AT25),AR25+1,AR25))</f>
        <v>2</v>
      </c>
      <c r="AS26" s="495">
        <f ca="1">IF(AR26=AR25,AS25+1,1)</f>
        <v>5</v>
      </c>
      <c r="AT26" s="526">
        <f ca="1">IF(AND(AR25=$AR$7,AS25=SUMIF(NameConv!$G$4:$M$4,MID(C25,2,3),NameConv!$G$45:$M$45)),AT25+1,AT25)</f>
        <v>1</v>
      </c>
    </row>
    <row r="27" spans="1:46">
      <c r="A27" s="883" t="str">
        <f ca="1">IF(INDEX(Demand.Sectors,MATCH(MID(C27,2,3),NameConv!$G$4:$M$4,0)),"","*")</f>
        <v/>
      </c>
      <c r="B27" s="518" t="str">
        <f t="shared" ca="1" si="0"/>
        <v>NCAP_COST</v>
      </c>
      <c r="C27" s="518" t="str">
        <f ca="1">"X"&amp;OFFSET(NameConv!$F$4,0,AT27)&amp;OFFSET(NameConv!$F$59,AS27,AT27)</f>
        <v>XAGROKE</v>
      </c>
      <c r="D27" s="518" t="str">
        <f t="shared" ca="1" si="1"/>
        <v>-</v>
      </c>
      <c r="E27" s="518" t="str">
        <f t="shared" ca="1" si="1"/>
        <v>-</v>
      </c>
      <c r="F27" s="518" t="str">
        <f t="shared" ca="1" si="1"/>
        <v>-</v>
      </c>
      <c r="G27" s="518" t="str">
        <f t="shared" ca="1" si="1"/>
        <v>-</v>
      </c>
      <c r="H27" s="518" t="str">
        <f t="shared" ca="1" si="1"/>
        <v>-</v>
      </c>
      <c r="I27" s="516">
        <f t="shared" ca="1" si="1"/>
        <v>0</v>
      </c>
      <c r="J27" s="518">
        <f ca="1">IF(INDEX($L$10:$L$13,MATCH($B27,$B$10:$B$13,0)),zar.2010,1)*SUMIF(NameConv!$C$4:$C$44,RIGHT(C27,3),OFFSET(INDIRECT(B27),0,AT27-1,NameConv!$A$45,1))</f>
        <v>32.735257702843342</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495">
        <f ca="1">IF(AT26&lt;&gt;AT27,1,IF(AS26=OFFSET(NameConv!$F$45,0,AT26),AR26+1,AR26))</f>
        <v>2</v>
      </c>
      <c r="AS27" s="495">
        <f ca="1">IF(AR27=AR26,AS26+1,1)</f>
        <v>6</v>
      </c>
      <c r="AT27" s="526">
        <f ca="1">IF(AND(AR26=$AR$7,AS26=SUMIF(NameConv!$G$4:$M$4,MID(C26,2,3),NameConv!$G$45:$M$45)),AT26+1,AT26)</f>
        <v>1</v>
      </c>
    </row>
    <row r="28" spans="1:46">
      <c r="A28" s="883" t="str">
        <f ca="1">IF(INDEX(Demand.Sectors,MATCH(MID(C28,2,3),NameConv!$G$4:$M$4,0)),"","*")</f>
        <v/>
      </c>
      <c r="B28" s="518" t="str">
        <f t="shared" ca="1" si="0"/>
        <v>NCAP_COST</v>
      </c>
      <c r="C28" s="518" t="str">
        <f ca="1">"X"&amp;OFFSET(NameConv!$F$4,0,AT28)&amp;OFFSET(NameConv!$F$59,AS28,AT28)</f>
        <v>XAGROLP</v>
      </c>
      <c r="D28" s="518" t="str">
        <f t="shared" ca="1" si="1"/>
        <v>-</v>
      </c>
      <c r="E28" s="518" t="str">
        <f t="shared" ca="1" si="1"/>
        <v>-</v>
      </c>
      <c r="F28" s="518" t="str">
        <f t="shared" ca="1" si="1"/>
        <v>-</v>
      </c>
      <c r="G28" s="518" t="str">
        <f t="shared" ca="1" si="1"/>
        <v>-</v>
      </c>
      <c r="H28" s="518" t="str">
        <f t="shared" ca="1" si="1"/>
        <v>-</v>
      </c>
      <c r="I28" s="516">
        <f t="shared" ca="1" si="1"/>
        <v>0</v>
      </c>
      <c r="J28" s="518">
        <f ca="1">IF(INDEX($L$10:$L$13,MATCH($B28,$B$10:$B$13,0)),zar.2010,1)*SUMIF(NameConv!$C$4:$C$44,RIGHT(C28,3),OFFSET(INDIRECT(B28),0,AT28-1,NameConv!$A$45,1))</f>
        <v>32.735257702843342</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495">
        <f ca="1">IF(AT27&lt;&gt;AT28,1,IF(AS27=OFFSET(NameConv!$F$45,0,AT27),AR27+1,AR27))</f>
        <v>2</v>
      </c>
      <c r="AS28" s="495">
        <f ca="1">IF(AR28=AR27,AS27+1,1)</f>
        <v>7</v>
      </c>
      <c r="AT28" s="526">
        <f ca="1">IF(AND(AR27=$AR$7,AS27=SUMIF(NameConv!$G$4:$M$4,MID(C27,2,3),NameConv!$G$45:$M$45)),AT27+1,AT27)</f>
        <v>1</v>
      </c>
    </row>
    <row r="29" spans="1:46">
      <c r="A29" s="883" t="str">
        <f ca="1">IF(INDEX(Demand.Sectors,MATCH(MID(C29,2,3),NameConv!$G$4:$M$4,0)),"","*")</f>
        <v/>
      </c>
      <c r="B29" s="518" t="str">
        <f t="shared" ca="1" si="0"/>
        <v>NCAP_TLIFE</v>
      </c>
      <c r="C29" s="518" t="str">
        <f ca="1">"X"&amp;OFFSET(NameConv!$F$4,0,AT29)&amp;OFFSET(NameConv!$F$59,AS29,AT29)</f>
        <v>XAGRCOA</v>
      </c>
      <c r="D29" s="518" t="str">
        <f t="shared" ca="1" si="1"/>
        <v>-</v>
      </c>
      <c r="E29" s="518" t="str">
        <f t="shared" ca="1" si="1"/>
        <v>-</v>
      </c>
      <c r="F29" s="518" t="str">
        <f t="shared" ca="1" si="1"/>
        <v>-</v>
      </c>
      <c r="G29" s="518" t="str">
        <f t="shared" ca="1" si="1"/>
        <v>-</v>
      </c>
      <c r="H29" s="518" t="str">
        <f t="shared" ca="1" si="1"/>
        <v>-</v>
      </c>
      <c r="I29" s="516">
        <f t="shared" ca="1" si="1"/>
        <v>0</v>
      </c>
      <c r="J29" s="518">
        <f ca="1">IF(INDEX($L$10:$L$13,MATCH($B29,$B$10:$B$13,0)),zar.2010,1)*SUMIF(NameConv!$C$4:$C$44,RIGHT(C29,3),OFFSET(INDIRECT(B29),0,AT29-1,NameConv!$A$45,1))</f>
        <v>60</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495">
        <f ca="1">IF(AT28&lt;&gt;AT29,1,IF(AS28=OFFSET(NameConv!$F$45,0,AT28),AR28+1,AR28))</f>
        <v>3</v>
      </c>
      <c r="AS29" s="495">
        <f ca="1">IF(AR29=AR28,AS28+1,1)</f>
        <v>1</v>
      </c>
      <c r="AT29" s="526">
        <f ca="1">IF(AND(AR28=$AR$7,AS28=SUMIF(NameConv!$G$4:$M$4,MID(C28,2,3),NameConv!$G$45:$M$45)),AT28+1,AT28)</f>
        <v>1</v>
      </c>
    </row>
    <row r="30" spans="1:46">
      <c r="A30" s="883" t="str">
        <f ca="1">IF(INDEX(Demand.Sectors,MATCH(MID(C30,2,3),NameConv!$G$4:$M$4,0)),"","*")</f>
        <v/>
      </c>
      <c r="B30" s="518" t="str">
        <f t="shared" ca="1" si="0"/>
        <v>NCAP_TLIFE</v>
      </c>
      <c r="C30" s="518" t="str">
        <f ca="1">"X"&amp;OFFSET(NameConv!$F$4,0,AT30)&amp;OFFSET(NameConv!$F$59,AS30,AT30)</f>
        <v>XAGRELC</v>
      </c>
      <c r="D30" s="518" t="str">
        <f t="shared" ca="1" si="1"/>
        <v>-</v>
      </c>
      <c r="E30" s="518" t="str">
        <f t="shared" ca="1" si="1"/>
        <v>-</v>
      </c>
      <c r="F30" s="518" t="str">
        <f t="shared" ca="1" si="1"/>
        <v>-</v>
      </c>
      <c r="G30" s="518" t="str">
        <f t="shared" ca="1" si="1"/>
        <v>-</v>
      </c>
      <c r="H30" s="518" t="str">
        <f t="shared" ca="1" si="1"/>
        <v>-</v>
      </c>
      <c r="I30" s="516">
        <f t="shared" ca="1" si="1"/>
        <v>0</v>
      </c>
      <c r="J30" s="518">
        <f ca="1">IF(INDEX($L$10:$L$13,MATCH($B30,$B$10:$B$13,0)),zar.2010,1)*SUMIF(NameConv!$C$4:$C$44,RIGHT(C30,3),OFFSET(INDIRECT(B30),0,AT30-1,NameConv!$A$45,1))</f>
        <v>60</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495">
        <f ca="1">IF(AT29&lt;&gt;AT30,1,IF(AS29=OFFSET(NameConv!$F$45,0,AT29),AR29+1,AR29))</f>
        <v>3</v>
      </c>
      <c r="AS30" s="495">
        <f ca="1">IF(AR30=AR29,AS29+1,1)</f>
        <v>2</v>
      </c>
      <c r="AT30" s="526">
        <f ca="1">IF(AND(AR29=$AR$7,AS29=SUMIF(NameConv!$G$4:$M$4,MID(C29,2,3),NameConv!$G$45:$M$45)),AT29+1,AT29)</f>
        <v>1</v>
      </c>
    </row>
    <row r="31" spans="1:46">
      <c r="A31" s="883" t="str">
        <f ca="1">IF(INDEX(Demand.Sectors,MATCH(MID(C31,2,3),NameConv!$G$4:$M$4,0)),"","*")</f>
        <v/>
      </c>
      <c r="B31" s="518" t="str">
        <f t="shared" ca="1" si="0"/>
        <v>NCAP_TLIFE</v>
      </c>
      <c r="C31" s="518" t="str">
        <f ca="1">"X"&amp;OFFSET(NameConv!$F$4,0,AT31)&amp;OFFSET(NameConv!$F$59,AS31,AT31)</f>
        <v>XAGRODS</v>
      </c>
      <c r="D31" s="518" t="str">
        <f t="shared" ca="1" si="1"/>
        <v>-</v>
      </c>
      <c r="E31" s="518" t="str">
        <f t="shared" ca="1" si="1"/>
        <v>-</v>
      </c>
      <c r="F31" s="518" t="str">
        <f t="shared" ca="1" si="1"/>
        <v>-</v>
      </c>
      <c r="G31" s="518" t="str">
        <f t="shared" ca="1" si="1"/>
        <v>-</v>
      </c>
      <c r="H31" s="518" t="str">
        <f t="shared" ca="1" si="1"/>
        <v>-</v>
      </c>
      <c r="I31" s="516">
        <f t="shared" ca="1" si="1"/>
        <v>0</v>
      </c>
      <c r="J31" s="518">
        <f ca="1">IF(INDEX($L$10:$L$13,MATCH($B31,$B$10:$B$13,0)),zar.2010,1)*SUMIF(NameConv!$C$4:$C$44,RIGHT(C31,3),OFFSET(INDIRECT(B31),0,AT31-1,NameConv!$A$45,1))</f>
        <v>60</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495">
        <f ca="1">IF(AT30&lt;&gt;AT31,1,IF(AS30=OFFSET(NameConv!$F$45,0,AT30),AR30+1,AR30))</f>
        <v>3</v>
      </c>
      <c r="AS31" s="495">
        <f t="shared" ref="AS31:AS54" ca="1" si="3">IF(AR31=AR30,AS30+1,1)</f>
        <v>3</v>
      </c>
      <c r="AT31" s="526">
        <f ca="1">IF(AND(AR30=$AR$7,AS30=SUMIF(NameConv!$G$4:$M$4,MID(C30,2,3),NameConv!$G$45:$M$45)),AT30+1,AT30)</f>
        <v>1</v>
      </c>
    </row>
    <row r="32" spans="1:46">
      <c r="A32" s="883" t="str">
        <f ca="1">IF(INDEX(Demand.Sectors,MATCH(MID(C32,2,3),NameConv!$G$4:$M$4,0)),"","*")</f>
        <v/>
      </c>
      <c r="B32" s="518" t="str">
        <f t="shared" ca="1" si="0"/>
        <v>NCAP_TLIFE</v>
      </c>
      <c r="C32" s="518" t="str">
        <f ca="1">"X"&amp;OFFSET(NameConv!$F$4,0,AT32)&amp;OFFSET(NameConv!$F$59,AS32,AT32)</f>
        <v>XAGROGS</v>
      </c>
      <c r="D32" s="518" t="str">
        <f t="shared" ref="D32:I55" ca="1" si="4">IF($A32="*","",VLOOKUP($B32,$B$10:$I$13,D$9,FALSE))</f>
        <v>-</v>
      </c>
      <c r="E32" s="518" t="str">
        <f t="shared" ca="1" si="4"/>
        <v>-</v>
      </c>
      <c r="F32" s="518" t="str">
        <f t="shared" ca="1" si="4"/>
        <v>-</v>
      </c>
      <c r="G32" s="518" t="str">
        <f t="shared" ca="1" si="4"/>
        <v>-</v>
      </c>
      <c r="H32" s="518" t="str">
        <f t="shared" ca="1" si="4"/>
        <v>-</v>
      </c>
      <c r="I32" s="516">
        <f t="shared" ca="1" si="4"/>
        <v>0</v>
      </c>
      <c r="J32" s="518">
        <f ca="1">IF(INDEX($L$10:$L$13,MATCH($B32,$B$10:$B$13,0)),zar.2010,1)*SUMIF(NameConv!$C$4:$C$44,RIGHT(C32,3),OFFSET(INDIRECT(B32),0,AT32-1,NameConv!$A$45,1))</f>
        <v>60</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495">
        <f ca="1">IF(AT31&lt;&gt;AT32,1,IF(AS31=OFFSET(NameConv!$F$45,0,AT31),AR31+1,AR31))</f>
        <v>3</v>
      </c>
      <c r="AS32" s="495">
        <f t="shared" ca="1" si="3"/>
        <v>4</v>
      </c>
      <c r="AT32" s="526">
        <f ca="1">IF(AND(AR31=$AR$7,AS31=SUMIF(NameConv!$G$4:$M$4,MID(C31,2,3),NameConv!$G$45:$M$45)),AT31+1,AT31)</f>
        <v>1</v>
      </c>
    </row>
    <row r="33" spans="1:46">
      <c r="A33" s="883" t="str">
        <f ca="1">IF(INDEX(Demand.Sectors,MATCH(MID(C33,2,3),NameConv!$G$4:$M$4,0)),"","*")</f>
        <v/>
      </c>
      <c r="B33" s="518" t="str">
        <f t="shared" ca="1" si="0"/>
        <v>NCAP_TLIFE</v>
      </c>
      <c r="C33" s="518" t="str">
        <f ca="1">"X"&amp;OFFSET(NameConv!$F$4,0,AT33)&amp;OFFSET(NameConv!$F$59,AS33,AT33)</f>
        <v>XAGROHF</v>
      </c>
      <c r="D33" s="518" t="str">
        <f t="shared" ca="1" si="4"/>
        <v>-</v>
      </c>
      <c r="E33" s="518" t="str">
        <f t="shared" ca="1" si="4"/>
        <v>-</v>
      </c>
      <c r="F33" s="518" t="str">
        <f t="shared" ca="1" si="4"/>
        <v>-</v>
      </c>
      <c r="G33" s="518" t="str">
        <f t="shared" ca="1" si="4"/>
        <v>-</v>
      </c>
      <c r="H33" s="518" t="str">
        <f t="shared" ca="1" si="4"/>
        <v>-</v>
      </c>
      <c r="I33" s="516">
        <f t="shared" ca="1" si="4"/>
        <v>0</v>
      </c>
      <c r="J33" s="518">
        <f ca="1">IF(INDEX($L$10:$L$13,MATCH($B33,$B$10:$B$13,0)),zar.2010,1)*SUMIF(NameConv!$C$4:$C$44,RIGHT(C33,3),OFFSET(INDIRECT(B33),0,AT33-1,NameConv!$A$45,1))</f>
        <v>60</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495">
        <f ca="1">IF(AT32&lt;&gt;AT33,1,IF(AS32=OFFSET(NameConv!$F$45,0,AT32),AR32+1,AR32))</f>
        <v>3</v>
      </c>
      <c r="AS33" s="495">
        <f t="shared" ca="1" si="3"/>
        <v>5</v>
      </c>
      <c r="AT33" s="526">
        <f ca="1">IF(AND(AR32=$AR$7,AS32=SUMIF(NameConv!$G$4:$M$4,MID(C32,2,3),NameConv!$G$45:$M$45)),AT32+1,AT32)</f>
        <v>1</v>
      </c>
    </row>
    <row r="34" spans="1:46">
      <c r="A34" s="883" t="str">
        <f ca="1">IF(INDEX(Demand.Sectors,MATCH(MID(C34,2,3),NameConv!$G$4:$M$4,0)),"","*")</f>
        <v/>
      </c>
      <c r="B34" s="518" t="str">
        <f t="shared" ca="1" si="0"/>
        <v>NCAP_TLIFE</v>
      </c>
      <c r="C34" s="518" t="str">
        <f ca="1">"X"&amp;OFFSET(NameConv!$F$4,0,AT34)&amp;OFFSET(NameConv!$F$59,AS34,AT34)</f>
        <v>XAGROKE</v>
      </c>
      <c r="D34" s="518" t="str">
        <f t="shared" ca="1" si="4"/>
        <v>-</v>
      </c>
      <c r="E34" s="518" t="str">
        <f t="shared" ca="1" si="4"/>
        <v>-</v>
      </c>
      <c r="F34" s="518" t="str">
        <f t="shared" ca="1" si="4"/>
        <v>-</v>
      </c>
      <c r="G34" s="518" t="str">
        <f t="shared" ca="1" si="4"/>
        <v>-</v>
      </c>
      <c r="H34" s="518" t="str">
        <f t="shared" ca="1" si="4"/>
        <v>-</v>
      </c>
      <c r="I34" s="516">
        <f t="shared" ca="1" si="4"/>
        <v>0</v>
      </c>
      <c r="J34" s="518">
        <f ca="1">IF(INDEX($L$10:$L$13,MATCH($B34,$B$10:$B$13,0)),zar.2010,1)*SUMIF(NameConv!$C$4:$C$44,RIGHT(C34,3),OFFSET(INDIRECT(B34),0,AT34-1,NameConv!$A$45,1))</f>
        <v>60</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495">
        <f ca="1">IF(AT33&lt;&gt;AT34,1,IF(AS33=OFFSET(NameConv!$F$45,0,AT33),AR33+1,AR33))</f>
        <v>3</v>
      </c>
      <c r="AS34" s="495">
        <f t="shared" ca="1" si="3"/>
        <v>6</v>
      </c>
      <c r="AT34" s="526">
        <f ca="1">IF(AND(AR33=$AR$7,AS33=SUMIF(NameConv!$G$4:$M$4,MID(C33,2,3),NameConv!$G$45:$M$45)),AT33+1,AT33)</f>
        <v>1</v>
      </c>
    </row>
    <row r="35" spans="1:46">
      <c r="A35" s="883" t="str">
        <f ca="1">IF(INDEX(Demand.Sectors,MATCH(MID(C35,2,3),NameConv!$G$4:$M$4,0)),"","*")</f>
        <v/>
      </c>
      <c r="B35" s="518" t="str">
        <f t="shared" ca="1" si="0"/>
        <v>NCAP_TLIFE</v>
      </c>
      <c r="C35" s="518" t="str">
        <f ca="1">"X"&amp;OFFSET(NameConv!$F$4,0,AT35)&amp;OFFSET(NameConv!$F$59,AS35,AT35)</f>
        <v>XAGROLP</v>
      </c>
      <c r="D35" s="518" t="str">
        <f t="shared" ca="1" si="4"/>
        <v>-</v>
      </c>
      <c r="E35" s="518" t="str">
        <f t="shared" ca="1" si="4"/>
        <v>-</v>
      </c>
      <c r="F35" s="518" t="str">
        <f t="shared" ca="1" si="4"/>
        <v>-</v>
      </c>
      <c r="G35" s="518" t="str">
        <f t="shared" ca="1" si="4"/>
        <v>-</v>
      </c>
      <c r="H35" s="518" t="str">
        <f t="shared" ca="1" si="4"/>
        <v>-</v>
      </c>
      <c r="I35" s="516">
        <f t="shared" ca="1" si="4"/>
        <v>0</v>
      </c>
      <c r="J35" s="518">
        <f ca="1">IF(INDEX($L$10:$L$13,MATCH($B35,$B$10:$B$13,0)),zar.2010,1)*SUMIF(NameConv!$C$4:$C$44,RIGHT(C35,3),OFFSET(INDIRECT(B35),0,AT35-1,NameConv!$A$45,1))</f>
        <v>60</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495">
        <f ca="1">IF(AT34&lt;&gt;AT35,1,IF(AS34=OFFSET(NameConv!$F$45,0,AT34),AR34+1,AR34))</f>
        <v>3</v>
      </c>
      <c r="AS35" s="495">
        <f t="shared" ca="1" si="3"/>
        <v>7</v>
      </c>
      <c r="AT35" s="526">
        <f ca="1">IF(AND(AR34=$AR$7,AS34=SUMIF(NameConv!$G$4:$M$4,MID(C34,2,3),NameConv!$G$45:$M$45)),AT34+1,AT34)</f>
        <v>1</v>
      </c>
    </row>
    <row r="36" spans="1:46">
      <c r="A36" s="883" t="str">
        <f ca="1">IF(INDEX(Demand.Sectors,MATCH(MID(C36,2,3),NameConv!$G$4:$M$4,0)),"","*")</f>
        <v/>
      </c>
      <c r="B36" s="518" t="str">
        <f t="shared" ca="1" si="0"/>
        <v>PRC_RESID</v>
      </c>
      <c r="C36" s="518" t="str">
        <f ca="1">"X"&amp;OFFSET(NameConv!$F$4,0,AT36)&amp;OFFSET(NameConv!$F$59,AS36,AT36)</f>
        <v>XAGRCOA</v>
      </c>
      <c r="D36" s="518" t="str">
        <f t="shared" ca="1" si="4"/>
        <v>-</v>
      </c>
      <c r="E36" s="518" t="str">
        <f t="shared" ca="1" si="4"/>
        <v>-</v>
      </c>
      <c r="F36" s="518" t="str">
        <f t="shared" ca="1" si="4"/>
        <v>-</v>
      </c>
      <c r="G36" s="518" t="str">
        <f t="shared" ca="1" si="4"/>
        <v>-</v>
      </c>
      <c r="H36" s="518" t="str">
        <f t="shared" ca="1" si="4"/>
        <v>-</v>
      </c>
      <c r="I36" s="516">
        <f t="shared" ca="1" si="4"/>
        <v>0</v>
      </c>
      <c r="J36" s="518">
        <f ca="1">IF(INDEX($L$10:$L$13,MATCH($B36,$B$10:$B$13,0)),zar.2010,1)*SUMIF(NameConv!$C$4:$C$44,RIGHT(C36,3),OFFSET(INDIRECT(B36),0,AT36-1,NameConv!$A$45,1))</f>
        <v>1.0000000000000001E-5</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495">
        <f ca="1">IF(AT35&lt;&gt;AT36,1,IF(AS35=OFFSET(NameConv!$F$45,0,AT35),AR35+1,AR35))</f>
        <v>4</v>
      </c>
      <c r="AS36" s="495">
        <f t="shared" ca="1" si="3"/>
        <v>1</v>
      </c>
      <c r="AT36" s="526">
        <f ca="1">IF(AND(AR35=$AR$7,AS35=SUMIF(NameConv!$G$4:$M$4,MID(C35,2,3),NameConv!$G$45:$M$45)),AT35+1,AT35)</f>
        <v>1</v>
      </c>
    </row>
    <row r="37" spans="1:46">
      <c r="A37" s="883" t="str">
        <f ca="1">IF(INDEX(Demand.Sectors,MATCH(MID(C37,2,3),NameConv!$G$4:$M$4,0)),"","*")</f>
        <v/>
      </c>
      <c r="B37" s="518" t="str">
        <f t="shared" ca="1" si="0"/>
        <v>PRC_RESID</v>
      </c>
      <c r="C37" s="518" t="str">
        <f ca="1">"X"&amp;OFFSET(NameConv!$F$4,0,AT37)&amp;OFFSET(NameConv!$F$59,AS37,AT37)</f>
        <v>XAGRELC</v>
      </c>
      <c r="D37" s="518" t="str">
        <f t="shared" ca="1" si="4"/>
        <v>-</v>
      </c>
      <c r="E37" s="518" t="str">
        <f t="shared" ca="1" si="4"/>
        <v>-</v>
      </c>
      <c r="F37" s="518" t="str">
        <f t="shared" ca="1" si="4"/>
        <v>-</v>
      </c>
      <c r="G37" s="518" t="str">
        <f t="shared" ca="1" si="4"/>
        <v>-</v>
      </c>
      <c r="H37" s="518" t="str">
        <f t="shared" ca="1" si="4"/>
        <v>-</v>
      </c>
      <c r="I37" s="516">
        <f t="shared" ca="1" si="4"/>
        <v>0</v>
      </c>
      <c r="J37" s="518">
        <f ca="1">IF(INDEX($L$10:$L$13,MATCH($B37,$B$10:$B$13,0)),zar.2010,1)*SUMIF(NameConv!$C$4:$C$44,RIGHT(C37,3),OFFSET(INDIRECT(B37),0,AT37-1,NameConv!$A$45,1))</f>
        <v>0.9119771214891641</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495">
        <f ca="1">IF(AT36&lt;&gt;AT37,1,IF(AS36=OFFSET(NameConv!$F$45,0,AT36),AR36+1,AR36))</f>
        <v>4</v>
      </c>
      <c r="AS37" s="495">
        <f t="shared" ca="1" si="3"/>
        <v>2</v>
      </c>
      <c r="AT37" s="526">
        <f ca="1">IF(AND(AR36=$AR$7,AS36=SUMIF(NameConv!$G$4:$M$4,MID(C36,2,3),NameConv!$G$45:$M$45)),AT36+1,AT36)</f>
        <v>1</v>
      </c>
    </row>
    <row r="38" spans="1:46">
      <c r="A38" s="883" t="str">
        <f ca="1">IF(INDEX(Demand.Sectors,MATCH(MID(C38,2,3),NameConv!$G$4:$M$4,0)),"","*")</f>
        <v/>
      </c>
      <c r="B38" s="518" t="str">
        <f t="shared" ca="1" si="0"/>
        <v>PRC_RESID</v>
      </c>
      <c r="C38" s="518" t="str">
        <f ca="1">"X"&amp;OFFSET(NameConv!$F$4,0,AT38)&amp;OFFSET(NameConv!$F$59,AS38,AT38)</f>
        <v>XAGRODS</v>
      </c>
      <c r="D38" s="518" t="str">
        <f t="shared" ca="1" si="4"/>
        <v>-</v>
      </c>
      <c r="E38" s="518" t="str">
        <f t="shared" ca="1" si="4"/>
        <v>-</v>
      </c>
      <c r="F38" s="518" t="str">
        <f t="shared" ca="1" si="4"/>
        <v>-</v>
      </c>
      <c r="G38" s="518" t="str">
        <f t="shared" ca="1" si="4"/>
        <v>-</v>
      </c>
      <c r="H38" s="518" t="str">
        <f t="shared" ca="1" si="4"/>
        <v>-</v>
      </c>
      <c r="I38" s="516">
        <f t="shared" ca="1" si="4"/>
        <v>0</v>
      </c>
      <c r="J38" s="518">
        <f ca="1">IF(INDEX($L$10:$L$13,MATCH($B38,$B$10:$B$13,0)),zar.2010,1)*SUMIF(NameConv!$C$4:$C$44,RIGHT(C38,3),OFFSET(INDIRECT(B38),0,AT38-1,NameConv!$A$45,1))</f>
        <v>42.048730984919999</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495">
        <f ca="1">IF(AT37&lt;&gt;AT38,1,IF(AS37=OFFSET(NameConv!$F$45,0,AT37),AR37+1,AR37))</f>
        <v>4</v>
      </c>
      <c r="AS38" s="495">
        <f t="shared" ca="1" si="3"/>
        <v>3</v>
      </c>
      <c r="AT38" s="526">
        <f ca="1">IF(AND(AR37=$AR$7,AS37=SUMIF(NameConv!$G$4:$M$4,MID(C37,2,3),NameConv!$G$45:$M$45)),AT37+1,AT37)</f>
        <v>1</v>
      </c>
    </row>
    <row r="39" spans="1:46">
      <c r="A39" s="883" t="str">
        <f ca="1">IF(INDEX(Demand.Sectors,MATCH(MID(C39,2,3),NameConv!$G$4:$M$4,0)),"","*")</f>
        <v/>
      </c>
      <c r="B39" s="518" t="str">
        <f t="shared" ca="1" si="0"/>
        <v>PRC_RESID</v>
      </c>
      <c r="C39" s="518" t="str">
        <f ca="1">"X"&amp;OFFSET(NameConv!$F$4,0,AT39)&amp;OFFSET(NameConv!$F$59,AS39,AT39)</f>
        <v>XAGROGS</v>
      </c>
      <c r="D39" s="518" t="str">
        <f t="shared" ca="1" si="4"/>
        <v>-</v>
      </c>
      <c r="E39" s="518" t="str">
        <f t="shared" ca="1" si="4"/>
        <v>-</v>
      </c>
      <c r="F39" s="518" t="str">
        <f t="shared" ca="1" si="4"/>
        <v>-</v>
      </c>
      <c r="G39" s="518" t="str">
        <f t="shared" ca="1" si="4"/>
        <v>-</v>
      </c>
      <c r="H39" s="518" t="str">
        <f t="shared" ca="1" si="4"/>
        <v>-</v>
      </c>
      <c r="I39" s="516">
        <f t="shared" ca="1" si="4"/>
        <v>0</v>
      </c>
      <c r="J39" s="518">
        <f ca="1">IF(INDEX($L$10:$L$13,MATCH($B39,$B$10:$B$13,0)),zar.2010,1)*SUMIF(NameConv!$C$4:$C$44,RIGHT(C39,3),OFFSET(INDIRECT(B39),0,AT39-1,NameConv!$A$45,1))</f>
        <v>5.4606157194600007</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495">
        <f ca="1">IF(AT38&lt;&gt;AT39,1,IF(AS38=OFFSET(NameConv!$F$45,0,AT38),AR38+1,AR38))</f>
        <v>4</v>
      </c>
      <c r="AS39" s="495">
        <f t="shared" ca="1" si="3"/>
        <v>4</v>
      </c>
      <c r="AT39" s="526">
        <f ca="1">IF(AND(AR38=$AR$7,AS38=SUMIF(NameConv!$G$4:$M$4,MID(C38,2,3),NameConv!$G$45:$M$45)),AT38+1,AT38)</f>
        <v>1</v>
      </c>
    </row>
    <row r="40" spans="1:46">
      <c r="A40" s="883" t="str">
        <f ca="1">IF(INDEX(Demand.Sectors,MATCH(MID(C40,2,3),NameConv!$G$4:$M$4,0)),"","*")</f>
        <v/>
      </c>
      <c r="B40" s="518" t="str">
        <f t="shared" ca="1" si="0"/>
        <v>PRC_RESID</v>
      </c>
      <c r="C40" s="518" t="str">
        <f ca="1">"X"&amp;OFFSET(NameConv!$F$4,0,AT40)&amp;OFFSET(NameConv!$F$59,AS40,AT40)</f>
        <v>XAGROHF</v>
      </c>
      <c r="D40" s="518" t="str">
        <f t="shared" ca="1" si="4"/>
        <v>-</v>
      </c>
      <c r="E40" s="518" t="str">
        <f t="shared" ca="1" si="4"/>
        <v>-</v>
      </c>
      <c r="F40" s="518" t="str">
        <f t="shared" ca="1" si="4"/>
        <v>-</v>
      </c>
      <c r="G40" s="518" t="str">
        <f t="shared" ca="1" si="4"/>
        <v>-</v>
      </c>
      <c r="H40" s="518" t="str">
        <f t="shared" ca="1" si="4"/>
        <v>-</v>
      </c>
      <c r="I40" s="516">
        <f t="shared" ca="1" si="4"/>
        <v>0</v>
      </c>
      <c r="J40" s="518">
        <f ca="1">IF(INDEX($L$10:$L$13,MATCH($B40,$B$10:$B$13,0)),zar.2010,1)*SUMIF(NameConv!$C$4:$C$44,RIGHT(C40,3),OFFSET(INDIRECT(B40),0,AT40-1,NameConv!$A$45,1))</f>
        <v>1.0000000000000001E-5</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495">
        <f ca="1">IF(AT39&lt;&gt;AT40,1,IF(AS39=OFFSET(NameConv!$F$45,0,AT39),AR39+1,AR39))</f>
        <v>4</v>
      </c>
      <c r="AS40" s="495">
        <f t="shared" ca="1" si="3"/>
        <v>5</v>
      </c>
      <c r="AT40" s="526">
        <f ca="1">IF(AND(AR39=$AR$7,AS39=SUMIF(NameConv!$G$4:$M$4,MID(C39,2,3),NameConv!$G$45:$M$45)),AT39+1,AT39)</f>
        <v>1</v>
      </c>
    </row>
    <row r="41" spans="1:46">
      <c r="A41" s="883" t="str">
        <f ca="1">IF(INDEX(Demand.Sectors,MATCH(MID(C41,2,3),NameConv!$G$4:$M$4,0)),"","*")</f>
        <v/>
      </c>
      <c r="B41" s="518" t="str">
        <f t="shared" ca="1" si="0"/>
        <v>PRC_RESID</v>
      </c>
      <c r="C41" s="518" t="str">
        <f ca="1">"X"&amp;OFFSET(NameConv!$F$4,0,AT41)&amp;OFFSET(NameConv!$F$59,AS41,AT41)</f>
        <v>XAGROKE</v>
      </c>
      <c r="D41" s="518" t="str">
        <f t="shared" ca="1" si="4"/>
        <v>-</v>
      </c>
      <c r="E41" s="518" t="str">
        <f t="shared" ca="1" si="4"/>
        <v>-</v>
      </c>
      <c r="F41" s="518" t="str">
        <f t="shared" ca="1" si="4"/>
        <v>-</v>
      </c>
      <c r="G41" s="518" t="str">
        <f t="shared" ca="1" si="4"/>
        <v>-</v>
      </c>
      <c r="H41" s="518" t="str">
        <f t="shared" ca="1" si="4"/>
        <v>-</v>
      </c>
      <c r="I41" s="516">
        <f t="shared" ca="1" si="4"/>
        <v>0</v>
      </c>
      <c r="J41" s="518">
        <f ca="1">IF(INDEX($L$10:$L$13,MATCH($B41,$B$10:$B$13,0)),zar.2010,1)*SUMIF(NameConv!$C$4:$C$44,RIGHT(C41,3),OFFSET(INDIRECT(B41),0,AT41-1,NameConv!$A$45,1))</f>
        <v>1.0000000000000001E-5</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495">
        <f ca="1">IF(AT40&lt;&gt;AT41,1,IF(AS40=OFFSET(NameConv!$F$45,0,AT40),AR40+1,AR40))</f>
        <v>4</v>
      </c>
      <c r="AS41" s="495">
        <f t="shared" ca="1" si="3"/>
        <v>6</v>
      </c>
      <c r="AT41" s="526">
        <f ca="1">IF(AND(AR40=$AR$7,AS40=SUMIF(NameConv!$G$4:$M$4,MID(C40,2,3),NameConv!$G$45:$M$45)),AT40+1,AT40)</f>
        <v>1</v>
      </c>
    </row>
    <row r="42" spans="1:46">
      <c r="A42" s="883" t="str">
        <f ca="1">IF(INDEX(Demand.Sectors,MATCH(MID(C42,2,3),NameConv!$G$4:$M$4,0)),"","*")</f>
        <v/>
      </c>
      <c r="B42" s="518" t="str">
        <f t="shared" ca="1" si="0"/>
        <v>PRC_RESID</v>
      </c>
      <c r="C42" s="518" t="str">
        <f ca="1">"X"&amp;OFFSET(NameConv!$F$4,0,AT42)&amp;OFFSET(NameConv!$F$59,AS42,AT42)</f>
        <v>XAGROLP</v>
      </c>
      <c r="D42" s="518" t="str">
        <f t="shared" ca="1" si="4"/>
        <v>-</v>
      </c>
      <c r="E42" s="518" t="str">
        <f t="shared" ca="1" si="4"/>
        <v>-</v>
      </c>
      <c r="F42" s="518" t="str">
        <f t="shared" ca="1" si="4"/>
        <v>-</v>
      </c>
      <c r="G42" s="518" t="str">
        <f t="shared" ca="1" si="4"/>
        <v>-</v>
      </c>
      <c r="H42" s="518" t="str">
        <f t="shared" ca="1" si="4"/>
        <v>-</v>
      </c>
      <c r="I42" s="516">
        <f t="shared" ca="1" si="4"/>
        <v>0</v>
      </c>
      <c r="J42" s="518">
        <f ca="1">IF(INDEX($L$10:$L$13,MATCH($B42,$B$10:$B$13,0)),zar.2010,1)*SUMIF(NameConv!$C$4:$C$44,RIGHT(C42,3),OFFSET(INDIRECT(B42),0,AT42-1,NameConv!$A$45,1))</f>
        <v>1.0000000000000001E-5</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495">
        <f ca="1">IF(AT41&lt;&gt;AT42,1,IF(AS41=OFFSET(NameConv!$F$45,0,AT41),AR41+1,AR41))</f>
        <v>4</v>
      </c>
      <c r="AS42" s="495">
        <f t="shared" ca="1" si="3"/>
        <v>7</v>
      </c>
      <c r="AT42" s="526">
        <f ca="1">IF(AND(AR41=$AR$7,AS41=SUMIF(NameConv!$G$4:$M$4,MID(C41,2,3),NameConv!$G$45:$M$45)),AT41+1,AT41)</f>
        <v>1</v>
      </c>
    </row>
    <row r="43" spans="1:46">
      <c r="A43" s="883" t="str">
        <f ca="1">IF(INDEX(Demand.Sectors,MATCH(MID(C43,2,3),NameConv!$G$4:$M$4,0)),"","*")</f>
        <v/>
      </c>
      <c r="B43" s="518" t="str">
        <f t="shared" ca="1" si="0"/>
        <v>ACT_EFF</v>
      </c>
      <c r="C43" s="518" t="str">
        <f ca="1">"X"&amp;OFFSET(NameConv!$F$4,0,AT43)&amp;OFFSET(NameConv!$F$59,AS43,AT43)</f>
        <v>XCOMCOA</v>
      </c>
      <c r="D43" s="518" t="str">
        <f t="shared" ca="1" si="4"/>
        <v>-</v>
      </c>
      <c r="E43" s="518" t="str">
        <f t="shared" ca="1" si="4"/>
        <v>ACTGRP</v>
      </c>
      <c r="F43" s="518" t="str">
        <f t="shared" ca="1" si="4"/>
        <v>-</v>
      </c>
      <c r="G43" s="518" t="str">
        <f t="shared" ca="1" si="4"/>
        <v>ANNUAL</v>
      </c>
      <c r="H43" s="518" t="str">
        <f t="shared" ca="1" si="4"/>
        <v>-</v>
      </c>
      <c r="I43" s="516">
        <f t="shared" ca="1" si="4"/>
        <v>0</v>
      </c>
      <c r="J43" s="518">
        <f ca="1">IF(INDEX($L$10:$L$13,MATCH($B43,$B$10:$B$13,0)),zar.2010,1)*SUMIF(NameConv!$C$4:$C$44,RIGHT(C43,3),OFFSET(INDIRECT(B43),0,AT43-1,NameConv!$A$45,1))</f>
        <v>1</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495">
        <f ca="1">IF(AT42&lt;&gt;AT43,1,IF(AS42=OFFSET(NameConv!$F$45,0,AT42),AR42+1,AR42))</f>
        <v>1</v>
      </c>
      <c r="AS43" s="495">
        <f t="shared" ca="1" si="3"/>
        <v>1</v>
      </c>
      <c r="AT43" s="526">
        <f ca="1">IF(AND(AR42=$AR$7,AS42=SUMIF(NameConv!$G$4:$M$4,MID(C42,2,3),NameConv!$G$45:$M$45)),AT42+1,AT42)</f>
        <v>2</v>
      </c>
    </row>
    <row r="44" spans="1:46">
      <c r="A44" s="883" t="str">
        <f ca="1">IF(INDEX(Demand.Sectors,MATCH(MID(C44,2,3),NameConv!$G$4:$M$4,0)),"","*")</f>
        <v/>
      </c>
      <c r="B44" s="518" t="str">
        <f t="shared" ca="1" si="0"/>
        <v>ACT_EFF</v>
      </c>
      <c r="C44" s="518" t="str">
        <f ca="1">"X"&amp;OFFSET(NameConv!$F$4,0,AT44)&amp;OFFSET(NameConv!$F$59,AS44,AT44)</f>
        <v>XCOMELC</v>
      </c>
      <c r="D44" s="518" t="str">
        <f t="shared" ca="1" si="4"/>
        <v>-</v>
      </c>
      <c r="E44" s="518" t="str">
        <f t="shared" ca="1" si="4"/>
        <v>ACTGRP</v>
      </c>
      <c r="F44" s="518" t="str">
        <f t="shared" ca="1" si="4"/>
        <v>-</v>
      </c>
      <c r="G44" s="518" t="str">
        <f t="shared" ca="1" si="4"/>
        <v>ANNUAL</v>
      </c>
      <c r="H44" s="518" t="str">
        <f t="shared" ca="1" si="4"/>
        <v>-</v>
      </c>
      <c r="I44" s="516">
        <f t="shared" ca="1" si="4"/>
        <v>0</v>
      </c>
      <c r="J44" s="518">
        <f ca="1">IF(INDEX($L$10:$L$13,MATCH($B44,$B$10:$B$13,0)),zar.2010,1)*SUMIF(NameConv!$C$4:$C$44,RIGHT(C44,3),OFFSET(INDIRECT(B44),0,AT44-1,NameConv!$A$45,1))</f>
        <v>0.88185177764855327</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495">
        <f ca="1">IF(AT43&lt;&gt;AT44,1,IF(AS43=OFFSET(NameConv!$F$45,0,AT43),AR43+1,AR43))</f>
        <v>1</v>
      </c>
      <c r="AS44" s="495">
        <f t="shared" ca="1" si="3"/>
        <v>2</v>
      </c>
      <c r="AT44" s="526">
        <f ca="1">IF(AND(AR43=$AR$7,AS43=SUMIF(NameConv!$G$4:$M$4,MID(C43,2,3),NameConv!$G$45:$M$45)),AT43+1,AT43)</f>
        <v>2</v>
      </c>
    </row>
    <row r="45" spans="1:46">
      <c r="A45" s="883" t="str">
        <f ca="1">IF(INDEX(Demand.Sectors,MATCH(MID(C45,2,3),NameConv!$G$4:$M$4,0)),"","*")</f>
        <v/>
      </c>
      <c r="B45" s="518" t="str">
        <f t="shared" ca="1" si="0"/>
        <v>ACT_EFF</v>
      </c>
      <c r="C45" s="518" t="str">
        <f ca="1">"X"&amp;OFFSET(NameConv!$F$4,0,AT45)&amp;OFFSET(NameConv!$F$59,AS45,AT45)</f>
        <v>XCOMGAS</v>
      </c>
      <c r="D45" s="518" t="str">
        <f t="shared" ca="1" si="4"/>
        <v>-</v>
      </c>
      <c r="E45" s="518" t="str">
        <f t="shared" ca="1" si="4"/>
        <v>ACTGRP</v>
      </c>
      <c r="F45" s="518" t="str">
        <f t="shared" ca="1" si="4"/>
        <v>-</v>
      </c>
      <c r="G45" s="518" t="str">
        <f t="shared" ca="1" si="4"/>
        <v>ANNUAL</v>
      </c>
      <c r="H45" s="518" t="str">
        <f t="shared" ca="1" si="4"/>
        <v>-</v>
      </c>
      <c r="I45" s="516">
        <f t="shared" ca="1" si="4"/>
        <v>0</v>
      </c>
      <c r="J45" s="518">
        <f ca="1">IF(INDEX($L$10:$L$13,MATCH($B45,$B$10:$B$13,0)),zar.2010,1)*SUMIF(NameConv!$C$4:$C$44,RIGHT(C45,3),OFFSET(INDIRECT(B45),0,AT45-1,NameConv!$A$45,1))</f>
        <v>0.999</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495">
        <f ca="1">IF(AT44&lt;&gt;AT45,1,IF(AS44=OFFSET(NameConv!$F$45,0,AT44),AR44+1,AR44))</f>
        <v>1</v>
      </c>
      <c r="AS45" s="495">
        <f t="shared" ca="1" si="3"/>
        <v>3</v>
      </c>
      <c r="AT45" s="526">
        <f ca="1">IF(AND(AR44=$AR$7,AS44=SUMIF(NameConv!$G$4:$M$4,MID(C44,2,3),NameConv!$G$45:$M$45)),AT44+1,AT44)</f>
        <v>2</v>
      </c>
    </row>
    <row r="46" spans="1:46">
      <c r="A46" s="883" t="str">
        <f ca="1">IF(INDEX(Demand.Sectors,MATCH(MID(C46,2,3),NameConv!$G$4:$M$4,0)),"","*")</f>
        <v/>
      </c>
      <c r="B46" s="518" t="str">
        <f t="shared" ca="1" si="0"/>
        <v>ACT_EFF</v>
      </c>
      <c r="C46" s="518" t="str">
        <f ca="1">"X"&amp;OFFSET(NameConv!$F$4,0,AT46)&amp;OFFSET(NameConv!$F$59,AS46,AT46)</f>
        <v>XCOMODS</v>
      </c>
      <c r="D46" s="518" t="str">
        <f t="shared" ca="1" si="4"/>
        <v>-</v>
      </c>
      <c r="E46" s="518" t="str">
        <f t="shared" ca="1" si="4"/>
        <v>ACTGRP</v>
      </c>
      <c r="F46" s="518" t="str">
        <f t="shared" ca="1" si="4"/>
        <v>-</v>
      </c>
      <c r="G46" s="518" t="str">
        <f t="shared" ca="1" si="4"/>
        <v>ANNUAL</v>
      </c>
      <c r="H46" s="518" t="str">
        <f t="shared" ca="1" si="4"/>
        <v>-</v>
      </c>
      <c r="I46" s="516">
        <f t="shared" ca="1" si="4"/>
        <v>0</v>
      </c>
      <c r="J46" s="518">
        <f ca="1">IF(INDEX($L$10:$L$13,MATCH($B46,$B$10:$B$13,0)),zar.2010,1)*SUMIF(NameConv!$C$4:$C$44,RIGHT(C46,3),OFFSET(INDIRECT(B46),0,AT46-1,NameConv!$A$45,1))</f>
        <v>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495">
        <f ca="1">IF(AT45&lt;&gt;AT46,1,IF(AS45=OFFSET(NameConv!$F$45,0,AT45),AR45+1,AR45))</f>
        <v>1</v>
      </c>
      <c r="AS46" s="495">
        <f t="shared" ca="1" si="3"/>
        <v>4</v>
      </c>
      <c r="AT46" s="526">
        <f ca="1">IF(AND(AR45=$AR$7,AS45=SUMIF(NameConv!$G$4:$M$4,MID(C45,2,3),NameConv!$G$45:$M$45)),AT45+1,AT45)</f>
        <v>2</v>
      </c>
    </row>
    <row r="47" spans="1:46">
      <c r="A47" s="883" t="str">
        <f ca="1">IF(INDEX(Demand.Sectors,MATCH(MID(C47,2,3),NameConv!$G$4:$M$4,0)),"","*")</f>
        <v/>
      </c>
      <c r="B47" s="518" t="str">
        <f t="shared" ca="1" si="0"/>
        <v>ACT_EFF</v>
      </c>
      <c r="C47" s="518" t="str">
        <f ca="1">"X"&amp;OFFSET(NameConv!$F$4,0,AT47)&amp;OFFSET(NameConv!$F$59,AS47,AT47)</f>
        <v>XCOMOGS</v>
      </c>
      <c r="D47" s="518" t="str">
        <f t="shared" ca="1" si="4"/>
        <v>-</v>
      </c>
      <c r="E47" s="518" t="str">
        <f t="shared" ca="1" si="4"/>
        <v>ACTGRP</v>
      </c>
      <c r="F47" s="518" t="str">
        <f t="shared" ca="1" si="4"/>
        <v>-</v>
      </c>
      <c r="G47" s="518" t="str">
        <f t="shared" ca="1" si="4"/>
        <v>ANNUAL</v>
      </c>
      <c r="H47" s="518" t="str">
        <f t="shared" ca="1" si="4"/>
        <v>-</v>
      </c>
      <c r="I47" s="516">
        <f t="shared" ca="1" si="4"/>
        <v>0</v>
      </c>
      <c r="J47" s="518">
        <f ca="1">IF(INDEX($L$10:$L$13,MATCH($B47,$B$10:$B$13,0)),zar.2010,1)*SUMIF(NameConv!$C$4:$C$44,RIGHT(C47,3),OFFSET(INDIRECT(B47),0,AT47-1,NameConv!$A$45,1))</f>
        <v>1</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495">
        <f ca="1">IF(AT46&lt;&gt;AT47,1,IF(AS46=OFFSET(NameConv!$F$45,0,AT46),AR46+1,AR46))</f>
        <v>1</v>
      </c>
      <c r="AS47" s="495">
        <f t="shared" ca="1" si="3"/>
        <v>5</v>
      </c>
      <c r="AT47" s="526">
        <f ca="1">IF(AND(AR46=$AR$7,AS46=SUMIF(NameConv!$G$4:$M$4,MID(C46,2,3),NameConv!$G$45:$M$45)),AT46+1,AT46)</f>
        <v>2</v>
      </c>
    </row>
    <row r="48" spans="1:46">
      <c r="A48" s="883" t="str">
        <f ca="1">IF(INDEX(Demand.Sectors,MATCH(MID(C48,2,3),NameConv!$G$4:$M$4,0)),"","*")</f>
        <v/>
      </c>
      <c r="B48" s="518" t="str">
        <f t="shared" ca="1" si="0"/>
        <v>ACT_EFF</v>
      </c>
      <c r="C48" s="518" t="str">
        <f ca="1">"X"&amp;OFFSET(NameConv!$F$4,0,AT48)&amp;OFFSET(NameConv!$F$59,AS48,AT48)</f>
        <v>XCOMOHF</v>
      </c>
      <c r="D48" s="518" t="str">
        <f t="shared" ca="1" si="4"/>
        <v>-</v>
      </c>
      <c r="E48" s="518" t="str">
        <f t="shared" ca="1" si="4"/>
        <v>ACTGRP</v>
      </c>
      <c r="F48" s="518" t="str">
        <f t="shared" ca="1" si="4"/>
        <v>-</v>
      </c>
      <c r="G48" s="518" t="str">
        <f t="shared" ca="1" si="4"/>
        <v>ANNUAL</v>
      </c>
      <c r="H48" s="518" t="str">
        <f t="shared" ca="1" si="4"/>
        <v>-</v>
      </c>
      <c r="I48" s="516">
        <f t="shared" ca="1" si="4"/>
        <v>0</v>
      </c>
      <c r="J48" s="518">
        <f ca="1">IF(INDEX($L$10:$L$13,MATCH($B48,$B$10:$B$13,0)),zar.2010,1)*SUMIF(NameConv!$C$4:$C$44,RIGHT(C48,3),OFFSET(INDIRECT(B48),0,AT48-1,NameConv!$A$45,1))</f>
        <v>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495">
        <f ca="1">IF(AT47&lt;&gt;AT48,1,IF(AS47=OFFSET(NameConv!$F$45,0,AT47),AR47+1,AR47))</f>
        <v>1</v>
      </c>
      <c r="AS48" s="495">
        <f t="shared" ca="1" si="3"/>
        <v>6</v>
      </c>
      <c r="AT48" s="526">
        <f ca="1">IF(AND(AR47=$AR$7,AS47=SUMIF(NameConv!$G$4:$M$4,MID(C47,2,3),NameConv!$G$45:$M$45)),AT47+1,AT47)</f>
        <v>2</v>
      </c>
    </row>
    <row r="49" spans="1:46">
      <c r="A49" s="883" t="str">
        <f ca="1">IF(INDEX(Demand.Sectors,MATCH(MID(C49,2,3),NameConv!$G$4:$M$4,0)),"","*")</f>
        <v/>
      </c>
      <c r="B49" s="518" t="str">
        <f t="shared" ca="1" si="0"/>
        <v>ACT_EFF</v>
      </c>
      <c r="C49" s="518" t="str">
        <f ca="1">"X"&amp;OFFSET(NameConv!$F$4,0,AT49)&amp;OFFSET(NameConv!$F$59,AS49,AT49)</f>
        <v>XCOMOKE</v>
      </c>
      <c r="D49" s="518" t="str">
        <f t="shared" ca="1" si="4"/>
        <v>-</v>
      </c>
      <c r="E49" s="518" t="str">
        <f t="shared" ca="1" si="4"/>
        <v>ACTGRP</v>
      </c>
      <c r="F49" s="518" t="str">
        <f t="shared" ca="1" si="4"/>
        <v>-</v>
      </c>
      <c r="G49" s="518" t="str">
        <f t="shared" ca="1" si="4"/>
        <v>ANNUAL</v>
      </c>
      <c r="H49" s="518" t="str">
        <f t="shared" ca="1" si="4"/>
        <v>-</v>
      </c>
      <c r="I49" s="516">
        <f t="shared" ca="1" si="4"/>
        <v>0</v>
      </c>
      <c r="J49" s="518">
        <f ca="1">IF(INDEX($L$10:$L$13,MATCH($B49,$B$10:$B$13,0)),zar.2010,1)*SUMIF(NameConv!$C$4:$C$44,RIGHT(C49,3),OFFSET(INDIRECT(B49),0,AT49-1,NameConv!$A$45,1))</f>
        <v>1</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495">
        <f ca="1">IF(AT48&lt;&gt;AT49,1,IF(AS48=OFFSET(NameConv!$F$45,0,AT48),AR48+1,AR48))</f>
        <v>1</v>
      </c>
      <c r="AS49" s="495">
        <f t="shared" ca="1" si="3"/>
        <v>7</v>
      </c>
      <c r="AT49" s="526">
        <f ca="1">IF(AND(AR48=$AR$7,AS48=SUMIF(NameConv!$G$4:$M$4,MID(C48,2,3),NameConv!$G$45:$M$45)),AT48+1,AT48)</f>
        <v>2</v>
      </c>
    </row>
    <row r="50" spans="1:46">
      <c r="A50" s="883" t="str">
        <f ca="1">IF(INDEX(Demand.Sectors,MATCH(MID(C50,2,3),NameConv!$G$4:$M$4,0)),"","*")</f>
        <v/>
      </c>
      <c r="B50" s="518" t="str">
        <f t="shared" ca="1" si="0"/>
        <v>ACT_EFF</v>
      </c>
      <c r="C50" s="518" t="str">
        <f ca="1">"X"&amp;OFFSET(NameConv!$F$4,0,AT50)&amp;OFFSET(NameConv!$F$59,AS50,AT50)</f>
        <v>XCOMOLP</v>
      </c>
      <c r="D50" s="518" t="str">
        <f t="shared" ca="1" si="4"/>
        <v>-</v>
      </c>
      <c r="E50" s="518" t="str">
        <f t="shared" ca="1" si="4"/>
        <v>ACTGRP</v>
      </c>
      <c r="F50" s="518" t="str">
        <f t="shared" ca="1" si="4"/>
        <v>-</v>
      </c>
      <c r="G50" s="518" t="str">
        <f t="shared" ca="1" si="4"/>
        <v>ANNUAL</v>
      </c>
      <c r="H50" s="518" t="str">
        <f t="shared" ca="1" si="4"/>
        <v>-</v>
      </c>
      <c r="I50" s="516">
        <f t="shared" ca="1" si="4"/>
        <v>0</v>
      </c>
      <c r="J50" s="518">
        <f ca="1">IF(INDEX($L$10:$L$13,MATCH($B50,$B$10:$B$13,0)),zar.2010,1)*SUMIF(NameConv!$C$4:$C$44,RIGHT(C50,3),OFFSET(INDIRECT(B50),0,AT50-1,NameConv!$A$45,1))</f>
        <v>1</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495">
        <f ca="1">IF(AT49&lt;&gt;AT50,1,IF(AS49=OFFSET(NameConv!$F$45,0,AT49),AR49+1,AR49))</f>
        <v>1</v>
      </c>
      <c r="AS50" s="495">
        <f t="shared" ca="1" si="3"/>
        <v>8</v>
      </c>
      <c r="AT50" s="526">
        <f ca="1">IF(AND(AR49=$AR$7,AS49=SUMIF(NameConv!$G$4:$M$4,MID(C49,2,3),NameConv!$G$45:$M$45)),AT49+1,AT49)</f>
        <v>2</v>
      </c>
    </row>
    <row r="51" spans="1:46">
      <c r="A51" s="883" t="str">
        <f ca="1">IF(INDEX(Demand.Sectors,MATCH(MID(C51,2,3),NameConv!$G$4:$M$4,0)),"","*")</f>
        <v/>
      </c>
      <c r="B51" s="518" t="str">
        <f t="shared" ca="1" si="0"/>
        <v>NCAP_COST</v>
      </c>
      <c r="C51" s="518" t="str">
        <f ca="1">"X"&amp;OFFSET(NameConv!$F$4,0,AT51)&amp;OFFSET(NameConv!$F$59,AS51,AT51)</f>
        <v>XCOMCOA</v>
      </c>
      <c r="D51" s="518" t="str">
        <f t="shared" ca="1" si="4"/>
        <v>-</v>
      </c>
      <c r="E51" s="518" t="str">
        <f t="shared" ca="1" si="4"/>
        <v>-</v>
      </c>
      <c r="F51" s="518" t="str">
        <f t="shared" ca="1" si="4"/>
        <v>-</v>
      </c>
      <c r="G51" s="518" t="str">
        <f t="shared" ca="1" si="4"/>
        <v>-</v>
      </c>
      <c r="H51" s="518" t="str">
        <f t="shared" ca="1" si="4"/>
        <v>-</v>
      </c>
      <c r="I51" s="516">
        <f t="shared" ca="1" si="4"/>
        <v>0</v>
      </c>
      <c r="J51" s="518">
        <f ca="1">IF(INDEX($L$10:$L$13,MATCH($B51,$B$10:$B$13,0)),zar.2010,1)*SUMIF(NameConv!$C$4:$C$44,RIGHT(C51,3),OFFSET(INDIRECT(B51),0,AT51-1,NameConv!$A$45,1))</f>
        <v>1.3094103081137337E-4</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495">
        <f ca="1">IF(AT50&lt;&gt;AT51,1,IF(AS50=OFFSET(NameConv!$F$45,0,AT50),AR50+1,AR50))</f>
        <v>2</v>
      </c>
      <c r="AS51" s="495">
        <f t="shared" ca="1" si="3"/>
        <v>1</v>
      </c>
      <c r="AT51" s="526">
        <f ca="1">IF(AND(AR50=$AR$7,AS50=SUMIF(NameConv!$G$4:$M$4,MID(C50,2,3),NameConv!$G$45:$M$45)),AT50+1,AT50)</f>
        <v>2</v>
      </c>
    </row>
    <row r="52" spans="1:46">
      <c r="A52" s="883" t="str">
        <f ca="1">IF(INDEX(Demand.Sectors,MATCH(MID(C52,2,3),NameConv!$G$4:$M$4,0)),"","*")</f>
        <v/>
      </c>
      <c r="B52" s="518" t="str">
        <f t="shared" ca="1" si="0"/>
        <v>NCAP_COST</v>
      </c>
      <c r="C52" s="518" t="str">
        <f ca="1">"X"&amp;OFFSET(NameConv!$F$4,0,AT52)&amp;OFFSET(NameConv!$F$59,AS52,AT52)</f>
        <v>XCOMELC</v>
      </c>
      <c r="D52" s="518" t="str">
        <f t="shared" ca="1" si="4"/>
        <v>-</v>
      </c>
      <c r="E52" s="518" t="str">
        <f t="shared" ca="1" si="4"/>
        <v>-</v>
      </c>
      <c r="F52" s="518" t="str">
        <f t="shared" ca="1" si="4"/>
        <v>-</v>
      </c>
      <c r="G52" s="518" t="str">
        <f t="shared" ca="1" si="4"/>
        <v>-</v>
      </c>
      <c r="H52" s="518" t="str">
        <f t="shared" ca="1" si="4"/>
        <v>-</v>
      </c>
      <c r="I52" s="516">
        <f t="shared" ca="1" si="4"/>
        <v>0</v>
      </c>
      <c r="J52" s="518">
        <f ca="1">IF(INDEX($L$10:$L$13,MATCH($B52,$B$10:$B$13,0)),zar.2010,1)*SUMIF(NameConv!$C$4:$C$44,RIGHT(C52,3),OFFSET(INDIRECT(B52),0,AT52-1,NameConv!$A$45,1))</f>
        <v>15434.598761196014</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495">
        <f ca="1">IF(AT51&lt;&gt;AT52,1,IF(AS51=OFFSET(NameConv!$F$45,0,AT51),AR51+1,AR51))</f>
        <v>2</v>
      </c>
      <c r="AS52" s="495">
        <f t="shared" ca="1" si="3"/>
        <v>2</v>
      </c>
      <c r="AT52" s="526">
        <f ca="1">IF(AND(AR51=$AR$7,AS51=SUMIF(NameConv!$G$4:$M$4,MID(C51,2,3),NameConv!$G$45:$M$45)),AT51+1,AT51)</f>
        <v>2</v>
      </c>
    </row>
    <row r="53" spans="1:46">
      <c r="A53" s="883" t="str">
        <f ca="1">IF(INDEX(Demand.Sectors,MATCH(MID(C53,2,3),NameConv!$G$4:$M$4,0)),"","*")</f>
        <v/>
      </c>
      <c r="B53" s="518" t="str">
        <f t="shared" ca="1" si="0"/>
        <v>NCAP_COST</v>
      </c>
      <c r="C53" s="518" t="str">
        <f ca="1">"X"&amp;OFFSET(NameConv!$F$4,0,AT53)&amp;OFFSET(NameConv!$F$59,AS53,AT53)</f>
        <v>XCOMGAS</v>
      </c>
      <c r="D53" s="518" t="str">
        <f t="shared" ca="1" si="4"/>
        <v>-</v>
      </c>
      <c r="E53" s="518" t="str">
        <f t="shared" ca="1" si="4"/>
        <v>-</v>
      </c>
      <c r="F53" s="518" t="str">
        <f t="shared" ca="1" si="4"/>
        <v>-</v>
      </c>
      <c r="G53" s="518" t="str">
        <f t="shared" ca="1" si="4"/>
        <v>-</v>
      </c>
      <c r="H53" s="518" t="str">
        <f t="shared" ca="1" si="4"/>
        <v>-</v>
      </c>
      <c r="I53" s="516">
        <f t="shared" ca="1" si="4"/>
        <v>0</v>
      </c>
      <c r="J53" s="518">
        <f ca="1">IF(INDEX($L$10:$L$13,MATCH($B53,$B$10:$B$13,0)),zar.2010,1)*SUMIF(NameConv!$C$4:$C$44,RIGHT(C53,3),OFFSET(INDIRECT(B53),0,AT53-1,NameConv!$A$45,1))</f>
        <v>346.33851963992305</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495">
        <f ca="1">IF(AT52&lt;&gt;AT53,1,IF(AS52=OFFSET(NameConv!$F$45,0,AT52),AR52+1,AR52))</f>
        <v>2</v>
      </c>
      <c r="AS53" s="495">
        <f t="shared" ca="1" si="3"/>
        <v>3</v>
      </c>
      <c r="AT53" s="526">
        <f ca="1">IF(AND(AR52=$AR$7,AS52=SUMIF(NameConv!$G$4:$M$4,MID(C52,2,3),NameConv!$G$45:$M$45)),AT52+1,AT52)</f>
        <v>2</v>
      </c>
    </row>
    <row r="54" spans="1:46">
      <c r="A54" s="883" t="str">
        <f ca="1">IF(INDEX(Demand.Sectors,MATCH(MID(C54,2,3),NameConv!$G$4:$M$4,0)),"","*")</f>
        <v/>
      </c>
      <c r="B54" s="518" t="str">
        <f t="shared" ca="1" si="0"/>
        <v>NCAP_COST</v>
      </c>
      <c r="C54" s="518" t="str">
        <f ca="1">"X"&amp;OFFSET(NameConv!$F$4,0,AT54)&amp;OFFSET(NameConv!$F$59,AS54,AT54)</f>
        <v>XCOMODS</v>
      </c>
      <c r="D54" s="518" t="str">
        <f t="shared" ca="1" si="4"/>
        <v>-</v>
      </c>
      <c r="E54" s="518" t="str">
        <f t="shared" ca="1" si="4"/>
        <v>-</v>
      </c>
      <c r="F54" s="518" t="str">
        <f t="shared" ca="1" si="4"/>
        <v>-</v>
      </c>
      <c r="G54" s="518" t="str">
        <f t="shared" ca="1" si="4"/>
        <v>-</v>
      </c>
      <c r="H54" s="518" t="str">
        <f t="shared" ca="1" si="4"/>
        <v>-</v>
      </c>
      <c r="I54" s="516">
        <f t="shared" ca="1" si="4"/>
        <v>0</v>
      </c>
      <c r="J54" s="518">
        <f ca="1">IF(INDEX($L$10:$L$13,MATCH($B54,$B$10:$B$13,0)),zar.2010,1)*SUMIF(NameConv!$C$4:$C$44,RIGHT(C54,3),OFFSET(INDIRECT(B54),0,AT54-1,NameConv!$A$45,1))</f>
        <v>1.3094103081137337E-4</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495">
        <f ca="1">IF(AT53&lt;&gt;AT54,1,IF(AS53=OFFSET(NameConv!$F$45,0,AT53),AR53+1,AR53))</f>
        <v>2</v>
      </c>
      <c r="AS54" s="495">
        <f t="shared" ca="1" si="3"/>
        <v>4</v>
      </c>
      <c r="AT54" s="526">
        <f ca="1">IF(AND(AR53=$AR$7,AS53=SUMIF(NameConv!$G$4:$M$4,MID(C53,2,3),NameConv!$G$45:$M$45)),AT53+1,AT53)</f>
        <v>2</v>
      </c>
    </row>
    <row r="55" spans="1:46">
      <c r="A55" s="883" t="str">
        <f ca="1">IF(INDEX(Demand.Sectors,MATCH(MID(C55,2,3),NameConv!$G$4:$M$4,0)),"","*")</f>
        <v/>
      </c>
      <c r="B55" s="518" t="str">
        <f t="shared" ca="1" si="0"/>
        <v>NCAP_COST</v>
      </c>
      <c r="C55" s="518" t="str">
        <f ca="1">"X"&amp;OFFSET(NameConv!$F$4,0,AT55)&amp;OFFSET(NameConv!$F$59,AS55,AT55)</f>
        <v>XCOMOGS</v>
      </c>
      <c r="D55" s="518" t="str">
        <f t="shared" ca="1" si="4"/>
        <v>-</v>
      </c>
      <c r="E55" s="518" t="str">
        <f t="shared" ca="1" si="4"/>
        <v>-</v>
      </c>
      <c r="F55" s="518" t="str">
        <f t="shared" ca="1" si="4"/>
        <v>-</v>
      </c>
      <c r="G55" s="518" t="str">
        <f t="shared" ca="1" si="4"/>
        <v>-</v>
      </c>
      <c r="H55" s="518" t="str">
        <f t="shared" ca="1" si="4"/>
        <v>-</v>
      </c>
      <c r="I55" s="516">
        <f t="shared" ca="1" si="4"/>
        <v>0</v>
      </c>
      <c r="J55" s="518">
        <f ca="1">IF(INDEX($L$10:$L$13,MATCH($B55,$B$10:$B$13,0)),zar.2010,1)*SUMIF(NameConv!$C$4:$C$44,RIGHT(C55,3),OFFSET(INDIRECT(B55),0,AT55-1,NameConv!$A$45,1))</f>
        <v>1.3094103081137337E-4</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495">
        <f ca="1">IF(AT54&lt;&gt;AT55,1,IF(AS54=OFFSET(NameConv!$F$45,0,AT54),AR54+1,AR54))</f>
        <v>2</v>
      </c>
      <c r="AS55" s="495">
        <f t="shared" ref="AS55:AS73" ca="1" si="5">IF(AR55=AR54,AS54+1,1)</f>
        <v>5</v>
      </c>
      <c r="AT55" s="526">
        <f ca="1">IF(AND(AR54=$AR$7,AS54=SUMIF(NameConv!$G$4:$M$4,MID(C54,2,3),NameConv!$G$45:$M$45)),AT54+1,AT54)</f>
        <v>2</v>
      </c>
    </row>
    <row r="56" spans="1:46">
      <c r="A56" s="883" t="str">
        <f ca="1">IF(INDEX(Demand.Sectors,MATCH(MID(C56,2,3),NameConv!$G$4:$M$4,0)),"","*")</f>
        <v/>
      </c>
      <c r="B56" s="518" t="str">
        <f t="shared" ca="1" si="0"/>
        <v>NCAP_COST</v>
      </c>
      <c r="C56" s="518" t="str">
        <f ca="1">"X"&amp;OFFSET(NameConv!$F$4,0,AT56)&amp;OFFSET(NameConv!$F$59,AS56,AT56)</f>
        <v>XCOMOHF</v>
      </c>
      <c r="D56" s="518" t="str">
        <f t="shared" ref="D56:I72" ca="1" si="6">IF($A56="*","",VLOOKUP($B56,$B$10:$I$13,D$9,FALSE))</f>
        <v>-</v>
      </c>
      <c r="E56" s="518" t="str">
        <f t="shared" ca="1" si="6"/>
        <v>-</v>
      </c>
      <c r="F56" s="518" t="str">
        <f t="shared" ca="1" si="6"/>
        <v>-</v>
      </c>
      <c r="G56" s="518" t="str">
        <f t="shared" ca="1" si="6"/>
        <v>-</v>
      </c>
      <c r="H56" s="518" t="str">
        <f t="shared" ca="1" si="6"/>
        <v>-</v>
      </c>
      <c r="I56" s="516">
        <f t="shared" ca="1" si="6"/>
        <v>0</v>
      </c>
      <c r="J56" s="518">
        <f ca="1">IF(INDEX($L$10:$L$13,MATCH($B56,$B$10:$B$13,0)),zar.2010,1)*SUMIF(NameConv!$C$4:$C$44,RIGHT(C56,3),OFFSET(INDIRECT(B56),0,AT56-1,NameConv!$A$45,1))</f>
        <v>1.3094103081137337E-4</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495">
        <f ca="1">IF(AT55&lt;&gt;AT56,1,IF(AS55=OFFSET(NameConv!$F$45,0,AT55),AR55+1,AR55))</f>
        <v>2</v>
      </c>
      <c r="AS56" s="495">
        <f t="shared" ca="1" si="5"/>
        <v>6</v>
      </c>
      <c r="AT56" s="526">
        <f ca="1">IF(AND(AR55=$AR$7,AS55=SUMIF(NameConv!$G$4:$M$4,MID(C55,2,3),NameConv!$G$45:$M$45)),AT55+1,AT55)</f>
        <v>2</v>
      </c>
    </row>
    <row r="57" spans="1:46">
      <c r="A57" s="883" t="str">
        <f ca="1">IF(INDEX(Demand.Sectors,MATCH(MID(C57,2,3),NameConv!$G$4:$M$4,0)),"","*")</f>
        <v/>
      </c>
      <c r="B57" s="518" t="str">
        <f t="shared" ca="1" si="0"/>
        <v>NCAP_COST</v>
      </c>
      <c r="C57" s="518" t="str">
        <f ca="1">"X"&amp;OFFSET(NameConv!$F$4,0,AT57)&amp;OFFSET(NameConv!$F$59,AS57,AT57)</f>
        <v>XCOMOKE</v>
      </c>
      <c r="D57" s="518" t="str">
        <f t="shared" ca="1" si="6"/>
        <v>-</v>
      </c>
      <c r="E57" s="518" t="str">
        <f t="shared" ca="1" si="6"/>
        <v>-</v>
      </c>
      <c r="F57" s="518" t="str">
        <f t="shared" ca="1" si="6"/>
        <v>-</v>
      </c>
      <c r="G57" s="518" t="str">
        <f t="shared" ca="1" si="6"/>
        <v>-</v>
      </c>
      <c r="H57" s="518" t="str">
        <f t="shared" ca="1" si="6"/>
        <v>-</v>
      </c>
      <c r="I57" s="516">
        <f t="shared" ca="1" si="6"/>
        <v>0</v>
      </c>
      <c r="J57" s="518">
        <f ca="1">IF(INDEX($L$10:$L$13,MATCH($B57,$B$10:$B$13,0)),zar.2010,1)*SUMIF(NameConv!$C$4:$C$44,RIGHT(C57,3),OFFSET(INDIRECT(B57),0,AT57-1,NameConv!$A$45,1))</f>
        <v>32.735257702843342</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495">
        <f ca="1">IF(AT56&lt;&gt;AT57,1,IF(AS56=OFFSET(NameConv!$F$45,0,AT56),AR56+1,AR56))</f>
        <v>2</v>
      </c>
      <c r="AS57" s="495">
        <f t="shared" ca="1" si="5"/>
        <v>7</v>
      </c>
      <c r="AT57" s="526">
        <f ca="1">IF(AND(AR56=$AR$7,AS56=SUMIF(NameConv!$G$4:$M$4,MID(C56,2,3),NameConv!$G$45:$M$45)),AT56+1,AT56)</f>
        <v>2</v>
      </c>
    </row>
    <row r="58" spans="1:46">
      <c r="A58" s="883" t="str">
        <f ca="1">IF(INDEX(Demand.Sectors,MATCH(MID(C58,2,3),NameConv!$G$4:$M$4,0)),"","*")</f>
        <v/>
      </c>
      <c r="B58" s="518" t="str">
        <f t="shared" ca="1" si="0"/>
        <v>NCAP_COST</v>
      </c>
      <c r="C58" s="518" t="str">
        <f ca="1">"X"&amp;OFFSET(NameConv!$F$4,0,AT58)&amp;OFFSET(NameConv!$F$59,AS58,AT58)</f>
        <v>XCOMOLP</v>
      </c>
      <c r="D58" s="518" t="str">
        <f t="shared" ca="1" si="6"/>
        <v>-</v>
      </c>
      <c r="E58" s="518" t="str">
        <f t="shared" ca="1" si="6"/>
        <v>-</v>
      </c>
      <c r="F58" s="518" t="str">
        <f t="shared" ca="1" si="6"/>
        <v>-</v>
      </c>
      <c r="G58" s="518" t="str">
        <f t="shared" ca="1" si="6"/>
        <v>-</v>
      </c>
      <c r="H58" s="518" t="str">
        <f t="shared" ca="1" si="6"/>
        <v>-</v>
      </c>
      <c r="I58" s="516">
        <f t="shared" ca="1" si="6"/>
        <v>0</v>
      </c>
      <c r="J58" s="518">
        <f ca="1">IF(INDEX($L$10:$L$13,MATCH($B58,$B$10:$B$13,0)),zar.2010,1)*SUMIF(NameConv!$C$4:$C$44,RIGHT(C58,3),OFFSET(INDIRECT(B58),0,AT58-1,NameConv!$A$45,1))</f>
        <v>32.735257702843342</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495">
        <f ca="1">IF(AT57&lt;&gt;AT58,1,IF(AS57=OFFSET(NameConv!$F$45,0,AT57),AR57+1,AR57))</f>
        <v>2</v>
      </c>
      <c r="AS58" s="495">
        <f t="shared" ca="1" si="5"/>
        <v>8</v>
      </c>
      <c r="AT58" s="526">
        <f ca="1">IF(AND(AR57=$AR$7,AS57=SUMIF(NameConv!$G$4:$M$4,MID(C57,2,3),NameConv!$G$45:$M$45)),AT57+1,AT57)</f>
        <v>2</v>
      </c>
    </row>
    <row r="59" spans="1:46">
      <c r="A59" s="883" t="str">
        <f ca="1">IF(INDEX(Demand.Sectors,MATCH(MID(C59,2,3),NameConv!$G$4:$M$4,0)),"","*")</f>
        <v/>
      </c>
      <c r="B59" s="518" t="str">
        <f t="shared" ca="1" si="0"/>
        <v>NCAP_TLIFE</v>
      </c>
      <c r="C59" s="518" t="str">
        <f ca="1">"X"&amp;OFFSET(NameConv!$F$4,0,AT59)&amp;OFFSET(NameConv!$F$59,AS59,AT59)</f>
        <v>XCOMCOA</v>
      </c>
      <c r="D59" s="518" t="str">
        <f t="shared" ca="1" si="6"/>
        <v>-</v>
      </c>
      <c r="E59" s="518" t="str">
        <f t="shared" ca="1" si="6"/>
        <v>-</v>
      </c>
      <c r="F59" s="518" t="str">
        <f t="shared" ca="1" si="6"/>
        <v>-</v>
      </c>
      <c r="G59" s="518" t="str">
        <f t="shared" ca="1" si="6"/>
        <v>-</v>
      </c>
      <c r="H59" s="518" t="str">
        <f t="shared" ca="1" si="6"/>
        <v>-</v>
      </c>
      <c r="I59" s="516">
        <f t="shared" ca="1" si="6"/>
        <v>0</v>
      </c>
      <c r="J59" s="518">
        <f ca="1">IF(INDEX($L$10:$L$13,MATCH($B59,$B$10:$B$13,0)),zar.2010,1)*SUMIF(NameConv!$C$4:$C$44,RIGHT(C59,3),OFFSET(INDIRECT(B59),0,AT59-1,NameConv!$A$45,1))</f>
        <v>60</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495">
        <f ca="1">IF(AT58&lt;&gt;AT59,1,IF(AS58=OFFSET(NameConv!$F$45,0,AT58),AR58+1,AR58))</f>
        <v>3</v>
      </c>
      <c r="AS59" s="495">
        <f t="shared" ca="1" si="5"/>
        <v>1</v>
      </c>
      <c r="AT59" s="526">
        <f ca="1">IF(AND(AR58=$AR$7,AS58=SUMIF(NameConv!$G$4:$M$4,MID(C58,2,3),NameConv!$G$45:$M$45)),AT58+1,AT58)</f>
        <v>2</v>
      </c>
    </row>
    <row r="60" spans="1:46">
      <c r="A60" s="883" t="str">
        <f ca="1">IF(INDEX(Demand.Sectors,MATCH(MID(C60,2,3),NameConv!$G$4:$M$4,0)),"","*")</f>
        <v/>
      </c>
      <c r="B60" s="518" t="str">
        <f t="shared" ca="1" si="0"/>
        <v>NCAP_TLIFE</v>
      </c>
      <c r="C60" s="518" t="str">
        <f ca="1">"X"&amp;OFFSET(NameConv!$F$4,0,AT60)&amp;OFFSET(NameConv!$F$59,AS60,AT60)</f>
        <v>XCOMELC</v>
      </c>
      <c r="D60" s="518" t="str">
        <f t="shared" ca="1" si="6"/>
        <v>-</v>
      </c>
      <c r="E60" s="518" t="str">
        <f t="shared" ca="1" si="6"/>
        <v>-</v>
      </c>
      <c r="F60" s="518" t="str">
        <f t="shared" ca="1" si="6"/>
        <v>-</v>
      </c>
      <c r="G60" s="518" t="str">
        <f t="shared" ca="1" si="6"/>
        <v>-</v>
      </c>
      <c r="H60" s="518" t="str">
        <f t="shared" ca="1" si="6"/>
        <v>-</v>
      </c>
      <c r="I60" s="516">
        <f t="shared" ca="1" si="6"/>
        <v>0</v>
      </c>
      <c r="J60" s="518">
        <f ca="1">IF(INDEX($L$10:$L$13,MATCH($B60,$B$10:$B$13,0)),zar.2010,1)*SUMIF(NameConv!$C$4:$C$44,RIGHT(C60,3),OFFSET(INDIRECT(B60),0,AT60-1,NameConv!$A$45,1))</f>
        <v>60</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495">
        <f ca="1">IF(AT59&lt;&gt;AT60,1,IF(AS59=OFFSET(NameConv!$F$45,0,AT59),AR59+1,AR59))</f>
        <v>3</v>
      </c>
      <c r="AS60" s="495">
        <f t="shared" ca="1" si="5"/>
        <v>2</v>
      </c>
      <c r="AT60" s="526">
        <f ca="1">IF(AND(AR59=$AR$7,AS59=SUMIF(NameConv!$G$4:$M$4,MID(C59,2,3),NameConv!$G$45:$M$45)),AT59+1,AT59)</f>
        <v>2</v>
      </c>
    </row>
    <row r="61" spans="1:46">
      <c r="A61" s="883" t="str">
        <f ca="1">IF(INDEX(Demand.Sectors,MATCH(MID(C61,2,3),NameConv!$G$4:$M$4,0)),"","*")</f>
        <v/>
      </c>
      <c r="B61" s="518" t="str">
        <f t="shared" ca="1" si="0"/>
        <v>NCAP_TLIFE</v>
      </c>
      <c r="C61" s="518" t="str">
        <f ca="1">"X"&amp;OFFSET(NameConv!$F$4,0,AT61)&amp;OFFSET(NameConv!$F$59,AS61,AT61)</f>
        <v>XCOMGAS</v>
      </c>
      <c r="D61" s="518" t="str">
        <f t="shared" ca="1" si="6"/>
        <v>-</v>
      </c>
      <c r="E61" s="518" t="str">
        <f t="shared" ca="1" si="6"/>
        <v>-</v>
      </c>
      <c r="F61" s="518" t="str">
        <f t="shared" ca="1" si="6"/>
        <v>-</v>
      </c>
      <c r="G61" s="518" t="str">
        <f t="shared" ca="1" si="6"/>
        <v>-</v>
      </c>
      <c r="H61" s="518" t="str">
        <f t="shared" ca="1" si="6"/>
        <v>-</v>
      </c>
      <c r="I61" s="516">
        <f t="shared" ca="1" si="6"/>
        <v>0</v>
      </c>
      <c r="J61" s="518">
        <f ca="1">IF(INDEX($L$10:$L$13,MATCH($B61,$B$10:$B$13,0)),zar.2010,1)*SUMIF(NameConv!$C$4:$C$44,RIGHT(C61,3),OFFSET(INDIRECT(B61),0,AT61-1,NameConv!$A$45,1))</f>
        <v>60</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495">
        <f ca="1">IF(AT60&lt;&gt;AT61,1,IF(AS60=OFFSET(NameConv!$F$45,0,AT60),AR60+1,AR60))</f>
        <v>3</v>
      </c>
      <c r="AS61" s="495">
        <f t="shared" ca="1" si="5"/>
        <v>3</v>
      </c>
      <c r="AT61" s="526">
        <f ca="1">IF(AND(AR60=$AR$7,AS60=SUMIF(NameConv!$G$4:$M$4,MID(C60,2,3),NameConv!$G$45:$M$45)),AT60+1,AT60)</f>
        <v>2</v>
      </c>
    </row>
    <row r="62" spans="1:46">
      <c r="A62" s="883" t="str">
        <f ca="1">IF(INDEX(Demand.Sectors,MATCH(MID(C62,2,3),NameConv!$G$4:$M$4,0)),"","*")</f>
        <v/>
      </c>
      <c r="B62" s="518" t="str">
        <f t="shared" ca="1" si="0"/>
        <v>NCAP_TLIFE</v>
      </c>
      <c r="C62" s="518" t="str">
        <f ca="1">"X"&amp;OFFSET(NameConv!$F$4,0,AT62)&amp;OFFSET(NameConv!$F$59,AS62,AT62)</f>
        <v>XCOMODS</v>
      </c>
      <c r="D62" s="518" t="str">
        <f t="shared" ca="1" si="6"/>
        <v>-</v>
      </c>
      <c r="E62" s="518" t="str">
        <f t="shared" ca="1" si="6"/>
        <v>-</v>
      </c>
      <c r="F62" s="518" t="str">
        <f t="shared" ca="1" si="6"/>
        <v>-</v>
      </c>
      <c r="G62" s="518" t="str">
        <f t="shared" ca="1" si="6"/>
        <v>-</v>
      </c>
      <c r="H62" s="518" t="str">
        <f t="shared" ca="1" si="6"/>
        <v>-</v>
      </c>
      <c r="I62" s="516">
        <f t="shared" ca="1" si="6"/>
        <v>0</v>
      </c>
      <c r="J62" s="518">
        <f ca="1">IF(INDEX($L$10:$L$13,MATCH($B62,$B$10:$B$13,0)),zar.2010,1)*SUMIF(NameConv!$C$4:$C$44,RIGHT(C62,3),OFFSET(INDIRECT(B62),0,AT62-1,NameConv!$A$45,1))</f>
        <v>60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495">
        <f ca="1">IF(AT61&lt;&gt;AT62,1,IF(AS61=OFFSET(NameConv!$F$45,0,AT61),AR61+1,AR61))</f>
        <v>3</v>
      </c>
      <c r="AS62" s="495">
        <f t="shared" ca="1" si="5"/>
        <v>4</v>
      </c>
      <c r="AT62" s="526">
        <f ca="1">IF(AND(AR61=$AR$7,AS61=SUMIF(NameConv!$G$4:$M$4,MID(C61,2,3),NameConv!$G$45:$M$45)),AT61+1,AT61)</f>
        <v>2</v>
      </c>
    </row>
    <row r="63" spans="1:46">
      <c r="A63" s="883" t="str">
        <f ca="1">IF(INDEX(Demand.Sectors,MATCH(MID(C63,2,3),NameConv!$G$4:$M$4,0)),"","*")</f>
        <v/>
      </c>
      <c r="B63" s="518" t="str">
        <f t="shared" ca="1" si="0"/>
        <v>NCAP_TLIFE</v>
      </c>
      <c r="C63" s="518" t="str">
        <f ca="1">"X"&amp;OFFSET(NameConv!$F$4,0,AT63)&amp;OFFSET(NameConv!$F$59,AS63,AT63)</f>
        <v>XCOMOGS</v>
      </c>
      <c r="D63" s="518" t="str">
        <f t="shared" ca="1" si="6"/>
        <v>-</v>
      </c>
      <c r="E63" s="518" t="str">
        <f t="shared" ca="1" si="6"/>
        <v>-</v>
      </c>
      <c r="F63" s="518" t="str">
        <f t="shared" ca="1" si="6"/>
        <v>-</v>
      </c>
      <c r="G63" s="518" t="str">
        <f t="shared" ca="1" si="6"/>
        <v>-</v>
      </c>
      <c r="H63" s="518" t="str">
        <f t="shared" ca="1" si="6"/>
        <v>-</v>
      </c>
      <c r="I63" s="516">
        <f t="shared" ca="1" si="6"/>
        <v>0</v>
      </c>
      <c r="J63" s="518">
        <f ca="1">IF(INDEX($L$10:$L$13,MATCH($B63,$B$10:$B$13,0)),zar.2010,1)*SUMIF(NameConv!$C$4:$C$44,RIGHT(C63,3),OFFSET(INDIRECT(B63),0,AT63-1,NameConv!$A$45,1))</f>
        <v>60</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495">
        <f ca="1">IF(AT62&lt;&gt;AT63,1,IF(AS62=OFFSET(NameConv!$F$45,0,AT62),AR62+1,AR62))</f>
        <v>3</v>
      </c>
      <c r="AS63" s="495">
        <f t="shared" ca="1" si="5"/>
        <v>5</v>
      </c>
      <c r="AT63" s="526">
        <f ca="1">IF(AND(AR62=$AR$7,AS62=SUMIF(NameConv!$G$4:$M$4,MID(C62,2,3),NameConv!$G$45:$M$45)),AT62+1,AT62)</f>
        <v>2</v>
      </c>
    </row>
    <row r="64" spans="1:46">
      <c r="A64" s="883" t="str">
        <f ca="1">IF(INDEX(Demand.Sectors,MATCH(MID(C64,2,3),NameConv!$G$4:$M$4,0)),"","*")</f>
        <v/>
      </c>
      <c r="B64" s="518" t="str">
        <f t="shared" ca="1" si="0"/>
        <v>NCAP_TLIFE</v>
      </c>
      <c r="C64" s="518" t="str">
        <f ca="1">"X"&amp;OFFSET(NameConv!$F$4,0,AT64)&amp;OFFSET(NameConv!$F$59,AS64,AT64)</f>
        <v>XCOMOHF</v>
      </c>
      <c r="D64" s="518" t="str">
        <f t="shared" ca="1" si="6"/>
        <v>-</v>
      </c>
      <c r="E64" s="518" t="str">
        <f t="shared" ca="1" si="6"/>
        <v>-</v>
      </c>
      <c r="F64" s="518" t="str">
        <f t="shared" ca="1" si="6"/>
        <v>-</v>
      </c>
      <c r="G64" s="518" t="str">
        <f t="shared" ca="1" si="6"/>
        <v>-</v>
      </c>
      <c r="H64" s="518" t="str">
        <f t="shared" ca="1" si="6"/>
        <v>-</v>
      </c>
      <c r="I64" s="516">
        <f t="shared" ca="1" si="6"/>
        <v>0</v>
      </c>
      <c r="J64" s="518">
        <f ca="1">IF(INDEX($L$10:$L$13,MATCH($B64,$B$10:$B$13,0)),zar.2010,1)*SUMIF(NameConv!$C$4:$C$44,RIGHT(C64,3),OFFSET(INDIRECT(B64),0,AT64-1,NameConv!$A$45,1))</f>
        <v>60</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495">
        <f ca="1">IF(AT63&lt;&gt;AT64,1,IF(AS63=OFFSET(NameConv!$F$45,0,AT63),AR63+1,AR63))</f>
        <v>3</v>
      </c>
      <c r="AS64" s="495">
        <f t="shared" ca="1" si="5"/>
        <v>6</v>
      </c>
      <c r="AT64" s="526">
        <f ca="1">IF(AND(AR63=$AR$7,AS63=SUMIF(NameConv!$G$4:$M$4,MID(C63,2,3),NameConv!$G$45:$M$45)),AT63+1,AT63)</f>
        <v>2</v>
      </c>
    </row>
    <row r="65" spans="1:46">
      <c r="A65" s="883" t="str">
        <f ca="1">IF(INDEX(Demand.Sectors,MATCH(MID(C65,2,3),NameConv!$G$4:$M$4,0)),"","*")</f>
        <v/>
      </c>
      <c r="B65" s="518" t="str">
        <f t="shared" ca="1" si="0"/>
        <v>NCAP_TLIFE</v>
      </c>
      <c r="C65" s="518" t="str">
        <f ca="1">"X"&amp;OFFSET(NameConv!$F$4,0,AT65)&amp;OFFSET(NameConv!$F$59,AS65,AT65)</f>
        <v>XCOMOKE</v>
      </c>
      <c r="D65" s="518" t="str">
        <f t="shared" ca="1" si="6"/>
        <v>-</v>
      </c>
      <c r="E65" s="518" t="str">
        <f t="shared" ca="1" si="6"/>
        <v>-</v>
      </c>
      <c r="F65" s="518" t="str">
        <f t="shared" ca="1" si="6"/>
        <v>-</v>
      </c>
      <c r="G65" s="518" t="str">
        <f t="shared" ca="1" si="6"/>
        <v>-</v>
      </c>
      <c r="H65" s="518" t="str">
        <f t="shared" ca="1" si="6"/>
        <v>-</v>
      </c>
      <c r="I65" s="516">
        <f t="shared" ca="1" si="6"/>
        <v>0</v>
      </c>
      <c r="J65" s="518">
        <f ca="1">IF(INDEX($L$10:$L$13,MATCH($B65,$B$10:$B$13,0)),zar.2010,1)*SUMIF(NameConv!$C$4:$C$44,RIGHT(C65,3),OFFSET(INDIRECT(B65),0,AT65-1,NameConv!$A$45,1))</f>
        <v>60</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495">
        <f ca="1">IF(AT64&lt;&gt;AT65,1,IF(AS64=OFFSET(NameConv!$F$45,0,AT64),AR64+1,AR64))</f>
        <v>3</v>
      </c>
      <c r="AS65" s="495">
        <f t="shared" ca="1" si="5"/>
        <v>7</v>
      </c>
      <c r="AT65" s="526">
        <f ca="1">IF(AND(AR64=$AR$7,AS64=SUMIF(NameConv!$G$4:$M$4,MID(C64,2,3),NameConv!$G$45:$M$45)),AT64+1,AT64)</f>
        <v>2</v>
      </c>
    </row>
    <row r="66" spans="1:46">
      <c r="A66" s="883" t="str">
        <f ca="1">IF(INDEX(Demand.Sectors,MATCH(MID(C66,2,3),NameConv!$G$4:$M$4,0)),"","*")</f>
        <v/>
      </c>
      <c r="B66" s="518" t="str">
        <f t="shared" ca="1" si="0"/>
        <v>NCAP_TLIFE</v>
      </c>
      <c r="C66" s="518" t="str">
        <f ca="1">"X"&amp;OFFSET(NameConv!$F$4,0,AT66)&amp;OFFSET(NameConv!$F$59,AS66,AT66)</f>
        <v>XCOMOLP</v>
      </c>
      <c r="D66" s="518" t="str">
        <f t="shared" ca="1" si="6"/>
        <v>-</v>
      </c>
      <c r="E66" s="518" t="str">
        <f t="shared" ca="1" si="6"/>
        <v>-</v>
      </c>
      <c r="F66" s="518" t="str">
        <f t="shared" ca="1" si="6"/>
        <v>-</v>
      </c>
      <c r="G66" s="518" t="str">
        <f t="shared" ca="1" si="6"/>
        <v>-</v>
      </c>
      <c r="H66" s="518" t="str">
        <f t="shared" ca="1" si="6"/>
        <v>-</v>
      </c>
      <c r="I66" s="516">
        <f t="shared" ca="1" si="6"/>
        <v>0</v>
      </c>
      <c r="J66" s="518">
        <f ca="1">IF(INDEX($L$10:$L$13,MATCH($B66,$B$10:$B$13,0)),zar.2010,1)*SUMIF(NameConv!$C$4:$C$44,RIGHT(C66,3),OFFSET(INDIRECT(B66),0,AT66-1,NameConv!$A$45,1))</f>
        <v>60</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495">
        <f ca="1">IF(AT65&lt;&gt;AT66,1,IF(AS65=OFFSET(NameConv!$F$45,0,AT65),AR65+1,AR65))</f>
        <v>3</v>
      </c>
      <c r="AS66" s="495">
        <f t="shared" ca="1" si="5"/>
        <v>8</v>
      </c>
      <c r="AT66" s="526">
        <f ca="1">IF(AND(AR65=$AR$7,AS65=SUMIF(NameConv!$G$4:$M$4,MID(C65,2,3),NameConv!$G$45:$M$45)),AT65+1,AT65)</f>
        <v>2</v>
      </c>
    </row>
    <row r="67" spans="1:46">
      <c r="A67" s="883" t="str">
        <f ca="1">IF(INDEX(Demand.Sectors,MATCH(MID(C67,2,3),NameConv!$G$4:$M$4,0)),"","*")</f>
        <v/>
      </c>
      <c r="B67" s="518" t="str">
        <f t="shared" ca="1" si="0"/>
        <v>PRC_RESID</v>
      </c>
      <c r="C67" s="518" t="str">
        <f ca="1">"X"&amp;OFFSET(NameConv!$F$4,0,AT67)&amp;OFFSET(NameConv!$F$59,AS67,AT67)</f>
        <v>XCOMCOA</v>
      </c>
      <c r="D67" s="518" t="str">
        <f t="shared" ca="1" si="6"/>
        <v>-</v>
      </c>
      <c r="E67" s="518" t="str">
        <f t="shared" ca="1" si="6"/>
        <v>-</v>
      </c>
      <c r="F67" s="518" t="str">
        <f t="shared" ca="1" si="6"/>
        <v>-</v>
      </c>
      <c r="G67" s="518" t="str">
        <f t="shared" ca="1" si="6"/>
        <v>-</v>
      </c>
      <c r="H67" s="518" t="str">
        <f t="shared" ca="1" si="6"/>
        <v>-</v>
      </c>
      <c r="I67" s="516">
        <f t="shared" ca="1" si="6"/>
        <v>0</v>
      </c>
      <c r="J67" s="518">
        <f ca="1">IF(INDEX($L$10:$L$13,MATCH($B67,$B$10:$B$13,0)),zar.2010,1)*SUMIF(NameConv!$C$4:$C$44,RIGHT(C67,3),OFFSET(INDIRECT(B67),0,AT67-1,NameConv!$A$45,1))</f>
        <v>1.0000000000000001E-5</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495">
        <f ca="1">IF(AT66&lt;&gt;AT67,1,IF(AS66=OFFSET(NameConv!$F$45,0,AT66),AR66+1,AR66))</f>
        <v>4</v>
      </c>
      <c r="AS67" s="495">
        <f t="shared" ca="1" si="5"/>
        <v>1</v>
      </c>
      <c r="AT67" s="526">
        <f ca="1">IF(AND(AR66=$AR$7,AS66=SUMIF(NameConv!$G$4:$M$4,MID(C66,2,3),NameConv!$G$45:$M$45)),AT66+1,AT66)</f>
        <v>2</v>
      </c>
    </row>
    <row r="68" spans="1:46">
      <c r="A68" s="883" t="str">
        <f ca="1">IF(INDEX(Demand.Sectors,MATCH(MID(C68,2,3),NameConv!$G$4:$M$4,0)),"","*")</f>
        <v/>
      </c>
      <c r="B68" s="518" t="str">
        <f t="shared" ca="1" si="0"/>
        <v>PRC_RESID</v>
      </c>
      <c r="C68" s="518" t="str">
        <f ca="1">"X"&amp;OFFSET(NameConv!$F$4,0,AT68)&amp;OFFSET(NameConv!$F$59,AS68,AT68)</f>
        <v>XCOMELC</v>
      </c>
      <c r="D68" s="518" t="str">
        <f t="shared" ca="1" si="6"/>
        <v>-</v>
      </c>
      <c r="E68" s="518" t="str">
        <f t="shared" ca="1" si="6"/>
        <v>-</v>
      </c>
      <c r="F68" s="518" t="str">
        <f t="shared" ca="1" si="6"/>
        <v>-</v>
      </c>
      <c r="G68" s="518" t="str">
        <f t="shared" ca="1" si="6"/>
        <v>-</v>
      </c>
      <c r="H68" s="518" t="str">
        <f t="shared" ca="1" si="6"/>
        <v>-</v>
      </c>
      <c r="I68" s="516">
        <f t="shared" ca="1" si="6"/>
        <v>0</v>
      </c>
      <c r="J68" s="518">
        <f ca="1">IF(INDEX($L$10:$L$13,MATCH($B68,$B$10:$B$13,0)),zar.2010,1)*SUMIF(NameConv!$C$4:$C$44,RIGHT(C68,3),OFFSET(INDIRECT(B68),0,AT68-1,NameConv!$A$45,1))</f>
        <v>3.9978401822178644</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495">
        <f ca="1">IF(AT67&lt;&gt;AT68,1,IF(AS67=OFFSET(NameConv!$F$45,0,AT67),AR67+1,AR67))</f>
        <v>4</v>
      </c>
      <c r="AS68" s="495">
        <f t="shared" ca="1" si="5"/>
        <v>2</v>
      </c>
      <c r="AT68" s="526">
        <f ca="1">IF(AND(AR67=$AR$7,AS67=SUMIF(NameConv!$G$4:$M$4,MID(C67,2,3),NameConv!$G$45:$M$45)),AT67+1,AT67)</f>
        <v>2</v>
      </c>
    </row>
    <row r="69" spans="1:46">
      <c r="A69" s="883" t="str">
        <f ca="1">IF(INDEX(Demand.Sectors,MATCH(MID(C69,2,3),NameConv!$G$4:$M$4,0)),"","*")</f>
        <v/>
      </c>
      <c r="B69" s="518" t="str">
        <f t="shared" ca="1" si="0"/>
        <v>PRC_RESID</v>
      </c>
      <c r="C69" s="518" t="str">
        <f ca="1">"X"&amp;OFFSET(NameConv!$F$4,0,AT69)&amp;OFFSET(NameConv!$F$59,AS69,AT69)</f>
        <v>XCOMGAS</v>
      </c>
      <c r="D69" s="518" t="str">
        <f t="shared" ca="1" si="6"/>
        <v>-</v>
      </c>
      <c r="E69" s="518" t="str">
        <f t="shared" ca="1" si="6"/>
        <v>-</v>
      </c>
      <c r="F69" s="518" t="str">
        <f t="shared" ca="1" si="6"/>
        <v>-</v>
      </c>
      <c r="G69" s="518" t="str">
        <f t="shared" ca="1" si="6"/>
        <v>-</v>
      </c>
      <c r="H69" s="518" t="str">
        <f t="shared" ca="1" si="6"/>
        <v>-</v>
      </c>
      <c r="I69" s="516">
        <f t="shared" ca="1" si="6"/>
        <v>0</v>
      </c>
      <c r="J69" s="518">
        <f ca="1">IF(INDEX($L$10:$L$13,MATCH($B69,$B$10:$B$13,0)),zar.2010,1)*SUMIF(NameConv!$C$4:$C$44,RIGHT(C69,3),OFFSET(INDIRECT(B69),0,AT69-1,NameConv!$A$45,1))</f>
        <v>0</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495">
        <f ca="1">IF(AT68&lt;&gt;AT69,1,IF(AS68=OFFSET(NameConv!$F$45,0,AT68),AR68+1,AR68))</f>
        <v>4</v>
      </c>
      <c r="AS69" s="495">
        <f t="shared" ca="1" si="5"/>
        <v>3</v>
      </c>
      <c r="AT69" s="526">
        <f ca="1">IF(AND(AR68=$AR$7,AS68=SUMIF(NameConv!$G$4:$M$4,MID(C68,2,3),NameConv!$G$45:$M$45)),AT68+1,AT68)</f>
        <v>2</v>
      </c>
    </row>
    <row r="70" spans="1:46">
      <c r="A70" s="883" t="str">
        <f ca="1">IF(INDEX(Demand.Sectors,MATCH(MID(C70,2,3),NameConv!$G$4:$M$4,0)),"","*")</f>
        <v/>
      </c>
      <c r="B70" s="518" t="str">
        <f t="shared" ca="1" si="0"/>
        <v>PRC_RESID</v>
      </c>
      <c r="C70" s="518" t="str">
        <f ca="1">"X"&amp;OFFSET(NameConv!$F$4,0,AT70)&amp;OFFSET(NameConv!$F$59,AS70,AT70)</f>
        <v>XCOMODS</v>
      </c>
      <c r="D70" s="518" t="str">
        <f t="shared" ca="1" si="6"/>
        <v>-</v>
      </c>
      <c r="E70" s="518" t="str">
        <f t="shared" ca="1" si="6"/>
        <v>-</v>
      </c>
      <c r="F70" s="518" t="str">
        <f t="shared" ca="1" si="6"/>
        <v>-</v>
      </c>
      <c r="G70" s="518" t="str">
        <f t="shared" ca="1" si="6"/>
        <v>-</v>
      </c>
      <c r="H70" s="518" t="str">
        <f t="shared" ca="1" si="6"/>
        <v>-</v>
      </c>
      <c r="I70" s="516">
        <f t="shared" ca="1" si="6"/>
        <v>0</v>
      </c>
      <c r="J70" s="518">
        <f ca="1">IF(INDEX($L$10:$L$13,MATCH($B70,$B$10:$B$13,0)),zar.2010,1)*SUMIF(NameConv!$C$4:$C$44,RIGHT(C70,3),OFFSET(INDIRECT(B70),0,AT70-1,NameConv!$A$45,1))</f>
        <v>0</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495">
        <f ca="1">IF(AT69&lt;&gt;AT70,1,IF(AS69=OFFSET(NameConv!$F$45,0,AT69),AR69+1,AR69))</f>
        <v>4</v>
      </c>
      <c r="AS70" s="495">
        <f t="shared" ca="1" si="5"/>
        <v>4</v>
      </c>
      <c r="AT70" s="526">
        <f ca="1">IF(AND(AR69=$AR$7,AS69=SUMIF(NameConv!$G$4:$M$4,MID(C69,2,3),NameConv!$G$45:$M$45)),AT69+1,AT69)</f>
        <v>2</v>
      </c>
    </row>
    <row r="71" spans="1:46">
      <c r="A71" s="883" t="str">
        <f ca="1">IF(INDEX(Demand.Sectors,MATCH(MID(C71,2,3),NameConv!$G$4:$M$4,0)),"","*")</f>
        <v/>
      </c>
      <c r="B71" s="518" t="str">
        <f t="shared" ca="1" si="0"/>
        <v>PRC_RESID</v>
      </c>
      <c r="C71" s="518" t="str">
        <f ca="1">"X"&amp;OFFSET(NameConv!$F$4,0,AT71)&amp;OFFSET(NameConv!$F$59,AS71,AT71)</f>
        <v>XCOMOGS</v>
      </c>
      <c r="D71" s="518" t="str">
        <f t="shared" ca="1" si="6"/>
        <v>-</v>
      </c>
      <c r="E71" s="518" t="str">
        <f t="shared" ca="1" si="6"/>
        <v>-</v>
      </c>
      <c r="F71" s="518" t="str">
        <f t="shared" ca="1" si="6"/>
        <v>-</v>
      </c>
      <c r="G71" s="518" t="str">
        <f t="shared" ca="1" si="6"/>
        <v>-</v>
      </c>
      <c r="H71" s="518" t="str">
        <f t="shared" ca="1" si="6"/>
        <v>-</v>
      </c>
      <c r="I71" s="516">
        <f t="shared" ca="1" si="6"/>
        <v>0</v>
      </c>
      <c r="J71" s="518">
        <f ca="1">IF(INDEX($L$10:$L$13,MATCH($B71,$B$10:$B$13,0)),zar.2010,1)*SUMIF(NameConv!$C$4:$C$44,RIGHT(C71,3),OFFSET(INDIRECT(B71),0,AT71-1,NameConv!$A$45,1))</f>
        <v>0</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495">
        <f ca="1">IF(AT70&lt;&gt;AT71,1,IF(AS70=OFFSET(NameConv!$F$45,0,AT70),AR70+1,AR70))</f>
        <v>4</v>
      </c>
      <c r="AS71" s="495">
        <f t="shared" ca="1" si="5"/>
        <v>5</v>
      </c>
      <c r="AT71" s="526">
        <f ca="1">IF(AND(AR70=$AR$7,AS70=SUMIF(NameConv!$G$4:$M$4,MID(C70,2,3),NameConv!$G$45:$M$45)),AT70+1,AT70)</f>
        <v>2</v>
      </c>
    </row>
    <row r="72" spans="1:46">
      <c r="A72" s="883" t="str">
        <f ca="1">IF(INDEX(Demand.Sectors,MATCH(MID(C72,2,3),NameConv!$G$4:$M$4,0)),"","*")</f>
        <v/>
      </c>
      <c r="B72" s="518" t="str">
        <f t="shared" ca="1" si="0"/>
        <v>PRC_RESID</v>
      </c>
      <c r="C72" s="518" t="str">
        <f ca="1">"X"&amp;OFFSET(NameConv!$F$4,0,AT72)&amp;OFFSET(NameConv!$F$59,AS72,AT72)</f>
        <v>XCOMOHF</v>
      </c>
      <c r="D72" s="518" t="str">
        <f t="shared" ca="1" si="6"/>
        <v>-</v>
      </c>
      <c r="E72" s="518" t="str">
        <f t="shared" ca="1" si="6"/>
        <v>-</v>
      </c>
      <c r="F72" s="518" t="str">
        <f t="shared" ca="1" si="6"/>
        <v>-</v>
      </c>
      <c r="G72" s="518" t="str">
        <f t="shared" ca="1" si="6"/>
        <v>-</v>
      </c>
      <c r="H72" s="518" t="str">
        <f t="shared" ca="1" si="6"/>
        <v>-</v>
      </c>
      <c r="I72" s="516">
        <f t="shared" ca="1" si="6"/>
        <v>0</v>
      </c>
      <c r="J72" s="518">
        <f ca="1">IF(INDEX($L$10:$L$13,MATCH($B72,$B$10:$B$13,0)),zar.2010,1)*SUMIF(NameConv!$C$4:$C$44,RIGHT(C72,3),OFFSET(INDIRECT(B72),0,AT72-1,NameConv!$A$45,1))</f>
        <v>1.0000000000000001E-5</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495">
        <f ca="1">IF(AT71&lt;&gt;AT72,1,IF(AS71=OFFSET(NameConv!$F$45,0,AT71),AR71+1,AR71))</f>
        <v>4</v>
      </c>
      <c r="AS72" s="495">
        <f t="shared" ca="1" si="5"/>
        <v>6</v>
      </c>
      <c r="AT72" s="526">
        <f ca="1">IF(AND(AR71=$AR$7,AS71=SUMIF(NameConv!$G$4:$M$4,MID(C71,2,3),NameConv!$G$45:$M$45)),AT71+1,AT71)</f>
        <v>2</v>
      </c>
    </row>
    <row r="73" spans="1:46">
      <c r="A73" s="883" t="str">
        <f ca="1">IF(INDEX(Demand.Sectors,MATCH(MID(C73,2,3),NameConv!$G$4:$M$4,0)),"","*")</f>
        <v/>
      </c>
      <c r="B73" s="518" t="str">
        <f t="shared" ca="1" si="0"/>
        <v>PRC_RESID</v>
      </c>
      <c r="C73" s="518" t="str">
        <f ca="1">"X"&amp;OFFSET(NameConv!$F$4,0,AT73)&amp;OFFSET(NameConv!$F$59,AS73,AT73)</f>
        <v>XCOMOKE</v>
      </c>
      <c r="D73" s="518" t="str">
        <f t="shared" ref="D73:I88" ca="1" si="7">IF($A73="*","",VLOOKUP($B73,$B$10:$I$13,D$9,FALSE))</f>
        <v>-</v>
      </c>
      <c r="E73" s="518" t="str">
        <f t="shared" ca="1" si="7"/>
        <v>-</v>
      </c>
      <c r="F73" s="518" t="str">
        <f t="shared" ca="1" si="7"/>
        <v>-</v>
      </c>
      <c r="G73" s="518" t="str">
        <f t="shared" ca="1" si="7"/>
        <v>-</v>
      </c>
      <c r="H73" s="518" t="str">
        <f t="shared" ca="1" si="7"/>
        <v>-</v>
      </c>
      <c r="I73" s="516">
        <f t="shared" ca="1" si="7"/>
        <v>0</v>
      </c>
      <c r="J73" s="518">
        <f ca="1">IF(INDEX($L$10:$L$13,MATCH($B73,$B$10:$B$13,0)),zar.2010,1)*SUMIF(NameConv!$C$4:$C$44,RIGHT(C73,3),OFFSET(INDIRECT(B73),0,AT73-1,NameConv!$A$45,1))</f>
        <v>1.0000000000000001E-5</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495">
        <f ca="1">IF(AT72&lt;&gt;AT73,1,IF(AS72=OFFSET(NameConv!$F$45,0,AT72),AR72+1,AR72))</f>
        <v>4</v>
      </c>
      <c r="AS73" s="495">
        <f t="shared" ca="1" si="5"/>
        <v>7</v>
      </c>
      <c r="AT73" s="526">
        <f ca="1">IF(AND(AR72=$AR$7,AS72=SUMIF(NameConv!$G$4:$M$4,MID(C72,2,3),NameConv!$G$45:$M$45)),AT72+1,AT72)</f>
        <v>2</v>
      </c>
    </row>
    <row r="74" spans="1:46">
      <c r="A74" s="883" t="str">
        <f ca="1">IF(INDEX(Demand.Sectors,MATCH(MID(C74,2,3),NameConv!$G$4:$M$4,0)),"","*")</f>
        <v/>
      </c>
      <c r="B74" s="518" t="str">
        <f t="shared" ca="1" si="0"/>
        <v>PRC_RESID</v>
      </c>
      <c r="C74" s="518" t="str">
        <f ca="1">"X"&amp;OFFSET(NameConv!$F$4,0,AT74)&amp;OFFSET(NameConv!$F$59,AS74,AT74)</f>
        <v>XCOMOLP</v>
      </c>
      <c r="D74" s="518" t="str">
        <f t="shared" ca="1" si="7"/>
        <v>-</v>
      </c>
      <c r="E74" s="518" t="str">
        <f t="shared" ca="1" si="7"/>
        <v>-</v>
      </c>
      <c r="F74" s="518" t="str">
        <f t="shared" ca="1" si="7"/>
        <v>-</v>
      </c>
      <c r="G74" s="518" t="str">
        <f t="shared" ca="1" si="7"/>
        <v>-</v>
      </c>
      <c r="H74" s="518" t="str">
        <f t="shared" ca="1" si="7"/>
        <v>-</v>
      </c>
      <c r="I74" s="516">
        <f t="shared" ca="1" si="7"/>
        <v>0</v>
      </c>
      <c r="J74" s="518">
        <f ca="1">IF(INDEX($L$10:$L$13,MATCH($B74,$B$10:$B$13,0)),zar.2010,1)*SUMIF(NameConv!$C$4:$C$44,RIGHT(C74,3),OFFSET(INDIRECT(B74),0,AT74-1,NameConv!$A$45,1))</f>
        <v>1.0000000000000001E-5</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495">
        <f ca="1">IF(AT73&lt;&gt;AT74,1,IF(AS73=OFFSET(NameConv!$F$45,0,AT73),AR73+1,AR73))</f>
        <v>4</v>
      </c>
      <c r="AS74" s="495">
        <f ca="1">IF(AR74=AR73,AS73+1,1)</f>
        <v>8</v>
      </c>
      <c r="AT74" s="526">
        <f ca="1">IF(AND(AR73=$AR$7,AS73=SUMIF(NameConv!$G$4:$M$4,MID(C73,2,3),NameConv!$G$45:$M$45)),AT73+1,AT73)</f>
        <v>2</v>
      </c>
    </row>
    <row r="75" spans="1:46">
      <c r="A75" s="883" t="str">
        <f ca="1">IF(INDEX(Demand.Sectors,MATCH(MID(C75,2,3),NameConv!$G$4:$M$4,0)),"","*")</f>
        <v/>
      </c>
      <c r="B75" s="518" t="str">
        <f t="shared" ca="1" si="0"/>
        <v>ACT_EFF</v>
      </c>
      <c r="C75" s="518" t="str">
        <f ca="1">"X"&amp;OFFSET(NameConv!$F$4,0,AT75)&amp;OFFSET(NameConv!$F$59,AS75,AT75)</f>
        <v>XINDBIB</v>
      </c>
      <c r="D75" s="518" t="str">
        <f t="shared" ca="1" si="7"/>
        <v>-</v>
      </c>
      <c r="E75" s="518" t="str">
        <f t="shared" ca="1" si="7"/>
        <v>ACTGRP</v>
      </c>
      <c r="F75" s="518" t="str">
        <f t="shared" ca="1" si="7"/>
        <v>-</v>
      </c>
      <c r="G75" s="518" t="str">
        <f t="shared" ca="1" si="7"/>
        <v>ANNUAL</v>
      </c>
      <c r="H75" s="518" t="str">
        <f t="shared" ca="1" si="7"/>
        <v>-</v>
      </c>
      <c r="I75" s="516">
        <f t="shared" ca="1" si="7"/>
        <v>0</v>
      </c>
      <c r="J75" s="518">
        <f ca="1">IF(INDEX($L$10:$L$13,MATCH($B75,$B$10:$B$13,0)),zar.2010,1)*SUMIF(NameConv!$C$4:$C$44,RIGHT(C75,3),OFFSET(INDIRECT(B75),0,AT75-1,NameConv!$A$45,1))</f>
        <v>1</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495">
        <f ca="1">IF(AT74&lt;&gt;AT75,1,IF(AS74=OFFSET(NameConv!$F$45,0,AT74),AR74+1,AR74))</f>
        <v>1</v>
      </c>
      <c r="AS75" s="495">
        <f t="shared" ref="AS75:AS83" ca="1" si="8">IF(AR75=AR74,AS74+1,1)</f>
        <v>1</v>
      </c>
      <c r="AT75" s="526">
        <f ca="1">IF(AND(AR74=$AR$7,AS74=SUMIF(NameConv!$G$4:$M$4,MID(C74,2,3),NameConv!$G$45:$M$45)),AT74+1,AT74)</f>
        <v>3</v>
      </c>
    </row>
    <row r="76" spans="1:46">
      <c r="A76" s="883" t="str">
        <f ca="1">IF(INDEX(Demand.Sectors,MATCH(MID(C76,2,3),NameConv!$G$4:$M$4,0)),"","*")</f>
        <v/>
      </c>
      <c r="B76" s="518" t="str">
        <f t="shared" ca="1" si="0"/>
        <v>ACT_EFF</v>
      </c>
      <c r="C76" s="518" t="str">
        <f ca="1">"X"&amp;OFFSET(NameConv!$F$4,0,AT76)&amp;OFFSET(NameConv!$F$59,AS76,AT76)</f>
        <v>XINDBIW</v>
      </c>
      <c r="D76" s="518" t="str">
        <f t="shared" ca="1" si="7"/>
        <v>-</v>
      </c>
      <c r="E76" s="518" t="str">
        <f t="shared" ca="1" si="7"/>
        <v>ACTGRP</v>
      </c>
      <c r="F76" s="518" t="str">
        <f t="shared" ca="1" si="7"/>
        <v>-</v>
      </c>
      <c r="G76" s="518" t="str">
        <f t="shared" ca="1" si="7"/>
        <v>ANNUAL</v>
      </c>
      <c r="H76" s="518" t="str">
        <f t="shared" ca="1" si="7"/>
        <v>-</v>
      </c>
      <c r="I76" s="516">
        <f t="shared" ca="1" si="7"/>
        <v>0</v>
      </c>
      <c r="J76" s="518">
        <f ca="1">IF(INDEX($L$10:$L$13,MATCH($B76,$B$10:$B$13,0)),zar.2010,1)*SUMIF(NameConv!$C$4:$C$44,RIGHT(C76,3),OFFSET(INDIRECT(B76),0,AT76-1,NameConv!$A$45,1))</f>
        <v>1</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495">
        <f ca="1">IF(AT75&lt;&gt;AT76,1,IF(AS75=OFFSET(NameConv!$F$45,0,AT75),AR75+1,AR75))</f>
        <v>1</v>
      </c>
      <c r="AS76" s="495">
        <f t="shared" ca="1" si="8"/>
        <v>2</v>
      </c>
      <c r="AT76" s="526">
        <f ca="1">IF(AND(AR75=$AR$7,AS75=SUMIF(NameConv!$G$4:$M$4,MID(C75,2,3),NameConv!$G$45:$M$45)),AT75+1,AT75)</f>
        <v>3</v>
      </c>
    </row>
    <row r="77" spans="1:46">
      <c r="A77" s="883" t="str">
        <f ca="1">IF(INDEX(Demand.Sectors,MATCH(MID(C77,2,3),NameConv!$G$4:$M$4,0)),"","*")</f>
        <v/>
      </c>
      <c r="B77" s="518" t="str">
        <f t="shared" ca="1" si="0"/>
        <v>ACT_EFF</v>
      </c>
      <c r="C77" s="518" t="str">
        <f ca="1">"X"&amp;OFFSET(NameConv!$F$4,0,AT77)&amp;OFFSET(NameConv!$F$59,AS77,AT77)</f>
        <v>XINDCOA</v>
      </c>
      <c r="D77" s="518" t="str">
        <f t="shared" ca="1" si="7"/>
        <v>-</v>
      </c>
      <c r="E77" s="518" t="str">
        <f t="shared" ca="1" si="7"/>
        <v>ACTGRP</v>
      </c>
      <c r="F77" s="518" t="str">
        <f t="shared" ca="1" si="7"/>
        <v>-</v>
      </c>
      <c r="G77" s="518" t="str">
        <f t="shared" ca="1" si="7"/>
        <v>ANNUAL</v>
      </c>
      <c r="H77" s="518" t="str">
        <f t="shared" ca="1" si="7"/>
        <v>-</v>
      </c>
      <c r="I77" s="516">
        <f t="shared" ca="1" si="7"/>
        <v>0</v>
      </c>
      <c r="J77" s="518">
        <f ca="1">IF(INDEX($L$10:$L$13,MATCH($B77,$B$10:$B$13,0)),zar.2010,1)*SUMIF(NameConv!$C$4:$C$44,RIGHT(C77,3),OFFSET(INDIRECT(B77),0,AT77-1,NameConv!$A$45,1))</f>
        <v>1</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495">
        <f ca="1">IF(AT76&lt;&gt;AT77,1,IF(AS76=OFFSET(NameConv!$F$45,0,AT76),AR76+1,AR76))</f>
        <v>1</v>
      </c>
      <c r="AS77" s="495">
        <f t="shared" ca="1" si="8"/>
        <v>3</v>
      </c>
      <c r="AT77" s="526">
        <f ca="1">IF(AND(AR76=$AR$7,AS76=SUMIF(NameConv!$G$4:$M$4,MID(C76,2,3),NameConv!$G$45:$M$45)),AT76+1,AT76)</f>
        <v>3</v>
      </c>
    </row>
    <row r="78" spans="1:46">
      <c r="A78" s="883" t="str">
        <f ca="1">IF(INDEX(Demand.Sectors,MATCH(MID(C78,2,3),NameConv!$G$4:$M$4,0)),"","*")</f>
        <v/>
      </c>
      <c r="B78" s="518" t="str">
        <f t="shared" ca="1" si="0"/>
        <v>ACT_EFF</v>
      </c>
      <c r="C78" s="518" t="str">
        <f ca="1">"X"&amp;OFFSET(NameConv!$F$4,0,AT78)&amp;OFFSET(NameConv!$F$59,AS78,AT78)</f>
        <v>XINDCOK</v>
      </c>
      <c r="D78" s="518" t="str">
        <f t="shared" ca="1" si="7"/>
        <v>-</v>
      </c>
      <c r="E78" s="518" t="str">
        <f t="shared" ca="1" si="7"/>
        <v>ACTGRP</v>
      </c>
      <c r="F78" s="518" t="str">
        <f t="shared" ca="1" si="7"/>
        <v>-</v>
      </c>
      <c r="G78" s="518" t="str">
        <f t="shared" ca="1" si="7"/>
        <v>ANNUAL</v>
      </c>
      <c r="H78" s="518" t="str">
        <f t="shared" ca="1" si="7"/>
        <v>-</v>
      </c>
      <c r="I78" s="516">
        <f t="shared" ca="1" si="7"/>
        <v>0</v>
      </c>
      <c r="J78" s="518">
        <f ca="1">IF(INDEX($L$10:$L$13,MATCH($B78,$B$10:$B$13,0)),zar.2010,1)*SUMIF(NameConv!$C$4:$C$44,RIGHT(C78,3),OFFSET(INDIRECT(B78),0,AT78-1,NameConv!$A$45,1))</f>
        <v>1</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495">
        <f ca="1">IF(AT77&lt;&gt;AT78,1,IF(AS77=OFFSET(NameConv!$F$45,0,AT77),AR77+1,AR77))</f>
        <v>1</v>
      </c>
      <c r="AS78" s="495">
        <f t="shared" ca="1" si="8"/>
        <v>4</v>
      </c>
      <c r="AT78" s="526">
        <f ca="1">IF(AND(AR77=$AR$7,AS77=SUMIF(NameConv!$G$4:$M$4,MID(C77,2,3),NameConv!$G$45:$M$45)),AT77+1,AT77)</f>
        <v>3</v>
      </c>
    </row>
    <row r="79" spans="1:46">
      <c r="A79" s="883" t="str">
        <f ca="1">IF(INDEX(Demand.Sectors,MATCH(MID(C79,2,3),NameConv!$G$4:$M$4,0)),"","*")</f>
        <v/>
      </c>
      <c r="B79" s="518" t="str">
        <f t="shared" ref="B79:B142" ca="1" si="9">IF(A79="*","",VLOOKUP("*"&amp;AR79,$A$9:$B$13,2,FALSE))</f>
        <v>ACT_EFF</v>
      </c>
      <c r="C79" s="518" t="str">
        <f ca="1">"X"&amp;OFFSET(NameConv!$F$4,0,AT79)&amp;OFFSET(NameConv!$F$59,AS79,AT79)</f>
        <v>XINDCLE</v>
      </c>
      <c r="D79" s="518" t="str">
        <f t="shared" ca="1" si="7"/>
        <v>-</v>
      </c>
      <c r="E79" s="518" t="str">
        <f t="shared" ca="1" si="7"/>
        <v>ACTGRP</v>
      </c>
      <c r="F79" s="518" t="str">
        <f t="shared" ca="1" si="7"/>
        <v>-</v>
      </c>
      <c r="G79" s="518" t="str">
        <f t="shared" ca="1" si="7"/>
        <v>ANNUAL</v>
      </c>
      <c r="H79" s="518" t="str">
        <f t="shared" ca="1" si="7"/>
        <v>-</v>
      </c>
      <c r="I79" s="516">
        <f t="shared" ca="1" si="7"/>
        <v>0</v>
      </c>
      <c r="J79" s="518">
        <f ca="1">IF(INDEX($L$10:$L$13,MATCH($B79,$B$10:$B$13,0)),zar.2010,1)*SUMIF(NameConv!$C$4:$C$44,RIGHT(C79,3),OFFSET(INDIRECT(B79),0,AT79-1,NameConv!$A$45,1))</f>
        <v>1</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495">
        <f ca="1">IF(AT78&lt;&gt;AT79,1,IF(AS78=OFFSET(NameConv!$F$45,0,AT78),AR78+1,AR78))</f>
        <v>1</v>
      </c>
      <c r="AS79" s="495">
        <f t="shared" ca="1" si="8"/>
        <v>5</v>
      </c>
      <c r="AT79" s="526">
        <f ca="1">IF(AND(AR78=$AR$7,AS78=SUMIF(NameConv!$G$4:$M$4,MID(C78,2,3),NameConv!$G$45:$M$45)),AT78+1,AT78)</f>
        <v>3</v>
      </c>
    </row>
    <row r="80" spans="1:46">
      <c r="A80" s="883" t="str">
        <f ca="1">IF(INDEX(Demand.Sectors,MATCH(MID(C80,2,3),NameConv!$G$4:$M$4,0)),"","*")</f>
        <v/>
      </c>
      <c r="B80" s="518" t="str">
        <f t="shared" ca="1" si="9"/>
        <v>ACT_EFF</v>
      </c>
      <c r="C80" s="518" t="str">
        <f ca="1">"X"&amp;OFFSET(NameConv!$F$4,0,AT80)&amp;OFFSET(NameConv!$F$59,AS80,AT80)</f>
        <v>XINDELC</v>
      </c>
      <c r="D80" s="518" t="str">
        <f t="shared" ca="1" si="7"/>
        <v>-</v>
      </c>
      <c r="E80" s="518" t="str">
        <f t="shared" ca="1" si="7"/>
        <v>ACTGRP</v>
      </c>
      <c r="F80" s="518" t="str">
        <f t="shared" ca="1" si="7"/>
        <v>-</v>
      </c>
      <c r="G80" s="518" t="str">
        <f t="shared" ca="1" si="7"/>
        <v>ANNUAL</v>
      </c>
      <c r="H80" s="518" t="str">
        <f t="shared" ca="1" si="7"/>
        <v>-</v>
      </c>
      <c r="I80" s="516">
        <f t="shared" ca="1" si="7"/>
        <v>0</v>
      </c>
      <c r="J80" s="518">
        <f ca="1">IF(INDEX($L$10:$L$13,MATCH($B80,$B$10:$B$13,0)),zar.2010,1)*SUMIF(NameConv!$C$4:$C$44,RIGHT(C80,3),OFFSET(INDIRECT(B80),0,AT80-1,NameConv!$A$45,1))</f>
        <v>0.97199999999999998</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495">
        <f ca="1">IF(AT79&lt;&gt;AT80,1,IF(AS79=OFFSET(NameConv!$F$45,0,AT79),AR79+1,AR79))</f>
        <v>1</v>
      </c>
      <c r="AS80" s="495">
        <f t="shared" ca="1" si="8"/>
        <v>6</v>
      </c>
      <c r="AT80" s="526">
        <f ca="1">IF(AND(AR79=$AR$7,AS79=SUMIF(NameConv!$G$4:$M$4,MID(C79,2,3),NameConv!$G$45:$M$45)),AT79+1,AT79)</f>
        <v>3</v>
      </c>
    </row>
    <row r="81" spans="1:46">
      <c r="A81" s="883" t="str">
        <f ca="1">IF(INDEX(Demand.Sectors,MATCH(MID(C81,2,3),NameConv!$G$4:$M$4,0)),"","*")</f>
        <v/>
      </c>
      <c r="B81" s="518" t="str">
        <f t="shared" ca="1" si="9"/>
        <v>ACT_EFF</v>
      </c>
      <c r="C81" s="518" t="str">
        <f ca="1">"X"&amp;OFFSET(NameConv!$F$4,0,AT81)&amp;OFFSET(NameConv!$F$59,AS81,AT81)</f>
        <v>XINDGAS</v>
      </c>
      <c r="D81" s="518" t="str">
        <f t="shared" ca="1" si="7"/>
        <v>-</v>
      </c>
      <c r="E81" s="518" t="str">
        <f t="shared" ca="1" si="7"/>
        <v>ACTGRP</v>
      </c>
      <c r="F81" s="518" t="str">
        <f t="shared" ca="1" si="7"/>
        <v>-</v>
      </c>
      <c r="G81" s="518" t="str">
        <f t="shared" ca="1" si="7"/>
        <v>ANNUAL</v>
      </c>
      <c r="H81" s="518" t="str">
        <f t="shared" ca="1" si="7"/>
        <v>-</v>
      </c>
      <c r="I81" s="516">
        <f t="shared" ca="1" si="7"/>
        <v>0</v>
      </c>
      <c r="J81" s="518">
        <f ca="1">IF(INDEX($L$10:$L$13,MATCH($B81,$B$10:$B$13,0)),zar.2010,1)*SUMIF(NameConv!$C$4:$C$44,RIGHT(C81,3),OFFSET(INDIRECT(B81),0,AT81-1,NameConv!$A$45,1))</f>
        <v>0.999</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495">
        <f ca="1">IF(AT80&lt;&gt;AT81,1,IF(AS80=OFFSET(NameConv!$F$45,0,AT80),AR80+1,AR80))</f>
        <v>1</v>
      </c>
      <c r="AS81" s="495">
        <f t="shared" ca="1" si="8"/>
        <v>7</v>
      </c>
      <c r="AT81" s="526">
        <f ca="1">IF(AND(AR80=$AR$7,AS80=SUMIF(NameConv!$G$4:$M$4,MID(C80,2,3),NameConv!$G$45:$M$45)),AT80+1,AT80)</f>
        <v>3</v>
      </c>
    </row>
    <row r="82" spans="1:46">
      <c r="A82" s="883" t="str">
        <f ca="1">IF(INDEX(Demand.Sectors,MATCH(MID(C82,2,3),NameConv!$G$4:$M$4,0)),"","*")</f>
        <v/>
      </c>
      <c r="B82" s="518" t="str">
        <f t="shared" ca="1" si="9"/>
        <v>ACT_EFF</v>
      </c>
      <c r="C82" s="518" t="str">
        <f ca="1">"X"&amp;OFFSET(NameConv!$F$4,0,AT82)&amp;OFFSET(NameConv!$F$59,AS82,AT82)</f>
        <v>XINDODS</v>
      </c>
      <c r="D82" s="518" t="str">
        <f t="shared" ca="1" si="7"/>
        <v>-</v>
      </c>
      <c r="E82" s="518" t="str">
        <f t="shared" ca="1" si="7"/>
        <v>ACTGRP</v>
      </c>
      <c r="F82" s="518" t="str">
        <f t="shared" ca="1" si="7"/>
        <v>-</v>
      </c>
      <c r="G82" s="518" t="str">
        <f t="shared" ca="1" si="7"/>
        <v>ANNUAL</v>
      </c>
      <c r="H82" s="518" t="str">
        <f t="shared" ca="1" si="7"/>
        <v>-</v>
      </c>
      <c r="I82" s="516">
        <f t="shared" ca="1" si="7"/>
        <v>0</v>
      </c>
      <c r="J82" s="518">
        <f ca="1">IF(INDEX($L$10:$L$13,MATCH($B82,$B$10:$B$13,0)),zar.2010,1)*SUMIF(NameConv!$C$4:$C$44,RIGHT(C82,3),OFFSET(INDIRECT(B82),0,AT82-1,NameConv!$A$45,1))</f>
        <v>1</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495">
        <f ca="1">IF(AT81&lt;&gt;AT82,1,IF(AS81=OFFSET(NameConv!$F$45,0,AT81),AR81+1,AR81))</f>
        <v>1</v>
      </c>
      <c r="AS82" s="495">
        <f t="shared" ca="1" si="8"/>
        <v>8</v>
      </c>
      <c r="AT82" s="526">
        <f ca="1">IF(AND(AR81=$AR$7,AS81=SUMIF(NameConv!$G$4:$M$4,MID(C81,2,3),NameConv!$G$45:$M$45)),AT81+1,AT81)</f>
        <v>3</v>
      </c>
    </row>
    <row r="83" spans="1:46">
      <c r="A83" s="883" t="str">
        <f ca="1">IF(INDEX(Demand.Sectors,MATCH(MID(C83,2,3),NameConv!$G$4:$M$4,0)),"","*")</f>
        <v/>
      </c>
      <c r="B83" s="518" t="str">
        <f t="shared" ca="1" si="9"/>
        <v>ACT_EFF</v>
      </c>
      <c r="C83" s="518" t="str">
        <f ca="1">"X"&amp;OFFSET(NameConv!$F$4,0,AT83)&amp;OFFSET(NameConv!$F$59,AS83,AT83)</f>
        <v>XINDOGS</v>
      </c>
      <c r="D83" s="518" t="str">
        <f t="shared" ca="1" si="7"/>
        <v>-</v>
      </c>
      <c r="E83" s="518" t="str">
        <f t="shared" ca="1" si="7"/>
        <v>ACTGRP</v>
      </c>
      <c r="F83" s="518" t="str">
        <f t="shared" ca="1" si="7"/>
        <v>-</v>
      </c>
      <c r="G83" s="518" t="str">
        <f t="shared" ca="1" si="7"/>
        <v>ANNUAL</v>
      </c>
      <c r="H83" s="518" t="str">
        <f t="shared" ca="1" si="7"/>
        <v>-</v>
      </c>
      <c r="I83" s="516">
        <f t="shared" ca="1" si="7"/>
        <v>0</v>
      </c>
      <c r="J83" s="518">
        <f ca="1">IF(INDEX($L$10:$L$13,MATCH($B83,$B$10:$B$13,0)),zar.2010,1)*SUMIF(NameConv!$C$4:$C$44,RIGHT(C83,3),OFFSET(INDIRECT(B83),0,AT83-1,NameConv!$A$45,1))</f>
        <v>1</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495">
        <f ca="1">IF(AT82&lt;&gt;AT83,1,IF(AS82=OFFSET(NameConv!$F$45,0,AT82),AR82+1,AR82))</f>
        <v>1</v>
      </c>
      <c r="AS83" s="495">
        <f t="shared" ca="1" si="8"/>
        <v>9</v>
      </c>
      <c r="AT83" s="526">
        <f ca="1">IF(AND(AR82=$AR$7,AS82=SUMIF(NameConv!$G$4:$M$4,MID(C82,2,3),NameConv!$G$45:$M$45)),AT82+1,AT82)</f>
        <v>3</v>
      </c>
    </row>
    <row r="84" spans="1:46">
      <c r="A84" s="883" t="str">
        <f ca="1">IF(INDEX(Demand.Sectors,MATCH(MID(C84,2,3),NameConv!$G$4:$M$4,0)),"","*")</f>
        <v/>
      </c>
      <c r="B84" s="518" t="str">
        <f t="shared" ca="1" si="9"/>
        <v>ACT_EFF</v>
      </c>
      <c r="C84" s="518" t="str">
        <f ca="1">"X"&amp;OFFSET(NameConv!$F$4,0,AT84)&amp;OFFSET(NameConv!$F$59,AS84,AT84)</f>
        <v>XINDOHF</v>
      </c>
      <c r="D84" s="518" t="str">
        <f t="shared" ca="1" si="7"/>
        <v>-</v>
      </c>
      <c r="E84" s="518" t="str">
        <f t="shared" ca="1" si="7"/>
        <v>ACTGRP</v>
      </c>
      <c r="F84" s="518" t="str">
        <f t="shared" ca="1" si="7"/>
        <v>-</v>
      </c>
      <c r="G84" s="518" t="str">
        <f t="shared" ca="1" si="7"/>
        <v>ANNUAL</v>
      </c>
      <c r="H84" s="518" t="str">
        <f t="shared" ca="1" si="7"/>
        <v>-</v>
      </c>
      <c r="I84" s="516">
        <f t="shared" ca="1" si="7"/>
        <v>0</v>
      </c>
      <c r="J84" s="518">
        <f ca="1">IF(INDEX($L$10:$L$13,MATCH($B84,$B$10:$B$13,0)),zar.2010,1)*SUMIF(NameConv!$C$4:$C$44,RIGHT(C84,3),OFFSET(INDIRECT(B84),0,AT84-1,NameConv!$A$45,1))</f>
        <v>1</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495">
        <f ca="1">IF(AT83&lt;&gt;AT84,1,IF(AS83=OFFSET(NameConv!$F$45,0,AT83),AR83+1,AR83))</f>
        <v>1</v>
      </c>
      <c r="AS84" s="495">
        <f ca="1">IF(AR84=AR83,AS83+1,1)</f>
        <v>10</v>
      </c>
      <c r="AT84" s="526">
        <f ca="1">IF(AND(AR83=$AR$7,AS83=SUMIF(NameConv!$G$4:$M$4,MID(C83,2,3),NameConv!$G$45:$M$45)),AT83+1,AT83)</f>
        <v>3</v>
      </c>
    </row>
    <row r="85" spans="1:46">
      <c r="A85" s="883" t="str">
        <f ca="1">IF(INDEX(Demand.Sectors,MATCH(MID(C85,2,3),NameConv!$G$4:$M$4,0)),"","*")</f>
        <v/>
      </c>
      <c r="B85" s="518" t="str">
        <f t="shared" ca="1" si="9"/>
        <v>ACT_EFF</v>
      </c>
      <c r="C85" s="518" t="str">
        <f ca="1">"X"&amp;OFFSET(NameConv!$F$4,0,AT85)&amp;OFFSET(NameConv!$F$59,AS85,AT85)</f>
        <v>XINDOLP</v>
      </c>
      <c r="D85" s="518" t="str">
        <f t="shared" ca="1" si="7"/>
        <v>-</v>
      </c>
      <c r="E85" s="518" t="str">
        <f t="shared" ca="1" si="7"/>
        <v>ACTGRP</v>
      </c>
      <c r="F85" s="518" t="str">
        <f t="shared" ca="1" si="7"/>
        <v>-</v>
      </c>
      <c r="G85" s="518" t="str">
        <f t="shared" ca="1" si="7"/>
        <v>ANNUAL</v>
      </c>
      <c r="H85" s="518" t="str">
        <f t="shared" ca="1" si="7"/>
        <v>-</v>
      </c>
      <c r="I85" s="516">
        <f t="shared" ca="1" si="7"/>
        <v>0</v>
      </c>
      <c r="J85" s="518">
        <f ca="1">IF(INDEX($L$10:$L$13,MATCH($B85,$B$10:$B$13,0)),zar.2010,1)*SUMIF(NameConv!$C$4:$C$44,RIGHT(C85,3),OFFSET(INDIRECT(B85),0,AT85-1,NameConv!$A$45,1))</f>
        <v>1</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495">
        <f ca="1">IF(AT84&lt;&gt;AT85,1,IF(AS84=OFFSET(NameConv!$F$45,0,AT84),AR84+1,AR84))</f>
        <v>1</v>
      </c>
      <c r="AS85" s="495">
        <f t="shared" ref="AS85:AS94" ca="1" si="10">IF(AR85=AR84,AS84+1,1)</f>
        <v>11</v>
      </c>
      <c r="AT85" s="526">
        <f ca="1">IF(AND(AR84=$AR$7,AS84=SUMIF(NameConv!$G$4:$M$4,MID(C84,2,3),NameConv!$G$45:$M$45)),AT84+1,AT84)</f>
        <v>3</v>
      </c>
    </row>
    <row r="86" spans="1:46">
      <c r="A86" s="883" t="str">
        <f ca="1">IF(INDEX(Demand.Sectors,MATCH(MID(C86,2,3),NameConv!$G$4:$M$4,0)),"","*")</f>
        <v/>
      </c>
      <c r="B86" s="518" t="str">
        <f t="shared" ca="1" si="9"/>
        <v>ACT_EFF</v>
      </c>
      <c r="C86" s="518" t="str">
        <f ca="1">"X"&amp;OFFSET(NameConv!$F$4,0,AT86)&amp;OFFSET(NameConv!$F$59,AS86,AT86)</f>
        <v>XINDWAS</v>
      </c>
      <c r="D86" s="518" t="str">
        <f t="shared" ca="1" si="7"/>
        <v>-</v>
      </c>
      <c r="E86" s="518" t="str">
        <f t="shared" ca="1" si="7"/>
        <v>ACTGRP</v>
      </c>
      <c r="F86" s="518" t="str">
        <f t="shared" ca="1" si="7"/>
        <v>-</v>
      </c>
      <c r="G86" s="518" t="str">
        <f t="shared" ca="1" si="7"/>
        <v>ANNUAL</v>
      </c>
      <c r="H86" s="518" t="str">
        <f t="shared" ca="1" si="7"/>
        <v>-</v>
      </c>
      <c r="I86" s="516">
        <f t="shared" ca="1" si="7"/>
        <v>0</v>
      </c>
      <c r="J86" s="518">
        <f ca="1">IF(INDEX($L$10:$L$13,MATCH($B86,$B$10:$B$13,0)),zar.2010,1)*SUMIF(NameConv!$C$4:$C$44,RIGHT(C86,3),OFFSET(INDIRECT(B86),0,AT86-1,NameConv!$A$45,1))</f>
        <v>1</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495">
        <f ca="1">IF(AT85&lt;&gt;AT86,1,IF(AS85=OFFSET(NameConv!$F$45,0,AT85),AR85+1,AR85))</f>
        <v>1</v>
      </c>
      <c r="AS86" s="495">
        <f t="shared" ca="1" si="10"/>
        <v>12</v>
      </c>
      <c r="AT86" s="526">
        <f ca="1">IF(AND(AR85=$AR$7,AS85=SUMIF(NameConv!$G$4:$M$4,MID(C85,2,3),NameConv!$G$45:$M$45)),AT85+1,AT85)</f>
        <v>3</v>
      </c>
    </row>
    <row r="87" spans="1:46">
      <c r="A87" s="883" t="str">
        <f ca="1">IF(INDEX(Demand.Sectors,MATCH(MID(C87,2,3),NameConv!$G$4:$M$4,0)),"","*")</f>
        <v/>
      </c>
      <c r="B87" s="518" t="str">
        <f t="shared" ca="1" si="9"/>
        <v>NCAP_COST</v>
      </c>
      <c r="C87" s="518" t="str">
        <f ca="1">"X"&amp;OFFSET(NameConv!$F$4,0,AT87)&amp;OFFSET(NameConv!$F$59,AS87,AT87)</f>
        <v>XINDBIB</v>
      </c>
      <c r="D87" s="518" t="str">
        <f t="shared" ca="1" si="7"/>
        <v>-</v>
      </c>
      <c r="E87" s="518" t="str">
        <f t="shared" ca="1" si="7"/>
        <v>-</v>
      </c>
      <c r="F87" s="518" t="str">
        <f t="shared" ca="1" si="7"/>
        <v>-</v>
      </c>
      <c r="G87" s="518" t="str">
        <f t="shared" ca="1" si="7"/>
        <v>-</v>
      </c>
      <c r="H87" s="518" t="str">
        <f t="shared" ca="1" si="7"/>
        <v>-</v>
      </c>
      <c r="I87" s="516">
        <f t="shared" ca="1" si="7"/>
        <v>0</v>
      </c>
      <c r="J87" s="518">
        <f ca="1">IF(INDEX($L$10:$L$13,MATCH($B87,$B$10:$B$13,0)),zar.2010,1)*SUMIF(NameConv!$C$4:$C$44,RIGHT(C87,3),OFFSET(INDIRECT(B87),0,AT87-1,NameConv!$A$45,1))</f>
        <v>1.3094103081137337E-4</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495">
        <f ca="1">IF(AT86&lt;&gt;AT87,1,IF(AS86=OFFSET(NameConv!$F$45,0,AT86),AR86+1,AR86))</f>
        <v>2</v>
      </c>
      <c r="AS87" s="495">
        <f t="shared" ca="1" si="10"/>
        <v>1</v>
      </c>
      <c r="AT87" s="526">
        <f ca="1">IF(AND(AR86=$AR$7,AS86=SUMIF(NameConv!$G$4:$M$4,MID(C86,2,3),NameConv!$G$45:$M$45)),AT86+1,AT86)</f>
        <v>3</v>
      </c>
    </row>
    <row r="88" spans="1:46">
      <c r="A88" s="883" t="str">
        <f ca="1">IF(INDEX(Demand.Sectors,MATCH(MID(C88,2,3),NameConv!$G$4:$M$4,0)),"","*")</f>
        <v/>
      </c>
      <c r="B88" s="518" t="str">
        <f t="shared" ca="1" si="9"/>
        <v>NCAP_COST</v>
      </c>
      <c r="C88" s="518" t="str">
        <f ca="1">"X"&amp;OFFSET(NameConv!$F$4,0,AT88)&amp;OFFSET(NameConv!$F$59,AS88,AT88)</f>
        <v>XINDBIW</v>
      </c>
      <c r="D88" s="518" t="str">
        <f t="shared" ca="1" si="7"/>
        <v>-</v>
      </c>
      <c r="E88" s="518" t="str">
        <f t="shared" ca="1" si="7"/>
        <v>-</v>
      </c>
      <c r="F88" s="518" t="str">
        <f t="shared" ca="1" si="7"/>
        <v>-</v>
      </c>
      <c r="G88" s="518" t="str">
        <f t="shared" ca="1" si="7"/>
        <v>-</v>
      </c>
      <c r="H88" s="518" t="str">
        <f t="shared" ca="1" si="7"/>
        <v>-</v>
      </c>
      <c r="I88" s="516">
        <f t="shared" ca="1" si="7"/>
        <v>0</v>
      </c>
      <c r="J88" s="518">
        <f ca="1">IF(INDEX($L$10:$L$13,MATCH($B88,$B$10:$B$13,0)),zar.2010,1)*SUMIF(NameConv!$C$4:$C$44,RIGHT(C88,3),OFFSET(INDIRECT(B88),0,AT88-1,NameConv!$A$45,1))</f>
        <v>1.3094103081137337E-4</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495">
        <f ca="1">IF(AT87&lt;&gt;AT88,1,IF(AS87=OFFSET(NameConv!$F$45,0,AT87),AR87+1,AR87))</f>
        <v>2</v>
      </c>
      <c r="AS88" s="495">
        <f t="shared" ca="1" si="10"/>
        <v>2</v>
      </c>
      <c r="AT88" s="526">
        <f ca="1">IF(AND(AR87=$AR$7,AS87=SUMIF(NameConv!$G$4:$M$4,MID(C87,2,3),NameConv!$G$45:$M$45)),AT87+1,AT87)</f>
        <v>3</v>
      </c>
    </row>
    <row r="89" spans="1:46">
      <c r="A89" s="883" t="str">
        <f ca="1">IF(INDEX(Demand.Sectors,MATCH(MID(C89,2,3),NameConv!$G$4:$M$4,0)),"","*")</f>
        <v/>
      </c>
      <c r="B89" s="518" t="str">
        <f t="shared" ca="1" si="9"/>
        <v>NCAP_COST</v>
      </c>
      <c r="C89" s="518" t="str">
        <f ca="1">"X"&amp;OFFSET(NameConv!$F$4,0,AT89)&amp;OFFSET(NameConv!$F$59,AS89,AT89)</f>
        <v>XINDCOA</v>
      </c>
      <c r="D89" s="518" t="str">
        <f t="shared" ref="D89:I105" ca="1" si="11">IF($A89="*","",VLOOKUP($B89,$B$10:$I$13,D$9,FALSE))</f>
        <v>-</v>
      </c>
      <c r="E89" s="518" t="str">
        <f t="shared" ca="1" si="11"/>
        <v>-</v>
      </c>
      <c r="F89" s="518" t="str">
        <f t="shared" ca="1" si="11"/>
        <v>-</v>
      </c>
      <c r="G89" s="518" t="str">
        <f t="shared" ca="1" si="11"/>
        <v>-</v>
      </c>
      <c r="H89" s="518" t="str">
        <f t="shared" ca="1" si="11"/>
        <v>-</v>
      </c>
      <c r="I89" s="516">
        <f t="shared" ca="1" si="11"/>
        <v>0</v>
      </c>
      <c r="J89" s="518">
        <f ca="1">IF(INDEX($L$10:$L$13,MATCH($B89,$B$10:$B$13,0)),zar.2010,1)*SUMIF(NameConv!$C$4:$C$44,RIGHT(C89,3),OFFSET(INDIRECT(B89),0,AT89-1,NameConv!$A$45,1))</f>
        <v>1.3094103081137337E-4</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495">
        <f ca="1">IF(AT88&lt;&gt;AT89,1,IF(AS88=OFFSET(NameConv!$F$45,0,AT88),AR88+1,AR88))</f>
        <v>2</v>
      </c>
      <c r="AS89" s="495">
        <f t="shared" ca="1" si="10"/>
        <v>3</v>
      </c>
      <c r="AT89" s="526">
        <f ca="1">IF(AND(AR88=$AR$7,AS88=SUMIF(NameConv!$G$4:$M$4,MID(C88,2,3),NameConv!$G$45:$M$45)),AT88+1,AT88)</f>
        <v>3</v>
      </c>
    </row>
    <row r="90" spans="1:46">
      <c r="A90" s="883" t="str">
        <f ca="1">IF(INDEX(Demand.Sectors,MATCH(MID(C90,2,3),NameConv!$G$4:$M$4,0)),"","*")</f>
        <v/>
      </c>
      <c r="B90" s="518" t="str">
        <f t="shared" ca="1" si="9"/>
        <v>NCAP_COST</v>
      </c>
      <c r="C90" s="518" t="str">
        <f ca="1">"X"&amp;OFFSET(NameConv!$F$4,0,AT90)&amp;OFFSET(NameConv!$F$59,AS90,AT90)</f>
        <v>XINDCOK</v>
      </c>
      <c r="D90" s="518" t="str">
        <f t="shared" ca="1" si="11"/>
        <v>-</v>
      </c>
      <c r="E90" s="518" t="str">
        <f t="shared" ca="1" si="11"/>
        <v>-</v>
      </c>
      <c r="F90" s="518" t="str">
        <f t="shared" ca="1" si="11"/>
        <v>-</v>
      </c>
      <c r="G90" s="518" t="str">
        <f t="shared" ca="1" si="11"/>
        <v>-</v>
      </c>
      <c r="H90" s="518" t="str">
        <f t="shared" ca="1" si="11"/>
        <v>-</v>
      </c>
      <c r="I90" s="516">
        <f t="shared" ca="1" si="11"/>
        <v>0</v>
      </c>
      <c r="J90" s="518">
        <f ca="1">IF(INDEX($L$10:$L$13,MATCH($B90,$B$10:$B$13,0)),zar.2010,1)*SUMIF(NameConv!$C$4:$C$44,RIGHT(C90,3),OFFSET(INDIRECT(B90),0,AT90-1,NameConv!$A$45,1))</f>
        <v>1.3094103081137337E-4</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495">
        <f ca="1">IF(AT89&lt;&gt;AT90,1,IF(AS89=OFFSET(NameConv!$F$45,0,AT89),AR89+1,AR89))</f>
        <v>2</v>
      </c>
      <c r="AS90" s="495">
        <f t="shared" ca="1" si="10"/>
        <v>4</v>
      </c>
      <c r="AT90" s="526">
        <f ca="1">IF(AND(AR89=$AR$7,AS89=SUMIF(NameConv!$G$4:$M$4,MID(C89,2,3),NameConv!$G$45:$M$45)),AT89+1,AT89)</f>
        <v>3</v>
      </c>
    </row>
    <row r="91" spans="1:46">
      <c r="A91" s="883" t="str">
        <f ca="1">IF(INDEX(Demand.Sectors,MATCH(MID(C91,2,3),NameConv!$G$4:$M$4,0)),"","*")</f>
        <v/>
      </c>
      <c r="B91" s="518" t="str">
        <f t="shared" ca="1" si="9"/>
        <v>NCAP_COST</v>
      </c>
      <c r="C91" s="518" t="str">
        <f ca="1">"X"&amp;OFFSET(NameConv!$F$4,0,AT91)&amp;OFFSET(NameConv!$F$59,AS91,AT91)</f>
        <v>XINDCLE</v>
      </c>
      <c r="D91" s="518" t="str">
        <f t="shared" ca="1" si="11"/>
        <v>-</v>
      </c>
      <c r="E91" s="518" t="str">
        <f t="shared" ca="1" si="11"/>
        <v>-</v>
      </c>
      <c r="F91" s="518" t="str">
        <f t="shared" ca="1" si="11"/>
        <v>-</v>
      </c>
      <c r="G91" s="518" t="str">
        <f t="shared" ca="1" si="11"/>
        <v>-</v>
      </c>
      <c r="H91" s="518" t="str">
        <f t="shared" ca="1" si="11"/>
        <v>-</v>
      </c>
      <c r="I91" s="516">
        <f t="shared" ca="1" si="11"/>
        <v>0</v>
      </c>
      <c r="J91" s="518">
        <f ca="1">IF(INDEX($L$10:$L$13,MATCH($B91,$B$10:$B$13,0)),zar.2010,1)*SUMIF(NameConv!$C$4:$C$44,RIGHT(C91,3),OFFSET(INDIRECT(B91),0,AT91-1,NameConv!$A$45,1))</f>
        <v>1.3094103081137337E-4</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495">
        <f ca="1">IF(AT90&lt;&gt;AT91,1,IF(AS90=OFFSET(NameConv!$F$45,0,AT90),AR90+1,AR90))</f>
        <v>2</v>
      </c>
      <c r="AS91" s="495">
        <f t="shared" ca="1" si="10"/>
        <v>5</v>
      </c>
      <c r="AT91" s="526">
        <f ca="1">IF(AND(AR90=$AR$7,AS90=SUMIF(NameConv!$G$4:$M$4,MID(C90,2,3),NameConv!$G$45:$M$45)),AT90+1,AT90)</f>
        <v>3</v>
      </c>
    </row>
    <row r="92" spans="1:46">
      <c r="A92" s="883" t="str">
        <f ca="1">IF(INDEX(Demand.Sectors,MATCH(MID(C92,2,3),NameConv!$G$4:$M$4,0)),"","*")</f>
        <v/>
      </c>
      <c r="B92" s="518" t="str">
        <f t="shared" ca="1" si="9"/>
        <v>NCAP_COST</v>
      </c>
      <c r="C92" s="518" t="str">
        <f ca="1">"X"&amp;OFFSET(NameConv!$F$4,0,AT92)&amp;OFFSET(NameConv!$F$59,AS92,AT92)</f>
        <v>XINDELC</v>
      </c>
      <c r="D92" s="518" t="str">
        <f t="shared" ca="1" si="11"/>
        <v>-</v>
      </c>
      <c r="E92" s="518" t="str">
        <f t="shared" ca="1" si="11"/>
        <v>-</v>
      </c>
      <c r="F92" s="518" t="str">
        <f t="shared" ca="1" si="11"/>
        <v>-</v>
      </c>
      <c r="G92" s="518" t="str">
        <f t="shared" ca="1" si="11"/>
        <v>-</v>
      </c>
      <c r="H92" s="518" t="str">
        <f t="shared" ca="1" si="11"/>
        <v>-</v>
      </c>
      <c r="I92" s="516">
        <f t="shared" ca="1" si="11"/>
        <v>0</v>
      </c>
      <c r="J92" s="518">
        <f ca="1">IF(INDEX($L$10:$L$13,MATCH($B92,$B$10:$B$13,0)),zar.2010,1)*SUMIF(NameConv!$C$4:$C$44,RIGHT(C92,3),OFFSET(INDIRECT(B92),0,AT92-1,NameConv!$A$45,1))</f>
        <v>0</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495">
        <f ca="1">IF(AT91&lt;&gt;AT92,1,IF(AS91=OFFSET(NameConv!$F$45,0,AT91),AR91+1,AR91))</f>
        <v>2</v>
      </c>
      <c r="AS92" s="495">
        <f t="shared" ca="1" si="10"/>
        <v>6</v>
      </c>
      <c r="AT92" s="526">
        <f ca="1">IF(AND(AR91=$AR$7,AS91=SUMIF(NameConv!$G$4:$M$4,MID(C91,2,3),NameConv!$G$45:$M$45)),AT91+1,AT91)</f>
        <v>3</v>
      </c>
    </row>
    <row r="93" spans="1:46">
      <c r="A93" s="883" t="str">
        <f ca="1">IF(INDEX(Demand.Sectors,MATCH(MID(C93,2,3),NameConv!$G$4:$M$4,0)),"","*")</f>
        <v/>
      </c>
      <c r="B93" s="518" t="str">
        <f t="shared" ca="1" si="9"/>
        <v>NCAP_COST</v>
      </c>
      <c r="C93" s="518" t="str">
        <f ca="1">"X"&amp;OFFSET(NameConv!$F$4,0,AT93)&amp;OFFSET(NameConv!$F$59,AS93,AT93)</f>
        <v>XINDGAS</v>
      </c>
      <c r="D93" s="518" t="str">
        <f t="shared" ca="1" si="11"/>
        <v>-</v>
      </c>
      <c r="E93" s="518" t="str">
        <f t="shared" ca="1" si="11"/>
        <v>-</v>
      </c>
      <c r="F93" s="518" t="str">
        <f t="shared" ca="1" si="11"/>
        <v>-</v>
      </c>
      <c r="G93" s="518" t="str">
        <f t="shared" ca="1" si="11"/>
        <v>-</v>
      </c>
      <c r="H93" s="518" t="str">
        <f t="shared" ca="1" si="11"/>
        <v>-</v>
      </c>
      <c r="I93" s="516">
        <f t="shared" ca="1" si="11"/>
        <v>0</v>
      </c>
      <c r="J93" s="518">
        <f ca="1">IF(INDEX($L$10:$L$13,MATCH($B93,$B$10:$B$13,0)),zar.2010,1)*SUMIF(NameConv!$C$4:$C$44,RIGHT(C93,3),OFFSET(INDIRECT(B93),0,AT93-1,NameConv!$A$45,1))</f>
        <v>0</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495">
        <f ca="1">IF(AT92&lt;&gt;AT93,1,IF(AS92=OFFSET(NameConv!$F$45,0,AT92),AR92+1,AR92))</f>
        <v>2</v>
      </c>
      <c r="AS93" s="495">
        <f t="shared" ca="1" si="10"/>
        <v>7</v>
      </c>
      <c r="AT93" s="526">
        <f ca="1">IF(AND(AR92=$AR$7,AS92=SUMIF(NameConv!$G$4:$M$4,MID(C92,2,3),NameConv!$G$45:$M$45)),AT92+1,AT92)</f>
        <v>3</v>
      </c>
    </row>
    <row r="94" spans="1:46">
      <c r="A94" s="883" t="str">
        <f ca="1">IF(INDEX(Demand.Sectors,MATCH(MID(C94,2,3),NameConv!$G$4:$M$4,0)),"","*")</f>
        <v/>
      </c>
      <c r="B94" s="518" t="str">
        <f t="shared" ca="1" si="9"/>
        <v>NCAP_COST</v>
      </c>
      <c r="C94" s="518" t="str">
        <f ca="1">"X"&amp;OFFSET(NameConv!$F$4,0,AT94)&amp;OFFSET(NameConv!$F$59,AS94,AT94)</f>
        <v>XINDODS</v>
      </c>
      <c r="D94" s="518" t="str">
        <f t="shared" ca="1" si="11"/>
        <v>-</v>
      </c>
      <c r="E94" s="518" t="str">
        <f t="shared" ca="1" si="11"/>
        <v>-</v>
      </c>
      <c r="F94" s="518" t="str">
        <f t="shared" ca="1" si="11"/>
        <v>-</v>
      </c>
      <c r="G94" s="518" t="str">
        <f t="shared" ca="1" si="11"/>
        <v>-</v>
      </c>
      <c r="H94" s="518" t="str">
        <f t="shared" ca="1" si="11"/>
        <v>-</v>
      </c>
      <c r="I94" s="516">
        <f t="shared" ca="1" si="11"/>
        <v>0</v>
      </c>
      <c r="J94" s="518">
        <f ca="1">IF(INDEX($L$10:$L$13,MATCH($B94,$B$10:$B$13,0)),zar.2010,1)*SUMIF(NameConv!$C$4:$C$44,RIGHT(C94,3),OFFSET(INDIRECT(B94),0,AT94-1,NameConv!$A$45,1))</f>
        <v>1.3094103081137337E-4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495">
        <f ca="1">IF(AT93&lt;&gt;AT94,1,IF(AS93=OFFSET(NameConv!$F$45,0,AT93),AR93+1,AR93))</f>
        <v>2</v>
      </c>
      <c r="AS94" s="495">
        <f t="shared" ca="1" si="10"/>
        <v>8</v>
      </c>
      <c r="AT94" s="526">
        <f ca="1">IF(AND(AR93=$AR$7,AS93=SUMIF(NameConv!$G$4:$M$4,MID(C93,2,3),NameConv!$G$45:$M$45)),AT93+1,AT93)</f>
        <v>3</v>
      </c>
    </row>
    <row r="95" spans="1:46">
      <c r="A95" s="883" t="str">
        <f ca="1">IF(INDEX(Demand.Sectors,MATCH(MID(C95,2,3),NameConv!$G$4:$M$4,0)),"","*")</f>
        <v/>
      </c>
      <c r="B95" s="518" t="str">
        <f t="shared" ca="1" si="9"/>
        <v>NCAP_COST</v>
      </c>
      <c r="C95" s="518" t="str">
        <f ca="1">"X"&amp;OFFSET(NameConv!$F$4,0,AT95)&amp;OFFSET(NameConv!$F$59,AS95,AT95)</f>
        <v>XINDOGS</v>
      </c>
      <c r="D95" s="518" t="str">
        <f t="shared" ca="1" si="11"/>
        <v>-</v>
      </c>
      <c r="E95" s="518" t="str">
        <f t="shared" ca="1" si="11"/>
        <v>-</v>
      </c>
      <c r="F95" s="518" t="str">
        <f t="shared" ca="1" si="11"/>
        <v>-</v>
      </c>
      <c r="G95" s="518" t="str">
        <f t="shared" ca="1" si="11"/>
        <v>-</v>
      </c>
      <c r="H95" s="518" t="str">
        <f t="shared" ca="1" si="11"/>
        <v>-</v>
      </c>
      <c r="I95" s="516">
        <f t="shared" ca="1" si="11"/>
        <v>0</v>
      </c>
      <c r="J95" s="518">
        <f ca="1">IF(INDEX($L$10:$L$13,MATCH($B95,$B$10:$B$13,0)),zar.2010,1)*SUMIF(NameConv!$C$4:$C$44,RIGHT(C95,3),OFFSET(INDIRECT(B95),0,AT95-1,NameConv!$A$45,1))</f>
        <v>1.3094103081137337E-4</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495">
        <f ca="1">IF(AT94&lt;&gt;AT95,1,IF(AS94=OFFSET(NameConv!$F$45,0,AT94),AR94+1,AR94))</f>
        <v>2</v>
      </c>
      <c r="AS95" s="495">
        <f ca="1">IF(AR95=AR94,AS94+1,1)</f>
        <v>9</v>
      </c>
      <c r="AT95" s="526">
        <f ca="1">IF(AND(AR94=$AR$7,AS94=SUMIF(NameConv!$G$4:$M$4,MID(C94,2,3),NameConv!$G$45:$M$45)),AT94+1,AT94)</f>
        <v>3</v>
      </c>
    </row>
    <row r="96" spans="1:46">
      <c r="A96" s="883" t="str">
        <f ca="1">IF(INDEX(Demand.Sectors,MATCH(MID(C96,2,3),NameConv!$G$4:$M$4,0)),"","*")</f>
        <v/>
      </c>
      <c r="B96" s="518" t="str">
        <f t="shared" ca="1" si="9"/>
        <v>NCAP_COST</v>
      </c>
      <c r="C96" s="518" t="str">
        <f ca="1">"X"&amp;OFFSET(NameConv!$F$4,0,AT96)&amp;OFFSET(NameConv!$F$59,AS96,AT96)</f>
        <v>XINDOHF</v>
      </c>
      <c r="D96" s="518" t="str">
        <f t="shared" ca="1" si="11"/>
        <v>-</v>
      </c>
      <c r="E96" s="518" t="str">
        <f t="shared" ca="1" si="11"/>
        <v>-</v>
      </c>
      <c r="F96" s="518" t="str">
        <f t="shared" ca="1" si="11"/>
        <v>-</v>
      </c>
      <c r="G96" s="518" t="str">
        <f t="shared" ca="1" si="11"/>
        <v>-</v>
      </c>
      <c r="H96" s="518" t="str">
        <f t="shared" ca="1" si="11"/>
        <v>-</v>
      </c>
      <c r="I96" s="516">
        <f t="shared" ca="1" si="11"/>
        <v>0</v>
      </c>
      <c r="J96" s="518">
        <f ca="1">IF(INDEX($L$10:$L$13,MATCH($B96,$B$10:$B$13,0)),zar.2010,1)*SUMIF(NameConv!$C$4:$C$44,RIGHT(C96,3),OFFSET(INDIRECT(B96),0,AT96-1,NameConv!$A$45,1))</f>
        <v>1.3094103081137337E-4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495">
        <f ca="1">IF(AT95&lt;&gt;AT96,1,IF(AS95=OFFSET(NameConv!$F$45,0,AT95),AR95+1,AR95))</f>
        <v>2</v>
      </c>
      <c r="AS96" s="495">
        <f ca="1">IF(AR96=AR95,AS95+1,1)</f>
        <v>10</v>
      </c>
      <c r="AT96" s="526">
        <f ca="1">IF(AND(AR95=$AR$7,AS95=SUMIF(NameConv!$G$4:$M$4,MID(C95,2,3),NameConv!$G$45:$M$45)),AT95+1,AT95)</f>
        <v>3</v>
      </c>
    </row>
    <row r="97" spans="1:46">
      <c r="A97" s="883" t="str">
        <f ca="1">IF(INDEX(Demand.Sectors,MATCH(MID(C97,2,3),NameConv!$G$4:$M$4,0)),"","*")</f>
        <v/>
      </c>
      <c r="B97" s="518" t="str">
        <f t="shared" ca="1" si="9"/>
        <v>NCAP_COST</v>
      </c>
      <c r="C97" s="518" t="str">
        <f ca="1">"X"&amp;OFFSET(NameConv!$F$4,0,AT97)&amp;OFFSET(NameConv!$F$59,AS97,AT97)</f>
        <v>XINDOLP</v>
      </c>
      <c r="D97" s="518" t="str">
        <f t="shared" ca="1" si="11"/>
        <v>-</v>
      </c>
      <c r="E97" s="518" t="str">
        <f t="shared" ca="1" si="11"/>
        <v>-</v>
      </c>
      <c r="F97" s="518" t="str">
        <f t="shared" ca="1" si="11"/>
        <v>-</v>
      </c>
      <c r="G97" s="518" t="str">
        <f t="shared" ca="1" si="11"/>
        <v>-</v>
      </c>
      <c r="H97" s="518" t="str">
        <f t="shared" ca="1" si="11"/>
        <v>-</v>
      </c>
      <c r="I97" s="516">
        <f t="shared" ca="1" si="11"/>
        <v>0</v>
      </c>
      <c r="J97" s="518">
        <f ca="1">IF(INDEX($L$10:$L$13,MATCH($B97,$B$10:$B$13,0)),zar.2010,1)*SUMIF(NameConv!$C$4:$C$44,RIGHT(C97,3),OFFSET(INDIRECT(B97),0,AT97-1,NameConv!$A$45,1))</f>
        <v>32.735257702843342</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495">
        <f ca="1">IF(AT96&lt;&gt;AT97,1,IF(AS96=OFFSET(NameConv!$F$45,0,AT96),AR96+1,AR96))</f>
        <v>2</v>
      </c>
      <c r="AS97" s="495">
        <f t="shared" ref="AS97:AS104" ca="1" si="12">IF(AR97=AR96,AS96+1,1)</f>
        <v>11</v>
      </c>
      <c r="AT97" s="526">
        <f ca="1">IF(AND(AR96=$AR$7,AS96=SUMIF(NameConv!$G$4:$M$4,MID(C96,2,3),NameConv!$G$45:$M$45)),AT96+1,AT96)</f>
        <v>3</v>
      </c>
    </row>
    <row r="98" spans="1:46">
      <c r="A98" s="883" t="str">
        <f ca="1">IF(INDEX(Demand.Sectors,MATCH(MID(C98,2,3),NameConv!$G$4:$M$4,0)),"","*")</f>
        <v/>
      </c>
      <c r="B98" s="518" t="str">
        <f t="shared" ca="1" si="9"/>
        <v>NCAP_COST</v>
      </c>
      <c r="C98" s="518" t="str">
        <f ca="1">"X"&amp;OFFSET(NameConv!$F$4,0,AT98)&amp;OFFSET(NameConv!$F$59,AS98,AT98)</f>
        <v>XINDWAS</v>
      </c>
      <c r="D98" s="518" t="str">
        <f t="shared" ca="1" si="11"/>
        <v>-</v>
      </c>
      <c r="E98" s="518" t="str">
        <f t="shared" ca="1" si="11"/>
        <v>-</v>
      </c>
      <c r="F98" s="518" t="str">
        <f t="shared" ca="1" si="11"/>
        <v>-</v>
      </c>
      <c r="G98" s="518" t="str">
        <f t="shared" ca="1" si="11"/>
        <v>-</v>
      </c>
      <c r="H98" s="518" t="str">
        <f t="shared" ca="1" si="11"/>
        <v>-</v>
      </c>
      <c r="I98" s="516">
        <f t="shared" ca="1" si="11"/>
        <v>0</v>
      </c>
      <c r="J98" s="518">
        <f ca="1">IF(INDEX($L$10:$L$13,MATCH($B98,$B$10:$B$13,0)),zar.2010,1)*SUMIF(NameConv!$C$4:$C$44,RIGHT(C98,3),OFFSET(INDIRECT(B98),0,AT98-1,NameConv!$A$45,1))</f>
        <v>1.3094103081137337E-4</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495">
        <f ca="1">IF(AT97&lt;&gt;AT98,1,IF(AS97=OFFSET(NameConv!$F$45,0,AT97),AR97+1,AR97))</f>
        <v>2</v>
      </c>
      <c r="AS98" s="495">
        <f t="shared" ca="1" si="12"/>
        <v>12</v>
      </c>
      <c r="AT98" s="526">
        <f ca="1">IF(AND(AR97=$AR$7,AS97=SUMIF(NameConv!$G$4:$M$4,MID(C97,2,3),NameConv!$G$45:$M$45)),AT97+1,AT97)</f>
        <v>3</v>
      </c>
    </row>
    <row r="99" spans="1:46">
      <c r="A99" s="883" t="str">
        <f ca="1">IF(INDEX(Demand.Sectors,MATCH(MID(C99,2,3),NameConv!$G$4:$M$4,0)),"","*")</f>
        <v/>
      </c>
      <c r="B99" s="518" t="str">
        <f t="shared" ca="1" si="9"/>
        <v>NCAP_TLIFE</v>
      </c>
      <c r="C99" s="518" t="str">
        <f ca="1">"X"&amp;OFFSET(NameConv!$F$4,0,AT99)&amp;OFFSET(NameConv!$F$59,AS99,AT99)</f>
        <v>XINDBIB</v>
      </c>
      <c r="D99" s="518" t="str">
        <f t="shared" ca="1" si="11"/>
        <v>-</v>
      </c>
      <c r="E99" s="518" t="str">
        <f t="shared" ca="1" si="11"/>
        <v>-</v>
      </c>
      <c r="F99" s="518" t="str">
        <f t="shared" ca="1" si="11"/>
        <v>-</v>
      </c>
      <c r="G99" s="518" t="str">
        <f t="shared" ca="1" si="11"/>
        <v>-</v>
      </c>
      <c r="H99" s="518" t="str">
        <f t="shared" ca="1" si="11"/>
        <v>-</v>
      </c>
      <c r="I99" s="516">
        <f t="shared" ca="1" si="11"/>
        <v>0</v>
      </c>
      <c r="J99" s="518">
        <f ca="1">IF(INDEX($L$10:$L$13,MATCH($B99,$B$10:$B$13,0)),zar.2010,1)*SUMIF(NameConv!$C$4:$C$44,RIGHT(C99,3),OFFSET(INDIRECT(B99),0,AT99-1,NameConv!$A$45,1))</f>
        <v>60</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495">
        <f ca="1">IF(AT98&lt;&gt;AT99,1,IF(AS98=OFFSET(NameConv!$F$45,0,AT98),AR98+1,AR98))</f>
        <v>3</v>
      </c>
      <c r="AS99" s="495">
        <f t="shared" ca="1" si="12"/>
        <v>1</v>
      </c>
      <c r="AT99" s="526">
        <f ca="1">IF(AND(AR98=$AR$7,AS98=SUMIF(NameConv!$G$4:$M$4,MID(C98,2,3),NameConv!$G$45:$M$45)),AT98+1,AT98)</f>
        <v>3</v>
      </c>
    </row>
    <row r="100" spans="1:46">
      <c r="A100" s="883" t="str">
        <f ca="1">IF(INDEX(Demand.Sectors,MATCH(MID(C100,2,3),NameConv!$G$4:$M$4,0)),"","*")</f>
        <v/>
      </c>
      <c r="B100" s="518" t="str">
        <f t="shared" ca="1" si="9"/>
        <v>NCAP_TLIFE</v>
      </c>
      <c r="C100" s="518" t="str">
        <f ca="1">"X"&amp;OFFSET(NameConv!$F$4,0,AT100)&amp;OFFSET(NameConv!$F$59,AS100,AT100)</f>
        <v>XINDBIW</v>
      </c>
      <c r="D100" s="518" t="str">
        <f t="shared" ca="1" si="11"/>
        <v>-</v>
      </c>
      <c r="E100" s="518" t="str">
        <f t="shared" ca="1" si="11"/>
        <v>-</v>
      </c>
      <c r="F100" s="518" t="str">
        <f t="shared" ca="1" si="11"/>
        <v>-</v>
      </c>
      <c r="G100" s="518" t="str">
        <f t="shared" ca="1" si="11"/>
        <v>-</v>
      </c>
      <c r="H100" s="518" t="str">
        <f t="shared" ca="1" si="11"/>
        <v>-</v>
      </c>
      <c r="I100" s="516">
        <f t="shared" ca="1" si="11"/>
        <v>0</v>
      </c>
      <c r="J100" s="518">
        <f ca="1">IF(INDEX($L$10:$L$13,MATCH($B100,$B$10:$B$13,0)),zar.2010,1)*SUMIF(NameConv!$C$4:$C$44,RIGHT(C100,3),OFFSET(INDIRECT(B100),0,AT100-1,NameConv!$A$45,1))</f>
        <v>60</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495">
        <f ca="1">IF(AT99&lt;&gt;AT100,1,IF(AS99=OFFSET(NameConv!$F$45,0,AT99),AR99+1,AR99))</f>
        <v>3</v>
      </c>
      <c r="AS100" s="495">
        <f t="shared" ca="1" si="12"/>
        <v>2</v>
      </c>
      <c r="AT100" s="526">
        <f ca="1">IF(AND(AR99=$AR$7,AS99=SUMIF(NameConv!$G$4:$M$4,MID(C99,2,3),NameConv!$G$45:$M$45)),AT99+1,AT99)</f>
        <v>3</v>
      </c>
    </row>
    <row r="101" spans="1:46">
      <c r="A101" s="883" t="str">
        <f ca="1">IF(INDEX(Demand.Sectors,MATCH(MID(C101,2,3),NameConv!$G$4:$M$4,0)),"","*")</f>
        <v/>
      </c>
      <c r="B101" s="518" t="str">
        <f t="shared" ca="1" si="9"/>
        <v>NCAP_TLIFE</v>
      </c>
      <c r="C101" s="518" t="str">
        <f ca="1">"X"&amp;OFFSET(NameConv!$F$4,0,AT101)&amp;OFFSET(NameConv!$F$59,AS101,AT101)</f>
        <v>XINDCOA</v>
      </c>
      <c r="D101" s="518" t="str">
        <f t="shared" ca="1" si="11"/>
        <v>-</v>
      </c>
      <c r="E101" s="518" t="str">
        <f t="shared" ca="1" si="11"/>
        <v>-</v>
      </c>
      <c r="F101" s="518" t="str">
        <f t="shared" ca="1" si="11"/>
        <v>-</v>
      </c>
      <c r="G101" s="518" t="str">
        <f t="shared" ca="1" si="11"/>
        <v>-</v>
      </c>
      <c r="H101" s="518" t="str">
        <f t="shared" ca="1" si="11"/>
        <v>-</v>
      </c>
      <c r="I101" s="516">
        <f t="shared" ca="1" si="11"/>
        <v>0</v>
      </c>
      <c r="J101" s="518">
        <f ca="1">IF(INDEX($L$10:$L$13,MATCH($B101,$B$10:$B$13,0)),zar.2010,1)*SUMIF(NameConv!$C$4:$C$44,RIGHT(C101,3),OFFSET(INDIRECT(B101),0,AT101-1,NameConv!$A$45,1))</f>
        <v>60</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495">
        <f ca="1">IF(AT100&lt;&gt;AT101,1,IF(AS100=OFFSET(NameConv!$F$45,0,AT100),AR100+1,AR100))</f>
        <v>3</v>
      </c>
      <c r="AS101" s="495">
        <f t="shared" ca="1" si="12"/>
        <v>3</v>
      </c>
      <c r="AT101" s="526">
        <f ca="1">IF(AND(AR100=$AR$7,AS100=SUMIF(NameConv!$G$4:$M$4,MID(C100,2,3),NameConv!$G$45:$M$45)),AT100+1,AT100)</f>
        <v>3</v>
      </c>
    </row>
    <row r="102" spans="1:46">
      <c r="A102" s="883" t="str">
        <f ca="1">IF(INDEX(Demand.Sectors,MATCH(MID(C102,2,3),NameConv!$G$4:$M$4,0)),"","*")</f>
        <v/>
      </c>
      <c r="B102" s="518" t="str">
        <f t="shared" ca="1" si="9"/>
        <v>NCAP_TLIFE</v>
      </c>
      <c r="C102" s="518" t="str">
        <f ca="1">"X"&amp;OFFSET(NameConv!$F$4,0,AT102)&amp;OFFSET(NameConv!$F$59,AS102,AT102)</f>
        <v>XINDCOK</v>
      </c>
      <c r="D102" s="518" t="str">
        <f t="shared" ca="1" si="11"/>
        <v>-</v>
      </c>
      <c r="E102" s="518" t="str">
        <f t="shared" ca="1" si="11"/>
        <v>-</v>
      </c>
      <c r="F102" s="518" t="str">
        <f t="shared" ca="1" si="11"/>
        <v>-</v>
      </c>
      <c r="G102" s="518" t="str">
        <f t="shared" ca="1" si="11"/>
        <v>-</v>
      </c>
      <c r="H102" s="518" t="str">
        <f t="shared" ca="1" si="11"/>
        <v>-</v>
      </c>
      <c r="I102" s="516">
        <f t="shared" ca="1" si="11"/>
        <v>0</v>
      </c>
      <c r="J102" s="518">
        <f ca="1">IF(INDEX($L$10:$L$13,MATCH($B102,$B$10:$B$13,0)),zar.2010,1)*SUMIF(NameConv!$C$4:$C$44,RIGHT(C102,3),OFFSET(INDIRECT(B102),0,AT102-1,NameConv!$A$45,1))</f>
        <v>60</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495">
        <f ca="1">IF(AT101&lt;&gt;AT102,1,IF(AS101=OFFSET(NameConv!$F$45,0,AT101),AR101+1,AR101))</f>
        <v>3</v>
      </c>
      <c r="AS102" s="495">
        <f t="shared" ca="1" si="12"/>
        <v>4</v>
      </c>
      <c r="AT102" s="526">
        <f ca="1">IF(AND(AR101=$AR$7,AS101=SUMIF(NameConv!$G$4:$M$4,MID(C101,2,3),NameConv!$G$45:$M$45)),AT101+1,AT101)</f>
        <v>3</v>
      </c>
    </row>
    <row r="103" spans="1:46">
      <c r="A103" s="883" t="str">
        <f ca="1">IF(INDEX(Demand.Sectors,MATCH(MID(C103,2,3),NameConv!$G$4:$M$4,0)),"","*")</f>
        <v/>
      </c>
      <c r="B103" s="518" t="str">
        <f t="shared" ca="1" si="9"/>
        <v>NCAP_TLIFE</v>
      </c>
      <c r="C103" s="518" t="str">
        <f ca="1">"X"&amp;OFFSET(NameConv!$F$4,0,AT103)&amp;OFFSET(NameConv!$F$59,AS103,AT103)</f>
        <v>XINDCLE</v>
      </c>
      <c r="D103" s="518" t="str">
        <f t="shared" ca="1" si="11"/>
        <v>-</v>
      </c>
      <c r="E103" s="518" t="str">
        <f t="shared" ca="1" si="11"/>
        <v>-</v>
      </c>
      <c r="F103" s="518" t="str">
        <f t="shared" ca="1" si="11"/>
        <v>-</v>
      </c>
      <c r="G103" s="518" t="str">
        <f t="shared" ca="1" si="11"/>
        <v>-</v>
      </c>
      <c r="H103" s="518" t="str">
        <f t="shared" ca="1" si="11"/>
        <v>-</v>
      </c>
      <c r="I103" s="516">
        <f t="shared" ca="1" si="11"/>
        <v>0</v>
      </c>
      <c r="J103" s="518">
        <f ca="1">IF(INDEX($L$10:$L$13,MATCH($B103,$B$10:$B$13,0)),zar.2010,1)*SUMIF(NameConv!$C$4:$C$44,RIGHT(C103,3),OFFSET(INDIRECT(B103),0,AT103-1,NameConv!$A$45,1))</f>
        <v>60</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495">
        <f ca="1">IF(AT102&lt;&gt;AT103,1,IF(AS102=OFFSET(NameConv!$F$45,0,AT102),AR102+1,AR102))</f>
        <v>3</v>
      </c>
      <c r="AS103" s="495">
        <f t="shared" ca="1" si="12"/>
        <v>5</v>
      </c>
      <c r="AT103" s="526">
        <f ca="1">IF(AND(AR102=$AR$7,AS102=SUMIF(NameConv!$G$4:$M$4,MID(C102,2,3),NameConv!$G$45:$M$45)),AT102+1,AT102)</f>
        <v>3</v>
      </c>
    </row>
    <row r="104" spans="1:46">
      <c r="A104" s="883" t="str">
        <f ca="1">IF(INDEX(Demand.Sectors,MATCH(MID(C104,2,3),NameConv!$G$4:$M$4,0)),"","*")</f>
        <v/>
      </c>
      <c r="B104" s="518" t="str">
        <f t="shared" ca="1" si="9"/>
        <v>NCAP_TLIFE</v>
      </c>
      <c r="C104" s="518" t="str">
        <f ca="1">"X"&amp;OFFSET(NameConv!$F$4,0,AT104)&amp;OFFSET(NameConv!$F$59,AS104,AT104)</f>
        <v>XINDELC</v>
      </c>
      <c r="D104" s="518" t="str">
        <f t="shared" ca="1" si="11"/>
        <v>-</v>
      </c>
      <c r="E104" s="518" t="str">
        <f t="shared" ca="1" si="11"/>
        <v>-</v>
      </c>
      <c r="F104" s="518" t="str">
        <f t="shared" ca="1" si="11"/>
        <v>-</v>
      </c>
      <c r="G104" s="518" t="str">
        <f t="shared" ca="1" si="11"/>
        <v>-</v>
      </c>
      <c r="H104" s="518" t="str">
        <f t="shared" ca="1" si="11"/>
        <v>-</v>
      </c>
      <c r="I104" s="516">
        <f t="shared" ca="1" si="11"/>
        <v>0</v>
      </c>
      <c r="J104" s="518">
        <f ca="1">IF(INDEX($L$10:$L$13,MATCH($B104,$B$10:$B$13,0)),zar.2010,1)*SUMIF(NameConv!$C$4:$C$44,RIGHT(C104,3),OFFSET(INDIRECT(B104),0,AT104-1,NameConv!$A$45,1))</f>
        <v>60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495">
        <f ca="1">IF(AT103&lt;&gt;AT104,1,IF(AS103=OFFSET(NameConv!$F$45,0,AT103),AR103+1,AR103))</f>
        <v>3</v>
      </c>
      <c r="AS104" s="495">
        <f t="shared" ca="1" si="12"/>
        <v>6</v>
      </c>
      <c r="AT104" s="526">
        <f ca="1">IF(AND(AR103=$AR$7,AS103=SUMIF(NameConv!$G$4:$M$4,MID(C103,2,3),NameConv!$G$45:$M$45)),AT103+1,AT103)</f>
        <v>3</v>
      </c>
    </row>
    <row r="105" spans="1:46">
      <c r="A105" s="883" t="str">
        <f ca="1">IF(INDEX(Demand.Sectors,MATCH(MID(C105,2,3),NameConv!$G$4:$M$4,0)),"","*")</f>
        <v/>
      </c>
      <c r="B105" s="518" t="str">
        <f t="shared" ca="1" si="9"/>
        <v>NCAP_TLIFE</v>
      </c>
      <c r="C105" s="518" t="str">
        <f ca="1">"X"&amp;OFFSET(NameConv!$F$4,0,AT105)&amp;OFFSET(NameConv!$F$59,AS105,AT105)</f>
        <v>XINDGAS</v>
      </c>
      <c r="D105" s="518" t="str">
        <f t="shared" ca="1" si="11"/>
        <v>-</v>
      </c>
      <c r="E105" s="518" t="str">
        <f t="shared" ca="1" si="11"/>
        <v>-</v>
      </c>
      <c r="F105" s="518" t="str">
        <f t="shared" ca="1" si="11"/>
        <v>-</v>
      </c>
      <c r="G105" s="518" t="str">
        <f t="shared" ca="1" si="11"/>
        <v>-</v>
      </c>
      <c r="H105" s="518" t="str">
        <f t="shared" ca="1" si="11"/>
        <v>-</v>
      </c>
      <c r="I105" s="516">
        <f t="shared" ca="1" si="11"/>
        <v>0</v>
      </c>
      <c r="J105" s="518">
        <f ca="1">IF(INDEX($L$10:$L$13,MATCH($B105,$B$10:$B$13,0)),zar.2010,1)*SUMIF(NameConv!$C$4:$C$44,RIGHT(C105,3),OFFSET(INDIRECT(B105),0,AT105-1,NameConv!$A$45,1))</f>
        <v>70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495">
        <f ca="1">IF(AT104&lt;&gt;AT105,1,IF(AS104=OFFSET(NameConv!$F$45,0,AT104),AR104+1,AR104))</f>
        <v>3</v>
      </c>
      <c r="AS105" s="495">
        <f t="shared" ref="AS105:AS110" ca="1" si="13">IF(AR105=AR104,AS104+1,1)</f>
        <v>7</v>
      </c>
      <c r="AT105" s="526">
        <f ca="1">IF(AND(AR104=$AR$7,AS104=SUMIF(NameConv!$G$4:$M$4,MID(C104,2,3),NameConv!$G$45:$M$45)),AT104+1,AT104)</f>
        <v>3</v>
      </c>
    </row>
    <row r="106" spans="1:46">
      <c r="A106" s="883" t="str">
        <f ca="1">IF(INDEX(Demand.Sectors,MATCH(MID(C106,2,3),NameConv!$G$4:$M$4,0)),"","*")</f>
        <v/>
      </c>
      <c r="B106" s="518" t="str">
        <f t="shared" ca="1" si="9"/>
        <v>NCAP_TLIFE</v>
      </c>
      <c r="C106" s="518" t="str">
        <f ca="1">"X"&amp;OFFSET(NameConv!$F$4,0,AT106)&amp;OFFSET(NameConv!$F$59,AS106,AT106)</f>
        <v>XINDODS</v>
      </c>
      <c r="D106" s="518" t="str">
        <f t="shared" ref="D106:I121" ca="1" si="14">IF($A106="*","",VLOOKUP($B106,$B$10:$I$13,D$9,FALSE))</f>
        <v>-</v>
      </c>
      <c r="E106" s="518" t="str">
        <f t="shared" ca="1" si="14"/>
        <v>-</v>
      </c>
      <c r="F106" s="518" t="str">
        <f t="shared" ca="1" si="14"/>
        <v>-</v>
      </c>
      <c r="G106" s="518" t="str">
        <f t="shared" ca="1" si="14"/>
        <v>-</v>
      </c>
      <c r="H106" s="518" t="str">
        <f t="shared" ca="1" si="14"/>
        <v>-</v>
      </c>
      <c r="I106" s="516">
        <f t="shared" ca="1" si="14"/>
        <v>0</v>
      </c>
      <c r="J106" s="518">
        <f ca="1">IF(INDEX($L$10:$L$13,MATCH($B106,$B$10:$B$13,0)),zar.2010,1)*SUMIF(NameConv!$C$4:$C$44,RIGHT(C106,3),OFFSET(INDIRECT(B106),0,AT106-1,NameConv!$A$45,1))</f>
        <v>60</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495">
        <f ca="1">IF(AT105&lt;&gt;AT106,1,IF(AS105=OFFSET(NameConv!$F$45,0,AT105),AR105+1,AR105))</f>
        <v>3</v>
      </c>
      <c r="AS106" s="495">
        <f t="shared" ca="1" si="13"/>
        <v>8</v>
      </c>
      <c r="AT106" s="526">
        <f ca="1">IF(AND(AR105=$AR$7,AS105=SUMIF(NameConv!$G$4:$M$4,MID(C105,2,3),NameConv!$G$45:$M$45)),AT105+1,AT105)</f>
        <v>3</v>
      </c>
    </row>
    <row r="107" spans="1:46">
      <c r="A107" s="883" t="str">
        <f ca="1">IF(INDEX(Demand.Sectors,MATCH(MID(C107,2,3),NameConv!$G$4:$M$4,0)),"","*")</f>
        <v/>
      </c>
      <c r="B107" s="518" t="str">
        <f t="shared" ca="1" si="9"/>
        <v>NCAP_TLIFE</v>
      </c>
      <c r="C107" s="518" t="str">
        <f ca="1">"X"&amp;OFFSET(NameConv!$F$4,0,AT107)&amp;OFFSET(NameConv!$F$59,AS107,AT107)</f>
        <v>XINDOGS</v>
      </c>
      <c r="D107" s="518" t="str">
        <f t="shared" ca="1" si="14"/>
        <v>-</v>
      </c>
      <c r="E107" s="518" t="str">
        <f t="shared" ca="1" si="14"/>
        <v>-</v>
      </c>
      <c r="F107" s="518" t="str">
        <f t="shared" ca="1" si="14"/>
        <v>-</v>
      </c>
      <c r="G107" s="518" t="str">
        <f t="shared" ca="1" si="14"/>
        <v>-</v>
      </c>
      <c r="H107" s="518" t="str">
        <f t="shared" ca="1" si="14"/>
        <v>-</v>
      </c>
      <c r="I107" s="516">
        <f t="shared" ca="1" si="14"/>
        <v>0</v>
      </c>
      <c r="J107" s="518">
        <f ca="1">IF(INDEX($L$10:$L$13,MATCH($B107,$B$10:$B$13,0)),zar.2010,1)*SUMIF(NameConv!$C$4:$C$44,RIGHT(C107,3),OFFSET(INDIRECT(B107),0,AT107-1,NameConv!$A$45,1))</f>
        <v>60</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495">
        <f ca="1">IF(AT106&lt;&gt;AT107,1,IF(AS106=OFFSET(NameConv!$F$45,0,AT106),AR106+1,AR106))</f>
        <v>3</v>
      </c>
      <c r="AS107" s="495">
        <f t="shared" ca="1" si="13"/>
        <v>9</v>
      </c>
      <c r="AT107" s="526">
        <f ca="1">IF(AND(AR106=$AR$7,AS106=SUMIF(NameConv!$G$4:$M$4,MID(C106,2,3),NameConv!$G$45:$M$45)),AT106+1,AT106)</f>
        <v>3</v>
      </c>
    </row>
    <row r="108" spans="1:46">
      <c r="A108" s="883" t="str">
        <f ca="1">IF(INDEX(Demand.Sectors,MATCH(MID(C108,2,3),NameConv!$G$4:$M$4,0)),"","*")</f>
        <v/>
      </c>
      <c r="B108" s="518" t="str">
        <f t="shared" ca="1" si="9"/>
        <v>NCAP_TLIFE</v>
      </c>
      <c r="C108" s="518" t="str">
        <f ca="1">"X"&amp;OFFSET(NameConv!$F$4,0,AT108)&amp;OFFSET(NameConv!$F$59,AS108,AT108)</f>
        <v>XINDOHF</v>
      </c>
      <c r="D108" s="518" t="str">
        <f t="shared" ca="1" si="14"/>
        <v>-</v>
      </c>
      <c r="E108" s="518" t="str">
        <f t="shared" ca="1" si="14"/>
        <v>-</v>
      </c>
      <c r="F108" s="518" t="str">
        <f t="shared" ca="1" si="14"/>
        <v>-</v>
      </c>
      <c r="G108" s="518" t="str">
        <f t="shared" ca="1" si="14"/>
        <v>-</v>
      </c>
      <c r="H108" s="518" t="str">
        <f t="shared" ca="1" si="14"/>
        <v>-</v>
      </c>
      <c r="I108" s="516">
        <f t="shared" ca="1" si="14"/>
        <v>0</v>
      </c>
      <c r="J108" s="518">
        <f ca="1">IF(INDEX($L$10:$L$13,MATCH($B108,$B$10:$B$13,0)),zar.2010,1)*SUMIF(NameConv!$C$4:$C$44,RIGHT(C108,3),OFFSET(INDIRECT(B108),0,AT108-1,NameConv!$A$45,1))</f>
        <v>60</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495">
        <f ca="1">IF(AT107&lt;&gt;AT108,1,IF(AS107=OFFSET(NameConv!$F$45,0,AT107),AR107+1,AR107))</f>
        <v>3</v>
      </c>
      <c r="AS108" s="495">
        <f t="shared" ca="1" si="13"/>
        <v>10</v>
      </c>
      <c r="AT108" s="526">
        <f ca="1">IF(AND(AR107=$AR$7,AS107=SUMIF(NameConv!$G$4:$M$4,MID(C107,2,3),NameConv!$G$45:$M$45)),AT107+1,AT107)</f>
        <v>3</v>
      </c>
    </row>
    <row r="109" spans="1:46">
      <c r="A109" s="883" t="str">
        <f ca="1">IF(INDEX(Demand.Sectors,MATCH(MID(C109,2,3),NameConv!$G$4:$M$4,0)),"","*")</f>
        <v/>
      </c>
      <c r="B109" s="518" t="str">
        <f t="shared" ca="1" si="9"/>
        <v>NCAP_TLIFE</v>
      </c>
      <c r="C109" s="518" t="str">
        <f ca="1">"X"&amp;OFFSET(NameConv!$F$4,0,AT109)&amp;OFFSET(NameConv!$F$59,AS109,AT109)</f>
        <v>XINDOLP</v>
      </c>
      <c r="D109" s="518" t="str">
        <f t="shared" ca="1" si="14"/>
        <v>-</v>
      </c>
      <c r="E109" s="518" t="str">
        <f t="shared" ca="1" si="14"/>
        <v>-</v>
      </c>
      <c r="F109" s="518" t="str">
        <f t="shared" ca="1" si="14"/>
        <v>-</v>
      </c>
      <c r="G109" s="518" t="str">
        <f t="shared" ca="1" si="14"/>
        <v>-</v>
      </c>
      <c r="H109" s="518" t="str">
        <f t="shared" ca="1" si="14"/>
        <v>-</v>
      </c>
      <c r="I109" s="516">
        <f t="shared" ca="1" si="14"/>
        <v>0</v>
      </c>
      <c r="J109" s="518">
        <f ca="1">IF(INDEX($L$10:$L$13,MATCH($B109,$B$10:$B$13,0)),zar.2010,1)*SUMIF(NameConv!$C$4:$C$44,RIGHT(C109,3),OFFSET(INDIRECT(B109),0,AT109-1,NameConv!$A$45,1))</f>
        <v>60</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495">
        <f ca="1">IF(AT108&lt;&gt;AT109,1,IF(AS108=OFFSET(NameConv!$F$45,0,AT108),AR108+1,AR108))</f>
        <v>3</v>
      </c>
      <c r="AS109" s="495">
        <f t="shared" ca="1" si="13"/>
        <v>11</v>
      </c>
      <c r="AT109" s="526">
        <f ca="1">IF(AND(AR108=$AR$7,AS108=SUMIF(NameConv!$G$4:$M$4,MID(C108,2,3),NameConv!$G$45:$M$45)),AT108+1,AT108)</f>
        <v>3</v>
      </c>
    </row>
    <row r="110" spans="1:46">
      <c r="A110" s="883" t="str">
        <f ca="1">IF(INDEX(Demand.Sectors,MATCH(MID(C110,2,3),NameConv!$G$4:$M$4,0)),"","*")</f>
        <v/>
      </c>
      <c r="B110" s="518" t="str">
        <f t="shared" ca="1" si="9"/>
        <v>NCAP_TLIFE</v>
      </c>
      <c r="C110" s="518" t="str">
        <f ca="1">"X"&amp;OFFSET(NameConv!$F$4,0,AT110)&amp;OFFSET(NameConv!$F$59,AS110,AT110)</f>
        <v>XINDWAS</v>
      </c>
      <c r="D110" s="518" t="str">
        <f t="shared" ca="1" si="14"/>
        <v>-</v>
      </c>
      <c r="E110" s="518" t="str">
        <f t="shared" ca="1" si="14"/>
        <v>-</v>
      </c>
      <c r="F110" s="518" t="str">
        <f t="shared" ca="1" si="14"/>
        <v>-</v>
      </c>
      <c r="G110" s="518" t="str">
        <f t="shared" ca="1" si="14"/>
        <v>-</v>
      </c>
      <c r="H110" s="518" t="str">
        <f t="shared" ca="1" si="14"/>
        <v>-</v>
      </c>
      <c r="I110" s="516">
        <f t="shared" ca="1" si="14"/>
        <v>0</v>
      </c>
      <c r="J110" s="518">
        <f ca="1">IF(INDEX($L$10:$L$13,MATCH($B110,$B$10:$B$13,0)),zar.2010,1)*SUMIF(NameConv!$C$4:$C$44,RIGHT(C110,3),OFFSET(INDIRECT(B110),0,AT110-1,NameConv!$A$45,1))</f>
        <v>60</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495">
        <f ca="1">IF(AT109&lt;&gt;AT110,1,IF(AS109=OFFSET(NameConv!$F$45,0,AT109),AR109+1,AR109))</f>
        <v>3</v>
      </c>
      <c r="AS110" s="495">
        <f t="shared" ca="1" si="13"/>
        <v>12</v>
      </c>
      <c r="AT110" s="526">
        <f ca="1">IF(AND(AR109=$AR$7,AS109=SUMIF(NameConv!$G$4:$M$4,MID(C109,2,3),NameConv!$G$45:$M$45)),AT109+1,AT109)</f>
        <v>3</v>
      </c>
    </row>
    <row r="111" spans="1:46">
      <c r="A111" s="883" t="str">
        <f ca="1">IF(INDEX(Demand.Sectors,MATCH(MID(C111,2,3),NameConv!$G$4:$M$4,0)),"","*")</f>
        <v/>
      </c>
      <c r="B111" s="518" t="str">
        <f t="shared" ca="1" si="9"/>
        <v>PRC_RESID</v>
      </c>
      <c r="C111" s="518" t="str">
        <f ca="1">"X"&amp;OFFSET(NameConv!$F$4,0,AT111)&amp;OFFSET(NameConv!$F$59,AS111,AT111)</f>
        <v>XINDBIB</v>
      </c>
      <c r="D111" s="518" t="str">
        <f t="shared" ca="1" si="14"/>
        <v>-</v>
      </c>
      <c r="E111" s="518" t="str">
        <f t="shared" ca="1" si="14"/>
        <v>-</v>
      </c>
      <c r="F111" s="518" t="str">
        <f t="shared" ca="1" si="14"/>
        <v>-</v>
      </c>
      <c r="G111" s="518" t="str">
        <f t="shared" ca="1" si="14"/>
        <v>-</v>
      </c>
      <c r="H111" s="518" t="str">
        <f t="shared" ca="1" si="14"/>
        <v>-</v>
      </c>
      <c r="I111" s="516">
        <f t="shared" ca="1" si="14"/>
        <v>0</v>
      </c>
      <c r="J111" s="518">
        <f ca="1">IF(INDEX($L$10:$L$13,MATCH($B111,$B$10:$B$13,0)),zar.2010,1)*SUMIF(NameConv!$C$4:$C$44,RIGHT(C111,3),OFFSET(INDIRECT(B111),0,AT111-1,NameConv!$A$45,1))</f>
        <v>1.0000000000000001E-5</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495">
        <f ca="1">IF(AT110&lt;&gt;AT111,1,IF(AS110=OFFSET(NameConv!$F$45,0,AT110),AR110+1,AR110))</f>
        <v>4</v>
      </c>
      <c r="AS111" s="495">
        <f ca="1">IF(AR111=AR110,AS110+1,1)</f>
        <v>1</v>
      </c>
      <c r="AT111" s="526">
        <f ca="1">IF(AND(AR110=$AR$7,AS110=SUMIF(NameConv!$G$4:$M$4,MID(C110,2,3),NameConv!$G$45:$M$45)),AT110+1,AT110)</f>
        <v>3</v>
      </c>
    </row>
    <row r="112" spans="1:46">
      <c r="A112" s="883" t="str">
        <f ca="1">IF(INDEX(Demand.Sectors,MATCH(MID(C112,2,3),NameConv!$G$4:$M$4,0)),"","*")</f>
        <v/>
      </c>
      <c r="B112" s="518" t="str">
        <f t="shared" ca="1" si="9"/>
        <v>PRC_RESID</v>
      </c>
      <c r="C112" s="518" t="str">
        <f ca="1">"X"&amp;OFFSET(NameConv!$F$4,0,AT112)&amp;OFFSET(NameConv!$F$59,AS112,AT112)</f>
        <v>XINDBIW</v>
      </c>
      <c r="D112" s="518" t="str">
        <f t="shared" ca="1" si="14"/>
        <v>-</v>
      </c>
      <c r="E112" s="518" t="str">
        <f t="shared" ca="1" si="14"/>
        <v>-</v>
      </c>
      <c r="F112" s="518" t="str">
        <f t="shared" ca="1" si="14"/>
        <v>-</v>
      </c>
      <c r="G112" s="518" t="str">
        <f t="shared" ca="1" si="14"/>
        <v>-</v>
      </c>
      <c r="H112" s="518" t="str">
        <f t="shared" ca="1" si="14"/>
        <v>-</v>
      </c>
      <c r="I112" s="516">
        <f t="shared" ca="1" si="14"/>
        <v>0</v>
      </c>
      <c r="J112" s="518">
        <f ca="1">IF(INDEX($L$10:$L$13,MATCH($B112,$B$10:$B$13,0)),zar.2010,1)*SUMIF(NameConv!$C$4:$C$44,RIGHT(C112,3),OFFSET(INDIRECT(B112),0,AT112-1,NameConv!$A$45,1))</f>
        <v>1.0000000000000001E-5</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495">
        <f ca="1">IF(AT111&lt;&gt;AT112,1,IF(AS111=OFFSET(NameConv!$F$45,0,AT111),AR111+1,AR111))</f>
        <v>4</v>
      </c>
      <c r="AS112" s="495">
        <f ca="1">IF(AR112=AR111,AS111+1,1)</f>
        <v>2</v>
      </c>
      <c r="AT112" s="526">
        <f ca="1">IF(AND(AR111=$AR$7,AS111=SUMIF(NameConv!$G$4:$M$4,MID(C111,2,3),NameConv!$G$45:$M$45)),AT111+1,AT111)</f>
        <v>3</v>
      </c>
    </row>
    <row r="113" spans="1:46">
      <c r="A113" s="883" t="str">
        <f ca="1">IF(INDEX(Demand.Sectors,MATCH(MID(C113,2,3),NameConv!$G$4:$M$4,0)),"","*")</f>
        <v/>
      </c>
      <c r="B113" s="518" t="str">
        <f t="shared" ca="1" si="9"/>
        <v>PRC_RESID</v>
      </c>
      <c r="C113" s="518" t="str">
        <f ca="1">"X"&amp;OFFSET(NameConv!$F$4,0,AT113)&amp;OFFSET(NameConv!$F$59,AS113,AT113)</f>
        <v>XINDCOA</v>
      </c>
      <c r="D113" s="518" t="str">
        <f t="shared" ca="1" si="14"/>
        <v>-</v>
      </c>
      <c r="E113" s="518" t="str">
        <f t="shared" ca="1" si="14"/>
        <v>-</v>
      </c>
      <c r="F113" s="518" t="str">
        <f t="shared" ca="1" si="14"/>
        <v>-</v>
      </c>
      <c r="G113" s="518" t="str">
        <f t="shared" ca="1" si="14"/>
        <v>-</v>
      </c>
      <c r="H113" s="518" t="str">
        <f t="shared" ca="1" si="14"/>
        <v>-</v>
      </c>
      <c r="I113" s="516">
        <f t="shared" ca="1" si="14"/>
        <v>0</v>
      </c>
      <c r="J113" s="518">
        <f ca="1">IF(INDEX($L$10:$L$13,MATCH($B113,$B$10:$B$13,0)),zar.2010,1)*SUMIF(NameConv!$C$4:$C$44,RIGHT(C113,3),OFFSET(INDIRECT(B113),0,AT113-1,NameConv!$A$45,1))</f>
        <v>1.0000000000000001E-5</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495">
        <f ca="1">IF(AT112&lt;&gt;AT113,1,IF(AS112=OFFSET(NameConv!$F$45,0,AT112),AR112+1,AR112))</f>
        <v>4</v>
      </c>
      <c r="AS113" s="495">
        <f ca="1">IF(AR113=AR112,AS112+1,1)</f>
        <v>3</v>
      </c>
      <c r="AT113" s="526">
        <f ca="1">IF(AND(AR112=$AR$7,AS112=SUMIF(NameConv!$G$4:$M$4,MID(C112,2,3),NameConv!$G$45:$M$45)),AT112+1,AT112)</f>
        <v>3</v>
      </c>
    </row>
    <row r="114" spans="1:46">
      <c r="A114" s="883" t="str">
        <f ca="1">IF(INDEX(Demand.Sectors,MATCH(MID(C114,2,3),NameConv!$G$4:$M$4,0)),"","*")</f>
        <v/>
      </c>
      <c r="B114" s="518" t="str">
        <f t="shared" ca="1" si="9"/>
        <v>PRC_RESID</v>
      </c>
      <c r="C114" s="518" t="str">
        <f ca="1">"X"&amp;OFFSET(NameConv!$F$4,0,AT114)&amp;OFFSET(NameConv!$F$59,AS114,AT114)</f>
        <v>XINDCOK</v>
      </c>
      <c r="D114" s="518" t="str">
        <f t="shared" ca="1" si="14"/>
        <v>-</v>
      </c>
      <c r="E114" s="518" t="str">
        <f t="shared" ca="1" si="14"/>
        <v>-</v>
      </c>
      <c r="F114" s="518" t="str">
        <f t="shared" ca="1" si="14"/>
        <v>-</v>
      </c>
      <c r="G114" s="518" t="str">
        <f t="shared" ca="1" si="14"/>
        <v>-</v>
      </c>
      <c r="H114" s="518" t="str">
        <f t="shared" ca="1" si="14"/>
        <v>-</v>
      </c>
      <c r="I114" s="516">
        <f t="shared" ca="1" si="14"/>
        <v>0</v>
      </c>
      <c r="J114" s="518">
        <f ca="1">IF(INDEX($L$10:$L$13,MATCH($B114,$B$10:$B$13,0)),zar.2010,1)*SUMIF(NameConv!$C$4:$C$44,RIGHT(C114,3),OFFSET(INDIRECT(B114),0,AT114-1,NameConv!$A$45,1))</f>
        <v>1.0000000000000001E-5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495">
        <f ca="1">IF(AT113&lt;&gt;AT114,1,IF(AS113=OFFSET(NameConv!$F$45,0,AT113),AR113+1,AR113))</f>
        <v>4</v>
      </c>
      <c r="AS114" s="495">
        <f ca="1">IF(AR114=AR113,AS113+1,1)</f>
        <v>4</v>
      </c>
      <c r="AT114" s="526">
        <f ca="1">IF(AND(AR113=$AR$7,AS113=SUMIF(NameConv!$G$4:$M$4,MID(C113,2,3),NameConv!$G$45:$M$45)),AT113+1,AT113)</f>
        <v>3</v>
      </c>
    </row>
    <row r="115" spans="1:46">
      <c r="A115" s="883" t="str">
        <f ca="1">IF(INDEX(Demand.Sectors,MATCH(MID(C115,2,3),NameConv!$G$4:$M$4,0)),"","*")</f>
        <v/>
      </c>
      <c r="B115" s="518" t="str">
        <f t="shared" ca="1" si="9"/>
        <v>PRC_RESID</v>
      </c>
      <c r="C115" s="518" t="str">
        <f ca="1">"X"&amp;OFFSET(NameConv!$F$4,0,AT115)&amp;OFFSET(NameConv!$F$59,AS115,AT115)</f>
        <v>XINDCLE</v>
      </c>
      <c r="D115" s="518" t="str">
        <f t="shared" ca="1" si="14"/>
        <v>-</v>
      </c>
      <c r="E115" s="518" t="str">
        <f t="shared" ca="1" si="14"/>
        <v>-</v>
      </c>
      <c r="F115" s="518" t="str">
        <f t="shared" ca="1" si="14"/>
        <v>-</v>
      </c>
      <c r="G115" s="518" t="str">
        <f t="shared" ca="1" si="14"/>
        <v>-</v>
      </c>
      <c r="H115" s="518" t="str">
        <f t="shared" ca="1" si="14"/>
        <v>-</v>
      </c>
      <c r="I115" s="516">
        <f t="shared" ca="1" si="14"/>
        <v>0</v>
      </c>
      <c r="J115" s="518">
        <f ca="1">IF(INDEX($L$10:$L$13,MATCH($B115,$B$10:$B$13,0)),zar.2010,1)*SUMIF(NameConv!$C$4:$C$44,RIGHT(C115,3),OFFSET(INDIRECT(B115),0,AT115-1,NameConv!$A$45,1))</f>
        <v>1.0000000000000001E-5</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495">
        <f ca="1">IF(AT114&lt;&gt;AT115,1,IF(AS114=OFFSET(NameConv!$F$45,0,AT114),AR114+1,AR114))</f>
        <v>4</v>
      </c>
      <c r="AS115" s="495">
        <f t="shared" ref="AS115:AS178" ca="1" si="15">IF(AR115=AR114,AS114+1,1)</f>
        <v>5</v>
      </c>
      <c r="AT115" s="526">
        <f ca="1">IF(AND(AR114=$AR$7,AS114=SUMIF(NameConv!$G$4:$M$4,MID(C114,2,3),NameConv!$G$45:$M$45)),AT114+1,AT114)</f>
        <v>3</v>
      </c>
    </row>
    <row r="116" spans="1:46">
      <c r="A116" s="883" t="str">
        <f ca="1">IF(INDEX(Demand.Sectors,MATCH(MID(C116,2,3),NameConv!$G$4:$M$4,0)),"","*")</f>
        <v/>
      </c>
      <c r="B116" s="518" t="str">
        <f t="shared" ca="1" si="9"/>
        <v>PRC_RESID</v>
      </c>
      <c r="C116" s="518" t="str">
        <f ca="1">"X"&amp;OFFSET(NameConv!$F$4,0,AT116)&amp;OFFSET(NameConv!$F$59,AS116,AT116)</f>
        <v>XINDELC</v>
      </c>
      <c r="D116" s="518" t="str">
        <f t="shared" ca="1" si="14"/>
        <v>-</v>
      </c>
      <c r="E116" s="518" t="str">
        <f t="shared" ca="1" si="14"/>
        <v>-</v>
      </c>
      <c r="F116" s="518" t="str">
        <f t="shared" ca="1" si="14"/>
        <v>-</v>
      </c>
      <c r="G116" s="518" t="str">
        <f t="shared" ca="1" si="14"/>
        <v>-</v>
      </c>
      <c r="H116" s="518" t="str">
        <f t="shared" ca="1" si="14"/>
        <v>-</v>
      </c>
      <c r="I116" s="516">
        <f t="shared" ca="1" si="14"/>
        <v>0</v>
      </c>
      <c r="J116" s="518">
        <f ca="1">IF(INDEX($L$10:$L$13,MATCH($B116,$B$10:$B$13,0)),zar.2010,1)*SUMIF(NameConv!$C$4:$C$44,RIGHT(C116,3),OFFSET(INDIRECT(B116),0,AT116-1,NameConv!$A$45,1))</f>
        <v>15.533587315156527</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495">
        <f ca="1">IF(AT115&lt;&gt;AT116,1,IF(AS115=OFFSET(NameConv!$F$45,0,AT115),AR115+1,AR115))</f>
        <v>4</v>
      </c>
      <c r="AS116" s="495">
        <f t="shared" ca="1" si="15"/>
        <v>6</v>
      </c>
      <c r="AT116" s="526">
        <f ca="1">IF(AND(AR115=$AR$7,AS115=SUMIF(NameConv!$G$4:$M$4,MID(C115,2,3),NameConv!$G$45:$M$45)),AT115+1,AT115)</f>
        <v>3</v>
      </c>
    </row>
    <row r="117" spans="1:46">
      <c r="A117" s="883" t="str">
        <f ca="1">IF(INDEX(Demand.Sectors,MATCH(MID(C117,2,3),NameConv!$G$4:$M$4,0)),"","*")</f>
        <v/>
      </c>
      <c r="B117" s="518" t="str">
        <f t="shared" ca="1" si="9"/>
        <v>PRC_RESID</v>
      </c>
      <c r="C117" s="518" t="str">
        <f ca="1">"X"&amp;OFFSET(NameConv!$F$4,0,AT117)&amp;OFFSET(NameConv!$F$59,AS117,AT117)</f>
        <v>XINDGAS</v>
      </c>
      <c r="D117" s="518" t="str">
        <f t="shared" ca="1" si="14"/>
        <v>-</v>
      </c>
      <c r="E117" s="518" t="str">
        <f t="shared" ca="1" si="14"/>
        <v>-</v>
      </c>
      <c r="F117" s="518" t="str">
        <f t="shared" ca="1" si="14"/>
        <v>-</v>
      </c>
      <c r="G117" s="518" t="str">
        <f t="shared" ca="1" si="14"/>
        <v>-</v>
      </c>
      <c r="H117" s="518" t="str">
        <f t="shared" ca="1" si="14"/>
        <v>-</v>
      </c>
      <c r="I117" s="516">
        <f t="shared" ca="1" si="14"/>
        <v>0</v>
      </c>
      <c r="J117" s="518">
        <f ca="1">IF(INDEX($L$10:$L$13,MATCH($B117,$B$10:$B$13,0)),zar.2010,1)*SUMIF(NameConv!$C$4:$C$44,RIGHT(C117,3),OFFSET(INDIRECT(B117),0,AT117-1,NameConv!$A$45,1))</f>
        <v>18.46</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495">
        <f ca="1">IF(AT116&lt;&gt;AT117,1,IF(AS116=OFFSET(NameConv!$F$45,0,AT116),AR116+1,AR116))</f>
        <v>4</v>
      </c>
      <c r="AS117" s="495">
        <f t="shared" ca="1" si="15"/>
        <v>7</v>
      </c>
      <c r="AT117" s="526">
        <f ca="1">IF(AND(AR116=$AR$7,AS116=SUMIF(NameConv!$G$4:$M$4,MID(C116,2,3),NameConv!$G$45:$M$45)),AT116+1,AT116)</f>
        <v>3</v>
      </c>
    </row>
    <row r="118" spans="1:46">
      <c r="A118" s="883" t="str">
        <f ca="1">IF(INDEX(Demand.Sectors,MATCH(MID(C118,2,3),NameConv!$G$4:$M$4,0)),"","*")</f>
        <v/>
      </c>
      <c r="B118" s="518" t="str">
        <f t="shared" ca="1" si="9"/>
        <v>PRC_RESID</v>
      </c>
      <c r="C118" s="518" t="str">
        <f ca="1">"X"&amp;OFFSET(NameConv!$F$4,0,AT118)&amp;OFFSET(NameConv!$F$59,AS118,AT118)</f>
        <v>XINDODS</v>
      </c>
      <c r="D118" s="518" t="str">
        <f t="shared" ca="1" si="14"/>
        <v>-</v>
      </c>
      <c r="E118" s="518" t="str">
        <f t="shared" ca="1" si="14"/>
        <v>-</v>
      </c>
      <c r="F118" s="518" t="str">
        <f t="shared" ca="1" si="14"/>
        <v>-</v>
      </c>
      <c r="G118" s="518" t="str">
        <f t="shared" ca="1" si="14"/>
        <v>-</v>
      </c>
      <c r="H118" s="518" t="str">
        <f t="shared" ca="1" si="14"/>
        <v>-</v>
      </c>
      <c r="I118" s="516">
        <f t="shared" ca="1" si="14"/>
        <v>0</v>
      </c>
      <c r="J118" s="518">
        <f ca="1">IF(INDEX($L$10:$L$13,MATCH($B118,$B$10:$B$13,0)),zar.2010,1)*SUMIF(NameConv!$C$4:$C$44,RIGHT(C118,3),OFFSET(INDIRECT(B118),0,AT118-1,NameConv!$A$45,1))</f>
        <v>39.616473908879996</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495">
        <f ca="1">IF(AT117&lt;&gt;AT118,1,IF(AS117=OFFSET(NameConv!$F$45,0,AT117),AR117+1,AR117))</f>
        <v>4</v>
      </c>
      <c r="AS118" s="495">
        <f t="shared" ca="1" si="15"/>
        <v>8</v>
      </c>
      <c r="AT118" s="526">
        <f ca="1">IF(AND(AR117=$AR$7,AS117=SUMIF(NameConv!$G$4:$M$4,MID(C117,2,3),NameConv!$G$45:$M$45)),AT117+1,AT117)</f>
        <v>3</v>
      </c>
    </row>
    <row r="119" spans="1:46">
      <c r="A119" s="883" t="str">
        <f ca="1">IF(INDEX(Demand.Sectors,MATCH(MID(C119,2,3),NameConv!$G$4:$M$4,0)),"","*")</f>
        <v/>
      </c>
      <c r="B119" s="518" t="str">
        <f t="shared" ca="1" si="9"/>
        <v>PRC_RESID</v>
      </c>
      <c r="C119" s="518" t="str">
        <f ca="1">"X"&amp;OFFSET(NameConv!$F$4,0,AT119)&amp;OFFSET(NameConv!$F$59,AS119,AT119)</f>
        <v>XINDOGS</v>
      </c>
      <c r="D119" s="518" t="str">
        <f t="shared" ca="1" si="14"/>
        <v>-</v>
      </c>
      <c r="E119" s="518" t="str">
        <f t="shared" ca="1" si="14"/>
        <v>-</v>
      </c>
      <c r="F119" s="518" t="str">
        <f t="shared" ca="1" si="14"/>
        <v>-</v>
      </c>
      <c r="G119" s="518" t="str">
        <f t="shared" ca="1" si="14"/>
        <v>-</v>
      </c>
      <c r="H119" s="518" t="str">
        <f t="shared" ca="1" si="14"/>
        <v>-</v>
      </c>
      <c r="I119" s="516">
        <f t="shared" ca="1" si="14"/>
        <v>0</v>
      </c>
      <c r="J119" s="518">
        <f ca="1">IF(INDEX($L$10:$L$13,MATCH($B119,$B$10:$B$13,0)),zar.2010,1)*SUMIF(NameConv!$C$4:$C$44,RIGHT(C119,3),OFFSET(INDIRECT(B119),0,AT119-1,NameConv!$A$45,1))</f>
        <v>0</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495">
        <f ca="1">IF(AT118&lt;&gt;AT119,1,IF(AS118=OFFSET(NameConv!$F$45,0,AT118),AR118+1,AR118))</f>
        <v>4</v>
      </c>
      <c r="AS119" s="495">
        <f t="shared" ca="1" si="15"/>
        <v>9</v>
      </c>
      <c r="AT119" s="526">
        <f ca="1">IF(AND(AR118=$AR$7,AS118=SUMIF(NameConv!$G$4:$M$4,MID(C118,2,3),NameConv!$G$45:$M$45)),AT118+1,AT118)</f>
        <v>3</v>
      </c>
    </row>
    <row r="120" spans="1:46">
      <c r="A120" s="883" t="str">
        <f ca="1">IF(INDEX(Demand.Sectors,MATCH(MID(C120,2,3),NameConv!$G$4:$M$4,0)),"","*")</f>
        <v/>
      </c>
      <c r="B120" s="518" t="str">
        <f t="shared" ca="1" si="9"/>
        <v>PRC_RESID</v>
      </c>
      <c r="C120" s="518" t="str">
        <f ca="1">"X"&amp;OFFSET(NameConv!$F$4,0,AT120)&amp;OFFSET(NameConv!$F$59,AS120,AT120)</f>
        <v>XINDOHF</v>
      </c>
      <c r="D120" s="518" t="str">
        <f t="shared" ca="1" si="14"/>
        <v>-</v>
      </c>
      <c r="E120" s="518" t="str">
        <f t="shared" ca="1" si="14"/>
        <v>-</v>
      </c>
      <c r="F120" s="518" t="str">
        <f t="shared" ca="1" si="14"/>
        <v>-</v>
      </c>
      <c r="G120" s="518" t="str">
        <f t="shared" ca="1" si="14"/>
        <v>-</v>
      </c>
      <c r="H120" s="518" t="str">
        <f t="shared" ca="1" si="14"/>
        <v>-</v>
      </c>
      <c r="I120" s="516">
        <f t="shared" ca="1" si="14"/>
        <v>0</v>
      </c>
      <c r="J120" s="518">
        <f ca="1">IF(INDEX($L$10:$L$13,MATCH($B120,$B$10:$B$13,0)),zar.2010,1)*SUMIF(NameConv!$C$4:$C$44,RIGHT(C120,3),OFFSET(INDIRECT(B120),0,AT120-1,NameConv!$A$45,1))</f>
        <v>1.0000000000000001E-5</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495">
        <f ca="1">IF(AT119&lt;&gt;AT120,1,IF(AS119=OFFSET(NameConv!$F$45,0,AT119),AR119+1,AR119))</f>
        <v>4</v>
      </c>
      <c r="AS120" s="495">
        <f t="shared" ca="1" si="15"/>
        <v>10</v>
      </c>
      <c r="AT120" s="526">
        <f ca="1">IF(AND(AR119=$AR$7,AS119=SUMIF(NameConv!$G$4:$M$4,MID(C119,2,3),NameConv!$G$45:$M$45)),AT119+1,AT119)</f>
        <v>3</v>
      </c>
    </row>
    <row r="121" spans="1:46">
      <c r="A121" s="883" t="str">
        <f ca="1">IF(INDEX(Demand.Sectors,MATCH(MID(C121,2,3),NameConv!$G$4:$M$4,0)),"","*")</f>
        <v/>
      </c>
      <c r="B121" s="518" t="str">
        <f t="shared" ca="1" si="9"/>
        <v>PRC_RESID</v>
      </c>
      <c r="C121" s="518" t="str">
        <f ca="1">"X"&amp;OFFSET(NameConv!$F$4,0,AT121)&amp;OFFSET(NameConv!$F$59,AS121,AT121)</f>
        <v>XINDOLP</v>
      </c>
      <c r="D121" s="518" t="str">
        <f t="shared" ca="1" si="14"/>
        <v>-</v>
      </c>
      <c r="E121" s="518" t="str">
        <f t="shared" ca="1" si="14"/>
        <v>-</v>
      </c>
      <c r="F121" s="518" t="str">
        <f t="shared" ca="1" si="14"/>
        <v>-</v>
      </c>
      <c r="G121" s="518" t="str">
        <f t="shared" ca="1" si="14"/>
        <v>-</v>
      </c>
      <c r="H121" s="518" t="str">
        <f t="shared" ca="1" si="14"/>
        <v>-</v>
      </c>
      <c r="I121" s="516">
        <f t="shared" ca="1" si="14"/>
        <v>0</v>
      </c>
      <c r="J121" s="518">
        <f ca="1">IF(INDEX($L$10:$L$13,MATCH($B121,$B$10:$B$13,0)),zar.2010,1)*SUMIF(NameConv!$C$4:$C$44,RIGHT(C121,3),OFFSET(INDIRECT(B121),0,AT121-1,NameConv!$A$45,1))</f>
        <v>1.0000000000000001E-5</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495">
        <f ca="1">IF(AT120&lt;&gt;AT121,1,IF(AS120=OFFSET(NameConv!$F$45,0,AT120),AR120+1,AR120))</f>
        <v>4</v>
      </c>
      <c r="AS121" s="495">
        <f t="shared" ca="1" si="15"/>
        <v>11</v>
      </c>
      <c r="AT121" s="526">
        <f ca="1">IF(AND(AR120=$AR$7,AS120=SUMIF(NameConv!$G$4:$M$4,MID(C120,2,3),NameConv!$G$45:$M$45)),AT120+1,AT120)</f>
        <v>3</v>
      </c>
    </row>
    <row r="122" spans="1:46">
      <c r="A122" s="883" t="str">
        <f ca="1">IF(INDEX(Demand.Sectors,MATCH(MID(C122,2,3),NameConv!$G$4:$M$4,0)),"","*")</f>
        <v/>
      </c>
      <c r="B122" s="518" t="str">
        <f t="shared" ca="1" si="9"/>
        <v>PRC_RESID</v>
      </c>
      <c r="C122" s="518" t="str">
        <f ca="1">"X"&amp;OFFSET(NameConv!$F$4,0,AT122)&amp;OFFSET(NameConv!$F$59,AS122,AT122)</f>
        <v>XINDWAS</v>
      </c>
      <c r="D122" s="518" t="str">
        <f t="shared" ref="D122:I164" ca="1" si="16">IF($A122="*","",VLOOKUP($B122,$B$10:$I$13,D$9,FALSE))</f>
        <v>-</v>
      </c>
      <c r="E122" s="518" t="str">
        <f t="shared" ca="1" si="16"/>
        <v>-</v>
      </c>
      <c r="F122" s="518" t="str">
        <f t="shared" ca="1" si="16"/>
        <v>-</v>
      </c>
      <c r="G122" s="518" t="str">
        <f t="shared" ca="1" si="16"/>
        <v>-</v>
      </c>
      <c r="H122" s="518" t="str">
        <f t="shared" ca="1" si="16"/>
        <v>-</v>
      </c>
      <c r="I122" s="516">
        <f t="shared" ca="1" si="16"/>
        <v>0</v>
      </c>
      <c r="J122" s="518">
        <f ca="1">IF(INDEX($L$10:$L$13,MATCH($B122,$B$10:$B$13,0)),zar.2010,1)*SUMIF(NameConv!$C$4:$C$44,RIGHT(C122,3),OFFSET(INDIRECT(B122),0,AT122-1,NameConv!$A$45,1))</f>
        <v>1.0000000000000001E-5</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495">
        <f ca="1">IF(AT121&lt;&gt;AT122,1,IF(AS121=OFFSET(NameConv!$F$45,0,AT121),AR121+1,AR121))</f>
        <v>4</v>
      </c>
      <c r="AS122" s="495">
        <f t="shared" ca="1" si="15"/>
        <v>12</v>
      </c>
      <c r="AT122" s="526">
        <f ca="1">IF(AND(AR121=$AR$7,AS121=SUMIF(NameConv!$G$4:$M$4,MID(C121,2,3),NameConv!$G$45:$M$45)),AT121+1,AT121)</f>
        <v>3</v>
      </c>
    </row>
    <row r="123" spans="1:46">
      <c r="A123" s="883" t="str">
        <f ca="1">IF(INDEX(Demand.Sectors,MATCH(MID(C123,2,3),NameConv!$G$4:$M$4,0)),"","*")</f>
        <v/>
      </c>
      <c r="B123" s="518" t="str">
        <f t="shared" ca="1" si="9"/>
        <v>ACT_EFF</v>
      </c>
      <c r="C123" s="518" t="str">
        <f ca="1">"X"&amp;OFFSET(NameConv!$F$4,0,AT123)&amp;OFFSET(NameConv!$F$59,AS123,AT123)</f>
        <v>XTRAELC</v>
      </c>
      <c r="D123" s="518" t="str">
        <f t="shared" ca="1" si="16"/>
        <v>-</v>
      </c>
      <c r="E123" s="518" t="str">
        <f t="shared" ca="1" si="16"/>
        <v>ACTGRP</v>
      </c>
      <c r="F123" s="518" t="str">
        <f t="shared" ca="1" si="16"/>
        <v>-</v>
      </c>
      <c r="G123" s="518" t="str">
        <f t="shared" ca="1" si="16"/>
        <v>ANNUAL</v>
      </c>
      <c r="H123" s="518" t="str">
        <f t="shared" ca="1" si="16"/>
        <v>-</v>
      </c>
      <c r="I123" s="516">
        <f t="shared" ca="1" si="16"/>
        <v>0</v>
      </c>
      <c r="J123" s="518">
        <f ca="1">IF(INDEX($L$10:$L$13,MATCH($B123,$B$10:$B$13,0)),zar.2010,1)*SUMIF(NameConv!$C$4:$C$44,RIGHT(C123,3),OFFSET(INDIRECT(B123),0,AT123-1,NameConv!$A$45,1))</f>
        <v>0.88185177764855327</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495">
        <f ca="1">IF(AT122&lt;&gt;AT123,1,IF(AS122=OFFSET(NameConv!$F$45,0,AT122),AR122+1,AR122))</f>
        <v>1</v>
      </c>
      <c r="AS123" s="495">
        <f t="shared" ca="1" si="15"/>
        <v>1</v>
      </c>
      <c r="AT123" s="526">
        <f ca="1">IF(AND(AR122=$AR$7,AS122=SUMIF(NameConv!$G$4:$M$4,MID(C122,2,3),NameConv!$G$45:$M$45)),AT122+1,AT122)</f>
        <v>4</v>
      </c>
    </row>
    <row r="124" spans="1:46">
      <c r="A124" s="883" t="str">
        <f ca="1">IF(INDEX(Demand.Sectors,MATCH(MID(C124,2,3),NameConv!$G$4:$M$4,0)),"","*")</f>
        <v/>
      </c>
      <c r="B124" s="518" t="str">
        <f t="shared" ca="1" si="9"/>
        <v>ACT_EFF</v>
      </c>
      <c r="C124" s="518" t="str">
        <f ca="1">"X"&amp;OFFSET(NameConv!$F$4,0,AT124)&amp;OFFSET(NameConv!$F$59,AS124,AT124)</f>
        <v>XTRAGAS</v>
      </c>
      <c r="D124" s="518" t="str">
        <f t="shared" ca="1" si="16"/>
        <v>-</v>
      </c>
      <c r="E124" s="518" t="str">
        <f t="shared" ca="1" si="16"/>
        <v>ACTGRP</v>
      </c>
      <c r="F124" s="518" t="str">
        <f t="shared" ca="1" si="16"/>
        <v>-</v>
      </c>
      <c r="G124" s="518" t="str">
        <f t="shared" ca="1" si="16"/>
        <v>ANNUAL</v>
      </c>
      <c r="H124" s="518" t="str">
        <f t="shared" ca="1" si="16"/>
        <v>-</v>
      </c>
      <c r="I124" s="516">
        <f t="shared" ca="1" si="16"/>
        <v>0</v>
      </c>
      <c r="J124" s="518">
        <f ca="1">IF(INDEX($L$10:$L$13,MATCH($B124,$B$10:$B$13,0)),zar.2010,1)*SUMIF(NameConv!$C$4:$C$44,RIGHT(C124,3),OFFSET(INDIRECT(B124),0,AT124-1,NameConv!$A$45,1))</f>
        <v>0.999</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495">
        <f ca="1">IF(AT123&lt;&gt;AT124,1,IF(AS123=OFFSET(NameConv!$F$45,0,AT123),AR123+1,AR123))</f>
        <v>1</v>
      </c>
      <c r="AS124" s="495">
        <f t="shared" ca="1" si="15"/>
        <v>2</v>
      </c>
      <c r="AT124" s="526">
        <f ca="1">IF(AND(AR123=$AR$7,AS123=SUMIF(NameConv!$G$4:$M$4,MID(C123,2,3),NameConv!$G$45:$M$45)),AT123+1,AT123)</f>
        <v>4</v>
      </c>
    </row>
    <row r="125" spans="1:46">
      <c r="A125" s="883" t="s">
        <v>310</v>
      </c>
      <c r="B125" s="518" t="str">
        <f t="shared" si="9"/>
        <v/>
      </c>
      <c r="C125" s="518" t="str">
        <f ca="1">"X"&amp;OFFSET(NameConv!$F$4,0,AT125)&amp;OFFSET(NameConv!$F$59,AS125,AT125)</f>
        <v>XTRAHGN</v>
      </c>
      <c r="D125" s="518" t="str">
        <f t="shared" si="16"/>
        <v/>
      </c>
      <c r="E125" s="518" t="str">
        <f t="shared" si="16"/>
        <v/>
      </c>
      <c r="F125" s="518" t="str">
        <f t="shared" si="16"/>
        <v/>
      </c>
      <c r="G125" s="518" t="str">
        <f t="shared" si="16"/>
        <v/>
      </c>
      <c r="H125" s="518" t="str">
        <f t="shared" si="16"/>
        <v/>
      </c>
      <c r="I125" s="516" t="str">
        <f t="shared" si="16"/>
        <v/>
      </c>
      <c r="J125" s="518" t="e">
        <f ca="1">IF(INDEX($L$10:$L$13,MATCH($B125,$B$10:$B$13,0)),zar.2010,1)*SUMIF(NameConv!$C$4:$C$44,RIGHT(C125,3),OFFSET(INDIRECT(B125),0,AT125-1,NameConv!$A$45,1))</f>
        <v>#N/A</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495">
        <f ca="1">IF(AT124&lt;&gt;AT125,1,IF(AS124=OFFSET(NameConv!$F$45,0,AT124),AR124+1,AR124))</f>
        <v>1</v>
      </c>
      <c r="AS125" s="495">
        <f t="shared" ca="1" si="15"/>
        <v>3</v>
      </c>
      <c r="AT125" s="526">
        <f ca="1">IF(AND(AR124=$AR$7,AS124=SUMIF(NameConv!$G$4:$M$4,MID(C124,2,3),NameConv!$G$45:$M$45)),AT124+1,AT124)</f>
        <v>4</v>
      </c>
    </row>
    <row r="126" spans="1:46">
      <c r="A126" s="883" t="str">
        <f ca="1">IF(INDEX(Demand.Sectors,MATCH(MID(C126,2,3),NameConv!$G$4:$M$4,0)),"","*")</f>
        <v/>
      </c>
      <c r="B126" s="518" t="str">
        <f t="shared" ca="1" si="9"/>
        <v>ACT_EFF</v>
      </c>
      <c r="C126" s="518" t="str">
        <f ca="1">"X"&amp;OFFSET(NameConv!$F$4,0,AT126)&amp;OFFSET(NameConv!$F$59,AS126,AT126)</f>
        <v>XTRAOAG</v>
      </c>
      <c r="D126" s="518" t="str">
        <f t="shared" ca="1" si="16"/>
        <v>-</v>
      </c>
      <c r="E126" s="518" t="str">
        <f t="shared" ca="1" si="16"/>
        <v>ACTGRP</v>
      </c>
      <c r="F126" s="518" t="str">
        <f t="shared" ca="1" si="16"/>
        <v>-</v>
      </c>
      <c r="G126" s="518" t="str">
        <f t="shared" ca="1" si="16"/>
        <v>ANNUAL</v>
      </c>
      <c r="H126" s="518" t="str">
        <f t="shared" ca="1" si="16"/>
        <v>-</v>
      </c>
      <c r="I126" s="516">
        <f t="shared" ca="1" si="16"/>
        <v>0</v>
      </c>
      <c r="J126" s="518">
        <f ca="1">IF(INDEX($L$10:$L$13,MATCH($B126,$B$10:$B$13,0)),zar.2010,1)*SUMIF(NameConv!$C$4:$C$44,RIGHT(C126,3),OFFSET(INDIRECT(B126),0,AT126-1,NameConv!$A$45,1))</f>
        <v>1</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495">
        <f ca="1">IF(AT125&lt;&gt;AT126,1,IF(AS125=OFFSET(NameConv!$F$45,0,AT125),AR125+1,AR125))</f>
        <v>1</v>
      </c>
      <c r="AS126" s="495">
        <f t="shared" ca="1" si="15"/>
        <v>4</v>
      </c>
      <c r="AT126" s="526">
        <f ca="1">IF(AND(AR125=$AR$7,AS125=SUMIF(NameConv!$G$4:$M$4,MID(C125,2,3),NameConv!$G$45:$M$45)),AT125+1,AT125)</f>
        <v>4</v>
      </c>
    </row>
    <row r="127" spans="1:46">
      <c r="A127" s="883" t="str">
        <f ca="1">IF(INDEX(Demand.Sectors,MATCH(MID(C127,2,3),NameConv!$G$4:$M$4,0)),"","*")</f>
        <v/>
      </c>
      <c r="B127" s="518" t="str">
        <f t="shared" ca="1" si="9"/>
        <v>ACT_EFF</v>
      </c>
      <c r="C127" s="518" t="str">
        <f ca="1">"X"&amp;OFFSET(NameConv!$F$4,0,AT127)&amp;OFFSET(NameConv!$F$59,AS127,AT127)</f>
        <v>XTRAODS</v>
      </c>
      <c r="D127" s="518" t="str">
        <f t="shared" ca="1" si="16"/>
        <v>-</v>
      </c>
      <c r="E127" s="518" t="str">
        <f t="shared" ca="1" si="16"/>
        <v>ACTGRP</v>
      </c>
      <c r="F127" s="518" t="str">
        <f t="shared" ca="1" si="16"/>
        <v>-</v>
      </c>
      <c r="G127" s="518" t="str">
        <f t="shared" ca="1" si="16"/>
        <v>ANNUAL</v>
      </c>
      <c r="H127" s="518" t="str">
        <f t="shared" ca="1" si="16"/>
        <v>-</v>
      </c>
      <c r="I127" s="516">
        <f t="shared" ca="1" si="16"/>
        <v>0</v>
      </c>
      <c r="J127" s="518">
        <f ca="1">IF(INDEX($L$10:$L$13,MATCH($B127,$B$10:$B$13,0)),zar.2010,1)*SUMIF(NameConv!$C$4:$C$44,RIGHT(C127,3),OFFSET(INDIRECT(B127),0,AT127-1,NameConv!$A$45,1))</f>
        <v>1</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495">
        <f ca="1">IF(AT126&lt;&gt;AT127,1,IF(AS126=OFFSET(NameConv!$F$45,0,AT126),AR126+1,AR126))</f>
        <v>1</v>
      </c>
      <c r="AS127" s="495">
        <f t="shared" ca="1" si="15"/>
        <v>5</v>
      </c>
      <c r="AT127" s="526">
        <f ca="1">IF(AND(AR126=$AR$7,AS126=SUMIF(NameConv!$G$4:$M$4,MID(C126,2,3),NameConv!$G$45:$M$45)),AT126+1,AT126)</f>
        <v>4</v>
      </c>
    </row>
    <row r="128" spans="1:46">
      <c r="A128" s="883" t="str">
        <f ca="1">IF(INDEX(Demand.Sectors,MATCH(MID(C128,2,3),NameConv!$G$4:$M$4,0)),"","*")</f>
        <v/>
      </c>
      <c r="B128" s="518" t="str">
        <f t="shared" ca="1" si="9"/>
        <v>ACT_EFF</v>
      </c>
      <c r="C128" s="518" t="str">
        <f ca="1">"X"&amp;OFFSET(NameConv!$F$4,0,AT128)&amp;OFFSET(NameConv!$F$59,AS128,AT128)</f>
        <v>XTRAOGS</v>
      </c>
      <c r="D128" s="518" t="str">
        <f t="shared" ca="1" si="16"/>
        <v>-</v>
      </c>
      <c r="E128" s="518" t="str">
        <f t="shared" ca="1" si="16"/>
        <v>ACTGRP</v>
      </c>
      <c r="F128" s="518" t="str">
        <f t="shared" ca="1" si="16"/>
        <v>-</v>
      </c>
      <c r="G128" s="518" t="str">
        <f t="shared" ca="1" si="16"/>
        <v>ANNUAL</v>
      </c>
      <c r="H128" s="518" t="str">
        <f t="shared" ca="1" si="16"/>
        <v>-</v>
      </c>
      <c r="I128" s="516">
        <f t="shared" ca="1" si="16"/>
        <v>0</v>
      </c>
      <c r="J128" s="518">
        <f ca="1">IF(INDEX($L$10:$L$13,MATCH($B128,$B$10:$B$13,0)),zar.2010,1)*SUMIF(NameConv!$C$4:$C$44,RIGHT(C128,3),OFFSET(INDIRECT(B128),0,AT128-1,NameConv!$A$45,1))</f>
        <v>1</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495">
        <f ca="1">IF(AT127&lt;&gt;AT128,1,IF(AS127=OFFSET(NameConv!$F$45,0,AT127),AR127+1,AR127))</f>
        <v>1</v>
      </c>
      <c r="AS128" s="495">
        <f t="shared" ca="1" si="15"/>
        <v>6</v>
      </c>
      <c r="AT128" s="526">
        <f ca="1">IF(AND(AR127=$AR$7,AS127=SUMIF(NameConv!$G$4:$M$4,MID(C127,2,3),NameConv!$G$45:$M$45)),AT127+1,AT127)</f>
        <v>4</v>
      </c>
    </row>
    <row r="129" spans="1:46">
      <c r="A129" s="883" t="str">
        <f ca="1">IF(INDEX(Demand.Sectors,MATCH(MID(C129,2,3),NameConv!$G$4:$M$4,0)),"","*")</f>
        <v/>
      </c>
      <c r="B129" s="518" t="str">
        <f t="shared" ca="1" si="9"/>
        <v>ACT_EFF</v>
      </c>
      <c r="C129" s="518" t="str">
        <f ca="1">"X"&amp;OFFSET(NameConv!$F$4,0,AT129)&amp;OFFSET(NameConv!$F$59,AS129,AT129)</f>
        <v>XTRAOHF</v>
      </c>
      <c r="D129" s="518" t="str">
        <f t="shared" ca="1" si="16"/>
        <v>-</v>
      </c>
      <c r="E129" s="518" t="str">
        <f t="shared" ca="1" si="16"/>
        <v>ACTGRP</v>
      </c>
      <c r="F129" s="518" t="str">
        <f t="shared" ca="1" si="16"/>
        <v>-</v>
      </c>
      <c r="G129" s="518" t="str">
        <f t="shared" ca="1" si="16"/>
        <v>ANNUAL</v>
      </c>
      <c r="H129" s="518" t="str">
        <f t="shared" ca="1" si="16"/>
        <v>-</v>
      </c>
      <c r="I129" s="516">
        <f t="shared" ca="1" si="16"/>
        <v>0</v>
      </c>
      <c r="J129" s="518">
        <f ca="1">IF(INDEX($L$10:$L$13,MATCH($B129,$B$10:$B$13,0)),zar.2010,1)*SUMIF(NameConv!$C$4:$C$44,RIGHT(C129,3),OFFSET(INDIRECT(B129),0,AT129-1,NameConv!$A$45,1))</f>
        <v>1</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495">
        <f ca="1">IF(AT128&lt;&gt;AT129,1,IF(AS128=OFFSET(NameConv!$F$45,0,AT128),AR128+1,AR128))</f>
        <v>1</v>
      </c>
      <c r="AS129" s="495">
        <f t="shared" ca="1" si="15"/>
        <v>7</v>
      </c>
      <c r="AT129" s="526">
        <f ca="1">IF(AND(AR128=$AR$7,AS128=SUMIF(NameConv!$G$4:$M$4,MID(C128,2,3),NameConv!$G$45:$M$45)),AT128+1,AT128)</f>
        <v>4</v>
      </c>
    </row>
    <row r="130" spans="1:46">
      <c r="A130" s="883" t="str">
        <f ca="1">IF(INDEX(Demand.Sectors,MATCH(MID(C130,2,3),NameConv!$G$4:$M$4,0)),"","*")</f>
        <v/>
      </c>
      <c r="B130" s="518" t="str">
        <f t="shared" ca="1" si="9"/>
        <v>ACT_EFF</v>
      </c>
      <c r="C130" s="518" t="str">
        <f ca="1">"X"&amp;OFFSET(NameConv!$F$4,0,AT130)&amp;OFFSET(NameConv!$F$59,AS130,AT130)</f>
        <v>XTRAOKE</v>
      </c>
      <c r="D130" s="518" t="str">
        <f t="shared" ca="1" si="16"/>
        <v>-</v>
      </c>
      <c r="E130" s="518" t="str">
        <f t="shared" ca="1" si="16"/>
        <v>ACTGRP</v>
      </c>
      <c r="F130" s="518" t="str">
        <f t="shared" ca="1" si="16"/>
        <v>-</v>
      </c>
      <c r="G130" s="518" t="str">
        <f t="shared" ca="1" si="16"/>
        <v>ANNUAL</v>
      </c>
      <c r="H130" s="518" t="str">
        <f t="shared" ca="1" si="16"/>
        <v>-</v>
      </c>
      <c r="I130" s="516">
        <f t="shared" ca="1" si="16"/>
        <v>0</v>
      </c>
      <c r="J130" s="518">
        <f ca="1">IF(INDEX($L$10:$L$13,MATCH($B130,$B$10:$B$13,0)),zar.2010,1)*SUMIF(NameConv!$C$4:$C$44,RIGHT(C130,3),OFFSET(INDIRECT(B130),0,AT130-1,NameConv!$A$45,1))</f>
        <v>1</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495">
        <f ca="1">IF(AT129&lt;&gt;AT130,1,IF(AS129=OFFSET(NameConv!$F$45,0,AT129),AR129+1,AR129))</f>
        <v>1</v>
      </c>
      <c r="AS130" s="495">
        <f t="shared" ca="1" si="15"/>
        <v>8</v>
      </c>
      <c r="AT130" s="526">
        <f ca="1">IF(AND(AR129=$AR$7,AS129=SUMIF(NameConv!$G$4:$M$4,MID(C129,2,3),NameConv!$G$45:$M$45)),AT129+1,AT129)</f>
        <v>4</v>
      </c>
    </row>
    <row r="131" spans="1:46">
      <c r="A131" s="883" t="str">
        <f ca="1">IF(INDEX(Demand.Sectors,MATCH(MID(C131,2,3),NameConv!$G$4:$M$4,0)),"","*")</f>
        <v/>
      </c>
      <c r="B131" s="518" t="str">
        <f t="shared" ca="1" si="9"/>
        <v>NCAP_COST</v>
      </c>
      <c r="C131" s="518" t="str">
        <f ca="1">"X"&amp;OFFSET(NameConv!$F$4,0,AT131)&amp;OFFSET(NameConv!$F$59,AS131,AT131)</f>
        <v>XTRAELC</v>
      </c>
      <c r="D131" s="518" t="str">
        <f t="shared" ca="1" si="16"/>
        <v>-</v>
      </c>
      <c r="E131" s="518" t="str">
        <f t="shared" ca="1" si="16"/>
        <v>-</v>
      </c>
      <c r="F131" s="518" t="str">
        <f t="shared" ca="1" si="16"/>
        <v>-</v>
      </c>
      <c r="G131" s="518" t="str">
        <f t="shared" ca="1" si="16"/>
        <v>-</v>
      </c>
      <c r="H131" s="518" t="str">
        <f t="shared" ca="1" si="16"/>
        <v>-</v>
      </c>
      <c r="I131" s="516">
        <f t="shared" ca="1" si="16"/>
        <v>0</v>
      </c>
      <c r="J131" s="518">
        <f ca="1">IF(INDEX($L$10:$L$13,MATCH($B131,$B$10:$B$13,0)),zar.2010,1)*SUMIF(NameConv!$C$4:$C$44,RIGHT(C131,3),OFFSET(INDIRECT(B131),0,AT131-1,NameConv!$A$45,1))</f>
        <v>15434.598761196014</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495">
        <f ca="1">IF(AT130&lt;&gt;AT131,1,IF(AS130=OFFSET(NameConv!$F$45,0,AT130),AR130+1,AR130))</f>
        <v>2</v>
      </c>
      <c r="AS131" s="495">
        <f t="shared" ca="1" si="15"/>
        <v>1</v>
      </c>
      <c r="AT131" s="526">
        <f ca="1">IF(AND(AR130=$AR$7,AS130=SUMIF(NameConv!$G$4:$M$4,MID(C130,2,3),NameConv!$G$45:$M$45)),AT130+1,AT130)</f>
        <v>4</v>
      </c>
    </row>
    <row r="132" spans="1:46">
      <c r="A132" s="883" t="str">
        <f ca="1">IF(INDEX(Demand.Sectors,MATCH(MID(C132,2,3),NameConv!$G$4:$M$4,0)),"","*")</f>
        <v/>
      </c>
      <c r="B132" s="518" t="str">
        <f t="shared" ca="1" si="9"/>
        <v>NCAP_COST</v>
      </c>
      <c r="C132" s="518" t="str">
        <f ca="1">"X"&amp;OFFSET(NameConv!$F$4,0,AT132)&amp;OFFSET(NameConv!$F$59,AS132,AT132)</f>
        <v>XTRAGAS</v>
      </c>
      <c r="D132" s="518" t="str">
        <f t="shared" ca="1" si="16"/>
        <v>-</v>
      </c>
      <c r="E132" s="518" t="str">
        <f t="shared" ca="1" si="16"/>
        <v>-</v>
      </c>
      <c r="F132" s="518" t="str">
        <f t="shared" ca="1" si="16"/>
        <v>-</v>
      </c>
      <c r="G132" s="518" t="str">
        <f t="shared" ca="1" si="16"/>
        <v>-</v>
      </c>
      <c r="H132" s="518" t="str">
        <f t="shared" ca="1" si="16"/>
        <v>-</v>
      </c>
      <c r="I132" s="516">
        <f t="shared" ca="1" si="16"/>
        <v>0</v>
      </c>
      <c r="J132" s="518">
        <f ca="1">IF(INDEX($L$10:$L$13,MATCH($B132,$B$10:$B$13,0)),zar.2010,1)*SUMIF(NameConv!$C$4:$C$44,RIGHT(C132,3),OFFSET(INDIRECT(B132),0,AT132-1,NameConv!$A$45,1))</f>
        <v>346.33851963992305</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495">
        <f ca="1">IF(AT131&lt;&gt;AT132,1,IF(AS131=OFFSET(NameConv!$F$45,0,AT131),AR131+1,AR131))</f>
        <v>2</v>
      </c>
      <c r="AS132" s="495">
        <f t="shared" ca="1" si="15"/>
        <v>2</v>
      </c>
      <c r="AT132" s="526">
        <f ca="1">IF(AND(AR131=$AR$7,AS131=SUMIF(NameConv!$G$4:$M$4,MID(C131,2,3),NameConv!$G$45:$M$45)),AT131+1,AT131)</f>
        <v>4</v>
      </c>
    </row>
    <row r="133" spans="1:46">
      <c r="A133" s="883" t="str">
        <f ca="1">IF(INDEX(Demand.Sectors,MATCH(MID(C133,2,3),NameConv!$G$4:$M$4,0)),"","*")</f>
        <v/>
      </c>
      <c r="B133" s="518" t="str">
        <f t="shared" ca="1" si="9"/>
        <v>NCAP_COST</v>
      </c>
      <c r="C133" s="518" t="str">
        <f ca="1">"X"&amp;OFFSET(NameConv!$F$4,0,AT133)&amp;OFFSET(NameConv!$F$59,AS133,AT133)</f>
        <v>XTRAHGN</v>
      </c>
      <c r="D133" s="518" t="str">
        <f t="shared" ca="1" si="16"/>
        <v>-</v>
      </c>
      <c r="E133" s="518" t="str">
        <f t="shared" ca="1" si="16"/>
        <v>-</v>
      </c>
      <c r="F133" s="518" t="str">
        <f t="shared" ca="1" si="16"/>
        <v>-</v>
      </c>
      <c r="G133" s="518" t="str">
        <f t="shared" ca="1" si="16"/>
        <v>-</v>
      </c>
      <c r="H133" s="518" t="str">
        <f t="shared" ca="1" si="16"/>
        <v>-</v>
      </c>
      <c r="I133" s="516">
        <f t="shared" ca="1" si="16"/>
        <v>0</v>
      </c>
      <c r="J133" s="1759">
        <f>'HGN-TSData xtras'!D26</f>
        <v>3500.8101074101892</v>
      </c>
      <c r="K133" s="1759"/>
      <c r="L133" s="1759"/>
      <c r="M133" s="1759"/>
      <c r="N133" s="1759"/>
      <c r="O133" s="1759"/>
      <c r="P133" s="1759"/>
      <c r="Q133" s="1759"/>
      <c r="R133" s="1759"/>
      <c r="S133" s="1759"/>
      <c r="T133" s="1759"/>
      <c r="U133" s="1759"/>
      <c r="V133" s="1759"/>
      <c r="W133" s="1759"/>
      <c r="X133" s="1759"/>
      <c r="Y133" s="1759"/>
      <c r="Z133" s="1759"/>
      <c r="AA133" s="1759"/>
      <c r="AB133" s="1759">
        <f>'HGN-TSData xtras'!E27</f>
        <v>1870.72945289115</v>
      </c>
      <c r="AC133" s="518"/>
      <c r="AD133" s="518"/>
      <c r="AE133" s="518"/>
      <c r="AF133" s="518"/>
      <c r="AG133" s="518"/>
      <c r="AH133" s="518"/>
      <c r="AI133" s="518"/>
      <c r="AJ133" s="518"/>
      <c r="AK133" s="518"/>
      <c r="AL133" s="518"/>
      <c r="AM133" s="518"/>
      <c r="AN133" s="518"/>
      <c r="AO133" s="518"/>
      <c r="AP133" s="518"/>
      <c r="AQ133" s="518"/>
      <c r="AR133" s="495">
        <f ca="1">IF(AT132&lt;&gt;AT133,1,IF(AS132=OFFSET(NameConv!$F$45,0,AT132),AR132+1,AR132))</f>
        <v>2</v>
      </c>
      <c r="AS133" s="495">
        <f t="shared" ca="1" si="15"/>
        <v>3</v>
      </c>
      <c r="AT133" s="526">
        <f ca="1">IF(AND(AR132=$AR$7,AS132=SUMIF(NameConv!$G$4:$M$4,MID(C132,2,3),NameConv!$G$45:$M$45)),AT132+1,AT132)</f>
        <v>4</v>
      </c>
    </row>
    <row r="134" spans="1:46">
      <c r="A134" s="883" t="str">
        <f ca="1">IF(INDEX(Demand.Sectors,MATCH(MID(C134,2,3),NameConv!$G$4:$M$4,0)),"","*")</f>
        <v/>
      </c>
      <c r="B134" s="518" t="str">
        <f t="shared" ca="1" si="9"/>
        <v>NCAP_COST</v>
      </c>
      <c r="C134" s="518" t="str">
        <f ca="1">"X"&amp;OFFSET(NameConv!$F$4,0,AT134)&amp;OFFSET(NameConv!$F$59,AS134,AT134)</f>
        <v>XTRAOAG</v>
      </c>
      <c r="D134" s="518" t="str">
        <f t="shared" ca="1" si="16"/>
        <v>-</v>
      </c>
      <c r="E134" s="518" t="str">
        <f t="shared" ca="1" si="16"/>
        <v>-</v>
      </c>
      <c r="F134" s="518" t="str">
        <f t="shared" ca="1" si="16"/>
        <v>-</v>
      </c>
      <c r="G134" s="518" t="str">
        <f t="shared" ca="1" si="16"/>
        <v>-</v>
      </c>
      <c r="H134" s="518" t="str">
        <f t="shared" ca="1" si="16"/>
        <v>-</v>
      </c>
      <c r="I134" s="516">
        <f t="shared" ca="1" si="16"/>
        <v>0</v>
      </c>
      <c r="J134" s="518">
        <f ca="1">IF(INDEX($L$10:$L$13,MATCH($B134,$B$10:$B$13,0)),zar.2010,1)*SUMIF(NameConv!$C$4:$C$44,RIGHT(C134,3),OFFSET(INDIRECT(B134),0,AT134-1,NameConv!$A$45,1))</f>
        <v>1.3094103081137337E-4</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495">
        <f ca="1">IF(AT133&lt;&gt;AT134,1,IF(AS133=OFFSET(NameConv!$F$45,0,AT133),AR133+1,AR133))</f>
        <v>2</v>
      </c>
      <c r="AS134" s="495">
        <f t="shared" ca="1" si="15"/>
        <v>4</v>
      </c>
      <c r="AT134" s="526">
        <f ca="1">IF(AND(AR133=$AR$7,AS133=SUMIF(NameConv!$G$4:$M$4,MID(C133,2,3),NameConv!$G$45:$M$45)),AT133+1,AT133)</f>
        <v>4</v>
      </c>
    </row>
    <row r="135" spans="1:46">
      <c r="A135" s="883" t="str">
        <f ca="1">IF(INDEX(Demand.Sectors,MATCH(MID(C135,2,3),NameConv!$G$4:$M$4,0)),"","*")</f>
        <v/>
      </c>
      <c r="B135" s="518" t="str">
        <f t="shared" ca="1" si="9"/>
        <v>NCAP_COST</v>
      </c>
      <c r="C135" s="518" t="str">
        <f ca="1">"X"&amp;OFFSET(NameConv!$F$4,0,AT135)&amp;OFFSET(NameConv!$F$59,AS135,AT135)</f>
        <v>XTRAODS</v>
      </c>
      <c r="D135" s="518" t="str">
        <f t="shared" ca="1" si="16"/>
        <v>-</v>
      </c>
      <c r="E135" s="518" t="str">
        <f t="shared" ca="1" si="16"/>
        <v>-</v>
      </c>
      <c r="F135" s="518" t="str">
        <f t="shared" ca="1" si="16"/>
        <v>-</v>
      </c>
      <c r="G135" s="518" t="str">
        <f t="shared" ca="1" si="16"/>
        <v>-</v>
      </c>
      <c r="H135" s="518" t="str">
        <f t="shared" ca="1" si="16"/>
        <v>-</v>
      </c>
      <c r="I135" s="516">
        <f t="shared" ca="1" si="16"/>
        <v>0</v>
      </c>
      <c r="J135" s="518">
        <f ca="1">IF(INDEX($L$10:$L$13,MATCH($B135,$B$10:$B$13,0)),zar.2010,1)*SUMIF(NameConv!$C$4:$C$44,RIGHT(C135,3),OFFSET(INDIRECT(B135),0,AT135-1,NameConv!$A$45,1))</f>
        <v>33.819366834855998</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495">
        <f ca="1">IF(AT134&lt;&gt;AT135,1,IF(AS134=OFFSET(NameConv!$F$45,0,AT134),AR134+1,AR134))</f>
        <v>2</v>
      </c>
      <c r="AS135" s="495">
        <f t="shared" ca="1" si="15"/>
        <v>5</v>
      </c>
      <c r="AT135" s="526">
        <f ca="1">IF(AND(AR134=$AR$7,AS134=SUMIF(NameConv!$G$4:$M$4,MID(C134,2,3),NameConv!$G$45:$M$45)),AT134+1,AT134)</f>
        <v>4</v>
      </c>
    </row>
    <row r="136" spans="1:46">
      <c r="A136" s="883" t="str">
        <f ca="1">IF(INDEX(Demand.Sectors,MATCH(MID(C136,2,3),NameConv!$G$4:$M$4,0)),"","*")</f>
        <v/>
      </c>
      <c r="B136" s="518" t="str">
        <f t="shared" ca="1" si="9"/>
        <v>NCAP_COST</v>
      </c>
      <c r="C136" s="518" t="str">
        <f ca="1">"X"&amp;OFFSET(NameConv!$F$4,0,AT136)&amp;OFFSET(NameConv!$F$59,AS136,AT136)</f>
        <v>XTRAOGS</v>
      </c>
      <c r="D136" s="518" t="str">
        <f t="shared" ca="1" si="16"/>
        <v>-</v>
      </c>
      <c r="E136" s="518" t="str">
        <f t="shared" ca="1" si="16"/>
        <v>-</v>
      </c>
      <c r="F136" s="518" t="str">
        <f t="shared" ca="1" si="16"/>
        <v>-</v>
      </c>
      <c r="G136" s="518" t="str">
        <f t="shared" ca="1" si="16"/>
        <v>-</v>
      </c>
      <c r="H136" s="518" t="str">
        <f t="shared" ca="1" si="16"/>
        <v>-</v>
      </c>
      <c r="I136" s="516">
        <f t="shared" ca="1" si="16"/>
        <v>0</v>
      </c>
      <c r="J136" s="518">
        <f ca="1">IF(INDEX($L$10:$L$13,MATCH($B136,$B$10:$B$13,0)),zar.2010,1)*SUMIF(NameConv!$C$4:$C$44,RIGHT(C136,3),OFFSET(INDIRECT(B136),0,AT136-1,NameConv!$A$45,1))</f>
        <v>33.342296178464643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495">
        <f ca="1">IF(AT135&lt;&gt;AT136,1,IF(AS135=OFFSET(NameConv!$F$45,0,AT135),AR135+1,AR135))</f>
        <v>2</v>
      </c>
      <c r="AS136" s="495">
        <f t="shared" ca="1" si="15"/>
        <v>6</v>
      </c>
      <c r="AT136" s="526">
        <f ca="1">IF(AND(AR135=$AR$7,AS135=SUMIF(NameConv!$G$4:$M$4,MID(C135,2,3),NameConv!$G$45:$M$45)),AT135+1,AT135)</f>
        <v>4</v>
      </c>
    </row>
    <row r="137" spans="1:46">
      <c r="A137" s="883" t="str">
        <f ca="1">IF(INDEX(Demand.Sectors,MATCH(MID(C137,2,3),NameConv!$G$4:$M$4,0)),"","*")</f>
        <v/>
      </c>
      <c r="B137" s="518" t="str">
        <f t="shared" ca="1" si="9"/>
        <v>NCAP_COST</v>
      </c>
      <c r="C137" s="518" t="str">
        <f ca="1">"X"&amp;OFFSET(NameConv!$F$4,0,AT137)&amp;OFFSET(NameConv!$F$59,AS137,AT137)</f>
        <v>XTRAOHF</v>
      </c>
      <c r="D137" s="518" t="str">
        <f t="shared" ca="1" si="16"/>
        <v>-</v>
      </c>
      <c r="E137" s="518" t="str">
        <f t="shared" ca="1" si="16"/>
        <v>-</v>
      </c>
      <c r="F137" s="518" t="str">
        <f t="shared" ca="1" si="16"/>
        <v>-</v>
      </c>
      <c r="G137" s="518" t="str">
        <f t="shared" ca="1" si="16"/>
        <v>-</v>
      </c>
      <c r="H137" s="518" t="str">
        <f t="shared" ca="1" si="16"/>
        <v>-</v>
      </c>
      <c r="I137" s="516">
        <f t="shared" ca="1" si="16"/>
        <v>0</v>
      </c>
      <c r="J137" s="518">
        <f ca="1">IF(INDEX($L$10:$L$13,MATCH($B137,$B$10:$B$13,0)),zar.2010,1)*SUMIF(NameConv!$C$4:$C$44,RIGHT(C137,3),OFFSET(INDIRECT(B137),0,AT137-1,NameConv!$A$45,1))</f>
        <v>1.3094103081137337E-4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495">
        <f ca="1">IF(AT136&lt;&gt;AT137,1,IF(AS136=OFFSET(NameConv!$F$45,0,AT136),AR136+1,AR136))</f>
        <v>2</v>
      </c>
      <c r="AS137" s="495">
        <f t="shared" ca="1" si="15"/>
        <v>7</v>
      </c>
      <c r="AT137" s="526">
        <f ca="1">IF(AND(AR136=$AR$7,AS136=SUMIF(NameConv!$G$4:$M$4,MID(C136,2,3),NameConv!$G$45:$M$45)),AT136+1,AT136)</f>
        <v>4</v>
      </c>
    </row>
    <row r="138" spans="1:46">
      <c r="A138" s="883" t="str">
        <f ca="1">IF(INDEX(Demand.Sectors,MATCH(MID(C138,2,3),NameConv!$G$4:$M$4,0)),"","*")</f>
        <v/>
      </c>
      <c r="B138" s="518" t="str">
        <f t="shared" ca="1" si="9"/>
        <v>NCAP_COST</v>
      </c>
      <c r="C138" s="518" t="str">
        <f ca="1">"X"&amp;OFFSET(NameConv!$F$4,0,AT138)&amp;OFFSET(NameConv!$F$59,AS138,AT138)</f>
        <v>XTRAOKE</v>
      </c>
      <c r="D138" s="518" t="str">
        <f t="shared" ca="1" si="16"/>
        <v>-</v>
      </c>
      <c r="E138" s="518" t="str">
        <f t="shared" ca="1" si="16"/>
        <v>-</v>
      </c>
      <c r="F138" s="518" t="str">
        <f t="shared" ca="1" si="16"/>
        <v>-</v>
      </c>
      <c r="G138" s="518" t="str">
        <f t="shared" ca="1" si="16"/>
        <v>-</v>
      </c>
      <c r="H138" s="518" t="str">
        <f t="shared" ca="1" si="16"/>
        <v>-</v>
      </c>
      <c r="I138" s="516">
        <f t="shared" ca="1" si="16"/>
        <v>0</v>
      </c>
      <c r="J138" s="518">
        <f ca="1">IF(INDEX($L$10:$L$13,MATCH($B138,$B$10:$B$13,0)),zar.2010,1)*SUMIF(NameConv!$C$4:$C$44,RIGHT(C138,3),OFFSET(INDIRECT(B138),0,AT138-1,NameConv!$A$45,1))</f>
        <v>32.735257702843342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495">
        <f ca="1">IF(AT137&lt;&gt;AT138,1,IF(AS137=OFFSET(NameConv!$F$45,0,AT137),AR137+1,AR137))</f>
        <v>2</v>
      </c>
      <c r="AS138" s="495">
        <f t="shared" ca="1" si="15"/>
        <v>8</v>
      </c>
      <c r="AT138" s="526">
        <f ca="1">IF(AND(AR137=$AR$7,AS137=SUMIF(NameConv!$G$4:$M$4,MID(C137,2,3),NameConv!$G$45:$M$45)),AT137+1,AT137)</f>
        <v>4</v>
      </c>
    </row>
    <row r="139" spans="1:46">
      <c r="A139" s="883" t="str">
        <f ca="1">IF(INDEX(Demand.Sectors,MATCH(MID(C139,2,3),NameConv!$G$4:$M$4,0)),"","*")</f>
        <v/>
      </c>
      <c r="B139" s="518" t="str">
        <f t="shared" ca="1" si="9"/>
        <v>NCAP_TLIFE</v>
      </c>
      <c r="C139" s="518" t="str">
        <f ca="1">"X"&amp;OFFSET(NameConv!$F$4,0,AT139)&amp;OFFSET(NameConv!$F$59,AS139,AT139)</f>
        <v>XTRAELC</v>
      </c>
      <c r="D139" s="518" t="str">
        <f t="shared" ca="1" si="16"/>
        <v>-</v>
      </c>
      <c r="E139" s="518" t="str">
        <f t="shared" ca="1" si="16"/>
        <v>-</v>
      </c>
      <c r="F139" s="518" t="str">
        <f t="shared" ca="1" si="16"/>
        <v>-</v>
      </c>
      <c r="G139" s="518" t="str">
        <f t="shared" ca="1" si="16"/>
        <v>-</v>
      </c>
      <c r="H139" s="518" t="str">
        <f t="shared" ca="1" si="16"/>
        <v>-</v>
      </c>
      <c r="I139" s="516">
        <f t="shared" ca="1" si="16"/>
        <v>0</v>
      </c>
      <c r="J139" s="518">
        <f ca="1">IF(INDEX($L$10:$L$13,MATCH($B139,$B$10:$B$13,0)),zar.2010,1)*SUMIF(NameConv!$C$4:$C$44,RIGHT(C139,3),OFFSET(INDIRECT(B139),0,AT139-1,NameConv!$A$45,1))</f>
        <v>60</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495">
        <f ca="1">IF(AT138&lt;&gt;AT139,1,IF(AS138=OFFSET(NameConv!$F$45,0,AT138),AR138+1,AR138))</f>
        <v>3</v>
      </c>
      <c r="AS139" s="495">
        <f t="shared" ca="1" si="15"/>
        <v>1</v>
      </c>
      <c r="AT139" s="526">
        <f ca="1">IF(AND(AR138=$AR$7,AS138=SUMIF(NameConv!$G$4:$M$4,MID(C138,2,3),NameConv!$G$45:$M$45)),AT138+1,AT138)</f>
        <v>4</v>
      </c>
    </row>
    <row r="140" spans="1:46">
      <c r="A140" s="883" t="str">
        <f ca="1">IF(INDEX(Demand.Sectors,MATCH(MID(C140,2,3),NameConv!$G$4:$M$4,0)),"","*")</f>
        <v/>
      </c>
      <c r="B140" s="518" t="str">
        <f t="shared" ca="1" si="9"/>
        <v>NCAP_TLIFE</v>
      </c>
      <c r="C140" s="518" t="str">
        <f ca="1">"X"&amp;OFFSET(NameConv!$F$4,0,AT140)&amp;OFFSET(NameConv!$F$59,AS140,AT140)</f>
        <v>XTRAGAS</v>
      </c>
      <c r="D140" s="518" t="str">
        <f t="shared" ca="1" si="16"/>
        <v>-</v>
      </c>
      <c r="E140" s="518" t="str">
        <f t="shared" ca="1" si="16"/>
        <v>-</v>
      </c>
      <c r="F140" s="518" t="str">
        <f t="shared" ca="1" si="16"/>
        <v>-</v>
      </c>
      <c r="G140" s="518" t="str">
        <f t="shared" ca="1" si="16"/>
        <v>-</v>
      </c>
      <c r="H140" s="518" t="str">
        <f t="shared" ca="1" si="16"/>
        <v>-</v>
      </c>
      <c r="I140" s="516">
        <f t="shared" ca="1" si="16"/>
        <v>0</v>
      </c>
      <c r="J140" s="518">
        <f ca="1">IF(INDEX($L$10:$L$13,MATCH($B140,$B$10:$B$13,0)),zar.2010,1)*SUMIF(NameConv!$C$4:$C$44,RIGHT(C140,3),OFFSET(INDIRECT(B140),0,AT140-1,NameConv!$A$45,1))</f>
        <v>60</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495">
        <f ca="1">IF(AT139&lt;&gt;AT140,1,IF(AS139=OFFSET(NameConv!$F$45,0,AT139),AR139+1,AR139))</f>
        <v>3</v>
      </c>
      <c r="AS140" s="495">
        <f t="shared" ca="1" si="15"/>
        <v>2</v>
      </c>
      <c r="AT140" s="526">
        <f ca="1">IF(AND(AR139=$AR$7,AS139=SUMIF(NameConv!$G$4:$M$4,MID(C139,2,3),NameConv!$G$45:$M$45)),AT139+1,AT139)</f>
        <v>4</v>
      </c>
    </row>
    <row r="141" spans="1:46">
      <c r="A141" s="883" t="str">
        <f ca="1">IF(INDEX(Demand.Sectors,MATCH(MID(C141,2,3),NameConv!$G$4:$M$4,0)),"","*")</f>
        <v/>
      </c>
      <c r="B141" s="518" t="str">
        <f t="shared" ca="1" si="9"/>
        <v>NCAP_TLIFE</v>
      </c>
      <c r="C141" s="518" t="str">
        <f ca="1">"X"&amp;OFFSET(NameConv!$F$4,0,AT141)&amp;OFFSET(NameConv!$F$59,AS141,AT141)</f>
        <v>XTRAHGN</v>
      </c>
      <c r="D141" s="518" t="str">
        <f t="shared" ca="1" si="16"/>
        <v>-</v>
      </c>
      <c r="E141" s="518" t="str">
        <f t="shared" ca="1" si="16"/>
        <v>-</v>
      </c>
      <c r="F141" s="518" t="str">
        <f t="shared" ca="1" si="16"/>
        <v>-</v>
      </c>
      <c r="G141" s="518" t="str">
        <f t="shared" ca="1" si="16"/>
        <v>-</v>
      </c>
      <c r="H141" s="518" t="str">
        <f t="shared" ca="1" si="16"/>
        <v>-</v>
      </c>
      <c r="I141" s="516">
        <f t="shared" ca="1" si="16"/>
        <v>0</v>
      </c>
      <c r="J141" s="518">
        <f ca="1">IF(INDEX($L$10:$L$13,MATCH($B141,$B$10:$B$13,0)),zar.2010,1)*SUMIF(NameConv!$C$4:$C$44,RIGHT(C141,3),OFFSET(INDIRECT(B141),0,AT141-1,NameConv!$A$45,1))</f>
        <v>60</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495">
        <f ca="1">IF(AT140&lt;&gt;AT141,1,IF(AS140=OFFSET(NameConv!$F$45,0,AT140),AR140+1,AR140))</f>
        <v>3</v>
      </c>
      <c r="AS141" s="495">
        <f t="shared" ca="1" si="15"/>
        <v>3</v>
      </c>
      <c r="AT141" s="526">
        <f ca="1">IF(AND(AR140=$AR$7,AS140=SUMIF(NameConv!$G$4:$M$4,MID(C140,2,3),NameConv!$G$45:$M$45)),AT140+1,AT140)</f>
        <v>4</v>
      </c>
    </row>
    <row r="142" spans="1:46">
      <c r="A142" s="883" t="str">
        <f ca="1">IF(INDEX(Demand.Sectors,MATCH(MID(C142,2,3),NameConv!$G$4:$M$4,0)),"","*")</f>
        <v/>
      </c>
      <c r="B142" s="518" t="str">
        <f t="shared" ca="1" si="9"/>
        <v>NCAP_TLIFE</v>
      </c>
      <c r="C142" s="518" t="str">
        <f ca="1">"X"&amp;OFFSET(NameConv!$F$4,0,AT142)&amp;OFFSET(NameConv!$F$59,AS142,AT142)</f>
        <v>XTRAOAG</v>
      </c>
      <c r="D142" s="518" t="str">
        <f t="shared" ca="1" si="16"/>
        <v>-</v>
      </c>
      <c r="E142" s="518" t="str">
        <f t="shared" ca="1" si="16"/>
        <v>-</v>
      </c>
      <c r="F142" s="518" t="str">
        <f t="shared" ca="1" si="16"/>
        <v>-</v>
      </c>
      <c r="G142" s="518" t="str">
        <f t="shared" ca="1" si="16"/>
        <v>-</v>
      </c>
      <c r="H142" s="518" t="str">
        <f t="shared" ca="1" si="16"/>
        <v>-</v>
      </c>
      <c r="I142" s="516">
        <f t="shared" ca="1" si="16"/>
        <v>0</v>
      </c>
      <c r="J142" s="518">
        <f ca="1">IF(INDEX($L$10:$L$13,MATCH($B142,$B$10:$B$13,0)),zar.2010,1)*SUMIF(NameConv!$C$4:$C$44,RIGHT(C142,3),OFFSET(INDIRECT(B142),0,AT142-1,NameConv!$A$45,1))</f>
        <v>60</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495">
        <f ca="1">IF(AT141&lt;&gt;AT142,1,IF(AS141=OFFSET(NameConv!$F$45,0,AT141),AR141+1,AR141))</f>
        <v>3</v>
      </c>
      <c r="AS142" s="495">
        <f t="shared" ca="1" si="15"/>
        <v>4</v>
      </c>
      <c r="AT142" s="526">
        <f ca="1">IF(AND(AR141=$AR$7,AS141=SUMIF(NameConv!$G$4:$M$4,MID(C141,2,3),NameConv!$G$45:$M$45)),AT141+1,AT141)</f>
        <v>4</v>
      </c>
    </row>
    <row r="143" spans="1:46">
      <c r="A143" s="883" t="str">
        <f ca="1">IF(INDEX(Demand.Sectors,MATCH(MID(C143,2,3),NameConv!$G$4:$M$4,0)),"","*")</f>
        <v/>
      </c>
      <c r="B143" s="518" t="str">
        <f t="shared" ref="B143:B206" ca="1" si="17">IF(A143="*","",VLOOKUP("*"&amp;AR143,$A$9:$B$13,2,FALSE))</f>
        <v>NCAP_TLIFE</v>
      </c>
      <c r="C143" s="518" t="str">
        <f ca="1">"X"&amp;OFFSET(NameConv!$F$4,0,AT143)&amp;OFFSET(NameConv!$F$59,AS143,AT143)</f>
        <v>XTRAODS</v>
      </c>
      <c r="D143" s="518" t="str">
        <f t="shared" ca="1" si="16"/>
        <v>-</v>
      </c>
      <c r="E143" s="518" t="str">
        <f t="shared" ca="1" si="16"/>
        <v>-</v>
      </c>
      <c r="F143" s="518" t="str">
        <f t="shared" ca="1" si="16"/>
        <v>-</v>
      </c>
      <c r="G143" s="518" t="str">
        <f t="shared" ca="1" si="16"/>
        <v>-</v>
      </c>
      <c r="H143" s="518" t="str">
        <f t="shared" ca="1" si="16"/>
        <v>-</v>
      </c>
      <c r="I143" s="516">
        <f t="shared" ca="1" si="16"/>
        <v>0</v>
      </c>
      <c r="J143" s="518">
        <f ca="1">IF(INDEX($L$10:$L$13,MATCH($B143,$B$10:$B$13,0)),zar.2010,1)*SUMIF(NameConv!$C$4:$C$44,RIGHT(C143,3),OFFSET(INDIRECT(B143),0,AT143-1,NameConv!$A$45,1))</f>
        <v>60</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495">
        <f ca="1">IF(AT142&lt;&gt;AT143,1,IF(AS142=OFFSET(NameConv!$F$45,0,AT142),AR142+1,AR142))</f>
        <v>3</v>
      </c>
      <c r="AS143" s="495">
        <f t="shared" ca="1" si="15"/>
        <v>5</v>
      </c>
      <c r="AT143" s="526">
        <f ca="1">IF(AND(AR142=$AR$7,AS142=SUMIF(NameConv!$G$4:$M$4,MID(C142,2,3),NameConv!$G$45:$M$45)),AT142+1,AT142)</f>
        <v>4</v>
      </c>
    </row>
    <row r="144" spans="1:46">
      <c r="A144" s="883" t="str">
        <f ca="1">IF(INDEX(Demand.Sectors,MATCH(MID(C144,2,3),NameConv!$G$4:$M$4,0)),"","*")</f>
        <v/>
      </c>
      <c r="B144" s="518" t="str">
        <f t="shared" ca="1" si="17"/>
        <v>NCAP_TLIFE</v>
      </c>
      <c r="C144" s="518" t="str">
        <f ca="1">"X"&amp;OFFSET(NameConv!$F$4,0,AT144)&amp;OFFSET(NameConv!$F$59,AS144,AT144)</f>
        <v>XTRAOGS</v>
      </c>
      <c r="D144" s="518" t="str">
        <f t="shared" ca="1" si="16"/>
        <v>-</v>
      </c>
      <c r="E144" s="518" t="str">
        <f t="shared" ca="1" si="16"/>
        <v>-</v>
      </c>
      <c r="F144" s="518" t="str">
        <f t="shared" ca="1" si="16"/>
        <v>-</v>
      </c>
      <c r="G144" s="518" t="str">
        <f t="shared" ca="1" si="16"/>
        <v>-</v>
      </c>
      <c r="H144" s="518" t="str">
        <f t="shared" ca="1" si="16"/>
        <v>-</v>
      </c>
      <c r="I144" s="516">
        <f t="shared" ca="1" si="16"/>
        <v>0</v>
      </c>
      <c r="J144" s="518">
        <f ca="1">IF(INDEX($L$10:$L$13,MATCH($B144,$B$10:$B$13,0)),zar.2010,1)*SUMIF(NameConv!$C$4:$C$44,RIGHT(C144,3),OFFSET(INDIRECT(B144),0,AT144-1,NameConv!$A$45,1))</f>
        <v>60</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495">
        <f ca="1">IF(AT143&lt;&gt;AT144,1,IF(AS143=OFFSET(NameConv!$F$45,0,AT143),AR143+1,AR143))</f>
        <v>3</v>
      </c>
      <c r="AS144" s="495">
        <f t="shared" ca="1" si="15"/>
        <v>6</v>
      </c>
      <c r="AT144" s="526">
        <f ca="1">IF(AND(AR143=$AR$7,AS143=SUMIF(NameConv!$G$4:$M$4,MID(C143,2,3),NameConv!$G$45:$M$45)),AT143+1,AT143)</f>
        <v>4</v>
      </c>
    </row>
    <row r="145" spans="1:46">
      <c r="A145" s="883" t="str">
        <f ca="1">IF(INDEX(Demand.Sectors,MATCH(MID(C145,2,3),NameConv!$G$4:$M$4,0)),"","*")</f>
        <v/>
      </c>
      <c r="B145" s="518" t="str">
        <f t="shared" ca="1" si="17"/>
        <v>NCAP_TLIFE</v>
      </c>
      <c r="C145" s="518" t="str">
        <f ca="1">"X"&amp;OFFSET(NameConv!$F$4,0,AT145)&amp;OFFSET(NameConv!$F$59,AS145,AT145)</f>
        <v>XTRAOHF</v>
      </c>
      <c r="D145" s="518" t="str">
        <f t="shared" ca="1" si="16"/>
        <v>-</v>
      </c>
      <c r="E145" s="518" t="str">
        <f t="shared" ca="1" si="16"/>
        <v>-</v>
      </c>
      <c r="F145" s="518" t="str">
        <f t="shared" ca="1" si="16"/>
        <v>-</v>
      </c>
      <c r="G145" s="518" t="str">
        <f t="shared" ca="1" si="16"/>
        <v>-</v>
      </c>
      <c r="H145" s="518" t="str">
        <f t="shared" ca="1" si="16"/>
        <v>-</v>
      </c>
      <c r="I145" s="516">
        <f t="shared" ca="1" si="16"/>
        <v>0</v>
      </c>
      <c r="J145" s="518">
        <f ca="1">IF(INDEX($L$10:$L$13,MATCH($B145,$B$10:$B$13,0)),zar.2010,1)*SUMIF(NameConv!$C$4:$C$44,RIGHT(C145,3),OFFSET(INDIRECT(B145),0,AT145-1,NameConv!$A$45,1))</f>
        <v>60</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495">
        <f ca="1">IF(AT144&lt;&gt;AT145,1,IF(AS144=OFFSET(NameConv!$F$45,0,AT144),AR144+1,AR144))</f>
        <v>3</v>
      </c>
      <c r="AS145" s="495">
        <f t="shared" ca="1" si="15"/>
        <v>7</v>
      </c>
      <c r="AT145" s="526">
        <f ca="1">IF(AND(AR144=$AR$7,AS144=SUMIF(NameConv!$G$4:$M$4,MID(C144,2,3),NameConv!$G$45:$M$45)),AT144+1,AT144)</f>
        <v>4</v>
      </c>
    </row>
    <row r="146" spans="1:46">
      <c r="A146" s="883" t="str">
        <f ca="1">IF(INDEX(Demand.Sectors,MATCH(MID(C146,2,3),NameConv!$G$4:$M$4,0)),"","*")</f>
        <v/>
      </c>
      <c r="B146" s="518" t="str">
        <f t="shared" ca="1" si="17"/>
        <v>NCAP_TLIFE</v>
      </c>
      <c r="C146" s="518" t="str">
        <f ca="1">"X"&amp;OFFSET(NameConv!$F$4,0,AT146)&amp;OFFSET(NameConv!$F$59,AS146,AT146)</f>
        <v>XTRAOKE</v>
      </c>
      <c r="D146" s="518" t="str">
        <f t="shared" ca="1" si="16"/>
        <v>-</v>
      </c>
      <c r="E146" s="518" t="str">
        <f t="shared" ca="1" si="16"/>
        <v>-</v>
      </c>
      <c r="F146" s="518" t="str">
        <f t="shared" ca="1" si="16"/>
        <v>-</v>
      </c>
      <c r="G146" s="518" t="str">
        <f t="shared" ca="1" si="16"/>
        <v>-</v>
      </c>
      <c r="H146" s="518" t="str">
        <f t="shared" ca="1" si="16"/>
        <v>-</v>
      </c>
      <c r="I146" s="516">
        <f t="shared" ca="1" si="16"/>
        <v>0</v>
      </c>
      <c r="J146" s="518">
        <f ca="1">IF(INDEX($L$10:$L$13,MATCH($B146,$B$10:$B$13,0)),zar.2010,1)*SUMIF(NameConv!$C$4:$C$44,RIGHT(C146,3),OFFSET(INDIRECT(B146),0,AT146-1,NameConv!$A$45,1))</f>
        <v>60</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495">
        <f ca="1">IF(AT145&lt;&gt;AT146,1,IF(AS145=OFFSET(NameConv!$F$45,0,AT145),AR145+1,AR145))</f>
        <v>3</v>
      </c>
      <c r="AS146" s="495">
        <f t="shared" ca="1" si="15"/>
        <v>8</v>
      </c>
      <c r="AT146" s="526">
        <f ca="1">IF(AND(AR145=$AR$7,AS145=SUMIF(NameConv!$G$4:$M$4,MID(C145,2,3),NameConv!$G$45:$M$45)),AT145+1,AT145)</f>
        <v>4</v>
      </c>
    </row>
    <row r="147" spans="1:46">
      <c r="A147" s="883" t="str">
        <f ca="1">IF(INDEX(Demand.Sectors,MATCH(MID(C147,2,3),NameConv!$G$4:$M$4,0)),"","*")</f>
        <v/>
      </c>
      <c r="B147" s="518" t="str">
        <f t="shared" ca="1" si="17"/>
        <v>PRC_RESID</v>
      </c>
      <c r="C147" s="518" t="str">
        <f ca="1">"X"&amp;OFFSET(NameConv!$F$4,0,AT147)&amp;OFFSET(NameConv!$F$59,AS147,AT147)</f>
        <v>XTRAELC</v>
      </c>
      <c r="D147" s="518" t="str">
        <f t="shared" ca="1" si="16"/>
        <v>-</v>
      </c>
      <c r="E147" s="518" t="str">
        <f t="shared" ca="1" si="16"/>
        <v>-</v>
      </c>
      <c r="F147" s="518" t="str">
        <f t="shared" ca="1" si="16"/>
        <v>-</v>
      </c>
      <c r="G147" s="518" t="str">
        <f t="shared" ca="1" si="16"/>
        <v>-</v>
      </c>
      <c r="H147" s="518" t="str">
        <f t="shared" ca="1" si="16"/>
        <v>-</v>
      </c>
      <c r="I147" s="516">
        <f t="shared" ca="1" si="16"/>
        <v>0</v>
      </c>
      <c r="J147" s="518">
        <f ca="1">IF(INDEX($L$10:$L$13,MATCH($B147,$B$10:$B$13,0)),zar.2010,1)*SUMIF(NameConv!$C$4:$C$44,RIGHT(C147,3),OFFSET(INDIRECT(B147),0,AT147-1,NameConv!$A$45,1))</f>
        <v>0.76987820775653648</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495">
        <f ca="1">IF(AT146&lt;&gt;AT147,1,IF(AS146=OFFSET(NameConv!$F$45,0,AT146),AR146+1,AR146))</f>
        <v>4</v>
      </c>
      <c r="AS147" s="495">
        <f t="shared" ca="1" si="15"/>
        <v>1</v>
      </c>
      <c r="AT147" s="526">
        <f ca="1">IF(AND(AR146=$AR$7,AS146=SUMIF(NameConv!$G$4:$M$4,MID(C146,2,3),NameConv!$G$45:$M$45)),AT146+1,AT146)</f>
        <v>4</v>
      </c>
    </row>
    <row r="148" spans="1:46">
      <c r="A148" s="883" t="str">
        <f ca="1">IF(INDEX(Demand.Sectors,MATCH(MID(C148,2,3),NameConv!$G$4:$M$4,0)),"","*")</f>
        <v/>
      </c>
      <c r="B148" s="518" t="str">
        <f t="shared" ca="1" si="17"/>
        <v>PRC_RESID</v>
      </c>
      <c r="C148" s="518" t="str">
        <f ca="1">"X"&amp;OFFSET(NameConv!$F$4,0,AT148)&amp;OFFSET(NameConv!$F$59,AS148,AT148)</f>
        <v>XTRAGAS</v>
      </c>
      <c r="D148" s="518" t="str">
        <f t="shared" ca="1" si="16"/>
        <v>-</v>
      </c>
      <c r="E148" s="518" t="str">
        <f t="shared" ca="1" si="16"/>
        <v>-</v>
      </c>
      <c r="F148" s="518" t="str">
        <f t="shared" ca="1" si="16"/>
        <v>-</v>
      </c>
      <c r="G148" s="518" t="str">
        <f t="shared" ca="1" si="16"/>
        <v>-</v>
      </c>
      <c r="H148" s="518" t="str">
        <f t="shared" ca="1" si="16"/>
        <v>-</v>
      </c>
      <c r="I148" s="516">
        <f t="shared" ca="1" si="16"/>
        <v>0</v>
      </c>
      <c r="J148" s="518">
        <f ca="1">IF(INDEX($L$10:$L$13,MATCH($B148,$B$10:$B$13,0)),zar.2010,1)*SUMIF(NameConv!$C$4:$C$44,RIGHT(C148,3),OFFSET(INDIRECT(B148),0,AT148-1,NameConv!$A$45,1))</f>
        <v>0</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495">
        <f ca="1">IF(AT147&lt;&gt;AT148,1,IF(AS147=OFFSET(NameConv!$F$45,0,AT147),AR147+1,AR147))</f>
        <v>4</v>
      </c>
      <c r="AS148" s="495">
        <f t="shared" ca="1" si="15"/>
        <v>2</v>
      </c>
      <c r="AT148" s="526">
        <f ca="1">IF(AND(AR147=$AR$7,AS147=SUMIF(NameConv!$G$4:$M$4,MID(C147,2,3),NameConv!$G$45:$M$45)),AT147+1,AT147)</f>
        <v>4</v>
      </c>
    </row>
    <row r="149" spans="1:46">
      <c r="A149" s="883" t="str">
        <f ca="1">IF(INDEX(Demand.Sectors,MATCH(MID(C149,2,3),NameConv!$G$4:$M$4,0)),"","*")</f>
        <v/>
      </c>
      <c r="B149" s="518" t="str">
        <f t="shared" ca="1" si="17"/>
        <v>PRC_RESID</v>
      </c>
      <c r="C149" s="518" t="str">
        <f ca="1">"X"&amp;OFFSET(NameConv!$F$4,0,AT149)&amp;OFFSET(NameConv!$F$59,AS149,AT149)</f>
        <v>XTRAHGN</v>
      </c>
      <c r="D149" s="518" t="str">
        <f t="shared" ca="1" si="16"/>
        <v>-</v>
      </c>
      <c r="E149" s="518" t="str">
        <f t="shared" ca="1" si="16"/>
        <v>-</v>
      </c>
      <c r="F149" s="518" t="str">
        <f t="shared" ca="1" si="16"/>
        <v>-</v>
      </c>
      <c r="G149" s="518" t="str">
        <f t="shared" ca="1" si="16"/>
        <v>-</v>
      </c>
      <c r="H149" s="518" t="str">
        <f t="shared" ca="1" si="16"/>
        <v>-</v>
      </c>
      <c r="I149" s="516">
        <f t="shared" ca="1" si="16"/>
        <v>0</v>
      </c>
      <c r="J149" s="518">
        <f ca="1">IF(INDEX($L$10:$L$13,MATCH($B149,$B$10:$B$13,0)),zar.2010,1)*SUMIF(NameConv!$C$4:$C$44,RIGHT(C149,3),OFFSET(INDIRECT(B149),0,AT149-1,NameConv!$A$45,1))</f>
        <v>1.0000000000000001E-5</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495">
        <f ca="1">IF(AT148&lt;&gt;AT149,1,IF(AS148=OFFSET(NameConv!$F$45,0,AT148),AR148+1,AR148))</f>
        <v>4</v>
      </c>
      <c r="AS149" s="495">
        <f t="shared" ca="1" si="15"/>
        <v>3</v>
      </c>
      <c r="AT149" s="526">
        <f ca="1">IF(AND(AR148=$AR$7,AS148=SUMIF(NameConv!$G$4:$M$4,MID(C148,2,3),NameConv!$G$45:$M$45)),AT148+1,AT148)</f>
        <v>4</v>
      </c>
    </row>
    <row r="150" spans="1:46">
      <c r="A150" s="883" t="str">
        <f ca="1">IF(INDEX(Demand.Sectors,MATCH(MID(C150,2,3),NameConv!$G$4:$M$4,0)),"","*")</f>
        <v/>
      </c>
      <c r="B150" s="518" t="str">
        <f t="shared" ca="1" si="17"/>
        <v>PRC_RESID</v>
      </c>
      <c r="C150" s="518" t="str">
        <f ca="1">"X"&amp;OFFSET(NameConv!$F$4,0,AT150)&amp;OFFSET(NameConv!$F$59,AS150,AT150)</f>
        <v>XTRAOAG</v>
      </c>
      <c r="D150" s="518" t="str">
        <f t="shared" ca="1" si="16"/>
        <v>-</v>
      </c>
      <c r="E150" s="518" t="str">
        <f t="shared" ca="1" si="16"/>
        <v>-</v>
      </c>
      <c r="F150" s="518" t="str">
        <f t="shared" ca="1" si="16"/>
        <v>-</v>
      </c>
      <c r="G150" s="518" t="str">
        <f t="shared" ca="1" si="16"/>
        <v>-</v>
      </c>
      <c r="H150" s="518" t="str">
        <f t="shared" ca="1" si="16"/>
        <v>-</v>
      </c>
      <c r="I150" s="516">
        <f t="shared" ca="1" si="16"/>
        <v>0</v>
      </c>
      <c r="J150" s="518">
        <f ca="1">IF(INDEX($L$10:$L$13,MATCH($B150,$B$10:$B$13,0)),zar.2010,1)*SUMIF(NameConv!$C$4:$C$44,RIGHT(C150,3),OFFSET(INDIRECT(B150),0,AT150-1,NameConv!$A$45,1))</f>
        <v>1.0000000000000001E-5</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495">
        <f ca="1">IF(AT149&lt;&gt;AT150,1,IF(AS149=OFFSET(NameConv!$F$45,0,AT149),AR149+1,AR149))</f>
        <v>4</v>
      </c>
      <c r="AS150" s="495">
        <f t="shared" ca="1" si="15"/>
        <v>4</v>
      </c>
      <c r="AT150" s="526">
        <f ca="1">IF(AND(AR149=$AR$7,AS149=SUMIF(NameConv!$G$4:$M$4,MID(C149,2,3),NameConv!$G$45:$M$45)),AT149+1,AT149)</f>
        <v>4</v>
      </c>
    </row>
    <row r="151" spans="1:46">
      <c r="A151" s="883" t="str">
        <f ca="1">IF(INDEX(Demand.Sectors,MATCH(MID(C151,2,3),NameConv!$G$4:$M$4,0)),"","*")</f>
        <v/>
      </c>
      <c r="B151" s="518" t="str">
        <f t="shared" ca="1" si="17"/>
        <v>PRC_RESID</v>
      </c>
      <c r="C151" s="518" t="str">
        <f ca="1">"X"&amp;OFFSET(NameConv!$F$4,0,AT151)&amp;OFFSET(NameConv!$F$59,AS151,AT151)</f>
        <v>XTRAODS</v>
      </c>
      <c r="D151" s="518" t="str">
        <f t="shared" ca="1" si="16"/>
        <v>-</v>
      </c>
      <c r="E151" s="518" t="str">
        <f t="shared" ca="1" si="16"/>
        <v>-</v>
      </c>
      <c r="F151" s="518" t="str">
        <f t="shared" ca="1" si="16"/>
        <v>-</v>
      </c>
      <c r="G151" s="518" t="str">
        <f t="shared" ca="1" si="16"/>
        <v>-</v>
      </c>
      <c r="H151" s="518" t="str">
        <f t="shared" ca="1" si="16"/>
        <v>-</v>
      </c>
      <c r="I151" s="516">
        <f t="shared" ca="1" si="16"/>
        <v>0</v>
      </c>
      <c r="J151" s="518">
        <f ca="1">IF(INDEX($L$10:$L$13,MATCH($B151,$B$10:$B$13,0)),zar.2010,1)*SUMIF(NameConv!$C$4:$C$44,RIGHT(C151,3),OFFSET(INDIRECT(B151),0,AT151-1,NameConv!$A$45,1))</f>
        <v>275.67695528723408</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495">
        <f ca="1">IF(AT150&lt;&gt;AT151,1,IF(AS150=OFFSET(NameConv!$F$45,0,AT150),AR150+1,AR150))</f>
        <v>4</v>
      </c>
      <c r="AS151" s="495">
        <f t="shared" ca="1" si="15"/>
        <v>5</v>
      </c>
      <c r="AT151" s="526">
        <f ca="1">IF(AND(AR150=$AR$7,AS150=SUMIF(NameConv!$G$4:$M$4,MID(C150,2,3),NameConv!$G$45:$M$45)),AT150+1,AT150)</f>
        <v>4</v>
      </c>
    </row>
    <row r="152" spans="1:46">
      <c r="A152" s="883" t="str">
        <f ca="1">IF(INDEX(Demand.Sectors,MATCH(MID(C152,2,3),NameConv!$G$4:$M$4,0)),"","*")</f>
        <v/>
      </c>
      <c r="B152" s="518" t="str">
        <f t="shared" ca="1" si="17"/>
        <v>PRC_RESID</v>
      </c>
      <c r="C152" s="518" t="str">
        <f ca="1">"X"&amp;OFFSET(NameConv!$F$4,0,AT152)&amp;OFFSET(NameConv!$F$59,AS152,AT152)</f>
        <v>XTRAOGS</v>
      </c>
      <c r="D152" s="518" t="str">
        <f t="shared" ca="1" si="16"/>
        <v>-</v>
      </c>
      <c r="E152" s="518" t="str">
        <f t="shared" ca="1" si="16"/>
        <v>-</v>
      </c>
      <c r="F152" s="518" t="str">
        <f t="shared" ca="1" si="16"/>
        <v>-</v>
      </c>
      <c r="G152" s="518" t="str">
        <f t="shared" ca="1" si="16"/>
        <v>-</v>
      </c>
      <c r="H152" s="518" t="str">
        <f t="shared" ca="1" si="16"/>
        <v>-</v>
      </c>
      <c r="I152" s="516">
        <f t="shared" ca="1" si="16"/>
        <v>0</v>
      </c>
      <c r="J152" s="518">
        <f ca="1">IF(INDEX($L$10:$L$13,MATCH($B152,$B$10:$B$13,0)),zar.2010,1)*SUMIF(NameConv!$C$4:$C$44,RIGHT(C152,3),OFFSET(INDIRECT(B152),0,AT152-1,NameConv!$A$45,1))</f>
        <v>422.46927554904926</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495">
        <f ca="1">IF(AT151&lt;&gt;AT152,1,IF(AS151=OFFSET(NameConv!$F$45,0,AT151),AR151+1,AR151))</f>
        <v>4</v>
      </c>
      <c r="AS152" s="495">
        <f t="shared" ca="1" si="15"/>
        <v>6</v>
      </c>
      <c r="AT152" s="526">
        <f ca="1">IF(AND(AR151=$AR$7,AS151=SUMIF(NameConv!$G$4:$M$4,MID(C151,2,3),NameConv!$G$45:$M$45)),AT151+1,AT151)</f>
        <v>4</v>
      </c>
    </row>
    <row r="153" spans="1:46">
      <c r="A153" s="883" t="str">
        <f ca="1">IF(INDEX(Demand.Sectors,MATCH(MID(C153,2,3),NameConv!$G$4:$M$4,0)),"","*")</f>
        <v/>
      </c>
      <c r="B153" s="518" t="str">
        <f t="shared" ca="1" si="17"/>
        <v>PRC_RESID</v>
      </c>
      <c r="C153" s="518" t="str">
        <f ca="1">"X"&amp;OFFSET(NameConv!$F$4,0,AT153)&amp;OFFSET(NameConv!$F$59,AS153,AT153)</f>
        <v>XTRAOHF</v>
      </c>
      <c r="D153" s="518" t="str">
        <f t="shared" ca="1" si="16"/>
        <v>-</v>
      </c>
      <c r="E153" s="518" t="str">
        <f t="shared" ca="1" si="16"/>
        <v>-</v>
      </c>
      <c r="F153" s="518" t="str">
        <f t="shared" ca="1" si="16"/>
        <v>-</v>
      </c>
      <c r="G153" s="518" t="str">
        <f t="shared" ca="1" si="16"/>
        <v>-</v>
      </c>
      <c r="H153" s="518" t="str">
        <f t="shared" ca="1" si="16"/>
        <v>-</v>
      </c>
      <c r="I153" s="516">
        <f t="shared" ca="1" si="16"/>
        <v>0</v>
      </c>
      <c r="J153" s="518">
        <f ca="1">IF(INDEX($L$10:$L$13,MATCH($B153,$B$10:$B$13,0)),zar.2010,1)*SUMIF(NameConv!$C$4:$C$44,RIGHT(C153,3),OFFSET(INDIRECT(B153),0,AT153-1,NameConv!$A$45,1))</f>
        <v>1.0000000000000001E-5</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495">
        <f ca="1">IF(AT152&lt;&gt;AT153,1,IF(AS152=OFFSET(NameConv!$F$45,0,AT152),AR152+1,AR152))</f>
        <v>4</v>
      </c>
      <c r="AS153" s="495">
        <f t="shared" ca="1" si="15"/>
        <v>7</v>
      </c>
      <c r="AT153" s="526">
        <f ca="1">IF(AND(AR152=$AR$7,AS152=SUMIF(NameConv!$G$4:$M$4,MID(C152,2,3),NameConv!$G$45:$M$45)),AT152+1,AT152)</f>
        <v>4</v>
      </c>
    </row>
    <row r="154" spans="1:46">
      <c r="A154" s="883" t="str">
        <f ca="1">IF(INDEX(Demand.Sectors,MATCH(MID(C154,2,3),NameConv!$G$4:$M$4,0)),"","*")</f>
        <v/>
      </c>
      <c r="B154" s="518" t="str">
        <f t="shared" ca="1" si="17"/>
        <v>PRC_RESID</v>
      </c>
      <c r="C154" s="518" t="str">
        <f ca="1">"X"&amp;OFFSET(NameConv!$F$4,0,AT154)&amp;OFFSET(NameConv!$F$59,AS154,AT154)</f>
        <v>XTRAOKE</v>
      </c>
      <c r="D154" s="518" t="str">
        <f t="shared" ca="1" si="16"/>
        <v>-</v>
      </c>
      <c r="E154" s="518" t="str">
        <f t="shared" ca="1" si="16"/>
        <v>-</v>
      </c>
      <c r="F154" s="518" t="str">
        <f t="shared" ca="1" si="16"/>
        <v>-</v>
      </c>
      <c r="G154" s="518" t="str">
        <f t="shared" ca="1" si="16"/>
        <v>-</v>
      </c>
      <c r="H154" s="518" t="str">
        <f t="shared" ca="1" si="16"/>
        <v>-</v>
      </c>
      <c r="I154" s="516">
        <f t="shared" ca="1" si="16"/>
        <v>0</v>
      </c>
      <c r="J154" s="518">
        <f ca="1">IF(INDEX($L$10:$L$13,MATCH($B154,$B$10:$B$13,0)),zar.2010,1)*SUMIF(NameConv!$C$4:$C$44,RIGHT(C154,3),OFFSET(INDIRECT(B154),0,AT154-1,NameConv!$A$45,1))</f>
        <v>1.0000000000000001E-5</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495">
        <f ca="1">IF(AT153&lt;&gt;AT154,1,IF(AS153=OFFSET(NameConv!$F$45,0,AT153),AR153+1,AR153))</f>
        <v>4</v>
      </c>
      <c r="AS154" s="495">
        <f t="shared" ca="1" si="15"/>
        <v>8</v>
      </c>
      <c r="AT154" s="526">
        <f ca="1">IF(AND(AR153=$AR$7,AS153=SUMIF(NameConv!$G$4:$M$4,MID(C153,2,3),NameConv!$G$45:$M$45)),AT153+1,AT153)</f>
        <v>4</v>
      </c>
    </row>
    <row r="155" spans="1:46">
      <c r="A155" s="883" t="str">
        <f ca="1">IF(INDEX(Demand.Sectors,MATCH(MID(C155,2,3),NameConv!$G$4:$M$4,0)),"","*")</f>
        <v/>
      </c>
      <c r="B155" s="518" t="str">
        <f t="shared" ca="1" si="17"/>
        <v>ACT_EFF</v>
      </c>
      <c r="C155" s="518" t="str">
        <f ca="1">"X"&amp;OFFSET(NameConv!$F$4,0,AT155)&amp;OFFSET(NameConv!$F$59,AS155,AT155)</f>
        <v>XRESBIW</v>
      </c>
      <c r="D155" s="518" t="str">
        <f t="shared" ca="1" si="16"/>
        <v>-</v>
      </c>
      <c r="E155" s="518" t="str">
        <f t="shared" ca="1" si="16"/>
        <v>ACTGRP</v>
      </c>
      <c r="F155" s="518" t="str">
        <f t="shared" ca="1" si="16"/>
        <v>-</v>
      </c>
      <c r="G155" s="518" t="str">
        <f t="shared" ca="1" si="16"/>
        <v>ANNUAL</v>
      </c>
      <c r="H155" s="518" t="str">
        <f t="shared" ca="1" si="16"/>
        <v>-</v>
      </c>
      <c r="I155" s="516">
        <f t="shared" ca="1" si="16"/>
        <v>0</v>
      </c>
      <c r="J155" s="518">
        <f ca="1">IF(INDEX($L$10:$L$13,MATCH($B155,$B$10:$B$13,0)),zar.2010,1)*SUMIF(NameConv!$C$4:$C$44,RIGHT(C155,3),OFFSET(INDIRECT(B155),0,AT155-1,NameConv!$A$45,1))</f>
        <v>1</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495">
        <f ca="1">IF(AT154&lt;&gt;AT155,1,IF(AS154=OFFSET(NameConv!$F$45,0,AT154),AR154+1,AR154))</f>
        <v>1</v>
      </c>
      <c r="AS155" s="495">
        <f t="shared" ca="1" si="15"/>
        <v>1</v>
      </c>
      <c r="AT155" s="526">
        <f ca="1">IF(AND(AR154=$AR$7,AS154=SUMIF(NameConv!$G$4:$M$4,MID(C154,2,3),NameConv!$G$45:$M$45)),AT154+1,AT154)</f>
        <v>5</v>
      </c>
    </row>
    <row r="156" spans="1:46">
      <c r="A156" s="883" t="str">
        <f ca="1">IF(INDEX(Demand.Sectors,MATCH(MID(C156,2,3),NameConv!$G$4:$M$4,0)),"","*")</f>
        <v/>
      </c>
      <c r="B156" s="518" t="str">
        <f t="shared" ca="1" si="17"/>
        <v>ACT_EFF</v>
      </c>
      <c r="C156" s="518" t="str">
        <f ca="1">"X"&amp;OFFSET(NameConv!$F$4,0,AT156)&amp;OFFSET(NameConv!$F$59,AS156,AT156)</f>
        <v>XRESCOA</v>
      </c>
      <c r="D156" s="518" t="str">
        <f t="shared" ca="1" si="16"/>
        <v>-</v>
      </c>
      <c r="E156" s="518" t="str">
        <f t="shared" ca="1" si="16"/>
        <v>ACTGRP</v>
      </c>
      <c r="F156" s="518" t="str">
        <f t="shared" ca="1" si="16"/>
        <v>-</v>
      </c>
      <c r="G156" s="518" t="str">
        <f t="shared" ca="1" si="16"/>
        <v>ANNUAL</v>
      </c>
      <c r="H156" s="518" t="str">
        <f t="shared" ca="1" si="16"/>
        <v>-</v>
      </c>
      <c r="I156" s="516">
        <f t="shared" ca="1" si="16"/>
        <v>0</v>
      </c>
      <c r="J156" s="518">
        <f ca="1">IF(INDEX($L$10:$L$13,MATCH($B156,$B$10:$B$13,0)),zar.2010,1)*SUMIF(NameConv!$C$4:$C$44,RIGHT(C156,3),OFFSET(INDIRECT(B156),0,AT156-1,NameConv!$A$45,1))</f>
        <v>1</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495">
        <f ca="1">IF(AT155&lt;&gt;AT156,1,IF(AS155=OFFSET(NameConv!$F$45,0,AT155),AR155+1,AR155))</f>
        <v>1</v>
      </c>
      <c r="AS156" s="495">
        <f t="shared" ca="1" si="15"/>
        <v>2</v>
      </c>
      <c r="AT156" s="526">
        <f ca="1">IF(AND(AR155=$AR$7,AS155=SUMIF(NameConv!$G$4:$M$4,MID(C155,2,3),NameConv!$G$45:$M$45)),AT155+1,AT155)</f>
        <v>5</v>
      </c>
    </row>
    <row r="157" spans="1:46">
      <c r="A157" s="883" t="str">
        <f ca="1">IF(INDEX(Demand.Sectors,MATCH(MID(C157,2,3),NameConv!$G$4:$M$4,0)),"","*")</f>
        <v/>
      </c>
      <c r="B157" s="518" t="str">
        <f t="shared" ca="1" si="17"/>
        <v>ACT_EFF</v>
      </c>
      <c r="C157" s="518" t="str">
        <f ca="1">"X"&amp;OFFSET(NameConv!$F$4,0,AT157)&amp;OFFSET(NameConv!$F$59,AS157,AT157)</f>
        <v>XRESELC</v>
      </c>
      <c r="D157" s="518" t="str">
        <f t="shared" ca="1" si="16"/>
        <v>-</v>
      </c>
      <c r="E157" s="518" t="str">
        <f t="shared" ca="1" si="16"/>
        <v>ACTGRP</v>
      </c>
      <c r="F157" s="518" t="str">
        <f t="shared" ca="1" si="16"/>
        <v>-</v>
      </c>
      <c r="G157" s="518" t="str">
        <f t="shared" ca="1" si="16"/>
        <v>ANNUAL</v>
      </c>
      <c r="H157" s="518" t="str">
        <f t="shared" ca="1" si="16"/>
        <v>-</v>
      </c>
      <c r="I157" s="516">
        <f t="shared" ca="1" si="16"/>
        <v>0</v>
      </c>
      <c r="J157" s="518">
        <f ca="1">IF(INDEX($L$10:$L$13,MATCH($B157,$B$10:$B$13,0)),zar.2010,1)*SUMIF(NameConv!$C$4:$C$44,RIGHT(C157,3),OFFSET(INDIRECT(B157),0,AT157-1,NameConv!$A$45,1))</f>
        <v>0.87928211713238158</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495">
        <f ca="1">IF(AT156&lt;&gt;AT157,1,IF(AS156=OFFSET(NameConv!$F$45,0,AT156),AR156+1,AR156))</f>
        <v>1</v>
      </c>
      <c r="AS157" s="495">
        <f t="shared" ca="1" si="15"/>
        <v>3</v>
      </c>
      <c r="AT157" s="526">
        <f ca="1">IF(AND(AR156=$AR$7,AS156=SUMIF(NameConv!$G$4:$M$4,MID(C156,2,3),NameConv!$G$45:$M$45)),AT156+1,AT156)</f>
        <v>5</v>
      </c>
    </row>
    <row r="158" spans="1:46">
      <c r="A158" s="883" t="str">
        <f ca="1">IF(INDEX(Demand.Sectors,MATCH(MID(C158,2,3),NameConv!$G$4:$M$4,0)),"","*")</f>
        <v/>
      </c>
      <c r="B158" s="518" t="str">
        <f t="shared" ca="1" si="17"/>
        <v>ACT_EFF</v>
      </c>
      <c r="C158" s="518" t="str">
        <f ca="1">"X"&amp;OFFSET(NameConv!$F$4,0,AT158)&amp;OFFSET(NameConv!$F$59,AS158,AT158)</f>
        <v>XRESGAS</v>
      </c>
      <c r="D158" s="518" t="str">
        <f t="shared" ca="1" si="16"/>
        <v>-</v>
      </c>
      <c r="E158" s="518" t="str">
        <f t="shared" ca="1" si="16"/>
        <v>ACTGRP</v>
      </c>
      <c r="F158" s="518" t="str">
        <f t="shared" ca="1" si="16"/>
        <v>-</v>
      </c>
      <c r="G158" s="518" t="str">
        <f t="shared" ca="1" si="16"/>
        <v>ANNUAL</v>
      </c>
      <c r="H158" s="518" t="str">
        <f t="shared" ca="1" si="16"/>
        <v>-</v>
      </c>
      <c r="I158" s="516">
        <f t="shared" ca="1" si="16"/>
        <v>0</v>
      </c>
      <c r="J158" s="518">
        <f ca="1">IF(INDEX($L$10:$L$13,MATCH($B158,$B$10:$B$13,0)),zar.2010,1)*SUMIF(NameConv!$C$4:$C$44,RIGHT(C158,3),OFFSET(INDIRECT(B158),0,AT158-1,NameConv!$A$45,1))</f>
        <v>0.999</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495">
        <f ca="1">IF(AT157&lt;&gt;AT158,1,IF(AS157=OFFSET(NameConv!$F$45,0,AT157),AR157+1,AR157))</f>
        <v>1</v>
      </c>
      <c r="AS158" s="495">
        <f t="shared" ca="1" si="15"/>
        <v>4</v>
      </c>
      <c r="AT158" s="526">
        <f ca="1">IF(AND(AR157=$AR$7,AS157=SUMIF(NameConv!$G$4:$M$4,MID(C157,2,3),NameConv!$G$45:$M$45)),AT157+1,AT157)</f>
        <v>5</v>
      </c>
    </row>
    <row r="159" spans="1:46">
      <c r="A159" s="883" t="str">
        <f ca="1">IF(INDEX(Demand.Sectors,MATCH(MID(C159,2,3),NameConv!$G$4:$M$4,0)),"","*")</f>
        <v/>
      </c>
      <c r="B159" s="518" t="str">
        <f t="shared" ca="1" si="17"/>
        <v>ACT_EFF</v>
      </c>
      <c r="C159" s="518" t="str">
        <f ca="1">"X"&amp;OFFSET(NameConv!$F$4,0,AT159)&amp;OFFSET(NameConv!$F$59,AS159,AT159)</f>
        <v>XRESOKE</v>
      </c>
      <c r="D159" s="518" t="str">
        <f t="shared" ca="1" si="16"/>
        <v>-</v>
      </c>
      <c r="E159" s="518" t="str">
        <f t="shared" ca="1" si="16"/>
        <v>ACTGRP</v>
      </c>
      <c r="F159" s="518" t="str">
        <f t="shared" ca="1" si="16"/>
        <v>-</v>
      </c>
      <c r="G159" s="518" t="str">
        <f t="shared" ca="1" si="16"/>
        <v>ANNUAL</v>
      </c>
      <c r="H159" s="518" t="str">
        <f t="shared" ca="1" si="16"/>
        <v>-</v>
      </c>
      <c r="I159" s="516">
        <f t="shared" ca="1" si="16"/>
        <v>0</v>
      </c>
      <c r="J159" s="518">
        <f ca="1">IF(INDEX($L$10:$L$13,MATCH($B159,$B$10:$B$13,0)),zar.2010,1)*SUMIF(NameConv!$C$4:$C$44,RIGHT(C159,3),OFFSET(INDIRECT(B159),0,AT159-1,NameConv!$A$45,1))</f>
        <v>1</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495">
        <f ca="1">IF(AT158&lt;&gt;AT159,1,IF(AS158=OFFSET(NameConv!$F$45,0,AT158),AR158+1,AR158))</f>
        <v>1</v>
      </c>
      <c r="AS159" s="495">
        <f t="shared" ca="1" si="15"/>
        <v>5</v>
      </c>
      <c r="AT159" s="526">
        <f ca="1">IF(AND(AR158=$AR$7,AS158=SUMIF(NameConv!$G$4:$M$4,MID(C158,2,3),NameConv!$G$45:$M$45)),AT158+1,AT158)</f>
        <v>5</v>
      </c>
    </row>
    <row r="160" spans="1:46">
      <c r="A160" s="883" t="str">
        <f ca="1">IF(INDEX(Demand.Sectors,MATCH(MID(C160,2,3),NameConv!$G$4:$M$4,0)),"","*")</f>
        <v/>
      </c>
      <c r="B160" s="518" t="str">
        <f t="shared" ca="1" si="17"/>
        <v>ACT_EFF</v>
      </c>
      <c r="C160" s="518" t="str">
        <f ca="1">"X"&amp;OFFSET(NameConv!$F$4,0,AT160)&amp;OFFSET(NameConv!$F$59,AS160,AT160)</f>
        <v>XRESOLP</v>
      </c>
      <c r="D160" s="518" t="str">
        <f t="shared" ca="1" si="16"/>
        <v>-</v>
      </c>
      <c r="E160" s="518" t="str">
        <f t="shared" ca="1" si="16"/>
        <v>ACTGRP</v>
      </c>
      <c r="F160" s="518" t="str">
        <f t="shared" ca="1" si="16"/>
        <v>-</v>
      </c>
      <c r="G160" s="518" t="str">
        <f t="shared" ca="1" si="16"/>
        <v>ANNUAL</v>
      </c>
      <c r="H160" s="518" t="str">
        <f t="shared" ca="1" si="16"/>
        <v>-</v>
      </c>
      <c r="I160" s="516">
        <f t="shared" ca="1" si="16"/>
        <v>0</v>
      </c>
      <c r="J160" s="518">
        <f ca="1">IF(INDEX($L$10:$L$13,MATCH($B160,$B$10:$B$13,0)),zar.2010,1)*SUMIF(NameConv!$C$4:$C$44,RIGHT(C160,3),OFFSET(INDIRECT(B160),0,AT160-1,NameConv!$A$45,1))</f>
        <v>1</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495">
        <f ca="1">IF(AT159&lt;&gt;AT160,1,IF(AS159=OFFSET(NameConv!$F$45,0,AT159),AR159+1,AR159))</f>
        <v>1</v>
      </c>
      <c r="AS160" s="495">
        <f t="shared" ca="1" si="15"/>
        <v>6</v>
      </c>
      <c r="AT160" s="526">
        <f ca="1">IF(AND(AR159=$AR$7,AS159=SUMIF(NameConv!$G$4:$M$4,MID(C159,2,3),NameConv!$G$45:$M$45)),AT159+1,AT159)</f>
        <v>5</v>
      </c>
    </row>
    <row r="161" spans="1:46">
      <c r="A161" s="883" t="str">
        <f ca="1">IF(INDEX(Demand.Sectors,MATCH(MID(C161,2,3),NameConv!$G$4:$M$4,0)),"","*")</f>
        <v/>
      </c>
      <c r="B161" s="518" t="str">
        <f t="shared" ca="1" si="17"/>
        <v>NCAP_COST</v>
      </c>
      <c r="C161" s="518" t="str">
        <f ca="1">"X"&amp;OFFSET(NameConv!$F$4,0,AT161)&amp;OFFSET(NameConv!$F$59,AS161,AT161)</f>
        <v>XRESBIW</v>
      </c>
      <c r="D161" s="518" t="str">
        <f t="shared" ca="1" si="16"/>
        <v>-</v>
      </c>
      <c r="E161" s="518" t="str">
        <f t="shared" ca="1" si="16"/>
        <v>-</v>
      </c>
      <c r="F161" s="518" t="str">
        <f t="shared" ca="1" si="16"/>
        <v>-</v>
      </c>
      <c r="G161" s="518" t="str">
        <f t="shared" ca="1" si="16"/>
        <v>-</v>
      </c>
      <c r="H161" s="518" t="str">
        <f t="shared" ca="1" si="16"/>
        <v>-</v>
      </c>
      <c r="I161" s="516">
        <f t="shared" ca="1" si="16"/>
        <v>0</v>
      </c>
      <c r="J161" s="518">
        <f ca="1">IF(INDEX($L$10:$L$13,MATCH($B161,$B$10:$B$13,0)),zar.2010,1)*SUMIF(NameConv!$C$4:$C$44,RIGHT(C161,3),OFFSET(INDIRECT(B161),0,AT161-1,NameConv!$A$45,1))</f>
        <v>1.3094103081137337E-4</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495">
        <f ca="1">IF(AT160&lt;&gt;AT161,1,IF(AS160=OFFSET(NameConv!$F$45,0,AT160),AR160+1,AR160))</f>
        <v>2</v>
      </c>
      <c r="AS161" s="495">
        <f t="shared" ca="1" si="15"/>
        <v>1</v>
      </c>
      <c r="AT161" s="526">
        <f ca="1">IF(AND(AR160=$AR$7,AS160=SUMIF(NameConv!$G$4:$M$4,MID(C160,2,3),NameConv!$G$45:$M$45)),AT160+1,AT160)</f>
        <v>5</v>
      </c>
    </row>
    <row r="162" spans="1:46">
      <c r="A162" s="883" t="str">
        <f ca="1">IF(INDEX(Demand.Sectors,MATCH(MID(C162,2,3),NameConv!$G$4:$M$4,0)),"","*")</f>
        <v/>
      </c>
      <c r="B162" s="518" t="str">
        <f t="shared" ca="1" si="17"/>
        <v>NCAP_COST</v>
      </c>
      <c r="C162" s="518" t="str">
        <f ca="1">"X"&amp;OFFSET(NameConv!$F$4,0,AT162)&amp;OFFSET(NameConv!$F$59,AS162,AT162)</f>
        <v>XRESCOA</v>
      </c>
      <c r="D162" s="518" t="str">
        <f t="shared" ca="1" si="16"/>
        <v>-</v>
      </c>
      <c r="E162" s="518" t="str">
        <f t="shared" ca="1" si="16"/>
        <v>-</v>
      </c>
      <c r="F162" s="518" t="str">
        <f t="shared" ca="1" si="16"/>
        <v>-</v>
      </c>
      <c r="G162" s="518" t="str">
        <f t="shared" ca="1" si="16"/>
        <v>-</v>
      </c>
      <c r="H162" s="518" t="str">
        <f t="shared" ca="1" si="16"/>
        <v>-</v>
      </c>
      <c r="I162" s="516">
        <f t="shared" ca="1" si="16"/>
        <v>0</v>
      </c>
      <c r="J162" s="518">
        <f ca="1">IF(INDEX($L$10:$L$13,MATCH($B162,$B$10:$B$13,0)),zar.2010,1)*SUMIF(NameConv!$C$4:$C$44,RIGHT(C162,3),OFFSET(INDIRECT(B162),0,AT162-1,NameConv!$A$45,1))</f>
        <v>1.3094103081137337E-4</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495">
        <f ca="1">IF(AT161&lt;&gt;AT162,1,IF(AS161=OFFSET(NameConv!$F$45,0,AT161),AR161+1,AR161))</f>
        <v>2</v>
      </c>
      <c r="AS162" s="495">
        <f t="shared" ca="1" si="15"/>
        <v>2</v>
      </c>
      <c r="AT162" s="526">
        <f ca="1">IF(AND(AR161=$AR$7,AS161=SUMIF(NameConv!$G$4:$M$4,MID(C161,2,3),NameConv!$G$45:$M$45)),AT161+1,AT161)</f>
        <v>5</v>
      </c>
    </row>
    <row r="163" spans="1:46">
      <c r="A163" s="883" t="str">
        <f ca="1">IF(INDEX(Demand.Sectors,MATCH(MID(C163,2,3),NameConv!$G$4:$M$4,0)),"","*")</f>
        <v/>
      </c>
      <c r="B163" s="518" t="str">
        <f t="shared" ca="1" si="17"/>
        <v>NCAP_COST</v>
      </c>
      <c r="C163" s="518" t="str">
        <f ca="1">"X"&amp;OFFSET(NameConv!$F$4,0,AT163)&amp;OFFSET(NameConv!$F$59,AS163,AT163)</f>
        <v>XRESELC</v>
      </c>
      <c r="D163" s="518" t="str">
        <f t="shared" ca="1" si="16"/>
        <v>-</v>
      </c>
      <c r="E163" s="518" t="str">
        <f t="shared" ca="1" si="16"/>
        <v>-</v>
      </c>
      <c r="F163" s="518" t="str">
        <f t="shared" ca="1" si="16"/>
        <v>-</v>
      </c>
      <c r="G163" s="518" t="str">
        <f t="shared" ca="1" si="16"/>
        <v>-</v>
      </c>
      <c r="H163" s="518" t="str">
        <f t="shared" ca="1" si="16"/>
        <v>-</v>
      </c>
      <c r="I163" s="516">
        <f t="shared" ca="1" si="16"/>
        <v>0</v>
      </c>
      <c r="J163" s="518">
        <f ca="1">IF(INDEX($L$10:$L$13,MATCH($B163,$B$10:$B$13,0)),zar.2010,1)*SUMIF(NameConv!$C$4:$C$44,RIGHT(C163,3),OFFSET(INDIRECT(B163),0,AT163-1,NameConv!$A$45,1))</f>
        <v>30869.197522392027</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495">
        <f ca="1">IF(AT162&lt;&gt;AT163,1,IF(AS162=OFFSET(NameConv!$F$45,0,AT162),AR162+1,AR162))</f>
        <v>2</v>
      </c>
      <c r="AS163" s="495">
        <f t="shared" ca="1" si="15"/>
        <v>3</v>
      </c>
      <c r="AT163" s="526">
        <f ca="1">IF(AND(AR162=$AR$7,AS162=SUMIF(NameConv!$G$4:$M$4,MID(C162,2,3),NameConv!$G$45:$M$45)),AT162+1,AT162)</f>
        <v>5</v>
      </c>
    </row>
    <row r="164" spans="1:46">
      <c r="A164" s="883" t="str">
        <f ca="1">IF(INDEX(Demand.Sectors,MATCH(MID(C164,2,3),NameConv!$G$4:$M$4,0)),"","*")</f>
        <v/>
      </c>
      <c r="B164" s="518" t="str">
        <f t="shared" ca="1" si="17"/>
        <v>NCAP_COST</v>
      </c>
      <c r="C164" s="518" t="str">
        <f ca="1">"X"&amp;OFFSET(NameConv!$F$4,0,AT164)&amp;OFFSET(NameConv!$F$59,AS164,AT164)</f>
        <v>XRESGAS</v>
      </c>
      <c r="D164" s="518" t="str">
        <f t="shared" ca="1" si="16"/>
        <v>-</v>
      </c>
      <c r="E164" s="518" t="str">
        <f t="shared" ca="1" si="16"/>
        <v>-</v>
      </c>
      <c r="F164" s="518" t="str">
        <f t="shared" ca="1" si="16"/>
        <v>-</v>
      </c>
      <c r="G164" s="518" t="str">
        <f t="shared" ref="D164:I192" ca="1" si="18">IF($A164="*","",VLOOKUP($B164,$B$10:$I$13,G$9,FALSE))</f>
        <v>-</v>
      </c>
      <c r="H164" s="518" t="str">
        <f t="shared" ca="1" si="18"/>
        <v>-</v>
      </c>
      <c r="I164" s="516">
        <f t="shared" ca="1" si="18"/>
        <v>0</v>
      </c>
      <c r="J164" s="518">
        <f ca="1">IF(INDEX($L$10:$L$13,MATCH($B164,$B$10:$B$13,0)),zar.2010,1)*SUMIF(NameConv!$C$4:$C$44,RIGHT(C164,3),OFFSET(INDIRECT(B164),0,AT164-1,NameConv!$A$45,1))</f>
        <v>692.6770392798461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495">
        <f ca="1">IF(AT163&lt;&gt;AT164,1,IF(AS163=OFFSET(NameConv!$F$45,0,AT163),AR163+1,AR163))</f>
        <v>2</v>
      </c>
      <c r="AS164" s="495">
        <f t="shared" ca="1" si="15"/>
        <v>4</v>
      </c>
      <c r="AT164" s="526">
        <f ca="1">IF(AND(AR163=$AR$7,AS163=SUMIF(NameConv!$G$4:$M$4,MID(C163,2,3),NameConv!$G$45:$M$45)),AT163+1,AT163)</f>
        <v>5</v>
      </c>
    </row>
    <row r="165" spans="1:46">
      <c r="A165" s="883" t="str">
        <f ca="1">IF(INDEX(Demand.Sectors,MATCH(MID(C165,2,3),NameConv!$G$4:$M$4,0)),"","*")</f>
        <v/>
      </c>
      <c r="B165" s="518" t="str">
        <f t="shared" ca="1" si="17"/>
        <v>NCAP_COST</v>
      </c>
      <c r="C165" s="518" t="str">
        <f ca="1">"X"&amp;OFFSET(NameConv!$F$4,0,AT165)&amp;OFFSET(NameConv!$F$59,AS165,AT165)</f>
        <v>XRESOKE</v>
      </c>
      <c r="D165" s="518" t="str">
        <f t="shared" ca="1" si="18"/>
        <v>-</v>
      </c>
      <c r="E165" s="518" t="str">
        <f t="shared" ca="1" si="18"/>
        <v>-</v>
      </c>
      <c r="F165" s="518" t="str">
        <f t="shared" ca="1" si="18"/>
        <v>-</v>
      </c>
      <c r="G165" s="518" t="str">
        <f t="shared" ca="1" si="18"/>
        <v>-</v>
      </c>
      <c r="H165" s="518" t="str">
        <f t="shared" ca="1" si="18"/>
        <v>-</v>
      </c>
      <c r="I165" s="516">
        <f t="shared" ca="1" si="18"/>
        <v>0</v>
      </c>
      <c r="J165" s="518">
        <f ca="1">IF(INDEX($L$10:$L$13,MATCH($B165,$B$10:$B$13,0)),zar.2010,1)*SUMIF(NameConv!$C$4:$C$44,RIGHT(C165,3),OFFSET(INDIRECT(B165),0,AT165-1,NameConv!$A$45,1))</f>
        <v>32.735257702843342</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495">
        <f ca="1">IF(AT164&lt;&gt;AT165,1,IF(AS164=OFFSET(NameConv!$F$45,0,AT164),AR164+1,AR164))</f>
        <v>2</v>
      </c>
      <c r="AS165" s="495">
        <f t="shared" ca="1" si="15"/>
        <v>5</v>
      </c>
      <c r="AT165" s="526">
        <f ca="1">IF(AND(AR164=$AR$7,AS164=SUMIF(NameConv!$G$4:$M$4,MID(C164,2,3),NameConv!$G$45:$M$45)),AT164+1,AT164)</f>
        <v>5</v>
      </c>
    </row>
    <row r="166" spans="1:46">
      <c r="A166" s="883" t="str">
        <f ca="1">IF(INDEX(Demand.Sectors,MATCH(MID(C166,2,3),NameConv!$G$4:$M$4,0)),"","*")</f>
        <v/>
      </c>
      <c r="B166" s="518" t="str">
        <f t="shared" ca="1" si="17"/>
        <v>NCAP_COST</v>
      </c>
      <c r="C166" s="518" t="str">
        <f ca="1">"X"&amp;OFFSET(NameConv!$F$4,0,AT166)&amp;OFFSET(NameConv!$F$59,AS166,AT166)</f>
        <v>XRESOLP</v>
      </c>
      <c r="D166" s="518" t="str">
        <f t="shared" ca="1" si="18"/>
        <v>-</v>
      </c>
      <c r="E166" s="518" t="str">
        <f t="shared" ca="1" si="18"/>
        <v>-</v>
      </c>
      <c r="F166" s="518" t="str">
        <f t="shared" ca="1" si="18"/>
        <v>-</v>
      </c>
      <c r="G166" s="518" t="str">
        <f t="shared" ca="1" si="18"/>
        <v>-</v>
      </c>
      <c r="H166" s="518" t="str">
        <f t="shared" ca="1" si="18"/>
        <v>-</v>
      </c>
      <c r="I166" s="516">
        <f t="shared" ca="1" si="18"/>
        <v>0</v>
      </c>
      <c r="J166" s="518">
        <f ca="1">IF(INDEX($L$10:$L$13,MATCH($B166,$B$10:$B$13,0)),zar.2010,1)*SUMIF(NameConv!$C$4:$C$44,RIGHT(C166,3),OFFSET(INDIRECT(B166),0,AT166-1,NameConv!$A$45,1))</f>
        <v>58.923463865118009</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495">
        <f ca="1">IF(AT165&lt;&gt;AT166,1,IF(AS165=OFFSET(NameConv!$F$45,0,AT165),AR165+1,AR165))</f>
        <v>2</v>
      </c>
      <c r="AS166" s="495">
        <f t="shared" ca="1" si="15"/>
        <v>6</v>
      </c>
      <c r="AT166" s="526">
        <f ca="1">IF(AND(AR165=$AR$7,AS165=SUMIF(NameConv!$G$4:$M$4,MID(C165,2,3),NameConv!$G$45:$M$45)),AT165+1,AT165)</f>
        <v>5</v>
      </c>
    </row>
    <row r="167" spans="1:46">
      <c r="A167" s="883" t="str">
        <f ca="1">IF(INDEX(Demand.Sectors,MATCH(MID(C167,2,3),NameConv!$G$4:$M$4,0)),"","*")</f>
        <v/>
      </c>
      <c r="B167" s="518" t="str">
        <f t="shared" ca="1" si="17"/>
        <v>NCAP_TLIFE</v>
      </c>
      <c r="C167" s="518" t="str">
        <f ca="1">"X"&amp;OFFSET(NameConv!$F$4,0,AT167)&amp;OFFSET(NameConv!$F$59,AS167,AT167)</f>
        <v>XRESBIW</v>
      </c>
      <c r="D167" s="518" t="str">
        <f t="shared" ca="1" si="18"/>
        <v>-</v>
      </c>
      <c r="E167" s="518" t="str">
        <f t="shared" ca="1" si="18"/>
        <v>-</v>
      </c>
      <c r="F167" s="518" t="str">
        <f t="shared" ca="1" si="18"/>
        <v>-</v>
      </c>
      <c r="G167" s="518" t="str">
        <f t="shared" ca="1" si="18"/>
        <v>-</v>
      </c>
      <c r="H167" s="518" t="str">
        <f t="shared" ca="1" si="18"/>
        <v>-</v>
      </c>
      <c r="I167" s="516">
        <f t="shared" ca="1" si="18"/>
        <v>0</v>
      </c>
      <c r="J167" s="518">
        <f ca="1">IF(INDEX($L$10:$L$13,MATCH($B167,$B$10:$B$13,0)),zar.2010,1)*SUMIF(NameConv!$C$4:$C$44,RIGHT(C167,3),OFFSET(INDIRECT(B167),0,AT167-1,NameConv!$A$45,1))</f>
        <v>60</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495">
        <f ca="1">IF(AT166&lt;&gt;AT167,1,IF(AS166=OFFSET(NameConv!$F$45,0,AT166),AR166+1,AR166))</f>
        <v>3</v>
      </c>
      <c r="AS167" s="495">
        <f t="shared" ca="1" si="15"/>
        <v>1</v>
      </c>
      <c r="AT167" s="526">
        <f ca="1">IF(AND(AR166=$AR$7,AS166=SUMIF(NameConv!$G$4:$M$4,MID(C166,2,3),NameConv!$G$45:$M$45)),AT166+1,AT166)</f>
        <v>5</v>
      </c>
    </row>
    <row r="168" spans="1:46">
      <c r="A168" s="883" t="str">
        <f ca="1">IF(INDEX(Demand.Sectors,MATCH(MID(C168,2,3),NameConv!$G$4:$M$4,0)),"","*")</f>
        <v/>
      </c>
      <c r="B168" s="518" t="str">
        <f t="shared" ca="1" si="17"/>
        <v>NCAP_TLIFE</v>
      </c>
      <c r="C168" s="518" t="str">
        <f ca="1">"X"&amp;OFFSET(NameConv!$F$4,0,AT168)&amp;OFFSET(NameConv!$F$59,AS168,AT168)</f>
        <v>XRESCOA</v>
      </c>
      <c r="D168" s="518" t="str">
        <f t="shared" ca="1" si="18"/>
        <v>-</v>
      </c>
      <c r="E168" s="518" t="str">
        <f t="shared" ca="1" si="18"/>
        <v>-</v>
      </c>
      <c r="F168" s="518" t="str">
        <f t="shared" ca="1" si="18"/>
        <v>-</v>
      </c>
      <c r="G168" s="518" t="str">
        <f t="shared" ca="1" si="18"/>
        <v>-</v>
      </c>
      <c r="H168" s="518" t="str">
        <f t="shared" ca="1" si="18"/>
        <v>-</v>
      </c>
      <c r="I168" s="516">
        <f t="shared" ca="1" si="18"/>
        <v>0</v>
      </c>
      <c r="J168" s="518">
        <f ca="1">IF(INDEX($L$10:$L$13,MATCH($B168,$B$10:$B$13,0)),zar.2010,1)*SUMIF(NameConv!$C$4:$C$44,RIGHT(C168,3),OFFSET(INDIRECT(B168),0,AT168-1,NameConv!$A$45,1))</f>
        <v>60</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495">
        <f ca="1">IF(AT167&lt;&gt;AT168,1,IF(AS167=OFFSET(NameConv!$F$45,0,AT167),AR167+1,AR167))</f>
        <v>3</v>
      </c>
      <c r="AS168" s="495">
        <f t="shared" ca="1" si="15"/>
        <v>2</v>
      </c>
      <c r="AT168" s="526">
        <f ca="1">IF(AND(AR167=$AR$7,AS167=SUMIF(NameConv!$G$4:$M$4,MID(C167,2,3),NameConv!$G$45:$M$45)),AT167+1,AT167)</f>
        <v>5</v>
      </c>
    </row>
    <row r="169" spans="1:46">
      <c r="A169" s="883" t="str">
        <f ca="1">IF(INDEX(Demand.Sectors,MATCH(MID(C169,2,3),NameConv!$G$4:$M$4,0)),"","*")</f>
        <v/>
      </c>
      <c r="B169" s="518" t="str">
        <f t="shared" ca="1" si="17"/>
        <v>NCAP_TLIFE</v>
      </c>
      <c r="C169" s="518" t="str">
        <f ca="1">"X"&amp;OFFSET(NameConv!$F$4,0,AT169)&amp;OFFSET(NameConv!$F$59,AS169,AT169)</f>
        <v>XRESELC</v>
      </c>
      <c r="D169" s="518" t="str">
        <f t="shared" ca="1" si="18"/>
        <v>-</v>
      </c>
      <c r="E169" s="518" t="str">
        <f t="shared" ca="1" si="18"/>
        <v>-</v>
      </c>
      <c r="F169" s="518" t="str">
        <f t="shared" ca="1" si="18"/>
        <v>-</v>
      </c>
      <c r="G169" s="518" t="str">
        <f t="shared" ca="1" si="18"/>
        <v>-</v>
      </c>
      <c r="H169" s="518" t="str">
        <f t="shared" ca="1" si="18"/>
        <v>-</v>
      </c>
      <c r="I169" s="516">
        <f t="shared" ca="1" si="18"/>
        <v>0</v>
      </c>
      <c r="J169" s="518">
        <f ca="1">IF(INDEX($L$10:$L$13,MATCH($B169,$B$10:$B$13,0)),zar.2010,1)*SUMIF(NameConv!$C$4:$C$44,RIGHT(C169,3),OFFSET(INDIRECT(B169),0,AT169-1,NameConv!$A$45,1))</f>
        <v>60</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495">
        <f ca="1">IF(AT168&lt;&gt;AT169,1,IF(AS168=OFFSET(NameConv!$F$45,0,AT168),AR168+1,AR168))</f>
        <v>3</v>
      </c>
      <c r="AS169" s="495">
        <f t="shared" ca="1" si="15"/>
        <v>3</v>
      </c>
      <c r="AT169" s="526">
        <f ca="1">IF(AND(AR168=$AR$7,AS168=SUMIF(NameConv!$G$4:$M$4,MID(C168,2,3),NameConv!$G$45:$M$45)),AT168+1,AT168)</f>
        <v>5</v>
      </c>
    </row>
    <row r="170" spans="1:46">
      <c r="A170" s="883" t="str">
        <f ca="1">IF(INDEX(Demand.Sectors,MATCH(MID(C170,2,3),NameConv!$G$4:$M$4,0)),"","*")</f>
        <v/>
      </c>
      <c r="B170" s="518" t="str">
        <f t="shared" ca="1" si="17"/>
        <v>NCAP_TLIFE</v>
      </c>
      <c r="C170" s="518" t="str">
        <f ca="1">"X"&amp;OFFSET(NameConv!$F$4,0,AT170)&amp;OFFSET(NameConv!$F$59,AS170,AT170)</f>
        <v>XRESGAS</v>
      </c>
      <c r="D170" s="518" t="str">
        <f t="shared" ca="1" si="18"/>
        <v>-</v>
      </c>
      <c r="E170" s="518" t="str">
        <f t="shared" ca="1" si="18"/>
        <v>-</v>
      </c>
      <c r="F170" s="518" t="str">
        <f t="shared" ca="1" si="18"/>
        <v>-</v>
      </c>
      <c r="G170" s="518" t="str">
        <f t="shared" ca="1" si="18"/>
        <v>-</v>
      </c>
      <c r="H170" s="518" t="str">
        <f t="shared" ca="1" si="18"/>
        <v>-</v>
      </c>
      <c r="I170" s="516">
        <f t="shared" ca="1" si="18"/>
        <v>0</v>
      </c>
      <c r="J170" s="518">
        <f ca="1">IF(INDEX($L$10:$L$13,MATCH($B170,$B$10:$B$13,0)),zar.2010,1)*SUMIF(NameConv!$C$4:$C$44,RIGHT(C170,3),OFFSET(INDIRECT(B170),0,AT170-1,NameConv!$A$45,1))</f>
        <v>60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495">
        <f ca="1">IF(AT169&lt;&gt;AT170,1,IF(AS169=OFFSET(NameConv!$F$45,0,AT169),AR169+1,AR169))</f>
        <v>3</v>
      </c>
      <c r="AS170" s="495">
        <f t="shared" ca="1" si="15"/>
        <v>4</v>
      </c>
      <c r="AT170" s="526">
        <f ca="1">IF(AND(AR169=$AR$7,AS169=SUMIF(NameConv!$G$4:$M$4,MID(C169,2,3),NameConv!$G$45:$M$45)),AT169+1,AT169)</f>
        <v>5</v>
      </c>
    </row>
    <row r="171" spans="1:46">
      <c r="A171" s="883" t="str">
        <f ca="1">IF(INDEX(Demand.Sectors,MATCH(MID(C171,2,3),NameConv!$G$4:$M$4,0)),"","*")</f>
        <v/>
      </c>
      <c r="B171" s="518" t="str">
        <f t="shared" ca="1" si="17"/>
        <v>NCAP_TLIFE</v>
      </c>
      <c r="C171" s="518" t="str">
        <f ca="1">"X"&amp;OFFSET(NameConv!$F$4,0,AT171)&amp;OFFSET(NameConv!$F$59,AS171,AT171)</f>
        <v>XRESOKE</v>
      </c>
      <c r="D171" s="518" t="str">
        <f t="shared" ca="1" si="18"/>
        <v>-</v>
      </c>
      <c r="E171" s="518" t="str">
        <f t="shared" ca="1" si="18"/>
        <v>-</v>
      </c>
      <c r="F171" s="518" t="str">
        <f t="shared" ca="1" si="18"/>
        <v>-</v>
      </c>
      <c r="G171" s="518" t="str">
        <f t="shared" ca="1" si="18"/>
        <v>-</v>
      </c>
      <c r="H171" s="518" t="str">
        <f t="shared" ca="1" si="18"/>
        <v>-</v>
      </c>
      <c r="I171" s="516">
        <f t="shared" ca="1" si="18"/>
        <v>0</v>
      </c>
      <c r="J171" s="518">
        <f ca="1">IF(INDEX($L$10:$L$13,MATCH($B171,$B$10:$B$13,0)),zar.2010,1)*SUMIF(NameConv!$C$4:$C$44,RIGHT(C171,3),OFFSET(INDIRECT(B171),0,AT171-1,NameConv!$A$45,1))</f>
        <v>60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495">
        <f ca="1">IF(AT170&lt;&gt;AT171,1,IF(AS170=OFFSET(NameConv!$F$45,0,AT170),AR170+1,AR170))</f>
        <v>3</v>
      </c>
      <c r="AS171" s="495">
        <f t="shared" ca="1" si="15"/>
        <v>5</v>
      </c>
      <c r="AT171" s="526">
        <f ca="1">IF(AND(AR170=$AR$7,AS170=SUMIF(NameConv!$G$4:$M$4,MID(C170,2,3),NameConv!$G$45:$M$45)),AT170+1,AT170)</f>
        <v>5</v>
      </c>
    </row>
    <row r="172" spans="1:46">
      <c r="A172" s="883" t="str">
        <f ca="1">IF(INDEX(Demand.Sectors,MATCH(MID(C172,2,3),NameConv!$G$4:$M$4,0)),"","*")</f>
        <v/>
      </c>
      <c r="B172" s="518" t="str">
        <f t="shared" ca="1" si="17"/>
        <v>NCAP_TLIFE</v>
      </c>
      <c r="C172" s="518" t="str">
        <f ca="1">"X"&amp;OFFSET(NameConv!$F$4,0,AT172)&amp;OFFSET(NameConv!$F$59,AS172,AT172)</f>
        <v>XRESOLP</v>
      </c>
      <c r="D172" s="518" t="str">
        <f t="shared" ca="1" si="18"/>
        <v>-</v>
      </c>
      <c r="E172" s="518" t="str">
        <f t="shared" ca="1" si="18"/>
        <v>-</v>
      </c>
      <c r="F172" s="518" t="str">
        <f t="shared" ca="1" si="18"/>
        <v>-</v>
      </c>
      <c r="G172" s="518" t="str">
        <f t="shared" ca="1" si="18"/>
        <v>-</v>
      </c>
      <c r="H172" s="518" t="str">
        <f t="shared" ca="1" si="18"/>
        <v>-</v>
      </c>
      <c r="I172" s="516">
        <f t="shared" ca="1" si="18"/>
        <v>0</v>
      </c>
      <c r="J172" s="518">
        <f ca="1">IF(INDEX($L$10:$L$13,MATCH($B172,$B$10:$B$13,0)),zar.2010,1)*SUMIF(NameConv!$C$4:$C$44,RIGHT(C172,3),OFFSET(INDIRECT(B172),0,AT172-1,NameConv!$A$45,1))</f>
        <v>60</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495">
        <f ca="1">IF(AT171&lt;&gt;AT172,1,IF(AS171=OFFSET(NameConv!$F$45,0,AT171),AR171+1,AR171))</f>
        <v>3</v>
      </c>
      <c r="AS172" s="495">
        <f t="shared" ca="1" si="15"/>
        <v>6</v>
      </c>
      <c r="AT172" s="526">
        <f ca="1">IF(AND(AR171=$AR$7,AS171=SUMIF(NameConv!$G$4:$M$4,MID(C171,2,3),NameConv!$G$45:$M$45)),AT171+1,AT171)</f>
        <v>5</v>
      </c>
    </row>
    <row r="173" spans="1:46">
      <c r="A173" s="883" t="str">
        <f ca="1">IF(INDEX(Demand.Sectors,MATCH(MID(C173,2,3),NameConv!$G$4:$M$4,0)),"","*")</f>
        <v/>
      </c>
      <c r="B173" s="518" t="str">
        <f t="shared" ca="1" si="17"/>
        <v>PRC_RESID</v>
      </c>
      <c r="C173" s="518" t="str">
        <f ca="1">"X"&amp;OFFSET(NameConv!$F$4,0,AT173)&amp;OFFSET(NameConv!$F$59,AS173,AT173)</f>
        <v>XRESBIW</v>
      </c>
      <c r="D173" s="518" t="str">
        <f t="shared" ca="1" si="18"/>
        <v>-</v>
      </c>
      <c r="E173" s="518" t="str">
        <f t="shared" ca="1" si="18"/>
        <v>-</v>
      </c>
      <c r="F173" s="518" t="str">
        <f t="shared" ca="1" si="18"/>
        <v>-</v>
      </c>
      <c r="G173" s="518" t="str">
        <f t="shared" ca="1" si="18"/>
        <v>-</v>
      </c>
      <c r="H173" s="518" t="str">
        <f t="shared" ca="1" si="18"/>
        <v>-</v>
      </c>
      <c r="I173" s="516">
        <f t="shared" ca="1" si="18"/>
        <v>0</v>
      </c>
      <c r="J173" s="518">
        <f ca="1">IF(INDEX($L$10:$L$13,MATCH($B173,$B$10:$B$13,0)),zar.2010,1)*SUMIF(NameConv!$C$4:$C$44,RIGHT(C173,3),OFFSET(INDIRECT(B173),0,AT173-1,NameConv!$A$45,1))</f>
        <v>1.0000000000000001E-5</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495">
        <f ca="1">IF(AT172&lt;&gt;AT173,1,IF(AS172=OFFSET(NameConv!$F$45,0,AT172),AR172+1,AR172))</f>
        <v>4</v>
      </c>
      <c r="AS173" s="495">
        <f t="shared" ca="1" si="15"/>
        <v>1</v>
      </c>
      <c r="AT173" s="526">
        <f ca="1">IF(AND(AR172=$AR$7,AS172=SUMIF(NameConv!$G$4:$M$4,MID(C172,2,3),NameConv!$G$45:$M$45)),AT172+1,AT172)</f>
        <v>5</v>
      </c>
    </row>
    <row r="174" spans="1:46">
      <c r="A174" s="883" t="str">
        <f ca="1">IF(INDEX(Demand.Sectors,MATCH(MID(C174,2,3),NameConv!$G$4:$M$4,0)),"","*")</f>
        <v/>
      </c>
      <c r="B174" s="518" t="str">
        <f t="shared" ca="1" si="17"/>
        <v>PRC_RESID</v>
      </c>
      <c r="C174" s="518" t="str">
        <f ca="1">"X"&amp;OFFSET(NameConv!$F$4,0,AT174)&amp;OFFSET(NameConv!$F$59,AS174,AT174)</f>
        <v>XRESCOA</v>
      </c>
      <c r="D174" s="518" t="str">
        <f t="shared" ca="1" si="18"/>
        <v>-</v>
      </c>
      <c r="E174" s="518" t="str">
        <f t="shared" ca="1" si="18"/>
        <v>-</v>
      </c>
      <c r="F174" s="518" t="str">
        <f t="shared" ca="1" si="18"/>
        <v>-</v>
      </c>
      <c r="G174" s="518" t="str">
        <f t="shared" ca="1" si="18"/>
        <v>-</v>
      </c>
      <c r="H174" s="518" t="str">
        <f t="shared" ca="1" si="18"/>
        <v>-</v>
      </c>
      <c r="I174" s="516">
        <f t="shared" ca="1" si="18"/>
        <v>0</v>
      </c>
      <c r="J174" s="518">
        <f ca="1">IF(INDEX($L$10:$L$13,MATCH($B174,$B$10:$B$13,0)),zar.2010,1)*SUMIF(NameConv!$C$4:$C$44,RIGHT(C174,3),OFFSET(INDIRECT(B174),0,AT174-1,NameConv!$A$45,1))</f>
        <v>1.0000000000000001E-5</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495">
        <f ca="1">IF(AT173&lt;&gt;AT174,1,IF(AS173=OFFSET(NameConv!$F$45,0,AT173),AR173+1,AR173))</f>
        <v>4</v>
      </c>
      <c r="AS174" s="495">
        <f t="shared" ca="1" si="15"/>
        <v>2</v>
      </c>
      <c r="AT174" s="526">
        <f ca="1">IF(AND(AR173=$AR$7,AS173=SUMIF(NameConv!$G$4:$M$4,MID(C173,2,3),NameConv!$G$45:$M$45)),AT173+1,AT173)</f>
        <v>5</v>
      </c>
    </row>
    <row r="175" spans="1:46">
      <c r="A175" s="883" t="str">
        <f ca="1">IF(INDEX(Demand.Sectors,MATCH(MID(C175,2,3),NameConv!$G$4:$M$4,0)),"","*")</f>
        <v/>
      </c>
      <c r="B175" s="518" t="str">
        <f t="shared" ca="1" si="17"/>
        <v>PRC_RESID</v>
      </c>
      <c r="C175" s="518" t="str">
        <f ca="1">"X"&amp;OFFSET(NameConv!$F$4,0,AT175)&amp;OFFSET(NameConv!$F$59,AS175,AT175)</f>
        <v>XRESELC</v>
      </c>
      <c r="D175" s="518" t="str">
        <f t="shared" ca="1" si="18"/>
        <v>-</v>
      </c>
      <c r="E175" s="518" t="str">
        <f t="shared" ca="1" si="18"/>
        <v>-</v>
      </c>
      <c r="F175" s="518" t="str">
        <f t="shared" ca="1" si="18"/>
        <v>-</v>
      </c>
      <c r="G175" s="518" t="str">
        <f t="shared" ca="1" si="18"/>
        <v>-</v>
      </c>
      <c r="H175" s="518" t="str">
        <f t="shared" ca="1" si="18"/>
        <v>-</v>
      </c>
      <c r="I175" s="516">
        <f t="shared" ca="1" si="18"/>
        <v>0</v>
      </c>
      <c r="J175" s="518">
        <f ca="1">IF(INDEX($L$10:$L$13,MATCH($B175,$B$10:$B$13,0)),zar.2010,1)*SUMIF(NameConv!$C$4:$C$44,RIGHT(C175,3),OFFSET(INDIRECT(B175),0,AT175-1,NameConv!$A$45,1))</f>
        <v>9.9384899206621569</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495">
        <f ca="1">IF(AT174&lt;&gt;AT175,1,IF(AS174=OFFSET(NameConv!$F$45,0,AT174),AR174+1,AR174))</f>
        <v>4</v>
      </c>
      <c r="AS175" s="495">
        <f t="shared" ca="1" si="15"/>
        <v>3</v>
      </c>
      <c r="AT175" s="526">
        <f ca="1">IF(AND(AR174=$AR$7,AS174=SUMIF(NameConv!$G$4:$M$4,MID(C174,2,3),NameConv!$G$45:$M$45)),AT174+1,AT174)</f>
        <v>5</v>
      </c>
    </row>
    <row r="176" spans="1:46">
      <c r="A176" s="883" t="str">
        <f ca="1">IF(INDEX(Demand.Sectors,MATCH(MID(C176,2,3),NameConv!$G$4:$M$4,0)),"","*")</f>
        <v/>
      </c>
      <c r="B176" s="518" t="str">
        <f t="shared" ca="1" si="17"/>
        <v>PRC_RESID</v>
      </c>
      <c r="C176" s="518" t="str">
        <f ca="1">"X"&amp;OFFSET(NameConv!$F$4,0,AT176)&amp;OFFSET(NameConv!$F$59,AS176,AT176)</f>
        <v>XRESGAS</v>
      </c>
      <c r="D176" s="518" t="str">
        <f t="shared" ca="1" si="18"/>
        <v>-</v>
      </c>
      <c r="E176" s="518" t="str">
        <f t="shared" ca="1" si="18"/>
        <v>-</v>
      </c>
      <c r="F176" s="518" t="str">
        <f t="shared" ca="1" si="18"/>
        <v>-</v>
      </c>
      <c r="G176" s="518" t="str">
        <f t="shared" ca="1" si="18"/>
        <v>-</v>
      </c>
      <c r="H176" s="518" t="str">
        <f t="shared" ca="1" si="18"/>
        <v>-</v>
      </c>
      <c r="I176" s="516">
        <f t="shared" ca="1" si="18"/>
        <v>0</v>
      </c>
      <c r="J176" s="518">
        <f ca="1">IF(INDEX($L$10:$L$13,MATCH($B176,$B$10:$B$13,0)),zar.2010,1)*SUMIF(NameConv!$C$4:$C$44,RIGHT(C176,3),OFFSET(INDIRECT(B176),0,AT176-1,NameConv!$A$45,1))</f>
        <v>0</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495">
        <f ca="1">IF(AT175&lt;&gt;AT176,1,IF(AS175=OFFSET(NameConv!$F$45,0,AT175),AR175+1,AR175))</f>
        <v>4</v>
      </c>
      <c r="AS176" s="495">
        <f t="shared" ca="1" si="15"/>
        <v>4</v>
      </c>
      <c r="AT176" s="526">
        <f ca="1">IF(AND(AR175=$AR$7,AS175=SUMIF(NameConv!$G$4:$M$4,MID(C175,2,3),NameConv!$G$45:$M$45)),AT175+1,AT175)</f>
        <v>5</v>
      </c>
    </row>
    <row r="177" spans="1:46">
      <c r="A177" s="883" t="str">
        <f ca="1">IF(INDEX(Demand.Sectors,MATCH(MID(C177,2,3),NameConv!$G$4:$M$4,0)),"","*")</f>
        <v/>
      </c>
      <c r="B177" s="518" t="str">
        <f t="shared" ca="1" si="17"/>
        <v>PRC_RESID</v>
      </c>
      <c r="C177" s="518" t="str">
        <f ca="1">"X"&amp;OFFSET(NameConv!$F$4,0,AT177)&amp;OFFSET(NameConv!$F$59,AS177,AT177)</f>
        <v>XRESOKE</v>
      </c>
      <c r="D177" s="518" t="str">
        <f t="shared" ca="1" si="18"/>
        <v>-</v>
      </c>
      <c r="E177" s="518" t="str">
        <f t="shared" ca="1" si="18"/>
        <v>-</v>
      </c>
      <c r="F177" s="518" t="str">
        <f t="shared" ca="1" si="18"/>
        <v>-</v>
      </c>
      <c r="G177" s="518" t="str">
        <f t="shared" ca="1" si="18"/>
        <v>-</v>
      </c>
      <c r="H177" s="518" t="str">
        <f t="shared" ca="1" si="18"/>
        <v>-</v>
      </c>
      <c r="I177" s="516">
        <f t="shared" ca="1" si="18"/>
        <v>0</v>
      </c>
      <c r="J177" s="518">
        <f ca="1">IF(INDEX($L$10:$L$13,MATCH($B177,$B$10:$B$13,0)),zar.2010,1)*SUMIF(NameConv!$C$4:$C$44,RIGHT(C177,3),OFFSET(INDIRECT(B177),0,AT177-1,NameConv!$A$45,1))</f>
        <v>1.0000000000000001E-5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495">
        <f ca="1">IF(AT176&lt;&gt;AT177,1,IF(AS176=OFFSET(NameConv!$F$45,0,AT176),AR176+1,AR176))</f>
        <v>4</v>
      </c>
      <c r="AS177" s="495">
        <f t="shared" ca="1" si="15"/>
        <v>5</v>
      </c>
      <c r="AT177" s="526">
        <f ca="1">IF(AND(AR176=$AR$7,AS176=SUMIF(NameConv!$G$4:$M$4,MID(C176,2,3),NameConv!$G$45:$M$45)),AT176+1,AT176)</f>
        <v>5</v>
      </c>
    </row>
    <row r="178" spans="1:46">
      <c r="A178" s="883" t="str">
        <f ca="1">IF(INDEX(Demand.Sectors,MATCH(MID(C178,2,3),NameConv!$G$4:$M$4,0)),"","*")</f>
        <v/>
      </c>
      <c r="B178" s="518" t="str">
        <f t="shared" ca="1" si="17"/>
        <v>PRC_RESID</v>
      </c>
      <c r="C178" s="518" t="str">
        <f ca="1">"X"&amp;OFFSET(NameConv!$F$4,0,AT178)&amp;OFFSET(NameConv!$F$59,AS178,AT178)</f>
        <v>XRESOLP</v>
      </c>
      <c r="D178" s="518" t="str">
        <f t="shared" ca="1" si="18"/>
        <v>-</v>
      </c>
      <c r="E178" s="518" t="str">
        <f t="shared" ca="1" si="18"/>
        <v>-</v>
      </c>
      <c r="F178" s="518" t="str">
        <f t="shared" ca="1" si="18"/>
        <v>-</v>
      </c>
      <c r="G178" s="518" t="str">
        <f t="shared" ca="1" si="18"/>
        <v>-</v>
      </c>
      <c r="H178" s="518" t="str">
        <f t="shared" ca="1" si="18"/>
        <v>-</v>
      </c>
      <c r="I178" s="516">
        <f t="shared" ca="1" si="18"/>
        <v>0</v>
      </c>
      <c r="J178" s="518">
        <f ca="1">IF(INDEX($L$10:$L$13,MATCH($B178,$B$10:$B$13,0)),zar.2010,1)*SUMIF(NameConv!$C$4:$C$44,RIGHT(C178,3),OFFSET(INDIRECT(B178),0,AT178-1,NameConv!$A$45,1))</f>
        <v>1.0000000000000001E-5</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495">
        <f ca="1">IF(AT177&lt;&gt;AT178,1,IF(AS177=OFFSET(NameConv!$F$45,0,AT177),AR177+1,AR177))</f>
        <v>4</v>
      </c>
      <c r="AS178" s="495">
        <f t="shared" ca="1" si="15"/>
        <v>6</v>
      </c>
      <c r="AT178" s="526">
        <f ca="1">IF(AND(AR177=$AR$7,AS177=SUMIF(NameConv!$G$4:$M$4,MID(C177,2,3),NameConv!$G$45:$M$45)),AT177+1,AT177)</f>
        <v>5</v>
      </c>
    </row>
    <row r="179" spans="1:46">
      <c r="A179" s="883" t="str">
        <f ca="1">IF(INDEX(Demand.Sectors,MATCH(MID(C179,2,3),NameConv!$G$4:$M$4,0)),"","*")</f>
        <v/>
      </c>
      <c r="B179" s="518" t="str">
        <f t="shared" ca="1" si="17"/>
        <v>ACT_EFF</v>
      </c>
      <c r="C179" s="518" t="str">
        <f ca="1">"X"&amp;OFFSET(NameConv!$F$4,0,AT179)&amp;OFFSET(NameConv!$F$59,AS179,AT179)</f>
        <v>XPWRBIG</v>
      </c>
      <c r="D179" s="518" t="str">
        <f t="shared" ca="1" si="18"/>
        <v>-</v>
      </c>
      <c r="E179" s="518" t="str">
        <f t="shared" ca="1" si="18"/>
        <v>ACTGRP</v>
      </c>
      <c r="F179" s="518" t="str">
        <f t="shared" ca="1" si="18"/>
        <v>-</v>
      </c>
      <c r="G179" s="518" t="str">
        <f t="shared" ca="1" si="18"/>
        <v>ANNUAL</v>
      </c>
      <c r="H179" s="518" t="str">
        <f t="shared" ca="1" si="18"/>
        <v>-</v>
      </c>
      <c r="I179" s="516">
        <f t="shared" ca="1" si="18"/>
        <v>0</v>
      </c>
      <c r="J179" s="518">
        <f ca="1">IF(INDEX($L$10:$L$13,MATCH($B179,$B$10:$B$13,0)),zar.2010,1)*SUMIF(NameConv!$C$4:$C$44,RIGHT(C179,3),OFFSET(INDIRECT(B179),0,AT179-1,NameConv!$A$45,1))</f>
        <v>1</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495">
        <f ca="1">IF(AT178&lt;&gt;AT179,1,IF(AS178=OFFSET(NameConv!$F$45,0,AT178),AR178+1,AR178))</f>
        <v>1</v>
      </c>
      <c r="AS179" s="495">
        <f t="shared" ref="AS179:AS242" ca="1" si="19">IF(AR179=AR178,AS178+1,1)</f>
        <v>1</v>
      </c>
      <c r="AT179" s="526">
        <f ca="1">IF(AND(AR178=$AR$7,AS178=SUMIF(NameConv!$G$4:$M$4,MID(C178,2,3),NameConv!$G$45:$M$45)),AT178+1,AT178)</f>
        <v>6</v>
      </c>
    </row>
    <row r="180" spans="1:46">
      <c r="A180" s="883" t="str">
        <f ca="1">IF(INDEX(Demand.Sectors,MATCH(MID(C180,2,3),NameConv!$G$4:$M$4,0)),"","*")</f>
        <v/>
      </c>
      <c r="B180" s="518" t="str">
        <f t="shared" ca="1" si="17"/>
        <v>ACT_EFF</v>
      </c>
      <c r="C180" s="518" t="str">
        <f ca="1">"X"&amp;OFFSET(NameConv!$F$4,0,AT180)&amp;OFFSET(NameConv!$F$59,AS180,AT180)</f>
        <v>XPWRBIB</v>
      </c>
      <c r="D180" s="518" t="str">
        <f t="shared" ca="1" si="18"/>
        <v>-</v>
      </c>
      <c r="E180" s="518" t="str">
        <f t="shared" ca="1" si="18"/>
        <v>ACTGRP</v>
      </c>
      <c r="F180" s="518" t="str">
        <f t="shared" ca="1" si="18"/>
        <v>-</v>
      </c>
      <c r="G180" s="518" t="str">
        <f t="shared" ca="1" si="18"/>
        <v>ANNUAL</v>
      </c>
      <c r="H180" s="518" t="str">
        <f t="shared" ca="1" si="18"/>
        <v>-</v>
      </c>
      <c r="I180" s="516">
        <f t="shared" ca="1" si="18"/>
        <v>0</v>
      </c>
      <c r="J180" s="518">
        <f ca="1">IF(INDEX($L$10:$L$13,MATCH($B180,$B$10:$B$13,0)),zar.2010,1)*SUMIF(NameConv!$C$4:$C$44,RIGHT(C180,3),OFFSET(INDIRECT(B180),0,AT180-1,NameConv!$A$45,1))</f>
        <v>1</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495">
        <f ca="1">IF(AT179&lt;&gt;AT180,1,IF(AS179=OFFSET(NameConv!$F$45,0,AT179),AR179+1,AR179))</f>
        <v>1</v>
      </c>
      <c r="AS180" s="495">
        <f t="shared" ca="1" si="19"/>
        <v>2</v>
      </c>
      <c r="AT180" s="526">
        <f ca="1">IF(AND(AR179=$AR$7,AS179=SUMIF(NameConv!$G$4:$M$4,MID(C179,2,3),NameConv!$G$45:$M$45)),AT179+1,AT179)</f>
        <v>6</v>
      </c>
    </row>
    <row r="181" spans="1:46">
      <c r="A181" s="883" t="str">
        <f ca="1">IF(INDEX(Demand.Sectors,MATCH(MID(C181,2,3),NameConv!$G$4:$M$4,0)),"","*")</f>
        <v/>
      </c>
      <c r="B181" s="518" t="str">
        <f t="shared" ca="1" si="17"/>
        <v>ACT_EFF</v>
      </c>
      <c r="C181" s="518" t="str">
        <f ca="1">"X"&amp;OFFSET(NameConv!$F$4,0,AT181)&amp;OFFSET(NameConv!$F$59,AS181,AT181)</f>
        <v>XPWRBIO</v>
      </c>
      <c r="D181" s="518" t="str">
        <f t="shared" ca="1" si="18"/>
        <v>-</v>
      </c>
      <c r="E181" s="518" t="str">
        <f t="shared" ca="1" si="18"/>
        <v>ACTGRP</v>
      </c>
      <c r="F181" s="518" t="str">
        <f t="shared" ca="1" si="18"/>
        <v>-</v>
      </c>
      <c r="G181" s="518" t="str">
        <f t="shared" ca="1" si="18"/>
        <v>ANNUAL</v>
      </c>
      <c r="H181" s="518" t="str">
        <f t="shared" ca="1" si="18"/>
        <v>-</v>
      </c>
      <c r="I181" s="516">
        <f t="shared" ca="1" si="18"/>
        <v>0</v>
      </c>
      <c r="J181" s="518">
        <f ca="1">IF(INDEX($L$10:$L$13,MATCH($B181,$B$10:$B$13,0)),zar.2010,1)*SUMIF(NameConv!$C$4:$C$44,RIGHT(C181,3),OFFSET(INDIRECT(B181),0,AT181-1,NameConv!$A$45,1))</f>
        <v>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495">
        <f ca="1">IF(AT180&lt;&gt;AT181,1,IF(AS180=OFFSET(NameConv!$F$45,0,AT180),AR180+1,AR180))</f>
        <v>1</v>
      </c>
      <c r="AS181" s="495">
        <f t="shared" ca="1" si="19"/>
        <v>3</v>
      </c>
      <c r="AT181" s="526">
        <f ca="1">IF(AND(AR180=$AR$7,AS180=SUMIF(NameConv!$G$4:$M$4,MID(C180,2,3),NameConv!$G$45:$M$45)),AT180+1,AT180)</f>
        <v>6</v>
      </c>
    </row>
    <row r="182" spans="1:46">
      <c r="A182" s="883" t="str">
        <f ca="1">IF(INDEX(Demand.Sectors,MATCH(MID(C182,2,3),NameConv!$G$4:$M$4,0)),"","*")</f>
        <v/>
      </c>
      <c r="B182" s="518" t="str">
        <f t="shared" ca="1" si="17"/>
        <v>ACT_EFF</v>
      </c>
      <c r="C182" s="518" t="str">
        <f ca="1">"X"&amp;OFFSET(NameConv!$F$4,0,AT182)&amp;OFFSET(NameConv!$F$59,AS182,AT182)</f>
        <v>XPWRBIW</v>
      </c>
      <c r="D182" s="518" t="str">
        <f t="shared" ca="1" si="18"/>
        <v>-</v>
      </c>
      <c r="E182" s="518" t="str">
        <f t="shared" ca="1" si="18"/>
        <v>ACTGRP</v>
      </c>
      <c r="F182" s="518" t="str">
        <f t="shared" ca="1" si="18"/>
        <v>-</v>
      </c>
      <c r="G182" s="518" t="str">
        <f t="shared" ca="1" si="18"/>
        <v>ANNUAL</v>
      </c>
      <c r="H182" s="518" t="str">
        <f t="shared" ca="1" si="18"/>
        <v>-</v>
      </c>
      <c r="I182" s="516">
        <f t="shared" ca="1" si="18"/>
        <v>0</v>
      </c>
      <c r="J182" s="518">
        <f ca="1">IF(INDEX($L$10:$L$13,MATCH($B182,$B$10:$B$13,0)),zar.2010,1)*SUMIF(NameConv!$C$4:$C$44,RIGHT(C182,3),OFFSET(INDIRECT(B182),0,AT182-1,NameConv!$A$45,1))</f>
        <v>1</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495">
        <f ca="1">IF(AT181&lt;&gt;AT182,1,IF(AS181=OFFSET(NameConv!$F$45,0,AT181),AR181+1,AR181))</f>
        <v>1</v>
      </c>
      <c r="AS182" s="495">
        <f t="shared" ca="1" si="19"/>
        <v>4</v>
      </c>
      <c r="AT182" s="526">
        <f ca="1">IF(AND(AR181=$AR$7,AS181=SUMIF(NameConv!$G$4:$M$4,MID(C181,2,3),NameConv!$G$45:$M$45)),AT181+1,AT181)</f>
        <v>6</v>
      </c>
    </row>
    <row r="183" spans="1:46">
      <c r="A183" s="883" t="str">
        <f ca="1">IF(INDEX(Demand.Sectors,MATCH(MID(C183,2,3),NameConv!$G$4:$M$4,0)),"","*")</f>
        <v/>
      </c>
      <c r="B183" s="518" t="str">
        <f t="shared" ca="1" si="17"/>
        <v>ACT_EFF</v>
      </c>
      <c r="C183" s="518" t="str">
        <f ca="1">"X"&amp;OFFSET(NameConv!$F$4,0,AT183)&amp;OFFSET(NameConv!$F$59,AS183,AT183)</f>
        <v>XPWRCLD</v>
      </c>
      <c r="D183" s="518" t="str">
        <f t="shared" ca="1" si="18"/>
        <v>-</v>
      </c>
      <c r="E183" s="518" t="str">
        <f t="shared" ca="1" si="18"/>
        <v>ACTGRP</v>
      </c>
      <c r="F183" s="518" t="str">
        <f t="shared" ca="1" si="18"/>
        <v>-</v>
      </c>
      <c r="G183" s="518" t="str">
        <f t="shared" ca="1" si="18"/>
        <v>ANNUAL</v>
      </c>
      <c r="H183" s="518" t="str">
        <f t="shared" ca="1" si="18"/>
        <v>-</v>
      </c>
      <c r="I183" s="516">
        <f t="shared" ca="1" si="18"/>
        <v>0</v>
      </c>
      <c r="J183" s="518">
        <f ca="1">IF(INDEX($L$10:$L$13,MATCH($B183,$B$10:$B$13,0)),zar.2010,1)*SUMIF(NameConv!$C$4:$C$44,RIGHT(C183,3),OFFSET(INDIRECT(B183),0,AT183-1,NameConv!$A$45,1))</f>
        <v>1</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495">
        <f ca="1">IF(AT182&lt;&gt;AT183,1,IF(AS182=OFFSET(NameConv!$F$45,0,AT182),AR182+1,AR182))</f>
        <v>1</v>
      </c>
      <c r="AS183" s="495">
        <f t="shared" ca="1" si="19"/>
        <v>5</v>
      </c>
      <c r="AT183" s="526">
        <f ca="1">IF(AND(AR182=$AR$7,AS182=SUMIF(NameConv!$G$4:$M$4,MID(C182,2,3),NameConv!$G$45:$M$45)),AT182+1,AT182)</f>
        <v>6</v>
      </c>
    </row>
    <row r="184" spans="1:46">
      <c r="A184" s="883" t="str">
        <f ca="1">IF(INDEX(Demand.Sectors,MATCH(MID(C184,2,3),NameConv!$G$4:$M$4,0)),"","*")</f>
        <v/>
      </c>
      <c r="B184" s="518" t="str">
        <f t="shared" ca="1" si="17"/>
        <v>ACT_EFF</v>
      </c>
      <c r="C184" s="518" t="str">
        <f ca="1">"X"&amp;OFFSET(NameConv!$F$4,0,AT184)&amp;OFFSET(NameConv!$F$59,AS184,AT184)</f>
        <v>XPWRCLE</v>
      </c>
      <c r="D184" s="518" t="str">
        <f t="shared" ca="1" si="18"/>
        <v>-</v>
      </c>
      <c r="E184" s="518" t="str">
        <f t="shared" ca="1" si="18"/>
        <v>ACTGRP</v>
      </c>
      <c r="F184" s="518" t="str">
        <f t="shared" ca="1" si="18"/>
        <v>-</v>
      </c>
      <c r="G184" s="518" t="str">
        <f t="shared" ca="1" si="18"/>
        <v>ANNUAL</v>
      </c>
      <c r="H184" s="518" t="str">
        <f t="shared" ca="1" si="18"/>
        <v>-</v>
      </c>
      <c r="I184" s="516">
        <f t="shared" ca="1" si="18"/>
        <v>0</v>
      </c>
      <c r="J184" s="518">
        <f ca="1">IF(INDEX($L$10:$L$13,MATCH($B184,$B$10:$B$13,0)),zar.2010,1)*SUMIF(NameConv!$C$4:$C$44,RIGHT(C184,3),OFFSET(INDIRECT(B184),0,AT184-1,NameConv!$A$45,1))</f>
        <v>1</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495">
        <f ca="1">IF(AT183&lt;&gt;AT184,1,IF(AS183=OFFSET(NameConv!$F$45,0,AT183),AR183+1,AR183))</f>
        <v>1</v>
      </c>
      <c r="AS184" s="495">
        <f t="shared" ca="1" si="19"/>
        <v>6</v>
      </c>
      <c r="AT184" s="526">
        <f ca="1">IF(AND(AR183=$AR$7,AS183=SUMIF(NameConv!$G$4:$M$4,MID(C183,2,3),NameConv!$G$45:$M$45)),AT183+1,AT183)</f>
        <v>6</v>
      </c>
    </row>
    <row r="185" spans="1:46">
      <c r="A185" s="883" t="str">
        <f ca="1">IF(INDEX(Demand.Sectors,MATCH(MID(C185,2,3),NameConv!$G$4:$M$4,0)),"","*")</f>
        <v/>
      </c>
      <c r="B185" s="518" t="str">
        <f t="shared" ca="1" si="17"/>
        <v>ACT_EFF</v>
      </c>
      <c r="C185" s="518" t="str">
        <f ca="1">"X"&amp;OFFSET(NameConv!$F$4,0,AT185)&amp;OFFSET(NameConv!$F$59,AS185,AT185)</f>
        <v>XPWRCRB</v>
      </c>
      <c r="D185" s="518" t="str">
        <f t="shared" ca="1" si="18"/>
        <v>-</v>
      </c>
      <c r="E185" s="518" t="str">
        <f t="shared" ca="1" si="18"/>
        <v>ACTGRP</v>
      </c>
      <c r="F185" s="518" t="str">
        <f t="shared" ca="1" si="18"/>
        <v>-</v>
      </c>
      <c r="G185" s="518" t="str">
        <f t="shared" ca="1" si="18"/>
        <v>ANNUAL</v>
      </c>
      <c r="H185" s="518" t="str">
        <f t="shared" ca="1" si="18"/>
        <v>-</v>
      </c>
      <c r="I185" s="516">
        <f t="shared" ca="1" si="18"/>
        <v>0</v>
      </c>
      <c r="J185" s="518">
        <f ca="1">IF(INDEX($L$10:$L$13,MATCH($B185,$B$10:$B$13,0)),zar.2010,1)*SUMIF(NameConv!$C$4:$C$44,RIGHT(C185,3),OFFSET(INDIRECT(B185),0,AT185-1,NameConv!$A$45,1))</f>
        <v>1</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495">
        <f ca="1">IF(AT184&lt;&gt;AT185,1,IF(AS184=OFFSET(NameConv!$F$45,0,AT184),AR184+1,AR184))</f>
        <v>1</v>
      </c>
      <c r="AS185" s="495">
        <f t="shared" ca="1" si="19"/>
        <v>7</v>
      </c>
      <c r="AT185" s="526">
        <f ca="1">IF(AND(AR184=$AR$7,AS184=SUMIF(NameConv!$G$4:$M$4,MID(C184,2,3),NameConv!$G$45:$M$45)),AT184+1,AT184)</f>
        <v>6</v>
      </c>
    </row>
    <row r="186" spans="1:46">
      <c r="A186" s="883" t="str">
        <f ca="1">IF(INDEX(Demand.Sectors,MATCH(MID(C186,2,3),NameConv!$G$4:$M$4,0)),"","*")</f>
        <v/>
      </c>
      <c r="B186" s="518" t="str">
        <f t="shared" ca="1" si="17"/>
        <v>ACT_EFF</v>
      </c>
      <c r="C186" s="518" t="str">
        <f ca="1">"X"&amp;OFFSET(NameConv!$F$4,0,AT186)&amp;OFFSET(NameConv!$F$59,AS186,AT186)</f>
        <v>XPWRGAS</v>
      </c>
      <c r="D186" s="518" t="str">
        <f t="shared" ca="1" si="18"/>
        <v>-</v>
      </c>
      <c r="E186" s="518" t="str">
        <f t="shared" ca="1" si="18"/>
        <v>ACTGRP</v>
      </c>
      <c r="F186" s="518" t="str">
        <f t="shared" ca="1" si="18"/>
        <v>-</v>
      </c>
      <c r="G186" s="518" t="str">
        <f t="shared" ca="1" si="18"/>
        <v>ANNUAL</v>
      </c>
      <c r="H186" s="518" t="str">
        <f t="shared" ca="1" si="18"/>
        <v>-</v>
      </c>
      <c r="I186" s="516">
        <f t="shared" ca="1" si="18"/>
        <v>0</v>
      </c>
      <c r="J186" s="518">
        <f ca="1">IF(INDEX($L$10:$L$13,MATCH($B186,$B$10:$B$13,0)),zar.2010,1)*SUMIF(NameConv!$C$4:$C$44,RIGHT(C186,3),OFFSET(INDIRECT(B186),0,AT186-1,NameConv!$A$45,1))</f>
        <v>0.999</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495">
        <f ca="1">IF(AT185&lt;&gt;AT186,1,IF(AS185=OFFSET(NameConv!$F$45,0,AT185),AR185+1,AR185))</f>
        <v>1</v>
      </c>
      <c r="AS186" s="495">
        <f t="shared" ca="1" si="19"/>
        <v>8</v>
      </c>
      <c r="AT186" s="526">
        <f ca="1">IF(AND(AR185=$AR$7,AS185=SUMIF(NameConv!$G$4:$M$4,MID(C185,2,3),NameConv!$G$45:$M$45)),AT185+1,AT185)</f>
        <v>6</v>
      </c>
    </row>
    <row r="187" spans="1:46">
      <c r="A187" s="883" t="str">
        <f ca="1">IF(INDEX(Demand.Sectors,MATCH(MID(C187,2,3),NameConv!$G$4:$M$4,0)),"","*")</f>
        <v/>
      </c>
      <c r="B187" s="518" t="str">
        <f t="shared" ca="1" si="17"/>
        <v>ACT_EFF</v>
      </c>
      <c r="C187" s="518" t="str">
        <f ca="1">"X"&amp;OFFSET(NameConv!$F$4,0,AT187)&amp;OFFSET(NameConv!$F$59,AS187,AT187)</f>
        <v>XPWRGRS</v>
      </c>
      <c r="D187" s="518" t="str">
        <f t="shared" ca="1" si="18"/>
        <v>-</v>
      </c>
      <c r="E187" s="518" t="str">
        <f t="shared" ca="1" si="18"/>
        <v>ACTGRP</v>
      </c>
      <c r="F187" s="518" t="str">
        <f t="shared" ca="1" si="18"/>
        <v>-</v>
      </c>
      <c r="G187" s="518" t="str">
        <f t="shared" ca="1" si="18"/>
        <v>ANNUAL</v>
      </c>
      <c r="H187" s="518" t="str">
        <f t="shared" ca="1" si="18"/>
        <v>-</v>
      </c>
      <c r="I187" s="516">
        <f t="shared" ca="1" si="18"/>
        <v>0</v>
      </c>
      <c r="J187" s="518">
        <f ca="1">IF(INDEX($L$10:$L$13,MATCH($B187,$B$10:$B$13,0)),zar.2010,1)*SUMIF(NameConv!$C$4:$C$44,RIGHT(C187,3),OFFSET(INDIRECT(B187),0,AT187-1,NameConv!$A$45,1))</f>
        <v>1</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495">
        <f ca="1">IF(AT186&lt;&gt;AT187,1,IF(AS186=OFFSET(NameConv!$F$45,0,AT186),AR186+1,AR186))</f>
        <v>1</v>
      </c>
      <c r="AS187" s="495">
        <f t="shared" ca="1" si="19"/>
        <v>9</v>
      </c>
      <c r="AT187" s="526">
        <f ca="1">IF(AND(AR186=$AR$7,AS186=SUMIF(NameConv!$G$4:$M$4,MID(C186,2,3),NameConv!$G$45:$M$45)),AT186+1,AT186)</f>
        <v>6</v>
      </c>
    </row>
    <row r="188" spans="1:46">
      <c r="A188" s="883" t="str">
        <f ca="1">IF(INDEX(Demand.Sectors,MATCH(MID(C188,2,3),NameConv!$G$4:$M$4,0)),"","*")</f>
        <v/>
      </c>
      <c r="B188" s="518" t="str">
        <f t="shared" ca="1" si="17"/>
        <v>ACT_EFF</v>
      </c>
      <c r="C188" s="518" t="str">
        <f ca="1">"X"&amp;OFFSET(NameConv!$F$4,0,AT188)&amp;OFFSET(NameConv!$F$59,AS188,AT188)</f>
        <v>XPWRGRN</v>
      </c>
      <c r="D188" s="518" t="str">
        <f t="shared" ca="1" si="18"/>
        <v>-</v>
      </c>
      <c r="E188" s="518" t="str">
        <f t="shared" ca="1" si="18"/>
        <v>ACTGRP</v>
      </c>
      <c r="F188" s="518" t="str">
        <f t="shared" ca="1" si="18"/>
        <v>-</v>
      </c>
      <c r="G188" s="518" t="str">
        <f t="shared" ca="1" si="18"/>
        <v>ANNUAL</v>
      </c>
      <c r="H188" s="518" t="str">
        <f t="shared" ca="1" si="18"/>
        <v>-</v>
      </c>
      <c r="I188" s="516">
        <f t="shared" ca="1" si="18"/>
        <v>0</v>
      </c>
      <c r="J188" s="518">
        <f ca="1">IF(INDEX($L$10:$L$13,MATCH($B188,$B$10:$B$13,0)),zar.2010,1)*SUMIF(NameConv!$C$4:$C$44,RIGHT(C188,3),OFFSET(INDIRECT(B188),0,AT188-1,NameConv!$A$45,1))</f>
        <v>1</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495">
        <f ca="1">IF(AT187&lt;&gt;AT188,1,IF(AS187=OFFSET(NameConv!$F$45,0,AT187),AR187+1,AR187))</f>
        <v>1</v>
      </c>
      <c r="AS188" s="495">
        <f t="shared" ca="1" si="19"/>
        <v>10</v>
      </c>
      <c r="AT188" s="526">
        <f ca="1">IF(AND(AR187=$AR$7,AS187=SUMIF(NameConv!$G$4:$M$4,MID(C187,2,3),NameConv!$G$45:$M$45)),AT187+1,AT187)</f>
        <v>6</v>
      </c>
    </row>
    <row r="189" spans="1:46">
      <c r="A189" s="883" t="str">
        <f ca="1">IF(INDEX(Demand.Sectors,MATCH(MID(C189,2,3),NameConv!$G$4:$M$4,0)),"","*")</f>
        <v/>
      </c>
      <c r="B189" s="518" t="str">
        <f t="shared" ca="1" si="17"/>
        <v>ACT_EFF</v>
      </c>
      <c r="C189" s="518" t="str">
        <f ca="1">"X"&amp;OFFSET(NameConv!$F$4,0,AT189)&amp;OFFSET(NameConv!$F$59,AS189,AT189)</f>
        <v>XPWRGRM</v>
      </c>
      <c r="D189" s="518" t="str">
        <f t="shared" ca="1" si="18"/>
        <v>-</v>
      </c>
      <c r="E189" s="518" t="str">
        <f t="shared" ca="1" si="18"/>
        <v>ACTGRP</v>
      </c>
      <c r="F189" s="518" t="str">
        <f t="shared" ca="1" si="18"/>
        <v>-</v>
      </c>
      <c r="G189" s="518" t="str">
        <f t="shared" ca="1" si="18"/>
        <v>ANNUAL</v>
      </c>
      <c r="H189" s="518" t="str">
        <f t="shared" ca="1" si="18"/>
        <v>-</v>
      </c>
      <c r="I189" s="516">
        <f t="shared" ca="1" si="18"/>
        <v>0</v>
      </c>
      <c r="J189" s="518">
        <f ca="1">IF(INDEX($L$10:$L$13,MATCH($B189,$B$10:$B$13,0)),zar.2010,1)*SUMIF(NameConv!$C$4:$C$44,RIGHT(C189,3),OFFSET(INDIRECT(B189),0,AT189-1,NameConv!$A$45,1))</f>
        <v>1</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495">
        <f ca="1">IF(AT188&lt;&gt;AT189,1,IF(AS188=OFFSET(NameConv!$F$45,0,AT188),AR188+1,AR188))</f>
        <v>1</v>
      </c>
      <c r="AS189" s="495">
        <f t="shared" ca="1" si="19"/>
        <v>11</v>
      </c>
      <c r="AT189" s="526">
        <f ca="1">IF(AND(AR188=$AR$7,AS188=SUMIF(NameConv!$G$4:$M$4,MID(C188,2,3),NameConv!$G$45:$M$45)),AT188+1,AT188)</f>
        <v>6</v>
      </c>
    </row>
    <row r="190" spans="1:46">
      <c r="A190" s="883" t="str">
        <f ca="1">IF(INDEX(Demand.Sectors,MATCH(MID(C190,2,3),NameConv!$G$4:$M$4,0)),"","*")</f>
        <v/>
      </c>
      <c r="B190" s="518" t="str">
        <f t="shared" ca="1" si="17"/>
        <v>ACT_EFF</v>
      </c>
      <c r="C190" s="518" t="str">
        <f ca="1">"X"&amp;OFFSET(NameConv!$F$4,0,AT190)&amp;OFFSET(NameConv!$F$59,AS190,AT190)</f>
        <v>XPWRGIH</v>
      </c>
      <c r="D190" s="518" t="str">
        <f t="shared" ca="1" si="18"/>
        <v>-</v>
      </c>
      <c r="E190" s="518" t="str">
        <f t="shared" ca="1" si="18"/>
        <v>ACTGRP</v>
      </c>
      <c r="F190" s="518" t="str">
        <f t="shared" ca="1" si="18"/>
        <v>-</v>
      </c>
      <c r="G190" s="518" t="str">
        <f t="shared" ca="1" si="18"/>
        <v>ANNUAL</v>
      </c>
      <c r="H190" s="518" t="str">
        <f t="shared" ca="1" si="18"/>
        <v>-</v>
      </c>
      <c r="I190" s="516">
        <f t="shared" ca="1" si="18"/>
        <v>0</v>
      </c>
      <c r="J190" s="518">
        <f ca="1">IF(INDEX($L$10:$L$13,MATCH($B190,$B$10:$B$13,0)),zar.2010,1)*SUMIF(NameConv!$C$4:$C$44,RIGHT(C190,3),OFFSET(INDIRECT(B190),0,AT190-1,NameConv!$A$45,1))</f>
        <v>1</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495">
        <f ca="1">IF(AT189&lt;&gt;AT190,1,IF(AS189=OFFSET(NameConv!$F$45,0,AT189),AR189+1,AR189))</f>
        <v>1</v>
      </c>
      <c r="AS190" s="495">
        <f t="shared" ca="1" si="19"/>
        <v>12</v>
      </c>
      <c r="AT190" s="526">
        <f ca="1">IF(AND(AR189=$AR$7,AS189=SUMIF(NameConv!$G$4:$M$4,MID(C189,2,3),NameConv!$G$45:$M$45)),AT189+1,AT189)</f>
        <v>6</v>
      </c>
    </row>
    <row r="191" spans="1:46">
      <c r="A191" s="883" t="str">
        <f ca="1">IF(INDEX(Demand.Sectors,MATCH(MID(C191,2,3),NameConv!$G$4:$M$4,0)),"","*")</f>
        <v/>
      </c>
      <c r="B191" s="518" t="str">
        <f t="shared" ca="1" si="17"/>
        <v>ACT_EFF</v>
      </c>
      <c r="C191" s="518" t="str">
        <f ca="1">"X"&amp;OFFSET(NameConv!$F$4,0,AT191)&amp;OFFSET(NameConv!$F$59,AS191,AT191)</f>
        <v>XPWRGIC</v>
      </c>
      <c r="D191" s="518" t="str">
        <f t="shared" ca="1" si="18"/>
        <v>-</v>
      </c>
      <c r="E191" s="518" t="str">
        <f t="shared" ca="1" si="18"/>
        <v>ACTGRP</v>
      </c>
      <c r="F191" s="518" t="str">
        <f t="shared" ca="1" si="18"/>
        <v>-</v>
      </c>
      <c r="G191" s="518" t="str">
        <f t="shared" ca="1" si="18"/>
        <v>ANNUAL</v>
      </c>
      <c r="H191" s="518" t="str">
        <f t="shared" ca="1" si="18"/>
        <v>-</v>
      </c>
      <c r="I191" s="516">
        <f t="shared" ca="1" si="18"/>
        <v>0</v>
      </c>
      <c r="J191" s="518">
        <f ca="1">IF(INDEX($L$10:$L$13,MATCH($B191,$B$10:$B$13,0)),zar.2010,1)*SUMIF(NameConv!$C$4:$C$44,RIGHT(C191,3),OFFSET(INDIRECT(B191),0,AT191-1,NameConv!$A$45,1))</f>
        <v>1</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495">
        <f ca="1">IF(AT190&lt;&gt;AT191,1,IF(AS190=OFFSET(NameConv!$F$45,0,AT190),AR190+1,AR190))</f>
        <v>1</v>
      </c>
      <c r="AS191" s="495">
        <f t="shared" ca="1" si="19"/>
        <v>13</v>
      </c>
      <c r="AT191" s="526">
        <f ca="1">IF(AND(AR190=$AR$7,AS190=SUMIF(NameConv!$G$4:$M$4,MID(C190,2,3),NameConv!$G$45:$M$45)),AT190+1,AT190)</f>
        <v>6</v>
      </c>
    </row>
    <row r="192" spans="1:46">
      <c r="A192" s="883" t="str">
        <f ca="1">IF(INDEX(Demand.Sectors,MATCH(MID(C192,2,3),NameConv!$G$4:$M$4,0)),"","*")</f>
        <v/>
      </c>
      <c r="B192" s="518" t="str">
        <f t="shared" ca="1" si="17"/>
        <v>ACT_EFF</v>
      </c>
      <c r="C192" s="518" t="str">
        <f ca="1">"X"&amp;OFFSET(NameConv!$F$4,0,AT192)&amp;OFFSET(NameConv!$F$59,AS192,AT192)</f>
        <v>XPWRHYD</v>
      </c>
      <c r="D192" s="518" t="str">
        <f t="shared" ca="1" si="18"/>
        <v>-</v>
      </c>
      <c r="E192" s="518" t="str">
        <f t="shared" ca="1" si="18"/>
        <v>ACTGRP</v>
      </c>
      <c r="F192" s="518" t="str">
        <f t="shared" ca="1" si="18"/>
        <v>-</v>
      </c>
      <c r="G192" s="518" t="str">
        <f t="shared" ca="1" si="18"/>
        <v>ANNUAL</v>
      </c>
      <c r="H192" s="518" t="str">
        <f t="shared" ca="1" si="18"/>
        <v>-</v>
      </c>
      <c r="I192" s="516">
        <f t="shared" ca="1" si="18"/>
        <v>0</v>
      </c>
      <c r="J192" s="518">
        <f ca="1">IF(INDEX($L$10:$L$13,MATCH($B192,$B$10:$B$13,0)),zar.2010,1)*SUMIF(NameConv!$C$4:$C$44,RIGHT(C192,3),OFFSET(INDIRECT(B192),0,AT192-1,NameConv!$A$45,1))</f>
        <v>1</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495">
        <f ca="1">IF(AT191&lt;&gt;AT192,1,IF(AS191=OFFSET(NameConv!$F$45,0,AT191),AR191+1,AR191))</f>
        <v>1</v>
      </c>
      <c r="AS192" s="495">
        <f t="shared" ca="1" si="19"/>
        <v>14</v>
      </c>
      <c r="AT192" s="526">
        <f ca="1">IF(AND(AR191=$AR$7,AS191=SUMIF(NameConv!$G$4:$M$4,MID(C191,2,3),NameConv!$G$45:$M$45)),AT191+1,AT191)</f>
        <v>6</v>
      </c>
    </row>
    <row r="193" spans="1:46">
      <c r="A193" s="883" t="str">
        <f ca="1">IF(INDEX(Demand.Sectors,MATCH(MID(C193,2,3),NameConv!$G$4:$M$4,0)),"","*")</f>
        <v/>
      </c>
      <c r="B193" s="518" t="str">
        <f t="shared" ca="1" si="17"/>
        <v>ACT_EFF</v>
      </c>
      <c r="C193" s="518" t="str">
        <f ca="1">"X"&amp;OFFSET(NameConv!$F$4,0,AT193)&amp;OFFSET(NameConv!$F$59,AS193,AT193)</f>
        <v>XPWRHGN</v>
      </c>
      <c r="D193" s="518" t="str">
        <f t="shared" ref="D193:I208" ca="1" si="20">IF($A193="*","",VLOOKUP($B193,$B$10:$I$13,D$9,FALSE))</f>
        <v>-</v>
      </c>
      <c r="E193" s="518" t="str">
        <f t="shared" ca="1" si="20"/>
        <v>ACTGRP</v>
      </c>
      <c r="F193" s="518" t="str">
        <f t="shared" ca="1" si="20"/>
        <v>-</v>
      </c>
      <c r="G193" s="518" t="str">
        <f t="shared" ca="1" si="20"/>
        <v>ANNUAL</v>
      </c>
      <c r="H193" s="518" t="str">
        <f t="shared" ca="1" si="20"/>
        <v>-</v>
      </c>
      <c r="I193" s="516">
        <f t="shared" ca="1" si="20"/>
        <v>0</v>
      </c>
      <c r="J193" s="518">
        <f ca="1">IF(INDEX($L$10:$L$13,MATCH($B193,$B$10:$B$13,0)),zar.2010,1)*SUMIF(NameConv!$C$4:$C$44,RIGHT(C193,3),OFFSET(INDIRECT(B193),0,AT193-1,NameConv!$A$45,1))</f>
        <v>1</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495">
        <f ca="1">IF(AT192&lt;&gt;AT193,1,IF(AS192=OFFSET(NameConv!$F$45,0,AT192),AR192+1,AR192))</f>
        <v>1</v>
      </c>
      <c r="AS193" s="495">
        <f t="shared" ca="1" si="19"/>
        <v>15</v>
      </c>
      <c r="AT193" s="526">
        <f ca="1">IF(AND(AR192=$AR$7,AS192=SUMIF(NameConv!$G$4:$M$4,MID(C192,2,3),NameConv!$G$45:$M$45)),AT192+1,AT192)</f>
        <v>6</v>
      </c>
    </row>
    <row r="194" spans="1:46">
      <c r="A194" s="883" t="str">
        <f ca="1">IF(INDEX(Demand.Sectors,MATCH(MID(C194,2,3),NameConv!$G$4:$M$4,0)),"","*")</f>
        <v/>
      </c>
      <c r="B194" s="518" t="str">
        <f t="shared" ca="1" si="17"/>
        <v>ACT_EFF</v>
      </c>
      <c r="C194" s="518" t="str">
        <f ca="1">"X"&amp;OFFSET(NameConv!$F$4,0,AT194)&amp;OFFSET(NameConv!$F$59,AS194,AT194)</f>
        <v>XPWRNUC</v>
      </c>
      <c r="D194" s="518" t="str">
        <f t="shared" ca="1" si="20"/>
        <v>-</v>
      </c>
      <c r="E194" s="518" t="str">
        <f t="shared" ca="1" si="20"/>
        <v>ACTGRP</v>
      </c>
      <c r="F194" s="518" t="str">
        <f t="shared" ca="1" si="20"/>
        <v>-</v>
      </c>
      <c r="G194" s="518" t="str">
        <f t="shared" ca="1" si="20"/>
        <v>ANNUAL</v>
      </c>
      <c r="H194" s="518" t="str">
        <f t="shared" ca="1" si="20"/>
        <v>-</v>
      </c>
      <c r="I194" s="516">
        <f t="shared" ca="1" si="20"/>
        <v>0</v>
      </c>
      <c r="J194" s="518">
        <f ca="1">IF(INDEX($L$10:$L$13,MATCH($B194,$B$10:$B$13,0)),zar.2010,1)*SUMIF(NameConv!$C$4:$C$44,RIGHT(C194,3),OFFSET(INDIRECT(B194),0,AT194-1,NameConv!$A$45,1))</f>
        <v>1</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495">
        <f ca="1">IF(AT193&lt;&gt;AT194,1,IF(AS193=OFFSET(NameConv!$F$45,0,AT193),AR193+1,AR193))</f>
        <v>1</v>
      </c>
      <c r="AS194" s="495">
        <f t="shared" ca="1" si="19"/>
        <v>16</v>
      </c>
      <c r="AT194" s="526">
        <f ca="1">IF(AND(AR193=$AR$7,AS193=SUMIF(NameConv!$G$4:$M$4,MID(C193,2,3),NameConv!$G$45:$M$45)),AT193+1,AT193)</f>
        <v>6</v>
      </c>
    </row>
    <row r="195" spans="1:46">
      <c r="A195" s="883" t="str">
        <f ca="1">IF(INDEX(Demand.Sectors,MATCH(MID(C195,2,3),NameConv!$G$4:$M$4,0)),"","*")</f>
        <v/>
      </c>
      <c r="B195" s="518" t="str">
        <f t="shared" ca="1" si="17"/>
        <v>ACT_EFF</v>
      </c>
      <c r="C195" s="518" t="str">
        <f ca="1">"X"&amp;OFFSET(NameConv!$F$4,0,AT195)&amp;OFFSET(NameConv!$F$59,AS195,AT195)</f>
        <v>XPWRODS</v>
      </c>
      <c r="D195" s="518" t="str">
        <f t="shared" ca="1" si="20"/>
        <v>-</v>
      </c>
      <c r="E195" s="518" t="str">
        <f t="shared" ca="1" si="20"/>
        <v>ACTGRP</v>
      </c>
      <c r="F195" s="518" t="str">
        <f t="shared" ca="1" si="20"/>
        <v>-</v>
      </c>
      <c r="G195" s="518" t="str">
        <f t="shared" ca="1" si="20"/>
        <v>ANNUAL</v>
      </c>
      <c r="H195" s="518" t="str">
        <f t="shared" ca="1" si="20"/>
        <v>-</v>
      </c>
      <c r="I195" s="516">
        <f t="shared" ca="1" si="20"/>
        <v>0</v>
      </c>
      <c r="J195" s="518">
        <f ca="1">IF(INDEX($L$10:$L$13,MATCH($B195,$B$10:$B$13,0)),zar.2010,1)*SUMIF(NameConv!$C$4:$C$44,RIGHT(C195,3),OFFSET(INDIRECT(B195),0,AT195-1,NameConv!$A$45,1))</f>
        <v>1</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495">
        <f ca="1">IF(AT194&lt;&gt;AT195,1,IF(AS194=OFFSET(NameConv!$F$45,0,AT194),AR194+1,AR194))</f>
        <v>1</v>
      </c>
      <c r="AS195" s="495">
        <f t="shared" ca="1" si="19"/>
        <v>17</v>
      </c>
      <c r="AT195" s="526">
        <f ca="1">IF(AND(AR194=$AR$7,AS194=SUMIF(NameConv!$G$4:$M$4,MID(C194,2,3),NameConv!$G$45:$M$45)),AT194+1,AT194)</f>
        <v>6</v>
      </c>
    </row>
    <row r="196" spans="1:46">
      <c r="A196" s="883" t="str">
        <f ca="1">IF(INDEX(Demand.Sectors,MATCH(MID(C196,2,3),NameConv!$G$4:$M$4,0)),"","*")</f>
        <v/>
      </c>
      <c r="B196" s="518" t="str">
        <f t="shared" ca="1" si="17"/>
        <v>ACT_EFF</v>
      </c>
      <c r="C196" s="518" t="str">
        <f ca="1">"X"&amp;OFFSET(NameConv!$F$4,0,AT196)&amp;OFFSET(NameConv!$F$59,AS196,AT196)</f>
        <v>XPWRSOL</v>
      </c>
      <c r="D196" s="518" t="str">
        <f t="shared" ca="1" si="20"/>
        <v>-</v>
      </c>
      <c r="E196" s="518" t="str">
        <f t="shared" ca="1" si="20"/>
        <v>ACTGRP</v>
      </c>
      <c r="F196" s="518" t="str">
        <f t="shared" ca="1" si="20"/>
        <v>-</v>
      </c>
      <c r="G196" s="518" t="str">
        <f t="shared" ca="1" si="20"/>
        <v>ANNUAL</v>
      </c>
      <c r="H196" s="518" t="str">
        <f t="shared" ca="1" si="20"/>
        <v>-</v>
      </c>
      <c r="I196" s="516">
        <f t="shared" ca="1" si="20"/>
        <v>0</v>
      </c>
      <c r="J196" s="518">
        <f ca="1">IF(INDEX($L$10:$L$13,MATCH($B196,$B$10:$B$13,0)),zar.2010,1)*SUMIF(NameConv!$C$4:$C$44,RIGHT(C196,3),OFFSET(INDIRECT(B196),0,AT196-1,NameConv!$A$45,1))</f>
        <v>1</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495">
        <f ca="1">IF(AT195&lt;&gt;AT196,1,IF(AS195=OFFSET(NameConv!$F$45,0,AT195),AR195+1,AR195))</f>
        <v>1</v>
      </c>
      <c r="AS196" s="495">
        <f t="shared" ca="1" si="19"/>
        <v>18</v>
      </c>
      <c r="AT196" s="526">
        <f ca="1">IF(AND(AR195=$AR$7,AS195=SUMIF(NameConv!$G$4:$M$4,MID(C195,2,3),NameConv!$G$45:$M$45)),AT195+1,AT195)</f>
        <v>6</v>
      </c>
    </row>
    <row r="197" spans="1:46">
      <c r="A197" s="883" t="str">
        <f ca="1">IF(INDEX(Demand.Sectors,MATCH(MID(C197,2,3),NameConv!$G$4:$M$4,0)),"","*")</f>
        <v/>
      </c>
      <c r="B197" s="518" t="str">
        <f t="shared" ca="1" si="17"/>
        <v>ACT_EFF</v>
      </c>
      <c r="C197" s="518" t="str">
        <f ca="1">"X"&amp;OFFSET(NameConv!$F$4,0,AT197)&amp;OFFSET(NameConv!$F$59,AS197,AT197)</f>
        <v>XPWRWND</v>
      </c>
      <c r="D197" s="518" t="str">
        <f t="shared" ca="1" si="20"/>
        <v>-</v>
      </c>
      <c r="E197" s="518" t="str">
        <f t="shared" ca="1" si="20"/>
        <v>ACTGRP</v>
      </c>
      <c r="F197" s="518" t="str">
        <f t="shared" ca="1" si="20"/>
        <v>-</v>
      </c>
      <c r="G197" s="518" t="str">
        <f t="shared" ca="1" si="20"/>
        <v>ANNUAL</v>
      </c>
      <c r="H197" s="518" t="str">
        <f t="shared" ca="1" si="20"/>
        <v>-</v>
      </c>
      <c r="I197" s="516">
        <f t="shared" ca="1" si="20"/>
        <v>0</v>
      </c>
      <c r="J197" s="518">
        <f ca="1">IF(INDEX($L$10:$L$13,MATCH($B197,$B$10:$B$13,0)),zar.2010,1)*SUMIF(NameConv!$C$4:$C$44,RIGHT(C197,3),OFFSET(INDIRECT(B197),0,AT197-1,NameConv!$A$45,1))</f>
        <v>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495">
        <f ca="1">IF(AT196&lt;&gt;AT197,1,IF(AS196=OFFSET(NameConv!$F$45,0,AT196),AR196+1,AR196))</f>
        <v>1</v>
      </c>
      <c r="AS197" s="495">
        <f t="shared" ca="1" si="19"/>
        <v>19</v>
      </c>
      <c r="AT197" s="526">
        <f ca="1">IF(AND(AR196=$AR$7,AS196=SUMIF(NameConv!$G$4:$M$4,MID(C196,2,3),NameConv!$G$45:$M$45)),AT196+1,AT196)</f>
        <v>6</v>
      </c>
    </row>
    <row r="198" spans="1:46">
      <c r="A198" s="883" t="str">
        <f ca="1">IF(INDEX(Demand.Sectors,MATCH(MID(C198,2,3),NameConv!$G$4:$M$4,0)),"","*")</f>
        <v/>
      </c>
      <c r="B198" s="518" t="str">
        <f t="shared" ca="1" si="17"/>
        <v>NCAP_COST</v>
      </c>
      <c r="C198" s="518" t="str">
        <f ca="1">"X"&amp;OFFSET(NameConv!$F$4,0,AT198)&amp;OFFSET(NameConv!$F$59,AS198,AT198)</f>
        <v>XPWRBIG</v>
      </c>
      <c r="D198" s="518" t="str">
        <f t="shared" ca="1" si="20"/>
        <v>-</v>
      </c>
      <c r="E198" s="518" t="str">
        <f t="shared" ca="1" si="20"/>
        <v>-</v>
      </c>
      <c r="F198" s="518" t="str">
        <f t="shared" ca="1" si="20"/>
        <v>-</v>
      </c>
      <c r="G198" s="518" t="str">
        <f t="shared" ca="1" si="20"/>
        <v>-</v>
      </c>
      <c r="H198" s="518" t="str">
        <f t="shared" ca="1" si="20"/>
        <v>-</v>
      </c>
      <c r="I198" s="516">
        <f t="shared" ca="1" si="20"/>
        <v>0</v>
      </c>
      <c r="J198" s="518">
        <f ca="1">IF(INDEX($L$10:$L$13,MATCH($B198,$B$10:$B$13,0)),zar.2010,1)*SUMIF(NameConv!$C$4:$C$44,RIGHT(C198,3),OFFSET(INDIRECT(B198),0,AT198-1,NameConv!$A$45,1))</f>
        <v>1.3094103081137337E-4</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495">
        <f ca="1">IF(AT197&lt;&gt;AT198,1,IF(AS197=OFFSET(NameConv!$F$45,0,AT197),AR197+1,AR197))</f>
        <v>2</v>
      </c>
      <c r="AS198" s="495">
        <f t="shared" ca="1" si="19"/>
        <v>1</v>
      </c>
      <c r="AT198" s="526">
        <f ca="1">IF(AND(AR197=$AR$7,AS197=SUMIF(NameConv!$G$4:$M$4,MID(C197,2,3),NameConv!$G$45:$M$45)),AT197+1,AT197)</f>
        <v>6</v>
      </c>
    </row>
    <row r="199" spans="1:46">
      <c r="A199" s="883" t="str">
        <f ca="1">IF(INDEX(Demand.Sectors,MATCH(MID(C199,2,3),NameConv!$G$4:$M$4,0)),"","*")</f>
        <v/>
      </c>
      <c r="B199" s="518" t="str">
        <f t="shared" ca="1" si="17"/>
        <v>NCAP_COST</v>
      </c>
      <c r="C199" s="518" t="str">
        <f ca="1">"X"&amp;OFFSET(NameConv!$F$4,0,AT199)&amp;OFFSET(NameConv!$F$59,AS199,AT199)</f>
        <v>XPWRBIB</v>
      </c>
      <c r="D199" s="518" t="str">
        <f t="shared" ca="1" si="20"/>
        <v>-</v>
      </c>
      <c r="E199" s="518" t="str">
        <f t="shared" ca="1" si="20"/>
        <v>-</v>
      </c>
      <c r="F199" s="518" t="str">
        <f t="shared" ca="1" si="20"/>
        <v>-</v>
      </c>
      <c r="G199" s="518" t="str">
        <f t="shared" ca="1" si="20"/>
        <v>-</v>
      </c>
      <c r="H199" s="518" t="str">
        <f t="shared" ca="1" si="20"/>
        <v>-</v>
      </c>
      <c r="I199" s="516">
        <f t="shared" ca="1" si="20"/>
        <v>0</v>
      </c>
      <c r="J199" s="518">
        <f ca="1">IF(INDEX($L$10:$L$13,MATCH($B199,$B$10:$B$13,0)),zar.2010,1)*SUMIF(NameConv!$C$4:$C$44,RIGHT(C199,3),OFFSET(INDIRECT(B199),0,AT199-1,NameConv!$A$45,1))</f>
        <v>1.3094103081137337E-4</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495">
        <f ca="1">IF(AT198&lt;&gt;AT199,1,IF(AS198=OFFSET(NameConv!$F$45,0,AT198),AR198+1,AR198))</f>
        <v>2</v>
      </c>
      <c r="AS199" s="495">
        <f t="shared" ca="1" si="19"/>
        <v>2</v>
      </c>
      <c r="AT199" s="526">
        <f ca="1">IF(AND(AR198=$AR$7,AS198=SUMIF(NameConv!$G$4:$M$4,MID(C198,2,3),NameConv!$G$45:$M$45)),AT198+1,AT198)</f>
        <v>6</v>
      </c>
    </row>
    <row r="200" spans="1:46">
      <c r="A200" s="883" t="str">
        <f ca="1">IF(INDEX(Demand.Sectors,MATCH(MID(C200,2,3),NameConv!$G$4:$M$4,0)),"","*")</f>
        <v/>
      </c>
      <c r="B200" s="518" t="str">
        <f t="shared" ca="1" si="17"/>
        <v>NCAP_COST</v>
      </c>
      <c r="C200" s="518" t="str">
        <f ca="1">"X"&amp;OFFSET(NameConv!$F$4,0,AT200)&amp;OFFSET(NameConv!$F$59,AS200,AT200)</f>
        <v>XPWRBIO</v>
      </c>
      <c r="D200" s="518" t="str">
        <f t="shared" ca="1" si="20"/>
        <v>-</v>
      </c>
      <c r="E200" s="518" t="str">
        <f t="shared" ca="1" si="20"/>
        <v>-</v>
      </c>
      <c r="F200" s="518" t="str">
        <f t="shared" ca="1" si="20"/>
        <v>-</v>
      </c>
      <c r="G200" s="518" t="str">
        <f t="shared" ca="1" si="20"/>
        <v>-</v>
      </c>
      <c r="H200" s="518" t="str">
        <f t="shared" ca="1" si="20"/>
        <v>-</v>
      </c>
      <c r="I200" s="516">
        <f t="shared" ca="1" si="20"/>
        <v>0</v>
      </c>
      <c r="J200" s="518">
        <f ca="1">IF(INDEX($L$10:$L$13,MATCH($B200,$B$10:$B$13,0)),zar.2010,1)*SUMIF(NameConv!$C$4:$C$44,RIGHT(C200,3),OFFSET(INDIRECT(B200),0,AT200-1,NameConv!$A$45,1))</f>
        <v>1.3094103081137337E-4</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495">
        <f ca="1">IF(AT199&lt;&gt;AT200,1,IF(AS199=OFFSET(NameConv!$F$45,0,AT199),AR199+1,AR199))</f>
        <v>2</v>
      </c>
      <c r="AS200" s="495">
        <f t="shared" ca="1" si="19"/>
        <v>3</v>
      </c>
      <c r="AT200" s="526">
        <f ca="1">IF(AND(AR199=$AR$7,AS199=SUMIF(NameConv!$G$4:$M$4,MID(C199,2,3),NameConv!$G$45:$M$45)),AT199+1,AT199)</f>
        <v>6</v>
      </c>
    </row>
    <row r="201" spans="1:46">
      <c r="A201" s="883" t="str">
        <f ca="1">IF(INDEX(Demand.Sectors,MATCH(MID(C201,2,3),NameConv!$G$4:$M$4,0)),"","*")</f>
        <v/>
      </c>
      <c r="B201" s="518" t="str">
        <f t="shared" ca="1" si="17"/>
        <v>NCAP_COST</v>
      </c>
      <c r="C201" s="518" t="str">
        <f ca="1">"X"&amp;OFFSET(NameConv!$F$4,0,AT201)&amp;OFFSET(NameConv!$F$59,AS201,AT201)</f>
        <v>XPWRBIW</v>
      </c>
      <c r="D201" s="518" t="str">
        <f t="shared" ca="1" si="20"/>
        <v>-</v>
      </c>
      <c r="E201" s="518" t="str">
        <f t="shared" ca="1" si="20"/>
        <v>-</v>
      </c>
      <c r="F201" s="518" t="str">
        <f t="shared" ca="1" si="20"/>
        <v>-</v>
      </c>
      <c r="G201" s="518" t="str">
        <f t="shared" ca="1" si="20"/>
        <v>-</v>
      </c>
      <c r="H201" s="518" t="str">
        <f t="shared" ca="1" si="20"/>
        <v>-</v>
      </c>
      <c r="I201" s="516">
        <f t="shared" ca="1" si="20"/>
        <v>0</v>
      </c>
      <c r="J201" s="518">
        <f ca="1">IF(INDEX($L$10:$L$13,MATCH($B201,$B$10:$B$13,0)),zar.2010,1)*SUMIF(NameConv!$C$4:$C$44,RIGHT(C201,3),OFFSET(INDIRECT(B201),0,AT201-1,NameConv!$A$45,1))</f>
        <v>1.3094103081137337E-4</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495">
        <f ca="1">IF(AT200&lt;&gt;AT201,1,IF(AS200=OFFSET(NameConv!$F$45,0,AT200),AR200+1,AR200))</f>
        <v>2</v>
      </c>
      <c r="AS201" s="495">
        <f t="shared" ca="1" si="19"/>
        <v>4</v>
      </c>
      <c r="AT201" s="526">
        <f ca="1">IF(AND(AR200=$AR$7,AS200=SUMIF(NameConv!$G$4:$M$4,MID(C200,2,3),NameConv!$G$45:$M$45)),AT200+1,AT200)</f>
        <v>6</v>
      </c>
    </row>
    <row r="202" spans="1:46">
      <c r="A202" s="883" t="str">
        <f ca="1">IF(INDEX(Demand.Sectors,MATCH(MID(C202,2,3),NameConv!$G$4:$M$4,0)),"","*")</f>
        <v/>
      </c>
      <c r="B202" s="518" t="str">
        <f t="shared" ca="1" si="17"/>
        <v>NCAP_COST</v>
      </c>
      <c r="C202" s="518" t="str">
        <f ca="1">"X"&amp;OFFSET(NameConv!$F$4,0,AT202)&amp;OFFSET(NameConv!$F$59,AS202,AT202)</f>
        <v>XPWRCLD</v>
      </c>
      <c r="D202" s="518" t="str">
        <f t="shared" ca="1" si="20"/>
        <v>-</v>
      </c>
      <c r="E202" s="518" t="str">
        <f t="shared" ca="1" si="20"/>
        <v>-</v>
      </c>
      <c r="F202" s="518" t="str">
        <f t="shared" ca="1" si="20"/>
        <v>-</v>
      </c>
      <c r="G202" s="518" t="str">
        <f t="shared" ca="1" si="20"/>
        <v>-</v>
      </c>
      <c r="H202" s="518" t="str">
        <f t="shared" ca="1" si="20"/>
        <v>-</v>
      </c>
      <c r="I202" s="516">
        <f t="shared" ca="1" si="20"/>
        <v>0</v>
      </c>
      <c r="J202" s="518">
        <f ca="1">IF(INDEX($L$10:$L$13,MATCH($B202,$B$10:$B$13,0)),zar.2010,1)*SUMIF(NameConv!$C$4:$C$44,RIGHT(C202,3),OFFSET(INDIRECT(B202),0,AT202-1,NameConv!$A$45,1))</f>
        <v>1.3094103081137337E-4</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495">
        <f ca="1">IF(AT201&lt;&gt;AT202,1,IF(AS201=OFFSET(NameConv!$F$45,0,AT201),AR201+1,AR201))</f>
        <v>2</v>
      </c>
      <c r="AS202" s="495">
        <f t="shared" ca="1" si="19"/>
        <v>5</v>
      </c>
      <c r="AT202" s="526">
        <f ca="1">IF(AND(AR201=$AR$7,AS201=SUMIF(NameConv!$G$4:$M$4,MID(C201,2,3),NameConv!$G$45:$M$45)),AT201+1,AT201)</f>
        <v>6</v>
      </c>
    </row>
    <row r="203" spans="1:46">
      <c r="A203" s="883" t="str">
        <f ca="1">IF(INDEX(Demand.Sectors,MATCH(MID(C203,2,3),NameConv!$G$4:$M$4,0)),"","*")</f>
        <v/>
      </c>
      <c r="B203" s="518" t="str">
        <f t="shared" ca="1" si="17"/>
        <v>NCAP_COST</v>
      </c>
      <c r="C203" s="518" t="str">
        <f ca="1">"X"&amp;OFFSET(NameConv!$F$4,0,AT203)&amp;OFFSET(NameConv!$F$59,AS203,AT203)</f>
        <v>XPWRCLE</v>
      </c>
      <c r="D203" s="518" t="str">
        <f t="shared" ca="1" si="20"/>
        <v>-</v>
      </c>
      <c r="E203" s="518" t="str">
        <f t="shared" ca="1" si="20"/>
        <v>-</v>
      </c>
      <c r="F203" s="518" t="str">
        <f t="shared" ca="1" si="20"/>
        <v>-</v>
      </c>
      <c r="G203" s="518" t="str">
        <f t="shared" ca="1" si="20"/>
        <v>-</v>
      </c>
      <c r="H203" s="518" t="str">
        <f t="shared" ca="1" si="20"/>
        <v>-</v>
      </c>
      <c r="I203" s="516">
        <f t="shared" ca="1" si="20"/>
        <v>0</v>
      </c>
      <c r="J203" s="518">
        <f ca="1">IF(INDEX($L$10:$L$13,MATCH($B203,$B$10:$B$13,0)),zar.2010,1)*SUMIF(NameConv!$C$4:$C$44,RIGHT(C203,3),OFFSET(INDIRECT(B203),0,AT203-1,NameConv!$A$45,1))</f>
        <v>1.3094103081137337E-4</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495">
        <f ca="1">IF(AT202&lt;&gt;AT203,1,IF(AS202=OFFSET(NameConv!$F$45,0,AT202),AR202+1,AR202))</f>
        <v>2</v>
      </c>
      <c r="AS203" s="495">
        <f t="shared" ca="1" si="19"/>
        <v>6</v>
      </c>
      <c r="AT203" s="526">
        <f ca="1">IF(AND(AR202=$AR$7,AS202=SUMIF(NameConv!$G$4:$M$4,MID(C202,2,3),NameConv!$G$45:$M$45)),AT202+1,AT202)</f>
        <v>6</v>
      </c>
    </row>
    <row r="204" spans="1:46">
      <c r="A204" s="883" t="str">
        <f ca="1">IF(INDEX(Demand.Sectors,MATCH(MID(C204,2,3),NameConv!$G$4:$M$4,0)),"","*")</f>
        <v/>
      </c>
      <c r="B204" s="518" t="str">
        <f t="shared" ca="1" si="17"/>
        <v>NCAP_COST</v>
      </c>
      <c r="C204" s="518" t="str">
        <f ca="1">"X"&amp;OFFSET(NameConv!$F$4,0,AT204)&amp;OFFSET(NameConv!$F$59,AS204,AT204)</f>
        <v>XPWRCRB</v>
      </c>
      <c r="D204" s="518" t="str">
        <f t="shared" ca="1" si="20"/>
        <v>-</v>
      </c>
      <c r="E204" s="518" t="str">
        <f t="shared" ca="1" si="20"/>
        <v>-</v>
      </c>
      <c r="F204" s="518" t="str">
        <f t="shared" ca="1" si="20"/>
        <v>-</v>
      </c>
      <c r="G204" s="518" t="str">
        <f t="shared" ca="1" si="20"/>
        <v>-</v>
      </c>
      <c r="H204" s="518" t="str">
        <f t="shared" ca="1" si="20"/>
        <v>-</v>
      </c>
      <c r="I204" s="516">
        <f t="shared" ca="1" si="20"/>
        <v>0</v>
      </c>
      <c r="J204" s="518">
        <f ca="1">IF(INDEX($L$10:$L$13,MATCH($B204,$B$10:$B$13,0)),zar.2010,1)*SUMIF(NameConv!$C$4:$C$44,RIGHT(C204,3),OFFSET(INDIRECT(B204),0,AT204-1,NameConv!$A$45,1))</f>
        <v>1.3094103081137337E-4</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495">
        <f ca="1">IF(AT203&lt;&gt;AT204,1,IF(AS203=OFFSET(NameConv!$F$45,0,AT203),AR203+1,AR203))</f>
        <v>2</v>
      </c>
      <c r="AS204" s="495">
        <f t="shared" ca="1" si="19"/>
        <v>7</v>
      </c>
      <c r="AT204" s="526">
        <f ca="1">IF(AND(AR203=$AR$7,AS203=SUMIF(NameConv!$G$4:$M$4,MID(C203,2,3),NameConv!$G$45:$M$45)),AT203+1,AT203)</f>
        <v>6</v>
      </c>
    </row>
    <row r="205" spans="1:46">
      <c r="A205" s="883" t="str">
        <f ca="1">IF(INDEX(Demand.Sectors,MATCH(MID(C205,2,3),NameConv!$G$4:$M$4,0)),"","*")</f>
        <v/>
      </c>
      <c r="B205" s="518" t="str">
        <f t="shared" ca="1" si="17"/>
        <v>NCAP_COST</v>
      </c>
      <c r="C205" s="518" t="str">
        <f ca="1">"X"&amp;OFFSET(NameConv!$F$4,0,AT205)&amp;OFFSET(NameConv!$F$59,AS205,AT205)</f>
        <v>XPWRGAS</v>
      </c>
      <c r="D205" s="518" t="str">
        <f t="shared" ca="1" si="20"/>
        <v>-</v>
      </c>
      <c r="E205" s="518" t="str">
        <f t="shared" ca="1" si="20"/>
        <v>-</v>
      </c>
      <c r="F205" s="518" t="str">
        <f t="shared" ca="1" si="20"/>
        <v>-</v>
      </c>
      <c r="G205" s="518" t="str">
        <f t="shared" ca="1" si="20"/>
        <v>-</v>
      </c>
      <c r="H205" s="518" t="str">
        <f t="shared" ca="1" si="20"/>
        <v>-</v>
      </c>
      <c r="I205" s="516">
        <f t="shared" ca="1" si="20"/>
        <v>0</v>
      </c>
      <c r="J205" s="518">
        <f ca="1">IF(INDEX($L$10:$L$13,MATCH($B205,$B$10:$B$13,0)),zar.2010,1)*SUMIF(NameConv!$C$4:$C$44,RIGHT(C205,3),OFFSET(INDIRECT(B205),0,AT205-1,NameConv!$A$45,1))</f>
        <v>36.456686277886632</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495">
        <f ca="1">IF(AT204&lt;&gt;AT205,1,IF(AS204=OFFSET(NameConv!$F$45,0,AT204),AR204+1,AR204))</f>
        <v>2</v>
      </c>
      <c r="AS205" s="495">
        <f t="shared" ca="1" si="19"/>
        <v>8</v>
      </c>
      <c r="AT205" s="526">
        <f ca="1">IF(AND(AR204=$AR$7,AS204=SUMIF(NameConv!$G$4:$M$4,MID(C204,2,3),NameConv!$G$45:$M$45)),AT204+1,AT204)</f>
        <v>6</v>
      </c>
    </row>
    <row r="206" spans="1:46">
      <c r="A206" s="883" t="str">
        <f ca="1">IF(INDEX(Demand.Sectors,MATCH(MID(C206,2,3),NameConv!$G$4:$M$4,0)),"","*")</f>
        <v/>
      </c>
      <c r="B206" s="518" t="str">
        <f t="shared" ca="1" si="17"/>
        <v>NCAP_COST</v>
      </c>
      <c r="C206" s="518" t="str">
        <f ca="1">"X"&amp;OFFSET(NameConv!$F$4,0,AT206)&amp;OFFSET(NameConv!$F$59,AS206,AT206)</f>
        <v>XPWRGRS</v>
      </c>
      <c r="D206" s="518" t="str">
        <f t="shared" ca="1" si="20"/>
        <v>-</v>
      </c>
      <c r="E206" s="518" t="str">
        <f t="shared" ca="1" si="20"/>
        <v>-</v>
      </c>
      <c r="F206" s="518" t="str">
        <f t="shared" ca="1" si="20"/>
        <v>-</v>
      </c>
      <c r="G206" s="518" t="str">
        <f t="shared" ca="1" si="20"/>
        <v>-</v>
      </c>
      <c r="H206" s="518" t="str">
        <f t="shared" ca="1" si="20"/>
        <v>-</v>
      </c>
      <c r="I206" s="516">
        <f t="shared" ca="1" si="20"/>
        <v>0</v>
      </c>
      <c r="J206" s="518">
        <f ca="1">IF(INDEX($L$10:$L$13,MATCH($B206,$B$10:$B$13,0)),zar.2010,1)*SUMIF(NameConv!$C$4:$C$44,RIGHT(C206,3),OFFSET(INDIRECT(B206),0,AT206-1,NameConv!$A$45,1))</f>
        <v>1.3094103081137337E-4</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495">
        <f ca="1">IF(AT205&lt;&gt;AT206,1,IF(AS205=OFFSET(NameConv!$F$45,0,AT205),AR205+1,AR205))</f>
        <v>2</v>
      </c>
      <c r="AS206" s="495">
        <f t="shared" ca="1" si="19"/>
        <v>9</v>
      </c>
      <c r="AT206" s="526">
        <f ca="1">IF(AND(AR205=$AR$7,AS205=SUMIF(NameConv!$G$4:$M$4,MID(C205,2,3),NameConv!$G$45:$M$45)),AT205+1,AT205)</f>
        <v>6</v>
      </c>
    </row>
    <row r="207" spans="1:46">
      <c r="A207" s="883" t="str">
        <f ca="1">IF(INDEX(Demand.Sectors,MATCH(MID(C207,2,3),NameConv!$G$4:$M$4,0)),"","*")</f>
        <v/>
      </c>
      <c r="B207" s="518" t="str">
        <f t="shared" ref="B207:B270" ca="1" si="21">IF(A207="*","",VLOOKUP("*"&amp;AR207,$A$9:$B$13,2,FALSE))</f>
        <v>NCAP_COST</v>
      </c>
      <c r="C207" s="518" t="str">
        <f ca="1">"X"&amp;OFFSET(NameConv!$F$4,0,AT207)&amp;OFFSET(NameConv!$F$59,AS207,AT207)</f>
        <v>XPWRGRN</v>
      </c>
      <c r="D207" s="518" t="str">
        <f t="shared" ca="1" si="20"/>
        <v>-</v>
      </c>
      <c r="E207" s="518" t="str">
        <f t="shared" ca="1" si="20"/>
        <v>-</v>
      </c>
      <c r="F207" s="518" t="str">
        <f t="shared" ca="1" si="20"/>
        <v>-</v>
      </c>
      <c r="G207" s="518" t="str">
        <f t="shared" ca="1" si="20"/>
        <v>-</v>
      </c>
      <c r="H207" s="518" t="str">
        <f t="shared" ca="1" si="20"/>
        <v>-</v>
      </c>
      <c r="I207" s="516">
        <f t="shared" ca="1" si="20"/>
        <v>0</v>
      </c>
      <c r="J207" s="518">
        <f ca="1">IF(INDEX($L$10:$L$13,MATCH($B207,$B$10:$B$13,0)),zar.2010,1)*SUMIF(NameConv!$C$4:$C$44,RIGHT(C207,3),OFFSET(INDIRECT(B207),0,AT207-1,NameConv!$A$45,1))</f>
        <v>1.3094103081137337E-4</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495">
        <f ca="1">IF(AT206&lt;&gt;AT207,1,IF(AS206=OFFSET(NameConv!$F$45,0,AT206),AR206+1,AR206))</f>
        <v>2</v>
      </c>
      <c r="AS207" s="495">
        <f t="shared" ca="1" si="19"/>
        <v>10</v>
      </c>
      <c r="AT207" s="526">
        <f ca="1">IF(AND(AR206=$AR$7,AS206=SUMIF(NameConv!$G$4:$M$4,MID(C206,2,3),NameConv!$G$45:$M$45)),AT206+1,AT206)</f>
        <v>6</v>
      </c>
    </row>
    <row r="208" spans="1:46">
      <c r="A208" s="883" t="str">
        <f ca="1">IF(INDEX(Demand.Sectors,MATCH(MID(C208,2,3),NameConv!$G$4:$M$4,0)),"","*")</f>
        <v/>
      </c>
      <c r="B208" s="518" t="str">
        <f t="shared" ca="1" si="21"/>
        <v>NCAP_COST</v>
      </c>
      <c r="C208" s="518" t="str">
        <f ca="1">"X"&amp;OFFSET(NameConv!$F$4,0,AT208)&amp;OFFSET(NameConv!$F$59,AS208,AT208)</f>
        <v>XPWRGRM</v>
      </c>
      <c r="D208" s="518" t="str">
        <f t="shared" ca="1" si="20"/>
        <v>-</v>
      </c>
      <c r="E208" s="518" t="str">
        <f t="shared" ca="1" si="20"/>
        <v>-</v>
      </c>
      <c r="F208" s="518" t="str">
        <f t="shared" ca="1" si="20"/>
        <v>-</v>
      </c>
      <c r="G208" s="518" t="str">
        <f t="shared" ca="1" si="20"/>
        <v>-</v>
      </c>
      <c r="H208" s="518" t="str">
        <f t="shared" ca="1" si="20"/>
        <v>-</v>
      </c>
      <c r="I208" s="516">
        <f t="shared" ca="1" si="20"/>
        <v>0</v>
      </c>
      <c r="J208" s="518">
        <f ca="1">IF(INDEX($L$10:$L$13,MATCH($B208,$B$10:$B$13,0)),zar.2010,1)*SUMIF(NameConv!$C$4:$C$44,RIGHT(C208,3),OFFSET(INDIRECT(B208),0,AT208-1,NameConv!$A$45,1))</f>
        <v>1.3094103081137337E-4</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495">
        <f ca="1">IF(AT207&lt;&gt;AT208,1,IF(AS207=OFFSET(NameConv!$F$45,0,AT207),AR207+1,AR207))</f>
        <v>2</v>
      </c>
      <c r="AS208" s="495">
        <f t="shared" ca="1" si="19"/>
        <v>11</v>
      </c>
      <c r="AT208" s="526">
        <f ca="1">IF(AND(AR207=$AR$7,AS207=SUMIF(NameConv!$G$4:$M$4,MID(C207,2,3),NameConv!$G$45:$M$45)),AT207+1,AT207)</f>
        <v>6</v>
      </c>
    </row>
    <row r="209" spans="1:46">
      <c r="A209" s="883" t="str">
        <f ca="1">IF(INDEX(Demand.Sectors,MATCH(MID(C209,2,3),NameConv!$G$4:$M$4,0)),"","*")</f>
        <v/>
      </c>
      <c r="B209" s="518" t="str">
        <f t="shared" ca="1" si="21"/>
        <v>NCAP_COST</v>
      </c>
      <c r="C209" s="518" t="str">
        <f ca="1">"X"&amp;OFFSET(NameConv!$F$4,0,AT209)&amp;OFFSET(NameConv!$F$59,AS209,AT209)</f>
        <v>XPWRGIH</v>
      </c>
      <c r="D209" s="518" t="str">
        <f t="shared" ref="D209:I251" ca="1" si="22">IF($A209="*","",VLOOKUP($B209,$B$10:$I$13,D$9,FALSE))</f>
        <v>-</v>
      </c>
      <c r="E209" s="518" t="str">
        <f t="shared" ca="1" si="22"/>
        <v>-</v>
      </c>
      <c r="F209" s="518" t="str">
        <f t="shared" ca="1" si="22"/>
        <v>-</v>
      </c>
      <c r="G209" s="518" t="str">
        <f t="shared" ca="1" si="22"/>
        <v>-</v>
      </c>
      <c r="H209" s="518" t="str">
        <f t="shared" ca="1" si="22"/>
        <v>-</v>
      </c>
      <c r="I209" s="516">
        <f t="shared" ca="1" si="22"/>
        <v>0</v>
      </c>
      <c r="J209" s="518">
        <f ca="1">IF(INDEX($L$10:$L$13,MATCH($B209,$B$10:$B$13,0)),zar.2010,1)*SUMIF(NameConv!$C$4:$C$44,RIGHT(C209,3),OFFSET(INDIRECT(B209),0,AT209-1,NameConv!$A$45,1))</f>
        <v>36.456686277886632</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495">
        <f ca="1">IF(AT208&lt;&gt;AT209,1,IF(AS208=OFFSET(NameConv!$F$45,0,AT208),AR208+1,AR208))</f>
        <v>2</v>
      </c>
      <c r="AS209" s="495">
        <f t="shared" ca="1" si="19"/>
        <v>12</v>
      </c>
      <c r="AT209" s="526">
        <f ca="1">IF(AND(AR208=$AR$7,AS208=SUMIF(NameConv!$G$4:$M$4,MID(C208,2,3),NameConv!$G$45:$M$45)),AT208+1,AT208)</f>
        <v>6</v>
      </c>
    </row>
    <row r="210" spans="1:46">
      <c r="A210" s="883" t="str">
        <f ca="1">IF(INDEX(Demand.Sectors,MATCH(MID(C210,2,3),NameConv!$G$4:$M$4,0)),"","*")</f>
        <v/>
      </c>
      <c r="B210" s="518" t="str">
        <f t="shared" ca="1" si="21"/>
        <v>NCAP_COST</v>
      </c>
      <c r="C210" s="518" t="str">
        <f ca="1">"X"&amp;OFFSET(NameConv!$F$4,0,AT210)&amp;OFFSET(NameConv!$F$59,AS210,AT210)</f>
        <v>XPWRGIC</v>
      </c>
      <c r="D210" s="518" t="str">
        <f t="shared" ca="1" si="22"/>
        <v>-</v>
      </c>
      <c r="E210" s="518" t="str">
        <f t="shared" ca="1" si="22"/>
        <v>-</v>
      </c>
      <c r="F210" s="518" t="str">
        <f t="shared" ca="1" si="22"/>
        <v>-</v>
      </c>
      <c r="G210" s="518" t="str">
        <f t="shared" ca="1" si="22"/>
        <v>-</v>
      </c>
      <c r="H210" s="518" t="str">
        <f t="shared" ca="1" si="22"/>
        <v>-</v>
      </c>
      <c r="I210" s="516">
        <f t="shared" ca="1" si="22"/>
        <v>0</v>
      </c>
      <c r="J210" s="518">
        <f ca="1">IF(INDEX($L$10:$L$13,MATCH($B210,$B$10:$B$13,0)),zar.2010,1)*SUMIF(NameConv!$C$4:$C$44,RIGHT(C210,3),OFFSET(INDIRECT(B210),0,AT210-1,NameConv!$A$45,1))</f>
        <v>1.3094103081137337E-4</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495">
        <f ca="1">IF(AT209&lt;&gt;AT210,1,IF(AS209=OFFSET(NameConv!$F$45,0,AT209),AR209+1,AR209))</f>
        <v>2</v>
      </c>
      <c r="AS210" s="495">
        <f t="shared" ca="1" si="19"/>
        <v>13</v>
      </c>
      <c r="AT210" s="526">
        <f ca="1">IF(AND(AR209=$AR$7,AS209=SUMIF(NameConv!$G$4:$M$4,MID(C209,2,3),NameConv!$G$45:$M$45)),AT209+1,AT209)</f>
        <v>6</v>
      </c>
    </row>
    <row r="211" spans="1:46">
      <c r="A211" s="883" t="str">
        <f ca="1">IF(INDEX(Demand.Sectors,MATCH(MID(C211,2,3),NameConv!$G$4:$M$4,0)),"","*")</f>
        <v/>
      </c>
      <c r="B211" s="518" t="str">
        <f t="shared" ca="1" si="21"/>
        <v>NCAP_COST</v>
      </c>
      <c r="C211" s="518" t="str">
        <f ca="1">"X"&amp;OFFSET(NameConv!$F$4,0,AT211)&amp;OFFSET(NameConv!$F$59,AS211,AT211)</f>
        <v>XPWRHYD</v>
      </c>
      <c r="D211" s="518" t="str">
        <f t="shared" ca="1" si="22"/>
        <v>-</v>
      </c>
      <c r="E211" s="518" t="str">
        <f t="shared" ca="1" si="22"/>
        <v>-</v>
      </c>
      <c r="F211" s="518" t="str">
        <f t="shared" ca="1" si="22"/>
        <v>-</v>
      </c>
      <c r="G211" s="518" t="str">
        <f t="shared" ca="1" si="22"/>
        <v>-</v>
      </c>
      <c r="H211" s="518" t="str">
        <f t="shared" ca="1" si="22"/>
        <v>-</v>
      </c>
      <c r="I211" s="516">
        <f t="shared" ca="1" si="22"/>
        <v>0</v>
      </c>
      <c r="J211" s="518">
        <f ca="1">IF(INDEX($L$10:$L$13,MATCH($B211,$B$10:$B$13,0)),zar.2010,1)*SUMIF(NameConv!$C$4:$C$44,RIGHT(C211,3),OFFSET(INDIRECT(B211),0,AT211-1,NameConv!$A$45,1))</f>
        <v>1.3094103081137337E-4</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495">
        <f ca="1">IF(AT210&lt;&gt;AT211,1,IF(AS210=OFFSET(NameConv!$F$45,0,AT210),AR210+1,AR210))</f>
        <v>2</v>
      </c>
      <c r="AS211" s="495">
        <f t="shared" ca="1" si="19"/>
        <v>14</v>
      </c>
      <c r="AT211" s="526">
        <f ca="1">IF(AND(AR210=$AR$7,AS210=SUMIF(NameConv!$G$4:$M$4,MID(C210,2,3),NameConv!$G$45:$M$45)),AT210+1,AT210)</f>
        <v>6</v>
      </c>
    </row>
    <row r="212" spans="1:46">
      <c r="A212" s="883" t="str">
        <f ca="1">IF(INDEX(Demand.Sectors,MATCH(MID(C212,2,3),NameConv!$G$4:$M$4,0)),"","*")</f>
        <v/>
      </c>
      <c r="B212" s="518" t="str">
        <f t="shared" ca="1" si="21"/>
        <v>NCAP_COST</v>
      </c>
      <c r="C212" s="518" t="str">
        <f ca="1">"X"&amp;OFFSET(NameConv!$F$4,0,AT212)&amp;OFFSET(NameConv!$F$59,AS212,AT212)</f>
        <v>XPWRHGN</v>
      </c>
      <c r="D212" s="518" t="str">
        <f t="shared" ca="1" si="22"/>
        <v>-</v>
      </c>
      <c r="E212" s="518" t="str">
        <f t="shared" ca="1" si="22"/>
        <v>-</v>
      </c>
      <c r="F212" s="518" t="str">
        <f t="shared" ca="1" si="22"/>
        <v>-</v>
      </c>
      <c r="G212" s="518" t="str">
        <f t="shared" ca="1" si="22"/>
        <v>-</v>
      </c>
      <c r="H212" s="518" t="str">
        <f t="shared" ca="1" si="22"/>
        <v>-</v>
      </c>
      <c r="I212" s="516">
        <f t="shared" ca="1" si="22"/>
        <v>0</v>
      </c>
      <c r="J212" s="518">
        <f ca="1">IF(INDEX($L$10:$L$13,MATCH($B212,$B$10:$B$13,0)),zar.2010,1)*SUMIF(NameConv!$C$4:$C$44,RIGHT(C212,3),OFFSET(INDIRECT(B212),0,AT212-1,NameConv!$A$45,1))</f>
        <v>1.3094103081137337E-4</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495">
        <f ca="1">IF(AT211&lt;&gt;AT212,1,IF(AS211=OFFSET(NameConv!$F$45,0,AT211),AR211+1,AR211))</f>
        <v>2</v>
      </c>
      <c r="AS212" s="495">
        <f t="shared" ca="1" si="19"/>
        <v>15</v>
      </c>
      <c r="AT212" s="526">
        <f ca="1">IF(AND(AR211=$AR$7,AS211=SUMIF(NameConv!$G$4:$M$4,MID(C211,2,3),NameConv!$G$45:$M$45)),AT211+1,AT211)</f>
        <v>6</v>
      </c>
    </row>
    <row r="213" spans="1:46">
      <c r="A213" s="883" t="str">
        <f ca="1">IF(INDEX(Demand.Sectors,MATCH(MID(C213,2,3),NameConv!$G$4:$M$4,0)),"","*")</f>
        <v/>
      </c>
      <c r="B213" s="518" t="str">
        <f t="shared" ca="1" si="21"/>
        <v>NCAP_COST</v>
      </c>
      <c r="C213" s="518" t="str">
        <f ca="1">"X"&amp;OFFSET(NameConv!$F$4,0,AT213)&amp;OFFSET(NameConv!$F$59,AS213,AT213)</f>
        <v>XPWRNUC</v>
      </c>
      <c r="D213" s="518" t="str">
        <f t="shared" ca="1" si="22"/>
        <v>-</v>
      </c>
      <c r="E213" s="518" t="str">
        <f t="shared" ca="1" si="22"/>
        <v>-</v>
      </c>
      <c r="F213" s="518" t="str">
        <f t="shared" ca="1" si="22"/>
        <v>-</v>
      </c>
      <c r="G213" s="518" t="str">
        <f t="shared" ca="1" si="22"/>
        <v>-</v>
      </c>
      <c r="H213" s="518" t="str">
        <f t="shared" ca="1" si="22"/>
        <v>-</v>
      </c>
      <c r="I213" s="516">
        <f t="shared" ca="1" si="22"/>
        <v>0</v>
      </c>
      <c r="J213" s="518">
        <f ca="1">IF(INDEX($L$10:$L$13,MATCH($B213,$B$10:$B$13,0)),zar.2010,1)*SUMIF(NameConv!$C$4:$C$44,RIGHT(C213,3),OFFSET(INDIRECT(B213),0,AT213-1,NameConv!$A$45,1))</f>
        <v>1.3094103081137337E-4</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495">
        <f ca="1">IF(AT212&lt;&gt;AT213,1,IF(AS212=OFFSET(NameConv!$F$45,0,AT212),AR212+1,AR212))</f>
        <v>2</v>
      </c>
      <c r="AS213" s="495">
        <f t="shared" ca="1" si="19"/>
        <v>16</v>
      </c>
      <c r="AT213" s="526">
        <f ca="1">IF(AND(AR212=$AR$7,AS212=SUMIF(NameConv!$G$4:$M$4,MID(C212,2,3),NameConv!$G$45:$M$45)),AT212+1,AT212)</f>
        <v>6</v>
      </c>
    </row>
    <row r="214" spans="1:46">
      <c r="A214" s="883" t="str">
        <f ca="1">IF(INDEX(Demand.Sectors,MATCH(MID(C214,2,3),NameConv!$G$4:$M$4,0)),"","*")</f>
        <v/>
      </c>
      <c r="B214" s="518" t="str">
        <f t="shared" ca="1" si="21"/>
        <v>NCAP_COST</v>
      </c>
      <c r="C214" s="518" t="str">
        <f ca="1">"X"&amp;OFFSET(NameConv!$F$4,0,AT214)&amp;OFFSET(NameConv!$F$59,AS214,AT214)</f>
        <v>XPWRODS</v>
      </c>
      <c r="D214" s="518" t="str">
        <f t="shared" ca="1" si="22"/>
        <v>-</v>
      </c>
      <c r="E214" s="518" t="str">
        <f t="shared" ca="1" si="22"/>
        <v>-</v>
      </c>
      <c r="F214" s="518" t="str">
        <f t="shared" ca="1" si="22"/>
        <v>-</v>
      </c>
      <c r="G214" s="518" t="str">
        <f t="shared" ca="1" si="22"/>
        <v>-</v>
      </c>
      <c r="H214" s="518" t="str">
        <f t="shared" ca="1" si="22"/>
        <v>-</v>
      </c>
      <c r="I214" s="516">
        <f t="shared" ca="1" si="22"/>
        <v>0</v>
      </c>
      <c r="J214" s="518">
        <f ca="1">IF(INDEX($L$10:$L$13,MATCH($B214,$B$10:$B$13,0)),zar.2010,1)*SUMIF(NameConv!$C$4:$C$44,RIGHT(C214,3),OFFSET(INDIRECT(B214),0,AT214-1,NameConv!$A$45,1))</f>
        <v>1.3094103081137337E-4</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495">
        <f ca="1">IF(AT213&lt;&gt;AT214,1,IF(AS213=OFFSET(NameConv!$F$45,0,AT213),AR213+1,AR213))</f>
        <v>2</v>
      </c>
      <c r="AS214" s="495">
        <f t="shared" ca="1" si="19"/>
        <v>17</v>
      </c>
      <c r="AT214" s="526">
        <f ca="1">IF(AND(AR213=$AR$7,AS213=SUMIF(NameConv!$G$4:$M$4,MID(C213,2,3),NameConv!$G$45:$M$45)),AT213+1,AT213)</f>
        <v>6</v>
      </c>
    </row>
    <row r="215" spans="1:46">
      <c r="A215" s="883" t="str">
        <f ca="1">IF(INDEX(Demand.Sectors,MATCH(MID(C215,2,3),NameConv!$G$4:$M$4,0)),"","*")</f>
        <v/>
      </c>
      <c r="B215" s="518" t="str">
        <f t="shared" ca="1" si="21"/>
        <v>NCAP_COST</v>
      </c>
      <c r="C215" s="518" t="str">
        <f ca="1">"X"&amp;OFFSET(NameConv!$F$4,0,AT215)&amp;OFFSET(NameConv!$F$59,AS215,AT215)</f>
        <v>XPWRSOL</v>
      </c>
      <c r="D215" s="518" t="str">
        <f t="shared" ca="1" si="22"/>
        <v>-</v>
      </c>
      <c r="E215" s="518" t="str">
        <f t="shared" ca="1" si="22"/>
        <v>-</v>
      </c>
      <c r="F215" s="518" t="str">
        <f t="shared" ca="1" si="22"/>
        <v>-</v>
      </c>
      <c r="G215" s="518" t="str">
        <f t="shared" ca="1" si="22"/>
        <v>-</v>
      </c>
      <c r="H215" s="518" t="str">
        <f t="shared" ca="1" si="22"/>
        <v>-</v>
      </c>
      <c r="I215" s="516">
        <f t="shared" ca="1" si="22"/>
        <v>0</v>
      </c>
      <c r="J215" s="518">
        <f ca="1">IF(INDEX($L$10:$L$13,MATCH($B215,$B$10:$B$13,0)),zar.2010,1)*SUMIF(NameConv!$C$4:$C$44,RIGHT(C215,3),OFFSET(INDIRECT(B215),0,AT215-1,NameConv!$A$45,1))</f>
        <v>1.3094103081137337E-4</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495">
        <f ca="1">IF(AT214&lt;&gt;AT215,1,IF(AS214=OFFSET(NameConv!$F$45,0,AT214),AR214+1,AR214))</f>
        <v>2</v>
      </c>
      <c r="AS215" s="495">
        <f t="shared" ca="1" si="19"/>
        <v>18</v>
      </c>
      <c r="AT215" s="526">
        <f ca="1">IF(AND(AR214=$AR$7,AS214=SUMIF(NameConv!$G$4:$M$4,MID(C214,2,3),NameConv!$G$45:$M$45)),AT214+1,AT214)</f>
        <v>6</v>
      </c>
    </row>
    <row r="216" spans="1:46">
      <c r="A216" s="883" t="str">
        <f ca="1">IF(INDEX(Demand.Sectors,MATCH(MID(C216,2,3),NameConv!$G$4:$M$4,0)),"","*")</f>
        <v/>
      </c>
      <c r="B216" s="518" t="str">
        <f t="shared" ca="1" si="21"/>
        <v>NCAP_COST</v>
      </c>
      <c r="C216" s="518" t="str">
        <f ca="1">"X"&amp;OFFSET(NameConv!$F$4,0,AT216)&amp;OFFSET(NameConv!$F$59,AS216,AT216)</f>
        <v>XPWRWND</v>
      </c>
      <c r="D216" s="518" t="str">
        <f t="shared" ca="1" si="22"/>
        <v>-</v>
      </c>
      <c r="E216" s="518" t="str">
        <f t="shared" ca="1" si="22"/>
        <v>-</v>
      </c>
      <c r="F216" s="518" t="str">
        <f t="shared" ca="1" si="22"/>
        <v>-</v>
      </c>
      <c r="G216" s="518" t="str">
        <f t="shared" ca="1" si="22"/>
        <v>-</v>
      </c>
      <c r="H216" s="518" t="str">
        <f t="shared" ca="1" si="22"/>
        <v>-</v>
      </c>
      <c r="I216" s="516">
        <f t="shared" ca="1" si="22"/>
        <v>0</v>
      </c>
      <c r="J216" s="518">
        <f ca="1">IF(INDEX($L$10:$L$13,MATCH($B216,$B$10:$B$13,0)),zar.2010,1)*SUMIF(NameConv!$C$4:$C$44,RIGHT(C216,3),OFFSET(INDIRECT(B216),0,AT216-1,NameConv!$A$45,1))</f>
        <v>1.3094103081137337E-4</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495">
        <f ca="1">IF(AT215&lt;&gt;AT216,1,IF(AS215=OFFSET(NameConv!$F$45,0,AT215),AR215+1,AR215))</f>
        <v>2</v>
      </c>
      <c r="AS216" s="495">
        <f t="shared" ca="1" si="19"/>
        <v>19</v>
      </c>
      <c r="AT216" s="526">
        <f ca="1">IF(AND(AR215=$AR$7,AS215=SUMIF(NameConv!$G$4:$M$4,MID(C215,2,3),NameConv!$G$45:$M$45)),AT215+1,AT215)</f>
        <v>6</v>
      </c>
    </row>
    <row r="217" spans="1:46">
      <c r="A217" s="883" t="str">
        <f ca="1">IF(INDEX(Demand.Sectors,MATCH(MID(C217,2,3),NameConv!$G$4:$M$4,0)),"","*")</f>
        <v/>
      </c>
      <c r="B217" s="518" t="str">
        <f t="shared" ca="1" si="21"/>
        <v>NCAP_TLIFE</v>
      </c>
      <c r="C217" s="518" t="str">
        <f ca="1">"X"&amp;OFFSET(NameConv!$F$4,0,AT217)&amp;OFFSET(NameConv!$F$59,AS217,AT217)</f>
        <v>XPWRBIG</v>
      </c>
      <c r="D217" s="518" t="str">
        <f t="shared" ca="1" si="22"/>
        <v>-</v>
      </c>
      <c r="E217" s="518" t="str">
        <f t="shared" ca="1" si="22"/>
        <v>-</v>
      </c>
      <c r="F217" s="518" t="str">
        <f t="shared" ca="1" si="22"/>
        <v>-</v>
      </c>
      <c r="G217" s="518" t="str">
        <f t="shared" ca="1" si="22"/>
        <v>-</v>
      </c>
      <c r="H217" s="518" t="str">
        <f t="shared" ca="1" si="22"/>
        <v>-</v>
      </c>
      <c r="I217" s="516">
        <f t="shared" ca="1" si="22"/>
        <v>0</v>
      </c>
      <c r="J217" s="518">
        <f ca="1">IF(INDEX($L$10:$L$13,MATCH($B217,$B$10:$B$13,0)),zar.2010,1)*SUMIF(NameConv!$C$4:$C$44,RIGHT(C217,3),OFFSET(INDIRECT(B217),0,AT217-1,NameConv!$A$45,1))</f>
        <v>60</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495">
        <f ca="1">IF(AT216&lt;&gt;AT217,1,IF(AS216=OFFSET(NameConv!$F$45,0,AT216),AR216+1,AR216))</f>
        <v>3</v>
      </c>
      <c r="AS217" s="495">
        <f t="shared" ca="1" si="19"/>
        <v>1</v>
      </c>
      <c r="AT217" s="526">
        <f ca="1">IF(AND(AR216=$AR$7,AS216=SUMIF(NameConv!$G$4:$M$4,MID(C216,2,3),NameConv!$G$45:$M$45)),AT216+1,AT216)</f>
        <v>6</v>
      </c>
    </row>
    <row r="218" spans="1:46">
      <c r="A218" s="883" t="str">
        <f ca="1">IF(INDEX(Demand.Sectors,MATCH(MID(C218,2,3),NameConv!$G$4:$M$4,0)),"","*")</f>
        <v/>
      </c>
      <c r="B218" s="518" t="str">
        <f t="shared" ca="1" si="21"/>
        <v>NCAP_TLIFE</v>
      </c>
      <c r="C218" s="518" t="str">
        <f ca="1">"X"&amp;OFFSET(NameConv!$F$4,0,AT218)&amp;OFFSET(NameConv!$F$59,AS218,AT218)</f>
        <v>XPWRBIB</v>
      </c>
      <c r="D218" s="518" t="str">
        <f t="shared" ca="1" si="22"/>
        <v>-</v>
      </c>
      <c r="E218" s="518" t="str">
        <f t="shared" ca="1" si="22"/>
        <v>-</v>
      </c>
      <c r="F218" s="518" t="str">
        <f t="shared" ca="1" si="22"/>
        <v>-</v>
      </c>
      <c r="G218" s="518" t="str">
        <f t="shared" ca="1" si="22"/>
        <v>-</v>
      </c>
      <c r="H218" s="518" t="str">
        <f t="shared" ca="1" si="22"/>
        <v>-</v>
      </c>
      <c r="I218" s="516">
        <f t="shared" ca="1" si="22"/>
        <v>0</v>
      </c>
      <c r="J218" s="518">
        <f ca="1">IF(INDEX($L$10:$L$13,MATCH($B218,$B$10:$B$13,0)),zar.2010,1)*SUMIF(NameConv!$C$4:$C$44,RIGHT(C218,3),OFFSET(INDIRECT(B218),0,AT218-1,NameConv!$A$45,1))</f>
        <v>60</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495">
        <f ca="1">IF(AT217&lt;&gt;AT218,1,IF(AS217=OFFSET(NameConv!$F$45,0,AT217),AR217+1,AR217))</f>
        <v>3</v>
      </c>
      <c r="AS218" s="495">
        <f t="shared" ca="1" si="19"/>
        <v>2</v>
      </c>
      <c r="AT218" s="526">
        <f ca="1">IF(AND(AR217=$AR$7,AS217=SUMIF(NameConv!$G$4:$M$4,MID(C217,2,3),NameConv!$G$45:$M$45)),AT217+1,AT217)</f>
        <v>6</v>
      </c>
    </row>
    <row r="219" spans="1:46">
      <c r="A219" s="883" t="str">
        <f ca="1">IF(INDEX(Demand.Sectors,MATCH(MID(C219,2,3),NameConv!$G$4:$M$4,0)),"","*")</f>
        <v/>
      </c>
      <c r="B219" s="518" t="str">
        <f t="shared" ca="1" si="21"/>
        <v>NCAP_TLIFE</v>
      </c>
      <c r="C219" s="518" t="str">
        <f ca="1">"X"&amp;OFFSET(NameConv!$F$4,0,AT219)&amp;OFFSET(NameConv!$F$59,AS219,AT219)</f>
        <v>XPWRBIO</v>
      </c>
      <c r="D219" s="518" t="str">
        <f t="shared" ca="1" si="22"/>
        <v>-</v>
      </c>
      <c r="E219" s="518" t="str">
        <f t="shared" ca="1" si="22"/>
        <v>-</v>
      </c>
      <c r="F219" s="518" t="str">
        <f t="shared" ca="1" si="22"/>
        <v>-</v>
      </c>
      <c r="G219" s="518" t="str">
        <f t="shared" ca="1" si="22"/>
        <v>-</v>
      </c>
      <c r="H219" s="518" t="str">
        <f t="shared" ca="1" si="22"/>
        <v>-</v>
      </c>
      <c r="I219" s="516">
        <f t="shared" ca="1" si="22"/>
        <v>0</v>
      </c>
      <c r="J219" s="518">
        <f ca="1">IF(INDEX($L$10:$L$13,MATCH($B219,$B$10:$B$13,0)),zar.2010,1)*SUMIF(NameConv!$C$4:$C$44,RIGHT(C219,3),OFFSET(INDIRECT(B219),0,AT219-1,NameConv!$A$45,1))</f>
        <v>60</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495">
        <f ca="1">IF(AT218&lt;&gt;AT219,1,IF(AS218=OFFSET(NameConv!$F$45,0,AT218),AR218+1,AR218))</f>
        <v>3</v>
      </c>
      <c r="AS219" s="495">
        <f t="shared" ca="1" si="19"/>
        <v>3</v>
      </c>
      <c r="AT219" s="526">
        <f ca="1">IF(AND(AR218=$AR$7,AS218=SUMIF(NameConv!$G$4:$M$4,MID(C218,2,3),NameConv!$G$45:$M$45)),AT218+1,AT218)</f>
        <v>6</v>
      </c>
    </row>
    <row r="220" spans="1:46">
      <c r="A220" s="883" t="str">
        <f ca="1">IF(INDEX(Demand.Sectors,MATCH(MID(C220,2,3),NameConv!$G$4:$M$4,0)),"","*")</f>
        <v/>
      </c>
      <c r="B220" s="518" t="str">
        <f t="shared" ca="1" si="21"/>
        <v>NCAP_TLIFE</v>
      </c>
      <c r="C220" s="518" t="str">
        <f ca="1">"X"&amp;OFFSET(NameConv!$F$4,0,AT220)&amp;OFFSET(NameConv!$F$59,AS220,AT220)</f>
        <v>XPWRBIW</v>
      </c>
      <c r="D220" s="518" t="str">
        <f t="shared" ca="1" si="22"/>
        <v>-</v>
      </c>
      <c r="E220" s="518" t="str">
        <f t="shared" ca="1" si="22"/>
        <v>-</v>
      </c>
      <c r="F220" s="518" t="str">
        <f t="shared" ca="1" si="22"/>
        <v>-</v>
      </c>
      <c r="G220" s="518" t="str">
        <f t="shared" ca="1" si="22"/>
        <v>-</v>
      </c>
      <c r="H220" s="518" t="str">
        <f t="shared" ca="1" si="22"/>
        <v>-</v>
      </c>
      <c r="I220" s="516">
        <f t="shared" ca="1" si="22"/>
        <v>0</v>
      </c>
      <c r="J220" s="518">
        <f ca="1">IF(INDEX($L$10:$L$13,MATCH($B220,$B$10:$B$13,0)),zar.2010,1)*SUMIF(NameConv!$C$4:$C$44,RIGHT(C220,3),OFFSET(INDIRECT(B220),0,AT220-1,NameConv!$A$45,1))</f>
        <v>60</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495">
        <f ca="1">IF(AT219&lt;&gt;AT220,1,IF(AS219=OFFSET(NameConv!$F$45,0,AT219),AR219+1,AR219))</f>
        <v>3</v>
      </c>
      <c r="AS220" s="495">
        <f t="shared" ca="1" si="19"/>
        <v>4</v>
      </c>
      <c r="AT220" s="526">
        <f ca="1">IF(AND(AR219=$AR$7,AS219=SUMIF(NameConv!$G$4:$M$4,MID(C219,2,3),NameConv!$G$45:$M$45)),AT219+1,AT219)</f>
        <v>6</v>
      </c>
    </row>
    <row r="221" spans="1:46">
      <c r="A221" s="883" t="str">
        <f ca="1">IF(INDEX(Demand.Sectors,MATCH(MID(C221,2,3),NameConv!$G$4:$M$4,0)),"","*")</f>
        <v/>
      </c>
      <c r="B221" s="518" t="str">
        <f t="shared" ca="1" si="21"/>
        <v>NCAP_TLIFE</v>
      </c>
      <c r="C221" s="518" t="str">
        <f ca="1">"X"&amp;OFFSET(NameConv!$F$4,0,AT221)&amp;OFFSET(NameConv!$F$59,AS221,AT221)</f>
        <v>XPWRCLD</v>
      </c>
      <c r="D221" s="518" t="str">
        <f t="shared" ca="1" si="22"/>
        <v>-</v>
      </c>
      <c r="E221" s="518" t="str">
        <f t="shared" ca="1" si="22"/>
        <v>-</v>
      </c>
      <c r="F221" s="518" t="str">
        <f t="shared" ca="1" si="22"/>
        <v>-</v>
      </c>
      <c r="G221" s="518" t="str">
        <f t="shared" ca="1" si="22"/>
        <v>-</v>
      </c>
      <c r="H221" s="518" t="str">
        <f t="shared" ca="1" si="22"/>
        <v>-</v>
      </c>
      <c r="I221" s="516">
        <f t="shared" ca="1" si="22"/>
        <v>0</v>
      </c>
      <c r="J221" s="518">
        <f ca="1">IF(INDEX($L$10:$L$13,MATCH($B221,$B$10:$B$13,0)),zar.2010,1)*SUMIF(NameConv!$C$4:$C$44,RIGHT(C221,3),OFFSET(INDIRECT(B221),0,AT221-1,NameConv!$A$45,1))</f>
        <v>60</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495">
        <f ca="1">IF(AT220&lt;&gt;AT221,1,IF(AS220=OFFSET(NameConv!$F$45,0,AT220),AR220+1,AR220))</f>
        <v>3</v>
      </c>
      <c r="AS221" s="495">
        <f t="shared" ca="1" si="19"/>
        <v>5</v>
      </c>
      <c r="AT221" s="526">
        <f ca="1">IF(AND(AR220=$AR$7,AS220=SUMIF(NameConv!$G$4:$M$4,MID(C220,2,3),NameConv!$G$45:$M$45)),AT220+1,AT220)</f>
        <v>6</v>
      </c>
    </row>
    <row r="222" spans="1:46">
      <c r="A222" s="883" t="str">
        <f ca="1">IF(INDEX(Demand.Sectors,MATCH(MID(C222,2,3),NameConv!$G$4:$M$4,0)),"","*")</f>
        <v/>
      </c>
      <c r="B222" s="518" t="str">
        <f t="shared" ca="1" si="21"/>
        <v>NCAP_TLIFE</v>
      </c>
      <c r="C222" s="518" t="str">
        <f ca="1">"X"&amp;OFFSET(NameConv!$F$4,0,AT222)&amp;OFFSET(NameConv!$F$59,AS222,AT222)</f>
        <v>XPWRCLE</v>
      </c>
      <c r="D222" s="518" t="str">
        <f t="shared" ca="1" si="22"/>
        <v>-</v>
      </c>
      <c r="E222" s="518" t="str">
        <f t="shared" ca="1" si="22"/>
        <v>-</v>
      </c>
      <c r="F222" s="518" t="str">
        <f t="shared" ca="1" si="22"/>
        <v>-</v>
      </c>
      <c r="G222" s="518" t="str">
        <f t="shared" ca="1" si="22"/>
        <v>-</v>
      </c>
      <c r="H222" s="518" t="str">
        <f t="shared" ca="1" si="22"/>
        <v>-</v>
      </c>
      <c r="I222" s="516">
        <f t="shared" ca="1" si="22"/>
        <v>0</v>
      </c>
      <c r="J222" s="518">
        <f ca="1">IF(INDEX($L$10:$L$13,MATCH($B222,$B$10:$B$13,0)),zar.2010,1)*SUMIF(NameConv!$C$4:$C$44,RIGHT(C222,3),OFFSET(INDIRECT(B222),0,AT222-1,NameConv!$A$45,1))</f>
        <v>60</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495">
        <f ca="1">IF(AT221&lt;&gt;AT222,1,IF(AS221=OFFSET(NameConv!$F$45,0,AT221),AR221+1,AR221))</f>
        <v>3</v>
      </c>
      <c r="AS222" s="495">
        <f t="shared" ca="1" si="19"/>
        <v>6</v>
      </c>
      <c r="AT222" s="526">
        <f ca="1">IF(AND(AR221=$AR$7,AS221=SUMIF(NameConv!$G$4:$M$4,MID(C221,2,3),NameConv!$G$45:$M$45)),AT221+1,AT221)</f>
        <v>6</v>
      </c>
    </row>
    <row r="223" spans="1:46">
      <c r="A223" s="883" t="str">
        <f ca="1">IF(INDEX(Demand.Sectors,MATCH(MID(C223,2,3),NameConv!$G$4:$M$4,0)),"","*")</f>
        <v/>
      </c>
      <c r="B223" s="518" t="str">
        <f t="shared" ca="1" si="21"/>
        <v>NCAP_TLIFE</v>
      </c>
      <c r="C223" s="518" t="str">
        <f ca="1">"X"&amp;OFFSET(NameConv!$F$4,0,AT223)&amp;OFFSET(NameConv!$F$59,AS223,AT223)</f>
        <v>XPWRCRB</v>
      </c>
      <c r="D223" s="518" t="str">
        <f t="shared" ca="1" si="22"/>
        <v>-</v>
      </c>
      <c r="E223" s="518" t="str">
        <f t="shared" ca="1" si="22"/>
        <v>-</v>
      </c>
      <c r="F223" s="518" t="str">
        <f t="shared" ca="1" si="22"/>
        <v>-</v>
      </c>
      <c r="G223" s="518" t="str">
        <f t="shared" ca="1" si="22"/>
        <v>-</v>
      </c>
      <c r="H223" s="518" t="str">
        <f t="shared" ca="1" si="22"/>
        <v>-</v>
      </c>
      <c r="I223" s="516">
        <f t="shared" ca="1" si="22"/>
        <v>0</v>
      </c>
      <c r="J223" s="518">
        <f ca="1">IF(INDEX($L$10:$L$13,MATCH($B223,$B$10:$B$13,0)),zar.2010,1)*SUMIF(NameConv!$C$4:$C$44,RIGHT(C223,3),OFFSET(INDIRECT(B223),0,AT223-1,NameConv!$A$45,1))</f>
        <v>60</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495">
        <f ca="1">IF(AT222&lt;&gt;AT223,1,IF(AS222=OFFSET(NameConv!$F$45,0,AT222),AR222+1,AR222))</f>
        <v>3</v>
      </c>
      <c r="AS223" s="495">
        <f t="shared" ca="1" si="19"/>
        <v>7</v>
      </c>
      <c r="AT223" s="526">
        <f ca="1">IF(AND(AR222=$AR$7,AS222=SUMIF(NameConv!$G$4:$M$4,MID(C222,2,3),NameConv!$G$45:$M$45)),AT222+1,AT222)</f>
        <v>6</v>
      </c>
    </row>
    <row r="224" spans="1:46">
      <c r="A224" s="883" t="str">
        <f ca="1">IF(INDEX(Demand.Sectors,MATCH(MID(C224,2,3),NameConv!$G$4:$M$4,0)),"","*")</f>
        <v/>
      </c>
      <c r="B224" s="518" t="str">
        <f t="shared" ca="1" si="21"/>
        <v>NCAP_TLIFE</v>
      </c>
      <c r="C224" s="518" t="str">
        <f ca="1">"X"&amp;OFFSET(NameConv!$F$4,0,AT224)&amp;OFFSET(NameConv!$F$59,AS224,AT224)</f>
        <v>XPWRGAS</v>
      </c>
      <c r="D224" s="518" t="str">
        <f t="shared" ca="1" si="22"/>
        <v>-</v>
      </c>
      <c r="E224" s="518" t="str">
        <f t="shared" ca="1" si="22"/>
        <v>-</v>
      </c>
      <c r="F224" s="518" t="str">
        <f t="shared" ca="1" si="22"/>
        <v>-</v>
      </c>
      <c r="G224" s="518" t="str">
        <f t="shared" ca="1" si="22"/>
        <v>-</v>
      </c>
      <c r="H224" s="518" t="str">
        <f t="shared" ca="1" si="22"/>
        <v>-</v>
      </c>
      <c r="I224" s="516">
        <f t="shared" ca="1" si="22"/>
        <v>0</v>
      </c>
      <c r="J224" s="518">
        <f ca="1">IF(INDEX($L$10:$L$13,MATCH($B224,$B$10:$B$13,0)),zar.2010,1)*SUMIF(NameConv!$C$4:$C$44,RIGHT(C224,3),OFFSET(INDIRECT(B224),0,AT224-1,NameConv!$A$45,1))</f>
        <v>80</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495">
        <f ca="1">IF(AT223&lt;&gt;AT224,1,IF(AS223=OFFSET(NameConv!$F$45,0,AT223),AR223+1,AR223))</f>
        <v>3</v>
      </c>
      <c r="AS224" s="495">
        <f t="shared" ca="1" si="19"/>
        <v>8</v>
      </c>
      <c r="AT224" s="526">
        <f ca="1">IF(AND(AR223=$AR$7,AS223=SUMIF(NameConv!$G$4:$M$4,MID(C223,2,3),NameConv!$G$45:$M$45)),AT223+1,AT223)</f>
        <v>6</v>
      </c>
    </row>
    <row r="225" spans="1:46">
      <c r="A225" s="883" t="str">
        <f ca="1">IF(INDEX(Demand.Sectors,MATCH(MID(C225,2,3),NameConv!$G$4:$M$4,0)),"","*")</f>
        <v/>
      </c>
      <c r="B225" s="518" t="str">
        <f t="shared" ca="1" si="21"/>
        <v>NCAP_TLIFE</v>
      </c>
      <c r="C225" s="518" t="str">
        <f ca="1">"X"&amp;OFFSET(NameConv!$F$4,0,AT225)&amp;OFFSET(NameConv!$F$59,AS225,AT225)</f>
        <v>XPWRGRS</v>
      </c>
      <c r="D225" s="518" t="str">
        <f t="shared" ca="1" si="22"/>
        <v>-</v>
      </c>
      <c r="E225" s="518" t="str">
        <f t="shared" ca="1" si="22"/>
        <v>-</v>
      </c>
      <c r="F225" s="518" t="str">
        <f t="shared" ca="1" si="22"/>
        <v>-</v>
      </c>
      <c r="G225" s="518" t="str">
        <f t="shared" ca="1" si="22"/>
        <v>-</v>
      </c>
      <c r="H225" s="518" t="str">
        <f t="shared" ca="1" si="22"/>
        <v>-</v>
      </c>
      <c r="I225" s="516">
        <f t="shared" ca="1" si="22"/>
        <v>0</v>
      </c>
      <c r="J225" s="518">
        <f ca="1">IF(INDEX($L$10:$L$13,MATCH($B225,$B$10:$B$13,0)),zar.2010,1)*SUMIF(NameConv!$C$4:$C$44,RIGHT(C225,3),OFFSET(INDIRECT(B225),0,AT225-1,NameConv!$A$45,1))</f>
        <v>60</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495">
        <f ca="1">IF(AT224&lt;&gt;AT225,1,IF(AS224=OFFSET(NameConv!$F$45,0,AT224),AR224+1,AR224))</f>
        <v>3</v>
      </c>
      <c r="AS225" s="495">
        <f t="shared" ca="1" si="19"/>
        <v>9</v>
      </c>
      <c r="AT225" s="526">
        <f ca="1">IF(AND(AR224=$AR$7,AS224=SUMIF(NameConv!$G$4:$M$4,MID(C224,2,3),NameConv!$G$45:$M$45)),AT224+1,AT224)</f>
        <v>6</v>
      </c>
    </row>
    <row r="226" spans="1:46">
      <c r="A226" s="883" t="str">
        <f ca="1">IF(INDEX(Demand.Sectors,MATCH(MID(C226,2,3),NameConv!$G$4:$M$4,0)),"","*")</f>
        <v/>
      </c>
      <c r="B226" s="518" t="str">
        <f t="shared" ca="1" si="21"/>
        <v>NCAP_TLIFE</v>
      </c>
      <c r="C226" s="518" t="str">
        <f ca="1">"X"&amp;OFFSET(NameConv!$F$4,0,AT226)&amp;OFFSET(NameConv!$F$59,AS226,AT226)</f>
        <v>XPWRGRN</v>
      </c>
      <c r="D226" s="518" t="str">
        <f t="shared" ca="1" si="22"/>
        <v>-</v>
      </c>
      <c r="E226" s="518" t="str">
        <f t="shared" ca="1" si="22"/>
        <v>-</v>
      </c>
      <c r="F226" s="518" t="str">
        <f t="shared" ca="1" si="22"/>
        <v>-</v>
      </c>
      <c r="G226" s="518" t="str">
        <f t="shared" ca="1" si="22"/>
        <v>-</v>
      </c>
      <c r="H226" s="518" t="str">
        <f t="shared" ca="1" si="22"/>
        <v>-</v>
      </c>
      <c r="I226" s="516">
        <f t="shared" ca="1" si="22"/>
        <v>0</v>
      </c>
      <c r="J226" s="518">
        <f ca="1">IF(INDEX($L$10:$L$13,MATCH($B226,$B$10:$B$13,0)),zar.2010,1)*SUMIF(NameConv!$C$4:$C$44,RIGHT(C226,3),OFFSET(INDIRECT(B226),0,AT226-1,NameConv!$A$45,1))</f>
        <v>60</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495">
        <f ca="1">IF(AT225&lt;&gt;AT226,1,IF(AS225=OFFSET(NameConv!$F$45,0,AT225),AR225+1,AR225))</f>
        <v>3</v>
      </c>
      <c r="AS226" s="495">
        <f t="shared" ca="1" si="19"/>
        <v>10</v>
      </c>
      <c r="AT226" s="526">
        <f ca="1">IF(AND(AR225=$AR$7,AS225=SUMIF(NameConv!$G$4:$M$4,MID(C225,2,3),NameConv!$G$45:$M$45)),AT225+1,AT225)</f>
        <v>6</v>
      </c>
    </row>
    <row r="227" spans="1:46">
      <c r="A227" s="883" t="str">
        <f ca="1">IF(INDEX(Demand.Sectors,MATCH(MID(C227,2,3),NameConv!$G$4:$M$4,0)),"","*")</f>
        <v/>
      </c>
      <c r="B227" s="518" t="str">
        <f t="shared" ca="1" si="21"/>
        <v>NCAP_TLIFE</v>
      </c>
      <c r="C227" s="518" t="str">
        <f ca="1">"X"&amp;OFFSET(NameConv!$F$4,0,AT227)&amp;OFFSET(NameConv!$F$59,AS227,AT227)</f>
        <v>XPWRGRM</v>
      </c>
      <c r="D227" s="518" t="str">
        <f t="shared" ca="1" si="22"/>
        <v>-</v>
      </c>
      <c r="E227" s="518" t="str">
        <f t="shared" ca="1" si="22"/>
        <v>-</v>
      </c>
      <c r="F227" s="518" t="str">
        <f t="shared" ca="1" si="22"/>
        <v>-</v>
      </c>
      <c r="G227" s="518" t="str">
        <f t="shared" ca="1" si="22"/>
        <v>-</v>
      </c>
      <c r="H227" s="518" t="str">
        <f t="shared" ca="1" si="22"/>
        <v>-</v>
      </c>
      <c r="I227" s="516">
        <f t="shared" ca="1" si="22"/>
        <v>0</v>
      </c>
      <c r="J227" s="518">
        <f ca="1">IF(INDEX($L$10:$L$13,MATCH($B227,$B$10:$B$13,0)),zar.2010,1)*SUMIF(NameConv!$C$4:$C$44,RIGHT(C227,3),OFFSET(INDIRECT(B227),0,AT227-1,NameConv!$A$45,1))</f>
        <v>60</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495">
        <f ca="1">IF(AT226&lt;&gt;AT227,1,IF(AS226=OFFSET(NameConv!$F$45,0,AT226),AR226+1,AR226))</f>
        <v>3</v>
      </c>
      <c r="AS227" s="495">
        <f t="shared" ca="1" si="19"/>
        <v>11</v>
      </c>
      <c r="AT227" s="526">
        <f ca="1">IF(AND(AR226=$AR$7,AS226=SUMIF(NameConv!$G$4:$M$4,MID(C226,2,3),NameConv!$G$45:$M$45)),AT226+1,AT226)</f>
        <v>6</v>
      </c>
    </row>
    <row r="228" spans="1:46">
      <c r="A228" s="883" t="str">
        <f ca="1">IF(INDEX(Demand.Sectors,MATCH(MID(C228,2,3),NameConv!$G$4:$M$4,0)),"","*")</f>
        <v/>
      </c>
      <c r="B228" s="518" t="str">
        <f t="shared" ca="1" si="21"/>
        <v>NCAP_TLIFE</v>
      </c>
      <c r="C228" s="518" t="str">
        <f ca="1">"X"&amp;OFFSET(NameConv!$F$4,0,AT228)&amp;OFFSET(NameConv!$F$59,AS228,AT228)</f>
        <v>XPWRGIH</v>
      </c>
      <c r="D228" s="518" t="str">
        <f t="shared" ca="1" si="22"/>
        <v>-</v>
      </c>
      <c r="E228" s="518" t="str">
        <f t="shared" ca="1" si="22"/>
        <v>-</v>
      </c>
      <c r="F228" s="518" t="str">
        <f t="shared" ca="1" si="22"/>
        <v>-</v>
      </c>
      <c r="G228" s="518" t="str">
        <f t="shared" ca="1" si="22"/>
        <v>-</v>
      </c>
      <c r="H228" s="518" t="str">
        <f t="shared" ca="1" si="22"/>
        <v>-</v>
      </c>
      <c r="I228" s="516">
        <f t="shared" ca="1" si="22"/>
        <v>0</v>
      </c>
      <c r="J228" s="518">
        <f ca="1">IF(INDEX($L$10:$L$13,MATCH($B228,$B$10:$B$13,0)),zar.2010,1)*SUMIF(NameConv!$C$4:$C$44,RIGHT(C228,3),OFFSET(INDIRECT(B228),0,AT228-1,NameConv!$A$45,1))</f>
        <v>60</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495">
        <f ca="1">IF(AT227&lt;&gt;AT228,1,IF(AS227=OFFSET(NameConv!$F$45,0,AT227),AR227+1,AR227))</f>
        <v>3</v>
      </c>
      <c r="AS228" s="495">
        <f t="shared" ca="1" si="19"/>
        <v>12</v>
      </c>
      <c r="AT228" s="526">
        <f ca="1">IF(AND(AR227=$AR$7,AS227=SUMIF(NameConv!$G$4:$M$4,MID(C227,2,3),NameConv!$G$45:$M$45)),AT227+1,AT227)</f>
        <v>6</v>
      </c>
    </row>
    <row r="229" spans="1:46">
      <c r="A229" s="883" t="str">
        <f ca="1">IF(INDEX(Demand.Sectors,MATCH(MID(C229,2,3),NameConv!$G$4:$M$4,0)),"","*")</f>
        <v/>
      </c>
      <c r="B229" s="518" t="str">
        <f t="shared" ca="1" si="21"/>
        <v>NCAP_TLIFE</v>
      </c>
      <c r="C229" s="518" t="str">
        <f ca="1">"X"&amp;OFFSET(NameConv!$F$4,0,AT229)&amp;OFFSET(NameConv!$F$59,AS229,AT229)</f>
        <v>XPWRGIC</v>
      </c>
      <c r="D229" s="518" t="str">
        <f t="shared" ca="1" si="22"/>
        <v>-</v>
      </c>
      <c r="E229" s="518" t="str">
        <f t="shared" ca="1" si="22"/>
        <v>-</v>
      </c>
      <c r="F229" s="518" t="str">
        <f t="shared" ca="1" si="22"/>
        <v>-</v>
      </c>
      <c r="G229" s="518" t="str">
        <f t="shared" ca="1" si="22"/>
        <v>-</v>
      </c>
      <c r="H229" s="518" t="str">
        <f t="shared" ca="1" si="22"/>
        <v>-</v>
      </c>
      <c r="I229" s="516">
        <f t="shared" ca="1" si="22"/>
        <v>0</v>
      </c>
      <c r="J229" s="518">
        <f ca="1">IF(INDEX($L$10:$L$13,MATCH($B229,$B$10:$B$13,0)),zar.2010,1)*SUMIF(NameConv!$C$4:$C$44,RIGHT(C229,3),OFFSET(INDIRECT(B229),0,AT229-1,NameConv!$A$45,1))</f>
        <v>60</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495">
        <f ca="1">IF(AT228&lt;&gt;AT229,1,IF(AS228=OFFSET(NameConv!$F$45,0,AT228),AR228+1,AR228))</f>
        <v>3</v>
      </c>
      <c r="AS229" s="495">
        <f t="shared" ca="1" si="19"/>
        <v>13</v>
      </c>
      <c r="AT229" s="526">
        <f ca="1">IF(AND(AR228=$AR$7,AS228=SUMIF(NameConv!$G$4:$M$4,MID(C228,2,3),NameConv!$G$45:$M$45)),AT228+1,AT228)</f>
        <v>6</v>
      </c>
    </row>
    <row r="230" spans="1:46">
      <c r="A230" s="883" t="str">
        <f ca="1">IF(INDEX(Demand.Sectors,MATCH(MID(C230,2,3),NameConv!$G$4:$M$4,0)),"","*")</f>
        <v/>
      </c>
      <c r="B230" s="518" t="str">
        <f t="shared" ca="1" si="21"/>
        <v>NCAP_TLIFE</v>
      </c>
      <c r="C230" s="518" t="str">
        <f ca="1">"X"&amp;OFFSET(NameConv!$F$4,0,AT230)&amp;OFFSET(NameConv!$F$59,AS230,AT230)</f>
        <v>XPWRHYD</v>
      </c>
      <c r="D230" s="518" t="str">
        <f t="shared" ca="1" si="22"/>
        <v>-</v>
      </c>
      <c r="E230" s="518" t="str">
        <f t="shared" ca="1" si="22"/>
        <v>-</v>
      </c>
      <c r="F230" s="518" t="str">
        <f t="shared" ca="1" si="22"/>
        <v>-</v>
      </c>
      <c r="G230" s="518" t="str">
        <f t="shared" ca="1" si="22"/>
        <v>-</v>
      </c>
      <c r="H230" s="518" t="str">
        <f t="shared" ca="1" si="22"/>
        <v>-</v>
      </c>
      <c r="I230" s="516">
        <f t="shared" ca="1" si="22"/>
        <v>0</v>
      </c>
      <c r="J230" s="518">
        <f ca="1">IF(INDEX($L$10:$L$13,MATCH($B230,$B$10:$B$13,0)),zar.2010,1)*SUMIF(NameConv!$C$4:$C$44,RIGHT(C230,3),OFFSET(INDIRECT(B230),0,AT230-1,NameConv!$A$45,1))</f>
        <v>60</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495">
        <f ca="1">IF(AT229&lt;&gt;AT230,1,IF(AS229=OFFSET(NameConv!$F$45,0,AT229),AR229+1,AR229))</f>
        <v>3</v>
      </c>
      <c r="AS230" s="495">
        <f t="shared" ca="1" si="19"/>
        <v>14</v>
      </c>
      <c r="AT230" s="526">
        <f ca="1">IF(AND(AR229=$AR$7,AS229=SUMIF(NameConv!$G$4:$M$4,MID(C229,2,3),NameConv!$G$45:$M$45)),AT229+1,AT229)</f>
        <v>6</v>
      </c>
    </row>
    <row r="231" spans="1:46">
      <c r="A231" s="883" t="str">
        <f ca="1">IF(INDEX(Demand.Sectors,MATCH(MID(C231,2,3),NameConv!$G$4:$M$4,0)),"","*")</f>
        <v/>
      </c>
      <c r="B231" s="518" t="str">
        <f t="shared" ca="1" si="21"/>
        <v>NCAP_TLIFE</v>
      </c>
      <c r="C231" s="518" t="str">
        <f ca="1">"X"&amp;OFFSET(NameConv!$F$4,0,AT231)&amp;OFFSET(NameConv!$F$59,AS231,AT231)</f>
        <v>XPWRHGN</v>
      </c>
      <c r="D231" s="518" t="str">
        <f t="shared" ca="1" si="22"/>
        <v>-</v>
      </c>
      <c r="E231" s="518" t="str">
        <f t="shared" ca="1" si="22"/>
        <v>-</v>
      </c>
      <c r="F231" s="518" t="str">
        <f t="shared" ca="1" si="22"/>
        <v>-</v>
      </c>
      <c r="G231" s="518" t="str">
        <f t="shared" ca="1" si="22"/>
        <v>-</v>
      </c>
      <c r="H231" s="518" t="str">
        <f t="shared" ca="1" si="22"/>
        <v>-</v>
      </c>
      <c r="I231" s="516">
        <f t="shared" ca="1" si="22"/>
        <v>0</v>
      </c>
      <c r="J231" s="518">
        <f ca="1">IF(INDEX($L$10:$L$13,MATCH($B231,$B$10:$B$13,0)),zar.2010,1)*SUMIF(NameConv!$C$4:$C$44,RIGHT(C231,3),OFFSET(INDIRECT(B231),0,AT231-1,NameConv!$A$45,1))</f>
        <v>60</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495">
        <f ca="1">IF(AT230&lt;&gt;AT231,1,IF(AS230=OFFSET(NameConv!$F$45,0,AT230),AR230+1,AR230))</f>
        <v>3</v>
      </c>
      <c r="AS231" s="495">
        <f t="shared" ca="1" si="19"/>
        <v>15</v>
      </c>
      <c r="AT231" s="526">
        <f ca="1">IF(AND(AR230=$AR$7,AS230=SUMIF(NameConv!$G$4:$M$4,MID(C230,2,3),NameConv!$G$45:$M$45)),AT230+1,AT230)</f>
        <v>6</v>
      </c>
    </row>
    <row r="232" spans="1:46">
      <c r="A232" s="883" t="str">
        <f ca="1">IF(INDEX(Demand.Sectors,MATCH(MID(C232,2,3),NameConv!$G$4:$M$4,0)),"","*")</f>
        <v/>
      </c>
      <c r="B232" s="518" t="str">
        <f t="shared" ca="1" si="21"/>
        <v>NCAP_TLIFE</v>
      </c>
      <c r="C232" s="518" t="str">
        <f ca="1">"X"&amp;OFFSET(NameConv!$F$4,0,AT232)&amp;OFFSET(NameConv!$F$59,AS232,AT232)</f>
        <v>XPWRNUC</v>
      </c>
      <c r="D232" s="518" t="str">
        <f t="shared" ca="1" si="22"/>
        <v>-</v>
      </c>
      <c r="E232" s="518" t="str">
        <f t="shared" ca="1" si="22"/>
        <v>-</v>
      </c>
      <c r="F232" s="518" t="str">
        <f t="shared" ca="1" si="22"/>
        <v>-</v>
      </c>
      <c r="G232" s="518" t="str">
        <f t="shared" ca="1" si="22"/>
        <v>-</v>
      </c>
      <c r="H232" s="518" t="str">
        <f t="shared" ca="1" si="22"/>
        <v>-</v>
      </c>
      <c r="I232" s="516">
        <f t="shared" ca="1" si="22"/>
        <v>0</v>
      </c>
      <c r="J232" s="518">
        <f ca="1">IF(INDEX($L$10:$L$13,MATCH($B232,$B$10:$B$13,0)),zar.2010,1)*SUMIF(NameConv!$C$4:$C$44,RIGHT(C232,3),OFFSET(INDIRECT(B232),0,AT232-1,NameConv!$A$45,1))</f>
        <v>60</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495">
        <f ca="1">IF(AT231&lt;&gt;AT232,1,IF(AS231=OFFSET(NameConv!$F$45,0,AT231),AR231+1,AR231))</f>
        <v>3</v>
      </c>
      <c r="AS232" s="495">
        <f t="shared" ca="1" si="19"/>
        <v>16</v>
      </c>
      <c r="AT232" s="526">
        <f ca="1">IF(AND(AR231=$AR$7,AS231=SUMIF(NameConv!$G$4:$M$4,MID(C231,2,3),NameConv!$G$45:$M$45)),AT231+1,AT231)</f>
        <v>6</v>
      </c>
    </row>
    <row r="233" spans="1:46">
      <c r="A233" s="883" t="str">
        <f ca="1">IF(INDEX(Demand.Sectors,MATCH(MID(C233,2,3),NameConv!$G$4:$M$4,0)),"","*")</f>
        <v/>
      </c>
      <c r="B233" s="518" t="str">
        <f t="shared" ca="1" si="21"/>
        <v>NCAP_TLIFE</v>
      </c>
      <c r="C233" s="518" t="str">
        <f ca="1">"X"&amp;OFFSET(NameConv!$F$4,0,AT233)&amp;OFFSET(NameConv!$F$59,AS233,AT233)</f>
        <v>XPWRODS</v>
      </c>
      <c r="D233" s="518" t="str">
        <f t="shared" ca="1" si="22"/>
        <v>-</v>
      </c>
      <c r="E233" s="518" t="str">
        <f t="shared" ca="1" si="22"/>
        <v>-</v>
      </c>
      <c r="F233" s="518" t="str">
        <f t="shared" ca="1" si="22"/>
        <v>-</v>
      </c>
      <c r="G233" s="518" t="str">
        <f t="shared" ca="1" si="22"/>
        <v>-</v>
      </c>
      <c r="H233" s="518" t="str">
        <f t="shared" ca="1" si="22"/>
        <v>-</v>
      </c>
      <c r="I233" s="516">
        <f t="shared" ca="1" si="22"/>
        <v>0</v>
      </c>
      <c r="J233" s="518">
        <f ca="1">IF(INDEX($L$10:$L$13,MATCH($B233,$B$10:$B$13,0)),zar.2010,1)*SUMIF(NameConv!$C$4:$C$44,RIGHT(C233,3),OFFSET(INDIRECT(B233),0,AT233-1,NameConv!$A$45,1))</f>
        <v>60</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495">
        <f ca="1">IF(AT232&lt;&gt;AT233,1,IF(AS232=OFFSET(NameConv!$F$45,0,AT232),AR232+1,AR232))</f>
        <v>3</v>
      </c>
      <c r="AS233" s="495">
        <f t="shared" ca="1" si="19"/>
        <v>17</v>
      </c>
      <c r="AT233" s="526">
        <f ca="1">IF(AND(AR232=$AR$7,AS232=SUMIF(NameConv!$G$4:$M$4,MID(C232,2,3),NameConv!$G$45:$M$45)),AT232+1,AT232)</f>
        <v>6</v>
      </c>
    </row>
    <row r="234" spans="1:46">
      <c r="A234" s="883" t="str">
        <f ca="1">IF(INDEX(Demand.Sectors,MATCH(MID(C234,2,3),NameConv!$G$4:$M$4,0)),"","*")</f>
        <v/>
      </c>
      <c r="B234" s="518" t="str">
        <f t="shared" ca="1" si="21"/>
        <v>NCAP_TLIFE</v>
      </c>
      <c r="C234" s="518" t="str">
        <f ca="1">"X"&amp;OFFSET(NameConv!$F$4,0,AT234)&amp;OFFSET(NameConv!$F$59,AS234,AT234)</f>
        <v>XPWRSOL</v>
      </c>
      <c r="D234" s="518" t="str">
        <f t="shared" ca="1" si="22"/>
        <v>-</v>
      </c>
      <c r="E234" s="518" t="str">
        <f t="shared" ca="1" si="22"/>
        <v>-</v>
      </c>
      <c r="F234" s="518" t="str">
        <f t="shared" ca="1" si="22"/>
        <v>-</v>
      </c>
      <c r="G234" s="518" t="str">
        <f t="shared" ca="1" si="22"/>
        <v>-</v>
      </c>
      <c r="H234" s="518" t="str">
        <f t="shared" ca="1" si="22"/>
        <v>-</v>
      </c>
      <c r="I234" s="516">
        <f t="shared" ca="1" si="22"/>
        <v>0</v>
      </c>
      <c r="J234" s="518">
        <f ca="1">IF(INDEX($L$10:$L$13,MATCH($B234,$B$10:$B$13,0)),zar.2010,1)*SUMIF(NameConv!$C$4:$C$44,RIGHT(C234,3),OFFSET(INDIRECT(B234),0,AT234-1,NameConv!$A$45,1))</f>
        <v>60</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495">
        <f ca="1">IF(AT233&lt;&gt;AT234,1,IF(AS233=OFFSET(NameConv!$F$45,0,AT233),AR233+1,AR233))</f>
        <v>3</v>
      </c>
      <c r="AS234" s="495">
        <f t="shared" ca="1" si="19"/>
        <v>18</v>
      </c>
      <c r="AT234" s="526">
        <f ca="1">IF(AND(AR233=$AR$7,AS233=SUMIF(NameConv!$G$4:$M$4,MID(C233,2,3),NameConv!$G$45:$M$45)),AT233+1,AT233)</f>
        <v>6</v>
      </c>
    </row>
    <row r="235" spans="1:46">
      <c r="A235" s="883" t="str">
        <f ca="1">IF(INDEX(Demand.Sectors,MATCH(MID(C235,2,3),NameConv!$G$4:$M$4,0)),"","*")</f>
        <v/>
      </c>
      <c r="B235" s="518" t="str">
        <f t="shared" ca="1" si="21"/>
        <v>NCAP_TLIFE</v>
      </c>
      <c r="C235" s="518" t="str">
        <f ca="1">"X"&amp;OFFSET(NameConv!$F$4,0,AT235)&amp;OFFSET(NameConv!$F$59,AS235,AT235)</f>
        <v>XPWRWND</v>
      </c>
      <c r="D235" s="518" t="str">
        <f t="shared" ca="1" si="22"/>
        <v>-</v>
      </c>
      <c r="E235" s="518" t="str">
        <f t="shared" ca="1" si="22"/>
        <v>-</v>
      </c>
      <c r="F235" s="518" t="str">
        <f t="shared" ca="1" si="22"/>
        <v>-</v>
      </c>
      <c r="G235" s="518" t="str">
        <f t="shared" ca="1" si="22"/>
        <v>-</v>
      </c>
      <c r="H235" s="518" t="str">
        <f t="shared" ca="1" si="22"/>
        <v>-</v>
      </c>
      <c r="I235" s="516">
        <f t="shared" ca="1" si="22"/>
        <v>0</v>
      </c>
      <c r="J235" s="518">
        <f ca="1">IF(INDEX($L$10:$L$13,MATCH($B235,$B$10:$B$13,0)),zar.2010,1)*SUMIF(NameConv!$C$4:$C$44,RIGHT(C235,3),OFFSET(INDIRECT(B235),0,AT235-1,NameConv!$A$45,1))</f>
        <v>60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495">
        <f ca="1">IF(AT234&lt;&gt;AT235,1,IF(AS234=OFFSET(NameConv!$F$45,0,AT234),AR234+1,AR234))</f>
        <v>3</v>
      </c>
      <c r="AS235" s="495">
        <f t="shared" ca="1" si="19"/>
        <v>19</v>
      </c>
      <c r="AT235" s="526">
        <f ca="1">IF(AND(AR234=$AR$7,AS234=SUMIF(NameConv!$G$4:$M$4,MID(C234,2,3),NameConv!$G$45:$M$45)),AT234+1,AT234)</f>
        <v>6</v>
      </c>
    </row>
    <row r="236" spans="1:46">
      <c r="A236" s="883" t="str">
        <f ca="1">IF(INDEX(Demand.Sectors,MATCH(MID(C236,2,3),NameConv!$G$4:$M$4,0)),"","*")</f>
        <v/>
      </c>
      <c r="B236" s="518" t="str">
        <f t="shared" ca="1" si="21"/>
        <v>PRC_RESID</v>
      </c>
      <c r="C236" s="518" t="str">
        <f ca="1">"X"&amp;OFFSET(NameConv!$F$4,0,AT236)&amp;OFFSET(NameConv!$F$59,AS236,AT236)</f>
        <v>XPWRBIG</v>
      </c>
      <c r="D236" s="518" t="str">
        <f t="shared" ca="1" si="22"/>
        <v>-</v>
      </c>
      <c r="E236" s="518" t="str">
        <f t="shared" ca="1" si="22"/>
        <v>-</v>
      </c>
      <c r="F236" s="518" t="str">
        <f t="shared" ca="1" si="22"/>
        <v>-</v>
      </c>
      <c r="G236" s="518" t="str">
        <f t="shared" ca="1" si="22"/>
        <v>-</v>
      </c>
      <c r="H236" s="518" t="str">
        <f t="shared" ca="1" si="22"/>
        <v>-</v>
      </c>
      <c r="I236" s="516">
        <f t="shared" ca="1" si="22"/>
        <v>0</v>
      </c>
      <c r="J236" s="518">
        <f ca="1">IF(INDEX($L$10:$L$13,MATCH($B236,$B$10:$B$13,0)),zar.2010,1)*SUMIF(NameConv!$C$4:$C$44,RIGHT(C236,3),OFFSET(INDIRECT(B236),0,AT236-1,NameConv!$A$45,1))</f>
        <v>1.0000000000000001E-5</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495">
        <f ca="1">IF(AT235&lt;&gt;AT236,1,IF(AS235=OFFSET(NameConv!$F$45,0,AT235),AR235+1,AR235))</f>
        <v>4</v>
      </c>
      <c r="AS236" s="495">
        <f t="shared" ca="1" si="19"/>
        <v>1</v>
      </c>
      <c r="AT236" s="526">
        <f ca="1">IF(AND(AR235=$AR$7,AS235=SUMIF(NameConv!$G$4:$M$4,MID(C235,2,3),NameConv!$G$45:$M$45)),AT235+1,AT235)</f>
        <v>6</v>
      </c>
    </row>
    <row r="237" spans="1:46">
      <c r="A237" s="883" t="str">
        <f ca="1">IF(INDEX(Demand.Sectors,MATCH(MID(C237,2,3),NameConv!$G$4:$M$4,0)),"","*")</f>
        <v/>
      </c>
      <c r="B237" s="518" t="str">
        <f t="shared" ca="1" si="21"/>
        <v>PRC_RESID</v>
      </c>
      <c r="C237" s="518" t="str">
        <f ca="1">"X"&amp;OFFSET(NameConv!$F$4,0,AT237)&amp;OFFSET(NameConv!$F$59,AS237,AT237)</f>
        <v>XPWRBIB</v>
      </c>
      <c r="D237" s="518" t="str">
        <f t="shared" ca="1" si="22"/>
        <v>-</v>
      </c>
      <c r="E237" s="518" t="str">
        <f t="shared" ca="1" si="22"/>
        <v>-</v>
      </c>
      <c r="F237" s="518" t="str">
        <f t="shared" ca="1" si="22"/>
        <v>-</v>
      </c>
      <c r="G237" s="518" t="str">
        <f t="shared" ca="1" si="22"/>
        <v>-</v>
      </c>
      <c r="H237" s="518" t="str">
        <f t="shared" ca="1" si="22"/>
        <v>-</v>
      </c>
      <c r="I237" s="516">
        <f t="shared" ca="1" si="22"/>
        <v>0</v>
      </c>
      <c r="J237" s="518">
        <f ca="1">IF(INDEX($L$10:$L$13,MATCH($B237,$B$10:$B$13,0)),zar.2010,1)*SUMIF(NameConv!$C$4:$C$44,RIGHT(C237,3),OFFSET(INDIRECT(B237),0,AT237-1,NameConv!$A$45,1))</f>
        <v>1.0000000000000001E-5</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495">
        <f ca="1">IF(AT236&lt;&gt;AT237,1,IF(AS236=OFFSET(NameConv!$F$45,0,AT236),AR236+1,AR236))</f>
        <v>4</v>
      </c>
      <c r="AS237" s="495">
        <f t="shared" ca="1" si="19"/>
        <v>2</v>
      </c>
      <c r="AT237" s="526">
        <f ca="1">IF(AND(AR236=$AR$7,AS236=SUMIF(NameConv!$G$4:$M$4,MID(C236,2,3),NameConv!$G$45:$M$45)),AT236+1,AT236)</f>
        <v>6</v>
      </c>
    </row>
    <row r="238" spans="1:46">
      <c r="A238" s="883" t="str">
        <f ca="1">IF(INDEX(Demand.Sectors,MATCH(MID(C238,2,3),NameConv!$G$4:$M$4,0)),"","*")</f>
        <v/>
      </c>
      <c r="B238" s="518" t="str">
        <f t="shared" ca="1" si="21"/>
        <v>PRC_RESID</v>
      </c>
      <c r="C238" s="518" t="str">
        <f ca="1">"X"&amp;OFFSET(NameConv!$F$4,0,AT238)&amp;OFFSET(NameConv!$F$59,AS238,AT238)</f>
        <v>XPWRBIO</v>
      </c>
      <c r="D238" s="518" t="str">
        <f t="shared" ca="1" si="22"/>
        <v>-</v>
      </c>
      <c r="E238" s="518" t="str">
        <f t="shared" ca="1" si="22"/>
        <v>-</v>
      </c>
      <c r="F238" s="518" t="str">
        <f t="shared" ca="1" si="22"/>
        <v>-</v>
      </c>
      <c r="G238" s="518" t="str">
        <f t="shared" ca="1" si="22"/>
        <v>-</v>
      </c>
      <c r="H238" s="518" t="str">
        <f t="shared" ca="1" si="22"/>
        <v>-</v>
      </c>
      <c r="I238" s="516">
        <f t="shared" ca="1" si="22"/>
        <v>0</v>
      </c>
      <c r="J238" s="518">
        <f ca="1">IF(INDEX($L$10:$L$13,MATCH($B238,$B$10:$B$13,0)),zar.2010,1)*SUMIF(NameConv!$C$4:$C$44,RIGHT(C238,3),OFFSET(INDIRECT(B238),0,AT238-1,NameConv!$A$45,1))</f>
        <v>1.0000000000000001E-5</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495">
        <f ca="1">IF(AT237&lt;&gt;AT238,1,IF(AS237=OFFSET(NameConv!$F$45,0,AT237),AR237+1,AR237))</f>
        <v>4</v>
      </c>
      <c r="AS238" s="495">
        <f t="shared" ca="1" si="19"/>
        <v>3</v>
      </c>
      <c r="AT238" s="526">
        <f ca="1">IF(AND(AR237=$AR$7,AS237=SUMIF(NameConv!$G$4:$M$4,MID(C237,2,3),NameConv!$G$45:$M$45)),AT237+1,AT237)</f>
        <v>6</v>
      </c>
    </row>
    <row r="239" spans="1:46">
      <c r="A239" s="883" t="str">
        <f ca="1">IF(INDEX(Demand.Sectors,MATCH(MID(C239,2,3),NameConv!$G$4:$M$4,0)),"","*")</f>
        <v/>
      </c>
      <c r="B239" s="518" t="str">
        <f t="shared" ca="1" si="21"/>
        <v>PRC_RESID</v>
      </c>
      <c r="C239" s="518" t="str">
        <f ca="1">"X"&amp;OFFSET(NameConv!$F$4,0,AT239)&amp;OFFSET(NameConv!$F$59,AS239,AT239)</f>
        <v>XPWRBIW</v>
      </c>
      <c r="D239" s="518" t="str">
        <f t="shared" ca="1" si="22"/>
        <v>-</v>
      </c>
      <c r="E239" s="518" t="str">
        <f t="shared" ca="1" si="22"/>
        <v>-</v>
      </c>
      <c r="F239" s="518" t="str">
        <f t="shared" ca="1" si="22"/>
        <v>-</v>
      </c>
      <c r="G239" s="518" t="str">
        <f t="shared" ca="1" si="22"/>
        <v>-</v>
      </c>
      <c r="H239" s="518" t="str">
        <f t="shared" ca="1" si="22"/>
        <v>-</v>
      </c>
      <c r="I239" s="516">
        <f t="shared" ca="1" si="22"/>
        <v>0</v>
      </c>
      <c r="J239" s="518">
        <f ca="1">IF(INDEX($L$10:$L$13,MATCH($B239,$B$10:$B$13,0)),zar.2010,1)*SUMIF(NameConv!$C$4:$C$44,RIGHT(C239,3),OFFSET(INDIRECT(B239),0,AT239-1,NameConv!$A$45,1))</f>
        <v>1.0000000000000001E-5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495">
        <f ca="1">IF(AT238&lt;&gt;AT239,1,IF(AS238=OFFSET(NameConv!$F$45,0,AT238),AR238+1,AR238))</f>
        <v>4</v>
      </c>
      <c r="AS239" s="495">
        <f t="shared" ca="1" si="19"/>
        <v>4</v>
      </c>
      <c r="AT239" s="526">
        <f ca="1">IF(AND(AR238=$AR$7,AS238=SUMIF(NameConv!$G$4:$M$4,MID(C238,2,3),NameConv!$G$45:$M$45)),AT238+1,AT238)</f>
        <v>6</v>
      </c>
    </row>
    <row r="240" spans="1:46">
      <c r="A240" s="883" t="str">
        <f ca="1">IF(INDEX(Demand.Sectors,MATCH(MID(C240,2,3),NameConv!$G$4:$M$4,0)),"","*")</f>
        <v/>
      </c>
      <c r="B240" s="518" t="str">
        <f t="shared" ca="1" si="21"/>
        <v>PRC_RESID</v>
      </c>
      <c r="C240" s="518" t="str">
        <f ca="1">"X"&amp;OFFSET(NameConv!$F$4,0,AT240)&amp;OFFSET(NameConv!$F$59,AS240,AT240)</f>
        <v>XPWRCLD</v>
      </c>
      <c r="D240" s="518" t="str">
        <f t="shared" ca="1" si="22"/>
        <v>-</v>
      </c>
      <c r="E240" s="518" t="str">
        <f t="shared" ca="1" si="22"/>
        <v>-</v>
      </c>
      <c r="F240" s="518" t="str">
        <f t="shared" ca="1" si="22"/>
        <v>-</v>
      </c>
      <c r="G240" s="518" t="str">
        <f t="shared" ca="1" si="22"/>
        <v>-</v>
      </c>
      <c r="H240" s="518" t="str">
        <f t="shared" ca="1" si="22"/>
        <v>-</v>
      </c>
      <c r="I240" s="516">
        <f t="shared" ca="1" si="22"/>
        <v>0</v>
      </c>
      <c r="J240" s="518">
        <f ca="1">IF(INDEX($L$10:$L$13,MATCH($B240,$B$10:$B$13,0)),zar.2010,1)*SUMIF(NameConv!$C$4:$C$44,RIGHT(C240,3),OFFSET(INDIRECT(B240),0,AT240-1,NameConv!$A$45,1))</f>
        <v>1.0000000000000001E-5</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495">
        <f ca="1">IF(AT239&lt;&gt;AT240,1,IF(AS239=OFFSET(NameConv!$F$45,0,AT239),AR239+1,AR239))</f>
        <v>4</v>
      </c>
      <c r="AS240" s="495">
        <f t="shared" ca="1" si="19"/>
        <v>5</v>
      </c>
      <c r="AT240" s="526">
        <f ca="1">IF(AND(AR239=$AR$7,AS239=SUMIF(NameConv!$G$4:$M$4,MID(C239,2,3),NameConv!$G$45:$M$45)),AT239+1,AT239)</f>
        <v>6</v>
      </c>
    </row>
    <row r="241" spans="1:46">
      <c r="A241" s="883" t="str">
        <f ca="1">IF(INDEX(Demand.Sectors,MATCH(MID(C241,2,3),NameConv!$G$4:$M$4,0)),"","*")</f>
        <v/>
      </c>
      <c r="B241" s="518" t="str">
        <f t="shared" ca="1" si="21"/>
        <v>PRC_RESID</v>
      </c>
      <c r="C241" s="518" t="str">
        <f ca="1">"X"&amp;OFFSET(NameConv!$F$4,0,AT241)&amp;OFFSET(NameConv!$F$59,AS241,AT241)</f>
        <v>XPWRCLE</v>
      </c>
      <c r="D241" s="518" t="str">
        <f t="shared" ca="1" si="22"/>
        <v>-</v>
      </c>
      <c r="E241" s="518" t="str">
        <f t="shared" ca="1" si="22"/>
        <v>-</v>
      </c>
      <c r="F241" s="518" t="str">
        <f t="shared" ca="1" si="22"/>
        <v>-</v>
      </c>
      <c r="G241" s="518" t="str">
        <f t="shared" ca="1" si="22"/>
        <v>-</v>
      </c>
      <c r="H241" s="518" t="str">
        <f t="shared" ca="1" si="22"/>
        <v>-</v>
      </c>
      <c r="I241" s="516">
        <f t="shared" ca="1" si="22"/>
        <v>0</v>
      </c>
      <c r="J241" s="518">
        <f ca="1">IF(INDEX($L$10:$L$13,MATCH($B241,$B$10:$B$13,0)),zar.2010,1)*SUMIF(NameConv!$C$4:$C$44,RIGHT(C241,3),OFFSET(INDIRECT(B241),0,AT241-1,NameConv!$A$45,1))</f>
        <v>1.0000000000000001E-5</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495">
        <f ca="1">IF(AT240&lt;&gt;AT241,1,IF(AS240=OFFSET(NameConv!$F$45,0,AT240),AR240+1,AR240))</f>
        <v>4</v>
      </c>
      <c r="AS241" s="495">
        <f t="shared" ca="1" si="19"/>
        <v>6</v>
      </c>
      <c r="AT241" s="526">
        <f ca="1">IF(AND(AR240=$AR$7,AS240=SUMIF(NameConv!$G$4:$M$4,MID(C240,2,3),NameConv!$G$45:$M$45)),AT240+1,AT240)</f>
        <v>6</v>
      </c>
    </row>
    <row r="242" spans="1:46">
      <c r="A242" s="883" t="str">
        <f ca="1">IF(INDEX(Demand.Sectors,MATCH(MID(C242,2,3),NameConv!$G$4:$M$4,0)),"","*")</f>
        <v/>
      </c>
      <c r="B242" s="518" t="str">
        <f t="shared" ca="1" si="21"/>
        <v>PRC_RESID</v>
      </c>
      <c r="C242" s="518" t="str">
        <f ca="1">"X"&amp;OFFSET(NameConv!$F$4,0,AT242)&amp;OFFSET(NameConv!$F$59,AS242,AT242)</f>
        <v>XPWRCRB</v>
      </c>
      <c r="D242" s="518" t="str">
        <f t="shared" ca="1" si="22"/>
        <v>-</v>
      </c>
      <c r="E242" s="518" t="str">
        <f t="shared" ca="1" si="22"/>
        <v>-</v>
      </c>
      <c r="F242" s="518" t="str">
        <f t="shared" ca="1" si="22"/>
        <v>-</v>
      </c>
      <c r="G242" s="518" t="str">
        <f t="shared" ca="1" si="22"/>
        <v>-</v>
      </c>
      <c r="H242" s="518" t="str">
        <f t="shared" ca="1" si="22"/>
        <v>-</v>
      </c>
      <c r="I242" s="516">
        <f t="shared" ca="1" si="22"/>
        <v>0</v>
      </c>
      <c r="J242" s="518">
        <f ca="1">IF(INDEX($L$10:$L$13,MATCH($B242,$B$10:$B$13,0)),zar.2010,1)*SUMIF(NameConv!$C$4:$C$44,RIGHT(C242,3),OFFSET(INDIRECT(B242),0,AT242-1,NameConv!$A$45,1))</f>
        <v>1.0000000000000001E-5</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495">
        <f ca="1">IF(AT241&lt;&gt;AT242,1,IF(AS241=OFFSET(NameConv!$F$45,0,AT241),AR241+1,AR241))</f>
        <v>4</v>
      </c>
      <c r="AS242" s="495">
        <f t="shared" ca="1" si="19"/>
        <v>7</v>
      </c>
      <c r="AT242" s="526">
        <f ca="1">IF(AND(AR241=$AR$7,AS241=SUMIF(NameConv!$G$4:$M$4,MID(C241,2,3),NameConv!$G$45:$M$45)),AT241+1,AT241)</f>
        <v>6</v>
      </c>
    </row>
    <row r="243" spans="1:46">
      <c r="A243" s="883" t="str">
        <f ca="1">IF(INDEX(Demand.Sectors,MATCH(MID(C243,2,3),NameConv!$G$4:$M$4,0)),"","*")</f>
        <v/>
      </c>
      <c r="B243" s="518" t="str">
        <f t="shared" ca="1" si="21"/>
        <v>PRC_RESID</v>
      </c>
      <c r="C243" s="518" t="str">
        <f ca="1">"X"&amp;OFFSET(NameConv!$F$4,0,AT243)&amp;OFFSET(NameConv!$F$59,AS243,AT243)</f>
        <v>XPWRGAS</v>
      </c>
      <c r="D243" s="518" t="str">
        <f t="shared" ca="1" si="22"/>
        <v>-</v>
      </c>
      <c r="E243" s="518" t="str">
        <f t="shared" ca="1" si="22"/>
        <v>-</v>
      </c>
      <c r="F243" s="518" t="str">
        <f t="shared" ca="1" si="22"/>
        <v>-</v>
      </c>
      <c r="G243" s="518" t="str">
        <f t="shared" ca="1" si="22"/>
        <v>-</v>
      </c>
      <c r="H243" s="518" t="str">
        <f t="shared" ca="1" si="22"/>
        <v>-</v>
      </c>
      <c r="I243" s="516">
        <f t="shared" ca="1" si="22"/>
        <v>0</v>
      </c>
      <c r="J243" s="518">
        <f ca="1">IF(INDEX($L$10:$L$13,MATCH($B243,$B$10:$B$13,0)),zar.2010,1)*SUMIF(NameConv!$C$4:$C$44,RIGHT(C243,3),OFFSET(INDIRECT(B243),0,AT243-1,NameConv!$A$45,1))</f>
        <v>0</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495">
        <f ca="1">IF(AT242&lt;&gt;AT243,1,IF(AS242=OFFSET(NameConv!$F$45,0,AT242),AR242+1,AR242))</f>
        <v>4</v>
      </c>
      <c r="AS243" s="495">
        <f t="shared" ref="AS243:AS282" ca="1" si="23">IF(AR243=AR242,AS242+1,1)</f>
        <v>8</v>
      </c>
      <c r="AT243" s="526">
        <f ca="1">IF(AND(AR242=$AR$7,AS242=SUMIF(NameConv!$G$4:$M$4,MID(C242,2,3),NameConv!$G$45:$M$45)),AT242+1,AT242)</f>
        <v>6</v>
      </c>
    </row>
    <row r="244" spans="1:46">
      <c r="A244" s="883" t="str">
        <f ca="1">IF(INDEX(Demand.Sectors,MATCH(MID(C244,2,3),NameConv!$G$4:$M$4,0)),"","*")</f>
        <v/>
      </c>
      <c r="B244" s="518" t="str">
        <f t="shared" ca="1" si="21"/>
        <v>PRC_RESID</v>
      </c>
      <c r="C244" s="518" t="str">
        <f ca="1">"X"&amp;OFFSET(NameConv!$F$4,0,AT244)&amp;OFFSET(NameConv!$F$59,AS244,AT244)</f>
        <v>XPWRGRS</v>
      </c>
      <c r="D244" s="518" t="str">
        <f t="shared" ca="1" si="22"/>
        <v>-</v>
      </c>
      <c r="E244" s="518" t="str">
        <f t="shared" ca="1" si="22"/>
        <v>-</v>
      </c>
      <c r="F244" s="518" t="str">
        <f t="shared" ca="1" si="22"/>
        <v>-</v>
      </c>
      <c r="G244" s="518" t="str">
        <f t="shared" ca="1" si="22"/>
        <v>-</v>
      </c>
      <c r="H244" s="518" t="str">
        <f t="shared" ca="1" si="22"/>
        <v>-</v>
      </c>
      <c r="I244" s="516">
        <f t="shared" ca="1" si="22"/>
        <v>0</v>
      </c>
      <c r="J244" s="518">
        <f ca="1">IF(INDEX($L$10:$L$13,MATCH($B244,$B$10:$B$13,0)),zar.2010,1)*SUMIF(NameConv!$C$4:$C$44,RIGHT(C244,3),OFFSET(INDIRECT(B244),0,AT244-1,NameConv!$A$45,1))</f>
        <v>1.0000000000000001E-5</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495">
        <f ca="1">IF(AT243&lt;&gt;AT244,1,IF(AS243=OFFSET(NameConv!$F$45,0,AT243),AR243+1,AR243))</f>
        <v>4</v>
      </c>
      <c r="AS244" s="495">
        <f t="shared" ca="1" si="23"/>
        <v>9</v>
      </c>
      <c r="AT244" s="526">
        <f ca="1">IF(AND(AR243=$AR$7,AS243=SUMIF(NameConv!$G$4:$M$4,MID(C243,2,3),NameConv!$G$45:$M$45)),AT243+1,AT243)</f>
        <v>6</v>
      </c>
    </row>
    <row r="245" spans="1:46">
      <c r="A245" s="883" t="str">
        <f ca="1">IF(INDEX(Demand.Sectors,MATCH(MID(C245,2,3),NameConv!$G$4:$M$4,0)),"","*")</f>
        <v/>
      </c>
      <c r="B245" s="518" t="str">
        <f t="shared" ca="1" si="21"/>
        <v>PRC_RESID</v>
      </c>
      <c r="C245" s="518" t="str">
        <f ca="1">"X"&amp;OFFSET(NameConv!$F$4,0,AT245)&amp;OFFSET(NameConv!$F$59,AS245,AT245)</f>
        <v>XPWRGRN</v>
      </c>
      <c r="D245" s="518" t="str">
        <f t="shared" ca="1" si="22"/>
        <v>-</v>
      </c>
      <c r="E245" s="518" t="str">
        <f t="shared" ca="1" si="22"/>
        <v>-</v>
      </c>
      <c r="F245" s="518" t="str">
        <f t="shared" ca="1" si="22"/>
        <v>-</v>
      </c>
      <c r="G245" s="518" t="str">
        <f t="shared" ca="1" si="22"/>
        <v>-</v>
      </c>
      <c r="H245" s="518" t="str">
        <f t="shared" ca="1" si="22"/>
        <v>-</v>
      </c>
      <c r="I245" s="516">
        <f t="shared" ca="1" si="22"/>
        <v>0</v>
      </c>
      <c r="J245" s="518">
        <f ca="1">IF(INDEX($L$10:$L$13,MATCH($B245,$B$10:$B$13,0)),zar.2010,1)*SUMIF(NameConv!$C$4:$C$44,RIGHT(C245,3),OFFSET(INDIRECT(B245),0,AT245-1,NameConv!$A$45,1))</f>
        <v>1.0000000000000001E-5</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495">
        <f ca="1">IF(AT244&lt;&gt;AT245,1,IF(AS244=OFFSET(NameConv!$F$45,0,AT244),AR244+1,AR244))</f>
        <v>4</v>
      </c>
      <c r="AS245" s="495">
        <f t="shared" ca="1" si="23"/>
        <v>10</v>
      </c>
      <c r="AT245" s="526">
        <f ca="1">IF(AND(AR244=$AR$7,AS244=SUMIF(NameConv!$G$4:$M$4,MID(C244,2,3),NameConv!$G$45:$M$45)),AT244+1,AT244)</f>
        <v>6</v>
      </c>
    </row>
    <row r="246" spans="1:46">
      <c r="A246" s="883" t="str">
        <f ca="1">IF(INDEX(Demand.Sectors,MATCH(MID(C246,2,3),NameConv!$G$4:$M$4,0)),"","*")</f>
        <v/>
      </c>
      <c r="B246" s="518" t="str">
        <f t="shared" ca="1" si="21"/>
        <v>PRC_RESID</v>
      </c>
      <c r="C246" s="518" t="str">
        <f ca="1">"X"&amp;OFFSET(NameConv!$F$4,0,AT246)&amp;OFFSET(NameConv!$F$59,AS246,AT246)</f>
        <v>XPWRGRM</v>
      </c>
      <c r="D246" s="518" t="str">
        <f t="shared" ca="1" si="22"/>
        <v>-</v>
      </c>
      <c r="E246" s="518" t="str">
        <f t="shared" ca="1" si="22"/>
        <v>-</v>
      </c>
      <c r="F246" s="518" t="str">
        <f t="shared" ca="1" si="22"/>
        <v>-</v>
      </c>
      <c r="G246" s="518" t="str">
        <f t="shared" ca="1" si="22"/>
        <v>-</v>
      </c>
      <c r="H246" s="518" t="str">
        <f t="shared" ca="1" si="22"/>
        <v>-</v>
      </c>
      <c r="I246" s="516">
        <f t="shared" ca="1" si="22"/>
        <v>0</v>
      </c>
      <c r="J246" s="518">
        <f ca="1">IF(INDEX($L$10:$L$13,MATCH($B246,$B$10:$B$13,0)),zar.2010,1)*SUMIF(NameConv!$C$4:$C$44,RIGHT(C246,3),OFFSET(INDIRECT(B246),0,AT246-1,NameConv!$A$45,1))</f>
        <v>1.0000000000000001E-5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495">
        <f ca="1">IF(AT245&lt;&gt;AT246,1,IF(AS245=OFFSET(NameConv!$F$45,0,AT245),AR245+1,AR245))</f>
        <v>4</v>
      </c>
      <c r="AS246" s="495">
        <f t="shared" ca="1" si="23"/>
        <v>11</v>
      </c>
      <c r="AT246" s="526">
        <f ca="1">IF(AND(AR245=$AR$7,AS245=SUMIF(NameConv!$G$4:$M$4,MID(C245,2,3),NameConv!$G$45:$M$45)),AT245+1,AT245)</f>
        <v>6</v>
      </c>
    </row>
    <row r="247" spans="1:46">
      <c r="A247" s="883" t="str">
        <f ca="1">IF(INDEX(Demand.Sectors,MATCH(MID(C247,2,3),NameConv!$G$4:$M$4,0)),"","*")</f>
        <v/>
      </c>
      <c r="B247" s="518" t="str">
        <f t="shared" ca="1" si="21"/>
        <v>PRC_RESID</v>
      </c>
      <c r="C247" s="518" t="str">
        <f ca="1">"X"&amp;OFFSET(NameConv!$F$4,0,AT247)&amp;OFFSET(NameConv!$F$59,AS247,AT247)</f>
        <v>XPWRGIH</v>
      </c>
      <c r="D247" s="518" t="str">
        <f t="shared" ca="1" si="22"/>
        <v>-</v>
      </c>
      <c r="E247" s="518" t="str">
        <f t="shared" ca="1" si="22"/>
        <v>-</v>
      </c>
      <c r="F247" s="518" t="str">
        <f t="shared" ca="1" si="22"/>
        <v>-</v>
      </c>
      <c r="G247" s="518" t="str">
        <f t="shared" ca="1" si="22"/>
        <v>-</v>
      </c>
      <c r="H247" s="518" t="str">
        <f t="shared" ca="1" si="22"/>
        <v>-</v>
      </c>
      <c r="I247" s="516">
        <f t="shared" ca="1" si="22"/>
        <v>0</v>
      </c>
      <c r="J247" s="518">
        <f ca="1">IF(INDEX($L$10:$L$13,MATCH($B247,$B$10:$B$13,0)),zar.2010,1)*SUMIF(NameConv!$C$4:$C$44,RIGHT(C247,3),OFFSET(INDIRECT(B247),0,AT247-1,NameConv!$A$45,1))</f>
        <v>1.0000000000000001E-5</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495">
        <f ca="1">IF(AT246&lt;&gt;AT247,1,IF(AS246=OFFSET(NameConv!$F$45,0,AT246),AR246+1,AR246))</f>
        <v>4</v>
      </c>
      <c r="AS247" s="495">
        <f t="shared" ca="1" si="23"/>
        <v>12</v>
      </c>
      <c r="AT247" s="526">
        <f ca="1">IF(AND(AR246=$AR$7,AS246=SUMIF(NameConv!$G$4:$M$4,MID(C246,2,3),NameConv!$G$45:$M$45)),AT246+1,AT246)</f>
        <v>6</v>
      </c>
    </row>
    <row r="248" spans="1:46">
      <c r="A248" s="883" t="str">
        <f ca="1">IF(INDEX(Demand.Sectors,MATCH(MID(C248,2,3),NameConv!$G$4:$M$4,0)),"","*")</f>
        <v/>
      </c>
      <c r="B248" s="518" t="str">
        <f t="shared" ca="1" si="21"/>
        <v>PRC_RESID</v>
      </c>
      <c r="C248" s="518" t="str">
        <f ca="1">"X"&amp;OFFSET(NameConv!$F$4,0,AT248)&amp;OFFSET(NameConv!$F$59,AS248,AT248)</f>
        <v>XPWRGIC</v>
      </c>
      <c r="D248" s="518" t="str">
        <f t="shared" ca="1" si="22"/>
        <v>-</v>
      </c>
      <c r="E248" s="518" t="str">
        <f t="shared" ca="1" si="22"/>
        <v>-</v>
      </c>
      <c r="F248" s="518" t="str">
        <f t="shared" ca="1" si="22"/>
        <v>-</v>
      </c>
      <c r="G248" s="518" t="str">
        <f t="shared" ca="1" si="22"/>
        <v>-</v>
      </c>
      <c r="H248" s="518" t="str">
        <f t="shared" ca="1" si="22"/>
        <v>-</v>
      </c>
      <c r="I248" s="516">
        <f t="shared" ca="1" si="22"/>
        <v>0</v>
      </c>
      <c r="J248" s="518">
        <f ca="1">IF(INDEX($L$10:$L$13,MATCH($B248,$B$10:$B$13,0)),zar.2010,1)*SUMIF(NameConv!$C$4:$C$44,RIGHT(C248,3),OFFSET(INDIRECT(B248),0,AT248-1,NameConv!$A$45,1))</f>
        <v>0</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495">
        <f ca="1">IF(AT247&lt;&gt;AT248,1,IF(AS247=OFFSET(NameConv!$F$45,0,AT247),AR247+1,AR247))</f>
        <v>4</v>
      </c>
      <c r="AS248" s="495">
        <f t="shared" ca="1" si="23"/>
        <v>13</v>
      </c>
      <c r="AT248" s="526">
        <f ca="1">IF(AND(AR247=$AR$7,AS247=SUMIF(NameConv!$G$4:$M$4,MID(C247,2,3),NameConv!$G$45:$M$45)),AT247+1,AT247)</f>
        <v>6</v>
      </c>
    </row>
    <row r="249" spans="1:46">
      <c r="A249" s="883" t="str">
        <f ca="1">IF(INDEX(Demand.Sectors,MATCH(MID(C249,2,3),NameConv!$G$4:$M$4,0)),"","*")</f>
        <v/>
      </c>
      <c r="B249" s="518" t="str">
        <f t="shared" ca="1" si="21"/>
        <v>PRC_RESID</v>
      </c>
      <c r="C249" s="518" t="str">
        <f ca="1">"X"&amp;OFFSET(NameConv!$F$4,0,AT249)&amp;OFFSET(NameConv!$F$59,AS249,AT249)</f>
        <v>XPWRHYD</v>
      </c>
      <c r="D249" s="518" t="str">
        <f t="shared" ca="1" si="22"/>
        <v>-</v>
      </c>
      <c r="E249" s="518" t="str">
        <f t="shared" ca="1" si="22"/>
        <v>-</v>
      </c>
      <c r="F249" s="518" t="str">
        <f t="shared" ca="1" si="22"/>
        <v>-</v>
      </c>
      <c r="G249" s="518" t="str">
        <f t="shared" ca="1" si="22"/>
        <v>-</v>
      </c>
      <c r="H249" s="518" t="str">
        <f t="shared" ca="1" si="22"/>
        <v>-</v>
      </c>
      <c r="I249" s="516">
        <f t="shared" ca="1" si="22"/>
        <v>0</v>
      </c>
      <c r="J249" s="518">
        <f ca="1">IF(INDEX($L$10:$L$13,MATCH($B249,$B$10:$B$13,0)),zar.2010,1)*SUMIF(NameConv!$C$4:$C$44,RIGHT(C249,3),OFFSET(INDIRECT(B249),0,AT249-1,NameConv!$A$45,1))</f>
        <v>1.0000000000000001E-5</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495">
        <f ca="1">IF(AT248&lt;&gt;AT249,1,IF(AS248=OFFSET(NameConv!$F$45,0,AT248),AR248+1,AR248))</f>
        <v>4</v>
      </c>
      <c r="AS249" s="495">
        <f t="shared" ca="1" si="23"/>
        <v>14</v>
      </c>
      <c r="AT249" s="526">
        <f ca="1">IF(AND(AR248=$AR$7,AS248=SUMIF(NameConv!$G$4:$M$4,MID(C248,2,3),NameConv!$G$45:$M$45)),AT248+1,AT248)</f>
        <v>6</v>
      </c>
    </row>
    <row r="250" spans="1:46">
      <c r="A250" s="883" t="str">
        <f ca="1">IF(INDEX(Demand.Sectors,MATCH(MID(C250,2,3),NameConv!$G$4:$M$4,0)),"","*")</f>
        <v/>
      </c>
      <c r="B250" s="518" t="str">
        <f t="shared" ca="1" si="21"/>
        <v>PRC_RESID</v>
      </c>
      <c r="C250" s="518" t="str">
        <f ca="1">"X"&amp;OFFSET(NameConv!$F$4,0,AT250)&amp;OFFSET(NameConv!$F$59,AS250,AT250)</f>
        <v>XPWRHGN</v>
      </c>
      <c r="D250" s="518" t="str">
        <f t="shared" ca="1" si="22"/>
        <v>-</v>
      </c>
      <c r="E250" s="518" t="str">
        <f t="shared" ca="1" si="22"/>
        <v>-</v>
      </c>
      <c r="F250" s="518" t="str">
        <f t="shared" ca="1" si="22"/>
        <v>-</v>
      </c>
      <c r="G250" s="518" t="str">
        <f t="shared" ca="1" si="22"/>
        <v>-</v>
      </c>
      <c r="H250" s="518" t="str">
        <f t="shared" ca="1" si="22"/>
        <v>-</v>
      </c>
      <c r="I250" s="516">
        <f t="shared" ca="1" si="22"/>
        <v>0</v>
      </c>
      <c r="J250" s="518">
        <f ca="1">IF(INDEX($L$10:$L$13,MATCH($B250,$B$10:$B$13,0)),zar.2010,1)*SUMIF(NameConv!$C$4:$C$44,RIGHT(C250,3),OFFSET(INDIRECT(B250),0,AT250-1,NameConv!$A$45,1))</f>
        <v>1.0000000000000001E-5</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495">
        <f ca="1">IF(AT249&lt;&gt;AT250,1,IF(AS249=OFFSET(NameConv!$F$45,0,AT249),AR249+1,AR249))</f>
        <v>4</v>
      </c>
      <c r="AS250" s="495">
        <f t="shared" ca="1" si="23"/>
        <v>15</v>
      </c>
      <c r="AT250" s="526">
        <f ca="1">IF(AND(AR249=$AR$7,AS249=SUMIF(NameConv!$G$4:$M$4,MID(C249,2,3),NameConv!$G$45:$M$45)),AT249+1,AT249)</f>
        <v>6</v>
      </c>
    </row>
    <row r="251" spans="1:46">
      <c r="A251" s="883" t="str">
        <f ca="1">IF(INDEX(Demand.Sectors,MATCH(MID(C251,2,3),NameConv!$G$4:$M$4,0)),"","*")</f>
        <v/>
      </c>
      <c r="B251" s="518" t="str">
        <f t="shared" ca="1" si="21"/>
        <v>PRC_RESID</v>
      </c>
      <c r="C251" s="518" t="str">
        <f ca="1">"X"&amp;OFFSET(NameConv!$F$4,0,AT251)&amp;OFFSET(NameConv!$F$59,AS251,AT251)</f>
        <v>XPWRNUC</v>
      </c>
      <c r="D251" s="518" t="str">
        <f t="shared" ca="1" si="22"/>
        <v>-</v>
      </c>
      <c r="E251" s="518" t="str">
        <f t="shared" ca="1" si="22"/>
        <v>-</v>
      </c>
      <c r="F251" s="518" t="str">
        <f t="shared" ca="1" si="22"/>
        <v>-</v>
      </c>
      <c r="G251" s="518" t="str">
        <f t="shared" ref="D251:I266" ca="1" si="24">IF($A251="*","",VLOOKUP($B251,$B$10:$I$13,G$9,FALSE))</f>
        <v>-</v>
      </c>
      <c r="H251" s="518" t="str">
        <f t="shared" ca="1" si="24"/>
        <v>-</v>
      </c>
      <c r="I251" s="516">
        <f t="shared" ca="1" si="24"/>
        <v>0</v>
      </c>
      <c r="J251" s="518">
        <f ca="1">IF(INDEX($L$10:$L$13,MATCH($B251,$B$10:$B$13,0)),zar.2010,1)*SUMIF(NameConv!$C$4:$C$44,RIGHT(C251,3),OFFSET(INDIRECT(B251),0,AT251-1,NameConv!$A$45,1))</f>
        <v>1.0000000000000001E-5</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495">
        <f ca="1">IF(AT250&lt;&gt;AT251,1,IF(AS250=OFFSET(NameConv!$F$45,0,AT250),AR250+1,AR250))</f>
        <v>4</v>
      </c>
      <c r="AS251" s="495">
        <f t="shared" ca="1" si="23"/>
        <v>16</v>
      </c>
      <c r="AT251" s="526">
        <f ca="1">IF(AND(AR250=$AR$7,AS250=SUMIF(NameConv!$G$4:$M$4,MID(C250,2,3),NameConv!$G$45:$M$45)),AT250+1,AT250)</f>
        <v>6</v>
      </c>
    </row>
    <row r="252" spans="1:46">
      <c r="A252" s="883" t="str">
        <f ca="1">IF(INDEX(Demand.Sectors,MATCH(MID(C252,2,3),NameConv!$G$4:$M$4,0)),"","*")</f>
        <v/>
      </c>
      <c r="B252" s="518" t="str">
        <f t="shared" ca="1" si="21"/>
        <v>PRC_RESID</v>
      </c>
      <c r="C252" s="518" t="str">
        <f ca="1">"X"&amp;OFFSET(NameConv!$F$4,0,AT252)&amp;OFFSET(NameConv!$F$59,AS252,AT252)</f>
        <v>XPWRODS</v>
      </c>
      <c r="D252" s="518" t="str">
        <f t="shared" ca="1" si="24"/>
        <v>-</v>
      </c>
      <c r="E252" s="518" t="str">
        <f t="shared" ca="1" si="24"/>
        <v>-</v>
      </c>
      <c r="F252" s="518" t="str">
        <f t="shared" ca="1" si="24"/>
        <v>-</v>
      </c>
      <c r="G252" s="518" t="str">
        <f t="shared" ca="1" si="24"/>
        <v>-</v>
      </c>
      <c r="H252" s="518" t="str">
        <f t="shared" ca="1" si="24"/>
        <v>-</v>
      </c>
      <c r="I252" s="516">
        <f t="shared" ca="1" si="24"/>
        <v>0</v>
      </c>
      <c r="J252" s="518">
        <f ca="1">IF(INDEX($L$10:$L$13,MATCH($B252,$B$10:$B$13,0)),zar.2010,1)*SUMIF(NameConv!$C$4:$C$44,RIGHT(C252,3),OFFSET(INDIRECT(B252),0,AT252-1,NameConv!$A$45,1))</f>
        <v>23.79927</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495">
        <f ca="1">IF(AT251&lt;&gt;AT252,1,IF(AS251=OFFSET(NameConv!$F$45,0,AT251),AR251+1,AR251))</f>
        <v>4</v>
      </c>
      <c r="AS252" s="495">
        <f t="shared" ca="1" si="23"/>
        <v>17</v>
      </c>
      <c r="AT252" s="526">
        <f ca="1">IF(AND(AR251=$AR$7,AS251=SUMIF(NameConv!$G$4:$M$4,MID(C251,2,3),NameConv!$G$45:$M$45)),AT251+1,AT251)</f>
        <v>6</v>
      </c>
    </row>
    <row r="253" spans="1:46">
      <c r="A253" s="883" t="str">
        <f ca="1">IF(INDEX(Demand.Sectors,MATCH(MID(C253,2,3),NameConv!$G$4:$M$4,0)),"","*")</f>
        <v/>
      </c>
      <c r="B253" s="518" t="str">
        <f t="shared" ca="1" si="21"/>
        <v>PRC_RESID</v>
      </c>
      <c r="C253" s="518" t="str">
        <f ca="1">"X"&amp;OFFSET(NameConv!$F$4,0,AT253)&amp;OFFSET(NameConv!$F$59,AS253,AT253)</f>
        <v>XPWRSOL</v>
      </c>
      <c r="D253" s="518" t="str">
        <f t="shared" ca="1" si="24"/>
        <v>-</v>
      </c>
      <c r="E253" s="518" t="str">
        <f t="shared" ca="1" si="24"/>
        <v>-</v>
      </c>
      <c r="F253" s="518" t="str">
        <f t="shared" ca="1" si="24"/>
        <v>-</v>
      </c>
      <c r="G253" s="518" t="str">
        <f t="shared" ca="1" si="24"/>
        <v>-</v>
      </c>
      <c r="H253" s="518" t="str">
        <f t="shared" ca="1" si="24"/>
        <v>-</v>
      </c>
      <c r="I253" s="516">
        <f t="shared" ca="1" si="24"/>
        <v>0</v>
      </c>
      <c r="J253" s="518">
        <f ca="1">IF(INDEX($L$10:$L$13,MATCH($B253,$B$10:$B$13,0)),zar.2010,1)*SUMIF(NameConv!$C$4:$C$44,RIGHT(C253,3),OFFSET(INDIRECT(B253),0,AT253-1,NameConv!$A$45,1))</f>
        <v>1.0000000000000001E-5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495">
        <f ca="1">IF(AT252&lt;&gt;AT253,1,IF(AS252=OFFSET(NameConv!$F$45,0,AT252),AR252+1,AR252))</f>
        <v>4</v>
      </c>
      <c r="AS253" s="495">
        <f t="shared" ca="1" si="23"/>
        <v>18</v>
      </c>
      <c r="AT253" s="526">
        <f ca="1">IF(AND(AR252=$AR$7,AS252=SUMIF(NameConv!$G$4:$M$4,MID(C252,2,3),NameConv!$G$45:$M$45)),AT252+1,AT252)</f>
        <v>6</v>
      </c>
    </row>
    <row r="254" spans="1:46">
      <c r="A254" s="883" t="str">
        <f ca="1">IF(INDEX(Demand.Sectors,MATCH(MID(C254,2,3),NameConv!$G$4:$M$4,0)),"","*")</f>
        <v/>
      </c>
      <c r="B254" s="518" t="str">
        <f t="shared" ca="1" si="21"/>
        <v>PRC_RESID</v>
      </c>
      <c r="C254" s="518" t="str">
        <f ca="1">"X"&amp;OFFSET(NameConv!$F$4,0,AT254)&amp;OFFSET(NameConv!$F$59,AS254,AT254)</f>
        <v>XPWRWND</v>
      </c>
      <c r="D254" s="518" t="str">
        <f t="shared" ca="1" si="24"/>
        <v>-</v>
      </c>
      <c r="E254" s="518" t="str">
        <f t="shared" ca="1" si="24"/>
        <v>-</v>
      </c>
      <c r="F254" s="518" t="str">
        <f t="shared" ca="1" si="24"/>
        <v>-</v>
      </c>
      <c r="G254" s="518" t="str">
        <f t="shared" ca="1" si="24"/>
        <v>-</v>
      </c>
      <c r="H254" s="518" t="str">
        <f t="shared" ca="1" si="24"/>
        <v>-</v>
      </c>
      <c r="I254" s="516">
        <f t="shared" ca="1" si="24"/>
        <v>0</v>
      </c>
      <c r="J254" s="518">
        <f ca="1">IF(INDEX($L$10:$L$13,MATCH($B254,$B$10:$B$13,0)),zar.2010,1)*SUMIF(NameConv!$C$4:$C$44,RIGHT(C254,3),OFFSET(INDIRECT(B254),0,AT254-1,NameConv!$A$45,1))</f>
        <v>1.0000000000000001E-5</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495">
        <f ca="1">IF(AT253&lt;&gt;AT254,1,IF(AS253=OFFSET(NameConv!$F$45,0,AT253),AR253+1,AR253))</f>
        <v>4</v>
      </c>
      <c r="AS254" s="495">
        <f t="shared" ca="1" si="23"/>
        <v>19</v>
      </c>
      <c r="AT254" s="526">
        <f ca="1">IF(AND(AR253=$AR$7,AS253=SUMIF(NameConv!$G$4:$M$4,MID(C253,2,3),NameConv!$G$45:$M$45)),AT253+1,AT253)</f>
        <v>6</v>
      </c>
    </row>
    <row r="255" spans="1:46">
      <c r="A255" s="883" t="str">
        <f ca="1">IF(INDEX(Demand.Sectors,MATCH(MID(C255,2,3),NameConv!$G$4:$M$4,0)),"","*")</f>
        <v/>
      </c>
      <c r="B255" s="518" t="str">
        <f t="shared" ca="1" si="21"/>
        <v>ACT_EFF</v>
      </c>
      <c r="C255" s="518" t="str">
        <f ca="1">"X"&amp;OFFSET(NameConv!$F$4,0,AT255)&amp;OFFSET(NameConv!$F$59,AS255,AT255)</f>
        <v>XUPSBIE</v>
      </c>
      <c r="D255" s="518" t="str">
        <f t="shared" ca="1" si="24"/>
        <v>-</v>
      </c>
      <c r="E255" s="518" t="str">
        <f t="shared" ca="1" si="24"/>
        <v>ACTGRP</v>
      </c>
      <c r="F255" s="518" t="str">
        <f t="shared" ca="1" si="24"/>
        <v>-</v>
      </c>
      <c r="G255" s="518" t="str">
        <f t="shared" ca="1" si="24"/>
        <v>ANNUAL</v>
      </c>
      <c r="H255" s="518" t="str">
        <f t="shared" ca="1" si="24"/>
        <v>-</v>
      </c>
      <c r="I255" s="516">
        <f t="shared" ca="1" si="24"/>
        <v>0</v>
      </c>
      <c r="J255" s="518">
        <f ca="1">IF(INDEX($L$10:$L$13,MATCH($B255,$B$10:$B$13,0)),zar.2010,1)*SUMIF(NameConv!$C$4:$C$44,RIGHT(C255,3),OFFSET(INDIRECT(B255),0,AT255-1,NameConv!$A$45,1))</f>
        <v>1</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495">
        <f ca="1">IF(AT254&lt;&gt;AT255,1,IF(AS254=OFFSET(NameConv!$F$45,0,AT254),AR254+1,AR254))</f>
        <v>1</v>
      </c>
      <c r="AS255" s="495">
        <f t="shared" ca="1" si="23"/>
        <v>1</v>
      </c>
      <c r="AT255" s="526">
        <f ca="1">IF(AND(AR254=$AR$7,AS254=SUMIF(NameConv!$G$4:$M$4,MID(C254,2,3),NameConv!$G$45:$M$45)),AT254+1,AT254)</f>
        <v>7</v>
      </c>
    </row>
    <row r="256" spans="1:46">
      <c r="A256" s="883" t="str">
        <f ca="1">IF(INDEX(Demand.Sectors,MATCH(MID(C256,2,3),NameConv!$G$4:$M$4,0)),"","*")</f>
        <v/>
      </c>
      <c r="B256" s="518" t="str">
        <f t="shared" ca="1" si="21"/>
        <v>ACT_EFF</v>
      </c>
      <c r="C256" s="518" t="str">
        <f ca="1">"X"&amp;OFFSET(NameConv!$F$4,0,AT256)&amp;OFFSET(NameConv!$F$59,AS256,AT256)</f>
        <v>XUPSBID</v>
      </c>
      <c r="D256" s="518" t="str">
        <f t="shared" ca="1" si="24"/>
        <v>-</v>
      </c>
      <c r="E256" s="518" t="str">
        <f t="shared" ca="1" si="24"/>
        <v>ACTGRP</v>
      </c>
      <c r="F256" s="518" t="str">
        <f t="shared" ca="1" si="24"/>
        <v>-</v>
      </c>
      <c r="G256" s="518" t="str">
        <f t="shared" ca="1" si="24"/>
        <v>ANNUAL</v>
      </c>
      <c r="H256" s="518" t="str">
        <f t="shared" ca="1" si="24"/>
        <v>-</v>
      </c>
      <c r="I256" s="516">
        <f t="shared" ca="1" si="24"/>
        <v>0</v>
      </c>
      <c r="J256" s="518">
        <f ca="1">IF(INDEX($L$10:$L$13,MATCH($B256,$B$10:$B$13,0)),zar.2010,1)*SUMIF(NameConv!$C$4:$C$44,RIGHT(C256,3),OFFSET(INDIRECT(B256),0,AT256-1,NameConv!$A$45,1))</f>
        <v>1</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495">
        <f ca="1">IF(AT255&lt;&gt;AT256,1,IF(AS255=OFFSET(NameConv!$F$45,0,AT255),AR255+1,AR255))</f>
        <v>1</v>
      </c>
      <c r="AS256" s="495">
        <f t="shared" ca="1" si="23"/>
        <v>2</v>
      </c>
      <c r="AT256" s="526">
        <f ca="1">IF(AND(AR255=$AR$7,AS255=SUMIF(NameConv!$G$4:$M$4,MID(C255,2,3),NameConv!$G$45:$M$45)),AT255+1,AT255)</f>
        <v>7</v>
      </c>
    </row>
    <row r="257" spans="1:46">
      <c r="A257" s="883" t="str">
        <f ca="1">IF(INDEX(Demand.Sectors,MATCH(MID(C257,2,3),NameConv!$G$4:$M$4,0)),"","*")</f>
        <v/>
      </c>
      <c r="B257" s="518" t="str">
        <f t="shared" ca="1" si="21"/>
        <v>ACT_EFF</v>
      </c>
      <c r="C257" s="518" t="str">
        <f ca="1">"X"&amp;OFFSET(NameConv!$F$4,0,AT257)&amp;OFFSET(NameConv!$F$59,AS257,AT257)</f>
        <v>XUPSCLE</v>
      </c>
      <c r="D257" s="518" t="str">
        <f t="shared" ca="1" si="24"/>
        <v>-</v>
      </c>
      <c r="E257" s="518" t="str">
        <f t="shared" ca="1" si="24"/>
        <v>ACTGRP</v>
      </c>
      <c r="F257" s="518" t="str">
        <f t="shared" ca="1" si="24"/>
        <v>-</v>
      </c>
      <c r="G257" s="518" t="str">
        <f t="shared" ca="1" si="24"/>
        <v>ANNUAL</v>
      </c>
      <c r="H257" s="518" t="str">
        <f t="shared" ca="1" si="24"/>
        <v>-</v>
      </c>
      <c r="I257" s="516">
        <f t="shared" ca="1" si="24"/>
        <v>0</v>
      </c>
      <c r="J257" s="518">
        <f ca="1">IF(INDEX($L$10:$L$13,MATCH($B257,$B$10:$B$13,0)),zar.2010,1)*SUMIF(NameConv!$C$4:$C$44,RIGHT(C257,3),OFFSET(INDIRECT(B257),0,AT257-1,NameConv!$A$45,1))</f>
        <v>1</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495">
        <f ca="1">IF(AT256&lt;&gt;AT257,1,IF(AS256=OFFSET(NameConv!$F$45,0,AT256),AR256+1,AR256))</f>
        <v>1</v>
      </c>
      <c r="AS257" s="495">
        <f t="shared" ca="1" si="23"/>
        <v>3</v>
      </c>
      <c r="AT257" s="526">
        <f ca="1">IF(AND(AR256=$AR$7,AS256=SUMIF(NameConv!$G$4:$M$4,MID(C256,2,3),NameConv!$G$45:$M$45)),AT256+1,AT256)</f>
        <v>7</v>
      </c>
    </row>
    <row r="258" spans="1:46">
      <c r="A258" s="883" t="str">
        <f ca="1">IF(INDEX(Demand.Sectors,MATCH(MID(C258,2,3),NameConv!$G$4:$M$4,0)),"","*")</f>
        <v/>
      </c>
      <c r="B258" s="518" t="str">
        <f t="shared" ca="1" si="21"/>
        <v>ACT_EFF</v>
      </c>
      <c r="C258" s="518" t="str">
        <f ca="1">"X"&amp;OFFSET(NameConv!$F$4,0,AT258)&amp;OFFSET(NameConv!$F$59,AS258,AT258)</f>
        <v>XUPSELC</v>
      </c>
      <c r="D258" s="518" t="str">
        <f t="shared" ca="1" si="24"/>
        <v>-</v>
      </c>
      <c r="E258" s="518" t="str">
        <f t="shared" ca="1" si="24"/>
        <v>ACTGRP</v>
      </c>
      <c r="F258" s="518" t="str">
        <f t="shared" ca="1" si="24"/>
        <v>-</v>
      </c>
      <c r="G258" s="518" t="str">
        <f t="shared" ca="1" si="24"/>
        <v>ANNUAL</v>
      </c>
      <c r="H258" s="518" t="str">
        <f t="shared" ca="1" si="24"/>
        <v>-</v>
      </c>
      <c r="I258" s="516">
        <f t="shared" ca="1" si="24"/>
        <v>0</v>
      </c>
      <c r="J258" s="518">
        <f ca="1">IF(INDEX($L$10:$L$13,MATCH($B258,$B$10:$B$13,0)),zar.2010,1)*SUMIF(NameConv!$C$4:$C$44,RIGHT(C258,3),OFFSET(INDIRECT(B258),0,AT258-1,NameConv!$A$45,1))</f>
        <v>0.97199999999999998</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495">
        <f ca="1">IF(AT257&lt;&gt;AT258,1,IF(AS257=OFFSET(NameConv!$F$45,0,AT257),AR257+1,AR257))</f>
        <v>1</v>
      </c>
      <c r="AS258" s="495">
        <f t="shared" ca="1" si="23"/>
        <v>4</v>
      </c>
      <c r="AT258" s="526">
        <f ca="1">IF(AND(AR257=$AR$7,AS257=SUMIF(NameConv!$G$4:$M$4,MID(C257,2,3),NameConv!$G$45:$M$45)),AT257+1,AT257)</f>
        <v>7</v>
      </c>
    </row>
    <row r="259" spans="1:46">
      <c r="A259" s="883" t="str">
        <f ca="1">IF(INDEX(Demand.Sectors,MATCH(MID(C259,2,3),NameConv!$G$4:$M$4,0)),"","*")</f>
        <v/>
      </c>
      <c r="B259" s="518" t="str">
        <f t="shared" ca="1" si="21"/>
        <v>ACT_EFF</v>
      </c>
      <c r="C259" s="518" t="str">
        <f ca="1">"X"&amp;OFFSET(NameConv!$F$4,0,AT259)&amp;OFFSET(NameConv!$F$59,AS259,AT259)</f>
        <v>XUPSGAS</v>
      </c>
      <c r="D259" s="518" t="str">
        <f t="shared" ca="1" si="24"/>
        <v>-</v>
      </c>
      <c r="E259" s="518" t="str">
        <f t="shared" ca="1" si="24"/>
        <v>ACTGRP</v>
      </c>
      <c r="F259" s="518" t="str">
        <f t="shared" ca="1" si="24"/>
        <v>-</v>
      </c>
      <c r="G259" s="518" t="str">
        <f t="shared" ca="1" si="24"/>
        <v>ANNUAL</v>
      </c>
      <c r="H259" s="518" t="str">
        <f t="shared" ca="1" si="24"/>
        <v>-</v>
      </c>
      <c r="I259" s="516">
        <f t="shared" ca="1" si="24"/>
        <v>0</v>
      </c>
      <c r="J259" s="518">
        <f ca="1">IF(INDEX($L$10:$L$13,MATCH($B259,$B$10:$B$13,0)),zar.2010,1)*SUMIF(NameConv!$C$4:$C$44,RIGHT(C259,3),OFFSET(INDIRECT(B259),0,AT259-1,NameConv!$A$45,1))</f>
        <v>0.999</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495">
        <f ca="1">IF(AT258&lt;&gt;AT259,1,IF(AS258=OFFSET(NameConv!$F$45,0,AT258),AR258+1,AR258))</f>
        <v>1</v>
      </c>
      <c r="AS259" s="495">
        <f t="shared" ca="1" si="23"/>
        <v>5</v>
      </c>
      <c r="AT259" s="526">
        <f ca="1">IF(AND(AR258=$AR$7,AS258=SUMIF(NameConv!$G$4:$M$4,MID(C258,2,3),NameConv!$G$45:$M$45)),AT258+1,AT258)</f>
        <v>7</v>
      </c>
    </row>
    <row r="260" spans="1:46">
      <c r="A260" s="883" t="str">
        <f ca="1">IF(INDEX(Demand.Sectors,MATCH(MID(C260,2,3),NameConv!$G$4:$M$4,0)),"","*")</f>
        <v/>
      </c>
      <c r="B260" s="518" t="str">
        <f t="shared" ca="1" si="21"/>
        <v>ACT_EFF</v>
      </c>
      <c r="C260" s="518" t="str">
        <f ca="1">"X"&amp;OFFSET(NameConv!$F$4,0,AT260)&amp;OFFSET(NameConv!$F$59,AS260,AT260)</f>
        <v>XUPSGIC</v>
      </c>
      <c r="D260" s="518" t="str">
        <f t="shared" ca="1" si="24"/>
        <v>-</v>
      </c>
      <c r="E260" s="518" t="str">
        <f t="shared" ca="1" si="24"/>
        <v>ACTGRP</v>
      </c>
      <c r="F260" s="518" t="str">
        <f t="shared" ca="1" si="24"/>
        <v>-</v>
      </c>
      <c r="G260" s="518" t="str">
        <f t="shared" ca="1" si="24"/>
        <v>ANNUAL</v>
      </c>
      <c r="H260" s="518" t="str">
        <f t="shared" ca="1" si="24"/>
        <v>-</v>
      </c>
      <c r="I260" s="516">
        <f t="shared" ca="1" si="24"/>
        <v>0</v>
      </c>
      <c r="J260" s="518">
        <f ca="1">IF(INDEX($L$10:$L$13,MATCH($B260,$B$10:$B$13,0)),zar.2010,1)*SUMIF(NameConv!$C$4:$C$44,RIGHT(C260,3),OFFSET(INDIRECT(B260),0,AT260-1,NameConv!$A$45,1))</f>
        <v>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495">
        <f ca="1">IF(AT259&lt;&gt;AT260,1,IF(AS259=OFFSET(NameConv!$F$45,0,AT259),AR259+1,AR259))</f>
        <v>1</v>
      </c>
      <c r="AS260" s="495">
        <f t="shared" ca="1" si="23"/>
        <v>6</v>
      </c>
      <c r="AT260" s="526">
        <f ca="1">IF(AND(AR259=$AR$7,AS259=SUMIF(NameConv!$G$4:$M$4,MID(C259,2,3),NameConv!$G$45:$M$45)),AT259+1,AT259)</f>
        <v>7</v>
      </c>
    </row>
    <row r="261" spans="1:46">
      <c r="A261" s="883" t="str">
        <f ca="1">IF(INDEX(Demand.Sectors,MATCH(MID(C261,2,3),NameConv!$G$4:$M$4,0)),"","*")</f>
        <v/>
      </c>
      <c r="B261" s="518" t="str">
        <f t="shared" ca="1" si="21"/>
        <v>ACT_EFF</v>
      </c>
      <c r="C261" s="518" t="str">
        <f ca="1">"X"&amp;OFFSET(NameConv!$F$4,0,AT261)&amp;OFFSET(NameConv!$F$59,AS261,AT261)</f>
        <v>XUPSHEE</v>
      </c>
      <c r="D261" s="518" t="str">
        <f t="shared" ca="1" si="24"/>
        <v>-</v>
      </c>
      <c r="E261" s="518" t="str">
        <f t="shared" ca="1" si="24"/>
        <v>ACTGRP</v>
      </c>
      <c r="F261" s="518" t="str">
        <f t="shared" ca="1" si="24"/>
        <v>-</v>
      </c>
      <c r="G261" s="518" t="str">
        <f t="shared" ca="1" si="24"/>
        <v>ANNUAL</v>
      </c>
      <c r="H261" s="518" t="str">
        <f t="shared" ca="1" si="24"/>
        <v>-</v>
      </c>
      <c r="I261" s="516">
        <f t="shared" ca="1" si="24"/>
        <v>0</v>
      </c>
      <c r="J261" s="518">
        <f ca="1">IF(INDEX($L$10:$L$13,MATCH($B261,$B$10:$B$13,0)),zar.2010,1)*SUMIF(NameConv!$C$4:$C$44,RIGHT(C261,3),OFFSET(INDIRECT(B261),0,AT261-1,NameConv!$A$45,1))</f>
        <v>1</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495">
        <f ca="1">IF(AT260&lt;&gt;AT261,1,IF(AS260=OFFSET(NameConv!$F$45,0,AT260),AR260+1,AR260))</f>
        <v>1</v>
      </c>
      <c r="AS261" s="495">
        <f t="shared" ca="1" si="23"/>
        <v>7</v>
      </c>
      <c r="AT261" s="526">
        <f ca="1">IF(AND(AR260=$AR$7,AS260=SUMIF(NameConv!$G$4:$M$4,MID(C260,2,3),NameConv!$G$45:$M$45)),AT260+1,AT260)</f>
        <v>7</v>
      </c>
    </row>
    <row r="262" spans="1:46">
      <c r="A262" s="883" t="str">
        <f ca="1">IF(INDEX(Demand.Sectors,MATCH(MID(C262,2,3),NameConv!$G$4:$M$4,0)),"","*")</f>
        <v/>
      </c>
      <c r="B262" s="518" t="str">
        <f t="shared" ca="1" si="21"/>
        <v>ACT_EFF</v>
      </c>
      <c r="C262" s="518" t="str">
        <f ca="1">"X"&amp;OFFSET(NameConv!$F$4,0,AT262)&amp;OFFSET(NameConv!$F$59,AS262,AT262)</f>
        <v>XUPSHEN</v>
      </c>
      <c r="D262" s="518" t="str">
        <f t="shared" ca="1" si="24"/>
        <v>-</v>
      </c>
      <c r="E262" s="518" t="str">
        <f t="shared" ca="1" si="24"/>
        <v>ACTGRP</v>
      </c>
      <c r="F262" s="518" t="str">
        <f t="shared" ca="1" si="24"/>
        <v>-</v>
      </c>
      <c r="G262" s="518" t="str">
        <f t="shared" ca="1" si="24"/>
        <v>ANNUAL</v>
      </c>
      <c r="H262" s="518" t="str">
        <f t="shared" ca="1" si="24"/>
        <v>-</v>
      </c>
      <c r="I262" s="516">
        <f t="shared" ca="1" si="24"/>
        <v>0</v>
      </c>
      <c r="J262" s="518">
        <f ca="1">IF(INDEX($L$10:$L$13,MATCH($B262,$B$10:$B$13,0)),zar.2010,1)*SUMIF(NameConv!$C$4:$C$44,RIGHT(C262,3),OFFSET(INDIRECT(B262),0,AT262-1,NameConv!$A$45,1))</f>
        <v>1</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495">
        <f ca="1">IF(AT261&lt;&gt;AT262,1,IF(AS261=OFFSET(NameConv!$F$45,0,AT261),AR261+1,AR261))</f>
        <v>1</v>
      </c>
      <c r="AS262" s="495">
        <f t="shared" ca="1" si="23"/>
        <v>8</v>
      </c>
      <c r="AT262" s="526">
        <f ca="1">IF(AND(AR261=$AR$7,AS261=SUMIF(NameConv!$G$4:$M$4,MID(C261,2,3),NameConv!$G$45:$M$45)),AT261+1,AT261)</f>
        <v>7</v>
      </c>
    </row>
    <row r="263" spans="1:46">
      <c r="A263" s="883" t="str">
        <f ca="1">IF(INDEX(Demand.Sectors,MATCH(MID(C263,2,3),NameConv!$G$4:$M$4,0)),"","*")</f>
        <v/>
      </c>
      <c r="B263" s="518" t="str">
        <f t="shared" ca="1" si="21"/>
        <v>ACT_EFF</v>
      </c>
      <c r="C263" s="518" t="str">
        <f ca="1">"X"&amp;OFFSET(NameConv!$F$4,0,AT263)&amp;OFFSET(NameConv!$F$59,AS263,AT263)</f>
        <v>XUPSHGN</v>
      </c>
      <c r="D263" s="518" t="str">
        <f t="shared" ca="1" si="24"/>
        <v>-</v>
      </c>
      <c r="E263" s="518" t="str">
        <f t="shared" ca="1" si="24"/>
        <v>ACTGRP</v>
      </c>
      <c r="F263" s="518" t="str">
        <f t="shared" ca="1" si="24"/>
        <v>-</v>
      </c>
      <c r="G263" s="518" t="str">
        <f t="shared" ca="1" si="24"/>
        <v>ANNUAL</v>
      </c>
      <c r="H263" s="518" t="str">
        <f t="shared" ca="1" si="24"/>
        <v>-</v>
      </c>
      <c r="I263" s="516">
        <f t="shared" ca="1" si="24"/>
        <v>0</v>
      </c>
      <c r="J263" s="518">
        <f ca="1">IF(INDEX($L$10:$L$13,MATCH($B263,$B$10:$B$13,0)),zar.2010,1)*SUMIF(NameConv!$C$4:$C$44,RIGHT(C263,3),OFFSET(INDIRECT(B263),0,AT263-1,NameConv!$A$45,1))</f>
        <v>1</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495">
        <f ca="1">IF(AT262&lt;&gt;AT263,1,IF(AS262=OFFSET(NameConv!$F$45,0,AT262),AR262+1,AR262))</f>
        <v>1</v>
      </c>
      <c r="AS263" s="495">
        <f t="shared" ca="1" si="23"/>
        <v>9</v>
      </c>
      <c r="AT263" s="526">
        <f ca="1">IF(AND(AR262=$AR$7,AS262=SUMIF(NameConv!$G$4:$M$4,MID(C262,2,3),NameConv!$G$45:$M$45)),AT262+1,AT262)</f>
        <v>7</v>
      </c>
    </row>
    <row r="264" spans="1:46">
      <c r="A264" s="883" t="str">
        <f ca="1">IF(INDEX(Demand.Sectors,MATCH(MID(C264,2,3),NameConv!$G$4:$M$4,0)),"","*")</f>
        <v/>
      </c>
      <c r="B264" s="518" t="str">
        <f t="shared" ca="1" si="21"/>
        <v>ACT_EFF</v>
      </c>
      <c r="C264" s="518" t="str">
        <f ca="1">"X"&amp;OFFSET(NameConv!$F$4,0,AT264)&amp;OFFSET(NameConv!$F$59,AS264,AT264)</f>
        <v>XUPSOCR</v>
      </c>
      <c r="D264" s="518" t="str">
        <f t="shared" ca="1" si="24"/>
        <v>-</v>
      </c>
      <c r="E264" s="518" t="str">
        <f t="shared" ca="1" si="24"/>
        <v>ACTGRP</v>
      </c>
      <c r="F264" s="518" t="str">
        <f t="shared" ca="1" si="24"/>
        <v>-</v>
      </c>
      <c r="G264" s="518" t="str">
        <f t="shared" ca="1" si="24"/>
        <v>ANNUAL</v>
      </c>
      <c r="H264" s="518" t="str">
        <f t="shared" ca="1" si="24"/>
        <v>-</v>
      </c>
      <c r="I264" s="516">
        <f t="shared" ca="1" si="24"/>
        <v>0</v>
      </c>
      <c r="J264" s="518">
        <f ca="1">IF(INDEX($L$10:$L$13,MATCH($B264,$B$10:$B$13,0)),zar.2010,1)*SUMIF(NameConv!$C$4:$C$44,RIGHT(C264,3),OFFSET(INDIRECT(B264),0,AT264-1,NameConv!$A$45,1))</f>
        <v>1</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495">
        <f ca="1">IF(AT263&lt;&gt;AT264,1,IF(AS263=OFFSET(NameConv!$F$45,0,AT263),AR263+1,AR263))</f>
        <v>1</v>
      </c>
      <c r="AS264" s="495">
        <f t="shared" ca="1" si="23"/>
        <v>10</v>
      </c>
      <c r="AT264" s="526">
        <f ca="1">IF(AND(AR263=$AR$7,AS263=SUMIF(NameConv!$G$4:$M$4,MID(C263,2,3),NameConv!$G$45:$M$45)),AT263+1,AT263)</f>
        <v>7</v>
      </c>
    </row>
    <row r="265" spans="1:46">
      <c r="A265" s="883" t="str">
        <f ca="1">IF(INDEX(Demand.Sectors,MATCH(MID(C265,2,3),NameConv!$G$4:$M$4,0)),"","*")</f>
        <v/>
      </c>
      <c r="B265" s="518" t="str">
        <f t="shared" ca="1" si="21"/>
        <v>ACT_EFF</v>
      </c>
      <c r="C265" s="518" t="str">
        <f ca="1">"X"&amp;OFFSET(NameConv!$F$4,0,AT265)&amp;OFFSET(NameConv!$F$59,AS265,AT265)</f>
        <v>XUPSOHF</v>
      </c>
      <c r="D265" s="518" t="str">
        <f t="shared" ca="1" si="24"/>
        <v>-</v>
      </c>
      <c r="E265" s="518" t="str">
        <f t="shared" ca="1" si="24"/>
        <v>ACTGRP</v>
      </c>
      <c r="F265" s="518" t="str">
        <f t="shared" ca="1" si="24"/>
        <v>-</v>
      </c>
      <c r="G265" s="518" t="str">
        <f t="shared" ca="1" si="24"/>
        <v>ANNUAL</v>
      </c>
      <c r="H265" s="518" t="str">
        <f t="shared" ca="1" si="24"/>
        <v>-</v>
      </c>
      <c r="I265" s="516">
        <f t="shared" ca="1" si="24"/>
        <v>0</v>
      </c>
      <c r="J265" s="518">
        <f ca="1">IF(INDEX($L$10:$L$13,MATCH($B265,$B$10:$B$13,0)),zar.2010,1)*SUMIF(NameConv!$C$4:$C$44,RIGHT(C265,3),OFFSET(INDIRECT(B265),0,AT265-1,NameConv!$A$45,1))</f>
        <v>1</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495">
        <f ca="1">IF(AT264&lt;&gt;AT265,1,IF(AS264=OFFSET(NameConv!$F$45,0,AT264),AR264+1,AR264))</f>
        <v>1</v>
      </c>
      <c r="AS265" s="495">
        <f t="shared" ca="1" si="23"/>
        <v>11</v>
      </c>
      <c r="AT265" s="526">
        <f ca="1">IF(AND(AR264=$AR$7,AS264=SUMIF(NameConv!$G$4:$M$4,MID(C264,2,3),NameConv!$G$45:$M$45)),AT264+1,AT264)</f>
        <v>7</v>
      </c>
    </row>
    <row r="266" spans="1:46">
      <c r="A266" s="883" t="str">
        <f ca="1">IF(INDEX(Demand.Sectors,MATCH(MID(C266,2,3),NameConv!$G$4:$M$4,0)),"","*")</f>
        <v/>
      </c>
      <c r="B266" s="518" t="str">
        <f t="shared" ca="1" si="21"/>
        <v>NCAP_COST</v>
      </c>
      <c r="C266" s="518" t="str">
        <f ca="1">"X"&amp;OFFSET(NameConv!$F$4,0,AT266)&amp;OFFSET(NameConv!$F$59,AS266,AT266)</f>
        <v>XUPSBIE</v>
      </c>
      <c r="D266" s="518" t="str">
        <f t="shared" ca="1" si="24"/>
        <v>-</v>
      </c>
      <c r="E266" s="518" t="str">
        <f t="shared" ca="1" si="24"/>
        <v>-</v>
      </c>
      <c r="F266" s="518" t="str">
        <f t="shared" ca="1" si="24"/>
        <v>-</v>
      </c>
      <c r="G266" s="518" t="str">
        <f t="shared" ca="1" si="24"/>
        <v>-</v>
      </c>
      <c r="H266" s="518" t="str">
        <f t="shared" ca="1" si="24"/>
        <v>-</v>
      </c>
      <c r="I266" s="516">
        <f t="shared" ca="1" si="24"/>
        <v>0</v>
      </c>
      <c r="J266" s="518">
        <f ca="1">IF(INDEX($L$10:$L$13,MATCH($B266,$B$10:$B$13,0)),zar.2010,1)*SUMIF(NameConv!$C$4:$C$44,RIGHT(C266,3),OFFSET(INDIRECT(B266),0,AT266-1,NameConv!$A$45,1))</f>
        <v>1.3094103081137337E-4</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495">
        <f ca="1">IF(AT265&lt;&gt;AT266,1,IF(AS265=OFFSET(NameConv!$F$45,0,AT265),AR265+1,AR265))</f>
        <v>2</v>
      </c>
      <c r="AS266" s="495">
        <f t="shared" ca="1" si="23"/>
        <v>1</v>
      </c>
      <c r="AT266" s="526">
        <f ca="1">IF(AND(AR265=$AR$7,AS265=SUMIF(NameConv!$G$4:$M$4,MID(C265,2,3),NameConv!$G$45:$M$45)),AT265+1,AT265)</f>
        <v>7</v>
      </c>
    </row>
    <row r="267" spans="1:46">
      <c r="A267" s="883" t="str">
        <f ca="1">IF(INDEX(Demand.Sectors,MATCH(MID(C267,2,3),NameConv!$G$4:$M$4,0)),"","*")</f>
        <v/>
      </c>
      <c r="B267" s="518" t="str">
        <f t="shared" ca="1" si="21"/>
        <v>NCAP_COST</v>
      </c>
      <c r="C267" s="518" t="str">
        <f ca="1">"X"&amp;OFFSET(NameConv!$F$4,0,AT267)&amp;OFFSET(NameConv!$F$59,AS267,AT267)</f>
        <v>XUPSBID</v>
      </c>
      <c r="D267" s="518" t="str">
        <f t="shared" ref="D267:I283" ca="1" si="25">IF($A267="*","",VLOOKUP($B267,$B$10:$I$13,D$9,FALSE))</f>
        <v>-</v>
      </c>
      <c r="E267" s="518" t="str">
        <f t="shared" ca="1" si="25"/>
        <v>-</v>
      </c>
      <c r="F267" s="518" t="str">
        <f t="shared" ca="1" si="25"/>
        <v>-</v>
      </c>
      <c r="G267" s="518" t="str">
        <f t="shared" ca="1" si="25"/>
        <v>-</v>
      </c>
      <c r="H267" s="518" t="str">
        <f t="shared" ca="1" si="25"/>
        <v>-</v>
      </c>
      <c r="I267" s="516">
        <f t="shared" ca="1" si="25"/>
        <v>0</v>
      </c>
      <c r="J267" s="518">
        <f ca="1">IF(INDEX($L$10:$L$13,MATCH($B267,$B$10:$B$13,0)),zar.2010,1)*SUMIF(NameConv!$C$4:$C$44,RIGHT(C267,3),OFFSET(INDIRECT(B267),0,AT267-1,NameConv!$A$45,1))</f>
        <v>1.3094103081137337E-4</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495">
        <f ca="1">IF(AT266&lt;&gt;AT267,1,IF(AS266=OFFSET(NameConv!$F$45,0,AT266),AR266+1,AR266))</f>
        <v>2</v>
      </c>
      <c r="AS267" s="495">
        <f t="shared" ca="1" si="23"/>
        <v>2</v>
      </c>
      <c r="AT267" s="526">
        <f ca="1">IF(AND(AR266=$AR$7,AS266=SUMIF(NameConv!$G$4:$M$4,MID(C266,2,3),NameConv!$G$45:$M$45)),AT266+1,AT266)</f>
        <v>7</v>
      </c>
    </row>
    <row r="268" spans="1:46">
      <c r="A268" s="883" t="str">
        <f ca="1">IF(INDEX(Demand.Sectors,MATCH(MID(C268,2,3),NameConv!$G$4:$M$4,0)),"","*")</f>
        <v/>
      </c>
      <c r="B268" s="518" t="str">
        <f t="shared" ca="1" si="21"/>
        <v>NCAP_COST</v>
      </c>
      <c r="C268" s="518" t="str">
        <f ca="1">"X"&amp;OFFSET(NameConv!$F$4,0,AT268)&amp;OFFSET(NameConv!$F$59,AS268,AT268)</f>
        <v>XUPSCLE</v>
      </c>
      <c r="D268" s="518" t="str">
        <f t="shared" ca="1" si="25"/>
        <v>-</v>
      </c>
      <c r="E268" s="518" t="str">
        <f t="shared" ca="1" si="25"/>
        <v>-</v>
      </c>
      <c r="F268" s="518" t="str">
        <f t="shared" ca="1" si="25"/>
        <v>-</v>
      </c>
      <c r="G268" s="518" t="str">
        <f t="shared" ca="1" si="25"/>
        <v>-</v>
      </c>
      <c r="H268" s="518" t="str">
        <f t="shared" ca="1" si="25"/>
        <v>-</v>
      </c>
      <c r="I268" s="516">
        <f t="shared" ca="1" si="25"/>
        <v>0</v>
      </c>
      <c r="J268" s="518">
        <f ca="1">IF(INDEX($L$10:$L$13,MATCH($B268,$B$10:$B$13,0)),zar.2010,1)*SUMIF(NameConv!$C$4:$C$44,RIGHT(C268,3),OFFSET(INDIRECT(B268),0,AT268-1,NameConv!$A$45,1))</f>
        <v>1.3094103081137337E-4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495">
        <f ca="1">IF(AT267&lt;&gt;AT268,1,IF(AS267=OFFSET(NameConv!$F$45,0,AT267),AR267+1,AR267))</f>
        <v>2</v>
      </c>
      <c r="AS268" s="495">
        <f t="shared" ca="1" si="23"/>
        <v>3</v>
      </c>
      <c r="AT268" s="526">
        <f ca="1">IF(AND(AR267=$AR$7,AS267=SUMIF(NameConv!$G$4:$M$4,MID(C267,2,3),NameConv!$G$45:$M$45)),AT267+1,AT267)</f>
        <v>7</v>
      </c>
    </row>
    <row r="269" spans="1:46">
      <c r="A269" s="883" t="str">
        <f ca="1">IF(INDEX(Demand.Sectors,MATCH(MID(C269,2,3),NameConv!$G$4:$M$4,0)),"","*")</f>
        <v/>
      </c>
      <c r="B269" s="518" t="str">
        <f t="shared" ca="1" si="21"/>
        <v>NCAP_COST</v>
      </c>
      <c r="C269" s="518" t="str">
        <f ca="1">"X"&amp;OFFSET(NameConv!$F$4,0,AT269)&amp;OFFSET(NameConv!$F$59,AS269,AT269)</f>
        <v>XUPSELC</v>
      </c>
      <c r="D269" s="518" t="str">
        <f t="shared" ca="1" si="25"/>
        <v>-</v>
      </c>
      <c r="E269" s="518" t="str">
        <f t="shared" ca="1" si="25"/>
        <v>-</v>
      </c>
      <c r="F269" s="518" t="str">
        <f t="shared" ca="1" si="25"/>
        <v>-</v>
      </c>
      <c r="G269" s="518" t="str">
        <f t="shared" ca="1" si="25"/>
        <v>-</v>
      </c>
      <c r="H269" s="518" t="str">
        <f t="shared" ca="1" si="25"/>
        <v>-</v>
      </c>
      <c r="I269" s="516">
        <f t="shared" ca="1" si="25"/>
        <v>0</v>
      </c>
      <c r="J269" s="518">
        <f ca="1">IF(INDEX($L$10:$L$13,MATCH($B269,$B$10:$B$13,0)),zar.2010,1)*SUMIF(NameConv!$C$4:$C$44,RIGHT(C269,3),OFFSET(INDIRECT(B269),0,AT269-1,NameConv!$A$45,1))</f>
        <v>7717.2993805980068</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495">
        <f ca="1">IF(AT268&lt;&gt;AT269,1,IF(AS268=OFFSET(NameConv!$F$45,0,AT268),AR268+1,AR268))</f>
        <v>2</v>
      </c>
      <c r="AS269" s="495">
        <f t="shared" ca="1" si="23"/>
        <v>4</v>
      </c>
      <c r="AT269" s="526">
        <f ca="1">IF(AND(AR268=$AR$7,AS268=SUMIF(NameConv!$G$4:$M$4,MID(C268,2,3),NameConv!$G$45:$M$45)),AT268+1,AT268)</f>
        <v>7</v>
      </c>
    </row>
    <row r="270" spans="1:46">
      <c r="A270" s="883" t="str">
        <f ca="1">IF(INDEX(Demand.Sectors,MATCH(MID(C270,2,3),NameConv!$G$4:$M$4,0)),"","*")</f>
        <v/>
      </c>
      <c r="B270" s="518" t="str">
        <f t="shared" ca="1" si="21"/>
        <v>NCAP_COST</v>
      </c>
      <c r="C270" s="518" t="str">
        <f ca="1">"X"&amp;OFFSET(NameConv!$F$4,0,AT270)&amp;OFFSET(NameConv!$F$59,AS270,AT270)</f>
        <v>XUPSGAS</v>
      </c>
      <c r="D270" s="518" t="str">
        <f t="shared" ca="1" si="25"/>
        <v>-</v>
      </c>
      <c r="E270" s="518" t="str">
        <f t="shared" ca="1" si="25"/>
        <v>-</v>
      </c>
      <c r="F270" s="518" t="str">
        <f t="shared" ca="1" si="25"/>
        <v>-</v>
      </c>
      <c r="G270" s="518" t="str">
        <f t="shared" ca="1" si="25"/>
        <v>-</v>
      </c>
      <c r="H270" s="518" t="str">
        <f t="shared" ca="1" si="25"/>
        <v>-</v>
      </c>
      <c r="I270" s="516">
        <f t="shared" ca="1" si="25"/>
        <v>0</v>
      </c>
      <c r="J270" s="518">
        <f ca="1">IF(INDEX($L$10:$L$13,MATCH($B270,$B$10:$B$13,0)),zar.2010,1)*SUMIF(NameConv!$C$4:$C$44,RIGHT(C270,3),OFFSET(INDIRECT(B270),0,AT270-1,NameConv!$A$45,1))</f>
        <v>36.456686277886632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495">
        <f ca="1">IF(AT269&lt;&gt;AT270,1,IF(AS269=OFFSET(NameConv!$F$45,0,AT269),AR269+1,AR269))</f>
        <v>2</v>
      </c>
      <c r="AS270" s="495">
        <f t="shared" ca="1" si="23"/>
        <v>5</v>
      </c>
      <c r="AT270" s="526">
        <f ca="1">IF(AND(AR269=$AR$7,AS269=SUMIF(NameConv!$G$4:$M$4,MID(C269,2,3),NameConv!$G$45:$M$45)),AT269+1,AT269)</f>
        <v>7</v>
      </c>
    </row>
    <row r="271" spans="1:46">
      <c r="A271" s="883" t="str">
        <f ca="1">IF(INDEX(Demand.Sectors,MATCH(MID(C271,2,3),NameConv!$G$4:$M$4,0)),"","*")</f>
        <v/>
      </c>
      <c r="B271" s="518" t="str">
        <f t="shared" ref="B271:B286" ca="1" si="26">IF(A271="*","",VLOOKUP("*"&amp;AR271,$A$9:$B$13,2,FALSE))</f>
        <v>NCAP_COST</v>
      </c>
      <c r="C271" s="518" t="str">
        <f ca="1">"X"&amp;OFFSET(NameConv!$F$4,0,AT271)&amp;OFFSET(NameConv!$F$59,AS271,AT271)</f>
        <v>XUPSGIC</v>
      </c>
      <c r="D271" s="518" t="str">
        <f t="shared" ca="1" si="25"/>
        <v>-</v>
      </c>
      <c r="E271" s="518" t="str">
        <f t="shared" ca="1" si="25"/>
        <v>-</v>
      </c>
      <c r="F271" s="518" t="str">
        <f t="shared" ca="1" si="25"/>
        <v>-</v>
      </c>
      <c r="G271" s="518" t="str">
        <f t="shared" ca="1" si="25"/>
        <v>-</v>
      </c>
      <c r="H271" s="518" t="str">
        <f t="shared" ca="1" si="25"/>
        <v>-</v>
      </c>
      <c r="I271" s="516">
        <f t="shared" ca="1" si="25"/>
        <v>0</v>
      </c>
      <c r="J271" s="518">
        <f ca="1">IF(INDEX($L$10:$L$13,MATCH($B271,$B$10:$B$13,0)),zar.2010,1)*SUMIF(NameConv!$C$4:$C$44,RIGHT(C271,3),OFFSET(INDIRECT(B271),0,AT271-1,NameConv!$A$45,1))</f>
        <v>1.3094103081137337E-4</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495">
        <f ca="1">IF(AT270&lt;&gt;AT271,1,IF(AS270=OFFSET(NameConv!$F$45,0,AT270),AR270+1,AR270))</f>
        <v>2</v>
      </c>
      <c r="AS271" s="495">
        <f t="shared" ca="1" si="23"/>
        <v>6</v>
      </c>
      <c r="AT271" s="526">
        <f ca="1">IF(AND(AR270=$AR$7,AS270=SUMIF(NameConv!$G$4:$M$4,MID(C270,2,3),NameConv!$G$45:$M$45)),AT270+1,AT270)</f>
        <v>7</v>
      </c>
    </row>
    <row r="272" spans="1:46">
      <c r="A272" s="883" t="str">
        <f ca="1">IF(INDEX(Demand.Sectors,MATCH(MID(C272,2,3),NameConv!$G$4:$M$4,0)),"","*")</f>
        <v/>
      </c>
      <c r="B272" s="518" t="str">
        <f t="shared" ca="1" si="26"/>
        <v>NCAP_COST</v>
      </c>
      <c r="C272" s="518" t="str">
        <f ca="1">"X"&amp;OFFSET(NameConv!$F$4,0,AT272)&amp;OFFSET(NameConv!$F$59,AS272,AT272)</f>
        <v>XUPSHEE</v>
      </c>
      <c r="D272" s="518" t="str">
        <f t="shared" ca="1" si="25"/>
        <v>-</v>
      </c>
      <c r="E272" s="518" t="str">
        <f t="shared" ca="1" si="25"/>
        <v>-</v>
      </c>
      <c r="F272" s="518" t="str">
        <f t="shared" ca="1" si="25"/>
        <v>-</v>
      </c>
      <c r="G272" s="518" t="str">
        <f t="shared" ca="1" si="25"/>
        <v>-</v>
      </c>
      <c r="H272" s="518" t="str">
        <f t="shared" ca="1" si="25"/>
        <v>-</v>
      </c>
      <c r="I272" s="516">
        <f t="shared" ca="1" si="25"/>
        <v>0</v>
      </c>
      <c r="J272" s="518">
        <f ca="1">IF(INDEX($L$10:$L$13,MATCH($B272,$B$10:$B$13,0)),zar.2010,1)*SUMIF(NameConv!$C$4:$C$44,RIGHT(C272,3),OFFSET(INDIRECT(B272),0,AT272-1,NameConv!$A$45,1))</f>
        <v>1.3094103081137337E-4</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495">
        <f ca="1">IF(AT271&lt;&gt;AT272,1,IF(AS271=OFFSET(NameConv!$F$45,0,AT271),AR271+1,AR271))</f>
        <v>2</v>
      </c>
      <c r="AS272" s="495">
        <f t="shared" ca="1" si="23"/>
        <v>7</v>
      </c>
      <c r="AT272" s="526">
        <f ca="1">IF(AND(AR271=$AR$7,AS271=SUMIF(NameConv!$G$4:$M$4,MID(C271,2,3),NameConv!$G$45:$M$45)),AT271+1,AT271)</f>
        <v>7</v>
      </c>
    </row>
    <row r="273" spans="1:46">
      <c r="A273" s="883" t="str">
        <f ca="1">IF(INDEX(Demand.Sectors,MATCH(MID(C273,2,3),NameConv!$G$4:$M$4,0)),"","*")</f>
        <v/>
      </c>
      <c r="B273" s="518" t="str">
        <f t="shared" ca="1" si="26"/>
        <v>NCAP_COST</v>
      </c>
      <c r="C273" s="518" t="str">
        <f ca="1">"X"&amp;OFFSET(NameConv!$F$4,0,AT273)&amp;OFFSET(NameConv!$F$59,AS273,AT273)</f>
        <v>XUPSHEN</v>
      </c>
      <c r="D273" s="518" t="str">
        <f t="shared" ca="1" si="25"/>
        <v>-</v>
      </c>
      <c r="E273" s="518" t="str">
        <f t="shared" ca="1" si="25"/>
        <v>-</v>
      </c>
      <c r="F273" s="518" t="str">
        <f t="shared" ca="1" si="25"/>
        <v>-</v>
      </c>
      <c r="G273" s="518" t="str">
        <f t="shared" ca="1" si="25"/>
        <v>-</v>
      </c>
      <c r="H273" s="518" t="str">
        <f t="shared" ca="1" si="25"/>
        <v>-</v>
      </c>
      <c r="I273" s="516">
        <f t="shared" ca="1" si="25"/>
        <v>0</v>
      </c>
      <c r="J273" s="518">
        <f ca="1">IF(INDEX($L$10:$L$13,MATCH($B273,$B$10:$B$13,0)),zar.2010,1)*SUMIF(NameConv!$C$4:$C$44,RIGHT(C273,3),OFFSET(INDIRECT(B273),0,AT273-1,NameConv!$A$45,1))</f>
        <v>1.3094103081137337E-4</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495">
        <f ca="1">IF(AT272&lt;&gt;AT273,1,IF(AS272=OFFSET(NameConv!$F$45,0,AT272),AR272+1,AR272))</f>
        <v>2</v>
      </c>
      <c r="AS273" s="495">
        <f t="shared" ca="1" si="23"/>
        <v>8</v>
      </c>
      <c r="AT273" s="526">
        <f ca="1">IF(AND(AR272=$AR$7,AS272=SUMIF(NameConv!$G$4:$M$4,MID(C272,2,3),NameConv!$G$45:$M$45)),AT272+1,AT272)</f>
        <v>7</v>
      </c>
    </row>
    <row r="274" spans="1:46">
      <c r="A274" s="883" t="str">
        <f ca="1">IF(INDEX(Demand.Sectors,MATCH(MID(C274,2,3),NameConv!$G$4:$M$4,0)),"","*")</f>
        <v/>
      </c>
      <c r="B274" s="518" t="str">
        <f t="shared" ca="1" si="26"/>
        <v>NCAP_COST</v>
      </c>
      <c r="C274" s="518" t="str">
        <f ca="1">"X"&amp;OFFSET(NameConv!$F$4,0,AT274)&amp;OFFSET(NameConv!$F$59,AS274,AT274)</f>
        <v>XUPSHGN</v>
      </c>
      <c r="D274" s="518" t="str">
        <f t="shared" ca="1" si="25"/>
        <v>-</v>
      </c>
      <c r="E274" s="518" t="str">
        <f t="shared" ca="1" si="25"/>
        <v>-</v>
      </c>
      <c r="F274" s="518" t="str">
        <f t="shared" ca="1" si="25"/>
        <v>-</v>
      </c>
      <c r="G274" s="518" t="str">
        <f t="shared" ca="1" si="25"/>
        <v>-</v>
      </c>
      <c r="H274" s="518" t="str">
        <f t="shared" ca="1" si="25"/>
        <v>-</v>
      </c>
      <c r="I274" s="516">
        <f t="shared" ca="1" si="25"/>
        <v>0</v>
      </c>
      <c r="J274" s="518">
        <f ca="1">IF(INDEX($L$10:$L$13,MATCH($B274,$B$10:$B$13,0)),zar.2010,1)*SUMIF(NameConv!$C$4:$C$44,RIGHT(C274,3),OFFSET(INDIRECT(B274),0,AT274-1,NameConv!$A$45,1))</f>
        <v>1.3094103081137337E-4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495">
        <f ca="1">IF(AT273&lt;&gt;AT274,1,IF(AS273=OFFSET(NameConv!$F$45,0,AT273),AR273+1,AR273))</f>
        <v>2</v>
      </c>
      <c r="AS274" s="495">
        <f t="shared" ca="1" si="23"/>
        <v>9</v>
      </c>
      <c r="AT274" s="526">
        <f ca="1">IF(AND(AR273=$AR$7,AS273=SUMIF(NameConv!$G$4:$M$4,MID(C273,2,3),NameConv!$G$45:$M$45)),AT273+1,AT273)</f>
        <v>7</v>
      </c>
    </row>
    <row r="275" spans="1:46">
      <c r="A275" s="883" t="str">
        <f ca="1">IF(INDEX(Demand.Sectors,MATCH(MID(C275,2,3),NameConv!$G$4:$M$4,0)),"","*")</f>
        <v/>
      </c>
      <c r="B275" s="518" t="str">
        <f t="shared" ca="1" si="26"/>
        <v>NCAP_COST</v>
      </c>
      <c r="C275" s="518" t="str">
        <f ca="1">"X"&amp;OFFSET(NameConv!$F$4,0,AT275)&amp;OFFSET(NameConv!$F$59,AS275,AT275)</f>
        <v>XUPSOCR</v>
      </c>
      <c r="D275" s="518" t="str">
        <f t="shared" ca="1" si="25"/>
        <v>-</v>
      </c>
      <c r="E275" s="518" t="str">
        <f t="shared" ca="1" si="25"/>
        <v>-</v>
      </c>
      <c r="F275" s="518" t="str">
        <f t="shared" ca="1" si="25"/>
        <v>-</v>
      </c>
      <c r="G275" s="518" t="str">
        <f t="shared" ca="1" si="25"/>
        <v>-</v>
      </c>
      <c r="H275" s="518" t="str">
        <f t="shared" ca="1" si="25"/>
        <v>-</v>
      </c>
      <c r="I275" s="516">
        <f t="shared" ca="1" si="25"/>
        <v>0</v>
      </c>
      <c r="J275" s="518">
        <f ca="1">IF(INDEX($L$10:$L$13,MATCH($B275,$B$10:$B$13,0)),zar.2010,1)*SUMIF(NameConv!$C$4:$C$44,RIGHT(C275,3),OFFSET(INDIRECT(B275),0,AT275-1,NameConv!$A$45,1))</f>
        <v>1.3094103081137337E-4</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495">
        <f ca="1">IF(AT274&lt;&gt;AT275,1,IF(AS274=OFFSET(NameConv!$F$45,0,AT274),AR274+1,AR274))</f>
        <v>2</v>
      </c>
      <c r="AS275" s="495">
        <f t="shared" ca="1" si="23"/>
        <v>10</v>
      </c>
      <c r="AT275" s="526">
        <f ca="1">IF(AND(AR274=$AR$7,AS274=SUMIF(NameConv!$G$4:$M$4,MID(C274,2,3),NameConv!$G$45:$M$45)),AT274+1,AT274)</f>
        <v>7</v>
      </c>
    </row>
    <row r="276" spans="1:46">
      <c r="A276" s="883" t="str">
        <f ca="1">IF(INDEX(Demand.Sectors,MATCH(MID(C276,2,3),NameConv!$G$4:$M$4,0)),"","*")</f>
        <v/>
      </c>
      <c r="B276" s="518" t="str">
        <f t="shared" ca="1" si="26"/>
        <v>NCAP_COST</v>
      </c>
      <c r="C276" s="518" t="str">
        <f ca="1">"X"&amp;OFFSET(NameConv!$F$4,0,AT276)&amp;OFFSET(NameConv!$F$59,AS276,AT276)</f>
        <v>XUPSOHF</v>
      </c>
      <c r="D276" s="518" t="str">
        <f t="shared" ca="1" si="25"/>
        <v>-</v>
      </c>
      <c r="E276" s="518" t="str">
        <f t="shared" ca="1" si="25"/>
        <v>-</v>
      </c>
      <c r="F276" s="518" t="str">
        <f t="shared" ca="1" si="25"/>
        <v>-</v>
      </c>
      <c r="G276" s="518" t="str">
        <f t="shared" ca="1" si="25"/>
        <v>-</v>
      </c>
      <c r="H276" s="518" t="str">
        <f t="shared" ca="1" si="25"/>
        <v>-</v>
      </c>
      <c r="I276" s="516">
        <f t="shared" ca="1" si="25"/>
        <v>0</v>
      </c>
      <c r="J276" s="518">
        <f ca="1">IF(INDEX($L$10:$L$13,MATCH($B276,$B$10:$B$13,0)),zar.2010,1)*SUMIF(NameConv!$C$4:$C$44,RIGHT(C276,3),OFFSET(INDIRECT(B276),0,AT276-1,NameConv!$A$45,1))</f>
        <v>1.3094103081137337E-4</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495">
        <f ca="1">IF(AT275&lt;&gt;AT276,1,IF(AS275=OFFSET(NameConv!$F$45,0,AT275),AR275+1,AR275))</f>
        <v>2</v>
      </c>
      <c r="AS276" s="495">
        <f t="shared" ca="1" si="23"/>
        <v>11</v>
      </c>
      <c r="AT276" s="526">
        <f ca="1">IF(AND(AR275=$AR$7,AS275=SUMIF(NameConv!$G$4:$M$4,MID(C275,2,3),NameConv!$G$45:$M$45)),AT275+1,AT275)</f>
        <v>7</v>
      </c>
    </row>
    <row r="277" spans="1:46">
      <c r="A277" s="883" t="str">
        <f ca="1">IF(INDEX(Demand.Sectors,MATCH(MID(C277,2,3),NameConv!$G$4:$M$4,0)),"","*")</f>
        <v/>
      </c>
      <c r="B277" s="518" t="str">
        <f t="shared" ca="1" si="26"/>
        <v>NCAP_TLIFE</v>
      </c>
      <c r="C277" s="518" t="str">
        <f ca="1">"X"&amp;OFFSET(NameConv!$F$4,0,AT277)&amp;OFFSET(NameConv!$F$59,AS277,AT277)</f>
        <v>XUPSBIE</v>
      </c>
      <c r="D277" s="518" t="str">
        <f t="shared" ca="1" si="25"/>
        <v>-</v>
      </c>
      <c r="E277" s="518" t="str">
        <f t="shared" ca="1" si="25"/>
        <v>-</v>
      </c>
      <c r="F277" s="518" t="str">
        <f t="shared" ca="1" si="25"/>
        <v>-</v>
      </c>
      <c r="G277" s="518" t="str">
        <f t="shared" ca="1" si="25"/>
        <v>-</v>
      </c>
      <c r="H277" s="518" t="str">
        <f t="shared" ca="1" si="25"/>
        <v>-</v>
      </c>
      <c r="I277" s="516">
        <f t="shared" ca="1" si="25"/>
        <v>0</v>
      </c>
      <c r="J277" s="518">
        <f ca="1">IF(INDEX($L$10:$L$13,MATCH($B277,$B$10:$B$13,0)),zar.2010,1)*SUMIF(NameConv!$C$4:$C$44,RIGHT(C277,3),OFFSET(INDIRECT(B277),0,AT277-1,NameConv!$A$45,1))</f>
        <v>60</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495">
        <f ca="1">IF(AT276&lt;&gt;AT277,1,IF(AS276=OFFSET(NameConv!$F$45,0,AT276),AR276+1,AR276))</f>
        <v>3</v>
      </c>
      <c r="AS277" s="495">
        <f t="shared" ca="1" si="23"/>
        <v>1</v>
      </c>
      <c r="AT277" s="526">
        <f ca="1">IF(AND(AR276=$AR$7,AS276=SUMIF(NameConv!$G$4:$M$4,MID(C276,2,3),NameConv!$G$45:$M$45)),AT276+1,AT276)</f>
        <v>7</v>
      </c>
    </row>
    <row r="278" spans="1:46">
      <c r="A278" s="883" t="str">
        <f ca="1">IF(INDEX(Demand.Sectors,MATCH(MID(C278,2,3),NameConv!$G$4:$M$4,0)),"","*")</f>
        <v/>
      </c>
      <c r="B278" s="518" t="str">
        <f t="shared" ca="1" si="26"/>
        <v>NCAP_TLIFE</v>
      </c>
      <c r="C278" s="518" t="str">
        <f ca="1">"X"&amp;OFFSET(NameConv!$F$4,0,AT278)&amp;OFFSET(NameConv!$F$59,AS278,AT278)</f>
        <v>XUPSBID</v>
      </c>
      <c r="D278" s="518" t="str">
        <f t="shared" ca="1" si="25"/>
        <v>-</v>
      </c>
      <c r="E278" s="518" t="str">
        <f t="shared" ca="1" si="25"/>
        <v>-</v>
      </c>
      <c r="F278" s="518" t="str">
        <f t="shared" ca="1" si="25"/>
        <v>-</v>
      </c>
      <c r="G278" s="518" t="str">
        <f t="shared" ca="1" si="25"/>
        <v>-</v>
      </c>
      <c r="H278" s="518" t="str">
        <f t="shared" ca="1" si="25"/>
        <v>-</v>
      </c>
      <c r="I278" s="516">
        <f t="shared" ca="1" si="25"/>
        <v>0</v>
      </c>
      <c r="J278" s="518">
        <f ca="1">IF(INDEX($L$10:$L$13,MATCH($B278,$B$10:$B$13,0)),zar.2010,1)*SUMIF(NameConv!$C$4:$C$44,RIGHT(C278,3),OFFSET(INDIRECT(B278),0,AT278-1,NameConv!$A$45,1))</f>
        <v>60</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495">
        <f ca="1">IF(AT277&lt;&gt;AT278,1,IF(AS277=OFFSET(NameConv!$F$45,0,AT277),AR277+1,AR277))</f>
        <v>3</v>
      </c>
      <c r="AS278" s="495">
        <f t="shared" ca="1" si="23"/>
        <v>2</v>
      </c>
      <c r="AT278" s="526">
        <f ca="1">IF(AND(AR277=$AR$7,AS277=SUMIF(NameConv!$G$4:$M$4,MID(C277,2,3),NameConv!$G$45:$M$45)),AT277+1,AT277)</f>
        <v>7</v>
      </c>
    </row>
    <row r="279" spans="1:46">
      <c r="A279" s="883" t="str">
        <f ca="1">IF(INDEX(Demand.Sectors,MATCH(MID(C279,2,3),NameConv!$G$4:$M$4,0)),"","*")</f>
        <v/>
      </c>
      <c r="B279" s="518" t="str">
        <f t="shared" ca="1" si="26"/>
        <v>NCAP_TLIFE</v>
      </c>
      <c r="C279" s="518" t="str">
        <f ca="1">"X"&amp;OFFSET(NameConv!$F$4,0,AT279)&amp;OFFSET(NameConv!$F$59,AS279,AT279)</f>
        <v>XUPSCLE</v>
      </c>
      <c r="D279" s="518" t="str">
        <f t="shared" ca="1" si="25"/>
        <v>-</v>
      </c>
      <c r="E279" s="518" t="str">
        <f t="shared" ca="1" si="25"/>
        <v>-</v>
      </c>
      <c r="F279" s="518" t="str">
        <f t="shared" ca="1" si="25"/>
        <v>-</v>
      </c>
      <c r="G279" s="518" t="str">
        <f t="shared" ca="1" si="25"/>
        <v>-</v>
      </c>
      <c r="H279" s="518" t="str">
        <f t="shared" ca="1" si="25"/>
        <v>-</v>
      </c>
      <c r="I279" s="516">
        <f t="shared" ca="1" si="25"/>
        <v>0</v>
      </c>
      <c r="J279" s="518">
        <f ca="1">IF(INDEX($L$10:$L$13,MATCH($B279,$B$10:$B$13,0)),zar.2010,1)*SUMIF(NameConv!$C$4:$C$44,RIGHT(C279,3),OFFSET(INDIRECT(B279),0,AT279-1,NameConv!$A$45,1))</f>
        <v>60</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495">
        <f ca="1">IF(AT278&lt;&gt;AT279,1,IF(AS278=OFFSET(NameConv!$F$45,0,AT278),AR278+1,AR278))</f>
        <v>3</v>
      </c>
      <c r="AS279" s="495">
        <f t="shared" ca="1" si="23"/>
        <v>3</v>
      </c>
      <c r="AT279" s="526">
        <f ca="1">IF(AND(AR278=$AR$7,AS278=SUMIF(NameConv!$G$4:$M$4,MID(C278,2,3),NameConv!$G$45:$M$45)),AT278+1,AT278)</f>
        <v>7</v>
      </c>
    </row>
    <row r="280" spans="1:46">
      <c r="A280" s="883" t="str">
        <f ca="1">IF(INDEX(Demand.Sectors,MATCH(MID(C280,2,3),NameConv!$G$4:$M$4,0)),"","*")</f>
        <v/>
      </c>
      <c r="B280" s="518" t="str">
        <f t="shared" ca="1" si="26"/>
        <v>NCAP_TLIFE</v>
      </c>
      <c r="C280" s="518" t="str">
        <f ca="1">"X"&amp;OFFSET(NameConv!$F$4,0,AT280)&amp;OFFSET(NameConv!$F$59,AS280,AT280)</f>
        <v>XUPSELC</v>
      </c>
      <c r="D280" s="518" t="str">
        <f t="shared" ca="1" si="25"/>
        <v>-</v>
      </c>
      <c r="E280" s="518" t="str">
        <f t="shared" ca="1" si="25"/>
        <v>-</v>
      </c>
      <c r="F280" s="518" t="str">
        <f t="shared" ca="1" si="25"/>
        <v>-</v>
      </c>
      <c r="G280" s="518" t="str">
        <f t="shared" ca="1" si="25"/>
        <v>-</v>
      </c>
      <c r="H280" s="518" t="str">
        <f t="shared" ca="1" si="25"/>
        <v>-</v>
      </c>
      <c r="I280" s="516">
        <f t="shared" ca="1" si="25"/>
        <v>0</v>
      </c>
      <c r="J280" s="518">
        <f ca="1">IF(INDEX($L$10:$L$13,MATCH($B280,$B$10:$B$13,0)),zar.2010,1)*SUMIF(NameConv!$C$4:$C$44,RIGHT(C280,3),OFFSET(INDIRECT(B280),0,AT280-1,NameConv!$A$45,1))</f>
        <v>60</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495">
        <f ca="1">IF(AT279&lt;&gt;AT280,1,IF(AS279=OFFSET(NameConv!$F$45,0,AT279),AR279+1,AR279))</f>
        <v>3</v>
      </c>
      <c r="AS280" s="495">
        <f t="shared" ca="1" si="23"/>
        <v>4</v>
      </c>
      <c r="AT280" s="526">
        <f ca="1">IF(AND(AR279=$AR$7,AS279=SUMIF(NameConv!$G$4:$M$4,MID(C279,2,3),NameConv!$G$45:$M$45)),AT279+1,AT279)</f>
        <v>7</v>
      </c>
    </row>
    <row r="281" spans="1:46">
      <c r="A281" s="883" t="str">
        <f ca="1">IF(INDEX(Demand.Sectors,MATCH(MID(C281,2,3),NameConv!$G$4:$M$4,0)),"","*")</f>
        <v/>
      </c>
      <c r="B281" s="518" t="str">
        <f t="shared" ca="1" si="26"/>
        <v>NCAP_TLIFE</v>
      </c>
      <c r="C281" s="518" t="str">
        <f ca="1">"X"&amp;OFFSET(NameConv!$F$4,0,AT281)&amp;OFFSET(NameConv!$F$59,AS281,AT281)</f>
        <v>XUPSGAS</v>
      </c>
      <c r="D281" s="518" t="str">
        <f t="shared" ca="1" si="25"/>
        <v>-</v>
      </c>
      <c r="E281" s="518" t="str">
        <f t="shared" ca="1" si="25"/>
        <v>-</v>
      </c>
      <c r="F281" s="518" t="str">
        <f t="shared" ca="1" si="25"/>
        <v>-</v>
      </c>
      <c r="G281" s="518" t="str">
        <f t="shared" ca="1" si="25"/>
        <v>-</v>
      </c>
      <c r="H281" s="518" t="str">
        <f t="shared" ca="1" si="25"/>
        <v>-</v>
      </c>
      <c r="I281" s="516">
        <f t="shared" ca="1" si="25"/>
        <v>0</v>
      </c>
      <c r="J281" s="518">
        <f ca="1">IF(INDEX($L$10:$L$13,MATCH($B281,$B$10:$B$13,0)),zar.2010,1)*SUMIF(NameConv!$C$4:$C$44,RIGHT(C281,3),OFFSET(INDIRECT(B281),0,AT281-1,NameConv!$A$45,1))</f>
        <v>80</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495">
        <f ca="1">IF(AT280&lt;&gt;AT281,1,IF(AS280=OFFSET(NameConv!$F$45,0,AT280),AR280+1,AR280))</f>
        <v>3</v>
      </c>
      <c r="AS281" s="495">
        <f t="shared" ca="1" si="23"/>
        <v>5</v>
      </c>
      <c r="AT281" s="526">
        <f ca="1">IF(AND(AR280=$AR$7,AS280=SUMIF(NameConv!$G$4:$M$4,MID(C280,2,3),NameConv!$G$45:$M$45)),AT280+1,AT280)</f>
        <v>7</v>
      </c>
    </row>
    <row r="282" spans="1:46">
      <c r="A282" s="883" t="str">
        <f ca="1">IF(INDEX(Demand.Sectors,MATCH(MID(C282,2,3),NameConv!$G$4:$M$4,0)),"","*")</f>
        <v/>
      </c>
      <c r="B282" s="518" t="str">
        <f t="shared" ca="1" si="26"/>
        <v>NCAP_TLIFE</v>
      </c>
      <c r="C282" s="518" t="str">
        <f ca="1">"X"&amp;OFFSET(NameConv!$F$4,0,AT282)&amp;OFFSET(NameConv!$F$59,AS282,AT282)</f>
        <v>XUPSGIC</v>
      </c>
      <c r="D282" s="518" t="str">
        <f t="shared" ca="1" si="25"/>
        <v>-</v>
      </c>
      <c r="E282" s="518" t="str">
        <f t="shared" ca="1" si="25"/>
        <v>-</v>
      </c>
      <c r="F282" s="518" t="str">
        <f t="shared" ca="1" si="25"/>
        <v>-</v>
      </c>
      <c r="G282" s="518" t="str">
        <f t="shared" ca="1" si="25"/>
        <v>-</v>
      </c>
      <c r="H282" s="518" t="str">
        <f t="shared" ca="1" si="25"/>
        <v>-</v>
      </c>
      <c r="I282" s="516">
        <f t="shared" ca="1" si="25"/>
        <v>0</v>
      </c>
      <c r="J282" s="518">
        <f ca="1">IF(INDEX($L$10:$L$13,MATCH($B282,$B$10:$B$13,0)),zar.2010,1)*SUMIF(NameConv!$C$4:$C$44,RIGHT(C282,3),OFFSET(INDIRECT(B282),0,AT282-1,NameConv!$A$45,1))</f>
        <v>0</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495">
        <f ca="1">IF(AT281&lt;&gt;AT282,1,IF(AS281=OFFSET(NameConv!$F$45,0,AT281),AR281+1,AR281))</f>
        <v>3</v>
      </c>
      <c r="AS282" s="495">
        <f t="shared" ca="1" si="23"/>
        <v>6</v>
      </c>
      <c r="AT282" s="526">
        <f ca="1">IF(AND(AR281=$AR$7,AS281=SUMIF(NameConv!$G$4:$M$4,MID(C281,2,3),NameConv!$G$45:$M$45)),AT281+1,AT281)</f>
        <v>7</v>
      </c>
    </row>
    <row r="283" spans="1:46">
      <c r="A283" s="883" t="str">
        <f ca="1">IF(INDEX(Demand.Sectors,MATCH(MID(C283,2,3),NameConv!$G$4:$M$4,0)),"","*")</f>
        <v/>
      </c>
      <c r="B283" s="518" t="str">
        <f t="shared" ca="1" si="26"/>
        <v>NCAP_TLIFE</v>
      </c>
      <c r="C283" s="518" t="str">
        <f ca="1">"X"&amp;OFFSET(NameConv!$F$4,0,AT283)&amp;OFFSET(NameConv!$F$59,AS283,AT283)</f>
        <v>XUPSHEE</v>
      </c>
      <c r="D283" s="518" t="str">
        <f t="shared" ca="1" si="25"/>
        <v>-</v>
      </c>
      <c r="E283" s="518" t="str">
        <f t="shared" ca="1" si="25"/>
        <v>-</v>
      </c>
      <c r="F283" s="518" t="str">
        <f t="shared" ca="1" si="25"/>
        <v>-</v>
      </c>
      <c r="G283" s="518" t="str">
        <f t="shared" ca="1" si="25"/>
        <v>-</v>
      </c>
      <c r="H283" s="518" t="str">
        <f t="shared" ca="1" si="25"/>
        <v>-</v>
      </c>
      <c r="I283" s="516">
        <f t="shared" ca="1" si="25"/>
        <v>0</v>
      </c>
      <c r="J283" s="518">
        <f ca="1">IF(INDEX($L$10:$L$13,MATCH($B283,$B$10:$B$13,0)),zar.2010,1)*SUMIF(NameConv!$C$4:$C$44,RIGHT(C283,3),OFFSET(INDIRECT(B283),0,AT283-1,NameConv!$A$45,1))</f>
        <v>60</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495">
        <f ca="1">IF(AT282&lt;&gt;AT283,1,IF(AS282=OFFSET(NameConv!$F$45,0,AT282),AR282+1,AR282))</f>
        <v>3</v>
      </c>
      <c r="AS283" s="495">
        <f ca="1">IF(AR283=AR282,AS282+1,1)</f>
        <v>7</v>
      </c>
      <c r="AT283" s="526">
        <f ca="1">IF(AND(AR282=$AR$7,AS282=SUMIF(NameConv!$G$4:$M$4,MID(C282,2,3),NameConv!$G$45:$M$45)),AT282+1,AT282)</f>
        <v>7</v>
      </c>
    </row>
    <row r="284" spans="1:46">
      <c r="A284" s="883" t="str">
        <f ca="1">IF(INDEX(Demand.Sectors,MATCH(MID(C284,2,3),NameConv!$G$4:$M$4,0)),"","*")</f>
        <v/>
      </c>
      <c r="B284" s="518" t="str">
        <f t="shared" ca="1" si="26"/>
        <v>NCAP_TLIFE</v>
      </c>
      <c r="C284" s="518" t="str">
        <f ca="1">"X"&amp;OFFSET(NameConv!$F$4,0,AT284)&amp;OFFSET(NameConv!$F$59,AS284,AT284)</f>
        <v>XUPSHEN</v>
      </c>
      <c r="D284" s="518" t="str">
        <f t="shared" ref="D284:I298" ca="1" si="27">IF($A284="*","",VLOOKUP($B284,$B$10:$I$13,D$9,FALSE))</f>
        <v>-</v>
      </c>
      <c r="E284" s="518" t="str">
        <f t="shared" ca="1" si="27"/>
        <v>-</v>
      </c>
      <c r="F284" s="518" t="str">
        <f t="shared" ca="1" si="27"/>
        <v>-</v>
      </c>
      <c r="G284" s="518" t="str">
        <f t="shared" ca="1" si="27"/>
        <v>-</v>
      </c>
      <c r="H284" s="518" t="str">
        <f t="shared" ca="1" si="27"/>
        <v>-</v>
      </c>
      <c r="I284" s="516">
        <f t="shared" ca="1" si="27"/>
        <v>0</v>
      </c>
      <c r="J284" s="518">
        <f ca="1">IF(INDEX($L$10:$L$13,MATCH($B284,$B$10:$B$13,0)),zar.2010,1)*SUMIF(NameConv!$C$4:$C$44,RIGHT(C284,3),OFFSET(INDIRECT(B284),0,AT284-1,NameConv!$A$45,1))</f>
        <v>60</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495">
        <f ca="1">IF(AT283&lt;&gt;AT284,1,IF(AS283=OFFSET(NameConv!$F$45,0,AT283),AR283+1,AR283))</f>
        <v>3</v>
      </c>
      <c r="AS284" s="495">
        <f ca="1">IF(AR284=AR283,AS283+1,1)</f>
        <v>8</v>
      </c>
      <c r="AT284" s="526">
        <f ca="1">IF(AND(AR283=$AR$7,AS283=SUMIF(NameConv!$G$4:$M$4,MID(C283,2,3),NameConv!$G$45:$M$45)),AT283+1,AT283)</f>
        <v>7</v>
      </c>
    </row>
    <row r="285" spans="1:46">
      <c r="A285" s="883" t="str">
        <f ca="1">IF(INDEX(Demand.Sectors,MATCH(MID(C285,2,3),NameConv!$G$4:$M$4,0)),"","*")</f>
        <v/>
      </c>
      <c r="B285" s="518" t="str">
        <f t="shared" ca="1" si="26"/>
        <v>NCAP_TLIFE</v>
      </c>
      <c r="C285" s="518" t="str">
        <f ca="1">"X"&amp;OFFSET(NameConv!$F$4,0,AT285)&amp;OFFSET(NameConv!$F$59,AS285,AT285)</f>
        <v>XUPSHGN</v>
      </c>
      <c r="D285" s="518" t="str">
        <f t="shared" ca="1" si="27"/>
        <v>-</v>
      </c>
      <c r="E285" s="518" t="str">
        <f t="shared" ca="1" si="27"/>
        <v>-</v>
      </c>
      <c r="F285" s="518" t="str">
        <f t="shared" ca="1" si="27"/>
        <v>-</v>
      </c>
      <c r="G285" s="518" t="str">
        <f t="shared" ca="1" si="27"/>
        <v>-</v>
      </c>
      <c r="H285" s="518" t="str">
        <f t="shared" ca="1" si="27"/>
        <v>-</v>
      </c>
      <c r="I285" s="516">
        <f t="shared" ca="1" si="27"/>
        <v>0</v>
      </c>
      <c r="J285" s="518">
        <f ca="1">IF(INDEX($L$10:$L$13,MATCH($B285,$B$10:$B$13,0)),zar.2010,1)*SUMIF(NameConv!$C$4:$C$44,RIGHT(C285,3),OFFSET(INDIRECT(B285),0,AT285-1,NameConv!$A$45,1))</f>
        <v>60</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495">
        <f ca="1">IF(AT284&lt;&gt;AT285,1,IF(AS284=OFFSET(NameConv!$F$45,0,AT284),AR284+1,AR284))</f>
        <v>3</v>
      </c>
      <c r="AS285" s="495">
        <f ca="1">IF(AR285=AR284,AS284+1,1)</f>
        <v>9</v>
      </c>
      <c r="AT285" s="526">
        <f ca="1">IF(AND(AR284=$AR$7,AS284=SUMIF(NameConv!$G$4:$M$4,MID(C284,2,3),NameConv!$G$45:$M$45)),AT284+1,AT284)</f>
        <v>7</v>
      </c>
    </row>
    <row r="286" spans="1:46">
      <c r="A286" s="883" t="str">
        <f ca="1">IF(INDEX(Demand.Sectors,MATCH(MID(C286,2,3),NameConv!$G$4:$M$4,0)),"","*")</f>
        <v/>
      </c>
      <c r="B286" s="518" t="str">
        <f t="shared" ca="1" si="26"/>
        <v>NCAP_TLIFE</v>
      </c>
      <c r="C286" s="518" t="str">
        <f ca="1">"X"&amp;OFFSET(NameConv!$F$4,0,AT286)&amp;OFFSET(NameConv!$F$59,AS286,AT286)</f>
        <v>XUPSOCR</v>
      </c>
      <c r="D286" s="518" t="str">
        <f t="shared" ca="1" si="27"/>
        <v>-</v>
      </c>
      <c r="E286" s="518" t="str">
        <f t="shared" ca="1" si="27"/>
        <v>-</v>
      </c>
      <c r="F286" s="518" t="str">
        <f t="shared" ca="1" si="27"/>
        <v>-</v>
      </c>
      <c r="G286" s="518" t="str">
        <f t="shared" ca="1" si="27"/>
        <v>-</v>
      </c>
      <c r="H286" s="518" t="str">
        <f t="shared" ca="1" si="27"/>
        <v>-</v>
      </c>
      <c r="I286" s="516">
        <f t="shared" ca="1" si="27"/>
        <v>0</v>
      </c>
      <c r="J286" s="518">
        <f ca="1">IF(INDEX($L$10:$L$13,MATCH($B286,$B$10:$B$13,0)),zar.2010,1)*SUMIF(NameConv!$C$4:$C$44,RIGHT(C286,3),OFFSET(INDIRECT(B286),0,AT286-1,NameConv!$A$45,1))</f>
        <v>60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495">
        <f ca="1">IF(AT285&lt;&gt;AT286,1,IF(AS285=OFFSET(NameConv!$F$45,0,AT285),AR285+1,AR285))</f>
        <v>3</v>
      </c>
      <c r="AS286" s="495">
        <f ca="1">IF(AR286=AR285,AS285+1,1)</f>
        <v>10</v>
      </c>
      <c r="AT286" s="526">
        <f ca="1">IF(AND(AR285=$AR$7,AS285=SUMIF(NameConv!$G$4:$M$4,MID(C285,2,3),NameConv!$G$45:$M$45)),AT285+1,AT285)</f>
        <v>7</v>
      </c>
    </row>
    <row r="287" spans="1:46">
      <c r="A287" s="883" t="str">
        <f ca="1">IF(INDEX(Demand.Sectors,MATCH(MID(C287,2,3),NameConv!$G$4:$M$4,0)),"","*")</f>
        <v/>
      </c>
      <c r="B287" s="518" t="str">
        <f t="shared" ref="B287:B290" ca="1" si="28">IF(A287="*","",VLOOKUP("*"&amp;AR287,$A$9:$B$13,2,FALSE))</f>
        <v>NCAP_TLIFE</v>
      </c>
      <c r="C287" s="518" t="str">
        <f ca="1">"X"&amp;OFFSET(NameConv!$F$4,0,AT287)&amp;OFFSET(NameConv!$F$59,AS287,AT287)</f>
        <v>XUPSOHF</v>
      </c>
      <c r="D287" s="518" t="str">
        <f t="shared" ca="1" si="27"/>
        <v>-</v>
      </c>
      <c r="E287" s="518" t="str">
        <f t="shared" ca="1" si="27"/>
        <v>-</v>
      </c>
      <c r="F287" s="518" t="str">
        <f t="shared" ca="1" si="27"/>
        <v>-</v>
      </c>
      <c r="G287" s="518" t="str">
        <f t="shared" ca="1" si="27"/>
        <v>-</v>
      </c>
      <c r="H287" s="518" t="str">
        <f t="shared" ca="1" si="27"/>
        <v>-</v>
      </c>
      <c r="I287" s="516">
        <f t="shared" ca="1" si="27"/>
        <v>0</v>
      </c>
      <c r="J287" s="518">
        <f ca="1">IF(INDEX($L$10:$L$13,MATCH($B287,$B$10:$B$13,0)),zar.2010,1)*SUMIF(NameConv!$C$4:$C$44,RIGHT(C287,3),OFFSET(INDIRECT(B287),0,AT287-1,NameConv!$A$45,1))</f>
        <v>60</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495">
        <f ca="1">IF(AT286&lt;&gt;AT287,1,IF(AS286=OFFSET(NameConv!$F$45,0,AT286),AR286+1,AR286))</f>
        <v>3</v>
      </c>
      <c r="AS287" s="495">
        <f t="shared" ref="AS287:AS290" ca="1" si="29">IF(AR287=AR286,AS286+1,1)</f>
        <v>11</v>
      </c>
      <c r="AT287" s="526">
        <f ca="1">IF(AND(AR286=$AR$7,AS286=SUMIF(NameConv!$G$4:$M$4,MID(C286,2,3),NameConv!$G$45:$M$45)),AT286+1,AT286)</f>
        <v>7</v>
      </c>
    </row>
    <row r="288" spans="1:46">
      <c r="A288" s="883" t="str">
        <f ca="1">IF(INDEX(Demand.Sectors,MATCH(MID(C288,2,3),NameConv!$G$4:$M$4,0)),"","*")</f>
        <v/>
      </c>
      <c r="B288" s="518" t="str">
        <f t="shared" ca="1" si="28"/>
        <v>PRC_RESID</v>
      </c>
      <c r="C288" s="518" t="str">
        <f ca="1">"X"&amp;OFFSET(NameConv!$F$4,0,AT288)&amp;OFFSET(NameConv!$F$59,AS288,AT288)</f>
        <v>XUPSBIE</v>
      </c>
      <c r="D288" s="518" t="str">
        <f t="shared" ca="1" si="27"/>
        <v>-</v>
      </c>
      <c r="E288" s="518" t="str">
        <f t="shared" ca="1" si="27"/>
        <v>-</v>
      </c>
      <c r="F288" s="518" t="str">
        <f t="shared" ca="1" si="27"/>
        <v>-</v>
      </c>
      <c r="G288" s="518" t="str">
        <f t="shared" ca="1" si="27"/>
        <v>-</v>
      </c>
      <c r="H288" s="518" t="str">
        <f t="shared" ca="1" si="27"/>
        <v>-</v>
      </c>
      <c r="I288" s="516">
        <f t="shared" ca="1" si="27"/>
        <v>0</v>
      </c>
      <c r="J288" s="518">
        <f ca="1">IF(INDEX($L$10:$L$13,MATCH($B288,$B$10:$B$13,0)),zar.2010,1)*SUMIF(NameConv!$C$4:$C$44,RIGHT(C288,3),OFFSET(INDIRECT(B288),0,AT288-1,NameConv!$A$45,1))</f>
        <v>1.0000000000000001E-5</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495">
        <f ca="1">IF(AT287&lt;&gt;AT288,1,IF(AS287=OFFSET(NameConv!$F$45,0,AT287),AR287+1,AR287))</f>
        <v>4</v>
      </c>
      <c r="AS288" s="495">
        <f t="shared" ca="1" si="29"/>
        <v>1</v>
      </c>
      <c r="AT288" s="526">
        <f ca="1">IF(AND(AR287=$AR$7,AS287=SUMIF(NameConv!$G$4:$M$4,MID(C287,2,3),NameConv!$G$45:$M$45)),AT287+1,AT287)</f>
        <v>7</v>
      </c>
    </row>
    <row r="289" spans="1:46">
      <c r="A289" s="883" t="str">
        <f ca="1">IF(INDEX(Demand.Sectors,MATCH(MID(C289,2,3),NameConv!$G$4:$M$4,0)),"","*")</f>
        <v/>
      </c>
      <c r="B289" s="518" t="str">
        <f t="shared" ca="1" si="28"/>
        <v>PRC_RESID</v>
      </c>
      <c r="C289" s="518" t="str">
        <f ca="1">"X"&amp;OFFSET(NameConv!$F$4,0,AT289)&amp;OFFSET(NameConv!$F$59,AS289,AT289)</f>
        <v>XUPSBID</v>
      </c>
      <c r="D289" s="518" t="str">
        <f t="shared" ca="1" si="27"/>
        <v>-</v>
      </c>
      <c r="E289" s="518" t="str">
        <f t="shared" ca="1" si="27"/>
        <v>-</v>
      </c>
      <c r="F289" s="518" t="str">
        <f t="shared" ca="1" si="27"/>
        <v>-</v>
      </c>
      <c r="G289" s="518" t="str">
        <f t="shared" ca="1" si="27"/>
        <v>-</v>
      </c>
      <c r="H289" s="518" t="str">
        <f t="shared" ca="1" si="27"/>
        <v>-</v>
      </c>
      <c r="I289" s="516">
        <f t="shared" ca="1" si="27"/>
        <v>0</v>
      </c>
      <c r="J289" s="518">
        <f ca="1">IF(INDEX($L$10:$L$13,MATCH($B289,$B$10:$B$13,0)),zar.2010,1)*SUMIF(NameConv!$C$4:$C$44,RIGHT(C289,3),OFFSET(INDIRECT(B289),0,AT289-1,NameConv!$A$45,1))</f>
        <v>1.0000000000000001E-5</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495">
        <f ca="1">IF(AT288&lt;&gt;AT289,1,IF(AS288=OFFSET(NameConv!$F$45,0,AT288),AR288+1,AR288))</f>
        <v>4</v>
      </c>
      <c r="AS289" s="495">
        <f t="shared" ca="1" si="29"/>
        <v>2</v>
      </c>
      <c r="AT289" s="526">
        <f ca="1">IF(AND(AR288=$AR$7,AS288=SUMIF(NameConv!$G$4:$M$4,MID(C288,2,3),NameConv!$G$45:$M$45)),AT288+1,AT288)</f>
        <v>7</v>
      </c>
    </row>
    <row r="290" spans="1:46">
      <c r="A290" s="883" t="str">
        <f ca="1">IF(INDEX(Demand.Sectors,MATCH(MID(C290,2,3),NameConv!$G$4:$M$4,0)),"","*")</f>
        <v/>
      </c>
      <c r="B290" s="518" t="str">
        <f t="shared" ca="1" si="28"/>
        <v>PRC_RESID</v>
      </c>
      <c r="C290" s="518" t="str">
        <f ca="1">"X"&amp;OFFSET(NameConv!$F$4,0,AT290)&amp;OFFSET(NameConv!$F$59,AS290,AT290)</f>
        <v>XUPSCLE</v>
      </c>
      <c r="D290" s="518" t="str">
        <f t="shared" ca="1" si="27"/>
        <v>-</v>
      </c>
      <c r="E290" s="518" t="str">
        <f t="shared" ca="1" si="27"/>
        <v>-</v>
      </c>
      <c r="F290" s="518" t="str">
        <f t="shared" ca="1" si="27"/>
        <v>-</v>
      </c>
      <c r="G290" s="518" t="str">
        <f t="shared" ca="1" si="27"/>
        <v>-</v>
      </c>
      <c r="H290" s="518" t="str">
        <f t="shared" ca="1" si="27"/>
        <v>-</v>
      </c>
      <c r="I290" s="516">
        <f t="shared" ca="1" si="27"/>
        <v>0</v>
      </c>
      <c r="J290" s="518">
        <f ca="1">IF(INDEX($L$10:$L$13,MATCH($B290,$B$10:$B$13,0)),zar.2010,1)*SUMIF(NameConv!$C$4:$C$44,RIGHT(C290,3),OFFSET(INDIRECT(B290),0,AT290-1,NameConv!$A$45,1))</f>
        <v>1.0000000000000001E-5</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495">
        <f ca="1">IF(AT289&lt;&gt;AT290,1,IF(AS289=OFFSET(NameConv!$F$45,0,AT289),AR289+1,AR289))</f>
        <v>4</v>
      </c>
      <c r="AS290" s="495">
        <f t="shared" ca="1" si="29"/>
        <v>3</v>
      </c>
      <c r="AT290" s="526">
        <f ca="1">IF(AND(AR289=$AR$7,AS289=SUMIF(NameConv!$G$4:$M$4,MID(C289,2,3),NameConv!$G$45:$M$45)),AT289+1,AT289)</f>
        <v>7</v>
      </c>
    </row>
    <row r="291" spans="1:46">
      <c r="A291" s="883" t="str">
        <f ca="1">IF(INDEX(Demand.Sectors,MATCH(MID(C291,2,3),NameConv!$G$4:$M$4,0)),"","*")</f>
        <v/>
      </c>
      <c r="B291" s="518" t="str">
        <f t="shared" ref="B291:B294" ca="1" si="30">IF(A291="*","",VLOOKUP("*"&amp;AR291,$A$9:$B$13,2,FALSE))</f>
        <v>PRC_RESID</v>
      </c>
      <c r="C291" s="518" t="str">
        <f ca="1">"X"&amp;OFFSET(NameConv!$F$4,0,AT291)&amp;OFFSET(NameConv!$F$59,AS291,AT291)</f>
        <v>XUPSELC</v>
      </c>
      <c r="D291" s="518" t="str">
        <f t="shared" ca="1" si="27"/>
        <v>-</v>
      </c>
      <c r="E291" s="518" t="str">
        <f t="shared" ca="1" si="27"/>
        <v>-</v>
      </c>
      <c r="F291" s="518" t="str">
        <f t="shared" ca="1" si="27"/>
        <v>-</v>
      </c>
      <c r="G291" s="518" t="str">
        <f t="shared" ca="1" si="27"/>
        <v>-</v>
      </c>
      <c r="H291" s="518" t="str">
        <f t="shared" ca="1" si="27"/>
        <v>-</v>
      </c>
      <c r="I291" s="516">
        <f t="shared" ca="1" si="27"/>
        <v>0</v>
      </c>
      <c r="J291" s="518">
        <f ca="1">IF(INDEX($L$10:$L$13,MATCH($B291,$B$10:$B$13,0)),zar.2010,1)*SUMIF(NameConv!$C$4:$C$44,RIGHT(C291,3),OFFSET(INDIRECT(B291),0,AT291-1,NameConv!$A$45,1))</f>
        <v>1.0000000000000001E-5</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495">
        <f ca="1">IF(AT290&lt;&gt;AT291,1,IF(AS290=OFFSET(NameConv!$F$45,0,AT290),AR290+1,AR290))</f>
        <v>4</v>
      </c>
      <c r="AS291" s="495">
        <f t="shared" ref="AS291:AS294" ca="1" si="31">IF(AR291=AR290,AS290+1,1)</f>
        <v>4</v>
      </c>
      <c r="AT291" s="526">
        <f ca="1">IF(AND(AR290=$AR$7,AS290=SUMIF(NameConv!$G$4:$M$4,MID(C290,2,3),NameConv!$G$45:$M$45)),AT290+1,AT290)</f>
        <v>7</v>
      </c>
    </row>
    <row r="292" spans="1:46">
      <c r="A292" s="883" t="str">
        <f ca="1">IF(INDEX(Demand.Sectors,MATCH(MID(C292,2,3),NameConv!$G$4:$M$4,0)),"","*")</f>
        <v/>
      </c>
      <c r="B292" s="518" t="str">
        <f t="shared" ca="1" si="30"/>
        <v>PRC_RESID</v>
      </c>
      <c r="C292" s="518" t="str">
        <f ca="1">"X"&amp;OFFSET(NameConv!$F$4,0,AT292)&amp;OFFSET(NameConv!$F$59,AS292,AT292)</f>
        <v>XUPSGAS</v>
      </c>
      <c r="D292" s="518" t="str">
        <f t="shared" ca="1" si="27"/>
        <v>-</v>
      </c>
      <c r="E292" s="518" t="str">
        <f t="shared" ca="1" si="27"/>
        <v>-</v>
      </c>
      <c r="F292" s="518" t="str">
        <f t="shared" ca="1" si="27"/>
        <v>-</v>
      </c>
      <c r="G292" s="518" t="str">
        <f t="shared" ca="1" si="27"/>
        <v>-</v>
      </c>
      <c r="H292" s="518" t="str">
        <f t="shared" ca="1" si="27"/>
        <v>-</v>
      </c>
      <c r="I292" s="516">
        <f t="shared" ca="1" si="27"/>
        <v>0</v>
      </c>
      <c r="J292" s="518">
        <f ca="1">IF(INDEX($L$10:$L$13,MATCH($B292,$B$10:$B$13,0)),zar.2010,1)*SUMIF(NameConv!$C$4:$C$44,RIGHT(C292,3),OFFSET(INDIRECT(B292),0,AT292-1,NameConv!$A$45,1))</f>
        <v>1.0000000000000001E-5</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495">
        <f ca="1">IF(AT291&lt;&gt;AT292,1,IF(AS291=OFFSET(NameConv!$F$45,0,AT291),AR291+1,AR291))</f>
        <v>4</v>
      </c>
      <c r="AS292" s="495">
        <f t="shared" ca="1" si="31"/>
        <v>5</v>
      </c>
      <c r="AT292" s="526">
        <f ca="1">IF(AND(AR291=$AR$7,AS291=SUMIF(NameConv!$G$4:$M$4,MID(C291,2,3),NameConv!$G$45:$M$45)),AT291+1,AT291)</f>
        <v>7</v>
      </c>
    </row>
    <row r="293" spans="1:46">
      <c r="A293" s="883" t="str">
        <f ca="1">IF(INDEX(Demand.Sectors,MATCH(MID(C293,2,3),NameConv!$G$4:$M$4,0)),"","*")</f>
        <v/>
      </c>
      <c r="B293" s="518" t="str">
        <f t="shared" ca="1" si="30"/>
        <v>PRC_RESID</v>
      </c>
      <c r="C293" s="518" t="str">
        <f ca="1">"X"&amp;OFFSET(NameConv!$F$4,0,AT293)&amp;OFFSET(NameConv!$F$59,AS293,AT293)</f>
        <v>XUPSGIC</v>
      </c>
      <c r="D293" s="518" t="str">
        <f t="shared" ca="1" si="27"/>
        <v>-</v>
      </c>
      <c r="E293" s="518" t="str">
        <f t="shared" ca="1" si="27"/>
        <v>-</v>
      </c>
      <c r="F293" s="518" t="str">
        <f t="shared" ca="1" si="27"/>
        <v>-</v>
      </c>
      <c r="G293" s="518" t="str">
        <f t="shared" ca="1" si="27"/>
        <v>-</v>
      </c>
      <c r="H293" s="518" t="str">
        <f t="shared" ca="1" si="27"/>
        <v>-</v>
      </c>
      <c r="I293" s="516">
        <f t="shared" ca="1" si="27"/>
        <v>0</v>
      </c>
      <c r="J293" s="518">
        <f ca="1">IF(INDEX($L$10:$L$13,MATCH($B293,$B$10:$B$13,0)),zar.2010,1)*SUMIF(NameConv!$C$4:$C$44,RIGHT(C293,3),OFFSET(INDIRECT(B293),0,AT293-1,NameConv!$A$45,1))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495">
        <f ca="1">IF(AT292&lt;&gt;AT293,1,IF(AS292=OFFSET(NameConv!$F$45,0,AT292),AR292+1,AR292))</f>
        <v>4</v>
      </c>
      <c r="AS293" s="495">
        <f t="shared" ca="1" si="31"/>
        <v>6</v>
      </c>
      <c r="AT293" s="526">
        <f ca="1">IF(AND(AR292=$AR$7,AS292=SUMIF(NameConv!$G$4:$M$4,MID(C292,2,3),NameConv!$G$45:$M$45)),AT292+1,AT292)</f>
        <v>7</v>
      </c>
    </row>
    <row r="294" spans="1:46">
      <c r="A294" s="883" t="str">
        <f ca="1">IF(INDEX(Demand.Sectors,MATCH(MID(C294,2,3),NameConv!$G$4:$M$4,0)),"","*")</f>
        <v/>
      </c>
      <c r="B294" s="518" t="str">
        <f t="shared" ca="1" si="30"/>
        <v>PRC_RESID</v>
      </c>
      <c r="C294" s="518" t="str">
        <f ca="1">"X"&amp;OFFSET(NameConv!$F$4,0,AT294)&amp;OFFSET(NameConv!$F$59,AS294,AT294)</f>
        <v>XUPSHEE</v>
      </c>
      <c r="D294" s="518" t="str">
        <f t="shared" ca="1" si="27"/>
        <v>-</v>
      </c>
      <c r="E294" s="518" t="str">
        <f t="shared" ca="1" si="27"/>
        <v>-</v>
      </c>
      <c r="F294" s="518" t="str">
        <f t="shared" ca="1" si="27"/>
        <v>-</v>
      </c>
      <c r="G294" s="518" t="str">
        <f t="shared" ca="1" si="27"/>
        <v>-</v>
      </c>
      <c r="H294" s="518" t="str">
        <f t="shared" ca="1" si="27"/>
        <v>-</v>
      </c>
      <c r="I294" s="516">
        <f t="shared" ca="1" si="27"/>
        <v>0</v>
      </c>
      <c r="J294" s="518">
        <f ca="1">IF(INDEX($L$10:$L$13,MATCH($B294,$B$10:$B$13,0)),zar.2010,1)*SUMIF(NameConv!$C$4:$C$44,RIGHT(C294,3),OFFSET(INDIRECT(B294),0,AT294-1,NameConv!$A$45,1))</f>
        <v>1.0000000000000001E-5</v>
      </c>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495">
        <f ca="1">IF(AT293&lt;&gt;AT294,1,IF(AS293=OFFSET(NameConv!$F$45,0,AT293),AR293+1,AR293))</f>
        <v>4</v>
      </c>
      <c r="AS294" s="495">
        <f t="shared" ca="1" si="31"/>
        <v>7</v>
      </c>
      <c r="AT294" s="526">
        <f ca="1">IF(AND(AR293=$AR$7,AS293=SUMIF(NameConv!$G$4:$M$4,MID(C293,2,3),NameConv!$G$45:$M$45)),AT293+1,AT293)</f>
        <v>7</v>
      </c>
    </row>
    <row r="295" spans="1:46">
      <c r="A295" s="883" t="str">
        <f ca="1">IF(INDEX(Demand.Sectors,MATCH(MID(C295,2,3),NameConv!$G$4:$M$4,0)),"","*")</f>
        <v/>
      </c>
      <c r="B295" s="518" t="str">
        <f t="shared" ref="B295:B296" ca="1" si="32">IF(A295="*","",VLOOKUP("*"&amp;AR295,$A$9:$B$13,2,FALSE))</f>
        <v>PRC_RESID</v>
      </c>
      <c r="C295" s="518" t="str">
        <f ca="1">"X"&amp;OFFSET(NameConv!$F$4,0,AT295)&amp;OFFSET(NameConv!$F$59,AS295,AT295)</f>
        <v>XUPSHEN</v>
      </c>
      <c r="D295" s="518" t="str">
        <f t="shared" ca="1" si="27"/>
        <v>-</v>
      </c>
      <c r="E295" s="518" t="str">
        <f t="shared" ca="1" si="27"/>
        <v>-</v>
      </c>
      <c r="F295" s="518" t="str">
        <f t="shared" ca="1" si="27"/>
        <v>-</v>
      </c>
      <c r="G295" s="518" t="str">
        <f t="shared" ca="1" si="27"/>
        <v>-</v>
      </c>
      <c r="H295" s="518" t="str">
        <f t="shared" ca="1" si="27"/>
        <v>-</v>
      </c>
      <c r="I295" s="516">
        <f t="shared" ca="1" si="27"/>
        <v>0</v>
      </c>
      <c r="J295" s="518">
        <f ca="1">IF(INDEX($L$10:$L$13,MATCH($B295,$B$10:$B$13,0)),zar.2010,1)*SUMIF(NameConv!$C$4:$C$44,RIGHT(C295,3),OFFSET(INDIRECT(B295),0,AT295-1,NameConv!$A$45,1))</f>
        <v>1.0000000000000001E-5</v>
      </c>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495">
        <f ca="1">IF(AT294&lt;&gt;AT295,1,IF(AS294=OFFSET(NameConv!$F$45,0,AT294),AR294+1,AR294))</f>
        <v>4</v>
      </c>
      <c r="AS295" s="495">
        <f t="shared" ref="AS295:AS296" ca="1" si="33">IF(AR295=AR294,AS294+1,1)</f>
        <v>8</v>
      </c>
      <c r="AT295" s="526">
        <f ca="1">IF(AND(AR294=$AR$7,AS294=SUMIF(NameConv!$G$4:$M$4,MID(C294,2,3),NameConv!$G$45:$M$45)),AT294+1,AT294)</f>
        <v>7</v>
      </c>
    </row>
    <row r="296" spans="1:46">
      <c r="A296" s="883" t="str">
        <f ca="1">IF(INDEX(Demand.Sectors,MATCH(MID(C296,2,3),NameConv!$G$4:$M$4,0)),"","*")</f>
        <v/>
      </c>
      <c r="B296" s="518" t="str">
        <f t="shared" ca="1" si="32"/>
        <v>PRC_RESID</v>
      </c>
      <c r="C296" s="518" t="str">
        <f ca="1">"X"&amp;OFFSET(NameConv!$F$4,0,AT296)&amp;OFFSET(NameConv!$F$59,AS296,AT296)</f>
        <v>XUPSHGN</v>
      </c>
      <c r="D296" s="518" t="str">
        <f t="shared" ca="1" si="27"/>
        <v>-</v>
      </c>
      <c r="E296" s="518" t="str">
        <f t="shared" ca="1" si="27"/>
        <v>-</v>
      </c>
      <c r="F296" s="518" t="str">
        <f t="shared" ca="1" si="27"/>
        <v>-</v>
      </c>
      <c r="G296" s="518" t="str">
        <f t="shared" ca="1" si="27"/>
        <v>-</v>
      </c>
      <c r="H296" s="518" t="str">
        <f t="shared" ca="1" si="27"/>
        <v>-</v>
      </c>
      <c r="I296" s="516">
        <f t="shared" ca="1" si="27"/>
        <v>0</v>
      </c>
      <c r="J296" s="518">
        <f ca="1">IF(INDEX($L$10:$L$13,MATCH($B296,$B$10:$B$13,0)),zar.2010,1)*SUMIF(NameConv!$C$4:$C$44,RIGHT(C296,3),OFFSET(INDIRECT(B296),0,AT296-1,NameConv!$A$45,1))</f>
        <v>1.0000000000000001E-5</v>
      </c>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495">
        <f ca="1">IF(AT295&lt;&gt;AT296,1,IF(AS295=OFFSET(NameConv!$F$45,0,AT295),AR295+1,AR295))</f>
        <v>4</v>
      </c>
      <c r="AS296" s="495">
        <f t="shared" ca="1" si="33"/>
        <v>9</v>
      </c>
      <c r="AT296" s="526">
        <f ca="1">IF(AND(AR295=$AR$7,AS295=SUMIF(NameConv!$G$4:$M$4,MID(C295,2,3),NameConv!$G$45:$M$45)),AT295+1,AT295)</f>
        <v>7</v>
      </c>
    </row>
    <row r="297" spans="1:46">
      <c r="A297" s="883" t="str">
        <f ca="1">IF(INDEX(Demand.Sectors,MATCH(MID(C297,2,3),NameConv!$G$4:$M$4,0)),"","*")</f>
        <v/>
      </c>
      <c r="B297" s="518" t="str">
        <f t="shared" ref="B297:B298" ca="1" si="34">IF(A297="*","",VLOOKUP("*"&amp;AR297,$A$9:$B$13,2,FALSE))</f>
        <v>PRC_RESID</v>
      </c>
      <c r="C297" s="518" t="str">
        <f ca="1">"X"&amp;OFFSET(NameConv!$F$4,0,AT297)&amp;OFFSET(NameConv!$F$59,AS297,AT297)</f>
        <v>XUPSOCR</v>
      </c>
      <c r="D297" s="518" t="str">
        <f t="shared" ca="1" si="27"/>
        <v>-</v>
      </c>
      <c r="E297" s="518" t="str">
        <f t="shared" ca="1" si="27"/>
        <v>-</v>
      </c>
      <c r="F297" s="518" t="str">
        <f t="shared" ca="1" si="27"/>
        <v>-</v>
      </c>
      <c r="G297" s="518" t="str">
        <f t="shared" ca="1" si="27"/>
        <v>-</v>
      </c>
      <c r="H297" s="518" t="str">
        <f t="shared" ca="1" si="27"/>
        <v>-</v>
      </c>
      <c r="I297" s="516">
        <f t="shared" ca="1" si="27"/>
        <v>0</v>
      </c>
      <c r="J297" s="518">
        <f ca="1">IF(INDEX($L$10:$L$13,MATCH($B297,$B$10:$B$13,0)),zar.2010,1)*SUMIF(NameConv!$C$4:$C$44,RIGHT(C297,3),OFFSET(INDIRECT(B297),0,AT297-1,NameConv!$A$45,1))</f>
        <v>1.0000000000000001E-5</v>
      </c>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495">
        <f ca="1">IF(AT296&lt;&gt;AT297,1,IF(AS296=OFFSET(NameConv!$F$45,0,AT296),AR296+1,AR296))</f>
        <v>4</v>
      </c>
      <c r="AS297" s="495">
        <f t="shared" ref="AS297:AS298" ca="1" si="35">IF(AR297=AR296,AS296+1,1)</f>
        <v>10</v>
      </c>
      <c r="AT297" s="526">
        <f ca="1">IF(AND(AR296=$AR$7,AS296=SUMIF(NameConv!$G$4:$M$4,MID(C296,2,3),NameConv!$G$45:$M$45)),AT296+1,AT296)</f>
        <v>7</v>
      </c>
    </row>
    <row r="298" spans="1:46">
      <c r="A298" s="883" t="str">
        <f ca="1">IF(INDEX(Demand.Sectors,MATCH(MID(C298,2,3),NameConv!$G$4:$M$4,0)),"","*")</f>
        <v/>
      </c>
      <c r="B298" s="518" t="str">
        <f t="shared" ca="1" si="34"/>
        <v>PRC_RESID</v>
      </c>
      <c r="C298" s="518" t="str">
        <f ca="1">"X"&amp;OFFSET(NameConv!$F$4,0,AT298)&amp;OFFSET(NameConv!$F$59,AS298,AT298)</f>
        <v>XUPSOHF</v>
      </c>
      <c r="D298" s="518" t="str">
        <f t="shared" ca="1" si="27"/>
        <v>-</v>
      </c>
      <c r="E298" s="518" t="str">
        <f t="shared" ca="1" si="27"/>
        <v>-</v>
      </c>
      <c r="F298" s="518" t="str">
        <f t="shared" ca="1" si="27"/>
        <v>-</v>
      </c>
      <c r="G298" s="518" t="str">
        <f t="shared" ca="1" si="27"/>
        <v>-</v>
      </c>
      <c r="H298" s="518" t="str">
        <f t="shared" ca="1" si="27"/>
        <v>-</v>
      </c>
      <c r="I298" s="516">
        <f t="shared" ca="1" si="27"/>
        <v>0</v>
      </c>
      <c r="J298" s="518">
        <f ca="1">IF(INDEX($L$10:$L$13,MATCH($B298,$B$10:$B$13,0)),zar.2010,1)*SUMIF(NameConv!$C$4:$C$44,RIGHT(C298,3),OFFSET(INDIRECT(B298),0,AT298-1,NameConv!$A$45,1))</f>
        <v>1.0000000000000001E-5</v>
      </c>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495">
        <f ca="1">IF(AT297&lt;&gt;AT298,1,IF(AS297=OFFSET(NameConv!$F$45,0,AT297),AR297+1,AR297))</f>
        <v>4</v>
      </c>
      <c r="AS298" s="495">
        <f t="shared" ca="1" si="35"/>
        <v>11</v>
      </c>
      <c r="AT298" s="526">
        <f ca="1">IF(AND(AR297=$AR$7,AS297=SUMIF(NameConv!$G$4:$M$4,MID(C297,2,3),NameConv!$G$45:$M$45)),AT297+1,AT297)</f>
        <v>7</v>
      </c>
    </row>
    <row r="299" spans="1:46">
      <c r="A299" s="883"/>
      <c r="B299" s="518"/>
      <c r="C299" s="518"/>
      <c r="D299" s="518"/>
      <c r="E299" s="518"/>
      <c r="F299" s="518"/>
      <c r="G299" s="518"/>
      <c r="H299" s="518"/>
      <c r="I299" s="516"/>
      <c r="J299" s="518"/>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T299" s="526"/>
    </row>
    <row r="300" spans="1:46">
      <c r="A300" s="883"/>
      <c r="B300" s="518"/>
      <c r="C300" s="518"/>
      <c r="D300" s="518"/>
      <c r="E300" s="518"/>
      <c r="F300" s="518"/>
      <c r="G300" s="518"/>
      <c r="H300" s="518"/>
      <c r="I300" s="516"/>
      <c r="J300" s="518"/>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T300" s="526"/>
    </row>
    <row r="301" spans="1:46">
      <c r="A301" s="883"/>
      <c r="B301" s="518"/>
      <c r="C301" s="518"/>
      <c r="D301" s="518"/>
      <c r="E301" s="518"/>
      <c r="F301" s="518"/>
      <c r="G301" s="518"/>
      <c r="H301" s="518"/>
      <c r="I301" s="516"/>
      <c r="J301" s="518"/>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T301" s="526"/>
    </row>
    <row r="302" spans="1:46">
      <c r="A302" s="883"/>
      <c r="B302" s="518"/>
      <c r="C302" s="518"/>
      <c r="D302" s="518"/>
      <c r="E302" s="518"/>
      <c r="F302" s="518"/>
      <c r="G302" s="518"/>
      <c r="H302" s="518"/>
      <c r="I302" s="516"/>
      <c r="J302" s="518"/>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T302" s="526"/>
    </row>
    <row r="303" spans="1:46">
      <c r="A303" s="883"/>
      <c r="B303" s="518"/>
      <c r="C303" s="518"/>
      <c r="D303" s="518"/>
      <c r="E303" s="518"/>
      <c r="F303" s="518"/>
      <c r="G303" s="518"/>
      <c r="H303" s="518"/>
      <c r="I303" s="516"/>
      <c r="J303" s="518"/>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T303" s="526"/>
    </row>
    <row r="304" spans="1:46">
      <c r="A304" s="883"/>
      <c r="B304" s="518"/>
      <c r="C304" s="518"/>
      <c r="D304" s="518"/>
      <c r="E304" s="518"/>
      <c r="F304" s="518"/>
      <c r="G304" s="518"/>
      <c r="H304" s="518"/>
      <c r="I304" s="516"/>
      <c r="J304" s="518"/>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T304" s="526"/>
    </row>
    <row r="305" spans="1:46">
      <c r="A305" s="883"/>
      <c r="B305" s="518"/>
      <c r="C305" s="518"/>
      <c r="D305" s="518"/>
      <c r="E305" s="518"/>
      <c r="F305" s="518"/>
      <c r="G305" s="518"/>
      <c r="H305" s="518"/>
      <c r="I305" s="516"/>
      <c r="J305" s="518"/>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T305" s="526"/>
    </row>
    <row r="306" spans="1:46">
      <c r="A306" s="883"/>
      <c r="B306" s="518"/>
      <c r="C306" s="518"/>
      <c r="D306" s="518"/>
      <c r="E306" s="518"/>
      <c r="F306" s="518"/>
      <c r="G306" s="518"/>
      <c r="H306" s="518"/>
      <c r="I306" s="516"/>
      <c r="J306" s="518"/>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T306" s="526"/>
    </row>
    <row r="307" spans="1:46">
      <c r="A307" s="883"/>
      <c r="B307" s="518"/>
      <c r="C307" s="518"/>
      <c r="D307" s="518"/>
      <c r="E307" s="518"/>
      <c r="F307" s="518"/>
      <c r="G307" s="518"/>
      <c r="H307" s="518"/>
      <c r="I307" s="516"/>
      <c r="J307" s="518"/>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T307" s="526"/>
    </row>
    <row r="308" spans="1:46">
      <c r="A308" s="883"/>
      <c r="B308" s="518"/>
      <c r="C308" s="518"/>
      <c r="D308" s="518"/>
      <c r="E308" s="518"/>
      <c r="F308" s="518"/>
      <c r="G308" s="518"/>
      <c r="H308" s="518"/>
      <c r="I308" s="516"/>
      <c r="J308" s="518"/>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T308" s="526"/>
    </row>
    <row r="309" spans="1:46">
      <c r="A309" s="883"/>
      <c r="B309" s="518"/>
      <c r="C309" s="518"/>
      <c r="D309" s="518"/>
      <c r="E309" s="518"/>
      <c r="F309" s="518"/>
      <c r="G309" s="518"/>
      <c r="H309" s="518"/>
      <c r="I309" s="516"/>
      <c r="J309" s="518"/>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T309" s="526"/>
    </row>
    <row r="310" spans="1:46">
      <c r="A310" s="883"/>
      <c r="B310" s="518"/>
      <c r="C310" s="518"/>
      <c r="D310" s="518"/>
      <c r="E310" s="518"/>
      <c r="F310" s="518"/>
      <c r="G310" s="518"/>
      <c r="H310" s="518"/>
      <c r="I310" s="516"/>
      <c r="J310" s="518"/>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T310" s="526"/>
    </row>
    <row r="311" spans="1:46">
      <c r="A311" s="883"/>
      <c r="B311" s="518"/>
      <c r="C311" s="518"/>
      <c r="D311" s="518"/>
      <c r="E311" s="518"/>
      <c r="F311" s="518"/>
      <c r="G311" s="518"/>
      <c r="H311" s="518"/>
      <c r="I311" s="516"/>
      <c r="J311" s="518"/>
      <c r="K311" s="518"/>
      <c r="L311" s="518"/>
      <c r="M311" s="518"/>
      <c r="N311" s="518"/>
      <c r="O311" s="518"/>
      <c r="P311" s="518"/>
      <c r="Q311" s="518"/>
      <c r="R311" s="518"/>
      <c r="S311" s="518"/>
      <c r="T311" s="518"/>
      <c r="U311" s="518"/>
      <c r="V311" s="518"/>
      <c r="W311" s="518"/>
      <c r="X311" s="518"/>
      <c r="Y311" s="518"/>
      <c r="Z311" s="518"/>
      <c r="AA311" s="518"/>
      <c r="AB311" s="518"/>
      <c r="AC311" s="518"/>
      <c r="AD311" s="518"/>
      <c r="AE311" s="518"/>
      <c r="AF311" s="518"/>
      <c r="AG311" s="518"/>
      <c r="AH311" s="518"/>
      <c r="AI311" s="518"/>
      <c r="AJ311" s="518"/>
      <c r="AK311" s="518"/>
      <c r="AL311" s="518"/>
      <c r="AM311" s="518"/>
      <c r="AN311" s="518"/>
      <c r="AO311" s="518"/>
      <c r="AP311" s="518"/>
      <c r="AQ311" s="518"/>
      <c r="AT311" s="526"/>
    </row>
    <row r="312" spans="1:46">
      <c r="A312" s="883"/>
      <c r="B312" s="518"/>
      <c r="C312" s="518"/>
      <c r="D312" s="518"/>
      <c r="E312" s="518"/>
      <c r="F312" s="518"/>
      <c r="G312" s="518"/>
      <c r="H312" s="518"/>
      <c r="I312" s="516"/>
      <c r="J312" s="518"/>
      <c r="K312" s="518"/>
      <c r="L312" s="518"/>
      <c r="M312" s="518"/>
      <c r="N312" s="518"/>
      <c r="O312" s="518"/>
      <c r="P312" s="518"/>
      <c r="Q312" s="518"/>
      <c r="R312" s="518"/>
      <c r="S312" s="518"/>
      <c r="T312" s="518"/>
      <c r="U312" s="518"/>
      <c r="V312" s="518"/>
      <c r="W312" s="518"/>
      <c r="X312" s="518"/>
      <c r="Y312" s="518"/>
      <c r="Z312" s="518"/>
      <c r="AA312" s="518"/>
      <c r="AB312" s="518"/>
      <c r="AC312" s="518"/>
      <c r="AD312" s="518"/>
      <c r="AE312" s="518"/>
      <c r="AF312" s="518"/>
      <c r="AG312" s="518"/>
      <c r="AH312" s="518"/>
      <c r="AI312" s="518"/>
      <c r="AJ312" s="518"/>
      <c r="AK312" s="518"/>
      <c r="AL312" s="518"/>
      <c r="AM312" s="518"/>
      <c r="AN312" s="518"/>
      <c r="AO312" s="518"/>
      <c r="AP312" s="518"/>
      <c r="AQ312" s="518"/>
      <c r="AT312" s="526"/>
    </row>
    <row r="313" spans="1:46">
      <c r="A313" s="883"/>
      <c r="B313" s="518"/>
      <c r="C313" s="518"/>
      <c r="D313" s="518"/>
      <c r="E313" s="518"/>
      <c r="F313" s="518"/>
      <c r="G313" s="518"/>
      <c r="H313" s="518"/>
      <c r="I313" s="516"/>
      <c r="J313" s="518"/>
      <c r="K313" s="518"/>
      <c r="L313" s="518"/>
      <c r="M313" s="518"/>
      <c r="N313" s="518"/>
      <c r="O313" s="518"/>
      <c r="P313" s="518"/>
      <c r="Q313" s="518"/>
      <c r="R313" s="518"/>
      <c r="S313" s="518"/>
      <c r="T313" s="518"/>
      <c r="U313" s="518"/>
      <c r="V313" s="518"/>
      <c r="W313" s="518"/>
      <c r="X313" s="518"/>
      <c r="Y313" s="518"/>
      <c r="Z313" s="518"/>
      <c r="AA313" s="518"/>
      <c r="AB313" s="518"/>
      <c r="AC313" s="518"/>
      <c r="AD313" s="518"/>
      <c r="AE313" s="518"/>
      <c r="AF313" s="518"/>
      <c r="AG313" s="518"/>
      <c r="AH313" s="518"/>
      <c r="AI313" s="518"/>
      <c r="AJ313" s="518"/>
      <c r="AK313" s="518"/>
      <c r="AL313" s="518"/>
      <c r="AM313" s="518"/>
      <c r="AN313" s="518"/>
      <c r="AO313" s="518"/>
      <c r="AP313" s="518"/>
      <c r="AQ313" s="518"/>
      <c r="AT313" s="526"/>
    </row>
    <row r="314" spans="1:46">
      <c r="A314" s="883"/>
      <c r="B314" s="518"/>
      <c r="C314" s="518"/>
      <c r="D314" s="518"/>
      <c r="E314" s="518"/>
      <c r="F314" s="518"/>
      <c r="G314" s="518"/>
      <c r="H314" s="518"/>
      <c r="I314" s="516"/>
      <c r="J314" s="518"/>
      <c r="K314" s="518"/>
      <c r="L314" s="518"/>
      <c r="M314" s="518"/>
      <c r="N314" s="518"/>
      <c r="O314" s="518"/>
      <c r="P314" s="518"/>
      <c r="Q314" s="518"/>
      <c r="R314" s="518"/>
      <c r="S314" s="518"/>
      <c r="T314" s="518"/>
      <c r="U314" s="518"/>
      <c r="V314" s="518"/>
      <c r="W314" s="518"/>
      <c r="X314" s="518"/>
      <c r="Y314" s="518"/>
      <c r="Z314" s="518"/>
      <c r="AA314" s="518"/>
      <c r="AB314" s="518"/>
      <c r="AC314" s="518"/>
      <c r="AD314" s="518"/>
      <c r="AE314" s="518"/>
      <c r="AF314" s="518"/>
      <c r="AG314" s="518"/>
      <c r="AH314" s="518"/>
      <c r="AI314" s="518"/>
      <c r="AJ314" s="518"/>
      <c r="AK314" s="518"/>
      <c r="AL314" s="518"/>
      <c r="AM314" s="518"/>
      <c r="AN314" s="518"/>
      <c r="AO314" s="518"/>
      <c r="AP314" s="518"/>
      <c r="AQ314" s="518"/>
      <c r="AT314" s="526"/>
    </row>
    <row r="315" spans="1:46">
      <c r="A315" s="883"/>
      <c r="B315" s="518"/>
      <c r="C315" s="518"/>
      <c r="D315" s="518"/>
      <c r="E315" s="518"/>
      <c r="F315" s="518"/>
      <c r="G315" s="518"/>
      <c r="H315" s="518"/>
      <c r="I315" s="516"/>
      <c r="J315" s="518"/>
      <c r="K315" s="518"/>
      <c r="L315" s="518"/>
      <c r="M315" s="518"/>
      <c r="N315" s="518"/>
      <c r="O315" s="518"/>
      <c r="P315" s="518"/>
      <c r="Q315" s="518"/>
      <c r="R315" s="518"/>
      <c r="S315" s="518"/>
      <c r="T315" s="518"/>
      <c r="U315" s="518"/>
      <c r="V315" s="518"/>
      <c r="W315" s="518"/>
      <c r="X315" s="518"/>
      <c r="Y315" s="518"/>
      <c r="Z315" s="518"/>
      <c r="AA315" s="518"/>
      <c r="AB315" s="518"/>
      <c r="AC315" s="518"/>
      <c r="AD315" s="518"/>
      <c r="AE315" s="518"/>
      <c r="AF315" s="518"/>
      <c r="AG315" s="518"/>
      <c r="AH315" s="518"/>
      <c r="AI315" s="518"/>
      <c r="AJ315" s="518"/>
      <c r="AK315" s="518"/>
      <c r="AL315" s="518"/>
      <c r="AM315" s="518"/>
      <c r="AN315" s="518"/>
      <c r="AO315" s="518"/>
      <c r="AP315" s="518"/>
      <c r="AQ315" s="518"/>
      <c r="AT315" s="526"/>
    </row>
    <row r="316" spans="1:46">
      <c r="A316" s="883"/>
      <c r="B316" s="518"/>
      <c r="C316" s="518"/>
      <c r="D316" s="518"/>
      <c r="E316" s="518"/>
      <c r="F316" s="518"/>
      <c r="G316" s="518"/>
      <c r="H316" s="518"/>
      <c r="I316" s="516"/>
      <c r="J316" s="518"/>
      <c r="K316" s="518"/>
      <c r="L316" s="518"/>
      <c r="M316" s="518"/>
      <c r="N316" s="518"/>
      <c r="O316" s="518"/>
      <c r="P316" s="518"/>
      <c r="Q316" s="518"/>
      <c r="R316" s="518"/>
      <c r="S316" s="518"/>
      <c r="T316" s="518"/>
      <c r="U316" s="518"/>
      <c r="V316" s="518"/>
      <c r="W316" s="518"/>
      <c r="X316" s="518"/>
      <c r="Y316" s="518"/>
      <c r="Z316" s="518"/>
      <c r="AA316" s="518"/>
      <c r="AB316" s="518"/>
      <c r="AC316" s="518"/>
      <c r="AD316" s="518"/>
      <c r="AE316" s="518"/>
      <c r="AF316" s="518"/>
      <c r="AG316" s="518"/>
      <c r="AH316" s="518"/>
      <c r="AI316" s="518"/>
      <c r="AJ316" s="518"/>
      <c r="AK316" s="518"/>
      <c r="AL316" s="518"/>
      <c r="AM316" s="518"/>
      <c r="AN316" s="518"/>
      <c r="AO316" s="518"/>
      <c r="AP316" s="518"/>
      <c r="AQ316" s="518"/>
      <c r="AT316" s="526"/>
    </row>
    <row r="317" spans="1:46">
      <c r="A317" s="883"/>
      <c r="B317" s="518"/>
      <c r="C317" s="518"/>
      <c r="D317" s="518"/>
      <c r="E317" s="518"/>
      <c r="F317" s="518"/>
      <c r="G317" s="518"/>
      <c r="H317" s="518"/>
      <c r="I317" s="516"/>
      <c r="J317" s="518"/>
      <c r="K317" s="518"/>
      <c r="L317" s="518"/>
      <c r="M317" s="518"/>
      <c r="N317" s="518"/>
      <c r="O317" s="518"/>
      <c r="P317" s="518"/>
      <c r="Q317" s="518"/>
      <c r="R317" s="518"/>
      <c r="S317" s="518"/>
      <c r="T317" s="518"/>
      <c r="U317" s="518"/>
      <c r="V317" s="518"/>
      <c r="W317" s="518"/>
      <c r="X317" s="518"/>
      <c r="Y317" s="518"/>
      <c r="Z317" s="518"/>
      <c r="AA317" s="518"/>
      <c r="AB317" s="518"/>
      <c r="AC317" s="518"/>
      <c r="AD317" s="518"/>
      <c r="AE317" s="518"/>
      <c r="AF317" s="518"/>
      <c r="AG317" s="518"/>
      <c r="AH317" s="518"/>
      <c r="AI317" s="518"/>
      <c r="AJ317" s="518"/>
      <c r="AK317" s="518"/>
      <c r="AL317" s="518"/>
      <c r="AM317" s="518"/>
      <c r="AN317" s="518"/>
      <c r="AO317" s="518"/>
      <c r="AP317" s="518"/>
      <c r="AQ317" s="518"/>
      <c r="AT317" s="526"/>
    </row>
    <row r="318" spans="1:46">
      <c r="A318" s="883"/>
      <c r="B318" s="518"/>
      <c r="C318" s="518"/>
      <c r="D318" s="518"/>
      <c r="E318" s="518"/>
      <c r="F318" s="518"/>
      <c r="G318" s="518"/>
      <c r="H318" s="518"/>
      <c r="I318" s="516"/>
      <c r="J318" s="518"/>
      <c r="K318" s="518"/>
      <c r="L318" s="518"/>
      <c r="M318" s="518"/>
      <c r="N318" s="518"/>
      <c r="O318" s="518"/>
      <c r="P318" s="518"/>
      <c r="Q318" s="518"/>
      <c r="R318" s="518"/>
      <c r="S318" s="518"/>
      <c r="T318" s="518"/>
      <c r="U318" s="518"/>
      <c r="V318" s="518"/>
      <c r="W318" s="518"/>
      <c r="X318" s="518"/>
      <c r="Y318" s="518"/>
      <c r="Z318" s="518"/>
      <c r="AA318" s="518"/>
      <c r="AB318" s="518"/>
      <c r="AC318" s="518"/>
      <c r="AD318" s="518"/>
      <c r="AE318" s="518"/>
      <c r="AF318" s="518"/>
      <c r="AG318" s="518"/>
      <c r="AH318" s="518"/>
      <c r="AI318" s="518"/>
      <c r="AJ318" s="518"/>
      <c r="AK318" s="518"/>
      <c r="AL318" s="518"/>
      <c r="AM318" s="518"/>
      <c r="AN318" s="518"/>
      <c r="AO318" s="518"/>
      <c r="AP318" s="518"/>
      <c r="AQ318" s="518"/>
      <c r="AT318" s="526"/>
    </row>
    <row r="319" spans="1:46">
      <c r="A319" s="883"/>
      <c r="B319" s="518"/>
      <c r="C319" s="518"/>
      <c r="D319" s="518"/>
      <c r="E319" s="518"/>
      <c r="F319" s="518"/>
      <c r="G319" s="518"/>
      <c r="H319" s="518"/>
      <c r="I319" s="516"/>
      <c r="J319" s="518"/>
      <c r="K319" s="518"/>
      <c r="L319" s="518"/>
      <c r="M319" s="518"/>
      <c r="N319" s="518"/>
      <c r="O319" s="518"/>
      <c r="P319" s="518"/>
      <c r="Q319" s="518"/>
      <c r="R319" s="518"/>
      <c r="S319" s="518"/>
      <c r="T319" s="518"/>
      <c r="U319" s="518"/>
      <c r="V319" s="518"/>
      <c r="W319" s="518"/>
      <c r="X319" s="518"/>
      <c r="Y319" s="518"/>
      <c r="Z319" s="518"/>
      <c r="AA319" s="518"/>
      <c r="AB319" s="518"/>
      <c r="AC319" s="518"/>
      <c r="AD319" s="518"/>
      <c r="AE319" s="518"/>
      <c r="AF319" s="518"/>
      <c r="AG319" s="518"/>
      <c r="AH319" s="518"/>
      <c r="AI319" s="518"/>
      <c r="AJ319" s="518"/>
      <c r="AK319" s="518"/>
      <c r="AL319" s="518"/>
      <c r="AM319" s="518"/>
      <c r="AN319" s="518"/>
      <c r="AO319" s="518"/>
      <c r="AP319" s="518"/>
      <c r="AQ319" s="518"/>
      <c r="AT319" s="526"/>
    </row>
  </sheetData>
  <pageMargins left="0.7" right="0.7" top="0.75" bottom="0.75" header="0.3" footer="0.3"/>
  <pageSetup paperSize="9" orientation="portrait" horizontalDpi="4294967292" verticalDpi="4294967292"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M302"/>
  <sheetViews>
    <sheetView workbookViewId="0"/>
  </sheetViews>
  <sheetFormatPr defaultColWidth="11.42578125" defaultRowHeight="11.25"/>
  <cols>
    <col min="1" max="1" width="15.42578125" style="422" customWidth="1"/>
    <col min="2" max="2" width="12" style="422" customWidth="1"/>
    <col min="3" max="3" width="13.7109375" style="422" customWidth="1"/>
    <col min="4" max="8" width="11.42578125" style="422" customWidth="1"/>
    <col min="9" max="12" width="11.42578125" style="495" customWidth="1"/>
    <col min="13" max="16384" width="11.42578125" style="422"/>
  </cols>
  <sheetData>
    <row r="1" spans="1:13">
      <c r="A1" s="423" t="str">
        <f>IF(Index!B8=0,"TID DATA","")</f>
        <v>TID DATA</v>
      </c>
      <c r="B1" s="422" t="s">
        <v>308</v>
      </c>
      <c r="K1" s="495" t="s">
        <v>310</v>
      </c>
      <c r="L1" s="495" t="s">
        <v>310</v>
      </c>
      <c r="M1" s="495" t="s">
        <v>310</v>
      </c>
    </row>
    <row r="2" spans="1:13">
      <c r="A2" s="422" t="s">
        <v>310</v>
      </c>
      <c r="K2" s="495" t="s">
        <v>320</v>
      </c>
      <c r="L2" s="495" t="s">
        <v>931</v>
      </c>
      <c r="M2" s="495" t="s">
        <v>930</v>
      </c>
    </row>
    <row r="3" spans="1:13" ht="15.75" customHeight="1">
      <c r="A3" s="422" t="s">
        <v>310</v>
      </c>
    </row>
    <row r="4" spans="1:13" ht="12.75" customHeight="1">
      <c r="A4" s="422" t="s">
        <v>310</v>
      </c>
    </row>
    <row r="5" spans="1:13">
      <c r="A5" s="422" t="s">
        <v>310</v>
      </c>
    </row>
    <row r="6" spans="1:13">
      <c r="A6" s="422" t="s">
        <v>310</v>
      </c>
    </row>
    <row r="7" spans="1:13">
      <c r="A7" s="422" t="s">
        <v>310</v>
      </c>
      <c r="B7" s="423" t="s">
        <v>323</v>
      </c>
      <c r="C7" s="423" t="s">
        <v>324</v>
      </c>
      <c r="D7" s="423" t="s">
        <v>325</v>
      </c>
      <c r="E7" s="423" t="s">
        <v>326</v>
      </c>
      <c r="F7" s="423" t="s">
        <v>327</v>
      </c>
      <c r="G7" s="423" t="s">
        <v>328</v>
      </c>
      <c r="H7" s="423" t="s">
        <v>329</v>
      </c>
      <c r="I7" s="522" t="s">
        <v>339</v>
      </c>
      <c r="J7" s="522"/>
      <c r="K7" s="495">
        <v>4</v>
      </c>
    </row>
    <row r="8" spans="1:13">
      <c r="A8" s="422" t="s">
        <v>310</v>
      </c>
    </row>
    <row r="9" spans="1:13">
      <c r="A9" s="422" t="s">
        <v>331</v>
      </c>
      <c r="B9" s="510" t="s">
        <v>340</v>
      </c>
      <c r="C9" s="510" t="s">
        <v>333</v>
      </c>
      <c r="D9" s="510" t="s">
        <v>334</v>
      </c>
      <c r="E9" s="510" t="s">
        <v>341</v>
      </c>
      <c r="F9" s="510" t="s">
        <v>334</v>
      </c>
      <c r="G9" s="510" t="s">
        <v>334</v>
      </c>
      <c r="H9" s="510" t="s">
        <v>334</v>
      </c>
      <c r="I9" s="518">
        <v>1</v>
      </c>
      <c r="J9" s="518"/>
    </row>
    <row r="10" spans="1:13" ht="15">
      <c r="A10" s="422" t="s">
        <v>335</v>
      </c>
      <c r="B10" s="739" t="s">
        <v>342</v>
      </c>
      <c r="C10" s="510" t="s">
        <v>333</v>
      </c>
      <c r="D10" s="510" t="s">
        <v>334</v>
      </c>
      <c r="E10" s="510" t="s">
        <v>334</v>
      </c>
      <c r="F10" s="510" t="s">
        <v>334</v>
      </c>
      <c r="G10" s="510" t="s">
        <v>334</v>
      </c>
      <c r="H10" s="510" t="s">
        <v>334</v>
      </c>
      <c r="I10" s="518">
        <v>1</v>
      </c>
      <c r="J10" s="518"/>
    </row>
    <row r="11" spans="1:13">
      <c r="A11" s="422" t="s">
        <v>343</v>
      </c>
      <c r="B11" s="510" t="s">
        <v>344</v>
      </c>
      <c r="C11" s="510" t="s">
        <v>333</v>
      </c>
      <c r="D11" s="510" t="s">
        <v>345</v>
      </c>
      <c r="E11" s="510" t="s">
        <v>334</v>
      </c>
      <c r="F11" s="510" t="s">
        <v>334</v>
      </c>
      <c r="G11" s="510" t="s">
        <v>334</v>
      </c>
      <c r="H11" s="510" t="s">
        <v>334</v>
      </c>
      <c r="I11" s="518">
        <v>1</v>
      </c>
      <c r="J11" s="518"/>
    </row>
    <row r="12" spans="1:13">
      <c r="A12" s="422" t="s">
        <v>346</v>
      </c>
      <c r="B12" s="510" t="s">
        <v>361</v>
      </c>
      <c r="C12" s="510" t="s">
        <v>333</v>
      </c>
      <c r="D12" s="510" t="s">
        <v>345</v>
      </c>
      <c r="E12" s="510" t="s">
        <v>334</v>
      </c>
      <c r="F12" s="510" t="s">
        <v>334</v>
      </c>
      <c r="G12" s="510" t="s">
        <v>334</v>
      </c>
      <c r="H12" s="510" t="s">
        <v>334</v>
      </c>
      <c r="I12" s="518">
        <v>1</v>
      </c>
      <c r="J12" s="518"/>
    </row>
    <row r="13" spans="1:13">
      <c r="A13" s="422" t="s">
        <v>310</v>
      </c>
    </row>
    <row r="14" spans="1:13" ht="15">
      <c r="A14" s="883" t="str">
        <f ca="1">IF(INDEX(Demand.Sectors,MATCH(MID(C14,2,3),NameConv!$G$4:$M$4,0)),"","*")</f>
        <v/>
      </c>
      <c r="B14" s="515" t="str">
        <f t="shared" ref="B14:B77" ca="1" si="0">IF(A14="*","",VLOOKUP("*"&amp;K14,$A$9:$B$14,2,FALSE))</f>
        <v>PRC_ACTUNT</v>
      </c>
      <c r="C14" s="515" t="str">
        <f ca="1">"X"&amp;OFFSET(NameConv!$F$4,0,M14)&amp;OFFSET(NameConv!$F$59,L14,M14)</f>
        <v>XAGRCOA</v>
      </c>
      <c r="D14" s="515" t="str">
        <f ca="1">IF($A14="*","",IF($B14="TOP-OUT",RIGHT(C14,6),IF($B14="TOP-IN",RIGHT(C14,3),"-")))</f>
        <v>-</v>
      </c>
      <c r="E14" s="515" t="str">
        <f ca="1">IF($A14="*","",IF($B14="PRC_ACTUNT",RIGHT(C14,6),"-"))</f>
        <v>AGRCOA</v>
      </c>
      <c r="F14" s="515" t="str">
        <f ca="1">IF($A14="*","","-")</f>
        <v>-</v>
      </c>
      <c r="G14" s="515" t="str">
        <f t="shared" ref="G14:H29" ca="1" si="1">IF($A14="*","","-")</f>
        <v>-</v>
      </c>
      <c r="H14" s="515" t="str">
        <f t="shared" ca="1" si="1"/>
        <v>-</v>
      </c>
      <c r="I14" s="518">
        <f ca="1">IF(AND(B14=$B$10,RIGHT(C14,3)="ELC"),31.536,1)</f>
        <v>1</v>
      </c>
      <c r="J14" s="518"/>
      <c r="K14" s="523">
        <v>1</v>
      </c>
      <c r="L14" s="495">
        <v>1</v>
      </c>
      <c r="M14" s="738">
        <f>Model_RUN_code</f>
        <v>1</v>
      </c>
    </row>
    <row r="15" spans="1:13">
      <c r="A15" s="883" t="str">
        <f ca="1">IF(INDEX(Demand.Sectors,MATCH(MID(C15,2,3),NameConv!$G$4:$M$4,0)),"","*")</f>
        <v/>
      </c>
      <c r="B15" s="515" t="str">
        <f t="shared" ca="1" si="0"/>
        <v>PRC_ACTUNT</v>
      </c>
      <c r="C15" s="515" t="str">
        <f ca="1">"X"&amp;OFFSET(NameConv!$F$4,0,M15)&amp;OFFSET(NameConv!$F$59,L15,M15)</f>
        <v>XAGRELC</v>
      </c>
      <c r="D15" s="515" t="str">
        <f t="shared" ref="D15:D45" ca="1" si="2">IF($A15="*","",IF($B15="TOP-OUT",RIGHT(C15,6),IF($B15="TOP-IN",RIGHT(C15,3),"-")))</f>
        <v>-</v>
      </c>
      <c r="E15" s="515" t="str">
        <f t="shared" ref="E15:E45" ca="1" si="3">IF($A15="*","",IF($B15="PRC_ACTUNT",RIGHT(C15,6),"-"))</f>
        <v>AGRELC</v>
      </c>
      <c r="F15" s="515" t="str">
        <f t="shared" ref="F15:H46" ca="1" si="4">IF($A15="*","","-")</f>
        <v>-</v>
      </c>
      <c r="G15" s="515" t="str">
        <f t="shared" ca="1" si="1"/>
        <v>-</v>
      </c>
      <c r="H15" s="515" t="str">
        <f t="shared" ca="1" si="1"/>
        <v>-</v>
      </c>
      <c r="I15" s="518">
        <f t="shared" ref="I15:I78" ca="1" si="5">IF(AND(B15=$B$10,RIGHT(C15,3)="ELC"),31.536,1)</f>
        <v>1</v>
      </c>
      <c r="J15" s="518"/>
      <c r="K15" s="495">
        <f ca="1">IF(M14&lt;&gt;M15,1,IF(L14=OFFSET(NameConv!$F$45,0,M14),K14+1,K14))</f>
        <v>1</v>
      </c>
      <c r="L15" s="495">
        <f ca="1">IF(K15=K14,L14+1,1)</f>
        <v>2</v>
      </c>
      <c r="M15" s="526">
        <f ca="1">IF(AND(K14=$K$7,L14=SUMIF(NameConv!$G$4:$M$4,MID(C14,2,3),NameConv!$G$45:$M$45)),M14+1,M14)</f>
        <v>1</v>
      </c>
    </row>
    <row r="16" spans="1:13">
      <c r="A16" s="883" t="str">
        <f ca="1">IF(INDEX(Demand.Sectors,MATCH(MID(C16,2,3),NameConv!$G$4:$M$4,0)),"","*")</f>
        <v/>
      </c>
      <c r="B16" s="515" t="str">
        <f t="shared" ca="1" si="0"/>
        <v>PRC_ACTUNT</v>
      </c>
      <c r="C16" s="515" t="str">
        <f ca="1">"X"&amp;OFFSET(NameConv!$F$4,0,M16)&amp;OFFSET(NameConv!$F$59,L16,M16)</f>
        <v>XAGRODS</v>
      </c>
      <c r="D16" s="515" t="str">
        <f t="shared" ca="1" si="2"/>
        <v>-</v>
      </c>
      <c r="E16" s="515" t="str">
        <f t="shared" ca="1" si="3"/>
        <v>AGRODS</v>
      </c>
      <c r="F16" s="515" t="str">
        <f t="shared" ca="1" si="4"/>
        <v>-</v>
      </c>
      <c r="G16" s="515" t="str">
        <f t="shared" ca="1" si="1"/>
        <v>-</v>
      </c>
      <c r="H16" s="515" t="str">
        <f t="shared" ca="1" si="1"/>
        <v>-</v>
      </c>
      <c r="I16" s="518">
        <f t="shared" ca="1" si="5"/>
        <v>1</v>
      </c>
      <c r="J16" s="518"/>
      <c r="K16" s="495">
        <f ca="1">IF(M15&lt;&gt;M16,1,IF(L15=OFFSET(NameConv!$F$45,0,M15),K15+1,K15))</f>
        <v>1</v>
      </c>
      <c r="L16" s="495">
        <f t="shared" ref="L16:L77" ca="1" si="6">IF(K16=K15,L15+1,1)</f>
        <v>3</v>
      </c>
      <c r="M16" s="526">
        <f ca="1">IF(AND(K15=$K$7,L15=SUMIF(NameConv!$G$4:$M$4,MID(C15,2,3),NameConv!$G$45:$M$45)),M15+1,M15)</f>
        <v>1</v>
      </c>
    </row>
    <row r="17" spans="1:13">
      <c r="A17" s="883" t="str">
        <f ca="1">IF(INDEX(Demand.Sectors,MATCH(MID(C17,2,3),NameConv!$G$4:$M$4,0)),"","*")</f>
        <v/>
      </c>
      <c r="B17" s="515" t="str">
        <f t="shared" ca="1" si="0"/>
        <v>PRC_ACTUNT</v>
      </c>
      <c r="C17" s="515" t="str">
        <f ca="1">"X"&amp;OFFSET(NameConv!$F$4,0,M17)&amp;OFFSET(NameConv!$F$59,L17,M17)</f>
        <v>XAGROGS</v>
      </c>
      <c r="D17" s="515" t="str">
        <f t="shared" ca="1" si="2"/>
        <v>-</v>
      </c>
      <c r="E17" s="515" t="str">
        <f t="shared" ca="1" si="3"/>
        <v>AGROGS</v>
      </c>
      <c r="F17" s="515" t="str">
        <f t="shared" ca="1" si="4"/>
        <v>-</v>
      </c>
      <c r="G17" s="515" t="str">
        <f t="shared" ca="1" si="1"/>
        <v>-</v>
      </c>
      <c r="H17" s="515" t="str">
        <f t="shared" ca="1" si="1"/>
        <v>-</v>
      </c>
      <c r="I17" s="518">
        <f t="shared" ca="1" si="5"/>
        <v>1</v>
      </c>
      <c r="J17" s="518"/>
      <c r="K17" s="495">
        <f ca="1">IF(M16&lt;&gt;M17,1,IF(L16=OFFSET(NameConv!$F$45,0,M16),K16+1,K16))</f>
        <v>1</v>
      </c>
      <c r="L17" s="495">
        <f t="shared" ca="1" si="6"/>
        <v>4</v>
      </c>
      <c r="M17" s="526">
        <f ca="1">IF(AND(K16=$K$7,L16=SUMIF(NameConv!$G$4:$M$4,MID(C16,2,3),NameConv!$G$45:$M$45)),M16+1,M16)</f>
        <v>1</v>
      </c>
    </row>
    <row r="18" spans="1:13">
      <c r="A18" s="883" t="str">
        <f ca="1">IF(INDEX(Demand.Sectors,MATCH(MID(C18,2,3),NameConv!$G$4:$M$4,0)),"","*")</f>
        <v/>
      </c>
      <c r="B18" s="515" t="str">
        <f t="shared" ca="1" si="0"/>
        <v>PRC_ACTUNT</v>
      </c>
      <c r="C18" s="515" t="str">
        <f ca="1">"X"&amp;OFFSET(NameConv!$F$4,0,M18)&amp;OFFSET(NameConv!$F$59,L18,M18)</f>
        <v>XAGROHF</v>
      </c>
      <c r="D18" s="515" t="str">
        <f t="shared" ca="1" si="2"/>
        <v>-</v>
      </c>
      <c r="E18" s="515" t="str">
        <f t="shared" ca="1" si="3"/>
        <v>AGROHF</v>
      </c>
      <c r="F18" s="515" t="str">
        <f t="shared" ca="1" si="4"/>
        <v>-</v>
      </c>
      <c r="G18" s="515" t="str">
        <f t="shared" ca="1" si="1"/>
        <v>-</v>
      </c>
      <c r="H18" s="515" t="str">
        <f t="shared" ca="1" si="1"/>
        <v>-</v>
      </c>
      <c r="I18" s="518">
        <f t="shared" ca="1" si="5"/>
        <v>1</v>
      </c>
      <c r="J18" s="518"/>
      <c r="K18" s="495">
        <f ca="1">IF(M17&lt;&gt;M18,1,IF(L17=OFFSET(NameConv!$F$45,0,M17),K17+1,K17))</f>
        <v>1</v>
      </c>
      <c r="L18" s="495">
        <f t="shared" ca="1" si="6"/>
        <v>5</v>
      </c>
      <c r="M18" s="526">
        <f ca="1">IF(AND(K17=$K$7,L17=SUMIF(NameConv!$G$4:$M$4,MID(C17,2,3),NameConv!$G$45:$M$45)),M17+1,M17)</f>
        <v>1</v>
      </c>
    </row>
    <row r="19" spans="1:13">
      <c r="A19" s="883" t="str">
        <f ca="1">IF(INDEX(Demand.Sectors,MATCH(MID(C19,2,3),NameConv!$G$4:$M$4,0)),"","*")</f>
        <v/>
      </c>
      <c r="B19" s="515" t="str">
        <f t="shared" ca="1" si="0"/>
        <v>PRC_ACTUNT</v>
      </c>
      <c r="C19" s="515" t="str">
        <f ca="1">"X"&amp;OFFSET(NameConv!$F$4,0,M19)&amp;OFFSET(NameConv!$F$59,L19,M19)</f>
        <v>XAGROKE</v>
      </c>
      <c r="D19" s="515" t="str">
        <f t="shared" ca="1" si="2"/>
        <v>-</v>
      </c>
      <c r="E19" s="515" t="str">
        <f t="shared" ca="1" si="3"/>
        <v>AGROKE</v>
      </c>
      <c r="F19" s="515" t="str">
        <f t="shared" ca="1" si="4"/>
        <v>-</v>
      </c>
      <c r="G19" s="515" t="str">
        <f t="shared" ca="1" si="1"/>
        <v>-</v>
      </c>
      <c r="H19" s="515" t="str">
        <f t="shared" ca="1" si="1"/>
        <v>-</v>
      </c>
      <c r="I19" s="518">
        <f t="shared" ca="1" si="5"/>
        <v>1</v>
      </c>
      <c r="J19" s="518"/>
      <c r="K19" s="495">
        <f ca="1">IF(M18&lt;&gt;M19,1,IF(L18=OFFSET(NameConv!$F$45,0,M18),K18+1,K18))</f>
        <v>1</v>
      </c>
      <c r="L19" s="495">
        <f t="shared" ca="1" si="6"/>
        <v>6</v>
      </c>
      <c r="M19" s="526">
        <f ca="1">IF(AND(K18=$K$7,L18=SUMIF(NameConv!$G$4:$M$4,MID(C18,2,3),NameConv!$G$45:$M$45)),M18+1,M18)</f>
        <v>1</v>
      </c>
    </row>
    <row r="20" spans="1:13">
      <c r="A20" s="883" t="str">
        <f ca="1">IF(INDEX(Demand.Sectors,MATCH(MID(C20,2,3),NameConv!$G$4:$M$4,0)),"","*")</f>
        <v/>
      </c>
      <c r="B20" s="515" t="str">
        <f t="shared" ca="1" si="0"/>
        <v>PRC_ACTUNT</v>
      </c>
      <c r="C20" s="515" t="str">
        <f ca="1">"X"&amp;OFFSET(NameConv!$F$4,0,M20)&amp;OFFSET(NameConv!$F$59,L20,M20)</f>
        <v>XAGROLP</v>
      </c>
      <c r="D20" s="515" t="str">
        <f t="shared" ca="1" si="2"/>
        <v>-</v>
      </c>
      <c r="E20" s="515" t="str">
        <f t="shared" ca="1" si="3"/>
        <v>AGROLP</v>
      </c>
      <c r="F20" s="515" t="str">
        <f t="shared" ca="1" si="4"/>
        <v>-</v>
      </c>
      <c r="G20" s="515" t="str">
        <f t="shared" ca="1" si="1"/>
        <v>-</v>
      </c>
      <c r="H20" s="515" t="str">
        <f t="shared" ca="1" si="1"/>
        <v>-</v>
      </c>
      <c r="I20" s="518">
        <f t="shared" ca="1" si="5"/>
        <v>1</v>
      </c>
      <c r="J20" s="518"/>
      <c r="K20" s="495">
        <f ca="1">IF(M19&lt;&gt;M20,1,IF(L19=OFFSET(NameConv!$F$45,0,M19),K19+1,K19))</f>
        <v>1</v>
      </c>
      <c r="L20" s="495">
        <f t="shared" ca="1" si="6"/>
        <v>7</v>
      </c>
      <c r="M20" s="526">
        <f ca="1">IF(AND(K19=$K$7,L19=SUMIF(NameConv!$G$4:$M$4,MID(C19,2,3),NameConv!$G$45:$M$45)),M19+1,M19)</f>
        <v>1</v>
      </c>
    </row>
    <row r="21" spans="1:13">
      <c r="A21" s="883" t="str">
        <f ca="1">IF(INDEX(Demand.Sectors,MATCH(MID(C21,2,3),NameConv!$G$4:$M$4,0)),"","*")</f>
        <v/>
      </c>
      <c r="B21" s="515" t="str">
        <f t="shared" ca="1" si="0"/>
        <v>PRC_CAPACT</v>
      </c>
      <c r="C21" s="515" t="str">
        <f ca="1">"X"&amp;OFFSET(NameConv!$F$4,0,M21)&amp;OFFSET(NameConv!$F$59,L21,M21)</f>
        <v>XAGRCOA</v>
      </c>
      <c r="D21" s="515" t="str">
        <f t="shared" ca="1" si="2"/>
        <v>-</v>
      </c>
      <c r="E21" s="515" t="str">
        <f t="shared" ca="1" si="3"/>
        <v>-</v>
      </c>
      <c r="F21" s="515" t="str">
        <f t="shared" ca="1" si="4"/>
        <v>-</v>
      </c>
      <c r="G21" s="515" t="str">
        <f t="shared" ca="1" si="1"/>
        <v>-</v>
      </c>
      <c r="H21" s="515" t="str">
        <f t="shared" ca="1" si="1"/>
        <v>-</v>
      </c>
      <c r="I21" s="518">
        <f t="shared" ca="1" si="5"/>
        <v>1</v>
      </c>
      <c r="J21" s="518"/>
      <c r="K21" s="495">
        <f ca="1">IF(M20&lt;&gt;M21,1,IF(L20=OFFSET(NameConv!$F$45,0,M20),K20+1,K20))</f>
        <v>2</v>
      </c>
      <c r="L21" s="495">
        <f t="shared" ca="1" si="6"/>
        <v>1</v>
      </c>
      <c r="M21" s="526">
        <f ca="1">IF(AND(K20=$K$7,L20=SUMIF(NameConv!$G$4:$M$4,MID(C20,2,3),NameConv!$G$45:$M$45)),M20+1,M20)</f>
        <v>1</v>
      </c>
    </row>
    <row r="22" spans="1:13">
      <c r="A22" s="883" t="str">
        <f ca="1">IF(INDEX(Demand.Sectors,MATCH(MID(C22,2,3),NameConv!$G$4:$M$4,0)),"","*")</f>
        <v/>
      </c>
      <c r="B22" s="515" t="str">
        <f t="shared" ca="1" si="0"/>
        <v>PRC_CAPACT</v>
      </c>
      <c r="C22" s="515" t="str">
        <f ca="1">"X"&amp;OFFSET(NameConv!$F$4,0,M22)&amp;OFFSET(NameConv!$F$59,L22,M22)</f>
        <v>XAGRELC</v>
      </c>
      <c r="D22" s="515" t="str">
        <f t="shared" ca="1" si="2"/>
        <v>-</v>
      </c>
      <c r="E22" s="515" t="str">
        <f t="shared" ca="1" si="3"/>
        <v>-</v>
      </c>
      <c r="F22" s="515" t="str">
        <f t="shared" ca="1" si="4"/>
        <v>-</v>
      </c>
      <c r="G22" s="515" t="str">
        <f t="shared" ca="1" si="1"/>
        <v>-</v>
      </c>
      <c r="H22" s="515" t="str">
        <f t="shared" ca="1" si="1"/>
        <v>-</v>
      </c>
      <c r="I22" s="518">
        <f t="shared" ca="1" si="5"/>
        <v>31.536000000000001</v>
      </c>
      <c r="J22" s="518"/>
      <c r="K22" s="495">
        <f ca="1">IF(M21&lt;&gt;M22,1,IF(L21=OFFSET(NameConv!$F$45,0,M21),K21+1,K21))</f>
        <v>2</v>
      </c>
      <c r="L22" s="495">
        <f t="shared" ca="1" si="6"/>
        <v>2</v>
      </c>
      <c r="M22" s="526">
        <f ca="1">IF(AND(K21=$K$7,L21=SUMIF(NameConv!$G$4:$M$4,MID(C21,2,3),NameConv!$G$45:$M$45)),M21+1,M21)</f>
        <v>1</v>
      </c>
    </row>
    <row r="23" spans="1:13">
      <c r="A23" s="883" t="str">
        <f ca="1">IF(INDEX(Demand.Sectors,MATCH(MID(C23,2,3),NameConv!$G$4:$M$4,0)),"","*")</f>
        <v/>
      </c>
      <c r="B23" s="515" t="str">
        <f t="shared" ca="1" si="0"/>
        <v>PRC_CAPACT</v>
      </c>
      <c r="C23" s="515" t="str">
        <f ca="1">"X"&amp;OFFSET(NameConv!$F$4,0,M23)&amp;OFFSET(NameConv!$F$59,L23,M23)</f>
        <v>XAGRODS</v>
      </c>
      <c r="D23" s="515" t="str">
        <f t="shared" ca="1" si="2"/>
        <v>-</v>
      </c>
      <c r="E23" s="515" t="str">
        <f t="shared" ca="1" si="3"/>
        <v>-</v>
      </c>
      <c r="F23" s="515" t="str">
        <f t="shared" ca="1" si="4"/>
        <v>-</v>
      </c>
      <c r="G23" s="515" t="str">
        <f t="shared" ca="1" si="1"/>
        <v>-</v>
      </c>
      <c r="H23" s="515" t="str">
        <f t="shared" ca="1" si="1"/>
        <v>-</v>
      </c>
      <c r="I23" s="518">
        <f t="shared" ca="1" si="5"/>
        <v>1</v>
      </c>
      <c r="J23" s="518"/>
      <c r="K23" s="495">
        <f ca="1">IF(M22&lt;&gt;M23,1,IF(L22=OFFSET(NameConv!$F$45,0,M22),K22+1,K22))</f>
        <v>2</v>
      </c>
      <c r="L23" s="495">
        <f t="shared" ca="1" si="6"/>
        <v>3</v>
      </c>
      <c r="M23" s="526">
        <f ca="1">IF(AND(K22=$K$7,L22=SUMIF(NameConv!$G$4:$M$4,MID(C22,2,3),NameConv!$G$45:$M$45)),M22+1,M22)</f>
        <v>1</v>
      </c>
    </row>
    <row r="24" spans="1:13">
      <c r="A24" s="883" t="str">
        <f ca="1">IF(INDEX(Demand.Sectors,MATCH(MID(C24,2,3),NameConv!$G$4:$M$4,0)),"","*")</f>
        <v/>
      </c>
      <c r="B24" s="515" t="str">
        <f t="shared" ca="1" si="0"/>
        <v>PRC_CAPACT</v>
      </c>
      <c r="C24" s="515" t="str">
        <f ca="1">"X"&amp;OFFSET(NameConv!$F$4,0,M24)&amp;OFFSET(NameConv!$F$59,L24,M24)</f>
        <v>XAGROGS</v>
      </c>
      <c r="D24" s="515" t="str">
        <f t="shared" ca="1" si="2"/>
        <v>-</v>
      </c>
      <c r="E24" s="515" t="str">
        <f t="shared" ca="1" si="3"/>
        <v>-</v>
      </c>
      <c r="F24" s="515" t="str">
        <f t="shared" ca="1" si="4"/>
        <v>-</v>
      </c>
      <c r="G24" s="515" t="str">
        <f t="shared" ca="1" si="1"/>
        <v>-</v>
      </c>
      <c r="H24" s="515" t="str">
        <f t="shared" ca="1" si="1"/>
        <v>-</v>
      </c>
      <c r="I24" s="518">
        <f t="shared" ca="1" si="5"/>
        <v>1</v>
      </c>
      <c r="J24" s="518"/>
      <c r="K24" s="495">
        <f ca="1">IF(M23&lt;&gt;M24,1,IF(L23=OFFSET(NameConv!$F$45,0,M23),K23+1,K23))</f>
        <v>2</v>
      </c>
      <c r="L24" s="495">
        <f t="shared" ca="1" si="6"/>
        <v>4</v>
      </c>
      <c r="M24" s="526">
        <f ca="1">IF(AND(K23=$K$7,L23=SUMIF(NameConv!$G$4:$M$4,MID(C23,2,3),NameConv!$G$45:$M$45)),M23+1,M23)</f>
        <v>1</v>
      </c>
    </row>
    <row r="25" spans="1:13">
      <c r="A25" s="883" t="str">
        <f ca="1">IF(INDEX(Demand.Sectors,MATCH(MID(C25,2,3),NameConv!$G$4:$M$4,0)),"","*")</f>
        <v/>
      </c>
      <c r="B25" s="515" t="str">
        <f t="shared" ca="1" si="0"/>
        <v>PRC_CAPACT</v>
      </c>
      <c r="C25" s="515" t="str">
        <f ca="1">"X"&amp;OFFSET(NameConv!$F$4,0,M25)&amp;OFFSET(NameConv!$F$59,L25,M25)</f>
        <v>XAGROHF</v>
      </c>
      <c r="D25" s="515" t="str">
        <f t="shared" ca="1" si="2"/>
        <v>-</v>
      </c>
      <c r="E25" s="515" t="str">
        <f t="shared" ca="1" si="3"/>
        <v>-</v>
      </c>
      <c r="F25" s="515" t="str">
        <f t="shared" ca="1" si="4"/>
        <v>-</v>
      </c>
      <c r="G25" s="515" t="str">
        <f t="shared" ca="1" si="1"/>
        <v>-</v>
      </c>
      <c r="H25" s="515" t="str">
        <f t="shared" ca="1" si="1"/>
        <v>-</v>
      </c>
      <c r="I25" s="518">
        <f t="shared" ca="1" si="5"/>
        <v>1</v>
      </c>
      <c r="J25" s="518"/>
      <c r="K25" s="495">
        <f ca="1">IF(M24&lt;&gt;M25,1,IF(L24=OFFSET(NameConv!$F$45,0,M24),K24+1,K24))</f>
        <v>2</v>
      </c>
      <c r="L25" s="495">
        <f t="shared" ca="1" si="6"/>
        <v>5</v>
      </c>
      <c r="M25" s="526">
        <f ca="1">IF(AND(K24=$K$7,L24=SUMIF(NameConv!$G$4:$M$4,MID(C24,2,3),NameConv!$G$45:$M$45)),M24+1,M24)</f>
        <v>1</v>
      </c>
    </row>
    <row r="26" spans="1:13">
      <c r="A26" s="883" t="str">
        <f ca="1">IF(INDEX(Demand.Sectors,MATCH(MID(C26,2,3),NameConv!$G$4:$M$4,0)),"","*")</f>
        <v/>
      </c>
      <c r="B26" s="515" t="str">
        <f t="shared" ca="1" si="0"/>
        <v>PRC_CAPACT</v>
      </c>
      <c r="C26" s="515" t="str">
        <f ca="1">"X"&amp;OFFSET(NameConv!$F$4,0,M26)&amp;OFFSET(NameConv!$F$59,L26,M26)</f>
        <v>XAGROKE</v>
      </c>
      <c r="D26" s="515" t="str">
        <f t="shared" ca="1" si="2"/>
        <v>-</v>
      </c>
      <c r="E26" s="515" t="str">
        <f t="shared" ca="1" si="3"/>
        <v>-</v>
      </c>
      <c r="F26" s="515" t="str">
        <f t="shared" ca="1" si="4"/>
        <v>-</v>
      </c>
      <c r="G26" s="515" t="str">
        <f t="shared" ca="1" si="1"/>
        <v>-</v>
      </c>
      <c r="H26" s="515" t="str">
        <f t="shared" ca="1" si="1"/>
        <v>-</v>
      </c>
      <c r="I26" s="518">
        <f t="shared" ca="1" si="5"/>
        <v>1</v>
      </c>
      <c r="J26" s="518"/>
      <c r="K26" s="495">
        <f ca="1">IF(M25&lt;&gt;M26,1,IF(L25=OFFSET(NameConv!$F$45,0,M25),K25+1,K25))</f>
        <v>2</v>
      </c>
      <c r="L26" s="495">
        <f t="shared" ca="1" si="6"/>
        <v>6</v>
      </c>
      <c r="M26" s="526">
        <f ca="1">IF(AND(K25=$K$7,L25=SUMIF(NameConv!$G$4:$M$4,MID(C25,2,3),NameConv!$G$45:$M$45)),M25+1,M25)</f>
        <v>1</v>
      </c>
    </row>
    <row r="27" spans="1:13">
      <c r="A27" s="883" t="str">
        <f ca="1">IF(INDEX(Demand.Sectors,MATCH(MID(C27,2,3),NameConv!$G$4:$M$4,0)),"","*")</f>
        <v/>
      </c>
      <c r="B27" s="515" t="str">
        <f t="shared" ca="1" si="0"/>
        <v>PRC_CAPACT</v>
      </c>
      <c r="C27" s="515" t="str">
        <f ca="1">"X"&amp;OFFSET(NameConv!$F$4,0,M27)&amp;OFFSET(NameConv!$F$59,L27,M27)</f>
        <v>XAGROLP</v>
      </c>
      <c r="D27" s="515" t="str">
        <f t="shared" ca="1" si="2"/>
        <v>-</v>
      </c>
      <c r="E27" s="515" t="str">
        <f t="shared" ca="1" si="3"/>
        <v>-</v>
      </c>
      <c r="F27" s="515" t="str">
        <f t="shared" ca="1" si="4"/>
        <v>-</v>
      </c>
      <c r="G27" s="515" t="str">
        <f t="shared" ca="1" si="1"/>
        <v>-</v>
      </c>
      <c r="H27" s="515" t="str">
        <f t="shared" ca="1" si="1"/>
        <v>-</v>
      </c>
      <c r="I27" s="518">
        <f t="shared" ca="1" si="5"/>
        <v>1</v>
      </c>
      <c r="J27" s="518"/>
      <c r="K27" s="495">
        <f ca="1">IF(M26&lt;&gt;M27,1,IF(L26=OFFSET(NameConv!$F$45,0,M26),K26+1,K26))</f>
        <v>2</v>
      </c>
      <c r="L27" s="495">
        <f t="shared" ca="1" si="6"/>
        <v>7</v>
      </c>
      <c r="M27" s="526">
        <f ca="1">IF(AND(K26=$K$7,L26=SUMIF(NameConv!$G$4:$M$4,MID(C26,2,3),NameConv!$G$45:$M$45)),M26+1,M26)</f>
        <v>1</v>
      </c>
    </row>
    <row r="28" spans="1:13">
      <c r="A28" s="883" t="str">
        <f ca="1">IF(INDEX(Demand.Sectors,MATCH(MID(C28,2,3),NameConv!$G$4:$M$4,0)),"","*")</f>
        <v/>
      </c>
      <c r="B28" s="515" t="str">
        <f t="shared" ca="1" si="0"/>
        <v>TOP-OUT</v>
      </c>
      <c r="C28" s="515" t="str">
        <f ca="1">"X"&amp;OFFSET(NameConv!$F$4,0,M28)&amp;OFFSET(NameConv!$F$59,L28,M28)</f>
        <v>XAGRCOA</v>
      </c>
      <c r="D28" s="515" t="str">
        <f t="shared" ca="1" si="2"/>
        <v>AGRCOA</v>
      </c>
      <c r="E28" s="515" t="str">
        <f t="shared" ca="1" si="3"/>
        <v>-</v>
      </c>
      <c r="F28" s="515" t="str">
        <f t="shared" ca="1" si="4"/>
        <v>-</v>
      </c>
      <c r="G28" s="515" t="str">
        <f t="shared" ca="1" si="1"/>
        <v>-</v>
      </c>
      <c r="H28" s="515" t="str">
        <f t="shared" ca="1" si="1"/>
        <v>-</v>
      </c>
      <c r="I28" s="518">
        <f t="shared" ca="1" si="5"/>
        <v>1</v>
      </c>
      <c r="J28" s="518"/>
      <c r="K28" s="495">
        <f ca="1">IF(M27&lt;&gt;M28,1,IF(L27=OFFSET(NameConv!$F$45,0,M27),K27+1,K27))</f>
        <v>3</v>
      </c>
      <c r="L28" s="495">
        <f t="shared" ca="1" si="6"/>
        <v>1</v>
      </c>
      <c r="M28" s="526">
        <f ca="1">IF(AND(K27=$K$7,L27=SUMIF(NameConv!$G$4:$M$4,MID(C27,2,3),NameConv!$G$45:$M$45)),M27+1,M27)</f>
        <v>1</v>
      </c>
    </row>
    <row r="29" spans="1:13">
      <c r="A29" s="883" t="str">
        <f ca="1">IF(INDEX(Demand.Sectors,MATCH(MID(C29,2,3),NameConv!$G$4:$M$4,0)),"","*")</f>
        <v/>
      </c>
      <c r="B29" s="515" t="str">
        <f t="shared" ca="1" si="0"/>
        <v>TOP-OUT</v>
      </c>
      <c r="C29" s="515" t="str">
        <f ca="1">"X"&amp;OFFSET(NameConv!$F$4,0,M29)&amp;OFFSET(NameConv!$F$59,L29,M29)</f>
        <v>XAGRELC</v>
      </c>
      <c r="D29" s="515" t="str">
        <f t="shared" ca="1" si="2"/>
        <v>AGRELC</v>
      </c>
      <c r="E29" s="515" t="str">
        <f t="shared" ca="1" si="3"/>
        <v>-</v>
      </c>
      <c r="F29" s="515" t="str">
        <f t="shared" ca="1" si="4"/>
        <v>-</v>
      </c>
      <c r="G29" s="515" t="str">
        <f t="shared" ca="1" si="1"/>
        <v>-</v>
      </c>
      <c r="H29" s="515" t="str">
        <f t="shared" ca="1" si="1"/>
        <v>-</v>
      </c>
      <c r="I29" s="518">
        <f t="shared" ca="1" si="5"/>
        <v>1</v>
      </c>
      <c r="J29" s="518"/>
      <c r="K29" s="495">
        <f ca="1">IF(M28&lt;&gt;M29,1,IF(L28=OFFSET(NameConv!$F$45,0,M28),K28+1,K28))</f>
        <v>3</v>
      </c>
      <c r="L29" s="495">
        <f t="shared" ca="1" si="6"/>
        <v>2</v>
      </c>
      <c r="M29" s="526">
        <f ca="1">IF(AND(K28=$K$7,L28=SUMIF(NameConv!$G$4:$M$4,MID(C28,2,3),NameConv!$G$45:$M$45)),M28+1,M28)</f>
        <v>1</v>
      </c>
    </row>
    <row r="30" spans="1:13">
      <c r="A30" s="883" t="str">
        <f ca="1">IF(INDEX(Demand.Sectors,MATCH(MID(C30,2,3),NameConv!$G$4:$M$4,0)),"","*")</f>
        <v/>
      </c>
      <c r="B30" s="515" t="str">
        <f t="shared" ca="1" si="0"/>
        <v>TOP-OUT</v>
      </c>
      <c r="C30" s="515" t="str">
        <f ca="1">"X"&amp;OFFSET(NameConv!$F$4,0,M30)&amp;OFFSET(NameConv!$F$59,L30,M30)</f>
        <v>XAGRODS</v>
      </c>
      <c r="D30" s="515" t="str">
        <f t="shared" ca="1" si="2"/>
        <v>AGRODS</v>
      </c>
      <c r="E30" s="515" t="str">
        <f t="shared" ca="1" si="3"/>
        <v>-</v>
      </c>
      <c r="F30" s="515" t="str">
        <f t="shared" ca="1" si="4"/>
        <v>-</v>
      </c>
      <c r="G30" s="515" t="str">
        <f t="shared" ca="1" si="4"/>
        <v>-</v>
      </c>
      <c r="H30" s="515" t="str">
        <f t="shared" ca="1" si="4"/>
        <v>-</v>
      </c>
      <c r="I30" s="518">
        <f t="shared" ca="1" si="5"/>
        <v>1</v>
      </c>
      <c r="J30" s="518"/>
      <c r="K30" s="495">
        <f ca="1">IF(M29&lt;&gt;M30,1,IF(L29=OFFSET(NameConv!$F$45,0,M29),K29+1,K29))</f>
        <v>3</v>
      </c>
      <c r="L30" s="495">
        <f t="shared" ca="1" si="6"/>
        <v>3</v>
      </c>
      <c r="M30" s="526">
        <f ca="1">IF(AND(K29=$K$7,L29=SUMIF(NameConv!$G$4:$M$4,MID(C29,2,3),NameConv!$G$45:$M$45)),M29+1,M29)</f>
        <v>1</v>
      </c>
    </row>
    <row r="31" spans="1:13">
      <c r="A31" s="883" t="str">
        <f ca="1">IF(INDEX(Demand.Sectors,MATCH(MID(C31,2,3),NameConv!$G$4:$M$4,0)),"","*")</f>
        <v/>
      </c>
      <c r="B31" s="515" t="str">
        <f t="shared" ca="1" si="0"/>
        <v>TOP-OUT</v>
      </c>
      <c r="C31" s="515" t="str">
        <f ca="1">"X"&amp;OFFSET(NameConv!$F$4,0,M31)&amp;OFFSET(NameConv!$F$59,L31,M31)</f>
        <v>XAGROGS</v>
      </c>
      <c r="D31" s="515" t="str">
        <f t="shared" ca="1" si="2"/>
        <v>AGROGS</v>
      </c>
      <c r="E31" s="515" t="str">
        <f t="shared" ca="1" si="3"/>
        <v>-</v>
      </c>
      <c r="F31" s="515" t="str">
        <f t="shared" ca="1" si="4"/>
        <v>-</v>
      </c>
      <c r="G31" s="515" t="str">
        <f t="shared" ca="1" si="4"/>
        <v>-</v>
      </c>
      <c r="H31" s="515" t="str">
        <f t="shared" ca="1" si="4"/>
        <v>-</v>
      </c>
      <c r="I31" s="518">
        <f t="shared" ca="1" si="5"/>
        <v>1</v>
      </c>
      <c r="J31" s="518"/>
      <c r="K31" s="495">
        <f ca="1">IF(M30&lt;&gt;M31,1,IF(L30=OFFSET(NameConv!$F$45,0,M30),K30+1,K30))</f>
        <v>3</v>
      </c>
      <c r="L31" s="495">
        <f t="shared" ca="1" si="6"/>
        <v>4</v>
      </c>
      <c r="M31" s="526">
        <f ca="1">IF(AND(K30=$K$7,L30=SUMIF(NameConv!$G$4:$M$4,MID(C30,2,3),NameConv!$G$45:$M$45)),M30+1,M30)</f>
        <v>1</v>
      </c>
    </row>
    <row r="32" spans="1:13">
      <c r="A32" s="883" t="str">
        <f ca="1">IF(INDEX(Demand.Sectors,MATCH(MID(C32,2,3),NameConv!$G$4:$M$4,0)),"","*")</f>
        <v/>
      </c>
      <c r="B32" s="515" t="str">
        <f t="shared" ca="1" si="0"/>
        <v>TOP-OUT</v>
      </c>
      <c r="C32" s="515" t="str">
        <f ca="1">"X"&amp;OFFSET(NameConv!$F$4,0,M32)&amp;OFFSET(NameConv!$F$59,L32,M32)</f>
        <v>XAGROHF</v>
      </c>
      <c r="D32" s="515" t="str">
        <f t="shared" ca="1" si="2"/>
        <v>AGROHF</v>
      </c>
      <c r="E32" s="515" t="str">
        <f t="shared" ca="1" si="3"/>
        <v>-</v>
      </c>
      <c r="F32" s="515" t="str">
        <f t="shared" ca="1" si="4"/>
        <v>-</v>
      </c>
      <c r="G32" s="515" t="str">
        <f t="shared" ca="1" si="4"/>
        <v>-</v>
      </c>
      <c r="H32" s="515" t="str">
        <f t="shared" ca="1" si="4"/>
        <v>-</v>
      </c>
      <c r="I32" s="518">
        <f t="shared" ca="1" si="5"/>
        <v>1</v>
      </c>
      <c r="J32" s="518"/>
      <c r="K32" s="495">
        <f ca="1">IF(M31&lt;&gt;M32,1,IF(L31=OFFSET(NameConv!$F$45,0,M31),K31+1,K31))</f>
        <v>3</v>
      </c>
      <c r="L32" s="495">
        <f t="shared" ca="1" si="6"/>
        <v>5</v>
      </c>
      <c r="M32" s="526">
        <f ca="1">IF(AND(K31=$K$7,L31=SUMIF(NameConv!$G$4:$M$4,MID(C31,2,3),NameConv!$G$45:$M$45)),M31+1,M31)</f>
        <v>1</v>
      </c>
    </row>
    <row r="33" spans="1:13">
      <c r="A33" s="883" t="str">
        <f ca="1">IF(INDEX(Demand.Sectors,MATCH(MID(C33,2,3),NameConv!$G$4:$M$4,0)),"","*")</f>
        <v/>
      </c>
      <c r="B33" s="515" t="str">
        <f t="shared" ca="1" si="0"/>
        <v>TOP-OUT</v>
      </c>
      <c r="C33" s="515" t="str">
        <f ca="1">"X"&amp;OFFSET(NameConv!$F$4,0,M33)&amp;OFFSET(NameConv!$F$59,L33,M33)</f>
        <v>XAGROKE</v>
      </c>
      <c r="D33" s="515" t="str">
        <f t="shared" ca="1" si="2"/>
        <v>AGROKE</v>
      </c>
      <c r="E33" s="515" t="str">
        <f t="shared" ca="1" si="3"/>
        <v>-</v>
      </c>
      <c r="F33" s="515" t="str">
        <f t="shared" ca="1" si="4"/>
        <v>-</v>
      </c>
      <c r="G33" s="515" t="str">
        <f t="shared" ca="1" si="4"/>
        <v>-</v>
      </c>
      <c r="H33" s="515" t="str">
        <f t="shared" ca="1" si="4"/>
        <v>-</v>
      </c>
      <c r="I33" s="518">
        <f t="shared" ca="1" si="5"/>
        <v>1</v>
      </c>
      <c r="J33" s="518"/>
      <c r="K33" s="495">
        <f ca="1">IF(M32&lt;&gt;M33,1,IF(L32=OFFSET(NameConv!$F$45,0,M32),K32+1,K32))</f>
        <v>3</v>
      </c>
      <c r="L33" s="495">
        <f t="shared" ca="1" si="6"/>
        <v>6</v>
      </c>
      <c r="M33" s="526">
        <f ca="1">IF(AND(K32=$K$7,L32=SUMIF(NameConv!$G$4:$M$4,MID(C32,2,3),NameConv!$G$45:$M$45)),M32+1,M32)</f>
        <v>1</v>
      </c>
    </row>
    <row r="34" spans="1:13">
      <c r="A34" s="883" t="str">
        <f ca="1">IF(INDEX(Demand.Sectors,MATCH(MID(C34,2,3),NameConv!$G$4:$M$4,0)),"","*")</f>
        <v/>
      </c>
      <c r="B34" s="515" t="str">
        <f t="shared" ca="1" si="0"/>
        <v>TOP-OUT</v>
      </c>
      <c r="C34" s="515" t="str">
        <f ca="1">"X"&amp;OFFSET(NameConv!$F$4,0,M34)&amp;OFFSET(NameConv!$F$59,L34,M34)</f>
        <v>XAGROLP</v>
      </c>
      <c r="D34" s="515" t="str">
        <f t="shared" ca="1" si="2"/>
        <v>AGROLP</v>
      </c>
      <c r="E34" s="515" t="str">
        <f t="shared" ca="1" si="3"/>
        <v>-</v>
      </c>
      <c r="F34" s="515" t="str">
        <f t="shared" ca="1" si="4"/>
        <v>-</v>
      </c>
      <c r="G34" s="515" t="str">
        <f t="shared" ca="1" si="4"/>
        <v>-</v>
      </c>
      <c r="H34" s="515" t="str">
        <f t="shared" ca="1" si="4"/>
        <v>-</v>
      </c>
      <c r="I34" s="518">
        <f t="shared" ca="1" si="5"/>
        <v>1</v>
      </c>
      <c r="J34" s="518"/>
      <c r="K34" s="495">
        <f ca="1">IF(M33&lt;&gt;M34,1,IF(L33=OFFSET(NameConv!$F$45,0,M33),K33+1,K33))</f>
        <v>3</v>
      </c>
      <c r="L34" s="495">
        <f t="shared" ca="1" si="6"/>
        <v>7</v>
      </c>
      <c r="M34" s="526">
        <f ca="1">IF(AND(K33=$K$7,L33=SUMIF(NameConv!$G$4:$M$4,MID(C33,2,3),NameConv!$G$45:$M$45)),M33+1,M33)</f>
        <v>1</v>
      </c>
    </row>
    <row r="35" spans="1:13">
      <c r="A35" s="883" t="str">
        <f ca="1">IF(INDEX(Demand.Sectors,MATCH(MID(C35,2,3),NameConv!$G$4:$M$4,0)),"","*")</f>
        <v/>
      </c>
      <c r="B35" s="515" t="str">
        <f t="shared" ca="1" si="0"/>
        <v>TOP-IN</v>
      </c>
      <c r="C35" s="515" t="str">
        <f ca="1">"X"&amp;OFFSET(NameConv!$F$4,0,M35)&amp;OFFSET(NameConv!$F$59,L35,M35)</f>
        <v>XAGRCOA</v>
      </c>
      <c r="D35" s="515" t="str">
        <f t="shared" ca="1" si="2"/>
        <v>COA</v>
      </c>
      <c r="E35" s="515" t="str">
        <f t="shared" ca="1" si="3"/>
        <v>-</v>
      </c>
      <c r="F35" s="515" t="str">
        <f t="shared" ca="1" si="4"/>
        <v>-</v>
      </c>
      <c r="G35" s="515" t="str">
        <f t="shared" ca="1" si="4"/>
        <v>-</v>
      </c>
      <c r="H35" s="515" t="str">
        <f t="shared" ca="1" si="4"/>
        <v>-</v>
      </c>
      <c r="I35" s="518">
        <f t="shared" ca="1" si="5"/>
        <v>1</v>
      </c>
      <c r="J35" s="518"/>
      <c r="K35" s="495">
        <f ca="1">IF(M34&lt;&gt;M35,1,IF(L34=OFFSET(NameConv!$F$45,0,M34),K34+1,K34))</f>
        <v>4</v>
      </c>
      <c r="L35" s="495">
        <f t="shared" ca="1" si="6"/>
        <v>1</v>
      </c>
      <c r="M35" s="526">
        <f ca="1">IF(AND(K34=$K$7,L34=SUMIF(NameConv!$G$4:$M$4,MID(C34,2,3),NameConv!$G$45:$M$45)),M34+1,M34)</f>
        <v>1</v>
      </c>
    </row>
    <row r="36" spans="1:13">
      <c r="A36" s="883" t="str">
        <f ca="1">IF(INDEX(Demand.Sectors,MATCH(MID(C36,2,3),NameConv!$G$4:$M$4,0)),"","*")</f>
        <v/>
      </c>
      <c r="B36" s="515" t="str">
        <f t="shared" ca="1" si="0"/>
        <v>TOP-IN</v>
      </c>
      <c r="C36" s="515" t="str">
        <f ca="1">"X"&amp;OFFSET(NameConv!$F$4,0,M36)&amp;OFFSET(NameConv!$F$59,L36,M36)</f>
        <v>XAGRELC</v>
      </c>
      <c r="D36" s="515" t="str">
        <f t="shared" ca="1" si="2"/>
        <v>ELC</v>
      </c>
      <c r="E36" s="515" t="str">
        <f t="shared" ca="1" si="3"/>
        <v>-</v>
      </c>
      <c r="F36" s="515" t="str">
        <f t="shared" ca="1" si="4"/>
        <v>-</v>
      </c>
      <c r="G36" s="515" t="str">
        <f t="shared" ca="1" si="4"/>
        <v>-</v>
      </c>
      <c r="H36" s="515" t="str">
        <f t="shared" ca="1" si="4"/>
        <v>-</v>
      </c>
      <c r="I36" s="518">
        <f t="shared" ca="1" si="5"/>
        <v>1</v>
      </c>
      <c r="J36" s="518"/>
      <c r="K36" s="495">
        <f ca="1">IF(M35&lt;&gt;M36,1,IF(L35=OFFSET(NameConv!$F$45,0,M35),K35+1,K35))</f>
        <v>4</v>
      </c>
      <c r="L36" s="495">
        <f t="shared" ca="1" si="6"/>
        <v>2</v>
      </c>
      <c r="M36" s="526">
        <f ca="1">IF(AND(K35=$K$7,L35=SUMIF(NameConv!$G$4:$M$4,MID(C35,2,3),NameConv!$G$45:$M$45)),M35+1,M35)</f>
        <v>1</v>
      </c>
    </row>
    <row r="37" spans="1:13">
      <c r="A37" s="883" t="str">
        <f ca="1">IF(INDEX(Demand.Sectors,MATCH(MID(C37,2,3),NameConv!$G$4:$M$4,0)),"","*")</f>
        <v/>
      </c>
      <c r="B37" s="515" t="str">
        <f t="shared" ca="1" si="0"/>
        <v>TOP-IN</v>
      </c>
      <c r="C37" s="515" t="str">
        <f ca="1">"X"&amp;OFFSET(NameConv!$F$4,0,M37)&amp;OFFSET(NameConv!$F$59,L37,M37)</f>
        <v>XAGRODS</v>
      </c>
      <c r="D37" s="515" t="str">
        <f t="shared" ca="1" si="2"/>
        <v>ODS</v>
      </c>
      <c r="E37" s="515" t="str">
        <f t="shared" ca="1" si="3"/>
        <v>-</v>
      </c>
      <c r="F37" s="515" t="str">
        <f t="shared" ca="1" si="4"/>
        <v>-</v>
      </c>
      <c r="G37" s="515" t="str">
        <f t="shared" ca="1" si="4"/>
        <v>-</v>
      </c>
      <c r="H37" s="515" t="str">
        <f t="shared" ca="1" si="4"/>
        <v>-</v>
      </c>
      <c r="I37" s="518">
        <f t="shared" ca="1" si="5"/>
        <v>1</v>
      </c>
      <c r="J37" s="518"/>
      <c r="K37" s="495">
        <f ca="1">IF(M36&lt;&gt;M37,1,IF(L36=OFFSET(NameConv!$F$45,0,M36),K36+1,K36))</f>
        <v>4</v>
      </c>
      <c r="L37" s="495">
        <f t="shared" ca="1" si="6"/>
        <v>3</v>
      </c>
      <c r="M37" s="526">
        <f ca="1">IF(AND(K36=$K$7,L36=SUMIF(NameConv!$G$4:$M$4,MID(C36,2,3),NameConv!$G$45:$M$45)),M36+1,M36)</f>
        <v>1</v>
      </c>
    </row>
    <row r="38" spans="1:13">
      <c r="A38" s="883" t="str">
        <f ca="1">IF(INDEX(Demand.Sectors,MATCH(MID(C38,2,3),NameConv!$G$4:$M$4,0)),"","*")</f>
        <v/>
      </c>
      <c r="B38" s="515" t="str">
        <f t="shared" ca="1" si="0"/>
        <v>TOP-IN</v>
      </c>
      <c r="C38" s="515" t="str">
        <f ca="1">"X"&amp;OFFSET(NameConv!$F$4,0,M38)&amp;OFFSET(NameConv!$F$59,L38,M38)</f>
        <v>XAGROGS</v>
      </c>
      <c r="D38" s="515" t="str">
        <f t="shared" ca="1" si="2"/>
        <v>OGS</v>
      </c>
      <c r="E38" s="515" t="str">
        <f t="shared" ca="1" si="3"/>
        <v>-</v>
      </c>
      <c r="F38" s="515" t="str">
        <f t="shared" ca="1" si="4"/>
        <v>-</v>
      </c>
      <c r="G38" s="515" t="str">
        <f t="shared" ca="1" si="4"/>
        <v>-</v>
      </c>
      <c r="H38" s="515" t="str">
        <f t="shared" ca="1" si="4"/>
        <v>-</v>
      </c>
      <c r="I38" s="518">
        <f t="shared" ca="1" si="5"/>
        <v>1</v>
      </c>
      <c r="J38" s="518"/>
      <c r="K38" s="495">
        <f ca="1">IF(M37&lt;&gt;M38,1,IF(L37=OFFSET(NameConv!$F$45,0,M37),K37+1,K37))</f>
        <v>4</v>
      </c>
      <c r="L38" s="495">
        <f t="shared" ca="1" si="6"/>
        <v>4</v>
      </c>
      <c r="M38" s="526">
        <f ca="1">IF(AND(K37=$K$7,L37=SUMIF(NameConv!$G$4:$M$4,MID(C37,2,3),NameConv!$G$45:$M$45)),M37+1,M37)</f>
        <v>1</v>
      </c>
    </row>
    <row r="39" spans="1:13">
      <c r="A39" s="883" t="str">
        <f ca="1">IF(INDEX(Demand.Sectors,MATCH(MID(C39,2,3),NameConv!$G$4:$M$4,0)),"","*")</f>
        <v/>
      </c>
      <c r="B39" s="515" t="str">
        <f t="shared" ca="1" si="0"/>
        <v>TOP-IN</v>
      </c>
      <c r="C39" s="515" t="str">
        <f ca="1">"X"&amp;OFFSET(NameConv!$F$4,0,M39)&amp;OFFSET(NameConv!$F$59,L39,M39)</f>
        <v>XAGROHF</v>
      </c>
      <c r="D39" s="515" t="str">
        <f t="shared" ca="1" si="2"/>
        <v>OHF</v>
      </c>
      <c r="E39" s="515" t="str">
        <f t="shared" ca="1" si="3"/>
        <v>-</v>
      </c>
      <c r="F39" s="515" t="str">
        <f t="shared" ca="1" si="4"/>
        <v>-</v>
      </c>
      <c r="G39" s="515" t="str">
        <f t="shared" ca="1" si="4"/>
        <v>-</v>
      </c>
      <c r="H39" s="515" t="str">
        <f t="shared" ca="1" si="4"/>
        <v>-</v>
      </c>
      <c r="I39" s="518">
        <f t="shared" ca="1" si="5"/>
        <v>1</v>
      </c>
      <c r="J39" s="518"/>
      <c r="K39" s="495">
        <f ca="1">IF(M38&lt;&gt;M39,1,IF(L38=OFFSET(NameConv!$F$45,0,M38),K38+1,K38))</f>
        <v>4</v>
      </c>
      <c r="L39" s="495">
        <f t="shared" ca="1" si="6"/>
        <v>5</v>
      </c>
      <c r="M39" s="526">
        <f ca="1">IF(AND(K38=$K$7,L38=SUMIF(NameConv!$G$4:$M$4,MID(C38,2,3),NameConv!$G$45:$M$45)),M38+1,M38)</f>
        <v>1</v>
      </c>
    </row>
    <row r="40" spans="1:13">
      <c r="A40" s="883" t="str">
        <f ca="1">IF(INDEX(Demand.Sectors,MATCH(MID(C40,2,3),NameConv!$G$4:$M$4,0)),"","*")</f>
        <v/>
      </c>
      <c r="B40" s="515" t="str">
        <f t="shared" ca="1" si="0"/>
        <v>TOP-IN</v>
      </c>
      <c r="C40" s="515" t="str">
        <f ca="1">"X"&amp;OFFSET(NameConv!$F$4,0,M40)&amp;OFFSET(NameConv!$F$59,L40,M40)</f>
        <v>XAGROKE</v>
      </c>
      <c r="D40" s="515" t="str">
        <f t="shared" ca="1" si="2"/>
        <v>OKE</v>
      </c>
      <c r="E40" s="515" t="str">
        <f t="shared" ca="1" si="3"/>
        <v>-</v>
      </c>
      <c r="F40" s="515" t="str">
        <f t="shared" ca="1" si="4"/>
        <v>-</v>
      </c>
      <c r="G40" s="515" t="str">
        <f t="shared" ca="1" si="4"/>
        <v>-</v>
      </c>
      <c r="H40" s="515" t="str">
        <f t="shared" ca="1" si="4"/>
        <v>-</v>
      </c>
      <c r="I40" s="518">
        <f t="shared" ca="1" si="5"/>
        <v>1</v>
      </c>
      <c r="J40" s="518"/>
      <c r="K40" s="495">
        <f ca="1">IF(M39&lt;&gt;M40,1,IF(L39=OFFSET(NameConv!$F$45,0,M39),K39+1,K39))</f>
        <v>4</v>
      </c>
      <c r="L40" s="495">
        <f t="shared" ca="1" si="6"/>
        <v>6</v>
      </c>
      <c r="M40" s="526">
        <f ca="1">IF(AND(K39=$K$7,L39=SUMIF(NameConv!$G$4:$M$4,MID(C39,2,3),NameConv!$G$45:$M$45)),M39+1,M39)</f>
        <v>1</v>
      </c>
    </row>
    <row r="41" spans="1:13">
      <c r="A41" s="883" t="str">
        <f ca="1">IF(INDEX(Demand.Sectors,MATCH(MID(C41,2,3),NameConv!$G$4:$M$4,0)),"","*")</f>
        <v/>
      </c>
      <c r="B41" s="515" t="str">
        <f t="shared" ca="1" si="0"/>
        <v>TOP-IN</v>
      </c>
      <c r="C41" s="515" t="str">
        <f ca="1">"X"&amp;OFFSET(NameConv!$F$4,0,M41)&amp;OFFSET(NameConv!$F$59,L41,M41)</f>
        <v>XAGROLP</v>
      </c>
      <c r="D41" s="515" t="str">
        <f t="shared" ca="1" si="2"/>
        <v>OLP</v>
      </c>
      <c r="E41" s="515" t="str">
        <f t="shared" ca="1" si="3"/>
        <v>-</v>
      </c>
      <c r="F41" s="515" t="str">
        <f t="shared" ca="1" si="4"/>
        <v>-</v>
      </c>
      <c r="G41" s="515" t="str">
        <f t="shared" ca="1" si="4"/>
        <v>-</v>
      </c>
      <c r="H41" s="515" t="str">
        <f t="shared" ca="1" si="4"/>
        <v>-</v>
      </c>
      <c r="I41" s="518">
        <f t="shared" ca="1" si="5"/>
        <v>1</v>
      </c>
      <c r="J41" s="518"/>
      <c r="K41" s="495">
        <f ca="1">IF(M40&lt;&gt;M41,1,IF(L40=OFFSET(NameConv!$F$45,0,M40),K40+1,K40))</f>
        <v>4</v>
      </c>
      <c r="L41" s="495">
        <f t="shared" ca="1" si="6"/>
        <v>7</v>
      </c>
      <c r="M41" s="526">
        <f ca="1">IF(AND(K40=$K$7,L40=SUMIF(NameConv!$G$4:$M$4,MID(C40,2,3),NameConv!$G$45:$M$45)),M40+1,M40)</f>
        <v>1</v>
      </c>
    </row>
    <row r="42" spans="1:13">
      <c r="A42" s="883" t="str">
        <f ca="1">IF(INDEX(Demand.Sectors,MATCH(MID(C42,2,3),NameConv!$G$4:$M$4,0)),"","*")</f>
        <v/>
      </c>
      <c r="B42" s="515" t="str">
        <f t="shared" ca="1" si="0"/>
        <v>PRC_ACTUNT</v>
      </c>
      <c r="C42" s="515" t="str">
        <f ca="1">"X"&amp;OFFSET(NameConv!$F$4,0,M42)&amp;OFFSET(NameConv!$F$59,L42,M42)</f>
        <v>XCOMCOA</v>
      </c>
      <c r="D42" s="515" t="str">
        <f t="shared" ca="1" si="2"/>
        <v>-</v>
      </c>
      <c r="E42" s="515" t="str">
        <f t="shared" ca="1" si="3"/>
        <v>COMCOA</v>
      </c>
      <c r="F42" s="515" t="str">
        <f t="shared" ca="1" si="4"/>
        <v>-</v>
      </c>
      <c r="G42" s="515" t="str">
        <f t="shared" ca="1" si="4"/>
        <v>-</v>
      </c>
      <c r="H42" s="515" t="str">
        <f t="shared" ca="1" si="4"/>
        <v>-</v>
      </c>
      <c r="I42" s="518">
        <f t="shared" ca="1" si="5"/>
        <v>1</v>
      </c>
      <c r="J42" s="518"/>
      <c r="K42" s="495">
        <f ca="1">IF(M41&lt;&gt;M42,1,IF(L41=OFFSET(NameConv!$F$45,0,M41),K41+1,K41))</f>
        <v>1</v>
      </c>
      <c r="L42" s="495">
        <f t="shared" ca="1" si="6"/>
        <v>1</v>
      </c>
      <c r="M42" s="526">
        <f ca="1">IF(AND(K41=$K$7,L41=SUMIF(NameConv!$G$4:$M$4,MID(C41,2,3),NameConv!$G$45:$M$45)),M41+1,M41)</f>
        <v>2</v>
      </c>
    </row>
    <row r="43" spans="1:13">
      <c r="A43" s="883" t="str">
        <f ca="1">IF(INDEX(Demand.Sectors,MATCH(MID(C43,2,3),NameConv!$G$4:$M$4,0)),"","*")</f>
        <v/>
      </c>
      <c r="B43" s="515" t="str">
        <f t="shared" ca="1" si="0"/>
        <v>PRC_ACTUNT</v>
      </c>
      <c r="C43" s="515" t="str">
        <f ca="1">"X"&amp;OFFSET(NameConv!$F$4,0,M43)&amp;OFFSET(NameConv!$F$59,L43,M43)</f>
        <v>XCOMELC</v>
      </c>
      <c r="D43" s="515" t="str">
        <f t="shared" ca="1" si="2"/>
        <v>-</v>
      </c>
      <c r="E43" s="515" t="str">
        <f t="shared" ca="1" si="3"/>
        <v>COMELC</v>
      </c>
      <c r="F43" s="515" t="str">
        <f t="shared" ca="1" si="4"/>
        <v>-</v>
      </c>
      <c r="G43" s="515" t="str">
        <f t="shared" ca="1" si="4"/>
        <v>-</v>
      </c>
      <c r="H43" s="515" t="str">
        <f t="shared" ca="1" si="4"/>
        <v>-</v>
      </c>
      <c r="I43" s="518">
        <f t="shared" ca="1" si="5"/>
        <v>1</v>
      </c>
      <c r="J43" s="518"/>
      <c r="K43" s="495">
        <f ca="1">IF(M42&lt;&gt;M43,1,IF(L42=OFFSET(NameConv!$F$45,0,M42),K42+1,K42))</f>
        <v>1</v>
      </c>
      <c r="L43" s="495">
        <f t="shared" ca="1" si="6"/>
        <v>2</v>
      </c>
      <c r="M43" s="526">
        <f ca="1">IF(AND(K42=$K$7,L42=SUMIF(NameConv!$G$4:$M$4,MID(C42,2,3),NameConv!$G$45:$M$45)),M42+1,M42)</f>
        <v>2</v>
      </c>
    </row>
    <row r="44" spans="1:13">
      <c r="A44" s="883" t="str">
        <f ca="1">IF(INDEX(Demand.Sectors,MATCH(MID(C44,2,3),NameConv!$G$4:$M$4,0)),"","*")</f>
        <v/>
      </c>
      <c r="B44" s="515" t="str">
        <f t="shared" ca="1" si="0"/>
        <v>PRC_ACTUNT</v>
      </c>
      <c r="C44" s="515" t="str">
        <f ca="1">"X"&amp;OFFSET(NameConv!$F$4,0,M44)&amp;OFFSET(NameConv!$F$59,L44,M44)</f>
        <v>XCOMGAS</v>
      </c>
      <c r="D44" s="515" t="str">
        <f t="shared" ca="1" si="2"/>
        <v>-</v>
      </c>
      <c r="E44" s="515" t="str">
        <f t="shared" ca="1" si="3"/>
        <v>COMGAS</v>
      </c>
      <c r="F44" s="515" t="str">
        <f t="shared" ca="1" si="4"/>
        <v>-</v>
      </c>
      <c r="G44" s="515" t="str">
        <f t="shared" ca="1" si="4"/>
        <v>-</v>
      </c>
      <c r="H44" s="515" t="str">
        <f t="shared" ca="1" si="4"/>
        <v>-</v>
      </c>
      <c r="I44" s="518">
        <f t="shared" ca="1" si="5"/>
        <v>1</v>
      </c>
      <c r="J44" s="518"/>
      <c r="K44" s="495">
        <f ca="1">IF(M43&lt;&gt;M44,1,IF(L43=OFFSET(NameConv!$F$45,0,M43),K43+1,K43))</f>
        <v>1</v>
      </c>
      <c r="L44" s="495">
        <f t="shared" ca="1" si="6"/>
        <v>3</v>
      </c>
      <c r="M44" s="526">
        <f ca="1">IF(AND(K43=$K$7,L43=SUMIF(NameConv!$G$4:$M$4,MID(C43,2,3),NameConv!$G$45:$M$45)),M43+1,M43)</f>
        <v>2</v>
      </c>
    </row>
    <row r="45" spans="1:13">
      <c r="A45" s="883" t="str">
        <f ca="1">IF(INDEX(Demand.Sectors,MATCH(MID(C45,2,3),NameConv!$G$4:$M$4,0)),"","*")</f>
        <v/>
      </c>
      <c r="B45" s="515" t="str">
        <f t="shared" ca="1" si="0"/>
        <v>PRC_ACTUNT</v>
      </c>
      <c r="C45" s="515" t="str">
        <f ca="1">"X"&amp;OFFSET(NameConv!$F$4,0,M45)&amp;OFFSET(NameConv!$F$59,L45,M45)</f>
        <v>XCOMODS</v>
      </c>
      <c r="D45" s="515" t="str">
        <f t="shared" ca="1" si="2"/>
        <v>-</v>
      </c>
      <c r="E45" s="515" t="str">
        <f t="shared" ca="1" si="3"/>
        <v>COMODS</v>
      </c>
      <c r="F45" s="515" t="str">
        <f t="shared" ca="1" si="4"/>
        <v>-</v>
      </c>
      <c r="G45" s="515" t="str">
        <f t="shared" ca="1" si="4"/>
        <v>-</v>
      </c>
      <c r="H45" s="515" t="str">
        <f t="shared" ca="1" si="4"/>
        <v>-</v>
      </c>
      <c r="I45" s="518">
        <f t="shared" ca="1" si="5"/>
        <v>1</v>
      </c>
      <c r="J45" s="518"/>
      <c r="K45" s="495">
        <f ca="1">IF(M44&lt;&gt;M45,1,IF(L44=OFFSET(NameConv!$F$45,0,M44),K44+1,K44))</f>
        <v>1</v>
      </c>
      <c r="L45" s="495">
        <f t="shared" ca="1" si="6"/>
        <v>4</v>
      </c>
      <c r="M45" s="526">
        <f ca="1">IF(AND(K44=$K$7,L44=SUMIF(NameConv!$G$4:$M$4,MID(C44,2,3),NameConv!$G$45:$M$45)),M44+1,M44)</f>
        <v>2</v>
      </c>
    </row>
    <row r="46" spans="1:13">
      <c r="A46" s="883" t="str">
        <f ca="1">IF(INDEX(Demand.Sectors,MATCH(MID(C46,2,3),NameConv!$G$4:$M$4,0)),"","*")</f>
        <v/>
      </c>
      <c r="B46" s="515" t="str">
        <f t="shared" ca="1" si="0"/>
        <v>PRC_ACTUNT</v>
      </c>
      <c r="C46" s="515" t="str">
        <f ca="1">"X"&amp;OFFSET(NameConv!$F$4,0,M46)&amp;OFFSET(NameConv!$F$59,L46,M46)</f>
        <v>XCOMOGS</v>
      </c>
      <c r="D46" s="515" t="str">
        <f ca="1">IF($A46="*","",IF($B46="TOP-OUT",RIGHT(C46,6),IF($B46="TOP-IN",RIGHT(C46,3),"-")))</f>
        <v>-</v>
      </c>
      <c r="E46" s="515" t="str">
        <f ca="1">IF($A46="*","",IF($B46="PRC_ACTUNT",RIGHT(C46,6),"-"))</f>
        <v>COMOGS</v>
      </c>
      <c r="F46" s="515" t="str">
        <f t="shared" ca="1" si="4"/>
        <v>-</v>
      </c>
      <c r="G46" s="515" t="str">
        <f t="shared" ca="1" si="4"/>
        <v>-</v>
      </c>
      <c r="H46" s="515" t="str">
        <f t="shared" ca="1" si="4"/>
        <v>-</v>
      </c>
      <c r="I46" s="518">
        <f t="shared" ca="1" si="5"/>
        <v>1</v>
      </c>
      <c r="J46" s="518"/>
      <c r="K46" s="495">
        <f ca="1">IF(M45&lt;&gt;M46,1,IF(L45=OFFSET(NameConv!$F$45,0,M45),K45+1,K45))</f>
        <v>1</v>
      </c>
      <c r="L46" s="495">
        <f t="shared" ca="1" si="6"/>
        <v>5</v>
      </c>
      <c r="M46" s="526">
        <f ca="1">IF(AND(K45=$K$7,L45=SUMIF(NameConv!$G$4:$M$4,MID(C45,2,3),NameConv!$G$45:$M$45)),M45+1,M45)</f>
        <v>2</v>
      </c>
    </row>
    <row r="47" spans="1:13">
      <c r="A47" s="883" t="str">
        <f ca="1">IF(INDEX(Demand.Sectors,MATCH(MID(C47,2,3),NameConv!$G$4:$M$4,0)),"","*")</f>
        <v/>
      </c>
      <c r="B47" s="515" t="str">
        <f t="shared" ca="1" si="0"/>
        <v>PRC_ACTUNT</v>
      </c>
      <c r="C47" s="515" t="str">
        <f ca="1">"X"&amp;OFFSET(NameConv!$F$4,0,M47)&amp;OFFSET(NameConv!$F$59,L47,M47)</f>
        <v>XCOMOHF</v>
      </c>
      <c r="D47" s="515" t="str">
        <f ca="1">IF($A47="*","",IF($B47="TOP-OUT",RIGHT(C47,6),IF($B47="TOP-IN",RIGHT(C47,3),"-")))</f>
        <v>-</v>
      </c>
      <c r="E47" s="515" t="str">
        <f ca="1">IF($A47="*","",IF($B47="PRC_ACTUNT",RIGHT(C47,6),"-"))</f>
        <v>COMOHF</v>
      </c>
      <c r="F47" s="515" t="str">
        <f t="shared" ref="F47:H62" ca="1" si="7">IF($A47="*","","-")</f>
        <v>-</v>
      </c>
      <c r="G47" s="515" t="str">
        <f t="shared" ca="1" si="7"/>
        <v>-</v>
      </c>
      <c r="H47" s="515" t="str">
        <f t="shared" ca="1" si="7"/>
        <v>-</v>
      </c>
      <c r="I47" s="518">
        <f t="shared" ca="1" si="5"/>
        <v>1</v>
      </c>
      <c r="J47" s="518"/>
      <c r="K47" s="495">
        <f ca="1">IF(M46&lt;&gt;M47,1,IF(L46=OFFSET(NameConv!$F$45,0,M46),K46+1,K46))</f>
        <v>1</v>
      </c>
      <c r="L47" s="495">
        <f t="shared" ca="1" si="6"/>
        <v>6</v>
      </c>
      <c r="M47" s="526">
        <f ca="1">IF(AND(K46=$K$7,L46=SUMIF(NameConv!$G$4:$M$4,MID(C46,2,3),NameConv!$G$45:$M$45)),M46+1,M46)</f>
        <v>2</v>
      </c>
    </row>
    <row r="48" spans="1:13">
      <c r="A48" s="883" t="str">
        <f ca="1">IF(INDEX(Demand.Sectors,MATCH(MID(C48,2,3),NameConv!$G$4:$M$4,0)),"","*")</f>
        <v/>
      </c>
      <c r="B48" s="515" t="str">
        <f t="shared" ca="1" si="0"/>
        <v>PRC_ACTUNT</v>
      </c>
      <c r="C48" s="515" t="str">
        <f ca="1">"X"&amp;OFFSET(NameConv!$F$4,0,M48)&amp;OFFSET(NameConv!$F$59,L48,M48)</f>
        <v>XCOMOKE</v>
      </c>
      <c r="D48" s="515" t="str">
        <f ca="1">IF($A48="*","",IF($B48="TOP-OUT",RIGHT(C48,6),IF($B48="TOP-IN",RIGHT(C48,3),"-")))</f>
        <v>-</v>
      </c>
      <c r="E48" s="515" t="str">
        <f ca="1">IF($A48="*","",IF($B48="PRC_ACTUNT",RIGHT(C48,6),"-"))</f>
        <v>COMOKE</v>
      </c>
      <c r="F48" s="515" t="str">
        <f t="shared" ca="1" si="7"/>
        <v>-</v>
      </c>
      <c r="G48" s="515" t="str">
        <f t="shared" ca="1" si="7"/>
        <v>-</v>
      </c>
      <c r="H48" s="515" t="str">
        <f t="shared" ca="1" si="7"/>
        <v>-</v>
      </c>
      <c r="I48" s="518">
        <f t="shared" ca="1" si="5"/>
        <v>1</v>
      </c>
      <c r="J48" s="518"/>
      <c r="K48" s="495">
        <f ca="1">IF(M47&lt;&gt;M48,1,IF(L47=OFFSET(NameConv!$F$45,0,M47),K47+1,K47))</f>
        <v>1</v>
      </c>
      <c r="L48" s="495">
        <f t="shared" ca="1" si="6"/>
        <v>7</v>
      </c>
      <c r="M48" s="526">
        <f ca="1">IF(AND(K47=$K$7,L47=SUMIF(NameConv!$G$4:$M$4,MID(C47,2,3),NameConv!$G$45:$M$45)),M47+1,M47)</f>
        <v>2</v>
      </c>
    </row>
    <row r="49" spans="1:13">
      <c r="A49" s="883" t="str">
        <f ca="1">IF(INDEX(Demand.Sectors,MATCH(MID(C49,2,3),NameConv!$G$4:$M$4,0)),"","*")</f>
        <v/>
      </c>
      <c r="B49" s="515" t="str">
        <f t="shared" ca="1" si="0"/>
        <v>PRC_ACTUNT</v>
      </c>
      <c r="C49" s="515" t="str">
        <f ca="1">"X"&amp;OFFSET(NameConv!$F$4,0,M49)&amp;OFFSET(NameConv!$F$59,L49,M49)</f>
        <v>XCOMOLP</v>
      </c>
      <c r="D49" s="515" t="str">
        <f t="shared" ref="D49:D57" ca="1" si="8">IF($A49="*","",IF($B49="TOP-OUT",RIGHT(C49,6),IF($B49="TOP-IN",RIGHT(C49,3),"-")))</f>
        <v>-</v>
      </c>
      <c r="E49" s="515" t="str">
        <f t="shared" ref="E49:E57" ca="1" si="9">IF($A49="*","",IF($B49="PRC_ACTUNT",RIGHT(C49,6),"-"))</f>
        <v>COMOLP</v>
      </c>
      <c r="F49" s="515" t="str">
        <f t="shared" ca="1" si="7"/>
        <v>-</v>
      </c>
      <c r="G49" s="515" t="str">
        <f t="shared" ca="1" si="7"/>
        <v>-</v>
      </c>
      <c r="H49" s="515" t="str">
        <f t="shared" ca="1" si="7"/>
        <v>-</v>
      </c>
      <c r="I49" s="518">
        <f t="shared" ca="1" si="5"/>
        <v>1</v>
      </c>
      <c r="J49" s="518"/>
      <c r="K49" s="495">
        <f ca="1">IF(M48&lt;&gt;M49,1,IF(L48=OFFSET(NameConv!$F$45,0,M48),K48+1,K48))</f>
        <v>1</v>
      </c>
      <c r="L49" s="495">
        <f t="shared" ca="1" si="6"/>
        <v>8</v>
      </c>
      <c r="M49" s="526">
        <f ca="1">IF(AND(K48=$K$7,L48=SUMIF(NameConv!$G$4:$M$4,MID(C48,2,3),NameConv!$G$45:$M$45)),M48+1,M48)</f>
        <v>2</v>
      </c>
    </row>
    <row r="50" spans="1:13">
      <c r="A50" s="883" t="str">
        <f ca="1">IF(INDEX(Demand.Sectors,MATCH(MID(C50,2,3),NameConv!$G$4:$M$4,0)),"","*")</f>
        <v/>
      </c>
      <c r="B50" s="515" t="str">
        <f t="shared" ca="1" si="0"/>
        <v>PRC_CAPACT</v>
      </c>
      <c r="C50" s="515" t="str">
        <f ca="1">"X"&amp;OFFSET(NameConv!$F$4,0,M50)&amp;OFFSET(NameConv!$F$59,L50,M50)</f>
        <v>XCOMCOA</v>
      </c>
      <c r="D50" s="515" t="str">
        <f t="shared" ca="1" si="8"/>
        <v>-</v>
      </c>
      <c r="E50" s="515" t="str">
        <f t="shared" ca="1" si="9"/>
        <v>-</v>
      </c>
      <c r="F50" s="515" t="str">
        <f t="shared" ca="1" si="7"/>
        <v>-</v>
      </c>
      <c r="G50" s="515" t="str">
        <f t="shared" ca="1" si="7"/>
        <v>-</v>
      </c>
      <c r="H50" s="515" t="str">
        <f t="shared" ca="1" si="7"/>
        <v>-</v>
      </c>
      <c r="I50" s="518">
        <f t="shared" ca="1" si="5"/>
        <v>1</v>
      </c>
      <c r="J50" s="518"/>
      <c r="K50" s="495">
        <f ca="1">IF(M49&lt;&gt;M50,1,IF(L49=OFFSET(NameConv!$F$45,0,M49),K49+1,K49))</f>
        <v>2</v>
      </c>
      <c r="L50" s="495">
        <f t="shared" ca="1" si="6"/>
        <v>1</v>
      </c>
      <c r="M50" s="526">
        <f ca="1">IF(AND(K49=$K$7,L49=SUMIF(NameConv!$G$4:$M$4,MID(C49,2,3),NameConv!$G$45:$M$45)),M49+1,M49)</f>
        <v>2</v>
      </c>
    </row>
    <row r="51" spans="1:13">
      <c r="A51" s="883" t="str">
        <f ca="1">IF(INDEX(Demand.Sectors,MATCH(MID(C51,2,3),NameConv!$G$4:$M$4,0)),"","*")</f>
        <v/>
      </c>
      <c r="B51" s="515" t="str">
        <f t="shared" ca="1" si="0"/>
        <v>PRC_CAPACT</v>
      </c>
      <c r="C51" s="515" t="str">
        <f ca="1">"X"&amp;OFFSET(NameConv!$F$4,0,M51)&amp;OFFSET(NameConv!$F$59,L51,M51)</f>
        <v>XCOMELC</v>
      </c>
      <c r="D51" s="515" t="str">
        <f t="shared" ca="1" si="8"/>
        <v>-</v>
      </c>
      <c r="E51" s="515" t="str">
        <f t="shared" ca="1" si="9"/>
        <v>-</v>
      </c>
      <c r="F51" s="515" t="str">
        <f t="shared" ca="1" si="7"/>
        <v>-</v>
      </c>
      <c r="G51" s="515" t="str">
        <f t="shared" ca="1" si="7"/>
        <v>-</v>
      </c>
      <c r="H51" s="515" t="str">
        <f t="shared" ca="1" si="7"/>
        <v>-</v>
      </c>
      <c r="I51" s="518">
        <f t="shared" ca="1" si="5"/>
        <v>31.536000000000001</v>
      </c>
      <c r="J51" s="518"/>
      <c r="K51" s="495">
        <f ca="1">IF(M50&lt;&gt;M51,1,IF(L50=OFFSET(NameConv!$F$45,0,M50),K50+1,K50))</f>
        <v>2</v>
      </c>
      <c r="L51" s="495">
        <f t="shared" ca="1" si="6"/>
        <v>2</v>
      </c>
      <c r="M51" s="526">
        <f ca="1">IF(AND(K50=$K$7,L50=SUMIF(NameConv!$G$4:$M$4,MID(C50,2,3),NameConv!$G$45:$M$45)),M50+1,M50)</f>
        <v>2</v>
      </c>
    </row>
    <row r="52" spans="1:13">
      <c r="A52" s="883" t="str">
        <f ca="1">IF(INDEX(Demand.Sectors,MATCH(MID(C52,2,3),NameConv!$G$4:$M$4,0)),"","*")</f>
        <v/>
      </c>
      <c r="B52" s="515" t="str">
        <f t="shared" ca="1" si="0"/>
        <v>PRC_CAPACT</v>
      </c>
      <c r="C52" s="515" t="str">
        <f ca="1">"X"&amp;OFFSET(NameConv!$F$4,0,M52)&amp;OFFSET(NameConv!$F$59,L52,M52)</f>
        <v>XCOMGAS</v>
      </c>
      <c r="D52" s="515" t="str">
        <f t="shared" ca="1" si="8"/>
        <v>-</v>
      </c>
      <c r="E52" s="515" t="str">
        <f t="shared" ca="1" si="9"/>
        <v>-</v>
      </c>
      <c r="F52" s="515" t="str">
        <f t="shared" ca="1" si="7"/>
        <v>-</v>
      </c>
      <c r="G52" s="515" t="str">
        <f t="shared" ca="1" si="7"/>
        <v>-</v>
      </c>
      <c r="H52" s="515" t="str">
        <f t="shared" ca="1" si="7"/>
        <v>-</v>
      </c>
      <c r="I52" s="518">
        <f t="shared" ca="1" si="5"/>
        <v>1</v>
      </c>
      <c r="J52" s="518"/>
      <c r="K52" s="495">
        <f ca="1">IF(M51&lt;&gt;M52,1,IF(L51=OFFSET(NameConv!$F$45,0,M51),K51+1,K51))</f>
        <v>2</v>
      </c>
      <c r="L52" s="495">
        <f t="shared" ca="1" si="6"/>
        <v>3</v>
      </c>
      <c r="M52" s="526">
        <f ca="1">IF(AND(K51=$K$7,L51=SUMIF(NameConv!$G$4:$M$4,MID(C51,2,3),NameConv!$G$45:$M$45)),M51+1,M51)</f>
        <v>2</v>
      </c>
    </row>
    <row r="53" spans="1:13">
      <c r="A53" s="883" t="str">
        <f ca="1">IF(INDEX(Demand.Sectors,MATCH(MID(C53,2,3),NameConv!$G$4:$M$4,0)),"","*")</f>
        <v/>
      </c>
      <c r="B53" s="515" t="str">
        <f t="shared" ca="1" si="0"/>
        <v>PRC_CAPACT</v>
      </c>
      <c r="C53" s="515" t="str">
        <f ca="1">"X"&amp;OFFSET(NameConv!$F$4,0,M53)&amp;OFFSET(NameConv!$F$59,L53,M53)</f>
        <v>XCOMODS</v>
      </c>
      <c r="D53" s="515" t="str">
        <f t="shared" ca="1" si="8"/>
        <v>-</v>
      </c>
      <c r="E53" s="515" t="str">
        <f t="shared" ca="1" si="9"/>
        <v>-</v>
      </c>
      <c r="F53" s="515" t="str">
        <f t="shared" ca="1" si="7"/>
        <v>-</v>
      </c>
      <c r="G53" s="515" t="str">
        <f t="shared" ca="1" si="7"/>
        <v>-</v>
      </c>
      <c r="H53" s="515" t="str">
        <f t="shared" ca="1" si="7"/>
        <v>-</v>
      </c>
      <c r="I53" s="518">
        <f t="shared" ca="1" si="5"/>
        <v>1</v>
      </c>
      <c r="J53" s="518"/>
      <c r="K53" s="495">
        <f ca="1">IF(M52&lt;&gt;M53,1,IF(L52=OFFSET(NameConv!$F$45,0,M52),K52+1,K52))</f>
        <v>2</v>
      </c>
      <c r="L53" s="495">
        <f t="shared" ca="1" si="6"/>
        <v>4</v>
      </c>
      <c r="M53" s="526">
        <f ca="1">IF(AND(K52=$K$7,L52=SUMIF(NameConv!$G$4:$M$4,MID(C52,2,3),NameConv!$G$45:$M$45)),M52+1,M52)</f>
        <v>2</v>
      </c>
    </row>
    <row r="54" spans="1:13">
      <c r="A54" s="883" t="str">
        <f ca="1">IF(INDEX(Demand.Sectors,MATCH(MID(C54,2,3),NameConv!$G$4:$M$4,0)),"","*")</f>
        <v/>
      </c>
      <c r="B54" s="515" t="str">
        <f t="shared" ca="1" si="0"/>
        <v>PRC_CAPACT</v>
      </c>
      <c r="C54" s="515" t="str">
        <f ca="1">"X"&amp;OFFSET(NameConv!$F$4,0,M54)&amp;OFFSET(NameConv!$F$59,L54,M54)</f>
        <v>XCOMOGS</v>
      </c>
      <c r="D54" s="515" t="str">
        <f t="shared" ca="1" si="8"/>
        <v>-</v>
      </c>
      <c r="E54" s="515" t="str">
        <f t="shared" ca="1" si="9"/>
        <v>-</v>
      </c>
      <c r="F54" s="515" t="str">
        <f t="shared" ca="1" si="7"/>
        <v>-</v>
      </c>
      <c r="G54" s="515" t="str">
        <f t="shared" ca="1" si="7"/>
        <v>-</v>
      </c>
      <c r="H54" s="515" t="str">
        <f t="shared" ca="1" si="7"/>
        <v>-</v>
      </c>
      <c r="I54" s="518">
        <f t="shared" ca="1" si="5"/>
        <v>1</v>
      </c>
      <c r="K54" s="495">
        <f ca="1">IF(M53&lt;&gt;M54,1,IF(L53=OFFSET(NameConv!$F$45,0,M53),K53+1,K53))</f>
        <v>2</v>
      </c>
      <c r="L54" s="495">
        <f t="shared" ca="1" si="6"/>
        <v>5</v>
      </c>
      <c r="M54" s="526">
        <f ca="1">IF(AND(K53=$K$7,L53=SUMIF(NameConv!$G$4:$M$4,MID(C53,2,3),NameConv!$G$45:$M$45)),M53+1,M53)</f>
        <v>2</v>
      </c>
    </row>
    <row r="55" spans="1:13">
      <c r="A55" s="883" t="str">
        <f ca="1">IF(INDEX(Demand.Sectors,MATCH(MID(C55,2,3),NameConv!$G$4:$M$4,0)),"","*")</f>
        <v/>
      </c>
      <c r="B55" s="515" t="str">
        <f t="shared" ca="1" si="0"/>
        <v>PRC_CAPACT</v>
      </c>
      <c r="C55" s="515" t="str">
        <f ca="1">"X"&amp;OFFSET(NameConv!$F$4,0,M55)&amp;OFFSET(NameConv!$F$59,L55,M55)</f>
        <v>XCOMOHF</v>
      </c>
      <c r="D55" s="515" t="str">
        <f t="shared" ca="1" si="8"/>
        <v>-</v>
      </c>
      <c r="E55" s="515" t="str">
        <f t="shared" ca="1" si="9"/>
        <v>-</v>
      </c>
      <c r="F55" s="515" t="str">
        <f t="shared" ca="1" si="7"/>
        <v>-</v>
      </c>
      <c r="G55" s="515" t="str">
        <f t="shared" ca="1" si="7"/>
        <v>-</v>
      </c>
      <c r="H55" s="515" t="str">
        <f t="shared" ca="1" si="7"/>
        <v>-</v>
      </c>
      <c r="I55" s="518">
        <f t="shared" ca="1" si="5"/>
        <v>1</v>
      </c>
      <c r="K55" s="495">
        <f ca="1">IF(M54&lt;&gt;M55,1,IF(L54=OFFSET(NameConv!$F$45,0,M54),K54+1,K54))</f>
        <v>2</v>
      </c>
      <c r="L55" s="495">
        <f t="shared" ca="1" si="6"/>
        <v>6</v>
      </c>
      <c r="M55" s="526">
        <f ca="1">IF(AND(K54=$K$7,L54=SUMIF(NameConv!$G$4:$M$4,MID(C54,2,3),NameConv!$G$45:$M$45)),M54+1,M54)</f>
        <v>2</v>
      </c>
    </row>
    <row r="56" spans="1:13">
      <c r="A56" s="883" t="str">
        <f ca="1">IF(INDEX(Demand.Sectors,MATCH(MID(C56,2,3),NameConv!$G$4:$M$4,0)),"","*")</f>
        <v/>
      </c>
      <c r="B56" s="515" t="str">
        <f t="shared" ca="1" si="0"/>
        <v>PRC_CAPACT</v>
      </c>
      <c r="C56" s="515" t="str">
        <f ca="1">"X"&amp;OFFSET(NameConv!$F$4,0,M56)&amp;OFFSET(NameConv!$F$59,L56,M56)</f>
        <v>XCOMOKE</v>
      </c>
      <c r="D56" s="515" t="str">
        <f t="shared" ca="1" si="8"/>
        <v>-</v>
      </c>
      <c r="E56" s="515" t="str">
        <f t="shared" ca="1" si="9"/>
        <v>-</v>
      </c>
      <c r="F56" s="515" t="str">
        <f t="shared" ca="1" si="7"/>
        <v>-</v>
      </c>
      <c r="G56" s="515" t="str">
        <f t="shared" ca="1" si="7"/>
        <v>-</v>
      </c>
      <c r="H56" s="515" t="str">
        <f t="shared" ca="1" si="7"/>
        <v>-</v>
      </c>
      <c r="I56" s="518">
        <f t="shared" ca="1" si="5"/>
        <v>1</v>
      </c>
      <c r="K56" s="495">
        <f ca="1">IF(M55&lt;&gt;M56,1,IF(L55=OFFSET(NameConv!$F$45,0,M55),K55+1,K55))</f>
        <v>2</v>
      </c>
      <c r="L56" s="495">
        <f t="shared" ca="1" si="6"/>
        <v>7</v>
      </c>
      <c r="M56" s="526">
        <f ca="1">IF(AND(K55=$K$7,L55=SUMIF(NameConv!$G$4:$M$4,MID(C55,2,3),NameConv!$G$45:$M$45)),M55+1,M55)</f>
        <v>2</v>
      </c>
    </row>
    <row r="57" spans="1:13">
      <c r="A57" s="883" t="str">
        <f ca="1">IF(INDEX(Demand.Sectors,MATCH(MID(C57,2,3),NameConv!$G$4:$M$4,0)),"","*")</f>
        <v/>
      </c>
      <c r="B57" s="515" t="str">
        <f t="shared" ca="1" si="0"/>
        <v>PRC_CAPACT</v>
      </c>
      <c r="C57" s="515" t="str">
        <f ca="1">"X"&amp;OFFSET(NameConv!$F$4,0,M57)&amp;OFFSET(NameConv!$F$59,L57,M57)</f>
        <v>XCOMOLP</v>
      </c>
      <c r="D57" s="515" t="str">
        <f t="shared" ca="1" si="8"/>
        <v>-</v>
      </c>
      <c r="E57" s="515" t="str">
        <f t="shared" ca="1" si="9"/>
        <v>-</v>
      </c>
      <c r="F57" s="515" t="str">
        <f t="shared" ca="1" si="7"/>
        <v>-</v>
      </c>
      <c r="G57" s="515" t="str">
        <f t="shared" ca="1" si="7"/>
        <v>-</v>
      </c>
      <c r="H57" s="515" t="str">
        <f t="shared" ca="1" si="7"/>
        <v>-</v>
      </c>
      <c r="I57" s="518">
        <f t="shared" ca="1" si="5"/>
        <v>1</v>
      </c>
      <c r="K57" s="495">
        <f ca="1">IF(M56&lt;&gt;M57,1,IF(L56=OFFSET(NameConv!$F$45,0,M56),K56+1,K56))</f>
        <v>2</v>
      </c>
      <c r="L57" s="495">
        <f t="shared" ca="1" si="6"/>
        <v>8</v>
      </c>
      <c r="M57" s="526">
        <f ca="1">IF(AND(K56=$K$7,L56=SUMIF(NameConv!$G$4:$M$4,MID(C56,2,3),NameConv!$G$45:$M$45)),M56+1,M56)</f>
        <v>2</v>
      </c>
    </row>
    <row r="58" spans="1:13">
      <c r="A58" s="883" t="str">
        <f ca="1">IF(INDEX(Demand.Sectors,MATCH(MID(C58,2,3),NameConv!$G$4:$M$4,0)),"","*")</f>
        <v/>
      </c>
      <c r="B58" s="515" t="str">
        <f t="shared" ca="1" si="0"/>
        <v>TOP-OUT</v>
      </c>
      <c r="C58" s="515" t="str">
        <f ca="1">"X"&amp;OFFSET(NameConv!$F$4,0,M58)&amp;OFFSET(NameConv!$F$59,L58,M58)</f>
        <v>XCOMCOA</v>
      </c>
      <c r="D58" s="515" t="str">
        <f ca="1">IF($A58="*","",IF($B58="TOP-OUT",RIGHT(C58,6),IF($B58="TOP-IN",RIGHT(C58,3),"-")))</f>
        <v>COMCOA</v>
      </c>
      <c r="E58" s="515" t="str">
        <f ca="1">IF($A58="*","",IF($B58="PRC_ACTUNT",RIGHT(C58,6),"-"))</f>
        <v>-</v>
      </c>
      <c r="F58" s="515" t="str">
        <f t="shared" ca="1" si="7"/>
        <v>-</v>
      </c>
      <c r="G58" s="515" t="str">
        <f t="shared" ca="1" si="7"/>
        <v>-</v>
      </c>
      <c r="H58" s="515" t="str">
        <f t="shared" ca="1" si="7"/>
        <v>-</v>
      </c>
      <c r="I58" s="518">
        <f t="shared" ca="1" si="5"/>
        <v>1</v>
      </c>
      <c r="K58" s="495">
        <f ca="1">IF(M57&lt;&gt;M58,1,IF(L57=OFFSET(NameConv!$F$45,0,M57),K57+1,K57))</f>
        <v>3</v>
      </c>
      <c r="L58" s="495">
        <f t="shared" ca="1" si="6"/>
        <v>1</v>
      </c>
      <c r="M58" s="526">
        <f ca="1">IF(AND(K57=$K$7,L57=SUMIF(NameConv!$G$4:$M$4,MID(C57,2,3),NameConv!$G$45:$M$45)),M57+1,M57)</f>
        <v>2</v>
      </c>
    </row>
    <row r="59" spans="1:13">
      <c r="A59" s="883" t="str">
        <f ca="1">IF(INDEX(Demand.Sectors,MATCH(MID(C59,2,3),NameConv!$G$4:$M$4,0)),"","*")</f>
        <v/>
      </c>
      <c r="B59" s="515" t="str">
        <f t="shared" ca="1" si="0"/>
        <v>TOP-OUT</v>
      </c>
      <c r="C59" s="515" t="str">
        <f ca="1">"X"&amp;OFFSET(NameConv!$F$4,0,M59)&amp;OFFSET(NameConv!$F$59,L59,M59)</f>
        <v>XCOMELC</v>
      </c>
      <c r="D59" s="515" t="str">
        <f ca="1">IF($A59="*","",IF($B59="TOP-OUT",RIGHT(C59,6),IF($B59="TOP-IN",RIGHT(C59,3),"-")))</f>
        <v>COMELC</v>
      </c>
      <c r="E59" s="515" t="str">
        <f ca="1">IF($A59="*","",IF($B59="PRC_ACTUNT",RIGHT(C59,6),"-"))</f>
        <v>-</v>
      </c>
      <c r="F59" s="515" t="str">
        <f t="shared" ca="1" si="7"/>
        <v>-</v>
      </c>
      <c r="G59" s="515" t="str">
        <f t="shared" ca="1" si="7"/>
        <v>-</v>
      </c>
      <c r="H59" s="515" t="str">
        <f t="shared" ca="1" si="7"/>
        <v>-</v>
      </c>
      <c r="I59" s="518">
        <f t="shared" ca="1" si="5"/>
        <v>1</v>
      </c>
      <c r="K59" s="495">
        <f ca="1">IF(M58&lt;&gt;M59,1,IF(L58=OFFSET(NameConv!$F$45,0,M58),K58+1,K58))</f>
        <v>3</v>
      </c>
      <c r="L59" s="495">
        <f t="shared" ca="1" si="6"/>
        <v>2</v>
      </c>
      <c r="M59" s="526">
        <f ca="1">IF(AND(K58=$K$7,L58=SUMIF(NameConv!$G$4:$M$4,MID(C58,2,3),NameConv!$G$45:$M$45)),M58+1,M58)</f>
        <v>2</v>
      </c>
    </row>
    <row r="60" spans="1:13">
      <c r="A60" s="883" t="str">
        <f ca="1">IF(INDEX(Demand.Sectors,MATCH(MID(C60,2,3),NameConv!$G$4:$M$4,0)),"","*")</f>
        <v/>
      </c>
      <c r="B60" s="515" t="str">
        <f t="shared" ca="1" si="0"/>
        <v>TOP-OUT</v>
      </c>
      <c r="C60" s="515" t="str">
        <f ca="1">"X"&amp;OFFSET(NameConv!$F$4,0,M60)&amp;OFFSET(NameConv!$F$59,L60,M60)</f>
        <v>XCOMGAS</v>
      </c>
      <c r="D60" s="515" t="str">
        <f ca="1">IF($A60="*","",IF($B60="TOP-OUT",RIGHT(C60,6),IF($B60="TOP-IN",RIGHT(C60,3),"-")))</f>
        <v>COMGAS</v>
      </c>
      <c r="E60" s="515" t="str">
        <f ca="1">IF($A60="*","",IF($B60="PRC_ACTUNT",RIGHT(C60,6),"-"))</f>
        <v>-</v>
      </c>
      <c r="F60" s="515" t="str">
        <f t="shared" ca="1" si="7"/>
        <v>-</v>
      </c>
      <c r="G60" s="515" t="str">
        <f t="shared" ca="1" si="7"/>
        <v>-</v>
      </c>
      <c r="H60" s="515" t="str">
        <f t="shared" ca="1" si="7"/>
        <v>-</v>
      </c>
      <c r="I60" s="518">
        <f t="shared" ca="1" si="5"/>
        <v>1</v>
      </c>
      <c r="K60" s="495">
        <f ca="1">IF(M59&lt;&gt;M60,1,IF(L59=OFFSET(NameConv!$F$45,0,M59),K59+1,K59))</f>
        <v>3</v>
      </c>
      <c r="L60" s="495">
        <f t="shared" ca="1" si="6"/>
        <v>3</v>
      </c>
      <c r="M60" s="526">
        <f ca="1">IF(AND(K59=$K$7,L59=SUMIF(NameConv!$G$4:$M$4,MID(C59,2,3),NameConv!$G$45:$M$45)),M59+1,M59)</f>
        <v>2</v>
      </c>
    </row>
    <row r="61" spans="1:13">
      <c r="A61" s="883" t="str">
        <f ca="1">IF(INDEX(Demand.Sectors,MATCH(MID(C61,2,3),NameConv!$G$4:$M$4,0)),"","*")</f>
        <v/>
      </c>
      <c r="B61" s="515" t="str">
        <f t="shared" ca="1" si="0"/>
        <v>TOP-OUT</v>
      </c>
      <c r="C61" s="515" t="str">
        <f ca="1">"X"&amp;OFFSET(NameConv!$F$4,0,M61)&amp;OFFSET(NameConv!$F$59,L61,M61)</f>
        <v>XCOMODS</v>
      </c>
      <c r="D61" s="515" t="str">
        <f ca="1">IF($A61="*","",IF($B61="TOP-OUT",RIGHT(C61,6),IF($B61="TOP-IN",RIGHT(C61,3),"-")))</f>
        <v>COMODS</v>
      </c>
      <c r="E61" s="515" t="str">
        <f ca="1">IF($A61="*","",IF($B61="PRC_ACTUNT",RIGHT(C61,6),"-"))</f>
        <v>-</v>
      </c>
      <c r="F61" s="515" t="str">
        <f t="shared" ca="1" si="7"/>
        <v>-</v>
      </c>
      <c r="G61" s="515" t="str">
        <f t="shared" ca="1" si="7"/>
        <v>-</v>
      </c>
      <c r="H61" s="515" t="str">
        <f t="shared" ca="1" si="7"/>
        <v>-</v>
      </c>
      <c r="I61" s="518">
        <f t="shared" ca="1" si="5"/>
        <v>1</v>
      </c>
      <c r="K61" s="495">
        <f ca="1">IF(M60&lt;&gt;M61,1,IF(L60=OFFSET(NameConv!$F$45,0,M60),K60+1,K60))</f>
        <v>3</v>
      </c>
      <c r="L61" s="495">
        <f t="shared" ca="1" si="6"/>
        <v>4</v>
      </c>
      <c r="M61" s="526">
        <f ca="1">IF(AND(K60=$K$7,L60=SUMIF(NameConv!$G$4:$M$4,MID(C60,2,3),NameConv!$G$45:$M$45)),M60+1,M60)</f>
        <v>2</v>
      </c>
    </row>
    <row r="62" spans="1:13">
      <c r="A62" s="883" t="str">
        <f ca="1">IF(INDEX(Demand.Sectors,MATCH(MID(C62,2,3),NameConv!$G$4:$M$4,0)),"","*")</f>
        <v/>
      </c>
      <c r="B62" s="515" t="str">
        <f t="shared" ca="1" si="0"/>
        <v>TOP-OUT</v>
      </c>
      <c r="C62" s="515" t="str">
        <f ca="1">"X"&amp;OFFSET(NameConv!$F$4,0,M62)&amp;OFFSET(NameConv!$F$59,L62,M62)</f>
        <v>XCOMOGS</v>
      </c>
      <c r="D62" s="515" t="str">
        <f t="shared" ref="D62:D69" ca="1" si="10">IF($A62="*","",IF($B62="TOP-OUT",RIGHT(C62,6),IF($B62="TOP-IN",RIGHT(C62,3),"-")))</f>
        <v>COMOGS</v>
      </c>
      <c r="E62" s="515" t="str">
        <f t="shared" ref="E62:E69" ca="1" si="11">IF($A62="*","",IF($B62="PRC_ACTUNT",RIGHT(C62,6),"-"))</f>
        <v>-</v>
      </c>
      <c r="F62" s="515" t="str">
        <f t="shared" ca="1" si="7"/>
        <v>-</v>
      </c>
      <c r="G62" s="515" t="str">
        <f t="shared" ca="1" si="7"/>
        <v>-</v>
      </c>
      <c r="H62" s="515" t="str">
        <f t="shared" ca="1" si="7"/>
        <v>-</v>
      </c>
      <c r="I62" s="518">
        <f t="shared" ca="1" si="5"/>
        <v>1</v>
      </c>
      <c r="K62" s="495">
        <f ca="1">IF(M61&lt;&gt;M62,1,IF(L61=OFFSET(NameConv!$F$45,0,M61),K61+1,K61))</f>
        <v>3</v>
      </c>
      <c r="L62" s="495">
        <f t="shared" ca="1" si="6"/>
        <v>5</v>
      </c>
      <c r="M62" s="526">
        <f ca="1">IF(AND(K61=$K$7,L61=SUMIF(NameConv!$G$4:$M$4,MID(C61,2,3),NameConv!$G$45:$M$45)),M61+1,M61)</f>
        <v>2</v>
      </c>
    </row>
    <row r="63" spans="1:13">
      <c r="A63" s="883" t="str">
        <f ca="1">IF(INDEX(Demand.Sectors,MATCH(MID(C63,2,3),NameConv!$G$4:$M$4,0)),"","*")</f>
        <v/>
      </c>
      <c r="B63" s="515" t="str">
        <f t="shared" ca="1" si="0"/>
        <v>TOP-OUT</v>
      </c>
      <c r="C63" s="515" t="str">
        <f ca="1">"X"&amp;OFFSET(NameConv!$F$4,0,M63)&amp;OFFSET(NameConv!$F$59,L63,M63)</f>
        <v>XCOMOHF</v>
      </c>
      <c r="D63" s="515" t="str">
        <f t="shared" ca="1" si="10"/>
        <v>COMOHF</v>
      </c>
      <c r="E63" s="515" t="str">
        <f t="shared" ca="1" si="11"/>
        <v>-</v>
      </c>
      <c r="F63" s="515" t="str">
        <f t="shared" ref="F63:H78" ca="1" si="12">IF($A63="*","","-")</f>
        <v>-</v>
      </c>
      <c r="G63" s="515" t="str">
        <f t="shared" ca="1" si="12"/>
        <v>-</v>
      </c>
      <c r="H63" s="515" t="str">
        <f t="shared" ca="1" si="12"/>
        <v>-</v>
      </c>
      <c r="I63" s="518">
        <f t="shared" ca="1" si="5"/>
        <v>1</v>
      </c>
      <c r="K63" s="495">
        <f ca="1">IF(M62&lt;&gt;M63,1,IF(L62=OFFSET(NameConv!$F$45,0,M62),K62+1,K62))</f>
        <v>3</v>
      </c>
      <c r="L63" s="495">
        <f t="shared" ca="1" si="6"/>
        <v>6</v>
      </c>
      <c r="M63" s="526">
        <f ca="1">IF(AND(K62=$K$7,L62=SUMIF(NameConv!$G$4:$M$4,MID(C62,2,3),NameConv!$G$45:$M$45)),M62+1,M62)</f>
        <v>2</v>
      </c>
    </row>
    <row r="64" spans="1:13">
      <c r="A64" s="883" t="str">
        <f ca="1">IF(INDEX(Demand.Sectors,MATCH(MID(C64,2,3),NameConv!$G$4:$M$4,0)),"","*")</f>
        <v/>
      </c>
      <c r="B64" s="515" t="str">
        <f t="shared" ca="1" si="0"/>
        <v>TOP-OUT</v>
      </c>
      <c r="C64" s="515" t="str">
        <f ca="1">"X"&amp;OFFSET(NameConv!$F$4,0,M64)&amp;OFFSET(NameConv!$F$59,L64,M64)</f>
        <v>XCOMOKE</v>
      </c>
      <c r="D64" s="515" t="str">
        <f t="shared" ca="1" si="10"/>
        <v>COMOKE</v>
      </c>
      <c r="E64" s="515" t="str">
        <f t="shared" ca="1" si="11"/>
        <v>-</v>
      </c>
      <c r="F64" s="515" t="str">
        <f t="shared" ca="1" si="12"/>
        <v>-</v>
      </c>
      <c r="G64" s="515" t="str">
        <f t="shared" ca="1" si="12"/>
        <v>-</v>
      </c>
      <c r="H64" s="515" t="str">
        <f t="shared" ca="1" si="12"/>
        <v>-</v>
      </c>
      <c r="I64" s="518">
        <f t="shared" ca="1" si="5"/>
        <v>1</v>
      </c>
      <c r="K64" s="495">
        <f ca="1">IF(M63&lt;&gt;M64,1,IF(L63=OFFSET(NameConv!$F$45,0,M63),K63+1,K63))</f>
        <v>3</v>
      </c>
      <c r="L64" s="495">
        <f t="shared" ca="1" si="6"/>
        <v>7</v>
      </c>
      <c r="M64" s="526">
        <f ca="1">IF(AND(K63=$K$7,L63=SUMIF(NameConv!$G$4:$M$4,MID(C63,2,3),NameConv!$G$45:$M$45)),M63+1,M63)</f>
        <v>2</v>
      </c>
    </row>
    <row r="65" spans="1:13">
      <c r="A65" s="883" t="str">
        <f ca="1">IF(INDEX(Demand.Sectors,MATCH(MID(C65,2,3),NameConv!$G$4:$M$4,0)),"","*")</f>
        <v/>
      </c>
      <c r="B65" s="515" t="str">
        <f t="shared" ca="1" si="0"/>
        <v>TOP-OUT</v>
      </c>
      <c r="C65" s="515" t="str">
        <f ca="1">"X"&amp;OFFSET(NameConv!$F$4,0,M65)&amp;OFFSET(NameConv!$F$59,L65,M65)</f>
        <v>XCOMOLP</v>
      </c>
      <c r="D65" s="515" t="str">
        <f t="shared" ca="1" si="10"/>
        <v>COMOLP</v>
      </c>
      <c r="E65" s="515" t="str">
        <f t="shared" ca="1" si="11"/>
        <v>-</v>
      </c>
      <c r="F65" s="515" t="str">
        <f t="shared" ca="1" si="12"/>
        <v>-</v>
      </c>
      <c r="G65" s="515" t="str">
        <f t="shared" ca="1" si="12"/>
        <v>-</v>
      </c>
      <c r="H65" s="515" t="str">
        <f t="shared" ca="1" si="12"/>
        <v>-</v>
      </c>
      <c r="I65" s="518">
        <f t="shared" ca="1" si="5"/>
        <v>1</v>
      </c>
      <c r="K65" s="495">
        <f ca="1">IF(M64&lt;&gt;M65,1,IF(L64=OFFSET(NameConv!$F$45,0,M64),K64+1,K64))</f>
        <v>3</v>
      </c>
      <c r="L65" s="495">
        <f t="shared" ca="1" si="6"/>
        <v>8</v>
      </c>
      <c r="M65" s="526">
        <f ca="1">IF(AND(K64=$K$7,L64=SUMIF(NameConv!$G$4:$M$4,MID(C64,2,3),NameConv!$G$45:$M$45)),M64+1,M64)</f>
        <v>2</v>
      </c>
    </row>
    <row r="66" spans="1:13">
      <c r="A66" s="883" t="str">
        <f ca="1">IF(INDEX(Demand.Sectors,MATCH(MID(C66,2,3),NameConv!$G$4:$M$4,0)),"","*")</f>
        <v/>
      </c>
      <c r="B66" s="515" t="str">
        <f t="shared" ca="1" si="0"/>
        <v>TOP-IN</v>
      </c>
      <c r="C66" s="515" t="str">
        <f ca="1">"X"&amp;OFFSET(NameConv!$F$4,0,M66)&amp;OFFSET(NameConv!$F$59,L66,M66)</f>
        <v>XCOMCOA</v>
      </c>
      <c r="D66" s="515" t="str">
        <f t="shared" ca="1" si="10"/>
        <v>COA</v>
      </c>
      <c r="E66" s="515" t="str">
        <f t="shared" ca="1" si="11"/>
        <v>-</v>
      </c>
      <c r="F66" s="515" t="str">
        <f t="shared" ca="1" si="12"/>
        <v>-</v>
      </c>
      <c r="G66" s="515" t="str">
        <f t="shared" ca="1" si="12"/>
        <v>-</v>
      </c>
      <c r="H66" s="515" t="str">
        <f t="shared" ca="1" si="12"/>
        <v>-</v>
      </c>
      <c r="I66" s="518">
        <f t="shared" ca="1" si="5"/>
        <v>1</v>
      </c>
      <c r="K66" s="495">
        <f ca="1">IF(M65&lt;&gt;M66,1,IF(L65=OFFSET(NameConv!$F$45,0,M65),K65+1,K65))</f>
        <v>4</v>
      </c>
      <c r="L66" s="495">
        <f t="shared" ca="1" si="6"/>
        <v>1</v>
      </c>
      <c r="M66" s="526">
        <f ca="1">IF(AND(K65=$K$7,L65=SUMIF(NameConv!$G$4:$M$4,MID(C65,2,3),NameConv!$G$45:$M$45)),M65+1,M65)</f>
        <v>2</v>
      </c>
    </row>
    <row r="67" spans="1:13">
      <c r="A67" s="883" t="str">
        <f ca="1">IF(INDEX(Demand.Sectors,MATCH(MID(C67,2,3),NameConv!$G$4:$M$4,0)),"","*")</f>
        <v/>
      </c>
      <c r="B67" s="515" t="str">
        <f t="shared" ca="1" si="0"/>
        <v>TOP-IN</v>
      </c>
      <c r="C67" s="515" t="str">
        <f ca="1">"X"&amp;OFFSET(NameConv!$F$4,0,M67)&amp;OFFSET(NameConv!$F$59,L67,M67)</f>
        <v>XCOMELC</v>
      </c>
      <c r="D67" s="515" t="str">
        <f t="shared" ca="1" si="10"/>
        <v>ELC</v>
      </c>
      <c r="E67" s="515" t="str">
        <f t="shared" ca="1" si="11"/>
        <v>-</v>
      </c>
      <c r="F67" s="515" t="str">
        <f t="shared" ca="1" si="12"/>
        <v>-</v>
      </c>
      <c r="G67" s="515" t="str">
        <f t="shared" ca="1" si="12"/>
        <v>-</v>
      </c>
      <c r="H67" s="515" t="str">
        <f t="shared" ca="1" si="12"/>
        <v>-</v>
      </c>
      <c r="I67" s="518">
        <f t="shared" ca="1" si="5"/>
        <v>1</v>
      </c>
      <c r="K67" s="495">
        <f ca="1">IF(M66&lt;&gt;M67,1,IF(L66=OFFSET(NameConv!$F$45,0,M66),K66+1,K66))</f>
        <v>4</v>
      </c>
      <c r="L67" s="495">
        <f t="shared" ca="1" si="6"/>
        <v>2</v>
      </c>
      <c r="M67" s="526">
        <f ca="1">IF(AND(K66=$K$7,L66=SUMIF(NameConv!$G$4:$M$4,MID(C66,2,3),NameConv!$G$45:$M$45)),M66+1,M66)</f>
        <v>2</v>
      </c>
    </row>
    <row r="68" spans="1:13">
      <c r="A68" s="883" t="str">
        <f ca="1">IF(INDEX(Demand.Sectors,MATCH(MID(C68,2,3),NameConv!$G$4:$M$4,0)),"","*")</f>
        <v/>
      </c>
      <c r="B68" s="515" t="str">
        <f t="shared" ca="1" si="0"/>
        <v>TOP-IN</v>
      </c>
      <c r="C68" s="515" t="str">
        <f ca="1">"X"&amp;OFFSET(NameConv!$F$4,0,M68)&amp;OFFSET(NameConv!$F$59,L68,M68)</f>
        <v>XCOMGAS</v>
      </c>
      <c r="D68" s="515" t="str">
        <f t="shared" ca="1" si="10"/>
        <v>GAS</v>
      </c>
      <c r="E68" s="515" t="str">
        <f t="shared" ca="1" si="11"/>
        <v>-</v>
      </c>
      <c r="F68" s="515" t="str">
        <f t="shared" ca="1" si="12"/>
        <v>-</v>
      </c>
      <c r="G68" s="515" t="str">
        <f t="shared" ca="1" si="12"/>
        <v>-</v>
      </c>
      <c r="H68" s="515" t="str">
        <f t="shared" ca="1" si="12"/>
        <v>-</v>
      </c>
      <c r="I68" s="518">
        <f t="shared" ca="1" si="5"/>
        <v>1</v>
      </c>
      <c r="K68" s="495">
        <f ca="1">IF(M67&lt;&gt;M68,1,IF(L67=OFFSET(NameConv!$F$45,0,M67),K67+1,K67))</f>
        <v>4</v>
      </c>
      <c r="L68" s="495">
        <f t="shared" ca="1" si="6"/>
        <v>3</v>
      </c>
      <c r="M68" s="526">
        <f ca="1">IF(AND(K67=$K$7,L67=SUMIF(NameConv!$G$4:$M$4,MID(C67,2,3),NameConv!$G$45:$M$45)),M67+1,M67)</f>
        <v>2</v>
      </c>
    </row>
    <row r="69" spans="1:13">
      <c r="A69" s="883" t="str">
        <f ca="1">IF(INDEX(Demand.Sectors,MATCH(MID(C69,2,3),NameConv!$G$4:$M$4,0)),"","*")</f>
        <v/>
      </c>
      <c r="B69" s="515" t="str">
        <f t="shared" ca="1" si="0"/>
        <v>TOP-IN</v>
      </c>
      <c r="C69" s="515" t="str">
        <f ca="1">"X"&amp;OFFSET(NameConv!$F$4,0,M69)&amp;OFFSET(NameConv!$F$59,L69,M69)</f>
        <v>XCOMODS</v>
      </c>
      <c r="D69" s="515" t="str">
        <f t="shared" ca="1" si="10"/>
        <v>ODS</v>
      </c>
      <c r="E69" s="515" t="str">
        <f t="shared" ca="1" si="11"/>
        <v>-</v>
      </c>
      <c r="F69" s="515" t="str">
        <f t="shared" ca="1" si="12"/>
        <v>-</v>
      </c>
      <c r="G69" s="515" t="str">
        <f t="shared" ca="1" si="12"/>
        <v>-</v>
      </c>
      <c r="H69" s="515" t="str">
        <f t="shared" ca="1" si="12"/>
        <v>-</v>
      </c>
      <c r="I69" s="518">
        <f t="shared" ca="1" si="5"/>
        <v>1</v>
      </c>
      <c r="K69" s="495">
        <f ca="1">IF(M68&lt;&gt;M69,1,IF(L68=OFFSET(NameConv!$F$45,0,M68),K68+1,K68))</f>
        <v>4</v>
      </c>
      <c r="L69" s="495">
        <f t="shared" ca="1" si="6"/>
        <v>4</v>
      </c>
      <c r="M69" s="526">
        <f ca="1">IF(AND(K68=$K$7,L68=SUMIF(NameConv!$G$4:$M$4,MID(C68,2,3),NameConv!$G$45:$M$45)),M68+1,M68)</f>
        <v>2</v>
      </c>
    </row>
    <row r="70" spans="1:13">
      <c r="A70" s="883" t="str">
        <f ca="1">IF(INDEX(Demand.Sectors,MATCH(MID(C70,2,3),NameConv!$G$4:$M$4,0)),"","*")</f>
        <v/>
      </c>
      <c r="B70" s="515" t="str">
        <f t="shared" ca="1" si="0"/>
        <v>TOP-IN</v>
      </c>
      <c r="C70" s="515" t="str">
        <f ca="1">"X"&amp;OFFSET(NameConv!$F$4,0,M70)&amp;OFFSET(NameConv!$F$59,L70,M70)</f>
        <v>XCOMOGS</v>
      </c>
      <c r="D70" s="515" t="str">
        <f t="shared" ref="D70:D77" ca="1" si="13">IF($A70="*","",IF($B70="TOP-OUT",RIGHT(C70,6),IF($B70="TOP-IN",RIGHT(C70,3),"-")))</f>
        <v>OGS</v>
      </c>
      <c r="E70" s="515" t="str">
        <f t="shared" ref="E70:E77" ca="1" si="14">IF($A70="*","",IF($B70="PRC_ACTUNT",RIGHT(C70,6),"-"))</f>
        <v>-</v>
      </c>
      <c r="F70" s="515" t="str">
        <f t="shared" ca="1" si="12"/>
        <v>-</v>
      </c>
      <c r="G70" s="515" t="str">
        <f t="shared" ca="1" si="12"/>
        <v>-</v>
      </c>
      <c r="H70" s="515" t="str">
        <f t="shared" ca="1" si="12"/>
        <v>-</v>
      </c>
      <c r="I70" s="518">
        <f t="shared" ca="1" si="5"/>
        <v>1</v>
      </c>
      <c r="K70" s="495">
        <f ca="1">IF(M69&lt;&gt;M70,1,IF(L69=OFFSET(NameConv!$F$45,0,M69),K69+1,K69))</f>
        <v>4</v>
      </c>
      <c r="L70" s="495">
        <f t="shared" ca="1" si="6"/>
        <v>5</v>
      </c>
      <c r="M70" s="526">
        <f ca="1">IF(AND(K69=$K$7,L69=SUMIF(NameConv!$G$4:$M$4,MID(C69,2,3),NameConv!$G$45:$M$45)),M69+1,M69)</f>
        <v>2</v>
      </c>
    </row>
    <row r="71" spans="1:13">
      <c r="A71" s="883" t="str">
        <f ca="1">IF(INDEX(Demand.Sectors,MATCH(MID(C71,2,3),NameConv!$G$4:$M$4,0)),"","*")</f>
        <v/>
      </c>
      <c r="B71" s="515" t="str">
        <f t="shared" ca="1" si="0"/>
        <v>TOP-IN</v>
      </c>
      <c r="C71" s="515" t="str">
        <f ca="1">"X"&amp;OFFSET(NameConv!$F$4,0,M71)&amp;OFFSET(NameConv!$F$59,L71,M71)</f>
        <v>XCOMOHF</v>
      </c>
      <c r="D71" s="515" t="str">
        <f t="shared" ca="1" si="13"/>
        <v>OHF</v>
      </c>
      <c r="E71" s="515" t="str">
        <f t="shared" ca="1" si="14"/>
        <v>-</v>
      </c>
      <c r="F71" s="515" t="str">
        <f t="shared" ca="1" si="12"/>
        <v>-</v>
      </c>
      <c r="G71" s="515" t="str">
        <f t="shared" ca="1" si="12"/>
        <v>-</v>
      </c>
      <c r="H71" s="515" t="str">
        <f t="shared" ca="1" si="12"/>
        <v>-</v>
      </c>
      <c r="I71" s="518">
        <f t="shared" ca="1" si="5"/>
        <v>1</v>
      </c>
      <c r="K71" s="495">
        <f ca="1">IF(M70&lt;&gt;M71,1,IF(L70=OFFSET(NameConv!$F$45,0,M70),K70+1,K70))</f>
        <v>4</v>
      </c>
      <c r="L71" s="495">
        <f t="shared" ca="1" si="6"/>
        <v>6</v>
      </c>
      <c r="M71" s="526">
        <f ca="1">IF(AND(K70=$K$7,L70=SUMIF(NameConv!$G$4:$M$4,MID(C70,2,3),NameConv!$G$45:$M$45)),M70+1,M70)</f>
        <v>2</v>
      </c>
    </row>
    <row r="72" spans="1:13">
      <c r="A72" s="883" t="str">
        <f ca="1">IF(INDEX(Demand.Sectors,MATCH(MID(C72,2,3),NameConv!$G$4:$M$4,0)),"","*")</f>
        <v/>
      </c>
      <c r="B72" s="515" t="str">
        <f t="shared" ca="1" si="0"/>
        <v>TOP-IN</v>
      </c>
      <c r="C72" s="515" t="str">
        <f ca="1">"X"&amp;OFFSET(NameConv!$F$4,0,M72)&amp;OFFSET(NameConv!$F$59,L72,M72)</f>
        <v>XCOMOKE</v>
      </c>
      <c r="D72" s="515" t="str">
        <f t="shared" ca="1" si="13"/>
        <v>OKE</v>
      </c>
      <c r="E72" s="515" t="str">
        <f t="shared" ca="1" si="14"/>
        <v>-</v>
      </c>
      <c r="F72" s="515" t="str">
        <f t="shared" ca="1" si="12"/>
        <v>-</v>
      </c>
      <c r="G72" s="515" t="str">
        <f t="shared" ca="1" si="12"/>
        <v>-</v>
      </c>
      <c r="H72" s="515" t="str">
        <f t="shared" ca="1" si="12"/>
        <v>-</v>
      </c>
      <c r="I72" s="518">
        <f t="shared" ca="1" si="5"/>
        <v>1</v>
      </c>
      <c r="K72" s="495">
        <f ca="1">IF(M71&lt;&gt;M72,1,IF(L71=OFFSET(NameConv!$F$45,0,M71),K71+1,K71))</f>
        <v>4</v>
      </c>
      <c r="L72" s="495">
        <f t="shared" ca="1" si="6"/>
        <v>7</v>
      </c>
      <c r="M72" s="526">
        <f ca="1">IF(AND(K71=$K$7,L71=SUMIF(NameConv!$G$4:$M$4,MID(C71,2,3),NameConv!$G$45:$M$45)),M71+1,M71)</f>
        <v>2</v>
      </c>
    </row>
    <row r="73" spans="1:13">
      <c r="A73" s="883" t="str">
        <f ca="1">IF(INDEX(Demand.Sectors,MATCH(MID(C73,2,3),NameConv!$G$4:$M$4,0)),"","*")</f>
        <v/>
      </c>
      <c r="B73" s="515" t="str">
        <f t="shared" ca="1" si="0"/>
        <v>TOP-IN</v>
      </c>
      <c r="C73" s="515" t="str">
        <f ca="1">"X"&amp;OFFSET(NameConv!$F$4,0,M73)&amp;OFFSET(NameConv!$F$59,L73,M73)</f>
        <v>XCOMOLP</v>
      </c>
      <c r="D73" s="515" t="str">
        <f t="shared" ca="1" si="13"/>
        <v>OLP</v>
      </c>
      <c r="E73" s="515" t="str">
        <f t="shared" ca="1" si="14"/>
        <v>-</v>
      </c>
      <c r="F73" s="515" t="str">
        <f t="shared" ca="1" si="12"/>
        <v>-</v>
      </c>
      <c r="G73" s="515" t="str">
        <f t="shared" ca="1" si="12"/>
        <v>-</v>
      </c>
      <c r="H73" s="515" t="str">
        <f t="shared" ca="1" si="12"/>
        <v>-</v>
      </c>
      <c r="I73" s="518">
        <f t="shared" ca="1" si="5"/>
        <v>1</v>
      </c>
      <c r="K73" s="495">
        <f ca="1">IF(M72&lt;&gt;M73,1,IF(L72=OFFSET(NameConv!$F$45,0,M72),K72+1,K72))</f>
        <v>4</v>
      </c>
      <c r="L73" s="495">
        <f t="shared" ca="1" si="6"/>
        <v>8</v>
      </c>
      <c r="M73" s="526">
        <f ca="1">IF(AND(K72=$K$7,L72=SUMIF(NameConv!$G$4:$M$4,MID(C72,2,3),NameConv!$G$45:$M$45)),M72+1,M72)</f>
        <v>2</v>
      </c>
    </row>
    <row r="74" spans="1:13">
      <c r="A74" s="883" t="str">
        <f ca="1">IF(INDEX(Demand.Sectors,MATCH(MID(C74,2,3),NameConv!$G$4:$M$4,0)),"","*")</f>
        <v/>
      </c>
      <c r="B74" s="515" t="str">
        <f t="shared" ca="1" si="0"/>
        <v>PRC_ACTUNT</v>
      </c>
      <c r="C74" s="515" t="str">
        <f ca="1">"X"&amp;OFFSET(NameConv!$F$4,0,M74)&amp;OFFSET(NameConv!$F$59,L74,M74)</f>
        <v>XINDBIB</v>
      </c>
      <c r="D74" s="515" t="str">
        <f t="shared" ca="1" si="13"/>
        <v>-</v>
      </c>
      <c r="E74" s="515" t="str">
        <f t="shared" ca="1" si="14"/>
        <v>INDBIB</v>
      </c>
      <c r="F74" s="515" t="str">
        <f t="shared" ca="1" si="12"/>
        <v>-</v>
      </c>
      <c r="G74" s="515" t="str">
        <f t="shared" ca="1" si="12"/>
        <v>-</v>
      </c>
      <c r="H74" s="515" t="str">
        <f t="shared" ca="1" si="12"/>
        <v>-</v>
      </c>
      <c r="I74" s="518">
        <f t="shared" ca="1" si="5"/>
        <v>1</v>
      </c>
      <c r="K74" s="495">
        <f ca="1">IF(M73&lt;&gt;M74,1,IF(L73=OFFSET(NameConv!$F$45,0,M73),K73+1,K73))</f>
        <v>1</v>
      </c>
      <c r="L74" s="495">
        <f t="shared" ca="1" si="6"/>
        <v>1</v>
      </c>
      <c r="M74" s="526">
        <f ca="1">IF(AND(K73=$K$7,L73=SUMIF(NameConv!$G$4:$M$4,MID(C73,2,3),NameConv!$G$45:$M$45)),M73+1,M73)</f>
        <v>3</v>
      </c>
    </row>
    <row r="75" spans="1:13">
      <c r="A75" s="883" t="str">
        <f ca="1">IF(INDEX(Demand.Sectors,MATCH(MID(C75,2,3),NameConv!$G$4:$M$4,0)),"","*")</f>
        <v/>
      </c>
      <c r="B75" s="515" t="str">
        <f t="shared" ca="1" si="0"/>
        <v>PRC_ACTUNT</v>
      </c>
      <c r="C75" s="515" t="str">
        <f ca="1">"X"&amp;OFFSET(NameConv!$F$4,0,M75)&amp;OFFSET(NameConv!$F$59,L75,M75)</f>
        <v>XINDBIW</v>
      </c>
      <c r="D75" s="515" t="str">
        <f t="shared" ca="1" si="13"/>
        <v>-</v>
      </c>
      <c r="E75" s="515" t="str">
        <f t="shared" ca="1" si="14"/>
        <v>INDBIW</v>
      </c>
      <c r="F75" s="515" t="str">
        <f t="shared" ca="1" si="12"/>
        <v>-</v>
      </c>
      <c r="G75" s="515" t="str">
        <f t="shared" ca="1" si="12"/>
        <v>-</v>
      </c>
      <c r="H75" s="515" t="str">
        <f t="shared" ca="1" si="12"/>
        <v>-</v>
      </c>
      <c r="I75" s="518">
        <f t="shared" ca="1" si="5"/>
        <v>1</v>
      </c>
      <c r="K75" s="495">
        <f ca="1">IF(M74&lt;&gt;M75,1,IF(L74=OFFSET(NameConv!$F$45,0,M74),K74+1,K74))</f>
        <v>1</v>
      </c>
      <c r="L75" s="495">
        <f t="shared" ca="1" si="6"/>
        <v>2</v>
      </c>
      <c r="M75" s="526">
        <f ca="1">IF(AND(K74=$K$7,L74=SUMIF(NameConv!$G$4:$M$4,MID(C74,2,3),NameConv!$G$45:$M$45)),M74+1,M74)</f>
        <v>3</v>
      </c>
    </row>
    <row r="76" spans="1:13">
      <c r="A76" s="883" t="str">
        <f ca="1">IF(INDEX(Demand.Sectors,MATCH(MID(C76,2,3),NameConv!$G$4:$M$4,0)),"","*")</f>
        <v/>
      </c>
      <c r="B76" s="515" t="str">
        <f t="shared" ca="1" si="0"/>
        <v>PRC_ACTUNT</v>
      </c>
      <c r="C76" s="515" t="str">
        <f ca="1">"X"&amp;OFFSET(NameConv!$F$4,0,M76)&amp;OFFSET(NameConv!$F$59,L76,M76)</f>
        <v>XINDCOA</v>
      </c>
      <c r="D76" s="515" t="str">
        <f t="shared" ca="1" si="13"/>
        <v>-</v>
      </c>
      <c r="E76" s="515" t="str">
        <f t="shared" ca="1" si="14"/>
        <v>INDCOA</v>
      </c>
      <c r="F76" s="515" t="str">
        <f t="shared" ca="1" si="12"/>
        <v>-</v>
      </c>
      <c r="G76" s="515" t="str">
        <f t="shared" ca="1" si="12"/>
        <v>-</v>
      </c>
      <c r="H76" s="515" t="str">
        <f t="shared" ca="1" si="12"/>
        <v>-</v>
      </c>
      <c r="I76" s="518">
        <f t="shared" ca="1" si="5"/>
        <v>1</v>
      </c>
      <c r="K76" s="495">
        <f ca="1">IF(M75&lt;&gt;M76,1,IF(L75=OFFSET(NameConv!$F$45,0,M75),K75+1,K75))</f>
        <v>1</v>
      </c>
      <c r="L76" s="495">
        <f t="shared" ca="1" si="6"/>
        <v>3</v>
      </c>
      <c r="M76" s="526">
        <f ca="1">IF(AND(K75=$K$7,L75=SUMIF(NameConv!$G$4:$M$4,MID(C75,2,3),NameConv!$G$45:$M$45)),M75+1,M75)</f>
        <v>3</v>
      </c>
    </row>
    <row r="77" spans="1:13">
      <c r="A77" s="883" t="str">
        <f ca="1">IF(INDEX(Demand.Sectors,MATCH(MID(C77,2,3),NameConv!$G$4:$M$4,0)),"","*")</f>
        <v/>
      </c>
      <c r="B77" s="515" t="str">
        <f t="shared" ca="1" si="0"/>
        <v>PRC_ACTUNT</v>
      </c>
      <c r="C77" s="515" t="str">
        <f ca="1">"X"&amp;OFFSET(NameConv!$F$4,0,M77)&amp;OFFSET(NameConv!$F$59,L77,M77)</f>
        <v>XINDCOK</v>
      </c>
      <c r="D77" s="515" t="str">
        <f t="shared" ca="1" si="13"/>
        <v>-</v>
      </c>
      <c r="E77" s="515" t="str">
        <f t="shared" ca="1" si="14"/>
        <v>INDCOK</v>
      </c>
      <c r="F77" s="515" t="str">
        <f t="shared" ca="1" si="12"/>
        <v>-</v>
      </c>
      <c r="G77" s="515" t="str">
        <f t="shared" ca="1" si="12"/>
        <v>-</v>
      </c>
      <c r="H77" s="515" t="str">
        <f t="shared" ca="1" si="12"/>
        <v>-</v>
      </c>
      <c r="I77" s="518">
        <f t="shared" ca="1" si="5"/>
        <v>1</v>
      </c>
      <c r="K77" s="495">
        <f ca="1">IF(M76&lt;&gt;M77,1,IF(L76=OFFSET(NameConv!$F$45,0,M76),K76+1,K76))</f>
        <v>1</v>
      </c>
      <c r="L77" s="495">
        <f t="shared" ca="1" si="6"/>
        <v>4</v>
      </c>
      <c r="M77" s="526">
        <f ca="1">IF(AND(K76=$K$7,L76=SUMIF(NameConv!$G$4:$M$4,MID(C76,2,3),NameConv!$G$45:$M$45)),M76+1,M76)</f>
        <v>3</v>
      </c>
    </row>
    <row r="78" spans="1:13">
      <c r="A78" s="883" t="str">
        <f ca="1">IF(INDEX(Demand.Sectors,MATCH(MID(C78,2,3),NameConv!$G$4:$M$4,0)),"","*")</f>
        <v/>
      </c>
      <c r="B78" s="515" t="str">
        <f t="shared" ref="B78:B141" ca="1" si="15">IF(A78="*","",VLOOKUP("*"&amp;K78,$A$9:$B$14,2,FALSE))</f>
        <v>PRC_ACTUNT</v>
      </c>
      <c r="C78" s="515" t="str">
        <f ca="1">"X"&amp;OFFSET(NameConv!$F$4,0,M78)&amp;OFFSET(NameConv!$F$59,L78,M78)</f>
        <v>XINDCLE</v>
      </c>
      <c r="D78" s="515" t="str">
        <f t="shared" ref="D78:D133" ca="1" si="16">IF($A78="*","",IF($B78="TOP-OUT",RIGHT(C78,6),IF($B78="TOP-IN",RIGHT(C78,3),"-")))</f>
        <v>-</v>
      </c>
      <c r="E78" s="515" t="str">
        <f t="shared" ref="E78:E133" ca="1" si="17">IF($A78="*","",IF($B78="PRC_ACTUNT",RIGHT(C78,6),"-"))</f>
        <v>INDCLE</v>
      </c>
      <c r="F78" s="515" t="str">
        <f t="shared" ca="1" si="12"/>
        <v>-</v>
      </c>
      <c r="G78" s="515" t="str">
        <f t="shared" ca="1" si="12"/>
        <v>-</v>
      </c>
      <c r="H78" s="515" t="str">
        <f t="shared" ca="1" si="12"/>
        <v>-</v>
      </c>
      <c r="I78" s="518">
        <f t="shared" ca="1" si="5"/>
        <v>1</v>
      </c>
      <c r="K78" s="495">
        <f ca="1">IF(M77&lt;&gt;M78,1,IF(L77=OFFSET(NameConv!$F$45,0,M77),K77+1,K77))</f>
        <v>1</v>
      </c>
      <c r="L78" s="495">
        <f t="shared" ref="L78:L133" ca="1" si="18">IF(K78=K77,L77+1,1)</f>
        <v>5</v>
      </c>
      <c r="M78" s="526">
        <f ca="1">IF(AND(K77=$K$7,L77=SUMIF(NameConv!$G$4:$M$4,MID(C77,2,3),NameConv!$G$45:$M$45)),M77+1,M77)</f>
        <v>3</v>
      </c>
    </row>
    <row r="79" spans="1:13">
      <c r="A79" s="883" t="str">
        <f ca="1">IF(INDEX(Demand.Sectors,MATCH(MID(C79,2,3),NameConv!$G$4:$M$4,0)),"","*")</f>
        <v/>
      </c>
      <c r="B79" s="515" t="str">
        <f t="shared" ca="1" si="15"/>
        <v>PRC_ACTUNT</v>
      </c>
      <c r="C79" s="515" t="str">
        <f ca="1">"X"&amp;OFFSET(NameConv!$F$4,0,M79)&amp;OFFSET(NameConv!$F$59,L79,M79)</f>
        <v>XINDELC</v>
      </c>
      <c r="D79" s="515" t="str">
        <f t="shared" ca="1" si="16"/>
        <v>-</v>
      </c>
      <c r="E79" s="515" t="str">
        <f t="shared" ca="1" si="17"/>
        <v>INDELC</v>
      </c>
      <c r="F79" s="515" t="str">
        <f t="shared" ref="F79:H134" ca="1" si="19">IF($A79="*","","-")</f>
        <v>-</v>
      </c>
      <c r="G79" s="515" t="str">
        <f t="shared" ca="1" si="19"/>
        <v>-</v>
      </c>
      <c r="H79" s="515" t="str">
        <f t="shared" ca="1" si="19"/>
        <v>-</v>
      </c>
      <c r="I79" s="518">
        <f t="shared" ref="I79:I142" ca="1" si="20">IF(AND(B79=$B$10,RIGHT(C79,3)="ELC"),31.536,1)</f>
        <v>1</v>
      </c>
      <c r="K79" s="495">
        <f ca="1">IF(M78&lt;&gt;M79,1,IF(L78=OFFSET(NameConv!$F$45,0,M78),K78+1,K78))</f>
        <v>1</v>
      </c>
      <c r="L79" s="495">
        <f t="shared" ca="1" si="18"/>
        <v>6</v>
      </c>
      <c r="M79" s="526">
        <f ca="1">IF(AND(K78=$K$7,L78=SUMIF(NameConv!$G$4:$M$4,MID(C78,2,3),NameConv!$G$45:$M$45)),M78+1,M78)</f>
        <v>3</v>
      </c>
    </row>
    <row r="80" spans="1:13">
      <c r="A80" s="883" t="str">
        <f ca="1">IF(INDEX(Demand.Sectors,MATCH(MID(C80,2,3),NameConv!$G$4:$M$4,0)),"","*")</f>
        <v/>
      </c>
      <c r="B80" s="515" t="str">
        <f t="shared" ca="1" si="15"/>
        <v>PRC_ACTUNT</v>
      </c>
      <c r="C80" s="515" t="str">
        <f ca="1">"X"&amp;OFFSET(NameConv!$F$4,0,M80)&amp;OFFSET(NameConv!$F$59,L80,M80)</f>
        <v>XINDGAS</v>
      </c>
      <c r="D80" s="515" t="str">
        <f t="shared" ca="1" si="16"/>
        <v>-</v>
      </c>
      <c r="E80" s="515" t="str">
        <f t="shared" ca="1" si="17"/>
        <v>INDGAS</v>
      </c>
      <c r="F80" s="515" t="str">
        <f t="shared" ca="1" si="19"/>
        <v>-</v>
      </c>
      <c r="G80" s="515" t="str">
        <f t="shared" ca="1" si="19"/>
        <v>-</v>
      </c>
      <c r="H80" s="515" t="str">
        <f t="shared" ca="1" si="19"/>
        <v>-</v>
      </c>
      <c r="I80" s="518">
        <f t="shared" ca="1" si="20"/>
        <v>1</v>
      </c>
      <c r="K80" s="495">
        <f ca="1">IF(M79&lt;&gt;M80,1,IF(L79=OFFSET(NameConv!$F$45,0,M79),K79+1,K79))</f>
        <v>1</v>
      </c>
      <c r="L80" s="495">
        <f t="shared" ca="1" si="18"/>
        <v>7</v>
      </c>
      <c r="M80" s="526">
        <f ca="1">IF(AND(K79=$K$7,L79=SUMIF(NameConv!$G$4:$M$4,MID(C79,2,3),NameConv!$G$45:$M$45)),M79+1,M79)</f>
        <v>3</v>
      </c>
    </row>
    <row r="81" spans="1:13">
      <c r="A81" s="883" t="str">
        <f ca="1">IF(INDEX(Demand.Sectors,MATCH(MID(C81,2,3),NameConv!$G$4:$M$4,0)),"","*")</f>
        <v/>
      </c>
      <c r="B81" s="515" t="str">
        <f t="shared" ca="1" si="15"/>
        <v>PRC_ACTUNT</v>
      </c>
      <c r="C81" s="515" t="str">
        <f ca="1">"X"&amp;OFFSET(NameConv!$F$4,0,M81)&amp;OFFSET(NameConv!$F$59,L81,M81)</f>
        <v>XINDODS</v>
      </c>
      <c r="D81" s="515" t="str">
        <f t="shared" ca="1" si="16"/>
        <v>-</v>
      </c>
      <c r="E81" s="515" t="str">
        <f t="shared" ca="1" si="17"/>
        <v>INDODS</v>
      </c>
      <c r="F81" s="515" t="str">
        <f t="shared" ca="1" si="19"/>
        <v>-</v>
      </c>
      <c r="G81" s="515" t="str">
        <f t="shared" ca="1" si="19"/>
        <v>-</v>
      </c>
      <c r="H81" s="515" t="str">
        <f t="shared" ca="1" si="19"/>
        <v>-</v>
      </c>
      <c r="I81" s="518">
        <f t="shared" ca="1" si="20"/>
        <v>1</v>
      </c>
      <c r="K81" s="495">
        <f ca="1">IF(M80&lt;&gt;M81,1,IF(L80=OFFSET(NameConv!$F$45,0,M80),K80+1,K80))</f>
        <v>1</v>
      </c>
      <c r="L81" s="495">
        <f t="shared" ca="1" si="18"/>
        <v>8</v>
      </c>
      <c r="M81" s="526">
        <f ca="1">IF(AND(K80=$K$7,L80=SUMIF(NameConv!$G$4:$M$4,MID(C80,2,3),NameConv!$G$45:$M$45)),M80+1,M80)</f>
        <v>3</v>
      </c>
    </row>
    <row r="82" spans="1:13">
      <c r="A82" s="883" t="str">
        <f ca="1">IF(INDEX(Demand.Sectors,MATCH(MID(C82,2,3),NameConv!$G$4:$M$4,0)),"","*")</f>
        <v/>
      </c>
      <c r="B82" s="515" t="str">
        <f t="shared" ca="1" si="15"/>
        <v>PRC_ACTUNT</v>
      </c>
      <c r="C82" s="515" t="str">
        <f ca="1">"X"&amp;OFFSET(NameConv!$F$4,0,M82)&amp;OFFSET(NameConv!$F$59,L82,M82)</f>
        <v>XINDOGS</v>
      </c>
      <c r="D82" s="515" t="str">
        <f t="shared" ca="1" si="16"/>
        <v>-</v>
      </c>
      <c r="E82" s="515" t="str">
        <f t="shared" ca="1" si="17"/>
        <v>INDOGS</v>
      </c>
      <c r="F82" s="515" t="str">
        <f t="shared" ca="1" si="19"/>
        <v>-</v>
      </c>
      <c r="G82" s="515" t="str">
        <f t="shared" ca="1" si="19"/>
        <v>-</v>
      </c>
      <c r="H82" s="515" t="str">
        <f t="shared" ca="1" si="19"/>
        <v>-</v>
      </c>
      <c r="I82" s="518">
        <f t="shared" ca="1" si="20"/>
        <v>1</v>
      </c>
      <c r="K82" s="495">
        <f ca="1">IF(M81&lt;&gt;M82,1,IF(L81=OFFSET(NameConv!$F$45,0,M81),K81+1,K81))</f>
        <v>1</v>
      </c>
      <c r="L82" s="495">
        <f t="shared" ca="1" si="18"/>
        <v>9</v>
      </c>
      <c r="M82" s="526">
        <f ca="1">IF(AND(K81=$K$7,L81=SUMIF(NameConv!$G$4:$M$4,MID(C81,2,3),NameConv!$G$45:$M$45)),M81+1,M81)</f>
        <v>3</v>
      </c>
    </row>
    <row r="83" spans="1:13">
      <c r="A83" s="883" t="str">
        <f ca="1">IF(INDEX(Demand.Sectors,MATCH(MID(C83,2,3),NameConv!$G$4:$M$4,0)),"","*")</f>
        <v/>
      </c>
      <c r="B83" s="515" t="str">
        <f t="shared" ca="1" si="15"/>
        <v>PRC_ACTUNT</v>
      </c>
      <c r="C83" s="515" t="str">
        <f ca="1">"X"&amp;OFFSET(NameConv!$F$4,0,M83)&amp;OFFSET(NameConv!$F$59,L83,M83)</f>
        <v>XINDOHF</v>
      </c>
      <c r="D83" s="515" t="str">
        <f t="shared" ca="1" si="16"/>
        <v>-</v>
      </c>
      <c r="E83" s="515" t="str">
        <f t="shared" ca="1" si="17"/>
        <v>INDOHF</v>
      </c>
      <c r="F83" s="515" t="str">
        <f t="shared" ca="1" si="19"/>
        <v>-</v>
      </c>
      <c r="G83" s="515" t="str">
        <f t="shared" ca="1" si="19"/>
        <v>-</v>
      </c>
      <c r="H83" s="515" t="str">
        <f t="shared" ca="1" si="19"/>
        <v>-</v>
      </c>
      <c r="I83" s="518">
        <f t="shared" ca="1" si="20"/>
        <v>1</v>
      </c>
      <c r="K83" s="495">
        <f ca="1">IF(M82&lt;&gt;M83,1,IF(L82=OFFSET(NameConv!$F$45,0,M82),K82+1,K82))</f>
        <v>1</v>
      </c>
      <c r="L83" s="495">
        <f t="shared" ca="1" si="18"/>
        <v>10</v>
      </c>
      <c r="M83" s="526">
        <f ca="1">IF(AND(K82=$K$7,L82=SUMIF(NameConv!$G$4:$M$4,MID(C82,2,3),NameConv!$G$45:$M$45)),M82+1,M82)</f>
        <v>3</v>
      </c>
    </row>
    <row r="84" spans="1:13">
      <c r="A84" s="883" t="str">
        <f ca="1">IF(INDEX(Demand.Sectors,MATCH(MID(C84,2,3),NameConv!$G$4:$M$4,0)),"","*")</f>
        <v/>
      </c>
      <c r="B84" s="515" t="str">
        <f t="shared" ca="1" si="15"/>
        <v>PRC_ACTUNT</v>
      </c>
      <c r="C84" s="515" t="str">
        <f ca="1">"X"&amp;OFFSET(NameConv!$F$4,0,M84)&amp;OFFSET(NameConv!$F$59,L84,M84)</f>
        <v>XINDOLP</v>
      </c>
      <c r="D84" s="515" t="str">
        <f t="shared" ca="1" si="16"/>
        <v>-</v>
      </c>
      <c r="E84" s="515" t="str">
        <f t="shared" ca="1" si="17"/>
        <v>INDOLP</v>
      </c>
      <c r="F84" s="515" t="str">
        <f t="shared" ca="1" si="19"/>
        <v>-</v>
      </c>
      <c r="G84" s="515" t="str">
        <f t="shared" ca="1" si="19"/>
        <v>-</v>
      </c>
      <c r="H84" s="515" t="str">
        <f t="shared" ca="1" si="19"/>
        <v>-</v>
      </c>
      <c r="I84" s="518">
        <f t="shared" ca="1" si="20"/>
        <v>1</v>
      </c>
      <c r="K84" s="495">
        <f ca="1">IF(M83&lt;&gt;M84,1,IF(L83=OFFSET(NameConv!$F$45,0,M83),K83+1,K83))</f>
        <v>1</v>
      </c>
      <c r="L84" s="495">
        <f t="shared" ca="1" si="18"/>
        <v>11</v>
      </c>
      <c r="M84" s="526">
        <f ca="1">IF(AND(K83=$K$7,L83=SUMIF(NameConv!$G$4:$M$4,MID(C83,2,3),NameConv!$G$45:$M$45)),M83+1,M83)</f>
        <v>3</v>
      </c>
    </row>
    <row r="85" spans="1:13">
      <c r="A85" s="883" t="str">
        <f ca="1">IF(INDEX(Demand.Sectors,MATCH(MID(C85,2,3),NameConv!$G$4:$M$4,0)),"","*")</f>
        <v/>
      </c>
      <c r="B85" s="515" t="str">
        <f t="shared" ca="1" si="15"/>
        <v>PRC_ACTUNT</v>
      </c>
      <c r="C85" s="515" t="str">
        <f ca="1">"X"&amp;OFFSET(NameConv!$F$4,0,M85)&amp;OFFSET(NameConv!$F$59,L85,M85)</f>
        <v>XINDWAS</v>
      </c>
      <c r="D85" s="515" t="str">
        <f t="shared" ca="1" si="16"/>
        <v>-</v>
      </c>
      <c r="E85" s="515" t="str">
        <f t="shared" ca="1" si="17"/>
        <v>INDWAS</v>
      </c>
      <c r="F85" s="515" t="str">
        <f t="shared" ca="1" si="19"/>
        <v>-</v>
      </c>
      <c r="G85" s="515" t="str">
        <f t="shared" ca="1" si="19"/>
        <v>-</v>
      </c>
      <c r="H85" s="515" t="str">
        <f t="shared" ca="1" si="19"/>
        <v>-</v>
      </c>
      <c r="I85" s="518">
        <f t="shared" ca="1" si="20"/>
        <v>1</v>
      </c>
      <c r="K85" s="495">
        <f ca="1">IF(M84&lt;&gt;M85,1,IF(L84=OFFSET(NameConv!$F$45,0,M84),K84+1,K84))</f>
        <v>1</v>
      </c>
      <c r="L85" s="495">
        <f t="shared" ca="1" si="18"/>
        <v>12</v>
      </c>
      <c r="M85" s="526">
        <f ca="1">IF(AND(K84=$K$7,L84=SUMIF(NameConv!$G$4:$M$4,MID(C84,2,3),NameConv!$G$45:$M$45)),M84+1,M84)</f>
        <v>3</v>
      </c>
    </row>
    <row r="86" spans="1:13">
      <c r="A86" s="883" t="str">
        <f ca="1">IF(INDEX(Demand.Sectors,MATCH(MID(C86,2,3),NameConv!$G$4:$M$4,0)),"","*")</f>
        <v/>
      </c>
      <c r="B86" s="515" t="str">
        <f t="shared" ca="1" si="15"/>
        <v>PRC_CAPACT</v>
      </c>
      <c r="C86" s="515" t="str">
        <f ca="1">"X"&amp;OFFSET(NameConv!$F$4,0,M86)&amp;OFFSET(NameConv!$F$59,L86,M86)</f>
        <v>XINDBIB</v>
      </c>
      <c r="D86" s="515" t="str">
        <f t="shared" ca="1" si="16"/>
        <v>-</v>
      </c>
      <c r="E86" s="515" t="str">
        <f t="shared" ca="1" si="17"/>
        <v>-</v>
      </c>
      <c r="F86" s="515" t="str">
        <f t="shared" ca="1" si="19"/>
        <v>-</v>
      </c>
      <c r="G86" s="515" t="str">
        <f t="shared" ca="1" si="19"/>
        <v>-</v>
      </c>
      <c r="H86" s="515" t="str">
        <f t="shared" ca="1" si="19"/>
        <v>-</v>
      </c>
      <c r="I86" s="518">
        <f t="shared" ca="1" si="20"/>
        <v>1</v>
      </c>
      <c r="K86" s="495">
        <f ca="1">IF(M85&lt;&gt;M86,1,IF(L85=OFFSET(NameConv!$F$45,0,M85),K85+1,K85))</f>
        <v>2</v>
      </c>
      <c r="L86" s="495">
        <f t="shared" ca="1" si="18"/>
        <v>1</v>
      </c>
      <c r="M86" s="526">
        <f ca="1">IF(AND(K85=$K$7,L85=SUMIF(NameConv!$G$4:$M$4,MID(C85,2,3),NameConv!$G$45:$M$45)),M85+1,M85)</f>
        <v>3</v>
      </c>
    </row>
    <row r="87" spans="1:13">
      <c r="A87" s="883" t="str">
        <f ca="1">IF(INDEX(Demand.Sectors,MATCH(MID(C87,2,3),NameConv!$G$4:$M$4,0)),"","*")</f>
        <v/>
      </c>
      <c r="B87" s="515" t="str">
        <f t="shared" ca="1" si="15"/>
        <v>PRC_CAPACT</v>
      </c>
      <c r="C87" s="515" t="str">
        <f ca="1">"X"&amp;OFFSET(NameConv!$F$4,0,M87)&amp;OFFSET(NameConv!$F$59,L87,M87)</f>
        <v>XINDBIW</v>
      </c>
      <c r="D87" s="515" t="str">
        <f t="shared" ca="1" si="16"/>
        <v>-</v>
      </c>
      <c r="E87" s="515" t="str">
        <f t="shared" ca="1" si="17"/>
        <v>-</v>
      </c>
      <c r="F87" s="515" t="str">
        <f t="shared" ca="1" si="19"/>
        <v>-</v>
      </c>
      <c r="G87" s="515" t="str">
        <f t="shared" ca="1" si="19"/>
        <v>-</v>
      </c>
      <c r="H87" s="515" t="str">
        <f t="shared" ca="1" si="19"/>
        <v>-</v>
      </c>
      <c r="I87" s="518">
        <f t="shared" ca="1" si="20"/>
        <v>1</v>
      </c>
      <c r="K87" s="495">
        <f ca="1">IF(M86&lt;&gt;M87,1,IF(L86=OFFSET(NameConv!$F$45,0,M86),K86+1,K86))</f>
        <v>2</v>
      </c>
      <c r="L87" s="495">
        <f t="shared" ca="1" si="18"/>
        <v>2</v>
      </c>
      <c r="M87" s="526">
        <f ca="1">IF(AND(K86=$K$7,L86=SUMIF(NameConv!$G$4:$M$4,MID(C86,2,3),NameConv!$G$45:$M$45)),M86+1,M86)</f>
        <v>3</v>
      </c>
    </row>
    <row r="88" spans="1:13">
      <c r="A88" s="883" t="str">
        <f ca="1">IF(INDEX(Demand.Sectors,MATCH(MID(C88,2,3),NameConv!$G$4:$M$4,0)),"","*")</f>
        <v/>
      </c>
      <c r="B88" s="515" t="str">
        <f t="shared" ca="1" si="15"/>
        <v>PRC_CAPACT</v>
      </c>
      <c r="C88" s="515" t="str">
        <f ca="1">"X"&amp;OFFSET(NameConv!$F$4,0,M88)&amp;OFFSET(NameConv!$F$59,L88,M88)</f>
        <v>XINDCOA</v>
      </c>
      <c r="D88" s="515" t="str">
        <f t="shared" ca="1" si="16"/>
        <v>-</v>
      </c>
      <c r="E88" s="515" t="str">
        <f t="shared" ca="1" si="17"/>
        <v>-</v>
      </c>
      <c r="F88" s="515" t="str">
        <f t="shared" ca="1" si="19"/>
        <v>-</v>
      </c>
      <c r="G88" s="515" t="str">
        <f t="shared" ca="1" si="19"/>
        <v>-</v>
      </c>
      <c r="H88" s="515" t="str">
        <f t="shared" ca="1" si="19"/>
        <v>-</v>
      </c>
      <c r="I88" s="518">
        <f t="shared" ca="1" si="20"/>
        <v>1</v>
      </c>
      <c r="K88" s="495">
        <f ca="1">IF(M87&lt;&gt;M88,1,IF(L87=OFFSET(NameConv!$F$45,0,M87),K87+1,K87))</f>
        <v>2</v>
      </c>
      <c r="L88" s="495">
        <f t="shared" ca="1" si="18"/>
        <v>3</v>
      </c>
      <c r="M88" s="526">
        <f ca="1">IF(AND(K87=$K$7,L87=SUMIF(NameConv!$G$4:$M$4,MID(C87,2,3),NameConv!$G$45:$M$45)),M87+1,M87)</f>
        <v>3</v>
      </c>
    </row>
    <row r="89" spans="1:13">
      <c r="A89" s="883" t="str">
        <f ca="1">IF(INDEX(Demand.Sectors,MATCH(MID(C89,2,3),NameConv!$G$4:$M$4,0)),"","*")</f>
        <v/>
      </c>
      <c r="B89" s="515" t="str">
        <f t="shared" ca="1" si="15"/>
        <v>PRC_CAPACT</v>
      </c>
      <c r="C89" s="515" t="str">
        <f ca="1">"X"&amp;OFFSET(NameConv!$F$4,0,M89)&amp;OFFSET(NameConv!$F$59,L89,M89)</f>
        <v>XINDCOK</v>
      </c>
      <c r="D89" s="515" t="str">
        <f t="shared" ca="1" si="16"/>
        <v>-</v>
      </c>
      <c r="E89" s="515" t="str">
        <f t="shared" ca="1" si="17"/>
        <v>-</v>
      </c>
      <c r="F89" s="515" t="str">
        <f t="shared" ca="1" si="19"/>
        <v>-</v>
      </c>
      <c r="G89" s="515" t="str">
        <f t="shared" ca="1" si="19"/>
        <v>-</v>
      </c>
      <c r="H89" s="515" t="str">
        <f t="shared" ca="1" si="19"/>
        <v>-</v>
      </c>
      <c r="I89" s="518">
        <f t="shared" ca="1" si="20"/>
        <v>1</v>
      </c>
      <c r="K89" s="495">
        <f ca="1">IF(M88&lt;&gt;M89,1,IF(L88=OFFSET(NameConv!$F$45,0,M88),K88+1,K88))</f>
        <v>2</v>
      </c>
      <c r="L89" s="495">
        <f t="shared" ca="1" si="18"/>
        <v>4</v>
      </c>
      <c r="M89" s="526">
        <f ca="1">IF(AND(K88=$K$7,L88=SUMIF(NameConv!$G$4:$M$4,MID(C88,2,3),NameConv!$G$45:$M$45)),M88+1,M88)</f>
        <v>3</v>
      </c>
    </row>
    <row r="90" spans="1:13">
      <c r="A90" s="883" t="str">
        <f ca="1">IF(INDEX(Demand.Sectors,MATCH(MID(C90,2,3),NameConv!$G$4:$M$4,0)),"","*")</f>
        <v/>
      </c>
      <c r="B90" s="515" t="str">
        <f t="shared" ca="1" si="15"/>
        <v>PRC_CAPACT</v>
      </c>
      <c r="C90" s="515" t="str">
        <f ca="1">"X"&amp;OFFSET(NameConv!$F$4,0,M90)&amp;OFFSET(NameConv!$F$59,L90,M90)</f>
        <v>XINDCLE</v>
      </c>
      <c r="D90" s="515" t="str">
        <f t="shared" ca="1" si="16"/>
        <v>-</v>
      </c>
      <c r="E90" s="515" t="str">
        <f t="shared" ca="1" si="17"/>
        <v>-</v>
      </c>
      <c r="F90" s="515" t="str">
        <f t="shared" ca="1" si="19"/>
        <v>-</v>
      </c>
      <c r="G90" s="515" t="str">
        <f t="shared" ca="1" si="19"/>
        <v>-</v>
      </c>
      <c r="H90" s="515" t="str">
        <f t="shared" ca="1" si="19"/>
        <v>-</v>
      </c>
      <c r="I90" s="518">
        <f t="shared" ca="1" si="20"/>
        <v>1</v>
      </c>
      <c r="K90" s="495">
        <f ca="1">IF(M89&lt;&gt;M90,1,IF(L89=OFFSET(NameConv!$F$45,0,M89),K89+1,K89))</f>
        <v>2</v>
      </c>
      <c r="L90" s="495">
        <f t="shared" ca="1" si="18"/>
        <v>5</v>
      </c>
      <c r="M90" s="526">
        <f ca="1">IF(AND(K89=$K$7,L89=SUMIF(NameConv!$G$4:$M$4,MID(C89,2,3),NameConv!$G$45:$M$45)),M89+1,M89)</f>
        <v>3</v>
      </c>
    </row>
    <row r="91" spans="1:13">
      <c r="A91" s="883" t="str">
        <f ca="1">IF(INDEX(Demand.Sectors,MATCH(MID(C91,2,3),NameConv!$G$4:$M$4,0)),"","*")</f>
        <v/>
      </c>
      <c r="B91" s="515" t="str">
        <f t="shared" ca="1" si="15"/>
        <v>PRC_CAPACT</v>
      </c>
      <c r="C91" s="515" t="str">
        <f ca="1">"X"&amp;OFFSET(NameConv!$F$4,0,M91)&amp;OFFSET(NameConv!$F$59,L91,M91)</f>
        <v>XINDELC</v>
      </c>
      <c r="D91" s="515" t="str">
        <f t="shared" ca="1" si="16"/>
        <v>-</v>
      </c>
      <c r="E91" s="515" t="str">
        <f t="shared" ca="1" si="17"/>
        <v>-</v>
      </c>
      <c r="F91" s="515" t="str">
        <f t="shared" ca="1" si="19"/>
        <v>-</v>
      </c>
      <c r="G91" s="515" t="str">
        <f t="shared" ca="1" si="19"/>
        <v>-</v>
      </c>
      <c r="H91" s="515" t="str">
        <f t="shared" ca="1" si="19"/>
        <v>-</v>
      </c>
      <c r="I91" s="518">
        <f t="shared" ca="1" si="20"/>
        <v>31.536000000000001</v>
      </c>
      <c r="K91" s="495">
        <f ca="1">IF(M90&lt;&gt;M91,1,IF(L90=OFFSET(NameConv!$F$45,0,M90),K90+1,K90))</f>
        <v>2</v>
      </c>
      <c r="L91" s="495">
        <f t="shared" ca="1" si="18"/>
        <v>6</v>
      </c>
      <c r="M91" s="526">
        <f ca="1">IF(AND(K90=$K$7,L90=SUMIF(NameConv!$G$4:$M$4,MID(C90,2,3),NameConv!$G$45:$M$45)),M90+1,M90)</f>
        <v>3</v>
      </c>
    </row>
    <row r="92" spans="1:13">
      <c r="A92" s="883" t="str">
        <f ca="1">IF(INDEX(Demand.Sectors,MATCH(MID(C92,2,3),NameConv!$G$4:$M$4,0)),"","*")</f>
        <v/>
      </c>
      <c r="B92" s="515" t="str">
        <f t="shared" ca="1" si="15"/>
        <v>PRC_CAPACT</v>
      </c>
      <c r="C92" s="515" t="str">
        <f ca="1">"X"&amp;OFFSET(NameConv!$F$4,0,M92)&amp;OFFSET(NameConv!$F$59,L92,M92)</f>
        <v>XINDGAS</v>
      </c>
      <c r="D92" s="515" t="str">
        <f t="shared" ca="1" si="16"/>
        <v>-</v>
      </c>
      <c r="E92" s="515" t="str">
        <f t="shared" ca="1" si="17"/>
        <v>-</v>
      </c>
      <c r="F92" s="515" t="str">
        <f t="shared" ca="1" si="19"/>
        <v>-</v>
      </c>
      <c r="G92" s="515" t="str">
        <f t="shared" ca="1" si="19"/>
        <v>-</v>
      </c>
      <c r="H92" s="515" t="str">
        <f t="shared" ca="1" si="19"/>
        <v>-</v>
      </c>
      <c r="I92" s="518">
        <f t="shared" ca="1" si="20"/>
        <v>1</v>
      </c>
      <c r="K92" s="495">
        <f ca="1">IF(M91&lt;&gt;M92,1,IF(L91=OFFSET(NameConv!$F$45,0,M91),K91+1,K91))</f>
        <v>2</v>
      </c>
      <c r="L92" s="495">
        <f t="shared" ca="1" si="18"/>
        <v>7</v>
      </c>
      <c r="M92" s="526">
        <f ca="1">IF(AND(K91=$K$7,L91=SUMIF(NameConv!$G$4:$M$4,MID(C91,2,3),NameConv!$G$45:$M$45)),M91+1,M91)</f>
        <v>3</v>
      </c>
    </row>
    <row r="93" spans="1:13">
      <c r="A93" s="883" t="str">
        <f ca="1">IF(INDEX(Demand.Sectors,MATCH(MID(C93,2,3),NameConv!$G$4:$M$4,0)),"","*")</f>
        <v/>
      </c>
      <c r="B93" s="515" t="str">
        <f t="shared" ca="1" si="15"/>
        <v>PRC_CAPACT</v>
      </c>
      <c r="C93" s="515" t="str">
        <f ca="1">"X"&amp;OFFSET(NameConv!$F$4,0,M93)&amp;OFFSET(NameConv!$F$59,L93,M93)</f>
        <v>XINDODS</v>
      </c>
      <c r="D93" s="515" t="str">
        <f t="shared" ca="1" si="16"/>
        <v>-</v>
      </c>
      <c r="E93" s="515" t="str">
        <f t="shared" ca="1" si="17"/>
        <v>-</v>
      </c>
      <c r="F93" s="515" t="str">
        <f t="shared" ca="1" si="19"/>
        <v>-</v>
      </c>
      <c r="G93" s="515" t="str">
        <f t="shared" ca="1" si="19"/>
        <v>-</v>
      </c>
      <c r="H93" s="515" t="str">
        <f t="shared" ca="1" si="19"/>
        <v>-</v>
      </c>
      <c r="I93" s="518">
        <f t="shared" ca="1" si="20"/>
        <v>1</v>
      </c>
      <c r="K93" s="495">
        <f ca="1">IF(M92&lt;&gt;M93,1,IF(L92=OFFSET(NameConv!$F$45,0,M92),K92+1,K92))</f>
        <v>2</v>
      </c>
      <c r="L93" s="495">
        <f t="shared" ca="1" si="18"/>
        <v>8</v>
      </c>
      <c r="M93" s="526">
        <f ca="1">IF(AND(K92=$K$7,L92=SUMIF(NameConv!$G$4:$M$4,MID(C92,2,3),NameConv!$G$45:$M$45)),M92+1,M92)</f>
        <v>3</v>
      </c>
    </row>
    <row r="94" spans="1:13">
      <c r="A94" s="883" t="str">
        <f ca="1">IF(INDEX(Demand.Sectors,MATCH(MID(C94,2,3),NameConv!$G$4:$M$4,0)),"","*")</f>
        <v/>
      </c>
      <c r="B94" s="515" t="str">
        <f t="shared" ca="1" si="15"/>
        <v>PRC_CAPACT</v>
      </c>
      <c r="C94" s="515" t="str">
        <f ca="1">"X"&amp;OFFSET(NameConv!$F$4,0,M94)&amp;OFFSET(NameConv!$F$59,L94,M94)</f>
        <v>XINDOGS</v>
      </c>
      <c r="D94" s="515" t="str">
        <f t="shared" ca="1" si="16"/>
        <v>-</v>
      </c>
      <c r="E94" s="515" t="str">
        <f t="shared" ca="1" si="17"/>
        <v>-</v>
      </c>
      <c r="F94" s="515" t="str">
        <f t="shared" ca="1" si="19"/>
        <v>-</v>
      </c>
      <c r="G94" s="515" t="str">
        <f t="shared" ca="1" si="19"/>
        <v>-</v>
      </c>
      <c r="H94" s="515" t="str">
        <f t="shared" ca="1" si="19"/>
        <v>-</v>
      </c>
      <c r="I94" s="518">
        <f t="shared" ca="1" si="20"/>
        <v>1</v>
      </c>
      <c r="K94" s="495">
        <f ca="1">IF(M93&lt;&gt;M94,1,IF(L93=OFFSET(NameConv!$F$45,0,M93),K93+1,K93))</f>
        <v>2</v>
      </c>
      <c r="L94" s="495">
        <f t="shared" ca="1" si="18"/>
        <v>9</v>
      </c>
      <c r="M94" s="526">
        <f ca="1">IF(AND(K93=$K$7,L93=SUMIF(NameConv!$G$4:$M$4,MID(C93,2,3),NameConv!$G$45:$M$45)),M93+1,M93)</f>
        <v>3</v>
      </c>
    </row>
    <row r="95" spans="1:13">
      <c r="A95" s="883" t="str">
        <f ca="1">IF(INDEX(Demand.Sectors,MATCH(MID(C95,2,3),NameConv!$G$4:$M$4,0)),"","*")</f>
        <v/>
      </c>
      <c r="B95" s="515" t="str">
        <f t="shared" ca="1" si="15"/>
        <v>PRC_CAPACT</v>
      </c>
      <c r="C95" s="515" t="str">
        <f ca="1">"X"&amp;OFFSET(NameConv!$F$4,0,M95)&amp;OFFSET(NameConv!$F$59,L95,M95)</f>
        <v>XINDOHF</v>
      </c>
      <c r="D95" s="515" t="str">
        <f t="shared" ca="1" si="16"/>
        <v>-</v>
      </c>
      <c r="E95" s="515" t="str">
        <f t="shared" ca="1" si="17"/>
        <v>-</v>
      </c>
      <c r="F95" s="515" t="str">
        <f t="shared" ca="1" si="19"/>
        <v>-</v>
      </c>
      <c r="G95" s="515" t="str">
        <f t="shared" ca="1" si="19"/>
        <v>-</v>
      </c>
      <c r="H95" s="515" t="str">
        <f t="shared" ca="1" si="19"/>
        <v>-</v>
      </c>
      <c r="I95" s="518">
        <f t="shared" ca="1" si="20"/>
        <v>1</v>
      </c>
      <c r="K95" s="495">
        <f ca="1">IF(M94&lt;&gt;M95,1,IF(L94=OFFSET(NameConv!$F$45,0,M94),K94+1,K94))</f>
        <v>2</v>
      </c>
      <c r="L95" s="495">
        <f t="shared" ca="1" si="18"/>
        <v>10</v>
      </c>
      <c r="M95" s="526">
        <f ca="1">IF(AND(K94=$K$7,L94=SUMIF(NameConv!$G$4:$M$4,MID(C94,2,3),NameConv!$G$45:$M$45)),M94+1,M94)</f>
        <v>3</v>
      </c>
    </row>
    <row r="96" spans="1:13">
      <c r="A96" s="883" t="str">
        <f ca="1">IF(INDEX(Demand.Sectors,MATCH(MID(C96,2,3),NameConv!$G$4:$M$4,0)),"","*")</f>
        <v/>
      </c>
      <c r="B96" s="515" t="str">
        <f t="shared" ca="1" si="15"/>
        <v>PRC_CAPACT</v>
      </c>
      <c r="C96" s="515" t="str">
        <f ca="1">"X"&amp;OFFSET(NameConv!$F$4,0,M96)&amp;OFFSET(NameConv!$F$59,L96,M96)</f>
        <v>XINDOLP</v>
      </c>
      <c r="D96" s="515" t="str">
        <f t="shared" ca="1" si="16"/>
        <v>-</v>
      </c>
      <c r="E96" s="515" t="str">
        <f t="shared" ca="1" si="17"/>
        <v>-</v>
      </c>
      <c r="F96" s="515" t="str">
        <f t="shared" ca="1" si="19"/>
        <v>-</v>
      </c>
      <c r="G96" s="515" t="str">
        <f t="shared" ca="1" si="19"/>
        <v>-</v>
      </c>
      <c r="H96" s="515" t="str">
        <f t="shared" ca="1" si="19"/>
        <v>-</v>
      </c>
      <c r="I96" s="518">
        <f t="shared" ca="1" si="20"/>
        <v>1</v>
      </c>
      <c r="K96" s="495">
        <f ca="1">IF(M95&lt;&gt;M96,1,IF(L95=OFFSET(NameConv!$F$45,0,M95),K95+1,K95))</f>
        <v>2</v>
      </c>
      <c r="L96" s="495">
        <f t="shared" ca="1" si="18"/>
        <v>11</v>
      </c>
      <c r="M96" s="526">
        <f ca="1">IF(AND(K95=$K$7,L95=SUMIF(NameConv!$G$4:$M$4,MID(C95,2,3),NameConv!$G$45:$M$45)),M95+1,M95)</f>
        <v>3</v>
      </c>
    </row>
    <row r="97" spans="1:13">
      <c r="A97" s="883" t="str">
        <f ca="1">IF(INDEX(Demand.Sectors,MATCH(MID(C97,2,3),NameConv!$G$4:$M$4,0)),"","*")</f>
        <v/>
      </c>
      <c r="B97" s="515" t="str">
        <f t="shared" ca="1" si="15"/>
        <v>PRC_CAPACT</v>
      </c>
      <c r="C97" s="515" t="str">
        <f ca="1">"X"&amp;OFFSET(NameConv!$F$4,0,M97)&amp;OFFSET(NameConv!$F$59,L97,M97)</f>
        <v>XINDWAS</v>
      </c>
      <c r="D97" s="515" t="str">
        <f t="shared" ca="1" si="16"/>
        <v>-</v>
      </c>
      <c r="E97" s="515" t="str">
        <f t="shared" ca="1" si="17"/>
        <v>-</v>
      </c>
      <c r="F97" s="515" t="str">
        <f t="shared" ca="1" si="19"/>
        <v>-</v>
      </c>
      <c r="G97" s="515" t="str">
        <f t="shared" ca="1" si="19"/>
        <v>-</v>
      </c>
      <c r="H97" s="515" t="str">
        <f t="shared" ca="1" si="19"/>
        <v>-</v>
      </c>
      <c r="I97" s="518">
        <f t="shared" ca="1" si="20"/>
        <v>1</v>
      </c>
      <c r="K97" s="495">
        <f ca="1">IF(M96&lt;&gt;M97,1,IF(L96=OFFSET(NameConv!$F$45,0,M96),K96+1,K96))</f>
        <v>2</v>
      </c>
      <c r="L97" s="495">
        <f t="shared" ca="1" si="18"/>
        <v>12</v>
      </c>
      <c r="M97" s="526">
        <f ca="1">IF(AND(K96=$K$7,L96=SUMIF(NameConv!$G$4:$M$4,MID(C96,2,3),NameConv!$G$45:$M$45)),M96+1,M96)</f>
        <v>3</v>
      </c>
    </row>
    <row r="98" spans="1:13">
      <c r="A98" s="883" t="str">
        <f ca="1">IF(INDEX(Demand.Sectors,MATCH(MID(C98,2,3),NameConv!$G$4:$M$4,0)),"","*")</f>
        <v/>
      </c>
      <c r="B98" s="515" t="str">
        <f t="shared" ca="1" si="15"/>
        <v>TOP-OUT</v>
      </c>
      <c r="C98" s="515" t="str">
        <f ca="1">"X"&amp;OFFSET(NameConv!$F$4,0,M98)&amp;OFFSET(NameConv!$F$59,L98,M98)</f>
        <v>XINDBIB</v>
      </c>
      <c r="D98" s="515" t="str">
        <f t="shared" ca="1" si="16"/>
        <v>INDBIB</v>
      </c>
      <c r="E98" s="515" t="str">
        <f t="shared" ca="1" si="17"/>
        <v>-</v>
      </c>
      <c r="F98" s="515" t="str">
        <f t="shared" ca="1" si="19"/>
        <v>-</v>
      </c>
      <c r="G98" s="515" t="str">
        <f t="shared" ca="1" si="19"/>
        <v>-</v>
      </c>
      <c r="H98" s="515" t="str">
        <f t="shared" ca="1" si="19"/>
        <v>-</v>
      </c>
      <c r="I98" s="518">
        <f t="shared" ca="1" si="20"/>
        <v>1</v>
      </c>
      <c r="K98" s="495">
        <f ca="1">IF(M97&lt;&gt;M98,1,IF(L97=OFFSET(NameConv!$F$45,0,M97),K97+1,K97))</f>
        <v>3</v>
      </c>
      <c r="L98" s="495">
        <f t="shared" ca="1" si="18"/>
        <v>1</v>
      </c>
      <c r="M98" s="526">
        <f ca="1">IF(AND(K97=$K$7,L97=SUMIF(NameConv!$G$4:$M$4,MID(C97,2,3),NameConv!$G$45:$M$45)),M97+1,M97)</f>
        <v>3</v>
      </c>
    </row>
    <row r="99" spans="1:13">
      <c r="A99" s="883" t="str">
        <f ca="1">IF(INDEX(Demand.Sectors,MATCH(MID(C99,2,3),NameConv!$G$4:$M$4,0)),"","*")</f>
        <v/>
      </c>
      <c r="B99" s="515" t="str">
        <f t="shared" ca="1" si="15"/>
        <v>TOP-OUT</v>
      </c>
      <c r="C99" s="515" t="str">
        <f ca="1">"X"&amp;OFFSET(NameConv!$F$4,0,M99)&amp;OFFSET(NameConv!$F$59,L99,M99)</f>
        <v>XINDBIW</v>
      </c>
      <c r="D99" s="515" t="str">
        <f t="shared" ca="1" si="16"/>
        <v>INDBIW</v>
      </c>
      <c r="E99" s="515" t="str">
        <f t="shared" ca="1" si="17"/>
        <v>-</v>
      </c>
      <c r="F99" s="515" t="str">
        <f t="shared" ca="1" si="19"/>
        <v>-</v>
      </c>
      <c r="G99" s="515" t="str">
        <f t="shared" ca="1" si="19"/>
        <v>-</v>
      </c>
      <c r="H99" s="515" t="str">
        <f t="shared" ca="1" si="19"/>
        <v>-</v>
      </c>
      <c r="I99" s="518">
        <f t="shared" ca="1" si="20"/>
        <v>1</v>
      </c>
      <c r="K99" s="495">
        <f ca="1">IF(M98&lt;&gt;M99,1,IF(L98=OFFSET(NameConv!$F$45,0,M98),K98+1,K98))</f>
        <v>3</v>
      </c>
      <c r="L99" s="495">
        <f t="shared" ca="1" si="18"/>
        <v>2</v>
      </c>
      <c r="M99" s="526">
        <f ca="1">IF(AND(K98=$K$7,L98=SUMIF(NameConv!$G$4:$M$4,MID(C98,2,3),NameConv!$G$45:$M$45)),M98+1,M98)</f>
        <v>3</v>
      </c>
    </row>
    <row r="100" spans="1:13">
      <c r="A100" s="883" t="str">
        <f ca="1">IF(INDEX(Demand.Sectors,MATCH(MID(C100,2,3),NameConv!$G$4:$M$4,0)),"","*")</f>
        <v/>
      </c>
      <c r="B100" s="515" t="str">
        <f t="shared" ca="1" si="15"/>
        <v>TOP-OUT</v>
      </c>
      <c r="C100" s="515" t="str">
        <f ca="1">"X"&amp;OFFSET(NameConv!$F$4,0,M100)&amp;OFFSET(NameConv!$F$59,L100,M100)</f>
        <v>XINDCOA</v>
      </c>
      <c r="D100" s="515" t="str">
        <f t="shared" ca="1" si="16"/>
        <v>INDCOA</v>
      </c>
      <c r="E100" s="515" t="str">
        <f t="shared" ca="1" si="17"/>
        <v>-</v>
      </c>
      <c r="F100" s="515" t="str">
        <f t="shared" ca="1" si="19"/>
        <v>-</v>
      </c>
      <c r="G100" s="515" t="str">
        <f t="shared" ca="1" si="19"/>
        <v>-</v>
      </c>
      <c r="H100" s="515" t="str">
        <f t="shared" ca="1" si="19"/>
        <v>-</v>
      </c>
      <c r="I100" s="518">
        <f t="shared" ca="1" si="20"/>
        <v>1</v>
      </c>
      <c r="K100" s="495">
        <f ca="1">IF(M99&lt;&gt;M100,1,IF(L99=OFFSET(NameConv!$F$45,0,M99),K99+1,K99))</f>
        <v>3</v>
      </c>
      <c r="L100" s="495">
        <f t="shared" ca="1" si="18"/>
        <v>3</v>
      </c>
      <c r="M100" s="526">
        <f ca="1">IF(AND(K99=$K$7,L99=SUMIF(NameConv!$G$4:$M$4,MID(C99,2,3),NameConv!$G$45:$M$45)),M99+1,M99)</f>
        <v>3</v>
      </c>
    </row>
    <row r="101" spans="1:13">
      <c r="A101" s="883" t="str">
        <f ca="1">IF(INDEX(Demand.Sectors,MATCH(MID(C101,2,3),NameConv!$G$4:$M$4,0)),"","*")</f>
        <v/>
      </c>
      <c r="B101" s="515" t="str">
        <f t="shared" ca="1" si="15"/>
        <v>TOP-OUT</v>
      </c>
      <c r="C101" s="515" t="str">
        <f ca="1">"X"&amp;OFFSET(NameConv!$F$4,0,M101)&amp;OFFSET(NameConv!$F$59,L101,M101)</f>
        <v>XINDCOK</v>
      </c>
      <c r="D101" s="515" t="str">
        <f t="shared" ca="1" si="16"/>
        <v>INDCOK</v>
      </c>
      <c r="E101" s="515" t="str">
        <f t="shared" ca="1" si="17"/>
        <v>-</v>
      </c>
      <c r="F101" s="515" t="str">
        <f t="shared" ca="1" si="19"/>
        <v>-</v>
      </c>
      <c r="G101" s="515" t="str">
        <f t="shared" ca="1" si="19"/>
        <v>-</v>
      </c>
      <c r="H101" s="515" t="str">
        <f t="shared" ca="1" si="19"/>
        <v>-</v>
      </c>
      <c r="I101" s="518">
        <f t="shared" ca="1" si="20"/>
        <v>1</v>
      </c>
      <c r="K101" s="495">
        <f ca="1">IF(M100&lt;&gt;M101,1,IF(L100=OFFSET(NameConv!$F$45,0,M100),K100+1,K100))</f>
        <v>3</v>
      </c>
      <c r="L101" s="495">
        <f t="shared" ca="1" si="18"/>
        <v>4</v>
      </c>
      <c r="M101" s="526">
        <f ca="1">IF(AND(K100=$K$7,L100=SUMIF(NameConv!$G$4:$M$4,MID(C100,2,3),NameConv!$G$45:$M$45)),M100+1,M100)</f>
        <v>3</v>
      </c>
    </row>
    <row r="102" spans="1:13">
      <c r="A102" s="883" t="str">
        <f ca="1">IF(INDEX(Demand.Sectors,MATCH(MID(C102,2,3),NameConv!$G$4:$M$4,0)),"","*")</f>
        <v/>
      </c>
      <c r="B102" s="515" t="str">
        <f t="shared" ca="1" si="15"/>
        <v>TOP-OUT</v>
      </c>
      <c r="C102" s="515" t="str">
        <f ca="1">"X"&amp;OFFSET(NameConv!$F$4,0,M102)&amp;OFFSET(NameConv!$F$59,L102,M102)</f>
        <v>XINDCLE</v>
      </c>
      <c r="D102" s="515" t="str">
        <f t="shared" ca="1" si="16"/>
        <v>INDCLE</v>
      </c>
      <c r="E102" s="515" t="str">
        <f t="shared" ca="1" si="17"/>
        <v>-</v>
      </c>
      <c r="F102" s="515" t="str">
        <f t="shared" ca="1" si="19"/>
        <v>-</v>
      </c>
      <c r="G102" s="515" t="str">
        <f t="shared" ca="1" si="19"/>
        <v>-</v>
      </c>
      <c r="H102" s="515" t="str">
        <f t="shared" ca="1" si="19"/>
        <v>-</v>
      </c>
      <c r="I102" s="518">
        <f t="shared" ca="1" si="20"/>
        <v>1</v>
      </c>
      <c r="K102" s="495">
        <f ca="1">IF(M101&lt;&gt;M102,1,IF(L101=OFFSET(NameConv!$F$45,0,M101),K101+1,K101))</f>
        <v>3</v>
      </c>
      <c r="L102" s="495">
        <f t="shared" ca="1" si="18"/>
        <v>5</v>
      </c>
      <c r="M102" s="526">
        <f ca="1">IF(AND(K101=$K$7,L101=SUMIF(NameConv!$G$4:$M$4,MID(C101,2,3),NameConv!$G$45:$M$45)),M101+1,M101)</f>
        <v>3</v>
      </c>
    </row>
    <row r="103" spans="1:13">
      <c r="A103" s="883" t="str">
        <f ca="1">IF(INDEX(Demand.Sectors,MATCH(MID(C103,2,3),NameConv!$G$4:$M$4,0)),"","*")</f>
        <v/>
      </c>
      <c r="B103" s="515" t="str">
        <f t="shared" ca="1" si="15"/>
        <v>TOP-OUT</v>
      </c>
      <c r="C103" s="515" t="str">
        <f ca="1">"X"&amp;OFFSET(NameConv!$F$4,0,M103)&amp;OFFSET(NameConv!$F$59,L103,M103)</f>
        <v>XINDELC</v>
      </c>
      <c r="D103" s="515" t="str">
        <f t="shared" ca="1" si="16"/>
        <v>INDELC</v>
      </c>
      <c r="E103" s="515" t="str">
        <f t="shared" ca="1" si="17"/>
        <v>-</v>
      </c>
      <c r="F103" s="515" t="str">
        <f t="shared" ca="1" si="19"/>
        <v>-</v>
      </c>
      <c r="G103" s="515" t="str">
        <f t="shared" ca="1" si="19"/>
        <v>-</v>
      </c>
      <c r="H103" s="515" t="str">
        <f t="shared" ca="1" si="19"/>
        <v>-</v>
      </c>
      <c r="I103" s="518">
        <f t="shared" ca="1" si="20"/>
        <v>1</v>
      </c>
      <c r="K103" s="495">
        <f ca="1">IF(M102&lt;&gt;M103,1,IF(L102=OFFSET(NameConv!$F$45,0,M102),K102+1,K102))</f>
        <v>3</v>
      </c>
      <c r="L103" s="495">
        <f t="shared" ca="1" si="18"/>
        <v>6</v>
      </c>
      <c r="M103" s="526">
        <f ca="1">IF(AND(K102=$K$7,L102=SUMIF(NameConv!$G$4:$M$4,MID(C102,2,3),NameConv!$G$45:$M$45)),M102+1,M102)</f>
        <v>3</v>
      </c>
    </row>
    <row r="104" spans="1:13">
      <c r="A104" s="883" t="str">
        <f ca="1">IF(INDEX(Demand.Sectors,MATCH(MID(C104,2,3),NameConv!$G$4:$M$4,0)),"","*")</f>
        <v/>
      </c>
      <c r="B104" s="515" t="str">
        <f t="shared" ca="1" si="15"/>
        <v>TOP-OUT</v>
      </c>
      <c r="C104" s="515" t="str">
        <f ca="1">"X"&amp;OFFSET(NameConv!$F$4,0,M104)&amp;OFFSET(NameConv!$F$59,L104,M104)</f>
        <v>XINDGAS</v>
      </c>
      <c r="D104" s="515" t="str">
        <f t="shared" ca="1" si="16"/>
        <v>INDGAS</v>
      </c>
      <c r="E104" s="515" t="str">
        <f t="shared" ca="1" si="17"/>
        <v>-</v>
      </c>
      <c r="F104" s="515" t="str">
        <f t="shared" ca="1" si="19"/>
        <v>-</v>
      </c>
      <c r="G104" s="515" t="str">
        <f t="shared" ca="1" si="19"/>
        <v>-</v>
      </c>
      <c r="H104" s="515" t="str">
        <f t="shared" ca="1" si="19"/>
        <v>-</v>
      </c>
      <c r="I104" s="518">
        <f t="shared" ca="1" si="20"/>
        <v>1</v>
      </c>
      <c r="K104" s="495">
        <f ca="1">IF(M103&lt;&gt;M104,1,IF(L103=OFFSET(NameConv!$F$45,0,M103),K103+1,K103))</f>
        <v>3</v>
      </c>
      <c r="L104" s="495">
        <f t="shared" ca="1" si="18"/>
        <v>7</v>
      </c>
      <c r="M104" s="526">
        <f ca="1">IF(AND(K103=$K$7,L103=SUMIF(NameConv!$G$4:$M$4,MID(C103,2,3),NameConv!$G$45:$M$45)),M103+1,M103)</f>
        <v>3</v>
      </c>
    </row>
    <row r="105" spans="1:13">
      <c r="A105" s="883" t="str">
        <f ca="1">IF(INDEX(Demand.Sectors,MATCH(MID(C105,2,3),NameConv!$G$4:$M$4,0)),"","*")</f>
        <v/>
      </c>
      <c r="B105" s="515" t="str">
        <f t="shared" ca="1" si="15"/>
        <v>TOP-OUT</v>
      </c>
      <c r="C105" s="515" t="str">
        <f ca="1">"X"&amp;OFFSET(NameConv!$F$4,0,M105)&amp;OFFSET(NameConv!$F$59,L105,M105)</f>
        <v>XINDODS</v>
      </c>
      <c r="D105" s="515" t="str">
        <f t="shared" ca="1" si="16"/>
        <v>INDODS</v>
      </c>
      <c r="E105" s="515" t="str">
        <f t="shared" ca="1" si="17"/>
        <v>-</v>
      </c>
      <c r="F105" s="515" t="str">
        <f t="shared" ca="1" si="19"/>
        <v>-</v>
      </c>
      <c r="G105" s="515" t="str">
        <f t="shared" ca="1" si="19"/>
        <v>-</v>
      </c>
      <c r="H105" s="515" t="str">
        <f t="shared" ca="1" si="19"/>
        <v>-</v>
      </c>
      <c r="I105" s="518">
        <f t="shared" ca="1" si="20"/>
        <v>1</v>
      </c>
      <c r="K105" s="495">
        <f ca="1">IF(M104&lt;&gt;M105,1,IF(L104=OFFSET(NameConv!$F$45,0,M104),K104+1,K104))</f>
        <v>3</v>
      </c>
      <c r="L105" s="495">
        <f t="shared" ca="1" si="18"/>
        <v>8</v>
      </c>
      <c r="M105" s="526">
        <f ca="1">IF(AND(K104=$K$7,L104=SUMIF(NameConv!$G$4:$M$4,MID(C104,2,3),NameConv!$G$45:$M$45)),M104+1,M104)</f>
        <v>3</v>
      </c>
    </row>
    <row r="106" spans="1:13">
      <c r="A106" s="883" t="str">
        <f ca="1">IF(INDEX(Demand.Sectors,MATCH(MID(C106,2,3),NameConv!$G$4:$M$4,0)),"","*")</f>
        <v/>
      </c>
      <c r="B106" s="515" t="str">
        <f t="shared" ca="1" si="15"/>
        <v>TOP-OUT</v>
      </c>
      <c r="C106" s="515" t="str">
        <f ca="1">"X"&amp;OFFSET(NameConv!$F$4,0,M106)&amp;OFFSET(NameConv!$F$59,L106,M106)</f>
        <v>XINDOGS</v>
      </c>
      <c r="D106" s="515" t="str">
        <f t="shared" ca="1" si="16"/>
        <v>INDOGS</v>
      </c>
      <c r="E106" s="515" t="str">
        <f t="shared" ca="1" si="17"/>
        <v>-</v>
      </c>
      <c r="F106" s="515" t="str">
        <f t="shared" ca="1" si="19"/>
        <v>-</v>
      </c>
      <c r="G106" s="515" t="str">
        <f t="shared" ca="1" si="19"/>
        <v>-</v>
      </c>
      <c r="H106" s="515" t="str">
        <f t="shared" ca="1" si="19"/>
        <v>-</v>
      </c>
      <c r="I106" s="518">
        <f t="shared" ca="1" si="20"/>
        <v>1</v>
      </c>
      <c r="K106" s="495">
        <f ca="1">IF(M105&lt;&gt;M106,1,IF(L105=OFFSET(NameConv!$F$45,0,M105),K105+1,K105))</f>
        <v>3</v>
      </c>
      <c r="L106" s="495">
        <f t="shared" ca="1" si="18"/>
        <v>9</v>
      </c>
      <c r="M106" s="526">
        <f ca="1">IF(AND(K105=$K$7,L105=SUMIF(NameConv!$G$4:$M$4,MID(C105,2,3),NameConv!$G$45:$M$45)),M105+1,M105)</f>
        <v>3</v>
      </c>
    </row>
    <row r="107" spans="1:13">
      <c r="A107" s="883" t="str">
        <f ca="1">IF(INDEX(Demand.Sectors,MATCH(MID(C107,2,3),NameConv!$G$4:$M$4,0)),"","*")</f>
        <v/>
      </c>
      <c r="B107" s="515" t="str">
        <f t="shared" ca="1" si="15"/>
        <v>TOP-OUT</v>
      </c>
      <c r="C107" s="515" t="str">
        <f ca="1">"X"&amp;OFFSET(NameConv!$F$4,0,M107)&amp;OFFSET(NameConv!$F$59,L107,M107)</f>
        <v>XINDOHF</v>
      </c>
      <c r="D107" s="515" t="str">
        <f t="shared" ca="1" si="16"/>
        <v>INDOHF</v>
      </c>
      <c r="E107" s="515" t="str">
        <f t="shared" ca="1" si="17"/>
        <v>-</v>
      </c>
      <c r="F107" s="515" t="str">
        <f t="shared" ca="1" si="19"/>
        <v>-</v>
      </c>
      <c r="G107" s="515" t="str">
        <f t="shared" ca="1" si="19"/>
        <v>-</v>
      </c>
      <c r="H107" s="515" t="str">
        <f t="shared" ca="1" si="19"/>
        <v>-</v>
      </c>
      <c r="I107" s="518">
        <f t="shared" ca="1" si="20"/>
        <v>1</v>
      </c>
      <c r="K107" s="495">
        <f ca="1">IF(M106&lt;&gt;M107,1,IF(L106=OFFSET(NameConv!$F$45,0,M106),K106+1,K106))</f>
        <v>3</v>
      </c>
      <c r="L107" s="495">
        <f t="shared" ca="1" si="18"/>
        <v>10</v>
      </c>
      <c r="M107" s="526">
        <f ca="1">IF(AND(K106=$K$7,L106=SUMIF(NameConv!$G$4:$M$4,MID(C106,2,3),NameConv!$G$45:$M$45)),M106+1,M106)</f>
        <v>3</v>
      </c>
    </row>
    <row r="108" spans="1:13">
      <c r="A108" s="883" t="str">
        <f ca="1">IF(INDEX(Demand.Sectors,MATCH(MID(C108,2,3),NameConv!$G$4:$M$4,0)),"","*")</f>
        <v/>
      </c>
      <c r="B108" s="515" t="str">
        <f t="shared" ca="1" si="15"/>
        <v>TOP-OUT</v>
      </c>
      <c r="C108" s="515" t="str">
        <f ca="1">"X"&amp;OFFSET(NameConv!$F$4,0,M108)&amp;OFFSET(NameConv!$F$59,L108,M108)</f>
        <v>XINDOLP</v>
      </c>
      <c r="D108" s="515" t="str">
        <f t="shared" ca="1" si="16"/>
        <v>INDOLP</v>
      </c>
      <c r="E108" s="515" t="str">
        <f t="shared" ca="1" si="17"/>
        <v>-</v>
      </c>
      <c r="F108" s="515" t="str">
        <f t="shared" ca="1" si="19"/>
        <v>-</v>
      </c>
      <c r="G108" s="515" t="str">
        <f t="shared" ca="1" si="19"/>
        <v>-</v>
      </c>
      <c r="H108" s="515" t="str">
        <f t="shared" ca="1" si="19"/>
        <v>-</v>
      </c>
      <c r="I108" s="518">
        <f t="shared" ca="1" si="20"/>
        <v>1</v>
      </c>
      <c r="K108" s="495">
        <f ca="1">IF(M107&lt;&gt;M108,1,IF(L107=OFFSET(NameConv!$F$45,0,M107),K107+1,K107))</f>
        <v>3</v>
      </c>
      <c r="L108" s="495">
        <f t="shared" ca="1" si="18"/>
        <v>11</v>
      </c>
      <c r="M108" s="526">
        <f ca="1">IF(AND(K107=$K$7,L107=SUMIF(NameConv!$G$4:$M$4,MID(C107,2,3),NameConv!$G$45:$M$45)),M107+1,M107)</f>
        <v>3</v>
      </c>
    </row>
    <row r="109" spans="1:13">
      <c r="A109" s="883" t="str">
        <f ca="1">IF(INDEX(Demand.Sectors,MATCH(MID(C109,2,3),NameConv!$G$4:$M$4,0)),"","*")</f>
        <v/>
      </c>
      <c r="B109" s="515" t="str">
        <f t="shared" ca="1" si="15"/>
        <v>TOP-OUT</v>
      </c>
      <c r="C109" s="515" t="str">
        <f ca="1">"X"&amp;OFFSET(NameConv!$F$4,0,M109)&amp;OFFSET(NameConv!$F$59,L109,M109)</f>
        <v>XINDWAS</v>
      </c>
      <c r="D109" s="515" t="str">
        <f t="shared" ca="1" si="16"/>
        <v>INDWAS</v>
      </c>
      <c r="E109" s="515" t="str">
        <f t="shared" ca="1" si="17"/>
        <v>-</v>
      </c>
      <c r="F109" s="515" t="str">
        <f t="shared" ca="1" si="19"/>
        <v>-</v>
      </c>
      <c r="G109" s="515" t="str">
        <f t="shared" ca="1" si="19"/>
        <v>-</v>
      </c>
      <c r="H109" s="515" t="str">
        <f t="shared" ca="1" si="19"/>
        <v>-</v>
      </c>
      <c r="I109" s="518">
        <f t="shared" ca="1" si="20"/>
        <v>1</v>
      </c>
      <c r="K109" s="495">
        <f ca="1">IF(M108&lt;&gt;M109,1,IF(L108=OFFSET(NameConv!$F$45,0,M108),K108+1,K108))</f>
        <v>3</v>
      </c>
      <c r="L109" s="495">
        <f t="shared" ca="1" si="18"/>
        <v>12</v>
      </c>
      <c r="M109" s="526">
        <f ca="1">IF(AND(K108=$K$7,L108=SUMIF(NameConv!$G$4:$M$4,MID(C108,2,3),NameConv!$G$45:$M$45)),M108+1,M108)</f>
        <v>3</v>
      </c>
    </row>
    <row r="110" spans="1:13">
      <c r="A110" s="883" t="str">
        <f ca="1">IF(INDEX(Demand.Sectors,MATCH(MID(C110,2,3),NameConv!$G$4:$M$4,0)),"","*")</f>
        <v/>
      </c>
      <c r="B110" s="515" t="str">
        <f t="shared" ca="1" si="15"/>
        <v>TOP-IN</v>
      </c>
      <c r="C110" s="515" t="str">
        <f ca="1">"X"&amp;OFFSET(NameConv!$F$4,0,M110)&amp;OFFSET(NameConv!$F$59,L110,M110)</f>
        <v>XINDBIB</v>
      </c>
      <c r="D110" s="515" t="str">
        <f t="shared" ca="1" si="16"/>
        <v>BIB</v>
      </c>
      <c r="E110" s="515" t="str">
        <f t="shared" ca="1" si="17"/>
        <v>-</v>
      </c>
      <c r="F110" s="515" t="str">
        <f t="shared" ca="1" si="19"/>
        <v>-</v>
      </c>
      <c r="G110" s="515" t="str">
        <f t="shared" ca="1" si="19"/>
        <v>-</v>
      </c>
      <c r="H110" s="515" t="str">
        <f t="shared" ca="1" si="19"/>
        <v>-</v>
      </c>
      <c r="I110" s="518">
        <f t="shared" ca="1" si="20"/>
        <v>1</v>
      </c>
      <c r="K110" s="495">
        <f ca="1">IF(M109&lt;&gt;M110,1,IF(L109=OFFSET(NameConv!$F$45,0,M109),K109+1,K109))</f>
        <v>4</v>
      </c>
      <c r="L110" s="495">
        <f t="shared" ca="1" si="18"/>
        <v>1</v>
      </c>
      <c r="M110" s="526">
        <f ca="1">IF(AND(K109=$K$7,L109=SUMIF(NameConv!$G$4:$M$4,MID(C109,2,3),NameConv!$G$45:$M$45)),M109+1,M109)</f>
        <v>3</v>
      </c>
    </row>
    <row r="111" spans="1:13">
      <c r="A111" s="883" t="str">
        <f ca="1">IF(INDEX(Demand.Sectors,MATCH(MID(C111,2,3),NameConv!$G$4:$M$4,0)),"","*")</f>
        <v/>
      </c>
      <c r="B111" s="515" t="str">
        <f t="shared" ca="1" si="15"/>
        <v>TOP-IN</v>
      </c>
      <c r="C111" s="515" t="str">
        <f ca="1">"X"&amp;OFFSET(NameConv!$F$4,0,M111)&amp;OFFSET(NameConv!$F$59,L111,M111)</f>
        <v>XINDBIW</v>
      </c>
      <c r="D111" s="515" t="str">
        <f t="shared" ca="1" si="16"/>
        <v>BIW</v>
      </c>
      <c r="E111" s="515" t="str">
        <f t="shared" ca="1" si="17"/>
        <v>-</v>
      </c>
      <c r="F111" s="515" t="str">
        <f t="shared" ca="1" si="19"/>
        <v>-</v>
      </c>
      <c r="G111" s="515" t="str">
        <f t="shared" ca="1" si="19"/>
        <v>-</v>
      </c>
      <c r="H111" s="515" t="str">
        <f t="shared" ca="1" si="19"/>
        <v>-</v>
      </c>
      <c r="I111" s="518">
        <f t="shared" ca="1" si="20"/>
        <v>1</v>
      </c>
      <c r="K111" s="495">
        <f ca="1">IF(M110&lt;&gt;M111,1,IF(L110=OFFSET(NameConv!$F$45,0,M110),K110+1,K110))</f>
        <v>4</v>
      </c>
      <c r="L111" s="495">
        <f t="shared" ca="1" si="18"/>
        <v>2</v>
      </c>
      <c r="M111" s="526">
        <f ca="1">IF(AND(K110=$K$7,L110=SUMIF(NameConv!$G$4:$M$4,MID(C110,2,3),NameConv!$G$45:$M$45)),M110+1,M110)</f>
        <v>3</v>
      </c>
    </row>
    <row r="112" spans="1:13">
      <c r="A112" s="883" t="str">
        <f ca="1">IF(INDEX(Demand.Sectors,MATCH(MID(C112,2,3),NameConv!$G$4:$M$4,0)),"","*")</f>
        <v/>
      </c>
      <c r="B112" s="515" t="str">
        <f t="shared" ca="1" si="15"/>
        <v>TOP-IN</v>
      </c>
      <c r="C112" s="515" t="str">
        <f ca="1">"X"&amp;OFFSET(NameConv!$F$4,0,M112)&amp;OFFSET(NameConv!$F$59,L112,M112)</f>
        <v>XINDCOA</v>
      </c>
      <c r="D112" s="515" t="str">
        <f t="shared" ca="1" si="16"/>
        <v>COA</v>
      </c>
      <c r="E112" s="515" t="str">
        <f t="shared" ca="1" si="17"/>
        <v>-</v>
      </c>
      <c r="F112" s="515" t="str">
        <f t="shared" ca="1" si="19"/>
        <v>-</v>
      </c>
      <c r="G112" s="515" t="str">
        <f t="shared" ca="1" si="19"/>
        <v>-</v>
      </c>
      <c r="H112" s="515" t="str">
        <f t="shared" ca="1" si="19"/>
        <v>-</v>
      </c>
      <c r="I112" s="518">
        <f t="shared" ca="1" si="20"/>
        <v>1</v>
      </c>
      <c r="K112" s="495">
        <f ca="1">IF(M111&lt;&gt;M112,1,IF(L111=OFFSET(NameConv!$F$45,0,M111),K111+1,K111))</f>
        <v>4</v>
      </c>
      <c r="L112" s="495">
        <f t="shared" ca="1" si="18"/>
        <v>3</v>
      </c>
      <c r="M112" s="526">
        <f ca="1">IF(AND(K111=$K$7,L111=SUMIF(NameConv!$G$4:$M$4,MID(C111,2,3),NameConv!$G$45:$M$45)),M111+1,M111)</f>
        <v>3</v>
      </c>
    </row>
    <row r="113" spans="1:13">
      <c r="A113" s="883" t="str">
        <f ca="1">IF(INDEX(Demand.Sectors,MATCH(MID(C113,2,3),NameConv!$G$4:$M$4,0)),"","*")</f>
        <v/>
      </c>
      <c r="B113" s="515" t="str">
        <f t="shared" ca="1" si="15"/>
        <v>TOP-IN</v>
      </c>
      <c r="C113" s="515" t="str">
        <f ca="1">"X"&amp;OFFSET(NameConv!$F$4,0,M113)&amp;OFFSET(NameConv!$F$59,L113,M113)</f>
        <v>XINDCOK</v>
      </c>
      <c r="D113" s="515" t="str">
        <f t="shared" ca="1" si="16"/>
        <v>COK</v>
      </c>
      <c r="E113" s="515" t="str">
        <f t="shared" ca="1" si="17"/>
        <v>-</v>
      </c>
      <c r="F113" s="515" t="str">
        <f t="shared" ca="1" si="19"/>
        <v>-</v>
      </c>
      <c r="G113" s="515" t="str">
        <f t="shared" ca="1" si="19"/>
        <v>-</v>
      </c>
      <c r="H113" s="515" t="str">
        <f t="shared" ca="1" si="19"/>
        <v>-</v>
      </c>
      <c r="I113" s="518">
        <f t="shared" ca="1" si="20"/>
        <v>1</v>
      </c>
      <c r="K113" s="495">
        <f ca="1">IF(M112&lt;&gt;M113,1,IF(L112=OFFSET(NameConv!$F$45,0,M112),K112+1,K112))</f>
        <v>4</v>
      </c>
      <c r="L113" s="495">
        <f t="shared" ca="1" si="18"/>
        <v>4</v>
      </c>
      <c r="M113" s="526">
        <f ca="1">IF(AND(K112=$K$7,L112=SUMIF(NameConv!$G$4:$M$4,MID(C112,2,3),NameConv!$G$45:$M$45)),M112+1,M112)</f>
        <v>3</v>
      </c>
    </row>
    <row r="114" spans="1:13">
      <c r="A114" s="883" t="str">
        <f ca="1">IF(INDEX(Demand.Sectors,MATCH(MID(C114,2,3),NameConv!$G$4:$M$4,0)),"","*")</f>
        <v/>
      </c>
      <c r="B114" s="515" t="str">
        <f t="shared" ca="1" si="15"/>
        <v>TOP-IN</v>
      </c>
      <c r="C114" s="515" t="str">
        <f ca="1">"X"&amp;OFFSET(NameConv!$F$4,0,M114)&amp;OFFSET(NameConv!$F$59,L114,M114)</f>
        <v>XINDCLE</v>
      </c>
      <c r="D114" s="515" t="str">
        <f t="shared" ca="1" si="16"/>
        <v>CLE</v>
      </c>
      <c r="E114" s="515" t="str">
        <f t="shared" ca="1" si="17"/>
        <v>-</v>
      </c>
      <c r="F114" s="515" t="str">
        <f t="shared" ca="1" si="19"/>
        <v>-</v>
      </c>
      <c r="G114" s="515" t="str">
        <f t="shared" ca="1" si="19"/>
        <v>-</v>
      </c>
      <c r="H114" s="515" t="str">
        <f t="shared" ca="1" si="19"/>
        <v>-</v>
      </c>
      <c r="I114" s="518">
        <f t="shared" ca="1" si="20"/>
        <v>1</v>
      </c>
      <c r="K114" s="495">
        <f ca="1">IF(M113&lt;&gt;M114,1,IF(L113=OFFSET(NameConv!$F$45,0,M113),K113+1,K113))</f>
        <v>4</v>
      </c>
      <c r="L114" s="495">
        <f t="shared" ca="1" si="18"/>
        <v>5</v>
      </c>
      <c r="M114" s="526">
        <f ca="1">IF(AND(K113=$K$7,L113=SUMIF(NameConv!$G$4:$M$4,MID(C113,2,3),NameConv!$G$45:$M$45)),M113+1,M113)</f>
        <v>3</v>
      </c>
    </row>
    <row r="115" spans="1:13">
      <c r="A115" s="883" t="str">
        <f ca="1">IF(INDEX(Demand.Sectors,MATCH(MID(C115,2,3),NameConv!$G$4:$M$4,0)),"","*")</f>
        <v/>
      </c>
      <c r="B115" s="515" t="str">
        <f t="shared" ca="1" si="15"/>
        <v>TOP-IN</v>
      </c>
      <c r="C115" s="515" t="str">
        <f ca="1">"X"&amp;OFFSET(NameConv!$F$4,0,M115)&amp;OFFSET(NameConv!$F$59,L115,M115)</f>
        <v>XINDELC</v>
      </c>
      <c r="D115" s="515" t="str">
        <f t="shared" ca="1" si="16"/>
        <v>ELC</v>
      </c>
      <c r="E115" s="515" t="str">
        <f t="shared" ca="1" si="17"/>
        <v>-</v>
      </c>
      <c r="F115" s="515" t="str">
        <f t="shared" ca="1" si="19"/>
        <v>-</v>
      </c>
      <c r="G115" s="515" t="str">
        <f t="shared" ca="1" si="19"/>
        <v>-</v>
      </c>
      <c r="H115" s="515" t="str">
        <f t="shared" ca="1" si="19"/>
        <v>-</v>
      </c>
      <c r="I115" s="518">
        <f t="shared" ca="1" si="20"/>
        <v>1</v>
      </c>
      <c r="K115" s="495">
        <f ca="1">IF(M114&lt;&gt;M115,1,IF(L114=OFFSET(NameConv!$F$45,0,M114),K114+1,K114))</f>
        <v>4</v>
      </c>
      <c r="L115" s="495">
        <f t="shared" ca="1" si="18"/>
        <v>6</v>
      </c>
      <c r="M115" s="526">
        <f ca="1">IF(AND(K114=$K$7,L114=SUMIF(NameConv!$G$4:$M$4,MID(C114,2,3),NameConv!$G$45:$M$45)),M114+1,M114)</f>
        <v>3</v>
      </c>
    </row>
    <row r="116" spans="1:13">
      <c r="A116" s="883" t="str">
        <f ca="1">IF(INDEX(Demand.Sectors,MATCH(MID(C116,2,3),NameConv!$G$4:$M$4,0)),"","*")</f>
        <v/>
      </c>
      <c r="B116" s="515" t="str">
        <f t="shared" ca="1" si="15"/>
        <v>TOP-IN</v>
      </c>
      <c r="C116" s="515" t="str">
        <f ca="1">"X"&amp;OFFSET(NameConv!$F$4,0,M116)&amp;OFFSET(NameConv!$F$59,L116,M116)</f>
        <v>XINDGAS</v>
      </c>
      <c r="D116" s="515" t="str">
        <f t="shared" ca="1" si="16"/>
        <v>GAS</v>
      </c>
      <c r="E116" s="515" t="str">
        <f t="shared" ca="1" si="17"/>
        <v>-</v>
      </c>
      <c r="F116" s="515" t="str">
        <f t="shared" ca="1" si="19"/>
        <v>-</v>
      </c>
      <c r="G116" s="515" t="str">
        <f t="shared" ca="1" si="19"/>
        <v>-</v>
      </c>
      <c r="H116" s="515" t="str">
        <f t="shared" ca="1" si="19"/>
        <v>-</v>
      </c>
      <c r="I116" s="518">
        <f t="shared" ca="1" si="20"/>
        <v>1</v>
      </c>
      <c r="K116" s="495">
        <f ca="1">IF(M115&lt;&gt;M116,1,IF(L115=OFFSET(NameConv!$F$45,0,M115),K115+1,K115))</f>
        <v>4</v>
      </c>
      <c r="L116" s="495">
        <f t="shared" ca="1" si="18"/>
        <v>7</v>
      </c>
      <c r="M116" s="526">
        <f ca="1">IF(AND(K115=$K$7,L115=SUMIF(NameConv!$G$4:$M$4,MID(C115,2,3),NameConv!$G$45:$M$45)),M115+1,M115)</f>
        <v>3</v>
      </c>
    </row>
    <row r="117" spans="1:13">
      <c r="A117" s="883" t="str">
        <f ca="1">IF(INDEX(Demand.Sectors,MATCH(MID(C117,2,3),NameConv!$G$4:$M$4,0)),"","*")</f>
        <v/>
      </c>
      <c r="B117" s="515" t="str">
        <f t="shared" ca="1" si="15"/>
        <v>TOP-IN</v>
      </c>
      <c r="C117" s="515" t="str">
        <f ca="1">"X"&amp;OFFSET(NameConv!$F$4,0,M117)&amp;OFFSET(NameConv!$F$59,L117,M117)</f>
        <v>XINDODS</v>
      </c>
      <c r="D117" s="515" t="str">
        <f t="shared" ca="1" si="16"/>
        <v>ODS</v>
      </c>
      <c r="E117" s="515" t="str">
        <f t="shared" ca="1" si="17"/>
        <v>-</v>
      </c>
      <c r="F117" s="515" t="str">
        <f t="shared" ca="1" si="19"/>
        <v>-</v>
      </c>
      <c r="G117" s="515" t="str">
        <f t="shared" ca="1" si="19"/>
        <v>-</v>
      </c>
      <c r="H117" s="515" t="str">
        <f t="shared" ca="1" si="19"/>
        <v>-</v>
      </c>
      <c r="I117" s="518">
        <f t="shared" ca="1" si="20"/>
        <v>1</v>
      </c>
      <c r="K117" s="495">
        <f ca="1">IF(M116&lt;&gt;M117,1,IF(L116=OFFSET(NameConv!$F$45,0,M116),K116+1,K116))</f>
        <v>4</v>
      </c>
      <c r="L117" s="495">
        <f t="shared" ca="1" si="18"/>
        <v>8</v>
      </c>
      <c r="M117" s="526">
        <f ca="1">IF(AND(K116=$K$7,L116=SUMIF(NameConv!$G$4:$M$4,MID(C116,2,3),NameConv!$G$45:$M$45)),M116+1,M116)</f>
        <v>3</v>
      </c>
    </row>
    <row r="118" spans="1:13">
      <c r="A118" s="883" t="str">
        <f ca="1">IF(INDEX(Demand.Sectors,MATCH(MID(C118,2,3),NameConv!$G$4:$M$4,0)),"","*")</f>
        <v/>
      </c>
      <c r="B118" s="515" t="str">
        <f t="shared" ca="1" si="15"/>
        <v>TOP-IN</v>
      </c>
      <c r="C118" s="515" t="str">
        <f ca="1">"X"&amp;OFFSET(NameConv!$F$4,0,M118)&amp;OFFSET(NameConv!$F$59,L118,M118)</f>
        <v>XINDOGS</v>
      </c>
      <c r="D118" s="515" t="str">
        <f t="shared" ca="1" si="16"/>
        <v>OGS</v>
      </c>
      <c r="E118" s="515" t="str">
        <f t="shared" ca="1" si="17"/>
        <v>-</v>
      </c>
      <c r="F118" s="515" t="str">
        <f t="shared" ca="1" si="19"/>
        <v>-</v>
      </c>
      <c r="G118" s="515" t="str">
        <f t="shared" ca="1" si="19"/>
        <v>-</v>
      </c>
      <c r="H118" s="515" t="str">
        <f t="shared" ca="1" si="19"/>
        <v>-</v>
      </c>
      <c r="I118" s="518">
        <f t="shared" ca="1" si="20"/>
        <v>1</v>
      </c>
      <c r="K118" s="495">
        <f ca="1">IF(M117&lt;&gt;M118,1,IF(L117=OFFSET(NameConv!$F$45,0,M117),K117+1,K117))</f>
        <v>4</v>
      </c>
      <c r="L118" s="495">
        <f t="shared" ca="1" si="18"/>
        <v>9</v>
      </c>
      <c r="M118" s="526">
        <f ca="1">IF(AND(K117=$K$7,L117=SUMIF(NameConv!$G$4:$M$4,MID(C117,2,3),NameConv!$G$45:$M$45)),M117+1,M117)</f>
        <v>3</v>
      </c>
    </row>
    <row r="119" spans="1:13">
      <c r="A119" s="883" t="str">
        <f ca="1">IF(INDEX(Demand.Sectors,MATCH(MID(C119,2,3),NameConv!$G$4:$M$4,0)),"","*")</f>
        <v/>
      </c>
      <c r="B119" s="515" t="str">
        <f t="shared" ca="1" si="15"/>
        <v>TOP-IN</v>
      </c>
      <c r="C119" s="515" t="str">
        <f ca="1">"X"&amp;OFFSET(NameConv!$F$4,0,M119)&amp;OFFSET(NameConv!$F$59,L119,M119)</f>
        <v>XINDOHF</v>
      </c>
      <c r="D119" s="515" t="str">
        <f t="shared" ca="1" si="16"/>
        <v>OHF</v>
      </c>
      <c r="E119" s="515" t="str">
        <f t="shared" ca="1" si="17"/>
        <v>-</v>
      </c>
      <c r="F119" s="515" t="str">
        <f t="shared" ca="1" si="19"/>
        <v>-</v>
      </c>
      <c r="G119" s="515" t="str">
        <f t="shared" ca="1" si="19"/>
        <v>-</v>
      </c>
      <c r="H119" s="515" t="str">
        <f t="shared" ca="1" si="19"/>
        <v>-</v>
      </c>
      <c r="I119" s="518">
        <f t="shared" ca="1" si="20"/>
        <v>1</v>
      </c>
      <c r="K119" s="495">
        <f ca="1">IF(M118&lt;&gt;M119,1,IF(L118=OFFSET(NameConv!$F$45,0,M118),K118+1,K118))</f>
        <v>4</v>
      </c>
      <c r="L119" s="495">
        <f t="shared" ca="1" si="18"/>
        <v>10</v>
      </c>
      <c r="M119" s="526">
        <f ca="1">IF(AND(K118=$K$7,L118=SUMIF(NameConv!$G$4:$M$4,MID(C118,2,3),NameConv!$G$45:$M$45)),M118+1,M118)</f>
        <v>3</v>
      </c>
    </row>
    <row r="120" spans="1:13">
      <c r="A120" s="883" t="str">
        <f ca="1">IF(INDEX(Demand.Sectors,MATCH(MID(C120,2,3),NameConv!$G$4:$M$4,0)),"","*")</f>
        <v/>
      </c>
      <c r="B120" s="515" t="str">
        <f t="shared" ca="1" si="15"/>
        <v>TOP-IN</v>
      </c>
      <c r="C120" s="515" t="str">
        <f ca="1">"X"&amp;OFFSET(NameConv!$F$4,0,M120)&amp;OFFSET(NameConv!$F$59,L120,M120)</f>
        <v>XINDOLP</v>
      </c>
      <c r="D120" s="515" t="str">
        <f t="shared" ca="1" si="16"/>
        <v>OLP</v>
      </c>
      <c r="E120" s="515" t="str">
        <f t="shared" ca="1" si="17"/>
        <v>-</v>
      </c>
      <c r="F120" s="515" t="str">
        <f t="shared" ca="1" si="19"/>
        <v>-</v>
      </c>
      <c r="G120" s="515" t="str">
        <f t="shared" ca="1" si="19"/>
        <v>-</v>
      </c>
      <c r="H120" s="515" t="str">
        <f t="shared" ca="1" si="19"/>
        <v>-</v>
      </c>
      <c r="I120" s="518">
        <f t="shared" ca="1" si="20"/>
        <v>1</v>
      </c>
      <c r="K120" s="495">
        <f ca="1">IF(M119&lt;&gt;M120,1,IF(L119=OFFSET(NameConv!$F$45,0,M119),K119+1,K119))</f>
        <v>4</v>
      </c>
      <c r="L120" s="495">
        <f t="shared" ca="1" si="18"/>
        <v>11</v>
      </c>
      <c r="M120" s="526">
        <f ca="1">IF(AND(K119=$K$7,L119=SUMIF(NameConv!$G$4:$M$4,MID(C119,2,3),NameConv!$G$45:$M$45)),M119+1,M119)</f>
        <v>3</v>
      </c>
    </row>
    <row r="121" spans="1:13">
      <c r="A121" s="883" t="str">
        <f ca="1">IF(INDEX(Demand.Sectors,MATCH(MID(C121,2,3),NameConv!$G$4:$M$4,0)),"","*")</f>
        <v/>
      </c>
      <c r="B121" s="515" t="str">
        <f t="shared" ca="1" si="15"/>
        <v>TOP-IN</v>
      </c>
      <c r="C121" s="515" t="str">
        <f ca="1">"X"&amp;OFFSET(NameConv!$F$4,0,M121)&amp;OFFSET(NameConv!$F$59,L121,M121)</f>
        <v>XINDWAS</v>
      </c>
      <c r="D121" s="515" t="str">
        <f t="shared" ca="1" si="16"/>
        <v>WAS</v>
      </c>
      <c r="E121" s="515" t="str">
        <f t="shared" ca="1" si="17"/>
        <v>-</v>
      </c>
      <c r="F121" s="515" t="str">
        <f t="shared" ca="1" si="19"/>
        <v>-</v>
      </c>
      <c r="G121" s="515" t="str">
        <f t="shared" ca="1" si="19"/>
        <v>-</v>
      </c>
      <c r="H121" s="515" t="str">
        <f t="shared" ca="1" si="19"/>
        <v>-</v>
      </c>
      <c r="I121" s="518">
        <f t="shared" ca="1" si="20"/>
        <v>1</v>
      </c>
      <c r="K121" s="495">
        <f ca="1">IF(M120&lt;&gt;M121,1,IF(L120=OFFSET(NameConv!$F$45,0,M120),K120+1,K120))</f>
        <v>4</v>
      </c>
      <c r="L121" s="495">
        <f t="shared" ca="1" si="18"/>
        <v>12</v>
      </c>
      <c r="M121" s="526">
        <f ca="1">IF(AND(K120=$K$7,L120=SUMIF(NameConv!$G$4:$M$4,MID(C120,2,3),NameConv!$G$45:$M$45)),M120+1,M120)</f>
        <v>3</v>
      </c>
    </row>
    <row r="122" spans="1:13">
      <c r="A122" s="883" t="str">
        <f ca="1">IF(INDEX(Demand.Sectors,MATCH(MID(C122,2,3),NameConv!$G$4:$M$4,0)),"","*")</f>
        <v/>
      </c>
      <c r="B122" s="515" t="str">
        <f t="shared" ca="1" si="15"/>
        <v>PRC_ACTUNT</v>
      </c>
      <c r="C122" s="515" t="str">
        <f ca="1">"X"&amp;OFFSET(NameConv!$F$4,0,M122)&amp;OFFSET(NameConv!$F$59,L122,M122)</f>
        <v>XTRAELC</v>
      </c>
      <c r="D122" s="515" t="str">
        <f t="shared" ca="1" si="16"/>
        <v>-</v>
      </c>
      <c r="E122" s="515" t="str">
        <f t="shared" ca="1" si="17"/>
        <v>TRAELC</v>
      </c>
      <c r="F122" s="515" t="str">
        <f t="shared" ca="1" si="19"/>
        <v>-</v>
      </c>
      <c r="G122" s="515" t="str">
        <f t="shared" ca="1" si="19"/>
        <v>-</v>
      </c>
      <c r="H122" s="515" t="str">
        <f t="shared" ca="1" si="19"/>
        <v>-</v>
      </c>
      <c r="I122" s="518">
        <f t="shared" ca="1" si="20"/>
        <v>1</v>
      </c>
      <c r="K122" s="495">
        <f ca="1">IF(M121&lt;&gt;M122,1,IF(L121=OFFSET(NameConv!$F$45,0,M121),K121+1,K121))</f>
        <v>1</v>
      </c>
      <c r="L122" s="495">
        <f t="shared" ca="1" si="18"/>
        <v>1</v>
      </c>
      <c r="M122" s="526">
        <f ca="1">IF(AND(K121=$K$7,L121=SUMIF(NameConv!$G$4:$M$4,MID(C121,2,3),NameConv!$G$45:$M$45)),M121+1,M121)</f>
        <v>4</v>
      </c>
    </row>
    <row r="123" spans="1:13">
      <c r="A123" s="883" t="str">
        <f ca="1">IF(INDEX(Demand.Sectors,MATCH(MID(C123,2,3),NameConv!$G$4:$M$4,0)),"","*")</f>
        <v/>
      </c>
      <c r="B123" s="515" t="str">
        <f t="shared" ca="1" si="15"/>
        <v>PRC_ACTUNT</v>
      </c>
      <c r="C123" s="515" t="str">
        <f ca="1">"X"&amp;OFFSET(NameConv!$F$4,0,M123)&amp;OFFSET(NameConv!$F$59,L123,M123)</f>
        <v>XTRAGAS</v>
      </c>
      <c r="D123" s="515" t="str">
        <f t="shared" ca="1" si="16"/>
        <v>-</v>
      </c>
      <c r="E123" s="515" t="str">
        <f t="shared" ca="1" si="17"/>
        <v>TRAGAS</v>
      </c>
      <c r="F123" s="515" t="str">
        <f t="shared" ca="1" si="19"/>
        <v>-</v>
      </c>
      <c r="G123" s="515" t="str">
        <f t="shared" ca="1" si="19"/>
        <v>-</v>
      </c>
      <c r="H123" s="515" t="str">
        <f t="shared" ca="1" si="19"/>
        <v>-</v>
      </c>
      <c r="I123" s="518">
        <f t="shared" ca="1" si="20"/>
        <v>1</v>
      </c>
      <c r="K123" s="495">
        <f ca="1">IF(M122&lt;&gt;M123,1,IF(L122=OFFSET(NameConv!$F$45,0,M122),K122+1,K122))</f>
        <v>1</v>
      </c>
      <c r="L123" s="495">
        <f t="shared" ca="1" si="18"/>
        <v>2</v>
      </c>
      <c r="M123" s="526">
        <f ca="1">IF(AND(K122=$K$7,L122=SUMIF(NameConv!$G$4:$M$4,MID(C122,2,3),NameConv!$G$45:$M$45)),M122+1,M122)</f>
        <v>4</v>
      </c>
    </row>
    <row r="124" spans="1:13">
      <c r="A124" s="883" t="str">
        <f ca="1">IF(INDEX(Demand.Sectors,MATCH(MID(C124,2,3),NameConv!$G$4:$M$4,0)),"","*")</f>
        <v/>
      </c>
      <c r="B124" s="515" t="str">
        <f t="shared" ca="1" si="15"/>
        <v>PRC_ACTUNT</v>
      </c>
      <c r="C124" s="515" t="str">
        <f ca="1">"X"&amp;OFFSET(NameConv!$F$4,0,M124)&amp;OFFSET(NameConv!$F$59,L124,M124)</f>
        <v>XTRAHGN</v>
      </c>
      <c r="D124" s="515" t="str">
        <f t="shared" ca="1" si="16"/>
        <v>-</v>
      </c>
      <c r="E124" s="515" t="str">
        <f t="shared" ca="1" si="17"/>
        <v>TRAHGN</v>
      </c>
      <c r="F124" s="515" t="str">
        <f t="shared" ca="1" si="19"/>
        <v>-</v>
      </c>
      <c r="G124" s="515" t="str">
        <f t="shared" ca="1" si="19"/>
        <v>-</v>
      </c>
      <c r="H124" s="515" t="str">
        <f t="shared" ca="1" si="19"/>
        <v>-</v>
      </c>
      <c r="I124" s="518">
        <f t="shared" ca="1" si="20"/>
        <v>1</v>
      </c>
      <c r="K124" s="495">
        <f ca="1">IF(M123&lt;&gt;M124,1,IF(L123=OFFSET(NameConv!$F$45,0,M123),K123+1,K123))</f>
        <v>1</v>
      </c>
      <c r="L124" s="495">
        <f t="shared" ca="1" si="18"/>
        <v>3</v>
      </c>
      <c r="M124" s="526">
        <f ca="1">IF(AND(K123=$K$7,L123=SUMIF(NameConv!$G$4:$M$4,MID(C123,2,3),NameConv!$G$45:$M$45)),M123+1,M123)</f>
        <v>4</v>
      </c>
    </row>
    <row r="125" spans="1:13">
      <c r="A125" s="883" t="str">
        <f ca="1">IF(INDEX(Demand.Sectors,MATCH(MID(C125,2,3),NameConv!$G$4:$M$4,0)),"","*")</f>
        <v/>
      </c>
      <c r="B125" s="515" t="str">
        <f t="shared" ca="1" si="15"/>
        <v>PRC_ACTUNT</v>
      </c>
      <c r="C125" s="515" t="str">
        <f ca="1">"X"&amp;OFFSET(NameConv!$F$4,0,M125)&amp;OFFSET(NameConv!$F$59,L125,M125)</f>
        <v>XTRAOAG</v>
      </c>
      <c r="D125" s="515" t="str">
        <f t="shared" ca="1" si="16"/>
        <v>-</v>
      </c>
      <c r="E125" s="515" t="str">
        <f t="shared" ca="1" si="17"/>
        <v>TRAOAG</v>
      </c>
      <c r="F125" s="515" t="str">
        <f t="shared" ca="1" si="19"/>
        <v>-</v>
      </c>
      <c r="G125" s="515" t="str">
        <f t="shared" ca="1" si="19"/>
        <v>-</v>
      </c>
      <c r="H125" s="515" t="str">
        <f t="shared" ca="1" si="19"/>
        <v>-</v>
      </c>
      <c r="I125" s="518">
        <f t="shared" ca="1" si="20"/>
        <v>1</v>
      </c>
      <c r="K125" s="495">
        <f ca="1">IF(M124&lt;&gt;M125,1,IF(L124=OFFSET(NameConv!$F$45,0,M124),K124+1,K124))</f>
        <v>1</v>
      </c>
      <c r="L125" s="495">
        <f t="shared" ca="1" si="18"/>
        <v>4</v>
      </c>
      <c r="M125" s="526">
        <f ca="1">IF(AND(K124=$K$7,L124=SUMIF(NameConv!$G$4:$M$4,MID(C124,2,3),NameConv!$G$45:$M$45)),M124+1,M124)</f>
        <v>4</v>
      </c>
    </row>
    <row r="126" spans="1:13">
      <c r="A126" s="883" t="str">
        <f ca="1">IF(INDEX(Demand.Sectors,MATCH(MID(C126,2,3),NameConv!$G$4:$M$4,0)),"","*")</f>
        <v/>
      </c>
      <c r="B126" s="515" t="str">
        <f t="shared" ca="1" si="15"/>
        <v>PRC_ACTUNT</v>
      </c>
      <c r="C126" s="515" t="str">
        <f ca="1">"X"&amp;OFFSET(NameConv!$F$4,0,M126)&amp;OFFSET(NameConv!$F$59,L126,M126)</f>
        <v>XTRAODS</v>
      </c>
      <c r="D126" s="515" t="str">
        <f t="shared" ca="1" si="16"/>
        <v>-</v>
      </c>
      <c r="E126" s="515" t="str">
        <f t="shared" ca="1" si="17"/>
        <v>TRAODS</v>
      </c>
      <c r="F126" s="515" t="str">
        <f t="shared" ca="1" si="19"/>
        <v>-</v>
      </c>
      <c r="G126" s="515" t="str">
        <f t="shared" ca="1" si="19"/>
        <v>-</v>
      </c>
      <c r="H126" s="515" t="str">
        <f t="shared" ca="1" si="19"/>
        <v>-</v>
      </c>
      <c r="I126" s="518">
        <f t="shared" ca="1" si="20"/>
        <v>1</v>
      </c>
      <c r="K126" s="495">
        <f ca="1">IF(M125&lt;&gt;M126,1,IF(L125=OFFSET(NameConv!$F$45,0,M125),K125+1,K125))</f>
        <v>1</v>
      </c>
      <c r="L126" s="495">
        <f t="shared" ca="1" si="18"/>
        <v>5</v>
      </c>
      <c r="M126" s="526">
        <f ca="1">IF(AND(K125=$K$7,L125=SUMIF(NameConv!$G$4:$M$4,MID(C125,2,3),NameConv!$G$45:$M$45)),M125+1,M125)</f>
        <v>4</v>
      </c>
    </row>
    <row r="127" spans="1:13">
      <c r="A127" s="883" t="str">
        <f ca="1">IF(INDEX(Demand.Sectors,MATCH(MID(C127,2,3),NameConv!$G$4:$M$4,0)),"","*")</f>
        <v/>
      </c>
      <c r="B127" s="515" t="str">
        <f t="shared" ca="1" si="15"/>
        <v>PRC_ACTUNT</v>
      </c>
      <c r="C127" s="515" t="str">
        <f ca="1">"X"&amp;OFFSET(NameConv!$F$4,0,M127)&amp;OFFSET(NameConv!$F$59,L127,M127)</f>
        <v>XTRAOGS</v>
      </c>
      <c r="D127" s="515" t="str">
        <f t="shared" ca="1" si="16"/>
        <v>-</v>
      </c>
      <c r="E127" s="515" t="str">
        <f t="shared" ca="1" si="17"/>
        <v>TRAOGS</v>
      </c>
      <c r="F127" s="515" t="str">
        <f t="shared" ca="1" si="19"/>
        <v>-</v>
      </c>
      <c r="G127" s="515" t="str">
        <f t="shared" ca="1" si="19"/>
        <v>-</v>
      </c>
      <c r="H127" s="515" t="str">
        <f t="shared" ca="1" si="19"/>
        <v>-</v>
      </c>
      <c r="I127" s="518">
        <f t="shared" ca="1" si="20"/>
        <v>1</v>
      </c>
      <c r="K127" s="495">
        <f ca="1">IF(M126&lt;&gt;M127,1,IF(L126=OFFSET(NameConv!$F$45,0,M126),K126+1,K126))</f>
        <v>1</v>
      </c>
      <c r="L127" s="495">
        <f t="shared" ca="1" si="18"/>
        <v>6</v>
      </c>
      <c r="M127" s="526">
        <f ca="1">IF(AND(K126=$K$7,L126=SUMIF(NameConv!$G$4:$M$4,MID(C126,2,3),NameConv!$G$45:$M$45)),M126+1,M126)</f>
        <v>4</v>
      </c>
    </row>
    <row r="128" spans="1:13">
      <c r="A128" s="883" t="str">
        <f ca="1">IF(INDEX(Demand.Sectors,MATCH(MID(C128,2,3),NameConv!$G$4:$M$4,0)),"","*")</f>
        <v/>
      </c>
      <c r="B128" s="515" t="str">
        <f t="shared" ca="1" si="15"/>
        <v>PRC_ACTUNT</v>
      </c>
      <c r="C128" s="515" t="str">
        <f ca="1">"X"&amp;OFFSET(NameConv!$F$4,0,M128)&amp;OFFSET(NameConv!$F$59,L128,M128)</f>
        <v>XTRAOHF</v>
      </c>
      <c r="D128" s="515" t="str">
        <f t="shared" ca="1" si="16"/>
        <v>-</v>
      </c>
      <c r="E128" s="515" t="str">
        <f t="shared" ca="1" si="17"/>
        <v>TRAOHF</v>
      </c>
      <c r="F128" s="515" t="str">
        <f t="shared" ca="1" si="19"/>
        <v>-</v>
      </c>
      <c r="G128" s="515" t="str">
        <f t="shared" ca="1" si="19"/>
        <v>-</v>
      </c>
      <c r="H128" s="515" t="str">
        <f t="shared" ca="1" si="19"/>
        <v>-</v>
      </c>
      <c r="I128" s="518">
        <f t="shared" ca="1" si="20"/>
        <v>1</v>
      </c>
      <c r="K128" s="495">
        <f ca="1">IF(M127&lt;&gt;M128,1,IF(L127=OFFSET(NameConv!$F$45,0,M127),K127+1,K127))</f>
        <v>1</v>
      </c>
      <c r="L128" s="495">
        <f t="shared" ca="1" si="18"/>
        <v>7</v>
      </c>
      <c r="M128" s="526">
        <f ca="1">IF(AND(K127=$K$7,L127=SUMIF(NameConv!$G$4:$M$4,MID(C127,2,3),NameConv!$G$45:$M$45)),M127+1,M127)</f>
        <v>4</v>
      </c>
    </row>
    <row r="129" spans="1:13">
      <c r="A129" s="883" t="str">
        <f ca="1">IF(INDEX(Demand.Sectors,MATCH(MID(C129,2,3),NameConv!$G$4:$M$4,0)),"","*")</f>
        <v/>
      </c>
      <c r="B129" s="515" t="str">
        <f t="shared" ca="1" si="15"/>
        <v>PRC_ACTUNT</v>
      </c>
      <c r="C129" s="515" t="str">
        <f ca="1">"X"&amp;OFFSET(NameConv!$F$4,0,M129)&amp;OFFSET(NameConv!$F$59,L129,M129)</f>
        <v>XTRAOKE</v>
      </c>
      <c r="D129" s="515" t="str">
        <f t="shared" ca="1" si="16"/>
        <v>-</v>
      </c>
      <c r="E129" s="515" t="str">
        <f t="shared" ca="1" si="17"/>
        <v>TRAOKE</v>
      </c>
      <c r="F129" s="515" t="str">
        <f t="shared" ca="1" si="19"/>
        <v>-</v>
      </c>
      <c r="G129" s="515" t="str">
        <f t="shared" ca="1" si="19"/>
        <v>-</v>
      </c>
      <c r="H129" s="515" t="str">
        <f t="shared" ca="1" si="19"/>
        <v>-</v>
      </c>
      <c r="I129" s="518">
        <f t="shared" ca="1" si="20"/>
        <v>1</v>
      </c>
      <c r="K129" s="495">
        <f ca="1">IF(M128&lt;&gt;M129,1,IF(L128=OFFSET(NameConv!$F$45,0,M128),K128+1,K128))</f>
        <v>1</v>
      </c>
      <c r="L129" s="495">
        <f t="shared" ca="1" si="18"/>
        <v>8</v>
      </c>
      <c r="M129" s="526">
        <f ca="1">IF(AND(K128=$K$7,L128=SUMIF(NameConv!$G$4:$M$4,MID(C128,2,3),NameConv!$G$45:$M$45)),M128+1,M128)</f>
        <v>4</v>
      </c>
    </row>
    <row r="130" spans="1:13">
      <c r="A130" s="883" t="str">
        <f ca="1">IF(INDEX(Demand.Sectors,MATCH(MID(C130,2,3),NameConv!$G$4:$M$4,0)),"","*")</f>
        <v/>
      </c>
      <c r="B130" s="515" t="str">
        <f t="shared" ca="1" si="15"/>
        <v>PRC_CAPACT</v>
      </c>
      <c r="C130" s="515" t="str">
        <f ca="1">"X"&amp;OFFSET(NameConv!$F$4,0,M130)&amp;OFFSET(NameConv!$F$59,L130,M130)</f>
        <v>XTRAELC</v>
      </c>
      <c r="D130" s="515" t="str">
        <f t="shared" ca="1" si="16"/>
        <v>-</v>
      </c>
      <c r="E130" s="515" t="str">
        <f t="shared" ca="1" si="17"/>
        <v>-</v>
      </c>
      <c r="F130" s="515" t="str">
        <f t="shared" ca="1" si="19"/>
        <v>-</v>
      </c>
      <c r="G130" s="515" t="str">
        <f t="shared" ca="1" si="19"/>
        <v>-</v>
      </c>
      <c r="H130" s="515" t="str">
        <f t="shared" ca="1" si="19"/>
        <v>-</v>
      </c>
      <c r="I130" s="518">
        <f t="shared" ca="1" si="20"/>
        <v>31.536000000000001</v>
      </c>
      <c r="K130" s="495">
        <f ca="1">IF(M129&lt;&gt;M130,1,IF(L129=OFFSET(NameConv!$F$45,0,M129),K129+1,K129))</f>
        <v>2</v>
      </c>
      <c r="L130" s="495">
        <f t="shared" ca="1" si="18"/>
        <v>1</v>
      </c>
      <c r="M130" s="526">
        <f ca="1">IF(AND(K129=$K$7,L129=SUMIF(NameConv!$G$4:$M$4,MID(C129,2,3),NameConv!$G$45:$M$45)),M129+1,M129)</f>
        <v>4</v>
      </c>
    </row>
    <row r="131" spans="1:13">
      <c r="A131" s="883" t="str">
        <f ca="1">IF(INDEX(Demand.Sectors,MATCH(MID(C131,2,3),NameConv!$G$4:$M$4,0)),"","*")</f>
        <v/>
      </c>
      <c r="B131" s="515" t="str">
        <f t="shared" ca="1" si="15"/>
        <v>PRC_CAPACT</v>
      </c>
      <c r="C131" s="515" t="str">
        <f ca="1">"X"&amp;OFFSET(NameConv!$F$4,0,M131)&amp;OFFSET(NameConv!$F$59,L131,M131)</f>
        <v>XTRAGAS</v>
      </c>
      <c r="D131" s="515" t="str">
        <f t="shared" ca="1" si="16"/>
        <v>-</v>
      </c>
      <c r="E131" s="515" t="str">
        <f t="shared" ca="1" si="17"/>
        <v>-</v>
      </c>
      <c r="F131" s="515" t="str">
        <f t="shared" ca="1" si="19"/>
        <v>-</v>
      </c>
      <c r="G131" s="515" t="str">
        <f t="shared" ca="1" si="19"/>
        <v>-</v>
      </c>
      <c r="H131" s="515" t="str">
        <f t="shared" ca="1" si="19"/>
        <v>-</v>
      </c>
      <c r="I131" s="518">
        <f t="shared" ca="1" si="20"/>
        <v>1</v>
      </c>
      <c r="K131" s="495">
        <f ca="1">IF(M130&lt;&gt;M131,1,IF(L130=OFFSET(NameConv!$F$45,0,M130),K130+1,K130))</f>
        <v>2</v>
      </c>
      <c r="L131" s="495">
        <f t="shared" ca="1" si="18"/>
        <v>2</v>
      </c>
      <c r="M131" s="526">
        <f ca="1">IF(AND(K130=$K$7,L130=SUMIF(NameConv!$G$4:$M$4,MID(C130,2,3),NameConv!$G$45:$M$45)),M130+1,M130)</f>
        <v>4</v>
      </c>
    </row>
    <row r="132" spans="1:13">
      <c r="A132" s="883" t="str">
        <f ca="1">IF(INDEX(Demand.Sectors,MATCH(MID(C132,2,3),NameConv!$G$4:$M$4,0)),"","*")</f>
        <v/>
      </c>
      <c r="B132" s="515" t="str">
        <f t="shared" ca="1" si="15"/>
        <v>PRC_CAPACT</v>
      </c>
      <c r="C132" s="515" t="str">
        <f ca="1">"X"&amp;OFFSET(NameConv!$F$4,0,M132)&amp;OFFSET(NameConv!$F$59,L132,M132)</f>
        <v>XTRAHGN</v>
      </c>
      <c r="D132" s="515" t="str">
        <f t="shared" ca="1" si="16"/>
        <v>-</v>
      </c>
      <c r="E132" s="515" t="str">
        <f t="shared" ca="1" si="17"/>
        <v>-</v>
      </c>
      <c r="F132" s="515" t="str">
        <f t="shared" ca="1" si="19"/>
        <v>-</v>
      </c>
      <c r="G132" s="515" t="str">
        <f t="shared" ca="1" si="19"/>
        <v>-</v>
      </c>
      <c r="H132" s="515" t="str">
        <f t="shared" ca="1" si="19"/>
        <v>-</v>
      </c>
      <c r="I132" s="518">
        <f t="shared" ca="1" si="20"/>
        <v>1</v>
      </c>
      <c r="K132" s="495">
        <f ca="1">IF(M131&lt;&gt;M132,1,IF(L131=OFFSET(NameConv!$F$45,0,M131),K131+1,K131))</f>
        <v>2</v>
      </c>
      <c r="L132" s="495">
        <f t="shared" ca="1" si="18"/>
        <v>3</v>
      </c>
      <c r="M132" s="526">
        <f ca="1">IF(AND(K131=$K$7,L131=SUMIF(NameConv!$G$4:$M$4,MID(C131,2,3),NameConv!$G$45:$M$45)),M131+1,M131)</f>
        <v>4</v>
      </c>
    </row>
    <row r="133" spans="1:13">
      <c r="A133" s="883" t="str">
        <f ca="1">IF(INDEX(Demand.Sectors,MATCH(MID(C133,2,3),NameConv!$G$4:$M$4,0)),"","*")</f>
        <v/>
      </c>
      <c r="B133" s="515" t="str">
        <f t="shared" ca="1" si="15"/>
        <v>PRC_CAPACT</v>
      </c>
      <c r="C133" s="515" t="str">
        <f ca="1">"X"&amp;OFFSET(NameConv!$F$4,0,M133)&amp;OFFSET(NameConv!$F$59,L133,M133)</f>
        <v>XTRAOAG</v>
      </c>
      <c r="D133" s="515" t="str">
        <f t="shared" ca="1" si="16"/>
        <v>-</v>
      </c>
      <c r="E133" s="515" t="str">
        <f t="shared" ca="1" si="17"/>
        <v>-</v>
      </c>
      <c r="F133" s="515" t="str">
        <f t="shared" ca="1" si="19"/>
        <v>-</v>
      </c>
      <c r="G133" s="515" t="str">
        <f t="shared" ca="1" si="19"/>
        <v>-</v>
      </c>
      <c r="H133" s="515" t="str">
        <f t="shared" ca="1" si="19"/>
        <v>-</v>
      </c>
      <c r="I133" s="518">
        <f t="shared" ca="1" si="20"/>
        <v>1</v>
      </c>
      <c r="K133" s="495">
        <f ca="1">IF(M132&lt;&gt;M133,1,IF(L132=OFFSET(NameConv!$F$45,0,M132),K132+1,K132))</f>
        <v>2</v>
      </c>
      <c r="L133" s="495">
        <f t="shared" ca="1" si="18"/>
        <v>4</v>
      </c>
      <c r="M133" s="526">
        <f ca="1">IF(AND(K132=$K$7,L132=SUMIF(NameConv!$G$4:$M$4,MID(C132,2,3),NameConv!$G$45:$M$45)),M132+1,M132)</f>
        <v>4</v>
      </c>
    </row>
    <row r="134" spans="1:13">
      <c r="A134" s="883" t="str">
        <f ca="1">IF(INDEX(Demand.Sectors,MATCH(MID(C134,2,3),NameConv!$G$4:$M$4,0)),"","*")</f>
        <v/>
      </c>
      <c r="B134" s="515" t="str">
        <f t="shared" ca="1" si="15"/>
        <v>PRC_CAPACT</v>
      </c>
      <c r="C134" s="515" t="str">
        <f ca="1">"X"&amp;OFFSET(NameConv!$F$4,0,M134)&amp;OFFSET(NameConv!$F$59,L134,M134)</f>
        <v>XTRAODS</v>
      </c>
      <c r="D134" s="515" t="str">
        <f t="shared" ref="D134:D153" ca="1" si="21">IF($A134="*","",IF($B134="TOP-OUT",RIGHT(C134,6),IF($B134="TOP-IN",RIGHT(C134,3),"-")))</f>
        <v>-</v>
      </c>
      <c r="E134" s="515" t="str">
        <f t="shared" ref="E134:E153" ca="1" si="22">IF($A134="*","",IF($B134="PRC_ACTUNT",RIGHT(C134,6),"-"))</f>
        <v>-</v>
      </c>
      <c r="F134" s="515" t="str">
        <f t="shared" ca="1" si="19"/>
        <v>-</v>
      </c>
      <c r="G134" s="515" t="str">
        <f t="shared" ca="1" si="19"/>
        <v>-</v>
      </c>
      <c r="H134" s="515" t="str">
        <f t="shared" ca="1" si="19"/>
        <v>-</v>
      </c>
      <c r="I134" s="518">
        <f t="shared" ca="1" si="20"/>
        <v>1</v>
      </c>
      <c r="K134" s="495">
        <f ca="1">IF(M133&lt;&gt;M134,1,IF(L133=OFFSET(NameConv!$F$45,0,M133),K133+1,K133))</f>
        <v>2</v>
      </c>
      <c r="L134" s="495">
        <f t="shared" ref="L134:L153" ca="1" si="23">IF(K134=K133,L133+1,1)</f>
        <v>5</v>
      </c>
      <c r="M134" s="526">
        <f ca="1">IF(AND(K133=$K$7,L133=SUMIF(NameConv!$G$4:$M$4,MID(C133,2,3),NameConv!$G$45:$M$45)),M133+1,M133)</f>
        <v>4</v>
      </c>
    </row>
    <row r="135" spans="1:13">
      <c r="A135" s="883" t="str">
        <f ca="1">IF(INDEX(Demand.Sectors,MATCH(MID(C135,2,3),NameConv!$G$4:$M$4,0)),"","*")</f>
        <v/>
      </c>
      <c r="B135" s="515" t="str">
        <f t="shared" ca="1" si="15"/>
        <v>PRC_CAPACT</v>
      </c>
      <c r="C135" s="515" t="str">
        <f ca="1">"X"&amp;OFFSET(NameConv!$F$4,0,M135)&amp;OFFSET(NameConv!$F$59,L135,M135)</f>
        <v>XTRAOGS</v>
      </c>
      <c r="D135" s="515" t="str">
        <f t="shared" ca="1" si="21"/>
        <v>-</v>
      </c>
      <c r="E135" s="515" t="str">
        <f t="shared" ca="1" si="22"/>
        <v>-</v>
      </c>
      <c r="F135" s="515" t="str">
        <f t="shared" ref="F135:H154" ca="1" si="24">IF($A135="*","","-")</f>
        <v>-</v>
      </c>
      <c r="G135" s="515" t="str">
        <f t="shared" ca="1" si="24"/>
        <v>-</v>
      </c>
      <c r="H135" s="515" t="str">
        <f t="shared" ca="1" si="24"/>
        <v>-</v>
      </c>
      <c r="I135" s="518">
        <f t="shared" ca="1" si="20"/>
        <v>1</v>
      </c>
      <c r="K135" s="495">
        <f ca="1">IF(M134&lt;&gt;M135,1,IF(L134=OFFSET(NameConv!$F$45,0,M134),K134+1,K134))</f>
        <v>2</v>
      </c>
      <c r="L135" s="495">
        <f t="shared" ca="1" si="23"/>
        <v>6</v>
      </c>
      <c r="M135" s="526">
        <f ca="1">IF(AND(K134=$K$7,L134=SUMIF(NameConv!$G$4:$M$4,MID(C134,2,3),NameConv!$G$45:$M$45)),M134+1,M134)</f>
        <v>4</v>
      </c>
    </row>
    <row r="136" spans="1:13">
      <c r="A136" s="883" t="str">
        <f ca="1">IF(INDEX(Demand.Sectors,MATCH(MID(C136,2,3),NameConv!$G$4:$M$4,0)),"","*")</f>
        <v/>
      </c>
      <c r="B136" s="515" t="str">
        <f t="shared" ca="1" si="15"/>
        <v>PRC_CAPACT</v>
      </c>
      <c r="C136" s="515" t="str">
        <f ca="1">"X"&amp;OFFSET(NameConv!$F$4,0,M136)&amp;OFFSET(NameConv!$F$59,L136,M136)</f>
        <v>XTRAOHF</v>
      </c>
      <c r="D136" s="515" t="str">
        <f t="shared" ca="1" si="21"/>
        <v>-</v>
      </c>
      <c r="E136" s="515" t="str">
        <f t="shared" ca="1" si="22"/>
        <v>-</v>
      </c>
      <c r="F136" s="515" t="str">
        <f t="shared" ca="1" si="24"/>
        <v>-</v>
      </c>
      <c r="G136" s="515" t="str">
        <f t="shared" ca="1" si="24"/>
        <v>-</v>
      </c>
      <c r="H136" s="515" t="str">
        <f t="shared" ca="1" si="24"/>
        <v>-</v>
      </c>
      <c r="I136" s="518">
        <f t="shared" ca="1" si="20"/>
        <v>1</v>
      </c>
      <c r="K136" s="495">
        <f ca="1">IF(M135&lt;&gt;M136,1,IF(L135=OFFSET(NameConv!$F$45,0,M135),K135+1,K135))</f>
        <v>2</v>
      </c>
      <c r="L136" s="495">
        <f t="shared" ca="1" si="23"/>
        <v>7</v>
      </c>
      <c r="M136" s="526">
        <f ca="1">IF(AND(K135=$K$7,L135=SUMIF(NameConv!$G$4:$M$4,MID(C135,2,3),NameConv!$G$45:$M$45)),M135+1,M135)</f>
        <v>4</v>
      </c>
    </row>
    <row r="137" spans="1:13">
      <c r="A137" s="883" t="str">
        <f ca="1">IF(INDEX(Demand.Sectors,MATCH(MID(C137,2,3),NameConv!$G$4:$M$4,0)),"","*")</f>
        <v/>
      </c>
      <c r="B137" s="515" t="str">
        <f t="shared" ca="1" si="15"/>
        <v>PRC_CAPACT</v>
      </c>
      <c r="C137" s="515" t="str">
        <f ca="1">"X"&amp;OFFSET(NameConv!$F$4,0,M137)&amp;OFFSET(NameConv!$F$59,L137,M137)</f>
        <v>XTRAOKE</v>
      </c>
      <c r="D137" s="515" t="str">
        <f t="shared" ca="1" si="21"/>
        <v>-</v>
      </c>
      <c r="E137" s="515" t="str">
        <f t="shared" ca="1" si="22"/>
        <v>-</v>
      </c>
      <c r="F137" s="515" t="str">
        <f t="shared" ca="1" si="24"/>
        <v>-</v>
      </c>
      <c r="G137" s="515" t="str">
        <f t="shared" ca="1" si="24"/>
        <v>-</v>
      </c>
      <c r="H137" s="515" t="str">
        <f t="shared" ca="1" si="24"/>
        <v>-</v>
      </c>
      <c r="I137" s="518">
        <f t="shared" ca="1" si="20"/>
        <v>1</v>
      </c>
      <c r="K137" s="495">
        <f ca="1">IF(M136&lt;&gt;M137,1,IF(L136=OFFSET(NameConv!$F$45,0,M136),K136+1,K136))</f>
        <v>2</v>
      </c>
      <c r="L137" s="495">
        <f t="shared" ca="1" si="23"/>
        <v>8</v>
      </c>
      <c r="M137" s="526">
        <f ca="1">IF(AND(K136=$K$7,L136=SUMIF(NameConv!$G$4:$M$4,MID(C136,2,3),NameConv!$G$45:$M$45)),M136+1,M136)</f>
        <v>4</v>
      </c>
    </row>
    <row r="138" spans="1:13">
      <c r="A138" s="883" t="str">
        <f ca="1">IF(INDEX(Demand.Sectors,MATCH(MID(C138,2,3),NameConv!$G$4:$M$4,0)),"","*")</f>
        <v/>
      </c>
      <c r="B138" s="515" t="str">
        <f t="shared" ca="1" si="15"/>
        <v>TOP-OUT</v>
      </c>
      <c r="C138" s="515" t="str">
        <f ca="1">"X"&amp;OFFSET(NameConv!$F$4,0,M138)&amp;OFFSET(NameConv!$F$59,L138,M138)</f>
        <v>XTRAELC</v>
      </c>
      <c r="D138" s="515" t="str">
        <f t="shared" ca="1" si="21"/>
        <v>TRAELC</v>
      </c>
      <c r="E138" s="515" t="str">
        <f t="shared" ca="1" si="22"/>
        <v>-</v>
      </c>
      <c r="F138" s="515" t="str">
        <f t="shared" ca="1" si="24"/>
        <v>-</v>
      </c>
      <c r="G138" s="515" t="str">
        <f t="shared" ca="1" si="24"/>
        <v>-</v>
      </c>
      <c r="H138" s="515" t="str">
        <f t="shared" ca="1" si="24"/>
        <v>-</v>
      </c>
      <c r="I138" s="518">
        <f t="shared" ca="1" si="20"/>
        <v>1</v>
      </c>
      <c r="K138" s="495">
        <f ca="1">IF(M137&lt;&gt;M138,1,IF(L137=OFFSET(NameConv!$F$45,0,M137),K137+1,K137))</f>
        <v>3</v>
      </c>
      <c r="L138" s="495">
        <f t="shared" ca="1" si="23"/>
        <v>1</v>
      </c>
      <c r="M138" s="526">
        <f ca="1">IF(AND(K137=$K$7,L137=SUMIF(NameConv!$G$4:$M$4,MID(C137,2,3),NameConv!$G$45:$M$45)),M137+1,M137)</f>
        <v>4</v>
      </c>
    </row>
    <row r="139" spans="1:13">
      <c r="A139" s="883" t="str">
        <f ca="1">IF(INDEX(Demand.Sectors,MATCH(MID(C139,2,3),NameConv!$G$4:$M$4,0)),"","*")</f>
        <v/>
      </c>
      <c r="B139" s="515" t="str">
        <f t="shared" ca="1" si="15"/>
        <v>TOP-OUT</v>
      </c>
      <c r="C139" s="515" t="str">
        <f ca="1">"X"&amp;OFFSET(NameConv!$F$4,0,M139)&amp;OFFSET(NameConv!$F$59,L139,M139)</f>
        <v>XTRAGAS</v>
      </c>
      <c r="D139" s="515" t="str">
        <f t="shared" ca="1" si="21"/>
        <v>TRAGAS</v>
      </c>
      <c r="E139" s="515" t="str">
        <f t="shared" ca="1" si="22"/>
        <v>-</v>
      </c>
      <c r="F139" s="515" t="str">
        <f t="shared" ca="1" si="24"/>
        <v>-</v>
      </c>
      <c r="G139" s="515" t="str">
        <f t="shared" ca="1" si="24"/>
        <v>-</v>
      </c>
      <c r="H139" s="515" t="str">
        <f t="shared" ca="1" si="24"/>
        <v>-</v>
      </c>
      <c r="I139" s="518">
        <f t="shared" ca="1" si="20"/>
        <v>1</v>
      </c>
      <c r="K139" s="495">
        <f ca="1">IF(M138&lt;&gt;M139,1,IF(L138=OFFSET(NameConv!$F$45,0,M138),K138+1,K138))</f>
        <v>3</v>
      </c>
      <c r="L139" s="495">
        <f t="shared" ca="1" si="23"/>
        <v>2</v>
      </c>
      <c r="M139" s="526">
        <f ca="1">IF(AND(K138=$K$7,L138=SUMIF(NameConv!$G$4:$M$4,MID(C138,2,3),NameConv!$G$45:$M$45)),M138+1,M138)</f>
        <v>4</v>
      </c>
    </row>
    <row r="140" spans="1:13">
      <c r="A140" s="883" t="str">
        <f ca="1">IF(INDEX(Demand.Sectors,MATCH(MID(C140,2,3),NameConv!$G$4:$M$4,0)),"","*")</f>
        <v/>
      </c>
      <c r="B140" s="515" t="str">
        <f t="shared" ca="1" si="15"/>
        <v>TOP-OUT</v>
      </c>
      <c r="C140" s="515" t="str">
        <f ca="1">"X"&amp;OFFSET(NameConv!$F$4,0,M140)&amp;OFFSET(NameConv!$F$59,L140,M140)</f>
        <v>XTRAHGN</v>
      </c>
      <c r="D140" s="515" t="str">
        <f t="shared" ca="1" si="21"/>
        <v>TRAHGN</v>
      </c>
      <c r="E140" s="515" t="str">
        <f t="shared" ca="1" si="22"/>
        <v>-</v>
      </c>
      <c r="F140" s="515" t="str">
        <f t="shared" ca="1" si="24"/>
        <v>-</v>
      </c>
      <c r="G140" s="515" t="str">
        <f t="shared" ca="1" si="24"/>
        <v>-</v>
      </c>
      <c r="H140" s="515" t="str">
        <f t="shared" ca="1" si="24"/>
        <v>-</v>
      </c>
      <c r="I140" s="518">
        <f t="shared" ca="1" si="20"/>
        <v>1</v>
      </c>
      <c r="K140" s="495">
        <f ca="1">IF(M139&lt;&gt;M140,1,IF(L139=OFFSET(NameConv!$F$45,0,M139),K139+1,K139))</f>
        <v>3</v>
      </c>
      <c r="L140" s="495">
        <f t="shared" ca="1" si="23"/>
        <v>3</v>
      </c>
      <c r="M140" s="526">
        <f ca="1">IF(AND(K139=$K$7,L139=SUMIF(NameConv!$G$4:$M$4,MID(C139,2,3),NameConv!$G$45:$M$45)),M139+1,M139)</f>
        <v>4</v>
      </c>
    </row>
    <row r="141" spans="1:13">
      <c r="A141" s="883" t="str">
        <f ca="1">IF(INDEX(Demand.Sectors,MATCH(MID(C141,2,3),NameConv!$G$4:$M$4,0)),"","*")</f>
        <v/>
      </c>
      <c r="B141" s="515" t="str">
        <f t="shared" ca="1" si="15"/>
        <v>TOP-OUT</v>
      </c>
      <c r="C141" s="515" t="str">
        <f ca="1">"X"&amp;OFFSET(NameConv!$F$4,0,M141)&amp;OFFSET(NameConv!$F$59,L141,M141)</f>
        <v>XTRAOAG</v>
      </c>
      <c r="D141" s="515" t="str">
        <f t="shared" ca="1" si="21"/>
        <v>TRAOAG</v>
      </c>
      <c r="E141" s="515" t="str">
        <f t="shared" ca="1" si="22"/>
        <v>-</v>
      </c>
      <c r="F141" s="515" t="str">
        <f t="shared" ca="1" si="24"/>
        <v>-</v>
      </c>
      <c r="G141" s="515" t="str">
        <f t="shared" ca="1" si="24"/>
        <v>-</v>
      </c>
      <c r="H141" s="515" t="str">
        <f t="shared" ca="1" si="24"/>
        <v>-</v>
      </c>
      <c r="I141" s="518">
        <f t="shared" ca="1" si="20"/>
        <v>1</v>
      </c>
      <c r="K141" s="495">
        <f ca="1">IF(M140&lt;&gt;M141,1,IF(L140=OFFSET(NameConv!$F$45,0,M140),K140+1,K140))</f>
        <v>3</v>
      </c>
      <c r="L141" s="495">
        <f t="shared" ca="1" si="23"/>
        <v>4</v>
      </c>
      <c r="M141" s="526">
        <f ca="1">IF(AND(K140=$K$7,L140=SUMIF(NameConv!$G$4:$M$4,MID(C140,2,3),NameConv!$G$45:$M$45)),M140+1,M140)</f>
        <v>4</v>
      </c>
    </row>
    <row r="142" spans="1:13">
      <c r="A142" s="883" t="str">
        <f ca="1">IF(INDEX(Demand.Sectors,MATCH(MID(C142,2,3),NameConv!$G$4:$M$4,0)),"","*")</f>
        <v/>
      </c>
      <c r="B142" s="515" t="str">
        <f t="shared" ref="B142:B205" ca="1" si="25">IF(A142="*","",VLOOKUP("*"&amp;K142,$A$9:$B$14,2,FALSE))</f>
        <v>TOP-OUT</v>
      </c>
      <c r="C142" s="515" t="str">
        <f ca="1">"X"&amp;OFFSET(NameConv!$F$4,0,M142)&amp;OFFSET(NameConv!$F$59,L142,M142)</f>
        <v>XTRAODS</v>
      </c>
      <c r="D142" s="515" t="str">
        <f t="shared" ca="1" si="21"/>
        <v>TRAODS</v>
      </c>
      <c r="E142" s="515" t="str">
        <f t="shared" ca="1" si="22"/>
        <v>-</v>
      </c>
      <c r="F142" s="515" t="str">
        <f t="shared" ca="1" si="24"/>
        <v>-</v>
      </c>
      <c r="G142" s="515" t="str">
        <f t="shared" ca="1" si="24"/>
        <v>-</v>
      </c>
      <c r="H142" s="515" t="str">
        <f t="shared" ca="1" si="24"/>
        <v>-</v>
      </c>
      <c r="I142" s="518">
        <f t="shared" ca="1" si="20"/>
        <v>1</v>
      </c>
      <c r="K142" s="495">
        <f ca="1">IF(M141&lt;&gt;M142,1,IF(L141=OFFSET(NameConv!$F$45,0,M141),K141+1,K141))</f>
        <v>3</v>
      </c>
      <c r="L142" s="495">
        <f t="shared" ca="1" si="23"/>
        <v>5</v>
      </c>
      <c r="M142" s="526">
        <f ca="1">IF(AND(K141=$K$7,L141=SUMIF(NameConv!$G$4:$M$4,MID(C141,2,3),NameConv!$G$45:$M$45)),M141+1,M141)</f>
        <v>4</v>
      </c>
    </row>
    <row r="143" spans="1:13">
      <c r="A143" s="883" t="str">
        <f ca="1">IF(INDEX(Demand.Sectors,MATCH(MID(C143,2,3),NameConv!$G$4:$M$4,0)),"","*")</f>
        <v/>
      </c>
      <c r="B143" s="515" t="str">
        <f t="shared" ca="1" si="25"/>
        <v>TOP-OUT</v>
      </c>
      <c r="C143" s="515" t="str">
        <f ca="1">"X"&amp;OFFSET(NameConv!$F$4,0,M143)&amp;OFFSET(NameConv!$F$59,L143,M143)</f>
        <v>XTRAOGS</v>
      </c>
      <c r="D143" s="515" t="str">
        <f t="shared" ca="1" si="21"/>
        <v>TRAOGS</v>
      </c>
      <c r="E143" s="515" t="str">
        <f t="shared" ca="1" si="22"/>
        <v>-</v>
      </c>
      <c r="F143" s="515" t="str">
        <f t="shared" ca="1" si="24"/>
        <v>-</v>
      </c>
      <c r="G143" s="515" t="str">
        <f t="shared" ca="1" si="24"/>
        <v>-</v>
      </c>
      <c r="H143" s="515" t="str">
        <f t="shared" ca="1" si="24"/>
        <v>-</v>
      </c>
      <c r="I143" s="518">
        <f t="shared" ref="I143:I206" ca="1" si="26">IF(AND(B143=$B$10,RIGHT(C143,3)="ELC"),31.536,1)</f>
        <v>1</v>
      </c>
      <c r="K143" s="495">
        <f ca="1">IF(M142&lt;&gt;M143,1,IF(L142=OFFSET(NameConv!$F$45,0,M142),K142+1,K142))</f>
        <v>3</v>
      </c>
      <c r="L143" s="495">
        <f t="shared" ca="1" si="23"/>
        <v>6</v>
      </c>
      <c r="M143" s="526">
        <f ca="1">IF(AND(K142=$K$7,L142=SUMIF(NameConv!$G$4:$M$4,MID(C142,2,3),NameConv!$G$45:$M$45)),M142+1,M142)</f>
        <v>4</v>
      </c>
    </row>
    <row r="144" spans="1:13">
      <c r="A144" s="883" t="str">
        <f ca="1">IF(INDEX(Demand.Sectors,MATCH(MID(C144,2,3),NameConv!$G$4:$M$4,0)),"","*")</f>
        <v/>
      </c>
      <c r="B144" s="515" t="str">
        <f t="shared" ca="1" si="25"/>
        <v>TOP-OUT</v>
      </c>
      <c r="C144" s="515" t="str">
        <f ca="1">"X"&amp;OFFSET(NameConv!$F$4,0,M144)&amp;OFFSET(NameConv!$F$59,L144,M144)</f>
        <v>XTRAOHF</v>
      </c>
      <c r="D144" s="515" t="str">
        <f t="shared" ca="1" si="21"/>
        <v>TRAOHF</v>
      </c>
      <c r="E144" s="515" t="str">
        <f t="shared" ca="1" si="22"/>
        <v>-</v>
      </c>
      <c r="F144" s="515" t="str">
        <f t="shared" ca="1" si="24"/>
        <v>-</v>
      </c>
      <c r="G144" s="515" t="str">
        <f t="shared" ca="1" si="24"/>
        <v>-</v>
      </c>
      <c r="H144" s="515" t="str">
        <f t="shared" ca="1" si="24"/>
        <v>-</v>
      </c>
      <c r="I144" s="518">
        <f t="shared" ca="1" si="26"/>
        <v>1</v>
      </c>
      <c r="K144" s="495">
        <f ca="1">IF(M143&lt;&gt;M144,1,IF(L143=OFFSET(NameConv!$F$45,0,M143),K143+1,K143))</f>
        <v>3</v>
      </c>
      <c r="L144" s="495">
        <f t="shared" ca="1" si="23"/>
        <v>7</v>
      </c>
      <c r="M144" s="526">
        <f ca="1">IF(AND(K143=$K$7,L143=SUMIF(NameConv!$G$4:$M$4,MID(C143,2,3),NameConv!$G$45:$M$45)),M143+1,M143)</f>
        <v>4</v>
      </c>
    </row>
    <row r="145" spans="1:13">
      <c r="A145" s="883" t="str">
        <f ca="1">IF(INDEX(Demand.Sectors,MATCH(MID(C145,2,3),NameConv!$G$4:$M$4,0)),"","*")</f>
        <v/>
      </c>
      <c r="B145" s="515" t="str">
        <f t="shared" ca="1" si="25"/>
        <v>TOP-OUT</v>
      </c>
      <c r="C145" s="515" t="str">
        <f ca="1">"X"&amp;OFFSET(NameConv!$F$4,0,M145)&amp;OFFSET(NameConv!$F$59,L145,M145)</f>
        <v>XTRAOKE</v>
      </c>
      <c r="D145" s="515" t="str">
        <f t="shared" ca="1" si="21"/>
        <v>TRAOKE</v>
      </c>
      <c r="E145" s="515" t="str">
        <f t="shared" ca="1" si="22"/>
        <v>-</v>
      </c>
      <c r="F145" s="515" t="str">
        <f t="shared" ca="1" si="24"/>
        <v>-</v>
      </c>
      <c r="G145" s="515" t="str">
        <f t="shared" ca="1" si="24"/>
        <v>-</v>
      </c>
      <c r="H145" s="515" t="str">
        <f t="shared" ca="1" si="24"/>
        <v>-</v>
      </c>
      <c r="I145" s="518">
        <f t="shared" ca="1" si="26"/>
        <v>1</v>
      </c>
      <c r="K145" s="495">
        <f ca="1">IF(M144&lt;&gt;M145,1,IF(L144=OFFSET(NameConv!$F$45,0,M144),K144+1,K144))</f>
        <v>3</v>
      </c>
      <c r="L145" s="495">
        <f t="shared" ca="1" si="23"/>
        <v>8</v>
      </c>
      <c r="M145" s="526">
        <f ca="1">IF(AND(K144=$K$7,L144=SUMIF(NameConv!$G$4:$M$4,MID(C144,2,3),NameConv!$G$45:$M$45)),M144+1,M144)</f>
        <v>4</v>
      </c>
    </row>
    <row r="146" spans="1:13">
      <c r="A146" s="883" t="str">
        <f ca="1">IF(INDEX(Demand.Sectors,MATCH(MID(C146,2,3),NameConv!$G$4:$M$4,0)),"","*")</f>
        <v/>
      </c>
      <c r="B146" s="515" t="str">
        <f t="shared" ca="1" si="25"/>
        <v>TOP-IN</v>
      </c>
      <c r="C146" s="515" t="str">
        <f ca="1">"X"&amp;OFFSET(NameConv!$F$4,0,M146)&amp;OFFSET(NameConv!$F$59,L146,M146)</f>
        <v>XTRAELC</v>
      </c>
      <c r="D146" s="515" t="str">
        <f t="shared" ca="1" si="21"/>
        <v>ELC</v>
      </c>
      <c r="E146" s="515" t="str">
        <f t="shared" ca="1" si="22"/>
        <v>-</v>
      </c>
      <c r="F146" s="515" t="str">
        <f t="shared" ca="1" si="24"/>
        <v>-</v>
      </c>
      <c r="G146" s="515" t="str">
        <f t="shared" ca="1" si="24"/>
        <v>-</v>
      </c>
      <c r="H146" s="515" t="str">
        <f t="shared" ca="1" si="24"/>
        <v>-</v>
      </c>
      <c r="I146" s="518">
        <f t="shared" ca="1" si="26"/>
        <v>1</v>
      </c>
      <c r="K146" s="495">
        <f ca="1">IF(M145&lt;&gt;M146,1,IF(L145=OFFSET(NameConv!$F$45,0,M145),K145+1,K145))</f>
        <v>4</v>
      </c>
      <c r="L146" s="495">
        <f t="shared" ca="1" si="23"/>
        <v>1</v>
      </c>
      <c r="M146" s="526">
        <f ca="1">IF(AND(K145=$K$7,L145=SUMIF(NameConv!$G$4:$M$4,MID(C145,2,3),NameConv!$G$45:$M$45)),M145+1,M145)</f>
        <v>4</v>
      </c>
    </row>
    <row r="147" spans="1:13">
      <c r="A147" s="883" t="str">
        <f ca="1">IF(INDEX(Demand.Sectors,MATCH(MID(C147,2,3),NameConv!$G$4:$M$4,0)),"","*")</f>
        <v/>
      </c>
      <c r="B147" s="515" t="str">
        <f t="shared" ca="1" si="25"/>
        <v>TOP-IN</v>
      </c>
      <c r="C147" s="515" t="str">
        <f ca="1">"X"&amp;OFFSET(NameConv!$F$4,0,M147)&amp;OFFSET(NameConv!$F$59,L147,M147)</f>
        <v>XTRAGAS</v>
      </c>
      <c r="D147" s="515" t="str">
        <f t="shared" ca="1" si="21"/>
        <v>GAS</v>
      </c>
      <c r="E147" s="515" t="str">
        <f t="shared" ca="1" si="22"/>
        <v>-</v>
      </c>
      <c r="F147" s="515" t="str">
        <f t="shared" ca="1" si="24"/>
        <v>-</v>
      </c>
      <c r="G147" s="515" t="str">
        <f t="shared" ca="1" si="24"/>
        <v>-</v>
      </c>
      <c r="H147" s="515" t="str">
        <f t="shared" ca="1" si="24"/>
        <v>-</v>
      </c>
      <c r="I147" s="518">
        <f t="shared" ca="1" si="26"/>
        <v>1</v>
      </c>
      <c r="K147" s="495">
        <f ca="1">IF(M146&lt;&gt;M147,1,IF(L146=OFFSET(NameConv!$F$45,0,M146),K146+1,K146))</f>
        <v>4</v>
      </c>
      <c r="L147" s="495">
        <f t="shared" ca="1" si="23"/>
        <v>2</v>
      </c>
      <c r="M147" s="526">
        <f ca="1">IF(AND(K146=$K$7,L146=SUMIF(NameConv!$G$4:$M$4,MID(C146,2,3),NameConv!$G$45:$M$45)),M146+1,M146)</f>
        <v>4</v>
      </c>
    </row>
    <row r="148" spans="1:13">
      <c r="A148" s="883" t="str">
        <f ca="1">IF(INDEX(Demand.Sectors,MATCH(MID(C148,2,3),NameConv!$G$4:$M$4,0)),"","*")</f>
        <v/>
      </c>
      <c r="B148" s="515" t="str">
        <f t="shared" ca="1" si="25"/>
        <v>TOP-IN</v>
      </c>
      <c r="C148" s="515" t="str">
        <f ca="1">"X"&amp;OFFSET(NameConv!$F$4,0,M148)&amp;OFFSET(NameConv!$F$59,L148,M148)</f>
        <v>XTRAHGN</v>
      </c>
      <c r="D148" s="515" t="str">
        <f t="shared" ca="1" si="21"/>
        <v>HGN</v>
      </c>
      <c r="E148" s="515" t="str">
        <f t="shared" ca="1" si="22"/>
        <v>-</v>
      </c>
      <c r="F148" s="515" t="str">
        <f t="shared" ca="1" si="24"/>
        <v>-</v>
      </c>
      <c r="G148" s="515" t="str">
        <f t="shared" ca="1" si="24"/>
        <v>-</v>
      </c>
      <c r="H148" s="515" t="str">
        <f t="shared" ca="1" si="24"/>
        <v>-</v>
      </c>
      <c r="I148" s="518">
        <f t="shared" ca="1" si="26"/>
        <v>1</v>
      </c>
      <c r="K148" s="495">
        <f ca="1">IF(M147&lt;&gt;M148,1,IF(L147=OFFSET(NameConv!$F$45,0,M147),K147+1,K147))</f>
        <v>4</v>
      </c>
      <c r="L148" s="495">
        <f t="shared" ca="1" si="23"/>
        <v>3</v>
      </c>
      <c r="M148" s="526">
        <f ca="1">IF(AND(K147=$K$7,L147=SUMIF(NameConv!$G$4:$M$4,MID(C147,2,3),NameConv!$G$45:$M$45)),M147+1,M147)</f>
        <v>4</v>
      </c>
    </row>
    <row r="149" spans="1:13">
      <c r="A149" s="883" t="str">
        <f ca="1">IF(INDEX(Demand.Sectors,MATCH(MID(C149,2,3),NameConv!$G$4:$M$4,0)),"","*")</f>
        <v/>
      </c>
      <c r="B149" s="515" t="str">
        <f t="shared" ca="1" si="25"/>
        <v>TOP-IN</v>
      </c>
      <c r="C149" s="515" t="str">
        <f ca="1">"X"&amp;OFFSET(NameConv!$F$4,0,M149)&amp;OFFSET(NameConv!$F$59,L149,M149)</f>
        <v>XTRAOAG</v>
      </c>
      <c r="D149" s="515" t="str">
        <f t="shared" ca="1" si="21"/>
        <v>OAG</v>
      </c>
      <c r="E149" s="515" t="str">
        <f t="shared" ca="1" si="22"/>
        <v>-</v>
      </c>
      <c r="F149" s="515" t="str">
        <f t="shared" ca="1" si="24"/>
        <v>-</v>
      </c>
      <c r="G149" s="515" t="str">
        <f t="shared" ca="1" si="24"/>
        <v>-</v>
      </c>
      <c r="H149" s="515" t="str">
        <f t="shared" ca="1" si="24"/>
        <v>-</v>
      </c>
      <c r="I149" s="518">
        <f t="shared" ca="1" si="26"/>
        <v>1</v>
      </c>
      <c r="K149" s="495">
        <f ca="1">IF(M148&lt;&gt;M149,1,IF(L148=OFFSET(NameConv!$F$45,0,M148),K148+1,K148))</f>
        <v>4</v>
      </c>
      <c r="L149" s="495">
        <f t="shared" ca="1" si="23"/>
        <v>4</v>
      </c>
      <c r="M149" s="526">
        <f ca="1">IF(AND(K148=$K$7,L148=SUMIF(NameConv!$G$4:$M$4,MID(C148,2,3),NameConv!$G$45:$M$45)),M148+1,M148)</f>
        <v>4</v>
      </c>
    </row>
    <row r="150" spans="1:13">
      <c r="A150" s="883" t="str">
        <f ca="1">IF(INDEX(Demand.Sectors,MATCH(MID(C150,2,3),NameConv!$G$4:$M$4,0)),"","*")</f>
        <v/>
      </c>
      <c r="B150" s="515" t="str">
        <f t="shared" ca="1" si="25"/>
        <v>TOP-IN</v>
      </c>
      <c r="C150" s="515" t="str">
        <f ca="1">"X"&amp;OFFSET(NameConv!$F$4,0,M150)&amp;OFFSET(NameConv!$F$59,L150,M150)</f>
        <v>XTRAODS</v>
      </c>
      <c r="D150" s="515" t="str">
        <f t="shared" ca="1" si="21"/>
        <v>ODS</v>
      </c>
      <c r="E150" s="515" t="str">
        <f t="shared" ca="1" si="22"/>
        <v>-</v>
      </c>
      <c r="F150" s="515" t="str">
        <f t="shared" ca="1" si="24"/>
        <v>-</v>
      </c>
      <c r="G150" s="515" t="str">
        <f t="shared" ca="1" si="24"/>
        <v>-</v>
      </c>
      <c r="H150" s="515" t="str">
        <f t="shared" ca="1" si="24"/>
        <v>-</v>
      </c>
      <c r="I150" s="518">
        <f t="shared" ca="1" si="26"/>
        <v>1</v>
      </c>
      <c r="K150" s="495">
        <f ca="1">IF(M149&lt;&gt;M150,1,IF(L149=OFFSET(NameConv!$F$45,0,M149),K149+1,K149))</f>
        <v>4</v>
      </c>
      <c r="L150" s="495">
        <f t="shared" ca="1" si="23"/>
        <v>5</v>
      </c>
      <c r="M150" s="526">
        <f ca="1">IF(AND(K149=$K$7,L149=SUMIF(NameConv!$G$4:$M$4,MID(C149,2,3),NameConv!$G$45:$M$45)),M149+1,M149)</f>
        <v>4</v>
      </c>
    </row>
    <row r="151" spans="1:13">
      <c r="A151" s="883" t="str">
        <f ca="1">IF(INDEX(Demand.Sectors,MATCH(MID(C151,2,3),NameConv!$G$4:$M$4,0)),"","*")</f>
        <v/>
      </c>
      <c r="B151" s="515" t="str">
        <f t="shared" ca="1" si="25"/>
        <v>TOP-IN</v>
      </c>
      <c r="C151" s="515" t="str">
        <f ca="1">"X"&amp;OFFSET(NameConv!$F$4,0,M151)&amp;OFFSET(NameConv!$F$59,L151,M151)</f>
        <v>XTRAOGS</v>
      </c>
      <c r="D151" s="515" t="str">
        <f t="shared" ca="1" si="21"/>
        <v>OGS</v>
      </c>
      <c r="E151" s="515" t="str">
        <f t="shared" ca="1" si="22"/>
        <v>-</v>
      </c>
      <c r="F151" s="515" t="str">
        <f t="shared" ca="1" si="24"/>
        <v>-</v>
      </c>
      <c r="G151" s="515" t="str">
        <f t="shared" ca="1" si="24"/>
        <v>-</v>
      </c>
      <c r="H151" s="515" t="str">
        <f t="shared" ca="1" si="24"/>
        <v>-</v>
      </c>
      <c r="I151" s="518">
        <f t="shared" ca="1" si="26"/>
        <v>1</v>
      </c>
      <c r="K151" s="495">
        <f ca="1">IF(M150&lt;&gt;M151,1,IF(L150=OFFSET(NameConv!$F$45,0,M150),K150+1,K150))</f>
        <v>4</v>
      </c>
      <c r="L151" s="495">
        <f t="shared" ca="1" si="23"/>
        <v>6</v>
      </c>
      <c r="M151" s="526">
        <f ca="1">IF(AND(K150=$K$7,L150=SUMIF(NameConv!$G$4:$M$4,MID(C150,2,3),NameConv!$G$45:$M$45)),M150+1,M150)</f>
        <v>4</v>
      </c>
    </row>
    <row r="152" spans="1:13">
      <c r="A152" s="883" t="str">
        <f ca="1">IF(INDEX(Demand.Sectors,MATCH(MID(C152,2,3),NameConv!$G$4:$M$4,0)),"","*")</f>
        <v/>
      </c>
      <c r="B152" s="515" t="str">
        <f t="shared" ca="1" si="25"/>
        <v>TOP-IN</v>
      </c>
      <c r="C152" s="515" t="str">
        <f ca="1">"X"&amp;OFFSET(NameConv!$F$4,0,M152)&amp;OFFSET(NameConv!$F$59,L152,M152)</f>
        <v>XTRAOHF</v>
      </c>
      <c r="D152" s="515" t="str">
        <f t="shared" ca="1" si="21"/>
        <v>OHF</v>
      </c>
      <c r="E152" s="515" t="str">
        <f t="shared" ca="1" si="22"/>
        <v>-</v>
      </c>
      <c r="F152" s="515" t="str">
        <f t="shared" ca="1" si="24"/>
        <v>-</v>
      </c>
      <c r="G152" s="515" t="str">
        <f t="shared" ca="1" si="24"/>
        <v>-</v>
      </c>
      <c r="H152" s="515" t="str">
        <f t="shared" ca="1" si="24"/>
        <v>-</v>
      </c>
      <c r="I152" s="518">
        <f t="shared" ca="1" si="26"/>
        <v>1</v>
      </c>
      <c r="K152" s="495">
        <f ca="1">IF(M151&lt;&gt;M152,1,IF(L151=OFFSET(NameConv!$F$45,0,M151),K151+1,K151))</f>
        <v>4</v>
      </c>
      <c r="L152" s="495">
        <f t="shared" ca="1" si="23"/>
        <v>7</v>
      </c>
      <c r="M152" s="526">
        <f ca="1">IF(AND(K151=$K$7,L151=SUMIF(NameConv!$G$4:$M$4,MID(C151,2,3),NameConv!$G$45:$M$45)),M151+1,M151)</f>
        <v>4</v>
      </c>
    </row>
    <row r="153" spans="1:13">
      <c r="A153" s="883" t="str">
        <f ca="1">IF(INDEX(Demand.Sectors,MATCH(MID(C153,2,3),NameConv!$G$4:$M$4,0)),"","*")</f>
        <v/>
      </c>
      <c r="B153" s="515" t="str">
        <f t="shared" ca="1" si="25"/>
        <v>TOP-IN</v>
      </c>
      <c r="C153" s="515" t="str">
        <f ca="1">"X"&amp;OFFSET(NameConv!$F$4,0,M153)&amp;OFFSET(NameConv!$F$59,L153,M153)</f>
        <v>XTRAOKE</v>
      </c>
      <c r="D153" s="515" t="str">
        <f t="shared" ca="1" si="21"/>
        <v>OKE</v>
      </c>
      <c r="E153" s="515" t="str">
        <f t="shared" ca="1" si="22"/>
        <v>-</v>
      </c>
      <c r="F153" s="515" t="str">
        <f t="shared" ca="1" si="24"/>
        <v>-</v>
      </c>
      <c r="G153" s="515" t="str">
        <f t="shared" ca="1" si="24"/>
        <v>-</v>
      </c>
      <c r="H153" s="515" t="str">
        <f t="shared" ca="1" si="24"/>
        <v>-</v>
      </c>
      <c r="I153" s="518">
        <f t="shared" ca="1" si="26"/>
        <v>1</v>
      </c>
      <c r="K153" s="495">
        <f ca="1">IF(M152&lt;&gt;M153,1,IF(L152=OFFSET(NameConv!$F$45,0,M152),K152+1,K152))</f>
        <v>4</v>
      </c>
      <c r="L153" s="495">
        <f t="shared" ca="1" si="23"/>
        <v>8</v>
      </c>
      <c r="M153" s="526">
        <f ca="1">IF(AND(K152=$K$7,L152=SUMIF(NameConv!$G$4:$M$4,MID(C152,2,3),NameConv!$G$45:$M$45)),M152+1,M152)</f>
        <v>4</v>
      </c>
    </row>
    <row r="154" spans="1:13">
      <c r="A154" s="883" t="str">
        <f ca="1">IF(INDEX(Demand.Sectors,MATCH(MID(C154,2,3),NameConv!$G$4:$M$4,0)),"","*")</f>
        <v/>
      </c>
      <c r="B154" s="515" t="str">
        <f t="shared" ca="1" si="25"/>
        <v>PRC_ACTUNT</v>
      </c>
      <c r="C154" s="515" t="str">
        <f ca="1">"X"&amp;OFFSET(NameConv!$F$4,0,M154)&amp;OFFSET(NameConv!$F$59,L154,M154)</f>
        <v>XRESBIW</v>
      </c>
      <c r="D154" s="515" t="str">
        <f t="shared" ref="D154:D173" ca="1" si="27">IF($A154="*","",IF($B154="TOP-OUT",RIGHT(C154,6),IF($B154="TOP-IN",RIGHT(C154,3),"-")))</f>
        <v>-</v>
      </c>
      <c r="E154" s="515" t="str">
        <f t="shared" ref="E154:E173" ca="1" si="28">IF($A154="*","",IF($B154="PRC_ACTUNT",RIGHT(C154,6),"-"))</f>
        <v>RESBIW</v>
      </c>
      <c r="F154" s="515" t="str">
        <f t="shared" ca="1" si="24"/>
        <v>-</v>
      </c>
      <c r="G154" s="515" t="str">
        <f t="shared" ca="1" si="24"/>
        <v>-</v>
      </c>
      <c r="H154" s="515" t="str">
        <f t="shared" ca="1" si="24"/>
        <v>-</v>
      </c>
      <c r="I154" s="518">
        <f t="shared" ca="1" si="26"/>
        <v>1</v>
      </c>
      <c r="K154" s="495">
        <f ca="1">IF(M153&lt;&gt;M154,1,IF(L153=OFFSET(NameConv!$F$45,0,M153),K153+1,K153))</f>
        <v>1</v>
      </c>
      <c r="L154" s="495">
        <f t="shared" ref="L154:L173" ca="1" si="29">IF(K154=K153,L153+1,1)</f>
        <v>1</v>
      </c>
      <c r="M154" s="526">
        <f ca="1">IF(AND(K153=$K$7,L153=SUMIF(NameConv!$G$4:$M$4,MID(C153,2,3),NameConv!$G$45:$M$45)),M153+1,M153)</f>
        <v>5</v>
      </c>
    </row>
    <row r="155" spans="1:13">
      <c r="A155" s="883" t="str">
        <f ca="1">IF(INDEX(Demand.Sectors,MATCH(MID(C155,2,3),NameConv!$G$4:$M$4,0)),"","*")</f>
        <v/>
      </c>
      <c r="B155" s="515" t="str">
        <f t="shared" ca="1" si="25"/>
        <v>PRC_ACTUNT</v>
      </c>
      <c r="C155" s="515" t="str">
        <f ca="1">"X"&amp;OFFSET(NameConv!$F$4,0,M155)&amp;OFFSET(NameConv!$F$59,L155,M155)</f>
        <v>XRESCOA</v>
      </c>
      <c r="D155" s="515" t="str">
        <f t="shared" ca="1" si="27"/>
        <v>-</v>
      </c>
      <c r="E155" s="515" t="str">
        <f t="shared" ca="1" si="28"/>
        <v>RESCOA</v>
      </c>
      <c r="F155" s="515" t="str">
        <f t="shared" ref="F155:H174" ca="1" si="30">IF($A155="*","","-")</f>
        <v>-</v>
      </c>
      <c r="G155" s="515" t="str">
        <f t="shared" ca="1" si="30"/>
        <v>-</v>
      </c>
      <c r="H155" s="515" t="str">
        <f t="shared" ca="1" si="30"/>
        <v>-</v>
      </c>
      <c r="I155" s="518">
        <f t="shared" ca="1" si="26"/>
        <v>1</v>
      </c>
      <c r="K155" s="495">
        <f ca="1">IF(M154&lt;&gt;M155,1,IF(L154=OFFSET(NameConv!$F$45,0,M154),K154+1,K154))</f>
        <v>1</v>
      </c>
      <c r="L155" s="495">
        <f t="shared" ca="1" si="29"/>
        <v>2</v>
      </c>
      <c r="M155" s="526">
        <f ca="1">IF(AND(K154=$K$7,L154=SUMIF(NameConv!$G$4:$M$4,MID(C154,2,3),NameConv!$G$45:$M$45)),M154+1,M154)</f>
        <v>5</v>
      </c>
    </row>
    <row r="156" spans="1:13">
      <c r="A156" s="883" t="str">
        <f ca="1">IF(INDEX(Demand.Sectors,MATCH(MID(C156,2,3),NameConv!$G$4:$M$4,0)),"","*")</f>
        <v/>
      </c>
      <c r="B156" s="515" t="str">
        <f t="shared" ca="1" si="25"/>
        <v>PRC_ACTUNT</v>
      </c>
      <c r="C156" s="515" t="str">
        <f ca="1">"X"&amp;OFFSET(NameConv!$F$4,0,M156)&amp;OFFSET(NameConv!$F$59,L156,M156)</f>
        <v>XRESELC</v>
      </c>
      <c r="D156" s="515" t="str">
        <f t="shared" ca="1" si="27"/>
        <v>-</v>
      </c>
      <c r="E156" s="515" t="str">
        <f t="shared" ca="1" si="28"/>
        <v>RESELC</v>
      </c>
      <c r="F156" s="515" t="str">
        <f t="shared" ca="1" si="30"/>
        <v>-</v>
      </c>
      <c r="G156" s="515" t="str">
        <f t="shared" ca="1" si="30"/>
        <v>-</v>
      </c>
      <c r="H156" s="515" t="str">
        <f t="shared" ca="1" si="30"/>
        <v>-</v>
      </c>
      <c r="I156" s="518">
        <f t="shared" ca="1" si="26"/>
        <v>1</v>
      </c>
      <c r="K156" s="495">
        <f ca="1">IF(M155&lt;&gt;M156,1,IF(L155=OFFSET(NameConv!$F$45,0,M155),K155+1,K155))</f>
        <v>1</v>
      </c>
      <c r="L156" s="495">
        <f t="shared" ca="1" si="29"/>
        <v>3</v>
      </c>
      <c r="M156" s="526">
        <f ca="1">IF(AND(K155=$K$7,L155=SUMIF(NameConv!$G$4:$M$4,MID(C155,2,3),NameConv!$G$45:$M$45)),M155+1,M155)</f>
        <v>5</v>
      </c>
    </row>
    <row r="157" spans="1:13">
      <c r="A157" s="883" t="str">
        <f ca="1">IF(INDEX(Demand.Sectors,MATCH(MID(C157,2,3),NameConv!$G$4:$M$4,0)),"","*")</f>
        <v/>
      </c>
      <c r="B157" s="515" t="str">
        <f t="shared" ca="1" si="25"/>
        <v>PRC_ACTUNT</v>
      </c>
      <c r="C157" s="515" t="str">
        <f ca="1">"X"&amp;OFFSET(NameConv!$F$4,0,M157)&amp;OFFSET(NameConv!$F$59,L157,M157)</f>
        <v>XRESGAS</v>
      </c>
      <c r="D157" s="515" t="str">
        <f t="shared" ca="1" si="27"/>
        <v>-</v>
      </c>
      <c r="E157" s="515" t="str">
        <f t="shared" ca="1" si="28"/>
        <v>RESGAS</v>
      </c>
      <c r="F157" s="515" t="str">
        <f t="shared" ca="1" si="30"/>
        <v>-</v>
      </c>
      <c r="G157" s="515" t="str">
        <f t="shared" ca="1" si="30"/>
        <v>-</v>
      </c>
      <c r="H157" s="515" t="str">
        <f t="shared" ca="1" si="30"/>
        <v>-</v>
      </c>
      <c r="I157" s="518">
        <f t="shared" ca="1" si="26"/>
        <v>1</v>
      </c>
      <c r="K157" s="495">
        <f ca="1">IF(M156&lt;&gt;M157,1,IF(L156=OFFSET(NameConv!$F$45,0,M156),K156+1,K156))</f>
        <v>1</v>
      </c>
      <c r="L157" s="495">
        <f t="shared" ca="1" si="29"/>
        <v>4</v>
      </c>
      <c r="M157" s="526">
        <f ca="1">IF(AND(K156=$K$7,L156=SUMIF(NameConv!$G$4:$M$4,MID(C156,2,3),NameConv!$G$45:$M$45)),M156+1,M156)</f>
        <v>5</v>
      </c>
    </row>
    <row r="158" spans="1:13">
      <c r="A158" s="883" t="str">
        <f ca="1">IF(INDEX(Demand.Sectors,MATCH(MID(C158,2,3),NameConv!$G$4:$M$4,0)),"","*")</f>
        <v/>
      </c>
      <c r="B158" s="515" t="str">
        <f t="shared" ca="1" si="25"/>
        <v>PRC_ACTUNT</v>
      </c>
      <c r="C158" s="515" t="str">
        <f ca="1">"X"&amp;OFFSET(NameConv!$F$4,0,M158)&amp;OFFSET(NameConv!$F$59,L158,M158)</f>
        <v>XRESOKE</v>
      </c>
      <c r="D158" s="515" t="str">
        <f t="shared" ca="1" si="27"/>
        <v>-</v>
      </c>
      <c r="E158" s="515" t="str">
        <f t="shared" ca="1" si="28"/>
        <v>RESOKE</v>
      </c>
      <c r="F158" s="515" t="str">
        <f t="shared" ca="1" si="30"/>
        <v>-</v>
      </c>
      <c r="G158" s="515" t="str">
        <f t="shared" ca="1" si="30"/>
        <v>-</v>
      </c>
      <c r="H158" s="515" t="str">
        <f t="shared" ca="1" si="30"/>
        <v>-</v>
      </c>
      <c r="I158" s="518">
        <f t="shared" ca="1" si="26"/>
        <v>1</v>
      </c>
      <c r="K158" s="495">
        <f ca="1">IF(M157&lt;&gt;M158,1,IF(L157=OFFSET(NameConv!$F$45,0,M157),K157+1,K157))</f>
        <v>1</v>
      </c>
      <c r="L158" s="495">
        <f t="shared" ca="1" si="29"/>
        <v>5</v>
      </c>
      <c r="M158" s="526">
        <f ca="1">IF(AND(K157=$K$7,L157=SUMIF(NameConv!$G$4:$M$4,MID(C157,2,3),NameConv!$G$45:$M$45)),M157+1,M157)</f>
        <v>5</v>
      </c>
    </row>
    <row r="159" spans="1:13">
      <c r="A159" s="883" t="str">
        <f ca="1">IF(INDEX(Demand.Sectors,MATCH(MID(C159,2,3),NameConv!$G$4:$M$4,0)),"","*")</f>
        <v/>
      </c>
      <c r="B159" s="515" t="str">
        <f t="shared" ca="1" si="25"/>
        <v>PRC_ACTUNT</v>
      </c>
      <c r="C159" s="515" t="str">
        <f ca="1">"X"&amp;OFFSET(NameConv!$F$4,0,M159)&amp;OFFSET(NameConv!$F$59,L159,M159)</f>
        <v>XRESOLP</v>
      </c>
      <c r="D159" s="515" t="str">
        <f t="shared" ca="1" si="27"/>
        <v>-</v>
      </c>
      <c r="E159" s="515" t="str">
        <f t="shared" ca="1" si="28"/>
        <v>RESOLP</v>
      </c>
      <c r="F159" s="515" t="str">
        <f t="shared" ca="1" si="30"/>
        <v>-</v>
      </c>
      <c r="G159" s="515" t="str">
        <f t="shared" ca="1" si="30"/>
        <v>-</v>
      </c>
      <c r="H159" s="515" t="str">
        <f t="shared" ca="1" si="30"/>
        <v>-</v>
      </c>
      <c r="I159" s="518">
        <f t="shared" ca="1" si="26"/>
        <v>1</v>
      </c>
      <c r="K159" s="495">
        <f ca="1">IF(M158&lt;&gt;M159,1,IF(L158=OFFSET(NameConv!$F$45,0,M158),K158+1,K158))</f>
        <v>1</v>
      </c>
      <c r="L159" s="495">
        <f t="shared" ca="1" si="29"/>
        <v>6</v>
      </c>
      <c r="M159" s="526">
        <f ca="1">IF(AND(K158=$K$7,L158=SUMIF(NameConv!$G$4:$M$4,MID(C158,2,3),NameConv!$G$45:$M$45)),M158+1,M158)</f>
        <v>5</v>
      </c>
    </row>
    <row r="160" spans="1:13">
      <c r="A160" s="883" t="str">
        <f ca="1">IF(INDEX(Demand.Sectors,MATCH(MID(C160,2,3),NameConv!$G$4:$M$4,0)),"","*")</f>
        <v/>
      </c>
      <c r="B160" s="515" t="str">
        <f t="shared" ca="1" si="25"/>
        <v>PRC_CAPACT</v>
      </c>
      <c r="C160" s="515" t="str">
        <f ca="1">"X"&amp;OFFSET(NameConv!$F$4,0,M160)&amp;OFFSET(NameConv!$F$59,L160,M160)</f>
        <v>XRESBIW</v>
      </c>
      <c r="D160" s="515" t="str">
        <f t="shared" ca="1" si="27"/>
        <v>-</v>
      </c>
      <c r="E160" s="515" t="str">
        <f t="shared" ca="1" si="28"/>
        <v>-</v>
      </c>
      <c r="F160" s="515" t="str">
        <f t="shared" ca="1" si="30"/>
        <v>-</v>
      </c>
      <c r="G160" s="515" t="str">
        <f t="shared" ca="1" si="30"/>
        <v>-</v>
      </c>
      <c r="H160" s="515" t="str">
        <f t="shared" ca="1" si="30"/>
        <v>-</v>
      </c>
      <c r="I160" s="518">
        <f t="shared" ca="1" si="26"/>
        <v>1</v>
      </c>
      <c r="K160" s="495">
        <f ca="1">IF(M159&lt;&gt;M160,1,IF(L159=OFFSET(NameConv!$F$45,0,M159),K159+1,K159))</f>
        <v>2</v>
      </c>
      <c r="L160" s="495">
        <f t="shared" ca="1" si="29"/>
        <v>1</v>
      </c>
      <c r="M160" s="526">
        <f ca="1">IF(AND(K159=$K$7,L159=SUMIF(NameConv!$G$4:$M$4,MID(C159,2,3),NameConv!$G$45:$M$45)),M159+1,M159)</f>
        <v>5</v>
      </c>
    </row>
    <row r="161" spans="1:13">
      <c r="A161" s="883" t="str">
        <f ca="1">IF(INDEX(Demand.Sectors,MATCH(MID(C161,2,3),NameConv!$G$4:$M$4,0)),"","*")</f>
        <v/>
      </c>
      <c r="B161" s="515" t="str">
        <f t="shared" ca="1" si="25"/>
        <v>PRC_CAPACT</v>
      </c>
      <c r="C161" s="515" t="str">
        <f ca="1">"X"&amp;OFFSET(NameConv!$F$4,0,M161)&amp;OFFSET(NameConv!$F$59,L161,M161)</f>
        <v>XRESCOA</v>
      </c>
      <c r="D161" s="515" t="str">
        <f t="shared" ca="1" si="27"/>
        <v>-</v>
      </c>
      <c r="E161" s="515" t="str">
        <f t="shared" ca="1" si="28"/>
        <v>-</v>
      </c>
      <c r="F161" s="515" t="str">
        <f t="shared" ca="1" si="30"/>
        <v>-</v>
      </c>
      <c r="G161" s="515" t="str">
        <f t="shared" ca="1" si="30"/>
        <v>-</v>
      </c>
      <c r="H161" s="515" t="str">
        <f t="shared" ca="1" si="30"/>
        <v>-</v>
      </c>
      <c r="I161" s="518">
        <f t="shared" ca="1" si="26"/>
        <v>1</v>
      </c>
      <c r="K161" s="495">
        <f ca="1">IF(M160&lt;&gt;M161,1,IF(L160=OFFSET(NameConv!$F$45,0,M160),K160+1,K160))</f>
        <v>2</v>
      </c>
      <c r="L161" s="495">
        <f t="shared" ca="1" si="29"/>
        <v>2</v>
      </c>
      <c r="M161" s="526">
        <f ca="1">IF(AND(K160=$K$7,L160=SUMIF(NameConv!$G$4:$M$4,MID(C160,2,3),NameConv!$G$45:$M$45)),M160+1,M160)</f>
        <v>5</v>
      </c>
    </row>
    <row r="162" spans="1:13">
      <c r="A162" s="883" t="str">
        <f ca="1">IF(INDEX(Demand.Sectors,MATCH(MID(C162,2,3),NameConv!$G$4:$M$4,0)),"","*")</f>
        <v/>
      </c>
      <c r="B162" s="515" t="str">
        <f t="shared" ca="1" si="25"/>
        <v>PRC_CAPACT</v>
      </c>
      <c r="C162" s="515" t="str">
        <f ca="1">"X"&amp;OFFSET(NameConv!$F$4,0,M162)&amp;OFFSET(NameConv!$F$59,L162,M162)</f>
        <v>XRESELC</v>
      </c>
      <c r="D162" s="515" t="str">
        <f t="shared" ca="1" si="27"/>
        <v>-</v>
      </c>
      <c r="E162" s="515" t="str">
        <f t="shared" ca="1" si="28"/>
        <v>-</v>
      </c>
      <c r="F162" s="515" t="str">
        <f t="shared" ca="1" si="30"/>
        <v>-</v>
      </c>
      <c r="G162" s="515" t="str">
        <f t="shared" ca="1" si="30"/>
        <v>-</v>
      </c>
      <c r="H162" s="515" t="str">
        <f t="shared" ca="1" si="30"/>
        <v>-</v>
      </c>
      <c r="I162" s="518">
        <f t="shared" ca="1" si="26"/>
        <v>31.536000000000001</v>
      </c>
      <c r="K162" s="495">
        <f ca="1">IF(M161&lt;&gt;M162,1,IF(L161=OFFSET(NameConv!$F$45,0,M161),K161+1,K161))</f>
        <v>2</v>
      </c>
      <c r="L162" s="495">
        <f t="shared" ca="1" si="29"/>
        <v>3</v>
      </c>
      <c r="M162" s="526">
        <f ca="1">IF(AND(K161=$K$7,L161=SUMIF(NameConv!$G$4:$M$4,MID(C161,2,3),NameConv!$G$45:$M$45)),M161+1,M161)</f>
        <v>5</v>
      </c>
    </row>
    <row r="163" spans="1:13">
      <c r="A163" s="883" t="str">
        <f ca="1">IF(INDEX(Demand.Sectors,MATCH(MID(C163,2,3),NameConv!$G$4:$M$4,0)),"","*")</f>
        <v/>
      </c>
      <c r="B163" s="515" t="str">
        <f t="shared" ca="1" si="25"/>
        <v>PRC_CAPACT</v>
      </c>
      <c r="C163" s="515" t="str">
        <f ca="1">"X"&amp;OFFSET(NameConv!$F$4,0,M163)&amp;OFFSET(NameConv!$F$59,L163,M163)</f>
        <v>XRESGAS</v>
      </c>
      <c r="D163" s="515" t="str">
        <f t="shared" ca="1" si="27"/>
        <v>-</v>
      </c>
      <c r="E163" s="515" t="str">
        <f t="shared" ca="1" si="28"/>
        <v>-</v>
      </c>
      <c r="F163" s="515" t="str">
        <f t="shared" ca="1" si="30"/>
        <v>-</v>
      </c>
      <c r="G163" s="515" t="str">
        <f t="shared" ca="1" si="30"/>
        <v>-</v>
      </c>
      <c r="H163" s="515" t="str">
        <f t="shared" ca="1" si="30"/>
        <v>-</v>
      </c>
      <c r="I163" s="518">
        <f t="shared" ca="1" si="26"/>
        <v>1</v>
      </c>
      <c r="K163" s="495">
        <f ca="1">IF(M162&lt;&gt;M163,1,IF(L162=OFFSET(NameConv!$F$45,0,M162),K162+1,K162))</f>
        <v>2</v>
      </c>
      <c r="L163" s="495">
        <f t="shared" ca="1" si="29"/>
        <v>4</v>
      </c>
      <c r="M163" s="526">
        <f ca="1">IF(AND(K162=$K$7,L162=SUMIF(NameConv!$G$4:$M$4,MID(C162,2,3),NameConv!$G$45:$M$45)),M162+1,M162)</f>
        <v>5</v>
      </c>
    </row>
    <row r="164" spans="1:13">
      <c r="A164" s="883" t="str">
        <f ca="1">IF(INDEX(Demand.Sectors,MATCH(MID(C164,2,3),NameConv!$G$4:$M$4,0)),"","*")</f>
        <v/>
      </c>
      <c r="B164" s="515" t="str">
        <f t="shared" ca="1" si="25"/>
        <v>PRC_CAPACT</v>
      </c>
      <c r="C164" s="515" t="str">
        <f ca="1">"X"&amp;OFFSET(NameConv!$F$4,0,M164)&amp;OFFSET(NameConv!$F$59,L164,M164)</f>
        <v>XRESOKE</v>
      </c>
      <c r="D164" s="515" t="str">
        <f t="shared" ca="1" si="27"/>
        <v>-</v>
      </c>
      <c r="E164" s="515" t="str">
        <f t="shared" ca="1" si="28"/>
        <v>-</v>
      </c>
      <c r="F164" s="515" t="str">
        <f t="shared" ca="1" si="30"/>
        <v>-</v>
      </c>
      <c r="G164" s="515" t="str">
        <f t="shared" ca="1" si="30"/>
        <v>-</v>
      </c>
      <c r="H164" s="515" t="str">
        <f t="shared" ca="1" si="30"/>
        <v>-</v>
      </c>
      <c r="I164" s="518">
        <f t="shared" ca="1" si="26"/>
        <v>1</v>
      </c>
      <c r="K164" s="495">
        <f ca="1">IF(M163&lt;&gt;M164,1,IF(L163=OFFSET(NameConv!$F$45,0,M163),K163+1,K163))</f>
        <v>2</v>
      </c>
      <c r="L164" s="495">
        <f t="shared" ca="1" si="29"/>
        <v>5</v>
      </c>
      <c r="M164" s="526">
        <f ca="1">IF(AND(K163=$K$7,L163=SUMIF(NameConv!$G$4:$M$4,MID(C163,2,3),NameConv!$G$45:$M$45)),M163+1,M163)</f>
        <v>5</v>
      </c>
    </row>
    <row r="165" spans="1:13">
      <c r="A165" s="883" t="str">
        <f ca="1">IF(INDEX(Demand.Sectors,MATCH(MID(C165,2,3),NameConv!$G$4:$M$4,0)),"","*")</f>
        <v/>
      </c>
      <c r="B165" s="515" t="str">
        <f t="shared" ca="1" si="25"/>
        <v>PRC_CAPACT</v>
      </c>
      <c r="C165" s="515" t="str">
        <f ca="1">"X"&amp;OFFSET(NameConv!$F$4,0,M165)&amp;OFFSET(NameConv!$F$59,L165,M165)</f>
        <v>XRESOLP</v>
      </c>
      <c r="D165" s="515" t="str">
        <f t="shared" ca="1" si="27"/>
        <v>-</v>
      </c>
      <c r="E165" s="515" t="str">
        <f t="shared" ca="1" si="28"/>
        <v>-</v>
      </c>
      <c r="F165" s="515" t="str">
        <f t="shared" ca="1" si="30"/>
        <v>-</v>
      </c>
      <c r="G165" s="515" t="str">
        <f t="shared" ca="1" si="30"/>
        <v>-</v>
      </c>
      <c r="H165" s="515" t="str">
        <f t="shared" ca="1" si="30"/>
        <v>-</v>
      </c>
      <c r="I165" s="518">
        <f t="shared" ca="1" si="26"/>
        <v>1</v>
      </c>
      <c r="K165" s="495">
        <f ca="1">IF(M164&lt;&gt;M165,1,IF(L164=OFFSET(NameConv!$F$45,0,M164),K164+1,K164))</f>
        <v>2</v>
      </c>
      <c r="L165" s="495">
        <f t="shared" ca="1" si="29"/>
        <v>6</v>
      </c>
      <c r="M165" s="526">
        <f ca="1">IF(AND(K164=$K$7,L164=SUMIF(NameConv!$G$4:$M$4,MID(C164,2,3),NameConv!$G$45:$M$45)),M164+1,M164)</f>
        <v>5</v>
      </c>
    </row>
    <row r="166" spans="1:13">
      <c r="A166" s="883" t="str">
        <f ca="1">IF(INDEX(Demand.Sectors,MATCH(MID(C166,2,3),NameConv!$G$4:$M$4,0)),"","*")</f>
        <v/>
      </c>
      <c r="B166" s="515" t="str">
        <f t="shared" ca="1" si="25"/>
        <v>TOP-OUT</v>
      </c>
      <c r="C166" s="515" t="str">
        <f ca="1">"X"&amp;OFFSET(NameConv!$F$4,0,M166)&amp;OFFSET(NameConv!$F$59,L166,M166)</f>
        <v>XRESBIW</v>
      </c>
      <c r="D166" s="515" t="str">
        <f t="shared" ca="1" si="27"/>
        <v>RESBIW</v>
      </c>
      <c r="E166" s="515" t="str">
        <f t="shared" ca="1" si="28"/>
        <v>-</v>
      </c>
      <c r="F166" s="515" t="str">
        <f t="shared" ca="1" si="30"/>
        <v>-</v>
      </c>
      <c r="G166" s="515" t="str">
        <f t="shared" ca="1" si="30"/>
        <v>-</v>
      </c>
      <c r="H166" s="515" t="str">
        <f t="shared" ca="1" si="30"/>
        <v>-</v>
      </c>
      <c r="I166" s="518">
        <f t="shared" ca="1" si="26"/>
        <v>1</v>
      </c>
      <c r="K166" s="495">
        <f ca="1">IF(M165&lt;&gt;M166,1,IF(L165=OFFSET(NameConv!$F$45,0,M165),K165+1,K165))</f>
        <v>3</v>
      </c>
      <c r="L166" s="495">
        <f t="shared" ca="1" si="29"/>
        <v>1</v>
      </c>
      <c r="M166" s="526">
        <f ca="1">IF(AND(K165=$K$7,L165=SUMIF(NameConv!$G$4:$M$4,MID(C165,2,3),NameConv!$G$45:$M$45)),M165+1,M165)</f>
        <v>5</v>
      </c>
    </row>
    <row r="167" spans="1:13">
      <c r="A167" s="883" t="str">
        <f ca="1">IF(INDEX(Demand.Sectors,MATCH(MID(C167,2,3),NameConv!$G$4:$M$4,0)),"","*")</f>
        <v/>
      </c>
      <c r="B167" s="515" t="str">
        <f t="shared" ca="1" si="25"/>
        <v>TOP-OUT</v>
      </c>
      <c r="C167" s="515" t="str">
        <f ca="1">"X"&amp;OFFSET(NameConv!$F$4,0,M167)&amp;OFFSET(NameConv!$F$59,L167,M167)</f>
        <v>XRESCOA</v>
      </c>
      <c r="D167" s="515" t="str">
        <f t="shared" ca="1" si="27"/>
        <v>RESCOA</v>
      </c>
      <c r="E167" s="515" t="str">
        <f t="shared" ca="1" si="28"/>
        <v>-</v>
      </c>
      <c r="F167" s="515" t="str">
        <f t="shared" ca="1" si="30"/>
        <v>-</v>
      </c>
      <c r="G167" s="515" t="str">
        <f t="shared" ca="1" si="30"/>
        <v>-</v>
      </c>
      <c r="H167" s="515" t="str">
        <f t="shared" ca="1" si="30"/>
        <v>-</v>
      </c>
      <c r="I167" s="518">
        <f t="shared" ca="1" si="26"/>
        <v>1</v>
      </c>
      <c r="K167" s="495">
        <f ca="1">IF(M166&lt;&gt;M167,1,IF(L166=OFFSET(NameConv!$F$45,0,M166),K166+1,K166))</f>
        <v>3</v>
      </c>
      <c r="L167" s="495">
        <f t="shared" ca="1" si="29"/>
        <v>2</v>
      </c>
      <c r="M167" s="526">
        <f ca="1">IF(AND(K166=$K$7,L166=SUMIF(NameConv!$G$4:$M$4,MID(C166,2,3),NameConv!$G$45:$M$45)),M166+1,M166)</f>
        <v>5</v>
      </c>
    </row>
    <row r="168" spans="1:13">
      <c r="A168" s="883" t="str">
        <f ca="1">IF(INDEX(Demand.Sectors,MATCH(MID(C168,2,3),NameConv!$G$4:$M$4,0)),"","*")</f>
        <v/>
      </c>
      <c r="B168" s="515" t="str">
        <f t="shared" ca="1" si="25"/>
        <v>TOP-OUT</v>
      </c>
      <c r="C168" s="515" t="str">
        <f ca="1">"X"&amp;OFFSET(NameConv!$F$4,0,M168)&amp;OFFSET(NameConv!$F$59,L168,M168)</f>
        <v>XRESELC</v>
      </c>
      <c r="D168" s="515" t="str">
        <f t="shared" ca="1" si="27"/>
        <v>RESELC</v>
      </c>
      <c r="E168" s="515" t="str">
        <f t="shared" ca="1" si="28"/>
        <v>-</v>
      </c>
      <c r="F168" s="515" t="str">
        <f t="shared" ca="1" si="30"/>
        <v>-</v>
      </c>
      <c r="G168" s="515" t="str">
        <f t="shared" ca="1" si="30"/>
        <v>-</v>
      </c>
      <c r="H168" s="515" t="str">
        <f t="shared" ca="1" si="30"/>
        <v>-</v>
      </c>
      <c r="I168" s="518">
        <f t="shared" ca="1" si="26"/>
        <v>1</v>
      </c>
      <c r="K168" s="495">
        <f ca="1">IF(M167&lt;&gt;M168,1,IF(L167=OFFSET(NameConv!$F$45,0,M167),K167+1,K167))</f>
        <v>3</v>
      </c>
      <c r="L168" s="495">
        <f t="shared" ca="1" si="29"/>
        <v>3</v>
      </c>
      <c r="M168" s="526">
        <f ca="1">IF(AND(K167=$K$7,L167=SUMIF(NameConv!$G$4:$M$4,MID(C167,2,3),NameConv!$G$45:$M$45)),M167+1,M167)</f>
        <v>5</v>
      </c>
    </row>
    <row r="169" spans="1:13">
      <c r="A169" s="883" t="str">
        <f ca="1">IF(INDEX(Demand.Sectors,MATCH(MID(C169,2,3),NameConv!$G$4:$M$4,0)),"","*")</f>
        <v/>
      </c>
      <c r="B169" s="515" t="str">
        <f t="shared" ca="1" si="25"/>
        <v>TOP-OUT</v>
      </c>
      <c r="C169" s="515" t="str">
        <f ca="1">"X"&amp;OFFSET(NameConv!$F$4,0,M169)&amp;OFFSET(NameConv!$F$59,L169,M169)</f>
        <v>XRESGAS</v>
      </c>
      <c r="D169" s="515" t="str">
        <f t="shared" ca="1" si="27"/>
        <v>RESGAS</v>
      </c>
      <c r="E169" s="515" t="str">
        <f t="shared" ca="1" si="28"/>
        <v>-</v>
      </c>
      <c r="F169" s="515" t="str">
        <f t="shared" ca="1" si="30"/>
        <v>-</v>
      </c>
      <c r="G169" s="515" t="str">
        <f t="shared" ca="1" si="30"/>
        <v>-</v>
      </c>
      <c r="H169" s="515" t="str">
        <f t="shared" ca="1" si="30"/>
        <v>-</v>
      </c>
      <c r="I169" s="518">
        <f t="shared" ca="1" si="26"/>
        <v>1</v>
      </c>
      <c r="K169" s="495">
        <f ca="1">IF(M168&lt;&gt;M169,1,IF(L168=OFFSET(NameConv!$F$45,0,M168),K168+1,K168))</f>
        <v>3</v>
      </c>
      <c r="L169" s="495">
        <f t="shared" ca="1" si="29"/>
        <v>4</v>
      </c>
      <c r="M169" s="526">
        <f ca="1">IF(AND(K168=$K$7,L168=SUMIF(NameConv!$G$4:$M$4,MID(C168,2,3),NameConv!$G$45:$M$45)),M168+1,M168)</f>
        <v>5</v>
      </c>
    </row>
    <row r="170" spans="1:13">
      <c r="A170" s="883" t="str">
        <f ca="1">IF(INDEX(Demand.Sectors,MATCH(MID(C170,2,3),NameConv!$G$4:$M$4,0)),"","*")</f>
        <v/>
      </c>
      <c r="B170" s="515" t="str">
        <f t="shared" ca="1" si="25"/>
        <v>TOP-OUT</v>
      </c>
      <c r="C170" s="515" t="str">
        <f ca="1">"X"&amp;OFFSET(NameConv!$F$4,0,M170)&amp;OFFSET(NameConv!$F$59,L170,M170)</f>
        <v>XRESOKE</v>
      </c>
      <c r="D170" s="515" t="str">
        <f t="shared" ca="1" si="27"/>
        <v>RESOKE</v>
      </c>
      <c r="E170" s="515" t="str">
        <f t="shared" ca="1" si="28"/>
        <v>-</v>
      </c>
      <c r="F170" s="515" t="str">
        <f t="shared" ca="1" si="30"/>
        <v>-</v>
      </c>
      <c r="G170" s="515" t="str">
        <f t="shared" ca="1" si="30"/>
        <v>-</v>
      </c>
      <c r="H170" s="515" t="str">
        <f t="shared" ca="1" si="30"/>
        <v>-</v>
      </c>
      <c r="I170" s="518">
        <f t="shared" ca="1" si="26"/>
        <v>1</v>
      </c>
      <c r="K170" s="495">
        <f ca="1">IF(M169&lt;&gt;M170,1,IF(L169=OFFSET(NameConv!$F$45,0,M169),K169+1,K169))</f>
        <v>3</v>
      </c>
      <c r="L170" s="495">
        <f t="shared" ca="1" si="29"/>
        <v>5</v>
      </c>
      <c r="M170" s="526">
        <f ca="1">IF(AND(K169=$K$7,L169=SUMIF(NameConv!$G$4:$M$4,MID(C169,2,3),NameConv!$G$45:$M$45)),M169+1,M169)</f>
        <v>5</v>
      </c>
    </row>
    <row r="171" spans="1:13">
      <c r="A171" s="883" t="str">
        <f ca="1">IF(INDEX(Demand.Sectors,MATCH(MID(C171,2,3),NameConv!$G$4:$M$4,0)),"","*")</f>
        <v/>
      </c>
      <c r="B171" s="515" t="str">
        <f t="shared" ca="1" si="25"/>
        <v>TOP-OUT</v>
      </c>
      <c r="C171" s="515" t="str">
        <f ca="1">"X"&amp;OFFSET(NameConv!$F$4,0,M171)&amp;OFFSET(NameConv!$F$59,L171,M171)</f>
        <v>XRESOLP</v>
      </c>
      <c r="D171" s="515" t="str">
        <f t="shared" ca="1" si="27"/>
        <v>RESOLP</v>
      </c>
      <c r="E171" s="515" t="str">
        <f t="shared" ca="1" si="28"/>
        <v>-</v>
      </c>
      <c r="F171" s="515" t="str">
        <f t="shared" ca="1" si="30"/>
        <v>-</v>
      </c>
      <c r="G171" s="515" t="str">
        <f t="shared" ca="1" si="30"/>
        <v>-</v>
      </c>
      <c r="H171" s="515" t="str">
        <f t="shared" ca="1" si="30"/>
        <v>-</v>
      </c>
      <c r="I171" s="518">
        <f t="shared" ca="1" si="26"/>
        <v>1</v>
      </c>
      <c r="K171" s="495">
        <f ca="1">IF(M170&lt;&gt;M171,1,IF(L170=OFFSET(NameConv!$F$45,0,M170),K170+1,K170))</f>
        <v>3</v>
      </c>
      <c r="L171" s="495">
        <f t="shared" ca="1" si="29"/>
        <v>6</v>
      </c>
      <c r="M171" s="526">
        <f ca="1">IF(AND(K170=$K$7,L170=SUMIF(NameConv!$G$4:$M$4,MID(C170,2,3),NameConv!$G$45:$M$45)),M170+1,M170)</f>
        <v>5</v>
      </c>
    </row>
    <row r="172" spans="1:13">
      <c r="A172" s="883" t="str">
        <f ca="1">IF(INDEX(Demand.Sectors,MATCH(MID(C172,2,3),NameConv!$G$4:$M$4,0)),"","*")</f>
        <v/>
      </c>
      <c r="B172" s="515" t="str">
        <f t="shared" ca="1" si="25"/>
        <v>TOP-IN</v>
      </c>
      <c r="C172" s="515" t="str">
        <f ca="1">"X"&amp;OFFSET(NameConv!$F$4,0,M172)&amp;OFFSET(NameConv!$F$59,L172,M172)</f>
        <v>XRESBIW</v>
      </c>
      <c r="D172" s="515" t="str">
        <f t="shared" ca="1" si="27"/>
        <v>BIW</v>
      </c>
      <c r="E172" s="515" t="str">
        <f t="shared" ca="1" si="28"/>
        <v>-</v>
      </c>
      <c r="F172" s="515" t="str">
        <f t="shared" ca="1" si="30"/>
        <v>-</v>
      </c>
      <c r="G172" s="515" t="str">
        <f t="shared" ca="1" si="30"/>
        <v>-</v>
      </c>
      <c r="H172" s="515" t="str">
        <f t="shared" ca="1" si="30"/>
        <v>-</v>
      </c>
      <c r="I172" s="518">
        <f t="shared" ca="1" si="26"/>
        <v>1</v>
      </c>
      <c r="K172" s="495">
        <f ca="1">IF(M171&lt;&gt;M172,1,IF(L171=OFFSET(NameConv!$F$45,0,M171),K171+1,K171))</f>
        <v>4</v>
      </c>
      <c r="L172" s="495">
        <f t="shared" ca="1" si="29"/>
        <v>1</v>
      </c>
      <c r="M172" s="526">
        <f ca="1">IF(AND(K171=$K$7,L171=SUMIF(NameConv!$G$4:$M$4,MID(C171,2,3),NameConv!$G$45:$M$45)),M171+1,M171)</f>
        <v>5</v>
      </c>
    </row>
    <row r="173" spans="1:13">
      <c r="A173" s="883" t="str">
        <f ca="1">IF(INDEX(Demand.Sectors,MATCH(MID(C173,2,3),NameConv!$G$4:$M$4,0)),"","*")</f>
        <v/>
      </c>
      <c r="B173" s="515" t="str">
        <f t="shared" ca="1" si="25"/>
        <v>TOP-IN</v>
      </c>
      <c r="C173" s="515" t="str">
        <f ca="1">"X"&amp;OFFSET(NameConv!$F$4,0,M173)&amp;OFFSET(NameConv!$F$59,L173,M173)</f>
        <v>XRESCOA</v>
      </c>
      <c r="D173" s="515" t="str">
        <f t="shared" ca="1" si="27"/>
        <v>COA</v>
      </c>
      <c r="E173" s="515" t="str">
        <f t="shared" ca="1" si="28"/>
        <v>-</v>
      </c>
      <c r="F173" s="515" t="str">
        <f t="shared" ca="1" si="30"/>
        <v>-</v>
      </c>
      <c r="G173" s="515" t="str">
        <f t="shared" ca="1" si="30"/>
        <v>-</v>
      </c>
      <c r="H173" s="515" t="str">
        <f t="shared" ca="1" si="30"/>
        <v>-</v>
      </c>
      <c r="I173" s="518">
        <f t="shared" ca="1" si="26"/>
        <v>1</v>
      </c>
      <c r="K173" s="495">
        <f ca="1">IF(M172&lt;&gt;M173,1,IF(L172=OFFSET(NameConv!$F$45,0,M172),K172+1,K172))</f>
        <v>4</v>
      </c>
      <c r="L173" s="495">
        <f t="shared" ca="1" si="29"/>
        <v>2</v>
      </c>
      <c r="M173" s="526">
        <f ca="1">IF(AND(K172=$K$7,L172=SUMIF(NameConv!$G$4:$M$4,MID(C172,2,3),NameConv!$G$45:$M$45)),M172+1,M172)</f>
        <v>5</v>
      </c>
    </row>
    <row r="174" spans="1:13">
      <c r="A174" s="883" t="str">
        <f ca="1">IF(INDEX(Demand.Sectors,MATCH(MID(C174,2,3),NameConv!$G$4:$M$4,0)),"","*")</f>
        <v/>
      </c>
      <c r="B174" s="515" t="str">
        <f t="shared" ca="1" si="25"/>
        <v>TOP-IN</v>
      </c>
      <c r="C174" s="515" t="str">
        <f ca="1">"X"&amp;OFFSET(NameConv!$F$4,0,M174)&amp;OFFSET(NameConv!$F$59,L174,M174)</f>
        <v>XRESELC</v>
      </c>
      <c r="D174" s="515" t="str">
        <f ca="1">IF($A174="*","",IF($B174="TOP-OUT",RIGHT(C174,6),IF($B174="TOP-IN",RIGHT(C174,3),"-")))</f>
        <v>ELC</v>
      </c>
      <c r="E174" s="515" t="str">
        <f ca="1">IF($A174="*","",IF($B174="PRC_ACTUNT",RIGHT(C174,6),"-"))</f>
        <v>-</v>
      </c>
      <c r="F174" s="515" t="str">
        <f t="shared" ca="1" si="30"/>
        <v>-</v>
      </c>
      <c r="G174" s="515" t="str">
        <f t="shared" ca="1" si="30"/>
        <v>-</v>
      </c>
      <c r="H174" s="515" t="str">
        <f t="shared" ca="1" si="30"/>
        <v>-</v>
      </c>
      <c r="I174" s="518">
        <f t="shared" ca="1" si="26"/>
        <v>1</v>
      </c>
      <c r="K174" s="495">
        <f ca="1">IF(M173&lt;&gt;M174,1,IF(L173=OFFSET(NameConv!$F$45,0,M173),K173+1,K173))</f>
        <v>4</v>
      </c>
      <c r="L174" s="495">
        <f ca="1">IF(K174=K173,L173+1,1)</f>
        <v>3</v>
      </c>
      <c r="M174" s="526">
        <f ca="1">IF(AND(K173=$K$7,L173=SUMIF(NameConv!$G$4:$M$4,MID(C173,2,3),NameConv!$G$45:$M$45)),M173+1,M173)</f>
        <v>5</v>
      </c>
    </row>
    <row r="175" spans="1:13">
      <c r="A175" s="883" t="str">
        <f ca="1">IF(INDEX(Demand.Sectors,MATCH(MID(C175,2,3),NameConv!$G$4:$M$4,0)),"","*")</f>
        <v/>
      </c>
      <c r="B175" s="515" t="str">
        <f t="shared" ca="1" si="25"/>
        <v>TOP-IN</v>
      </c>
      <c r="C175" s="515" t="str">
        <f ca="1">"X"&amp;OFFSET(NameConv!$F$4,0,M175)&amp;OFFSET(NameConv!$F$59,L175,M175)</f>
        <v>XRESGAS</v>
      </c>
      <c r="D175" s="515" t="str">
        <f ca="1">IF($A175="*","",IF($B175="TOP-OUT",RIGHT(C175,6),IF($B175="TOP-IN",RIGHT(C175,3),"-")))</f>
        <v>GAS</v>
      </c>
      <c r="E175" s="515" t="str">
        <f ca="1">IF($A175="*","",IF($B175="PRC_ACTUNT",RIGHT(C175,6),"-"))</f>
        <v>-</v>
      </c>
      <c r="F175" s="515" t="str">
        <f t="shared" ref="F175:H190" ca="1" si="31">IF($A175="*","","-")</f>
        <v>-</v>
      </c>
      <c r="G175" s="515" t="str">
        <f t="shared" ca="1" si="31"/>
        <v>-</v>
      </c>
      <c r="H175" s="515" t="str">
        <f t="shared" ca="1" si="31"/>
        <v>-</v>
      </c>
      <c r="I175" s="518">
        <f t="shared" ca="1" si="26"/>
        <v>1</v>
      </c>
      <c r="K175" s="495">
        <f ca="1">IF(M174&lt;&gt;M175,1,IF(L174=OFFSET(NameConv!$F$45,0,M174),K174+1,K174))</f>
        <v>4</v>
      </c>
      <c r="L175" s="495">
        <f ca="1">IF(K175=K174,L174+1,1)</f>
        <v>4</v>
      </c>
      <c r="M175" s="526">
        <f ca="1">IF(AND(K174=$K$7,L174=SUMIF(NameConv!$G$4:$M$4,MID(C174,2,3),NameConv!$G$45:$M$45)),M174+1,M174)</f>
        <v>5</v>
      </c>
    </row>
    <row r="176" spans="1:13">
      <c r="A176" s="883" t="str">
        <f ca="1">IF(INDEX(Demand.Sectors,MATCH(MID(C176,2,3),NameConv!$G$4:$M$4,0)),"","*")</f>
        <v/>
      </c>
      <c r="B176" s="515" t="str">
        <f t="shared" ca="1" si="25"/>
        <v>TOP-IN</v>
      </c>
      <c r="C176" s="515" t="str">
        <f ca="1">"X"&amp;OFFSET(NameConv!$F$4,0,M176)&amp;OFFSET(NameConv!$F$59,L176,M176)</f>
        <v>XRESOKE</v>
      </c>
      <c r="D176" s="515" t="str">
        <f ca="1">IF($A176="*","",IF($B176="TOP-OUT",RIGHT(C176,6),IF($B176="TOP-IN",RIGHT(C176,3),"-")))</f>
        <v>OKE</v>
      </c>
      <c r="E176" s="515" t="str">
        <f ca="1">IF($A176="*","",IF($B176="PRC_ACTUNT",RIGHT(C176,6),"-"))</f>
        <v>-</v>
      </c>
      <c r="F176" s="515" t="str">
        <f t="shared" ca="1" si="31"/>
        <v>-</v>
      </c>
      <c r="G176" s="515" t="str">
        <f t="shared" ca="1" si="31"/>
        <v>-</v>
      </c>
      <c r="H176" s="515" t="str">
        <f t="shared" ca="1" si="31"/>
        <v>-</v>
      </c>
      <c r="I176" s="518">
        <f t="shared" ca="1" si="26"/>
        <v>1</v>
      </c>
      <c r="K176" s="495">
        <f ca="1">IF(M175&lt;&gt;M176,1,IF(L175=OFFSET(NameConv!$F$45,0,M175),K175+1,K175))</f>
        <v>4</v>
      </c>
      <c r="L176" s="495">
        <f ca="1">IF(K176=K175,L175+1,1)</f>
        <v>5</v>
      </c>
      <c r="M176" s="526">
        <f ca="1">IF(AND(K175=$K$7,L175=SUMIF(NameConv!$G$4:$M$4,MID(C175,2,3),NameConv!$G$45:$M$45)),M175+1,M175)</f>
        <v>5</v>
      </c>
    </row>
    <row r="177" spans="1:13">
      <c r="A177" s="883" t="str">
        <f ca="1">IF(INDEX(Demand.Sectors,MATCH(MID(C177,2,3),NameConv!$G$4:$M$4,0)),"","*")</f>
        <v/>
      </c>
      <c r="B177" s="515" t="str">
        <f t="shared" ca="1" si="25"/>
        <v>TOP-IN</v>
      </c>
      <c r="C177" s="515" t="str">
        <f ca="1">"X"&amp;OFFSET(NameConv!$F$4,0,M177)&amp;OFFSET(NameConv!$F$59,L177,M177)</f>
        <v>XRESOLP</v>
      </c>
      <c r="D177" s="515" t="str">
        <f ca="1">IF($A177="*","",IF($B177="TOP-OUT",RIGHT(C177,6),IF($B177="TOP-IN",RIGHT(C177,3),"-")))</f>
        <v>OLP</v>
      </c>
      <c r="E177" s="515" t="str">
        <f ca="1">IF($A177="*","",IF($B177="PRC_ACTUNT",RIGHT(C177,6),"-"))</f>
        <v>-</v>
      </c>
      <c r="F177" s="515" t="str">
        <f t="shared" ca="1" si="31"/>
        <v>-</v>
      </c>
      <c r="G177" s="515" t="str">
        <f t="shared" ca="1" si="31"/>
        <v>-</v>
      </c>
      <c r="H177" s="515" t="str">
        <f t="shared" ca="1" si="31"/>
        <v>-</v>
      </c>
      <c r="I177" s="518">
        <f t="shared" ca="1" si="26"/>
        <v>1</v>
      </c>
      <c r="K177" s="495">
        <f ca="1">IF(M176&lt;&gt;M177,1,IF(L176=OFFSET(NameConv!$F$45,0,M176),K176+1,K176))</f>
        <v>4</v>
      </c>
      <c r="L177" s="495">
        <f ca="1">IF(K177=K176,L176+1,1)</f>
        <v>6</v>
      </c>
      <c r="M177" s="526">
        <f ca="1">IF(AND(K176=$K$7,L176=SUMIF(NameConv!$G$4:$M$4,MID(C176,2,3),NameConv!$G$45:$M$45)),M176+1,M176)</f>
        <v>5</v>
      </c>
    </row>
    <row r="178" spans="1:13">
      <c r="A178" s="883" t="str">
        <f ca="1">IF(INDEX(Demand.Sectors,MATCH(MID(C178,2,3),NameConv!$G$4:$M$4,0)),"","*")</f>
        <v/>
      </c>
      <c r="B178" s="515" t="str">
        <f t="shared" ca="1" si="25"/>
        <v>PRC_ACTUNT</v>
      </c>
      <c r="C178" s="515" t="str">
        <f ca="1">"X"&amp;OFFSET(NameConv!$F$4,0,M178)&amp;OFFSET(NameConv!$F$59,L178,M178)</f>
        <v>XPWRBIG</v>
      </c>
      <c r="D178" s="515" t="str">
        <f t="shared" ref="D178:D193" ca="1" si="32">IF($A178="*","",IF($B178="TOP-OUT",RIGHT(C178,6),IF($B178="TOP-IN",RIGHT(C178,3),"-")))</f>
        <v>-</v>
      </c>
      <c r="E178" s="515" t="str">
        <f t="shared" ref="E178:E193" ca="1" si="33">IF($A178="*","",IF($B178="PRC_ACTUNT",RIGHT(C178,6),"-"))</f>
        <v>PWRBIG</v>
      </c>
      <c r="F178" s="515" t="str">
        <f t="shared" ca="1" si="31"/>
        <v>-</v>
      </c>
      <c r="G178" s="515" t="str">
        <f t="shared" ca="1" si="31"/>
        <v>-</v>
      </c>
      <c r="H178" s="515" t="str">
        <f t="shared" ca="1" si="31"/>
        <v>-</v>
      </c>
      <c r="I178" s="518">
        <f t="shared" ca="1" si="26"/>
        <v>1</v>
      </c>
      <c r="K178" s="495">
        <f ca="1">IF(M177&lt;&gt;M178,1,IF(L177=OFFSET(NameConv!$F$45,0,M177),K177+1,K177))</f>
        <v>1</v>
      </c>
      <c r="L178" s="495">
        <f t="shared" ref="L178:L193" ca="1" si="34">IF(K178=K177,L177+1,1)</f>
        <v>1</v>
      </c>
      <c r="M178" s="526">
        <f ca="1">IF(AND(K177=$K$7,L177=SUMIF(NameConv!$G$4:$M$4,MID(C177,2,3),NameConv!$G$45:$M$45)),M177+1,M177)</f>
        <v>6</v>
      </c>
    </row>
    <row r="179" spans="1:13">
      <c r="A179" s="883" t="str">
        <f ca="1">IF(INDEX(Demand.Sectors,MATCH(MID(C179,2,3),NameConv!$G$4:$M$4,0)),"","*")</f>
        <v/>
      </c>
      <c r="B179" s="515" t="str">
        <f t="shared" ca="1" si="25"/>
        <v>PRC_ACTUNT</v>
      </c>
      <c r="C179" s="515" t="str">
        <f ca="1">"X"&amp;OFFSET(NameConv!$F$4,0,M179)&amp;OFFSET(NameConv!$F$59,L179,M179)</f>
        <v>XPWRBIB</v>
      </c>
      <c r="D179" s="515" t="str">
        <f t="shared" ca="1" si="32"/>
        <v>-</v>
      </c>
      <c r="E179" s="515" t="str">
        <f t="shared" ca="1" si="33"/>
        <v>PWRBIB</v>
      </c>
      <c r="F179" s="515" t="str">
        <f t="shared" ca="1" si="31"/>
        <v>-</v>
      </c>
      <c r="G179" s="515" t="str">
        <f t="shared" ca="1" si="31"/>
        <v>-</v>
      </c>
      <c r="H179" s="515" t="str">
        <f t="shared" ca="1" si="31"/>
        <v>-</v>
      </c>
      <c r="I179" s="518">
        <f t="shared" ca="1" si="26"/>
        <v>1</v>
      </c>
      <c r="K179" s="495">
        <f ca="1">IF(M178&lt;&gt;M179,1,IF(L178=OFFSET(NameConv!$F$45,0,M178),K178+1,K178))</f>
        <v>1</v>
      </c>
      <c r="L179" s="495">
        <f t="shared" ca="1" si="34"/>
        <v>2</v>
      </c>
      <c r="M179" s="526">
        <f ca="1">IF(AND(K178=$K$7,L178=SUMIF(NameConv!$G$4:$M$4,MID(C178,2,3),NameConv!$G$45:$M$45)),M178+1,M178)</f>
        <v>6</v>
      </c>
    </row>
    <row r="180" spans="1:13">
      <c r="A180" s="883" t="str">
        <f ca="1">IF(INDEX(Demand.Sectors,MATCH(MID(C180,2,3),NameConv!$G$4:$M$4,0)),"","*")</f>
        <v/>
      </c>
      <c r="B180" s="515" t="str">
        <f t="shared" ca="1" si="25"/>
        <v>PRC_ACTUNT</v>
      </c>
      <c r="C180" s="515" t="str">
        <f ca="1">"X"&amp;OFFSET(NameConv!$F$4,0,M180)&amp;OFFSET(NameConv!$F$59,L180,M180)</f>
        <v>XPWRBIO</v>
      </c>
      <c r="D180" s="515" t="str">
        <f t="shared" ca="1" si="32"/>
        <v>-</v>
      </c>
      <c r="E180" s="515" t="str">
        <f t="shared" ca="1" si="33"/>
        <v>PWRBIO</v>
      </c>
      <c r="F180" s="515" t="str">
        <f t="shared" ca="1" si="31"/>
        <v>-</v>
      </c>
      <c r="G180" s="515" t="str">
        <f t="shared" ca="1" si="31"/>
        <v>-</v>
      </c>
      <c r="H180" s="515" t="str">
        <f t="shared" ca="1" si="31"/>
        <v>-</v>
      </c>
      <c r="I180" s="518">
        <f t="shared" ca="1" si="26"/>
        <v>1</v>
      </c>
      <c r="K180" s="495">
        <f ca="1">IF(M179&lt;&gt;M180,1,IF(L179=OFFSET(NameConv!$F$45,0,M179),K179+1,K179))</f>
        <v>1</v>
      </c>
      <c r="L180" s="495">
        <f t="shared" ca="1" si="34"/>
        <v>3</v>
      </c>
      <c r="M180" s="526">
        <f ca="1">IF(AND(K179=$K$7,L179=SUMIF(NameConv!$G$4:$M$4,MID(C179,2,3),NameConv!$G$45:$M$45)),M179+1,M179)</f>
        <v>6</v>
      </c>
    </row>
    <row r="181" spans="1:13">
      <c r="A181" s="883" t="str">
        <f ca="1">IF(INDEX(Demand.Sectors,MATCH(MID(C181,2,3),NameConv!$G$4:$M$4,0)),"","*")</f>
        <v/>
      </c>
      <c r="B181" s="515" t="str">
        <f t="shared" ca="1" si="25"/>
        <v>PRC_ACTUNT</v>
      </c>
      <c r="C181" s="515" t="str">
        <f ca="1">"X"&amp;OFFSET(NameConv!$F$4,0,M181)&amp;OFFSET(NameConv!$F$59,L181,M181)</f>
        <v>XPWRBIW</v>
      </c>
      <c r="D181" s="515" t="str">
        <f t="shared" ca="1" si="32"/>
        <v>-</v>
      </c>
      <c r="E181" s="515" t="str">
        <f t="shared" ca="1" si="33"/>
        <v>PWRBIW</v>
      </c>
      <c r="F181" s="515" t="str">
        <f t="shared" ca="1" si="31"/>
        <v>-</v>
      </c>
      <c r="G181" s="515" t="str">
        <f t="shared" ca="1" si="31"/>
        <v>-</v>
      </c>
      <c r="H181" s="515" t="str">
        <f t="shared" ca="1" si="31"/>
        <v>-</v>
      </c>
      <c r="I181" s="518">
        <f t="shared" ca="1" si="26"/>
        <v>1</v>
      </c>
      <c r="K181" s="495">
        <f ca="1">IF(M180&lt;&gt;M181,1,IF(L180=OFFSET(NameConv!$F$45,0,M180),K180+1,K180))</f>
        <v>1</v>
      </c>
      <c r="L181" s="495">
        <f t="shared" ca="1" si="34"/>
        <v>4</v>
      </c>
      <c r="M181" s="526">
        <f ca="1">IF(AND(K180=$K$7,L180=SUMIF(NameConv!$G$4:$M$4,MID(C180,2,3),NameConv!$G$45:$M$45)),M180+1,M180)</f>
        <v>6</v>
      </c>
    </row>
    <row r="182" spans="1:13">
      <c r="A182" s="883" t="str">
        <f ca="1">IF(INDEX(Demand.Sectors,MATCH(MID(C182,2,3),NameConv!$G$4:$M$4,0)),"","*")</f>
        <v/>
      </c>
      <c r="B182" s="515" t="str">
        <f t="shared" ca="1" si="25"/>
        <v>PRC_ACTUNT</v>
      </c>
      <c r="C182" s="515" t="str">
        <f ca="1">"X"&amp;OFFSET(NameConv!$F$4,0,M182)&amp;OFFSET(NameConv!$F$59,L182,M182)</f>
        <v>XPWRCLD</v>
      </c>
      <c r="D182" s="515" t="str">
        <f t="shared" ca="1" si="32"/>
        <v>-</v>
      </c>
      <c r="E182" s="515" t="str">
        <f t="shared" ca="1" si="33"/>
        <v>PWRCLD</v>
      </c>
      <c r="F182" s="515" t="str">
        <f t="shared" ca="1" si="31"/>
        <v>-</v>
      </c>
      <c r="G182" s="515" t="str">
        <f t="shared" ca="1" si="31"/>
        <v>-</v>
      </c>
      <c r="H182" s="515" t="str">
        <f t="shared" ca="1" si="31"/>
        <v>-</v>
      </c>
      <c r="I182" s="518">
        <f t="shared" ca="1" si="26"/>
        <v>1</v>
      </c>
      <c r="K182" s="495">
        <f ca="1">IF(M181&lt;&gt;M182,1,IF(L181=OFFSET(NameConv!$F$45,0,M181),K181+1,K181))</f>
        <v>1</v>
      </c>
      <c r="L182" s="495">
        <f t="shared" ca="1" si="34"/>
        <v>5</v>
      </c>
      <c r="M182" s="526">
        <f ca="1">IF(AND(K181=$K$7,L181=SUMIF(NameConv!$G$4:$M$4,MID(C181,2,3),NameConv!$G$45:$M$45)),M181+1,M181)</f>
        <v>6</v>
      </c>
    </row>
    <row r="183" spans="1:13">
      <c r="A183" s="883" t="str">
        <f ca="1">IF(INDEX(Demand.Sectors,MATCH(MID(C183,2,3),NameConv!$G$4:$M$4,0)),"","*")</f>
        <v/>
      </c>
      <c r="B183" s="515" t="str">
        <f t="shared" ca="1" si="25"/>
        <v>PRC_ACTUNT</v>
      </c>
      <c r="C183" s="515" t="str">
        <f ca="1">"X"&amp;OFFSET(NameConv!$F$4,0,M183)&amp;OFFSET(NameConv!$F$59,L183,M183)</f>
        <v>XPWRCLE</v>
      </c>
      <c r="D183" s="515" t="str">
        <f t="shared" ca="1" si="32"/>
        <v>-</v>
      </c>
      <c r="E183" s="515" t="str">
        <f t="shared" ca="1" si="33"/>
        <v>PWRCLE</v>
      </c>
      <c r="F183" s="515" t="str">
        <f t="shared" ca="1" si="31"/>
        <v>-</v>
      </c>
      <c r="G183" s="515" t="str">
        <f t="shared" ca="1" si="31"/>
        <v>-</v>
      </c>
      <c r="H183" s="515" t="str">
        <f t="shared" ca="1" si="31"/>
        <v>-</v>
      </c>
      <c r="I183" s="518">
        <f t="shared" ca="1" si="26"/>
        <v>1</v>
      </c>
      <c r="K183" s="495">
        <f ca="1">IF(M182&lt;&gt;M183,1,IF(L182=OFFSET(NameConv!$F$45,0,M182),K182+1,K182))</f>
        <v>1</v>
      </c>
      <c r="L183" s="495">
        <f t="shared" ca="1" si="34"/>
        <v>6</v>
      </c>
      <c r="M183" s="526">
        <f ca="1">IF(AND(K182=$K$7,L182=SUMIF(NameConv!$G$4:$M$4,MID(C182,2,3),NameConv!$G$45:$M$45)),M182+1,M182)</f>
        <v>6</v>
      </c>
    </row>
    <row r="184" spans="1:13">
      <c r="A184" s="883" t="str">
        <f ca="1">IF(INDEX(Demand.Sectors,MATCH(MID(C184,2,3),NameConv!$G$4:$M$4,0)),"","*")</f>
        <v/>
      </c>
      <c r="B184" s="515" t="str">
        <f t="shared" ca="1" si="25"/>
        <v>PRC_ACTUNT</v>
      </c>
      <c r="C184" s="515" t="str">
        <f ca="1">"X"&amp;OFFSET(NameConv!$F$4,0,M184)&amp;OFFSET(NameConv!$F$59,L184,M184)</f>
        <v>XPWRCRB</v>
      </c>
      <c r="D184" s="515" t="str">
        <f t="shared" ca="1" si="32"/>
        <v>-</v>
      </c>
      <c r="E184" s="515" t="str">
        <f t="shared" ca="1" si="33"/>
        <v>PWRCRB</v>
      </c>
      <c r="F184" s="515" t="str">
        <f t="shared" ca="1" si="31"/>
        <v>-</v>
      </c>
      <c r="G184" s="515" t="str">
        <f t="shared" ca="1" si="31"/>
        <v>-</v>
      </c>
      <c r="H184" s="515" t="str">
        <f t="shared" ca="1" si="31"/>
        <v>-</v>
      </c>
      <c r="I184" s="518">
        <f t="shared" ca="1" si="26"/>
        <v>1</v>
      </c>
      <c r="K184" s="495">
        <f ca="1">IF(M183&lt;&gt;M184,1,IF(L183=OFFSET(NameConv!$F$45,0,M183),K183+1,K183))</f>
        <v>1</v>
      </c>
      <c r="L184" s="495">
        <f t="shared" ca="1" si="34"/>
        <v>7</v>
      </c>
      <c r="M184" s="526">
        <f ca="1">IF(AND(K183=$K$7,L183=SUMIF(NameConv!$G$4:$M$4,MID(C183,2,3),NameConv!$G$45:$M$45)),M183+1,M183)</f>
        <v>6</v>
      </c>
    </row>
    <row r="185" spans="1:13">
      <c r="A185" s="883" t="str">
        <f ca="1">IF(INDEX(Demand.Sectors,MATCH(MID(C185,2,3),NameConv!$G$4:$M$4,0)),"","*")</f>
        <v/>
      </c>
      <c r="B185" s="515" t="str">
        <f t="shared" ca="1" si="25"/>
        <v>PRC_ACTUNT</v>
      </c>
      <c r="C185" s="515" t="str">
        <f ca="1">"X"&amp;OFFSET(NameConv!$F$4,0,M185)&amp;OFFSET(NameConv!$F$59,L185,M185)</f>
        <v>XPWRGAS</v>
      </c>
      <c r="D185" s="515" t="str">
        <f t="shared" ca="1" si="32"/>
        <v>-</v>
      </c>
      <c r="E185" s="515" t="str">
        <f t="shared" ca="1" si="33"/>
        <v>PWRGAS</v>
      </c>
      <c r="F185" s="515" t="str">
        <f t="shared" ca="1" si="31"/>
        <v>-</v>
      </c>
      <c r="G185" s="515" t="str">
        <f t="shared" ca="1" si="31"/>
        <v>-</v>
      </c>
      <c r="H185" s="515" t="str">
        <f t="shared" ca="1" si="31"/>
        <v>-</v>
      </c>
      <c r="I185" s="518">
        <f t="shared" ca="1" si="26"/>
        <v>1</v>
      </c>
      <c r="K185" s="495">
        <f ca="1">IF(M184&lt;&gt;M185,1,IF(L184=OFFSET(NameConv!$F$45,0,M184),K184+1,K184))</f>
        <v>1</v>
      </c>
      <c r="L185" s="495">
        <f t="shared" ca="1" si="34"/>
        <v>8</v>
      </c>
      <c r="M185" s="526">
        <f ca="1">IF(AND(K184=$K$7,L184=SUMIF(NameConv!$G$4:$M$4,MID(C184,2,3),NameConv!$G$45:$M$45)),M184+1,M184)</f>
        <v>6</v>
      </c>
    </row>
    <row r="186" spans="1:13">
      <c r="A186" s="883" t="str">
        <f ca="1">IF(INDEX(Demand.Sectors,MATCH(MID(C186,2,3),NameConv!$G$4:$M$4,0)),"","*")</f>
        <v/>
      </c>
      <c r="B186" s="515" t="str">
        <f t="shared" ca="1" si="25"/>
        <v>PRC_ACTUNT</v>
      </c>
      <c r="C186" s="515" t="str">
        <f ca="1">"X"&amp;OFFSET(NameConv!$F$4,0,M186)&amp;OFFSET(NameConv!$F$59,L186,M186)</f>
        <v>XPWRGRS</v>
      </c>
      <c r="D186" s="515" t="str">
        <f t="shared" ca="1" si="32"/>
        <v>-</v>
      </c>
      <c r="E186" s="515" t="str">
        <f t="shared" ca="1" si="33"/>
        <v>PWRGRS</v>
      </c>
      <c r="F186" s="515" t="str">
        <f t="shared" ca="1" si="31"/>
        <v>-</v>
      </c>
      <c r="G186" s="515" t="str">
        <f t="shared" ca="1" si="31"/>
        <v>-</v>
      </c>
      <c r="H186" s="515" t="str">
        <f t="shared" ca="1" si="31"/>
        <v>-</v>
      </c>
      <c r="I186" s="518">
        <f t="shared" ca="1" si="26"/>
        <v>1</v>
      </c>
      <c r="K186" s="495">
        <f ca="1">IF(M185&lt;&gt;M186,1,IF(L185=OFFSET(NameConv!$F$45,0,M185),K185+1,K185))</f>
        <v>1</v>
      </c>
      <c r="L186" s="495">
        <f t="shared" ca="1" si="34"/>
        <v>9</v>
      </c>
      <c r="M186" s="526">
        <f ca="1">IF(AND(K185=$K$7,L185=SUMIF(NameConv!$G$4:$M$4,MID(C185,2,3),NameConv!$G$45:$M$45)),M185+1,M185)</f>
        <v>6</v>
      </c>
    </row>
    <row r="187" spans="1:13">
      <c r="A187" s="883" t="str">
        <f ca="1">IF(INDEX(Demand.Sectors,MATCH(MID(C187,2,3),NameConv!$G$4:$M$4,0)),"","*")</f>
        <v/>
      </c>
      <c r="B187" s="515" t="str">
        <f t="shared" ca="1" si="25"/>
        <v>PRC_ACTUNT</v>
      </c>
      <c r="C187" s="515" t="str">
        <f ca="1">"X"&amp;OFFSET(NameConv!$F$4,0,M187)&amp;OFFSET(NameConv!$F$59,L187,M187)</f>
        <v>XPWRGRN</v>
      </c>
      <c r="D187" s="515" t="str">
        <f t="shared" ca="1" si="32"/>
        <v>-</v>
      </c>
      <c r="E187" s="515" t="str">
        <f t="shared" ca="1" si="33"/>
        <v>PWRGRN</v>
      </c>
      <c r="F187" s="515" t="str">
        <f t="shared" ca="1" si="31"/>
        <v>-</v>
      </c>
      <c r="G187" s="515" t="str">
        <f t="shared" ca="1" si="31"/>
        <v>-</v>
      </c>
      <c r="H187" s="515" t="str">
        <f t="shared" ca="1" si="31"/>
        <v>-</v>
      </c>
      <c r="I187" s="518">
        <f t="shared" ca="1" si="26"/>
        <v>1</v>
      </c>
      <c r="K187" s="495">
        <f ca="1">IF(M186&lt;&gt;M187,1,IF(L186=OFFSET(NameConv!$F$45,0,M186),K186+1,K186))</f>
        <v>1</v>
      </c>
      <c r="L187" s="495">
        <f t="shared" ca="1" si="34"/>
        <v>10</v>
      </c>
      <c r="M187" s="526">
        <f ca="1">IF(AND(K186=$K$7,L186=SUMIF(NameConv!$G$4:$M$4,MID(C186,2,3),NameConv!$G$45:$M$45)),M186+1,M186)</f>
        <v>6</v>
      </c>
    </row>
    <row r="188" spans="1:13">
      <c r="A188" s="883" t="str">
        <f ca="1">IF(INDEX(Demand.Sectors,MATCH(MID(C188,2,3),NameConv!$G$4:$M$4,0)),"","*")</f>
        <v/>
      </c>
      <c r="B188" s="515" t="str">
        <f t="shared" ca="1" si="25"/>
        <v>PRC_ACTUNT</v>
      </c>
      <c r="C188" s="515" t="str">
        <f ca="1">"X"&amp;OFFSET(NameConv!$F$4,0,M188)&amp;OFFSET(NameConv!$F$59,L188,M188)</f>
        <v>XPWRGRM</v>
      </c>
      <c r="D188" s="515" t="str">
        <f t="shared" ca="1" si="32"/>
        <v>-</v>
      </c>
      <c r="E188" s="515" t="str">
        <f t="shared" ca="1" si="33"/>
        <v>PWRGRM</v>
      </c>
      <c r="F188" s="515" t="str">
        <f t="shared" ca="1" si="31"/>
        <v>-</v>
      </c>
      <c r="G188" s="515" t="str">
        <f t="shared" ca="1" si="31"/>
        <v>-</v>
      </c>
      <c r="H188" s="515" t="str">
        <f t="shared" ca="1" si="31"/>
        <v>-</v>
      </c>
      <c r="I188" s="518">
        <f t="shared" ca="1" si="26"/>
        <v>1</v>
      </c>
      <c r="K188" s="495">
        <f ca="1">IF(M187&lt;&gt;M188,1,IF(L187=OFFSET(NameConv!$F$45,0,M187),K187+1,K187))</f>
        <v>1</v>
      </c>
      <c r="L188" s="495">
        <f t="shared" ca="1" si="34"/>
        <v>11</v>
      </c>
      <c r="M188" s="526">
        <f ca="1">IF(AND(K187=$K$7,L187=SUMIF(NameConv!$G$4:$M$4,MID(C187,2,3),NameConv!$G$45:$M$45)),M187+1,M187)</f>
        <v>6</v>
      </c>
    </row>
    <row r="189" spans="1:13">
      <c r="A189" s="883" t="str">
        <f ca="1">IF(INDEX(Demand.Sectors,MATCH(MID(C189,2,3),NameConv!$G$4:$M$4,0)),"","*")</f>
        <v/>
      </c>
      <c r="B189" s="515" t="str">
        <f t="shared" ca="1" si="25"/>
        <v>PRC_ACTUNT</v>
      </c>
      <c r="C189" s="515" t="str">
        <f ca="1">"X"&amp;OFFSET(NameConv!$F$4,0,M189)&amp;OFFSET(NameConv!$F$59,L189,M189)</f>
        <v>XPWRGIH</v>
      </c>
      <c r="D189" s="515" t="str">
        <f t="shared" ca="1" si="32"/>
        <v>-</v>
      </c>
      <c r="E189" s="515" t="str">
        <f t="shared" ca="1" si="33"/>
        <v>PWRGIH</v>
      </c>
      <c r="F189" s="515" t="str">
        <f t="shared" ca="1" si="31"/>
        <v>-</v>
      </c>
      <c r="G189" s="515" t="str">
        <f t="shared" ca="1" si="31"/>
        <v>-</v>
      </c>
      <c r="H189" s="515" t="str">
        <f t="shared" ca="1" si="31"/>
        <v>-</v>
      </c>
      <c r="I189" s="518">
        <f t="shared" ca="1" si="26"/>
        <v>1</v>
      </c>
      <c r="K189" s="495">
        <f ca="1">IF(M188&lt;&gt;M189,1,IF(L188=OFFSET(NameConv!$F$45,0,M188),K188+1,K188))</f>
        <v>1</v>
      </c>
      <c r="L189" s="495">
        <f t="shared" ca="1" si="34"/>
        <v>12</v>
      </c>
      <c r="M189" s="526">
        <f ca="1">IF(AND(K188=$K$7,L188=SUMIF(NameConv!$G$4:$M$4,MID(C188,2,3),NameConv!$G$45:$M$45)),M188+1,M188)</f>
        <v>6</v>
      </c>
    </row>
    <row r="190" spans="1:13">
      <c r="A190" s="883" t="str">
        <f ca="1">IF(INDEX(Demand.Sectors,MATCH(MID(C190,2,3),NameConv!$G$4:$M$4,0)),"","*")</f>
        <v/>
      </c>
      <c r="B190" s="515" t="str">
        <f t="shared" ca="1" si="25"/>
        <v>PRC_ACTUNT</v>
      </c>
      <c r="C190" s="515" t="str">
        <f ca="1">"X"&amp;OFFSET(NameConv!$F$4,0,M190)&amp;OFFSET(NameConv!$F$59,L190,M190)</f>
        <v>XPWRGIC</v>
      </c>
      <c r="D190" s="515" t="str">
        <f t="shared" ca="1" si="32"/>
        <v>-</v>
      </c>
      <c r="E190" s="515" t="str">
        <f t="shared" ca="1" si="33"/>
        <v>PWRGIC</v>
      </c>
      <c r="F190" s="515" t="str">
        <f t="shared" ca="1" si="31"/>
        <v>-</v>
      </c>
      <c r="G190" s="515" t="str">
        <f t="shared" ca="1" si="31"/>
        <v>-</v>
      </c>
      <c r="H190" s="515" t="str">
        <f t="shared" ca="1" si="31"/>
        <v>-</v>
      </c>
      <c r="I190" s="518">
        <f t="shared" ca="1" si="26"/>
        <v>1</v>
      </c>
      <c r="K190" s="495">
        <f ca="1">IF(M189&lt;&gt;M190,1,IF(L189=OFFSET(NameConv!$F$45,0,M189),K189+1,K189))</f>
        <v>1</v>
      </c>
      <c r="L190" s="495">
        <f t="shared" ca="1" si="34"/>
        <v>13</v>
      </c>
      <c r="M190" s="526">
        <f ca="1">IF(AND(K189=$K$7,L189=SUMIF(NameConv!$G$4:$M$4,MID(C189,2,3),NameConv!$G$45:$M$45)),M189+1,M189)</f>
        <v>6</v>
      </c>
    </row>
    <row r="191" spans="1:13">
      <c r="A191" s="883" t="str">
        <f ca="1">IF(INDEX(Demand.Sectors,MATCH(MID(C191,2,3),NameConv!$G$4:$M$4,0)),"","*")</f>
        <v/>
      </c>
      <c r="B191" s="515" t="str">
        <f t="shared" ca="1" si="25"/>
        <v>PRC_ACTUNT</v>
      </c>
      <c r="C191" s="515" t="str">
        <f ca="1">"X"&amp;OFFSET(NameConv!$F$4,0,M191)&amp;OFFSET(NameConv!$F$59,L191,M191)</f>
        <v>XPWRHYD</v>
      </c>
      <c r="D191" s="515" t="str">
        <f t="shared" ca="1" si="32"/>
        <v>-</v>
      </c>
      <c r="E191" s="515" t="str">
        <f t="shared" ca="1" si="33"/>
        <v>PWRHYD</v>
      </c>
      <c r="F191" s="515" t="str">
        <f t="shared" ref="F191:H206" ca="1" si="35">IF($A191="*","","-")</f>
        <v>-</v>
      </c>
      <c r="G191" s="515" t="str">
        <f t="shared" ca="1" si="35"/>
        <v>-</v>
      </c>
      <c r="H191" s="515" t="str">
        <f t="shared" ca="1" si="35"/>
        <v>-</v>
      </c>
      <c r="I191" s="518">
        <f t="shared" ca="1" si="26"/>
        <v>1</v>
      </c>
      <c r="K191" s="495">
        <f ca="1">IF(M190&lt;&gt;M191,1,IF(L190=OFFSET(NameConv!$F$45,0,M190),K190+1,K190))</f>
        <v>1</v>
      </c>
      <c r="L191" s="495">
        <f t="shared" ca="1" si="34"/>
        <v>14</v>
      </c>
      <c r="M191" s="526">
        <f ca="1">IF(AND(K190=$K$7,L190=SUMIF(NameConv!$G$4:$M$4,MID(C190,2,3),NameConv!$G$45:$M$45)),M190+1,M190)</f>
        <v>6</v>
      </c>
    </row>
    <row r="192" spans="1:13">
      <c r="A192" s="883" t="str">
        <f ca="1">IF(INDEX(Demand.Sectors,MATCH(MID(C192,2,3),NameConv!$G$4:$M$4,0)),"","*")</f>
        <v/>
      </c>
      <c r="B192" s="515" t="str">
        <f t="shared" ca="1" si="25"/>
        <v>PRC_ACTUNT</v>
      </c>
      <c r="C192" s="515" t="str">
        <f ca="1">"X"&amp;OFFSET(NameConv!$F$4,0,M192)&amp;OFFSET(NameConv!$F$59,L192,M192)</f>
        <v>XPWRHGN</v>
      </c>
      <c r="D192" s="515" t="str">
        <f t="shared" ca="1" si="32"/>
        <v>-</v>
      </c>
      <c r="E192" s="515" t="str">
        <f t="shared" ca="1" si="33"/>
        <v>PWRHGN</v>
      </c>
      <c r="F192" s="515" t="str">
        <f t="shared" ca="1" si="35"/>
        <v>-</v>
      </c>
      <c r="G192" s="515" t="str">
        <f t="shared" ca="1" si="35"/>
        <v>-</v>
      </c>
      <c r="H192" s="515" t="str">
        <f t="shared" ca="1" si="35"/>
        <v>-</v>
      </c>
      <c r="I192" s="518">
        <f t="shared" ca="1" si="26"/>
        <v>1</v>
      </c>
      <c r="K192" s="495">
        <f ca="1">IF(M191&lt;&gt;M192,1,IF(L191=OFFSET(NameConv!$F$45,0,M191),K191+1,K191))</f>
        <v>1</v>
      </c>
      <c r="L192" s="495">
        <f t="shared" ca="1" si="34"/>
        <v>15</v>
      </c>
      <c r="M192" s="526">
        <f ca="1">IF(AND(K191=$K$7,L191=SUMIF(NameConv!$G$4:$M$4,MID(C191,2,3),NameConv!$G$45:$M$45)),M191+1,M191)</f>
        <v>6</v>
      </c>
    </row>
    <row r="193" spans="1:13">
      <c r="A193" s="883" t="str">
        <f ca="1">IF(INDEX(Demand.Sectors,MATCH(MID(C193,2,3),NameConv!$G$4:$M$4,0)),"","*")</f>
        <v/>
      </c>
      <c r="B193" s="515" t="str">
        <f t="shared" ca="1" si="25"/>
        <v>PRC_ACTUNT</v>
      </c>
      <c r="C193" s="515" t="str">
        <f ca="1">"X"&amp;OFFSET(NameConv!$F$4,0,M193)&amp;OFFSET(NameConv!$F$59,L193,M193)</f>
        <v>XPWRNUC</v>
      </c>
      <c r="D193" s="515" t="str">
        <f t="shared" ca="1" si="32"/>
        <v>-</v>
      </c>
      <c r="E193" s="515" t="str">
        <f t="shared" ca="1" si="33"/>
        <v>PWRNUC</v>
      </c>
      <c r="F193" s="515" t="str">
        <f t="shared" ca="1" si="35"/>
        <v>-</v>
      </c>
      <c r="G193" s="515" t="str">
        <f t="shared" ca="1" si="35"/>
        <v>-</v>
      </c>
      <c r="H193" s="515" t="str">
        <f t="shared" ca="1" si="35"/>
        <v>-</v>
      </c>
      <c r="I193" s="518">
        <f t="shared" ca="1" si="26"/>
        <v>1</v>
      </c>
      <c r="K193" s="495">
        <f ca="1">IF(M192&lt;&gt;M193,1,IF(L192=OFFSET(NameConv!$F$45,0,M192),K192+1,K192))</f>
        <v>1</v>
      </c>
      <c r="L193" s="495">
        <f t="shared" ca="1" si="34"/>
        <v>16</v>
      </c>
      <c r="M193" s="526">
        <f ca="1">IF(AND(K192=$K$7,L192=SUMIF(NameConv!$G$4:$M$4,MID(C192,2,3),NameConv!$G$45:$M$45)),M192+1,M192)</f>
        <v>6</v>
      </c>
    </row>
    <row r="194" spans="1:13">
      <c r="A194" s="883" t="str">
        <f ca="1">IF(INDEX(Demand.Sectors,MATCH(MID(C194,2,3),NameConv!$G$4:$M$4,0)),"","*")</f>
        <v/>
      </c>
      <c r="B194" s="515" t="str">
        <f t="shared" ca="1" si="25"/>
        <v>PRC_ACTUNT</v>
      </c>
      <c r="C194" s="515" t="str">
        <f ca="1">"X"&amp;OFFSET(NameConv!$F$4,0,M194)&amp;OFFSET(NameConv!$F$59,L194,M194)</f>
        <v>XPWRODS</v>
      </c>
      <c r="D194" s="515" t="str">
        <f ca="1">IF($A194="*","",IF($B194="TOP-OUT",RIGHT(C194,6),IF($B194="TOP-IN",RIGHT(C194,3),"-")))</f>
        <v>-</v>
      </c>
      <c r="E194" s="515" t="str">
        <f ca="1">IF($A194="*","",IF($B194="PRC_ACTUNT",RIGHT(C194,6),"-"))</f>
        <v>PWRODS</v>
      </c>
      <c r="F194" s="515" t="str">
        <f t="shared" ca="1" si="35"/>
        <v>-</v>
      </c>
      <c r="G194" s="515" t="str">
        <f t="shared" ca="1" si="35"/>
        <v>-</v>
      </c>
      <c r="H194" s="515" t="str">
        <f t="shared" ca="1" si="35"/>
        <v>-</v>
      </c>
      <c r="I194" s="518">
        <f t="shared" ca="1" si="26"/>
        <v>1</v>
      </c>
      <c r="K194" s="495">
        <f ca="1">IF(M193&lt;&gt;M194,1,IF(L193=OFFSET(NameConv!$F$45,0,M193),K193+1,K193))</f>
        <v>1</v>
      </c>
      <c r="L194" s="495">
        <f ca="1">IF(K194=K193,L193+1,1)</f>
        <v>17</v>
      </c>
      <c r="M194" s="526">
        <f ca="1">IF(AND(K193=$K$7,L193=SUMIF(NameConv!$G$4:$M$4,MID(C193,2,3),NameConv!$G$45:$M$45)),M193+1,M193)</f>
        <v>6</v>
      </c>
    </row>
    <row r="195" spans="1:13">
      <c r="A195" s="883" t="str">
        <f ca="1">IF(INDEX(Demand.Sectors,MATCH(MID(C195,2,3),NameConv!$G$4:$M$4,0)),"","*")</f>
        <v/>
      </c>
      <c r="B195" s="515" t="str">
        <f t="shared" ca="1" si="25"/>
        <v>PRC_ACTUNT</v>
      </c>
      <c r="C195" s="515" t="str">
        <f ca="1">"X"&amp;OFFSET(NameConv!$F$4,0,M195)&amp;OFFSET(NameConv!$F$59,L195,M195)</f>
        <v>XPWRSOL</v>
      </c>
      <c r="D195" s="515" t="str">
        <f ca="1">IF($A195="*","",IF($B195="TOP-OUT",RIGHT(C195,6),IF($B195="TOP-IN",RIGHT(C195,3),"-")))</f>
        <v>-</v>
      </c>
      <c r="E195" s="515" t="str">
        <f ca="1">IF($A195="*","",IF($B195="PRC_ACTUNT",RIGHT(C195,6),"-"))</f>
        <v>PWRSOL</v>
      </c>
      <c r="F195" s="515" t="str">
        <f t="shared" ca="1" si="35"/>
        <v>-</v>
      </c>
      <c r="G195" s="515" t="str">
        <f t="shared" ca="1" si="35"/>
        <v>-</v>
      </c>
      <c r="H195" s="515" t="str">
        <f t="shared" ca="1" si="35"/>
        <v>-</v>
      </c>
      <c r="I195" s="518">
        <f t="shared" ca="1" si="26"/>
        <v>1</v>
      </c>
      <c r="K195" s="495">
        <f ca="1">IF(M194&lt;&gt;M195,1,IF(L194=OFFSET(NameConv!$F$45,0,M194),K194+1,K194))</f>
        <v>1</v>
      </c>
      <c r="L195" s="495">
        <f ca="1">IF(K195=K194,L194+1,1)</f>
        <v>18</v>
      </c>
      <c r="M195" s="526">
        <f ca="1">IF(AND(K194=$K$7,L194=SUMIF(NameConv!$G$4:$M$4,MID(C194,2,3),NameConv!$G$45:$M$45)),M194+1,M194)</f>
        <v>6</v>
      </c>
    </row>
    <row r="196" spans="1:13">
      <c r="A196" s="883" t="str">
        <f ca="1">IF(INDEX(Demand.Sectors,MATCH(MID(C196,2,3),NameConv!$G$4:$M$4,0)),"","*")</f>
        <v/>
      </c>
      <c r="B196" s="515" t="str">
        <f t="shared" ca="1" si="25"/>
        <v>PRC_ACTUNT</v>
      </c>
      <c r="C196" s="515" t="str">
        <f ca="1">"X"&amp;OFFSET(NameConv!$F$4,0,M196)&amp;OFFSET(NameConv!$F$59,L196,M196)</f>
        <v>XPWRWND</v>
      </c>
      <c r="D196" s="515" t="str">
        <f ca="1">IF($A196="*","",IF($B196="TOP-OUT",RIGHT(C196,6),IF($B196="TOP-IN",RIGHT(C196,3),"-")))</f>
        <v>-</v>
      </c>
      <c r="E196" s="515" t="str">
        <f ca="1">IF($A196="*","",IF($B196="PRC_ACTUNT",RIGHT(C196,6),"-"))</f>
        <v>PWRWND</v>
      </c>
      <c r="F196" s="515" t="str">
        <f t="shared" ca="1" si="35"/>
        <v>-</v>
      </c>
      <c r="G196" s="515" t="str">
        <f t="shared" ca="1" si="35"/>
        <v>-</v>
      </c>
      <c r="H196" s="515" t="str">
        <f t="shared" ca="1" si="35"/>
        <v>-</v>
      </c>
      <c r="I196" s="518">
        <f t="shared" ca="1" si="26"/>
        <v>1</v>
      </c>
      <c r="K196" s="495">
        <f ca="1">IF(M195&lt;&gt;M196,1,IF(L195=OFFSET(NameConv!$F$45,0,M195),K195+1,K195))</f>
        <v>1</v>
      </c>
      <c r="L196" s="495">
        <f ca="1">IF(K196=K195,L195+1,1)</f>
        <v>19</v>
      </c>
      <c r="M196" s="526">
        <f ca="1">IF(AND(K195=$K$7,L195=SUMIF(NameConv!$G$4:$M$4,MID(C195,2,3),NameConv!$G$45:$M$45)),M195+1,M195)</f>
        <v>6</v>
      </c>
    </row>
    <row r="197" spans="1:13">
      <c r="A197" s="883" t="str">
        <f ca="1">IF(INDEX(Demand.Sectors,MATCH(MID(C197,2,3),NameConv!$G$4:$M$4,0)),"","*")</f>
        <v/>
      </c>
      <c r="B197" s="515" t="str">
        <f t="shared" ca="1" si="25"/>
        <v>PRC_CAPACT</v>
      </c>
      <c r="C197" s="515" t="str">
        <f ca="1">"X"&amp;OFFSET(NameConv!$F$4,0,M197)&amp;OFFSET(NameConv!$F$59,L197,M197)</f>
        <v>XPWRBIG</v>
      </c>
      <c r="D197" s="515" t="str">
        <f ca="1">IF($A197="*","",IF($B197="TOP-OUT",RIGHT(C197,6),IF($B197="TOP-IN",RIGHT(C197,3),"-")))</f>
        <v>-</v>
      </c>
      <c r="E197" s="515" t="str">
        <f ca="1">IF($A197="*","",IF($B197="PRC_ACTUNT",RIGHT(C197,6),"-"))</f>
        <v>-</v>
      </c>
      <c r="F197" s="515" t="str">
        <f t="shared" ca="1" si="35"/>
        <v>-</v>
      </c>
      <c r="G197" s="515" t="str">
        <f t="shared" ca="1" si="35"/>
        <v>-</v>
      </c>
      <c r="H197" s="515" t="str">
        <f t="shared" ca="1" si="35"/>
        <v>-</v>
      </c>
      <c r="I197" s="518">
        <f t="shared" ca="1" si="26"/>
        <v>1</v>
      </c>
      <c r="K197" s="495">
        <f ca="1">IF(M196&lt;&gt;M197,1,IF(L196=OFFSET(NameConv!$F$45,0,M196),K196+1,K196))</f>
        <v>2</v>
      </c>
      <c r="L197" s="495">
        <f ca="1">IF(K197=K196,L196+1,1)</f>
        <v>1</v>
      </c>
      <c r="M197" s="526">
        <f ca="1">IF(AND(K196=$K$7,L196=SUMIF(NameConv!$G$4:$M$4,MID(C196,2,3),NameConv!$G$45:$M$45)),M196+1,M196)</f>
        <v>6</v>
      </c>
    </row>
    <row r="198" spans="1:13">
      <c r="A198" s="883" t="str">
        <f ca="1">IF(INDEX(Demand.Sectors,MATCH(MID(C198,2,3),NameConv!$G$4:$M$4,0)),"","*")</f>
        <v/>
      </c>
      <c r="B198" s="515" t="str">
        <f t="shared" ca="1" si="25"/>
        <v>PRC_CAPACT</v>
      </c>
      <c r="C198" s="515" t="str">
        <f ca="1">"X"&amp;OFFSET(NameConv!$F$4,0,M198)&amp;OFFSET(NameConv!$F$59,L198,M198)</f>
        <v>XPWRBIB</v>
      </c>
      <c r="D198" s="515" t="str">
        <f t="shared" ref="D198:D205" ca="1" si="36">IF($A198="*","",IF($B198="TOP-OUT",RIGHT(C198,6),IF($B198="TOP-IN",RIGHT(C198,3),"-")))</f>
        <v>-</v>
      </c>
      <c r="E198" s="515" t="str">
        <f t="shared" ref="E198:E205" ca="1" si="37">IF($A198="*","",IF($B198="PRC_ACTUNT",RIGHT(C198,6),"-"))</f>
        <v>-</v>
      </c>
      <c r="F198" s="515" t="str">
        <f t="shared" ca="1" si="35"/>
        <v>-</v>
      </c>
      <c r="G198" s="515" t="str">
        <f t="shared" ca="1" si="35"/>
        <v>-</v>
      </c>
      <c r="H198" s="515" t="str">
        <f t="shared" ca="1" si="35"/>
        <v>-</v>
      </c>
      <c r="I198" s="518">
        <f t="shared" ca="1" si="26"/>
        <v>1</v>
      </c>
      <c r="K198" s="495">
        <f ca="1">IF(M197&lt;&gt;M198,1,IF(L197=OFFSET(NameConv!$F$45,0,M197),K197+1,K197))</f>
        <v>2</v>
      </c>
      <c r="L198" s="495">
        <f t="shared" ref="L198:L205" ca="1" si="38">IF(K198=K197,L197+1,1)</f>
        <v>2</v>
      </c>
      <c r="M198" s="526">
        <f ca="1">IF(AND(K197=$K$7,L197=SUMIF(NameConv!$G$4:$M$4,MID(C197,2,3),NameConv!$G$45:$M$45)),M197+1,M197)</f>
        <v>6</v>
      </c>
    </row>
    <row r="199" spans="1:13">
      <c r="A199" s="883" t="str">
        <f ca="1">IF(INDEX(Demand.Sectors,MATCH(MID(C199,2,3),NameConv!$G$4:$M$4,0)),"","*")</f>
        <v/>
      </c>
      <c r="B199" s="515" t="str">
        <f t="shared" ca="1" si="25"/>
        <v>PRC_CAPACT</v>
      </c>
      <c r="C199" s="515" t="str">
        <f ca="1">"X"&amp;OFFSET(NameConv!$F$4,0,M199)&amp;OFFSET(NameConv!$F$59,L199,M199)</f>
        <v>XPWRBIO</v>
      </c>
      <c r="D199" s="515" t="str">
        <f t="shared" ca="1" si="36"/>
        <v>-</v>
      </c>
      <c r="E199" s="515" t="str">
        <f t="shared" ca="1" si="37"/>
        <v>-</v>
      </c>
      <c r="F199" s="515" t="str">
        <f t="shared" ca="1" si="35"/>
        <v>-</v>
      </c>
      <c r="G199" s="515" t="str">
        <f t="shared" ca="1" si="35"/>
        <v>-</v>
      </c>
      <c r="H199" s="515" t="str">
        <f t="shared" ca="1" si="35"/>
        <v>-</v>
      </c>
      <c r="I199" s="518">
        <f t="shared" ca="1" si="26"/>
        <v>1</v>
      </c>
      <c r="K199" s="495">
        <f ca="1">IF(M198&lt;&gt;M199,1,IF(L198=OFFSET(NameConv!$F$45,0,M198),K198+1,K198))</f>
        <v>2</v>
      </c>
      <c r="L199" s="495">
        <f t="shared" ca="1" si="38"/>
        <v>3</v>
      </c>
      <c r="M199" s="526">
        <f ca="1">IF(AND(K198=$K$7,L198=SUMIF(NameConv!$G$4:$M$4,MID(C198,2,3),NameConv!$G$45:$M$45)),M198+1,M198)</f>
        <v>6</v>
      </c>
    </row>
    <row r="200" spans="1:13">
      <c r="A200" s="883" t="str">
        <f ca="1">IF(INDEX(Demand.Sectors,MATCH(MID(C200,2,3),NameConv!$G$4:$M$4,0)),"","*")</f>
        <v/>
      </c>
      <c r="B200" s="515" t="str">
        <f t="shared" ca="1" si="25"/>
        <v>PRC_CAPACT</v>
      </c>
      <c r="C200" s="515" t="str">
        <f ca="1">"X"&amp;OFFSET(NameConv!$F$4,0,M200)&amp;OFFSET(NameConv!$F$59,L200,M200)</f>
        <v>XPWRBIW</v>
      </c>
      <c r="D200" s="515" t="str">
        <f t="shared" ca="1" si="36"/>
        <v>-</v>
      </c>
      <c r="E200" s="515" t="str">
        <f t="shared" ca="1" si="37"/>
        <v>-</v>
      </c>
      <c r="F200" s="515" t="str">
        <f t="shared" ca="1" si="35"/>
        <v>-</v>
      </c>
      <c r="G200" s="515" t="str">
        <f t="shared" ca="1" si="35"/>
        <v>-</v>
      </c>
      <c r="H200" s="515" t="str">
        <f t="shared" ca="1" si="35"/>
        <v>-</v>
      </c>
      <c r="I200" s="518">
        <f t="shared" ca="1" si="26"/>
        <v>1</v>
      </c>
      <c r="K200" s="495">
        <f ca="1">IF(M199&lt;&gt;M200,1,IF(L199=OFFSET(NameConv!$F$45,0,M199),K199+1,K199))</f>
        <v>2</v>
      </c>
      <c r="L200" s="495">
        <f t="shared" ca="1" si="38"/>
        <v>4</v>
      </c>
      <c r="M200" s="526">
        <f ca="1">IF(AND(K199=$K$7,L199=SUMIF(NameConv!$G$4:$M$4,MID(C199,2,3),NameConv!$G$45:$M$45)),M199+1,M199)</f>
        <v>6</v>
      </c>
    </row>
    <row r="201" spans="1:13">
      <c r="A201" s="883" t="str">
        <f ca="1">IF(INDEX(Demand.Sectors,MATCH(MID(C201,2,3),NameConv!$G$4:$M$4,0)),"","*")</f>
        <v/>
      </c>
      <c r="B201" s="515" t="str">
        <f t="shared" ca="1" si="25"/>
        <v>PRC_CAPACT</v>
      </c>
      <c r="C201" s="515" t="str">
        <f ca="1">"X"&amp;OFFSET(NameConv!$F$4,0,M201)&amp;OFFSET(NameConv!$F$59,L201,M201)</f>
        <v>XPWRCLD</v>
      </c>
      <c r="D201" s="515" t="str">
        <f t="shared" ca="1" si="36"/>
        <v>-</v>
      </c>
      <c r="E201" s="515" t="str">
        <f t="shared" ca="1" si="37"/>
        <v>-</v>
      </c>
      <c r="F201" s="515" t="str">
        <f t="shared" ca="1" si="35"/>
        <v>-</v>
      </c>
      <c r="G201" s="515" t="str">
        <f t="shared" ca="1" si="35"/>
        <v>-</v>
      </c>
      <c r="H201" s="515" t="str">
        <f t="shared" ca="1" si="35"/>
        <v>-</v>
      </c>
      <c r="I201" s="518">
        <f t="shared" ca="1" si="26"/>
        <v>1</v>
      </c>
      <c r="K201" s="495">
        <f ca="1">IF(M200&lt;&gt;M201,1,IF(L200=OFFSET(NameConv!$F$45,0,M200),K200+1,K200))</f>
        <v>2</v>
      </c>
      <c r="L201" s="495">
        <f t="shared" ca="1" si="38"/>
        <v>5</v>
      </c>
      <c r="M201" s="526">
        <f ca="1">IF(AND(K200=$K$7,L200=SUMIF(NameConv!$G$4:$M$4,MID(C200,2,3),NameConv!$G$45:$M$45)),M200+1,M200)</f>
        <v>6</v>
      </c>
    </row>
    <row r="202" spans="1:13">
      <c r="A202" s="883" t="str">
        <f ca="1">IF(INDEX(Demand.Sectors,MATCH(MID(C202,2,3),NameConv!$G$4:$M$4,0)),"","*")</f>
        <v/>
      </c>
      <c r="B202" s="515" t="str">
        <f t="shared" ca="1" si="25"/>
        <v>PRC_CAPACT</v>
      </c>
      <c r="C202" s="515" t="str">
        <f ca="1">"X"&amp;OFFSET(NameConv!$F$4,0,M202)&amp;OFFSET(NameConv!$F$59,L202,M202)</f>
        <v>XPWRCLE</v>
      </c>
      <c r="D202" s="515" t="str">
        <f t="shared" ca="1" si="36"/>
        <v>-</v>
      </c>
      <c r="E202" s="515" t="str">
        <f t="shared" ca="1" si="37"/>
        <v>-</v>
      </c>
      <c r="F202" s="515" t="str">
        <f t="shared" ca="1" si="35"/>
        <v>-</v>
      </c>
      <c r="G202" s="515" t="str">
        <f t="shared" ca="1" si="35"/>
        <v>-</v>
      </c>
      <c r="H202" s="515" t="str">
        <f t="shared" ca="1" si="35"/>
        <v>-</v>
      </c>
      <c r="I202" s="518">
        <f t="shared" ca="1" si="26"/>
        <v>1</v>
      </c>
      <c r="K202" s="495">
        <f ca="1">IF(M201&lt;&gt;M202,1,IF(L201=OFFSET(NameConv!$F$45,0,M201),K201+1,K201))</f>
        <v>2</v>
      </c>
      <c r="L202" s="495">
        <f t="shared" ca="1" si="38"/>
        <v>6</v>
      </c>
      <c r="M202" s="526">
        <f ca="1">IF(AND(K201=$K$7,L201=SUMIF(NameConv!$G$4:$M$4,MID(C201,2,3),NameConv!$G$45:$M$45)),M201+1,M201)</f>
        <v>6</v>
      </c>
    </row>
    <row r="203" spans="1:13">
      <c r="A203" s="883" t="str">
        <f ca="1">IF(INDEX(Demand.Sectors,MATCH(MID(C203,2,3),NameConv!$G$4:$M$4,0)),"","*")</f>
        <v/>
      </c>
      <c r="B203" s="515" t="str">
        <f t="shared" ca="1" si="25"/>
        <v>PRC_CAPACT</v>
      </c>
      <c r="C203" s="515" t="str">
        <f ca="1">"X"&amp;OFFSET(NameConv!$F$4,0,M203)&amp;OFFSET(NameConv!$F$59,L203,M203)</f>
        <v>XPWRCRB</v>
      </c>
      <c r="D203" s="515" t="str">
        <f t="shared" ca="1" si="36"/>
        <v>-</v>
      </c>
      <c r="E203" s="515" t="str">
        <f t="shared" ca="1" si="37"/>
        <v>-</v>
      </c>
      <c r="F203" s="515" t="str">
        <f t="shared" ca="1" si="35"/>
        <v>-</v>
      </c>
      <c r="G203" s="515" t="str">
        <f t="shared" ca="1" si="35"/>
        <v>-</v>
      </c>
      <c r="H203" s="515" t="str">
        <f t="shared" ca="1" si="35"/>
        <v>-</v>
      </c>
      <c r="I203" s="518">
        <f t="shared" ca="1" si="26"/>
        <v>1</v>
      </c>
      <c r="K203" s="495">
        <f ca="1">IF(M202&lt;&gt;M203,1,IF(L202=OFFSET(NameConv!$F$45,0,M202),K202+1,K202))</f>
        <v>2</v>
      </c>
      <c r="L203" s="495">
        <f t="shared" ca="1" si="38"/>
        <v>7</v>
      </c>
      <c r="M203" s="526">
        <f ca="1">IF(AND(K202=$K$7,L202=SUMIF(NameConv!$G$4:$M$4,MID(C202,2,3),NameConv!$G$45:$M$45)),M202+1,M202)</f>
        <v>6</v>
      </c>
    </row>
    <row r="204" spans="1:13">
      <c r="A204" s="883" t="str">
        <f ca="1">IF(INDEX(Demand.Sectors,MATCH(MID(C204,2,3),NameConv!$G$4:$M$4,0)),"","*")</f>
        <v/>
      </c>
      <c r="B204" s="515" t="str">
        <f t="shared" ca="1" si="25"/>
        <v>PRC_CAPACT</v>
      </c>
      <c r="C204" s="515" t="str">
        <f ca="1">"X"&amp;OFFSET(NameConv!$F$4,0,M204)&amp;OFFSET(NameConv!$F$59,L204,M204)</f>
        <v>XPWRGAS</v>
      </c>
      <c r="D204" s="515" t="str">
        <f t="shared" ca="1" si="36"/>
        <v>-</v>
      </c>
      <c r="E204" s="515" t="str">
        <f t="shared" ca="1" si="37"/>
        <v>-</v>
      </c>
      <c r="F204" s="515" t="str">
        <f t="shared" ca="1" si="35"/>
        <v>-</v>
      </c>
      <c r="G204" s="515" t="str">
        <f t="shared" ca="1" si="35"/>
        <v>-</v>
      </c>
      <c r="H204" s="515" t="str">
        <f t="shared" ca="1" si="35"/>
        <v>-</v>
      </c>
      <c r="I204" s="518">
        <f t="shared" ca="1" si="26"/>
        <v>1</v>
      </c>
      <c r="K204" s="495">
        <f ca="1">IF(M203&lt;&gt;M204,1,IF(L203=OFFSET(NameConv!$F$45,0,M203),K203+1,K203))</f>
        <v>2</v>
      </c>
      <c r="L204" s="495">
        <f t="shared" ca="1" si="38"/>
        <v>8</v>
      </c>
      <c r="M204" s="526">
        <f ca="1">IF(AND(K203=$K$7,L203=SUMIF(NameConv!$G$4:$M$4,MID(C203,2,3),NameConv!$G$45:$M$45)),M203+1,M203)</f>
        <v>6</v>
      </c>
    </row>
    <row r="205" spans="1:13">
      <c r="A205" s="883" t="str">
        <f ca="1">IF(INDEX(Demand.Sectors,MATCH(MID(C205,2,3),NameConv!$G$4:$M$4,0)),"","*")</f>
        <v/>
      </c>
      <c r="B205" s="515" t="str">
        <f t="shared" ca="1" si="25"/>
        <v>PRC_CAPACT</v>
      </c>
      <c r="C205" s="515" t="str">
        <f ca="1">"X"&amp;OFFSET(NameConv!$F$4,0,M205)&amp;OFFSET(NameConv!$F$59,L205,M205)</f>
        <v>XPWRGRS</v>
      </c>
      <c r="D205" s="515" t="str">
        <f t="shared" ca="1" si="36"/>
        <v>-</v>
      </c>
      <c r="E205" s="515" t="str">
        <f t="shared" ca="1" si="37"/>
        <v>-</v>
      </c>
      <c r="F205" s="515" t="str">
        <f t="shared" ca="1" si="35"/>
        <v>-</v>
      </c>
      <c r="G205" s="515" t="str">
        <f t="shared" ca="1" si="35"/>
        <v>-</v>
      </c>
      <c r="H205" s="515" t="str">
        <f t="shared" ca="1" si="35"/>
        <v>-</v>
      </c>
      <c r="I205" s="518">
        <f t="shared" ca="1" si="26"/>
        <v>1</v>
      </c>
      <c r="K205" s="495">
        <f ca="1">IF(M204&lt;&gt;M205,1,IF(L204=OFFSET(NameConv!$F$45,0,M204),K204+1,K204))</f>
        <v>2</v>
      </c>
      <c r="L205" s="495">
        <f t="shared" ca="1" si="38"/>
        <v>9</v>
      </c>
      <c r="M205" s="526">
        <f ca="1">IF(AND(K204=$K$7,L204=SUMIF(NameConv!$G$4:$M$4,MID(C204,2,3),NameConv!$G$45:$M$45)),M204+1,M204)</f>
        <v>6</v>
      </c>
    </row>
    <row r="206" spans="1:13">
      <c r="A206" s="883" t="str">
        <f ca="1">IF(INDEX(Demand.Sectors,MATCH(MID(C206,2,3),NameConv!$G$4:$M$4,0)),"","*")</f>
        <v/>
      </c>
      <c r="B206" s="515" t="str">
        <f t="shared" ref="B206:B269" ca="1" si="39">IF(A206="*","",VLOOKUP("*"&amp;K206,$A$9:$B$14,2,FALSE))</f>
        <v>PRC_CAPACT</v>
      </c>
      <c r="C206" s="515" t="str">
        <f ca="1">"X"&amp;OFFSET(NameConv!$F$4,0,M206)&amp;OFFSET(NameConv!$F$59,L206,M206)</f>
        <v>XPWRGRN</v>
      </c>
      <c r="D206" s="515" t="str">
        <f t="shared" ref="D206:D213" ca="1" si="40">IF($A206="*","",IF($B206="TOP-OUT",RIGHT(C206,6),IF($B206="TOP-IN",RIGHT(C206,3),"-")))</f>
        <v>-</v>
      </c>
      <c r="E206" s="515" t="str">
        <f t="shared" ref="E206:E213" ca="1" si="41">IF($A206="*","",IF($B206="PRC_ACTUNT",RIGHT(C206,6),"-"))</f>
        <v>-</v>
      </c>
      <c r="F206" s="515" t="str">
        <f t="shared" ca="1" si="35"/>
        <v>-</v>
      </c>
      <c r="G206" s="515" t="str">
        <f t="shared" ca="1" si="35"/>
        <v>-</v>
      </c>
      <c r="H206" s="515" t="str">
        <f t="shared" ca="1" si="35"/>
        <v>-</v>
      </c>
      <c r="I206" s="518">
        <f t="shared" ca="1" si="26"/>
        <v>1</v>
      </c>
      <c r="K206" s="495">
        <f ca="1">IF(M205&lt;&gt;M206,1,IF(L205=OFFSET(NameConv!$F$45,0,M205),K205+1,K205))</f>
        <v>2</v>
      </c>
      <c r="L206" s="495">
        <f t="shared" ref="L206:L213" ca="1" si="42">IF(K206=K205,L205+1,1)</f>
        <v>10</v>
      </c>
      <c r="M206" s="526">
        <f ca="1">IF(AND(K205=$K$7,L205=SUMIF(NameConv!$G$4:$M$4,MID(C205,2,3),NameConv!$G$45:$M$45)),M205+1,M205)</f>
        <v>6</v>
      </c>
    </row>
    <row r="207" spans="1:13">
      <c r="A207" s="883" t="str">
        <f ca="1">IF(INDEX(Demand.Sectors,MATCH(MID(C207,2,3),NameConv!$G$4:$M$4,0)),"","*")</f>
        <v/>
      </c>
      <c r="B207" s="515" t="str">
        <f t="shared" ca="1" si="39"/>
        <v>PRC_CAPACT</v>
      </c>
      <c r="C207" s="515" t="str">
        <f ca="1">"X"&amp;OFFSET(NameConv!$F$4,0,M207)&amp;OFFSET(NameConv!$F$59,L207,M207)</f>
        <v>XPWRGRM</v>
      </c>
      <c r="D207" s="515" t="str">
        <f t="shared" ca="1" si="40"/>
        <v>-</v>
      </c>
      <c r="E207" s="515" t="str">
        <f t="shared" ca="1" si="41"/>
        <v>-</v>
      </c>
      <c r="F207" s="515" t="str">
        <f t="shared" ref="F207:H231" ca="1" si="43">IF($A207="*","","-")</f>
        <v>-</v>
      </c>
      <c r="G207" s="515" t="str">
        <f t="shared" ca="1" si="43"/>
        <v>-</v>
      </c>
      <c r="H207" s="515" t="str">
        <f t="shared" ca="1" si="43"/>
        <v>-</v>
      </c>
      <c r="I207" s="518">
        <f t="shared" ref="I207:I270" ca="1" si="44">IF(AND(B207=$B$10,RIGHT(C207,3)="ELC"),31.536,1)</f>
        <v>1</v>
      </c>
      <c r="K207" s="495">
        <f ca="1">IF(M206&lt;&gt;M207,1,IF(L206=OFFSET(NameConv!$F$45,0,M206),K206+1,K206))</f>
        <v>2</v>
      </c>
      <c r="L207" s="495">
        <f t="shared" ca="1" si="42"/>
        <v>11</v>
      </c>
      <c r="M207" s="526">
        <f ca="1">IF(AND(K206=$K$7,L206=SUMIF(NameConv!$G$4:$M$4,MID(C206,2,3),NameConv!$G$45:$M$45)),M206+1,M206)</f>
        <v>6</v>
      </c>
    </row>
    <row r="208" spans="1:13">
      <c r="A208" s="883" t="str">
        <f ca="1">IF(INDEX(Demand.Sectors,MATCH(MID(C208,2,3),NameConv!$G$4:$M$4,0)),"","*")</f>
        <v/>
      </c>
      <c r="B208" s="515" t="str">
        <f t="shared" ca="1" si="39"/>
        <v>PRC_CAPACT</v>
      </c>
      <c r="C208" s="515" t="str">
        <f ca="1">"X"&amp;OFFSET(NameConv!$F$4,0,M208)&amp;OFFSET(NameConv!$F$59,L208,M208)</f>
        <v>XPWRGIH</v>
      </c>
      <c r="D208" s="515" t="str">
        <f t="shared" ca="1" si="40"/>
        <v>-</v>
      </c>
      <c r="E208" s="515" t="str">
        <f t="shared" ca="1" si="41"/>
        <v>-</v>
      </c>
      <c r="F208" s="515" t="str">
        <f t="shared" ca="1" si="43"/>
        <v>-</v>
      </c>
      <c r="G208" s="515" t="str">
        <f t="shared" ca="1" si="43"/>
        <v>-</v>
      </c>
      <c r="H208" s="515" t="str">
        <f t="shared" ca="1" si="43"/>
        <v>-</v>
      </c>
      <c r="I208" s="518">
        <f t="shared" ca="1" si="44"/>
        <v>1</v>
      </c>
      <c r="K208" s="495">
        <f ca="1">IF(M207&lt;&gt;M208,1,IF(L207=OFFSET(NameConv!$F$45,0,M207),K207+1,K207))</f>
        <v>2</v>
      </c>
      <c r="L208" s="495">
        <f t="shared" ca="1" si="42"/>
        <v>12</v>
      </c>
      <c r="M208" s="526">
        <f ca="1">IF(AND(K207=$K$7,L207=SUMIF(NameConv!$G$4:$M$4,MID(C207,2,3),NameConv!$G$45:$M$45)),M207+1,M207)</f>
        <v>6</v>
      </c>
    </row>
    <row r="209" spans="1:13">
      <c r="A209" s="883" t="str">
        <f ca="1">IF(INDEX(Demand.Sectors,MATCH(MID(C209,2,3),NameConv!$G$4:$M$4,0)),"","*")</f>
        <v/>
      </c>
      <c r="B209" s="515" t="str">
        <f t="shared" ca="1" si="39"/>
        <v>PRC_CAPACT</v>
      </c>
      <c r="C209" s="515" t="str">
        <f ca="1">"X"&amp;OFFSET(NameConv!$F$4,0,M209)&amp;OFFSET(NameConv!$F$59,L209,M209)</f>
        <v>XPWRGIC</v>
      </c>
      <c r="D209" s="515" t="str">
        <f t="shared" ca="1" si="40"/>
        <v>-</v>
      </c>
      <c r="E209" s="515" t="str">
        <f t="shared" ca="1" si="41"/>
        <v>-</v>
      </c>
      <c r="F209" s="515" t="str">
        <f t="shared" ca="1" si="43"/>
        <v>-</v>
      </c>
      <c r="G209" s="515" t="str">
        <f t="shared" ca="1" si="43"/>
        <v>-</v>
      </c>
      <c r="H209" s="515" t="str">
        <f t="shared" ca="1" si="43"/>
        <v>-</v>
      </c>
      <c r="I209" s="518">
        <f t="shared" ca="1" si="44"/>
        <v>1</v>
      </c>
      <c r="K209" s="495">
        <f ca="1">IF(M208&lt;&gt;M209,1,IF(L208=OFFSET(NameConv!$F$45,0,M208),K208+1,K208))</f>
        <v>2</v>
      </c>
      <c r="L209" s="495">
        <f t="shared" ca="1" si="42"/>
        <v>13</v>
      </c>
      <c r="M209" s="526">
        <f ca="1">IF(AND(K208=$K$7,L208=SUMIF(NameConv!$G$4:$M$4,MID(C208,2,3),NameConv!$G$45:$M$45)),M208+1,M208)</f>
        <v>6</v>
      </c>
    </row>
    <row r="210" spans="1:13">
      <c r="A210" s="883" t="str">
        <f ca="1">IF(INDEX(Demand.Sectors,MATCH(MID(C210,2,3),NameConv!$G$4:$M$4,0)),"","*")</f>
        <v/>
      </c>
      <c r="B210" s="515" t="str">
        <f t="shared" ca="1" si="39"/>
        <v>PRC_CAPACT</v>
      </c>
      <c r="C210" s="515" t="str">
        <f ca="1">"X"&amp;OFFSET(NameConv!$F$4,0,M210)&amp;OFFSET(NameConv!$F$59,L210,M210)</f>
        <v>XPWRHYD</v>
      </c>
      <c r="D210" s="515" t="str">
        <f t="shared" ca="1" si="40"/>
        <v>-</v>
      </c>
      <c r="E210" s="515" t="str">
        <f t="shared" ca="1" si="41"/>
        <v>-</v>
      </c>
      <c r="F210" s="515" t="str">
        <f t="shared" ca="1" si="43"/>
        <v>-</v>
      </c>
      <c r="G210" s="515" t="str">
        <f t="shared" ca="1" si="43"/>
        <v>-</v>
      </c>
      <c r="H210" s="515" t="str">
        <f t="shared" ca="1" si="43"/>
        <v>-</v>
      </c>
      <c r="I210" s="518">
        <f t="shared" ca="1" si="44"/>
        <v>1</v>
      </c>
      <c r="K210" s="495">
        <f ca="1">IF(M209&lt;&gt;M210,1,IF(L209=OFFSET(NameConv!$F$45,0,M209),K209+1,K209))</f>
        <v>2</v>
      </c>
      <c r="L210" s="495">
        <f t="shared" ca="1" si="42"/>
        <v>14</v>
      </c>
      <c r="M210" s="526">
        <f ca="1">IF(AND(K209=$K$7,L209=SUMIF(NameConv!$G$4:$M$4,MID(C209,2,3),NameConv!$G$45:$M$45)),M209+1,M209)</f>
        <v>6</v>
      </c>
    </row>
    <row r="211" spans="1:13">
      <c r="A211" s="883" t="str">
        <f ca="1">IF(INDEX(Demand.Sectors,MATCH(MID(C211,2,3),NameConv!$G$4:$M$4,0)),"","*")</f>
        <v/>
      </c>
      <c r="B211" s="515" t="str">
        <f t="shared" ca="1" si="39"/>
        <v>PRC_CAPACT</v>
      </c>
      <c r="C211" s="515" t="str">
        <f ca="1">"X"&amp;OFFSET(NameConv!$F$4,0,M211)&amp;OFFSET(NameConv!$F$59,L211,M211)</f>
        <v>XPWRHGN</v>
      </c>
      <c r="D211" s="515" t="str">
        <f t="shared" ca="1" si="40"/>
        <v>-</v>
      </c>
      <c r="E211" s="515" t="str">
        <f t="shared" ca="1" si="41"/>
        <v>-</v>
      </c>
      <c r="F211" s="515" t="str">
        <f t="shared" ca="1" si="43"/>
        <v>-</v>
      </c>
      <c r="G211" s="515" t="str">
        <f t="shared" ca="1" si="43"/>
        <v>-</v>
      </c>
      <c r="H211" s="515" t="str">
        <f t="shared" ca="1" si="43"/>
        <v>-</v>
      </c>
      <c r="I211" s="518">
        <f t="shared" ca="1" si="44"/>
        <v>1</v>
      </c>
      <c r="K211" s="495">
        <f ca="1">IF(M210&lt;&gt;M211,1,IF(L210=OFFSET(NameConv!$F$45,0,M210),K210+1,K210))</f>
        <v>2</v>
      </c>
      <c r="L211" s="495">
        <f t="shared" ca="1" si="42"/>
        <v>15</v>
      </c>
      <c r="M211" s="526">
        <f ca="1">IF(AND(K210=$K$7,L210=SUMIF(NameConv!$G$4:$M$4,MID(C210,2,3),NameConv!$G$45:$M$45)),M210+1,M210)</f>
        <v>6</v>
      </c>
    </row>
    <row r="212" spans="1:13">
      <c r="A212" s="883" t="str">
        <f ca="1">IF(INDEX(Demand.Sectors,MATCH(MID(C212,2,3),NameConv!$G$4:$M$4,0)),"","*")</f>
        <v/>
      </c>
      <c r="B212" s="515" t="str">
        <f t="shared" ca="1" si="39"/>
        <v>PRC_CAPACT</v>
      </c>
      <c r="C212" s="515" t="str">
        <f ca="1">"X"&amp;OFFSET(NameConv!$F$4,0,M212)&amp;OFFSET(NameConv!$F$59,L212,M212)</f>
        <v>XPWRNUC</v>
      </c>
      <c r="D212" s="515" t="str">
        <f t="shared" ca="1" si="40"/>
        <v>-</v>
      </c>
      <c r="E212" s="515" t="str">
        <f t="shared" ca="1" si="41"/>
        <v>-</v>
      </c>
      <c r="F212" s="515" t="str">
        <f t="shared" ca="1" si="43"/>
        <v>-</v>
      </c>
      <c r="G212" s="515" t="str">
        <f t="shared" ca="1" si="43"/>
        <v>-</v>
      </c>
      <c r="H212" s="515" t="str">
        <f t="shared" ca="1" si="43"/>
        <v>-</v>
      </c>
      <c r="I212" s="518">
        <f t="shared" ca="1" si="44"/>
        <v>1</v>
      </c>
      <c r="K212" s="495">
        <f ca="1">IF(M211&lt;&gt;M212,1,IF(L211=OFFSET(NameConv!$F$45,0,M211),K211+1,K211))</f>
        <v>2</v>
      </c>
      <c r="L212" s="495">
        <f t="shared" ca="1" si="42"/>
        <v>16</v>
      </c>
      <c r="M212" s="526">
        <f ca="1">IF(AND(K211=$K$7,L211=SUMIF(NameConv!$G$4:$M$4,MID(C211,2,3),NameConv!$G$45:$M$45)),M211+1,M211)</f>
        <v>6</v>
      </c>
    </row>
    <row r="213" spans="1:13">
      <c r="A213" s="883" t="str">
        <f ca="1">IF(INDEX(Demand.Sectors,MATCH(MID(C213,2,3),NameConv!$G$4:$M$4,0)),"","*")</f>
        <v/>
      </c>
      <c r="B213" s="515" t="str">
        <f t="shared" ca="1" si="39"/>
        <v>PRC_CAPACT</v>
      </c>
      <c r="C213" s="515" t="str">
        <f ca="1">"X"&amp;OFFSET(NameConv!$F$4,0,M213)&amp;OFFSET(NameConv!$F$59,L213,M213)</f>
        <v>XPWRODS</v>
      </c>
      <c r="D213" s="515" t="str">
        <f t="shared" ca="1" si="40"/>
        <v>-</v>
      </c>
      <c r="E213" s="515" t="str">
        <f t="shared" ca="1" si="41"/>
        <v>-</v>
      </c>
      <c r="F213" s="515" t="str">
        <f t="shared" ca="1" si="43"/>
        <v>-</v>
      </c>
      <c r="G213" s="515" t="str">
        <f t="shared" ca="1" si="43"/>
        <v>-</v>
      </c>
      <c r="H213" s="515" t="str">
        <f t="shared" ca="1" si="43"/>
        <v>-</v>
      </c>
      <c r="I213" s="518">
        <f t="shared" ca="1" si="44"/>
        <v>1</v>
      </c>
      <c r="K213" s="495">
        <f ca="1">IF(M212&lt;&gt;M213,1,IF(L212=OFFSET(NameConv!$F$45,0,M212),K212+1,K212))</f>
        <v>2</v>
      </c>
      <c r="L213" s="495">
        <f t="shared" ca="1" si="42"/>
        <v>17</v>
      </c>
      <c r="M213" s="526">
        <f ca="1">IF(AND(K212=$K$7,L212=SUMIF(NameConv!$G$4:$M$4,MID(C212,2,3),NameConv!$G$45:$M$45)),M212+1,M212)</f>
        <v>6</v>
      </c>
    </row>
    <row r="214" spans="1:13">
      <c r="A214" s="883" t="str">
        <f ca="1">IF(INDEX(Demand.Sectors,MATCH(MID(C214,2,3),NameConv!$G$4:$M$4,0)),"","*")</f>
        <v/>
      </c>
      <c r="B214" s="515" t="str">
        <f t="shared" ca="1" si="39"/>
        <v>PRC_CAPACT</v>
      </c>
      <c r="C214" s="515" t="str">
        <f ca="1">"X"&amp;OFFSET(NameConv!$F$4,0,M214)&amp;OFFSET(NameConv!$F$59,L214,M214)</f>
        <v>XPWRSOL</v>
      </c>
      <c r="D214" s="515" t="str">
        <f t="shared" ref="D214:D277" ca="1" si="45">IF($A214="*","",IF($B214="TOP-OUT",RIGHT(C214,6),IF($B214="TOP-IN",RIGHT(C214,3),"-")))</f>
        <v>-</v>
      </c>
      <c r="E214" s="515" t="str">
        <f t="shared" ref="E214:E277" ca="1" si="46">IF($A214="*","",IF($B214="PRC_ACTUNT",RIGHT(C214,6),"-"))</f>
        <v>-</v>
      </c>
      <c r="F214" s="515" t="str">
        <f t="shared" ca="1" si="43"/>
        <v>-</v>
      </c>
      <c r="G214" s="515" t="str">
        <f t="shared" ca="1" si="43"/>
        <v>-</v>
      </c>
      <c r="H214" s="515" t="str">
        <f t="shared" ca="1" si="43"/>
        <v>-</v>
      </c>
      <c r="I214" s="518">
        <f t="shared" ca="1" si="44"/>
        <v>1</v>
      </c>
      <c r="K214" s="495">
        <f ca="1">IF(M213&lt;&gt;M214,1,IF(L213=OFFSET(NameConv!$F$45,0,M213),K213+1,K213))</f>
        <v>2</v>
      </c>
      <c r="L214" s="495">
        <f t="shared" ref="L214:L277" ca="1" si="47">IF(K214=K213,L213+1,1)</f>
        <v>18</v>
      </c>
      <c r="M214" s="526">
        <f ca="1">IF(AND(K213=$K$7,L213=SUMIF(NameConv!$G$4:$M$4,MID(C213,2,3),NameConv!$G$45:$M$45)),M213+1,M213)</f>
        <v>6</v>
      </c>
    </row>
    <row r="215" spans="1:13">
      <c r="A215" s="883" t="str">
        <f ca="1">IF(INDEX(Demand.Sectors,MATCH(MID(C215,2,3),NameConv!$G$4:$M$4,0)),"","*")</f>
        <v/>
      </c>
      <c r="B215" s="515" t="str">
        <f t="shared" ca="1" si="39"/>
        <v>PRC_CAPACT</v>
      </c>
      <c r="C215" s="515" t="str">
        <f ca="1">"X"&amp;OFFSET(NameConv!$F$4,0,M215)&amp;OFFSET(NameConv!$F$59,L215,M215)</f>
        <v>XPWRWND</v>
      </c>
      <c r="D215" s="515" t="str">
        <f t="shared" ca="1" si="45"/>
        <v>-</v>
      </c>
      <c r="E215" s="515" t="str">
        <f t="shared" ca="1" si="46"/>
        <v>-</v>
      </c>
      <c r="F215" s="515" t="str">
        <f t="shared" ca="1" si="43"/>
        <v>-</v>
      </c>
      <c r="G215" s="515" t="str">
        <f t="shared" ca="1" si="43"/>
        <v>-</v>
      </c>
      <c r="H215" s="515" t="str">
        <f t="shared" ca="1" si="43"/>
        <v>-</v>
      </c>
      <c r="I215" s="518">
        <f t="shared" ca="1" si="44"/>
        <v>1</v>
      </c>
      <c r="K215" s="495">
        <f ca="1">IF(M214&lt;&gt;M215,1,IF(L214=OFFSET(NameConv!$F$45,0,M214),K214+1,K214))</f>
        <v>2</v>
      </c>
      <c r="L215" s="495">
        <f t="shared" ca="1" si="47"/>
        <v>19</v>
      </c>
      <c r="M215" s="526">
        <f ca="1">IF(AND(K214=$K$7,L214=SUMIF(NameConv!$G$4:$M$4,MID(C214,2,3),NameConv!$G$45:$M$45)),M214+1,M214)</f>
        <v>6</v>
      </c>
    </row>
    <row r="216" spans="1:13">
      <c r="A216" s="883" t="str">
        <f ca="1">IF(INDEX(Demand.Sectors,MATCH(MID(C216,2,3),NameConv!$G$4:$M$4,0)),"","*")</f>
        <v/>
      </c>
      <c r="B216" s="515" t="str">
        <f t="shared" ca="1" si="39"/>
        <v>TOP-OUT</v>
      </c>
      <c r="C216" s="515" t="str">
        <f ca="1">"X"&amp;OFFSET(NameConv!$F$4,0,M216)&amp;OFFSET(NameConv!$F$59,L216,M216)</f>
        <v>XPWRBIG</v>
      </c>
      <c r="D216" s="515" t="str">
        <f t="shared" ca="1" si="45"/>
        <v>PWRBIG</v>
      </c>
      <c r="E216" s="515" t="str">
        <f t="shared" ca="1" si="46"/>
        <v>-</v>
      </c>
      <c r="F216" s="515" t="str">
        <f t="shared" ca="1" si="43"/>
        <v>-</v>
      </c>
      <c r="G216" s="515" t="str">
        <f t="shared" ca="1" si="43"/>
        <v>-</v>
      </c>
      <c r="H216" s="515" t="str">
        <f t="shared" ca="1" si="43"/>
        <v>-</v>
      </c>
      <c r="I216" s="518">
        <f t="shared" ca="1" si="44"/>
        <v>1</v>
      </c>
      <c r="K216" s="495">
        <f ca="1">IF(M215&lt;&gt;M216,1,IF(L215=OFFSET(NameConv!$F$45,0,M215),K215+1,K215))</f>
        <v>3</v>
      </c>
      <c r="L216" s="495">
        <f t="shared" ca="1" si="47"/>
        <v>1</v>
      </c>
      <c r="M216" s="526">
        <f ca="1">IF(AND(K215=$K$7,L215=SUMIF(NameConv!$G$4:$M$4,MID(C215,2,3),NameConv!$G$45:$M$45)),M215+1,M215)</f>
        <v>6</v>
      </c>
    </row>
    <row r="217" spans="1:13">
      <c r="A217" s="883" t="str">
        <f ca="1">IF(INDEX(Demand.Sectors,MATCH(MID(C217,2,3),NameConv!$G$4:$M$4,0)),"","*")</f>
        <v/>
      </c>
      <c r="B217" s="515" t="str">
        <f t="shared" ca="1" si="39"/>
        <v>TOP-OUT</v>
      </c>
      <c r="C217" s="515" t="str">
        <f ca="1">"X"&amp;OFFSET(NameConv!$F$4,0,M217)&amp;OFFSET(NameConv!$F$59,L217,M217)</f>
        <v>XPWRBIB</v>
      </c>
      <c r="D217" s="515" t="str">
        <f t="shared" ca="1" si="45"/>
        <v>PWRBIB</v>
      </c>
      <c r="E217" s="515" t="str">
        <f t="shared" ca="1" si="46"/>
        <v>-</v>
      </c>
      <c r="F217" s="515" t="str">
        <f t="shared" ca="1" si="43"/>
        <v>-</v>
      </c>
      <c r="G217" s="515" t="str">
        <f t="shared" ca="1" si="43"/>
        <v>-</v>
      </c>
      <c r="H217" s="515" t="str">
        <f t="shared" ca="1" si="43"/>
        <v>-</v>
      </c>
      <c r="I217" s="518">
        <f t="shared" ca="1" si="44"/>
        <v>1</v>
      </c>
      <c r="K217" s="495">
        <f ca="1">IF(M216&lt;&gt;M217,1,IF(L216=OFFSET(NameConv!$F$45,0,M216),K216+1,K216))</f>
        <v>3</v>
      </c>
      <c r="L217" s="495">
        <f t="shared" ca="1" si="47"/>
        <v>2</v>
      </c>
      <c r="M217" s="526">
        <f ca="1">IF(AND(K216=$K$7,L216=SUMIF(NameConv!$G$4:$M$4,MID(C216,2,3),NameConv!$G$45:$M$45)),M216+1,M216)</f>
        <v>6</v>
      </c>
    </row>
    <row r="218" spans="1:13">
      <c r="A218" s="883" t="str">
        <f ca="1">IF(INDEX(Demand.Sectors,MATCH(MID(C218,2,3),NameConv!$G$4:$M$4,0)),"","*")</f>
        <v/>
      </c>
      <c r="B218" s="515" t="str">
        <f t="shared" ca="1" si="39"/>
        <v>TOP-OUT</v>
      </c>
      <c r="C218" s="515" t="str">
        <f ca="1">"X"&amp;OFFSET(NameConv!$F$4,0,M218)&amp;OFFSET(NameConv!$F$59,L218,M218)</f>
        <v>XPWRBIO</v>
      </c>
      <c r="D218" s="515" t="str">
        <f t="shared" ca="1" si="45"/>
        <v>PWRBIO</v>
      </c>
      <c r="E218" s="515" t="str">
        <f t="shared" ca="1" si="46"/>
        <v>-</v>
      </c>
      <c r="F218" s="515" t="str">
        <f t="shared" ca="1" si="43"/>
        <v>-</v>
      </c>
      <c r="G218" s="515" t="str">
        <f t="shared" ca="1" si="43"/>
        <v>-</v>
      </c>
      <c r="H218" s="515" t="str">
        <f t="shared" ca="1" si="43"/>
        <v>-</v>
      </c>
      <c r="I218" s="518">
        <f t="shared" ca="1" si="44"/>
        <v>1</v>
      </c>
      <c r="K218" s="495">
        <f ca="1">IF(M217&lt;&gt;M218,1,IF(L217=OFFSET(NameConv!$F$45,0,M217),K217+1,K217))</f>
        <v>3</v>
      </c>
      <c r="L218" s="495">
        <f t="shared" ca="1" si="47"/>
        <v>3</v>
      </c>
      <c r="M218" s="526">
        <f ca="1">IF(AND(K217=$K$7,L217=SUMIF(NameConv!$G$4:$M$4,MID(C217,2,3),NameConv!$G$45:$M$45)),M217+1,M217)</f>
        <v>6</v>
      </c>
    </row>
    <row r="219" spans="1:13">
      <c r="A219" s="883" t="str">
        <f ca="1">IF(INDEX(Demand.Sectors,MATCH(MID(C219,2,3),NameConv!$G$4:$M$4,0)),"","*")</f>
        <v/>
      </c>
      <c r="B219" s="515" t="str">
        <f t="shared" ca="1" si="39"/>
        <v>TOP-OUT</v>
      </c>
      <c r="C219" s="515" t="str">
        <f ca="1">"X"&amp;OFFSET(NameConv!$F$4,0,M219)&amp;OFFSET(NameConv!$F$59,L219,M219)</f>
        <v>XPWRBIW</v>
      </c>
      <c r="D219" s="515" t="str">
        <f ca="1">IF($A219="*","",IF($B219="TOP-OUT",RIGHT(C219,6),IF($B219="TOP-IN",RIGHT(C219,3),"-")))</f>
        <v>PWRBIW</v>
      </c>
      <c r="E219" s="515" t="str">
        <f t="shared" ca="1" si="46"/>
        <v>-</v>
      </c>
      <c r="F219" s="515" t="str">
        <f t="shared" ca="1" si="43"/>
        <v>-</v>
      </c>
      <c r="G219" s="515" t="str">
        <f t="shared" ca="1" si="43"/>
        <v>-</v>
      </c>
      <c r="H219" s="515" t="str">
        <f t="shared" ca="1" si="43"/>
        <v>-</v>
      </c>
      <c r="I219" s="518">
        <f t="shared" ca="1" si="44"/>
        <v>1</v>
      </c>
      <c r="K219" s="495">
        <f ca="1">IF(M218&lt;&gt;M219,1,IF(L218=OFFSET(NameConv!$F$45,0,M218),K218+1,K218))</f>
        <v>3</v>
      </c>
      <c r="L219" s="495">
        <f t="shared" ca="1" si="47"/>
        <v>4</v>
      </c>
      <c r="M219" s="526">
        <f ca="1">IF(AND(K218=$K$7,L218=SUMIF(NameConv!$G$4:$M$4,MID(C218,2,3),NameConv!$G$45:$M$45)),M218+1,M218)</f>
        <v>6</v>
      </c>
    </row>
    <row r="220" spans="1:13">
      <c r="A220" s="883" t="str">
        <f ca="1">IF(INDEX(Demand.Sectors,MATCH(MID(C220,2,3),NameConv!$G$4:$M$4,0)),"","*")</f>
        <v/>
      </c>
      <c r="B220" s="515" t="str">
        <f t="shared" ca="1" si="39"/>
        <v>TOP-OUT</v>
      </c>
      <c r="C220" s="515" t="str">
        <f ca="1">"X"&amp;OFFSET(NameConv!$F$4,0,M220)&amp;OFFSET(NameConv!$F$59,L220,M220)</f>
        <v>XPWRCLD</v>
      </c>
      <c r="D220" s="515" t="str">
        <f t="shared" ca="1" si="45"/>
        <v>PWRCLD</v>
      </c>
      <c r="E220" s="515" t="str">
        <f t="shared" ca="1" si="46"/>
        <v>-</v>
      </c>
      <c r="F220" s="515" t="str">
        <f t="shared" ca="1" si="43"/>
        <v>-</v>
      </c>
      <c r="G220" s="515" t="str">
        <f t="shared" ca="1" si="43"/>
        <v>-</v>
      </c>
      <c r="H220" s="515" t="str">
        <f t="shared" ca="1" si="43"/>
        <v>-</v>
      </c>
      <c r="I220" s="518">
        <f t="shared" ca="1" si="44"/>
        <v>1</v>
      </c>
      <c r="K220" s="495">
        <f ca="1">IF(M219&lt;&gt;M220,1,IF(L219=OFFSET(NameConv!$F$45,0,M219),K219+1,K219))</f>
        <v>3</v>
      </c>
      <c r="L220" s="495">
        <f t="shared" ca="1" si="47"/>
        <v>5</v>
      </c>
      <c r="M220" s="526">
        <f ca="1">IF(AND(K219=$K$7,L219=SUMIF(NameConv!$G$4:$M$4,MID(C219,2,3),NameConv!$G$45:$M$45)),M219+1,M219)</f>
        <v>6</v>
      </c>
    </row>
    <row r="221" spans="1:13">
      <c r="A221" s="883" t="str">
        <f ca="1">IF(INDEX(Demand.Sectors,MATCH(MID(C221,2,3),NameConv!$G$4:$M$4,0)),"","*")</f>
        <v/>
      </c>
      <c r="B221" s="515" t="str">
        <f t="shared" ca="1" si="39"/>
        <v>TOP-OUT</v>
      </c>
      <c r="C221" s="515" t="str">
        <f ca="1">"X"&amp;OFFSET(NameConv!$F$4,0,M221)&amp;OFFSET(NameConv!$F$59,L221,M221)</f>
        <v>XPWRCLE</v>
      </c>
      <c r="D221" s="515" t="str">
        <f t="shared" ca="1" si="45"/>
        <v>PWRCLE</v>
      </c>
      <c r="E221" s="515" t="str">
        <f t="shared" ca="1" si="46"/>
        <v>-</v>
      </c>
      <c r="F221" s="515" t="str">
        <f t="shared" ca="1" si="43"/>
        <v>-</v>
      </c>
      <c r="G221" s="515" t="str">
        <f t="shared" ca="1" si="43"/>
        <v>-</v>
      </c>
      <c r="H221" s="515" t="str">
        <f t="shared" ca="1" si="43"/>
        <v>-</v>
      </c>
      <c r="I221" s="518">
        <f t="shared" ca="1" si="44"/>
        <v>1</v>
      </c>
      <c r="K221" s="495">
        <f ca="1">IF(M220&lt;&gt;M221,1,IF(L220=OFFSET(NameConv!$F$45,0,M220),K220+1,K220))</f>
        <v>3</v>
      </c>
      <c r="L221" s="495">
        <f t="shared" ca="1" si="47"/>
        <v>6</v>
      </c>
      <c r="M221" s="526">
        <f ca="1">IF(AND(K220=$K$7,L220=SUMIF(NameConv!$G$4:$M$4,MID(C220,2,3),NameConv!$G$45:$M$45)),M220+1,M220)</f>
        <v>6</v>
      </c>
    </row>
    <row r="222" spans="1:13">
      <c r="A222" s="883" t="str">
        <f ca="1">IF(INDEX(Demand.Sectors,MATCH(MID(C222,2,3),NameConv!$G$4:$M$4,0)),"","*")</f>
        <v/>
      </c>
      <c r="B222" s="515" t="str">
        <f t="shared" ca="1" si="39"/>
        <v>TOP-OUT</v>
      </c>
      <c r="C222" s="515" t="str">
        <f ca="1">"X"&amp;OFFSET(NameConv!$F$4,0,M222)&amp;OFFSET(NameConv!$F$59,L222,M222)</f>
        <v>XPWRCRB</v>
      </c>
      <c r="D222" s="515" t="str">
        <f t="shared" ca="1" si="45"/>
        <v>PWRCRB</v>
      </c>
      <c r="E222" s="515" t="str">
        <f t="shared" ca="1" si="46"/>
        <v>-</v>
      </c>
      <c r="F222" s="515" t="str">
        <f t="shared" ca="1" si="43"/>
        <v>-</v>
      </c>
      <c r="G222" s="515" t="str">
        <f t="shared" ca="1" si="43"/>
        <v>-</v>
      </c>
      <c r="H222" s="515" t="str">
        <f t="shared" ca="1" si="43"/>
        <v>-</v>
      </c>
      <c r="I222" s="518">
        <f t="shared" ca="1" si="44"/>
        <v>1</v>
      </c>
      <c r="K222" s="495">
        <f ca="1">IF(M221&lt;&gt;M222,1,IF(L221=OFFSET(NameConv!$F$45,0,M221),K221+1,K221))</f>
        <v>3</v>
      </c>
      <c r="L222" s="495">
        <f t="shared" ca="1" si="47"/>
        <v>7</v>
      </c>
      <c r="M222" s="526">
        <f ca="1">IF(AND(K221=$K$7,L221=SUMIF(NameConv!$G$4:$M$4,MID(C221,2,3),NameConv!$G$45:$M$45)),M221+1,M221)</f>
        <v>6</v>
      </c>
    </row>
    <row r="223" spans="1:13">
      <c r="A223" s="883" t="str">
        <f ca="1">IF(INDEX(Demand.Sectors,MATCH(MID(C223,2,3),NameConv!$G$4:$M$4,0)),"","*")</f>
        <v/>
      </c>
      <c r="B223" s="515" t="str">
        <f t="shared" ca="1" si="39"/>
        <v>TOP-OUT</v>
      </c>
      <c r="C223" s="515" t="str">
        <f ca="1">"X"&amp;OFFSET(NameConv!$F$4,0,M223)&amp;OFFSET(NameConv!$F$59,L223,M223)</f>
        <v>XPWRGAS</v>
      </c>
      <c r="D223" s="515" t="str">
        <f t="shared" ca="1" si="45"/>
        <v>PWRGAS</v>
      </c>
      <c r="E223" s="515" t="str">
        <f t="shared" ca="1" si="46"/>
        <v>-</v>
      </c>
      <c r="F223" s="515" t="str">
        <f t="shared" ca="1" si="43"/>
        <v>-</v>
      </c>
      <c r="G223" s="515" t="str">
        <f t="shared" ca="1" si="43"/>
        <v>-</v>
      </c>
      <c r="H223" s="515" t="str">
        <f t="shared" ca="1" si="43"/>
        <v>-</v>
      </c>
      <c r="I223" s="518">
        <f t="shared" ca="1" si="44"/>
        <v>1</v>
      </c>
      <c r="K223" s="495">
        <f ca="1">IF(M222&lt;&gt;M223,1,IF(L222=OFFSET(NameConv!$F$45,0,M222),K222+1,K222))</f>
        <v>3</v>
      </c>
      <c r="L223" s="495">
        <f t="shared" ca="1" si="47"/>
        <v>8</v>
      </c>
      <c r="M223" s="526">
        <f ca="1">IF(AND(K222=$K$7,L222=SUMIF(NameConv!$G$4:$M$4,MID(C222,2,3),NameConv!$G$45:$M$45)),M222+1,M222)</f>
        <v>6</v>
      </c>
    </row>
    <row r="224" spans="1:13">
      <c r="A224" s="883" t="str">
        <f ca="1">IF(INDEX(Demand.Sectors,MATCH(MID(C224,2,3),NameConv!$G$4:$M$4,0)),"","*")</f>
        <v/>
      </c>
      <c r="B224" s="515" t="str">
        <f t="shared" ca="1" si="39"/>
        <v>TOP-OUT</v>
      </c>
      <c r="C224" s="515" t="str">
        <f ca="1">"X"&amp;OFFSET(NameConv!$F$4,0,M224)&amp;OFFSET(NameConv!$F$59,L224,M224)</f>
        <v>XPWRGRS</v>
      </c>
      <c r="D224" s="515" t="str">
        <f t="shared" ca="1" si="45"/>
        <v>PWRGRS</v>
      </c>
      <c r="E224" s="515" t="str">
        <f t="shared" ca="1" si="46"/>
        <v>-</v>
      </c>
      <c r="F224" s="515" t="str">
        <f t="shared" ca="1" si="43"/>
        <v>-</v>
      </c>
      <c r="G224" s="515" t="str">
        <f t="shared" ca="1" si="43"/>
        <v>-</v>
      </c>
      <c r="H224" s="515" t="str">
        <f t="shared" ca="1" si="43"/>
        <v>-</v>
      </c>
      <c r="I224" s="518">
        <f t="shared" ca="1" si="44"/>
        <v>1</v>
      </c>
      <c r="K224" s="495">
        <f ca="1">IF(M223&lt;&gt;M224,1,IF(L223=OFFSET(NameConv!$F$45,0,M223),K223+1,K223))</f>
        <v>3</v>
      </c>
      <c r="L224" s="495">
        <f t="shared" ca="1" si="47"/>
        <v>9</v>
      </c>
      <c r="M224" s="526">
        <f ca="1">IF(AND(K223=$K$7,L223=SUMIF(NameConv!$G$4:$M$4,MID(C223,2,3),NameConv!$G$45:$M$45)),M223+1,M223)</f>
        <v>6</v>
      </c>
    </row>
    <row r="225" spans="1:13">
      <c r="A225" s="883" t="str">
        <f ca="1">IF(INDEX(Demand.Sectors,MATCH(MID(C225,2,3),NameConv!$G$4:$M$4,0)),"","*")</f>
        <v/>
      </c>
      <c r="B225" s="515" t="str">
        <f t="shared" ca="1" si="39"/>
        <v>TOP-OUT</v>
      </c>
      <c r="C225" s="515" t="str">
        <f ca="1">"X"&amp;OFFSET(NameConv!$F$4,0,M225)&amp;OFFSET(NameConv!$F$59,L225,M225)</f>
        <v>XPWRGRN</v>
      </c>
      <c r="D225" s="515" t="str">
        <f t="shared" ca="1" si="45"/>
        <v>PWRGRN</v>
      </c>
      <c r="E225" s="515" t="str">
        <f t="shared" ca="1" si="46"/>
        <v>-</v>
      </c>
      <c r="F225" s="515" t="str">
        <f t="shared" ca="1" si="43"/>
        <v>-</v>
      </c>
      <c r="G225" s="515" t="str">
        <f t="shared" ca="1" si="43"/>
        <v>-</v>
      </c>
      <c r="H225" s="515" t="str">
        <f t="shared" ca="1" si="43"/>
        <v>-</v>
      </c>
      <c r="I225" s="518">
        <f t="shared" ca="1" si="44"/>
        <v>1</v>
      </c>
      <c r="K225" s="495">
        <f ca="1">IF(M224&lt;&gt;M225,1,IF(L224=OFFSET(NameConv!$F$45,0,M224),K224+1,K224))</f>
        <v>3</v>
      </c>
      <c r="L225" s="495">
        <f t="shared" ca="1" si="47"/>
        <v>10</v>
      </c>
      <c r="M225" s="526">
        <f ca="1">IF(AND(K224=$K$7,L224=SUMIF(NameConv!$G$4:$M$4,MID(C224,2,3),NameConv!$G$45:$M$45)),M224+1,M224)</f>
        <v>6</v>
      </c>
    </row>
    <row r="226" spans="1:13">
      <c r="A226" s="883" t="str">
        <f ca="1">IF(INDEX(Demand.Sectors,MATCH(MID(C226,2,3),NameConv!$G$4:$M$4,0)),"","*")</f>
        <v/>
      </c>
      <c r="B226" s="515" t="str">
        <f t="shared" ca="1" si="39"/>
        <v>TOP-OUT</v>
      </c>
      <c r="C226" s="515" t="str">
        <f ca="1">"X"&amp;OFFSET(NameConv!$F$4,0,M226)&amp;OFFSET(NameConv!$F$59,L226,M226)</f>
        <v>XPWRGRM</v>
      </c>
      <c r="D226" s="515" t="str">
        <f t="shared" ca="1" si="45"/>
        <v>PWRGRM</v>
      </c>
      <c r="E226" s="515" t="str">
        <f t="shared" ca="1" si="46"/>
        <v>-</v>
      </c>
      <c r="F226" s="515" t="str">
        <f t="shared" ca="1" si="43"/>
        <v>-</v>
      </c>
      <c r="G226" s="515" t="str">
        <f t="shared" ca="1" si="43"/>
        <v>-</v>
      </c>
      <c r="H226" s="515" t="str">
        <f t="shared" ca="1" si="43"/>
        <v>-</v>
      </c>
      <c r="I226" s="518">
        <f t="shared" ca="1" si="44"/>
        <v>1</v>
      </c>
      <c r="K226" s="495">
        <f ca="1">IF(M225&lt;&gt;M226,1,IF(L225=OFFSET(NameConv!$F$45,0,M225),K225+1,K225))</f>
        <v>3</v>
      </c>
      <c r="L226" s="495">
        <f t="shared" ca="1" si="47"/>
        <v>11</v>
      </c>
      <c r="M226" s="526">
        <f ca="1">IF(AND(K225=$K$7,L225=SUMIF(NameConv!$G$4:$M$4,MID(C225,2,3),NameConv!$G$45:$M$45)),M225+1,M225)</f>
        <v>6</v>
      </c>
    </row>
    <row r="227" spans="1:13">
      <c r="A227" s="883" t="str">
        <f ca="1">IF(INDEX(Demand.Sectors,MATCH(MID(C227,2,3),NameConv!$G$4:$M$4,0)),"","*")</f>
        <v/>
      </c>
      <c r="B227" s="515" t="str">
        <f t="shared" ca="1" si="39"/>
        <v>TOP-OUT</v>
      </c>
      <c r="C227" s="515" t="str">
        <f ca="1">"X"&amp;OFFSET(NameConv!$F$4,0,M227)&amp;OFFSET(NameConv!$F$59,L227,M227)</f>
        <v>XPWRGIH</v>
      </c>
      <c r="D227" s="515" t="str">
        <f t="shared" ca="1" si="45"/>
        <v>PWRGIH</v>
      </c>
      <c r="E227" s="515" t="str">
        <f t="shared" ca="1" si="46"/>
        <v>-</v>
      </c>
      <c r="F227" s="515" t="str">
        <f t="shared" ca="1" si="43"/>
        <v>-</v>
      </c>
      <c r="G227" s="515" t="str">
        <f t="shared" ca="1" si="43"/>
        <v>-</v>
      </c>
      <c r="H227" s="515" t="str">
        <f t="shared" ca="1" si="43"/>
        <v>-</v>
      </c>
      <c r="I227" s="518">
        <f t="shared" ca="1" si="44"/>
        <v>1</v>
      </c>
      <c r="K227" s="495">
        <f ca="1">IF(M226&lt;&gt;M227,1,IF(L226=OFFSET(NameConv!$F$45,0,M226),K226+1,K226))</f>
        <v>3</v>
      </c>
      <c r="L227" s="495">
        <f t="shared" ca="1" si="47"/>
        <v>12</v>
      </c>
      <c r="M227" s="526">
        <f ca="1">IF(AND(K226=$K$7,L226=SUMIF(NameConv!$G$4:$M$4,MID(C226,2,3),NameConv!$G$45:$M$45)),M226+1,M226)</f>
        <v>6</v>
      </c>
    </row>
    <row r="228" spans="1:13">
      <c r="A228" s="883" t="str">
        <f ca="1">IF(INDEX(Demand.Sectors,MATCH(MID(C228,2,3),NameConv!$G$4:$M$4,0)),"","*")</f>
        <v/>
      </c>
      <c r="B228" s="515" t="str">
        <f t="shared" ca="1" si="39"/>
        <v>TOP-OUT</v>
      </c>
      <c r="C228" s="515" t="str">
        <f ca="1">"X"&amp;OFFSET(NameConv!$F$4,0,M228)&amp;OFFSET(NameConv!$F$59,L228,M228)</f>
        <v>XPWRGIC</v>
      </c>
      <c r="D228" s="515" t="str">
        <f t="shared" ca="1" si="45"/>
        <v>PWRGIC</v>
      </c>
      <c r="E228" s="515" t="str">
        <f t="shared" ca="1" si="46"/>
        <v>-</v>
      </c>
      <c r="F228" s="515" t="str">
        <f t="shared" ca="1" si="43"/>
        <v>-</v>
      </c>
      <c r="G228" s="515" t="str">
        <f t="shared" ca="1" si="43"/>
        <v>-</v>
      </c>
      <c r="H228" s="515" t="str">
        <f t="shared" ca="1" si="43"/>
        <v>-</v>
      </c>
      <c r="I228" s="518">
        <f t="shared" ca="1" si="44"/>
        <v>1</v>
      </c>
      <c r="K228" s="495">
        <f ca="1">IF(M227&lt;&gt;M228,1,IF(L227=OFFSET(NameConv!$F$45,0,M227),K227+1,K227))</f>
        <v>3</v>
      </c>
      <c r="L228" s="495">
        <f t="shared" ca="1" si="47"/>
        <v>13</v>
      </c>
      <c r="M228" s="526">
        <f ca="1">IF(AND(K227=$K$7,L227=SUMIF(NameConv!$G$4:$M$4,MID(C227,2,3),NameConv!$G$45:$M$45)),M227+1,M227)</f>
        <v>6</v>
      </c>
    </row>
    <row r="229" spans="1:13">
      <c r="A229" s="883" t="str">
        <f ca="1">IF(INDEX(Demand.Sectors,MATCH(MID(C229,2,3),NameConv!$G$4:$M$4,0)),"","*")</f>
        <v/>
      </c>
      <c r="B229" s="515" t="str">
        <f t="shared" ca="1" si="39"/>
        <v>TOP-OUT</v>
      </c>
      <c r="C229" s="515" t="str">
        <f ca="1">"X"&amp;OFFSET(NameConv!$F$4,0,M229)&amp;OFFSET(NameConv!$F$59,L229,M229)</f>
        <v>XPWRHYD</v>
      </c>
      <c r="D229" s="515" t="str">
        <f t="shared" ca="1" si="45"/>
        <v>PWRHYD</v>
      </c>
      <c r="E229" s="515" t="str">
        <f t="shared" ca="1" si="46"/>
        <v>-</v>
      </c>
      <c r="F229" s="515" t="str">
        <f t="shared" ca="1" si="43"/>
        <v>-</v>
      </c>
      <c r="G229" s="515" t="str">
        <f t="shared" ca="1" si="43"/>
        <v>-</v>
      </c>
      <c r="H229" s="515" t="str">
        <f t="shared" ca="1" si="43"/>
        <v>-</v>
      </c>
      <c r="I229" s="518">
        <f t="shared" ca="1" si="44"/>
        <v>1</v>
      </c>
      <c r="K229" s="495">
        <f ca="1">IF(M228&lt;&gt;M229,1,IF(L228=OFFSET(NameConv!$F$45,0,M228),K228+1,K228))</f>
        <v>3</v>
      </c>
      <c r="L229" s="495">
        <f t="shared" ca="1" si="47"/>
        <v>14</v>
      </c>
      <c r="M229" s="526">
        <f ca="1">IF(AND(K228=$K$7,L228=SUMIF(NameConv!$G$4:$M$4,MID(C228,2,3),NameConv!$G$45:$M$45)),M228+1,M228)</f>
        <v>6</v>
      </c>
    </row>
    <row r="230" spans="1:13">
      <c r="A230" s="883" t="str">
        <f ca="1">IF(INDEX(Demand.Sectors,MATCH(MID(C230,2,3),NameConv!$G$4:$M$4,0)),"","*")</f>
        <v/>
      </c>
      <c r="B230" s="515" t="str">
        <f t="shared" ca="1" si="39"/>
        <v>TOP-OUT</v>
      </c>
      <c r="C230" s="515" t="str">
        <f ca="1">"X"&amp;OFFSET(NameConv!$F$4,0,M230)&amp;OFFSET(NameConv!$F$59,L230,M230)</f>
        <v>XPWRHGN</v>
      </c>
      <c r="D230" s="515" t="str">
        <f t="shared" ca="1" si="45"/>
        <v>PWRHGN</v>
      </c>
      <c r="E230" s="515" t="str">
        <f t="shared" ca="1" si="46"/>
        <v>-</v>
      </c>
      <c r="F230" s="515" t="str">
        <f t="shared" ca="1" si="43"/>
        <v>-</v>
      </c>
      <c r="G230" s="515" t="str">
        <f t="shared" ca="1" si="43"/>
        <v>-</v>
      </c>
      <c r="H230" s="515" t="str">
        <f t="shared" ca="1" si="43"/>
        <v>-</v>
      </c>
      <c r="I230" s="518">
        <f t="shared" ca="1" si="44"/>
        <v>1</v>
      </c>
      <c r="K230" s="495">
        <f ca="1">IF(M229&lt;&gt;M230,1,IF(L229=OFFSET(NameConv!$F$45,0,M229),K229+1,K229))</f>
        <v>3</v>
      </c>
      <c r="L230" s="495">
        <f t="shared" ca="1" si="47"/>
        <v>15</v>
      </c>
      <c r="M230" s="526">
        <f ca="1">IF(AND(K229=$K$7,L229=SUMIF(NameConv!$G$4:$M$4,MID(C229,2,3),NameConv!$G$45:$M$45)),M229+1,M229)</f>
        <v>6</v>
      </c>
    </row>
    <row r="231" spans="1:13">
      <c r="A231" s="883" t="str">
        <f ca="1">IF(INDEX(Demand.Sectors,MATCH(MID(C231,2,3),NameConv!$G$4:$M$4,0)),"","*")</f>
        <v/>
      </c>
      <c r="B231" s="515" t="str">
        <f t="shared" ca="1" si="39"/>
        <v>TOP-OUT</v>
      </c>
      <c r="C231" s="515" t="str">
        <f ca="1">"X"&amp;OFFSET(NameConv!$F$4,0,M231)&amp;OFFSET(NameConv!$F$59,L231,M231)</f>
        <v>XPWRNUC</v>
      </c>
      <c r="D231" s="515" t="str">
        <f t="shared" ca="1" si="45"/>
        <v>PWRNUC</v>
      </c>
      <c r="E231" s="515" t="str">
        <f t="shared" ca="1" si="46"/>
        <v>-</v>
      </c>
      <c r="F231" s="515" t="str">
        <f t="shared" ca="1" si="43"/>
        <v>-</v>
      </c>
      <c r="G231" s="515" t="str">
        <f t="shared" ca="1" si="43"/>
        <v>-</v>
      </c>
      <c r="H231" s="515" t="str">
        <f t="shared" ca="1" si="43"/>
        <v>-</v>
      </c>
      <c r="I231" s="518">
        <f t="shared" ca="1" si="44"/>
        <v>1</v>
      </c>
      <c r="K231" s="495">
        <f ca="1">IF(M230&lt;&gt;M231,1,IF(L230=OFFSET(NameConv!$F$45,0,M230),K230+1,K230))</f>
        <v>3</v>
      </c>
      <c r="L231" s="495">
        <f t="shared" ca="1" si="47"/>
        <v>16</v>
      </c>
      <c r="M231" s="526">
        <f ca="1">IF(AND(K230=$K$7,L230=SUMIF(NameConv!$G$4:$M$4,MID(C230,2,3),NameConv!$G$45:$M$45)),M230+1,M230)</f>
        <v>6</v>
      </c>
    </row>
    <row r="232" spans="1:13">
      <c r="A232" s="883" t="str">
        <f ca="1">IF(INDEX(Demand.Sectors,MATCH(MID(C232,2,3),NameConv!$G$4:$M$4,0)),"","*")</f>
        <v/>
      </c>
      <c r="B232" s="515" t="str">
        <f t="shared" ca="1" si="39"/>
        <v>TOP-OUT</v>
      </c>
      <c r="C232" s="515" t="str">
        <f ca="1">"X"&amp;OFFSET(NameConv!$F$4,0,M232)&amp;OFFSET(NameConv!$F$59,L232,M232)</f>
        <v>XPWRODS</v>
      </c>
      <c r="D232" s="515" t="str">
        <f t="shared" ca="1" si="45"/>
        <v>PWRODS</v>
      </c>
      <c r="E232" s="515" t="str">
        <f t="shared" ca="1" si="46"/>
        <v>-</v>
      </c>
      <c r="F232" s="515" t="str">
        <f t="shared" ref="F232:H282" ca="1" si="48">IF($A232="*","","-")</f>
        <v>-</v>
      </c>
      <c r="G232" s="515" t="str">
        <f t="shared" ca="1" si="48"/>
        <v>-</v>
      </c>
      <c r="H232" s="515" t="str">
        <f t="shared" ca="1" si="48"/>
        <v>-</v>
      </c>
      <c r="I232" s="518">
        <f t="shared" ca="1" si="44"/>
        <v>1</v>
      </c>
      <c r="K232" s="495">
        <f ca="1">IF(M231&lt;&gt;M232,1,IF(L231=OFFSET(NameConv!$F$45,0,M231),K231+1,K231))</f>
        <v>3</v>
      </c>
      <c r="L232" s="495">
        <f t="shared" ca="1" si="47"/>
        <v>17</v>
      </c>
      <c r="M232" s="526">
        <f ca="1">IF(AND(K231=$K$7,L231=SUMIF(NameConv!$G$4:$M$4,MID(C231,2,3),NameConv!$G$45:$M$45)),M231+1,M231)</f>
        <v>6</v>
      </c>
    </row>
    <row r="233" spans="1:13">
      <c r="A233" s="883" t="str">
        <f ca="1">IF(INDEX(Demand.Sectors,MATCH(MID(C233,2,3),NameConv!$G$4:$M$4,0)),"","*")</f>
        <v/>
      </c>
      <c r="B233" s="515" t="str">
        <f t="shared" ca="1" si="39"/>
        <v>TOP-OUT</v>
      </c>
      <c r="C233" s="515" t="str">
        <f ca="1">"X"&amp;OFFSET(NameConv!$F$4,0,M233)&amp;OFFSET(NameConv!$F$59,L233,M233)</f>
        <v>XPWRSOL</v>
      </c>
      <c r="D233" s="515" t="str">
        <f t="shared" ca="1" si="45"/>
        <v>PWRSOL</v>
      </c>
      <c r="E233" s="515" t="str">
        <f t="shared" ca="1" si="46"/>
        <v>-</v>
      </c>
      <c r="F233" s="515" t="str">
        <f t="shared" ca="1" si="48"/>
        <v>-</v>
      </c>
      <c r="G233" s="515" t="str">
        <f t="shared" ca="1" si="48"/>
        <v>-</v>
      </c>
      <c r="H233" s="515" t="str">
        <f t="shared" ca="1" si="48"/>
        <v>-</v>
      </c>
      <c r="I233" s="518">
        <f t="shared" ca="1" si="44"/>
        <v>1</v>
      </c>
      <c r="K233" s="495">
        <f ca="1">IF(M232&lt;&gt;M233,1,IF(L232=OFFSET(NameConv!$F$45,0,M232),K232+1,K232))</f>
        <v>3</v>
      </c>
      <c r="L233" s="495">
        <f t="shared" ca="1" si="47"/>
        <v>18</v>
      </c>
      <c r="M233" s="526">
        <f ca="1">IF(AND(K232=$K$7,L232=SUMIF(NameConv!$G$4:$M$4,MID(C232,2,3),NameConv!$G$45:$M$45)),M232+1,M232)</f>
        <v>6</v>
      </c>
    </row>
    <row r="234" spans="1:13">
      <c r="A234" s="883" t="str">
        <f ca="1">IF(INDEX(Demand.Sectors,MATCH(MID(C234,2,3),NameConv!$G$4:$M$4,0)),"","*")</f>
        <v/>
      </c>
      <c r="B234" s="515" t="str">
        <f t="shared" ca="1" si="39"/>
        <v>TOP-OUT</v>
      </c>
      <c r="C234" s="515" t="str">
        <f ca="1">"X"&amp;OFFSET(NameConv!$F$4,0,M234)&amp;OFFSET(NameConv!$F$59,L234,M234)</f>
        <v>XPWRWND</v>
      </c>
      <c r="D234" s="515" t="str">
        <f t="shared" ca="1" si="45"/>
        <v>PWRWND</v>
      </c>
      <c r="E234" s="515" t="str">
        <f t="shared" ca="1" si="46"/>
        <v>-</v>
      </c>
      <c r="F234" s="515" t="str">
        <f t="shared" ca="1" si="48"/>
        <v>-</v>
      </c>
      <c r="G234" s="515" t="str">
        <f t="shared" ca="1" si="48"/>
        <v>-</v>
      </c>
      <c r="H234" s="515" t="str">
        <f t="shared" ca="1" si="48"/>
        <v>-</v>
      </c>
      <c r="I234" s="518">
        <f t="shared" ca="1" si="44"/>
        <v>1</v>
      </c>
      <c r="K234" s="495">
        <f ca="1">IF(M233&lt;&gt;M234,1,IF(L233=OFFSET(NameConv!$F$45,0,M233),K233+1,K233))</f>
        <v>3</v>
      </c>
      <c r="L234" s="495">
        <f t="shared" ca="1" si="47"/>
        <v>19</v>
      </c>
      <c r="M234" s="526">
        <f ca="1">IF(AND(K233=$K$7,L233=SUMIF(NameConv!$G$4:$M$4,MID(C233,2,3),NameConv!$G$45:$M$45)),M233+1,M233)</f>
        <v>6</v>
      </c>
    </row>
    <row r="235" spans="1:13">
      <c r="A235" s="883" t="str">
        <f ca="1">IF(INDEX(Demand.Sectors,MATCH(MID(C235,2,3),NameConv!$G$4:$M$4,0)),"","*")</f>
        <v/>
      </c>
      <c r="B235" s="515" t="str">
        <f t="shared" ca="1" si="39"/>
        <v>TOP-IN</v>
      </c>
      <c r="C235" s="515" t="str">
        <f ca="1">"X"&amp;OFFSET(NameConv!$F$4,0,M235)&amp;OFFSET(NameConv!$F$59,L235,M235)</f>
        <v>XPWRBIG</v>
      </c>
      <c r="D235" s="515" t="str">
        <f t="shared" ca="1" si="45"/>
        <v>BIG</v>
      </c>
      <c r="E235" s="515" t="str">
        <f t="shared" ca="1" si="46"/>
        <v>-</v>
      </c>
      <c r="F235" s="515" t="str">
        <f t="shared" ca="1" si="48"/>
        <v>-</v>
      </c>
      <c r="G235" s="515" t="str">
        <f t="shared" ca="1" si="48"/>
        <v>-</v>
      </c>
      <c r="H235" s="515" t="str">
        <f t="shared" ca="1" si="48"/>
        <v>-</v>
      </c>
      <c r="I235" s="518">
        <f t="shared" ca="1" si="44"/>
        <v>1</v>
      </c>
      <c r="K235" s="495">
        <f ca="1">IF(M234&lt;&gt;M235,1,IF(L234=OFFSET(NameConv!$F$45,0,M234),K234+1,K234))</f>
        <v>4</v>
      </c>
      <c r="L235" s="495">
        <f t="shared" ca="1" si="47"/>
        <v>1</v>
      </c>
      <c r="M235" s="526">
        <f ca="1">IF(AND(K234=$K$7,L234=SUMIF(NameConv!$G$4:$M$4,MID(C234,2,3),NameConv!$G$45:$M$45)),M234+1,M234)</f>
        <v>6</v>
      </c>
    </row>
    <row r="236" spans="1:13">
      <c r="A236" s="883" t="str">
        <f ca="1">IF(INDEX(Demand.Sectors,MATCH(MID(C236,2,3),NameConv!$G$4:$M$4,0)),"","*")</f>
        <v/>
      </c>
      <c r="B236" s="515" t="str">
        <f t="shared" ca="1" si="39"/>
        <v>TOP-IN</v>
      </c>
      <c r="C236" s="515" t="str">
        <f ca="1">"X"&amp;OFFSET(NameConv!$F$4,0,M236)&amp;OFFSET(NameConv!$F$59,L236,M236)</f>
        <v>XPWRBIB</v>
      </c>
      <c r="D236" s="515" t="str">
        <f t="shared" ca="1" si="45"/>
        <v>BIB</v>
      </c>
      <c r="E236" s="515" t="str">
        <f t="shared" ca="1" si="46"/>
        <v>-</v>
      </c>
      <c r="F236" s="515" t="str">
        <f t="shared" ca="1" si="48"/>
        <v>-</v>
      </c>
      <c r="G236" s="515" t="str">
        <f t="shared" ca="1" si="48"/>
        <v>-</v>
      </c>
      <c r="H236" s="515" t="str">
        <f t="shared" ca="1" si="48"/>
        <v>-</v>
      </c>
      <c r="I236" s="518">
        <f t="shared" ca="1" si="44"/>
        <v>1</v>
      </c>
      <c r="K236" s="495">
        <f ca="1">IF(M235&lt;&gt;M236,1,IF(L235=OFFSET(NameConv!$F$45,0,M235),K235+1,K235))</f>
        <v>4</v>
      </c>
      <c r="L236" s="495">
        <f t="shared" ca="1" si="47"/>
        <v>2</v>
      </c>
      <c r="M236" s="526">
        <f ca="1">IF(AND(K235=$K$7,L235=SUMIF(NameConv!$G$4:$M$4,MID(C235,2,3),NameConv!$G$45:$M$45)),M235+1,M235)</f>
        <v>6</v>
      </c>
    </row>
    <row r="237" spans="1:13">
      <c r="A237" s="883" t="str">
        <f ca="1">IF(INDEX(Demand.Sectors,MATCH(MID(C237,2,3),NameConv!$G$4:$M$4,0)),"","*")</f>
        <v/>
      </c>
      <c r="B237" s="515" t="str">
        <f t="shared" ca="1" si="39"/>
        <v>TOP-IN</v>
      </c>
      <c r="C237" s="515" t="str">
        <f ca="1">"X"&amp;OFFSET(NameConv!$F$4,0,M237)&amp;OFFSET(NameConv!$F$59,L237,M237)</f>
        <v>XPWRBIO</v>
      </c>
      <c r="D237" s="515" t="str">
        <f t="shared" ca="1" si="45"/>
        <v>BIO</v>
      </c>
      <c r="E237" s="515" t="str">
        <f t="shared" ca="1" si="46"/>
        <v>-</v>
      </c>
      <c r="F237" s="515" t="str">
        <f t="shared" ca="1" si="48"/>
        <v>-</v>
      </c>
      <c r="G237" s="515" t="str">
        <f t="shared" ca="1" si="48"/>
        <v>-</v>
      </c>
      <c r="H237" s="515" t="str">
        <f t="shared" ca="1" si="48"/>
        <v>-</v>
      </c>
      <c r="I237" s="518">
        <f t="shared" ca="1" si="44"/>
        <v>1</v>
      </c>
      <c r="K237" s="495">
        <f ca="1">IF(M236&lt;&gt;M237,1,IF(L236=OFFSET(NameConv!$F$45,0,M236),K236+1,K236))</f>
        <v>4</v>
      </c>
      <c r="L237" s="495">
        <f t="shared" ca="1" si="47"/>
        <v>3</v>
      </c>
      <c r="M237" s="526">
        <f ca="1">IF(AND(K236=$K$7,L236=SUMIF(NameConv!$G$4:$M$4,MID(C236,2,3),NameConv!$G$45:$M$45)),M236+1,M236)</f>
        <v>6</v>
      </c>
    </row>
    <row r="238" spans="1:13">
      <c r="A238" s="883" t="str">
        <f ca="1">IF(INDEX(Demand.Sectors,MATCH(MID(C238,2,3),NameConv!$G$4:$M$4,0)),"","*")</f>
        <v/>
      </c>
      <c r="B238" s="515" t="str">
        <f t="shared" ca="1" si="39"/>
        <v>TOP-IN</v>
      </c>
      <c r="C238" s="515" t="str">
        <f ca="1">"X"&amp;OFFSET(NameConv!$F$4,0,M238)&amp;OFFSET(NameConv!$F$59,L238,M238)</f>
        <v>XPWRBIW</v>
      </c>
      <c r="D238" s="515" t="str">
        <f t="shared" ca="1" si="45"/>
        <v>BIW</v>
      </c>
      <c r="E238" s="515" t="str">
        <f t="shared" ca="1" si="46"/>
        <v>-</v>
      </c>
      <c r="F238" s="515" t="str">
        <f t="shared" ca="1" si="48"/>
        <v>-</v>
      </c>
      <c r="G238" s="515" t="str">
        <f t="shared" ca="1" si="48"/>
        <v>-</v>
      </c>
      <c r="H238" s="515" t="str">
        <f t="shared" ca="1" si="48"/>
        <v>-</v>
      </c>
      <c r="I238" s="518">
        <f t="shared" ca="1" si="44"/>
        <v>1</v>
      </c>
      <c r="K238" s="495">
        <f ca="1">IF(M237&lt;&gt;M238,1,IF(L237=OFFSET(NameConv!$F$45,0,M237),K237+1,K237))</f>
        <v>4</v>
      </c>
      <c r="L238" s="495">
        <f t="shared" ca="1" si="47"/>
        <v>4</v>
      </c>
      <c r="M238" s="526">
        <f ca="1">IF(AND(K237=$K$7,L237=SUMIF(NameConv!$G$4:$M$4,MID(C237,2,3),NameConv!$G$45:$M$45)),M237+1,M237)</f>
        <v>6</v>
      </c>
    </row>
    <row r="239" spans="1:13">
      <c r="A239" s="883" t="str">
        <f ca="1">IF(INDEX(Demand.Sectors,MATCH(MID(C239,2,3),NameConv!$G$4:$M$4,0)),"","*")</f>
        <v/>
      </c>
      <c r="B239" s="515" t="str">
        <f t="shared" ca="1" si="39"/>
        <v>TOP-IN</v>
      </c>
      <c r="C239" s="515" t="str">
        <f ca="1">"X"&amp;OFFSET(NameConv!$F$4,0,M239)&amp;OFFSET(NameConv!$F$59,L239,M239)</f>
        <v>XPWRCLD</v>
      </c>
      <c r="D239" s="515" t="str">
        <f t="shared" ca="1" si="45"/>
        <v>CLD</v>
      </c>
      <c r="E239" s="515" t="str">
        <f t="shared" ca="1" si="46"/>
        <v>-</v>
      </c>
      <c r="F239" s="515" t="str">
        <f t="shared" ca="1" si="48"/>
        <v>-</v>
      </c>
      <c r="G239" s="515" t="str">
        <f t="shared" ca="1" si="48"/>
        <v>-</v>
      </c>
      <c r="H239" s="515" t="str">
        <f t="shared" ca="1" si="48"/>
        <v>-</v>
      </c>
      <c r="I239" s="518">
        <f t="shared" ca="1" si="44"/>
        <v>1</v>
      </c>
      <c r="K239" s="495">
        <f ca="1">IF(M238&lt;&gt;M239,1,IF(L238=OFFSET(NameConv!$F$45,0,M238),K238+1,K238))</f>
        <v>4</v>
      </c>
      <c r="L239" s="495">
        <f t="shared" ca="1" si="47"/>
        <v>5</v>
      </c>
      <c r="M239" s="526">
        <f ca="1">IF(AND(K238=$K$7,L238=SUMIF(NameConv!$G$4:$M$4,MID(C238,2,3),NameConv!$G$45:$M$45)),M238+1,M238)</f>
        <v>6</v>
      </c>
    </row>
    <row r="240" spans="1:13">
      <c r="A240" s="883" t="str">
        <f ca="1">IF(INDEX(Demand.Sectors,MATCH(MID(C240,2,3),NameConv!$G$4:$M$4,0)),"","*")</f>
        <v/>
      </c>
      <c r="B240" s="515" t="str">
        <f t="shared" ca="1" si="39"/>
        <v>TOP-IN</v>
      </c>
      <c r="C240" s="515" t="str">
        <f ca="1">"X"&amp;OFFSET(NameConv!$F$4,0,M240)&amp;OFFSET(NameConv!$F$59,L240,M240)</f>
        <v>XPWRCLE</v>
      </c>
      <c r="D240" s="515" t="str">
        <f t="shared" ca="1" si="45"/>
        <v>CLE</v>
      </c>
      <c r="E240" s="515" t="str">
        <f t="shared" ca="1" si="46"/>
        <v>-</v>
      </c>
      <c r="F240" s="515" t="str">
        <f t="shared" ca="1" si="48"/>
        <v>-</v>
      </c>
      <c r="G240" s="515" t="str">
        <f t="shared" ca="1" si="48"/>
        <v>-</v>
      </c>
      <c r="H240" s="515" t="str">
        <f t="shared" ca="1" si="48"/>
        <v>-</v>
      </c>
      <c r="I240" s="518">
        <f t="shared" ca="1" si="44"/>
        <v>1</v>
      </c>
      <c r="K240" s="495">
        <f ca="1">IF(M239&lt;&gt;M240,1,IF(L239=OFFSET(NameConv!$F$45,0,M239),K239+1,K239))</f>
        <v>4</v>
      </c>
      <c r="L240" s="495">
        <f t="shared" ca="1" si="47"/>
        <v>6</v>
      </c>
      <c r="M240" s="526">
        <f ca="1">IF(AND(K239=$K$7,L239=SUMIF(NameConv!$G$4:$M$4,MID(C239,2,3),NameConv!$G$45:$M$45)),M239+1,M239)</f>
        <v>6</v>
      </c>
    </row>
    <row r="241" spans="1:13">
      <c r="A241" s="883" t="str">
        <f ca="1">IF(INDEX(Demand.Sectors,MATCH(MID(C241,2,3),NameConv!$G$4:$M$4,0)),"","*")</f>
        <v/>
      </c>
      <c r="B241" s="515" t="str">
        <f t="shared" ca="1" si="39"/>
        <v>TOP-IN</v>
      </c>
      <c r="C241" s="515" t="str">
        <f ca="1">"X"&amp;OFFSET(NameConv!$F$4,0,M241)&amp;OFFSET(NameConv!$F$59,L241,M241)</f>
        <v>XPWRCRB</v>
      </c>
      <c r="D241" s="515" t="str">
        <f t="shared" ca="1" si="45"/>
        <v>CRB</v>
      </c>
      <c r="E241" s="515" t="str">
        <f t="shared" ca="1" si="46"/>
        <v>-</v>
      </c>
      <c r="F241" s="515" t="str">
        <f t="shared" ca="1" si="48"/>
        <v>-</v>
      </c>
      <c r="G241" s="515" t="str">
        <f t="shared" ca="1" si="48"/>
        <v>-</v>
      </c>
      <c r="H241" s="515" t="str">
        <f t="shared" ca="1" si="48"/>
        <v>-</v>
      </c>
      <c r="I241" s="518">
        <f t="shared" ca="1" si="44"/>
        <v>1</v>
      </c>
      <c r="K241" s="495">
        <f ca="1">IF(M240&lt;&gt;M241,1,IF(L240=OFFSET(NameConv!$F$45,0,M240),K240+1,K240))</f>
        <v>4</v>
      </c>
      <c r="L241" s="495">
        <f t="shared" ca="1" si="47"/>
        <v>7</v>
      </c>
      <c r="M241" s="526">
        <f ca="1">IF(AND(K240=$K$7,L240=SUMIF(NameConv!$G$4:$M$4,MID(C240,2,3),NameConv!$G$45:$M$45)),M240+1,M240)</f>
        <v>6</v>
      </c>
    </row>
    <row r="242" spans="1:13">
      <c r="A242" s="883" t="str">
        <f ca="1">IF(INDEX(Demand.Sectors,MATCH(MID(C242,2,3),NameConv!$G$4:$M$4,0)),"","*")</f>
        <v/>
      </c>
      <c r="B242" s="515" t="str">
        <f t="shared" ca="1" si="39"/>
        <v>TOP-IN</v>
      </c>
      <c r="C242" s="515" t="str">
        <f ca="1">"X"&amp;OFFSET(NameConv!$F$4,0,M242)&amp;OFFSET(NameConv!$F$59,L242,M242)</f>
        <v>XPWRGAS</v>
      </c>
      <c r="D242" s="515" t="str">
        <f t="shared" ca="1" si="45"/>
        <v>GAS</v>
      </c>
      <c r="E242" s="515" t="str">
        <f t="shared" ca="1" si="46"/>
        <v>-</v>
      </c>
      <c r="F242" s="515" t="str">
        <f t="shared" ca="1" si="48"/>
        <v>-</v>
      </c>
      <c r="G242" s="515" t="str">
        <f t="shared" ca="1" si="48"/>
        <v>-</v>
      </c>
      <c r="H242" s="515" t="str">
        <f t="shared" ca="1" si="48"/>
        <v>-</v>
      </c>
      <c r="I242" s="518">
        <f t="shared" ca="1" si="44"/>
        <v>1</v>
      </c>
      <c r="K242" s="495">
        <f ca="1">IF(M241&lt;&gt;M242,1,IF(L241=OFFSET(NameConv!$F$45,0,M241),K241+1,K241))</f>
        <v>4</v>
      </c>
      <c r="L242" s="495">
        <f t="shared" ca="1" si="47"/>
        <v>8</v>
      </c>
      <c r="M242" s="526">
        <f ca="1">IF(AND(K241=$K$7,L241=SUMIF(NameConv!$G$4:$M$4,MID(C241,2,3),NameConv!$G$45:$M$45)),M241+1,M241)</f>
        <v>6</v>
      </c>
    </row>
    <row r="243" spans="1:13">
      <c r="A243" s="883" t="str">
        <f ca="1">IF(INDEX(Demand.Sectors,MATCH(MID(C243,2,3),NameConv!$G$4:$M$4,0)),"","*")</f>
        <v/>
      </c>
      <c r="B243" s="515" t="str">
        <f t="shared" ca="1" si="39"/>
        <v>TOP-IN</v>
      </c>
      <c r="C243" s="515" t="str">
        <f ca="1">"X"&amp;OFFSET(NameConv!$F$4,0,M243)&amp;OFFSET(NameConv!$F$59,L243,M243)</f>
        <v>XPWRGRS</v>
      </c>
      <c r="D243" s="515" t="str">
        <f t="shared" ca="1" si="45"/>
        <v>GRS</v>
      </c>
      <c r="E243" s="515" t="str">
        <f t="shared" ca="1" si="46"/>
        <v>-</v>
      </c>
      <c r="F243" s="515" t="str">
        <f t="shared" ca="1" si="48"/>
        <v>-</v>
      </c>
      <c r="G243" s="515" t="str">
        <f t="shared" ca="1" si="48"/>
        <v>-</v>
      </c>
      <c r="H243" s="515" t="str">
        <f t="shared" ca="1" si="48"/>
        <v>-</v>
      </c>
      <c r="I243" s="518">
        <f t="shared" ca="1" si="44"/>
        <v>1</v>
      </c>
      <c r="K243" s="495">
        <f ca="1">IF(M242&lt;&gt;M243,1,IF(L242=OFFSET(NameConv!$F$45,0,M242),K242+1,K242))</f>
        <v>4</v>
      </c>
      <c r="L243" s="495">
        <f t="shared" ca="1" si="47"/>
        <v>9</v>
      </c>
      <c r="M243" s="526">
        <f ca="1">IF(AND(K242=$K$7,L242=SUMIF(NameConv!$G$4:$M$4,MID(C242,2,3),NameConv!$G$45:$M$45)),M242+1,M242)</f>
        <v>6</v>
      </c>
    </row>
    <row r="244" spans="1:13">
      <c r="A244" s="883" t="str">
        <f ca="1">IF(INDEX(Demand.Sectors,MATCH(MID(C244,2,3),NameConv!$G$4:$M$4,0)),"","*")</f>
        <v/>
      </c>
      <c r="B244" s="515" t="str">
        <f t="shared" ca="1" si="39"/>
        <v>TOP-IN</v>
      </c>
      <c r="C244" s="515" t="str">
        <f ca="1">"X"&amp;OFFSET(NameConv!$F$4,0,M244)&amp;OFFSET(NameConv!$F$59,L244,M244)</f>
        <v>XPWRGRN</v>
      </c>
      <c r="D244" s="515" t="str">
        <f t="shared" ca="1" si="45"/>
        <v>GRN</v>
      </c>
      <c r="E244" s="515" t="str">
        <f t="shared" ca="1" si="46"/>
        <v>-</v>
      </c>
      <c r="F244" s="515" t="str">
        <f t="shared" ca="1" si="48"/>
        <v>-</v>
      </c>
      <c r="G244" s="515" t="str">
        <f t="shared" ca="1" si="48"/>
        <v>-</v>
      </c>
      <c r="H244" s="515" t="str">
        <f t="shared" ca="1" si="48"/>
        <v>-</v>
      </c>
      <c r="I244" s="518">
        <f t="shared" ca="1" si="44"/>
        <v>1</v>
      </c>
      <c r="K244" s="495">
        <f ca="1">IF(M243&lt;&gt;M244,1,IF(L243=OFFSET(NameConv!$F$45,0,M243),K243+1,K243))</f>
        <v>4</v>
      </c>
      <c r="L244" s="495">
        <f t="shared" ca="1" si="47"/>
        <v>10</v>
      </c>
      <c r="M244" s="526">
        <f ca="1">IF(AND(K243=$K$7,L243=SUMIF(NameConv!$G$4:$M$4,MID(C243,2,3),NameConv!$G$45:$M$45)),M243+1,M243)</f>
        <v>6</v>
      </c>
    </row>
    <row r="245" spans="1:13">
      <c r="A245" s="883" t="str">
        <f ca="1">IF(INDEX(Demand.Sectors,MATCH(MID(C245,2,3),NameConv!$G$4:$M$4,0)),"","*")</f>
        <v/>
      </c>
      <c r="B245" s="515" t="str">
        <f t="shared" ca="1" si="39"/>
        <v>TOP-IN</v>
      </c>
      <c r="C245" s="515" t="str">
        <f ca="1">"X"&amp;OFFSET(NameConv!$F$4,0,M245)&amp;OFFSET(NameConv!$F$59,L245,M245)</f>
        <v>XPWRGRM</v>
      </c>
      <c r="D245" s="515" t="str">
        <f t="shared" ca="1" si="45"/>
        <v>GRM</v>
      </c>
      <c r="E245" s="515" t="str">
        <f t="shared" ca="1" si="46"/>
        <v>-</v>
      </c>
      <c r="F245" s="515" t="str">
        <f t="shared" ca="1" si="48"/>
        <v>-</v>
      </c>
      <c r="G245" s="515" t="str">
        <f t="shared" ca="1" si="48"/>
        <v>-</v>
      </c>
      <c r="H245" s="515" t="str">
        <f t="shared" ca="1" si="48"/>
        <v>-</v>
      </c>
      <c r="I245" s="518">
        <f t="shared" ca="1" si="44"/>
        <v>1</v>
      </c>
      <c r="K245" s="495">
        <f ca="1">IF(M244&lt;&gt;M245,1,IF(L244=OFFSET(NameConv!$F$45,0,M244),K244+1,K244))</f>
        <v>4</v>
      </c>
      <c r="L245" s="495">
        <f t="shared" ca="1" si="47"/>
        <v>11</v>
      </c>
      <c r="M245" s="526">
        <f ca="1">IF(AND(K244=$K$7,L244=SUMIF(NameConv!$G$4:$M$4,MID(C244,2,3),NameConv!$G$45:$M$45)),M244+1,M244)</f>
        <v>6</v>
      </c>
    </row>
    <row r="246" spans="1:13">
      <c r="A246" s="883" t="str">
        <f ca="1">IF(INDEX(Demand.Sectors,MATCH(MID(C246,2,3),NameConv!$G$4:$M$4,0)),"","*")</f>
        <v/>
      </c>
      <c r="B246" s="515" t="str">
        <f t="shared" ca="1" si="39"/>
        <v>TOP-IN</v>
      </c>
      <c r="C246" s="515" t="str">
        <f ca="1">"X"&amp;OFFSET(NameConv!$F$4,0,M246)&amp;OFFSET(NameConv!$F$59,L246,M246)</f>
        <v>XPWRGIH</v>
      </c>
      <c r="D246" s="515" t="str">
        <f t="shared" ca="1" si="45"/>
        <v>GIH</v>
      </c>
      <c r="E246" s="515" t="str">
        <f t="shared" ca="1" si="46"/>
        <v>-</v>
      </c>
      <c r="F246" s="515" t="str">
        <f t="shared" ca="1" si="48"/>
        <v>-</v>
      </c>
      <c r="G246" s="515" t="str">
        <f t="shared" ca="1" si="48"/>
        <v>-</v>
      </c>
      <c r="H246" s="515" t="str">
        <f t="shared" ca="1" si="48"/>
        <v>-</v>
      </c>
      <c r="I246" s="518">
        <f t="shared" ca="1" si="44"/>
        <v>1</v>
      </c>
      <c r="K246" s="495">
        <f ca="1">IF(M245&lt;&gt;M246,1,IF(L245=OFFSET(NameConv!$F$45,0,M245),K245+1,K245))</f>
        <v>4</v>
      </c>
      <c r="L246" s="495">
        <f t="shared" ca="1" si="47"/>
        <v>12</v>
      </c>
      <c r="M246" s="526">
        <f ca="1">IF(AND(K245=$K$7,L245=SUMIF(NameConv!$G$4:$M$4,MID(C245,2,3),NameConv!$G$45:$M$45)),M245+1,M245)</f>
        <v>6</v>
      </c>
    </row>
    <row r="247" spans="1:13">
      <c r="A247" s="883" t="str">
        <f ca="1">IF(INDEX(Demand.Sectors,MATCH(MID(C247,2,3),NameConv!$G$4:$M$4,0)),"","*")</f>
        <v/>
      </c>
      <c r="B247" s="515" t="str">
        <f t="shared" ca="1" si="39"/>
        <v>TOP-IN</v>
      </c>
      <c r="C247" s="515" t="str">
        <f ca="1">"X"&amp;OFFSET(NameConv!$F$4,0,M247)&amp;OFFSET(NameConv!$F$59,L247,M247)</f>
        <v>XPWRGIC</v>
      </c>
      <c r="D247" s="515" t="str">
        <f t="shared" ca="1" si="45"/>
        <v>GIC</v>
      </c>
      <c r="E247" s="515" t="str">
        <f t="shared" ca="1" si="46"/>
        <v>-</v>
      </c>
      <c r="F247" s="515" t="str">
        <f t="shared" ca="1" si="48"/>
        <v>-</v>
      </c>
      <c r="G247" s="515" t="str">
        <f t="shared" ca="1" si="48"/>
        <v>-</v>
      </c>
      <c r="H247" s="515" t="str">
        <f t="shared" ca="1" si="48"/>
        <v>-</v>
      </c>
      <c r="I247" s="518">
        <f t="shared" ca="1" si="44"/>
        <v>1</v>
      </c>
      <c r="K247" s="495">
        <f ca="1">IF(M246&lt;&gt;M247,1,IF(L246=OFFSET(NameConv!$F$45,0,M246),K246+1,K246))</f>
        <v>4</v>
      </c>
      <c r="L247" s="495">
        <f t="shared" ca="1" si="47"/>
        <v>13</v>
      </c>
      <c r="M247" s="526">
        <f ca="1">IF(AND(K246=$K$7,L246=SUMIF(NameConv!$G$4:$M$4,MID(C246,2,3),NameConv!$G$45:$M$45)),M246+1,M246)</f>
        <v>6</v>
      </c>
    </row>
    <row r="248" spans="1:13">
      <c r="A248" s="883" t="str">
        <f ca="1">IF(INDEX(Demand.Sectors,MATCH(MID(C248,2,3),NameConv!$G$4:$M$4,0)),"","*")</f>
        <v/>
      </c>
      <c r="B248" s="515" t="str">
        <f t="shared" ca="1" si="39"/>
        <v>TOP-IN</v>
      </c>
      <c r="C248" s="515" t="str">
        <f ca="1">"X"&amp;OFFSET(NameConv!$F$4,0,M248)&amp;OFFSET(NameConv!$F$59,L248,M248)</f>
        <v>XPWRHYD</v>
      </c>
      <c r="D248" s="515" t="str">
        <f t="shared" ca="1" si="45"/>
        <v>HYD</v>
      </c>
      <c r="E248" s="515" t="str">
        <f t="shared" ca="1" si="46"/>
        <v>-</v>
      </c>
      <c r="F248" s="515" t="str">
        <f t="shared" ca="1" si="48"/>
        <v>-</v>
      </c>
      <c r="G248" s="515" t="str">
        <f t="shared" ca="1" si="48"/>
        <v>-</v>
      </c>
      <c r="H248" s="515" t="str">
        <f t="shared" ca="1" si="48"/>
        <v>-</v>
      </c>
      <c r="I248" s="518">
        <f t="shared" ca="1" si="44"/>
        <v>1</v>
      </c>
      <c r="K248" s="495">
        <f ca="1">IF(M247&lt;&gt;M248,1,IF(L247=OFFSET(NameConv!$F$45,0,M247),K247+1,K247))</f>
        <v>4</v>
      </c>
      <c r="L248" s="495">
        <f t="shared" ca="1" si="47"/>
        <v>14</v>
      </c>
      <c r="M248" s="526">
        <f ca="1">IF(AND(K247=$K$7,L247=SUMIF(NameConv!$G$4:$M$4,MID(C247,2,3),NameConv!$G$45:$M$45)),M247+1,M247)</f>
        <v>6</v>
      </c>
    </row>
    <row r="249" spans="1:13">
      <c r="A249" s="883" t="str">
        <f ca="1">IF(INDEX(Demand.Sectors,MATCH(MID(C249,2,3),NameConv!$G$4:$M$4,0)),"","*")</f>
        <v/>
      </c>
      <c r="B249" s="515" t="str">
        <f t="shared" ca="1" si="39"/>
        <v>TOP-IN</v>
      </c>
      <c r="C249" s="515" t="str">
        <f ca="1">"X"&amp;OFFSET(NameConv!$F$4,0,M249)&amp;OFFSET(NameConv!$F$59,L249,M249)</f>
        <v>XPWRHGN</v>
      </c>
      <c r="D249" s="515" t="str">
        <f t="shared" ca="1" si="45"/>
        <v>HGN</v>
      </c>
      <c r="E249" s="515" t="str">
        <f t="shared" ca="1" si="46"/>
        <v>-</v>
      </c>
      <c r="F249" s="515" t="str">
        <f t="shared" ca="1" si="48"/>
        <v>-</v>
      </c>
      <c r="G249" s="515" t="str">
        <f t="shared" ca="1" si="48"/>
        <v>-</v>
      </c>
      <c r="H249" s="515" t="str">
        <f t="shared" ca="1" si="48"/>
        <v>-</v>
      </c>
      <c r="I249" s="518">
        <f t="shared" ca="1" si="44"/>
        <v>1</v>
      </c>
      <c r="K249" s="495">
        <f ca="1">IF(M248&lt;&gt;M249,1,IF(L248=OFFSET(NameConv!$F$45,0,M248),K248+1,K248))</f>
        <v>4</v>
      </c>
      <c r="L249" s="495">
        <f t="shared" ca="1" si="47"/>
        <v>15</v>
      </c>
      <c r="M249" s="526">
        <f ca="1">IF(AND(K248=$K$7,L248=SUMIF(NameConv!$G$4:$M$4,MID(C248,2,3),NameConv!$G$45:$M$45)),M248+1,M248)</f>
        <v>6</v>
      </c>
    </row>
    <row r="250" spans="1:13">
      <c r="A250" s="883" t="str">
        <f ca="1">IF(INDEX(Demand.Sectors,MATCH(MID(C250,2,3),NameConv!$G$4:$M$4,0)),"","*")</f>
        <v/>
      </c>
      <c r="B250" s="515" t="str">
        <f t="shared" ca="1" si="39"/>
        <v>TOP-IN</v>
      </c>
      <c r="C250" s="515" t="str">
        <f ca="1">"X"&amp;OFFSET(NameConv!$F$4,0,M250)&amp;OFFSET(NameConv!$F$59,L250,M250)</f>
        <v>XPWRNUC</v>
      </c>
      <c r="D250" s="515" t="str">
        <f t="shared" ca="1" si="45"/>
        <v>NUC</v>
      </c>
      <c r="E250" s="515" t="str">
        <f t="shared" ca="1" si="46"/>
        <v>-</v>
      </c>
      <c r="F250" s="515" t="str">
        <f t="shared" ca="1" si="48"/>
        <v>-</v>
      </c>
      <c r="G250" s="515" t="str">
        <f t="shared" ca="1" si="48"/>
        <v>-</v>
      </c>
      <c r="H250" s="515" t="str">
        <f t="shared" ca="1" si="48"/>
        <v>-</v>
      </c>
      <c r="I250" s="518">
        <f t="shared" ca="1" si="44"/>
        <v>1</v>
      </c>
      <c r="K250" s="495">
        <f ca="1">IF(M249&lt;&gt;M250,1,IF(L249=OFFSET(NameConv!$F$45,0,M249),K249+1,K249))</f>
        <v>4</v>
      </c>
      <c r="L250" s="495">
        <f t="shared" ca="1" si="47"/>
        <v>16</v>
      </c>
      <c r="M250" s="526">
        <f ca="1">IF(AND(K249=$K$7,L249=SUMIF(NameConv!$G$4:$M$4,MID(C249,2,3),NameConv!$G$45:$M$45)),M249+1,M249)</f>
        <v>6</v>
      </c>
    </row>
    <row r="251" spans="1:13">
      <c r="A251" s="883" t="str">
        <f ca="1">IF(INDEX(Demand.Sectors,MATCH(MID(C251,2,3),NameConv!$G$4:$M$4,0)),"","*")</f>
        <v/>
      </c>
      <c r="B251" s="515" t="str">
        <f t="shared" ca="1" si="39"/>
        <v>TOP-IN</v>
      </c>
      <c r="C251" s="515" t="str">
        <f ca="1">"X"&amp;OFFSET(NameConv!$F$4,0,M251)&amp;OFFSET(NameConv!$F$59,L251,M251)</f>
        <v>XPWRODS</v>
      </c>
      <c r="D251" s="515" t="str">
        <f t="shared" ca="1" si="45"/>
        <v>ODS</v>
      </c>
      <c r="E251" s="515" t="str">
        <f t="shared" ca="1" si="46"/>
        <v>-</v>
      </c>
      <c r="F251" s="515" t="str">
        <f t="shared" ca="1" si="48"/>
        <v>-</v>
      </c>
      <c r="G251" s="515" t="str">
        <f t="shared" ca="1" si="48"/>
        <v>-</v>
      </c>
      <c r="H251" s="515" t="str">
        <f t="shared" ca="1" si="48"/>
        <v>-</v>
      </c>
      <c r="I251" s="518">
        <f t="shared" ca="1" si="44"/>
        <v>1</v>
      </c>
      <c r="K251" s="495">
        <f ca="1">IF(M250&lt;&gt;M251,1,IF(L250=OFFSET(NameConv!$F$45,0,M250),K250+1,K250))</f>
        <v>4</v>
      </c>
      <c r="L251" s="495">
        <f t="shared" ca="1" si="47"/>
        <v>17</v>
      </c>
      <c r="M251" s="526">
        <f ca="1">IF(AND(K250=$K$7,L250=SUMIF(NameConv!$G$4:$M$4,MID(C250,2,3),NameConv!$G$45:$M$45)),M250+1,M250)</f>
        <v>6</v>
      </c>
    </row>
    <row r="252" spans="1:13">
      <c r="A252" s="883" t="str">
        <f ca="1">IF(INDEX(Demand.Sectors,MATCH(MID(C252,2,3),NameConv!$G$4:$M$4,0)),"","*")</f>
        <v/>
      </c>
      <c r="B252" s="515" t="str">
        <f t="shared" ca="1" si="39"/>
        <v>TOP-IN</v>
      </c>
      <c r="C252" s="515" t="str">
        <f ca="1">"X"&amp;OFFSET(NameConv!$F$4,0,M252)&amp;OFFSET(NameConv!$F$59,L252,M252)</f>
        <v>XPWRSOL</v>
      </c>
      <c r="D252" s="515" t="str">
        <f t="shared" ca="1" si="45"/>
        <v>SOL</v>
      </c>
      <c r="E252" s="515" t="str">
        <f t="shared" ca="1" si="46"/>
        <v>-</v>
      </c>
      <c r="F252" s="515" t="str">
        <f t="shared" ca="1" si="48"/>
        <v>-</v>
      </c>
      <c r="G252" s="515" t="str">
        <f t="shared" ca="1" si="48"/>
        <v>-</v>
      </c>
      <c r="H252" s="515" t="str">
        <f t="shared" ca="1" si="48"/>
        <v>-</v>
      </c>
      <c r="I252" s="518">
        <f t="shared" ca="1" si="44"/>
        <v>1</v>
      </c>
      <c r="K252" s="495">
        <f ca="1">IF(M251&lt;&gt;M252,1,IF(L251=OFFSET(NameConv!$F$45,0,M251),K251+1,K251))</f>
        <v>4</v>
      </c>
      <c r="L252" s="495">
        <f t="shared" ca="1" si="47"/>
        <v>18</v>
      </c>
      <c r="M252" s="526">
        <f ca="1">IF(AND(K251=$K$7,L251=SUMIF(NameConv!$G$4:$M$4,MID(C251,2,3),NameConv!$G$45:$M$45)),M251+1,M251)</f>
        <v>6</v>
      </c>
    </row>
    <row r="253" spans="1:13">
      <c r="A253" s="883" t="str">
        <f ca="1">IF(INDEX(Demand.Sectors,MATCH(MID(C253,2,3),NameConv!$G$4:$M$4,0)),"","*")</f>
        <v/>
      </c>
      <c r="B253" s="515" t="str">
        <f t="shared" ca="1" si="39"/>
        <v>TOP-IN</v>
      </c>
      <c r="C253" s="515" t="str">
        <f ca="1">"X"&amp;OFFSET(NameConv!$F$4,0,M253)&amp;OFFSET(NameConv!$F$59,L253,M253)</f>
        <v>XPWRWND</v>
      </c>
      <c r="D253" s="515" t="str">
        <f t="shared" ca="1" si="45"/>
        <v>WND</v>
      </c>
      <c r="E253" s="515" t="str">
        <f t="shared" ca="1" si="46"/>
        <v>-</v>
      </c>
      <c r="F253" s="515" t="str">
        <f t="shared" ca="1" si="48"/>
        <v>-</v>
      </c>
      <c r="G253" s="515" t="str">
        <f t="shared" ca="1" si="48"/>
        <v>-</v>
      </c>
      <c r="H253" s="515" t="str">
        <f t="shared" ca="1" si="48"/>
        <v>-</v>
      </c>
      <c r="I253" s="518">
        <f t="shared" ca="1" si="44"/>
        <v>1</v>
      </c>
      <c r="K253" s="495">
        <f ca="1">IF(M252&lt;&gt;M253,1,IF(L252=OFFSET(NameConv!$F$45,0,M252),K252+1,K252))</f>
        <v>4</v>
      </c>
      <c r="L253" s="495">
        <f t="shared" ca="1" si="47"/>
        <v>19</v>
      </c>
      <c r="M253" s="526">
        <f ca="1">IF(AND(K252=$K$7,L252=SUMIF(NameConv!$G$4:$M$4,MID(C252,2,3),NameConv!$G$45:$M$45)),M252+1,M252)</f>
        <v>6</v>
      </c>
    </row>
    <row r="254" spans="1:13">
      <c r="A254" s="883" t="str">
        <f ca="1">IF(INDEX(Demand.Sectors,MATCH(MID(C254,2,3),NameConv!$G$4:$M$4,0)),"","*")</f>
        <v/>
      </c>
      <c r="B254" s="515" t="str">
        <f t="shared" ca="1" si="39"/>
        <v>PRC_ACTUNT</v>
      </c>
      <c r="C254" s="515" t="str">
        <f ca="1">"X"&amp;OFFSET(NameConv!$F$4,0,M254)&amp;OFFSET(NameConv!$F$59,L254,M254)</f>
        <v>XUPSBIE</v>
      </c>
      <c r="D254" s="515" t="str">
        <f t="shared" ca="1" si="45"/>
        <v>-</v>
      </c>
      <c r="E254" s="515" t="str">
        <f t="shared" ca="1" si="46"/>
        <v>UPSBIE</v>
      </c>
      <c r="F254" s="515" t="str">
        <f t="shared" ca="1" si="48"/>
        <v>-</v>
      </c>
      <c r="G254" s="515" t="str">
        <f t="shared" ca="1" si="48"/>
        <v>-</v>
      </c>
      <c r="H254" s="515" t="str">
        <f t="shared" ca="1" si="48"/>
        <v>-</v>
      </c>
      <c r="I254" s="518">
        <f t="shared" ca="1" si="44"/>
        <v>1</v>
      </c>
      <c r="K254" s="495">
        <f ca="1">IF(M253&lt;&gt;M254,1,IF(L253=OFFSET(NameConv!$F$45,0,M253),K253+1,K253))</f>
        <v>1</v>
      </c>
      <c r="L254" s="495">
        <f t="shared" ca="1" si="47"/>
        <v>1</v>
      </c>
      <c r="M254" s="526">
        <f ca="1">IF(AND(K253=$K$7,L253=SUMIF(NameConv!$G$4:$M$4,MID(C253,2,3),NameConv!$G$45:$M$45)),M253+1,M253)</f>
        <v>7</v>
      </c>
    </row>
    <row r="255" spans="1:13">
      <c r="A255" s="883" t="str">
        <f ca="1">IF(INDEX(Demand.Sectors,MATCH(MID(C255,2,3),NameConv!$G$4:$M$4,0)),"","*")</f>
        <v/>
      </c>
      <c r="B255" s="515" t="str">
        <f t="shared" ca="1" si="39"/>
        <v>PRC_ACTUNT</v>
      </c>
      <c r="C255" s="515" t="str">
        <f ca="1">"X"&amp;OFFSET(NameConv!$F$4,0,M255)&amp;OFFSET(NameConv!$F$59,L255,M255)</f>
        <v>XUPSBID</v>
      </c>
      <c r="D255" s="515" t="str">
        <f t="shared" ca="1" si="45"/>
        <v>-</v>
      </c>
      <c r="E255" s="515" t="str">
        <f t="shared" ca="1" si="46"/>
        <v>UPSBID</v>
      </c>
      <c r="F255" s="515" t="str">
        <f t="shared" ca="1" si="48"/>
        <v>-</v>
      </c>
      <c r="G255" s="515" t="str">
        <f t="shared" ca="1" si="48"/>
        <v>-</v>
      </c>
      <c r="H255" s="515" t="str">
        <f t="shared" ca="1" si="48"/>
        <v>-</v>
      </c>
      <c r="I255" s="518">
        <f t="shared" ca="1" si="44"/>
        <v>1</v>
      </c>
      <c r="K255" s="495">
        <f ca="1">IF(M254&lt;&gt;M255,1,IF(L254=OFFSET(NameConv!$F$45,0,M254),K254+1,K254))</f>
        <v>1</v>
      </c>
      <c r="L255" s="495">
        <f t="shared" ca="1" si="47"/>
        <v>2</v>
      </c>
      <c r="M255" s="526">
        <f ca="1">IF(AND(K254=$K$7,L254=SUMIF(NameConv!$G$4:$M$4,MID(C254,2,3),NameConv!$G$45:$M$45)),M254+1,M254)</f>
        <v>7</v>
      </c>
    </row>
    <row r="256" spans="1:13">
      <c r="A256" s="883" t="str">
        <f ca="1">IF(INDEX(Demand.Sectors,MATCH(MID(C256,2,3),NameConv!$G$4:$M$4,0)),"","*")</f>
        <v/>
      </c>
      <c r="B256" s="515" t="str">
        <f t="shared" ca="1" si="39"/>
        <v>PRC_ACTUNT</v>
      </c>
      <c r="C256" s="515" t="str">
        <f ca="1">"X"&amp;OFFSET(NameConv!$F$4,0,M256)&amp;OFFSET(NameConv!$F$59,L256,M256)</f>
        <v>XUPSCLE</v>
      </c>
      <c r="D256" s="515" t="str">
        <f t="shared" ca="1" si="45"/>
        <v>-</v>
      </c>
      <c r="E256" s="515" t="str">
        <f t="shared" ca="1" si="46"/>
        <v>UPSCLE</v>
      </c>
      <c r="F256" s="515" t="str">
        <f t="shared" ca="1" si="48"/>
        <v>-</v>
      </c>
      <c r="G256" s="515" t="str">
        <f t="shared" ca="1" si="48"/>
        <v>-</v>
      </c>
      <c r="H256" s="515" t="str">
        <f t="shared" ca="1" si="48"/>
        <v>-</v>
      </c>
      <c r="I256" s="518">
        <f t="shared" ca="1" si="44"/>
        <v>1</v>
      </c>
      <c r="K256" s="495">
        <f ca="1">IF(M255&lt;&gt;M256,1,IF(L255=OFFSET(NameConv!$F$45,0,M255),K255+1,K255))</f>
        <v>1</v>
      </c>
      <c r="L256" s="495">
        <f t="shared" ca="1" si="47"/>
        <v>3</v>
      </c>
      <c r="M256" s="526">
        <f ca="1">IF(AND(K255=$K$7,L255=SUMIF(NameConv!$G$4:$M$4,MID(C255,2,3),NameConv!$G$45:$M$45)),M255+1,M255)</f>
        <v>7</v>
      </c>
    </row>
    <row r="257" spans="1:13">
      <c r="A257" s="883" t="str">
        <f ca="1">IF(INDEX(Demand.Sectors,MATCH(MID(C257,2,3),NameConv!$G$4:$M$4,0)),"","*")</f>
        <v/>
      </c>
      <c r="B257" s="515" t="str">
        <f t="shared" ca="1" si="39"/>
        <v>PRC_ACTUNT</v>
      </c>
      <c r="C257" s="515" t="str">
        <f ca="1">"X"&amp;OFFSET(NameConv!$F$4,0,M257)&amp;OFFSET(NameConv!$F$59,L257,M257)</f>
        <v>XUPSELC</v>
      </c>
      <c r="D257" s="515" t="str">
        <f t="shared" ca="1" si="45"/>
        <v>-</v>
      </c>
      <c r="E257" s="515" t="str">
        <f t="shared" ca="1" si="46"/>
        <v>UPSELC</v>
      </c>
      <c r="F257" s="515" t="str">
        <f t="shared" ca="1" si="48"/>
        <v>-</v>
      </c>
      <c r="G257" s="515" t="str">
        <f t="shared" ca="1" si="48"/>
        <v>-</v>
      </c>
      <c r="H257" s="515" t="str">
        <f t="shared" ca="1" si="48"/>
        <v>-</v>
      </c>
      <c r="I257" s="518">
        <f t="shared" ca="1" si="44"/>
        <v>1</v>
      </c>
      <c r="K257" s="495">
        <f ca="1">IF(M256&lt;&gt;M257,1,IF(L256=OFFSET(NameConv!$F$45,0,M256),K256+1,K256))</f>
        <v>1</v>
      </c>
      <c r="L257" s="495">
        <f t="shared" ca="1" si="47"/>
        <v>4</v>
      </c>
      <c r="M257" s="526">
        <f ca="1">IF(AND(K256=$K$7,L256=SUMIF(NameConv!$G$4:$M$4,MID(C256,2,3),NameConv!$G$45:$M$45)),M256+1,M256)</f>
        <v>7</v>
      </c>
    </row>
    <row r="258" spans="1:13">
      <c r="A258" s="883" t="str">
        <f ca="1">IF(INDEX(Demand.Sectors,MATCH(MID(C258,2,3),NameConv!$G$4:$M$4,0)),"","*")</f>
        <v/>
      </c>
      <c r="B258" s="515" t="str">
        <f t="shared" ca="1" si="39"/>
        <v>PRC_ACTUNT</v>
      </c>
      <c r="C258" s="515" t="str">
        <f ca="1">"X"&amp;OFFSET(NameConv!$F$4,0,M258)&amp;OFFSET(NameConv!$F$59,L258,M258)</f>
        <v>XUPSGAS</v>
      </c>
      <c r="D258" s="515" t="str">
        <f t="shared" ca="1" si="45"/>
        <v>-</v>
      </c>
      <c r="E258" s="515" t="str">
        <f t="shared" ca="1" si="46"/>
        <v>UPSGAS</v>
      </c>
      <c r="F258" s="515" t="str">
        <f t="shared" ca="1" si="48"/>
        <v>-</v>
      </c>
      <c r="G258" s="515" t="str">
        <f t="shared" ca="1" si="48"/>
        <v>-</v>
      </c>
      <c r="H258" s="515" t="str">
        <f t="shared" ca="1" si="48"/>
        <v>-</v>
      </c>
      <c r="I258" s="518">
        <f t="shared" ca="1" si="44"/>
        <v>1</v>
      </c>
      <c r="K258" s="495">
        <f ca="1">IF(M257&lt;&gt;M258,1,IF(L257=OFFSET(NameConv!$F$45,0,M257),K257+1,K257))</f>
        <v>1</v>
      </c>
      <c r="L258" s="495">
        <f t="shared" ca="1" si="47"/>
        <v>5</v>
      </c>
      <c r="M258" s="526">
        <f ca="1">IF(AND(K257=$K$7,L257=SUMIF(NameConv!$G$4:$M$4,MID(C257,2,3),NameConv!$G$45:$M$45)),M257+1,M257)</f>
        <v>7</v>
      </c>
    </row>
    <row r="259" spans="1:13">
      <c r="A259" s="883" t="str">
        <f ca="1">IF(INDEX(Demand.Sectors,MATCH(MID(C259,2,3),NameConv!$G$4:$M$4,0)),"","*")</f>
        <v/>
      </c>
      <c r="B259" s="515" t="str">
        <f t="shared" ca="1" si="39"/>
        <v>PRC_ACTUNT</v>
      </c>
      <c r="C259" s="515" t="str">
        <f ca="1">"X"&amp;OFFSET(NameConv!$F$4,0,M259)&amp;OFFSET(NameConv!$F$59,L259,M259)</f>
        <v>XUPSGIC</v>
      </c>
      <c r="D259" s="515" t="str">
        <f t="shared" ca="1" si="45"/>
        <v>-</v>
      </c>
      <c r="E259" s="515" t="str">
        <f t="shared" ca="1" si="46"/>
        <v>UPSGIC</v>
      </c>
      <c r="F259" s="515" t="str">
        <f t="shared" ca="1" si="48"/>
        <v>-</v>
      </c>
      <c r="G259" s="515" t="str">
        <f t="shared" ca="1" si="48"/>
        <v>-</v>
      </c>
      <c r="H259" s="515" t="str">
        <f t="shared" ca="1" si="48"/>
        <v>-</v>
      </c>
      <c r="I259" s="518">
        <f t="shared" ca="1" si="44"/>
        <v>1</v>
      </c>
      <c r="K259" s="495">
        <f ca="1">IF(M258&lt;&gt;M259,1,IF(L258=OFFSET(NameConv!$F$45,0,M258),K258+1,K258))</f>
        <v>1</v>
      </c>
      <c r="L259" s="495">
        <f t="shared" ca="1" si="47"/>
        <v>6</v>
      </c>
      <c r="M259" s="526">
        <f ca="1">IF(AND(K258=$K$7,L258=SUMIF(NameConv!$G$4:$M$4,MID(C258,2,3),NameConv!$G$45:$M$45)),M258+1,M258)</f>
        <v>7</v>
      </c>
    </row>
    <row r="260" spans="1:13">
      <c r="A260" s="883" t="str">
        <f ca="1">IF(INDEX(Demand.Sectors,MATCH(MID(C260,2,3),NameConv!$G$4:$M$4,0)),"","*")</f>
        <v/>
      </c>
      <c r="B260" s="515" t="str">
        <f t="shared" ca="1" si="39"/>
        <v>PRC_ACTUNT</v>
      </c>
      <c r="C260" s="515" t="str">
        <f ca="1">"X"&amp;OFFSET(NameConv!$F$4,0,M260)&amp;OFFSET(NameConv!$F$59,L260,M260)</f>
        <v>XUPSHEE</v>
      </c>
      <c r="D260" s="515" t="str">
        <f t="shared" ca="1" si="45"/>
        <v>-</v>
      </c>
      <c r="E260" s="515" t="str">
        <f t="shared" ca="1" si="46"/>
        <v>UPSHEE</v>
      </c>
      <c r="F260" s="515" t="str">
        <f t="shared" ca="1" si="48"/>
        <v>-</v>
      </c>
      <c r="G260" s="515" t="str">
        <f t="shared" ca="1" si="48"/>
        <v>-</v>
      </c>
      <c r="H260" s="515" t="str">
        <f t="shared" ca="1" si="48"/>
        <v>-</v>
      </c>
      <c r="I260" s="518">
        <f t="shared" ca="1" si="44"/>
        <v>1</v>
      </c>
      <c r="K260" s="495">
        <f ca="1">IF(M259&lt;&gt;M260,1,IF(L259=OFFSET(NameConv!$F$45,0,M259),K259+1,K259))</f>
        <v>1</v>
      </c>
      <c r="L260" s="495">
        <f t="shared" ca="1" si="47"/>
        <v>7</v>
      </c>
      <c r="M260" s="526">
        <f ca="1">IF(AND(K259=$K$7,L259=SUMIF(NameConv!$G$4:$M$4,MID(C259,2,3),NameConv!$G$45:$M$45)),M259+1,M259)</f>
        <v>7</v>
      </c>
    </row>
    <row r="261" spans="1:13">
      <c r="A261" s="883" t="str">
        <f ca="1">IF(INDEX(Demand.Sectors,MATCH(MID(C261,2,3),NameConv!$G$4:$M$4,0)),"","*")</f>
        <v/>
      </c>
      <c r="B261" s="515" t="str">
        <f t="shared" ca="1" si="39"/>
        <v>PRC_ACTUNT</v>
      </c>
      <c r="C261" s="515" t="str">
        <f ca="1">"X"&amp;OFFSET(NameConv!$F$4,0,M261)&amp;OFFSET(NameConv!$F$59,L261,M261)</f>
        <v>XUPSHEN</v>
      </c>
      <c r="D261" s="515" t="str">
        <f t="shared" ca="1" si="45"/>
        <v>-</v>
      </c>
      <c r="E261" s="515" t="str">
        <f t="shared" ca="1" si="46"/>
        <v>UPSHEN</v>
      </c>
      <c r="F261" s="515" t="str">
        <f t="shared" ca="1" si="48"/>
        <v>-</v>
      </c>
      <c r="G261" s="515" t="str">
        <f t="shared" ca="1" si="48"/>
        <v>-</v>
      </c>
      <c r="H261" s="515" t="str">
        <f t="shared" ca="1" si="48"/>
        <v>-</v>
      </c>
      <c r="I261" s="518">
        <f t="shared" ca="1" si="44"/>
        <v>1</v>
      </c>
      <c r="K261" s="495">
        <f ca="1">IF(M260&lt;&gt;M261,1,IF(L260=OFFSET(NameConv!$F$45,0,M260),K260+1,K260))</f>
        <v>1</v>
      </c>
      <c r="L261" s="495">
        <f t="shared" ca="1" si="47"/>
        <v>8</v>
      </c>
      <c r="M261" s="526">
        <f ca="1">IF(AND(K260=$K$7,L260=SUMIF(NameConv!$G$4:$M$4,MID(C260,2,3),NameConv!$G$45:$M$45)),M260+1,M260)</f>
        <v>7</v>
      </c>
    </row>
    <row r="262" spans="1:13">
      <c r="A262" s="883" t="str">
        <f ca="1">IF(INDEX(Demand.Sectors,MATCH(MID(C262,2,3),NameConv!$G$4:$M$4,0)),"","*")</f>
        <v/>
      </c>
      <c r="B262" s="515" t="str">
        <f t="shared" ca="1" si="39"/>
        <v>PRC_ACTUNT</v>
      </c>
      <c r="C262" s="515" t="str">
        <f ca="1">"X"&amp;OFFSET(NameConv!$F$4,0,M262)&amp;OFFSET(NameConv!$F$59,L262,M262)</f>
        <v>XUPSHGN</v>
      </c>
      <c r="D262" s="515" t="str">
        <f t="shared" ca="1" si="45"/>
        <v>-</v>
      </c>
      <c r="E262" s="515" t="str">
        <f t="shared" ca="1" si="46"/>
        <v>UPSHGN</v>
      </c>
      <c r="F262" s="515" t="str">
        <f t="shared" ca="1" si="48"/>
        <v>-</v>
      </c>
      <c r="G262" s="515" t="str">
        <f t="shared" ca="1" si="48"/>
        <v>-</v>
      </c>
      <c r="H262" s="515" t="str">
        <f t="shared" ca="1" si="48"/>
        <v>-</v>
      </c>
      <c r="I262" s="518">
        <f t="shared" ca="1" si="44"/>
        <v>1</v>
      </c>
      <c r="K262" s="495">
        <f ca="1">IF(M261&lt;&gt;M262,1,IF(L261=OFFSET(NameConv!$F$45,0,M261),K261+1,K261))</f>
        <v>1</v>
      </c>
      <c r="L262" s="495">
        <f t="shared" ca="1" si="47"/>
        <v>9</v>
      </c>
      <c r="M262" s="526">
        <f ca="1">IF(AND(K261=$K$7,L261=SUMIF(NameConv!$G$4:$M$4,MID(C261,2,3),NameConv!$G$45:$M$45)),M261+1,M261)</f>
        <v>7</v>
      </c>
    </row>
    <row r="263" spans="1:13">
      <c r="A263" s="883" t="str">
        <f ca="1">IF(INDEX(Demand.Sectors,MATCH(MID(C263,2,3),NameConv!$G$4:$M$4,0)),"","*")</f>
        <v/>
      </c>
      <c r="B263" s="515" t="str">
        <f t="shared" ca="1" si="39"/>
        <v>PRC_ACTUNT</v>
      </c>
      <c r="C263" s="515" t="str">
        <f ca="1">"X"&amp;OFFSET(NameConv!$F$4,0,M263)&amp;OFFSET(NameConv!$F$59,L263,M263)</f>
        <v>XUPSOCR</v>
      </c>
      <c r="D263" s="515" t="str">
        <f t="shared" ca="1" si="45"/>
        <v>-</v>
      </c>
      <c r="E263" s="515" t="str">
        <f t="shared" ca="1" si="46"/>
        <v>UPSOCR</v>
      </c>
      <c r="F263" s="515" t="str">
        <f t="shared" ca="1" si="48"/>
        <v>-</v>
      </c>
      <c r="G263" s="515" t="str">
        <f t="shared" ca="1" si="48"/>
        <v>-</v>
      </c>
      <c r="H263" s="515" t="str">
        <f t="shared" ca="1" si="48"/>
        <v>-</v>
      </c>
      <c r="I263" s="518">
        <f t="shared" ca="1" si="44"/>
        <v>1</v>
      </c>
      <c r="K263" s="495">
        <f ca="1">IF(M262&lt;&gt;M263,1,IF(L262=OFFSET(NameConv!$F$45,0,M262),K262+1,K262))</f>
        <v>1</v>
      </c>
      <c r="L263" s="495">
        <f t="shared" ca="1" si="47"/>
        <v>10</v>
      </c>
      <c r="M263" s="526">
        <f ca="1">IF(AND(K262=$K$7,L262=SUMIF(NameConv!$G$4:$M$4,MID(C262,2,3),NameConv!$G$45:$M$45)),M262+1,M262)</f>
        <v>7</v>
      </c>
    </row>
    <row r="264" spans="1:13">
      <c r="A264" s="883" t="str">
        <f ca="1">IF(INDEX(Demand.Sectors,MATCH(MID(C264,2,3),NameConv!$G$4:$M$4,0)),"","*")</f>
        <v/>
      </c>
      <c r="B264" s="515" t="str">
        <f t="shared" ca="1" si="39"/>
        <v>PRC_ACTUNT</v>
      </c>
      <c r="C264" s="515" t="str">
        <f ca="1">"X"&amp;OFFSET(NameConv!$F$4,0,M264)&amp;OFFSET(NameConv!$F$59,L264,M264)</f>
        <v>XUPSOHF</v>
      </c>
      <c r="D264" s="515" t="str">
        <f t="shared" ca="1" si="45"/>
        <v>-</v>
      </c>
      <c r="E264" s="515" t="str">
        <f t="shared" ca="1" si="46"/>
        <v>UPSOHF</v>
      </c>
      <c r="F264" s="515" t="str">
        <f t="shared" ca="1" si="48"/>
        <v>-</v>
      </c>
      <c r="G264" s="515" t="str">
        <f t="shared" ca="1" si="48"/>
        <v>-</v>
      </c>
      <c r="H264" s="515" t="str">
        <f t="shared" ca="1" si="48"/>
        <v>-</v>
      </c>
      <c r="I264" s="518">
        <f t="shared" ca="1" si="44"/>
        <v>1</v>
      </c>
      <c r="K264" s="495">
        <f ca="1">IF(M263&lt;&gt;M264,1,IF(L263=OFFSET(NameConv!$F$45,0,M263),K263+1,K263))</f>
        <v>1</v>
      </c>
      <c r="L264" s="495">
        <f t="shared" ca="1" si="47"/>
        <v>11</v>
      </c>
      <c r="M264" s="526">
        <f ca="1">IF(AND(K263=$K$7,L263=SUMIF(NameConv!$G$4:$M$4,MID(C263,2,3),NameConv!$G$45:$M$45)),M263+1,M263)</f>
        <v>7</v>
      </c>
    </row>
    <row r="265" spans="1:13">
      <c r="A265" s="883" t="str">
        <f ca="1">IF(INDEX(Demand.Sectors,MATCH(MID(C265,2,3),NameConv!$G$4:$M$4,0)),"","*")</f>
        <v/>
      </c>
      <c r="B265" s="515" t="str">
        <f t="shared" ca="1" si="39"/>
        <v>PRC_CAPACT</v>
      </c>
      <c r="C265" s="515" t="str">
        <f ca="1">"X"&amp;OFFSET(NameConv!$F$4,0,M265)&amp;OFFSET(NameConv!$F$59,L265,M265)</f>
        <v>XUPSBIE</v>
      </c>
      <c r="D265" s="515" t="str">
        <f t="shared" ca="1" si="45"/>
        <v>-</v>
      </c>
      <c r="E265" s="515" t="str">
        <f t="shared" ca="1" si="46"/>
        <v>-</v>
      </c>
      <c r="F265" s="515" t="str">
        <f t="shared" ca="1" si="48"/>
        <v>-</v>
      </c>
      <c r="G265" s="515" t="str">
        <f t="shared" ca="1" si="48"/>
        <v>-</v>
      </c>
      <c r="H265" s="515" t="str">
        <f t="shared" ca="1" si="48"/>
        <v>-</v>
      </c>
      <c r="I265" s="518">
        <f t="shared" ca="1" si="44"/>
        <v>1</v>
      </c>
      <c r="K265" s="495">
        <f ca="1">IF(M264&lt;&gt;M265,1,IF(L264=OFFSET(NameConv!$F$45,0,M264),K264+1,K264))</f>
        <v>2</v>
      </c>
      <c r="L265" s="495">
        <f t="shared" ca="1" si="47"/>
        <v>1</v>
      </c>
      <c r="M265" s="526">
        <f ca="1">IF(AND(K264=$K$7,L264=SUMIF(NameConv!$G$4:$M$4,MID(C264,2,3),NameConv!$G$45:$M$45)),M264+1,M264)</f>
        <v>7</v>
      </c>
    </row>
    <row r="266" spans="1:13">
      <c r="A266" s="883" t="str">
        <f ca="1">IF(INDEX(Demand.Sectors,MATCH(MID(C266,2,3),NameConv!$G$4:$M$4,0)),"","*")</f>
        <v/>
      </c>
      <c r="B266" s="515" t="str">
        <f t="shared" ca="1" si="39"/>
        <v>PRC_CAPACT</v>
      </c>
      <c r="C266" s="515" t="str">
        <f ca="1">"X"&amp;OFFSET(NameConv!$F$4,0,M266)&amp;OFFSET(NameConv!$F$59,L266,M266)</f>
        <v>XUPSBID</v>
      </c>
      <c r="D266" s="515" t="str">
        <f t="shared" ca="1" si="45"/>
        <v>-</v>
      </c>
      <c r="E266" s="515" t="str">
        <f t="shared" ca="1" si="46"/>
        <v>-</v>
      </c>
      <c r="F266" s="515" t="str">
        <f t="shared" ca="1" si="48"/>
        <v>-</v>
      </c>
      <c r="G266" s="515" t="str">
        <f t="shared" ca="1" si="48"/>
        <v>-</v>
      </c>
      <c r="H266" s="515" t="str">
        <f t="shared" ca="1" si="48"/>
        <v>-</v>
      </c>
      <c r="I266" s="518">
        <f t="shared" ca="1" si="44"/>
        <v>1</v>
      </c>
      <c r="K266" s="495">
        <f ca="1">IF(M265&lt;&gt;M266,1,IF(L265=OFFSET(NameConv!$F$45,0,M265),K265+1,K265))</f>
        <v>2</v>
      </c>
      <c r="L266" s="495">
        <f t="shared" ca="1" si="47"/>
        <v>2</v>
      </c>
      <c r="M266" s="526">
        <f ca="1">IF(AND(K265=$K$7,L265=SUMIF(NameConv!$G$4:$M$4,MID(C265,2,3),NameConv!$G$45:$M$45)),M265+1,M265)</f>
        <v>7</v>
      </c>
    </row>
    <row r="267" spans="1:13">
      <c r="A267" s="883" t="str">
        <f ca="1">IF(INDEX(Demand.Sectors,MATCH(MID(C267,2,3),NameConv!$G$4:$M$4,0)),"","*")</f>
        <v/>
      </c>
      <c r="B267" s="515" t="str">
        <f t="shared" ca="1" si="39"/>
        <v>PRC_CAPACT</v>
      </c>
      <c r="C267" s="515" t="str">
        <f ca="1">"X"&amp;OFFSET(NameConv!$F$4,0,M267)&amp;OFFSET(NameConv!$F$59,L267,M267)</f>
        <v>XUPSCLE</v>
      </c>
      <c r="D267" s="515" t="str">
        <f t="shared" ca="1" si="45"/>
        <v>-</v>
      </c>
      <c r="E267" s="515" t="str">
        <f t="shared" ca="1" si="46"/>
        <v>-</v>
      </c>
      <c r="F267" s="515" t="str">
        <f t="shared" ca="1" si="48"/>
        <v>-</v>
      </c>
      <c r="G267" s="515" t="str">
        <f t="shared" ca="1" si="48"/>
        <v>-</v>
      </c>
      <c r="H267" s="515" t="str">
        <f t="shared" ca="1" si="48"/>
        <v>-</v>
      </c>
      <c r="I267" s="518">
        <f t="shared" ca="1" si="44"/>
        <v>1</v>
      </c>
      <c r="K267" s="495">
        <f ca="1">IF(M266&lt;&gt;M267,1,IF(L266=OFFSET(NameConv!$F$45,0,M266),K266+1,K266))</f>
        <v>2</v>
      </c>
      <c r="L267" s="495">
        <f t="shared" ca="1" si="47"/>
        <v>3</v>
      </c>
      <c r="M267" s="526">
        <f ca="1">IF(AND(K266=$K$7,L266=SUMIF(NameConv!$G$4:$M$4,MID(C266,2,3),NameConv!$G$45:$M$45)),M266+1,M266)</f>
        <v>7</v>
      </c>
    </row>
    <row r="268" spans="1:13">
      <c r="A268" s="883" t="str">
        <f ca="1">IF(INDEX(Demand.Sectors,MATCH(MID(C268,2,3),NameConv!$G$4:$M$4,0)),"","*")</f>
        <v/>
      </c>
      <c r="B268" s="515" t="str">
        <f t="shared" ca="1" si="39"/>
        <v>PRC_CAPACT</v>
      </c>
      <c r="C268" s="515" t="str">
        <f ca="1">"X"&amp;OFFSET(NameConv!$F$4,0,M268)&amp;OFFSET(NameConv!$F$59,L268,M268)</f>
        <v>XUPSELC</v>
      </c>
      <c r="D268" s="515" t="str">
        <f t="shared" ca="1" si="45"/>
        <v>-</v>
      </c>
      <c r="E268" s="515" t="str">
        <f t="shared" ca="1" si="46"/>
        <v>-</v>
      </c>
      <c r="F268" s="515" t="str">
        <f t="shared" ca="1" si="48"/>
        <v>-</v>
      </c>
      <c r="G268" s="515" t="str">
        <f t="shared" ca="1" si="48"/>
        <v>-</v>
      </c>
      <c r="H268" s="515" t="str">
        <f t="shared" ca="1" si="48"/>
        <v>-</v>
      </c>
      <c r="I268" s="518">
        <f t="shared" ca="1" si="44"/>
        <v>31.536000000000001</v>
      </c>
      <c r="K268" s="495">
        <f ca="1">IF(M267&lt;&gt;M268,1,IF(L267=OFFSET(NameConv!$F$45,0,M267),K267+1,K267))</f>
        <v>2</v>
      </c>
      <c r="L268" s="495">
        <f t="shared" ca="1" si="47"/>
        <v>4</v>
      </c>
      <c r="M268" s="526">
        <f ca="1">IF(AND(K267=$K$7,L267=SUMIF(NameConv!$G$4:$M$4,MID(C267,2,3),NameConv!$G$45:$M$45)),M267+1,M267)</f>
        <v>7</v>
      </c>
    </row>
    <row r="269" spans="1:13">
      <c r="A269" s="883" t="str">
        <f ca="1">IF(INDEX(Demand.Sectors,MATCH(MID(C269,2,3),NameConv!$G$4:$M$4,0)),"","*")</f>
        <v/>
      </c>
      <c r="B269" s="515" t="str">
        <f t="shared" ca="1" si="39"/>
        <v>PRC_CAPACT</v>
      </c>
      <c r="C269" s="515" t="str">
        <f ca="1">"X"&amp;OFFSET(NameConv!$F$4,0,M269)&amp;OFFSET(NameConv!$F$59,L269,M269)</f>
        <v>XUPSGAS</v>
      </c>
      <c r="D269" s="515" t="str">
        <f t="shared" ca="1" si="45"/>
        <v>-</v>
      </c>
      <c r="E269" s="515" t="str">
        <f t="shared" ca="1" si="46"/>
        <v>-</v>
      </c>
      <c r="F269" s="515" t="str">
        <f t="shared" ca="1" si="48"/>
        <v>-</v>
      </c>
      <c r="G269" s="515" t="str">
        <f t="shared" ca="1" si="48"/>
        <v>-</v>
      </c>
      <c r="H269" s="515" t="str">
        <f t="shared" ca="1" si="48"/>
        <v>-</v>
      </c>
      <c r="I269" s="518">
        <f t="shared" ca="1" si="44"/>
        <v>1</v>
      </c>
      <c r="K269" s="495">
        <f ca="1">IF(M268&lt;&gt;M269,1,IF(L268=OFFSET(NameConv!$F$45,0,M268),K268+1,K268))</f>
        <v>2</v>
      </c>
      <c r="L269" s="495">
        <f t="shared" ca="1" si="47"/>
        <v>5</v>
      </c>
      <c r="M269" s="526">
        <f ca="1">IF(AND(K268=$K$7,L268=SUMIF(NameConv!$G$4:$M$4,MID(C268,2,3),NameConv!$G$45:$M$45)),M268+1,M268)</f>
        <v>7</v>
      </c>
    </row>
    <row r="270" spans="1:13">
      <c r="A270" s="883" t="str">
        <f ca="1">IF(INDEX(Demand.Sectors,MATCH(MID(C270,2,3),NameConv!$G$4:$M$4,0)),"","*")</f>
        <v/>
      </c>
      <c r="B270" s="515" t="str">
        <f t="shared" ref="B270:B297" ca="1" si="49">IF(A270="*","",VLOOKUP("*"&amp;K270,$A$9:$B$14,2,FALSE))</f>
        <v>PRC_CAPACT</v>
      </c>
      <c r="C270" s="515" t="str">
        <f ca="1">"X"&amp;OFFSET(NameConv!$F$4,0,M270)&amp;OFFSET(NameConv!$F$59,L270,M270)</f>
        <v>XUPSGIC</v>
      </c>
      <c r="D270" s="515" t="str">
        <f t="shared" ca="1" si="45"/>
        <v>-</v>
      </c>
      <c r="E270" s="515" t="str">
        <f t="shared" ca="1" si="46"/>
        <v>-</v>
      </c>
      <c r="F270" s="515" t="str">
        <f t="shared" ca="1" si="48"/>
        <v>-</v>
      </c>
      <c r="G270" s="515" t="str">
        <f t="shared" ca="1" si="48"/>
        <v>-</v>
      </c>
      <c r="H270" s="515" t="str">
        <f t="shared" ca="1" si="48"/>
        <v>-</v>
      </c>
      <c r="I270" s="518">
        <f t="shared" ca="1" si="44"/>
        <v>1</v>
      </c>
      <c r="K270" s="495">
        <f ca="1">IF(M269&lt;&gt;M270,1,IF(L269=OFFSET(NameConv!$F$45,0,M269),K269+1,K269))</f>
        <v>2</v>
      </c>
      <c r="L270" s="495">
        <f t="shared" ca="1" si="47"/>
        <v>6</v>
      </c>
      <c r="M270" s="526">
        <f ca="1">IF(AND(K269=$K$7,L269=SUMIF(NameConv!$G$4:$M$4,MID(C269,2,3),NameConv!$G$45:$M$45)),M269+1,M269)</f>
        <v>7</v>
      </c>
    </row>
    <row r="271" spans="1:13">
      <c r="A271" s="883" t="str">
        <f ca="1">IF(INDEX(Demand.Sectors,MATCH(MID(C271,2,3),NameConv!$G$4:$M$4,0)),"","*")</f>
        <v/>
      </c>
      <c r="B271" s="515" t="str">
        <f t="shared" ca="1" si="49"/>
        <v>PRC_CAPACT</v>
      </c>
      <c r="C271" s="515" t="str">
        <f ca="1">"X"&amp;OFFSET(NameConv!$F$4,0,M271)&amp;OFFSET(NameConv!$F$59,L271,M271)</f>
        <v>XUPSHEE</v>
      </c>
      <c r="D271" s="515" t="str">
        <f t="shared" ca="1" si="45"/>
        <v>-</v>
      </c>
      <c r="E271" s="515" t="str">
        <f t="shared" ca="1" si="46"/>
        <v>-</v>
      </c>
      <c r="F271" s="515" t="str">
        <f t="shared" ca="1" si="48"/>
        <v>-</v>
      </c>
      <c r="G271" s="515" t="str">
        <f t="shared" ca="1" si="48"/>
        <v>-</v>
      </c>
      <c r="H271" s="515" t="str">
        <f t="shared" ca="1" si="48"/>
        <v>-</v>
      </c>
      <c r="I271" s="518">
        <f t="shared" ref="I271:I281" ca="1" si="50">IF(AND(B271=$B$10,RIGHT(C271,3)="ELC"),31.536,1)</f>
        <v>1</v>
      </c>
      <c r="K271" s="495">
        <f ca="1">IF(M270&lt;&gt;M271,1,IF(L270=OFFSET(NameConv!$F$45,0,M270),K270+1,K270))</f>
        <v>2</v>
      </c>
      <c r="L271" s="495">
        <f t="shared" ca="1" si="47"/>
        <v>7</v>
      </c>
      <c r="M271" s="526">
        <f ca="1">IF(AND(K270=$K$7,L270=SUMIF(NameConv!$G$4:$M$4,MID(C270,2,3),NameConv!$G$45:$M$45)),M270+1,M270)</f>
        <v>7</v>
      </c>
    </row>
    <row r="272" spans="1:13">
      <c r="A272" s="883" t="str">
        <f ca="1">IF(INDEX(Demand.Sectors,MATCH(MID(C272,2,3),NameConv!$G$4:$M$4,0)),"","*")</f>
        <v/>
      </c>
      <c r="B272" s="515" t="str">
        <f t="shared" ca="1" si="49"/>
        <v>PRC_CAPACT</v>
      </c>
      <c r="C272" s="515" t="str">
        <f ca="1">"X"&amp;OFFSET(NameConv!$F$4,0,M272)&amp;OFFSET(NameConv!$F$59,L272,M272)</f>
        <v>XUPSHEN</v>
      </c>
      <c r="D272" s="515" t="str">
        <f t="shared" ca="1" si="45"/>
        <v>-</v>
      </c>
      <c r="E272" s="515" t="str">
        <f t="shared" ca="1" si="46"/>
        <v>-</v>
      </c>
      <c r="F272" s="515" t="str">
        <f t="shared" ca="1" si="48"/>
        <v>-</v>
      </c>
      <c r="G272" s="515" t="str">
        <f t="shared" ca="1" si="48"/>
        <v>-</v>
      </c>
      <c r="H272" s="515" t="str">
        <f t="shared" ca="1" si="48"/>
        <v>-</v>
      </c>
      <c r="I272" s="518">
        <f t="shared" ca="1" si="50"/>
        <v>1</v>
      </c>
      <c r="K272" s="495">
        <f ca="1">IF(M271&lt;&gt;M272,1,IF(L271=OFFSET(NameConv!$F$45,0,M271),K271+1,K271))</f>
        <v>2</v>
      </c>
      <c r="L272" s="495">
        <f t="shared" ca="1" si="47"/>
        <v>8</v>
      </c>
      <c r="M272" s="526">
        <f ca="1">IF(AND(K271=$K$7,L271=SUMIF(NameConv!$G$4:$M$4,MID(C271,2,3),NameConv!$G$45:$M$45)),M271+1,M271)</f>
        <v>7</v>
      </c>
    </row>
    <row r="273" spans="1:13">
      <c r="A273" s="883" t="str">
        <f ca="1">IF(INDEX(Demand.Sectors,MATCH(MID(C273,2,3),NameConv!$G$4:$M$4,0)),"","*")</f>
        <v/>
      </c>
      <c r="B273" s="515" t="str">
        <f t="shared" ca="1" si="49"/>
        <v>PRC_CAPACT</v>
      </c>
      <c r="C273" s="515" t="str">
        <f ca="1">"X"&amp;OFFSET(NameConv!$F$4,0,M273)&amp;OFFSET(NameConv!$F$59,L273,M273)</f>
        <v>XUPSHGN</v>
      </c>
      <c r="D273" s="515" t="str">
        <f t="shared" ca="1" si="45"/>
        <v>-</v>
      </c>
      <c r="E273" s="515" t="str">
        <f t="shared" ca="1" si="46"/>
        <v>-</v>
      </c>
      <c r="F273" s="515" t="str">
        <f t="shared" ca="1" si="48"/>
        <v>-</v>
      </c>
      <c r="G273" s="515" t="str">
        <f t="shared" ca="1" si="48"/>
        <v>-</v>
      </c>
      <c r="H273" s="515" t="str">
        <f t="shared" ca="1" si="48"/>
        <v>-</v>
      </c>
      <c r="I273" s="518">
        <f t="shared" ca="1" si="50"/>
        <v>1</v>
      </c>
      <c r="K273" s="495">
        <f ca="1">IF(M272&lt;&gt;M273,1,IF(L272=OFFSET(NameConv!$F$45,0,M272),K272+1,K272))</f>
        <v>2</v>
      </c>
      <c r="L273" s="495">
        <f t="shared" ca="1" si="47"/>
        <v>9</v>
      </c>
      <c r="M273" s="526">
        <f ca="1">IF(AND(K272=$K$7,L272=SUMIF(NameConv!$G$4:$M$4,MID(C272,2,3),NameConv!$G$45:$M$45)),M272+1,M272)</f>
        <v>7</v>
      </c>
    </row>
    <row r="274" spans="1:13">
      <c r="A274" s="883" t="str">
        <f ca="1">IF(INDEX(Demand.Sectors,MATCH(MID(C274,2,3),NameConv!$G$4:$M$4,0)),"","*")</f>
        <v/>
      </c>
      <c r="B274" s="515" t="str">
        <f t="shared" ca="1" si="49"/>
        <v>PRC_CAPACT</v>
      </c>
      <c r="C274" s="515" t="str">
        <f ca="1">"X"&amp;OFFSET(NameConv!$F$4,0,M274)&amp;OFFSET(NameConv!$F$59,L274,M274)</f>
        <v>XUPSOCR</v>
      </c>
      <c r="D274" s="515" t="str">
        <f t="shared" ca="1" si="45"/>
        <v>-</v>
      </c>
      <c r="E274" s="515" t="str">
        <f t="shared" ca="1" si="46"/>
        <v>-</v>
      </c>
      <c r="F274" s="515" t="str">
        <f t="shared" ca="1" si="48"/>
        <v>-</v>
      </c>
      <c r="G274" s="515" t="str">
        <f t="shared" ca="1" si="48"/>
        <v>-</v>
      </c>
      <c r="H274" s="515" t="str">
        <f t="shared" ca="1" si="48"/>
        <v>-</v>
      </c>
      <c r="I274" s="518">
        <f t="shared" ca="1" si="50"/>
        <v>1</v>
      </c>
      <c r="K274" s="495">
        <f ca="1">IF(M273&lt;&gt;M274,1,IF(L273=OFFSET(NameConv!$F$45,0,M273),K273+1,K273))</f>
        <v>2</v>
      </c>
      <c r="L274" s="495">
        <f t="shared" ca="1" si="47"/>
        <v>10</v>
      </c>
      <c r="M274" s="526">
        <f ca="1">IF(AND(K273=$K$7,L273=SUMIF(NameConv!$G$4:$M$4,MID(C273,2,3),NameConv!$G$45:$M$45)),M273+1,M273)</f>
        <v>7</v>
      </c>
    </row>
    <row r="275" spans="1:13">
      <c r="A275" s="883" t="str">
        <f ca="1">IF(INDEX(Demand.Sectors,MATCH(MID(C275,2,3),NameConv!$G$4:$M$4,0)),"","*")</f>
        <v/>
      </c>
      <c r="B275" s="515" t="str">
        <f t="shared" ca="1" si="49"/>
        <v>PRC_CAPACT</v>
      </c>
      <c r="C275" s="515" t="str">
        <f ca="1">"X"&amp;OFFSET(NameConv!$F$4,0,M275)&amp;OFFSET(NameConv!$F$59,L275,M275)</f>
        <v>XUPSOHF</v>
      </c>
      <c r="D275" s="515" t="str">
        <f t="shared" ca="1" si="45"/>
        <v>-</v>
      </c>
      <c r="E275" s="515" t="str">
        <f t="shared" ca="1" si="46"/>
        <v>-</v>
      </c>
      <c r="F275" s="515" t="str">
        <f t="shared" ca="1" si="48"/>
        <v>-</v>
      </c>
      <c r="G275" s="515" t="str">
        <f t="shared" ca="1" si="48"/>
        <v>-</v>
      </c>
      <c r="H275" s="515" t="str">
        <f t="shared" ca="1" si="48"/>
        <v>-</v>
      </c>
      <c r="I275" s="518">
        <f t="shared" ca="1" si="50"/>
        <v>1</v>
      </c>
      <c r="K275" s="495">
        <f ca="1">IF(M274&lt;&gt;M275,1,IF(L274=OFFSET(NameConv!$F$45,0,M274),K274+1,K274))</f>
        <v>2</v>
      </c>
      <c r="L275" s="495">
        <f t="shared" ca="1" si="47"/>
        <v>11</v>
      </c>
      <c r="M275" s="526">
        <f ca="1">IF(AND(K274=$K$7,L274=SUMIF(NameConv!$G$4:$M$4,MID(C274,2,3),NameConv!$G$45:$M$45)),M274+1,M274)</f>
        <v>7</v>
      </c>
    </row>
    <row r="276" spans="1:13">
      <c r="A276" s="883" t="str">
        <f ca="1">IF(INDEX(Demand.Sectors,MATCH(MID(C276,2,3),NameConv!$G$4:$M$4,0)),"","*")</f>
        <v/>
      </c>
      <c r="B276" s="515" t="str">
        <f t="shared" ca="1" si="49"/>
        <v>TOP-OUT</v>
      </c>
      <c r="C276" s="515" t="str">
        <f ca="1">"X"&amp;OFFSET(NameConv!$F$4,0,M276)&amp;OFFSET(NameConv!$F$59,L276,M276)</f>
        <v>XUPSBIE</v>
      </c>
      <c r="D276" s="515" t="str">
        <f t="shared" ca="1" si="45"/>
        <v>UPSBIE</v>
      </c>
      <c r="E276" s="515" t="str">
        <f t="shared" ca="1" si="46"/>
        <v>-</v>
      </c>
      <c r="F276" s="515" t="str">
        <f t="shared" ca="1" si="48"/>
        <v>-</v>
      </c>
      <c r="G276" s="515" t="str">
        <f t="shared" ca="1" si="48"/>
        <v>-</v>
      </c>
      <c r="H276" s="515" t="str">
        <f t="shared" ca="1" si="48"/>
        <v>-</v>
      </c>
      <c r="I276" s="518">
        <f t="shared" ca="1" si="50"/>
        <v>1</v>
      </c>
      <c r="K276" s="495">
        <f ca="1">IF(M275&lt;&gt;M276,1,IF(L275=OFFSET(NameConv!$F$45,0,M275),K275+1,K275))</f>
        <v>3</v>
      </c>
      <c r="L276" s="495">
        <f t="shared" ca="1" si="47"/>
        <v>1</v>
      </c>
      <c r="M276" s="526">
        <f ca="1">IF(AND(K275=$K$7,L275=SUMIF(NameConv!$G$4:$M$4,MID(C275,2,3),NameConv!$G$45:$M$45)),M275+1,M275)</f>
        <v>7</v>
      </c>
    </row>
    <row r="277" spans="1:13">
      <c r="A277" s="883" t="str">
        <f ca="1">IF(INDEX(Demand.Sectors,MATCH(MID(C277,2,3),NameConv!$G$4:$M$4,0)),"","*")</f>
        <v/>
      </c>
      <c r="B277" s="515" t="str">
        <f t="shared" ca="1" si="49"/>
        <v>TOP-OUT</v>
      </c>
      <c r="C277" s="515" t="str">
        <f ca="1">"X"&amp;OFFSET(NameConv!$F$4,0,M277)&amp;OFFSET(NameConv!$F$59,L277,M277)</f>
        <v>XUPSBID</v>
      </c>
      <c r="D277" s="515" t="str">
        <f t="shared" ca="1" si="45"/>
        <v>UPSBID</v>
      </c>
      <c r="E277" s="515" t="str">
        <f t="shared" ca="1" si="46"/>
        <v>-</v>
      </c>
      <c r="F277" s="515" t="str">
        <f t="shared" ca="1" si="48"/>
        <v>-</v>
      </c>
      <c r="G277" s="515" t="str">
        <f t="shared" ca="1" si="48"/>
        <v>-</v>
      </c>
      <c r="H277" s="515" t="str">
        <f t="shared" ca="1" si="48"/>
        <v>-</v>
      </c>
      <c r="I277" s="518">
        <f t="shared" ca="1" si="50"/>
        <v>1</v>
      </c>
      <c r="K277" s="495">
        <f ca="1">IF(M276&lt;&gt;M277,1,IF(L276=OFFSET(NameConv!$F$45,0,M276),K276+1,K276))</f>
        <v>3</v>
      </c>
      <c r="L277" s="495">
        <f t="shared" ca="1" si="47"/>
        <v>2</v>
      </c>
      <c r="M277" s="526">
        <f ca="1">IF(AND(K276=$K$7,L276=SUMIF(NameConv!$G$4:$M$4,MID(C276,2,3),NameConv!$G$45:$M$45)),M276+1,M276)</f>
        <v>7</v>
      </c>
    </row>
    <row r="278" spans="1:13">
      <c r="A278" s="883" t="str">
        <f ca="1">IF(INDEX(Demand.Sectors,MATCH(MID(C278,2,3),NameConv!$G$4:$M$4,0)),"","*")</f>
        <v/>
      </c>
      <c r="B278" s="515" t="str">
        <f t="shared" ca="1" si="49"/>
        <v>TOP-OUT</v>
      </c>
      <c r="C278" s="515" t="str">
        <f ca="1">"X"&amp;OFFSET(NameConv!$F$4,0,M278)&amp;OFFSET(NameConv!$F$59,L278,M278)</f>
        <v>XUPSCLE</v>
      </c>
      <c r="D278" s="515" t="str">
        <f t="shared" ref="D278:D285" ca="1" si="51">IF($A278="*","",IF($B278="TOP-OUT",RIGHT(C278,6),IF($B278="TOP-IN",RIGHT(C278,3),"-")))</f>
        <v>UPSCLE</v>
      </c>
      <c r="E278" s="515" t="str">
        <f t="shared" ref="E278:E285" ca="1" si="52">IF($A278="*","",IF($B278="PRC_ACTUNT",RIGHT(C278,6),"-"))</f>
        <v>-</v>
      </c>
      <c r="F278" s="515" t="str">
        <f t="shared" ca="1" si="48"/>
        <v>-</v>
      </c>
      <c r="G278" s="515" t="str">
        <f t="shared" ca="1" si="48"/>
        <v>-</v>
      </c>
      <c r="H278" s="515" t="str">
        <f t="shared" ca="1" si="48"/>
        <v>-</v>
      </c>
      <c r="I278" s="518">
        <f t="shared" ca="1" si="50"/>
        <v>1</v>
      </c>
      <c r="K278" s="495">
        <f ca="1">IF(M277&lt;&gt;M278,1,IF(L277=OFFSET(NameConv!$F$45,0,M277),K277+1,K277))</f>
        <v>3</v>
      </c>
      <c r="L278" s="495">
        <f t="shared" ref="L278:L285" ca="1" si="53">IF(K278=K277,L277+1,1)</f>
        <v>3</v>
      </c>
      <c r="M278" s="526">
        <f ca="1">IF(AND(K277=$K$7,L277=SUMIF(NameConv!$G$4:$M$4,MID(C277,2,3),NameConv!$G$45:$M$45)),M277+1,M277)</f>
        <v>7</v>
      </c>
    </row>
    <row r="279" spans="1:13">
      <c r="A279" s="883" t="str">
        <f ca="1">IF(INDEX(Demand.Sectors,MATCH(MID(C279,2,3),NameConv!$G$4:$M$4,0)),"","*")</f>
        <v/>
      </c>
      <c r="B279" s="515" t="str">
        <f t="shared" ca="1" si="49"/>
        <v>TOP-OUT</v>
      </c>
      <c r="C279" s="515" t="str">
        <f ca="1">"X"&amp;OFFSET(NameConv!$F$4,0,M279)&amp;OFFSET(NameConv!$F$59,L279,M279)</f>
        <v>XUPSELC</v>
      </c>
      <c r="D279" s="515" t="str">
        <f t="shared" ca="1" si="51"/>
        <v>UPSELC</v>
      </c>
      <c r="E279" s="515" t="str">
        <f t="shared" ca="1" si="52"/>
        <v>-</v>
      </c>
      <c r="F279" s="515" t="str">
        <f t="shared" ca="1" si="48"/>
        <v>-</v>
      </c>
      <c r="G279" s="515" t="str">
        <f t="shared" ca="1" si="48"/>
        <v>-</v>
      </c>
      <c r="H279" s="515" t="str">
        <f t="shared" ca="1" si="48"/>
        <v>-</v>
      </c>
      <c r="I279" s="518">
        <f t="shared" ca="1" si="50"/>
        <v>1</v>
      </c>
      <c r="K279" s="495">
        <f ca="1">IF(M278&lt;&gt;M279,1,IF(L278=OFFSET(NameConv!$F$45,0,M278),K278+1,K278))</f>
        <v>3</v>
      </c>
      <c r="L279" s="495">
        <f t="shared" ca="1" si="53"/>
        <v>4</v>
      </c>
      <c r="M279" s="526">
        <f ca="1">IF(AND(K278=$K$7,L278=SUMIF(NameConv!$G$4:$M$4,MID(C278,2,3),NameConv!$G$45:$M$45)),M278+1,M278)</f>
        <v>7</v>
      </c>
    </row>
    <row r="280" spans="1:13">
      <c r="A280" s="883" t="str">
        <f ca="1">IF(INDEX(Demand.Sectors,MATCH(MID(C280,2,3),NameConv!$G$4:$M$4,0)),"","*")</f>
        <v/>
      </c>
      <c r="B280" s="515" t="str">
        <f t="shared" ca="1" si="49"/>
        <v>TOP-OUT</v>
      </c>
      <c r="C280" s="515" t="str">
        <f ca="1">"X"&amp;OFFSET(NameConv!$F$4,0,M280)&amp;OFFSET(NameConv!$F$59,L280,M280)</f>
        <v>XUPSGAS</v>
      </c>
      <c r="D280" s="515" t="str">
        <f t="shared" ca="1" si="51"/>
        <v>UPSGAS</v>
      </c>
      <c r="E280" s="515" t="str">
        <f t="shared" ca="1" si="52"/>
        <v>-</v>
      </c>
      <c r="F280" s="515" t="str">
        <f t="shared" ca="1" si="48"/>
        <v>-</v>
      </c>
      <c r="G280" s="515" t="str">
        <f t="shared" ca="1" si="48"/>
        <v>-</v>
      </c>
      <c r="H280" s="515" t="str">
        <f t="shared" ca="1" si="48"/>
        <v>-</v>
      </c>
      <c r="I280" s="518">
        <f t="shared" ca="1" si="50"/>
        <v>1</v>
      </c>
      <c r="K280" s="495">
        <f ca="1">IF(M279&lt;&gt;M280,1,IF(L279=OFFSET(NameConv!$F$45,0,M279),K279+1,K279))</f>
        <v>3</v>
      </c>
      <c r="L280" s="495">
        <f t="shared" ca="1" si="53"/>
        <v>5</v>
      </c>
      <c r="M280" s="526">
        <f ca="1">IF(AND(K279=$K$7,L279=SUMIF(NameConv!$G$4:$M$4,MID(C279,2,3),NameConv!$G$45:$M$45)),M279+1,M279)</f>
        <v>7</v>
      </c>
    </row>
    <row r="281" spans="1:13">
      <c r="A281" s="883" t="str">
        <f ca="1">IF(INDEX(Demand.Sectors,MATCH(MID(C281,2,3),NameConv!$G$4:$M$4,0)),"","*")</f>
        <v/>
      </c>
      <c r="B281" s="515" t="str">
        <f t="shared" ca="1" si="49"/>
        <v>TOP-OUT</v>
      </c>
      <c r="C281" s="515" t="str">
        <f ca="1">"X"&amp;OFFSET(NameConv!$F$4,0,M281)&amp;OFFSET(NameConv!$F$59,L281,M281)</f>
        <v>XUPSGIC</v>
      </c>
      <c r="D281" s="515" t="str">
        <f t="shared" ca="1" si="51"/>
        <v>UPSGIC</v>
      </c>
      <c r="E281" s="515" t="str">
        <f t="shared" ca="1" si="52"/>
        <v>-</v>
      </c>
      <c r="F281" s="515" t="str">
        <f t="shared" ca="1" si="48"/>
        <v>-</v>
      </c>
      <c r="G281" s="515" t="str">
        <f t="shared" ca="1" si="48"/>
        <v>-</v>
      </c>
      <c r="H281" s="515" t="str">
        <f t="shared" ca="1" si="48"/>
        <v>-</v>
      </c>
      <c r="I281" s="518">
        <f t="shared" ca="1" si="50"/>
        <v>1</v>
      </c>
      <c r="K281" s="495">
        <f ca="1">IF(M280&lt;&gt;M281,1,IF(L280=OFFSET(NameConv!$F$45,0,M280),K280+1,K280))</f>
        <v>3</v>
      </c>
      <c r="L281" s="495">
        <f t="shared" ca="1" si="53"/>
        <v>6</v>
      </c>
      <c r="M281" s="526">
        <f ca="1">IF(AND(K280=$K$7,L280=SUMIF(NameConv!$G$4:$M$4,MID(C280,2,3),NameConv!$G$45:$M$45)),M280+1,M280)</f>
        <v>7</v>
      </c>
    </row>
    <row r="282" spans="1:13">
      <c r="A282" s="883" t="str">
        <f ca="1">IF(INDEX(Demand.Sectors,MATCH(MID(C282,2,3),NameConv!$G$4:$M$4,0)),"","*")</f>
        <v/>
      </c>
      <c r="B282" s="515" t="str">
        <f t="shared" ca="1" si="49"/>
        <v>TOP-OUT</v>
      </c>
      <c r="C282" s="515" t="str">
        <f ca="1">"X"&amp;OFFSET(NameConv!$F$4,0,M282)&amp;OFFSET(NameConv!$F$59,L282,M282)</f>
        <v>XUPSHEE</v>
      </c>
      <c r="D282" s="515" t="str">
        <f t="shared" ca="1" si="51"/>
        <v>UPSHEE</v>
      </c>
      <c r="E282" s="515" t="str">
        <f t="shared" ca="1" si="52"/>
        <v>-</v>
      </c>
      <c r="F282" s="515" t="str">
        <f t="shared" ca="1" si="48"/>
        <v>-</v>
      </c>
      <c r="G282" s="515" t="str">
        <f t="shared" ca="1" si="48"/>
        <v>-</v>
      </c>
      <c r="H282" s="515" t="str">
        <f t="shared" ca="1" si="48"/>
        <v>-</v>
      </c>
      <c r="I282" s="518">
        <f ca="1">IF(AND(B282=$B$10,RIGHT(C282,3)="ELC"),31.536,1)</f>
        <v>1</v>
      </c>
      <c r="K282" s="495">
        <f ca="1">IF(M281&lt;&gt;M282,1,IF(L281=OFFSET(NameConv!$F$45,0,M281),K281+1,K281))</f>
        <v>3</v>
      </c>
      <c r="L282" s="495">
        <f t="shared" ca="1" si="53"/>
        <v>7</v>
      </c>
      <c r="M282" s="526">
        <f ca="1">IF(AND(K281=$K$7,L281=SUMIF(NameConv!$G$4:$M$4,MID(C281,2,3),NameConv!$G$45:$M$45)),M281+1,M281)</f>
        <v>7</v>
      </c>
    </row>
    <row r="283" spans="1:13">
      <c r="A283" s="883" t="str">
        <f ca="1">IF(INDEX(Demand.Sectors,MATCH(MID(C283,2,3),NameConv!$G$4:$M$4,0)),"","*")</f>
        <v/>
      </c>
      <c r="B283" s="515" t="str">
        <f t="shared" ca="1" si="49"/>
        <v>TOP-OUT</v>
      </c>
      <c r="C283" s="515" t="str">
        <f ca="1">"X"&amp;OFFSET(NameConv!$F$4,0,M283)&amp;OFFSET(NameConv!$F$59,L283,M283)</f>
        <v>XUPSHEN</v>
      </c>
      <c r="D283" s="515" t="str">
        <f t="shared" ca="1" si="51"/>
        <v>UPSHEN</v>
      </c>
      <c r="E283" s="515" t="str">
        <f t="shared" ca="1" si="52"/>
        <v>-</v>
      </c>
      <c r="F283" s="515" t="str">
        <f t="shared" ref="F283:H297" ca="1" si="54">IF($A283="*","","-")</f>
        <v>-</v>
      </c>
      <c r="G283" s="515" t="str">
        <f t="shared" ca="1" si="54"/>
        <v>-</v>
      </c>
      <c r="H283" s="515" t="str">
        <f t="shared" ca="1" si="54"/>
        <v>-</v>
      </c>
      <c r="I283" s="518">
        <f ca="1">IF(AND(B283=$B$10,RIGHT(C283,3)="ELC"),31.536,1)</f>
        <v>1</v>
      </c>
      <c r="K283" s="495">
        <f ca="1">IF(M282&lt;&gt;M283,1,IF(L282=OFFSET(NameConv!$F$45,0,M282),K282+1,K282))</f>
        <v>3</v>
      </c>
      <c r="L283" s="495">
        <f t="shared" ca="1" si="53"/>
        <v>8</v>
      </c>
      <c r="M283" s="526">
        <f ca="1">IF(AND(K282=$K$7,L282=SUMIF(NameConv!$G$4:$M$4,MID(C282,2,3),NameConv!$G$45:$M$45)),M282+1,M282)</f>
        <v>7</v>
      </c>
    </row>
    <row r="284" spans="1:13">
      <c r="A284" s="883" t="str">
        <f ca="1">IF(INDEX(Demand.Sectors,MATCH(MID(C284,2,3),NameConv!$G$4:$M$4,0)),"","*")</f>
        <v/>
      </c>
      <c r="B284" s="515" t="str">
        <f t="shared" ca="1" si="49"/>
        <v>TOP-OUT</v>
      </c>
      <c r="C284" s="515" t="str">
        <f ca="1">"X"&amp;OFFSET(NameConv!$F$4,0,M284)&amp;OFFSET(NameConv!$F$59,L284,M284)</f>
        <v>XUPSHGN</v>
      </c>
      <c r="D284" s="515" t="str">
        <f t="shared" ca="1" si="51"/>
        <v>UPSHGN</v>
      </c>
      <c r="E284" s="515" t="str">
        <f t="shared" ca="1" si="52"/>
        <v>-</v>
      </c>
      <c r="F284" s="515" t="str">
        <f t="shared" ca="1" si="54"/>
        <v>-</v>
      </c>
      <c r="G284" s="515" t="str">
        <f t="shared" ca="1" si="54"/>
        <v>-</v>
      </c>
      <c r="H284" s="515" t="str">
        <f t="shared" ca="1" si="54"/>
        <v>-</v>
      </c>
      <c r="I284" s="518">
        <f ca="1">IF(AND(B284=$B$10,RIGHT(C284,3)="ELC"),31.536,1)</f>
        <v>1</v>
      </c>
      <c r="K284" s="495">
        <f ca="1">IF(M283&lt;&gt;M284,1,IF(L283=OFFSET(NameConv!$F$45,0,M283),K283+1,K283))</f>
        <v>3</v>
      </c>
      <c r="L284" s="495">
        <f t="shared" ca="1" si="53"/>
        <v>9</v>
      </c>
      <c r="M284" s="526">
        <f ca="1">IF(AND(K283=$K$7,L283=SUMIF(NameConv!$G$4:$M$4,MID(C283,2,3),NameConv!$G$45:$M$45)),M283+1,M283)</f>
        <v>7</v>
      </c>
    </row>
    <row r="285" spans="1:13">
      <c r="A285" s="883" t="str">
        <f ca="1">IF(INDEX(Demand.Sectors,MATCH(MID(C285,2,3),NameConv!$G$4:$M$4,0)),"","*")</f>
        <v/>
      </c>
      <c r="B285" s="515" t="str">
        <f t="shared" ca="1" si="49"/>
        <v>TOP-OUT</v>
      </c>
      <c r="C285" s="515" t="str">
        <f ca="1">"X"&amp;OFFSET(NameConv!$F$4,0,M285)&amp;OFFSET(NameConv!$F$59,L285,M285)</f>
        <v>XUPSOCR</v>
      </c>
      <c r="D285" s="515" t="str">
        <f t="shared" ca="1" si="51"/>
        <v>UPSOCR</v>
      </c>
      <c r="E285" s="515" t="str">
        <f t="shared" ca="1" si="52"/>
        <v>-</v>
      </c>
      <c r="F285" s="515" t="str">
        <f t="shared" ca="1" si="54"/>
        <v>-</v>
      </c>
      <c r="G285" s="515" t="str">
        <f t="shared" ca="1" si="54"/>
        <v>-</v>
      </c>
      <c r="H285" s="515" t="str">
        <f t="shared" ca="1" si="54"/>
        <v>-</v>
      </c>
      <c r="I285" s="518">
        <f ca="1">IF(AND(B285=$B$10,RIGHT(C285,3)="ELC"),31.536,1)</f>
        <v>1</v>
      </c>
      <c r="K285" s="495">
        <f ca="1">IF(M284&lt;&gt;M285,1,IF(L284=OFFSET(NameConv!$F$45,0,M284),K284+1,K284))</f>
        <v>3</v>
      </c>
      <c r="L285" s="495">
        <f t="shared" ca="1" si="53"/>
        <v>10</v>
      </c>
      <c r="M285" s="526">
        <f ca="1">IF(AND(K284=$K$7,L284=SUMIF(NameConv!$G$4:$M$4,MID(C284,2,3),NameConv!$G$45:$M$45)),M284+1,M284)</f>
        <v>7</v>
      </c>
    </row>
    <row r="286" spans="1:13">
      <c r="A286" s="883" t="str">
        <f ca="1">IF(INDEX(Demand.Sectors,MATCH(MID(C286,2,3),NameConv!$G$4:$M$4,0)),"","*")</f>
        <v/>
      </c>
      <c r="B286" s="515" t="str">
        <f t="shared" ca="1" si="49"/>
        <v>TOP-OUT</v>
      </c>
      <c r="C286" s="515" t="str">
        <f ca="1">"X"&amp;OFFSET(NameConv!$F$4,0,M286)&amp;OFFSET(NameConv!$F$59,L286,M286)</f>
        <v>XUPSOHF</v>
      </c>
      <c r="D286" s="515" t="str">
        <f t="shared" ref="D286:D289" ca="1" si="55">IF($A286="*","",IF($B286="TOP-OUT",RIGHT(C286,6),IF($B286="TOP-IN",RIGHT(C286,3),"-")))</f>
        <v>UPSOHF</v>
      </c>
      <c r="E286" s="515" t="str">
        <f t="shared" ref="E286:E289" ca="1" si="56">IF($A286="*","",IF($B286="PRC_ACTUNT",RIGHT(C286,6),"-"))</f>
        <v>-</v>
      </c>
      <c r="F286" s="515" t="str">
        <f t="shared" ca="1" si="54"/>
        <v>-</v>
      </c>
      <c r="G286" s="515" t="str">
        <f t="shared" ca="1" si="54"/>
        <v>-</v>
      </c>
      <c r="H286" s="515" t="str">
        <f t="shared" ca="1" si="54"/>
        <v>-</v>
      </c>
      <c r="I286" s="518">
        <f t="shared" ref="I286:I289" ca="1" si="57">IF(AND(B286=$B$10,RIGHT(C286,3)="ELC"),31.536,1)</f>
        <v>1</v>
      </c>
      <c r="K286" s="495">
        <f ca="1">IF(M285&lt;&gt;M286,1,IF(L285=OFFSET(NameConv!$F$45,0,M285),K285+1,K285))</f>
        <v>3</v>
      </c>
      <c r="L286" s="495">
        <f t="shared" ref="L286:L289" ca="1" si="58">IF(K286=K285,L285+1,1)</f>
        <v>11</v>
      </c>
      <c r="M286" s="526">
        <f ca="1">IF(AND(K285=$K$7,L285=SUMIF(NameConv!$G$4:$M$4,MID(C285,2,3),NameConv!$G$45:$M$45)),M285+1,M285)</f>
        <v>7</v>
      </c>
    </row>
    <row r="287" spans="1:13">
      <c r="A287" s="883" t="str">
        <f ca="1">IF(INDEX(Demand.Sectors,MATCH(MID(C287,2,3),NameConv!$G$4:$M$4,0)),"","*")</f>
        <v/>
      </c>
      <c r="B287" s="515" t="str">
        <f t="shared" ca="1" si="49"/>
        <v>TOP-IN</v>
      </c>
      <c r="C287" s="515" t="str">
        <f ca="1">"X"&amp;OFFSET(NameConv!$F$4,0,M287)&amp;OFFSET(NameConv!$F$59,L287,M287)</f>
        <v>XUPSBIE</v>
      </c>
      <c r="D287" s="515" t="str">
        <f t="shared" ca="1" si="55"/>
        <v>BIE</v>
      </c>
      <c r="E287" s="515" t="str">
        <f t="shared" ca="1" si="56"/>
        <v>-</v>
      </c>
      <c r="F287" s="515" t="str">
        <f t="shared" ca="1" si="54"/>
        <v>-</v>
      </c>
      <c r="G287" s="515" t="str">
        <f t="shared" ca="1" si="54"/>
        <v>-</v>
      </c>
      <c r="H287" s="515" t="str">
        <f t="shared" ca="1" si="54"/>
        <v>-</v>
      </c>
      <c r="I287" s="518">
        <f t="shared" ca="1" si="57"/>
        <v>1</v>
      </c>
      <c r="K287" s="495">
        <f ca="1">IF(M286&lt;&gt;M287,1,IF(L286=OFFSET(NameConv!$F$45,0,M286),K286+1,K286))</f>
        <v>4</v>
      </c>
      <c r="L287" s="495">
        <f t="shared" ca="1" si="58"/>
        <v>1</v>
      </c>
      <c r="M287" s="526">
        <f ca="1">IF(AND(K286=$K$7,L286=SUMIF(NameConv!$G$4:$M$4,MID(C286,2,3),NameConv!$G$45:$M$45)),M286+1,M286)</f>
        <v>7</v>
      </c>
    </row>
    <row r="288" spans="1:13">
      <c r="A288" s="883" t="str">
        <f ca="1">IF(INDEX(Demand.Sectors,MATCH(MID(C288,2,3),NameConv!$G$4:$M$4,0)),"","*")</f>
        <v/>
      </c>
      <c r="B288" s="515" t="str">
        <f t="shared" ca="1" si="49"/>
        <v>TOP-IN</v>
      </c>
      <c r="C288" s="515" t="str">
        <f ca="1">"X"&amp;OFFSET(NameConv!$F$4,0,M288)&amp;OFFSET(NameConv!$F$59,L288,M288)</f>
        <v>XUPSBID</v>
      </c>
      <c r="D288" s="515" t="str">
        <f t="shared" ca="1" si="55"/>
        <v>BID</v>
      </c>
      <c r="E288" s="515" t="str">
        <f t="shared" ca="1" si="56"/>
        <v>-</v>
      </c>
      <c r="F288" s="515" t="str">
        <f t="shared" ca="1" si="54"/>
        <v>-</v>
      </c>
      <c r="G288" s="515" t="str">
        <f t="shared" ca="1" si="54"/>
        <v>-</v>
      </c>
      <c r="H288" s="515" t="str">
        <f t="shared" ca="1" si="54"/>
        <v>-</v>
      </c>
      <c r="I288" s="518">
        <f t="shared" ca="1" si="57"/>
        <v>1</v>
      </c>
      <c r="K288" s="495">
        <f ca="1">IF(M287&lt;&gt;M288,1,IF(L287=OFFSET(NameConv!$F$45,0,M287),K287+1,K287))</f>
        <v>4</v>
      </c>
      <c r="L288" s="495">
        <f t="shared" ca="1" si="58"/>
        <v>2</v>
      </c>
      <c r="M288" s="526">
        <f ca="1">IF(AND(K287=$K$7,L287=SUMIF(NameConv!$G$4:$M$4,MID(C287,2,3),NameConv!$G$45:$M$45)),M287+1,M287)</f>
        <v>7</v>
      </c>
    </row>
    <row r="289" spans="1:13">
      <c r="A289" s="883" t="str">
        <f ca="1">IF(INDEX(Demand.Sectors,MATCH(MID(C289,2,3),NameConv!$G$4:$M$4,0)),"","*")</f>
        <v/>
      </c>
      <c r="B289" s="515" t="str">
        <f t="shared" ca="1" si="49"/>
        <v>TOP-IN</v>
      </c>
      <c r="C289" s="515" t="str">
        <f ca="1">"X"&amp;OFFSET(NameConv!$F$4,0,M289)&amp;OFFSET(NameConv!$F$59,L289,M289)</f>
        <v>XUPSCLE</v>
      </c>
      <c r="D289" s="515" t="str">
        <f t="shared" ca="1" si="55"/>
        <v>CLE</v>
      </c>
      <c r="E289" s="515" t="str">
        <f t="shared" ca="1" si="56"/>
        <v>-</v>
      </c>
      <c r="F289" s="515" t="str">
        <f t="shared" ca="1" si="54"/>
        <v>-</v>
      </c>
      <c r="G289" s="515" t="str">
        <f t="shared" ca="1" si="54"/>
        <v>-</v>
      </c>
      <c r="H289" s="515" t="str">
        <f t="shared" ca="1" si="54"/>
        <v>-</v>
      </c>
      <c r="I289" s="518">
        <f t="shared" ca="1" si="57"/>
        <v>1</v>
      </c>
      <c r="K289" s="495">
        <f ca="1">IF(M288&lt;&gt;M289,1,IF(L288=OFFSET(NameConv!$F$45,0,M288),K288+1,K288))</f>
        <v>4</v>
      </c>
      <c r="L289" s="495">
        <f t="shared" ca="1" si="58"/>
        <v>3</v>
      </c>
      <c r="M289" s="526">
        <f ca="1">IF(AND(K288=$K$7,L288=SUMIF(NameConv!$G$4:$M$4,MID(C288,2,3),NameConv!$G$45:$M$45)),M288+1,M288)</f>
        <v>7</v>
      </c>
    </row>
    <row r="290" spans="1:13">
      <c r="A290" s="883" t="str">
        <f ca="1">IF(INDEX(Demand.Sectors,MATCH(MID(C290,2,3),NameConv!$G$4:$M$4,0)),"","*")</f>
        <v/>
      </c>
      <c r="B290" s="515" t="str">
        <f t="shared" ca="1" si="49"/>
        <v>TOP-IN</v>
      </c>
      <c r="C290" s="515" t="str">
        <f ca="1">"X"&amp;OFFSET(NameConv!$F$4,0,M290)&amp;OFFSET(NameConv!$F$59,L290,M290)</f>
        <v>XUPSELC</v>
      </c>
      <c r="D290" s="515" t="str">
        <f t="shared" ref="D290:D293" ca="1" si="59">IF($A290="*","",IF($B290="TOP-OUT",RIGHT(C290,6),IF($B290="TOP-IN",RIGHT(C290,3),"-")))</f>
        <v>ELC</v>
      </c>
      <c r="E290" s="515" t="str">
        <f t="shared" ref="E290:E293" ca="1" si="60">IF($A290="*","",IF($B290="PRC_ACTUNT",RIGHT(C290,6),"-"))</f>
        <v>-</v>
      </c>
      <c r="F290" s="515" t="str">
        <f t="shared" ca="1" si="54"/>
        <v>-</v>
      </c>
      <c r="G290" s="515" t="str">
        <f t="shared" ca="1" si="54"/>
        <v>-</v>
      </c>
      <c r="H290" s="515" t="str">
        <f t="shared" ca="1" si="54"/>
        <v>-</v>
      </c>
      <c r="I290" s="518">
        <f t="shared" ref="I290:I293" ca="1" si="61">IF(AND(B290=$B$10,RIGHT(C290,3)="ELC"),31.536,1)</f>
        <v>1</v>
      </c>
      <c r="K290" s="495">
        <f ca="1">IF(M289&lt;&gt;M290,1,IF(L289=OFFSET(NameConv!$F$45,0,M289),K289+1,K289))</f>
        <v>4</v>
      </c>
      <c r="L290" s="495">
        <f t="shared" ref="L290:L293" ca="1" si="62">IF(K290=K289,L289+1,1)</f>
        <v>4</v>
      </c>
      <c r="M290" s="526">
        <f ca="1">IF(AND(K289=$K$7,L289=SUMIF(NameConv!$G$4:$M$4,MID(C289,2,3),NameConv!$G$45:$M$45)),M289+1,M289)</f>
        <v>7</v>
      </c>
    </row>
    <row r="291" spans="1:13">
      <c r="A291" s="883" t="str">
        <f ca="1">IF(INDEX(Demand.Sectors,MATCH(MID(C291,2,3),NameConv!$G$4:$M$4,0)),"","*")</f>
        <v/>
      </c>
      <c r="B291" s="515" t="str">
        <f t="shared" ca="1" si="49"/>
        <v>TOP-IN</v>
      </c>
      <c r="C291" s="515" t="str">
        <f ca="1">"X"&amp;OFFSET(NameConv!$F$4,0,M291)&amp;OFFSET(NameConv!$F$59,L291,M291)</f>
        <v>XUPSGAS</v>
      </c>
      <c r="D291" s="515" t="str">
        <f t="shared" ca="1" si="59"/>
        <v>GAS</v>
      </c>
      <c r="E291" s="515" t="str">
        <f t="shared" ca="1" si="60"/>
        <v>-</v>
      </c>
      <c r="F291" s="515" t="str">
        <f t="shared" ca="1" si="54"/>
        <v>-</v>
      </c>
      <c r="G291" s="515" t="str">
        <f t="shared" ca="1" si="54"/>
        <v>-</v>
      </c>
      <c r="H291" s="515" t="str">
        <f t="shared" ca="1" si="54"/>
        <v>-</v>
      </c>
      <c r="I291" s="518">
        <f t="shared" ca="1" si="61"/>
        <v>1</v>
      </c>
      <c r="K291" s="495">
        <f ca="1">IF(M290&lt;&gt;M291,1,IF(L290=OFFSET(NameConv!$F$45,0,M290),K290+1,K290))</f>
        <v>4</v>
      </c>
      <c r="L291" s="495">
        <f t="shared" ca="1" si="62"/>
        <v>5</v>
      </c>
      <c r="M291" s="526">
        <f ca="1">IF(AND(K290=$K$7,L290=SUMIF(NameConv!$G$4:$M$4,MID(C290,2,3),NameConv!$G$45:$M$45)),M290+1,M290)</f>
        <v>7</v>
      </c>
    </row>
    <row r="292" spans="1:13">
      <c r="A292" s="883" t="str">
        <f ca="1">IF(INDEX(Demand.Sectors,MATCH(MID(C292,2,3),NameConv!$G$4:$M$4,0)),"","*")</f>
        <v/>
      </c>
      <c r="B292" s="515" t="str">
        <f t="shared" ca="1" si="49"/>
        <v>TOP-IN</v>
      </c>
      <c r="C292" s="515" t="str">
        <f ca="1">"X"&amp;OFFSET(NameConv!$F$4,0,M292)&amp;OFFSET(NameConv!$F$59,L292,M292)</f>
        <v>XUPSGIC</v>
      </c>
      <c r="D292" s="515" t="str">
        <f t="shared" ca="1" si="59"/>
        <v>GIC</v>
      </c>
      <c r="E292" s="515" t="str">
        <f t="shared" ca="1" si="60"/>
        <v>-</v>
      </c>
      <c r="F292" s="515" t="str">
        <f t="shared" ca="1" si="54"/>
        <v>-</v>
      </c>
      <c r="G292" s="515" t="str">
        <f t="shared" ca="1" si="54"/>
        <v>-</v>
      </c>
      <c r="H292" s="515" t="str">
        <f t="shared" ca="1" si="54"/>
        <v>-</v>
      </c>
      <c r="I292" s="518">
        <f t="shared" ca="1" si="61"/>
        <v>1</v>
      </c>
      <c r="K292" s="495">
        <f ca="1">IF(M291&lt;&gt;M292,1,IF(L291=OFFSET(NameConv!$F$45,0,M291),K291+1,K291))</f>
        <v>4</v>
      </c>
      <c r="L292" s="495">
        <f t="shared" ca="1" si="62"/>
        <v>6</v>
      </c>
      <c r="M292" s="526">
        <f ca="1">IF(AND(K291=$K$7,L291=SUMIF(NameConv!$G$4:$M$4,MID(C291,2,3),NameConv!$G$45:$M$45)),M291+1,M291)</f>
        <v>7</v>
      </c>
    </row>
    <row r="293" spans="1:13">
      <c r="A293" s="883" t="str">
        <f ca="1">IF(INDEX(Demand.Sectors,MATCH(MID(C293,2,3),NameConv!$G$4:$M$4,0)),"","*")</f>
        <v/>
      </c>
      <c r="B293" s="515" t="str">
        <f t="shared" ca="1" si="49"/>
        <v>TOP-IN</v>
      </c>
      <c r="C293" s="515" t="str">
        <f ca="1">"X"&amp;OFFSET(NameConv!$F$4,0,M293)&amp;OFFSET(NameConv!$F$59,L293,M293)</f>
        <v>XUPSHEE</v>
      </c>
      <c r="D293" s="515" t="str">
        <f t="shared" ca="1" si="59"/>
        <v>HEE</v>
      </c>
      <c r="E293" s="515" t="str">
        <f t="shared" ca="1" si="60"/>
        <v>-</v>
      </c>
      <c r="F293" s="515" t="str">
        <f t="shared" ca="1" si="54"/>
        <v>-</v>
      </c>
      <c r="G293" s="515" t="str">
        <f t="shared" ca="1" si="54"/>
        <v>-</v>
      </c>
      <c r="H293" s="515" t="str">
        <f t="shared" ca="1" si="54"/>
        <v>-</v>
      </c>
      <c r="I293" s="518">
        <f t="shared" ca="1" si="61"/>
        <v>1</v>
      </c>
      <c r="K293" s="495">
        <f ca="1">IF(M292&lt;&gt;M293,1,IF(L292=OFFSET(NameConv!$F$45,0,M292),K292+1,K292))</f>
        <v>4</v>
      </c>
      <c r="L293" s="495">
        <f t="shared" ca="1" si="62"/>
        <v>7</v>
      </c>
      <c r="M293" s="526">
        <f ca="1">IF(AND(K292=$K$7,L292=SUMIF(NameConv!$G$4:$M$4,MID(C292,2,3),NameConv!$G$45:$M$45)),M292+1,M292)</f>
        <v>7</v>
      </c>
    </row>
    <row r="294" spans="1:13">
      <c r="A294" s="883" t="str">
        <f ca="1">IF(INDEX(Demand.Sectors,MATCH(MID(C294,2,3),NameConv!$G$4:$M$4,0)),"","*")</f>
        <v/>
      </c>
      <c r="B294" s="515" t="str">
        <f t="shared" ca="1" si="49"/>
        <v>TOP-IN</v>
      </c>
      <c r="C294" s="515" t="str">
        <f ca="1">"X"&amp;OFFSET(NameConv!$F$4,0,M294)&amp;OFFSET(NameConv!$F$59,L294,M294)</f>
        <v>XUPSHEN</v>
      </c>
      <c r="D294" s="515" t="str">
        <f t="shared" ref="D294:D297" ca="1" si="63">IF($A294="*","",IF($B294="TOP-OUT",RIGHT(C294,6),IF($B294="TOP-IN",RIGHT(C294,3),"-")))</f>
        <v>HEN</v>
      </c>
      <c r="E294" s="515" t="str">
        <f t="shared" ref="E294:E297" ca="1" si="64">IF($A294="*","",IF($B294="PRC_ACTUNT",RIGHT(C294,6),"-"))</f>
        <v>-</v>
      </c>
      <c r="F294" s="515" t="str">
        <f t="shared" ca="1" si="54"/>
        <v>-</v>
      </c>
      <c r="G294" s="515" t="str">
        <f t="shared" ca="1" si="54"/>
        <v>-</v>
      </c>
      <c r="H294" s="515" t="str">
        <f t="shared" ca="1" si="54"/>
        <v>-</v>
      </c>
      <c r="I294" s="518">
        <f t="shared" ref="I294:I297" ca="1" si="65">IF(AND(B294=$B$10,RIGHT(C294,3)="ELC"),31.536,1)</f>
        <v>1</v>
      </c>
      <c r="K294" s="495">
        <f ca="1">IF(M293&lt;&gt;M294,1,IF(L293=OFFSET(NameConv!$F$45,0,M293),K293+1,K293))</f>
        <v>4</v>
      </c>
      <c r="L294" s="495">
        <f t="shared" ref="L294:L297" ca="1" si="66">IF(K294=K293,L293+1,1)</f>
        <v>8</v>
      </c>
      <c r="M294" s="526">
        <f ca="1">IF(AND(K293=$K$7,L293=SUMIF(NameConv!$G$4:$M$4,MID(C293,2,3),NameConv!$G$45:$M$45)),M293+1,M293)</f>
        <v>7</v>
      </c>
    </row>
    <row r="295" spans="1:13">
      <c r="A295" s="883" t="str">
        <f ca="1">IF(INDEX(Demand.Sectors,MATCH(MID(C295,2,3),NameConv!$G$4:$M$4,0)),"","*")</f>
        <v/>
      </c>
      <c r="B295" s="515" t="str">
        <f t="shared" ca="1" si="49"/>
        <v>TOP-IN</v>
      </c>
      <c r="C295" s="515" t="str">
        <f ca="1">"X"&amp;OFFSET(NameConv!$F$4,0,M295)&amp;OFFSET(NameConv!$F$59,L295,M295)</f>
        <v>XUPSHGN</v>
      </c>
      <c r="D295" s="515" t="str">
        <f t="shared" ca="1" si="63"/>
        <v>HGN</v>
      </c>
      <c r="E295" s="515" t="str">
        <f t="shared" ca="1" si="64"/>
        <v>-</v>
      </c>
      <c r="F295" s="515" t="str">
        <f t="shared" ca="1" si="54"/>
        <v>-</v>
      </c>
      <c r="G295" s="515" t="str">
        <f t="shared" ca="1" si="54"/>
        <v>-</v>
      </c>
      <c r="H295" s="515" t="str">
        <f t="shared" ca="1" si="54"/>
        <v>-</v>
      </c>
      <c r="I295" s="518">
        <f t="shared" ca="1" si="65"/>
        <v>1</v>
      </c>
      <c r="K295" s="495">
        <f ca="1">IF(M294&lt;&gt;M295,1,IF(L294=OFFSET(NameConv!$F$45,0,M294),K294+1,K294))</f>
        <v>4</v>
      </c>
      <c r="L295" s="495">
        <f t="shared" ca="1" si="66"/>
        <v>9</v>
      </c>
      <c r="M295" s="526">
        <f ca="1">IF(AND(K294=$K$7,L294=SUMIF(NameConv!$G$4:$M$4,MID(C294,2,3),NameConv!$G$45:$M$45)),M294+1,M294)</f>
        <v>7</v>
      </c>
    </row>
    <row r="296" spans="1:13">
      <c r="A296" s="883" t="str">
        <f ca="1">IF(INDEX(Demand.Sectors,MATCH(MID(C296,2,3),NameConv!$G$4:$M$4,0)),"","*")</f>
        <v/>
      </c>
      <c r="B296" s="515" t="str">
        <f t="shared" ca="1" si="49"/>
        <v>TOP-IN</v>
      </c>
      <c r="C296" s="515" t="str">
        <f ca="1">"X"&amp;OFFSET(NameConv!$F$4,0,M296)&amp;OFFSET(NameConv!$F$59,L296,M296)</f>
        <v>XUPSOCR</v>
      </c>
      <c r="D296" s="515" t="str">
        <f t="shared" ca="1" si="63"/>
        <v>OCR</v>
      </c>
      <c r="E296" s="515" t="str">
        <f t="shared" ca="1" si="64"/>
        <v>-</v>
      </c>
      <c r="F296" s="515" t="str">
        <f t="shared" ca="1" si="54"/>
        <v>-</v>
      </c>
      <c r="G296" s="515" t="str">
        <f t="shared" ca="1" si="54"/>
        <v>-</v>
      </c>
      <c r="H296" s="515" t="str">
        <f t="shared" ca="1" si="54"/>
        <v>-</v>
      </c>
      <c r="I296" s="518">
        <f t="shared" ca="1" si="65"/>
        <v>1</v>
      </c>
      <c r="K296" s="495">
        <f ca="1">IF(M295&lt;&gt;M296,1,IF(L295=OFFSET(NameConv!$F$45,0,M295),K295+1,K295))</f>
        <v>4</v>
      </c>
      <c r="L296" s="495">
        <f t="shared" ca="1" si="66"/>
        <v>10</v>
      </c>
      <c r="M296" s="526">
        <f ca="1">IF(AND(K295=$K$7,L295=SUMIF(NameConv!$G$4:$M$4,MID(C295,2,3),NameConv!$G$45:$M$45)),M295+1,M295)</f>
        <v>7</v>
      </c>
    </row>
    <row r="297" spans="1:13">
      <c r="A297" s="883" t="str">
        <f ca="1">IF(INDEX(Demand.Sectors,MATCH(MID(C297,2,3),NameConv!$G$4:$M$4,0)),"","*")</f>
        <v/>
      </c>
      <c r="B297" s="515" t="str">
        <f t="shared" ca="1" si="49"/>
        <v>TOP-IN</v>
      </c>
      <c r="C297" s="515" t="str">
        <f ca="1">"X"&amp;OFFSET(NameConv!$F$4,0,M297)&amp;OFFSET(NameConv!$F$59,L297,M297)</f>
        <v>XUPSOHF</v>
      </c>
      <c r="D297" s="515" t="str">
        <f t="shared" ca="1" si="63"/>
        <v>OHF</v>
      </c>
      <c r="E297" s="515" t="str">
        <f t="shared" ca="1" si="64"/>
        <v>-</v>
      </c>
      <c r="F297" s="515" t="str">
        <f t="shared" ca="1" si="54"/>
        <v>-</v>
      </c>
      <c r="G297" s="515" t="str">
        <f t="shared" ca="1" si="54"/>
        <v>-</v>
      </c>
      <c r="H297" s="515" t="str">
        <f t="shared" ca="1" si="54"/>
        <v>-</v>
      </c>
      <c r="I297" s="518">
        <f t="shared" ca="1" si="65"/>
        <v>1</v>
      </c>
      <c r="K297" s="495">
        <f ca="1">IF(M296&lt;&gt;M297,1,IF(L296=OFFSET(NameConv!$F$45,0,M296),K296+1,K296))</f>
        <v>4</v>
      </c>
      <c r="L297" s="495">
        <f t="shared" ca="1" si="66"/>
        <v>11</v>
      </c>
      <c r="M297" s="526">
        <f ca="1">IF(AND(K296=$K$7,L296=SUMIF(NameConv!$G$4:$M$4,MID(C296,2,3),NameConv!$G$45:$M$45)),M296+1,M296)</f>
        <v>7</v>
      </c>
    </row>
    <row r="298" spans="1:13">
      <c r="A298" s="883"/>
      <c r="B298" s="515"/>
      <c r="C298" s="515"/>
      <c r="D298" s="515"/>
      <c r="E298" s="515"/>
      <c r="F298" s="515"/>
      <c r="G298" s="515"/>
      <c r="H298" s="515"/>
      <c r="I298" s="518"/>
      <c r="M298" s="526"/>
    </row>
    <row r="299" spans="1:13">
      <c r="A299" s="883"/>
      <c r="B299" s="515"/>
      <c r="C299" s="515"/>
      <c r="D299" s="515"/>
      <c r="E299" s="515"/>
      <c r="F299" s="515"/>
      <c r="G299" s="515"/>
      <c r="H299" s="515"/>
      <c r="I299" s="518"/>
      <c r="M299" s="526"/>
    </row>
    <row r="300" spans="1:13">
      <c r="A300" s="883"/>
      <c r="B300" s="515"/>
      <c r="C300" s="515"/>
      <c r="D300" s="515"/>
      <c r="E300" s="515"/>
      <c r="F300" s="515"/>
      <c r="G300" s="515"/>
      <c r="H300" s="515"/>
      <c r="I300" s="518"/>
      <c r="M300" s="526"/>
    </row>
    <row r="301" spans="1:13">
      <c r="A301" s="883"/>
      <c r="B301" s="515"/>
      <c r="C301" s="515"/>
      <c r="D301" s="515"/>
      <c r="E301" s="515"/>
      <c r="F301" s="515"/>
      <c r="G301" s="515"/>
      <c r="H301" s="515"/>
      <c r="I301" s="518"/>
      <c r="M301" s="526"/>
    </row>
    <row r="302" spans="1:13">
      <c r="A302" s="883"/>
      <c r="B302" s="515"/>
      <c r="C302" s="515"/>
      <c r="D302" s="515"/>
      <c r="E302" s="515"/>
      <c r="F302" s="515"/>
      <c r="G302" s="515"/>
      <c r="H302" s="515"/>
      <c r="I302" s="518"/>
      <c r="M302" s="526"/>
    </row>
  </sheetData>
  <phoneticPr fontId="204" type="noConversion"/>
  <pageMargins left="0.7" right="0.7" top="0.75" bottom="0.75" header="0.3" footer="0.3"/>
  <pageSetup paperSize="9" orientation="portrait" horizontalDpi="4294967292" verticalDpi="4294967292"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dimension ref="A1:I82"/>
  <sheetViews>
    <sheetView workbookViewId="0"/>
  </sheetViews>
  <sheetFormatPr defaultColWidth="11.42578125" defaultRowHeight="11.25"/>
  <cols>
    <col min="1" max="1" width="12.42578125" style="42" customWidth="1"/>
    <col min="2" max="2" width="11.42578125" style="42" customWidth="1"/>
    <col min="3" max="3" width="11" style="42" customWidth="1"/>
    <col min="4" max="4" width="31.7109375" style="42" customWidth="1"/>
    <col min="5" max="5" width="10.28515625" style="42" customWidth="1"/>
    <col min="6" max="6" width="28.7109375" style="42" customWidth="1"/>
    <col min="7" max="16384" width="11.42578125" style="42"/>
  </cols>
  <sheetData>
    <row r="1" spans="1:9">
      <c r="A1" s="41" t="str">
        <f>IF(Index!B8=0,"ITEMS","")</f>
        <v>ITEMS</v>
      </c>
      <c r="B1" s="42" t="s">
        <v>308</v>
      </c>
      <c r="H1" s="42" t="s">
        <v>310</v>
      </c>
      <c r="I1" s="42" t="s">
        <v>310</v>
      </c>
    </row>
    <row r="2" spans="1:9">
      <c r="A2" s="42" t="s">
        <v>310</v>
      </c>
      <c r="H2" s="42" t="s">
        <v>932</v>
      </c>
      <c r="I2" s="42" t="s">
        <v>930</v>
      </c>
    </row>
    <row r="3" spans="1:9" ht="18.75" customHeight="1">
      <c r="A3" s="42" t="s">
        <v>310</v>
      </c>
    </row>
    <row r="4" spans="1:9">
      <c r="A4" s="42" t="s">
        <v>310</v>
      </c>
    </row>
    <row r="5" spans="1:9">
      <c r="A5" s="42" t="s">
        <v>310</v>
      </c>
    </row>
    <row r="6" spans="1:9">
      <c r="A6" s="42" t="s">
        <v>310</v>
      </c>
    </row>
    <row r="7" spans="1:9">
      <c r="A7" s="42" t="s">
        <v>310</v>
      </c>
      <c r="B7" s="41" t="s">
        <v>311</v>
      </c>
      <c r="C7" s="161" t="s">
        <v>312</v>
      </c>
      <c r="D7" s="41" t="s">
        <v>313</v>
      </c>
      <c r="E7" s="41" t="s">
        <v>314</v>
      </c>
      <c r="F7" s="41" t="s">
        <v>315</v>
      </c>
      <c r="G7" s="41" t="s">
        <v>316</v>
      </c>
    </row>
    <row r="8" spans="1:9">
      <c r="A8" s="42" t="s">
        <v>310</v>
      </c>
      <c r="B8" s="510" t="s">
        <v>354</v>
      </c>
      <c r="C8" s="422"/>
      <c r="D8" s="422"/>
      <c r="E8" s="510"/>
      <c r="F8" s="510"/>
      <c r="G8" s="422"/>
      <c r="H8" s="495"/>
    </row>
    <row r="9" spans="1:9" ht="15">
      <c r="A9" s="883" t="str">
        <f ca="1">IF(INDEX(Demand.Sectors,MATCH(LEFT(C9,3),NameConv!$G$4:$M$4,0)),"","*")</f>
        <v/>
      </c>
      <c r="B9" s="510" t="s">
        <v>352</v>
      </c>
      <c r="C9" s="419" t="str">
        <f ca="1">OFFSET(NameConv!$F$4,0,H9)&amp;OFFSET(NameConv!$AX$4,0,I9)</f>
        <v>AGRCO2S</v>
      </c>
      <c r="D9" s="419" t="str">
        <f ca="1">IF($A9="",OFFSET(NameConv!$F$3,0,H9)&amp;" "&amp;OFFSET(NameConv!$AX$3,0,I9),"")</f>
        <v>Agriculture Carbon dioxide South Africa</v>
      </c>
      <c r="E9" s="510" t="s">
        <v>355</v>
      </c>
      <c r="F9" s="510" t="s">
        <v>356</v>
      </c>
      <c r="G9" s="422"/>
      <c r="H9" s="738">
        <f>Index!$A$2</f>
        <v>1</v>
      </c>
      <c r="I9" s="495">
        <v>1</v>
      </c>
    </row>
    <row r="10" spans="1:9">
      <c r="A10" s="883" t="str">
        <f ca="1">IF(INDEX(Demand.Sectors,MATCH(LEFT(C10,3),NameConv!$G$4:$M$4,0)),"","*")</f>
        <v/>
      </c>
      <c r="B10" s="510" t="s">
        <v>352</v>
      </c>
      <c r="C10" s="419" t="str">
        <f ca="1">OFFSET(NameConv!$F$4,0,H10)&amp;OFFSET(NameConv!$AX$4,0,I10)</f>
        <v>AGRCH4S</v>
      </c>
      <c r="D10" s="419" t="str">
        <f ca="1">IF($A10="",OFFSET(NameConv!$F$3,0,H10)&amp;" "&amp;OFFSET(NameConv!$AX$3,0,I10),"")</f>
        <v>Agriculture Methane South Africa</v>
      </c>
      <c r="E10" s="510" t="s">
        <v>355</v>
      </c>
      <c r="F10" s="510" t="s">
        <v>356</v>
      </c>
      <c r="G10" s="422"/>
      <c r="H10" s="526">
        <f ca="1">IF(I9=SUMIF(NameConv!$G$4:$M$4,LEFT(C9,3),NameConv!$G$1:$M$1),H9+1,H9)</f>
        <v>1</v>
      </c>
      <c r="I10" s="526">
        <f ca="1">IF(H10=H9,I9+1,1)</f>
        <v>2</v>
      </c>
    </row>
    <row r="11" spans="1:9">
      <c r="A11" s="883" t="str">
        <f ca="1">IF(INDEX(Demand.Sectors,MATCH(LEFT(C11,3),NameConv!$G$4:$M$4,0)),"","*")</f>
        <v/>
      </c>
      <c r="B11" s="510" t="s">
        <v>352</v>
      </c>
      <c r="C11" s="419" t="str">
        <f ca="1">OFFSET(NameConv!$F$4,0,H11)&amp;OFFSET(NameConv!$AX$4,0,I11)</f>
        <v>AGRN2OS</v>
      </c>
      <c r="D11" s="419" t="str">
        <f ca="1">IF($A11="",OFFSET(NameConv!$F$3,0,H11)&amp;" "&amp;OFFSET(NameConv!$AX$3,0,I11),"")</f>
        <v>Agriculture Nitrous Oxide South Africa</v>
      </c>
      <c r="E11" s="510" t="s">
        <v>355</v>
      </c>
      <c r="F11" s="510" t="s">
        <v>356</v>
      </c>
      <c r="G11" s="422"/>
      <c r="H11" s="526">
        <f ca="1">IF(I10=SUMIF(NameConv!$G$4:$M$4,LEFT(C10,3),NameConv!$G$1:$M$1),H10+1,H10)</f>
        <v>1</v>
      </c>
      <c r="I11" s="526">
        <f t="shared" ref="I11:I32" ca="1" si="0">IF(H11=H10,I10+1,1)</f>
        <v>3</v>
      </c>
    </row>
    <row r="12" spans="1:9">
      <c r="A12" s="883" t="str">
        <f ca="1">IF(INDEX(Demand.Sectors,MATCH(LEFT(C12,3),NameConv!$G$4:$M$4,0)),"","*")</f>
        <v/>
      </c>
      <c r="B12" s="510" t="s">
        <v>352</v>
      </c>
      <c r="C12" s="419" t="str">
        <f ca="1">OFFSET(NameConv!$F$4,0,H12)&amp;OFFSET(NameConv!$AX$4,0,I12)</f>
        <v>AGRSOXS</v>
      </c>
      <c r="D12" s="419" t="str">
        <f ca="1">IF($A12="",OFFSET(NameConv!$F$3,0,H12)&amp;" "&amp;OFFSET(NameConv!$AX$3,0,I12),"")</f>
        <v>Agriculture Sulphur gases South Africa</v>
      </c>
      <c r="E12" s="510" t="s">
        <v>355</v>
      </c>
      <c r="F12" s="510" t="s">
        <v>356</v>
      </c>
      <c r="G12" s="422"/>
      <c r="H12" s="526">
        <f ca="1">IF(I11=SUMIF(NameConv!$G$4:$M$4,LEFT(C11,3),NameConv!$G$1:$M$1),H11+1,H11)</f>
        <v>1</v>
      </c>
      <c r="I12" s="526">
        <f t="shared" ca="1" si="0"/>
        <v>4</v>
      </c>
    </row>
    <row r="13" spans="1:9">
      <c r="A13" s="883" t="str">
        <f ca="1">IF(INDEX(Demand.Sectors,MATCH(LEFT(C13,3),NameConv!$G$4:$M$4,0)),"","*")</f>
        <v/>
      </c>
      <c r="B13" s="510" t="s">
        <v>352</v>
      </c>
      <c r="C13" s="419" t="str">
        <f ca="1">OFFSET(NameConv!$F$4,0,H13)&amp;OFFSET(NameConv!$AX$4,0,I13)</f>
        <v>AGRNOXS</v>
      </c>
      <c r="D13" s="419" t="str">
        <f ca="1">IF($A13="",OFFSET(NameConv!$F$3,0,H13)&amp;" "&amp;OFFSET(NameConv!$AX$3,0,I13),"")</f>
        <v>Agriculture Nitrogen gases South Africa</v>
      </c>
      <c r="E13" s="510" t="s">
        <v>355</v>
      </c>
      <c r="F13" s="510" t="s">
        <v>356</v>
      </c>
      <c r="G13" s="422"/>
      <c r="H13" s="526">
        <f ca="1">IF(I12=SUMIF(NameConv!$G$4:$M$4,LEFT(C12,3),NameConv!$G$1:$M$1),H12+1,H12)</f>
        <v>1</v>
      </c>
      <c r="I13" s="526">
        <f t="shared" ca="1" si="0"/>
        <v>5</v>
      </c>
    </row>
    <row r="14" spans="1:9">
      <c r="A14" s="883" t="str">
        <f ca="1">IF(INDEX(Demand.Sectors,MATCH(LEFT(C14,3),NameConv!$G$4:$M$4,0)),"","*")</f>
        <v/>
      </c>
      <c r="B14" s="510" t="s">
        <v>352</v>
      </c>
      <c r="C14" s="419" t="str">
        <f ca="1">OFFSET(NameConv!$F$4,0,H14)&amp;OFFSET(NameConv!$AX$4,0,I14)</f>
        <v>AGRCMOX</v>
      </c>
      <c r="D14" s="419" t="str">
        <f ca="1">IF($A14="",OFFSET(NameConv!$F$3,0,H14)&amp;" "&amp;OFFSET(NameConv!$AX$3,0,I14),"")</f>
        <v>Agriculture Carbon monoxide South Africa</v>
      </c>
      <c r="E14" s="510" t="s">
        <v>355</v>
      </c>
      <c r="F14" s="510" t="s">
        <v>356</v>
      </c>
      <c r="G14" s="422"/>
      <c r="H14" s="526">
        <f ca="1">IF(I13=SUMIF(NameConv!$G$4:$M$4,LEFT(C13,3),NameConv!$G$1:$M$1),H13+1,H13)</f>
        <v>1</v>
      </c>
      <c r="I14" s="526">
        <f t="shared" ca="1" si="0"/>
        <v>6</v>
      </c>
    </row>
    <row r="15" spans="1:9">
      <c r="A15" s="883" t="str">
        <f ca="1">IF(INDEX(Demand.Sectors,MATCH(LEFT(C15,3),NameConv!$G$4:$M$4,0)),"","*")</f>
        <v/>
      </c>
      <c r="B15" s="510" t="s">
        <v>352</v>
      </c>
      <c r="C15" s="419" t="str">
        <f ca="1">OFFSET(NameConv!$F$4,0,H15)&amp;OFFSET(NameConv!$AX$4,0,I15)</f>
        <v>AGRNMVS</v>
      </c>
      <c r="D15" s="419" t="str">
        <f ca="1">IF($A15="",OFFSET(NameConv!$F$3,0,H15)&amp;" "&amp;OFFSET(NameConv!$AX$3,0,I15),"")</f>
        <v>Agriculture NMVOCs South Africa</v>
      </c>
      <c r="E15" s="510" t="s">
        <v>355</v>
      </c>
      <c r="F15" s="510" t="s">
        <v>356</v>
      </c>
      <c r="G15" s="422"/>
      <c r="H15" s="526">
        <f ca="1">IF(I14=SUMIF(NameConv!$G$4:$M$4,LEFT(C14,3),NameConv!$G$1:$M$1),H14+1,H14)</f>
        <v>1</v>
      </c>
      <c r="I15" s="526">
        <f t="shared" ca="1" si="0"/>
        <v>7</v>
      </c>
    </row>
    <row r="16" spans="1:9">
      <c r="A16" s="883" t="str">
        <f ca="1">IF(INDEX(Demand.Sectors,MATCH(LEFT(C16,3),NameConv!$G$4:$M$4,0)),"","*")</f>
        <v/>
      </c>
      <c r="B16" s="510" t="s">
        <v>352</v>
      </c>
      <c r="C16" s="419" t="str">
        <f ca="1">OFFSET(NameConv!$F$4,0,H16)&amp;OFFSET(NameConv!$AX$4,0,I16)</f>
        <v>AGRP10S</v>
      </c>
      <c r="D16" s="419" t="str">
        <f ca="1">IF($A16="",OFFSET(NameConv!$F$3,0,H16)&amp;" "&amp;OFFSET(NameConv!$AX$3,0,I16),"")</f>
        <v>Agriculture PM10 South Africa</v>
      </c>
      <c r="E16" s="510" t="s">
        <v>355</v>
      </c>
      <c r="F16" s="510" t="s">
        <v>356</v>
      </c>
      <c r="G16" s="422"/>
      <c r="H16" s="526">
        <f ca="1">IF(I15=SUMIF(NameConv!$G$4:$M$4,LEFT(C15,3),NameConv!$G$1:$M$1),H15+1,H15)</f>
        <v>1</v>
      </c>
      <c r="I16" s="526">
        <f t="shared" ca="1" si="0"/>
        <v>8</v>
      </c>
    </row>
    <row r="17" spans="1:9">
      <c r="A17" s="883" t="str">
        <f ca="1">IF(INDEX(Demand.Sectors,MATCH(LEFT(C17,3),NameConv!$G$4:$M$4,0)),"","*")</f>
        <v/>
      </c>
      <c r="B17" s="510" t="s">
        <v>352</v>
      </c>
      <c r="C17" s="419" t="str">
        <f ca="1">OFFSET(NameConv!$F$4,0,H17)&amp;OFFSET(NameConv!$AX$4,0,I17)</f>
        <v>COMCO2S</v>
      </c>
      <c r="D17" s="419" t="str">
        <f ca="1">IF($A17="",OFFSET(NameConv!$F$3,0,H17)&amp;" "&amp;OFFSET(NameConv!$AX$3,0,I17),"")</f>
        <v>Commercial Carbon dioxide South Africa</v>
      </c>
      <c r="E17" s="510" t="s">
        <v>355</v>
      </c>
      <c r="F17" s="510" t="s">
        <v>356</v>
      </c>
      <c r="G17" s="422"/>
      <c r="H17" s="526">
        <f ca="1">IF(I16=SUMIF(NameConv!$G$4:$M$4,LEFT(C16,3),NameConv!$G$1:$M$1),H16+1,H16)</f>
        <v>2</v>
      </c>
      <c r="I17" s="526">
        <f t="shared" ca="1" si="0"/>
        <v>1</v>
      </c>
    </row>
    <row r="18" spans="1:9">
      <c r="A18" s="883" t="str">
        <f ca="1">IF(INDEX(Demand.Sectors,MATCH(LEFT(C18,3),NameConv!$G$4:$M$4,0)),"","*")</f>
        <v/>
      </c>
      <c r="B18" s="510" t="s">
        <v>352</v>
      </c>
      <c r="C18" s="419" t="str">
        <f ca="1">OFFSET(NameConv!$F$4,0,H18)&amp;OFFSET(NameConv!$AX$4,0,I18)</f>
        <v>COMCH4S</v>
      </c>
      <c r="D18" s="419" t="str">
        <f ca="1">IF($A18="",OFFSET(NameConv!$F$3,0,H18)&amp;" "&amp;OFFSET(NameConv!$AX$3,0,I18),"")</f>
        <v>Commercial Methane South Africa</v>
      </c>
      <c r="E18" s="510" t="s">
        <v>355</v>
      </c>
      <c r="F18" s="510" t="s">
        <v>356</v>
      </c>
      <c r="G18" s="422"/>
      <c r="H18" s="526">
        <f ca="1">IF(I17=SUMIF(NameConv!$G$4:$M$4,LEFT(C17,3),NameConv!$G$1:$M$1),H17+1,H17)</f>
        <v>2</v>
      </c>
      <c r="I18" s="526">
        <f t="shared" ca="1" si="0"/>
        <v>2</v>
      </c>
    </row>
    <row r="19" spans="1:9">
      <c r="A19" s="883" t="str">
        <f ca="1">IF(INDEX(Demand.Sectors,MATCH(LEFT(C19,3),NameConv!$G$4:$M$4,0)),"","*")</f>
        <v/>
      </c>
      <c r="B19" s="510" t="s">
        <v>352</v>
      </c>
      <c r="C19" s="419" t="str">
        <f ca="1">OFFSET(NameConv!$F$4,0,H19)&amp;OFFSET(NameConv!$AX$4,0,I19)</f>
        <v>COMN2OS</v>
      </c>
      <c r="D19" s="419" t="str">
        <f ca="1">IF($A19="",OFFSET(NameConv!$F$3,0,H19)&amp;" "&amp;OFFSET(NameConv!$AX$3,0,I19),"")</f>
        <v>Commercial Nitrous Oxide South Africa</v>
      </c>
      <c r="E19" s="510" t="s">
        <v>355</v>
      </c>
      <c r="F19" s="510" t="s">
        <v>356</v>
      </c>
      <c r="G19" s="422"/>
      <c r="H19" s="526">
        <f ca="1">IF(I18=SUMIF(NameConv!$G$4:$M$4,LEFT(C18,3),NameConv!$G$1:$M$1),H18+1,H18)</f>
        <v>2</v>
      </c>
      <c r="I19" s="526">
        <f t="shared" ca="1" si="0"/>
        <v>3</v>
      </c>
    </row>
    <row r="20" spans="1:9">
      <c r="A20" s="883" t="str">
        <f ca="1">IF(INDEX(Demand.Sectors,MATCH(LEFT(C20,3),NameConv!$G$4:$M$4,0)),"","*")</f>
        <v/>
      </c>
      <c r="B20" s="510" t="s">
        <v>352</v>
      </c>
      <c r="C20" s="419" t="str">
        <f ca="1">OFFSET(NameConv!$F$4,0,H20)&amp;OFFSET(NameConv!$AX$4,0,I20)</f>
        <v>COMSOXS</v>
      </c>
      <c r="D20" s="419" t="str">
        <f ca="1">IF($A20="",OFFSET(NameConv!$F$3,0,H20)&amp;" "&amp;OFFSET(NameConv!$AX$3,0,I20),"")</f>
        <v>Commercial Sulphur gases South Africa</v>
      </c>
      <c r="E20" s="510" t="s">
        <v>355</v>
      </c>
      <c r="F20" s="510" t="s">
        <v>356</v>
      </c>
      <c r="G20" s="422"/>
      <c r="H20" s="526">
        <f ca="1">IF(I19=SUMIF(NameConv!$G$4:$M$4,LEFT(C19,3),NameConv!$G$1:$M$1),H19+1,H19)</f>
        <v>2</v>
      </c>
      <c r="I20" s="526">
        <f t="shared" ca="1" si="0"/>
        <v>4</v>
      </c>
    </row>
    <row r="21" spans="1:9">
      <c r="A21" s="883" t="str">
        <f ca="1">IF(INDEX(Demand.Sectors,MATCH(LEFT(C21,3),NameConv!$G$4:$M$4,0)),"","*")</f>
        <v/>
      </c>
      <c r="B21" s="510" t="s">
        <v>352</v>
      </c>
      <c r="C21" s="419" t="str">
        <f ca="1">OFFSET(NameConv!$F$4,0,H21)&amp;OFFSET(NameConv!$AX$4,0,I21)</f>
        <v>COMNOXS</v>
      </c>
      <c r="D21" s="419" t="str">
        <f ca="1">IF($A21="",OFFSET(NameConv!$F$3,0,H21)&amp;" "&amp;OFFSET(NameConv!$AX$3,0,I21),"")</f>
        <v>Commercial Nitrogen gases South Africa</v>
      </c>
      <c r="E21" s="510" t="s">
        <v>355</v>
      </c>
      <c r="F21" s="510" t="s">
        <v>356</v>
      </c>
      <c r="G21" s="422"/>
      <c r="H21" s="526">
        <f ca="1">IF(I20=SUMIF(NameConv!$G$4:$M$4,LEFT(C20,3),NameConv!$G$1:$M$1),H20+1,H20)</f>
        <v>2</v>
      </c>
      <c r="I21" s="526">
        <f t="shared" ca="1" si="0"/>
        <v>5</v>
      </c>
    </row>
    <row r="22" spans="1:9">
      <c r="A22" s="883" t="str">
        <f ca="1">IF(INDEX(Demand.Sectors,MATCH(LEFT(C22,3),NameConv!$G$4:$M$4,0)),"","*")</f>
        <v/>
      </c>
      <c r="B22" s="510" t="s">
        <v>352</v>
      </c>
      <c r="C22" s="419" t="str">
        <f ca="1">OFFSET(NameConv!$F$4,0,H22)&amp;OFFSET(NameConv!$AX$4,0,I22)</f>
        <v>COMCMOX</v>
      </c>
      <c r="D22" s="419" t="str">
        <f ca="1">IF($A22="",OFFSET(NameConv!$F$3,0,H22)&amp;" "&amp;OFFSET(NameConv!$AX$3,0,I22),"")</f>
        <v>Commercial Carbon monoxide South Africa</v>
      </c>
      <c r="E22" s="510" t="s">
        <v>355</v>
      </c>
      <c r="F22" s="510" t="s">
        <v>356</v>
      </c>
      <c r="G22" s="422"/>
      <c r="H22" s="526">
        <f ca="1">IF(I21=SUMIF(NameConv!$G$4:$M$4,LEFT(C21,3),NameConv!$G$1:$M$1),H21+1,H21)</f>
        <v>2</v>
      </c>
      <c r="I22" s="526">
        <f t="shared" ca="1" si="0"/>
        <v>6</v>
      </c>
    </row>
    <row r="23" spans="1:9">
      <c r="A23" s="883" t="str">
        <f ca="1">IF(INDEX(Demand.Sectors,MATCH(LEFT(C23,3),NameConv!$G$4:$M$4,0)),"","*")</f>
        <v/>
      </c>
      <c r="B23" s="510" t="s">
        <v>352</v>
      </c>
      <c r="C23" s="419" t="str">
        <f ca="1">OFFSET(NameConv!$F$4,0,H23)&amp;OFFSET(NameConv!$AX$4,0,I23)</f>
        <v>COMNMVS</v>
      </c>
      <c r="D23" s="419" t="str">
        <f ca="1">IF($A23="",OFFSET(NameConv!$F$3,0,H23)&amp;" "&amp;OFFSET(NameConv!$AX$3,0,I23),"")</f>
        <v>Commercial NMVOCs South Africa</v>
      </c>
      <c r="E23" s="510" t="s">
        <v>355</v>
      </c>
      <c r="F23" s="510" t="s">
        <v>356</v>
      </c>
      <c r="G23" s="422"/>
      <c r="H23" s="526">
        <f ca="1">IF(I22=SUMIF(NameConv!$G$4:$M$4,LEFT(C22,3),NameConv!$G$1:$M$1),H22+1,H22)</f>
        <v>2</v>
      </c>
      <c r="I23" s="526">
        <f t="shared" ca="1" si="0"/>
        <v>7</v>
      </c>
    </row>
    <row r="24" spans="1:9">
      <c r="A24" s="883" t="str">
        <f ca="1">IF(INDEX(Demand.Sectors,MATCH(LEFT(C24,3),NameConv!$G$4:$M$4,0)),"","*")</f>
        <v/>
      </c>
      <c r="B24" s="510" t="s">
        <v>352</v>
      </c>
      <c r="C24" s="419" t="str">
        <f ca="1">OFFSET(NameConv!$F$4,0,H24)&amp;OFFSET(NameConv!$AX$4,0,I24)</f>
        <v>COMP10S</v>
      </c>
      <c r="D24" s="419" t="str">
        <f ca="1">IF($A24="",OFFSET(NameConv!$F$3,0,H24)&amp;" "&amp;OFFSET(NameConv!$AX$3,0,I24),"")</f>
        <v>Commercial PM10 South Africa</v>
      </c>
      <c r="E24" s="510" t="s">
        <v>355</v>
      </c>
      <c r="F24" s="510" t="s">
        <v>356</v>
      </c>
      <c r="G24" s="422"/>
      <c r="H24" s="526">
        <f ca="1">IF(I23=SUMIF(NameConv!$G$4:$M$4,LEFT(C23,3),NameConv!$G$1:$M$1),H23+1,H23)</f>
        <v>2</v>
      </c>
      <c r="I24" s="526">
        <f t="shared" ca="1" si="0"/>
        <v>8</v>
      </c>
    </row>
    <row r="25" spans="1:9">
      <c r="A25" s="883" t="str">
        <f ca="1">IF(INDEX(Demand.Sectors,MATCH(LEFT(C25,3),NameConv!$G$4:$M$4,0)),"","*")</f>
        <v/>
      </c>
      <c r="B25" s="510" t="s">
        <v>352</v>
      </c>
      <c r="C25" s="419" t="str">
        <f ca="1">OFFSET(NameConv!$F$4,0,H25)&amp;OFFSET(NameConv!$AX$4,0,I25)</f>
        <v>INDCO2S</v>
      </c>
      <c r="D25" s="419" t="str">
        <f ca="1">IF($A25="",OFFSET(NameConv!$F$3,0,H25)&amp;" "&amp;OFFSET(NameConv!$AX$3,0,I25),"")</f>
        <v>Industry Carbon dioxide South Africa</v>
      </c>
      <c r="E25" s="510" t="s">
        <v>355</v>
      </c>
      <c r="F25" s="510" t="s">
        <v>356</v>
      </c>
      <c r="G25" s="422"/>
      <c r="H25" s="526">
        <f ca="1">IF(I24=SUMIF(NameConv!$G$4:$M$4,LEFT(C24,3),NameConv!$G$1:$M$1),H24+1,H24)</f>
        <v>3</v>
      </c>
      <c r="I25" s="526">
        <f t="shared" ca="1" si="0"/>
        <v>1</v>
      </c>
    </row>
    <row r="26" spans="1:9">
      <c r="A26" s="883" t="str">
        <f ca="1">IF(INDEX(Demand.Sectors,MATCH(LEFT(C26,3),NameConv!$G$4:$M$4,0)),"","*")</f>
        <v/>
      </c>
      <c r="B26" s="510" t="s">
        <v>352</v>
      </c>
      <c r="C26" s="419" t="str">
        <f ca="1">OFFSET(NameConv!$F$4,0,H26)&amp;OFFSET(NameConv!$AX$4,0,I26)</f>
        <v>INDCH4S</v>
      </c>
      <c r="D26" s="419" t="str">
        <f ca="1">IF($A26="",OFFSET(NameConv!$F$3,0,H26)&amp;" "&amp;OFFSET(NameConv!$AX$3,0,I26),"")</f>
        <v>Industry Methane South Africa</v>
      </c>
      <c r="E26" s="510" t="s">
        <v>355</v>
      </c>
      <c r="F26" s="510" t="s">
        <v>356</v>
      </c>
      <c r="G26" s="422"/>
      <c r="H26" s="526">
        <f ca="1">IF(I25=SUMIF(NameConv!$G$4:$M$4,LEFT(C25,3),NameConv!$G$1:$M$1),H25+1,H25)</f>
        <v>3</v>
      </c>
      <c r="I26" s="526">
        <f t="shared" ca="1" si="0"/>
        <v>2</v>
      </c>
    </row>
    <row r="27" spans="1:9">
      <c r="A27" s="883" t="str">
        <f ca="1">IF(INDEX(Demand.Sectors,MATCH(LEFT(C27,3),NameConv!$G$4:$M$4,0)),"","*")</f>
        <v/>
      </c>
      <c r="B27" s="510" t="s">
        <v>352</v>
      </c>
      <c r="C27" s="419" t="str">
        <f ca="1">OFFSET(NameConv!$F$4,0,H27)&amp;OFFSET(NameConv!$AX$4,0,I27)</f>
        <v>INDN2OS</v>
      </c>
      <c r="D27" s="419" t="str">
        <f ca="1">IF($A27="",OFFSET(NameConv!$F$3,0,H27)&amp;" "&amp;OFFSET(NameConv!$AX$3,0,I27),"")</f>
        <v>Industry Nitrous Oxide South Africa</v>
      </c>
      <c r="E27" s="510" t="s">
        <v>355</v>
      </c>
      <c r="F27" s="510" t="s">
        <v>356</v>
      </c>
      <c r="G27" s="422"/>
      <c r="H27" s="526">
        <f ca="1">IF(I26=SUMIF(NameConv!$G$4:$M$4,LEFT(C26,3),NameConv!$G$1:$M$1),H26+1,H26)</f>
        <v>3</v>
      </c>
      <c r="I27" s="526">
        <f t="shared" ca="1" si="0"/>
        <v>3</v>
      </c>
    </row>
    <row r="28" spans="1:9">
      <c r="A28" s="883" t="str">
        <f ca="1">IF(INDEX(Demand.Sectors,MATCH(LEFT(C28,3),NameConv!$G$4:$M$4,0)),"","*")</f>
        <v/>
      </c>
      <c r="B28" s="510" t="s">
        <v>352</v>
      </c>
      <c r="C28" s="419" t="str">
        <f ca="1">OFFSET(NameConv!$F$4,0,H28)&amp;OFFSET(NameConv!$AX$4,0,I28)</f>
        <v>INDSOXS</v>
      </c>
      <c r="D28" s="419" t="str">
        <f ca="1">IF($A28="",OFFSET(NameConv!$F$3,0,H28)&amp;" "&amp;OFFSET(NameConv!$AX$3,0,I28),"")</f>
        <v>Industry Sulphur gases South Africa</v>
      </c>
      <c r="E28" s="510" t="s">
        <v>355</v>
      </c>
      <c r="F28" s="510" t="s">
        <v>356</v>
      </c>
      <c r="G28" s="422"/>
      <c r="H28" s="526">
        <f ca="1">IF(I27=SUMIF(NameConv!$G$4:$M$4,LEFT(C27,3),NameConv!$G$1:$M$1),H27+1,H27)</f>
        <v>3</v>
      </c>
      <c r="I28" s="526">
        <f t="shared" ca="1" si="0"/>
        <v>4</v>
      </c>
    </row>
    <row r="29" spans="1:9">
      <c r="A29" s="883" t="str">
        <f ca="1">IF(INDEX(Demand.Sectors,MATCH(LEFT(C29,3),NameConv!$G$4:$M$4,0)),"","*")</f>
        <v/>
      </c>
      <c r="B29" s="510" t="s">
        <v>352</v>
      </c>
      <c r="C29" s="419" t="str">
        <f ca="1">OFFSET(NameConv!$F$4,0,H29)&amp;OFFSET(NameConv!$AX$4,0,I29)</f>
        <v>INDNOXS</v>
      </c>
      <c r="D29" s="419" t="str">
        <f ca="1">IF($A29="",OFFSET(NameConv!$F$3,0,H29)&amp;" "&amp;OFFSET(NameConv!$AX$3,0,I29),"")</f>
        <v>Industry Nitrogen gases South Africa</v>
      </c>
      <c r="E29" s="510" t="s">
        <v>355</v>
      </c>
      <c r="F29" s="510" t="s">
        <v>356</v>
      </c>
      <c r="G29" s="422"/>
      <c r="H29" s="526">
        <f ca="1">IF(I28=SUMIF(NameConv!$G$4:$M$4,LEFT(C28,3),NameConv!$G$1:$M$1),H28+1,H28)</f>
        <v>3</v>
      </c>
      <c r="I29" s="526">
        <f t="shared" ca="1" si="0"/>
        <v>5</v>
      </c>
    </row>
    <row r="30" spans="1:9">
      <c r="A30" s="883" t="str">
        <f ca="1">IF(INDEX(Demand.Sectors,MATCH(LEFT(C30,3),NameConv!$G$4:$M$4,0)),"","*")</f>
        <v/>
      </c>
      <c r="B30" s="510" t="s">
        <v>352</v>
      </c>
      <c r="C30" s="419" t="str">
        <f ca="1">OFFSET(NameConv!$F$4,0,H30)&amp;OFFSET(NameConv!$AX$4,0,I30)</f>
        <v>INDCMOX</v>
      </c>
      <c r="D30" s="419" t="str">
        <f ca="1">IF($A30="",OFFSET(NameConv!$F$3,0,H30)&amp;" "&amp;OFFSET(NameConv!$AX$3,0,I30),"")</f>
        <v>Industry Carbon monoxide South Africa</v>
      </c>
      <c r="E30" s="510" t="s">
        <v>355</v>
      </c>
      <c r="F30" s="510" t="s">
        <v>356</v>
      </c>
      <c r="G30" s="422"/>
      <c r="H30" s="526">
        <f ca="1">IF(I29=SUMIF(NameConv!$G$4:$M$4,LEFT(C29,3),NameConv!$G$1:$M$1),H29+1,H29)</f>
        <v>3</v>
      </c>
      <c r="I30" s="526">
        <f t="shared" ca="1" si="0"/>
        <v>6</v>
      </c>
    </row>
    <row r="31" spans="1:9">
      <c r="A31" s="883" t="str">
        <f ca="1">IF(INDEX(Demand.Sectors,MATCH(LEFT(C31,3),NameConv!$G$4:$M$4,0)),"","*")</f>
        <v/>
      </c>
      <c r="B31" s="510" t="s">
        <v>352</v>
      </c>
      <c r="C31" s="419" t="str">
        <f ca="1">OFFSET(NameConv!$F$4,0,H31)&amp;OFFSET(NameConv!$AX$4,0,I31)</f>
        <v>INDNMVS</v>
      </c>
      <c r="D31" s="419" t="str">
        <f ca="1">IF($A31="",OFFSET(NameConv!$F$3,0,H31)&amp;" "&amp;OFFSET(NameConv!$AX$3,0,I31),"")</f>
        <v>Industry NMVOCs South Africa</v>
      </c>
      <c r="E31" s="510" t="s">
        <v>355</v>
      </c>
      <c r="F31" s="510" t="s">
        <v>356</v>
      </c>
      <c r="G31" s="422"/>
      <c r="H31" s="526">
        <f ca="1">IF(I30=SUMIF(NameConv!$G$4:$M$4,LEFT(C30,3),NameConv!$G$1:$M$1),H30+1,H30)</f>
        <v>3</v>
      </c>
      <c r="I31" s="526">
        <f t="shared" ca="1" si="0"/>
        <v>7</v>
      </c>
    </row>
    <row r="32" spans="1:9">
      <c r="A32" s="883" t="str">
        <f ca="1">IF(INDEX(Demand.Sectors,MATCH(LEFT(C32,3),NameConv!$G$4:$M$4,0)),"","*")</f>
        <v/>
      </c>
      <c r="B32" s="510" t="s">
        <v>352</v>
      </c>
      <c r="C32" s="419" t="str">
        <f ca="1">OFFSET(NameConv!$F$4,0,H32)&amp;OFFSET(NameConv!$AX$4,0,I32)</f>
        <v>INDP10S</v>
      </c>
      <c r="D32" s="419" t="str">
        <f ca="1">IF($A32="",OFFSET(NameConv!$F$3,0,H32)&amp;" "&amp;OFFSET(NameConv!$AX$3,0,I32),"")</f>
        <v>Industry PM10 South Africa</v>
      </c>
      <c r="E32" s="510" t="s">
        <v>355</v>
      </c>
      <c r="F32" s="510" t="s">
        <v>356</v>
      </c>
      <c r="G32" s="422"/>
      <c r="H32" s="526">
        <f ca="1">IF(I31=SUMIF(NameConv!$G$4:$M$4,LEFT(C31,3),NameConv!$G$1:$M$1),H31+1,H31)</f>
        <v>3</v>
      </c>
      <c r="I32" s="526">
        <f t="shared" ca="1" si="0"/>
        <v>8</v>
      </c>
    </row>
    <row r="33" spans="1:9">
      <c r="A33" s="883" t="str">
        <f ca="1">IF(INDEX(Demand.Sectors,MATCH(LEFT(C33,3),NameConv!$G$4:$M$4,0)),"","*")</f>
        <v/>
      </c>
      <c r="B33" s="510" t="s">
        <v>352</v>
      </c>
      <c r="C33" s="419" t="str">
        <f ca="1">OFFSET(NameConv!$F$4,0,H33)&amp;OFFSET(NameConv!$AX$4,0,I33)</f>
        <v>TRACO2S</v>
      </c>
      <c r="D33" s="419" t="str">
        <f ca="1">IF($A33="",OFFSET(NameConv!$F$3,0,H33)&amp;" "&amp;OFFSET(NameConv!$AX$3,0,I33),"")</f>
        <v>Transport Carbon dioxide South Africa</v>
      </c>
      <c r="E33" s="510" t="s">
        <v>355</v>
      </c>
      <c r="F33" s="510" t="s">
        <v>356</v>
      </c>
      <c r="G33" s="422"/>
      <c r="H33" s="526">
        <f ca="1">IF(I32=SUMIF(NameConv!$G$4:$M$4,LEFT(C32,3),NameConv!$G$1:$M$1),H32+1,H32)</f>
        <v>4</v>
      </c>
      <c r="I33" s="526">
        <f t="shared" ref="I33:I40" ca="1" si="1">IF(H33=H32,I32+1,1)</f>
        <v>1</v>
      </c>
    </row>
    <row r="34" spans="1:9">
      <c r="A34" s="883" t="str">
        <f ca="1">IF(INDEX(Demand.Sectors,MATCH(LEFT(C34,3),NameConv!$G$4:$M$4,0)),"","*")</f>
        <v/>
      </c>
      <c r="B34" s="510" t="s">
        <v>352</v>
      </c>
      <c r="C34" s="419" t="str">
        <f ca="1">OFFSET(NameConv!$F$4,0,H34)&amp;OFFSET(NameConv!$AX$4,0,I34)</f>
        <v>TRACH4S</v>
      </c>
      <c r="D34" s="419" t="str">
        <f ca="1">IF($A34="",OFFSET(NameConv!$F$3,0,H34)&amp;" "&amp;OFFSET(NameConv!$AX$3,0,I34),"")</f>
        <v>Transport Methane South Africa</v>
      </c>
      <c r="E34" s="510" t="s">
        <v>355</v>
      </c>
      <c r="F34" s="510" t="s">
        <v>356</v>
      </c>
      <c r="G34" s="422"/>
      <c r="H34" s="526">
        <f ca="1">IF(I33=SUMIF(NameConv!$G$4:$M$4,LEFT(C33,3),NameConv!$G$1:$M$1),H33+1,H33)</f>
        <v>4</v>
      </c>
      <c r="I34" s="526">
        <f t="shared" ca="1" si="1"/>
        <v>2</v>
      </c>
    </row>
    <row r="35" spans="1:9">
      <c r="A35" s="883" t="str">
        <f ca="1">IF(INDEX(Demand.Sectors,MATCH(LEFT(C35,3),NameConv!$G$4:$M$4,0)),"","*")</f>
        <v/>
      </c>
      <c r="B35" s="510" t="s">
        <v>352</v>
      </c>
      <c r="C35" s="419" t="str">
        <f ca="1">OFFSET(NameConv!$F$4,0,H35)&amp;OFFSET(NameConv!$AX$4,0,I35)</f>
        <v>TRAN2OS</v>
      </c>
      <c r="D35" s="419" t="str">
        <f ca="1">IF($A35="",OFFSET(NameConv!$F$3,0,H35)&amp;" "&amp;OFFSET(NameConv!$AX$3,0,I35),"")</f>
        <v>Transport Nitrous Oxide South Africa</v>
      </c>
      <c r="E35" s="510" t="s">
        <v>355</v>
      </c>
      <c r="F35" s="510" t="s">
        <v>356</v>
      </c>
      <c r="G35" s="422"/>
      <c r="H35" s="526">
        <f ca="1">IF(I34=SUMIF(NameConv!$G$4:$M$4,LEFT(C34,3),NameConv!$G$1:$M$1),H34+1,H34)</f>
        <v>4</v>
      </c>
      <c r="I35" s="526">
        <f t="shared" ca="1" si="1"/>
        <v>3</v>
      </c>
    </row>
    <row r="36" spans="1:9">
      <c r="A36" s="883" t="str">
        <f ca="1">IF(INDEX(Demand.Sectors,MATCH(LEFT(C36,3),NameConv!$G$4:$M$4,0)),"","*")</f>
        <v/>
      </c>
      <c r="B36" s="510" t="s">
        <v>352</v>
      </c>
      <c r="C36" s="419" t="str">
        <f ca="1">OFFSET(NameConv!$F$4,0,H36)&amp;OFFSET(NameConv!$AX$4,0,I36)</f>
        <v>TRASOXS</v>
      </c>
      <c r="D36" s="419" t="str">
        <f ca="1">IF($A36="",OFFSET(NameConv!$F$3,0,H36)&amp;" "&amp;OFFSET(NameConv!$AX$3,0,I36),"")</f>
        <v>Transport Sulphur gases South Africa</v>
      </c>
      <c r="E36" s="510" t="s">
        <v>355</v>
      </c>
      <c r="F36" s="510" t="s">
        <v>356</v>
      </c>
      <c r="G36" s="422"/>
      <c r="H36" s="526">
        <f ca="1">IF(I35=SUMIF(NameConv!$G$4:$M$4,LEFT(C35,3),NameConv!$G$1:$M$1),H35+1,H35)</f>
        <v>4</v>
      </c>
      <c r="I36" s="526">
        <f t="shared" ca="1" si="1"/>
        <v>4</v>
      </c>
    </row>
    <row r="37" spans="1:9">
      <c r="A37" s="883" t="str">
        <f ca="1">IF(INDEX(Demand.Sectors,MATCH(LEFT(C37,3),NameConv!$G$4:$M$4,0)),"","*")</f>
        <v/>
      </c>
      <c r="B37" s="510" t="s">
        <v>352</v>
      </c>
      <c r="C37" s="419" t="str">
        <f ca="1">OFFSET(NameConv!$F$4,0,H37)&amp;OFFSET(NameConv!$AX$4,0,I37)</f>
        <v>TRANOXS</v>
      </c>
      <c r="D37" s="419" t="str">
        <f ca="1">IF($A37="",OFFSET(NameConv!$F$3,0,H37)&amp;" "&amp;OFFSET(NameConv!$AX$3,0,I37),"")</f>
        <v>Transport Nitrogen gases South Africa</v>
      </c>
      <c r="E37" s="510" t="s">
        <v>355</v>
      </c>
      <c r="F37" s="510" t="s">
        <v>356</v>
      </c>
      <c r="G37" s="422"/>
      <c r="H37" s="526">
        <f ca="1">IF(I36=SUMIF(NameConv!$G$4:$M$4,LEFT(C36,3),NameConv!$G$1:$M$1),H36+1,H36)</f>
        <v>4</v>
      </c>
      <c r="I37" s="526">
        <f t="shared" ca="1" si="1"/>
        <v>5</v>
      </c>
    </row>
    <row r="38" spans="1:9">
      <c r="A38" s="883" t="str">
        <f ca="1">IF(INDEX(Demand.Sectors,MATCH(LEFT(C38,3),NameConv!$G$4:$M$4,0)),"","*")</f>
        <v/>
      </c>
      <c r="B38" s="510" t="s">
        <v>352</v>
      </c>
      <c r="C38" s="419" t="str">
        <f ca="1">OFFSET(NameConv!$F$4,0,H38)&amp;OFFSET(NameConv!$AX$4,0,I38)</f>
        <v>TRACMOX</v>
      </c>
      <c r="D38" s="419" t="str">
        <f ca="1">IF($A38="",OFFSET(NameConv!$F$3,0,H38)&amp;" "&amp;OFFSET(NameConv!$AX$3,0,I38),"")</f>
        <v>Transport Carbon monoxide South Africa</v>
      </c>
      <c r="E38" s="510" t="s">
        <v>355</v>
      </c>
      <c r="F38" s="510" t="s">
        <v>356</v>
      </c>
      <c r="G38" s="422"/>
      <c r="H38" s="526">
        <f ca="1">IF(I37=SUMIF(NameConv!$G$4:$M$4,LEFT(C37,3),NameConv!$G$1:$M$1),H37+1,H37)</f>
        <v>4</v>
      </c>
      <c r="I38" s="526">
        <f t="shared" ca="1" si="1"/>
        <v>6</v>
      </c>
    </row>
    <row r="39" spans="1:9">
      <c r="A39" s="883" t="str">
        <f ca="1">IF(INDEX(Demand.Sectors,MATCH(LEFT(C39,3),NameConv!$G$4:$M$4,0)),"","*")</f>
        <v/>
      </c>
      <c r="B39" s="510" t="s">
        <v>352</v>
      </c>
      <c r="C39" s="419" t="str">
        <f ca="1">OFFSET(NameConv!$F$4,0,H39)&amp;OFFSET(NameConv!$AX$4,0,I39)</f>
        <v>TRANMVS</v>
      </c>
      <c r="D39" s="419" t="str">
        <f ca="1">IF($A39="",OFFSET(NameConv!$F$3,0,H39)&amp;" "&amp;OFFSET(NameConv!$AX$3,0,I39),"")</f>
        <v>Transport NMVOCs South Africa</v>
      </c>
      <c r="E39" s="510" t="s">
        <v>355</v>
      </c>
      <c r="F39" s="510" t="s">
        <v>356</v>
      </c>
      <c r="G39" s="422"/>
      <c r="H39" s="526">
        <f ca="1">IF(I38=SUMIF(NameConv!$G$4:$M$4,LEFT(C38,3),NameConv!$G$1:$M$1),H38+1,H38)</f>
        <v>4</v>
      </c>
      <c r="I39" s="526">
        <f t="shared" ca="1" si="1"/>
        <v>7</v>
      </c>
    </row>
    <row r="40" spans="1:9">
      <c r="A40" s="883" t="str">
        <f ca="1">IF(INDEX(Demand.Sectors,MATCH(LEFT(C40,3),NameConv!$G$4:$M$4,0)),"","*")</f>
        <v/>
      </c>
      <c r="B40" s="510" t="s">
        <v>352</v>
      </c>
      <c r="C40" s="419" t="str">
        <f ca="1">OFFSET(NameConv!$F$4,0,H40)&amp;OFFSET(NameConv!$AX$4,0,I40)</f>
        <v>TRAP10S</v>
      </c>
      <c r="D40" s="419" t="str">
        <f ca="1">IF($A40="",OFFSET(NameConv!$F$3,0,H40)&amp;" "&amp;OFFSET(NameConv!$AX$3,0,I40),"")</f>
        <v>Transport PM10 South Africa</v>
      </c>
      <c r="E40" s="510" t="s">
        <v>355</v>
      </c>
      <c r="F40" s="510" t="s">
        <v>356</v>
      </c>
      <c r="G40" s="422"/>
      <c r="H40" s="526">
        <f ca="1">IF(I39=SUMIF(NameConv!$G$4:$M$4,LEFT(C39,3),NameConv!$G$1:$M$1),H39+1,H39)</f>
        <v>4</v>
      </c>
      <c r="I40" s="526">
        <f t="shared" ca="1" si="1"/>
        <v>8</v>
      </c>
    </row>
    <row r="41" spans="1:9">
      <c r="A41" s="883" t="str">
        <f ca="1">IF(INDEX(Demand.Sectors,MATCH(LEFT(C41,3),NameConv!$G$4:$M$4,0)),"","*")</f>
        <v/>
      </c>
      <c r="B41" s="510" t="s">
        <v>352</v>
      </c>
      <c r="C41" s="419" t="str">
        <f ca="1">OFFSET(NameConv!$F$4,0,H41)&amp;OFFSET(NameConv!$AX$4,0,I41)</f>
        <v>RESCO2S</v>
      </c>
      <c r="D41" s="419" t="str">
        <f ca="1">IF($A41="",OFFSET(NameConv!$F$3,0,H41)&amp;" "&amp;OFFSET(NameConv!$AX$3,0,I41),"")</f>
        <v>Residential Carbon dioxide South Africa</v>
      </c>
      <c r="E41" s="510" t="s">
        <v>355</v>
      </c>
      <c r="F41" s="510" t="s">
        <v>356</v>
      </c>
      <c r="G41" s="422"/>
      <c r="H41" s="526">
        <f ca="1">IF(I40=SUMIF(NameConv!$G$4:$M$4,LEFT(C40,3),NameConv!$G$1:$M$1),H40+1,H40)</f>
        <v>5</v>
      </c>
      <c r="I41" s="526">
        <f t="shared" ref="I41:I48" ca="1" si="2">IF(H41=H40,I40+1,1)</f>
        <v>1</v>
      </c>
    </row>
    <row r="42" spans="1:9">
      <c r="A42" s="883" t="str">
        <f ca="1">IF(INDEX(Demand.Sectors,MATCH(LEFT(C42,3),NameConv!$G$4:$M$4,0)),"","*")</f>
        <v/>
      </c>
      <c r="B42" s="510" t="s">
        <v>352</v>
      </c>
      <c r="C42" s="419" t="str">
        <f ca="1">OFFSET(NameConv!$F$4,0,H42)&amp;OFFSET(NameConv!$AX$4,0,I42)</f>
        <v>RESCH4S</v>
      </c>
      <c r="D42" s="419" t="str">
        <f ca="1">IF($A42="",OFFSET(NameConv!$F$3,0,H42)&amp;" "&amp;OFFSET(NameConv!$AX$3,0,I42),"")</f>
        <v>Residential Methane South Africa</v>
      </c>
      <c r="E42" s="510" t="s">
        <v>355</v>
      </c>
      <c r="F42" s="510" t="s">
        <v>356</v>
      </c>
      <c r="G42" s="422"/>
      <c r="H42" s="526">
        <f ca="1">IF(I41=SUMIF(NameConv!$G$4:$M$4,LEFT(C41,3),NameConv!$G$1:$M$1),H41+1,H41)</f>
        <v>5</v>
      </c>
      <c r="I42" s="526">
        <f t="shared" ca="1" si="2"/>
        <v>2</v>
      </c>
    </row>
    <row r="43" spans="1:9">
      <c r="A43" s="883" t="str">
        <f ca="1">IF(INDEX(Demand.Sectors,MATCH(LEFT(C43,3),NameConv!$G$4:$M$4,0)),"","*")</f>
        <v/>
      </c>
      <c r="B43" s="510" t="s">
        <v>352</v>
      </c>
      <c r="C43" s="419" t="str">
        <f ca="1">OFFSET(NameConv!$F$4,0,H43)&amp;OFFSET(NameConv!$AX$4,0,I43)</f>
        <v>RESN2OS</v>
      </c>
      <c r="D43" s="419" t="str">
        <f ca="1">IF($A43="",OFFSET(NameConv!$F$3,0,H43)&amp;" "&amp;OFFSET(NameConv!$AX$3,0,I43),"")</f>
        <v>Residential Nitrous Oxide South Africa</v>
      </c>
      <c r="E43" s="510" t="s">
        <v>355</v>
      </c>
      <c r="F43" s="510" t="s">
        <v>356</v>
      </c>
      <c r="G43" s="422"/>
      <c r="H43" s="526">
        <f ca="1">IF(I42=SUMIF(NameConv!$G$4:$M$4,LEFT(C42,3),NameConv!$G$1:$M$1),H42+1,H42)</f>
        <v>5</v>
      </c>
      <c r="I43" s="526">
        <f t="shared" ca="1" si="2"/>
        <v>3</v>
      </c>
    </row>
    <row r="44" spans="1:9">
      <c r="A44" s="883" t="str">
        <f ca="1">IF(INDEX(Demand.Sectors,MATCH(LEFT(C44,3),NameConv!$G$4:$M$4,0)),"","*")</f>
        <v/>
      </c>
      <c r="B44" s="510" t="s">
        <v>352</v>
      </c>
      <c r="C44" s="419" t="str">
        <f ca="1">OFFSET(NameConv!$F$4,0,H44)&amp;OFFSET(NameConv!$AX$4,0,I44)</f>
        <v>RESSOXS</v>
      </c>
      <c r="D44" s="419" t="str">
        <f ca="1">IF($A44="",OFFSET(NameConv!$F$3,0,H44)&amp;" "&amp;OFFSET(NameConv!$AX$3,0,I44),"")</f>
        <v>Residential Sulphur gases South Africa</v>
      </c>
      <c r="E44" s="510" t="s">
        <v>355</v>
      </c>
      <c r="F44" s="510" t="s">
        <v>356</v>
      </c>
      <c r="G44" s="422"/>
      <c r="H44" s="526">
        <f ca="1">IF(I43=SUMIF(NameConv!$G$4:$M$4,LEFT(C43,3),NameConv!$G$1:$M$1),H43+1,H43)</f>
        <v>5</v>
      </c>
      <c r="I44" s="526">
        <f t="shared" ca="1" si="2"/>
        <v>4</v>
      </c>
    </row>
    <row r="45" spans="1:9">
      <c r="A45" s="883" t="str">
        <f ca="1">IF(INDEX(Demand.Sectors,MATCH(LEFT(C45,3),NameConv!$G$4:$M$4,0)),"","*")</f>
        <v/>
      </c>
      <c r="B45" s="510" t="s">
        <v>352</v>
      </c>
      <c r="C45" s="419" t="str">
        <f ca="1">OFFSET(NameConv!$F$4,0,H45)&amp;OFFSET(NameConv!$AX$4,0,I45)</f>
        <v>RESNOXS</v>
      </c>
      <c r="D45" s="419" t="str">
        <f ca="1">IF($A45="",OFFSET(NameConv!$F$3,0,H45)&amp;" "&amp;OFFSET(NameConv!$AX$3,0,I45),"")</f>
        <v>Residential Nitrogen gases South Africa</v>
      </c>
      <c r="E45" s="510" t="s">
        <v>355</v>
      </c>
      <c r="F45" s="510" t="s">
        <v>356</v>
      </c>
      <c r="G45" s="422"/>
      <c r="H45" s="526">
        <f ca="1">IF(I44=SUMIF(NameConv!$G$4:$M$4,LEFT(C44,3),NameConv!$G$1:$M$1),H44+1,H44)</f>
        <v>5</v>
      </c>
      <c r="I45" s="526">
        <f t="shared" ca="1" si="2"/>
        <v>5</v>
      </c>
    </row>
    <row r="46" spans="1:9">
      <c r="A46" s="883" t="str">
        <f ca="1">IF(INDEX(Demand.Sectors,MATCH(LEFT(C46,3),NameConv!$G$4:$M$4,0)),"","*")</f>
        <v/>
      </c>
      <c r="B46" s="510" t="s">
        <v>352</v>
      </c>
      <c r="C46" s="419" t="str">
        <f ca="1">OFFSET(NameConv!$F$4,0,H46)&amp;OFFSET(NameConv!$AX$4,0,I46)</f>
        <v>RESCMOX</v>
      </c>
      <c r="D46" s="419" t="str">
        <f ca="1">IF($A46="",OFFSET(NameConv!$F$3,0,H46)&amp;" "&amp;OFFSET(NameConv!$AX$3,0,I46),"")</f>
        <v>Residential Carbon monoxide South Africa</v>
      </c>
      <c r="E46" s="510" t="s">
        <v>355</v>
      </c>
      <c r="F46" s="510" t="s">
        <v>356</v>
      </c>
      <c r="G46" s="422"/>
      <c r="H46" s="526">
        <f ca="1">IF(I45=SUMIF(NameConv!$G$4:$M$4,LEFT(C45,3),NameConv!$G$1:$M$1),H45+1,H45)</f>
        <v>5</v>
      </c>
      <c r="I46" s="526">
        <f t="shared" ca="1" si="2"/>
        <v>6</v>
      </c>
    </row>
    <row r="47" spans="1:9">
      <c r="A47" s="883" t="str">
        <f ca="1">IF(INDEX(Demand.Sectors,MATCH(LEFT(C47,3),NameConv!$G$4:$M$4,0)),"","*")</f>
        <v/>
      </c>
      <c r="B47" s="510" t="s">
        <v>352</v>
      </c>
      <c r="C47" s="419" t="str">
        <f ca="1">OFFSET(NameConv!$F$4,0,H47)&amp;OFFSET(NameConv!$AX$4,0,I47)</f>
        <v>RESNMVS</v>
      </c>
      <c r="D47" s="419" t="str">
        <f ca="1">IF($A47="",OFFSET(NameConv!$F$3,0,H47)&amp;" "&amp;OFFSET(NameConv!$AX$3,0,I47),"")</f>
        <v>Residential NMVOCs South Africa</v>
      </c>
      <c r="E47" s="510" t="s">
        <v>355</v>
      </c>
      <c r="F47" s="510" t="s">
        <v>356</v>
      </c>
      <c r="G47" s="422"/>
      <c r="H47" s="526">
        <f ca="1">IF(I46=SUMIF(NameConv!$G$4:$M$4,LEFT(C46,3),NameConv!$G$1:$M$1),H46+1,H46)</f>
        <v>5</v>
      </c>
      <c r="I47" s="526">
        <f t="shared" ca="1" si="2"/>
        <v>7</v>
      </c>
    </row>
    <row r="48" spans="1:9">
      <c r="A48" s="883" t="str">
        <f ca="1">IF(INDEX(Demand.Sectors,MATCH(LEFT(C48,3),NameConv!$G$4:$M$4,0)),"","*")</f>
        <v/>
      </c>
      <c r="B48" s="510" t="s">
        <v>352</v>
      </c>
      <c r="C48" s="419" t="str">
        <f ca="1">OFFSET(NameConv!$F$4,0,H48)&amp;OFFSET(NameConv!$AX$4,0,I48)</f>
        <v>RESP10S</v>
      </c>
      <c r="D48" s="419" t="str">
        <f ca="1">IF($A48="",OFFSET(NameConv!$F$3,0,H48)&amp;" "&amp;OFFSET(NameConv!$AX$3,0,I48),"")</f>
        <v>Residential PM10 South Africa</v>
      </c>
      <c r="E48" s="510" t="s">
        <v>355</v>
      </c>
      <c r="F48" s="510" t="s">
        <v>356</v>
      </c>
      <c r="G48" s="422"/>
      <c r="H48" s="526">
        <f ca="1">IF(I47=SUMIF(NameConv!$G$4:$M$4,LEFT(C47,3),NameConv!$G$1:$M$1),H47+1,H47)</f>
        <v>5</v>
      </c>
      <c r="I48" s="526">
        <f t="shared" ca="1" si="2"/>
        <v>8</v>
      </c>
    </row>
    <row r="49" spans="1:9">
      <c r="A49" s="883" t="str">
        <f ca="1">IF(INDEX(Demand.Sectors,MATCH(LEFT(C49,3),NameConv!$G$4:$M$4,0)),"","*")</f>
        <v/>
      </c>
      <c r="B49" s="510" t="s">
        <v>352</v>
      </c>
      <c r="C49" s="419" t="str">
        <f ca="1">OFFSET(NameConv!$F$4,0,H49)&amp;OFFSET(NameConv!$AX$4,0,I49)</f>
        <v>PWRCO2S</v>
      </c>
      <c r="D49" s="419" t="str">
        <f ca="1">IF($A49="",OFFSET(NameConv!$F$3,0,H49)&amp;" "&amp;OFFSET(NameConv!$AX$3,0,I49),"")</f>
        <v>Power Sector Carbon dioxide South Africa</v>
      </c>
      <c r="E49" s="510" t="s">
        <v>355</v>
      </c>
      <c r="F49" s="510" t="s">
        <v>356</v>
      </c>
      <c r="G49" s="422"/>
      <c r="H49" s="526">
        <f ca="1">IF(I48=SUMIF(NameConv!$G$4:$M$4,LEFT(C48,3),NameConv!$G$1:$M$1),H48+1,H48)</f>
        <v>6</v>
      </c>
      <c r="I49" s="526">
        <f t="shared" ref="I49:I72" ca="1" si="3">IF(H49=H48,I48+1,1)</f>
        <v>1</v>
      </c>
    </row>
    <row r="50" spans="1:9">
      <c r="A50" s="883" t="str">
        <f ca="1">IF(INDEX(Demand.Sectors,MATCH(LEFT(C50,3),NameConv!$G$4:$M$4,0)),"","*")</f>
        <v/>
      </c>
      <c r="B50" s="510" t="s">
        <v>352</v>
      </c>
      <c r="C50" s="419" t="str">
        <f ca="1">OFFSET(NameConv!$F$4,0,H50)&amp;OFFSET(NameConv!$AX$4,0,I50)</f>
        <v>PWRCH4S</v>
      </c>
      <c r="D50" s="419" t="str">
        <f ca="1">IF($A50="",OFFSET(NameConv!$F$3,0,H50)&amp;" "&amp;OFFSET(NameConv!$AX$3,0,I50),"")</f>
        <v>Power Sector Methane South Africa</v>
      </c>
      <c r="E50" s="510" t="s">
        <v>355</v>
      </c>
      <c r="F50" s="510" t="s">
        <v>356</v>
      </c>
      <c r="G50" s="422"/>
      <c r="H50" s="526">
        <f ca="1">IF(I49=SUMIF(NameConv!$G$4:$M$4,LEFT(C49,3),NameConv!$G$1:$M$1),H49+1,H49)</f>
        <v>6</v>
      </c>
      <c r="I50" s="526">
        <f t="shared" ca="1" si="3"/>
        <v>2</v>
      </c>
    </row>
    <row r="51" spans="1:9">
      <c r="A51" s="883" t="str">
        <f ca="1">IF(INDEX(Demand.Sectors,MATCH(LEFT(C51,3),NameConv!$G$4:$M$4,0)),"","*")</f>
        <v/>
      </c>
      <c r="B51" s="510" t="s">
        <v>352</v>
      </c>
      <c r="C51" s="419" t="str">
        <f ca="1">OFFSET(NameConv!$F$4,0,H51)&amp;OFFSET(NameConv!$AX$4,0,I51)</f>
        <v>PWRN2OS</v>
      </c>
      <c r="D51" s="419" t="str">
        <f ca="1">IF($A51="",OFFSET(NameConv!$F$3,0,H51)&amp;" "&amp;OFFSET(NameConv!$AX$3,0,I51),"")</f>
        <v>Power Sector Nitrous Oxide South Africa</v>
      </c>
      <c r="E51" s="510" t="s">
        <v>355</v>
      </c>
      <c r="F51" s="510" t="s">
        <v>356</v>
      </c>
      <c r="G51" s="422"/>
      <c r="H51" s="526">
        <f ca="1">IF(I50=SUMIF(NameConv!$G$4:$M$4,LEFT(C50,3),NameConv!$G$1:$M$1),H50+1,H50)</f>
        <v>6</v>
      </c>
      <c r="I51" s="526">
        <f t="shared" ca="1" si="3"/>
        <v>3</v>
      </c>
    </row>
    <row r="52" spans="1:9">
      <c r="A52" s="883" t="str">
        <f ca="1">IF(INDEX(Demand.Sectors,MATCH(LEFT(C52,3),NameConv!$G$4:$M$4,0)),"","*")</f>
        <v/>
      </c>
      <c r="B52" s="510" t="s">
        <v>352</v>
      </c>
      <c r="C52" s="419" t="str">
        <f ca="1">OFFSET(NameConv!$F$4,0,H52)&amp;OFFSET(NameConv!$AX$4,0,I52)</f>
        <v>PWRSOXS</v>
      </c>
      <c r="D52" s="419" t="str">
        <f ca="1">IF($A52="",OFFSET(NameConv!$F$3,0,H52)&amp;" "&amp;OFFSET(NameConv!$AX$3,0,I52),"")</f>
        <v>Power Sector Sulphur gases South Africa</v>
      </c>
      <c r="E52" s="510" t="s">
        <v>355</v>
      </c>
      <c r="F52" s="510" t="s">
        <v>356</v>
      </c>
      <c r="G52" s="422"/>
      <c r="H52" s="526">
        <f ca="1">IF(I51=SUMIF(NameConv!$G$4:$M$4,LEFT(C51,3),NameConv!$G$1:$M$1),H51+1,H51)</f>
        <v>6</v>
      </c>
      <c r="I52" s="526">
        <f t="shared" ca="1" si="3"/>
        <v>4</v>
      </c>
    </row>
    <row r="53" spans="1:9">
      <c r="A53" s="883" t="str">
        <f ca="1">IF(INDEX(Demand.Sectors,MATCH(LEFT(C53,3),NameConv!$G$4:$M$4,0)),"","*")</f>
        <v/>
      </c>
      <c r="B53" s="510" t="s">
        <v>352</v>
      </c>
      <c r="C53" s="419" t="str">
        <f ca="1">OFFSET(NameConv!$F$4,0,H53)&amp;OFFSET(NameConv!$AX$4,0,I53)</f>
        <v>PWRNOXS</v>
      </c>
      <c r="D53" s="419" t="str">
        <f ca="1">IF($A53="",OFFSET(NameConv!$F$3,0,H53)&amp;" "&amp;OFFSET(NameConv!$AX$3,0,I53),"")</f>
        <v>Power Sector Nitrogen gases South Africa</v>
      </c>
      <c r="E53" s="510" t="s">
        <v>355</v>
      </c>
      <c r="F53" s="510" t="s">
        <v>356</v>
      </c>
      <c r="G53" s="422"/>
      <c r="H53" s="526">
        <f ca="1">IF(I52=SUMIF(NameConv!$G$4:$M$4,LEFT(C52,3),NameConv!$G$1:$M$1),H52+1,H52)</f>
        <v>6</v>
      </c>
      <c r="I53" s="526">
        <f t="shared" ca="1" si="3"/>
        <v>5</v>
      </c>
    </row>
    <row r="54" spans="1:9">
      <c r="A54" s="883" t="str">
        <f ca="1">IF(INDEX(Demand.Sectors,MATCH(LEFT(C54,3),NameConv!$G$4:$M$4,0)),"","*")</f>
        <v/>
      </c>
      <c r="B54" s="510" t="s">
        <v>352</v>
      </c>
      <c r="C54" s="419" t="str">
        <f ca="1">OFFSET(NameConv!$F$4,0,H54)&amp;OFFSET(NameConv!$AX$4,0,I54)</f>
        <v>PWRCMOX</v>
      </c>
      <c r="D54" s="419" t="str">
        <f ca="1">IF($A54="",OFFSET(NameConv!$F$3,0,H54)&amp;" "&amp;OFFSET(NameConv!$AX$3,0,I54),"")</f>
        <v>Power Sector Carbon monoxide South Africa</v>
      </c>
      <c r="E54" s="510" t="s">
        <v>355</v>
      </c>
      <c r="F54" s="510" t="s">
        <v>356</v>
      </c>
      <c r="G54" s="422"/>
      <c r="H54" s="526">
        <f ca="1">IF(I53=SUMIF(NameConv!$G$4:$M$4,LEFT(C53,3),NameConv!$G$1:$M$1),H53+1,H53)</f>
        <v>6</v>
      </c>
      <c r="I54" s="526">
        <f t="shared" ca="1" si="3"/>
        <v>6</v>
      </c>
    </row>
    <row r="55" spans="1:9">
      <c r="A55" s="883" t="str">
        <f ca="1">IF(INDEX(Demand.Sectors,MATCH(LEFT(C55,3),NameConv!$G$4:$M$4,0)),"","*")</f>
        <v/>
      </c>
      <c r="B55" s="510" t="s">
        <v>352</v>
      </c>
      <c r="C55" s="419" t="str">
        <f ca="1">OFFSET(NameConv!$F$4,0,H55)&amp;OFFSET(NameConv!$AX$4,0,I55)</f>
        <v>PWRNMVS</v>
      </c>
      <c r="D55" s="419" t="str">
        <f ca="1">IF($A55="",OFFSET(NameConv!$F$3,0,H55)&amp;" "&amp;OFFSET(NameConv!$AX$3,0,I55),"")</f>
        <v>Power Sector NMVOCs South Africa</v>
      </c>
      <c r="E55" s="510" t="s">
        <v>355</v>
      </c>
      <c r="F55" s="510" t="s">
        <v>356</v>
      </c>
      <c r="G55" s="422"/>
      <c r="H55" s="526">
        <f ca="1">IF(I54=SUMIF(NameConv!$G$4:$M$4,LEFT(C54,3),NameConv!$G$1:$M$1),H54+1,H54)</f>
        <v>6</v>
      </c>
      <c r="I55" s="526">
        <f t="shared" ca="1" si="3"/>
        <v>7</v>
      </c>
    </row>
    <row r="56" spans="1:9">
      <c r="A56" s="883" t="str">
        <f ca="1">IF(INDEX(Demand.Sectors,MATCH(LEFT(C56,3),NameConv!$G$4:$M$4,0)),"","*")</f>
        <v/>
      </c>
      <c r="B56" s="510" t="s">
        <v>352</v>
      </c>
      <c r="C56" s="419" t="str">
        <f ca="1">OFFSET(NameConv!$F$4,0,H56)&amp;OFFSET(NameConv!$AX$4,0,I56)</f>
        <v>PWRP10S</v>
      </c>
      <c r="D56" s="419" t="str">
        <f ca="1">IF($A56="",OFFSET(NameConv!$F$3,0,H56)&amp;" "&amp;OFFSET(NameConv!$AX$3,0,I56),"")</f>
        <v>Power Sector PM10 South Africa</v>
      </c>
      <c r="E56" s="510" t="s">
        <v>355</v>
      </c>
      <c r="F56" s="510" t="s">
        <v>356</v>
      </c>
      <c r="G56" s="422"/>
      <c r="H56" s="526">
        <f ca="1">IF(I55=SUMIF(NameConv!$G$4:$M$4,LEFT(C55,3),NameConv!$G$1:$M$1),H55+1,H55)</f>
        <v>6</v>
      </c>
      <c r="I56" s="526">
        <f t="shared" ca="1" si="3"/>
        <v>8</v>
      </c>
    </row>
    <row r="57" spans="1:9">
      <c r="A57" s="883" t="str">
        <f ca="1">IF(INDEX(Demand.Sectors,MATCH(LEFT(C57,3),NameConv!$G$4:$M$4,0)),"","*")</f>
        <v/>
      </c>
      <c r="B57" s="510" t="s">
        <v>352</v>
      </c>
      <c r="C57" s="419" t="str">
        <f ca="1">OFFSET(NameConv!$F$4,0,H57)&amp;OFFSET(NameConv!$AX$4,0,I57)</f>
        <v>PWRCO2R</v>
      </c>
      <c r="D57" s="419" t="str">
        <f ca="1">IF($A57="",OFFSET(NameConv!$F$3,0,H57)&amp;" "&amp;OFFSET(NameConv!$AX$3,0,I57),"")</f>
        <v>Power Sector Carbon dioxide Region</v>
      </c>
      <c r="E57" s="510" t="s">
        <v>355</v>
      </c>
      <c r="F57" s="510" t="s">
        <v>356</v>
      </c>
      <c r="G57" s="422"/>
      <c r="H57" s="526">
        <f ca="1">IF(I56=SUMIF(NameConv!$G$4:$M$4,LEFT(C56,3),NameConv!$G$1:$M$1),H56+1,H56)</f>
        <v>6</v>
      </c>
      <c r="I57" s="526">
        <f t="shared" ca="1" si="3"/>
        <v>9</v>
      </c>
    </row>
    <row r="58" spans="1:9">
      <c r="A58" s="883" t="str">
        <f ca="1">IF(INDEX(Demand.Sectors,MATCH(LEFT(C58,3),NameConv!$G$4:$M$4,0)),"","*")</f>
        <v/>
      </c>
      <c r="B58" s="510" t="s">
        <v>352</v>
      </c>
      <c r="C58" s="419" t="str">
        <f ca="1">OFFSET(NameConv!$F$4,0,H58)&amp;OFFSET(NameConv!$AX$4,0,I58)</f>
        <v>PWRCH4R</v>
      </c>
      <c r="D58" s="419" t="str">
        <f ca="1">IF($A58="",OFFSET(NameConv!$F$3,0,H58)&amp;" "&amp;OFFSET(NameConv!$AX$3,0,I58),"")</f>
        <v>Power Sector Methane Region</v>
      </c>
      <c r="E58" s="510" t="s">
        <v>355</v>
      </c>
      <c r="F58" s="510" t="s">
        <v>356</v>
      </c>
      <c r="G58" s="422"/>
      <c r="H58" s="526">
        <f ca="1">IF(I57=SUMIF(NameConv!$G$4:$M$4,LEFT(C57,3),NameConv!$G$1:$M$1),H57+1,H57)</f>
        <v>6</v>
      </c>
      <c r="I58" s="526">
        <f t="shared" ca="1" si="3"/>
        <v>10</v>
      </c>
    </row>
    <row r="59" spans="1:9">
      <c r="A59" s="883" t="str">
        <f ca="1">IF(INDEX(Demand.Sectors,MATCH(LEFT(C59,3),NameConv!$G$4:$M$4,0)),"","*")</f>
        <v/>
      </c>
      <c r="B59" s="510" t="s">
        <v>352</v>
      </c>
      <c r="C59" s="419" t="str">
        <f ca="1">OFFSET(NameConv!$F$4,0,H59)&amp;OFFSET(NameConv!$AX$4,0,I59)</f>
        <v>PWRN2OR</v>
      </c>
      <c r="D59" s="419" t="str">
        <f ca="1">IF($A59="",OFFSET(NameConv!$F$3,0,H59)&amp;" "&amp;OFFSET(NameConv!$AX$3,0,I59),"")</f>
        <v>Power Sector Nitrous Oxide Region</v>
      </c>
      <c r="E59" s="510" t="s">
        <v>355</v>
      </c>
      <c r="F59" s="510" t="s">
        <v>356</v>
      </c>
      <c r="G59" s="422"/>
      <c r="H59" s="526">
        <f ca="1">IF(I58=SUMIF(NameConv!$G$4:$M$4,LEFT(C58,3),NameConv!$G$1:$M$1),H58+1,H58)</f>
        <v>6</v>
      </c>
      <c r="I59" s="526">
        <f t="shared" ca="1" si="3"/>
        <v>11</v>
      </c>
    </row>
    <row r="60" spans="1:9">
      <c r="A60" s="883" t="str">
        <f ca="1">IF(INDEX(Demand.Sectors,MATCH(LEFT(C60,3),NameConv!$G$4:$M$4,0)),"","*")</f>
        <v/>
      </c>
      <c r="B60" s="510" t="s">
        <v>352</v>
      </c>
      <c r="C60" s="419" t="str">
        <f ca="1">OFFSET(NameConv!$F$4,0,H60)&amp;OFFSET(NameConv!$AX$4,0,I60)</f>
        <v>PWRSOXR</v>
      </c>
      <c r="D60" s="419" t="str">
        <f ca="1">IF($A60="",OFFSET(NameConv!$F$3,0,H60)&amp;" "&amp;OFFSET(NameConv!$AX$3,0,I60),"")</f>
        <v>Power Sector Sulphur gases Region</v>
      </c>
      <c r="E60" s="510" t="s">
        <v>355</v>
      </c>
      <c r="F60" s="510" t="s">
        <v>356</v>
      </c>
      <c r="G60" s="422"/>
      <c r="H60" s="526">
        <f ca="1">IF(I59=SUMIF(NameConv!$G$4:$M$4,LEFT(C59,3),NameConv!$G$1:$M$1),H59+1,H59)</f>
        <v>6</v>
      </c>
      <c r="I60" s="526">
        <f t="shared" ca="1" si="3"/>
        <v>12</v>
      </c>
    </row>
    <row r="61" spans="1:9">
      <c r="A61" s="883" t="str">
        <f ca="1">IF(INDEX(Demand.Sectors,MATCH(LEFT(C61,3),NameConv!$G$4:$M$4,0)),"","*")</f>
        <v/>
      </c>
      <c r="B61" s="510" t="s">
        <v>352</v>
      </c>
      <c r="C61" s="419" t="str">
        <f ca="1">OFFSET(NameConv!$F$4,0,H61)&amp;OFFSET(NameConv!$AX$4,0,I61)</f>
        <v>PWRNOXR</v>
      </c>
      <c r="D61" s="419" t="str">
        <f ca="1">IF($A61="",OFFSET(NameConv!$F$3,0,H61)&amp;" "&amp;OFFSET(NameConv!$AX$3,0,I61),"")</f>
        <v>Power Sector Nitrogen gases Region</v>
      </c>
      <c r="E61" s="510" t="s">
        <v>355</v>
      </c>
      <c r="F61" s="510" t="s">
        <v>356</v>
      </c>
      <c r="G61" s="422"/>
      <c r="H61" s="526">
        <f ca="1">IF(I60=SUMIF(NameConv!$G$4:$M$4,LEFT(C60,3),NameConv!$G$1:$M$1),H60+1,H60)</f>
        <v>6</v>
      </c>
      <c r="I61" s="526">
        <f t="shared" ca="1" si="3"/>
        <v>13</v>
      </c>
    </row>
    <row r="62" spans="1:9">
      <c r="A62" s="883" t="str">
        <f ca="1">IF(INDEX(Demand.Sectors,MATCH(LEFT(C62,3),NameConv!$G$4:$M$4,0)),"","*")</f>
        <v/>
      </c>
      <c r="B62" s="510" t="s">
        <v>352</v>
      </c>
      <c r="C62" s="419" t="str">
        <f ca="1">OFFSET(NameConv!$F$4,0,H62)&amp;OFFSET(NameConv!$AX$4,0,I62)</f>
        <v>PWRCMOR</v>
      </c>
      <c r="D62" s="419" t="str">
        <f ca="1">IF($A62="",OFFSET(NameConv!$F$3,0,H62)&amp;" "&amp;OFFSET(NameConv!$AX$3,0,I62),"")</f>
        <v>Power Sector Carbon monoxide Region</v>
      </c>
      <c r="E62" s="510" t="s">
        <v>355</v>
      </c>
      <c r="F62" s="510" t="s">
        <v>356</v>
      </c>
      <c r="G62" s="422"/>
      <c r="H62" s="526">
        <f ca="1">IF(I61=SUMIF(NameConv!$G$4:$M$4,LEFT(C61,3),NameConv!$G$1:$M$1),H61+1,H61)</f>
        <v>6</v>
      </c>
      <c r="I62" s="526">
        <f t="shared" ca="1" si="3"/>
        <v>14</v>
      </c>
    </row>
    <row r="63" spans="1:9">
      <c r="A63" s="883" t="str">
        <f ca="1">IF(INDEX(Demand.Sectors,MATCH(LEFT(C63,3),NameConv!$G$4:$M$4,0)),"","*")</f>
        <v/>
      </c>
      <c r="B63" s="510" t="s">
        <v>352</v>
      </c>
      <c r="C63" s="419" t="str">
        <f ca="1">OFFSET(NameConv!$F$4,0,H63)&amp;OFFSET(NameConv!$AX$4,0,I63)</f>
        <v>PWRNMVR</v>
      </c>
      <c r="D63" s="419" t="str">
        <f ca="1">IF($A63="",OFFSET(NameConv!$F$3,0,H63)&amp;" "&amp;OFFSET(NameConv!$AX$3,0,I63),"")</f>
        <v>Power Sector NMVOCs Region</v>
      </c>
      <c r="E63" s="510" t="s">
        <v>355</v>
      </c>
      <c r="F63" s="510" t="s">
        <v>356</v>
      </c>
      <c r="G63" s="422"/>
      <c r="H63" s="526">
        <f ca="1">IF(I62=SUMIF(NameConv!$G$4:$M$4,LEFT(C62,3),NameConv!$G$1:$M$1),H62+1,H62)</f>
        <v>6</v>
      </c>
      <c r="I63" s="526">
        <f t="shared" ca="1" si="3"/>
        <v>15</v>
      </c>
    </row>
    <row r="64" spans="1:9">
      <c r="A64" s="883" t="str">
        <f ca="1">IF(INDEX(Demand.Sectors,MATCH(LEFT(C64,3),NameConv!$G$4:$M$4,0)),"","*")</f>
        <v/>
      </c>
      <c r="B64" s="510" t="s">
        <v>352</v>
      </c>
      <c r="C64" s="419" t="str">
        <f ca="1">OFFSET(NameConv!$F$4,0,H64)&amp;OFFSET(NameConv!$AX$4,0,I64)</f>
        <v>PWRP10R</v>
      </c>
      <c r="D64" s="419" t="str">
        <f ca="1">IF($A64="",OFFSET(NameConv!$F$3,0,H64)&amp;" "&amp;OFFSET(NameConv!$AX$3,0,I64),"")</f>
        <v>Power Sector PM10 Region</v>
      </c>
      <c r="E64" s="510" t="s">
        <v>355</v>
      </c>
      <c r="F64" s="510" t="s">
        <v>356</v>
      </c>
      <c r="G64" s="422"/>
      <c r="H64" s="526">
        <f ca="1">IF(I63=SUMIF(NameConv!$G$4:$M$4,LEFT(C63,3),NameConv!$G$1:$M$1),H63+1,H63)</f>
        <v>6</v>
      </c>
      <c r="I64" s="526">
        <f t="shared" ca="1" si="3"/>
        <v>16</v>
      </c>
    </row>
    <row r="65" spans="1:9">
      <c r="A65" s="883" t="str">
        <f ca="1">IF(INDEX(Demand.Sectors,MATCH(LEFT(C65,3),NameConv!$G$4:$M$4,0)),"","*")</f>
        <v/>
      </c>
      <c r="B65" s="510" t="s">
        <v>352</v>
      </c>
      <c r="C65" s="419" t="str">
        <f ca="1">OFFSET(NameConv!$F$4,0,H65)&amp;OFFSET(NameConv!$AX$4,0,I65)</f>
        <v>UPSCO2S</v>
      </c>
      <c r="D65" s="419" t="str">
        <f ca="1">IF($A65="",OFFSET(NameConv!$F$3,0,H65)&amp;" "&amp;OFFSET(NameConv!$AX$3,0,I65),"")</f>
        <v>Supply Sector Carbon dioxide South Africa</v>
      </c>
      <c r="E65" s="510" t="s">
        <v>355</v>
      </c>
      <c r="F65" s="510" t="s">
        <v>356</v>
      </c>
      <c r="G65" s="422"/>
      <c r="H65" s="526">
        <f ca="1">IF(I64=SUMIF(NameConv!$G$4:$M$4,LEFT(C64,3),NameConv!$G$1:$M$1),H64+1,H64)</f>
        <v>7</v>
      </c>
      <c r="I65" s="526">
        <f t="shared" ca="1" si="3"/>
        <v>1</v>
      </c>
    </row>
    <row r="66" spans="1:9">
      <c r="A66" s="883" t="str">
        <f ca="1">IF(INDEX(Demand.Sectors,MATCH(LEFT(C66,3),NameConv!$G$4:$M$4,0)),"","*")</f>
        <v/>
      </c>
      <c r="B66" s="510" t="s">
        <v>352</v>
      </c>
      <c r="C66" s="419" t="str">
        <f ca="1">OFFSET(NameConv!$F$4,0,H66)&amp;OFFSET(NameConv!$AX$4,0,I66)</f>
        <v>UPSCH4S</v>
      </c>
      <c r="D66" s="419" t="str">
        <f ca="1">IF($A66="",OFFSET(NameConv!$F$3,0,H66)&amp;" "&amp;OFFSET(NameConv!$AX$3,0,I66),"")</f>
        <v>Supply Sector Methane South Africa</v>
      </c>
      <c r="E66" s="510" t="s">
        <v>355</v>
      </c>
      <c r="F66" s="510" t="s">
        <v>356</v>
      </c>
      <c r="G66" s="422"/>
      <c r="H66" s="526">
        <f ca="1">IF(I65=SUMIF(NameConv!$G$4:$M$4,LEFT(C65,3),NameConv!$G$1:$M$1),H65+1,H65)</f>
        <v>7</v>
      </c>
      <c r="I66" s="526">
        <f t="shared" ca="1" si="3"/>
        <v>2</v>
      </c>
    </row>
    <row r="67" spans="1:9">
      <c r="A67" s="883" t="str">
        <f ca="1">IF(INDEX(Demand.Sectors,MATCH(LEFT(C67,3),NameConv!$G$4:$M$4,0)),"","*")</f>
        <v/>
      </c>
      <c r="B67" s="510" t="s">
        <v>352</v>
      </c>
      <c r="C67" s="419" t="str">
        <f ca="1">OFFSET(NameConv!$F$4,0,H67)&amp;OFFSET(NameConv!$AX$4,0,I67)</f>
        <v>UPSN2OS</v>
      </c>
      <c r="D67" s="419" t="str">
        <f ca="1">IF($A67="",OFFSET(NameConv!$F$3,0,H67)&amp;" "&amp;OFFSET(NameConv!$AX$3,0,I67),"")</f>
        <v>Supply Sector Nitrous Oxide South Africa</v>
      </c>
      <c r="E67" s="510" t="s">
        <v>355</v>
      </c>
      <c r="F67" s="510" t="s">
        <v>356</v>
      </c>
      <c r="G67" s="422"/>
      <c r="H67" s="526">
        <f ca="1">IF(I66=SUMIF(NameConv!$G$4:$M$4,LEFT(C66,3),NameConv!$G$1:$M$1),H66+1,H66)</f>
        <v>7</v>
      </c>
      <c r="I67" s="526">
        <f t="shared" ca="1" si="3"/>
        <v>3</v>
      </c>
    </row>
    <row r="68" spans="1:9">
      <c r="A68" s="883" t="str">
        <f ca="1">IF(INDEX(Demand.Sectors,MATCH(LEFT(C68,3),NameConv!$G$4:$M$4,0)),"","*")</f>
        <v/>
      </c>
      <c r="B68" s="510" t="s">
        <v>352</v>
      </c>
      <c r="C68" s="419" t="str">
        <f ca="1">OFFSET(NameConv!$F$4,0,H68)&amp;OFFSET(NameConv!$AX$4,0,I68)</f>
        <v>UPSSOXS</v>
      </c>
      <c r="D68" s="419" t="str">
        <f ca="1">IF($A68="",OFFSET(NameConv!$F$3,0,H68)&amp;" "&amp;OFFSET(NameConv!$AX$3,0,I68),"")</f>
        <v>Supply Sector Sulphur gases South Africa</v>
      </c>
      <c r="E68" s="510" t="s">
        <v>355</v>
      </c>
      <c r="F68" s="510" t="s">
        <v>356</v>
      </c>
      <c r="G68" s="422"/>
      <c r="H68" s="526">
        <f ca="1">IF(I67=SUMIF(NameConv!$G$4:$M$4,LEFT(C67,3),NameConv!$G$1:$M$1),H67+1,H67)</f>
        <v>7</v>
      </c>
      <c r="I68" s="526">
        <f t="shared" ca="1" si="3"/>
        <v>4</v>
      </c>
    </row>
    <row r="69" spans="1:9">
      <c r="A69" s="883" t="str">
        <f ca="1">IF(INDEX(Demand.Sectors,MATCH(LEFT(C69,3),NameConv!$G$4:$M$4,0)),"","*")</f>
        <v/>
      </c>
      <c r="B69" s="510" t="s">
        <v>352</v>
      </c>
      <c r="C69" s="419" t="str">
        <f ca="1">OFFSET(NameConv!$F$4,0,H69)&amp;OFFSET(NameConv!$AX$4,0,I69)</f>
        <v>UPSNOXS</v>
      </c>
      <c r="D69" s="419" t="str">
        <f ca="1">IF($A69="",OFFSET(NameConv!$F$3,0,H69)&amp;" "&amp;OFFSET(NameConv!$AX$3,0,I69),"")</f>
        <v>Supply Sector Nitrogen gases South Africa</v>
      </c>
      <c r="E69" s="510" t="s">
        <v>355</v>
      </c>
      <c r="F69" s="510" t="s">
        <v>356</v>
      </c>
      <c r="G69" s="422"/>
      <c r="H69" s="526">
        <f ca="1">IF(I68=SUMIF(NameConv!$G$4:$M$4,LEFT(C68,3),NameConv!$G$1:$M$1),H68+1,H68)</f>
        <v>7</v>
      </c>
      <c r="I69" s="526">
        <f t="shared" ca="1" si="3"/>
        <v>5</v>
      </c>
    </row>
    <row r="70" spans="1:9">
      <c r="A70" s="883" t="str">
        <f ca="1">IF(INDEX(Demand.Sectors,MATCH(LEFT(C70,3),NameConv!$G$4:$M$4,0)),"","*")</f>
        <v/>
      </c>
      <c r="B70" s="510" t="s">
        <v>352</v>
      </c>
      <c r="C70" s="419" t="str">
        <f ca="1">OFFSET(NameConv!$F$4,0,H70)&amp;OFFSET(NameConv!$AX$4,0,I70)</f>
        <v>UPSCMOX</v>
      </c>
      <c r="D70" s="419" t="str">
        <f ca="1">IF($A70="",OFFSET(NameConv!$F$3,0,H70)&amp;" "&amp;OFFSET(NameConv!$AX$3,0,I70),"")</f>
        <v>Supply Sector Carbon monoxide South Africa</v>
      </c>
      <c r="E70" s="510" t="s">
        <v>355</v>
      </c>
      <c r="F70" s="510" t="s">
        <v>356</v>
      </c>
      <c r="G70" s="422"/>
      <c r="H70" s="526">
        <f ca="1">IF(I69=SUMIF(NameConv!$G$4:$M$4,LEFT(C69,3),NameConv!$G$1:$M$1),H69+1,H69)</f>
        <v>7</v>
      </c>
      <c r="I70" s="526">
        <f t="shared" ca="1" si="3"/>
        <v>6</v>
      </c>
    </row>
    <row r="71" spans="1:9">
      <c r="A71" s="883" t="str">
        <f ca="1">IF(INDEX(Demand.Sectors,MATCH(LEFT(C71,3),NameConv!$G$4:$M$4,0)),"","*")</f>
        <v/>
      </c>
      <c r="B71" s="510" t="s">
        <v>352</v>
      </c>
      <c r="C71" s="419" t="str">
        <f ca="1">OFFSET(NameConv!$F$4,0,H71)&amp;OFFSET(NameConv!$AX$4,0,I71)</f>
        <v>UPSNMVS</v>
      </c>
      <c r="D71" s="419" t="str">
        <f ca="1">IF($A71="",OFFSET(NameConv!$F$3,0,H71)&amp;" "&amp;OFFSET(NameConv!$AX$3,0,I71),"")</f>
        <v>Supply Sector NMVOCs South Africa</v>
      </c>
      <c r="E71" s="510" t="s">
        <v>355</v>
      </c>
      <c r="F71" s="510" t="s">
        <v>356</v>
      </c>
      <c r="G71" s="422"/>
      <c r="H71" s="526">
        <f ca="1">IF(I70=SUMIF(NameConv!$G$4:$M$4,LEFT(C70,3),NameConv!$G$1:$M$1),H70+1,H70)</f>
        <v>7</v>
      </c>
      <c r="I71" s="526">
        <f t="shared" ca="1" si="3"/>
        <v>7</v>
      </c>
    </row>
    <row r="72" spans="1:9">
      <c r="A72" s="883" t="str">
        <f ca="1">IF(INDEX(Demand.Sectors,MATCH(LEFT(C72,3),NameConv!$G$4:$M$4,0)),"","*")</f>
        <v/>
      </c>
      <c r="B72" s="510" t="s">
        <v>352</v>
      </c>
      <c r="C72" s="419" t="str">
        <f ca="1">OFFSET(NameConv!$F$4,0,H72)&amp;OFFSET(NameConv!$AX$4,0,I72)</f>
        <v>UPSP10S</v>
      </c>
      <c r="D72" s="419" t="str">
        <f ca="1">IF($A72="",OFFSET(NameConv!$F$3,0,H72)&amp;" "&amp;OFFSET(NameConv!$AX$3,0,I72),"")</f>
        <v>Supply Sector PM10 South Africa</v>
      </c>
      <c r="E72" s="510" t="s">
        <v>355</v>
      </c>
      <c r="F72" s="510" t="s">
        <v>356</v>
      </c>
      <c r="G72" s="422"/>
      <c r="H72" s="526">
        <f ca="1">IF(I71=SUMIF(NameConv!$G$4:$M$4,LEFT(C71,3),NameConv!$G$1:$M$1),H71+1,H71)</f>
        <v>7</v>
      </c>
      <c r="I72" s="526">
        <f t="shared" ca="1" si="3"/>
        <v>8</v>
      </c>
    </row>
    <row r="73" spans="1:9">
      <c r="A73" s="883"/>
      <c r="B73" s="510"/>
      <c r="C73" s="419"/>
      <c r="D73" s="419"/>
      <c r="E73" s="510"/>
      <c r="F73" s="510"/>
      <c r="G73" s="422"/>
      <c r="H73" s="526"/>
      <c r="I73" s="526"/>
    </row>
    <row r="74" spans="1:9">
      <c r="A74" s="883"/>
      <c r="B74" s="510"/>
      <c r="C74" s="419"/>
      <c r="D74" s="419"/>
      <c r="E74" s="510"/>
      <c r="F74" s="510"/>
      <c r="G74" s="422"/>
      <c r="H74" s="526"/>
      <c r="I74" s="526"/>
    </row>
    <row r="75" spans="1:9">
      <c r="A75" s="883"/>
      <c r="B75" s="510"/>
      <c r="C75" s="419"/>
      <c r="D75" s="419"/>
      <c r="E75" s="510"/>
      <c r="F75" s="510"/>
      <c r="G75" s="422"/>
      <c r="H75" s="526"/>
      <c r="I75" s="526"/>
    </row>
    <row r="76" spans="1:9">
      <c r="A76" s="883"/>
      <c r="B76" s="510"/>
      <c r="C76" s="419"/>
      <c r="D76" s="419"/>
      <c r="E76" s="510"/>
      <c r="F76" s="510"/>
      <c r="G76" s="422"/>
      <c r="H76" s="526"/>
      <c r="I76" s="526"/>
    </row>
    <row r="77" spans="1:9">
      <c r="A77" s="883"/>
      <c r="B77" s="510"/>
      <c r="C77" s="419"/>
      <c r="D77" s="419"/>
      <c r="E77" s="510"/>
      <c r="F77" s="510"/>
      <c r="G77" s="422"/>
      <c r="H77" s="526"/>
      <c r="I77" s="526"/>
    </row>
    <row r="78" spans="1:9">
      <c r="A78" s="883"/>
      <c r="B78" s="510"/>
      <c r="C78" s="419"/>
      <c r="D78" s="419"/>
      <c r="E78" s="510"/>
      <c r="F78" s="510"/>
      <c r="G78" s="422"/>
      <c r="H78" s="526"/>
      <c r="I78" s="526"/>
    </row>
    <row r="79" spans="1:9">
      <c r="A79" s="883"/>
      <c r="B79" s="510"/>
      <c r="C79" s="419"/>
      <c r="D79" s="419"/>
      <c r="E79" s="510"/>
      <c r="F79" s="510"/>
      <c r="G79" s="422"/>
      <c r="H79" s="526"/>
      <c r="I79" s="526"/>
    </row>
    <row r="80" spans="1:9">
      <c r="A80" s="883"/>
      <c r="B80" s="510"/>
      <c r="C80" s="419"/>
      <c r="D80" s="419"/>
      <c r="E80" s="510"/>
      <c r="F80" s="510"/>
      <c r="G80" s="422"/>
      <c r="H80" s="526"/>
      <c r="I80" s="526"/>
    </row>
    <row r="81" spans="1:9">
      <c r="A81" s="883"/>
      <c r="B81" s="510"/>
      <c r="C81" s="419"/>
      <c r="D81" s="419"/>
      <c r="E81" s="510"/>
      <c r="F81" s="510"/>
      <c r="G81" s="422"/>
      <c r="H81" s="526"/>
      <c r="I81" s="526"/>
    </row>
    <row r="82" spans="1:9">
      <c r="A82" s="883"/>
      <c r="B82" s="510"/>
      <c r="C82" s="419"/>
      <c r="D82" s="419"/>
      <c r="E82" s="510"/>
      <c r="F82" s="510"/>
      <c r="G82" s="422"/>
      <c r="H82" s="526"/>
      <c r="I82" s="526"/>
    </row>
  </sheetData>
  <conditionalFormatting sqref="H10:H82">
    <cfRule type="cellIs" dxfId="4" priority="1" operator="greaterThan">
      <formula>6</formula>
    </cfRule>
  </conditionalFormatting>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dimension ref="A1:AY310"/>
  <sheetViews>
    <sheetView workbookViewId="0"/>
  </sheetViews>
  <sheetFormatPr defaultColWidth="11.42578125" defaultRowHeight="11.25"/>
  <cols>
    <col min="1" max="1" width="12.28515625" style="422" customWidth="1"/>
    <col min="2" max="2" width="12" style="422" customWidth="1"/>
    <col min="3" max="3" width="16" style="495" customWidth="1"/>
    <col min="4" max="8" width="11.42578125" style="422" customWidth="1"/>
    <col min="9" max="9" width="7.42578125" style="511" customWidth="1"/>
    <col min="10" max="44" width="5.42578125" style="495" customWidth="1"/>
    <col min="45" max="45" width="11.42578125" style="495" customWidth="1"/>
    <col min="46" max="47" width="9.7109375" style="495" customWidth="1"/>
    <col min="48" max="48" width="11.42578125" style="495" customWidth="1"/>
    <col min="49" max="16384" width="11.42578125" style="422"/>
  </cols>
  <sheetData>
    <row r="1" spans="1:51">
      <c r="A1" s="423" t="str">
        <f>IF(Index!B8=0,"TS DATA","")</f>
        <v>TS DATA</v>
      </c>
      <c r="B1" s="422" t="s">
        <v>308</v>
      </c>
      <c r="AS1" s="495" t="s">
        <v>310</v>
      </c>
      <c r="AT1" s="495" t="s">
        <v>310</v>
      </c>
      <c r="AU1" s="495" t="s">
        <v>310</v>
      </c>
      <c r="AV1" s="495" t="s">
        <v>310</v>
      </c>
      <c r="AW1" s="422" t="s">
        <v>310</v>
      </c>
      <c r="AX1" s="422" t="s">
        <v>310</v>
      </c>
      <c r="AY1" s="422" t="s">
        <v>310</v>
      </c>
    </row>
    <row r="2" spans="1:51">
      <c r="A2" s="422" t="s">
        <v>310</v>
      </c>
    </row>
    <row r="3" spans="1:51" ht="24" customHeight="1">
      <c r="A3" s="422" t="s">
        <v>310</v>
      </c>
      <c r="AS3" s="741" t="s">
        <v>1186</v>
      </c>
      <c r="AT3" s="741" t="s">
        <v>1188</v>
      </c>
      <c r="AU3" s="741" t="s">
        <v>1185</v>
      </c>
      <c r="AV3" s="741" t="s">
        <v>1187</v>
      </c>
    </row>
    <row r="4" spans="1:51">
      <c r="A4" s="422" t="s">
        <v>310</v>
      </c>
    </row>
    <row r="5" spans="1:51" ht="15">
      <c r="A5" s="422" t="s">
        <v>310</v>
      </c>
      <c r="AS5" s="738" t="s">
        <v>2136</v>
      </c>
      <c r="AT5" s="738"/>
      <c r="AU5" s="738"/>
      <c r="AV5" s="738"/>
      <c r="AW5" s="738"/>
      <c r="AX5" s="738"/>
      <c r="AY5" s="738"/>
    </row>
    <row r="6" spans="1:51">
      <c r="A6" s="422" t="s">
        <v>310</v>
      </c>
    </row>
    <row r="7" spans="1:51" ht="22.5" customHeight="1">
      <c r="A7" s="422" t="s">
        <v>310</v>
      </c>
      <c r="B7" s="423" t="s">
        <v>323</v>
      </c>
      <c r="C7" s="522" t="s">
        <v>324</v>
      </c>
      <c r="D7" s="423" t="s">
        <v>325</v>
      </c>
      <c r="E7" s="423" t="s">
        <v>326</v>
      </c>
      <c r="F7" s="423" t="s">
        <v>327</v>
      </c>
      <c r="G7" s="423" t="s">
        <v>328</v>
      </c>
      <c r="H7" s="423" t="s">
        <v>329</v>
      </c>
      <c r="I7" s="512" t="s">
        <v>330</v>
      </c>
      <c r="J7" s="495">
        <v>2012</v>
      </c>
      <c r="K7" s="495">
        <v>2013</v>
      </c>
      <c r="L7" s="495">
        <v>2014</v>
      </c>
      <c r="M7" s="495">
        <v>2015</v>
      </c>
      <c r="N7" s="495">
        <v>2016</v>
      </c>
      <c r="O7" s="495">
        <v>2017</v>
      </c>
      <c r="P7" s="495">
        <v>2018</v>
      </c>
      <c r="Q7" s="495">
        <v>2019</v>
      </c>
      <c r="R7" s="495">
        <v>2020</v>
      </c>
      <c r="S7" s="495">
        <v>2021</v>
      </c>
      <c r="T7" s="495">
        <v>2022</v>
      </c>
      <c r="U7" s="495">
        <v>2023</v>
      </c>
      <c r="V7" s="495">
        <v>2024</v>
      </c>
      <c r="W7" s="495">
        <v>2025</v>
      </c>
      <c r="X7" s="495">
        <v>2026</v>
      </c>
      <c r="Y7" s="495">
        <v>2027</v>
      </c>
      <c r="Z7" s="495">
        <v>2028</v>
      </c>
      <c r="AA7" s="495">
        <v>2029</v>
      </c>
      <c r="AB7" s="495">
        <v>2030</v>
      </c>
      <c r="AC7" s="495">
        <v>2031</v>
      </c>
      <c r="AD7" s="495">
        <v>2032</v>
      </c>
      <c r="AE7" s="495">
        <v>2033</v>
      </c>
      <c r="AF7" s="495">
        <v>2034</v>
      </c>
      <c r="AG7" s="495">
        <v>2035</v>
      </c>
      <c r="AH7" s="495">
        <v>2036</v>
      </c>
      <c r="AI7" s="495">
        <v>2037</v>
      </c>
      <c r="AJ7" s="495">
        <v>2038</v>
      </c>
      <c r="AK7" s="495">
        <v>2039</v>
      </c>
      <c r="AL7" s="495">
        <v>2040</v>
      </c>
      <c r="AM7" s="495">
        <v>2045</v>
      </c>
      <c r="AN7" s="495">
        <v>2050</v>
      </c>
      <c r="AO7" s="495">
        <v>2060</v>
      </c>
      <c r="AP7" s="495">
        <v>2070</v>
      </c>
    </row>
    <row r="8" spans="1:51">
      <c r="A8" s="422" t="s">
        <v>310</v>
      </c>
      <c r="B8" s="423"/>
      <c r="C8" s="522"/>
      <c r="D8" s="423"/>
      <c r="E8" s="423"/>
      <c r="F8" s="423"/>
      <c r="G8" s="423"/>
      <c r="H8" s="423"/>
      <c r="I8" s="512"/>
    </row>
    <row r="9" spans="1:51" s="495" customFormat="1">
      <c r="A9" s="495" t="s">
        <v>310</v>
      </c>
      <c r="B9" s="511">
        <v>1</v>
      </c>
      <c r="C9" s="511">
        <v>2</v>
      </c>
      <c r="D9" s="511">
        <v>3</v>
      </c>
      <c r="E9" s="511">
        <v>4</v>
      </c>
      <c r="F9" s="511">
        <v>5</v>
      </c>
      <c r="G9" s="511">
        <v>6</v>
      </c>
      <c r="H9" s="511">
        <v>7</v>
      </c>
      <c r="I9" s="513">
        <v>8</v>
      </c>
      <c r="J9" s="495">
        <f>I9+1</f>
        <v>9</v>
      </c>
    </row>
    <row r="10" spans="1:51">
      <c r="A10" s="422" t="s">
        <v>331</v>
      </c>
      <c r="B10" s="510" t="s">
        <v>357</v>
      </c>
      <c r="C10" s="420" t="s">
        <v>333</v>
      </c>
      <c r="D10" s="510" t="str">
        <f ca="1">ITEMS_XEmiss!C9</f>
        <v>AGRCO2S</v>
      </c>
      <c r="E10" s="510" t="s">
        <v>341</v>
      </c>
      <c r="F10" s="510" t="s">
        <v>334</v>
      </c>
      <c r="G10" s="510" t="s">
        <v>337</v>
      </c>
      <c r="H10" s="510" t="s">
        <v>334</v>
      </c>
      <c r="I10" s="514">
        <v>0</v>
      </c>
      <c r="J10" s="495" t="str">
        <f ca="1">RIGHT(D10,4)</f>
        <v>CO2S</v>
      </c>
    </row>
    <row r="11" spans="1:51">
      <c r="A11" s="422" t="s">
        <v>310</v>
      </c>
      <c r="B11" s="510"/>
      <c r="C11" s="420"/>
      <c r="D11" s="510"/>
      <c r="E11" s="510"/>
      <c r="F11" s="510"/>
      <c r="G11" s="510"/>
      <c r="H11" s="510"/>
      <c r="I11" s="514"/>
    </row>
    <row r="12" spans="1:51" ht="15">
      <c r="A12" s="422" t="str">
        <f ca="1">IF(J12=0,"*","")</f>
        <v/>
      </c>
      <c r="B12" s="515" t="str">
        <f t="shared" ref="B12:B75" si="0">$B$10</f>
        <v>FLO_EMIS</v>
      </c>
      <c r="C12" s="518" t="str">
        <f ca="1">"X"&amp;OFFSET(NameConv!$F$4,0,AS12)&amp;OFFSET(NameConv!$F$59,AT12,AS12)</f>
        <v>XAGRCOA</v>
      </c>
      <c r="D12" s="515" t="str">
        <f ca="1">OFFSET(NameConv!$F$4,0,AS12)&amp;OFFSET(NameConv!$AX$4,0,AU12)</f>
        <v>AGRCO2S</v>
      </c>
      <c r="E12" s="515" t="str">
        <f ca="1">OFFSET(NameConv!$F$4,0,AS12)&amp;OFFSET(NameConv!$F$59,AT12,AS12)</f>
        <v>AGRCOA</v>
      </c>
      <c r="F12" s="740" t="s">
        <v>334</v>
      </c>
      <c r="G12" s="515" t="s">
        <v>337</v>
      </c>
      <c r="H12" s="740" t="s">
        <v>334</v>
      </c>
      <c r="I12" s="516">
        <v>0</v>
      </c>
      <c r="J12" s="517">
        <f ca="1">IF(E12="TRAOKE",0,SUMIF(NameConv!$C$5:$C$45,RIGHT(E12,3),OFFSET(NameConv!$AX$5,0,AU12,NameConv!$A$45,1)))</f>
        <v>96.25</v>
      </c>
      <c r="K12" s="518"/>
      <c r="L12" s="518"/>
      <c r="M12" s="518"/>
      <c r="N12" s="518"/>
      <c r="O12" s="518"/>
      <c r="P12" s="518"/>
      <c r="Q12" s="518"/>
      <c r="R12" s="518"/>
      <c r="S12" s="518"/>
      <c r="T12" s="518"/>
      <c r="U12" s="518"/>
      <c r="V12" s="518"/>
      <c r="W12" s="518"/>
      <c r="X12" s="518"/>
      <c r="Y12" s="518"/>
      <c r="Z12" s="518"/>
      <c r="AA12" s="518"/>
      <c r="AB12" s="518"/>
      <c r="AC12" s="518"/>
      <c r="AD12" s="518"/>
      <c r="AE12" s="518"/>
      <c r="AF12" s="518"/>
      <c r="AG12" s="518"/>
      <c r="AH12" s="518"/>
      <c r="AI12" s="518"/>
      <c r="AJ12" s="518"/>
      <c r="AK12" s="518"/>
      <c r="AL12" s="518"/>
      <c r="AM12" s="518"/>
      <c r="AN12" s="518"/>
      <c r="AO12" s="518"/>
      <c r="AP12" s="518"/>
      <c r="AQ12" s="518"/>
      <c r="AR12" s="518"/>
      <c r="AS12" s="738">
        <f>Model_RUN_code</f>
        <v>1</v>
      </c>
      <c r="AT12" s="495">
        <v>1</v>
      </c>
      <c r="AU12" s="495">
        <f ca="1">SUMIF(NameConv!$C$5:$C$45,RIGHT(E12,3),OFFSET(NameConv!$CG$5,0,AV12,NameConv!$A$45,1))</f>
        <v>1</v>
      </c>
      <c r="AV12" s="495">
        <v>1</v>
      </c>
    </row>
    <row r="13" spans="1:51">
      <c r="A13" s="422" t="str">
        <f t="shared" ref="A13:A76" ca="1" si="1">IF(J13=0,"*","")</f>
        <v/>
      </c>
      <c r="B13" s="515" t="str">
        <f t="shared" si="0"/>
        <v>FLO_EMIS</v>
      </c>
      <c r="C13" s="518" t="str">
        <f ca="1">"X"&amp;OFFSET(NameConv!$F$4,0,AS13)&amp;OFFSET(NameConv!$F$59,AT13,AS13)</f>
        <v>XAGRCOA</v>
      </c>
      <c r="D13" s="515" t="str">
        <f ca="1">OFFSET(NameConv!$F$4,0,AS13)&amp;OFFSET(NameConv!$AX$4,0,AU13)</f>
        <v>AGRCH4S</v>
      </c>
      <c r="E13" s="515" t="str">
        <f ca="1">OFFSET(NameConv!$F$4,0,AS13)&amp;OFFSET(NameConv!$F$59,AT13,AS13)</f>
        <v>AGRCOA</v>
      </c>
      <c r="F13" s="740" t="s">
        <v>334</v>
      </c>
      <c r="G13" s="515" t="s">
        <v>337</v>
      </c>
      <c r="H13" s="740" t="s">
        <v>334</v>
      </c>
      <c r="I13" s="516">
        <v>0</v>
      </c>
      <c r="J13" s="517">
        <f ca="1">IF(E13="TRAOKE",0,SUMIF(NameConv!$C$5:$C$45,RIGHT(E13,3),OFFSET(NameConv!$AX$5,0,AU13,NameConv!$A$45,1)))</f>
        <v>1E-3</v>
      </c>
      <c r="K13" s="518"/>
      <c r="L13" s="518"/>
      <c r="M13" s="518"/>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18"/>
      <c r="AK13" s="518"/>
      <c r="AL13" s="518"/>
      <c r="AM13" s="518"/>
      <c r="AN13" s="518"/>
      <c r="AO13" s="518"/>
      <c r="AP13" s="518"/>
      <c r="AQ13" s="518"/>
      <c r="AR13" s="518"/>
      <c r="AS13" s="495">
        <f ca="1">IF(AND(AV12&gt;=SUMIF(NameConv!$C$5:$C$45,RIGHT(E12,3),NameConv!$CG$5:$CG$45),AT12=SUMIF(NameConv!$G$4:$M$4,LEFT(E12,3),NameConv!$G$45:$M$45)),AS12+1,AS12)</f>
        <v>1</v>
      </c>
      <c r="AT13" s="495">
        <f ca="1">IF(AS13&lt;&gt;AS12,1,IF(AV12&gt;=SUMIF(NameConv!$C$5:$C$45,RIGHT(E12,3),NameConv!$CG$5:$CG$45),AT12+1,AT12))</f>
        <v>1</v>
      </c>
      <c r="AU13" s="495">
        <f ca="1">SUMIF(NameConv!$C$5:$C$45,RIGHT(E13,3),OFFSET(NameConv!$CG$5,0,AV13,NameConv!$A$45,1))</f>
        <v>2</v>
      </c>
      <c r="AV13" s="495">
        <f ca="1">IF(AV12&gt;=SUMIF(NameConv!$C$5:$C$45,RIGHT(E12,3),NameConv!$CG$5:$CG$45),1,AV12+1)</f>
        <v>2</v>
      </c>
    </row>
    <row r="14" spans="1:51">
      <c r="A14" s="422" t="str">
        <f t="shared" ca="1" si="1"/>
        <v/>
      </c>
      <c r="B14" s="515" t="str">
        <f t="shared" si="0"/>
        <v>FLO_EMIS</v>
      </c>
      <c r="C14" s="518" t="str">
        <f ca="1">"X"&amp;OFFSET(NameConv!$F$4,0,AS14)&amp;OFFSET(NameConv!$F$59,AT14,AS14)</f>
        <v>XAGRCOA</v>
      </c>
      <c r="D14" s="515" t="str">
        <f ca="1">OFFSET(NameConv!$F$4,0,AS14)&amp;OFFSET(NameConv!$AX$4,0,AU14)</f>
        <v>AGRN2OS</v>
      </c>
      <c r="E14" s="515" t="str">
        <f ca="1">OFFSET(NameConv!$F$4,0,AS14)&amp;OFFSET(NameConv!$F$59,AT14,AS14)</f>
        <v>AGRCOA</v>
      </c>
      <c r="F14" s="740" t="s">
        <v>334</v>
      </c>
      <c r="G14" s="515" t="s">
        <v>337</v>
      </c>
      <c r="H14" s="740" t="s">
        <v>334</v>
      </c>
      <c r="I14" s="516">
        <v>0</v>
      </c>
      <c r="J14" s="517">
        <f ca="1">IF(E14="TRAOKE",0,SUMIF(NameConv!$C$5:$C$45,RIGHT(E14,3),OFFSET(NameConv!$AX$5,0,AU14,NameConv!$A$45,1)))</f>
        <v>1.4E-3</v>
      </c>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495">
        <f ca="1">IF(AND(AV13&gt;=SUMIF(NameConv!$C$5:$C$45,RIGHT(E13,3),NameConv!$CG$5:$CG$45),AT13=SUMIF(NameConv!$G$4:$M$4,LEFT(E13,3),NameConv!$G$45:$M$45)),AS13+1,AS13)</f>
        <v>1</v>
      </c>
      <c r="AT14" s="495">
        <f ca="1">IF(AS14&lt;&gt;AS13,1,IF(AV13&gt;=SUMIF(NameConv!$C$5:$C$45,RIGHT(E13,3),NameConv!$CG$5:$CG$45),AT13+1,AT13))</f>
        <v>1</v>
      </c>
      <c r="AU14" s="495">
        <f ca="1">SUMIF(NameConv!$C$5:$C$45,RIGHT(E14,3),OFFSET(NameConv!$CG$5,0,AV14,NameConv!$A$45,1))</f>
        <v>3</v>
      </c>
      <c r="AV14" s="495">
        <f ca="1">IF(AV13&gt;=SUMIF(NameConv!$C$5:$C$45,RIGHT(E13,3),NameConv!$CG$5:$CG$45),1,AV13+1)</f>
        <v>3</v>
      </c>
    </row>
    <row r="15" spans="1:51">
      <c r="A15" s="422" t="str">
        <f t="shared" ca="1" si="1"/>
        <v/>
      </c>
      <c r="B15" s="515" t="str">
        <f t="shared" si="0"/>
        <v>FLO_EMIS</v>
      </c>
      <c r="C15" s="518" t="str">
        <f ca="1">"X"&amp;OFFSET(NameConv!$F$4,0,AS15)&amp;OFFSET(NameConv!$F$59,AT15,AS15)</f>
        <v>XAGRCOA</v>
      </c>
      <c r="D15" s="515" t="str">
        <f ca="1">OFFSET(NameConv!$F$4,0,AS15)&amp;OFFSET(NameConv!$AX$4,0,AU15)</f>
        <v>AGRSOXS</v>
      </c>
      <c r="E15" s="515" t="str">
        <f ca="1">OFFSET(NameConv!$F$4,0,AS15)&amp;OFFSET(NameConv!$F$59,AT15,AS15)</f>
        <v>AGRCOA</v>
      </c>
      <c r="F15" s="740" t="s">
        <v>334</v>
      </c>
      <c r="G15" s="515" t="s">
        <v>337</v>
      </c>
      <c r="H15" s="740" t="s">
        <v>334</v>
      </c>
      <c r="I15" s="516">
        <v>0</v>
      </c>
      <c r="J15" s="517">
        <f ca="1">IF(E15="TRAOKE",0,SUMIF(NameConv!$C$5:$C$45,RIGHT(E15,3),OFFSET(NameConv!$AX$5,0,AU15,NameConv!$A$45,1)))</f>
        <v>0.62619999999999998</v>
      </c>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495">
        <f ca="1">IF(AND(AV14&gt;=SUMIF(NameConv!$C$5:$C$45,RIGHT(E14,3),NameConv!$CG$5:$CG$45),AT14=SUMIF(NameConv!$G$4:$M$4,LEFT(E14,3),NameConv!$G$45:$M$45)),AS14+1,AS14)</f>
        <v>1</v>
      </c>
      <c r="AT15" s="495">
        <f ca="1">IF(AS15&lt;&gt;AS14,1,IF(AV14&gt;=SUMIF(NameConv!$C$5:$C$45,RIGHT(E14,3),NameConv!$CG$5:$CG$45),AT14+1,AT14))</f>
        <v>1</v>
      </c>
      <c r="AU15" s="495">
        <f ca="1">SUMIF(NameConv!$C$5:$C$45,RIGHT(E15,3),OFFSET(NameConv!$CG$5,0,AV15,NameConv!$A$45,1))</f>
        <v>4</v>
      </c>
      <c r="AV15" s="495">
        <f ca="1">IF(AV14&gt;=SUMIF(NameConv!$C$5:$C$45,RIGHT(E14,3),NameConv!$CG$5:$CG$45),1,AV14+1)</f>
        <v>4</v>
      </c>
    </row>
    <row r="16" spans="1:51">
      <c r="A16" s="422" t="str">
        <f t="shared" ca="1" si="1"/>
        <v/>
      </c>
      <c r="B16" s="515" t="str">
        <f t="shared" si="0"/>
        <v>FLO_EMIS</v>
      </c>
      <c r="C16" s="518" t="str">
        <f ca="1">"X"&amp;OFFSET(NameConv!$F$4,0,AS16)&amp;OFFSET(NameConv!$F$59,AT16,AS16)</f>
        <v>XAGRCOA</v>
      </c>
      <c r="D16" s="515" t="str">
        <f ca="1">OFFSET(NameConv!$F$4,0,AS16)&amp;OFFSET(NameConv!$AX$4,0,AU16)</f>
        <v>AGRNOXS</v>
      </c>
      <c r="E16" s="515" t="str">
        <f ca="1">OFFSET(NameConv!$F$4,0,AS16)&amp;OFFSET(NameConv!$F$59,AT16,AS16)</f>
        <v>AGRCOA</v>
      </c>
      <c r="F16" s="740" t="s">
        <v>334</v>
      </c>
      <c r="G16" s="515" t="s">
        <v>337</v>
      </c>
      <c r="H16" s="740" t="s">
        <v>334</v>
      </c>
      <c r="I16" s="516">
        <v>0</v>
      </c>
      <c r="J16" s="517">
        <f ca="1">IF(E16="TRAOKE",0,SUMIF(NameConv!$C$5:$C$45,RIGHT(E16,3),OFFSET(NameConv!$AX$5,0,AU16,NameConv!$A$45,1)))</f>
        <v>0.3</v>
      </c>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518"/>
      <c r="AO16" s="518"/>
      <c r="AP16" s="518"/>
      <c r="AQ16" s="518"/>
      <c r="AR16" s="518"/>
      <c r="AS16" s="495">
        <f ca="1">IF(AND(AV15&gt;=SUMIF(NameConv!$C$5:$C$45,RIGHT(E15,3),NameConv!$CG$5:$CG$45),AT15=SUMIF(NameConv!$G$4:$M$4,LEFT(E15,3),NameConv!$G$45:$M$45)),AS15+1,AS15)</f>
        <v>1</v>
      </c>
      <c r="AT16" s="495">
        <f ca="1">IF(AS16&lt;&gt;AS15,1,IF(AV15&gt;=SUMIF(NameConv!$C$5:$C$45,RIGHT(E15,3),NameConv!$CG$5:$CG$45),AT15+1,AT15))</f>
        <v>1</v>
      </c>
      <c r="AU16" s="495">
        <f ca="1">SUMIF(NameConv!$C$5:$C$45,RIGHT(E16,3),OFFSET(NameConv!$CG$5,0,AV16,NameConv!$A$45,1))</f>
        <v>5</v>
      </c>
      <c r="AV16" s="495">
        <f ca="1">IF(AV15&gt;=SUMIF(NameConv!$C$5:$C$45,RIGHT(E15,3),NameConv!$CG$5:$CG$45),1,AV15+1)</f>
        <v>5</v>
      </c>
    </row>
    <row r="17" spans="1:48">
      <c r="A17" s="422" t="str">
        <f t="shared" ca="1" si="1"/>
        <v/>
      </c>
      <c r="B17" s="515" t="str">
        <f t="shared" si="0"/>
        <v>FLO_EMIS</v>
      </c>
      <c r="C17" s="518" t="str">
        <f ca="1">"X"&amp;OFFSET(NameConv!$F$4,0,AS17)&amp;OFFSET(NameConv!$F$59,AT17,AS17)</f>
        <v>XAGRCOA</v>
      </c>
      <c r="D17" s="515" t="str">
        <f ca="1">OFFSET(NameConv!$F$4,0,AS17)&amp;OFFSET(NameConv!$AX$4,0,AU17)</f>
        <v>AGRCMOX</v>
      </c>
      <c r="E17" s="515" t="str">
        <f ca="1">OFFSET(NameConv!$F$4,0,AS17)&amp;OFFSET(NameConv!$F$59,AT17,AS17)</f>
        <v>AGRCOA</v>
      </c>
      <c r="F17" s="740" t="s">
        <v>334</v>
      </c>
      <c r="G17" s="515" t="s">
        <v>337</v>
      </c>
      <c r="H17" s="740" t="s">
        <v>334</v>
      </c>
      <c r="I17" s="516">
        <v>0</v>
      </c>
      <c r="J17" s="517">
        <f ca="1">IF(E17="TRAOKE",0,SUMIF(NameConv!$C$5:$C$45,RIGHT(E17,3),OFFSET(NameConv!$AX$5,0,AU17,NameConv!$A$45,1)))</f>
        <v>0.02</v>
      </c>
      <c r="K17" s="518"/>
      <c r="L17" s="518"/>
      <c r="M17" s="518"/>
      <c r="N17" s="518"/>
      <c r="O17" s="518"/>
      <c r="P17" s="518"/>
      <c r="Q17" s="518"/>
      <c r="R17" s="518"/>
      <c r="S17" s="518"/>
      <c r="T17" s="518"/>
      <c r="U17" s="518"/>
      <c r="V17" s="518"/>
      <c r="W17" s="518"/>
      <c r="X17" s="518"/>
      <c r="Y17" s="518"/>
      <c r="Z17" s="518"/>
      <c r="AA17" s="518"/>
      <c r="AB17" s="518"/>
      <c r="AC17" s="518"/>
      <c r="AD17" s="518"/>
      <c r="AE17" s="518"/>
      <c r="AF17" s="518"/>
      <c r="AG17" s="518"/>
      <c r="AH17" s="518"/>
      <c r="AI17" s="518"/>
      <c r="AJ17" s="518"/>
      <c r="AK17" s="518"/>
      <c r="AL17" s="518"/>
      <c r="AM17" s="518"/>
      <c r="AN17" s="518"/>
      <c r="AO17" s="518"/>
      <c r="AP17" s="518"/>
      <c r="AQ17" s="518"/>
      <c r="AR17" s="518"/>
      <c r="AS17" s="495">
        <f ca="1">IF(AND(AV16&gt;=SUMIF(NameConv!$C$5:$C$45,RIGHT(E16,3),NameConv!$CG$5:$CG$45),AT16=SUMIF(NameConv!$G$4:$M$4,LEFT(E16,3),NameConv!$G$45:$M$45)),AS16+1,AS16)</f>
        <v>1</v>
      </c>
      <c r="AT17" s="495">
        <f ca="1">IF(AS17&lt;&gt;AS16,1,IF(AV16&gt;=SUMIF(NameConv!$C$5:$C$45,RIGHT(E16,3),NameConv!$CG$5:$CG$45),AT16+1,AT16))</f>
        <v>1</v>
      </c>
      <c r="AU17" s="495">
        <f ca="1">SUMIF(NameConv!$C$5:$C$45,RIGHT(E17,3),OFFSET(NameConv!$CG$5,0,AV17,NameConv!$A$45,1))</f>
        <v>6</v>
      </c>
      <c r="AV17" s="495">
        <f ca="1">IF(AV16&gt;=SUMIF(NameConv!$C$5:$C$45,RIGHT(E16,3),NameConv!$CG$5:$CG$45),1,AV16+1)</f>
        <v>6</v>
      </c>
    </row>
    <row r="18" spans="1:48">
      <c r="A18" s="422" t="str">
        <f t="shared" ca="1" si="1"/>
        <v/>
      </c>
      <c r="B18" s="515" t="str">
        <f t="shared" si="0"/>
        <v>FLO_EMIS</v>
      </c>
      <c r="C18" s="518" t="str">
        <f ca="1">"X"&amp;OFFSET(NameConv!$F$4,0,AS18)&amp;OFFSET(NameConv!$F$59,AT18,AS18)</f>
        <v>XAGRCOA</v>
      </c>
      <c r="D18" s="515" t="str">
        <f ca="1">OFFSET(NameConv!$F$4,0,AS18)&amp;OFFSET(NameConv!$AX$4,0,AU18)</f>
        <v>AGRNMVS</v>
      </c>
      <c r="E18" s="515" t="str">
        <f ca="1">OFFSET(NameConv!$F$4,0,AS18)&amp;OFFSET(NameConv!$F$59,AT18,AS18)</f>
        <v>AGRCOA</v>
      </c>
      <c r="F18" s="740" t="s">
        <v>334</v>
      </c>
      <c r="G18" s="515" t="s">
        <v>337</v>
      </c>
      <c r="H18" s="740" t="s">
        <v>334</v>
      </c>
      <c r="I18" s="516">
        <v>0</v>
      </c>
      <c r="J18" s="517">
        <f ca="1">IF(E18="TRAOKE",0,SUMIF(NameConv!$C$5:$C$45,RIGHT(E18,3),OFFSET(NameConv!$AX$5,0,AU18,NameConv!$A$45,1)))</f>
        <v>5.0000000000000001E-3</v>
      </c>
      <c r="K18" s="518"/>
      <c r="L18" s="518"/>
      <c r="M18" s="518"/>
      <c r="N18" s="518"/>
      <c r="O18" s="518"/>
      <c r="P18" s="518"/>
      <c r="Q18" s="518"/>
      <c r="R18" s="518"/>
      <c r="S18" s="518"/>
      <c r="T18" s="518"/>
      <c r="U18" s="518"/>
      <c r="V18" s="518"/>
      <c r="W18" s="518"/>
      <c r="X18" s="518"/>
      <c r="Y18" s="518"/>
      <c r="Z18" s="518"/>
      <c r="AA18" s="518"/>
      <c r="AB18" s="518"/>
      <c r="AC18" s="518"/>
      <c r="AD18" s="518"/>
      <c r="AE18" s="518"/>
      <c r="AF18" s="518"/>
      <c r="AG18" s="518"/>
      <c r="AH18" s="518"/>
      <c r="AI18" s="518"/>
      <c r="AJ18" s="518"/>
      <c r="AK18" s="518"/>
      <c r="AL18" s="518"/>
      <c r="AM18" s="518"/>
      <c r="AN18" s="518"/>
      <c r="AO18" s="518"/>
      <c r="AP18" s="518"/>
      <c r="AQ18" s="518"/>
      <c r="AR18" s="518"/>
      <c r="AS18" s="495">
        <f ca="1">IF(AND(AV17&gt;=SUMIF(NameConv!$C$5:$C$45,RIGHT(E17,3),NameConv!$CG$5:$CG$45),AT17=SUMIF(NameConv!$G$4:$M$4,LEFT(E17,3),NameConv!$G$45:$M$45)),AS17+1,AS17)</f>
        <v>1</v>
      </c>
      <c r="AT18" s="495">
        <f ca="1">IF(AS18&lt;&gt;AS17,1,IF(AV17&gt;=SUMIF(NameConv!$C$5:$C$45,RIGHT(E17,3),NameConv!$CG$5:$CG$45),AT17+1,AT17))</f>
        <v>1</v>
      </c>
      <c r="AU18" s="495">
        <f ca="1">SUMIF(NameConv!$C$5:$C$45,RIGHT(E18,3),OFFSET(NameConv!$CG$5,0,AV18,NameConv!$A$45,1))</f>
        <v>7</v>
      </c>
      <c r="AV18" s="495">
        <f ca="1">IF(AV17&gt;=SUMIF(NameConv!$C$5:$C$45,RIGHT(E17,3),NameConv!$CG$5:$CG$45),1,AV17+1)</f>
        <v>7</v>
      </c>
    </row>
    <row r="19" spans="1:48">
      <c r="A19" s="422" t="str">
        <f t="shared" ca="1" si="1"/>
        <v>*</v>
      </c>
      <c r="B19" s="515" t="str">
        <f t="shared" si="0"/>
        <v>FLO_EMIS</v>
      </c>
      <c r="C19" s="518" t="str">
        <f ca="1">"X"&amp;OFFSET(NameConv!$F$4,0,AS19)&amp;OFFSET(NameConv!$F$59,AT19,AS19)</f>
        <v>XAGRELC</v>
      </c>
      <c r="D19" s="515" t="str">
        <f ca="1">OFFSET(NameConv!$F$4,0,AS19)&amp;OFFSET(NameConv!$AX$4,0,AU19)</f>
        <v>AGR</v>
      </c>
      <c r="E19" s="515" t="str">
        <f ca="1">OFFSET(NameConv!$F$4,0,AS19)&amp;OFFSET(NameConv!$F$59,AT19,AS19)</f>
        <v>AGRELC</v>
      </c>
      <c r="F19" s="740" t="s">
        <v>334</v>
      </c>
      <c r="G19" s="515" t="s">
        <v>337</v>
      </c>
      <c r="H19" s="740" t="s">
        <v>334</v>
      </c>
      <c r="I19" s="516">
        <v>0</v>
      </c>
      <c r="J19" s="517">
        <f ca="1">IF(E19="TRAOKE",0,SUMIF(NameConv!$C$5:$C$45,RIGHT(E19,3),OFFSET(NameConv!$AX$5,0,AU19,NameConv!$A$45,1)))</f>
        <v>0</v>
      </c>
      <c r="K19" s="518"/>
      <c r="L19" s="518"/>
      <c r="M19" s="518"/>
      <c r="N19" s="518"/>
      <c r="O19" s="518"/>
      <c r="P19" s="518"/>
      <c r="Q19" s="518"/>
      <c r="R19" s="518"/>
      <c r="S19" s="518"/>
      <c r="T19" s="518"/>
      <c r="U19" s="518"/>
      <c r="V19" s="518"/>
      <c r="W19" s="518"/>
      <c r="X19" s="518"/>
      <c r="Y19" s="518"/>
      <c r="Z19" s="518"/>
      <c r="AA19" s="518"/>
      <c r="AB19" s="518"/>
      <c r="AC19" s="518"/>
      <c r="AD19" s="518"/>
      <c r="AE19" s="518"/>
      <c r="AF19" s="518"/>
      <c r="AG19" s="518"/>
      <c r="AH19" s="518"/>
      <c r="AI19" s="518"/>
      <c r="AJ19" s="518"/>
      <c r="AK19" s="518"/>
      <c r="AL19" s="518"/>
      <c r="AM19" s="518"/>
      <c r="AN19" s="518"/>
      <c r="AO19" s="518"/>
      <c r="AP19" s="518"/>
      <c r="AQ19" s="518"/>
      <c r="AR19" s="518"/>
      <c r="AS19" s="495">
        <f ca="1">IF(AND(AV18&gt;=SUMIF(NameConv!$C$5:$C$45,RIGHT(E18,3),NameConv!$CG$5:$CG$45),AT18=SUMIF(NameConv!$G$4:$M$4,LEFT(E18,3),NameConv!$G$45:$M$45)),AS18+1,AS18)</f>
        <v>1</v>
      </c>
      <c r="AT19" s="495">
        <f ca="1">IF(AS19&lt;&gt;AS18,1,IF(AV18&gt;=SUMIF(NameConv!$C$5:$C$45,RIGHT(E18,3),NameConv!$CG$5:$CG$45),AT18+1,AT18))</f>
        <v>2</v>
      </c>
      <c r="AU19" s="495">
        <f ca="1">SUMIF(NameConv!$C$5:$C$45,RIGHT(E19,3),OFFSET(NameConv!$CG$5,0,AV19,NameConv!$A$45,1))</f>
        <v>0</v>
      </c>
      <c r="AV19" s="495">
        <f ca="1">IF(AV18&gt;=SUMIF(NameConv!$C$5:$C$45,RIGHT(E18,3),NameConv!$CG$5:$CG$45),1,AV18+1)</f>
        <v>1</v>
      </c>
    </row>
    <row r="20" spans="1:48">
      <c r="A20" s="422" t="str">
        <f t="shared" ca="1" si="1"/>
        <v/>
      </c>
      <c r="B20" s="515" t="str">
        <f t="shared" si="0"/>
        <v>FLO_EMIS</v>
      </c>
      <c r="C20" s="518" t="str">
        <f ca="1">"X"&amp;OFFSET(NameConv!$F$4,0,AS20)&amp;OFFSET(NameConv!$F$59,AT20,AS20)</f>
        <v>XAGRODS</v>
      </c>
      <c r="D20" s="515" t="str">
        <f ca="1">OFFSET(NameConv!$F$4,0,AS20)&amp;OFFSET(NameConv!$AX$4,0,AU20)</f>
        <v>AGRCO2S</v>
      </c>
      <c r="E20" s="515" t="str">
        <f ca="1">OFFSET(NameConv!$F$4,0,AS20)&amp;OFFSET(NameConv!$F$59,AT20,AS20)</f>
        <v>AGRODS</v>
      </c>
      <c r="F20" s="740" t="s">
        <v>334</v>
      </c>
      <c r="G20" s="515" t="s">
        <v>337</v>
      </c>
      <c r="H20" s="740" t="s">
        <v>334</v>
      </c>
      <c r="I20" s="516">
        <v>0</v>
      </c>
      <c r="J20" s="517">
        <f ca="1">IF(E20="TRAOKE",0,SUMIF(NameConv!$C$5:$C$45,RIGHT(E20,3),OFFSET(NameConv!$AX$5,0,AU20,NameConv!$A$45,1)))</f>
        <v>74.066699999999997</v>
      </c>
      <c r="K20" s="518"/>
      <c r="L20" s="518"/>
      <c r="M20" s="518"/>
      <c r="N20" s="518"/>
      <c r="O20" s="518"/>
      <c r="P20" s="518"/>
      <c r="Q20" s="518"/>
      <c r="R20" s="518"/>
      <c r="S20" s="518"/>
      <c r="T20" s="518"/>
      <c r="U20" s="518"/>
      <c r="V20" s="518"/>
      <c r="W20" s="518"/>
      <c r="X20" s="518"/>
      <c r="Y20" s="518"/>
      <c r="Z20" s="518"/>
      <c r="AA20" s="518"/>
      <c r="AB20" s="518"/>
      <c r="AC20" s="518"/>
      <c r="AD20" s="518"/>
      <c r="AE20" s="518"/>
      <c r="AF20" s="518"/>
      <c r="AG20" s="518"/>
      <c r="AH20" s="518"/>
      <c r="AI20" s="518"/>
      <c r="AJ20" s="518"/>
      <c r="AK20" s="518"/>
      <c r="AL20" s="518"/>
      <c r="AM20" s="518"/>
      <c r="AN20" s="518"/>
      <c r="AO20" s="518"/>
      <c r="AP20" s="518"/>
      <c r="AQ20" s="518"/>
      <c r="AR20" s="518"/>
      <c r="AS20" s="495">
        <f ca="1">IF(AND(AV19&gt;=SUMIF(NameConv!$C$5:$C$45,RIGHT(E19,3),NameConv!$CG$5:$CG$45),AT19=SUMIF(NameConv!$G$4:$M$4,LEFT(E19,3),NameConv!$G$45:$M$45)),AS19+1,AS19)</f>
        <v>1</v>
      </c>
      <c r="AT20" s="495">
        <f ca="1">IF(AS20&lt;&gt;AS19,1,IF(AV19&gt;=SUMIF(NameConv!$C$5:$C$45,RIGHT(E19,3),NameConv!$CG$5:$CG$45),AT19+1,AT19))</f>
        <v>3</v>
      </c>
      <c r="AU20" s="495">
        <f ca="1">SUMIF(NameConv!$C$5:$C$45,RIGHT(E20,3),OFFSET(NameConv!$CG$5,0,AV20,NameConv!$A$45,1))</f>
        <v>1</v>
      </c>
      <c r="AV20" s="495">
        <f ca="1">IF(AV19&gt;=SUMIF(NameConv!$C$5:$C$45,RIGHT(E19,3),NameConv!$CG$5:$CG$45),1,AV19+1)</f>
        <v>1</v>
      </c>
    </row>
    <row r="21" spans="1:48">
      <c r="A21" s="422" t="str">
        <f t="shared" ca="1" si="1"/>
        <v/>
      </c>
      <c r="B21" s="515" t="str">
        <f t="shared" si="0"/>
        <v>FLO_EMIS</v>
      </c>
      <c r="C21" s="518" t="str">
        <f ca="1">"X"&amp;OFFSET(NameConv!$F$4,0,AS21)&amp;OFFSET(NameConv!$F$59,AT21,AS21)</f>
        <v>XAGRODS</v>
      </c>
      <c r="D21" s="515" t="str">
        <f ca="1">OFFSET(NameConv!$F$4,0,AS21)&amp;OFFSET(NameConv!$AX$4,0,AU21)</f>
        <v>AGRCH4S</v>
      </c>
      <c r="E21" s="515" t="str">
        <f ca="1">OFFSET(NameConv!$F$4,0,AS21)&amp;OFFSET(NameConv!$F$59,AT21,AS21)</f>
        <v>AGRODS</v>
      </c>
      <c r="F21" s="740" t="s">
        <v>334</v>
      </c>
      <c r="G21" s="515" t="s">
        <v>337</v>
      </c>
      <c r="H21" s="740" t="s">
        <v>334</v>
      </c>
      <c r="I21" s="516">
        <v>0</v>
      </c>
      <c r="J21" s="517">
        <f ca="1">IF(E21="TRAOKE",0,SUMIF(NameConv!$C$5:$C$45,RIGHT(E21,3),OFFSET(NameConv!$AX$5,0,AU21,NameConv!$A$45,1)))</f>
        <v>3.0000000000000001E-3</v>
      </c>
      <c r="K21" s="518"/>
      <c r="L21" s="518"/>
      <c r="M21" s="518"/>
      <c r="N21" s="518"/>
      <c r="O21" s="518"/>
      <c r="P21" s="518"/>
      <c r="Q21" s="518"/>
      <c r="R21" s="518"/>
      <c r="S21" s="518"/>
      <c r="T21" s="518"/>
      <c r="U21" s="518"/>
      <c r="V21" s="518"/>
      <c r="W21" s="518"/>
      <c r="X21" s="518"/>
      <c r="Y21" s="518"/>
      <c r="Z21" s="518"/>
      <c r="AA21" s="518"/>
      <c r="AB21" s="518"/>
      <c r="AC21" s="518"/>
      <c r="AD21" s="518"/>
      <c r="AE21" s="518"/>
      <c r="AF21" s="518"/>
      <c r="AG21" s="518"/>
      <c r="AH21" s="518"/>
      <c r="AI21" s="518"/>
      <c r="AJ21" s="518"/>
      <c r="AK21" s="518"/>
      <c r="AL21" s="518"/>
      <c r="AM21" s="518"/>
      <c r="AN21" s="518"/>
      <c r="AO21" s="518"/>
      <c r="AP21" s="518"/>
      <c r="AQ21" s="518"/>
      <c r="AR21" s="518"/>
      <c r="AS21" s="495">
        <f ca="1">IF(AND(AV20&gt;=SUMIF(NameConv!$C$5:$C$45,RIGHT(E20,3),NameConv!$CG$5:$CG$45),AT20=SUMIF(NameConv!$G$4:$M$4,LEFT(E20,3),NameConv!$G$45:$M$45)),AS20+1,AS20)</f>
        <v>1</v>
      </c>
      <c r="AT21" s="495">
        <f ca="1">IF(AS21&lt;&gt;AS20,1,IF(AV20&gt;=SUMIF(NameConv!$C$5:$C$45,RIGHT(E20,3),NameConv!$CG$5:$CG$45),AT20+1,AT20))</f>
        <v>3</v>
      </c>
      <c r="AU21" s="495">
        <f ca="1">SUMIF(NameConv!$C$5:$C$45,RIGHT(E21,3),OFFSET(NameConv!$CG$5,0,AV21,NameConv!$A$45,1))</f>
        <v>2</v>
      </c>
      <c r="AV21" s="495">
        <f ca="1">IF(AV20&gt;=SUMIF(NameConv!$C$5:$C$45,RIGHT(E20,3),NameConv!$CG$5:$CG$45),1,AV20+1)</f>
        <v>2</v>
      </c>
    </row>
    <row r="22" spans="1:48">
      <c r="A22" s="422" t="str">
        <f t="shared" ca="1" si="1"/>
        <v/>
      </c>
      <c r="B22" s="515" t="str">
        <f t="shared" si="0"/>
        <v>FLO_EMIS</v>
      </c>
      <c r="C22" s="518" t="str">
        <f ca="1">"X"&amp;OFFSET(NameConv!$F$4,0,AS22)&amp;OFFSET(NameConv!$F$59,AT22,AS22)</f>
        <v>XAGRODS</v>
      </c>
      <c r="D22" s="515" t="str">
        <f ca="1">OFFSET(NameConv!$F$4,0,AS22)&amp;OFFSET(NameConv!$AX$4,0,AU22)</f>
        <v>AGRN2OS</v>
      </c>
      <c r="E22" s="515" t="str">
        <f ca="1">OFFSET(NameConv!$F$4,0,AS22)&amp;OFFSET(NameConv!$F$59,AT22,AS22)</f>
        <v>AGRODS</v>
      </c>
      <c r="F22" s="740" t="s">
        <v>334</v>
      </c>
      <c r="G22" s="515" t="s">
        <v>337</v>
      </c>
      <c r="H22" s="740" t="s">
        <v>334</v>
      </c>
      <c r="I22" s="516">
        <v>0</v>
      </c>
      <c r="J22" s="517">
        <f ca="1">IF(E22="TRAOKE",0,SUMIF(NameConv!$C$5:$C$45,RIGHT(E22,3),OFFSET(NameConv!$AX$5,0,AU22,NameConv!$A$45,1)))</f>
        <v>5.9999999999999995E-4</v>
      </c>
      <c r="K22" s="518"/>
      <c r="L22" s="518"/>
      <c r="M22" s="518"/>
      <c r="N22" s="518"/>
      <c r="O22" s="518"/>
      <c r="P22" s="518"/>
      <c r="Q22" s="518"/>
      <c r="R22" s="518"/>
      <c r="S22" s="518"/>
      <c r="T22" s="518"/>
      <c r="U22" s="518"/>
      <c r="V22" s="518"/>
      <c r="W22" s="518"/>
      <c r="X22" s="518"/>
      <c r="Y22" s="518"/>
      <c r="Z22" s="518"/>
      <c r="AA22" s="518"/>
      <c r="AB22" s="518"/>
      <c r="AC22" s="518"/>
      <c r="AD22" s="518"/>
      <c r="AE22" s="518"/>
      <c r="AF22" s="518"/>
      <c r="AG22" s="518"/>
      <c r="AH22" s="518"/>
      <c r="AI22" s="518"/>
      <c r="AJ22" s="518"/>
      <c r="AK22" s="518"/>
      <c r="AL22" s="518"/>
      <c r="AM22" s="518"/>
      <c r="AN22" s="518"/>
      <c r="AO22" s="518"/>
      <c r="AP22" s="518"/>
      <c r="AQ22" s="518"/>
      <c r="AR22" s="518"/>
      <c r="AS22" s="495">
        <f ca="1">IF(AND(AV21&gt;=SUMIF(NameConv!$C$5:$C$45,RIGHT(E21,3),NameConv!$CG$5:$CG$45),AT21=SUMIF(NameConv!$G$4:$M$4,LEFT(E21,3),NameConv!$G$45:$M$45)),AS21+1,AS21)</f>
        <v>1</v>
      </c>
      <c r="AT22" s="495">
        <f ca="1">IF(AS22&lt;&gt;AS21,1,IF(AV21&gt;=SUMIF(NameConv!$C$5:$C$45,RIGHT(E21,3),NameConv!$CG$5:$CG$45),AT21+1,AT21))</f>
        <v>3</v>
      </c>
      <c r="AU22" s="495">
        <f ca="1">SUMIF(NameConv!$C$5:$C$45,RIGHT(E22,3),OFFSET(NameConv!$CG$5,0,AV22,NameConv!$A$45,1))</f>
        <v>3</v>
      </c>
      <c r="AV22" s="495">
        <f ca="1">IF(AV21&gt;=SUMIF(NameConv!$C$5:$C$45,RIGHT(E21,3),NameConv!$CG$5:$CG$45),1,AV21+1)</f>
        <v>3</v>
      </c>
    </row>
    <row r="23" spans="1:48">
      <c r="A23" s="422" t="str">
        <f t="shared" ca="1" si="1"/>
        <v/>
      </c>
      <c r="B23" s="515" t="str">
        <f t="shared" si="0"/>
        <v>FLO_EMIS</v>
      </c>
      <c r="C23" s="518" t="str">
        <f ca="1">"X"&amp;OFFSET(NameConv!$F$4,0,AS23)&amp;OFFSET(NameConv!$F$59,AT23,AS23)</f>
        <v>XAGRODS</v>
      </c>
      <c r="D23" s="515" t="str">
        <f ca="1">OFFSET(NameConv!$F$4,0,AS23)&amp;OFFSET(NameConv!$AX$4,0,AU23)</f>
        <v>AGRSOXS</v>
      </c>
      <c r="E23" s="515" t="str">
        <f ca="1">OFFSET(NameConv!$F$4,0,AS23)&amp;OFFSET(NameConv!$F$59,AT23,AS23)</f>
        <v>AGRODS</v>
      </c>
      <c r="F23" s="740" t="s">
        <v>334</v>
      </c>
      <c r="G23" s="515" t="s">
        <v>337</v>
      </c>
      <c r="H23" s="740" t="s">
        <v>334</v>
      </c>
      <c r="I23" s="516">
        <v>0</v>
      </c>
      <c r="J23" s="517">
        <f ca="1">IF(E23="TRAOKE",0,SUMIF(NameConv!$C$5:$C$45,RIGHT(E23,3),OFFSET(NameConv!$AX$5,0,AU23,NameConv!$A$45,1)))</f>
        <v>0.25290000000000001</v>
      </c>
      <c r="K23" s="518"/>
      <c r="L23" s="518"/>
      <c r="M23" s="518"/>
      <c r="N23" s="518"/>
      <c r="O23" s="518"/>
      <c r="P23" s="518"/>
      <c r="Q23" s="518"/>
      <c r="R23" s="518"/>
      <c r="S23" s="518"/>
      <c r="T23" s="518"/>
      <c r="U23" s="518"/>
      <c r="V23" s="518"/>
      <c r="W23" s="518"/>
      <c r="X23" s="518"/>
      <c r="Y23" s="518"/>
      <c r="Z23" s="518"/>
      <c r="AA23" s="518"/>
      <c r="AB23" s="518"/>
      <c r="AC23" s="518"/>
      <c r="AD23" s="518"/>
      <c r="AE23" s="518"/>
      <c r="AF23" s="518"/>
      <c r="AG23" s="518"/>
      <c r="AH23" s="518"/>
      <c r="AI23" s="518"/>
      <c r="AJ23" s="518"/>
      <c r="AK23" s="518"/>
      <c r="AL23" s="518"/>
      <c r="AM23" s="518"/>
      <c r="AN23" s="518"/>
      <c r="AO23" s="518"/>
      <c r="AP23" s="518"/>
      <c r="AQ23" s="518"/>
      <c r="AR23" s="518"/>
      <c r="AS23" s="495">
        <f ca="1">IF(AND(AV22&gt;=SUMIF(NameConv!$C$5:$C$45,RIGHT(E22,3),NameConv!$CG$5:$CG$45),AT22=SUMIF(NameConv!$G$4:$M$4,LEFT(E22,3),NameConv!$G$45:$M$45)),AS22+1,AS22)</f>
        <v>1</v>
      </c>
      <c r="AT23" s="495">
        <f ca="1">IF(AS23&lt;&gt;AS22,1,IF(AV22&gt;=SUMIF(NameConv!$C$5:$C$45,RIGHT(E22,3),NameConv!$CG$5:$CG$45),AT22+1,AT22))</f>
        <v>3</v>
      </c>
      <c r="AU23" s="495">
        <f ca="1">SUMIF(NameConv!$C$5:$C$45,RIGHT(E23,3),OFFSET(NameConv!$CG$5,0,AV23,NameConv!$A$45,1))</f>
        <v>4</v>
      </c>
      <c r="AV23" s="495">
        <f ca="1">IF(AV22&gt;=SUMIF(NameConv!$C$5:$C$45,RIGHT(E22,3),NameConv!$CG$5:$CG$45),1,AV22+1)</f>
        <v>4</v>
      </c>
    </row>
    <row r="24" spans="1:48">
      <c r="A24" s="422" t="str">
        <f t="shared" ca="1" si="1"/>
        <v/>
      </c>
      <c r="B24" s="515" t="str">
        <f t="shared" si="0"/>
        <v>FLO_EMIS</v>
      </c>
      <c r="C24" s="518" t="str">
        <f ca="1">"X"&amp;OFFSET(NameConv!$F$4,0,AS24)&amp;OFFSET(NameConv!$F$59,AT24,AS24)</f>
        <v>XAGRODS</v>
      </c>
      <c r="D24" s="515" t="str">
        <f ca="1">OFFSET(NameConv!$F$4,0,AS24)&amp;OFFSET(NameConv!$AX$4,0,AU24)</f>
        <v>AGRNOXS</v>
      </c>
      <c r="E24" s="515" t="str">
        <f ca="1">OFFSET(NameConv!$F$4,0,AS24)&amp;OFFSET(NameConv!$F$59,AT24,AS24)</f>
        <v>AGRODS</v>
      </c>
      <c r="F24" s="740" t="s">
        <v>334</v>
      </c>
      <c r="G24" s="515" t="s">
        <v>337</v>
      </c>
      <c r="H24" s="740" t="s">
        <v>334</v>
      </c>
      <c r="I24" s="516">
        <v>0</v>
      </c>
      <c r="J24" s="517">
        <f ca="1">IF(E24="TRAOKE",0,SUMIF(NameConv!$C$5:$C$45,RIGHT(E24,3),OFFSET(NameConv!$AX$5,0,AU24,NameConv!$A$45,1)))</f>
        <v>0.2</v>
      </c>
      <c r="K24" s="518"/>
      <c r="L24" s="518"/>
      <c r="M24" s="518"/>
      <c r="N24" s="518"/>
      <c r="O24" s="518"/>
      <c r="P24" s="518"/>
      <c r="Q24" s="518"/>
      <c r="R24" s="518"/>
      <c r="S24" s="518"/>
      <c r="T24" s="518"/>
      <c r="U24" s="518"/>
      <c r="V24" s="518"/>
      <c r="W24" s="518"/>
      <c r="X24" s="518"/>
      <c r="Y24" s="518"/>
      <c r="Z24" s="518"/>
      <c r="AA24" s="518"/>
      <c r="AB24" s="518"/>
      <c r="AC24" s="518"/>
      <c r="AD24" s="518"/>
      <c r="AE24" s="518"/>
      <c r="AF24" s="518"/>
      <c r="AG24" s="518"/>
      <c r="AH24" s="518"/>
      <c r="AI24" s="518"/>
      <c r="AJ24" s="518"/>
      <c r="AK24" s="518"/>
      <c r="AL24" s="518"/>
      <c r="AM24" s="518"/>
      <c r="AN24" s="518"/>
      <c r="AO24" s="518"/>
      <c r="AP24" s="518"/>
      <c r="AQ24" s="518"/>
      <c r="AR24" s="518"/>
      <c r="AS24" s="495">
        <f ca="1">IF(AND(AV23&gt;=SUMIF(NameConv!$C$5:$C$45,RIGHT(E23,3),NameConv!$CG$5:$CG$45),AT23=SUMIF(NameConv!$G$4:$M$4,LEFT(E23,3),NameConv!$G$45:$M$45)),AS23+1,AS23)</f>
        <v>1</v>
      </c>
      <c r="AT24" s="495">
        <f ca="1">IF(AS24&lt;&gt;AS23,1,IF(AV23&gt;=SUMIF(NameConv!$C$5:$C$45,RIGHT(E23,3),NameConv!$CG$5:$CG$45),AT23+1,AT23))</f>
        <v>3</v>
      </c>
      <c r="AU24" s="495">
        <f ca="1">SUMIF(NameConv!$C$5:$C$45,RIGHT(E24,3),OFFSET(NameConv!$CG$5,0,AV24,NameConv!$A$45,1))</f>
        <v>5</v>
      </c>
      <c r="AV24" s="495">
        <f ca="1">IF(AV23&gt;=SUMIF(NameConv!$C$5:$C$45,RIGHT(E23,3),NameConv!$CG$5:$CG$45),1,AV23+1)</f>
        <v>5</v>
      </c>
    </row>
    <row r="25" spans="1:48">
      <c r="A25" s="422" t="str">
        <f t="shared" ca="1" si="1"/>
        <v/>
      </c>
      <c r="B25" s="515" t="str">
        <f t="shared" si="0"/>
        <v>FLO_EMIS</v>
      </c>
      <c r="C25" s="518" t="str">
        <f ca="1">"X"&amp;OFFSET(NameConv!$F$4,0,AS25)&amp;OFFSET(NameConv!$F$59,AT25,AS25)</f>
        <v>XAGRODS</v>
      </c>
      <c r="D25" s="515" t="str">
        <f ca="1">OFFSET(NameConv!$F$4,0,AS25)&amp;OFFSET(NameConv!$AX$4,0,AU25)</f>
        <v>AGRCMOX</v>
      </c>
      <c r="E25" s="515" t="str">
        <f ca="1">OFFSET(NameConv!$F$4,0,AS25)&amp;OFFSET(NameConv!$F$59,AT25,AS25)</f>
        <v>AGRODS</v>
      </c>
      <c r="F25" s="740" t="s">
        <v>334</v>
      </c>
      <c r="G25" s="515" t="s">
        <v>337</v>
      </c>
      <c r="H25" s="740" t="s">
        <v>334</v>
      </c>
      <c r="I25" s="516">
        <v>0</v>
      </c>
      <c r="J25" s="517">
        <f ca="1">IF(E25="TRAOKE",0,SUMIF(NameConv!$C$5:$C$45,RIGHT(E25,3),OFFSET(NameConv!$AX$5,0,AU25,NameConv!$A$45,1)))</f>
        <v>1.4999999999999999E-2</v>
      </c>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518"/>
      <c r="AK25" s="518"/>
      <c r="AL25" s="518"/>
      <c r="AM25" s="518"/>
      <c r="AN25" s="518"/>
      <c r="AO25" s="518"/>
      <c r="AP25" s="518"/>
      <c r="AQ25" s="518"/>
      <c r="AR25" s="518"/>
      <c r="AS25" s="495">
        <f ca="1">IF(AND(AV24&gt;=SUMIF(NameConv!$C$5:$C$45,RIGHT(E24,3),NameConv!$CG$5:$CG$45),AT24=SUMIF(NameConv!$G$4:$M$4,LEFT(E24,3),NameConv!$G$45:$M$45)),AS24+1,AS24)</f>
        <v>1</v>
      </c>
      <c r="AT25" s="495">
        <f ca="1">IF(AS25&lt;&gt;AS24,1,IF(AV24&gt;=SUMIF(NameConv!$C$5:$C$45,RIGHT(E24,3),NameConv!$CG$5:$CG$45),AT24+1,AT24))</f>
        <v>3</v>
      </c>
      <c r="AU25" s="495">
        <f ca="1">SUMIF(NameConv!$C$5:$C$45,RIGHT(E25,3),OFFSET(NameConv!$CG$5,0,AV25,NameConv!$A$45,1))</f>
        <v>6</v>
      </c>
      <c r="AV25" s="495">
        <f ca="1">IF(AV24&gt;=SUMIF(NameConv!$C$5:$C$45,RIGHT(E24,3),NameConv!$CG$5:$CG$45),1,AV24+1)</f>
        <v>6</v>
      </c>
    </row>
    <row r="26" spans="1:48">
      <c r="A26" s="422" t="str">
        <f t="shared" ca="1" si="1"/>
        <v/>
      </c>
      <c r="B26" s="515" t="str">
        <f t="shared" si="0"/>
        <v>FLO_EMIS</v>
      </c>
      <c r="C26" s="518" t="str">
        <f ca="1">"X"&amp;OFFSET(NameConv!$F$4,0,AS26)&amp;OFFSET(NameConv!$F$59,AT26,AS26)</f>
        <v>XAGRODS</v>
      </c>
      <c r="D26" s="515" t="str">
        <f ca="1">OFFSET(NameConv!$F$4,0,AS26)&amp;OFFSET(NameConv!$AX$4,0,AU26)</f>
        <v>AGRNMVS</v>
      </c>
      <c r="E26" s="515" t="str">
        <f ca="1">OFFSET(NameConv!$F$4,0,AS26)&amp;OFFSET(NameConv!$F$59,AT26,AS26)</f>
        <v>AGRODS</v>
      </c>
      <c r="F26" s="740" t="s">
        <v>334</v>
      </c>
      <c r="G26" s="515" t="s">
        <v>337</v>
      </c>
      <c r="H26" s="740" t="s">
        <v>334</v>
      </c>
      <c r="I26" s="516">
        <v>0</v>
      </c>
      <c r="J26" s="517">
        <f ca="1">IF(E26="TRAOKE",0,SUMIF(NameConv!$C$5:$C$45,RIGHT(E26,3),OFFSET(NameConv!$AX$5,0,AU26,NameConv!$A$45,1)))</f>
        <v>5.0000000000000001E-3</v>
      </c>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518"/>
      <c r="AK26" s="518"/>
      <c r="AL26" s="518"/>
      <c r="AM26" s="518"/>
      <c r="AN26" s="518"/>
      <c r="AO26" s="518"/>
      <c r="AP26" s="518"/>
      <c r="AQ26" s="518"/>
      <c r="AR26" s="518"/>
      <c r="AS26" s="495">
        <f ca="1">IF(AND(AV25&gt;=SUMIF(NameConv!$C$5:$C$45,RIGHT(E25,3),NameConv!$CG$5:$CG$45),AT25=SUMIF(NameConv!$G$4:$M$4,LEFT(E25,3),NameConv!$G$45:$M$45)),AS25+1,AS25)</f>
        <v>1</v>
      </c>
      <c r="AT26" s="495">
        <f ca="1">IF(AS26&lt;&gt;AS25,1,IF(AV25&gt;=SUMIF(NameConv!$C$5:$C$45,RIGHT(E25,3),NameConv!$CG$5:$CG$45),AT25+1,AT25))</f>
        <v>3</v>
      </c>
      <c r="AU26" s="495">
        <f ca="1">SUMIF(NameConv!$C$5:$C$45,RIGHT(E26,3),OFFSET(NameConv!$CG$5,0,AV26,NameConv!$A$45,1))</f>
        <v>7</v>
      </c>
      <c r="AV26" s="495">
        <f ca="1">IF(AV25&gt;=SUMIF(NameConv!$C$5:$C$45,RIGHT(E25,3),NameConv!$CG$5:$CG$45),1,AV25+1)</f>
        <v>7</v>
      </c>
    </row>
    <row r="27" spans="1:48">
      <c r="A27" s="422" t="str">
        <f t="shared" ca="1" si="1"/>
        <v/>
      </c>
      <c r="B27" s="515" t="str">
        <f t="shared" si="0"/>
        <v>FLO_EMIS</v>
      </c>
      <c r="C27" s="518" t="str">
        <f ca="1">"X"&amp;OFFSET(NameConv!$F$4,0,AS27)&amp;OFFSET(NameConv!$F$59,AT27,AS27)</f>
        <v>XAGROGS</v>
      </c>
      <c r="D27" s="515" t="str">
        <f ca="1">OFFSET(NameConv!$F$4,0,AS27)&amp;OFFSET(NameConv!$AX$4,0,AU27)</f>
        <v>AGRCO2S</v>
      </c>
      <c r="E27" s="515" t="str">
        <f ca="1">OFFSET(NameConv!$F$4,0,AS27)&amp;OFFSET(NameConv!$F$59,AT27,AS27)</f>
        <v>AGROGS</v>
      </c>
      <c r="F27" s="740" t="s">
        <v>334</v>
      </c>
      <c r="G27" s="515" t="s">
        <v>337</v>
      </c>
      <c r="H27" s="740" t="s">
        <v>334</v>
      </c>
      <c r="I27" s="516">
        <v>0</v>
      </c>
      <c r="J27" s="517">
        <f ca="1">IF(E27="TRAOKE",0,SUMIF(NameConv!$C$5:$C$45,RIGHT(E27,3),OFFSET(NameConv!$AX$5,0,AU27,NameConv!$A$45,1)))</f>
        <v>69.3</v>
      </c>
      <c r="K27" s="518"/>
      <c r="L27" s="518"/>
      <c r="M27" s="518"/>
      <c r="N27" s="518"/>
      <c r="O27" s="518"/>
      <c r="P27" s="518"/>
      <c r="Q27" s="518"/>
      <c r="R27" s="518"/>
      <c r="S27" s="518"/>
      <c r="T27" s="518"/>
      <c r="U27" s="518"/>
      <c r="V27" s="518"/>
      <c r="W27" s="518"/>
      <c r="X27" s="518"/>
      <c r="Y27" s="518"/>
      <c r="Z27" s="518"/>
      <c r="AA27" s="518"/>
      <c r="AB27" s="518"/>
      <c r="AC27" s="518"/>
      <c r="AD27" s="518"/>
      <c r="AE27" s="518"/>
      <c r="AF27" s="518"/>
      <c r="AG27" s="518"/>
      <c r="AH27" s="518"/>
      <c r="AI27" s="518"/>
      <c r="AJ27" s="518"/>
      <c r="AK27" s="518"/>
      <c r="AL27" s="518"/>
      <c r="AM27" s="518"/>
      <c r="AN27" s="518"/>
      <c r="AO27" s="518"/>
      <c r="AP27" s="518"/>
      <c r="AQ27" s="518"/>
      <c r="AR27" s="518"/>
      <c r="AS27" s="495">
        <f ca="1">IF(AND(AV26&gt;=SUMIF(NameConv!$C$5:$C$45,RIGHT(E26,3),NameConv!$CG$5:$CG$45),AT26=SUMIF(NameConv!$G$4:$M$4,LEFT(E26,3),NameConv!$G$45:$M$45)),AS26+1,AS26)</f>
        <v>1</v>
      </c>
      <c r="AT27" s="495">
        <f ca="1">IF(AS27&lt;&gt;AS26,1,IF(AV26&gt;=SUMIF(NameConv!$C$5:$C$45,RIGHT(E26,3),NameConv!$CG$5:$CG$45),AT26+1,AT26))</f>
        <v>4</v>
      </c>
      <c r="AU27" s="495">
        <f ca="1">SUMIF(NameConv!$C$5:$C$45,RIGHT(E27,3),OFFSET(NameConv!$CG$5,0,AV27,NameConv!$A$45,1))</f>
        <v>1</v>
      </c>
      <c r="AV27" s="495">
        <f ca="1">IF(AV26&gt;=SUMIF(NameConv!$C$5:$C$45,RIGHT(E26,3),NameConv!$CG$5:$CG$45),1,AV26+1)</f>
        <v>1</v>
      </c>
    </row>
    <row r="28" spans="1:48">
      <c r="A28" s="422" t="str">
        <f t="shared" ca="1" si="1"/>
        <v/>
      </c>
      <c r="B28" s="515" t="str">
        <f t="shared" si="0"/>
        <v>FLO_EMIS</v>
      </c>
      <c r="C28" s="518" t="str">
        <f ca="1">"X"&amp;OFFSET(NameConv!$F$4,0,AS28)&amp;OFFSET(NameConv!$F$59,AT28,AS28)</f>
        <v>XAGROGS</v>
      </c>
      <c r="D28" s="515" t="str">
        <f ca="1">OFFSET(NameConv!$F$4,0,AS28)&amp;OFFSET(NameConv!$AX$4,0,AU28)</f>
        <v>AGRCH4S</v>
      </c>
      <c r="E28" s="515" t="str">
        <f ca="1">OFFSET(NameConv!$F$4,0,AS28)&amp;OFFSET(NameConv!$F$59,AT28,AS28)</f>
        <v>AGROGS</v>
      </c>
      <c r="F28" s="740" t="s">
        <v>334</v>
      </c>
      <c r="G28" s="515" t="s">
        <v>337</v>
      </c>
      <c r="H28" s="740" t="s">
        <v>334</v>
      </c>
      <c r="I28" s="516">
        <v>0</v>
      </c>
      <c r="J28" s="517">
        <f ca="1">IF(E28="TRAOKE",0,SUMIF(NameConv!$C$5:$C$45,RIGHT(E28,3),OFFSET(NameConv!$AX$5,0,AU28,NameConv!$A$45,1)))</f>
        <v>3.0000000000000001E-3</v>
      </c>
      <c r="K28" s="518"/>
      <c r="L28" s="518"/>
      <c r="M28" s="518"/>
      <c r="N28" s="518"/>
      <c r="O28" s="518"/>
      <c r="P28" s="518"/>
      <c r="Q28" s="518"/>
      <c r="R28" s="518"/>
      <c r="S28" s="518"/>
      <c r="T28" s="518"/>
      <c r="U28" s="518"/>
      <c r="V28" s="518"/>
      <c r="W28" s="518"/>
      <c r="X28" s="518"/>
      <c r="Y28" s="518"/>
      <c r="Z28" s="518"/>
      <c r="AA28" s="518"/>
      <c r="AB28" s="518"/>
      <c r="AC28" s="518"/>
      <c r="AD28" s="518"/>
      <c r="AE28" s="518"/>
      <c r="AF28" s="518"/>
      <c r="AG28" s="518"/>
      <c r="AH28" s="518"/>
      <c r="AI28" s="518"/>
      <c r="AJ28" s="518"/>
      <c r="AK28" s="518"/>
      <c r="AL28" s="518"/>
      <c r="AM28" s="518"/>
      <c r="AN28" s="518"/>
      <c r="AO28" s="518"/>
      <c r="AP28" s="518"/>
      <c r="AQ28" s="518"/>
      <c r="AR28" s="518"/>
      <c r="AS28" s="495">
        <f ca="1">IF(AND(AV27&gt;=SUMIF(NameConv!$C$5:$C$45,RIGHT(E27,3),NameConv!$CG$5:$CG$45),AT27=SUMIF(NameConv!$G$4:$M$4,LEFT(E27,3),NameConv!$G$45:$M$45)),AS27+1,AS27)</f>
        <v>1</v>
      </c>
      <c r="AT28" s="495">
        <f ca="1">IF(AS28&lt;&gt;AS27,1,IF(AV27&gt;=SUMIF(NameConv!$C$5:$C$45,RIGHT(E27,3),NameConv!$CG$5:$CG$45),AT27+1,AT27))</f>
        <v>4</v>
      </c>
      <c r="AU28" s="495">
        <f ca="1">SUMIF(NameConv!$C$5:$C$45,RIGHT(E28,3),OFFSET(NameConv!$CG$5,0,AV28,NameConv!$A$45,1))</f>
        <v>2</v>
      </c>
      <c r="AV28" s="495">
        <f ca="1">IF(AV27&gt;=SUMIF(NameConv!$C$5:$C$45,RIGHT(E27,3),NameConv!$CG$5:$CG$45),1,AV27+1)</f>
        <v>2</v>
      </c>
    </row>
    <row r="29" spans="1:48">
      <c r="A29" s="422" t="str">
        <f t="shared" ca="1" si="1"/>
        <v/>
      </c>
      <c r="B29" s="515" t="str">
        <f t="shared" si="0"/>
        <v>FLO_EMIS</v>
      </c>
      <c r="C29" s="518" t="str">
        <f ca="1">"X"&amp;OFFSET(NameConv!$F$4,0,AS29)&amp;OFFSET(NameConv!$F$59,AT29,AS29)</f>
        <v>XAGROGS</v>
      </c>
      <c r="D29" s="515" t="str">
        <f ca="1">OFFSET(NameConv!$F$4,0,AS29)&amp;OFFSET(NameConv!$AX$4,0,AU29)</f>
        <v>AGRN2OS</v>
      </c>
      <c r="E29" s="515" t="str">
        <f ca="1">OFFSET(NameConv!$F$4,0,AS29)&amp;OFFSET(NameConv!$F$59,AT29,AS29)</f>
        <v>AGROGS</v>
      </c>
      <c r="F29" s="740" t="s">
        <v>334</v>
      </c>
      <c r="G29" s="515" t="s">
        <v>337</v>
      </c>
      <c r="H29" s="740" t="s">
        <v>334</v>
      </c>
      <c r="I29" s="516">
        <v>0</v>
      </c>
      <c r="J29" s="517">
        <f ca="1">IF(E29="TRAOKE",0,SUMIF(NameConv!$C$5:$C$45,RIGHT(E29,3),OFFSET(NameConv!$AX$5,0,AU29,NameConv!$A$45,1)))</f>
        <v>5.9999999999999995E-4</v>
      </c>
      <c r="K29" s="518"/>
      <c r="L29" s="518"/>
      <c r="M29" s="518"/>
      <c r="N29" s="518"/>
      <c r="O29" s="518"/>
      <c r="P29" s="518"/>
      <c r="Q29" s="518"/>
      <c r="R29" s="518"/>
      <c r="S29" s="518"/>
      <c r="T29" s="518"/>
      <c r="U29" s="518"/>
      <c r="V29" s="518"/>
      <c r="W29" s="518"/>
      <c r="X29" s="518"/>
      <c r="Y29" s="518"/>
      <c r="Z29" s="518"/>
      <c r="AA29" s="518"/>
      <c r="AB29" s="518"/>
      <c r="AC29" s="518"/>
      <c r="AD29" s="518"/>
      <c r="AE29" s="518"/>
      <c r="AF29" s="518"/>
      <c r="AG29" s="518"/>
      <c r="AH29" s="518"/>
      <c r="AI29" s="518"/>
      <c r="AJ29" s="518"/>
      <c r="AK29" s="518"/>
      <c r="AL29" s="518"/>
      <c r="AM29" s="518"/>
      <c r="AN29" s="518"/>
      <c r="AO29" s="518"/>
      <c r="AP29" s="518"/>
      <c r="AQ29" s="518"/>
      <c r="AR29" s="518"/>
      <c r="AS29" s="495">
        <f ca="1">IF(AND(AV28&gt;=SUMIF(NameConv!$C$5:$C$45,RIGHT(E28,3),NameConv!$CG$5:$CG$45),AT28=SUMIF(NameConv!$G$4:$M$4,LEFT(E28,3),NameConv!$G$45:$M$45)),AS28+1,AS28)</f>
        <v>1</v>
      </c>
      <c r="AT29" s="495">
        <f ca="1">IF(AS29&lt;&gt;AS28,1,IF(AV28&gt;=SUMIF(NameConv!$C$5:$C$45,RIGHT(E28,3),NameConv!$CG$5:$CG$45),AT28+1,AT28))</f>
        <v>4</v>
      </c>
      <c r="AU29" s="495">
        <f ca="1">SUMIF(NameConv!$C$5:$C$45,RIGHT(E29,3),OFFSET(NameConv!$CG$5,0,AV29,NameConv!$A$45,1))</f>
        <v>3</v>
      </c>
      <c r="AV29" s="495">
        <f ca="1">IF(AV28&gt;=SUMIF(NameConv!$C$5:$C$45,RIGHT(E28,3),NameConv!$CG$5:$CG$45),1,AV28+1)</f>
        <v>3</v>
      </c>
    </row>
    <row r="30" spans="1:48">
      <c r="A30" s="422" t="str">
        <f t="shared" ca="1" si="1"/>
        <v/>
      </c>
      <c r="B30" s="515" t="str">
        <f t="shared" si="0"/>
        <v>FLO_EMIS</v>
      </c>
      <c r="C30" s="518" t="str">
        <f ca="1">"X"&amp;OFFSET(NameConv!$F$4,0,AS30)&amp;OFFSET(NameConv!$F$59,AT30,AS30)</f>
        <v>XAGROGS</v>
      </c>
      <c r="D30" s="515" t="str">
        <f ca="1">OFFSET(NameConv!$F$4,0,AS30)&amp;OFFSET(NameConv!$AX$4,0,AU30)</f>
        <v>AGRSOXS</v>
      </c>
      <c r="E30" s="515" t="str">
        <f ca="1">OFFSET(NameConv!$F$4,0,AS30)&amp;OFFSET(NameConv!$F$59,AT30,AS30)</f>
        <v>AGROGS</v>
      </c>
      <c r="F30" s="740" t="s">
        <v>334</v>
      </c>
      <c r="G30" s="515" t="s">
        <v>337</v>
      </c>
      <c r="H30" s="740" t="s">
        <v>334</v>
      </c>
      <c r="I30" s="516">
        <v>0</v>
      </c>
      <c r="J30" s="517">
        <f ca="1">IF(E30="TRAOKE",0,SUMIF(NameConv!$C$5:$C$45,RIGHT(E30,3),OFFSET(NameConv!$AX$5,0,AU30,NameConv!$A$45,1)))</f>
        <v>4.6699999999999998E-2</v>
      </c>
      <c r="K30" s="518"/>
      <c r="L30" s="518"/>
      <c r="M30" s="518"/>
      <c r="N30" s="518"/>
      <c r="O30" s="518"/>
      <c r="P30" s="518"/>
      <c r="Q30" s="518"/>
      <c r="R30" s="518"/>
      <c r="S30" s="518"/>
      <c r="T30" s="518"/>
      <c r="U30" s="518"/>
      <c r="V30" s="518"/>
      <c r="W30" s="518"/>
      <c r="X30" s="518"/>
      <c r="Y30" s="518"/>
      <c r="Z30" s="518"/>
      <c r="AA30" s="518"/>
      <c r="AB30" s="518"/>
      <c r="AC30" s="518"/>
      <c r="AD30" s="518"/>
      <c r="AE30" s="518"/>
      <c r="AF30" s="518"/>
      <c r="AG30" s="518"/>
      <c r="AH30" s="518"/>
      <c r="AI30" s="518"/>
      <c r="AJ30" s="518"/>
      <c r="AK30" s="518"/>
      <c r="AL30" s="518"/>
      <c r="AM30" s="518"/>
      <c r="AN30" s="518"/>
      <c r="AO30" s="518"/>
      <c r="AP30" s="518"/>
      <c r="AQ30" s="518"/>
      <c r="AR30" s="518"/>
      <c r="AS30" s="495">
        <f ca="1">IF(AND(AV29&gt;=SUMIF(NameConv!$C$5:$C$45,RIGHT(E29,3),NameConv!$CG$5:$CG$45),AT29=SUMIF(NameConv!$G$4:$M$4,LEFT(E29,3),NameConv!$G$45:$M$45)),AS29+1,AS29)</f>
        <v>1</v>
      </c>
      <c r="AT30" s="495">
        <f ca="1">IF(AS30&lt;&gt;AS29,1,IF(AV29&gt;=SUMIF(NameConv!$C$5:$C$45,RIGHT(E29,3),NameConv!$CG$5:$CG$45),AT29+1,AT29))</f>
        <v>4</v>
      </c>
      <c r="AU30" s="495">
        <f ca="1">SUMIF(NameConv!$C$5:$C$45,RIGHT(E30,3),OFFSET(NameConv!$CG$5,0,AV30,NameConv!$A$45,1))</f>
        <v>4</v>
      </c>
      <c r="AV30" s="495">
        <f ca="1">IF(AV29&gt;=SUMIF(NameConv!$C$5:$C$45,RIGHT(E29,3),NameConv!$CG$5:$CG$45),1,AV29+1)</f>
        <v>4</v>
      </c>
    </row>
    <row r="31" spans="1:48">
      <c r="A31" s="422" t="str">
        <f t="shared" ca="1" si="1"/>
        <v/>
      </c>
      <c r="B31" s="515" t="str">
        <f t="shared" si="0"/>
        <v>FLO_EMIS</v>
      </c>
      <c r="C31" s="518" t="str">
        <f ca="1">"X"&amp;OFFSET(NameConv!$F$4,0,AS31)&amp;OFFSET(NameConv!$F$59,AT31,AS31)</f>
        <v>XAGROGS</v>
      </c>
      <c r="D31" s="515" t="str">
        <f ca="1">OFFSET(NameConv!$F$4,0,AS31)&amp;OFFSET(NameConv!$AX$4,0,AU31)</f>
        <v>AGRNOXS</v>
      </c>
      <c r="E31" s="515" t="str">
        <f ca="1">OFFSET(NameConv!$F$4,0,AS31)&amp;OFFSET(NameConv!$F$59,AT31,AS31)</f>
        <v>AGROGS</v>
      </c>
      <c r="F31" s="740" t="s">
        <v>334</v>
      </c>
      <c r="G31" s="515" t="s">
        <v>337</v>
      </c>
      <c r="H31" s="740" t="s">
        <v>334</v>
      </c>
      <c r="I31" s="516">
        <v>0</v>
      </c>
      <c r="J31" s="517">
        <f ca="1">IF(E31="TRAOKE",0,SUMIF(NameConv!$C$5:$C$45,RIGHT(E31,3),OFFSET(NameConv!$AX$5,0,AU31,NameConv!$A$45,1)))</f>
        <v>0.6</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495">
        <f ca="1">IF(AND(AV30&gt;=SUMIF(NameConv!$C$5:$C$45,RIGHT(E30,3),NameConv!$CG$5:$CG$45),AT30=SUMIF(NameConv!$G$4:$M$4,LEFT(E30,3),NameConv!$G$45:$M$45)),AS30+1,AS30)</f>
        <v>1</v>
      </c>
      <c r="AT31" s="495">
        <f ca="1">IF(AS31&lt;&gt;AS30,1,IF(AV30&gt;=SUMIF(NameConv!$C$5:$C$45,RIGHT(E30,3),NameConv!$CG$5:$CG$45),AT30+1,AT30))</f>
        <v>4</v>
      </c>
      <c r="AU31" s="495">
        <f ca="1">SUMIF(NameConv!$C$5:$C$45,RIGHT(E31,3),OFFSET(NameConv!$CG$5,0,AV31,NameConv!$A$45,1))</f>
        <v>5</v>
      </c>
      <c r="AV31" s="495">
        <f ca="1">IF(AV30&gt;=SUMIF(NameConv!$C$5:$C$45,RIGHT(E30,3),NameConv!$CG$5:$CG$45),1,AV30+1)</f>
        <v>5</v>
      </c>
    </row>
    <row r="32" spans="1:48">
      <c r="A32" s="422" t="str">
        <f t="shared" ca="1" si="1"/>
        <v/>
      </c>
      <c r="B32" s="515" t="str">
        <f t="shared" si="0"/>
        <v>FLO_EMIS</v>
      </c>
      <c r="C32" s="518" t="str">
        <f ca="1">"X"&amp;OFFSET(NameConv!$F$4,0,AS32)&amp;OFFSET(NameConv!$F$59,AT32,AS32)</f>
        <v>XAGROGS</v>
      </c>
      <c r="D32" s="515" t="str">
        <f ca="1">OFFSET(NameConv!$F$4,0,AS32)&amp;OFFSET(NameConv!$AX$4,0,AU32)</f>
        <v>AGRCMOX</v>
      </c>
      <c r="E32" s="515" t="str">
        <f ca="1">OFFSET(NameConv!$F$4,0,AS32)&amp;OFFSET(NameConv!$F$59,AT32,AS32)</f>
        <v>AGROGS</v>
      </c>
      <c r="F32" s="740" t="s">
        <v>334</v>
      </c>
      <c r="G32" s="515" t="s">
        <v>337</v>
      </c>
      <c r="H32" s="740" t="s">
        <v>334</v>
      </c>
      <c r="I32" s="516">
        <v>0</v>
      </c>
      <c r="J32" s="517">
        <f ca="1">IF(E32="TRAOKE",0,SUMIF(NameConv!$C$5:$C$45,RIGHT(E32,3),OFFSET(NameConv!$AX$5,0,AU32,NameConv!$A$45,1)))</f>
        <v>8</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495">
        <f ca="1">IF(AND(AV31&gt;=SUMIF(NameConv!$C$5:$C$45,RIGHT(E31,3),NameConv!$CG$5:$CG$45),AT31=SUMIF(NameConv!$G$4:$M$4,LEFT(E31,3),NameConv!$G$45:$M$45)),AS31+1,AS31)</f>
        <v>1</v>
      </c>
      <c r="AT32" s="495">
        <f ca="1">IF(AS32&lt;&gt;AS31,1,IF(AV31&gt;=SUMIF(NameConv!$C$5:$C$45,RIGHT(E31,3),NameConv!$CG$5:$CG$45),AT31+1,AT31))</f>
        <v>4</v>
      </c>
      <c r="AU32" s="495">
        <f ca="1">SUMIF(NameConv!$C$5:$C$45,RIGHT(E32,3),OFFSET(NameConv!$CG$5,0,AV32,NameConv!$A$45,1))</f>
        <v>6</v>
      </c>
      <c r="AV32" s="495">
        <f ca="1">IF(AV31&gt;=SUMIF(NameConv!$C$5:$C$45,RIGHT(E31,3),NameConv!$CG$5:$CG$45),1,AV31+1)</f>
        <v>6</v>
      </c>
    </row>
    <row r="33" spans="1:48">
      <c r="A33" s="422" t="str">
        <f t="shared" ca="1" si="1"/>
        <v/>
      </c>
      <c r="B33" s="515" t="str">
        <f t="shared" si="0"/>
        <v>FLO_EMIS</v>
      </c>
      <c r="C33" s="518" t="str">
        <f ca="1">"X"&amp;OFFSET(NameConv!$F$4,0,AS33)&amp;OFFSET(NameConv!$F$59,AT33,AS33)</f>
        <v>XAGROGS</v>
      </c>
      <c r="D33" s="515" t="str">
        <f ca="1">OFFSET(NameConv!$F$4,0,AS33)&amp;OFFSET(NameConv!$AX$4,0,AU33)</f>
        <v>AGRNMVS</v>
      </c>
      <c r="E33" s="515" t="str">
        <f ca="1">OFFSET(NameConv!$F$4,0,AS33)&amp;OFFSET(NameConv!$F$59,AT33,AS33)</f>
        <v>AGROGS</v>
      </c>
      <c r="F33" s="740" t="s">
        <v>334</v>
      </c>
      <c r="G33" s="515" t="s">
        <v>337</v>
      </c>
      <c r="H33" s="740" t="s">
        <v>334</v>
      </c>
      <c r="I33" s="516">
        <v>0</v>
      </c>
      <c r="J33" s="517">
        <f ca="1">IF(E33="TRAOKE",0,SUMIF(NameConv!$C$5:$C$45,RIGHT(E33,3),OFFSET(NameConv!$AX$5,0,AU33,NameConv!$A$45,1)))</f>
        <v>1.5</v>
      </c>
      <c r="K33" s="518"/>
      <c r="L33" s="518"/>
      <c r="M33" s="518"/>
      <c r="N33" s="518"/>
      <c r="O33" s="518"/>
      <c r="P33" s="518"/>
      <c r="Q33" s="518"/>
      <c r="R33" s="518"/>
      <c r="S33" s="518"/>
      <c r="T33" s="518"/>
      <c r="U33" s="518"/>
      <c r="V33" s="518"/>
      <c r="W33" s="518"/>
      <c r="X33" s="518"/>
      <c r="Y33" s="518"/>
      <c r="Z33" s="518"/>
      <c r="AA33" s="518"/>
      <c r="AB33" s="518"/>
      <c r="AC33" s="518"/>
      <c r="AD33" s="518"/>
      <c r="AE33" s="518"/>
      <c r="AF33" s="518"/>
      <c r="AG33" s="518"/>
      <c r="AH33" s="518"/>
      <c r="AI33" s="518"/>
      <c r="AJ33" s="518"/>
      <c r="AK33" s="518"/>
      <c r="AL33" s="518"/>
      <c r="AM33" s="518"/>
      <c r="AN33" s="518"/>
      <c r="AO33" s="518"/>
      <c r="AP33" s="518"/>
      <c r="AQ33" s="518"/>
      <c r="AR33" s="518"/>
      <c r="AS33" s="495">
        <f ca="1">IF(AND(AV32&gt;=SUMIF(NameConv!$C$5:$C$45,RIGHT(E32,3),NameConv!$CG$5:$CG$45),AT32=SUMIF(NameConv!$G$4:$M$4,LEFT(E32,3),NameConv!$G$45:$M$45)),AS32+1,AS32)</f>
        <v>1</v>
      </c>
      <c r="AT33" s="495">
        <f ca="1">IF(AS33&lt;&gt;AS32,1,IF(AV32&gt;=SUMIF(NameConv!$C$5:$C$45,RIGHT(E32,3),NameConv!$CG$5:$CG$45),AT32+1,AT32))</f>
        <v>4</v>
      </c>
      <c r="AU33" s="495">
        <f ca="1">SUMIF(NameConv!$C$5:$C$45,RIGHT(E33,3),OFFSET(NameConv!$CG$5,0,AV33,NameConv!$A$45,1))</f>
        <v>7</v>
      </c>
      <c r="AV33" s="495">
        <f ca="1">IF(AV32&gt;=SUMIF(NameConv!$C$5:$C$45,RIGHT(E32,3),NameConv!$CG$5:$CG$45),1,AV32+1)</f>
        <v>7</v>
      </c>
    </row>
    <row r="34" spans="1:48">
      <c r="A34" s="422" t="str">
        <f t="shared" ca="1" si="1"/>
        <v/>
      </c>
      <c r="B34" s="515" t="str">
        <f t="shared" si="0"/>
        <v>FLO_EMIS</v>
      </c>
      <c r="C34" s="518" t="str">
        <f ca="1">"X"&amp;OFFSET(NameConv!$F$4,0,AS34)&amp;OFFSET(NameConv!$F$59,AT34,AS34)</f>
        <v>XAGROHF</v>
      </c>
      <c r="D34" s="515" t="str">
        <f ca="1">OFFSET(NameConv!$F$4,0,AS34)&amp;OFFSET(NameConv!$AX$4,0,AU34)</f>
        <v>AGRCO2S</v>
      </c>
      <c r="E34" s="515" t="str">
        <f ca="1">OFFSET(NameConv!$F$4,0,AS34)&amp;OFFSET(NameConv!$F$59,AT34,AS34)</f>
        <v>AGROHF</v>
      </c>
      <c r="F34" s="740" t="s">
        <v>334</v>
      </c>
      <c r="G34" s="515" t="s">
        <v>337</v>
      </c>
      <c r="H34" s="740" t="s">
        <v>334</v>
      </c>
      <c r="I34" s="516">
        <v>0</v>
      </c>
      <c r="J34" s="517">
        <f ca="1">IF(E34="TRAOKE",0,SUMIF(NameConv!$C$5:$C$45,RIGHT(E34,3),OFFSET(NameConv!$AX$5,0,AU34,NameConv!$A$45,1)))</f>
        <v>77.400000000000006</v>
      </c>
      <c r="K34" s="518"/>
      <c r="L34" s="518"/>
      <c r="M34" s="518"/>
      <c r="N34" s="518"/>
      <c r="O34" s="518"/>
      <c r="P34" s="518"/>
      <c r="Q34" s="518"/>
      <c r="R34" s="518"/>
      <c r="S34" s="518"/>
      <c r="T34" s="518"/>
      <c r="U34" s="518"/>
      <c r="V34" s="518"/>
      <c r="W34" s="518"/>
      <c r="X34" s="518"/>
      <c r="Y34" s="518"/>
      <c r="Z34" s="518"/>
      <c r="AA34" s="518"/>
      <c r="AB34" s="518"/>
      <c r="AC34" s="518"/>
      <c r="AD34" s="518"/>
      <c r="AE34" s="518"/>
      <c r="AF34" s="518"/>
      <c r="AG34" s="518"/>
      <c r="AH34" s="518"/>
      <c r="AI34" s="518"/>
      <c r="AJ34" s="518"/>
      <c r="AK34" s="518"/>
      <c r="AL34" s="518"/>
      <c r="AM34" s="518"/>
      <c r="AN34" s="518"/>
      <c r="AO34" s="518"/>
      <c r="AP34" s="518"/>
      <c r="AQ34" s="518"/>
      <c r="AR34" s="518"/>
      <c r="AS34" s="495">
        <f ca="1">IF(AND(AV33&gt;=SUMIF(NameConv!$C$5:$C$45,RIGHT(E33,3),NameConv!$CG$5:$CG$45),AT33=SUMIF(NameConv!$G$4:$M$4,LEFT(E33,3),NameConv!$G$45:$M$45)),AS33+1,AS33)</f>
        <v>1</v>
      </c>
      <c r="AT34" s="495">
        <f ca="1">IF(AS34&lt;&gt;AS33,1,IF(AV33&gt;=SUMIF(NameConv!$C$5:$C$45,RIGHT(E33,3),NameConv!$CG$5:$CG$45),AT33+1,AT33))</f>
        <v>5</v>
      </c>
      <c r="AU34" s="495">
        <f ca="1">SUMIF(NameConv!$C$5:$C$45,RIGHT(E34,3),OFFSET(NameConv!$CG$5,0,AV34,NameConv!$A$45,1))</f>
        <v>1</v>
      </c>
      <c r="AV34" s="495">
        <f ca="1">IF(AV33&gt;=SUMIF(NameConv!$C$5:$C$45,RIGHT(E33,3),NameConv!$CG$5:$CG$45),1,AV33+1)</f>
        <v>1</v>
      </c>
    </row>
    <row r="35" spans="1:48">
      <c r="A35" s="422" t="str">
        <f t="shared" ca="1" si="1"/>
        <v/>
      </c>
      <c r="B35" s="515" t="str">
        <f t="shared" si="0"/>
        <v>FLO_EMIS</v>
      </c>
      <c r="C35" s="518" t="str">
        <f ca="1">"X"&amp;OFFSET(NameConv!$F$4,0,AS35)&amp;OFFSET(NameConv!$F$59,AT35,AS35)</f>
        <v>XAGROHF</v>
      </c>
      <c r="D35" s="515" t="str">
        <f ca="1">OFFSET(NameConv!$F$4,0,AS35)&amp;OFFSET(NameConv!$AX$4,0,AU35)</f>
        <v>AGRCH4S</v>
      </c>
      <c r="E35" s="515" t="str">
        <f ca="1">OFFSET(NameConv!$F$4,0,AS35)&amp;OFFSET(NameConv!$F$59,AT35,AS35)</f>
        <v>AGROHF</v>
      </c>
      <c r="F35" s="740" t="s">
        <v>334</v>
      </c>
      <c r="G35" s="515" t="s">
        <v>337</v>
      </c>
      <c r="H35" s="740" t="s">
        <v>334</v>
      </c>
      <c r="I35" s="516">
        <v>0</v>
      </c>
      <c r="J35" s="517">
        <f ca="1">IF(E35="TRAOKE",0,SUMIF(NameConv!$C$5:$C$45,RIGHT(E35,3),OFFSET(NameConv!$AX$5,0,AU35,NameConv!$A$45,1)))</f>
        <v>3.0000000000000001E-3</v>
      </c>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518"/>
      <c r="AK35" s="518"/>
      <c r="AL35" s="518"/>
      <c r="AM35" s="518"/>
      <c r="AN35" s="518"/>
      <c r="AO35" s="518"/>
      <c r="AP35" s="518"/>
      <c r="AQ35" s="518"/>
      <c r="AR35" s="518"/>
      <c r="AS35" s="495">
        <f ca="1">IF(AND(AV34&gt;=SUMIF(NameConv!$C$5:$C$45,RIGHT(E34,3),NameConv!$CG$5:$CG$45),AT34=SUMIF(NameConv!$G$4:$M$4,LEFT(E34,3),NameConv!$G$45:$M$45)),AS34+1,AS34)</f>
        <v>1</v>
      </c>
      <c r="AT35" s="495">
        <f ca="1">IF(AS35&lt;&gt;AS34,1,IF(AV34&gt;=SUMIF(NameConv!$C$5:$C$45,RIGHT(E34,3),NameConv!$CG$5:$CG$45),AT34+1,AT34))</f>
        <v>5</v>
      </c>
      <c r="AU35" s="495">
        <f ca="1">SUMIF(NameConv!$C$5:$C$45,RIGHT(E35,3),OFFSET(NameConv!$CG$5,0,AV35,NameConv!$A$45,1))</f>
        <v>2</v>
      </c>
      <c r="AV35" s="495">
        <f ca="1">IF(AV34&gt;=SUMIF(NameConv!$C$5:$C$45,RIGHT(E34,3),NameConv!$CG$5:$CG$45),1,AV34+1)</f>
        <v>2</v>
      </c>
    </row>
    <row r="36" spans="1:48">
      <c r="A36" s="422" t="str">
        <f t="shared" ca="1" si="1"/>
        <v/>
      </c>
      <c r="B36" s="515" t="str">
        <f t="shared" si="0"/>
        <v>FLO_EMIS</v>
      </c>
      <c r="C36" s="518" t="str">
        <f ca="1">"X"&amp;OFFSET(NameConv!$F$4,0,AS36)&amp;OFFSET(NameConv!$F$59,AT36,AS36)</f>
        <v>XAGROHF</v>
      </c>
      <c r="D36" s="515" t="str">
        <f ca="1">OFFSET(NameConv!$F$4,0,AS36)&amp;OFFSET(NameConv!$AX$4,0,AU36)</f>
        <v>AGRN2OS</v>
      </c>
      <c r="E36" s="515" t="str">
        <f ca="1">OFFSET(NameConv!$F$4,0,AS36)&amp;OFFSET(NameConv!$F$59,AT36,AS36)</f>
        <v>AGROHF</v>
      </c>
      <c r="F36" s="740" t="s">
        <v>334</v>
      </c>
      <c r="G36" s="515" t="s">
        <v>337</v>
      </c>
      <c r="H36" s="740" t="s">
        <v>334</v>
      </c>
      <c r="I36" s="516">
        <v>0</v>
      </c>
      <c r="J36" s="517">
        <f ca="1">IF(E36="TRAOKE",0,SUMIF(NameConv!$C$5:$C$45,RIGHT(E36,3),OFFSET(NameConv!$AX$5,0,AU36,NameConv!$A$45,1)))</f>
        <v>5.9999999999999995E-4</v>
      </c>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518"/>
      <c r="AK36" s="518"/>
      <c r="AL36" s="518"/>
      <c r="AM36" s="518"/>
      <c r="AN36" s="518"/>
      <c r="AO36" s="518"/>
      <c r="AP36" s="518"/>
      <c r="AQ36" s="518"/>
      <c r="AR36" s="518"/>
      <c r="AS36" s="495">
        <f ca="1">IF(AND(AV35&gt;=SUMIF(NameConv!$C$5:$C$45,RIGHT(E35,3),NameConv!$CG$5:$CG$45),AT35=SUMIF(NameConv!$G$4:$M$4,LEFT(E35,3),NameConv!$G$45:$M$45)),AS35+1,AS35)</f>
        <v>1</v>
      </c>
      <c r="AT36" s="495">
        <f ca="1">IF(AS36&lt;&gt;AS35,1,IF(AV35&gt;=SUMIF(NameConv!$C$5:$C$45,RIGHT(E35,3),NameConv!$CG$5:$CG$45),AT35+1,AT35))</f>
        <v>5</v>
      </c>
      <c r="AU36" s="495">
        <f ca="1">SUMIF(NameConv!$C$5:$C$45,RIGHT(E36,3),OFFSET(NameConv!$CG$5,0,AV36,NameConv!$A$45,1))</f>
        <v>3</v>
      </c>
      <c r="AV36" s="495">
        <f ca="1">IF(AV35&gt;=SUMIF(NameConv!$C$5:$C$45,RIGHT(E35,3),NameConv!$CG$5:$CG$45),1,AV35+1)</f>
        <v>3</v>
      </c>
    </row>
    <row r="37" spans="1:48">
      <c r="A37" s="422" t="str">
        <f t="shared" ca="1" si="1"/>
        <v/>
      </c>
      <c r="B37" s="515" t="str">
        <f t="shared" si="0"/>
        <v>FLO_EMIS</v>
      </c>
      <c r="C37" s="518" t="str">
        <f ca="1">"X"&amp;OFFSET(NameConv!$F$4,0,AS37)&amp;OFFSET(NameConv!$F$59,AT37,AS37)</f>
        <v>XAGROHF</v>
      </c>
      <c r="D37" s="515" t="str">
        <f ca="1">OFFSET(NameConv!$F$4,0,AS37)&amp;OFFSET(NameConv!$AX$4,0,AU37)</f>
        <v>AGRSOXS</v>
      </c>
      <c r="E37" s="515" t="str">
        <f ca="1">OFFSET(NameConv!$F$4,0,AS37)&amp;OFFSET(NameConv!$F$59,AT37,AS37)</f>
        <v>AGROHF</v>
      </c>
      <c r="F37" s="740" t="s">
        <v>334</v>
      </c>
      <c r="G37" s="515" t="s">
        <v>337</v>
      </c>
      <c r="H37" s="740" t="s">
        <v>334</v>
      </c>
      <c r="I37" s="516">
        <v>0</v>
      </c>
      <c r="J37" s="517">
        <f ca="1">IF(E37="TRAOKE",0,SUMIF(NameConv!$C$5:$C$45,RIGHT(E37,3),OFFSET(NameConv!$AX$5,0,AU37,NameConv!$A$45,1)))</f>
        <v>1.5290999999999999</v>
      </c>
      <c r="K37" s="518"/>
      <c r="L37" s="518"/>
      <c r="M37" s="518"/>
      <c r="N37" s="518"/>
      <c r="O37" s="518"/>
      <c r="P37" s="518"/>
      <c r="Q37" s="518"/>
      <c r="R37" s="518"/>
      <c r="S37" s="518"/>
      <c r="T37" s="518"/>
      <c r="U37" s="518"/>
      <c r="V37" s="518"/>
      <c r="W37" s="518"/>
      <c r="X37" s="518"/>
      <c r="Y37" s="518"/>
      <c r="Z37" s="518"/>
      <c r="AA37" s="518"/>
      <c r="AB37" s="518"/>
      <c r="AC37" s="518"/>
      <c r="AD37" s="518"/>
      <c r="AE37" s="518"/>
      <c r="AF37" s="518"/>
      <c r="AG37" s="518"/>
      <c r="AH37" s="518"/>
      <c r="AI37" s="518"/>
      <c r="AJ37" s="518"/>
      <c r="AK37" s="518"/>
      <c r="AL37" s="518"/>
      <c r="AM37" s="518"/>
      <c r="AN37" s="518"/>
      <c r="AO37" s="518"/>
      <c r="AP37" s="518"/>
      <c r="AQ37" s="518"/>
      <c r="AR37" s="518"/>
      <c r="AS37" s="495">
        <f ca="1">IF(AND(AV36&gt;=SUMIF(NameConv!$C$5:$C$45,RIGHT(E36,3),NameConv!$CG$5:$CG$45),AT36=SUMIF(NameConv!$G$4:$M$4,LEFT(E36,3),NameConv!$G$45:$M$45)),AS36+1,AS36)</f>
        <v>1</v>
      </c>
      <c r="AT37" s="495">
        <f ca="1">IF(AS37&lt;&gt;AS36,1,IF(AV36&gt;=SUMIF(NameConv!$C$5:$C$45,RIGHT(E36,3),NameConv!$CG$5:$CG$45),AT36+1,AT36))</f>
        <v>5</v>
      </c>
      <c r="AU37" s="495">
        <f ca="1">SUMIF(NameConv!$C$5:$C$45,RIGHT(E37,3),OFFSET(NameConv!$CG$5,0,AV37,NameConv!$A$45,1))</f>
        <v>4</v>
      </c>
      <c r="AV37" s="495">
        <f ca="1">IF(AV36&gt;=SUMIF(NameConv!$C$5:$C$45,RIGHT(E36,3),NameConv!$CG$5:$CG$45),1,AV36+1)</f>
        <v>4</v>
      </c>
    </row>
    <row r="38" spans="1:48">
      <c r="A38" s="422" t="str">
        <f t="shared" ca="1" si="1"/>
        <v/>
      </c>
      <c r="B38" s="515" t="str">
        <f t="shared" si="0"/>
        <v>FLO_EMIS</v>
      </c>
      <c r="C38" s="518" t="str">
        <f ca="1">"X"&amp;OFFSET(NameConv!$F$4,0,AS38)&amp;OFFSET(NameConv!$F$59,AT38,AS38)</f>
        <v>XAGROHF</v>
      </c>
      <c r="D38" s="515" t="str">
        <f ca="1">OFFSET(NameConv!$F$4,0,AS38)&amp;OFFSET(NameConv!$AX$4,0,AU38)</f>
        <v>AGRNOXS</v>
      </c>
      <c r="E38" s="515" t="str">
        <f ca="1">OFFSET(NameConv!$F$4,0,AS38)&amp;OFFSET(NameConv!$F$59,AT38,AS38)</f>
        <v>AGROHF</v>
      </c>
      <c r="F38" s="740" t="s">
        <v>334</v>
      </c>
      <c r="G38" s="515" t="s">
        <v>337</v>
      </c>
      <c r="H38" s="740" t="s">
        <v>334</v>
      </c>
      <c r="I38" s="516">
        <v>0</v>
      </c>
      <c r="J38" s="517">
        <f ca="1">IF(E38="TRAOKE",0,SUMIF(NameConv!$C$5:$C$45,RIGHT(E38,3),OFFSET(NameConv!$AX$5,0,AU38,NameConv!$A$45,1)))</f>
        <v>0.2</v>
      </c>
      <c r="K38" s="518"/>
      <c r="L38" s="518"/>
      <c r="M38" s="518"/>
      <c r="N38" s="518"/>
      <c r="O38" s="518"/>
      <c r="P38" s="518"/>
      <c r="Q38" s="518"/>
      <c r="R38" s="518"/>
      <c r="S38" s="518"/>
      <c r="T38" s="518"/>
      <c r="U38" s="518"/>
      <c r="V38" s="518"/>
      <c r="W38" s="518"/>
      <c r="X38" s="518"/>
      <c r="Y38" s="518"/>
      <c r="Z38" s="518"/>
      <c r="AA38" s="518"/>
      <c r="AB38" s="518"/>
      <c r="AC38" s="518"/>
      <c r="AD38" s="518"/>
      <c r="AE38" s="518"/>
      <c r="AF38" s="518"/>
      <c r="AG38" s="518"/>
      <c r="AH38" s="518"/>
      <c r="AI38" s="518"/>
      <c r="AJ38" s="518"/>
      <c r="AK38" s="518"/>
      <c r="AL38" s="518"/>
      <c r="AM38" s="518"/>
      <c r="AN38" s="518"/>
      <c r="AO38" s="518"/>
      <c r="AP38" s="518"/>
      <c r="AQ38" s="518"/>
      <c r="AR38" s="518"/>
      <c r="AS38" s="495">
        <f ca="1">IF(AND(AV37&gt;=SUMIF(NameConv!$C$5:$C$45,RIGHT(E37,3),NameConv!$CG$5:$CG$45),AT37=SUMIF(NameConv!$G$4:$M$4,LEFT(E37,3),NameConv!$G$45:$M$45)),AS37+1,AS37)</f>
        <v>1</v>
      </c>
      <c r="AT38" s="495">
        <f ca="1">IF(AS38&lt;&gt;AS37,1,IF(AV37&gt;=SUMIF(NameConv!$C$5:$C$45,RIGHT(E37,3),NameConv!$CG$5:$CG$45),AT37+1,AT37))</f>
        <v>5</v>
      </c>
      <c r="AU38" s="495">
        <f ca="1">SUMIF(NameConv!$C$5:$C$45,RIGHT(E38,3),OFFSET(NameConv!$CG$5,0,AV38,NameConv!$A$45,1))</f>
        <v>5</v>
      </c>
      <c r="AV38" s="495">
        <f ca="1">IF(AV37&gt;=SUMIF(NameConv!$C$5:$C$45,RIGHT(E37,3),NameConv!$CG$5:$CG$45),1,AV37+1)</f>
        <v>5</v>
      </c>
    </row>
    <row r="39" spans="1:48">
      <c r="A39" s="422" t="str">
        <f t="shared" ca="1" si="1"/>
        <v/>
      </c>
      <c r="B39" s="515" t="str">
        <f t="shared" si="0"/>
        <v>FLO_EMIS</v>
      </c>
      <c r="C39" s="518" t="str">
        <f ca="1">"X"&amp;OFFSET(NameConv!$F$4,0,AS39)&amp;OFFSET(NameConv!$F$59,AT39,AS39)</f>
        <v>XAGROHF</v>
      </c>
      <c r="D39" s="515" t="str">
        <f ca="1">OFFSET(NameConv!$F$4,0,AS39)&amp;OFFSET(NameConv!$AX$4,0,AU39)</f>
        <v>AGRCMOX</v>
      </c>
      <c r="E39" s="515" t="str">
        <f ca="1">OFFSET(NameConv!$F$4,0,AS39)&amp;OFFSET(NameConv!$F$59,AT39,AS39)</f>
        <v>AGROHF</v>
      </c>
      <c r="F39" s="740" t="s">
        <v>334</v>
      </c>
      <c r="G39" s="515" t="s">
        <v>337</v>
      </c>
      <c r="H39" s="740" t="s">
        <v>334</v>
      </c>
      <c r="I39" s="516">
        <v>0</v>
      </c>
      <c r="J39" s="517">
        <f ca="1">IF(E39="TRAOKE",0,SUMIF(NameConv!$C$5:$C$45,RIGHT(E39,3),OFFSET(NameConv!$AX$5,0,AU39,NameConv!$A$45,1)))</f>
        <v>0.01</v>
      </c>
      <c r="K39" s="518"/>
      <c r="L39" s="518"/>
      <c r="M39" s="518"/>
      <c r="N39" s="518"/>
      <c r="O39" s="518"/>
      <c r="P39" s="518"/>
      <c r="Q39" s="518"/>
      <c r="R39" s="518"/>
      <c r="S39" s="518"/>
      <c r="T39" s="518"/>
      <c r="U39" s="518"/>
      <c r="V39" s="518"/>
      <c r="W39" s="518"/>
      <c r="X39" s="518"/>
      <c r="Y39" s="518"/>
      <c r="Z39" s="518"/>
      <c r="AA39" s="518"/>
      <c r="AB39" s="518"/>
      <c r="AC39" s="518"/>
      <c r="AD39" s="518"/>
      <c r="AE39" s="518"/>
      <c r="AF39" s="518"/>
      <c r="AG39" s="518"/>
      <c r="AH39" s="518"/>
      <c r="AI39" s="518"/>
      <c r="AJ39" s="518"/>
      <c r="AK39" s="518"/>
      <c r="AL39" s="518"/>
      <c r="AM39" s="518"/>
      <c r="AN39" s="518"/>
      <c r="AO39" s="518"/>
      <c r="AP39" s="518"/>
      <c r="AQ39" s="518"/>
      <c r="AR39" s="518"/>
      <c r="AS39" s="495">
        <f ca="1">IF(AND(AV38&gt;=SUMIF(NameConv!$C$5:$C$45,RIGHT(E38,3),NameConv!$CG$5:$CG$45),AT38=SUMIF(NameConv!$G$4:$M$4,LEFT(E38,3),NameConv!$G$45:$M$45)),AS38+1,AS38)</f>
        <v>1</v>
      </c>
      <c r="AT39" s="495">
        <f ca="1">IF(AS39&lt;&gt;AS38,1,IF(AV38&gt;=SUMIF(NameConv!$C$5:$C$45,RIGHT(E38,3),NameConv!$CG$5:$CG$45),AT38+1,AT38))</f>
        <v>5</v>
      </c>
      <c r="AU39" s="495">
        <f ca="1">SUMIF(NameConv!$C$5:$C$45,RIGHT(E39,3),OFFSET(NameConv!$CG$5,0,AV39,NameConv!$A$45,1))</f>
        <v>6</v>
      </c>
      <c r="AV39" s="495">
        <f ca="1">IF(AV38&gt;=SUMIF(NameConv!$C$5:$C$45,RIGHT(E38,3),NameConv!$CG$5:$CG$45),1,AV38+1)</f>
        <v>6</v>
      </c>
    </row>
    <row r="40" spans="1:48">
      <c r="A40" s="422" t="str">
        <f t="shared" ca="1" si="1"/>
        <v/>
      </c>
      <c r="B40" s="515" t="str">
        <f t="shared" si="0"/>
        <v>FLO_EMIS</v>
      </c>
      <c r="C40" s="518" t="str">
        <f ca="1">"X"&amp;OFFSET(NameConv!$F$4,0,AS40)&amp;OFFSET(NameConv!$F$59,AT40,AS40)</f>
        <v>XAGROHF</v>
      </c>
      <c r="D40" s="515" t="str">
        <f ca="1">OFFSET(NameConv!$F$4,0,AS40)&amp;OFFSET(NameConv!$AX$4,0,AU40)</f>
        <v>AGRNMVS</v>
      </c>
      <c r="E40" s="515" t="str">
        <f ca="1">OFFSET(NameConv!$F$4,0,AS40)&amp;OFFSET(NameConv!$F$59,AT40,AS40)</f>
        <v>AGROHF</v>
      </c>
      <c r="F40" s="740" t="s">
        <v>334</v>
      </c>
      <c r="G40" s="515" t="s">
        <v>337</v>
      </c>
      <c r="H40" s="740" t="s">
        <v>334</v>
      </c>
      <c r="I40" s="516">
        <v>0</v>
      </c>
      <c r="J40" s="517">
        <f ca="1">IF(E40="TRAOKE",0,SUMIF(NameConv!$C$5:$C$45,RIGHT(E40,3),OFFSET(NameConv!$AX$5,0,AU40,NameConv!$A$45,1)))</f>
        <v>5.0000000000000001E-3</v>
      </c>
      <c r="K40" s="518"/>
      <c r="L40" s="518"/>
      <c r="M40" s="518"/>
      <c r="N40" s="518"/>
      <c r="O40" s="518"/>
      <c r="P40" s="518"/>
      <c r="Q40" s="518"/>
      <c r="R40" s="518"/>
      <c r="S40" s="518"/>
      <c r="T40" s="518"/>
      <c r="U40" s="518"/>
      <c r="V40" s="518"/>
      <c r="W40" s="518"/>
      <c r="X40" s="518"/>
      <c r="Y40" s="518"/>
      <c r="Z40" s="518"/>
      <c r="AA40" s="518"/>
      <c r="AB40" s="518"/>
      <c r="AC40" s="518"/>
      <c r="AD40" s="518"/>
      <c r="AE40" s="518"/>
      <c r="AF40" s="518"/>
      <c r="AG40" s="518"/>
      <c r="AH40" s="518"/>
      <c r="AI40" s="518"/>
      <c r="AJ40" s="518"/>
      <c r="AK40" s="518"/>
      <c r="AL40" s="518"/>
      <c r="AM40" s="518"/>
      <c r="AN40" s="518"/>
      <c r="AO40" s="518"/>
      <c r="AP40" s="518"/>
      <c r="AQ40" s="518"/>
      <c r="AR40" s="518"/>
      <c r="AS40" s="495">
        <f ca="1">IF(AND(AV39&gt;=SUMIF(NameConv!$C$5:$C$45,RIGHT(E39,3),NameConv!$CG$5:$CG$45),AT39=SUMIF(NameConv!$G$4:$M$4,LEFT(E39,3),NameConv!$G$45:$M$45)),AS39+1,AS39)</f>
        <v>1</v>
      </c>
      <c r="AT40" s="495">
        <f ca="1">IF(AS40&lt;&gt;AS39,1,IF(AV39&gt;=SUMIF(NameConv!$C$5:$C$45,RIGHT(E39,3),NameConv!$CG$5:$CG$45),AT39+1,AT39))</f>
        <v>5</v>
      </c>
      <c r="AU40" s="495">
        <f ca="1">SUMIF(NameConv!$C$5:$C$45,RIGHT(E40,3),OFFSET(NameConv!$CG$5,0,AV40,NameConv!$A$45,1))</f>
        <v>7</v>
      </c>
      <c r="AV40" s="495">
        <f ca="1">IF(AV39&gt;=SUMIF(NameConv!$C$5:$C$45,RIGHT(E39,3),NameConv!$CG$5:$CG$45),1,AV39+1)</f>
        <v>7</v>
      </c>
    </row>
    <row r="41" spans="1:48">
      <c r="A41" s="422" t="str">
        <f t="shared" ca="1" si="1"/>
        <v/>
      </c>
      <c r="B41" s="515" t="str">
        <f t="shared" si="0"/>
        <v>FLO_EMIS</v>
      </c>
      <c r="C41" s="518" t="str">
        <f ca="1">"X"&amp;OFFSET(NameConv!$F$4,0,AS41)&amp;OFFSET(NameConv!$F$59,AT41,AS41)</f>
        <v>XAGROKE</v>
      </c>
      <c r="D41" s="515" t="str">
        <f ca="1">OFFSET(NameConv!$F$4,0,AS41)&amp;OFFSET(NameConv!$AX$4,0,AU41)</f>
        <v>AGRCO2S</v>
      </c>
      <c r="E41" s="515" t="str">
        <f ca="1">OFFSET(NameConv!$F$4,0,AS41)&amp;OFFSET(NameConv!$F$59,AT41,AS41)</f>
        <v>AGROKE</v>
      </c>
      <c r="F41" s="740" t="s">
        <v>334</v>
      </c>
      <c r="G41" s="515" t="s">
        <v>337</v>
      </c>
      <c r="H41" s="740" t="s">
        <v>334</v>
      </c>
      <c r="I41" s="516">
        <v>0</v>
      </c>
      <c r="J41" s="517">
        <f ca="1">IF(E41="TRAOKE",0,SUMIF(NameConv!$C$5:$C$45,RIGHT(E41,3),OFFSET(NameConv!$AX$5,0,AU41,NameConv!$A$45,1)))</f>
        <v>72.900000000000006</v>
      </c>
      <c r="K41" s="518"/>
      <c r="L41" s="518"/>
      <c r="M41" s="518"/>
      <c r="N41" s="518"/>
      <c r="O41" s="518"/>
      <c r="P41" s="518"/>
      <c r="Q41" s="518"/>
      <c r="R41" s="518"/>
      <c r="S41" s="518"/>
      <c r="T41" s="518"/>
      <c r="U41" s="518"/>
      <c r="V41" s="518"/>
      <c r="W41" s="518"/>
      <c r="X41" s="518"/>
      <c r="Y41" s="518"/>
      <c r="Z41" s="518"/>
      <c r="AA41" s="518"/>
      <c r="AB41" s="518"/>
      <c r="AC41" s="518"/>
      <c r="AD41" s="518"/>
      <c r="AE41" s="518"/>
      <c r="AF41" s="518"/>
      <c r="AG41" s="518"/>
      <c r="AH41" s="518"/>
      <c r="AI41" s="518"/>
      <c r="AJ41" s="518"/>
      <c r="AK41" s="518"/>
      <c r="AL41" s="518"/>
      <c r="AM41" s="518"/>
      <c r="AN41" s="518"/>
      <c r="AO41" s="518"/>
      <c r="AP41" s="518"/>
      <c r="AQ41" s="518"/>
      <c r="AR41" s="518"/>
      <c r="AS41" s="495">
        <f ca="1">IF(AND(AV40&gt;=SUMIF(NameConv!$C$5:$C$45,RIGHT(E40,3),NameConv!$CG$5:$CG$45),AT40=SUMIF(NameConv!$G$4:$M$4,LEFT(E40,3),NameConv!$G$45:$M$45)),AS40+1,AS40)</f>
        <v>1</v>
      </c>
      <c r="AT41" s="495">
        <f ca="1">IF(AS41&lt;&gt;AS40,1,IF(AV40&gt;=SUMIF(NameConv!$C$5:$C$45,RIGHT(E40,3),NameConv!$CG$5:$CG$45),AT40+1,AT40))</f>
        <v>6</v>
      </c>
      <c r="AU41" s="495">
        <f ca="1">SUMIF(NameConv!$C$5:$C$45,RIGHT(E41,3),OFFSET(NameConv!$CG$5,0,AV41,NameConv!$A$45,1))</f>
        <v>1</v>
      </c>
      <c r="AV41" s="495">
        <f ca="1">IF(AV40&gt;=SUMIF(NameConv!$C$5:$C$45,RIGHT(E40,3),NameConv!$CG$5:$CG$45),1,AV40+1)</f>
        <v>1</v>
      </c>
    </row>
    <row r="42" spans="1:48">
      <c r="A42" s="422" t="str">
        <f t="shared" ca="1" si="1"/>
        <v/>
      </c>
      <c r="B42" s="515" t="str">
        <f t="shared" si="0"/>
        <v>FLO_EMIS</v>
      </c>
      <c r="C42" s="518" t="str">
        <f ca="1">"X"&amp;OFFSET(NameConv!$F$4,0,AS42)&amp;OFFSET(NameConv!$F$59,AT42,AS42)</f>
        <v>XAGROKE</v>
      </c>
      <c r="D42" s="515" t="str">
        <f ca="1">OFFSET(NameConv!$F$4,0,AS42)&amp;OFFSET(NameConv!$AX$4,0,AU42)</f>
        <v>AGRCH4S</v>
      </c>
      <c r="E42" s="515" t="str">
        <f ca="1">OFFSET(NameConv!$F$4,0,AS42)&amp;OFFSET(NameConv!$F$59,AT42,AS42)</f>
        <v>AGROKE</v>
      </c>
      <c r="F42" s="740" t="s">
        <v>334</v>
      </c>
      <c r="G42" s="515" t="s">
        <v>337</v>
      </c>
      <c r="H42" s="740" t="s">
        <v>334</v>
      </c>
      <c r="I42" s="516">
        <v>0</v>
      </c>
      <c r="J42" s="517">
        <f ca="1">IF(E42="TRAOKE",0,SUMIF(NameConv!$C$5:$C$45,RIGHT(E42,3),OFFSET(NameConv!$AX$5,0,AU42,NameConv!$A$45,1)))</f>
        <v>3.0000000000000001E-3</v>
      </c>
      <c r="K42" s="518"/>
      <c r="L42" s="518"/>
      <c r="M42" s="518"/>
      <c r="N42" s="518"/>
      <c r="O42" s="518"/>
      <c r="P42" s="518"/>
      <c r="Q42" s="518"/>
      <c r="R42" s="518"/>
      <c r="S42" s="518"/>
      <c r="T42" s="518"/>
      <c r="U42" s="518"/>
      <c r="V42" s="518"/>
      <c r="W42" s="518"/>
      <c r="X42" s="518"/>
      <c r="Y42" s="518"/>
      <c r="Z42" s="518"/>
      <c r="AA42" s="518"/>
      <c r="AB42" s="518"/>
      <c r="AC42" s="518"/>
      <c r="AD42" s="518"/>
      <c r="AE42" s="518"/>
      <c r="AF42" s="518"/>
      <c r="AG42" s="518"/>
      <c r="AH42" s="518"/>
      <c r="AI42" s="518"/>
      <c r="AJ42" s="518"/>
      <c r="AK42" s="518"/>
      <c r="AL42" s="518"/>
      <c r="AM42" s="518"/>
      <c r="AN42" s="518"/>
      <c r="AO42" s="518"/>
      <c r="AP42" s="518"/>
      <c r="AQ42" s="518"/>
      <c r="AR42" s="518"/>
      <c r="AS42" s="495">
        <f ca="1">IF(AND(AV41&gt;=SUMIF(NameConv!$C$5:$C$45,RIGHT(E41,3),NameConv!$CG$5:$CG$45),AT41=SUMIF(NameConv!$G$4:$M$4,LEFT(E41,3),NameConv!$G$45:$M$45)),AS41+1,AS41)</f>
        <v>1</v>
      </c>
      <c r="AT42" s="495">
        <f ca="1">IF(AS42&lt;&gt;AS41,1,IF(AV41&gt;=SUMIF(NameConv!$C$5:$C$45,RIGHT(E41,3),NameConv!$CG$5:$CG$45),AT41+1,AT41))</f>
        <v>6</v>
      </c>
      <c r="AU42" s="495">
        <f ca="1">SUMIF(NameConv!$C$5:$C$45,RIGHT(E42,3),OFFSET(NameConv!$CG$5,0,AV42,NameConv!$A$45,1))</f>
        <v>2</v>
      </c>
      <c r="AV42" s="495">
        <f ca="1">IF(AV41&gt;=SUMIF(NameConv!$C$5:$C$45,RIGHT(E41,3),NameConv!$CG$5:$CG$45),1,AV41+1)</f>
        <v>2</v>
      </c>
    </row>
    <row r="43" spans="1:48">
      <c r="A43" s="422" t="str">
        <f t="shared" ca="1" si="1"/>
        <v/>
      </c>
      <c r="B43" s="515" t="str">
        <f t="shared" si="0"/>
        <v>FLO_EMIS</v>
      </c>
      <c r="C43" s="518" t="str">
        <f ca="1">"X"&amp;OFFSET(NameConv!$F$4,0,AS43)&amp;OFFSET(NameConv!$F$59,AT43,AS43)</f>
        <v>XAGROKE</v>
      </c>
      <c r="D43" s="515" t="str">
        <f ca="1">OFFSET(NameConv!$F$4,0,AS43)&amp;OFFSET(NameConv!$AX$4,0,AU43)</f>
        <v>AGRN2OS</v>
      </c>
      <c r="E43" s="515" t="str">
        <f ca="1">OFFSET(NameConv!$F$4,0,AS43)&amp;OFFSET(NameConv!$F$59,AT43,AS43)</f>
        <v>AGROKE</v>
      </c>
      <c r="F43" s="740" t="s">
        <v>334</v>
      </c>
      <c r="G43" s="515" t="s">
        <v>337</v>
      </c>
      <c r="H43" s="740" t="s">
        <v>334</v>
      </c>
      <c r="I43" s="516">
        <v>0</v>
      </c>
      <c r="J43" s="517">
        <f ca="1">IF(E43="TRAOKE",0,SUMIF(NameConv!$C$5:$C$45,RIGHT(E43,3),OFFSET(NameConv!$AX$5,0,AU43,NameConv!$A$45,1)))</f>
        <v>5.9999999999999995E-4</v>
      </c>
      <c r="K43" s="518"/>
      <c r="L43" s="518"/>
      <c r="M43" s="518"/>
      <c r="N43" s="518"/>
      <c r="O43" s="518"/>
      <c r="P43" s="518"/>
      <c r="Q43" s="518"/>
      <c r="R43" s="518"/>
      <c r="S43" s="518"/>
      <c r="T43" s="518"/>
      <c r="U43" s="518"/>
      <c r="V43" s="518"/>
      <c r="W43" s="518"/>
      <c r="X43" s="518"/>
      <c r="Y43" s="518"/>
      <c r="Z43" s="518"/>
      <c r="AA43" s="518"/>
      <c r="AB43" s="518"/>
      <c r="AC43" s="518"/>
      <c r="AD43" s="518"/>
      <c r="AE43" s="518"/>
      <c r="AF43" s="518"/>
      <c r="AG43" s="518"/>
      <c r="AH43" s="518"/>
      <c r="AI43" s="518"/>
      <c r="AJ43" s="518"/>
      <c r="AK43" s="518"/>
      <c r="AL43" s="518"/>
      <c r="AM43" s="518"/>
      <c r="AN43" s="518"/>
      <c r="AO43" s="518"/>
      <c r="AP43" s="518"/>
      <c r="AQ43" s="518"/>
      <c r="AR43" s="518"/>
      <c r="AS43" s="495">
        <f ca="1">IF(AND(AV42&gt;=SUMIF(NameConv!$C$5:$C$45,RIGHT(E42,3),NameConv!$CG$5:$CG$45),AT42=SUMIF(NameConv!$G$4:$M$4,LEFT(E42,3),NameConv!$G$45:$M$45)),AS42+1,AS42)</f>
        <v>1</v>
      </c>
      <c r="AT43" s="495">
        <f ca="1">IF(AS43&lt;&gt;AS42,1,IF(AV42&gt;=SUMIF(NameConv!$C$5:$C$45,RIGHT(E42,3),NameConv!$CG$5:$CG$45),AT42+1,AT42))</f>
        <v>6</v>
      </c>
      <c r="AU43" s="495">
        <f ca="1">SUMIF(NameConv!$C$5:$C$45,RIGHT(E43,3),OFFSET(NameConv!$CG$5,0,AV43,NameConv!$A$45,1))</f>
        <v>3</v>
      </c>
      <c r="AV43" s="495">
        <f ca="1">IF(AV42&gt;=SUMIF(NameConv!$C$5:$C$45,RIGHT(E42,3),NameConv!$CG$5:$CG$45),1,AV42+1)</f>
        <v>3</v>
      </c>
    </row>
    <row r="44" spans="1:48">
      <c r="A44" s="422" t="str">
        <f t="shared" ca="1" si="1"/>
        <v/>
      </c>
      <c r="B44" s="515" t="str">
        <f t="shared" si="0"/>
        <v>FLO_EMIS</v>
      </c>
      <c r="C44" s="518" t="str">
        <f ca="1">"X"&amp;OFFSET(NameConv!$F$4,0,AS44)&amp;OFFSET(NameConv!$F$59,AT44,AS44)</f>
        <v>XAGROKE</v>
      </c>
      <c r="D44" s="515" t="str">
        <f ca="1">OFFSET(NameConv!$F$4,0,AS44)&amp;OFFSET(NameConv!$AX$4,0,AU44)</f>
        <v>AGRSOXS</v>
      </c>
      <c r="E44" s="515" t="str">
        <f ca="1">OFFSET(NameConv!$F$4,0,AS44)&amp;OFFSET(NameConv!$F$59,AT44,AS44)</f>
        <v>AGROKE</v>
      </c>
      <c r="F44" s="740" t="s">
        <v>334</v>
      </c>
      <c r="G44" s="515" t="s">
        <v>337</v>
      </c>
      <c r="H44" s="740" t="s">
        <v>334</v>
      </c>
      <c r="I44" s="516">
        <v>0</v>
      </c>
      <c r="J44" s="517">
        <f ca="1">IF(E44="TRAOKE",0,SUMIF(NameConv!$C$5:$C$45,RIGHT(E44,3),OFFSET(NameConv!$AX$5,0,AU44,NameConv!$A$45,1)))</f>
        <v>4.5900000000000003E-2</v>
      </c>
      <c r="K44" s="518"/>
      <c r="L44" s="518"/>
      <c r="M44" s="518"/>
      <c r="N44" s="518"/>
      <c r="O44" s="518"/>
      <c r="P44" s="518"/>
      <c r="Q44" s="518"/>
      <c r="R44" s="518"/>
      <c r="S44" s="518"/>
      <c r="T44" s="518"/>
      <c r="U44" s="518"/>
      <c r="V44" s="518"/>
      <c r="W44" s="518"/>
      <c r="X44" s="518"/>
      <c r="Y44" s="518"/>
      <c r="Z44" s="518"/>
      <c r="AA44" s="518"/>
      <c r="AB44" s="518"/>
      <c r="AC44" s="518"/>
      <c r="AD44" s="518"/>
      <c r="AE44" s="518"/>
      <c r="AF44" s="518"/>
      <c r="AG44" s="518"/>
      <c r="AH44" s="518"/>
      <c r="AI44" s="518"/>
      <c r="AJ44" s="518"/>
      <c r="AK44" s="518"/>
      <c r="AL44" s="518"/>
      <c r="AM44" s="518"/>
      <c r="AN44" s="518"/>
      <c r="AO44" s="518"/>
      <c r="AP44" s="518"/>
      <c r="AQ44" s="518"/>
      <c r="AR44" s="518"/>
      <c r="AS44" s="495">
        <f ca="1">IF(AND(AV43&gt;=SUMIF(NameConv!$C$5:$C$45,RIGHT(E43,3),NameConv!$CG$5:$CG$45),AT43=SUMIF(NameConv!$G$4:$M$4,LEFT(E43,3),NameConv!$G$45:$M$45)),AS43+1,AS43)</f>
        <v>1</v>
      </c>
      <c r="AT44" s="495">
        <f ca="1">IF(AS44&lt;&gt;AS43,1,IF(AV43&gt;=SUMIF(NameConv!$C$5:$C$45,RIGHT(E43,3),NameConv!$CG$5:$CG$45),AT43+1,AT43))</f>
        <v>6</v>
      </c>
      <c r="AU44" s="495">
        <f ca="1">SUMIF(NameConv!$C$5:$C$45,RIGHT(E44,3),OFFSET(NameConv!$CG$5,0,AV44,NameConv!$A$45,1))</f>
        <v>4</v>
      </c>
      <c r="AV44" s="495">
        <f ca="1">IF(AV43&gt;=SUMIF(NameConv!$C$5:$C$45,RIGHT(E43,3),NameConv!$CG$5:$CG$45),1,AV43+1)</f>
        <v>4</v>
      </c>
    </row>
    <row r="45" spans="1:48">
      <c r="A45" s="422" t="str">
        <f t="shared" ca="1" si="1"/>
        <v/>
      </c>
      <c r="B45" s="515" t="str">
        <f t="shared" si="0"/>
        <v>FLO_EMIS</v>
      </c>
      <c r="C45" s="518" t="str">
        <f ca="1">"X"&amp;OFFSET(NameConv!$F$4,0,AS45)&amp;OFFSET(NameConv!$F$59,AT45,AS45)</f>
        <v>XAGROKE</v>
      </c>
      <c r="D45" s="515" t="str">
        <f ca="1">OFFSET(NameConv!$F$4,0,AS45)&amp;OFFSET(NameConv!$AX$4,0,AU45)</f>
        <v>AGRNOXS</v>
      </c>
      <c r="E45" s="515" t="str">
        <f ca="1">OFFSET(NameConv!$F$4,0,AS45)&amp;OFFSET(NameConv!$F$59,AT45,AS45)</f>
        <v>AGROKE</v>
      </c>
      <c r="F45" s="740" t="s">
        <v>334</v>
      </c>
      <c r="G45" s="515" t="s">
        <v>337</v>
      </c>
      <c r="H45" s="740" t="s">
        <v>334</v>
      </c>
      <c r="I45" s="516">
        <v>0</v>
      </c>
      <c r="J45" s="517">
        <f ca="1">IF(E45="TRAOKE",0,SUMIF(NameConv!$C$5:$C$45,RIGHT(E45,3),OFFSET(NameConv!$AX$5,0,AU45,NameConv!$A$45,1)))</f>
        <v>0.2</v>
      </c>
      <c r="K45" s="518"/>
      <c r="L45" s="518"/>
      <c r="M45" s="518"/>
      <c r="N45" s="518"/>
      <c r="O45" s="518"/>
      <c r="P45" s="518"/>
      <c r="Q45" s="518"/>
      <c r="R45" s="518"/>
      <c r="S45" s="518"/>
      <c r="T45" s="518"/>
      <c r="U45" s="518"/>
      <c r="V45" s="518"/>
      <c r="W45" s="518"/>
      <c r="X45" s="518"/>
      <c r="Y45" s="518"/>
      <c r="Z45" s="518"/>
      <c r="AA45" s="518"/>
      <c r="AB45" s="518"/>
      <c r="AC45" s="518"/>
      <c r="AD45" s="518"/>
      <c r="AE45" s="518"/>
      <c r="AF45" s="518"/>
      <c r="AG45" s="518"/>
      <c r="AH45" s="518"/>
      <c r="AI45" s="518"/>
      <c r="AJ45" s="518"/>
      <c r="AK45" s="518"/>
      <c r="AL45" s="518"/>
      <c r="AM45" s="518"/>
      <c r="AN45" s="518"/>
      <c r="AO45" s="518"/>
      <c r="AP45" s="518"/>
      <c r="AQ45" s="518"/>
      <c r="AR45" s="518"/>
      <c r="AS45" s="495">
        <f ca="1">IF(AND(AV44&gt;=SUMIF(NameConv!$C$5:$C$45,RIGHT(E44,3),NameConv!$CG$5:$CG$45),AT44=SUMIF(NameConv!$G$4:$M$4,LEFT(E44,3),NameConv!$G$45:$M$45)),AS44+1,AS44)</f>
        <v>1</v>
      </c>
      <c r="AT45" s="495">
        <f ca="1">IF(AS45&lt;&gt;AS44,1,IF(AV44&gt;=SUMIF(NameConv!$C$5:$C$45,RIGHT(E44,3),NameConv!$CG$5:$CG$45),AT44+1,AT44))</f>
        <v>6</v>
      </c>
      <c r="AU45" s="495">
        <f ca="1">SUMIF(NameConv!$C$5:$C$45,RIGHT(E45,3),OFFSET(NameConv!$CG$5,0,AV45,NameConv!$A$45,1))</f>
        <v>5</v>
      </c>
      <c r="AV45" s="495">
        <f ca="1">IF(AV44&gt;=SUMIF(NameConv!$C$5:$C$45,RIGHT(E44,3),NameConv!$CG$5:$CG$45),1,AV44+1)</f>
        <v>5</v>
      </c>
    </row>
    <row r="46" spans="1:48">
      <c r="A46" s="422" t="str">
        <f t="shared" ca="1" si="1"/>
        <v/>
      </c>
      <c r="B46" s="515" t="str">
        <f t="shared" si="0"/>
        <v>FLO_EMIS</v>
      </c>
      <c r="C46" s="518" t="str">
        <f ca="1">"X"&amp;OFFSET(NameConv!$F$4,0,AS46)&amp;OFFSET(NameConv!$F$59,AT46,AS46)</f>
        <v>XAGROKE</v>
      </c>
      <c r="D46" s="515" t="str">
        <f ca="1">OFFSET(NameConv!$F$4,0,AS46)&amp;OFFSET(NameConv!$AX$4,0,AU46)</f>
        <v>AGRCMOX</v>
      </c>
      <c r="E46" s="515" t="str">
        <f ca="1">OFFSET(NameConv!$F$4,0,AS46)&amp;OFFSET(NameConv!$F$59,AT46,AS46)</f>
        <v>AGROKE</v>
      </c>
      <c r="F46" s="740" t="s">
        <v>334</v>
      </c>
      <c r="G46" s="515" t="s">
        <v>337</v>
      </c>
      <c r="H46" s="740" t="s">
        <v>334</v>
      </c>
      <c r="I46" s="516">
        <v>0</v>
      </c>
      <c r="J46" s="517">
        <f ca="1">IF(E46="TRAOKE",0,SUMIF(NameConv!$C$5:$C$45,RIGHT(E46,3),OFFSET(NameConv!$AX$5,0,AU46,NameConv!$A$45,1)))</f>
        <v>0.01</v>
      </c>
      <c r="K46" s="518"/>
      <c r="L46" s="518"/>
      <c r="M46" s="518"/>
      <c r="N46" s="518"/>
      <c r="O46" s="518"/>
      <c r="P46" s="518"/>
      <c r="Q46" s="518"/>
      <c r="R46" s="518"/>
      <c r="S46" s="518"/>
      <c r="T46" s="518"/>
      <c r="U46" s="518"/>
      <c r="V46" s="518"/>
      <c r="W46" s="518"/>
      <c r="X46" s="518"/>
      <c r="Y46" s="518"/>
      <c r="Z46" s="518"/>
      <c r="AA46" s="518"/>
      <c r="AB46" s="518"/>
      <c r="AC46" s="518"/>
      <c r="AD46" s="518"/>
      <c r="AE46" s="518"/>
      <c r="AF46" s="518"/>
      <c r="AG46" s="518"/>
      <c r="AH46" s="518"/>
      <c r="AI46" s="518"/>
      <c r="AJ46" s="518"/>
      <c r="AK46" s="518"/>
      <c r="AL46" s="518"/>
      <c r="AM46" s="518"/>
      <c r="AN46" s="518"/>
      <c r="AO46" s="518"/>
      <c r="AP46" s="518"/>
      <c r="AQ46" s="518"/>
      <c r="AR46" s="518"/>
      <c r="AS46" s="495">
        <f ca="1">IF(AND(AV45&gt;=SUMIF(NameConv!$C$5:$C$45,RIGHT(E45,3),NameConv!$CG$5:$CG$45),AT45=SUMIF(NameConv!$G$4:$M$4,LEFT(E45,3),NameConv!$G$45:$M$45)),AS45+1,AS45)</f>
        <v>1</v>
      </c>
      <c r="AT46" s="495">
        <f ca="1">IF(AS46&lt;&gt;AS45,1,IF(AV45&gt;=SUMIF(NameConv!$C$5:$C$45,RIGHT(E45,3),NameConv!$CG$5:$CG$45),AT45+1,AT45))</f>
        <v>6</v>
      </c>
      <c r="AU46" s="495">
        <f ca="1">SUMIF(NameConv!$C$5:$C$45,RIGHT(E46,3),OFFSET(NameConv!$CG$5,0,AV46,NameConv!$A$45,1))</f>
        <v>6</v>
      </c>
      <c r="AV46" s="495">
        <f ca="1">IF(AV45&gt;=SUMIF(NameConv!$C$5:$C$45,RIGHT(E45,3),NameConv!$CG$5:$CG$45),1,AV45+1)</f>
        <v>6</v>
      </c>
    </row>
    <row r="47" spans="1:48">
      <c r="A47" s="422" t="str">
        <f t="shared" ca="1" si="1"/>
        <v/>
      </c>
      <c r="B47" s="515" t="str">
        <f t="shared" si="0"/>
        <v>FLO_EMIS</v>
      </c>
      <c r="C47" s="518" t="str">
        <f ca="1">"X"&amp;OFFSET(NameConv!$F$4,0,AS47)&amp;OFFSET(NameConv!$F$59,AT47,AS47)</f>
        <v>XAGROKE</v>
      </c>
      <c r="D47" s="515" t="str">
        <f ca="1">OFFSET(NameConv!$F$4,0,AS47)&amp;OFFSET(NameConv!$AX$4,0,AU47)</f>
        <v>AGRNMVS</v>
      </c>
      <c r="E47" s="515" t="str">
        <f ca="1">OFFSET(NameConv!$F$4,0,AS47)&amp;OFFSET(NameConv!$F$59,AT47,AS47)</f>
        <v>AGROKE</v>
      </c>
      <c r="F47" s="740" t="s">
        <v>334</v>
      </c>
      <c r="G47" s="515" t="s">
        <v>337</v>
      </c>
      <c r="H47" s="740" t="s">
        <v>334</v>
      </c>
      <c r="I47" s="516">
        <v>0</v>
      </c>
      <c r="J47" s="517">
        <f ca="1">IF(E47="TRAOKE",0,SUMIF(NameConv!$C$5:$C$45,RIGHT(E47,3),OFFSET(NameConv!$AX$5,0,AU47,NameConv!$A$45,1)))</f>
        <v>5.0000000000000001E-3</v>
      </c>
      <c r="K47" s="518"/>
      <c r="L47" s="518"/>
      <c r="M47" s="518"/>
      <c r="N47" s="518"/>
      <c r="O47" s="518"/>
      <c r="P47" s="518"/>
      <c r="Q47" s="518"/>
      <c r="R47" s="518"/>
      <c r="S47" s="518"/>
      <c r="T47" s="518"/>
      <c r="U47" s="518"/>
      <c r="V47" s="518"/>
      <c r="W47" s="518"/>
      <c r="X47" s="518"/>
      <c r="Y47" s="518"/>
      <c r="Z47" s="518"/>
      <c r="AA47" s="518"/>
      <c r="AB47" s="518"/>
      <c r="AC47" s="518"/>
      <c r="AD47" s="518"/>
      <c r="AE47" s="518"/>
      <c r="AF47" s="518"/>
      <c r="AG47" s="518"/>
      <c r="AH47" s="518"/>
      <c r="AI47" s="518"/>
      <c r="AJ47" s="518"/>
      <c r="AK47" s="518"/>
      <c r="AL47" s="518"/>
      <c r="AM47" s="518"/>
      <c r="AN47" s="518"/>
      <c r="AO47" s="518"/>
      <c r="AP47" s="518"/>
      <c r="AQ47" s="518"/>
      <c r="AR47" s="518"/>
      <c r="AS47" s="495">
        <f ca="1">IF(AND(AV46&gt;=SUMIF(NameConv!$C$5:$C$45,RIGHT(E46,3),NameConv!$CG$5:$CG$45),AT46=SUMIF(NameConv!$G$4:$M$4,LEFT(E46,3),NameConv!$G$45:$M$45)),AS46+1,AS46)</f>
        <v>1</v>
      </c>
      <c r="AT47" s="495">
        <f ca="1">IF(AS47&lt;&gt;AS46,1,IF(AV46&gt;=SUMIF(NameConv!$C$5:$C$45,RIGHT(E46,3),NameConv!$CG$5:$CG$45),AT46+1,AT46))</f>
        <v>6</v>
      </c>
      <c r="AU47" s="495">
        <f ca="1">SUMIF(NameConv!$C$5:$C$45,RIGHT(E47,3),OFFSET(NameConv!$CG$5,0,AV47,NameConv!$A$45,1))</f>
        <v>7</v>
      </c>
      <c r="AV47" s="495">
        <f ca="1">IF(AV46&gt;=SUMIF(NameConv!$C$5:$C$45,RIGHT(E46,3),NameConv!$CG$5:$CG$45),1,AV46+1)</f>
        <v>7</v>
      </c>
    </row>
    <row r="48" spans="1:48">
      <c r="A48" s="422" t="str">
        <f t="shared" ca="1" si="1"/>
        <v/>
      </c>
      <c r="B48" s="515" t="str">
        <f t="shared" si="0"/>
        <v>FLO_EMIS</v>
      </c>
      <c r="C48" s="518" t="str">
        <f ca="1">"X"&amp;OFFSET(NameConv!$F$4,0,AS48)&amp;OFFSET(NameConv!$F$59,AT48,AS48)</f>
        <v>XAGROLP</v>
      </c>
      <c r="D48" s="515" t="str">
        <f ca="1">OFFSET(NameConv!$F$4,0,AS48)&amp;OFFSET(NameConv!$AX$4,0,AU48)</f>
        <v>AGRCO2S</v>
      </c>
      <c r="E48" s="515" t="str">
        <f ca="1">OFFSET(NameConv!$F$4,0,AS48)&amp;OFFSET(NameConv!$F$59,AT48,AS48)</f>
        <v>AGROLP</v>
      </c>
      <c r="F48" s="740" t="s">
        <v>334</v>
      </c>
      <c r="G48" s="515" t="s">
        <v>337</v>
      </c>
      <c r="H48" s="740" t="s">
        <v>334</v>
      </c>
      <c r="I48" s="516">
        <v>0</v>
      </c>
      <c r="J48" s="517">
        <f ca="1">IF(E48="TRAOKE",0,SUMIF(NameConv!$C$5:$C$45,RIGHT(E48,3),OFFSET(NameConv!$AX$5,0,AU48,NameConv!$A$45,1)))</f>
        <v>63.1</v>
      </c>
      <c r="K48" s="518"/>
      <c r="L48" s="518"/>
      <c r="M48" s="518"/>
      <c r="N48" s="518"/>
      <c r="O48" s="518"/>
      <c r="P48" s="518"/>
      <c r="Q48" s="518"/>
      <c r="R48" s="518"/>
      <c r="S48" s="518"/>
      <c r="T48" s="518"/>
      <c r="U48" s="518"/>
      <c r="V48" s="518"/>
      <c r="W48" s="518"/>
      <c r="X48" s="518"/>
      <c r="Y48" s="518"/>
      <c r="Z48" s="518"/>
      <c r="AA48" s="518"/>
      <c r="AB48" s="518"/>
      <c r="AC48" s="518"/>
      <c r="AD48" s="518"/>
      <c r="AE48" s="518"/>
      <c r="AF48" s="518"/>
      <c r="AG48" s="518"/>
      <c r="AH48" s="518"/>
      <c r="AI48" s="518"/>
      <c r="AJ48" s="518"/>
      <c r="AK48" s="518"/>
      <c r="AL48" s="518"/>
      <c r="AM48" s="518"/>
      <c r="AN48" s="518"/>
      <c r="AO48" s="518"/>
      <c r="AP48" s="518"/>
      <c r="AQ48" s="518"/>
      <c r="AR48" s="518"/>
      <c r="AS48" s="495">
        <f ca="1">IF(AND(AV47&gt;=SUMIF(NameConv!$C$5:$C$45,RIGHT(E47,3),NameConv!$CG$5:$CG$45),AT47=SUMIF(NameConv!$G$4:$M$4,LEFT(E47,3),NameConv!$G$45:$M$45)),AS47+1,AS47)</f>
        <v>1</v>
      </c>
      <c r="AT48" s="495">
        <f ca="1">IF(AS48&lt;&gt;AS47,1,IF(AV47&gt;=SUMIF(NameConv!$C$5:$C$45,RIGHT(E47,3),NameConv!$CG$5:$CG$45),AT47+1,AT47))</f>
        <v>7</v>
      </c>
      <c r="AU48" s="495">
        <f ca="1">SUMIF(NameConv!$C$5:$C$45,RIGHT(E48,3),OFFSET(NameConv!$CG$5,0,AV48,NameConv!$A$45,1))</f>
        <v>1</v>
      </c>
      <c r="AV48" s="495">
        <f ca="1">IF(AV47&gt;=SUMIF(NameConv!$C$5:$C$45,RIGHT(E47,3),NameConv!$CG$5:$CG$45),1,AV47+1)</f>
        <v>1</v>
      </c>
    </row>
    <row r="49" spans="1:48">
      <c r="A49" s="422" t="str">
        <f t="shared" ca="1" si="1"/>
        <v/>
      </c>
      <c r="B49" s="515" t="str">
        <f t="shared" si="0"/>
        <v>FLO_EMIS</v>
      </c>
      <c r="C49" s="518" t="str">
        <f ca="1">"X"&amp;OFFSET(NameConv!$F$4,0,AS49)&amp;OFFSET(NameConv!$F$59,AT49,AS49)</f>
        <v>XAGROLP</v>
      </c>
      <c r="D49" s="515" t="str">
        <f ca="1">OFFSET(NameConv!$F$4,0,AS49)&amp;OFFSET(NameConv!$AX$4,0,AU49)</f>
        <v>AGRCH4S</v>
      </c>
      <c r="E49" s="515" t="str">
        <f ca="1">OFFSET(NameConv!$F$4,0,AS49)&amp;OFFSET(NameConv!$F$59,AT49,AS49)</f>
        <v>AGROLP</v>
      </c>
      <c r="F49" s="740" t="s">
        <v>334</v>
      </c>
      <c r="G49" s="515" t="s">
        <v>337</v>
      </c>
      <c r="H49" s="740" t="s">
        <v>334</v>
      </c>
      <c r="I49" s="516">
        <v>0</v>
      </c>
      <c r="J49" s="517">
        <f ca="1">IF(E49="TRAOKE",0,SUMIF(NameConv!$C$5:$C$45,RIGHT(E49,3),OFFSET(NameConv!$AX$5,0,AU49,NameConv!$A$45,1)))</f>
        <v>3.0000000000000001E-3</v>
      </c>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518"/>
      <c r="AK49" s="518"/>
      <c r="AL49" s="518"/>
      <c r="AM49" s="518"/>
      <c r="AN49" s="518"/>
      <c r="AO49" s="518"/>
      <c r="AP49" s="518"/>
      <c r="AQ49" s="518"/>
      <c r="AR49" s="518"/>
      <c r="AS49" s="495">
        <f ca="1">IF(AND(AV48&gt;=SUMIF(NameConv!$C$5:$C$45,RIGHT(E48,3),NameConv!$CG$5:$CG$45),AT48=SUMIF(NameConv!$G$4:$M$4,LEFT(E48,3),NameConv!$G$45:$M$45)),AS48+1,AS48)</f>
        <v>1</v>
      </c>
      <c r="AT49" s="495">
        <f ca="1">IF(AS49&lt;&gt;AS48,1,IF(AV48&gt;=SUMIF(NameConv!$C$5:$C$45,RIGHT(E48,3),NameConv!$CG$5:$CG$45),AT48+1,AT48))</f>
        <v>7</v>
      </c>
      <c r="AU49" s="495">
        <f ca="1">SUMIF(NameConv!$C$5:$C$45,RIGHT(E49,3),OFFSET(NameConv!$CG$5,0,AV49,NameConv!$A$45,1))</f>
        <v>2</v>
      </c>
      <c r="AV49" s="495">
        <f ca="1">IF(AV48&gt;=SUMIF(NameConv!$C$5:$C$45,RIGHT(E48,3),NameConv!$CG$5:$CG$45),1,AV48+1)</f>
        <v>2</v>
      </c>
    </row>
    <row r="50" spans="1:48">
      <c r="A50" s="422" t="str">
        <f t="shared" ca="1" si="1"/>
        <v/>
      </c>
      <c r="B50" s="515" t="str">
        <f t="shared" si="0"/>
        <v>FLO_EMIS</v>
      </c>
      <c r="C50" s="518" t="str">
        <f ca="1">"X"&amp;OFFSET(NameConv!$F$4,0,AS50)&amp;OFFSET(NameConv!$F$59,AT50,AS50)</f>
        <v>XAGROLP</v>
      </c>
      <c r="D50" s="515" t="str">
        <f ca="1">OFFSET(NameConv!$F$4,0,AS50)&amp;OFFSET(NameConv!$AX$4,0,AU50)</f>
        <v>AGRN2OS</v>
      </c>
      <c r="E50" s="515" t="str">
        <f ca="1">OFFSET(NameConv!$F$4,0,AS50)&amp;OFFSET(NameConv!$F$59,AT50,AS50)</f>
        <v>AGROLP</v>
      </c>
      <c r="F50" s="740" t="s">
        <v>334</v>
      </c>
      <c r="G50" s="515" t="s">
        <v>337</v>
      </c>
      <c r="H50" s="740" t="s">
        <v>334</v>
      </c>
      <c r="I50" s="516">
        <v>0</v>
      </c>
      <c r="J50" s="517">
        <f ca="1">IF(E50="TRAOKE",0,SUMIF(NameConv!$C$5:$C$45,RIGHT(E50,3),OFFSET(NameConv!$AX$5,0,AU50,NameConv!$A$45,1)))</f>
        <v>1E-4</v>
      </c>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518"/>
      <c r="AK50" s="518"/>
      <c r="AL50" s="518"/>
      <c r="AM50" s="518"/>
      <c r="AN50" s="518"/>
      <c r="AO50" s="518"/>
      <c r="AP50" s="518"/>
      <c r="AQ50" s="518"/>
      <c r="AR50" s="518"/>
      <c r="AS50" s="495">
        <f ca="1">IF(AND(AV49&gt;=SUMIF(NameConv!$C$5:$C$45,RIGHT(E49,3),NameConv!$CG$5:$CG$45),AT49=SUMIF(NameConv!$G$4:$M$4,LEFT(E49,3),NameConv!$G$45:$M$45)),AS49+1,AS49)</f>
        <v>1</v>
      </c>
      <c r="AT50" s="495">
        <f ca="1">IF(AS50&lt;&gt;AS49,1,IF(AV49&gt;=SUMIF(NameConv!$C$5:$C$45,RIGHT(E49,3),NameConv!$CG$5:$CG$45),AT49+1,AT49))</f>
        <v>7</v>
      </c>
      <c r="AU50" s="495">
        <f ca="1">SUMIF(NameConv!$C$5:$C$45,RIGHT(E50,3),OFFSET(NameConv!$CG$5,0,AV50,NameConv!$A$45,1))</f>
        <v>3</v>
      </c>
      <c r="AV50" s="495">
        <f ca="1">IF(AV49&gt;=SUMIF(NameConv!$C$5:$C$45,RIGHT(E49,3),NameConv!$CG$5:$CG$45),1,AV49+1)</f>
        <v>3</v>
      </c>
    </row>
    <row r="51" spans="1:48">
      <c r="A51" s="422" t="str">
        <f t="shared" ca="1" si="1"/>
        <v/>
      </c>
      <c r="B51" s="515" t="str">
        <f t="shared" si="0"/>
        <v>FLO_EMIS</v>
      </c>
      <c r="C51" s="518" t="str">
        <f ca="1">"X"&amp;OFFSET(NameConv!$F$4,0,AS51)&amp;OFFSET(NameConv!$F$59,AT51,AS51)</f>
        <v>XAGROLP</v>
      </c>
      <c r="D51" s="515" t="str">
        <f ca="1">OFFSET(NameConv!$F$4,0,AS51)&amp;OFFSET(NameConv!$AX$4,0,AU51)</f>
        <v>AGRSOXS</v>
      </c>
      <c r="E51" s="515" t="str">
        <f ca="1">OFFSET(NameConv!$F$4,0,AS51)&amp;OFFSET(NameConv!$F$59,AT51,AS51)</f>
        <v>AGROLP</v>
      </c>
      <c r="F51" s="740" t="s">
        <v>334</v>
      </c>
      <c r="G51" s="515" t="s">
        <v>337</v>
      </c>
      <c r="H51" s="740" t="s">
        <v>334</v>
      </c>
      <c r="I51" s="516">
        <v>0</v>
      </c>
      <c r="J51" s="517">
        <f ca="1">IF(E51="TRAOKE",0,SUMIF(NameConv!$C$5:$C$45,RIGHT(E51,3),OFFSET(NameConv!$AX$5,0,AU51,NameConv!$A$45,1)))</f>
        <v>5.4089999999999998</v>
      </c>
      <c r="K51" s="518"/>
      <c r="L51" s="518"/>
      <c r="M51" s="518"/>
      <c r="N51" s="518"/>
      <c r="O51" s="518"/>
      <c r="P51" s="518"/>
      <c r="Q51" s="518"/>
      <c r="R51" s="518"/>
      <c r="S51" s="518"/>
      <c r="T51" s="518"/>
      <c r="U51" s="518"/>
      <c r="V51" s="518"/>
      <c r="W51" s="518"/>
      <c r="X51" s="518"/>
      <c r="Y51" s="518"/>
      <c r="Z51" s="518"/>
      <c r="AA51" s="518"/>
      <c r="AB51" s="518"/>
      <c r="AC51" s="518"/>
      <c r="AD51" s="518"/>
      <c r="AE51" s="518"/>
      <c r="AF51" s="518"/>
      <c r="AG51" s="518"/>
      <c r="AH51" s="518"/>
      <c r="AI51" s="518"/>
      <c r="AJ51" s="518"/>
      <c r="AK51" s="518"/>
      <c r="AL51" s="518"/>
      <c r="AM51" s="518"/>
      <c r="AN51" s="518"/>
      <c r="AO51" s="518"/>
      <c r="AP51" s="518"/>
      <c r="AQ51" s="518"/>
      <c r="AR51" s="518"/>
      <c r="AS51" s="495">
        <f ca="1">IF(AND(AV50&gt;=SUMIF(NameConv!$C$5:$C$45,RIGHT(E50,3),NameConv!$CG$5:$CG$45),AT50=SUMIF(NameConv!$G$4:$M$4,LEFT(E50,3),NameConv!$G$45:$M$45)),AS50+1,AS50)</f>
        <v>1</v>
      </c>
      <c r="AT51" s="495">
        <f ca="1">IF(AS51&lt;&gt;AS50,1,IF(AV50&gt;=SUMIF(NameConv!$C$5:$C$45,RIGHT(E50,3),NameConv!$CG$5:$CG$45),AT50+1,AT50))</f>
        <v>7</v>
      </c>
      <c r="AU51" s="495">
        <f ca="1">SUMIF(NameConv!$C$5:$C$45,RIGHT(E51,3),OFFSET(NameConv!$CG$5,0,AV51,NameConv!$A$45,1))</f>
        <v>4</v>
      </c>
      <c r="AV51" s="495">
        <f ca="1">IF(AV50&gt;=SUMIF(NameConv!$C$5:$C$45,RIGHT(E50,3),NameConv!$CG$5:$CG$45),1,AV50+1)</f>
        <v>4</v>
      </c>
    </row>
    <row r="52" spans="1:48">
      <c r="A52" s="422" t="str">
        <f t="shared" ca="1" si="1"/>
        <v/>
      </c>
      <c r="B52" s="515" t="str">
        <f t="shared" si="0"/>
        <v>FLO_EMIS</v>
      </c>
      <c r="C52" s="518" t="str">
        <f ca="1">"X"&amp;OFFSET(NameConv!$F$4,0,AS52)&amp;OFFSET(NameConv!$F$59,AT52,AS52)</f>
        <v>XAGROLP</v>
      </c>
      <c r="D52" s="515" t="str">
        <f ca="1">OFFSET(NameConv!$F$4,0,AS52)&amp;OFFSET(NameConv!$AX$4,0,AU52)</f>
        <v>AGRNOXS</v>
      </c>
      <c r="E52" s="515" t="str">
        <f ca="1">OFFSET(NameConv!$F$4,0,AS52)&amp;OFFSET(NameConv!$F$59,AT52,AS52)</f>
        <v>AGROLP</v>
      </c>
      <c r="F52" s="740" t="s">
        <v>334</v>
      </c>
      <c r="G52" s="515" t="s">
        <v>337</v>
      </c>
      <c r="H52" s="740" t="s">
        <v>334</v>
      </c>
      <c r="I52" s="516">
        <v>0</v>
      </c>
      <c r="J52" s="517">
        <f ca="1">IF(E52="TRAOKE",0,SUMIF(NameConv!$C$5:$C$45,RIGHT(E52,3),OFFSET(NameConv!$AX$5,0,AU52,NameConv!$A$45,1)))</f>
        <v>1.2460000000000001E-2</v>
      </c>
      <c r="K52" s="518"/>
      <c r="L52" s="518"/>
      <c r="M52" s="518"/>
      <c r="N52" s="518"/>
      <c r="O52" s="518"/>
      <c r="P52" s="518"/>
      <c r="Q52" s="518"/>
      <c r="R52" s="518"/>
      <c r="S52" s="518"/>
      <c r="T52" s="518"/>
      <c r="U52" s="518"/>
      <c r="V52" s="518"/>
      <c r="W52" s="518"/>
      <c r="X52" s="518"/>
      <c r="Y52" s="518"/>
      <c r="Z52" s="518"/>
      <c r="AA52" s="518"/>
      <c r="AB52" s="518"/>
      <c r="AC52" s="518"/>
      <c r="AD52" s="518"/>
      <c r="AE52" s="518"/>
      <c r="AF52" s="518"/>
      <c r="AG52" s="518"/>
      <c r="AH52" s="518"/>
      <c r="AI52" s="518"/>
      <c r="AJ52" s="518"/>
      <c r="AK52" s="518"/>
      <c r="AL52" s="518"/>
      <c r="AM52" s="518"/>
      <c r="AN52" s="518"/>
      <c r="AO52" s="518"/>
      <c r="AP52" s="518"/>
      <c r="AQ52" s="518"/>
      <c r="AR52" s="518"/>
      <c r="AS52" s="495">
        <f ca="1">IF(AND(AV51&gt;=SUMIF(NameConv!$C$5:$C$45,RIGHT(E51,3),NameConv!$CG$5:$CG$45),AT51=SUMIF(NameConv!$G$4:$M$4,LEFT(E51,3),NameConv!$G$45:$M$45)),AS51+1,AS51)</f>
        <v>1</v>
      </c>
      <c r="AT52" s="495">
        <f ca="1">IF(AS52&lt;&gt;AS51,1,IF(AV51&gt;=SUMIF(NameConv!$C$5:$C$45,RIGHT(E51,3),NameConv!$CG$5:$CG$45),AT51+1,AT51))</f>
        <v>7</v>
      </c>
      <c r="AU52" s="495">
        <f ca="1">SUMIF(NameConv!$C$5:$C$45,RIGHT(E52,3),OFFSET(NameConv!$CG$5,0,AV52,NameConv!$A$45,1))</f>
        <v>5</v>
      </c>
      <c r="AV52" s="495">
        <f ca="1">IF(AV51&gt;=SUMIF(NameConv!$C$5:$C$45,RIGHT(E51,3),NameConv!$CG$5:$CG$45),1,AV51+1)</f>
        <v>5</v>
      </c>
    </row>
    <row r="53" spans="1:48">
      <c r="A53" s="422" t="str">
        <f t="shared" ca="1" si="1"/>
        <v/>
      </c>
      <c r="B53" s="515" t="str">
        <f t="shared" si="0"/>
        <v>FLO_EMIS</v>
      </c>
      <c r="C53" s="518" t="str">
        <f ca="1">"X"&amp;OFFSET(NameConv!$F$4,0,AS53)&amp;OFFSET(NameConv!$F$59,AT53,AS53)</f>
        <v>XAGROLP</v>
      </c>
      <c r="D53" s="515" t="str">
        <f ca="1">OFFSET(NameConv!$F$4,0,AS53)&amp;OFFSET(NameConv!$AX$4,0,AU53)</f>
        <v>AGRCMOX</v>
      </c>
      <c r="E53" s="515" t="str">
        <f ca="1">OFFSET(NameConv!$F$4,0,AS53)&amp;OFFSET(NameConv!$F$59,AT53,AS53)</f>
        <v>AGROLP</v>
      </c>
      <c r="F53" s="740" t="s">
        <v>334</v>
      </c>
      <c r="G53" s="515" t="s">
        <v>337</v>
      </c>
      <c r="H53" s="740" t="s">
        <v>334</v>
      </c>
      <c r="I53" s="516">
        <v>0</v>
      </c>
      <c r="J53" s="517">
        <f ca="1">IF(E53="TRAOKE",0,SUMIF(NameConv!$C$5:$C$45,RIGHT(E53,3),OFFSET(NameConv!$AX$5,0,AU53,NameConv!$A$45,1)))</f>
        <v>0.182</v>
      </c>
      <c r="K53" s="518"/>
      <c r="L53" s="518"/>
      <c r="M53" s="518"/>
      <c r="N53" s="518"/>
      <c r="O53" s="518"/>
      <c r="P53" s="518"/>
      <c r="Q53" s="518"/>
      <c r="R53" s="518"/>
      <c r="S53" s="518"/>
      <c r="T53" s="518"/>
      <c r="U53" s="518"/>
      <c r="V53" s="518"/>
      <c r="W53" s="518"/>
      <c r="X53" s="518"/>
      <c r="Y53" s="518"/>
      <c r="Z53" s="518"/>
      <c r="AA53" s="518"/>
      <c r="AB53" s="518"/>
      <c r="AC53" s="518"/>
      <c r="AD53" s="518"/>
      <c r="AE53" s="518"/>
      <c r="AF53" s="518"/>
      <c r="AG53" s="518"/>
      <c r="AH53" s="518"/>
      <c r="AI53" s="518"/>
      <c r="AJ53" s="518"/>
      <c r="AK53" s="518"/>
      <c r="AL53" s="518"/>
      <c r="AM53" s="518"/>
      <c r="AN53" s="518"/>
      <c r="AO53" s="518"/>
      <c r="AP53" s="518"/>
      <c r="AQ53" s="518"/>
      <c r="AR53" s="518"/>
      <c r="AS53" s="495">
        <f ca="1">IF(AND(AV52&gt;=SUMIF(NameConv!$C$5:$C$45,RIGHT(E52,3),NameConv!$CG$5:$CG$45),AT52=SUMIF(NameConv!$G$4:$M$4,LEFT(E52,3),NameConv!$G$45:$M$45)),AS52+1,AS52)</f>
        <v>1</v>
      </c>
      <c r="AT53" s="495">
        <f ca="1">IF(AS53&lt;&gt;AS52,1,IF(AV52&gt;=SUMIF(NameConv!$C$5:$C$45,RIGHT(E52,3),NameConv!$CG$5:$CG$45),AT52+1,AT52))</f>
        <v>7</v>
      </c>
      <c r="AU53" s="495">
        <f ca="1">SUMIF(NameConv!$C$5:$C$45,RIGHT(E53,3),OFFSET(NameConv!$CG$5,0,AV53,NameConv!$A$45,1))</f>
        <v>6</v>
      </c>
      <c r="AV53" s="495">
        <f ca="1">IF(AV52&gt;=SUMIF(NameConv!$C$5:$C$45,RIGHT(E52,3),NameConv!$CG$5:$CG$45),1,AV52+1)</f>
        <v>6</v>
      </c>
    </row>
    <row r="54" spans="1:48">
      <c r="A54" s="422" t="str">
        <f t="shared" ca="1" si="1"/>
        <v/>
      </c>
      <c r="B54" s="515" t="str">
        <f t="shared" si="0"/>
        <v>FLO_EMIS</v>
      </c>
      <c r="C54" s="518" t="str">
        <f ca="1">"X"&amp;OFFSET(NameConv!$F$4,0,AS54)&amp;OFFSET(NameConv!$F$59,AT54,AS54)</f>
        <v>XAGROLP</v>
      </c>
      <c r="D54" s="515" t="str">
        <f ca="1">OFFSET(NameConv!$F$4,0,AS54)&amp;OFFSET(NameConv!$AX$4,0,AU54)</f>
        <v>AGRNMVS</v>
      </c>
      <c r="E54" s="515" t="str">
        <f ca="1">OFFSET(NameConv!$F$4,0,AS54)&amp;OFFSET(NameConv!$F$59,AT54,AS54)</f>
        <v>AGROLP</v>
      </c>
      <c r="F54" s="740" t="s">
        <v>334</v>
      </c>
      <c r="G54" s="515" t="s">
        <v>337</v>
      </c>
      <c r="H54" s="740" t="s">
        <v>334</v>
      </c>
      <c r="I54" s="516">
        <v>0</v>
      </c>
      <c r="J54" s="517">
        <f ca="1">IF(E54="TRAOKE",0,SUMIF(NameConv!$C$5:$C$45,RIGHT(E54,3),OFFSET(NameConv!$AX$5,0,AU54,NameConv!$A$45,1)))</f>
        <v>2.3699999999999999E-2</v>
      </c>
      <c r="K54" s="518"/>
      <c r="L54" s="518"/>
      <c r="M54" s="518"/>
      <c r="N54" s="518"/>
      <c r="O54" s="518"/>
      <c r="P54" s="518"/>
      <c r="Q54" s="518"/>
      <c r="R54" s="518"/>
      <c r="S54" s="518"/>
      <c r="T54" s="518"/>
      <c r="U54" s="518"/>
      <c r="V54" s="518"/>
      <c r="W54" s="518"/>
      <c r="X54" s="518"/>
      <c r="Y54" s="518"/>
      <c r="Z54" s="518"/>
      <c r="AA54" s="518"/>
      <c r="AB54" s="518"/>
      <c r="AC54" s="518"/>
      <c r="AD54" s="518"/>
      <c r="AE54" s="518"/>
      <c r="AF54" s="518"/>
      <c r="AG54" s="518"/>
      <c r="AH54" s="518"/>
      <c r="AI54" s="518"/>
      <c r="AJ54" s="518"/>
      <c r="AK54" s="518"/>
      <c r="AL54" s="518"/>
      <c r="AM54" s="518"/>
      <c r="AN54" s="518"/>
      <c r="AO54" s="518"/>
      <c r="AP54" s="518"/>
      <c r="AQ54" s="518"/>
      <c r="AR54" s="518"/>
      <c r="AS54" s="495">
        <f ca="1">IF(AND(AV53&gt;=SUMIF(NameConv!$C$5:$C$45,RIGHT(E53,3),NameConv!$CG$5:$CG$45),AT53=SUMIF(NameConv!$G$4:$M$4,LEFT(E53,3),NameConv!$G$45:$M$45)),AS53+1,AS53)</f>
        <v>1</v>
      </c>
      <c r="AT54" s="495">
        <f ca="1">IF(AS54&lt;&gt;AS53,1,IF(AV53&gt;=SUMIF(NameConv!$C$5:$C$45,RIGHT(E53,3),NameConv!$CG$5:$CG$45),AT53+1,AT53))</f>
        <v>7</v>
      </c>
      <c r="AU54" s="495">
        <f ca="1">SUMIF(NameConv!$C$5:$C$45,RIGHT(E54,3),OFFSET(NameConv!$CG$5,0,AV54,NameConv!$A$45,1))</f>
        <v>7</v>
      </c>
      <c r="AV54" s="495">
        <f ca="1">IF(AV53&gt;=SUMIF(NameConv!$C$5:$C$45,RIGHT(E53,3),NameConv!$CG$5:$CG$45),1,AV53+1)</f>
        <v>7</v>
      </c>
    </row>
    <row r="55" spans="1:48">
      <c r="A55" s="422" t="str">
        <f t="shared" ca="1" si="1"/>
        <v/>
      </c>
      <c r="B55" s="515" t="str">
        <f t="shared" si="0"/>
        <v>FLO_EMIS</v>
      </c>
      <c r="C55" s="518" t="str">
        <f ca="1">"X"&amp;OFFSET(NameConv!$F$4,0,AS55)&amp;OFFSET(NameConv!$F$59,AT55,AS55)</f>
        <v>XCOMCOA</v>
      </c>
      <c r="D55" s="515" t="str">
        <f ca="1">OFFSET(NameConv!$F$4,0,AS55)&amp;OFFSET(NameConv!$AX$4,0,AU55)</f>
        <v>COMCO2S</v>
      </c>
      <c r="E55" s="515" t="str">
        <f ca="1">OFFSET(NameConv!$F$4,0,AS55)&amp;OFFSET(NameConv!$F$59,AT55,AS55)</f>
        <v>COMCOA</v>
      </c>
      <c r="F55" s="740" t="s">
        <v>334</v>
      </c>
      <c r="G55" s="515" t="s">
        <v>337</v>
      </c>
      <c r="H55" s="740" t="s">
        <v>334</v>
      </c>
      <c r="I55" s="516">
        <v>0</v>
      </c>
      <c r="J55" s="517">
        <f ca="1">IF(E55="TRAOKE",0,SUMIF(NameConv!$C$5:$C$45,RIGHT(E55,3),OFFSET(NameConv!$AX$5,0,AU55,NameConv!$A$45,1)))</f>
        <v>96.25</v>
      </c>
      <c r="K55" s="518"/>
      <c r="L55" s="518"/>
      <c r="M55" s="518"/>
      <c r="N55" s="518"/>
      <c r="O55" s="518"/>
      <c r="P55" s="518"/>
      <c r="Q55" s="518"/>
      <c r="R55" s="518"/>
      <c r="S55" s="518"/>
      <c r="T55" s="518"/>
      <c r="U55" s="518"/>
      <c r="V55" s="518"/>
      <c r="W55" s="518"/>
      <c r="X55" s="518"/>
      <c r="Y55" s="518"/>
      <c r="Z55" s="518"/>
      <c r="AA55" s="518"/>
      <c r="AB55" s="518"/>
      <c r="AC55" s="518"/>
      <c r="AD55" s="518"/>
      <c r="AE55" s="518"/>
      <c r="AF55" s="518"/>
      <c r="AG55" s="518"/>
      <c r="AH55" s="518"/>
      <c r="AI55" s="518"/>
      <c r="AJ55" s="518"/>
      <c r="AK55" s="518"/>
      <c r="AL55" s="518"/>
      <c r="AM55" s="518"/>
      <c r="AN55" s="518"/>
      <c r="AO55" s="518"/>
      <c r="AP55" s="518"/>
      <c r="AQ55" s="518"/>
      <c r="AR55" s="518"/>
      <c r="AS55" s="495">
        <f ca="1">IF(AND(AV54&gt;=SUMIF(NameConv!$C$5:$C$45,RIGHT(E54,3),NameConv!$CG$5:$CG$45),AT54=SUMIF(NameConv!$G$4:$M$4,LEFT(E54,3),NameConv!$G$45:$M$45)),AS54+1,AS54)</f>
        <v>2</v>
      </c>
      <c r="AT55" s="495">
        <f ca="1">IF(AS55&lt;&gt;AS54,1,IF(AV54&gt;=SUMIF(NameConv!$C$5:$C$45,RIGHT(E54,3),NameConv!$CG$5:$CG$45),AT54+1,AT54))</f>
        <v>1</v>
      </c>
      <c r="AU55" s="495">
        <f ca="1">SUMIF(NameConv!$C$5:$C$45,RIGHT(E55,3),OFFSET(NameConv!$CG$5,0,AV55,NameConv!$A$45,1))</f>
        <v>1</v>
      </c>
      <c r="AV55" s="495">
        <f ca="1">IF(AV54&gt;=SUMIF(NameConv!$C$5:$C$45,RIGHT(E54,3),NameConv!$CG$5:$CG$45),1,AV54+1)</f>
        <v>1</v>
      </c>
    </row>
    <row r="56" spans="1:48">
      <c r="A56" s="422" t="str">
        <f t="shared" ca="1" si="1"/>
        <v/>
      </c>
      <c r="B56" s="515" t="str">
        <f t="shared" si="0"/>
        <v>FLO_EMIS</v>
      </c>
      <c r="C56" s="518" t="str">
        <f ca="1">"X"&amp;OFFSET(NameConv!$F$4,0,AS56)&amp;OFFSET(NameConv!$F$59,AT56,AS56)</f>
        <v>XCOMCOA</v>
      </c>
      <c r="D56" s="515" t="str">
        <f ca="1">OFFSET(NameConv!$F$4,0,AS56)&amp;OFFSET(NameConv!$AX$4,0,AU56)</f>
        <v>COMCH4S</v>
      </c>
      <c r="E56" s="515" t="str">
        <f ca="1">OFFSET(NameConv!$F$4,0,AS56)&amp;OFFSET(NameConv!$F$59,AT56,AS56)</f>
        <v>COMCOA</v>
      </c>
      <c r="F56" s="740" t="s">
        <v>334</v>
      </c>
      <c r="G56" s="515" t="s">
        <v>337</v>
      </c>
      <c r="H56" s="740" t="s">
        <v>334</v>
      </c>
      <c r="I56" s="516">
        <v>0</v>
      </c>
      <c r="J56" s="517">
        <f ca="1">IF(E56="TRAOKE",0,SUMIF(NameConv!$C$5:$C$45,RIGHT(E56,3),OFFSET(NameConv!$AX$5,0,AU56,NameConv!$A$45,1)))</f>
        <v>1E-3</v>
      </c>
      <c r="K56" s="518"/>
      <c r="L56" s="518"/>
      <c r="M56" s="518"/>
      <c r="N56" s="518"/>
      <c r="O56" s="518"/>
      <c r="P56" s="518"/>
      <c r="Q56" s="518"/>
      <c r="R56" s="518"/>
      <c r="S56" s="518"/>
      <c r="T56" s="518"/>
      <c r="U56" s="518"/>
      <c r="V56" s="518"/>
      <c r="W56" s="518"/>
      <c r="X56" s="518"/>
      <c r="Y56" s="518"/>
      <c r="Z56" s="518"/>
      <c r="AA56" s="518"/>
      <c r="AB56" s="518"/>
      <c r="AC56" s="518"/>
      <c r="AD56" s="518"/>
      <c r="AE56" s="518"/>
      <c r="AF56" s="518"/>
      <c r="AG56" s="518"/>
      <c r="AH56" s="518"/>
      <c r="AI56" s="518"/>
      <c r="AJ56" s="518"/>
      <c r="AK56" s="518"/>
      <c r="AL56" s="518"/>
      <c r="AM56" s="518"/>
      <c r="AN56" s="518"/>
      <c r="AO56" s="518"/>
      <c r="AP56" s="518"/>
      <c r="AQ56" s="518"/>
      <c r="AR56" s="518"/>
      <c r="AS56" s="495">
        <f ca="1">IF(AND(AV55&gt;=SUMIF(NameConv!$C$5:$C$45,RIGHT(E55,3),NameConv!$CG$5:$CG$45),AT55=SUMIF(NameConv!$G$4:$M$4,LEFT(E55,3),NameConv!$G$45:$M$45)),AS55+1,AS55)</f>
        <v>2</v>
      </c>
      <c r="AT56" s="495">
        <f ca="1">IF(AS56&lt;&gt;AS55,1,IF(AV55&gt;=SUMIF(NameConv!$C$5:$C$45,RIGHT(E55,3),NameConv!$CG$5:$CG$45),AT55+1,AT55))</f>
        <v>1</v>
      </c>
      <c r="AU56" s="495">
        <f ca="1">SUMIF(NameConv!$C$5:$C$45,RIGHT(E56,3),OFFSET(NameConv!$CG$5,0,AV56,NameConv!$A$45,1))</f>
        <v>2</v>
      </c>
      <c r="AV56" s="495">
        <f ca="1">IF(AV55&gt;=SUMIF(NameConv!$C$5:$C$45,RIGHT(E55,3),NameConv!$CG$5:$CG$45),1,AV55+1)</f>
        <v>2</v>
      </c>
    </row>
    <row r="57" spans="1:48">
      <c r="A57" s="422" t="str">
        <f t="shared" ca="1" si="1"/>
        <v/>
      </c>
      <c r="B57" s="515" t="str">
        <f t="shared" si="0"/>
        <v>FLO_EMIS</v>
      </c>
      <c r="C57" s="518" t="str">
        <f ca="1">"X"&amp;OFFSET(NameConv!$F$4,0,AS57)&amp;OFFSET(NameConv!$F$59,AT57,AS57)</f>
        <v>XCOMCOA</v>
      </c>
      <c r="D57" s="515" t="str">
        <f ca="1">OFFSET(NameConv!$F$4,0,AS57)&amp;OFFSET(NameConv!$AX$4,0,AU57)</f>
        <v>COMN2OS</v>
      </c>
      <c r="E57" s="515" t="str">
        <f ca="1">OFFSET(NameConv!$F$4,0,AS57)&amp;OFFSET(NameConv!$F$59,AT57,AS57)</f>
        <v>COMCOA</v>
      </c>
      <c r="F57" s="740" t="s">
        <v>334</v>
      </c>
      <c r="G57" s="515" t="s">
        <v>337</v>
      </c>
      <c r="H57" s="740" t="s">
        <v>334</v>
      </c>
      <c r="I57" s="516">
        <v>0</v>
      </c>
      <c r="J57" s="517">
        <f ca="1">IF(E57="TRAOKE",0,SUMIF(NameConv!$C$5:$C$45,RIGHT(E57,3),OFFSET(NameConv!$AX$5,0,AU57,NameConv!$A$45,1)))</f>
        <v>1.4E-3</v>
      </c>
      <c r="K57" s="518"/>
      <c r="L57" s="518"/>
      <c r="M57" s="518"/>
      <c r="N57" s="518"/>
      <c r="O57" s="518"/>
      <c r="P57" s="518"/>
      <c r="Q57" s="518"/>
      <c r="R57" s="518"/>
      <c r="S57" s="518"/>
      <c r="T57" s="518"/>
      <c r="U57" s="518"/>
      <c r="V57" s="518"/>
      <c r="W57" s="518"/>
      <c r="X57" s="518"/>
      <c r="Y57" s="518"/>
      <c r="Z57" s="518"/>
      <c r="AA57" s="518"/>
      <c r="AB57" s="518"/>
      <c r="AC57" s="518"/>
      <c r="AD57" s="518"/>
      <c r="AE57" s="518"/>
      <c r="AF57" s="518"/>
      <c r="AG57" s="518"/>
      <c r="AH57" s="518"/>
      <c r="AI57" s="518"/>
      <c r="AJ57" s="518"/>
      <c r="AK57" s="518"/>
      <c r="AL57" s="518"/>
      <c r="AM57" s="518"/>
      <c r="AN57" s="518"/>
      <c r="AO57" s="518"/>
      <c r="AP57" s="518"/>
      <c r="AQ57" s="518"/>
      <c r="AR57" s="518"/>
      <c r="AS57" s="495">
        <f ca="1">IF(AND(AV56&gt;=SUMIF(NameConv!$C$5:$C$45,RIGHT(E56,3),NameConv!$CG$5:$CG$45),AT56=SUMIF(NameConv!$G$4:$M$4,LEFT(E56,3),NameConv!$G$45:$M$45)),AS56+1,AS56)</f>
        <v>2</v>
      </c>
      <c r="AT57" s="495">
        <f ca="1">IF(AS57&lt;&gt;AS56,1,IF(AV56&gt;=SUMIF(NameConv!$C$5:$C$45,RIGHT(E56,3),NameConv!$CG$5:$CG$45),AT56+1,AT56))</f>
        <v>1</v>
      </c>
      <c r="AU57" s="495">
        <f ca="1">SUMIF(NameConv!$C$5:$C$45,RIGHT(E57,3),OFFSET(NameConv!$CG$5,0,AV57,NameConv!$A$45,1))</f>
        <v>3</v>
      </c>
      <c r="AV57" s="495">
        <f ca="1">IF(AV56&gt;=SUMIF(NameConv!$C$5:$C$45,RIGHT(E56,3),NameConv!$CG$5:$CG$45),1,AV56+1)</f>
        <v>3</v>
      </c>
    </row>
    <row r="58" spans="1:48">
      <c r="A58" s="422" t="str">
        <f t="shared" ca="1" si="1"/>
        <v/>
      </c>
      <c r="B58" s="515" t="str">
        <f t="shared" si="0"/>
        <v>FLO_EMIS</v>
      </c>
      <c r="C58" s="518" t="str">
        <f ca="1">"X"&amp;OFFSET(NameConv!$F$4,0,AS58)&amp;OFFSET(NameConv!$F$59,AT58,AS58)</f>
        <v>XCOMCOA</v>
      </c>
      <c r="D58" s="515" t="str">
        <f ca="1">OFFSET(NameConv!$F$4,0,AS58)&amp;OFFSET(NameConv!$AX$4,0,AU58)</f>
        <v>COMSOXS</v>
      </c>
      <c r="E58" s="515" t="str">
        <f ca="1">OFFSET(NameConv!$F$4,0,AS58)&amp;OFFSET(NameConv!$F$59,AT58,AS58)</f>
        <v>COMCOA</v>
      </c>
      <c r="F58" s="740" t="s">
        <v>334</v>
      </c>
      <c r="G58" s="515" t="s">
        <v>337</v>
      </c>
      <c r="H58" s="740" t="s">
        <v>334</v>
      </c>
      <c r="I58" s="516">
        <v>0</v>
      </c>
      <c r="J58" s="517">
        <f ca="1">IF(E58="TRAOKE",0,SUMIF(NameConv!$C$5:$C$45,RIGHT(E58,3),OFFSET(NameConv!$AX$5,0,AU58,NameConv!$A$45,1)))</f>
        <v>0.62619999999999998</v>
      </c>
      <c r="K58" s="518"/>
      <c r="L58" s="518"/>
      <c r="M58" s="518"/>
      <c r="N58" s="518"/>
      <c r="O58" s="518"/>
      <c r="P58" s="518"/>
      <c r="Q58" s="518"/>
      <c r="R58" s="518"/>
      <c r="S58" s="518"/>
      <c r="T58" s="518"/>
      <c r="U58" s="518"/>
      <c r="V58" s="518"/>
      <c r="W58" s="518"/>
      <c r="X58" s="518"/>
      <c r="Y58" s="518"/>
      <c r="Z58" s="518"/>
      <c r="AA58" s="518"/>
      <c r="AB58" s="518"/>
      <c r="AC58" s="518"/>
      <c r="AD58" s="518"/>
      <c r="AE58" s="518"/>
      <c r="AF58" s="518"/>
      <c r="AG58" s="518"/>
      <c r="AH58" s="518"/>
      <c r="AI58" s="518"/>
      <c r="AJ58" s="518"/>
      <c r="AK58" s="518"/>
      <c r="AL58" s="518"/>
      <c r="AM58" s="518"/>
      <c r="AN58" s="518"/>
      <c r="AO58" s="518"/>
      <c r="AP58" s="518"/>
      <c r="AQ58" s="518"/>
      <c r="AR58" s="518"/>
      <c r="AS58" s="495">
        <f ca="1">IF(AND(AV57&gt;=SUMIF(NameConv!$C$5:$C$45,RIGHT(E57,3),NameConv!$CG$5:$CG$45),AT57=SUMIF(NameConv!$G$4:$M$4,LEFT(E57,3),NameConv!$G$45:$M$45)),AS57+1,AS57)</f>
        <v>2</v>
      </c>
      <c r="AT58" s="495">
        <f ca="1">IF(AS58&lt;&gt;AS57,1,IF(AV57&gt;=SUMIF(NameConv!$C$5:$C$45,RIGHT(E57,3),NameConv!$CG$5:$CG$45),AT57+1,AT57))</f>
        <v>1</v>
      </c>
      <c r="AU58" s="495">
        <f ca="1">SUMIF(NameConv!$C$5:$C$45,RIGHT(E58,3),OFFSET(NameConv!$CG$5,0,AV58,NameConv!$A$45,1))</f>
        <v>4</v>
      </c>
      <c r="AV58" s="495">
        <f ca="1">IF(AV57&gt;=SUMIF(NameConv!$C$5:$C$45,RIGHT(E57,3),NameConv!$CG$5:$CG$45),1,AV57+1)</f>
        <v>4</v>
      </c>
    </row>
    <row r="59" spans="1:48">
      <c r="A59" s="422" t="str">
        <f t="shared" ca="1" si="1"/>
        <v/>
      </c>
      <c r="B59" s="515" t="str">
        <f t="shared" si="0"/>
        <v>FLO_EMIS</v>
      </c>
      <c r="C59" s="518" t="str">
        <f ca="1">"X"&amp;OFFSET(NameConv!$F$4,0,AS59)&amp;OFFSET(NameConv!$F$59,AT59,AS59)</f>
        <v>XCOMCOA</v>
      </c>
      <c r="D59" s="515" t="str">
        <f ca="1">OFFSET(NameConv!$F$4,0,AS59)&amp;OFFSET(NameConv!$AX$4,0,AU59)</f>
        <v>COMNOXS</v>
      </c>
      <c r="E59" s="515" t="str">
        <f ca="1">OFFSET(NameConv!$F$4,0,AS59)&amp;OFFSET(NameConv!$F$59,AT59,AS59)</f>
        <v>COMCOA</v>
      </c>
      <c r="F59" s="740" t="s">
        <v>334</v>
      </c>
      <c r="G59" s="515" t="s">
        <v>337</v>
      </c>
      <c r="H59" s="740" t="s">
        <v>334</v>
      </c>
      <c r="I59" s="516">
        <v>0</v>
      </c>
      <c r="J59" s="517">
        <f ca="1">IF(E59="TRAOKE",0,SUMIF(NameConv!$C$5:$C$45,RIGHT(E59,3),OFFSET(NameConv!$AX$5,0,AU59,NameConv!$A$45,1)))</f>
        <v>0.3</v>
      </c>
      <c r="K59" s="518"/>
      <c r="L59" s="518"/>
      <c r="M59" s="518"/>
      <c r="N59" s="518"/>
      <c r="O59" s="518"/>
      <c r="P59" s="518"/>
      <c r="Q59" s="518"/>
      <c r="R59" s="518"/>
      <c r="S59" s="518"/>
      <c r="T59" s="518"/>
      <c r="U59" s="518"/>
      <c r="V59" s="518"/>
      <c r="W59" s="518"/>
      <c r="X59" s="518"/>
      <c r="Y59" s="518"/>
      <c r="Z59" s="518"/>
      <c r="AA59" s="518"/>
      <c r="AB59" s="518"/>
      <c r="AC59" s="518"/>
      <c r="AD59" s="518"/>
      <c r="AE59" s="518"/>
      <c r="AF59" s="518"/>
      <c r="AG59" s="518"/>
      <c r="AH59" s="518"/>
      <c r="AI59" s="518"/>
      <c r="AJ59" s="518"/>
      <c r="AK59" s="518"/>
      <c r="AL59" s="518"/>
      <c r="AM59" s="518"/>
      <c r="AN59" s="518"/>
      <c r="AO59" s="518"/>
      <c r="AP59" s="518"/>
      <c r="AQ59" s="518"/>
      <c r="AR59" s="518"/>
      <c r="AS59" s="495">
        <f ca="1">IF(AND(AV58&gt;=SUMIF(NameConv!$C$5:$C$45,RIGHT(E58,3),NameConv!$CG$5:$CG$45),AT58=SUMIF(NameConv!$G$4:$M$4,LEFT(E58,3),NameConv!$G$45:$M$45)),AS58+1,AS58)</f>
        <v>2</v>
      </c>
      <c r="AT59" s="495">
        <f ca="1">IF(AS59&lt;&gt;AS58,1,IF(AV58&gt;=SUMIF(NameConv!$C$5:$C$45,RIGHT(E58,3),NameConv!$CG$5:$CG$45),AT58+1,AT58))</f>
        <v>1</v>
      </c>
      <c r="AU59" s="495">
        <f ca="1">SUMIF(NameConv!$C$5:$C$45,RIGHT(E59,3),OFFSET(NameConv!$CG$5,0,AV59,NameConv!$A$45,1))</f>
        <v>5</v>
      </c>
      <c r="AV59" s="495">
        <f ca="1">IF(AV58&gt;=SUMIF(NameConv!$C$5:$C$45,RIGHT(E58,3),NameConv!$CG$5:$CG$45),1,AV58+1)</f>
        <v>5</v>
      </c>
    </row>
    <row r="60" spans="1:48">
      <c r="A60" s="422" t="str">
        <f t="shared" ca="1" si="1"/>
        <v/>
      </c>
      <c r="B60" s="515" t="str">
        <f t="shared" si="0"/>
        <v>FLO_EMIS</v>
      </c>
      <c r="C60" s="518" t="str">
        <f ca="1">"X"&amp;OFFSET(NameConv!$F$4,0,AS60)&amp;OFFSET(NameConv!$F$59,AT60,AS60)</f>
        <v>XCOMCOA</v>
      </c>
      <c r="D60" s="515" t="str">
        <f ca="1">OFFSET(NameConv!$F$4,0,AS60)&amp;OFFSET(NameConv!$AX$4,0,AU60)</f>
        <v>COMCMOX</v>
      </c>
      <c r="E60" s="515" t="str">
        <f ca="1">OFFSET(NameConv!$F$4,0,AS60)&amp;OFFSET(NameConv!$F$59,AT60,AS60)</f>
        <v>COMCOA</v>
      </c>
      <c r="F60" s="740" t="s">
        <v>334</v>
      </c>
      <c r="G60" s="515" t="s">
        <v>337</v>
      </c>
      <c r="H60" s="740" t="s">
        <v>334</v>
      </c>
      <c r="I60" s="516">
        <v>0</v>
      </c>
      <c r="J60" s="517">
        <f ca="1">IF(E60="TRAOKE",0,SUMIF(NameConv!$C$5:$C$45,RIGHT(E60,3),OFFSET(NameConv!$AX$5,0,AU60,NameConv!$A$45,1)))</f>
        <v>0.02</v>
      </c>
      <c r="K60" s="518"/>
      <c r="L60" s="518"/>
      <c r="M60" s="518"/>
      <c r="N60" s="518"/>
      <c r="O60" s="518"/>
      <c r="P60" s="518"/>
      <c r="Q60" s="518"/>
      <c r="R60" s="518"/>
      <c r="S60" s="518"/>
      <c r="T60" s="518"/>
      <c r="U60" s="518"/>
      <c r="V60" s="518"/>
      <c r="W60" s="518"/>
      <c r="X60" s="518"/>
      <c r="Y60" s="518"/>
      <c r="Z60" s="518"/>
      <c r="AA60" s="518"/>
      <c r="AB60" s="518"/>
      <c r="AC60" s="518"/>
      <c r="AD60" s="518"/>
      <c r="AE60" s="518"/>
      <c r="AF60" s="518"/>
      <c r="AG60" s="518"/>
      <c r="AH60" s="518"/>
      <c r="AI60" s="518"/>
      <c r="AJ60" s="518"/>
      <c r="AK60" s="518"/>
      <c r="AL60" s="518"/>
      <c r="AM60" s="518"/>
      <c r="AN60" s="518"/>
      <c r="AO60" s="518"/>
      <c r="AP60" s="518"/>
      <c r="AQ60" s="518"/>
      <c r="AR60" s="518"/>
      <c r="AS60" s="495">
        <f ca="1">IF(AND(AV59&gt;=SUMIF(NameConv!$C$5:$C$45,RIGHT(E59,3),NameConv!$CG$5:$CG$45),AT59=SUMIF(NameConv!$G$4:$M$4,LEFT(E59,3),NameConv!$G$45:$M$45)),AS59+1,AS59)</f>
        <v>2</v>
      </c>
      <c r="AT60" s="495">
        <f ca="1">IF(AS60&lt;&gt;AS59,1,IF(AV59&gt;=SUMIF(NameConv!$C$5:$C$45,RIGHT(E59,3),NameConv!$CG$5:$CG$45),AT59+1,AT59))</f>
        <v>1</v>
      </c>
      <c r="AU60" s="495">
        <f ca="1">SUMIF(NameConv!$C$5:$C$45,RIGHT(E60,3),OFFSET(NameConv!$CG$5,0,AV60,NameConv!$A$45,1))</f>
        <v>6</v>
      </c>
      <c r="AV60" s="495">
        <f ca="1">IF(AV59&gt;=SUMIF(NameConv!$C$5:$C$45,RIGHT(E59,3),NameConv!$CG$5:$CG$45),1,AV59+1)</f>
        <v>6</v>
      </c>
    </row>
    <row r="61" spans="1:48">
      <c r="A61" s="422" t="str">
        <f t="shared" ca="1" si="1"/>
        <v/>
      </c>
      <c r="B61" s="515" t="str">
        <f t="shared" si="0"/>
        <v>FLO_EMIS</v>
      </c>
      <c r="C61" s="518" t="str">
        <f ca="1">"X"&amp;OFFSET(NameConv!$F$4,0,AS61)&amp;OFFSET(NameConv!$F$59,AT61,AS61)</f>
        <v>XCOMCOA</v>
      </c>
      <c r="D61" s="515" t="str">
        <f ca="1">OFFSET(NameConv!$F$4,0,AS61)&amp;OFFSET(NameConv!$AX$4,0,AU61)</f>
        <v>COMNMVS</v>
      </c>
      <c r="E61" s="515" t="str">
        <f ca="1">OFFSET(NameConv!$F$4,0,AS61)&amp;OFFSET(NameConv!$F$59,AT61,AS61)</f>
        <v>COMCOA</v>
      </c>
      <c r="F61" s="740" t="s">
        <v>334</v>
      </c>
      <c r="G61" s="515" t="s">
        <v>337</v>
      </c>
      <c r="H61" s="740" t="s">
        <v>334</v>
      </c>
      <c r="I61" s="516">
        <v>0</v>
      </c>
      <c r="J61" s="517">
        <f ca="1">IF(E61="TRAOKE",0,SUMIF(NameConv!$C$5:$C$45,RIGHT(E61,3),OFFSET(NameConv!$AX$5,0,AU61,NameConv!$A$45,1)))</f>
        <v>5.0000000000000001E-3</v>
      </c>
      <c r="K61" s="518"/>
      <c r="L61" s="518"/>
      <c r="M61" s="518"/>
      <c r="N61" s="518"/>
      <c r="O61" s="518"/>
      <c r="P61" s="518"/>
      <c r="Q61" s="518"/>
      <c r="R61" s="518"/>
      <c r="S61" s="518"/>
      <c r="T61" s="518"/>
      <c r="U61" s="518"/>
      <c r="V61" s="518"/>
      <c r="W61" s="518"/>
      <c r="X61" s="518"/>
      <c r="Y61" s="518"/>
      <c r="Z61" s="518"/>
      <c r="AA61" s="518"/>
      <c r="AB61" s="518"/>
      <c r="AC61" s="518"/>
      <c r="AD61" s="518"/>
      <c r="AE61" s="518"/>
      <c r="AF61" s="518"/>
      <c r="AG61" s="518"/>
      <c r="AH61" s="518"/>
      <c r="AI61" s="518"/>
      <c r="AJ61" s="518"/>
      <c r="AK61" s="518"/>
      <c r="AL61" s="518"/>
      <c r="AM61" s="518"/>
      <c r="AN61" s="518"/>
      <c r="AO61" s="518"/>
      <c r="AP61" s="518"/>
      <c r="AQ61" s="518"/>
      <c r="AR61" s="518"/>
      <c r="AS61" s="495">
        <f ca="1">IF(AND(AV60&gt;=SUMIF(NameConv!$C$5:$C$45,RIGHT(E60,3),NameConv!$CG$5:$CG$45),AT60=SUMIF(NameConv!$G$4:$M$4,LEFT(E60,3),NameConv!$G$45:$M$45)),AS60+1,AS60)</f>
        <v>2</v>
      </c>
      <c r="AT61" s="495">
        <f ca="1">IF(AS61&lt;&gt;AS60,1,IF(AV60&gt;=SUMIF(NameConv!$C$5:$C$45,RIGHT(E60,3),NameConv!$CG$5:$CG$45),AT60+1,AT60))</f>
        <v>1</v>
      </c>
      <c r="AU61" s="495">
        <f ca="1">SUMIF(NameConv!$C$5:$C$45,RIGHT(E61,3),OFFSET(NameConv!$CG$5,0,AV61,NameConv!$A$45,1))</f>
        <v>7</v>
      </c>
      <c r="AV61" s="495">
        <f ca="1">IF(AV60&gt;=SUMIF(NameConv!$C$5:$C$45,RIGHT(E60,3),NameConv!$CG$5:$CG$45),1,AV60+1)</f>
        <v>7</v>
      </c>
    </row>
    <row r="62" spans="1:48">
      <c r="A62" s="422" t="str">
        <f t="shared" ca="1" si="1"/>
        <v>*</v>
      </c>
      <c r="B62" s="515" t="str">
        <f t="shared" si="0"/>
        <v>FLO_EMIS</v>
      </c>
      <c r="C62" s="518" t="str">
        <f ca="1">"X"&amp;OFFSET(NameConv!$F$4,0,AS62)&amp;OFFSET(NameConv!$F$59,AT62,AS62)</f>
        <v>XCOMELC</v>
      </c>
      <c r="D62" s="515" t="str">
        <f ca="1">OFFSET(NameConv!$F$4,0,AS62)&amp;OFFSET(NameConv!$AX$4,0,AU62)</f>
        <v>COM</v>
      </c>
      <c r="E62" s="515" t="str">
        <f ca="1">OFFSET(NameConv!$F$4,0,AS62)&amp;OFFSET(NameConv!$F$59,AT62,AS62)</f>
        <v>COMELC</v>
      </c>
      <c r="F62" s="740" t="s">
        <v>334</v>
      </c>
      <c r="G62" s="515" t="s">
        <v>337</v>
      </c>
      <c r="H62" s="740" t="s">
        <v>334</v>
      </c>
      <c r="I62" s="516">
        <v>0</v>
      </c>
      <c r="J62" s="517">
        <f ca="1">IF(E62="TRAOKE",0,SUMIF(NameConv!$C$5:$C$45,RIGHT(E62,3),OFFSET(NameConv!$AX$5,0,AU62,NameConv!$A$45,1)))</f>
        <v>0</v>
      </c>
      <c r="K62" s="518"/>
      <c r="L62" s="518"/>
      <c r="M62" s="518"/>
      <c r="N62" s="518"/>
      <c r="O62" s="518"/>
      <c r="P62" s="518"/>
      <c r="Q62" s="518"/>
      <c r="R62" s="518"/>
      <c r="S62" s="518"/>
      <c r="T62" s="518"/>
      <c r="U62" s="518"/>
      <c r="V62" s="518"/>
      <c r="W62" s="518"/>
      <c r="X62" s="518"/>
      <c r="Y62" s="518"/>
      <c r="Z62" s="518"/>
      <c r="AA62" s="518"/>
      <c r="AB62" s="518"/>
      <c r="AC62" s="518"/>
      <c r="AD62" s="518"/>
      <c r="AE62" s="518"/>
      <c r="AF62" s="518"/>
      <c r="AG62" s="518"/>
      <c r="AH62" s="518"/>
      <c r="AI62" s="518"/>
      <c r="AJ62" s="518"/>
      <c r="AK62" s="518"/>
      <c r="AL62" s="518"/>
      <c r="AM62" s="518"/>
      <c r="AN62" s="518"/>
      <c r="AO62" s="518"/>
      <c r="AP62" s="518"/>
      <c r="AQ62" s="518"/>
      <c r="AR62" s="518"/>
      <c r="AS62" s="495">
        <f ca="1">IF(AND(AV61&gt;=SUMIF(NameConv!$C$5:$C$45,RIGHT(E61,3),NameConv!$CG$5:$CG$45),AT61=SUMIF(NameConv!$G$4:$M$4,LEFT(E61,3),NameConv!$G$45:$M$45)),AS61+1,AS61)</f>
        <v>2</v>
      </c>
      <c r="AT62" s="495">
        <f ca="1">IF(AS62&lt;&gt;AS61,1,IF(AV61&gt;=SUMIF(NameConv!$C$5:$C$45,RIGHT(E61,3),NameConv!$CG$5:$CG$45),AT61+1,AT61))</f>
        <v>2</v>
      </c>
      <c r="AU62" s="495">
        <f ca="1">SUMIF(NameConv!$C$5:$C$45,RIGHT(E62,3),OFFSET(NameConv!$CG$5,0,AV62,NameConv!$A$45,1))</f>
        <v>0</v>
      </c>
      <c r="AV62" s="495">
        <f ca="1">IF(AV61&gt;=SUMIF(NameConv!$C$5:$C$45,RIGHT(E61,3),NameConv!$CG$5:$CG$45),1,AV61+1)</f>
        <v>1</v>
      </c>
    </row>
    <row r="63" spans="1:48">
      <c r="A63" s="422" t="str">
        <f t="shared" ca="1" si="1"/>
        <v/>
      </c>
      <c r="B63" s="515" t="str">
        <f t="shared" si="0"/>
        <v>FLO_EMIS</v>
      </c>
      <c r="C63" s="518" t="str">
        <f ca="1">"X"&amp;OFFSET(NameConv!$F$4,0,AS63)&amp;OFFSET(NameConv!$F$59,AT63,AS63)</f>
        <v>XCOMGAS</v>
      </c>
      <c r="D63" s="515" t="str">
        <f ca="1">OFFSET(NameConv!$F$4,0,AS63)&amp;OFFSET(NameConv!$AX$4,0,AU63)</f>
        <v>COMCO2S</v>
      </c>
      <c r="E63" s="515" t="str">
        <f ca="1">OFFSET(NameConv!$F$4,0,AS63)&amp;OFFSET(NameConv!$F$59,AT63,AS63)</f>
        <v>COMGAS</v>
      </c>
      <c r="F63" s="740" t="s">
        <v>334</v>
      </c>
      <c r="G63" s="515" t="s">
        <v>337</v>
      </c>
      <c r="H63" s="740" t="s">
        <v>334</v>
      </c>
      <c r="I63" s="516">
        <v>0</v>
      </c>
      <c r="J63" s="517">
        <f ca="1">IF(E63="TRAOKE",0,SUMIF(NameConv!$C$5:$C$45,RIGHT(E63,3),OFFSET(NameConv!$AX$5,0,AU63,NameConv!$A$45,1)))</f>
        <v>56.1</v>
      </c>
      <c r="K63" s="518"/>
      <c r="L63" s="518"/>
      <c r="M63" s="518"/>
      <c r="N63" s="518"/>
      <c r="O63" s="518"/>
      <c r="P63" s="518"/>
      <c r="Q63" s="518"/>
      <c r="R63" s="518"/>
      <c r="S63" s="518"/>
      <c r="T63" s="518"/>
      <c r="U63" s="518"/>
      <c r="V63" s="518"/>
      <c r="W63" s="518"/>
      <c r="X63" s="518"/>
      <c r="Y63" s="518"/>
      <c r="Z63" s="518"/>
      <c r="AA63" s="518"/>
      <c r="AB63" s="518"/>
      <c r="AC63" s="518"/>
      <c r="AD63" s="518"/>
      <c r="AE63" s="518"/>
      <c r="AF63" s="518"/>
      <c r="AG63" s="518"/>
      <c r="AH63" s="518"/>
      <c r="AI63" s="518"/>
      <c r="AJ63" s="518"/>
      <c r="AK63" s="518"/>
      <c r="AL63" s="518"/>
      <c r="AM63" s="518"/>
      <c r="AN63" s="518"/>
      <c r="AO63" s="518"/>
      <c r="AP63" s="518"/>
      <c r="AQ63" s="518"/>
      <c r="AR63" s="518"/>
      <c r="AS63" s="495">
        <f ca="1">IF(AND(AV62&gt;=SUMIF(NameConv!$C$5:$C$45,RIGHT(E62,3),NameConv!$CG$5:$CG$45),AT62=SUMIF(NameConv!$G$4:$M$4,LEFT(E62,3),NameConv!$G$45:$M$45)),AS62+1,AS62)</f>
        <v>2</v>
      </c>
      <c r="AT63" s="495">
        <f ca="1">IF(AS63&lt;&gt;AS62,1,IF(AV62&gt;=SUMIF(NameConv!$C$5:$C$45,RIGHT(E62,3),NameConv!$CG$5:$CG$45),AT62+1,AT62))</f>
        <v>3</v>
      </c>
      <c r="AU63" s="495">
        <f ca="1">SUMIF(NameConv!$C$5:$C$45,RIGHT(E63,3),OFFSET(NameConv!$CG$5,0,AV63,NameConv!$A$45,1))</f>
        <v>1</v>
      </c>
      <c r="AV63" s="495">
        <f ca="1">IF(AV62&gt;=SUMIF(NameConv!$C$5:$C$45,RIGHT(E62,3),NameConv!$CG$5:$CG$45),1,AV62+1)</f>
        <v>1</v>
      </c>
    </row>
    <row r="64" spans="1:48">
      <c r="A64" s="422" t="str">
        <f t="shared" ca="1" si="1"/>
        <v/>
      </c>
      <c r="B64" s="515" t="str">
        <f t="shared" si="0"/>
        <v>FLO_EMIS</v>
      </c>
      <c r="C64" s="518" t="str">
        <f ca="1">"X"&amp;OFFSET(NameConv!$F$4,0,AS64)&amp;OFFSET(NameConv!$F$59,AT64,AS64)</f>
        <v>XCOMGAS</v>
      </c>
      <c r="D64" s="515" t="str">
        <f ca="1">OFFSET(NameConv!$F$4,0,AS64)&amp;OFFSET(NameConv!$AX$4,0,AU64)</f>
        <v>COMCH4S</v>
      </c>
      <c r="E64" s="515" t="str">
        <f ca="1">OFFSET(NameConv!$F$4,0,AS64)&amp;OFFSET(NameConv!$F$59,AT64,AS64)</f>
        <v>COMGAS</v>
      </c>
      <c r="F64" s="740" t="s">
        <v>334</v>
      </c>
      <c r="G64" s="515" t="s">
        <v>337</v>
      </c>
      <c r="H64" s="740" t="s">
        <v>334</v>
      </c>
      <c r="I64" s="516">
        <v>0</v>
      </c>
      <c r="J64" s="517">
        <f ca="1">IF(E64="TRAOKE",0,SUMIF(NameConv!$C$5:$C$45,RIGHT(E64,3),OFFSET(NameConv!$AX$5,0,AU64,NameConv!$A$45,1)))</f>
        <v>1E-3</v>
      </c>
      <c r="K64" s="518"/>
      <c r="L64" s="518"/>
      <c r="M64" s="518"/>
      <c r="N64" s="518"/>
      <c r="O64" s="518"/>
      <c r="P64" s="518"/>
      <c r="Q64" s="518"/>
      <c r="R64" s="518"/>
      <c r="S64" s="518"/>
      <c r="T64" s="518"/>
      <c r="U64" s="518"/>
      <c r="V64" s="518"/>
      <c r="W64" s="518"/>
      <c r="X64" s="518"/>
      <c r="Y64" s="518"/>
      <c r="Z64" s="518"/>
      <c r="AA64" s="518"/>
      <c r="AB64" s="518"/>
      <c r="AC64" s="518"/>
      <c r="AD64" s="518"/>
      <c r="AE64" s="518"/>
      <c r="AF64" s="518"/>
      <c r="AG64" s="518"/>
      <c r="AH64" s="518"/>
      <c r="AI64" s="518"/>
      <c r="AJ64" s="518"/>
      <c r="AK64" s="518"/>
      <c r="AL64" s="518"/>
      <c r="AM64" s="518"/>
      <c r="AN64" s="518"/>
      <c r="AO64" s="518"/>
      <c r="AP64" s="518"/>
      <c r="AQ64" s="518"/>
      <c r="AR64" s="518"/>
      <c r="AS64" s="495">
        <f ca="1">IF(AND(AV63&gt;=SUMIF(NameConv!$C$5:$C$45,RIGHT(E63,3),NameConv!$CG$5:$CG$45),AT63=SUMIF(NameConv!$G$4:$M$4,LEFT(E63,3),NameConv!$G$45:$M$45)),AS63+1,AS63)</f>
        <v>2</v>
      </c>
      <c r="AT64" s="495">
        <f ca="1">IF(AS64&lt;&gt;AS63,1,IF(AV63&gt;=SUMIF(NameConv!$C$5:$C$45,RIGHT(E63,3),NameConv!$CG$5:$CG$45),AT63+1,AT63))</f>
        <v>3</v>
      </c>
      <c r="AU64" s="495">
        <f ca="1">SUMIF(NameConv!$C$5:$C$45,RIGHT(E64,3),OFFSET(NameConv!$CG$5,0,AV64,NameConv!$A$45,1))</f>
        <v>2</v>
      </c>
      <c r="AV64" s="495">
        <f ca="1">IF(AV63&gt;=SUMIF(NameConv!$C$5:$C$45,RIGHT(E63,3),NameConv!$CG$5:$CG$45),1,AV63+1)</f>
        <v>2</v>
      </c>
    </row>
    <row r="65" spans="1:48">
      <c r="A65" s="422" t="str">
        <f t="shared" ca="1" si="1"/>
        <v/>
      </c>
      <c r="B65" s="515" t="str">
        <f t="shared" si="0"/>
        <v>FLO_EMIS</v>
      </c>
      <c r="C65" s="518" t="str">
        <f ca="1">"X"&amp;OFFSET(NameConv!$F$4,0,AS65)&amp;OFFSET(NameConv!$F$59,AT65,AS65)</f>
        <v>XCOMGAS</v>
      </c>
      <c r="D65" s="515" t="str">
        <f ca="1">OFFSET(NameConv!$F$4,0,AS65)&amp;OFFSET(NameConv!$AX$4,0,AU65)</f>
        <v>COMN2OS</v>
      </c>
      <c r="E65" s="515" t="str">
        <f ca="1">OFFSET(NameConv!$F$4,0,AS65)&amp;OFFSET(NameConv!$F$59,AT65,AS65)</f>
        <v>COMGAS</v>
      </c>
      <c r="F65" s="740" t="s">
        <v>334</v>
      </c>
      <c r="G65" s="515" t="s">
        <v>337</v>
      </c>
      <c r="H65" s="740" t="s">
        <v>334</v>
      </c>
      <c r="I65" s="516">
        <v>0</v>
      </c>
      <c r="J65" s="517">
        <f ca="1">IF(E65="TRAOKE",0,SUMIF(NameConv!$C$5:$C$45,RIGHT(E65,3),OFFSET(NameConv!$AX$5,0,AU65,NameConv!$A$45,1)))</f>
        <v>1E-4</v>
      </c>
      <c r="K65" s="518"/>
      <c r="L65" s="518"/>
      <c r="M65" s="518"/>
      <c r="N65" s="518"/>
      <c r="O65" s="518"/>
      <c r="P65" s="518"/>
      <c r="Q65" s="518"/>
      <c r="R65" s="518"/>
      <c r="S65" s="518"/>
      <c r="T65" s="518"/>
      <c r="U65" s="518"/>
      <c r="V65" s="518"/>
      <c r="W65" s="518"/>
      <c r="X65" s="518"/>
      <c r="Y65" s="518"/>
      <c r="Z65" s="518"/>
      <c r="AA65" s="518"/>
      <c r="AB65" s="518"/>
      <c r="AC65" s="518"/>
      <c r="AD65" s="518"/>
      <c r="AE65" s="518"/>
      <c r="AF65" s="518"/>
      <c r="AG65" s="518"/>
      <c r="AH65" s="518"/>
      <c r="AI65" s="518"/>
      <c r="AJ65" s="518"/>
      <c r="AK65" s="518"/>
      <c r="AL65" s="518"/>
      <c r="AM65" s="518"/>
      <c r="AN65" s="518"/>
      <c r="AO65" s="518"/>
      <c r="AP65" s="518"/>
      <c r="AQ65" s="518"/>
      <c r="AR65" s="518"/>
      <c r="AS65" s="495">
        <f ca="1">IF(AND(AV64&gt;=SUMIF(NameConv!$C$5:$C$45,RIGHT(E64,3),NameConv!$CG$5:$CG$45),AT64=SUMIF(NameConv!$G$4:$M$4,LEFT(E64,3),NameConv!$G$45:$M$45)),AS64+1,AS64)</f>
        <v>2</v>
      </c>
      <c r="AT65" s="495">
        <f ca="1">IF(AS65&lt;&gt;AS64,1,IF(AV64&gt;=SUMIF(NameConv!$C$5:$C$45,RIGHT(E64,3),NameConv!$CG$5:$CG$45),AT64+1,AT64))</f>
        <v>3</v>
      </c>
      <c r="AU65" s="495">
        <f ca="1">SUMIF(NameConv!$C$5:$C$45,RIGHT(E65,3),OFFSET(NameConv!$CG$5,0,AV65,NameConv!$A$45,1))</f>
        <v>3</v>
      </c>
      <c r="AV65" s="495">
        <f ca="1">IF(AV64&gt;=SUMIF(NameConv!$C$5:$C$45,RIGHT(E64,3),NameConv!$CG$5:$CG$45),1,AV64+1)</f>
        <v>3</v>
      </c>
    </row>
    <row r="66" spans="1:48">
      <c r="A66" s="422" t="str">
        <f t="shared" ca="1" si="1"/>
        <v/>
      </c>
      <c r="B66" s="515" t="str">
        <f t="shared" si="0"/>
        <v>FLO_EMIS</v>
      </c>
      <c r="C66" s="518" t="str">
        <f ca="1">"X"&amp;OFFSET(NameConv!$F$4,0,AS66)&amp;OFFSET(NameConv!$F$59,AT66,AS66)</f>
        <v>XCOMGAS</v>
      </c>
      <c r="D66" s="515" t="str">
        <f ca="1">OFFSET(NameConv!$F$4,0,AS66)&amp;OFFSET(NameConv!$AX$4,0,AU66)</f>
        <v>COMNOXS</v>
      </c>
      <c r="E66" s="515" t="str">
        <f ca="1">OFFSET(NameConv!$F$4,0,AS66)&amp;OFFSET(NameConv!$F$59,AT66,AS66)</f>
        <v>COMGAS</v>
      </c>
      <c r="F66" s="740" t="s">
        <v>334</v>
      </c>
      <c r="G66" s="515" t="s">
        <v>337</v>
      </c>
      <c r="H66" s="740" t="s">
        <v>334</v>
      </c>
      <c r="I66" s="516">
        <v>0</v>
      </c>
      <c r="J66" s="517">
        <f ca="1">IF(E66="TRAOKE",0,SUMIF(NameConv!$C$5:$C$45,RIGHT(E66,3),OFFSET(NameConv!$AX$5,0,AU66,NameConv!$A$45,1)))</f>
        <v>0.15</v>
      </c>
      <c r="K66" s="518"/>
      <c r="L66" s="518"/>
      <c r="M66" s="518"/>
      <c r="N66" s="518"/>
      <c r="O66" s="518"/>
      <c r="P66" s="518"/>
      <c r="Q66" s="518"/>
      <c r="R66" s="518"/>
      <c r="S66" s="518"/>
      <c r="T66" s="518"/>
      <c r="U66" s="518"/>
      <c r="V66" s="518"/>
      <c r="W66" s="518"/>
      <c r="X66" s="518"/>
      <c r="Y66" s="518"/>
      <c r="Z66" s="518"/>
      <c r="AA66" s="518"/>
      <c r="AB66" s="518"/>
      <c r="AC66" s="518"/>
      <c r="AD66" s="518"/>
      <c r="AE66" s="518"/>
      <c r="AF66" s="518"/>
      <c r="AG66" s="518"/>
      <c r="AH66" s="518"/>
      <c r="AI66" s="518"/>
      <c r="AJ66" s="518"/>
      <c r="AK66" s="518"/>
      <c r="AL66" s="518"/>
      <c r="AM66" s="518"/>
      <c r="AN66" s="518"/>
      <c r="AO66" s="518"/>
      <c r="AP66" s="518"/>
      <c r="AQ66" s="518"/>
      <c r="AR66" s="518"/>
      <c r="AS66" s="495">
        <f ca="1">IF(AND(AV65&gt;=SUMIF(NameConv!$C$5:$C$45,RIGHT(E65,3),NameConv!$CG$5:$CG$45),AT65=SUMIF(NameConv!$G$4:$M$4,LEFT(E65,3),NameConv!$G$45:$M$45)),AS65+1,AS65)</f>
        <v>2</v>
      </c>
      <c r="AT66" s="495">
        <f ca="1">IF(AS66&lt;&gt;AS65,1,IF(AV65&gt;=SUMIF(NameConv!$C$5:$C$45,RIGHT(E65,3),NameConv!$CG$5:$CG$45),AT65+1,AT65))</f>
        <v>3</v>
      </c>
      <c r="AU66" s="495">
        <f ca="1">SUMIF(NameConv!$C$5:$C$45,RIGHT(E66,3),OFFSET(NameConv!$CG$5,0,AV66,NameConv!$A$45,1))</f>
        <v>5</v>
      </c>
      <c r="AV66" s="495">
        <f ca="1">IF(AV65&gt;=SUMIF(NameConv!$C$5:$C$45,RIGHT(E65,3),NameConv!$CG$5:$CG$45),1,AV65+1)</f>
        <v>4</v>
      </c>
    </row>
    <row r="67" spans="1:48">
      <c r="A67" s="422" t="str">
        <f t="shared" ca="1" si="1"/>
        <v/>
      </c>
      <c r="B67" s="515" t="str">
        <f t="shared" si="0"/>
        <v>FLO_EMIS</v>
      </c>
      <c r="C67" s="518" t="str">
        <f ca="1">"X"&amp;OFFSET(NameConv!$F$4,0,AS67)&amp;OFFSET(NameConv!$F$59,AT67,AS67)</f>
        <v>XCOMGAS</v>
      </c>
      <c r="D67" s="515" t="str">
        <f ca="1">OFFSET(NameConv!$F$4,0,AS67)&amp;OFFSET(NameConv!$AX$4,0,AU67)</f>
        <v>COMCMOX</v>
      </c>
      <c r="E67" s="515" t="str">
        <f ca="1">OFFSET(NameConv!$F$4,0,AS67)&amp;OFFSET(NameConv!$F$59,AT67,AS67)</f>
        <v>COMGAS</v>
      </c>
      <c r="F67" s="740" t="s">
        <v>334</v>
      </c>
      <c r="G67" s="515" t="s">
        <v>337</v>
      </c>
      <c r="H67" s="740" t="s">
        <v>334</v>
      </c>
      <c r="I67" s="516">
        <v>0</v>
      </c>
      <c r="J67" s="517">
        <f ca="1">IF(E67="TRAOKE",0,SUMIF(NameConv!$C$5:$C$45,RIGHT(E67,3),OFFSET(NameConv!$AX$5,0,AU67,NameConv!$A$45,1)))</f>
        <v>0.02</v>
      </c>
      <c r="K67" s="518"/>
      <c r="L67" s="518"/>
      <c r="M67" s="518"/>
      <c r="N67" s="518"/>
      <c r="O67" s="518"/>
      <c r="P67" s="518"/>
      <c r="Q67" s="518"/>
      <c r="R67" s="518"/>
      <c r="S67" s="518"/>
      <c r="T67" s="518"/>
      <c r="U67" s="518"/>
      <c r="V67" s="518"/>
      <c r="W67" s="518"/>
      <c r="X67" s="518"/>
      <c r="Y67" s="518"/>
      <c r="Z67" s="518"/>
      <c r="AA67" s="518"/>
      <c r="AB67" s="518"/>
      <c r="AC67" s="518"/>
      <c r="AD67" s="518"/>
      <c r="AE67" s="518"/>
      <c r="AF67" s="518"/>
      <c r="AG67" s="518"/>
      <c r="AH67" s="518"/>
      <c r="AI67" s="518"/>
      <c r="AJ67" s="518"/>
      <c r="AK67" s="518"/>
      <c r="AL67" s="518"/>
      <c r="AM67" s="518"/>
      <c r="AN67" s="518"/>
      <c r="AO67" s="518"/>
      <c r="AP67" s="518"/>
      <c r="AQ67" s="518"/>
      <c r="AR67" s="518"/>
      <c r="AS67" s="495">
        <f ca="1">IF(AND(AV66&gt;=SUMIF(NameConv!$C$5:$C$45,RIGHT(E66,3),NameConv!$CG$5:$CG$45),AT66=SUMIF(NameConv!$G$4:$M$4,LEFT(E66,3),NameConv!$G$45:$M$45)),AS66+1,AS66)</f>
        <v>2</v>
      </c>
      <c r="AT67" s="495">
        <f ca="1">IF(AS67&lt;&gt;AS66,1,IF(AV66&gt;=SUMIF(NameConv!$C$5:$C$45,RIGHT(E66,3),NameConv!$CG$5:$CG$45),AT66+1,AT66))</f>
        <v>3</v>
      </c>
      <c r="AU67" s="495">
        <f ca="1">SUMIF(NameConv!$C$5:$C$45,RIGHT(E67,3),OFFSET(NameConv!$CG$5,0,AV67,NameConv!$A$45,1))</f>
        <v>6</v>
      </c>
      <c r="AV67" s="495">
        <f ca="1">IF(AV66&gt;=SUMIF(NameConv!$C$5:$C$45,RIGHT(E66,3),NameConv!$CG$5:$CG$45),1,AV66+1)</f>
        <v>5</v>
      </c>
    </row>
    <row r="68" spans="1:48">
      <c r="A68" s="422" t="str">
        <f t="shared" ca="1" si="1"/>
        <v/>
      </c>
      <c r="B68" s="515" t="str">
        <f t="shared" si="0"/>
        <v>FLO_EMIS</v>
      </c>
      <c r="C68" s="518" t="str">
        <f ca="1">"X"&amp;OFFSET(NameConv!$F$4,0,AS68)&amp;OFFSET(NameConv!$F$59,AT68,AS68)</f>
        <v>XCOMGAS</v>
      </c>
      <c r="D68" s="515" t="str">
        <f ca="1">OFFSET(NameConv!$F$4,0,AS68)&amp;OFFSET(NameConv!$AX$4,0,AU68)</f>
        <v>COMNMVS</v>
      </c>
      <c r="E68" s="515" t="str">
        <f ca="1">OFFSET(NameConv!$F$4,0,AS68)&amp;OFFSET(NameConv!$F$59,AT68,AS68)</f>
        <v>COMGAS</v>
      </c>
      <c r="F68" s="740" t="s">
        <v>334</v>
      </c>
      <c r="G68" s="515" t="s">
        <v>337</v>
      </c>
      <c r="H68" s="740" t="s">
        <v>334</v>
      </c>
      <c r="I68" s="516">
        <v>0</v>
      </c>
      <c r="J68" s="517">
        <f ca="1">IF(E68="TRAOKE",0,SUMIF(NameConv!$C$5:$C$45,RIGHT(E68,3),OFFSET(NameConv!$AX$5,0,AU68,NameConv!$A$45,1)))</f>
        <v>5.0000000000000001E-3</v>
      </c>
      <c r="K68" s="518"/>
      <c r="L68" s="518"/>
      <c r="M68" s="518"/>
      <c r="N68" s="518"/>
      <c r="O68" s="518"/>
      <c r="P68" s="518"/>
      <c r="Q68" s="518"/>
      <c r="R68" s="518"/>
      <c r="S68" s="518"/>
      <c r="T68" s="518"/>
      <c r="U68" s="518"/>
      <c r="V68" s="518"/>
      <c r="W68" s="518"/>
      <c r="X68" s="518"/>
      <c r="Y68" s="518"/>
      <c r="Z68" s="518"/>
      <c r="AA68" s="518"/>
      <c r="AB68" s="518"/>
      <c r="AC68" s="518"/>
      <c r="AD68" s="518"/>
      <c r="AE68" s="518"/>
      <c r="AF68" s="518"/>
      <c r="AG68" s="518"/>
      <c r="AH68" s="518"/>
      <c r="AI68" s="518"/>
      <c r="AJ68" s="518"/>
      <c r="AK68" s="518"/>
      <c r="AL68" s="518"/>
      <c r="AM68" s="518"/>
      <c r="AN68" s="518"/>
      <c r="AO68" s="518"/>
      <c r="AP68" s="518"/>
      <c r="AQ68" s="518"/>
      <c r="AR68" s="518"/>
      <c r="AS68" s="495">
        <f ca="1">IF(AND(AV67&gt;=SUMIF(NameConv!$C$5:$C$45,RIGHT(E67,3),NameConv!$CG$5:$CG$45),AT67=SUMIF(NameConv!$G$4:$M$4,LEFT(E67,3),NameConv!$G$45:$M$45)),AS67+1,AS67)</f>
        <v>2</v>
      </c>
      <c r="AT68" s="495">
        <f ca="1">IF(AS68&lt;&gt;AS67,1,IF(AV67&gt;=SUMIF(NameConv!$C$5:$C$45,RIGHT(E67,3),NameConv!$CG$5:$CG$45),AT67+1,AT67))</f>
        <v>3</v>
      </c>
      <c r="AU68" s="495">
        <f ca="1">SUMIF(NameConv!$C$5:$C$45,RIGHT(E68,3),OFFSET(NameConv!$CG$5,0,AV68,NameConv!$A$45,1))</f>
        <v>7</v>
      </c>
      <c r="AV68" s="495">
        <f ca="1">IF(AV67&gt;=SUMIF(NameConv!$C$5:$C$45,RIGHT(E67,3),NameConv!$CG$5:$CG$45),1,AV67+1)</f>
        <v>6</v>
      </c>
    </row>
    <row r="69" spans="1:48">
      <c r="A69" s="422" t="str">
        <f t="shared" ca="1" si="1"/>
        <v/>
      </c>
      <c r="B69" s="515" t="str">
        <f t="shared" si="0"/>
        <v>FLO_EMIS</v>
      </c>
      <c r="C69" s="518" t="str">
        <f ca="1">"X"&amp;OFFSET(NameConv!$F$4,0,AS69)&amp;OFFSET(NameConv!$F$59,AT69,AS69)</f>
        <v>XCOMODS</v>
      </c>
      <c r="D69" s="515" t="str">
        <f ca="1">OFFSET(NameConv!$F$4,0,AS69)&amp;OFFSET(NameConv!$AX$4,0,AU69)</f>
        <v>COMCO2S</v>
      </c>
      <c r="E69" s="515" t="str">
        <f ca="1">OFFSET(NameConv!$F$4,0,AS69)&amp;OFFSET(NameConv!$F$59,AT69,AS69)</f>
        <v>COMODS</v>
      </c>
      <c r="F69" s="740" t="s">
        <v>334</v>
      </c>
      <c r="G69" s="515" t="s">
        <v>337</v>
      </c>
      <c r="H69" s="740" t="s">
        <v>334</v>
      </c>
      <c r="I69" s="516">
        <v>0</v>
      </c>
      <c r="J69" s="517">
        <f ca="1">IF(E69="TRAOKE",0,SUMIF(NameConv!$C$5:$C$45,RIGHT(E69,3),OFFSET(NameConv!$AX$5,0,AU69,NameConv!$A$45,1)))</f>
        <v>74.066699999999997</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495">
        <f ca="1">IF(AND(AV68&gt;=SUMIF(NameConv!$C$5:$C$45,RIGHT(E68,3),NameConv!$CG$5:$CG$45),AT68=SUMIF(NameConv!$G$4:$M$4,LEFT(E68,3),NameConv!$G$45:$M$45)),AS68+1,AS68)</f>
        <v>2</v>
      </c>
      <c r="AT69" s="495">
        <f ca="1">IF(AS69&lt;&gt;AS68,1,IF(AV68&gt;=SUMIF(NameConv!$C$5:$C$45,RIGHT(E68,3),NameConv!$CG$5:$CG$45),AT68+1,AT68))</f>
        <v>4</v>
      </c>
      <c r="AU69" s="495">
        <f ca="1">SUMIF(NameConv!$C$5:$C$45,RIGHT(E69,3),OFFSET(NameConv!$CG$5,0,AV69,NameConv!$A$45,1))</f>
        <v>1</v>
      </c>
      <c r="AV69" s="495">
        <f ca="1">IF(AV68&gt;=SUMIF(NameConv!$C$5:$C$45,RIGHT(E68,3),NameConv!$CG$5:$CG$45),1,AV68+1)</f>
        <v>1</v>
      </c>
    </row>
    <row r="70" spans="1:48">
      <c r="A70" s="422" t="str">
        <f t="shared" ca="1" si="1"/>
        <v/>
      </c>
      <c r="B70" s="515" t="str">
        <f t="shared" si="0"/>
        <v>FLO_EMIS</v>
      </c>
      <c r="C70" s="518" t="str">
        <f ca="1">"X"&amp;OFFSET(NameConv!$F$4,0,AS70)&amp;OFFSET(NameConv!$F$59,AT70,AS70)</f>
        <v>XCOMODS</v>
      </c>
      <c r="D70" s="515" t="str">
        <f ca="1">OFFSET(NameConv!$F$4,0,AS70)&amp;OFFSET(NameConv!$AX$4,0,AU70)</f>
        <v>COMCH4S</v>
      </c>
      <c r="E70" s="515" t="str">
        <f ca="1">OFFSET(NameConv!$F$4,0,AS70)&amp;OFFSET(NameConv!$F$59,AT70,AS70)</f>
        <v>COMODS</v>
      </c>
      <c r="F70" s="740" t="s">
        <v>334</v>
      </c>
      <c r="G70" s="515" t="s">
        <v>337</v>
      </c>
      <c r="H70" s="740" t="s">
        <v>334</v>
      </c>
      <c r="I70" s="516">
        <v>0</v>
      </c>
      <c r="J70" s="517">
        <f ca="1">IF(E70="TRAOKE",0,SUMIF(NameConv!$C$5:$C$45,RIGHT(E70,3),OFFSET(NameConv!$AX$5,0,AU70,NameConv!$A$45,1)))</f>
        <v>3.0000000000000001E-3</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495">
        <f ca="1">IF(AND(AV69&gt;=SUMIF(NameConv!$C$5:$C$45,RIGHT(E69,3),NameConv!$CG$5:$CG$45),AT69=SUMIF(NameConv!$G$4:$M$4,LEFT(E69,3),NameConv!$G$45:$M$45)),AS69+1,AS69)</f>
        <v>2</v>
      </c>
      <c r="AT70" s="495">
        <f ca="1">IF(AS70&lt;&gt;AS69,1,IF(AV69&gt;=SUMIF(NameConv!$C$5:$C$45,RIGHT(E69,3),NameConv!$CG$5:$CG$45),AT69+1,AT69))</f>
        <v>4</v>
      </c>
      <c r="AU70" s="495">
        <f ca="1">SUMIF(NameConv!$C$5:$C$45,RIGHT(E70,3),OFFSET(NameConv!$CG$5,0,AV70,NameConv!$A$45,1))</f>
        <v>2</v>
      </c>
      <c r="AV70" s="495">
        <f ca="1">IF(AV69&gt;=SUMIF(NameConv!$C$5:$C$45,RIGHT(E69,3),NameConv!$CG$5:$CG$45),1,AV69+1)</f>
        <v>2</v>
      </c>
    </row>
    <row r="71" spans="1:48">
      <c r="A71" s="422" t="str">
        <f t="shared" ca="1" si="1"/>
        <v/>
      </c>
      <c r="B71" s="515" t="str">
        <f t="shared" si="0"/>
        <v>FLO_EMIS</v>
      </c>
      <c r="C71" s="518" t="str">
        <f ca="1">"X"&amp;OFFSET(NameConv!$F$4,0,AS71)&amp;OFFSET(NameConv!$F$59,AT71,AS71)</f>
        <v>XCOMODS</v>
      </c>
      <c r="D71" s="515" t="str">
        <f ca="1">OFFSET(NameConv!$F$4,0,AS71)&amp;OFFSET(NameConv!$AX$4,0,AU71)</f>
        <v>COMN2OS</v>
      </c>
      <c r="E71" s="515" t="str">
        <f ca="1">OFFSET(NameConv!$F$4,0,AS71)&amp;OFFSET(NameConv!$F$59,AT71,AS71)</f>
        <v>COMODS</v>
      </c>
      <c r="F71" s="740" t="s">
        <v>334</v>
      </c>
      <c r="G71" s="515" t="s">
        <v>337</v>
      </c>
      <c r="H71" s="740" t="s">
        <v>334</v>
      </c>
      <c r="I71" s="516">
        <v>0</v>
      </c>
      <c r="J71" s="517">
        <f ca="1">IF(E71="TRAOKE",0,SUMIF(NameConv!$C$5:$C$45,RIGHT(E71,3),OFFSET(NameConv!$AX$5,0,AU71,NameConv!$A$45,1)))</f>
        <v>5.9999999999999995E-4</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495">
        <f ca="1">IF(AND(AV70&gt;=SUMIF(NameConv!$C$5:$C$45,RIGHT(E70,3),NameConv!$CG$5:$CG$45),AT70=SUMIF(NameConv!$G$4:$M$4,LEFT(E70,3),NameConv!$G$45:$M$45)),AS70+1,AS70)</f>
        <v>2</v>
      </c>
      <c r="AT71" s="495">
        <f ca="1">IF(AS71&lt;&gt;AS70,1,IF(AV70&gt;=SUMIF(NameConv!$C$5:$C$45,RIGHT(E70,3),NameConv!$CG$5:$CG$45),AT70+1,AT70))</f>
        <v>4</v>
      </c>
      <c r="AU71" s="495">
        <f ca="1">SUMIF(NameConv!$C$5:$C$45,RIGHT(E71,3),OFFSET(NameConv!$CG$5,0,AV71,NameConv!$A$45,1))</f>
        <v>3</v>
      </c>
      <c r="AV71" s="495">
        <f ca="1">IF(AV70&gt;=SUMIF(NameConv!$C$5:$C$45,RIGHT(E70,3),NameConv!$CG$5:$CG$45),1,AV70+1)</f>
        <v>3</v>
      </c>
    </row>
    <row r="72" spans="1:48">
      <c r="A72" s="422" t="str">
        <f t="shared" ca="1" si="1"/>
        <v/>
      </c>
      <c r="B72" s="515" t="str">
        <f t="shared" si="0"/>
        <v>FLO_EMIS</v>
      </c>
      <c r="C72" s="518" t="str">
        <f ca="1">"X"&amp;OFFSET(NameConv!$F$4,0,AS72)&amp;OFFSET(NameConv!$F$59,AT72,AS72)</f>
        <v>XCOMODS</v>
      </c>
      <c r="D72" s="515" t="str">
        <f ca="1">OFFSET(NameConv!$F$4,0,AS72)&amp;OFFSET(NameConv!$AX$4,0,AU72)</f>
        <v>COMSOXS</v>
      </c>
      <c r="E72" s="515" t="str">
        <f ca="1">OFFSET(NameConv!$F$4,0,AS72)&amp;OFFSET(NameConv!$F$59,AT72,AS72)</f>
        <v>COMODS</v>
      </c>
      <c r="F72" s="740" t="s">
        <v>334</v>
      </c>
      <c r="G72" s="515" t="s">
        <v>337</v>
      </c>
      <c r="H72" s="740" t="s">
        <v>334</v>
      </c>
      <c r="I72" s="516">
        <v>0</v>
      </c>
      <c r="J72" s="517">
        <f ca="1">IF(E72="TRAOKE",0,SUMIF(NameConv!$C$5:$C$45,RIGHT(E72,3),OFFSET(NameConv!$AX$5,0,AU72,NameConv!$A$45,1)))</f>
        <v>0.25290000000000001</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495">
        <f ca="1">IF(AND(AV71&gt;=SUMIF(NameConv!$C$5:$C$45,RIGHT(E71,3),NameConv!$CG$5:$CG$45),AT71=SUMIF(NameConv!$G$4:$M$4,LEFT(E71,3),NameConv!$G$45:$M$45)),AS71+1,AS71)</f>
        <v>2</v>
      </c>
      <c r="AT72" s="495">
        <f ca="1">IF(AS72&lt;&gt;AS71,1,IF(AV71&gt;=SUMIF(NameConv!$C$5:$C$45,RIGHT(E71,3),NameConv!$CG$5:$CG$45),AT71+1,AT71))</f>
        <v>4</v>
      </c>
      <c r="AU72" s="495">
        <f ca="1">SUMIF(NameConv!$C$5:$C$45,RIGHT(E72,3),OFFSET(NameConv!$CG$5,0,AV72,NameConv!$A$45,1))</f>
        <v>4</v>
      </c>
      <c r="AV72" s="495">
        <f ca="1">IF(AV71&gt;=SUMIF(NameConv!$C$5:$C$45,RIGHT(E71,3),NameConv!$CG$5:$CG$45),1,AV71+1)</f>
        <v>4</v>
      </c>
    </row>
    <row r="73" spans="1:48">
      <c r="A73" s="422" t="str">
        <f t="shared" ca="1" si="1"/>
        <v/>
      </c>
      <c r="B73" s="515" t="str">
        <f t="shared" si="0"/>
        <v>FLO_EMIS</v>
      </c>
      <c r="C73" s="518" t="str">
        <f ca="1">"X"&amp;OFFSET(NameConv!$F$4,0,AS73)&amp;OFFSET(NameConv!$F$59,AT73,AS73)</f>
        <v>XCOMODS</v>
      </c>
      <c r="D73" s="515" t="str">
        <f ca="1">OFFSET(NameConv!$F$4,0,AS73)&amp;OFFSET(NameConv!$AX$4,0,AU73)</f>
        <v>COMNOXS</v>
      </c>
      <c r="E73" s="515" t="str">
        <f ca="1">OFFSET(NameConv!$F$4,0,AS73)&amp;OFFSET(NameConv!$F$59,AT73,AS73)</f>
        <v>COMODS</v>
      </c>
      <c r="F73" s="740" t="s">
        <v>334</v>
      </c>
      <c r="G73" s="515" t="s">
        <v>337</v>
      </c>
      <c r="H73" s="740" t="s">
        <v>334</v>
      </c>
      <c r="I73" s="516">
        <v>0</v>
      </c>
      <c r="J73" s="517">
        <f ca="1">IF(E73="TRAOKE",0,SUMIF(NameConv!$C$5:$C$45,RIGHT(E73,3),OFFSET(NameConv!$AX$5,0,AU73,NameConv!$A$45,1)))</f>
        <v>0.2</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495">
        <f ca="1">IF(AND(AV72&gt;=SUMIF(NameConv!$C$5:$C$45,RIGHT(E72,3),NameConv!$CG$5:$CG$45),AT72=SUMIF(NameConv!$G$4:$M$4,LEFT(E72,3),NameConv!$G$45:$M$45)),AS72+1,AS72)</f>
        <v>2</v>
      </c>
      <c r="AT73" s="495">
        <f ca="1">IF(AS73&lt;&gt;AS72,1,IF(AV72&gt;=SUMIF(NameConv!$C$5:$C$45,RIGHT(E72,3),NameConv!$CG$5:$CG$45),AT72+1,AT72))</f>
        <v>4</v>
      </c>
      <c r="AU73" s="495">
        <f ca="1">SUMIF(NameConv!$C$5:$C$45,RIGHT(E73,3),OFFSET(NameConv!$CG$5,0,AV73,NameConv!$A$45,1))</f>
        <v>5</v>
      </c>
      <c r="AV73" s="495">
        <f ca="1">IF(AV72&gt;=SUMIF(NameConv!$C$5:$C$45,RIGHT(E72,3),NameConv!$CG$5:$CG$45),1,AV72+1)</f>
        <v>5</v>
      </c>
    </row>
    <row r="74" spans="1:48">
      <c r="A74" s="422" t="str">
        <f t="shared" ca="1" si="1"/>
        <v/>
      </c>
      <c r="B74" s="515" t="str">
        <f t="shared" si="0"/>
        <v>FLO_EMIS</v>
      </c>
      <c r="C74" s="518" t="str">
        <f ca="1">"X"&amp;OFFSET(NameConv!$F$4,0,AS74)&amp;OFFSET(NameConv!$F$59,AT74,AS74)</f>
        <v>XCOMODS</v>
      </c>
      <c r="D74" s="515" t="str">
        <f ca="1">OFFSET(NameConv!$F$4,0,AS74)&amp;OFFSET(NameConv!$AX$4,0,AU74)</f>
        <v>COMCMOX</v>
      </c>
      <c r="E74" s="515" t="str">
        <f ca="1">OFFSET(NameConv!$F$4,0,AS74)&amp;OFFSET(NameConv!$F$59,AT74,AS74)</f>
        <v>COMODS</v>
      </c>
      <c r="F74" s="740" t="s">
        <v>334</v>
      </c>
      <c r="G74" s="515" t="s">
        <v>337</v>
      </c>
      <c r="H74" s="740" t="s">
        <v>334</v>
      </c>
      <c r="I74" s="516">
        <v>0</v>
      </c>
      <c r="J74" s="517">
        <f ca="1">IF(E74="TRAOKE",0,SUMIF(NameConv!$C$5:$C$45,RIGHT(E74,3),OFFSET(NameConv!$AX$5,0,AU74,NameConv!$A$45,1)))</f>
        <v>1.4999999999999999E-2</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495">
        <f ca="1">IF(AND(AV73&gt;=SUMIF(NameConv!$C$5:$C$45,RIGHT(E73,3),NameConv!$CG$5:$CG$45),AT73=SUMIF(NameConv!$G$4:$M$4,LEFT(E73,3),NameConv!$G$45:$M$45)),AS73+1,AS73)</f>
        <v>2</v>
      </c>
      <c r="AT74" s="495">
        <f ca="1">IF(AS74&lt;&gt;AS73,1,IF(AV73&gt;=SUMIF(NameConv!$C$5:$C$45,RIGHT(E73,3),NameConv!$CG$5:$CG$45),AT73+1,AT73))</f>
        <v>4</v>
      </c>
      <c r="AU74" s="495">
        <f ca="1">SUMIF(NameConv!$C$5:$C$45,RIGHT(E74,3),OFFSET(NameConv!$CG$5,0,AV74,NameConv!$A$45,1))</f>
        <v>6</v>
      </c>
      <c r="AV74" s="495">
        <f ca="1">IF(AV73&gt;=SUMIF(NameConv!$C$5:$C$45,RIGHT(E73,3),NameConv!$CG$5:$CG$45),1,AV73+1)</f>
        <v>6</v>
      </c>
    </row>
    <row r="75" spans="1:48">
      <c r="A75" s="422" t="str">
        <f t="shared" ca="1" si="1"/>
        <v/>
      </c>
      <c r="B75" s="515" t="str">
        <f t="shared" si="0"/>
        <v>FLO_EMIS</v>
      </c>
      <c r="C75" s="518" t="str">
        <f ca="1">"X"&amp;OFFSET(NameConv!$F$4,0,AS75)&amp;OFFSET(NameConv!$F$59,AT75,AS75)</f>
        <v>XCOMODS</v>
      </c>
      <c r="D75" s="515" t="str">
        <f ca="1">OFFSET(NameConv!$F$4,0,AS75)&amp;OFFSET(NameConv!$AX$4,0,AU75)</f>
        <v>COMNMVS</v>
      </c>
      <c r="E75" s="515" t="str">
        <f ca="1">OFFSET(NameConv!$F$4,0,AS75)&amp;OFFSET(NameConv!$F$59,AT75,AS75)</f>
        <v>COMODS</v>
      </c>
      <c r="F75" s="740" t="s">
        <v>334</v>
      </c>
      <c r="G75" s="515" t="s">
        <v>337</v>
      </c>
      <c r="H75" s="740" t="s">
        <v>334</v>
      </c>
      <c r="I75" s="516">
        <v>0</v>
      </c>
      <c r="J75" s="517">
        <f ca="1">IF(E75="TRAOKE",0,SUMIF(NameConv!$C$5:$C$45,RIGHT(E75,3),OFFSET(NameConv!$AX$5,0,AU75,NameConv!$A$45,1)))</f>
        <v>5.0000000000000001E-3</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495">
        <f ca="1">IF(AND(AV74&gt;=SUMIF(NameConv!$C$5:$C$45,RIGHT(E74,3),NameConv!$CG$5:$CG$45),AT74=SUMIF(NameConv!$G$4:$M$4,LEFT(E74,3),NameConv!$G$45:$M$45)),AS74+1,AS74)</f>
        <v>2</v>
      </c>
      <c r="AT75" s="495">
        <f ca="1">IF(AS75&lt;&gt;AS74,1,IF(AV74&gt;=SUMIF(NameConv!$C$5:$C$45,RIGHT(E74,3),NameConv!$CG$5:$CG$45),AT74+1,AT74))</f>
        <v>4</v>
      </c>
      <c r="AU75" s="495">
        <f ca="1">SUMIF(NameConv!$C$5:$C$45,RIGHT(E75,3),OFFSET(NameConv!$CG$5,0,AV75,NameConv!$A$45,1))</f>
        <v>7</v>
      </c>
      <c r="AV75" s="495">
        <f ca="1">IF(AV74&gt;=SUMIF(NameConv!$C$5:$C$45,RIGHT(E74,3),NameConv!$CG$5:$CG$45),1,AV74+1)</f>
        <v>7</v>
      </c>
    </row>
    <row r="76" spans="1:48">
      <c r="A76" s="422" t="str">
        <f t="shared" ca="1" si="1"/>
        <v/>
      </c>
      <c r="B76" s="515" t="str">
        <f t="shared" ref="B76:B139" si="2">$B$10</f>
        <v>FLO_EMIS</v>
      </c>
      <c r="C76" s="518" t="str">
        <f ca="1">"X"&amp;OFFSET(NameConv!$F$4,0,AS76)&amp;OFFSET(NameConv!$F$59,AT76,AS76)</f>
        <v>XCOMOGS</v>
      </c>
      <c r="D76" s="515" t="str">
        <f ca="1">OFFSET(NameConv!$F$4,0,AS76)&amp;OFFSET(NameConv!$AX$4,0,AU76)</f>
        <v>COMCO2S</v>
      </c>
      <c r="E76" s="515" t="str">
        <f ca="1">OFFSET(NameConv!$F$4,0,AS76)&amp;OFFSET(NameConv!$F$59,AT76,AS76)</f>
        <v>COMOGS</v>
      </c>
      <c r="F76" s="740" t="s">
        <v>334</v>
      </c>
      <c r="G76" s="515" t="s">
        <v>337</v>
      </c>
      <c r="H76" s="740" t="s">
        <v>334</v>
      </c>
      <c r="I76" s="516">
        <v>0</v>
      </c>
      <c r="J76" s="517">
        <f ca="1">IF(E76="TRAOKE",0,SUMIF(NameConv!$C$5:$C$45,RIGHT(E76,3),OFFSET(NameConv!$AX$5,0,AU76,NameConv!$A$45,1)))</f>
        <v>69.3</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495">
        <f ca="1">IF(AND(AV75&gt;=SUMIF(NameConv!$C$5:$C$45,RIGHT(E75,3),NameConv!$CG$5:$CG$45),AT75=SUMIF(NameConv!$G$4:$M$4,LEFT(E75,3),NameConv!$G$45:$M$45)),AS75+1,AS75)</f>
        <v>2</v>
      </c>
      <c r="AT76" s="495">
        <f ca="1">IF(AS76&lt;&gt;AS75,1,IF(AV75&gt;=SUMIF(NameConv!$C$5:$C$45,RIGHT(E75,3),NameConv!$CG$5:$CG$45),AT75+1,AT75))</f>
        <v>5</v>
      </c>
      <c r="AU76" s="495">
        <f ca="1">SUMIF(NameConv!$C$5:$C$45,RIGHT(E76,3),OFFSET(NameConv!$CG$5,0,AV76,NameConv!$A$45,1))</f>
        <v>1</v>
      </c>
      <c r="AV76" s="495">
        <f ca="1">IF(AV75&gt;=SUMIF(NameConv!$C$5:$C$45,RIGHT(E75,3),NameConv!$CG$5:$CG$45),1,AV75+1)</f>
        <v>1</v>
      </c>
    </row>
    <row r="77" spans="1:48">
      <c r="A77" s="422" t="str">
        <f t="shared" ref="A77:A140" ca="1" si="3">IF(J77=0,"*","")</f>
        <v/>
      </c>
      <c r="B77" s="515" t="str">
        <f t="shared" si="2"/>
        <v>FLO_EMIS</v>
      </c>
      <c r="C77" s="518" t="str">
        <f ca="1">"X"&amp;OFFSET(NameConv!$F$4,0,AS77)&amp;OFFSET(NameConv!$F$59,AT77,AS77)</f>
        <v>XCOMOGS</v>
      </c>
      <c r="D77" s="515" t="str">
        <f ca="1">OFFSET(NameConv!$F$4,0,AS77)&amp;OFFSET(NameConv!$AX$4,0,AU77)</f>
        <v>COMCH4S</v>
      </c>
      <c r="E77" s="515" t="str">
        <f ca="1">OFFSET(NameConv!$F$4,0,AS77)&amp;OFFSET(NameConv!$F$59,AT77,AS77)</f>
        <v>COMOGS</v>
      </c>
      <c r="F77" s="740" t="s">
        <v>334</v>
      </c>
      <c r="G77" s="515" t="s">
        <v>337</v>
      </c>
      <c r="H77" s="740" t="s">
        <v>334</v>
      </c>
      <c r="I77" s="516">
        <v>0</v>
      </c>
      <c r="J77" s="517">
        <f ca="1">IF(E77="TRAOKE",0,SUMIF(NameConv!$C$5:$C$45,RIGHT(E77,3),OFFSET(NameConv!$AX$5,0,AU77,NameConv!$A$45,1)))</f>
        <v>3.0000000000000001E-3</v>
      </c>
      <c r="K77" s="518"/>
      <c r="L77" s="518"/>
      <c r="M77" s="518"/>
      <c r="N77" s="518"/>
      <c r="O77" s="518"/>
      <c r="P77" s="518"/>
      <c r="Q77" s="518"/>
      <c r="R77" s="518"/>
      <c r="S77" s="518"/>
      <c r="T77" s="518"/>
      <c r="U77" s="518"/>
      <c r="V77" s="518"/>
      <c r="W77" s="518"/>
      <c r="X77" s="518"/>
      <c r="Y77" s="518"/>
      <c r="Z77" s="518"/>
      <c r="AA77" s="518"/>
      <c r="AB77" s="518"/>
      <c r="AC77" s="518"/>
      <c r="AD77" s="518"/>
      <c r="AE77" s="518"/>
      <c r="AF77" s="518"/>
      <c r="AG77" s="518"/>
      <c r="AH77" s="518"/>
      <c r="AI77" s="518"/>
      <c r="AJ77" s="518"/>
      <c r="AK77" s="518"/>
      <c r="AL77" s="518"/>
      <c r="AM77" s="518"/>
      <c r="AN77" s="518"/>
      <c r="AO77" s="518"/>
      <c r="AP77" s="518"/>
      <c r="AQ77" s="518"/>
      <c r="AR77" s="518"/>
      <c r="AS77" s="495">
        <f ca="1">IF(AND(AV76&gt;=SUMIF(NameConv!$C$5:$C$45,RIGHT(E76,3),NameConv!$CG$5:$CG$45),AT76=SUMIF(NameConv!$G$4:$M$4,LEFT(E76,3),NameConv!$G$45:$M$45)),AS76+1,AS76)</f>
        <v>2</v>
      </c>
      <c r="AT77" s="495">
        <f ca="1">IF(AS77&lt;&gt;AS76,1,IF(AV76&gt;=SUMIF(NameConv!$C$5:$C$45,RIGHT(E76,3),NameConv!$CG$5:$CG$45),AT76+1,AT76))</f>
        <v>5</v>
      </c>
      <c r="AU77" s="495">
        <f ca="1">SUMIF(NameConv!$C$5:$C$45,RIGHT(E77,3),OFFSET(NameConv!$CG$5,0,AV77,NameConv!$A$45,1))</f>
        <v>2</v>
      </c>
      <c r="AV77" s="495">
        <f ca="1">IF(AV76&gt;=SUMIF(NameConv!$C$5:$C$45,RIGHT(E76,3),NameConv!$CG$5:$CG$45),1,AV76+1)</f>
        <v>2</v>
      </c>
    </row>
    <row r="78" spans="1:48">
      <c r="A78" s="422" t="str">
        <f t="shared" ca="1" si="3"/>
        <v/>
      </c>
      <c r="B78" s="515" t="str">
        <f t="shared" si="2"/>
        <v>FLO_EMIS</v>
      </c>
      <c r="C78" s="518" t="str">
        <f ca="1">"X"&amp;OFFSET(NameConv!$F$4,0,AS78)&amp;OFFSET(NameConv!$F$59,AT78,AS78)</f>
        <v>XCOMOGS</v>
      </c>
      <c r="D78" s="515" t="str">
        <f ca="1">OFFSET(NameConv!$F$4,0,AS78)&amp;OFFSET(NameConv!$AX$4,0,AU78)</f>
        <v>COMN2OS</v>
      </c>
      <c r="E78" s="515" t="str">
        <f ca="1">OFFSET(NameConv!$F$4,0,AS78)&amp;OFFSET(NameConv!$F$59,AT78,AS78)</f>
        <v>COMOGS</v>
      </c>
      <c r="F78" s="740" t="s">
        <v>334</v>
      </c>
      <c r="G78" s="515" t="s">
        <v>337</v>
      </c>
      <c r="H78" s="740" t="s">
        <v>334</v>
      </c>
      <c r="I78" s="516">
        <v>0</v>
      </c>
      <c r="J78" s="517">
        <f ca="1">IF(E78="TRAOKE",0,SUMIF(NameConv!$C$5:$C$45,RIGHT(E78,3),OFFSET(NameConv!$AX$5,0,AU78,NameConv!$A$45,1)))</f>
        <v>5.9999999999999995E-4</v>
      </c>
      <c r="K78" s="518"/>
      <c r="L78" s="518"/>
      <c r="M78" s="518"/>
      <c r="N78" s="518"/>
      <c r="O78" s="518"/>
      <c r="P78" s="518"/>
      <c r="Q78" s="518"/>
      <c r="R78" s="518"/>
      <c r="S78" s="518"/>
      <c r="T78" s="518"/>
      <c r="U78" s="518"/>
      <c r="V78" s="518"/>
      <c r="W78" s="518"/>
      <c r="X78" s="518"/>
      <c r="Y78" s="518"/>
      <c r="Z78" s="518"/>
      <c r="AA78" s="518"/>
      <c r="AB78" s="518"/>
      <c r="AC78" s="518"/>
      <c r="AD78" s="518"/>
      <c r="AE78" s="518"/>
      <c r="AF78" s="518"/>
      <c r="AG78" s="518"/>
      <c r="AH78" s="518"/>
      <c r="AI78" s="518"/>
      <c r="AJ78" s="518"/>
      <c r="AK78" s="518"/>
      <c r="AL78" s="518"/>
      <c r="AM78" s="518"/>
      <c r="AN78" s="518"/>
      <c r="AO78" s="518"/>
      <c r="AP78" s="518"/>
      <c r="AQ78" s="518"/>
      <c r="AR78" s="518"/>
      <c r="AS78" s="495">
        <f ca="1">IF(AND(AV77&gt;=SUMIF(NameConv!$C$5:$C$45,RIGHT(E77,3),NameConv!$CG$5:$CG$45),AT77=SUMIF(NameConv!$G$4:$M$4,LEFT(E77,3),NameConv!$G$45:$M$45)),AS77+1,AS77)</f>
        <v>2</v>
      </c>
      <c r="AT78" s="495">
        <f ca="1">IF(AS78&lt;&gt;AS77,1,IF(AV77&gt;=SUMIF(NameConv!$C$5:$C$45,RIGHT(E77,3),NameConv!$CG$5:$CG$45),AT77+1,AT77))</f>
        <v>5</v>
      </c>
      <c r="AU78" s="495">
        <f ca="1">SUMIF(NameConv!$C$5:$C$45,RIGHT(E78,3),OFFSET(NameConv!$CG$5,0,AV78,NameConv!$A$45,1))</f>
        <v>3</v>
      </c>
      <c r="AV78" s="495">
        <f ca="1">IF(AV77&gt;=SUMIF(NameConv!$C$5:$C$45,RIGHT(E77,3),NameConv!$CG$5:$CG$45),1,AV77+1)</f>
        <v>3</v>
      </c>
    </row>
    <row r="79" spans="1:48">
      <c r="A79" s="422" t="str">
        <f t="shared" ca="1" si="3"/>
        <v/>
      </c>
      <c r="B79" s="515" t="str">
        <f t="shared" si="2"/>
        <v>FLO_EMIS</v>
      </c>
      <c r="C79" s="518" t="str">
        <f ca="1">"X"&amp;OFFSET(NameConv!$F$4,0,AS79)&amp;OFFSET(NameConv!$F$59,AT79,AS79)</f>
        <v>XCOMOGS</v>
      </c>
      <c r="D79" s="515" t="str">
        <f ca="1">OFFSET(NameConv!$F$4,0,AS79)&amp;OFFSET(NameConv!$AX$4,0,AU79)</f>
        <v>COMSOXS</v>
      </c>
      <c r="E79" s="515" t="str">
        <f ca="1">OFFSET(NameConv!$F$4,0,AS79)&amp;OFFSET(NameConv!$F$59,AT79,AS79)</f>
        <v>COMOGS</v>
      </c>
      <c r="F79" s="740" t="s">
        <v>334</v>
      </c>
      <c r="G79" s="515" t="s">
        <v>337</v>
      </c>
      <c r="H79" s="740" t="s">
        <v>334</v>
      </c>
      <c r="I79" s="516">
        <v>0</v>
      </c>
      <c r="J79" s="517">
        <f ca="1">IF(E79="TRAOKE",0,SUMIF(NameConv!$C$5:$C$45,RIGHT(E79,3),OFFSET(NameConv!$AX$5,0,AU79,NameConv!$A$45,1)))</f>
        <v>4.6699999999999998E-2</v>
      </c>
      <c r="K79" s="518"/>
      <c r="L79" s="518"/>
      <c r="M79" s="518"/>
      <c r="N79" s="518"/>
      <c r="O79" s="518"/>
      <c r="P79" s="518"/>
      <c r="Q79" s="518"/>
      <c r="R79" s="518"/>
      <c r="S79" s="518"/>
      <c r="T79" s="518"/>
      <c r="U79" s="518"/>
      <c r="V79" s="518"/>
      <c r="W79" s="518"/>
      <c r="X79" s="518"/>
      <c r="Y79" s="518"/>
      <c r="Z79" s="518"/>
      <c r="AA79" s="518"/>
      <c r="AB79" s="518"/>
      <c r="AC79" s="518"/>
      <c r="AD79" s="518"/>
      <c r="AE79" s="518"/>
      <c r="AF79" s="518"/>
      <c r="AG79" s="518"/>
      <c r="AH79" s="518"/>
      <c r="AI79" s="518"/>
      <c r="AJ79" s="518"/>
      <c r="AK79" s="518"/>
      <c r="AL79" s="518"/>
      <c r="AM79" s="518"/>
      <c r="AN79" s="518"/>
      <c r="AO79" s="518"/>
      <c r="AP79" s="518"/>
      <c r="AQ79" s="518"/>
      <c r="AR79" s="518"/>
      <c r="AS79" s="495">
        <f ca="1">IF(AND(AV78&gt;=SUMIF(NameConv!$C$5:$C$45,RIGHT(E78,3),NameConv!$CG$5:$CG$45),AT78=SUMIF(NameConv!$G$4:$M$4,LEFT(E78,3),NameConv!$G$45:$M$45)),AS78+1,AS78)</f>
        <v>2</v>
      </c>
      <c r="AT79" s="495">
        <f ca="1">IF(AS79&lt;&gt;AS78,1,IF(AV78&gt;=SUMIF(NameConv!$C$5:$C$45,RIGHT(E78,3),NameConv!$CG$5:$CG$45),AT78+1,AT78))</f>
        <v>5</v>
      </c>
      <c r="AU79" s="495">
        <f ca="1">SUMIF(NameConv!$C$5:$C$45,RIGHT(E79,3),OFFSET(NameConv!$CG$5,0,AV79,NameConv!$A$45,1))</f>
        <v>4</v>
      </c>
      <c r="AV79" s="495">
        <f ca="1">IF(AV78&gt;=SUMIF(NameConv!$C$5:$C$45,RIGHT(E78,3),NameConv!$CG$5:$CG$45),1,AV78+1)</f>
        <v>4</v>
      </c>
    </row>
    <row r="80" spans="1:48">
      <c r="A80" s="422" t="str">
        <f t="shared" ca="1" si="3"/>
        <v/>
      </c>
      <c r="B80" s="515" t="str">
        <f t="shared" si="2"/>
        <v>FLO_EMIS</v>
      </c>
      <c r="C80" s="518" t="str">
        <f ca="1">"X"&amp;OFFSET(NameConv!$F$4,0,AS80)&amp;OFFSET(NameConv!$F$59,AT80,AS80)</f>
        <v>XCOMOGS</v>
      </c>
      <c r="D80" s="515" t="str">
        <f ca="1">OFFSET(NameConv!$F$4,0,AS80)&amp;OFFSET(NameConv!$AX$4,0,AU80)</f>
        <v>COMNOXS</v>
      </c>
      <c r="E80" s="515" t="str">
        <f ca="1">OFFSET(NameConv!$F$4,0,AS80)&amp;OFFSET(NameConv!$F$59,AT80,AS80)</f>
        <v>COMOGS</v>
      </c>
      <c r="F80" s="740" t="s">
        <v>334</v>
      </c>
      <c r="G80" s="515" t="s">
        <v>337</v>
      </c>
      <c r="H80" s="740" t="s">
        <v>334</v>
      </c>
      <c r="I80" s="516">
        <v>0</v>
      </c>
      <c r="J80" s="517">
        <f ca="1">IF(E80="TRAOKE",0,SUMIF(NameConv!$C$5:$C$45,RIGHT(E80,3),OFFSET(NameConv!$AX$5,0,AU80,NameConv!$A$45,1)))</f>
        <v>0.6</v>
      </c>
      <c r="K80" s="518"/>
      <c r="L80" s="518"/>
      <c r="M80" s="518"/>
      <c r="N80" s="518"/>
      <c r="O80" s="518"/>
      <c r="P80" s="518"/>
      <c r="Q80" s="518"/>
      <c r="R80" s="518"/>
      <c r="S80" s="518"/>
      <c r="T80" s="518"/>
      <c r="U80" s="518"/>
      <c r="V80" s="518"/>
      <c r="W80" s="518"/>
      <c r="X80" s="518"/>
      <c r="Y80" s="518"/>
      <c r="Z80" s="518"/>
      <c r="AA80" s="518"/>
      <c r="AB80" s="518"/>
      <c r="AC80" s="518"/>
      <c r="AD80" s="518"/>
      <c r="AE80" s="518"/>
      <c r="AF80" s="518"/>
      <c r="AG80" s="518"/>
      <c r="AH80" s="518"/>
      <c r="AI80" s="518"/>
      <c r="AJ80" s="518"/>
      <c r="AK80" s="518"/>
      <c r="AL80" s="518"/>
      <c r="AM80" s="518"/>
      <c r="AN80" s="518"/>
      <c r="AO80" s="518"/>
      <c r="AP80" s="518"/>
      <c r="AQ80" s="518"/>
      <c r="AR80" s="518"/>
      <c r="AS80" s="495">
        <f ca="1">IF(AND(AV79&gt;=SUMIF(NameConv!$C$5:$C$45,RIGHT(E79,3),NameConv!$CG$5:$CG$45),AT79=SUMIF(NameConv!$G$4:$M$4,LEFT(E79,3),NameConv!$G$45:$M$45)),AS79+1,AS79)</f>
        <v>2</v>
      </c>
      <c r="AT80" s="495">
        <f ca="1">IF(AS80&lt;&gt;AS79,1,IF(AV79&gt;=SUMIF(NameConv!$C$5:$C$45,RIGHT(E79,3),NameConv!$CG$5:$CG$45),AT79+1,AT79))</f>
        <v>5</v>
      </c>
      <c r="AU80" s="495">
        <f ca="1">SUMIF(NameConv!$C$5:$C$45,RIGHT(E80,3),OFFSET(NameConv!$CG$5,0,AV80,NameConv!$A$45,1))</f>
        <v>5</v>
      </c>
      <c r="AV80" s="495">
        <f ca="1">IF(AV79&gt;=SUMIF(NameConv!$C$5:$C$45,RIGHT(E79,3),NameConv!$CG$5:$CG$45),1,AV79+1)</f>
        <v>5</v>
      </c>
    </row>
    <row r="81" spans="1:48">
      <c r="A81" s="422" t="str">
        <f t="shared" ca="1" si="3"/>
        <v/>
      </c>
      <c r="B81" s="515" t="str">
        <f t="shared" si="2"/>
        <v>FLO_EMIS</v>
      </c>
      <c r="C81" s="518" t="str">
        <f ca="1">"X"&amp;OFFSET(NameConv!$F$4,0,AS81)&amp;OFFSET(NameConv!$F$59,AT81,AS81)</f>
        <v>XCOMOGS</v>
      </c>
      <c r="D81" s="515" t="str">
        <f ca="1">OFFSET(NameConv!$F$4,0,AS81)&amp;OFFSET(NameConv!$AX$4,0,AU81)</f>
        <v>COMCMOX</v>
      </c>
      <c r="E81" s="515" t="str">
        <f ca="1">OFFSET(NameConv!$F$4,0,AS81)&amp;OFFSET(NameConv!$F$59,AT81,AS81)</f>
        <v>COMOGS</v>
      </c>
      <c r="F81" s="740" t="s">
        <v>334</v>
      </c>
      <c r="G81" s="515" t="s">
        <v>337</v>
      </c>
      <c r="H81" s="740" t="s">
        <v>334</v>
      </c>
      <c r="I81" s="516">
        <v>0</v>
      </c>
      <c r="J81" s="517">
        <f ca="1">IF(E81="TRAOKE",0,SUMIF(NameConv!$C$5:$C$45,RIGHT(E81,3),OFFSET(NameConv!$AX$5,0,AU81,NameConv!$A$45,1)))</f>
        <v>8</v>
      </c>
      <c r="K81" s="518"/>
      <c r="L81" s="518"/>
      <c r="M81" s="518"/>
      <c r="N81" s="518"/>
      <c r="O81" s="518"/>
      <c r="P81" s="518"/>
      <c r="Q81" s="518"/>
      <c r="R81" s="518"/>
      <c r="S81" s="518"/>
      <c r="T81" s="518"/>
      <c r="U81" s="518"/>
      <c r="V81" s="518"/>
      <c r="W81" s="518"/>
      <c r="X81" s="518"/>
      <c r="Y81" s="518"/>
      <c r="Z81" s="518"/>
      <c r="AA81" s="518"/>
      <c r="AB81" s="518"/>
      <c r="AC81" s="518"/>
      <c r="AD81" s="518"/>
      <c r="AE81" s="518"/>
      <c r="AF81" s="518"/>
      <c r="AG81" s="518"/>
      <c r="AH81" s="518"/>
      <c r="AI81" s="518"/>
      <c r="AJ81" s="518"/>
      <c r="AK81" s="518"/>
      <c r="AL81" s="518"/>
      <c r="AM81" s="518"/>
      <c r="AN81" s="518"/>
      <c r="AO81" s="518"/>
      <c r="AP81" s="518"/>
      <c r="AQ81" s="518"/>
      <c r="AR81" s="518"/>
      <c r="AS81" s="495">
        <f ca="1">IF(AND(AV80&gt;=SUMIF(NameConv!$C$5:$C$45,RIGHT(E80,3),NameConv!$CG$5:$CG$45),AT80=SUMIF(NameConv!$G$4:$M$4,LEFT(E80,3),NameConv!$G$45:$M$45)),AS80+1,AS80)</f>
        <v>2</v>
      </c>
      <c r="AT81" s="495">
        <f ca="1">IF(AS81&lt;&gt;AS80,1,IF(AV80&gt;=SUMIF(NameConv!$C$5:$C$45,RIGHT(E80,3),NameConv!$CG$5:$CG$45),AT80+1,AT80))</f>
        <v>5</v>
      </c>
      <c r="AU81" s="495">
        <f ca="1">SUMIF(NameConv!$C$5:$C$45,RIGHT(E81,3),OFFSET(NameConv!$CG$5,0,AV81,NameConv!$A$45,1))</f>
        <v>6</v>
      </c>
      <c r="AV81" s="495">
        <f ca="1">IF(AV80&gt;=SUMIF(NameConv!$C$5:$C$45,RIGHT(E80,3),NameConv!$CG$5:$CG$45),1,AV80+1)</f>
        <v>6</v>
      </c>
    </row>
    <row r="82" spans="1:48">
      <c r="A82" s="422" t="str">
        <f t="shared" ca="1" si="3"/>
        <v/>
      </c>
      <c r="B82" s="515" t="str">
        <f t="shared" si="2"/>
        <v>FLO_EMIS</v>
      </c>
      <c r="C82" s="518" t="str">
        <f ca="1">"X"&amp;OFFSET(NameConv!$F$4,0,AS82)&amp;OFFSET(NameConv!$F$59,AT82,AS82)</f>
        <v>XCOMOGS</v>
      </c>
      <c r="D82" s="515" t="str">
        <f ca="1">OFFSET(NameConv!$F$4,0,AS82)&amp;OFFSET(NameConv!$AX$4,0,AU82)</f>
        <v>COMNMVS</v>
      </c>
      <c r="E82" s="515" t="str">
        <f ca="1">OFFSET(NameConv!$F$4,0,AS82)&amp;OFFSET(NameConv!$F$59,AT82,AS82)</f>
        <v>COMOGS</v>
      </c>
      <c r="F82" s="740" t="s">
        <v>334</v>
      </c>
      <c r="G82" s="515" t="s">
        <v>337</v>
      </c>
      <c r="H82" s="740" t="s">
        <v>334</v>
      </c>
      <c r="I82" s="516">
        <v>0</v>
      </c>
      <c r="J82" s="517">
        <f ca="1">IF(E82="TRAOKE",0,SUMIF(NameConv!$C$5:$C$45,RIGHT(E82,3),OFFSET(NameConv!$AX$5,0,AU82,NameConv!$A$45,1)))</f>
        <v>1.5</v>
      </c>
      <c r="K82" s="518"/>
      <c r="L82" s="518"/>
      <c r="M82" s="518"/>
      <c r="N82" s="518"/>
      <c r="O82" s="518"/>
      <c r="P82" s="518"/>
      <c r="Q82" s="518"/>
      <c r="R82" s="518"/>
      <c r="S82" s="518"/>
      <c r="T82" s="518"/>
      <c r="U82" s="518"/>
      <c r="V82" s="518"/>
      <c r="W82" s="518"/>
      <c r="X82" s="518"/>
      <c r="Y82" s="518"/>
      <c r="Z82" s="518"/>
      <c r="AA82" s="518"/>
      <c r="AB82" s="518"/>
      <c r="AC82" s="518"/>
      <c r="AD82" s="518"/>
      <c r="AE82" s="518"/>
      <c r="AF82" s="518"/>
      <c r="AG82" s="518"/>
      <c r="AH82" s="518"/>
      <c r="AI82" s="518"/>
      <c r="AJ82" s="518"/>
      <c r="AK82" s="518"/>
      <c r="AL82" s="518"/>
      <c r="AM82" s="518"/>
      <c r="AN82" s="518"/>
      <c r="AO82" s="518"/>
      <c r="AP82" s="518"/>
      <c r="AQ82" s="518"/>
      <c r="AR82" s="518"/>
      <c r="AS82" s="495">
        <f ca="1">IF(AND(AV81&gt;=SUMIF(NameConv!$C$5:$C$45,RIGHT(E81,3),NameConv!$CG$5:$CG$45),AT81=SUMIF(NameConv!$G$4:$M$4,LEFT(E81,3),NameConv!$G$45:$M$45)),AS81+1,AS81)</f>
        <v>2</v>
      </c>
      <c r="AT82" s="495">
        <f ca="1">IF(AS82&lt;&gt;AS81,1,IF(AV81&gt;=SUMIF(NameConv!$C$5:$C$45,RIGHT(E81,3),NameConv!$CG$5:$CG$45),AT81+1,AT81))</f>
        <v>5</v>
      </c>
      <c r="AU82" s="495">
        <f ca="1">SUMIF(NameConv!$C$5:$C$45,RIGHT(E82,3),OFFSET(NameConv!$CG$5,0,AV82,NameConv!$A$45,1))</f>
        <v>7</v>
      </c>
      <c r="AV82" s="495">
        <f ca="1">IF(AV81&gt;=SUMIF(NameConv!$C$5:$C$45,RIGHT(E81,3),NameConv!$CG$5:$CG$45),1,AV81+1)</f>
        <v>7</v>
      </c>
    </row>
    <row r="83" spans="1:48">
      <c r="A83" s="422" t="str">
        <f t="shared" ca="1" si="3"/>
        <v/>
      </c>
      <c r="B83" s="515" t="str">
        <f t="shared" si="2"/>
        <v>FLO_EMIS</v>
      </c>
      <c r="C83" s="518" t="str">
        <f ca="1">"X"&amp;OFFSET(NameConv!$F$4,0,AS83)&amp;OFFSET(NameConv!$F$59,AT83,AS83)</f>
        <v>XCOMOHF</v>
      </c>
      <c r="D83" s="515" t="str">
        <f ca="1">OFFSET(NameConv!$F$4,0,AS83)&amp;OFFSET(NameConv!$AX$4,0,AU83)</f>
        <v>COMCO2S</v>
      </c>
      <c r="E83" s="515" t="str">
        <f ca="1">OFFSET(NameConv!$F$4,0,AS83)&amp;OFFSET(NameConv!$F$59,AT83,AS83)</f>
        <v>COMOHF</v>
      </c>
      <c r="F83" s="740" t="s">
        <v>334</v>
      </c>
      <c r="G83" s="515" t="s">
        <v>337</v>
      </c>
      <c r="H83" s="740" t="s">
        <v>334</v>
      </c>
      <c r="I83" s="516">
        <v>0</v>
      </c>
      <c r="J83" s="517">
        <f ca="1">IF(E83="TRAOKE",0,SUMIF(NameConv!$C$5:$C$45,RIGHT(E83,3),OFFSET(NameConv!$AX$5,0,AU83,NameConv!$A$45,1)))</f>
        <v>77.400000000000006</v>
      </c>
      <c r="K83" s="518"/>
      <c r="L83" s="518"/>
      <c r="M83" s="518"/>
      <c r="N83" s="518"/>
      <c r="O83" s="518"/>
      <c r="P83" s="518"/>
      <c r="Q83" s="518"/>
      <c r="R83" s="518"/>
      <c r="S83" s="518"/>
      <c r="T83" s="518"/>
      <c r="U83" s="518"/>
      <c r="V83" s="518"/>
      <c r="W83" s="518"/>
      <c r="X83" s="518"/>
      <c r="Y83" s="518"/>
      <c r="Z83" s="518"/>
      <c r="AA83" s="518"/>
      <c r="AB83" s="518"/>
      <c r="AC83" s="518"/>
      <c r="AD83" s="518"/>
      <c r="AE83" s="518"/>
      <c r="AF83" s="518"/>
      <c r="AG83" s="518"/>
      <c r="AH83" s="518"/>
      <c r="AI83" s="518"/>
      <c r="AJ83" s="518"/>
      <c r="AK83" s="518"/>
      <c r="AL83" s="518"/>
      <c r="AM83" s="518"/>
      <c r="AN83" s="518"/>
      <c r="AO83" s="518"/>
      <c r="AP83" s="518"/>
      <c r="AQ83" s="518"/>
      <c r="AR83" s="518"/>
      <c r="AS83" s="495">
        <f ca="1">IF(AND(AV82&gt;=SUMIF(NameConv!$C$5:$C$45,RIGHT(E82,3),NameConv!$CG$5:$CG$45),AT82=SUMIF(NameConv!$G$4:$M$4,LEFT(E82,3),NameConv!$G$45:$M$45)),AS82+1,AS82)</f>
        <v>2</v>
      </c>
      <c r="AT83" s="495">
        <f ca="1">IF(AS83&lt;&gt;AS82,1,IF(AV82&gt;=SUMIF(NameConv!$C$5:$C$45,RIGHT(E82,3),NameConv!$CG$5:$CG$45),AT82+1,AT82))</f>
        <v>6</v>
      </c>
      <c r="AU83" s="495">
        <f ca="1">SUMIF(NameConv!$C$5:$C$45,RIGHT(E83,3),OFFSET(NameConv!$CG$5,0,AV83,NameConv!$A$45,1))</f>
        <v>1</v>
      </c>
      <c r="AV83" s="495">
        <f ca="1">IF(AV82&gt;=SUMIF(NameConv!$C$5:$C$45,RIGHT(E82,3),NameConv!$CG$5:$CG$45),1,AV82+1)</f>
        <v>1</v>
      </c>
    </row>
    <row r="84" spans="1:48">
      <c r="A84" s="422" t="str">
        <f t="shared" ca="1" si="3"/>
        <v/>
      </c>
      <c r="B84" s="515" t="str">
        <f t="shared" si="2"/>
        <v>FLO_EMIS</v>
      </c>
      <c r="C84" s="518" t="str">
        <f ca="1">"X"&amp;OFFSET(NameConv!$F$4,0,AS84)&amp;OFFSET(NameConv!$F$59,AT84,AS84)</f>
        <v>XCOMOHF</v>
      </c>
      <c r="D84" s="515" t="str">
        <f ca="1">OFFSET(NameConv!$F$4,0,AS84)&amp;OFFSET(NameConv!$AX$4,0,AU84)</f>
        <v>COMCH4S</v>
      </c>
      <c r="E84" s="515" t="str">
        <f ca="1">OFFSET(NameConv!$F$4,0,AS84)&amp;OFFSET(NameConv!$F$59,AT84,AS84)</f>
        <v>COMOHF</v>
      </c>
      <c r="F84" s="740" t="s">
        <v>334</v>
      </c>
      <c r="G84" s="515" t="s">
        <v>337</v>
      </c>
      <c r="H84" s="740" t="s">
        <v>334</v>
      </c>
      <c r="I84" s="516">
        <v>0</v>
      </c>
      <c r="J84" s="517">
        <f ca="1">IF(E84="TRAOKE",0,SUMIF(NameConv!$C$5:$C$45,RIGHT(E84,3),OFFSET(NameConv!$AX$5,0,AU84,NameConv!$A$45,1)))</f>
        <v>3.0000000000000001E-3</v>
      </c>
      <c r="K84" s="518"/>
      <c r="L84" s="518"/>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495">
        <f ca="1">IF(AND(AV83&gt;=SUMIF(NameConv!$C$5:$C$45,RIGHT(E83,3),NameConv!$CG$5:$CG$45),AT83=SUMIF(NameConv!$G$4:$M$4,LEFT(E83,3),NameConv!$G$45:$M$45)),AS83+1,AS83)</f>
        <v>2</v>
      </c>
      <c r="AT84" s="495">
        <f ca="1">IF(AS84&lt;&gt;AS83,1,IF(AV83&gt;=SUMIF(NameConv!$C$5:$C$45,RIGHT(E83,3),NameConv!$CG$5:$CG$45),AT83+1,AT83))</f>
        <v>6</v>
      </c>
      <c r="AU84" s="495">
        <f ca="1">SUMIF(NameConv!$C$5:$C$45,RIGHT(E84,3),OFFSET(NameConv!$CG$5,0,AV84,NameConv!$A$45,1))</f>
        <v>2</v>
      </c>
      <c r="AV84" s="495">
        <f ca="1">IF(AV83&gt;=SUMIF(NameConv!$C$5:$C$45,RIGHT(E83,3),NameConv!$CG$5:$CG$45),1,AV83+1)</f>
        <v>2</v>
      </c>
    </row>
    <row r="85" spans="1:48">
      <c r="A85" s="422" t="str">
        <f t="shared" ca="1" si="3"/>
        <v/>
      </c>
      <c r="B85" s="515" t="str">
        <f t="shared" si="2"/>
        <v>FLO_EMIS</v>
      </c>
      <c r="C85" s="518" t="str">
        <f ca="1">"X"&amp;OFFSET(NameConv!$F$4,0,AS85)&amp;OFFSET(NameConv!$F$59,AT85,AS85)</f>
        <v>XCOMOHF</v>
      </c>
      <c r="D85" s="515" t="str">
        <f ca="1">OFFSET(NameConv!$F$4,0,AS85)&amp;OFFSET(NameConv!$AX$4,0,AU85)</f>
        <v>COMN2OS</v>
      </c>
      <c r="E85" s="515" t="str">
        <f ca="1">OFFSET(NameConv!$F$4,0,AS85)&amp;OFFSET(NameConv!$F$59,AT85,AS85)</f>
        <v>COMOHF</v>
      </c>
      <c r="F85" s="740" t="s">
        <v>334</v>
      </c>
      <c r="G85" s="515" t="s">
        <v>337</v>
      </c>
      <c r="H85" s="740" t="s">
        <v>334</v>
      </c>
      <c r="I85" s="516">
        <v>0</v>
      </c>
      <c r="J85" s="517">
        <f ca="1">IF(E85="TRAOKE",0,SUMIF(NameConv!$C$5:$C$45,RIGHT(E85,3),OFFSET(NameConv!$AX$5,0,AU85,NameConv!$A$45,1)))</f>
        <v>5.9999999999999995E-4</v>
      </c>
      <c r="K85" s="518"/>
      <c r="L85" s="518"/>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495">
        <f ca="1">IF(AND(AV84&gt;=SUMIF(NameConv!$C$5:$C$45,RIGHT(E84,3),NameConv!$CG$5:$CG$45),AT84=SUMIF(NameConv!$G$4:$M$4,LEFT(E84,3),NameConv!$G$45:$M$45)),AS84+1,AS84)</f>
        <v>2</v>
      </c>
      <c r="AT85" s="495">
        <f ca="1">IF(AS85&lt;&gt;AS84,1,IF(AV84&gt;=SUMIF(NameConv!$C$5:$C$45,RIGHT(E84,3),NameConv!$CG$5:$CG$45),AT84+1,AT84))</f>
        <v>6</v>
      </c>
      <c r="AU85" s="495">
        <f ca="1">SUMIF(NameConv!$C$5:$C$45,RIGHT(E85,3),OFFSET(NameConv!$CG$5,0,AV85,NameConv!$A$45,1))</f>
        <v>3</v>
      </c>
      <c r="AV85" s="495">
        <f ca="1">IF(AV84&gt;=SUMIF(NameConv!$C$5:$C$45,RIGHT(E84,3),NameConv!$CG$5:$CG$45),1,AV84+1)</f>
        <v>3</v>
      </c>
    </row>
    <row r="86" spans="1:48">
      <c r="A86" s="422" t="str">
        <f t="shared" ca="1" si="3"/>
        <v/>
      </c>
      <c r="B86" s="515" t="str">
        <f t="shared" si="2"/>
        <v>FLO_EMIS</v>
      </c>
      <c r="C86" s="518" t="str">
        <f ca="1">"X"&amp;OFFSET(NameConv!$F$4,0,AS86)&amp;OFFSET(NameConv!$F$59,AT86,AS86)</f>
        <v>XCOMOHF</v>
      </c>
      <c r="D86" s="515" t="str">
        <f ca="1">OFFSET(NameConv!$F$4,0,AS86)&amp;OFFSET(NameConv!$AX$4,0,AU86)</f>
        <v>COMSOXS</v>
      </c>
      <c r="E86" s="515" t="str">
        <f ca="1">OFFSET(NameConv!$F$4,0,AS86)&amp;OFFSET(NameConv!$F$59,AT86,AS86)</f>
        <v>COMOHF</v>
      </c>
      <c r="F86" s="740" t="s">
        <v>334</v>
      </c>
      <c r="G86" s="515" t="s">
        <v>337</v>
      </c>
      <c r="H86" s="740" t="s">
        <v>334</v>
      </c>
      <c r="I86" s="516">
        <v>0</v>
      </c>
      <c r="J86" s="517">
        <f ca="1">IF(E86="TRAOKE",0,SUMIF(NameConv!$C$5:$C$45,RIGHT(E86,3),OFFSET(NameConv!$AX$5,0,AU86,NameConv!$A$45,1)))</f>
        <v>1.5290999999999999</v>
      </c>
      <c r="K86" s="518"/>
      <c r="L86" s="518"/>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495">
        <f ca="1">IF(AND(AV85&gt;=SUMIF(NameConv!$C$5:$C$45,RIGHT(E85,3),NameConv!$CG$5:$CG$45),AT85=SUMIF(NameConv!$G$4:$M$4,LEFT(E85,3),NameConv!$G$45:$M$45)),AS85+1,AS85)</f>
        <v>2</v>
      </c>
      <c r="AT86" s="495">
        <f ca="1">IF(AS86&lt;&gt;AS85,1,IF(AV85&gt;=SUMIF(NameConv!$C$5:$C$45,RIGHT(E85,3),NameConv!$CG$5:$CG$45),AT85+1,AT85))</f>
        <v>6</v>
      </c>
      <c r="AU86" s="495">
        <f ca="1">SUMIF(NameConv!$C$5:$C$45,RIGHT(E86,3),OFFSET(NameConv!$CG$5,0,AV86,NameConv!$A$45,1))</f>
        <v>4</v>
      </c>
      <c r="AV86" s="495">
        <f ca="1">IF(AV85&gt;=SUMIF(NameConv!$C$5:$C$45,RIGHT(E85,3),NameConv!$CG$5:$CG$45),1,AV85+1)</f>
        <v>4</v>
      </c>
    </row>
    <row r="87" spans="1:48">
      <c r="A87" s="422" t="str">
        <f t="shared" ca="1" si="3"/>
        <v/>
      </c>
      <c r="B87" s="515" t="str">
        <f t="shared" si="2"/>
        <v>FLO_EMIS</v>
      </c>
      <c r="C87" s="518" t="str">
        <f ca="1">"X"&amp;OFFSET(NameConv!$F$4,0,AS87)&amp;OFFSET(NameConv!$F$59,AT87,AS87)</f>
        <v>XCOMOHF</v>
      </c>
      <c r="D87" s="515" t="str">
        <f ca="1">OFFSET(NameConv!$F$4,0,AS87)&amp;OFFSET(NameConv!$AX$4,0,AU87)</f>
        <v>COMNOXS</v>
      </c>
      <c r="E87" s="515" t="str">
        <f ca="1">OFFSET(NameConv!$F$4,0,AS87)&amp;OFFSET(NameConv!$F$59,AT87,AS87)</f>
        <v>COMOHF</v>
      </c>
      <c r="F87" s="740" t="s">
        <v>334</v>
      </c>
      <c r="G87" s="515" t="s">
        <v>337</v>
      </c>
      <c r="H87" s="740" t="s">
        <v>334</v>
      </c>
      <c r="I87" s="516">
        <v>0</v>
      </c>
      <c r="J87" s="517">
        <f ca="1">IF(E87="TRAOKE",0,SUMIF(NameConv!$C$5:$C$45,RIGHT(E87,3),OFFSET(NameConv!$AX$5,0,AU87,NameConv!$A$45,1)))</f>
        <v>0.2</v>
      </c>
      <c r="K87" s="518"/>
      <c r="L87" s="518"/>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495">
        <f ca="1">IF(AND(AV86&gt;=SUMIF(NameConv!$C$5:$C$45,RIGHT(E86,3),NameConv!$CG$5:$CG$45),AT86=SUMIF(NameConv!$G$4:$M$4,LEFT(E86,3),NameConv!$G$45:$M$45)),AS86+1,AS86)</f>
        <v>2</v>
      </c>
      <c r="AT87" s="495">
        <f ca="1">IF(AS87&lt;&gt;AS86,1,IF(AV86&gt;=SUMIF(NameConv!$C$5:$C$45,RIGHT(E86,3),NameConv!$CG$5:$CG$45),AT86+1,AT86))</f>
        <v>6</v>
      </c>
      <c r="AU87" s="495">
        <f ca="1">SUMIF(NameConv!$C$5:$C$45,RIGHT(E87,3),OFFSET(NameConv!$CG$5,0,AV87,NameConv!$A$45,1))</f>
        <v>5</v>
      </c>
      <c r="AV87" s="495">
        <f ca="1">IF(AV86&gt;=SUMIF(NameConv!$C$5:$C$45,RIGHT(E86,3),NameConv!$CG$5:$CG$45),1,AV86+1)</f>
        <v>5</v>
      </c>
    </row>
    <row r="88" spans="1:48">
      <c r="A88" s="422" t="str">
        <f t="shared" ca="1" si="3"/>
        <v/>
      </c>
      <c r="B88" s="515" t="str">
        <f t="shared" si="2"/>
        <v>FLO_EMIS</v>
      </c>
      <c r="C88" s="518" t="str">
        <f ca="1">"X"&amp;OFFSET(NameConv!$F$4,0,AS88)&amp;OFFSET(NameConv!$F$59,AT88,AS88)</f>
        <v>XCOMOHF</v>
      </c>
      <c r="D88" s="515" t="str">
        <f ca="1">OFFSET(NameConv!$F$4,0,AS88)&amp;OFFSET(NameConv!$AX$4,0,AU88)</f>
        <v>COMCMOX</v>
      </c>
      <c r="E88" s="515" t="str">
        <f ca="1">OFFSET(NameConv!$F$4,0,AS88)&amp;OFFSET(NameConv!$F$59,AT88,AS88)</f>
        <v>COMOHF</v>
      </c>
      <c r="F88" s="740" t="s">
        <v>334</v>
      </c>
      <c r="G88" s="515" t="s">
        <v>337</v>
      </c>
      <c r="H88" s="740" t="s">
        <v>334</v>
      </c>
      <c r="I88" s="516">
        <v>0</v>
      </c>
      <c r="J88" s="517">
        <f ca="1">IF(E88="TRAOKE",0,SUMIF(NameConv!$C$5:$C$45,RIGHT(E88,3),OFFSET(NameConv!$AX$5,0,AU88,NameConv!$A$45,1)))</f>
        <v>0.01</v>
      </c>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518"/>
      <c r="AK88" s="518"/>
      <c r="AL88" s="518"/>
      <c r="AM88" s="518"/>
      <c r="AN88" s="518"/>
      <c r="AO88" s="518"/>
      <c r="AP88" s="518"/>
      <c r="AQ88" s="518"/>
      <c r="AR88" s="518"/>
      <c r="AS88" s="495">
        <f ca="1">IF(AND(AV87&gt;=SUMIF(NameConv!$C$5:$C$45,RIGHT(E87,3),NameConv!$CG$5:$CG$45),AT87=SUMIF(NameConv!$G$4:$M$4,LEFT(E87,3),NameConv!$G$45:$M$45)),AS87+1,AS87)</f>
        <v>2</v>
      </c>
      <c r="AT88" s="495">
        <f ca="1">IF(AS88&lt;&gt;AS87,1,IF(AV87&gt;=SUMIF(NameConv!$C$5:$C$45,RIGHT(E87,3),NameConv!$CG$5:$CG$45),AT87+1,AT87))</f>
        <v>6</v>
      </c>
      <c r="AU88" s="495">
        <f ca="1">SUMIF(NameConv!$C$5:$C$45,RIGHT(E88,3),OFFSET(NameConv!$CG$5,0,AV88,NameConv!$A$45,1))</f>
        <v>6</v>
      </c>
      <c r="AV88" s="495">
        <f ca="1">IF(AV87&gt;=SUMIF(NameConv!$C$5:$C$45,RIGHT(E87,3),NameConv!$CG$5:$CG$45),1,AV87+1)</f>
        <v>6</v>
      </c>
    </row>
    <row r="89" spans="1:48">
      <c r="A89" s="422" t="str">
        <f t="shared" ca="1" si="3"/>
        <v/>
      </c>
      <c r="B89" s="515" t="str">
        <f t="shared" si="2"/>
        <v>FLO_EMIS</v>
      </c>
      <c r="C89" s="518" t="str">
        <f ca="1">"X"&amp;OFFSET(NameConv!$F$4,0,AS89)&amp;OFFSET(NameConv!$F$59,AT89,AS89)</f>
        <v>XCOMOHF</v>
      </c>
      <c r="D89" s="515" t="str">
        <f ca="1">OFFSET(NameConv!$F$4,0,AS89)&amp;OFFSET(NameConv!$AX$4,0,AU89)</f>
        <v>COMNMVS</v>
      </c>
      <c r="E89" s="515" t="str">
        <f ca="1">OFFSET(NameConv!$F$4,0,AS89)&amp;OFFSET(NameConv!$F$59,AT89,AS89)</f>
        <v>COMOHF</v>
      </c>
      <c r="F89" s="740" t="s">
        <v>334</v>
      </c>
      <c r="G89" s="515" t="s">
        <v>337</v>
      </c>
      <c r="H89" s="740" t="s">
        <v>334</v>
      </c>
      <c r="I89" s="516">
        <v>0</v>
      </c>
      <c r="J89" s="517">
        <f ca="1">IF(E89="TRAOKE",0,SUMIF(NameConv!$C$5:$C$45,RIGHT(E89,3),OFFSET(NameConv!$AX$5,0,AU89,NameConv!$A$45,1)))</f>
        <v>5.0000000000000001E-3</v>
      </c>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495">
        <f ca="1">IF(AND(AV88&gt;=SUMIF(NameConv!$C$5:$C$45,RIGHT(E88,3),NameConv!$CG$5:$CG$45),AT88=SUMIF(NameConv!$G$4:$M$4,LEFT(E88,3),NameConv!$G$45:$M$45)),AS88+1,AS88)</f>
        <v>2</v>
      </c>
      <c r="AT89" s="495">
        <f ca="1">IF(AS89&lt;&gt;AS88,1,IF(AV88&gt;=SUMIF(NameConv!$C$5:$C$45,RIGHT(E88,3),NameConv!$CG$5:$CG$45),AT88+1,AT88))</f>
        <v>6</v>
      </c>
      <c r="AU89" s="495">
        <f ca="1">SUMIF(NameConv!$C$5:$C$45,RIGHT(E89,3),OFFSET(NameConv!$CG$5,0,AV89,NameConv!$A$45,1))</f>
        <v>7</v>
      </c>
      <c r="AV89" s="495">
        <f ca="1">IF(AV88&gt;=SUMIF(NameConv!$C$5:$C$45,RIGHT(E88,3),NameConv!$CG$5:$CG$45),1,AV88+1)</f>
        <v>7</v>
      </c>
    </row>
    <row r="90" spans="1:48">
      <c r="A90" s="422" t="str">
        <f t="shared" ca="1" si="3"/>
        <v/>
      </c>
      <c r="B90" s="515" t="str">
        <f t="shared" si="2"/>
        <v>FLO_EMIS</v>
      </c>
      <c r="C90" s="518" t="str">
        <f ca="1">"X"&amp;OFFSET(NameConv!$F$4,0,AS90)&amp;OFFSET(NameConv!$F$59,AT90,AS90)</f>
        <v>XCOMOKE</v>
      </c>
      <c r="D90" s="515" t="str">
        <f ca="1">OFFSET(NameConv!$F$4,0,AS90)&amp;OFFSET(NameConv!$AX$4,0,AU90)</f>
        <v>COMCO2S</v>
      </c>
      <c r="E90" s="515" t="str">
        <f ca="1">OFFSET(NameConv!$F$4,0,AS90)&amp;OFFSET(NameConv!$F$59,AT90,AS90)</f>
        <v>COMOKE</v>
      </c>
      <c r="F90" s="740" t="s">
        <v>334</v>
      </c>
      <c r="G90" s="515" t="s">
        <v>337</v>
      </c>
      <c r="H90" s="740" t="s">
        <v>334</v>
      </c>
      <c r="I90" s="516">
        <v>0</v>
      </c>
      <c r="J90" s="517">
        <f ca="1">IF(E90="TRAOKE",0,SUMIF(NameConv!$C$5:$C$45,RIGHT(E90,3),OFFSET(NameConv!$AX$5,0,AU90,NameConv!$A$45,1)))</f>
        <v>72.900000000000006</v>
      </c>
      <c r="K90" s="518"/>
      <c r="L90" s="518"/>
      <c r="M90" s="518"/>
      <c r="N90" s="518"/>
      <c r="O90" s="518"/>
      <c r="P90" s="518"/>
      <c r="Q90" s="518"/>
      <c r="R90" s="518"/>
      <c r="S90" s="518"/>
      <c r="T90" s="518"/>
      <c r="U90" s="518"/>
      <c r="V90" s="518"/>
      <c r="W90" s="518"/>
      <c r="X90" s="518"/>
      <c r="Y90" s="518"/>
      <c r="Z90" s="518"/>
      <c r="AA90" s="518"/>
      <c r="AB90" s="518"/>
      <c r="AC90" s="518"/>
      <c r="AD90" s="518"/>
      <c r="AE90" s="518"/>
      <c r="AF90" s="518"/>
      <c r="AG90" s="518"/>
      <c r="AH90" s="518"/>
      <c r="AI90" s="518"/>
      <c r="AJ90" s="518"/>
      <c r="AK90" s="518"/>
      <c r="AL90" s="518"/>
      <c r="AM90" s="518"/>
      <c r="AN90" s="518"/>
      <c r="AO90" s="518"/>
      <c r="AP90" s="518"/>
      <c r="AQ90" s="518"/>
      <c r="AR90" s="518"/>
      <c r="AS90" s="495">
        <f ca="1">IF(AND(AV89&gt;=SUMIF(NameConv!$C$5:$C$45,RIGHT(E89,3),NameConv!$CG$5:$CG$45),AT89=SUMIF(NameConv!$G$4:$M$4,LEFT(E89,3),NameConv!$G$45:$M$45)),AS89+1,AS89)</f>
        <v>2</v>
      </c>
      <c r="AT90" s="495">
        <f ca="1">IF(AS90&lt;&gt;AS89,1,IF(AV89&gt;=SUMIF(NameConv!$C$5:$C$45,RIGHT(E89,3),NameConv!$CG$5:$CG$45),AT89+1,AT89))</f>
        <v>7</v>
      </c>
      <c r="AU90" s="495">
        <f ca="1">SUMIF(NameConv!$C$5:$C$45,RIGHT(E90,3),OFFSET(NameConv!$CG$5,0,AV90,NameConv!$A$45,1))</f>
        <v>1</v>
      </c>
      <c r="AV90" s="495">
        <f ca="1">IF(AV89&gt;=SUMIF(NameConv!$C$5:$C$45,RIGHT(E89,3),NameConv!$CG$5:$CG$45),1,AV89+1)</f>
        <v>1</v>
      </c>
    </row>
    <row r="91" spans="1:48">
      <c r="A91" s="422" t="str">
        <f t="shared" ca="1" si="3"/>
        <v/>
      </c>
      <c r="B91" s="515" t="str">
        <f t="shared" si="2"/>
        <v>FLO_EMIS</v>
      </c>
      <c r="C91" s="518" t="str">
        <f ca="1">"X"&amp;OFFSET(NameConv!$F$4,0,AS91)&amp;OFFSET(NameConv!$F$59,AT91,AS91)</f>
        <v>XCOMOKE</v>
      </c>
      <c r="D91" s="515" t="str">
        <f ca="1">OFFSET(NameConv!$F$4,0,AS91)&amp;OFFSET(NameConv!$AX$4,0,AU91)</f>
        <v>COMCH4S</v>
      </c>
      <c r="E91" s="515" t="str">
        <f ca="1">OFFSET(NameConv!$F$4,0,AS91)&amp;OFFSET(NameConv!$F$59,AT91,AS91)</f>
        <v>COMOKE</v>
      </c>
      <c r="F91" s="740" t="s">
        <v>334</v>
      </c>
      <c r="G91" s="515" t="s">
        <v>337</v>
      </c>
      <c r="H91" s="740" t="s">
        <v>334</v>
      </c>
      <c r="I91" s="516">
        <v>0</v>
      </c>
      <c r="J91" s="517">
        <f ca="1">IF(E91="TRAOKE",0,SUMIF(NameConv!$C$5:$C$45,RIGHT(E91,3),OFFSET(NameConv!$AX$5,0,AU91,NameConv!$A$45,1)))</f>
        <v>3.0000000000000001E-3</v>
      </c>
      <c r="K91" s="518"/>
      <c r="L91" s="518"/>
      <c r="M91" s="518"/>
      <c r="N91" s="518"/>
      <c r="O91" s="518"/>
      <c r="P91" s="518"/>
      <c r="Q91" s="518"/>
      <c r="R91" s="518"/>
      <c r="S91" s="518"/>
      <c r="T91" s="518"/>
      <c r="U91" s="518"/>
      <c r="V91" s="518"/>
      <c r="W91" s="518"/>
      <c r="X91" s="518"/>
      <c r="Y91" s="518"/>
      <c r="Z91" s="518"/>
      <c r="AA91" s="518"/>
      <c r="AB91" s="518"/>
      <c r="AC91" s="518"/>
      <c r="AD91" s="518"/>
      <c r="AE91" s="518"/>
      <c r="AF91" s="518"/>
      <c r="AG91" s="518"/>
      <c r="AH91" s="518"/>
      <c r="AI91" s="518"/>
      <c r="AJ91" s="518"/>
      <c r="AK91" s="518"/>
      <c r="AL91" s="518"/>
      <c r="AM91" s="518"/>
      <c r="AN91" s="518"/>
      <c r="AO91" s="518"/>
      <c r="AP91" s="518"/>
      <c r="AQ91" s="518"/>
      <c r="AR91" s="518"/>
      <c r="AS91" s="495">
        <f ca="1">IF(AND(AV90&gt;=SUMIF(NameConv!$C$5:$C$45,RIGHT(E90,3),NameConv!$CG$5:$CG$45),AT90=SUMIF(NameConv!$G$4:$M$4,LEFT(E90,3),NameConv!$G$45:$M$45)),AS90+1,AS90)</f>
        <v>2</v>
      </c>
      <c r="AT91" s="495">
        <f ca="1">IF(AS91&lt;&gt;AS90,1,IF(AV90&gt;=SUMIF(NameConv!$C$5:$C$45,RIGHT(E90,3),NameConv!$CG$5:$CG$45),AT90+1,AT90))</f>
        <v>7</v>
      </c>
      <c r="AU91" s="495">
        <f ca="1">SUMIF(NameConv!$C$5:$C$45,RIGHT(E91,3),OFFSET(NameConv!$CG$5,0,AV91,NameConv!$A$45,1))</f>
        <v>2</v>
      </c>
      <c r="AV91" s="495">
        <f ca="1">IF(AV90&gt;=SUMIF(NameConv!$C$5:$C$45,RIGHT(E90,3),NameConv!$CG$5:$CG$45),1,AV90+1)</f>
        <v>2</v>
      </c>
    </row>
    <row r="92" spans="1:48">
      <c r="A92" s="422" t="str">
        <f t="shared" ca="1" si="3"/>
        <v/>
      </c>
      <c r="B92" s="515" t="str">
        <f t="shared" si="2"/>
        <v>FLO_EMIS</v>
      </c>
      <c r="C92" s="518" t="str">
        <f ca="1">"X"&amp;OFFSET(NameConv!$F$4,0,AS92)&amp;OFFSET(NameConv!$F$59,AT92,AS92)</f>
        <v>XCOMOKE</v>
      </c>
      <c r="D92" s="515" t="str">
        <f ca="1">OFFSET(NameConv!$F$4,0,AS92)&amp;OFFSET(NameConv!$AX$4,0,AU92)</f>
        <v>COMN2OS</v>
      </c>
      <c r="E92" s="515" t="str">
        <f ca="1">OFFSET(NameConv!$F$4,0,AS92)&amp;OFFSET(NameConv!$F$59,AT92,AS92)</f>
        <v>COMOKE</v>
      </c>
      <c r="F92" s="740" t="s">
        <v>334</v>
      </c>
      <c r="G92" s="515" t="s">
        <v>337</v>
      </c>
      <c r="H92" s="740" t="s">
        <v>334</v>
      </c>
      <c r="I92" s="516">
        <v>0</v>
      </c>
      <c r="J92" s="517">
        <f ca="1">IF(E92="TRAOKE",0,SUMIF(NameConv!$C$5:$C$45,RIGHT(E92,3),OFFSET(NameConv!$AX$5,0,AU92,NameConv!$A$45,1)))</f>
        <v>5.9999999999999995E-4</v>
      </c>
      <c r="K92" s="518"/>
      <c r="L92" s="518"/>
      <c r="M92" s="518"/>
      <c r="N92" s="518"/>
      <c r="O92" s="518"/>
      <c r="P92" s="518"/>
      <c r="Q92" s="518"/>
      <c r="R92" s="518"/>
      <c r="S92" s="518"/>
      <c r="T92" s="518"/>
      <c r="U92" s="518"/>
      <c r="V92" s="518"/>
      <c r="W92" s="518"/>
      <c r="X92" s="518"/>
      <c r="Y92" s="518"/>
      <c r="Z92" s="518"/>
      <c r="AA92" s="518"/>
      <c r="AB92" s="518"/>
      <c r="AC92" s="518"/>
      <c r="AD92" s="518"/>
      <c r="AE92" s="518"/>
      <c r="AF92" s="518"/>
      <c r="AG92" s="518"/>
      <c r="AH92" s="518"/>
      <c r="AI92" s="518"/>
      <c r="AJ92" s="518"/>
      <c r="AK92" s="518"/>
      <c r="AL92" s="518"/>
      <c r="AM92" s="518"/>
      <c r="AN92" s="518"/>
      <c r="AO92" s="518"/>
      <c r="AP92" s="518"/>
      <c r="AQ92" s="518"/>
      <c r="AR92" s="518"/>
      <c r="AS92" s="495">
        <f ca="1">IF(AND(AV91&gt;=SUMIF(NameConv!$C$5:$C$45,RIGHT(E91,3),NameConv!$CG$5:$CG$45),AT91=SUMIF(NameConv!$G$4:$M$4,LEFT(E91,3),NameConv!$G$45:$M$45)),AS91+1,AS91)</f>
        <v>2</v>
      </c>
      <c r="AT92" s="495">
        <f ca="1">IF(AS92&lt;&gt;AS91,1,IF(AV91&gt;=SUMIF(NameConv!$C$5:$C$45,RIGHT(E91,3),NameConv!$CG$5:$CG$45),AT91+1,AT91))</f>
        <v>7</v>
      </c>
      <c r="AU92" s="495">
        <f ca="1">SUMIF(NameConv!$C$5:$C$45,RIGHT(E92,3),OFFSET(NameConv!$CG$5,0,AV92,NameConv!$A$45,1))</f>
        <v>3</v>
      </c>
      <c r="AV92" s="495">
        <f ca="1">IF(AV91&gt;=SUMIF(NameConv!$C$5:$C$45,RIGHT(E91,3),NameConv!$CG$5:$CG$45),1,AV91+1)</f>
        <v>3</v>
      </c>
    </row>
    <row r="93" spans="1:48">
      <c r="A93" s="422" t="str">
        <f t="shared" ca="1" si="3"/>
        <v/>
      </c>
      <c r="B93" s="515" t="str">
        <f t="shared" si="2"/>
        <v>FLO_EMIS</v>
      </c>
      <c r="C93" s="518" t="str">
        <f ca="1">"X"&amp;OFFSET(NameConv!$F$4,0,AS93)&amp;OFFSET(NameConv!$F$59,AT93,AS93)</f>
        <v>XCOMOKE</v>
      </c>
      <c r="D93" s="515" t="str">
        <f ca="1">OFFSET(NameConv!$F$4,0,AS93)&amp;OFFSET(NameConv!$AX$4,0,AU93)</f>
        <v>COMSOXS</v>
      </c>
      <c r="E93" s="515" t="str">
        <f ca="1">OFFSET(NameConv!$F$4,0,AS93)&amp;OFFSET(NameConv!$F$59,AT93,AS93)</f>
        <v>COMOKE</v>
      </c>
      <c r="F93" s="740" t="s">
        <v>334</v>
      </c>
      <c r="G93" s="515" t="s">
        <v>337</v>
      </c>
      <c r="H93" s="740" t="s">
        <v>334</v>
      </c>
      <c r="I93" s="516">
        <v>0</v>
      </c>
      <c r="J93" s="517">
        <f ca="1">IF(E93="TRAOKE",0,SUMIF(NameConv!$C$5:$C$45,RIGHT(E93,3),OFFSET(NameConv!$AX$5,0,AU93,NameConv!$A$45,1)))</f>
        <v>4.5900000000000003E-2</v>
      </c>
      <c r="K93" s="518"/>
      <c r="L93" s="518"/>
      <c r="M93" s="518"/>
      <c r="N93" s="518"/>
      <c r="O93" s="518"/>
      <c r="P93" s="518"/>
      <c r="Q93" s="518"/>
      <c r="R93" s="518"/>
      <c r="S93" s="518"/>
      <c r="T93" s="518"/>
      <c r="U93" s="518"/>
      <c r="V93" s="518"/>
      <c r="W93" s="518"/>
      <c r="X93" s="518"/>
      <c r="Y93" s="518"/>
      <c r="Z93" s="518"/>
      <c r="AA93" s="518"/>
      <c r="AB93" s="518"/>
      <c r="AC93" s="518"/>
      <c r="AD93" s="518"/>
      <c r="AE93" s="518"/>
      <c r="AF93" s="518"/>
      <c r="AG93" s="518"/>
      <c r="AH93" s="518"/>
      <c r="AI93" s="518"/>
      <c r="AJ93" s="518"/>
      <c r="AK93" s="518"/>
      <c r="AL93" s="518"/>
      <c r="AM93" s="518"/>
      <c r="AN93" s="518"/>
      <c r="AO93" s="518"/>
      <c r="AP93" s="518"/>
      <c r="AQ93" s="518"/>
      <c r="AR93" s="518"/>
      <c r="AS93" s="495">
        <f ca="1">IF(AND(AV92&gt;=SUMIF(NameConv!$C$5:$C$45,RIGHT(E92,3),NameConv!$CG$5:$CG$45),AT92=SUMIF(NameConv!$G$4:$M$4,LEFT(E92,3),NameConv!$G$45:$M$45)),AS92+1,AS92)</f>
        <v>2</v>
      </c>
      <c r="AT93" s="495">
        <f ca="1">IF(AS93&lt;&gt;AS92,1,IF(AV92&gt;=SUMIF(NameConv!$C$5:$C$45,RIGHT(E92,3),NameConv!$CG$5:$CG$45),AT92+1,AT92))</f>
        <v>7</v>
      </c>
      <c r="AU93" s="495">
        <f ca="1">SUMIF(NameConv!$C$5:$C$45,RIGHT(E93,3),OFFSET(NameConv!$CG$5,0,AV93,NameConv!$A$45,1))</f>
        <v>4</v>
      </c>
      <c r="AV93" s="495">
        <f ca="1">IF(AV92&gt;=SUMIF(NameConv!$C$5:$C$45,RIGHT(E92,3),NameConv!$CG$5:$CG$45),1,AV92+1)</f>
        <v>4</v>
      </c>
    </row>
    <row r="94" spans="1:48">
      <c r="A94" s="422" t="str">
        <f t="shared" ca="1" si="3"/>
        <v/>
      </c>
      <c r="B94" s="515" t="str">
        <f t="shared" si="2"/>
        <v>FLO_EMIS</v>
      </c>
      <c r="C94" s="518" t="str">
        <f ca="1">"X"&amp;OFFSET(NameConv!$F$4,0,AS94)&amp;OFFSET(NameConv!$F$59,AT94,AS94)</f>
        <v>XCOMOKE</v>
      </c>
      <c r="D94" s="515" t="str">
        <f ca="1">OFFSET(NameConv!$F$4,0,AS94)&amp;OFFSET(NameConv!$AX$4,0,AU94)</f>
        <v>COMNOXS</v>
      </c>
      <c r="E94" s="515" t="str">
        <f ca="1">OFFSET(NameConv!$F$4,0,AS94)&amp;OFFSET(NameConv!$F$59,AT94,AS94)</f>
        <v>COMOKE</v>
      </c>
      <c r="F94" s="740" t="s">
        <v>334</v>
      </c>
      <c r="G94" s="515" t="s">
        <v>337</v>
      </c>
      <c r="H94" s="740" t="s">
        <v>334</v>
      </c>
      <c r="I94" s="516">
        <v>0</v>
      </c>
      <c r="J94" s="517">
        <f ca="1">IF(E94="TRAOKE",0,SUMIF(NameConv!$C$5:$C$45,RIGHT(E94,3),OFFSET(NameConv!$AX$5,0,AU94,NameConv!$A$45,1)))</f>
        <v>0.2</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495">
        <f ca="1">IF(AND(AV93&gt;=SUMIF(NameConv!$C$5:$C$45,RIGHT(E93,3),NameConv!$CG$5:$CG$45),AT93=SUMIF(NameConv!$G$4:$M$4,LEFT(E93,3),NameConv!$G$45:$M$45)),AS93+1,AS93)</f>
        <v>2</v>
      </c>
      <c r="AT94" s="495">
        <f ca="1">IF(AS94&lt;&gt;AS93,1,IF(AV93&gt;=SUMIF(NameConv!$C$5:$C$45,RIGHT(E93,3),NameConv!$CG$5:$CG$45),AT93+1,AT93))</f>
        <v>7</v>
      </c>
      <c r="AU94" s="495">
        <f ca="1">SUMIF(NameConv!$C$5:$C$45,RIGHT(E94,3),OFFSET(NameConv!$CG$5,0,AV94,NameConv!$A$45,1))</f>
        <v>5</v>
      </c>
      <c r="AV94" s="495">
        <f ca="1">IF(AV93&gt;=SUMIF(NameConv!$C$5:$C$45,RIGHT(E93,3),NameConv!$CG$5:$CG$45),1,AV93+1)</f>
        <v>5</v>
      </c>
    </row>
    <row r="95" spans="1:48">
      <c r="A95" s="422" t="str">
        <f t="shared" ca="1" si="3"/>
        <v/>
      </c>
      <c r="B95" s="515" t="str">
        <f t="shared" si="2"/>
        <v>FLO_EMIS</v>
      </c>
      <c r="C95" s="518" t="str">
        <f ca="1">"X"&amp;OFFSET(NameConv!$F$4,0,AS95)&amp;OFFSET(NameConv!$F$59,AT95,AS95)</f>
        <v>XCOMOKE</v>
      </c>
      <c r="D95" s="515" t="str">
        <f ca="1">OFFSET(NameConv!$F$4,0,AS95)&amp;OFFSET(NameConv!$AX$4,0,AU95)</f>
        <v>COMCMOX</v>
      </c>
      <c r="E95" s="515" t="str">
        <f ca="1">OFFSET(NameConv!$F$4,0,AS95)&amp;OFFSET(NameConv!$F$59,AT95,AS95)</f>
        <v>COMOKE</v>
      </c>
      <c r="F95" s="740" t="s">
        <v>334</v>
      </c>
      <c r="G95" s="515" t="s">
        <v>337</v>
      </c>
      <c r="H95" s="740" t="s">
        <v>334</v>
      </c>
      <c r="I95" s="516">
        <v>0</v>
      </c>
      <c r="J95" s="517">
        <f ca="1">IF(E95="TRAOKE",0,SUMIF(NameConv!$C$5:$C$45,RIGHT(E95,3),OFFSET(NameConv!$AX$5,0,AU95,NameConv!$A$45,1)))</f>
        <v>0.01</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495">
        <f ca="1">IF(AND(AV94&gt;=SUMIF(NameConv!$C$5:$C$45,RIGHT(E94,3),NameConv!$CG$5:$CG$45),AT94=SUMIF(NameConv!$G$4:$M$4,LEFT(E94,3),NameConv!$G$45:$M$45)),AS94+1,AS94)</f>
        <v>2</v>
      </c>
      <c r="AT95" s="495">
        <f ca="1">IF(AS95&lt;&gt;AS94,1,IF(AV94&gt;=SUMIF(NameConv!$C$5:$C$45,RIGHT(E94,3),NameConv!$CG$5:$CG$45),AT94+1,AT94))</f>
        <v>7</v>
      </c>
      <c r="AU95" s="495">
        <f ca="1">SUMIF(NameConv!$C$5:$C$45,RIGHT(E95,3),OFFSET(NameConv!$CG$5,0,AV95,NameConv!$A$45,1))</f>
        <v>6</v>
      </c>
      <c r="AV95" s="495">
        <f ca="1">IF(AV94&gt;=SUMIF(NameConv!$C$5:$C$45,RIGHT(E94,3),NameConv!$CG$5:$CG$45),1,AV94+1)</f>
        <v>6</v>
      </c>
    </row>
    <row r="96" spans="1:48">
      <c r="A96" s="422" t="str">
        <f t="shared" ca="1" si="3"/>
        <v/>
      </c>
      <c r="B96" s="515" t="str">
        <f t="shared" si="2"/>
        <v>FLO_EMIS</v>
      </c>
      <c r="C96" s="518" t="str">
        <f ca="1">"X"&amp;OFFSET(NameConv!$F$4,0,AS96)&amp;OFFSET(NameConv!$F$59,AT96,AS96)</f>
        <v>XCOMOKE</v>
      </c>
      <c r="D96" s="515" t="str">
        <f ca="1">OFFSET(NameConv!$F$4,0,AS96)&amp;OFFSET(NameConv!$AX$4,0,AU96)</f>
        <v>COMNMVS</v>
      </c>
      <c r="E96" s="515" t="str">
        <f ca="1">OFFSET(NameConv!$F$4,0,AS96)&amp;OFFSET(NameConv!$F$59,AT96,AS96)</f>
        <v>COMOKE</v>
      </c>
      <c r="F96" s="740" t="s">
        <v>334</v>
      </c>
      <c r="G96" s="515" t="s">
        <v>337</v>
      </c>
      <c r="H96" s="740" t="s">
        <v>334</v>
      </c>
      <c r="I96" s="516">
        <v>0</v>
      </c>
      <c r="J96" s="517">
        <f ca="1">IF(E96="TRAOKE",0,SUMIF(NameConv!$C$5:$C$45,RIGHT(E96,3),OFFSET(NameConv!$AX$5,0,AU96,NameConv!$A$45,1)))</f>
        <v>5.0000000000000001E-3</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495">
        <f ca="1">IF(AND(AV95&gt;=SUMIF(NameConv!$C$5:$C$45,RIGHT(E95,3),NameConv!$CG$5:$CG$45),AT95=SUMIF(NameConv!$G$4:$M$4,LEFT(E95,3),NameConv!$G$45:$M$45)),AS95+1,AS95)</f>
        <v>2</v>
      </c>
      <c r="AT96" s="495">
        <f ca="1">IF(AS96&lt;&gt;AS95,1,IF(AV95&gt;=SUMIF(NameConv!$C$5:$C$45,RIGHT(E95,3),NameConv!$CG$5:$CG$45),AT95+1,AT95))</f>
        <v>7</v>
      </c>
      <c r="AU96" s="495">
        <f ca="1">SUMIF(NameConv!$C$5:$C$45,RIGHT(E96,3),OFFSET(NameConv!$CG$5,0,AV96,NameConv!$A$45,1))</f>
        <v>7</v>
      </c>
      <c r="AV96" s="495">
        <f ca="1">IF(AV95&gt;=SUMIF(NameConv!$C$5:$C$45,RIGHT(E95,3),NameConv!$CG$5:$CG$45),1,AV95+1)</f>
        <v>7</v>
      </c>
    </row>
    <row r="97" spans="1:48">
      <c r="A97" s="422" t="str">
        <f t="shared" ca="1" si="3"/>
        <v/>
      </c>
      <c r="B97" s="515" t="str">
        <f t="shared" si="2"/>
        <v>FLO_EMIS</v>
      </c>
      <c r="C97" s="518" t="str">
        <f ca="1">"X"&amp;OFFSET(NameConv!$F$4,0,AS97)&amp;OFFSET(NameConv!$F$59,AT97,AS97)</f>
        <v>XCOMOLP</v>
      </c>
      <c r="D97" s="515" t="str">
        <f ca="1">OFFSET(NameConv!$F$4,0,AS97)&amp;OFFSET(NameConv!$AX$4,0,AU97)</f>
        <v>COMCO2S</v>
      </c>
      <c r="E97" s="515" t="str">
        <f ca="1">OFFSET(NameConv!$F$4,0,AS97)&amp;OFFSET(NameConv!$F$59,AT97,AS97)</f>
        <v>COMOLP</v>
      </c>
      <c r="F97" s="740" t="s">
        <v>334</v>
      </c>
      <c r="G97" s="515" t="s">
        <v>337</v>
      </c>
      <c r="H97" s="740" t="s">
        <v>334</v>
      </c>
      <c r="I97" s="516">
        <v>0</v>
      </c>
      <c r="J97" s="517">
        <f ca="1">IF(E97="TRAOKE",0,SUMIF(NameConv!$C$5:$C$45,RIGHT(E97,3),OFFSET(NameConv!$AX$5,0,AU97,NameConv!$A$45,1)))</f>
        <v>63.1</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495">
        <f ca="1">IF(AND(AV96&gt;=SUMIF(NameConv!$C$5:$C$45,RIGHT(E96,3),NameConv!$CG$5:$CG$45),AT96=SUMIF(NameConv!$G$4:$M$4,LEFT(E96,3),NameConv!$G$45:$M$45)),AS96+1,AS96)</f>
        <v>2</v>
      </c>
      <c r="AT97" s="495">
        <f ca="1">IF(AS97&lt;&gt;AS96,1,IF(AV96&gt;=SUMIF(NameConv!$C$5:$C$45,RIGHT(E96,3),NameConv!$CG$5:$CG$45),AT96+1,AT96))</f>
        <v>8</v>
      </c>
      <c r="AU97" s="495">
        <f ca="1">SUMIF(NameConv!$C$5:$C$45,RIGHT(E97,3),OFFSET(NameConv!$CG$5,0,AV97,NameConv!$A$45,1))</f>
        <v>1</v>
      </c>
      <c r="AV97" s="495">
        <f ca="1">IF(AV96&gt;=SUMIF(NameConv!$C$5:$C$45,RIGHT(E96,3),NameConv!$CG$5:$CG$45),1,AV96+1)</f>
        <v>1</v>
      </c>
    </row>
    <row r="98" spans="1:48">
      <c r="A98" s="422" t="str">
        <f t="shared" ca="1" si="3"/>
        <v/>
      </c>
      <c r="B98" s="515" t="str">
        <f t="shared" si="2"/>
        <v>FLO_EMIS</v>
      </c>
      <c r="C98" s="518" t="str">
        <f ca="1">"X"&amp;OFFSET(NameConv!$F$4,0,AS98)&amp;OFFSET(NameConv!$F$59,AT98,AS98)</f>
        <v>XCOMOLP</v>
      </c>
      <c r="D98" s="515" t="str">
        <f ca="1">OFFSET(NameConv!$F$4,0,AS98)&amp;OFFSET(NameConv!$AX$4,0,AU98)</f>
        <v>COMCH4S</v>
      </c>
      <c r="E98" s="515" t="str">
        <f ca="1">OFFSET(NameConv!$F$4,0,AS98)&amp;OFFSET(NameConv!$F$59,AT98,AS98)</f>
        <v>COMOLP</v>
      </c>
      <c r="F98" s="740" t="s">
        <v>334</v>
      </c>
      <c r="G98" s="515" t="s">
        <v>337</v>
      </c>
      <c r="H98" s="740" t="s">
        <v>334</v>
      </c>
      <c r="I98" s="516">
        <v>0</v>
      </c>
      <c r="J98" s="517">
        <f ca="1">IF(E98="TRAOKE",0,SUMIF(NameConv!$C$5:$C$45,RIGHT(E98,3),OFFSET(NameConv!$AX$5,0,AU98,NameConv!$A$45,1)))</f>
        <v>3.0000000000000001E-3</v>
      </c>
      <c r="K98" s="518"/>
      <c r="L98" s="518"/>
      <c r="M98" s="518"/>
      <c r="N98" s="518"/>
      <c r="O98" s="518"/>
      <c r="P98" s="518"/>
      <c r="Q98" s="518"/>
      <c r="R98" s="518"/>
      <c r="S98" s="518"/>
      <c r="T98" s="518"/>
      <c r="U98" s="518"/>
      <c r="V98" s="518"/>
      <c r="W98" s="518"/>
      <c r="X98" s="518"/>
      <c r="Y98" s="518"/>
      <c r="Z98" s="518"/>
      <c r="AA98" s="518"/>
      <c r="AB98" s="518"/>
      <c r="AC98" s="518"/>
      <c r="AD98" s="518"/>
      <c r="AE98" s="518"/>
      <c r="AF98" s="518"/>
      <c r="AG98" s="518"/>
      <c r="AH98" s="518"/>
      <c r="AI98" s="518"/>
      <c r="AJ98" s="518"/>
      <c r="AK98" s="518"/>
      <c r="AL98" s="518"/>
      <c r="AM98" s="518"/>
      <c r="AN98" s="518"/>
      <c r="AO98" s="518"/>
      <c r="AP98" s="518"/>
      <c r="AQ98" s="518"/>
      <c r="AR98" s="518"/>
      <c r="AS98" s="495">
        <f ca="1">IF(AND(AV97&gt;=SUMIF(NameConv!$C$5:$C$45,RIGHT(E97,3),NameConv!$CG$5:$CG$45),AT97=SUMIF(NameConv!$G$4:$M$4,LEFT(E97,3),NameConv!$G$45:$M$45)),AS97+1,AS97)</f>
        <v>2</v>
      </c>
      <c r="AT98" s="495">
        <f ca="1">IF(AS98&lt;&gt;AS97,1,IF(AV97&gt;=SUMIF(NameConv!$C$5:$C$45,RIGHT(E97,3),NameConv!$CG$5:$CG$45),AT97+1,AT97))</f>
        <v>8</v>
      </c>
      <c r="AU98" s="495">
        <f ca="1">SUMIF(NameConv!$C$5:$C$45,RIGHT(E98,3),OFFSET(NameConv!$CG$5,0,AV98,NameConv!$A$45,1))</f>
        <v>2</v>
      </c>
      <c r="AV98" s="495">
        <f ca="1">IF(AV97&gt;=SUMIF(NameConv!$C$5:$C$45,RIGHT(E97,3),NameConv!$CG$5:$CG$45),1,AV97+1)</f>
        <v>2</v>
      </c>
    </row>
    <row r="99" spans="1:48">
      <c r="A99" s="422" t="str">
        <f t="shared" ca="1" si="3"/>
        <v/>
      </c>
      <c r="B99" s="515" t="str">
        <f t="shared" si="2"/>
        <v>FLO_EMIS</v>
      </c>
      <c r="C99" s="518" t="str">
        <f ca="1">"X"&amp;OFFSET(NameConv!$F$4,0,AS99)&amp;OFFSET(NameConv!$F$59,AT99,AS99)</f>
        <v>XCOMOLP</v>
      </c>
      <c r="D99" s="515" t="str">
        <f ca="1">OFFSET(NameConv!$F$4,0,AS99)&amp;OFFSET(NameConv!$AX$4,0,AU99)</f>
        <v>COMN2OS</v>
      </c>
      <c r="E99" s="515" t="str">
        <f ca="1">OFFSET(NameConv!$F$4,0,AS99)&amp;OFFSET(NameConv!$F$59,AT99,AS99)</f>
        <v>COMOLP</v>
      </c>
      <c r="F99" s="740" t="s">
        <v>334</v>
      </c>
      <c r="G99" s="515" t="s">
        <v>337</v>
      </c>
      <c r="H99" s="740" t="s">
        <v>334</v>
      </c>
      <c r="I99" s="516">
        <v>0</v>
      </c>
      <c r="J99" s="517">
        <f ca="1">IF(E99="TRAOKE",0,SUMIF(NameConv!$C$5:$C$45,RIGHT(E99,3),OFFSET(NameConv!$AX$5,0,AU99,NameConv!$A$45,1)))</f>
        <v>1E-4</v>
      </c>
      <c r="K99" s="518"/>
      <c r="L99" s="518"/>
      <c r="M99" s="518"/>
      <c r="N99" s="518"/>
      <c r="O99" s="518"/>
      <c r="P99" s="518"/>
      <c r="Q99" s="518"/>
      <c r="R99" s="518"/>
      <c r="S99" s="518"/>
      <c r="T99" s="518"/>
      <c r="U99" s="518"/>
      <c r="V99" s="518"/>
      <c r="W99" s="518"/>
      <c r="X99" s="518"/>
      <c r="Y99" s="518"/>
      <c r="Z99" s="518"/>
      <c r="AA99" s="518"/>
      <c r="AB99" s="518"/>
      <c r="AC99" s="518"/>
      <c r="AD99" s="518"/>
      <c r="AE99" s="518"/>
      <c r="AF99" s="518"/>
      <c r="AG99" s="518"/>
      <c r="AH99" s="518"/>
      <c r="AI99" s="518"/>
      <c r="AJ99" s="518"/>
      <c r="AK99" s="518"/>
      <c r="AL99" s="518"/>
      <c r="AM99" s="518"/>
      <c r="AN99" s="518"/>
      <c r="AO99" s="518"/>
      <c r="AP99" s="518"/>
      <c r="AQ99" s="518"/>
      <c r="AR99" s="518"/>
      <c r="AS99" s="495">
        <f ca="1">IF(AND(AV98&gt;=SUMIF(NameConv!$C$5:$C$45,RIGHT(E98,3),NameConv!$CG$5:$CG$45),AT98=SUMIF(NameConv!$G$4:$M$4,LEFT(E98,3),NameConv!$G$45:$M$45)),AS98+1,AS98)</f>
        <v>2</v>
      </c>
      <c r="AT99" s="495">
        <f ca="1">IF(AS99&lt;&gt;AS98,1,IF(AV98&gt;=SUMIF(NameConv!$C$5:$C$45,RIGHT(E98,3),NameConv!$CG$5:$CG$45),AT98+1,AT98))</f>
        <v>8</v>
      </c>
      <c r="AU99" s="495">
        <f ca="1">SUMIF(NameConv!$C$5:$C$45,RIGHT(E99,3),OFFSET(NameConv!$CG$5,0,AV99,NameConv!$A$45,1))</f>
        <v>3</v>
      </c>
      <c r="AV99" s="495">
        <f ca="1">IF(AV98&gt;=SUMIF(NameConv!$C$5:$C$45,RIGHT(E98,3),NameConv!$CG$5:$CG$45),1,AV98+1)</f>
        <v>3</v>
      </c>
    </row>
    <row r="100" spans="1:48">
      <c r="A100" s="422" t="str">
        <f t="shared" ca="1" si="3"/>
        <v/>
      </c>
      <c r="B100" s="515" t="str">
        <f t="shared" si="2"/>
        <v>FLO_EMIS</v>
      </c>
      <c r="C100" s="518" t="str">
        <f ca="1">"X"&amp;OFFSET(NameConv!$F$4,0,AS100)&amp;OFFSET(NameConv!$F$59,AT100,AS100)</f>
        <v>XCOMOLP</v>
      </c>
      <c r="D100" s="515" t="str">
        <f ca="1">OFFSET(NameConv!$F$4,0,AS100)&amp;OFFSET(NameConv!$AX$4,0,AU100)</f>
        <v>COMSOXS</v>
      </c>
      <c r="E100" s="515" t="str">
        <f ca="1">OFFSET(NameConv!$F$4,0,AS100)&amp;OFFSET(NameConv!$F$59,AT100,AS100)</f>
        <v>COMOLP</v>
      </c>
      <c r="F100" s="740" t="s">
        <v>334</v>
      </c>
      <c r="G100" s="515" t="s">
        <v>337</v>
      </c>
      <c r="H100" s="740" t="s">
        <v>334</v>
      </c>
      <c r="I100" s="516">
        <v>0</v>
      </c>
      <c r="J100" s="517">
        <f ca="1">IF(E100="TRAOKE",0,SUMIF(NameConv!$C$5:$C$45,RIGHT(E100,3),OFFSET(NameConv!$AX$5,0,AU100,NameConv!$A$45,1)))</f>
        <v>5.4089999999999998</v>
      </c>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495">
        <f ca="1">IF(AND(AV99&gt;=SUMIF(NameConv!$C$5:$C$45,RIGHT(E99,3),NameConv!$CG$5:$CG$45),AT99=SUMIF(NameConv!$G$4:$M$4,LEFT(E99,3),NameConv!$G$45:$M$45)),AS99+1,AS99)</f>
        <v>2</v>
      </c>
      <c r="AT100" s="495">
        <f ca="1">IF(AS100&lt;&gt;AS99,1,IF(AV99&gt;=SUMIF(NameConv!$C$5:$C$45,RIGHT(E99,3),NameConv!$CG$5:$CG$45),AT99+1,AT99))</f>
        <v>8</v>
      </c>
      <c r="AU100" s="495">
        <f ca="1">SUMIF(NameConv!$C$5:$C$45,RIGHT(E100,3),OFFSET(NameConv!$CG$5,0,AV100,NameConv!$A$45,1))</f>
        <v>4</v>
      </c>
      <c r="AV100" s="495">
        <f ca="1">IF(AV99&gt;=SUMIF(NameConv!$C$5:$C$45,RIGHT(E99,3),NameConv!$CG$5:$CG$45),1,AV99+1)</f>
        <v>4</v>
      </c>
    </row>
    <row r="101" spans="1:48">
      <c r="A101" s="422" t="str">
        <f t="shared" ca="1" si="3"/>
        <v/>
      </c>
      <c r="B101" s="515" t="str">
        <f t="shared" si="2"/>
        <v>FLO_EMIS</v>
      </c>
      <c r="C101" s="518" t="str">
        <f ca="1">"X"&amp;OFFSET(NameConv!$F$4,0,AS101)&amp;OFFSET(NameConv!$F$59,AT101,AS101)</f>
        <v>XCOMOLP</v>
      </c>
      <c r="D101" s="515" t="str">
        <f ca="1">OFFSET(NameConv!$F$4,0,AS101)&amp;OFFSET(NameConv!$AX$4,0,AU101)</f>
        <v>COMNOXS</v>
      </c>
      <c r="E101" s="515" t="str">
        <f ca="1">OFFSET(NameConv!$F$4,0,AS101)&amp;OFFSET(NameConv!$F$59,AT101,AS101)</f>
        <v>COMOLP</v>
      </c>
      <c r="F101" s="740" t="s">
        <v>334</v>
      </c>
      <c r="G101" s="515" t="s">
        <v>337</v>
      </c>
      <c r="H101" s="740" t="s">
        <v>334</v>
      </c>
      <c r="I101" s="516">
        <v>0</v>
      </c>
      <c r="J101" s="517">
        <f ca="1">IF(E101="TRAOKE",0,SUMIF(NameConv!$C$5:$C$45,RIGHT(E101,3),OFFSET(NameConv!$AX$5,0,AU101,NameConv!$A$45,1)))</f>
        <v>1.2460000000000001E-2</v>
      </c>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518"/>
      <c r="AK101" s="518"/>
      <c r="AL101" s="518"/>
      <c r="AM101" s="518"/>
      <c r="AN101" s="518"/>
      <c r="AO101" s="518"/>
      <c r="AP101" s="518"/>
      <c r="AQ101" s="518"/>
      <c r="AR101" s="518"/>
      <c r="AS101" s="495">
        <f ca="1">IF(AND(AV100&gt;=SUMIF(NameConv!$C$5:$C$45,RIGHT(E100,3),NameConv!$CG$5:$CG$45),AT100=SUMIF(NameConv!$G$4:$M$4,LEFT(E100,3),NameConv!$G$45:$M$45)),AS100+1,AS100)</f>
        <v>2</v>
      </c>
      <c r="AT101" s="495">
        <f ca="1">IF(AS101&lt;&gt;AS100,1,IF(AV100&gt;=SUMIF(NameConv!$C$5:$C$45,RIGHT(E100,3),NameConv!$CG$5:$CG$45),AT100+1,AT100))</f>
        <v>8</v>
      </c>
      <c r="AU101" s="495">
        <f ca="1">SUMIF(NameConv!$C$5:$C$45,RIGHT(E101,3),OFFSET(NameConv!$CG$5,0,AV101,NameConv!$A$45,1))</f>
        <v>5</v>
      </c>
      <c r="AV101" s="495">
        <f ca="1">IF(AV100&gt;=SUMIF(NameConv!$C$5:$C$45,RIGHT(E100,3),NameConv!$CG$5:$CG$45),1,AV100+1)</f>
        <v>5</v>
      </c>
    </row>
    <row r="102" spans="1:48">
      <c r="A102" s="422" t="str">
        <f t="shared" ca="1" si="3"/>
        <v/>
      </c>
      <c r="B102" s="515" t="str">
        <f t="shared" si="2"/>
        <v>FLO_EMIS</v>
      </c>
      <c r="C102" s="518" t="str">
        <f ca="1">"X"&amp;OFFSET(NameConv!$F$4,0,AS102)&amp;OFFSET(NameConv!$F$59,AT102,AS102)</f>
        <v>XCOMOLP</v>
      </c>
      <c r="D102" s="515" t="str">
        <f ca="1">OFFSET(NameConv!$F$4,0,AS102)&amp;OFFSET(NameConv!$AX$4,0,AU102)</f>
        <v>COMCMOX</v>
      </c>
      <c r="E102" s="515" t="str">
        <f ca="1">OFFSET(NameConv!$F$4,0,AS102)&amp;OFFSET(NameConv!$F$59,AT102,AS102)</f>
        <v>COMOLP</v>
      </c>
      <c r="F102" s="740" t="s">
        <v>334</v>
      </c>
      <c r="G102" s="515" t="s">
        <v>337</v>
      </c>
      <c r="H102" s="740" t="s">
        <v>334</v>
      </c>
      <c r="I102" s="516">
        <v>0</v>
      </c>
      <c r="J102" s="517">
        <f ca="1">IF(E102="TRAOKE",0,SUMIF(NameConv!$C$5:$C$45,RIGHT(E102,3),OFFSET(NameConv!$AX$5,0,AU102,NameConv!$A$45,1)))</f>
        <v>0.182</v>
      </c>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518"/>
      <c r="AK102" s="518"/>
      <c r="AL102" s="518"/>
      <c r="AM102" s="518"/>
      <c r="AN102" s="518"/>
      <c r="AO102" s="518"/>
      <c r="AP102" s="518"/>
      <c r="AQ102" s="518"/>
      <c r="AR102" s="518"/>
      <c r="AS102" s="495">
        <f ca="1">IF(AND(AV101&gt;=SUMIF(NameConv!$C$5:$C$45,RIGHT(E101,3),NameConv!$CG$5:$CG$45),AT101=SUMIF(NameConv!$G$4:$M$4,LEFT(E101,3),NameConv!$G$45:$M$45)),AS101+1,AS101)</f>
        <v>2</v>
      </c>
      <c r="AT102" s="495">
        <f ca="1">IF(AS102&lt;&gt;AS101,1,IF(AV101&gt;=SUMIF(NameConv!$C$5:$C$45,RIGHT(E101,3),NameConv!$CG$5:$CG$45),AT101+1,AT101))</f>
        <v>8</v>
      </c>
      <c r="AU102" s="495">
        <f ca="1">SUMIF(NameConv!$C$5:$C$45,RIGHT(E102,3),OFFSET(NameConv!$CG$5,0,AV102,NameConv!$A$45,1))</f>
        <v>6</v>
      </c>
      <c r="AV102" s="495">
        <f ca="1">IF(AV101&gt;=SUMIF(NameConv!$C$5:$C$45,RIGHT(E101,3),NameConv!$CG$5:$CG$45),1,AV101+1)</f>
        <v>6</v>
      </c>
    </row>
    <row r="103" spans="1:48">
      <c r="A103" s="422" t="str">
        <f t="shared" ca="1" si="3"/>
        <v/>
      </c>
      <c r="B103" s="515" t="str">
        <f t="shared" si="2"/>
        <v>FLO_EMIS</v>
      </c>
      <c r="C103" s="518" t="str">
        <f ca="1">"X"&amp;OFFSET(NameConv!$F$4,0,AS103)&amp;OFFSET(NameConv!$F$59,AT103,AS103)</f>
        <v>XCOMOLP</v>
      </c>
      <c r="D103" s="515" t="str">
        <f ca="1">OFFSET(NameConv!$F$4,0,AS103)&amp;OFFSET(NameConv!$AX$4,0,AU103)</f>
        <v>COMNMVS</v>
      </c>
      <c r="E103" s="515" t="str">
        <f ca="1">OFFSET(NameConv!$F$4,0,AS103)&amp;OFFSET(NameConv!$F$59,AT103,AS103)</f>
        <v>COMOLP</v>
      </c>
      <c r="F103" s="740" t="s">
        <v>334</v>
      </c>
      <c r="G103" s="515" t="s">
        <v>337</v>
      </c>
      <c r="H103" s="740" t="s">
        <v>334</v>
      </c>
      <c r="I103" s="516">
        <v>0</v>
      </c>
      <c r="J103" s="517">
        <f ca="1">IF(E103="TRAOKE",0,SUMIF(NameConv!$C$5:$C$45,RIGHT(E103,3),OFFSET(NameConv!$AX$5,0,AU103,NameConv!$A$45,1)))</f>
        <v>2.3699999999999999E-2</v>
      </c>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518"/>
      <c r="AK103" s="518"/>
      <c r="AL103" s="518"/>
      <c r="AM103" s="518"/>
      <c r="AN103" s="518"/>
      <c r="AO103" s="518"/>
      <c r="AP103" s="518"/>
      <c r="AQ103" s="518"/>
      <c r="AR103" s="518"/>
      <c r="AS103" s="495">
        <f ca="1">IF(AND(AV102&gt;=SUMIF(NameConv!$C$5:$C$45,RIGHT(E102,3),NameConv!$CG$5:$CG$45),AT102=SUMIF(NameConv!$G$4:$M$4,LEFT(E102,3),NameConv!$G$45:$M$45)),AS102+1,AS102)</f>
        <v>2</v>
      </c>
      <c r="AT103" s="495">
        <f ca="1">IF(AS103&lt;&gt;AS102,1,IF(AV102&gt;=SUMIF(NameConv!$C$5:$C$45,RIGHT(E102,3),NameConv!$CG$5:$CG$45),AT102+1,AT102))</f>
        <v>8</v>
      </c>
      <c r="AU103" s="495">
        <f ca="1">SUMIF(NameConv!$C$5:$C$45,RIGHT(E103,3),OFFSET(NameConv!$CG$5,0,AV103,NameConv!$A$45,1))</f>
        <v>7</v>
      </c>
      <c r="AV103" s="495">
        <f ca="1">IF(AV102&gt;=SUMIF(NameConv!$C$5:$C$45,RIGHT(E102,3),NameConv!$CG$5:$CG$45),1,AV102+1)</f>
        <v>7</v>
      </c>
    </row>
    <row r="104" spans="1:48">
      <c r="A104" s="422" t="str">
        <f t="shared" ca="1" si="3"/>
        <v>*</v>
      </c>
      <c r="B104" s="515" t="str">
        <f t="shared" si="2"/>
        <v>FLO_EMIS</v>
      </c>
      <c r="C104" s="518" t="str">
        <f ca="1">"X"&amp;OFFSET(NameConv!$F$4,0,AS104)&amp;OFFSET(NameConv!$F$59,AT104,AS104)</f>
        <v>XINDBIB</v>
      </c>
      <c r="D104" s="515" t="str">
        <f ca="1">OFFSET(NameConv!$F$4,0,AS104)&amp;OFFSET(NameConv!$AX$4,0,AU104)</f>
        <v>IND</v>
      </c>
      <c r="E104" s="515" t="str">
        <f ca="1">OFFSET(NameConv!$F$4,0,AS104)&amp;OFFSET(NameConv!$F$59,AT104,AS104)</f>
        <v>INDBIB</v>
      </c>
      <c r="F104" s="740" t="s">
        <v>334</v>
      </c>
      <c r="G104" s="515" t="s">
        <v>337</v>
      </c>
      <c r="H104" s="740" t="s">
        <v>334</v>
      </c>
      <c r="I104" s="516">
        <v>0</v>
      </c>
      <c r="J104" s="517">
        <f ca="1">IF(E104="TRAOKE",0,SUMIF(NameConv!$C$5:$C$45,RIGHT(E104,3),OFFSET(NameConv!$AX$5,0,AU104,NameConv!$A$45,1)))</f>
        <v>0</v>
      </c>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518"/>
      <c r="AK104" s="518"/>
      <c r="AL104" s="518"/>
      <c r="AM104" s="518"/>
      <c r="AN104" s="518"/>
      <c r="AO104" s="518"/>
      <c r="AP104" s="518"/>
      <c r="AQ104" s="518"/>
      <c r="AR104" s="518"/>
      <c r="AS104" s="495">
        <f ca="1">IF(AND(AV103&gt;=SUMIF(NameConv!$C$5:$C$45,RIGHT(E103,3),NameConv!$CG$5:$CG$45),AT103=SUMIF(NameConv!$G$4:$M$4,LEFT(E103,3),NameConv!$G$45:$M$45)),AS103+1,AS103)</f>
        <v>3</v>
      </c>
      <c r="AT104" s="495">
        <f ca="1">IF(AS104&lt;&gt;AS103,1,IF(AV103&gt;=SUMIF(NameConv!$C$5:$C$45,RIGHT(E103,3),NameConv!$CG$5:$CG$45),AT103+1,AT103))</f>
        <v>1</v>
      </c>
      <c r="AU104" s="495">
        <f ca="1">SUMIF(NameConv!$C$5:$C$45,RIGHT(E104,3),OFFSET(NameConv!$CG$5,0,AV104,NameConv!$A$45,1))</f>
        <v>0</v>
      </c>
      <c r="AV104" s="495">
        <f ca="1">IF(AV103&gt;=SUMIF(NameConv!$C$5:$C$45,RIGHT(E103,3),NameConv!$CG$5:$CG$45),1,AV103+1)</f>
        <v>1</v>
      </c>
    </row>
    <row r="105" spans="1:48">
      <c r="A105" s="422" t="str">
        <f t="shared" ca="1" si="3"/>
        <v>*</v>
      </c>
      <c r="B105" s="515" t="str">
        <f t="shared" si="2"/>
        <v>FLO_EMIS</v>
      </c>
      <c r="C105" s="518" t="str">
        <f ca="1">"X"&amp;OFFSET(NameConv!$F$4,0,AS105)&amp;OFFSET(NameConv!$F$59,AT105,AS105)</f>
        <v>XINDBIW</v>
      </c>
      <c r="D105" s="515" t="str">
        <f ca="1">OFFSET(NameConv!$F$4,0,AS105)&amp;OFFSET(NameConv!$AX$4,0,AU105)</f>
        <v>IND</v>
      </c>
      <c r="E105" s="515" t="str">
        <f ca="1">OFFSET(NameConv!$F$4,0,AS105)&amp;OFFSET(NameConv!$F$59,AT105,AS105)</f>
        <v>INDBIW</v>
      </c>
      <c r="F105" s="740" t="s">
        <v>334</v>
      </c>
      <c r="G105" s="515" t="s">
        <v>337</v>
      </c>
      <c r="H105" s="740" t="s">
        <v>334</v>
      </c>
      <c r="I105" s="516">
        <v>0</v>
      </c>
      <c r="J105" s="517">
        <f ca="1">IF(E105="TRAOKE",0,SUMIF(NameConv!$C$5:$C$45,RIGHT(E105,3),OFFSET(NameConv!$AX$5,0,AU105,NameConv!$A$45,1)))</f>
        <v>0</v>
      </c>
      <c r="K105" s="518"/>
      <c r="L105" s="518"/>
      <c r="M105" s="518"/>
      <c r="N105" s="518"/>
      <c r="O105" s="518"/>
      <c r="P105" s="518"/>
      <c r="Q105" s="518"/>
      <c r="R105" s="518"/>
      <c r="S105" s="518"/>
      <c r="T105" s="518"/>
      <c r="U105" s="518"/>
      <c r="V105" s="518"/>
      <c r="W105" s="518"/>
      <c r="X105" s="518"/>
      <c r="Y105" s="518"/>
      <c r="Z105" s="518"/>
      <c r="AA105" s="518"/>
      <c r="AB105" s="518"/>
      <c r="AC105" s="518"/>
      <c r="AD105" s="518"/>
      <c r="AE105" s="518"/>
      <c r="AF105" s="518"/>
      <c r="AG105" s="518"/>
      <c r="AH105" s="518"/>
      <c r="AI105" s="518"/>
      <c r="AJ105" s="518"/>
      <c r="AK105" s="518"/>
      <c r="AL105" s="518"/>
      <c r="AM105" s="518"/>
      <c r="AN105" s="518"/>
      <c r="AO105" s="518"/>
      <c r="AP105" s="518"/>
      <c r="AQ105" s="518"/>
      <c r="AR105" s="518"/>
      <c r="AS105" s="495">
        <f ca="1">IF(AND(AV104&gt;=SUMIF(NameConv!$C$5:$C$45,RIGHT(E104,3),NameConv!$CG$5:$CG$45),AT104=SUMIF(NameConv!$G$4:$M$4,LEFT(E104,3),NameConv!$G$45:$M$45)),AS104+1,AS104)</f>
        <v>3</v>
      </c>
      <c r="AT105" s="495">
        <f ca="1">IF(AS105&lt;&gt;AS104,1,IF(AV104&gt;=SUMIF(NameConv!$C$5:$C$45,RIGHT(E104,3),NameConv!$CG$5:$CG$45),AT104+1,AT104))</f>
        <v>2</v>
      </c>
      <c r="AU105" s="495">
        <f ca="1">SUMIF(NameConv!$C$5:$C$45,RIGHT(E105,3),OFFSET(NameConv!$CG$5,0,AV105,NameConv!$A$45,1))</f>
        <v>0</v>
      </c>
      <c r="AV105" s="495">
        <f ca="1">IF(AV104&gt;=SUMIF(NameConv!$C$5:$C$45,RIGHT(E104,3),NameConv!$CG$5:$CG$45),1,AV104+1)</f>
        <v>1</v>
      </c>
    </row>
    <row r="106" spans="1:48">
      <c r="A106" s="422" t="str">
        <f t="shared" ca="1" si="3"/>
        <v/>
      </c>
      <c r="B106" s="515" t="str">
        <f t="shared" si="2"/>
        <v>FLO_EMIS</v>
      </c>
      <c r="C106" s="518" t="str">
        <f ca="1">"X"&amp;OFFSET(NameConv!$F$4,0,AS106)&amp;OFFSET(NameConv!$F$59,AT106,AS106)</f>
        <v>XINDCOA</v>
      </c>
      <c r="D106" s="515" t="str">
        <f ca="1">OFFSET(NameConv!$F$4,0,AS106)&amp;OFFSET(NameConv!$AX$4,0,AU106)</f>
        <v>INDCO2S</v>
      </c>
      <c r="E106" s="515" t="str">
        <f ca="1">OFFSET(NameConv!$F$4,0,AS106)&amp;OFFSET(NameConv!$F$59,AT106,AS106)</f>
        <v>INDCOA</v>
      </c>
      <c r="F106" s="740" t="s">
        <v>334</v>
      </c>
      <c r="G106" s="515" t="s">
        <v>337</v>
      </c>
      <c r="H106" s="740" t="s">
        <v>334</v>
      </c>
      <c r="I106" s="516">
        <v>0</v>
      </c>
      <c r="J106" s="517">
        <f ca="1">IF(E106="TRAOKE",0,SUMIF(NameConv!$C$5:$C$45,RIGHT(E106,3),OFFSET(NameConv!$AX$5,0,AU106,NameConv!$A$45,1)))</f>
        <v>96.25</v>
      </c>
      <c r="K106" s="518"/>
      <c r="L106" s="518"/>
      <c r="M106" s="518"/>
      <c r="N106" s="518"/>
      <c r="O106" s="518"/>
      <c r="P106" s="518"/>
      <c r="Q106" s="518"/>
      <c r="R106" s="518"/>
      <c r="S106" s="518"/>
      <c r="T106" s="518"/>
      <c r="U106" s="518"/>
      <c r="V106" s="518"/>
      <c r="W106" s="518"/>
      <c r="X106" s="518"/>
      <c r="Y106" s="518"/>
      <c r="Z106" s="518"/>
      <c r="AA106" s="518"/>
      <c r="AB106" s="518"/>
      <c r="AC106" s="518"/>
      <c r="AD106" s="518"/>
      <c r="AE106" s="518"/>
      <c r="AF106" s="518"/>
      <c r="AG106" s="518"/>
      <c r="AH106" s="518"/>
      <c r="AI106" s="518"/>
      <c r="AJ106" s="518"/>
      <c r="AK106" s="518"/>
      <c r="AL106" s="518"/>
      <c r="AM106" s="518"/>
      <c r="AN106" s="518"/>
      <c r="AO106" s="518"/>
      <c r="AP106" s="518"/>
      <c r="AQ106" s="518"/>
      <c r="AR106" s="518"/>
      <c r="AS106" s="495">
        <f ca="1">IF(AND(AV105&gt;=SUMIF(NameConv!$C$5:$C$45,RIGHT(E105,3),NameConv!$CG$5:$CG$45),AT105=SUMIF(NameConv!$G$4:$M$4,LEFT(E105,3),NameConv!$G$45:$M$45)),AS105+1,AS105)</f>
        <v>3</v>
      </c>
      <c r="AT106" s="495">
        <f ca="1">IF(AS106&lt;&gt;AS105,1,IF(AV105&gt;=SUMIF(NameConv!$C$5:$C$45,RIGHT(E105,3),NameConv!$CG$5:$CG$45),AT105+1,AT105))</f>
        <v>3</v>
      </c>
      <c r="AU106" s="495">
        <f ca="1">SUMIF(NameConv!$C$5:$C$45,RIGHT(E106,3),OFFSET(NameConv!$CG$5,0,AV106,NameConv!$A$45,1))</f>
        <v>1</v>
      </c>
      <c r="AV106" s="495">
        <f ca="1">IF(AV105&gt;=SUMIF(NameConv!$C$5:$C$45,RIGHT(E105,3),NameConv!$CG$5:$CG$45),1,AV105+1)</f>
        <v>1</v>
      </c>
    </row>
    <row r="107" spans="1:48">
      <c r="A107" s="422" t="str">
        <f t="shared" ca="1" si="3"/>
        <v/>
      </c>
      <c r="B107" s="515" t="str">
        <f t="shared" si="2"/>
        <v>FLO_EMIS</v>
      </c>
      <c r="C107" s="518" t="str">
        <f ca="1">"X"&amp;OFFSET(NameConv!$F$4,0,AS107)&amp;OFFSET(NameConv!$F$59,AT107,AS107)</f>
        <v>XINDCOA</v>
      </c>
      <c r="D107" s="515" t="str">
        <f ca="1">OFFSET(NameConv!$F$4,0,AS107)&amp;OFFSET(NameConv!$AX$4,0,AU107)</f>
        <v>INDCH4S</v>
      </c>
      <c r="E107" s="515" t="str">
        <f ca="1">OFFSET(NameConv!$F$4,0,AS107)&amp;OFFSET(NameConv!$F$59,AT107,AS107)</f>
        <v>INDCOA</v>
      </c>
      <c r="F107" s="740" t="s">
        <v>334</v>
      </c>
      <c r="G107" s="515" t="s">
        <v>337</v>
      </c>
      <c r="H107" s="740" t="s">
        <v>334</v>
      </c>
      <c r="I107" s="516">
        <v>0</v>
      </c>
      <c r="J107" s="517">
        <f ca="1">IF(E107="TRAOKE",0,SUMIF(NameConv!$C$5:$C$45,RIGHT(E107,3),OFFSET(NameConv!$AX$5,0,AU107,NameConv!$A$45,1)))</f>
        <v>1E-3</v>
      </c>
      <c r="K107" s="518"/>
      <c r="L107" s="518"/>
      <c r="M107" s="518"/>
      <c r="N107" s="518"/>
      <c r="O107" s="518"/>
      <c r="P107" s="518"/>
      <c r="Q107" s="518"/>
      <c r="R107" s="518"/>
      <c r="S107" s="518"/>
      <c r="T107" s="518"/>
      <c r="U107" s="518"/>
      <c r="V107" s="518"/>
      <c r="W107" s="518"/>
      <c r="X107" s="518"/>
      <c r="Y107" s="518"/>
      <c r="Z107" s="518"/>
      <c r="AA107" s="518"/>
      <c r="AB107" s="518"/>
      <c r="AC107" s="518"/>
      <c r="AD107" s="518"/>
      <c r="AE107" s="518"/>
      <c r="AF107" s="518"/>
      <c r="AG107" s="518"/>
      <c r="AH107" s="518"/>
      <c r="AI107" s="518"/>
      <c r="AJ107" s="518"/>
      <c r="AK107" s="518"/>
      <c r="AL107" s="518"/>
      <c r="AM107" s="518"/>
      <c r="AN107" s="518"/>
      <c r="AO107" s="518"/>
      <c r="AP107" s="518"/>
      <c r="AQ107" s="518"/>
      <c r="AR107" s="518"/>
      <c r="AS107" s="495">
        <f ca="1">IF(AND(AV106&gt;=SUMIF(NameConv!$C$5:$C$45,RIGHT(E106,3),NameConv!$CG$5:$CG$45),AT106=SUMIF(NameConv!$G$4:$M$4,LEFT(E106,3),NameConv!$G$45:$M$45)),AS106+1,AS106)</f>
        <v>3</v>
      </c>
      <c r="AT107" s="495">
        <f ca="1">IF(AS107&lt;&gt;AS106,1,IF(AV106&gt;=SUMIF(NameConv!$C$5:$C$45,RIGHT(E106,3),NameConv!$CG$5:$CG$45),AT106+1,AT106))</f>
        <v>3</v>
      </c>
      <c r="AU107" s="495">
        <f ca="1">SUMIF(NameConv!$C$5:$C$45,RIGHT(E107,3),OFFSET(NameConv!$CG$5,0,AV107,NameConv!$A$45,1))</f>
        <v>2</v>
      </c>
      <c r="AV107" s="495">
        <f ca="1">IF(AV106&gt;=SUMIF(NameConv!$C$5:$C$45,RIGHT(E106,3),NameConv!$CG$5:$CG$45),1,AV106+1)</f>
        <v>2</v>
      </c>
    </row>
    <row r="108" spans="1:48">
      <c r="A108" s="422" t="str">
        <f t="shared" ca="1" si="3"/>
        <v/>
      </c>
      <c r="B108" s="515" t="str">
        <f t="shared" si="2"/>
        <v>FLO_EMIS</v>
      </c>
      <c r="C108" s="518" t="str">
        <f ca="1">"X"&amp;OFFSET(NameConv!$F$4,0,AS108)&amp;OFFSET(NameConv!$F$59,AT108,AS108)</f>
        <v>XINDCOA</v>
      </c>
      <c r="D108" s="515" t="str">
        <f ca="1">OFFSET(NameConv!$F$4,0,AS108)&amp;OFFSET(NameConv!$AX$4,0,AU108)</f>
        <v>INDN2OS</v>
      </c>
      <c r="E108" s="515" t="str">
        <f ca="1">OFFSET(NameConv!$F$4,0,AS108)&amp;OFFSET(NameConv!$F$59,AT108,AS108)</f>
        <v>INDCOA</v>
      </c>
      <c r="F108" s="740" t="s">
        <v>334</v>
      </c>
      <c r="G108" s="515" t="s">
        <v>337</v>
      </c>
      <c r="H108" s="740" t="s">
        <v>334</v>
      </c>
      <c r="I108" s="516">
        <v>0</v>
      </c>
      <c r="J108" s="517">
        <f ca="1">IF(E108="TRAOKE",0,SUMIF(NameConv!$C$5:$C$45,RIGHT(E108,3),OFFSET(NameConv!$AX$5,0,AU108,NameConv!$A$45,1)))</f>
        <v>1.4E-3</v>
      </c>
      <c r="K108" s="518"/>
      <c r="L108" s="518"/>
      <c r="M108" s="518"/>
      <c r="N108" s="518"/>
      <c r="O108" s="518"/>
      <c r="P108" s="518"/>
      <c r="Q108" s="518"/>
      <c r="R108" s="518"/>
      <c r="S108" s="518"/>
      <c r="T108" s="518"/>
      <c r="U108" s="518"/>
      <c r="V108" s="518"/>
      <c r="W108" s="518"/>
      <c r="X108" s="518"/>
      <c r="Y108" s="518"/>
      <c r="Z108" s="518"/>
      <c r="AA108" s="518"/>
      <c r="AB108" s="518"/>
      <c r="AC108" s="518"/>
      <c r="AD108" s="518"/>
      <c r="AE108" s="518"/>
      <c r="AF108" s="518"/>
      <c r="AG108" s="518"/>
      <c r="AH108" s="518"/>
      <c r="AI108" s="518"/>
      <c r="AJ108" s="518"/>
      <c r="AK108" s="518"/>
      <c r="AL108" s="518"/>
      <c r="AM108" s="518"/>
      <c r="AN108" s="518"/>
      <c r="AO108" s="518"/>
      <c r="AP108" s="518"/>
      <c r="AQ108" s="518"/>
      <c r="AR108" s="518"/>
      <c r="AS108" s="495">
        <f ca="1">IF(AND(AV107&gt;=SUMIF(NameConv!$C$5:$C$45,RIGHT(E107,3),NameConv!$CG$5:$CG$45),AT107=SUMIF(NameConv!$G$4:$M$4,LEFT(E107,3),NameConv!$G$45:$M$45)),AS107+1,AS107)</f>
        <v>3</v>
      </c>
      <c r="AT108" s="495">
        <f ca="1">IF(AS108&lt;&gt;AS107,1,IF(AV107&gt;=SUMIF(NameConv!$C$5:$C$45,RIGHT(E107,3),NameConv!$CG$5:$CG$45),AT107+1,AT107))</f>
        <v>3</v>
      </c>
      <c r="AU108" s="495">
        <f ca="1">SUMIF(NameConv!$C$5:$C$45,RIGHT(E108,3),OFFSET(NameConv!$CG$5,0,AV108,NameConv!$A$45,1))</f>
        <v>3</v>
      </c>
      <c r="AV108" s="495">
        <f ca="1">IF(AV107&gt;=SUMIF(NameConv!$C$5:$C$45,RIGHT(E107,3),NameConv!$CG$5:$CG$45),1,AV107+1)</f>
        <v>3</v>
      </c>
    </row>
    <row r="109" spans="1:48">
      <c r="A109" s="422" t="str">
        <f t="shared" ca="1" si="3"/>
        <v/>
      </c>
      <c r="B109" s="515" t="str">
        <f t="shared" si="2"/>
        <v>FLO_EMIS</v>
      </c>
      <c r="C109" s="518" t="str">
        <f ca="1">"X"&amp;OFFSET(NameConv!$F$4,0,AS109)&amp;OFFSET(NameConv!$F$59,AT109,AS109)</f>
        <v>XINDCOA</v>
      </c>
      <c r="D109" s="515" t="str">
        <f ca="1">OFFSET(NameConv!$F$4,0,AS109)&amp;OFFSET(NameConv!$AX$4,0,AU109)</f>
        <v>INDSOXS</v>
      </c>
      <c r="E109" s="515" t="str">
        <f ca="1">OFFSET(NameConv!$F$4,0,AS109)&amp;OFFSET(NameConv!$F$59,AT109,AS109)</f>
        <v>INDCOA</v>
      </c>
      <c r="F109" s="740" t="s">
        <v>334</v>
      </c>
      <c r="G109" s="515" t="s">
        <v>337</v>
      </c>
      <c r="H109" s="740" t="s">
        <v>334</v>
      </c>
      <c r="I109" s="516">
        <v>0</v>
      </c>
      <c r="J109" s="517">
        <f ca="1">IF(E109="TRAOKE",0,SUMIF(NameConv!$C$5:$C$45,RIGHT(E109,3),OFFSET(NameConv!$AX$5,0,AU109,NameConv!$A$45,1)))</f>
        <v>0.62619999999999998</v>
      </c>
      <c r="K109" s="518"/>
      <c r="L109" s="518"/>
      <c r="M109" s="518"/>
      <c r="N109" s="518"/>
      <c r="O109" s="518"/>
      <c r="P109" s="518"/>
      <c r="Q109" s="518"/>
      <c r="R109" s="518"/>
      <c r="S109" s="518"/>
      <c r="T109" s="518"/>
      <c r="U109" s="518"/>
      <c r="V109" s="518"/>
      <c r="W109" s="518"/>
      <c r="X109" s="518"/>
      <c r="Y109" s="518"/>
      <c r="Z109" s="518"/>
      <c r="AA109" s="518"/>
      <c r="AB109" s="518"/>
      <c r="AC109" s="518"/>
      <c r="AD109" s="518"/>
      <c r="AE109" s="518"/>
      <c r="AF109" s="518"/>
      <c r="AG109" s="518"/>
      <c r="AH109" s="518"/>
      <c r="AI109" s="518"/>
      <c r="AJ109" s="518"/>
      <c r="AK109" s="518"/>
      <c r="AL109" s="518"/>
      <c r="AM109" s="518"/>
      <c r="AN109" s="518"/>
      <c r="AO109" s="518"/>
      <c r="AP109" s="518"/>
      <c r="AQ109" s="518"/>
      <c r="AR109" s="518"/>
      <c r="AS109" s="495">
        <f ca="1">IF(AND(AV108&gt;=SUMIF(NameConv!$C$5:$C$45,RIGHT(E108,3),NameConv!$CG$5:$CG$45),AT108=SUMIF(NameConv!$G$4:$M$4,LEFT(E108,3),NameConv!$G$45:$M$45)),AS108+1,AS108)</f>
        <v>3</v>
      </c>
      <c r="AT109" s="495">
        <f ca="1">IF(AS109&lt;&gt;AS108,1,IF(AV108&gt;=SUMIF(NameConv!$C$5:$C$45,RIGHT(E108,3),NameConv!$CG$5:$CG$45),AT108+1,AT108))</f>
        <v>3</v>
      </c>
      <c r="AU109" s="495">
        <f ca="1">SUMIF(NameConv!$C$5:$C$45,RIGHT(E109,3),OFFSET(NameConv!$CG$5,0,AV109,NameConv!$A$45,1))</f>
        <v>4</v>
      </c>
      <c r="AV109" s="495">
        <f ca="1">IF(AV108&gt;=SUMIF(NameConv!$C$5:$C$45,RIGHT(E108,3),NameConv!$CG$5:$CG$45),1,AV108+1)</f>
        <v>4</v>
      </c>
    </row>
    <row r="110" spans="1:48">
      <c r="A110" s="422" t="str">
        <f t="shared" ca="1" si="3"/>
        <v/>
      </c>
      <c r="B110" s="515" t="str">
        <f t="shared" si="2"/>
        <v>FLO_EMIS</v>
      </c>
      <c r="C110" s="518" t="str">
        <f ca="1">"X"&amp;OFFSET(NameConv!$F$4,0,AS110)&amp;OFFSET(NameConv!$F$59,AT110,AS110)</f>
        <v>XINDCOA</v>
      </c>
      <c r="D110" s="515" t="str">
        <f ca="1">OFFSET(NameConv!$F$4,0,AS110)&amp;OFFSET(NameConv!$AX$4,0,AU110)</f>
        <v>INDNOXS</v>
      </c>
      <c r="E110" s="515" t="str">
        <f ca="1">OFFSET(NameConv!$F$4,0,AS110)&amp;OFFSET(NameConv!$F$59,AT110,AS110)</f>
        <v>INDCOA</v>
      </c>
      <c r="F110" s="740" t="s">
        <v>334</v>
      </c>
      <c r="G110" s="515" t="s">
        <v>337</v>
      </c>
      <c r="H110" s="740" t="s">
        <v>334</v>
      </c>
      <c r="I110" s="516">
        <v>0</v>
      </c>
      <c r="J110" s="517">
        <f ca="1">IF(E110="TRAOKE",0,SUMIF(NameConv!$C$5:$C$45,RIGHT(E110,3),OFFSET(NameConv!$AX$5,0,AU110,NameConv!$A$45,1)))</f>
        <v>0.3</v>
      </c>
      <c r="K110" s="518"/>
      <c r="L110" s="518"/>
      <c r="M110" s="518"/>
      <c r="N110" s="518"/>
      <c r="O110" s="518"/>
      <c r="P110" s="518"/>
      <c r="Q110" s="518"/>
      <c r="R110" s="518"/>
      <c r="S110" s="518"/>
      <c r="T110" s="518"/>
      <c r="U110" s="518"/>
      <c r="V110" s="518"/>
      <c r="W110" s="518"/>
      <c r="X110" s="518"/>
      <c r="Y110" s="518"/>
      <c r="Z110" s="518"/>
      <c r="AA110" s="518"/>
      <c r="AB110" s="518"/>
      <c r="AC110" s="518"/>
      <c r="AD110" s="518"/>
      <c r="AE110" s="518"/>
      <c r="AF110" s="518"/>
      <c r="AG110" s="518"/>
      <c r="AH110" s="518"/>
      <c r="AI110" s="518"/>
      <c r="AJ110" s="518"/>
      <c r="AK110" s="518"/>
      <c r="AL110" s="518"/>
      <c r="AM110" s="518"/>
      <c r="AN110" s="518"/>
      <c r="AO110" s="518"/>
      <c r="AP110" s="518"/>
      <c r="AQ110" s="518"/>
      <c r="AR110" s="518"/>
      <c r="AS110" s="495">
        <f ca="1">IF(AND(AV109&gt;=SUMIF(NameConv!$C$5:$C$45,RIGHT(E109,3),NameConv!$CG$5:$CG$45),AT109=SUMIF(NameConv!$G$4:$M$4,LEFT(E109,3),NameConv!$G$45:$M$45)),AS109+1,AS109)</f>
        <v>3</v>
      </c>
      <c r="AT110" s="495">
        <f ca="1">IF(AS110&lt;&gt;AS109,1,IF(AV109&gt;=SUMIF(NameConv!$C$5:$C$45,RIGHT(E109,3),NameConv!$CG$5:$CG$45),AT109+1,AT109))</f>
        <v>3</v>
      </c>
      <c r="AU110" s="495">
        <f ca="1">SUMIF(NameConv!$C$5:$C$45,RIGHT(E110,3),OFFSET(NameConv!$CG$5,0,AV110,NameConv!$A$45,1))</f>
        <v>5</v>
      </c>
      <c r="AV110" s="495">
        <f ca="1">IF(AV109&gt;=SUMIF(NameConv!$C$5:$C$45,RIGHT(E109,3),NameConv!$CG$5:$CG$45),1,AV109+1)</f>
        <v>5</v>
      </c>
    </row>
    <row r="111" spans="1:48">
      <c r="A111" s="422" t="str">
        <f t="shared" ca="1" si="3"/>
        <v/>
      </c>
      <c r="B111" s="515" t="str">
        <f t="shared" si="2"/>
        <v>FLO_EMIS</v>
      </c>
      <c r="C111" s="518" t="str">
        <f ca="1">"X"&amp;OFFSET(NameConv!$F$4,0,AS111)&amp;OFFSET(NameConv!$F$59,AT111,AS111)</f>
        <v>XINDCOA</v>
      </c>
      <c r="D111" s="515" t="str">
        <f ca="1">OFFSET(NameConv!$F$4,0,AS111)&amp;OFFSET(NameConv!$AX$4,0,AU111)</f>
        <v>INDCMOX</v>
      </c>
      <c r="E111" s="515" t="str">
        <f ca="1">OFFSET(NameConv!$F$4,0,AS111)&amp;OFFSET(NameConv!$F$59,AT111,AS111)</f>
        <v>INDCOA</v>
      </c>
      <c r="F111" s="740" t="s">
        <v>334</v>
      </c>
      <c r="G111" s="515" t="s">
        <v>337</v>
      </c>
      <c r="H111" s="740" t="s">
        <v>334</v>
      </c>
      <c r="I111" s="516">
        <v>0</v>
      </c>
      <c r="J111" s="517">
        <f ca="1">IF(E111="TRAOKE",0,SUMIF(NameConv!$C$5:$C$45,RIGHT(E111,3),OFFSET(NameConv!$AX$5,0,AU111,NameConv!$A$45,1)))</f>
        <v>0.02</v>
      </c>
      <c r="K111" s="518"/>
      <c r="L111" s="518"/>
      <c r="M111" s="518"/>
      <c r="N111" s="518"/>
      <c r="O111" s="518"/>
      <c r="P111" s="518"/>
      <c r="Q111" s="518"/>
      <c r="R111" s="518"/>
      <c r="S111" s="518"/>
      <c r="T111" s="518"/>
      <c r="U111" s="518"/>
      <c r="V111" s="518"/>
      <c r="W111" s="518"/>
      <c r="X111" s="518"/>
      <c r="Y111" s="518"/>
      <c r="Z111" s="518"/>
      <c r="AA111" s="518"/>
      <c r="AB111" s="518"/>
      <c r="AC111" s="518"/>
      <c r="AD111" s="518"/>
      <c r="AE111" s="518"/>
      <c r="AF111" s="518"/>
      <c r="AG111" s="518"/>
      <c r="AH111" s="518"/>
      <c r="AI111" s="518"/>
      <c r="AJ111" s="518"/>
      <c r="AK111" s="518"/>
      <c r="AL111" s="518"/>
      <c r="AM111" s="518"/>
      <c r="AN111" s="518"/>
      <c r="AO111" s="518"/>
      <c r="AP111" s="518"/>
      <c r="AQ111" s="518"/>
      <c r="AR111" s="518"/>
      <c r="AS111" s="495">
        <f ca="1">IF(AND(AV110&gt;=SUMIF(NameConv!$C$5:$C$45,RIGHT(E110,3),NameConv!$CG$5:$CG$45),AT110=SUMIF(NameConv!$G$4:$M$4,LEFT(E110,3),NameConv!$G$45:$M$45)),AS110+1,AS110)</f>
        <v>3</v>
      </c>
      <c r="AT111" s="495">
        <f ca="1">IF(AS111&lt;&gt;AS110,1,IF(AV110&gt;=SUMIF(NameConv!$C$5:$C$45,RIGHT(E110,3),NameConv!$CG$5:$CG$45),AT110+1,AT110))</f>
        <v>3</v>
      </c>
      <c r="AU111" s="495">
        <f ca="1">SUMIF(NameConv!$C$5:$C$45,RIGHT(E111,3),OFFSET(NameConv!$CG$5,0,AV111,NameConv!$A$45,1))</f>
        <v>6</v>
      </c>
      <c r="AV111" s="495">
        <f ca="1">IF(AV110&gt;=SUMIF(NameConv!$C$5:$C$45,RIGHT(E110,3),NameConv!$CG$5:$CG$45),1,AV110+1)</f>
        <v>6</v>
      </c>
    </row>
    <row r="112" spans="1:48">
      <c r="A112" s="422" t="str">
        <f t="shared" ca="1" si="3"/>
        <v/>
      </c>
      <c r="B112" s="515" t="str">
        <f t="shared" si="2"/>
        <v>FLO_EMIS</v>
      </c>
      <c r="C112" s="518" t="str">
        <f ca="1">"X"&amp;OFFSET(NameConv!$F$4,0,AS112)&amp;OFFSET(NameConv!$F$59,AT112,AS112)</f>
        <v>XINDCOA</v>
      </c>
      <c r="D112" s="515" t="str">
        <f ca="1">OFFSET(NameConv!$F$4,0,AS112)&amp;OFFSET(NameConv!$AX$4,0,AU112)</f>
        <v>INDNMVS</v>
      </c>
      <c r="E112" s="515" t="str">
        <f ca="1">OFFSET(NameConv!$F$4,0,AS112)&amp;OFFSET(NameConv!$F$59,AT112,AS112)</f>
        <v>INDCOA</v>
      </c>
      <c r="F112" s="740" t="s">
        <v>334</v>
      </c>
      <c r="G112" s="515" t="s">
        <v>337</v>
      </c>
      <c r="H112" s="740" t="s">
        <v>334</v>
      </c>
      <c r="I112" s="516">
        <v>0</v>
      </c>
      <c r="J112" s="517">
        <f ca="1">IF(E112="TRAOKE",0,SUMIF(NameConv!$C$5:$C$45,RIGHT(E112,3),OFFSET(NameConv!$AX$5,0,AU112,NameConv!$A$45,1)))</f>
        <v>5.0000000000000001E-3</v>
      </c>
      <c r="K112" s="518"/>
      <c r="L112" s="518"/>
      <c r="M112" s="518"/>
      <c r="N112" s="518"/>
      <c r="O112" s="518"/>
      <c r="P112" s="518"/>
      <c r="Q112" s="518"/>
      <c r="R112" s="518"/>
      <c r="S112" s="518"/>
      <c r="T112" s="518"/>
      <c r="U112" s="518"/>
      <c r="V112" s="518"/>
      <c r="W112" s="518"/>
      <c r="X112" s="518"/>
      <c r="Y112" s="518"/>
      <c r="Z112" s="518"/>
      <c r="AA112" s="518"/>
      <c r="AB112" s="518"/>
      <c r="AC112" s="518"/>
      <c r="AD112" s="518"/>
      <c r="AE112" s="518"/>
      <c r="AF112" s="518"/>
      <c r="AG112" s="518"/>
      <c r="AH112" s="518"/>
      <c r="AI112" s="518"/>
      <c r="AJ112" s="518"/>
      <c r="AK112" s="518"/>
      <c r="AL112" s="518"/>
      <c r="AM112" s="518"/>
      <c r="AN112" s="518"/>
      <c r="AO112" s="518"/>
      <c r="AP112" s="518"/>
      <c r="AQ112" s="518"/>
      <c r="AR112" s="518"/>
      <c r="AS112" s="495">
        <f ca="1">IF(AND(AV111&gt;=SUMIF(NameConv!$C$5:$C$45,RIGHT(E111,3),NameConv!$CG$5:$CG$45),AT111=SUMIF(NameConv!$G$4:$M$4,LEFT(E111,3),NameConv!$G$45:$M$45)),AS111+1,AS111)</f>
        <v>3</v>
      </c>
      <c r="AT112" s="495">
        <f ca="1">IF(AS112&lt;&gt;AS111,1,IF(AV111&gt;=SUMIF(NameConv!$C$5:$C$45,RIGHT(E111,3),NameConv!$CG$5:$CG$45),AT111+1,AT111))</f>
        <v>3</v>
      </c>
      <c r="AU112" s="495">
        <f ca="1">SUMIF(NameConv!$C$5:$C$45,RIGHT(E112,3),OFFSET(NameConv!$CG$5,0,AV112,NameConv!$A$45,1))</f>
        <v>7</v>
      </c>
      <c r="AV112" s="495">
        <f ca="1">IF(AV111&gt;=SUMIF(NameConv!$C$5:$C$45,RIGHT(E111,3),NameConv!$CG$5:$CG$45),1,AV111+1)</f>
        <v>7</v>
      </c>
    </row>
    <row r="113" spans="1:48">
      <c r="A113" s="422" t="str">
        <f t="shared" ca="1" si="3"/>
        <v>*</v>
      </c>
      <c r="B113" s="515" t="str">
        <f t="shared" si="2"/>
        <v>FLO_EMIS</v>
      </c>
      <c r="C113" s="518" t="str">
        <f ca="1">"X"&amp;OFFSET(NameConv!$F$4,0,AS113)&amp;OFFSET(NameConv!$F$59,AT113,AS113)</f>
        <v>XINDCOK</v>
      </c>
      <c r="D113" s="515" t="str">
        <f ca="1">OFFSET(NameConv!$F$4,0,AS113)&amp;OFFSET(NameConv!$AX$4,0,AU113)</f>
        <v>IND</v>
      </c>
      <c r="E113" s="515" t="str">
        <f ca="1">OFFSET(NameConv!$F$4,0,AS113)&amp;OFFSET(NameConv!$F$59,AT113,AS113)</f>
        <v>INDCOK</v>
      </c>
      <c r="F113" s="740" t="s">
        <v>334</v>
      </c>
      <c r="G113" s="515" t="s">
        <v>337</v>
      </c>
      <c r="H113" s="740" t="s">
        <v>334</v>
      </c>
      <c r="I113" s="516">
        <v>0</v>
      </c>
      <c r="J113" s="517">
        <f ca="1">IF(E113="TRAOKE",0,SUMIF(NameConv!$C$5:$C$45,RIGHT(E113,3),OFFSET(NameConv!$AX$5,0,AU113,NameConv!$A$45,1)))</f>
        <v>0</v>
      </c>
      <c r="K113" s="518"/>
      <c r="L113" s="518"/>
      <c r="M113" s="518"/>
      <c r="N113" s="518"/>
      <c r="O113" s="518"/>
      <c r="P113" s="518"/>
      <c r="Q113" s="518"/>
      <c r="R113" s="518"/>
      <c r="S113" s="518"/>
      <c r="T113" s="518"/>
      <c r="U113" s="518"/>
      <c r="V113" s="518"/>
      <c r="W113" s="518"/>
      <c r="X113" s="518"/>
      <c r="Y113" s="518"/>
      <c r="Z113" s="518"/>
      <c r="AA113" s="518"/>
      <c r="AB113" s="518"/>
      <c r="AC113" s="518"/>
      <c r="AD113" s="518"/>
      <c r="AE113" s="518"/>
      <c r="AF113" s="518"/>
      <c r="AG113" s="518"/>
      <c r="AH113" s="518"/>
      <c r="AI113" s="518"/>
      <c r="AJ113" s="518"/>
      <c r="AK113" s="518"/>
      <c r="AL113" s="518"/>
      <c r="AM113" s="518"/>
      <c r="AN113" s="518"/>
      <c r="AO113" s="518"/>
      <c r="AP113" s="518"/>
      <c r="AQ113" s="518"/>
      <c r="AR113" s="518"/>
      <c r="AS113" s="495">
        <f ca="1">IF(AND(AV112&gt;=SUMIF(NameConv!$C$5:$C$45,RIGHT(E112,3),NameConv!$CG$5:$CG$45),AT112=SUMIF(NameConv!$G$4:$M$4,LEFT(E112,3),NameConv!$G$45:$M$45)),AS112+1,AS112)</f>
        <v>3</v>
      </c>
      <c r="AT113" s="495">
        <f ca="1">IF(AS113&lt;&gt;AS112,1,IF(AV112&gt;=SUMIF(NameConv!$C$5:$C$45,RIGHT(E112,3),NameConv!$CG$5:$CG$45),AT112+1,AT112))</f>
        <v>4</v>
      </c>
      <c r="AU113" s="495">
        <f ca="1">SUMIF(NameConv!$C$5:$C$45,RIGHT(E113,3),OFFSET(NameConv!$CG$5,0,AV113,NameConv!$A$45,1))</f>
        <v>0</v>
      </c>
      <c r="AV113" s="495">
        <f ca="1">IF(AV112&gt;=SUMIF(NameConv!$C$5:$C$45,RIGHT(E112,3),NameConv!$CG$5:$CG$45),1,AV112+1)</f>
        <v>1</v>
      </c>
    </row>
    <row r="114" spans="1:48">
      <c r="A114" s="422" t="str">
        <f t="shared" ca="1" si="3"/>
        <v/>
      </c>
      <c r="B114" s="515" t="str">
        <f t="shared" si="2"/>
        <v>FLO_EMIS</v>
      </c>
      <c r="C114" s="518" t="str">
        <f ca="1">"X"&amp;OFFSET(NameConv!$F$4,0,AS114)&amp;OFFSET(NameConv!$F$59,AT114,AS114)</f>
        <v>XINDCLE</v>
      </c>
      <c r="D114" s="515" t="str">
        <f ca="1">OFFSET(NameConv!$F$4,0,AS114)&amp;OFFSET(NameConv!$AX$4,0,AU114)</f>
        <v>INDCO2S</v>
      </c>
      <c r="E114" s="515" t="str">
        <f ca="1">OFFSET(NameConv!$F$4,0,AS114)&amp;OFFSET(NameConv!$F$59,AT114,AS114)</f>
        <v>INDCLE</v>
      </c>
      <c r="F114" s="740" t="s">
        <v>334</v>
      </c>
      <c r="G114" s="515" t="s">
        <v>337</v>
      </c>
      <c r="H114" s="740" t="s">
        <v>334</v>
      </c>
      <c r="I114" s="516">
        <v>0</v>
      </c>
      <c r="J114" s="517">
        <f ca="1">IF(E114="TRAOKE",0,SUMIF(NameConv!$C$5:$C$45,RIGHT(E114,3),OFFSET(NameConv!$AX$5,0,AU114,NameConv!$A$45,1)))</f>
        <v>96.25</v>
      </c>
      <c r="K114" s="518"/>
      <c r="L114" s="518"/>
      <c r="M114" s="518"/>
      <c r="N114" s="518"/>
      <c r="O114" s="518"/>
      <c r="P114" s="518"/>
      <c r="Q114" s="518"/>
      <c r="R114" s="518"/>
      <c r="S114" s="518"/>
      <c r="T114" s="518"/>
      <c r="U114" s="518"/>
      <c r="V114" s="518"/>
      <c r="W114" s="518"/>
      <c r="X114" s="518"/>
      <c r="Y114" s="518"/>
      <c r="Z114" s="518"/>
      <c r="AA114" s="518"/>
      <c r="AB114" s="518"/>
      <c r="AC114" s="518"/>
      <c r="AD114" s="518"/>
      <c r="AE114" s="518"/>
      <c r="AF114" s="518"/>
      <c r="AG114" s="518"/>
      <c r="AH114" s="518"/>
      <c r="AI114" s="518"/>
      <c r="AJ114" s="518"/>
      <c r="AK114" s="518"/>
      <c r="AL114" s="518"/>
      <c r="AM114" s="518"/>
      <c r="AN114" s="518"/>
      <c r="AO114" s="518"/>
      <c r="AP114" s="518"/>
      <c r="AQ114" s="518"/>
      <c r="AR114" s="518"/>
      <c r="AS114" s="495">
        <f ca="1">IF(AND(AV113&gt;=SUMIF(NameConv!$C$5:$C$45,RIGHT(E113,3),NameConv!$CG$5:$CG$45),AT113=SUMIF(NameConv!$G$4:$M$4,LEFT(E113,3),NameConv!$G$45:$M$45)),AS113+1,AS113)</f>
        <v>3</v>
      </c>
      <c r="AT114" s="495">
        <f ca="1">IF(AS114&lt;&gt;AS113,1,IF(AV113&gt;=SUMIF(NameConv!$C$5:$C$45,RIGHT(E113,3),NameConv!$CG$5:$CG$45),AT113+1,AT113))</f>
        <v>5</v>
      </c>
      <c r="AU114" s="495">
        <f ca="1">SUMIF(NameConv!$C$5:$C$45,RIGHT(E114,3),OFFSET(NameConv!$CG$5,0,AV114,NameConv!$A$45,1))</f>
        <v>1</v>
      </c>
      <c r="AV114" s="495">
        <f ca="1">IF(AV113&gt;=SUMIF(NameConv!$C$5:$C$45,RIGHT(E113,3),NameConv!$CG$5:$CG$45),1,AV113+1)</f>
        <v>1</v>
      </c>
    </row>
    <row r="115" spans="1:48">
      <c r="A115" s="422" t="str">
        <f t="shared" ca="1" si="3"/>
        <v/>
      </c>
      <c r="B115" s="515" t="str">
        <f t="shared" si="2"/>
        <v>FLO_EMIS</v>
      </c>
      <c r="C115" s="518" t="str">
        <f ca="1">"X"&amp;OFFSET(NameConv!$F$4,0,AS115)&amp;OFFSET(NameConv!$F$59,AT115,AS115)</f>
        <v>XINDCLE</v>
      </c>
      <c r="D115" s="515" t="str">
        <f ca="1">OFFSET(NameConv!$F$4,0,AS115)&amp;OFFSET(NameConv!$AX$4,0,AU115)</f>
        <v>INDCH4S</v>
      </c>
      <c r="E115" s="515" t="str">
        <f ca="1">OFFSET(NameConv!$F$4,0,AS115)&amp;OFFSET(NameConv!$F$59,AT115,AS115)</f>
        <v>INDCLE</v>
      </c>
      <c r="F115" s="740" t="s">
        <v>334</v>
      </c>
      <c r="G115" s="515" t="s">
        <v>337</v>
      </c>
      <c r="H115" s="740" t="s">
        <v>334</v>
      </c>
      <c r="I115" s="516">
        <v>0</v>
      </c>
      <c r="J115" s="517">
        <f ca="1">IF(E115="TRAOKE",0,SUMIF(NameConv!$C$5:$C$45,RIGHT(E115,3),OFFSET(NameConv!$AX$5,0,AU115,NameConv!$A$45,1)))</f>
        <v>1E-3</v>
      </c>
      <c r="K115" s="518"/>
      <c r="L115" s="518"/>
      <c r="M115" s="518"/>
      <c r="N115" s="518"/>
      <c r="O115" s="518"/>
      <c r="P115" s="518"/>
      <c r="Q115" s="518"/>
      <c r="R115" s="518"/>
      <c r="S115" s="518"/>
      <c r="T115" s="518"/>
      <c r="U115" s="518"/>
      <c r="V115" s="518"/>
      <c r="W115" s="518"/>
      <c r="X115" s="518"/>
      <c r="Y115" s="518"/>
      <c r="Z115" s="518"/>
      <c r="AA115" s="518"/>
      <c r="AB115" s="518"/>
      <c r="AC115" s="518"/>
      <c r="AD115" s="518"/>
      <c r="AE115" s="518"/>
      <c r="AF115" s="518"/>
      <c r="AG115" s="518"/>
      <c r="AH115" s="518"/>
      <c r="AI115" s="518"/>
      <c r="AJ115" s="518"/>
      <c r="AK115" s="518"/>
      <c r="AL115" s="518"/>
      <c r="AM115" s="518"/>
      <c r="AN115" s="518"/>
      <c r="AO115" s="518"/>
      <c r="AP115" s="518"/>
      <c r="AQ115" s="518"/>
      <c r="AR115" s="518"/>
      <c r="AS115" s="495">
        <f ca="1">IF(AND(AV114&gt;=SUMIF(NameConv!$C$5:$C$45,RIGHT(E114,3),NameConv!$CG$5:$CG$45),AT114=SUMIF(NameConv!$G$4:$M$4,LEFT(E114,3),NameConv!$G$45:$M$45)),AS114+1,AS114)</f>
        <v>3</v>
      </c>
      <c r="AT115" s="495">
        <f ca="1">IF(AS115&lt;&gt;AS114,1,IF(AV114&gt;=SUMIF(NameConv!$C$5:$C$45,RIGHT(E114,3),NameConv!$CG$5:$CG$45),AT114+1,AT114))</f>
        <v>5</v>
      </c>
      <c r="AU115" s="495">
        <f ca="1">SUMIF(NameConv!$C$5:$C$45,RIGHT(E115,3),OFFSET(NameConv!$CG$5,0,AV115,NameConv!$A$45,1))</f>
        <v>2</v>
      </c>
      <c r="AV115" s="495">
        <f ca="1">IF(AV114&gt;=SUMIF(NameConv!$C$5:$C$45,RIGHT(E114,3),NameConv!$CG$5:$CG$45),1,AV114+1)</f>
        <v>2</v>
      </c>
    </row>
    <row r="116" spans="1:48">
      <c r="A116" s="422" t="str">
        <f t="shared" ca="1" si="3"/>
        <v/>
      </c>
      <c r="B116" s="515" t="str">
        <f t="shared" si="2"/>
        <v>FLO_EMIS</v>
      </c>
      <c r="C116" s="518" t="str">
        <f ca="1">"X"&amp;OFFSET(NameConv!$F$4,0,AS116)&amp;OFFSET(NameConv!$F$59,AT116,AS116)</f>
        <v>XINDCLE</v>
      </c>
      <c r="D116" s="515" t="str">
        <f ca="1">OFFSET(NameConv!$F$4,0,AS116)&amp;OFFSET(NameConv!$AX$4,0,AU116)</f>
        <v>INDN2OS</v>
      </c>
      <c r="E116" s="515" t="str">
        <f ca="1">OFFSET(NameConv!$F$4,0,AS116)&amp;OFFSET(NameConv!$F$59,AT116,AS116)</f>
        <v>INDCLE</v>
      </c>
      <c r="F116" s="740" t="s">
        <v>334</v>
      </c>
      <c r="G116" s="515" t="s">
        <v>337</v>
      </c>
      <c r="H116" s="740" t="s">
        <v>334</v>
      </c>
      <c r="I116" s="516">
        <v>0</v>
      </c>
      <c r="J116" s="517">
        <f ca="1">IF(E116="TRAOKE",0,SUMIF(NameConv!$C$5:$C$45,RIGHT(E116,3),OFFSET(NameConv!$AX$5,0,AU116,NameConv!$A$45,1)))</f>
        <v>1.4E-3</v>
      </c>
      <c r="K116" s="518"/>
      <c r="L116" s="518"/>
      <c r="M116" s="518"/>
      <c r="N116" s="518"/>
      <c r="O116" s="518"/>
      <c r="P116" s="518"/>
      <c r="Q116" s="518"/>
      <c r="R116" s="518"/>
      <c r="S116" s="518"/>
      <c r="T116" s="518"/>
      <c r="U116" s="518"/>
      <c r="V116" s="518"/>
      <c r="W116" s="518"/>
      <c r="X116" s="518"/>
      <c r="Y116" s="518"/>
      <c r="Z116" s="518"/>
      <c r="AA116" s="518"/>
      <c r="AB116" s="518"/>
      <c r="AC116" s="518"/>
      <c r="AD116" s="518"/>
      <c r="AE116" s="518"/>
      <c r="AF116" s="518"/>
      <c r="AG116" s="518"/>
      <c r="AH116" s="518"/>
      <c r="AI116" s="518"/>
      <c r="AJ116" s="518"/>
      <c r="AK116" s="518"/>
      <c r="AL116" s="518"/>
      <c r="AM116" s="518"/>
      <c r="AN116" s="518"/>
      <c r="AO116" s="518"/>
      <c r="AP116" s="518"/>
      <c r="AQ116" s="518"/>
      <c r="AR116" s="518"/>
      <c r="AS116" s="495">
        <f ca="1">IF(AND(AV115&gt;=SUMIF(NameConv!$C$5:$C$45,RIGHT(E115,3),NameConv!$CG$5:$CG$45),AT115=SUMIF(NameConv!$G$4:$M$4,LEFT(E115,3),NameConv!$G$45:$M$45)),AS115+1,AS115)</f>
        <v>3</v>
      </c>
      <c r="AT116" s="495">
        <f ca="1">IF(AS116&lt;&gt;AS115,1,IF(AV115&gt;=SUMIF(NameConv!$C$5:$C$45,RIGHT(E115,3),NameConv!$CG$5:$CG$45),AT115+1,AT115))</f>
        <v>5</v>
      </c>
      <c r="AU116" s="495">
        <f ca="1">SUMIF(NameConv!$C$5:$C$45,RIGHT(E116,3),OFFSET(NameConv!$CG$5,0,AV116,NameConv!$A$45,1))</f>
        <v>3</v>
      </c>
      <c r="AV116" s="495">
        <f ca="1">IF(AV115&gt;=SUMIF(NameConv!$C$5:$C$45,RIGHT(E115,3),NameConv!$CG$5:$CG$45),1,AV115+1)</f>
        <v>3</v>
      </c>
    </row>
    <row r="117" spans="1:48">
      <c r="A117" s="422" t="str">
        <f t="shared" ca="1" si="3"/>
        <v/>
      </c>
      <c r="B117" s="515" t="str">
        <f t="shared" si="2"/>
        <v>FLO_EMIS</v>
      </c>
      <c r="C117" s="518" t="str">
        <f ca="1">"X"&amp;OFFSET(NameConv!$F$4,0,AS117)&amp;OFFSET(NameConv!$F$59,AT117,AS117)</f>
        <v>XINDCLE</v>
      </c>
      <c r="D117" s="515" t="str">
        <f ca="1">OFFSET(NameConv!$F$4,0,AS117)&amp;OFFSET(NameConv!$AX$4,0,AU117)</f>
        <v>INDSOXS</v>
      </c>
      <c r="E117" s="515" t="str">
        <f ca="1">OFFSET(NameConv!$F$4,0,AS117)&amp;OFFSET(NameConv!$F$59,AT117,AS117)</f>
        <v>INDCLE</v>
      </c>
      <c r="F117" s="740" t="s">
        <v>334</v>
      </c>
      <c r="G117" s="515" t="s">
        <v>337</v>
      </c>
      <c r="H117" s="740" t="s">
        <v>334</v>
      </c>
      <c r="I117" s="516">
        <v>0</v>
      </c>
      <c r="J117" s="517">
        <f ca="1">IF(E117="TRAOKE",0,SUMIF(NameConv!$C$5:$C$45,RIGHT(E117,3),OFFSET(NameConv!$AX$5,0,AU117,NameConv!$A$45,1)))</f>
        <v>0.62619999999999998</v>
      </c>
      <c r="K117" s="518"/>
      <c r="L117" s="518"/>
      <c r="M117" s="518"/>
      <c r="N117" s="518"/>
      <c r="O117" s="518"/>
      <c r="P117" s="518"/>
      <c r="Q117" s="518"/>
      <c r="R117" s="518"/>
      <c r="S117" s="518"/>
      <c r="T117" s="518"/>
      <c r="U117" s="518"/>
      <c r="V117" s="518"/>
      <c r="W117" s="518"/>
      <c r="X117" s="518"/>
      <c r="Y117" s="518"/>
      <c r="Z117" s="518"/>
      <c r="AA117" s="518"/>
      <c r="AB117" s="518"/>
      <c r="AC117" s="518"/>
      <c r="AD117" s="518"/>
      <c r="AE117" s="518"/>
      <c r="AF117" s="518"/>
      <c r="AG117" s="518"/>
      <c r="AH117" s="518"/>
      <c r="AI117" s="518"/>
      <c r="AJ117" s="518"/>
      <c r="AK117" s="518"/>
      <c r="AL117" s="518"/>
      <c r="AM117" s="518"/>
      <c r="AN117" s="518"/>
      <c r="AO117" s="518"/>
      <c r="AP117" s="518"/>
      <c r="AQ117" s="518"/>
      <c r="AR117" s="518"/>
      <c r="AS117" s="495">
        <f ca="1">IF(AND(AV116&gt;=SUMIF(NameConv!$C$5:$C$45,RIGHT(E116,3),NameConv!$CG$5:$CG$45),AT116=SUMIF(NameConv!$G$4:$M$4,LEFT(E116,3),NameConv!$G$45:$M$45)),AS116+1,AS116)</f>
        <v>3</v>
      </c>
      <c r="AT117" s="495">
        <f ca="1">IF(AS117&lt;&gt;AS116,1,IF(AV116&gt;=SUMIF(NameConv!$C$5:$C$45,RIGHT(E116,3),NameConv!$CG$5:$CG$45),AT116+1,AT116))</f>
        <v>5</v>
      </c>
      <c r="AU117" s="495">
        <f ca="1">SUMIF(NameConv!$C$5:$C$45,RIGHT(E117,3),OFFSET(NameConv!$CG$5,0,AV117,NameConv!$A$45,1))</f>
        <v>4</v>
      </c>
      <c r="AV117" s="495">
        <f ca="1">IF(AV116&gt;=SUMIF(NameConv!$C$5:$C$45,RIGHT(E116,3),NameConv!$CG$5:$CG$45),1,AV116+1)</f>
        <v>4</v>
      </c>
    </row>
    <row r="118" spans="1:48">
      <c r="A118" s="422" t="str">
        <f t="shared" ca="1" si="3"/>
        <v/>
      </c>
      <c r="B118" s="515" t="str">
        <f t="shared" si="2"/>
        <v>FLO_EMIS</v>
      </c>
      <c r="C118" s="518" t="str">
        <f ca="1">"X"&amp;OFFSET(NameConv!$F$4,0,AS118)&amp;OFFSET(NameConv!$F$59,AT118,AS118)</f>
        <v>XINDCLE</v>
      </c>
      <c r="D118" s="515" t="str">
        <f ca="1">OFFSET(NameConv!$F$4,0,AS118)&amp;OFFSET(NameConv!$AX$4,0,AU118)</f>
        <v>INDNOXS</v>
      </c>
      <c r="E118" s="515" t="str">
        <f ca="1">OFFSET(NameConv!$F$4,0,AS118)&amp;OFFSET(NameConv!$F$59,AT118,AS118)</f>
        <v>INDCLE</v>
      </c>
      <c r="F118" s="740" t="s">
        <v>334</v>
      </c>
      <c r="G118" s="515" t="s">
        <v>337</v>
      </c>
      <c r="H118" s="740" t="s">
        <v>334</v>
      </c>
      <c r="I118" s="516">
        <v>0</v>
      </c>
      <c r="J118" s="517">
        <f ca="1">IF(E118="TRAOKE",0,SUMIF(NameConv!$C$5:$C$45,RIGHT(E118,3),OFFSET(NameConv!$AX$5,0,AU118,NameConv!$A$45,1)))</f>
        <v>0.3</v>
      </c>
      <c r="K118" s="518"/>
      <c r="L118" s="518"/>
      <c r="M118" s="518"/>
      <c r="N118" s="518"/>
      <c r="O118" s="518"/>
      <c r="P118" s="518"/>
      <c r="Q118" s="518"/>
      <c r="R118" s="518"/>
      <c r="S118" s="518"/>
      <c r="T118" s="518"/>
      <c r="U118" s="518"/>
      <c r="V118" s="518"/>
      <c r="W118" s="518"/>
      <c r="X118" s="518"/>
      <c r="Y118" s="518"/>
      <c r="Z118" s="518"/>
      <c r="AA118" s="518"/>
      <c r="AB118" s="518"/>
      <c r="AC118" s="518"/>
      <c r="AD118" s="518"/>
      <c r="AE118" s="518"/>
      <c r="AF118" s="518"/>
      <c r="AG118" s="518"/>
      <c r="AH118" s="518"/>
      <c r="AI118" s="518"/>
      <c r="AJ118" s="518"/>
      <c r="AK118" s="518"/>
      <c r="AL118" s="518"/>
      <c r="AM118" s="518"/>
      <c r="AN118" s="518"/>
      <c r="AO118" s="518"/>
      <c r="AP118" s="518"/>
      <c r="AQ118" s="518"/>
      <c r="AR118" s="518"/>
      <c r="AS118" s="495">
        <f ca="1">IF(AND(AV117&gt;=SUMIF(NameConv!$C$5:$C$45,RIGHT(E117,3),NameConv!$CG$5:$CG$45),AT117=SUMIF(NameConv!$G$4:$M$4,LEFT(E117,3),NameConv!$G$45:$M$45)),AS117+1,AS117)</f>
        <v>3</v>
      </c>
      <c r="AT118" s="495">
        <f ca="1">IF(AS118&lt;&gt;AS117,1,IF(AV117&gt;=SUMIF(NameConv!$C$5:$C$45,RIGHT(E117,3),NameConv!$CG$5:$CG$45),AT117+1,AT117))</f>
        <v>5</v>
      </c>
      <c r="AU118" s="495">
        <f ca="1">SUMIF(NameConv!$C$5:$C$45,RIGHT(E118,3),OFFSET(NameConv!$CG$5,0,AV118,NameConv!$A$45,1))</f>
        <v>5</v>
      </c>
      <c r="AV118" s="495">
        <f ca="1">IF(AV117&gt;=SUMIF(NameConv!$C$5:$C$45,RIGHT(E117,3),NameConv!$CG$5:$CG$45),1,AV117+1)</f>
        <v>5</v>
      </c>
    </row>
    <row r="119" spans="1:48">
      <c r="A119" s="422" t="str">
        <f t="shared" ca="1" si="3"/>
        <v/>
      </c>
      <c r="B119" s="515" t="str">
        <f t="shared" si="2"/>
        <v>FLO_EMIS</v>
      </c>
      <c r="C119" s="518" t="str">
        <f ca="1">"X"&amp;OFFSET(NameConv!$F$4,0,AS119)&amp;OFFSET(NameConv!$F$59,AT119,AS119)</f>
        <v>XINDCLE</v>
      </c>
      <c r="D119" s="515" t="str">
        <f ca="1">OFFSET(NameConv!$F$4,0,AS119)&amp;OFFSET(NameConv!$AX$4,0,AU119)</f>
        <v>INDCMOX</v>
      </c>
      <c r="E119" s="515" t="str">
        <f ca="1">OFFSET(NameConv!$F$4,0,AS119)&amp;OFFSET(NameConv!$F$59,AT119,AS119)</f>
        <v>INDCLE</v>
      </c>
      <c r="F119" s="740" t="s">
        <v>334</v>
      </c>
      <c r="G119" s="515" t="s">
        <v>337</v>
      </c>
      <c r="H119" s="740" t="s">
        <v>334</v>
      </c>
      <c r="I119" s="516">
        <v>0</v>
      </c>
      <c r="J119" s="517">
        <f ca="1">IF(E119="TRAOKE",0,SUMIF(NameConv!$C$5:$C$45,RIGHT(E119,3),OFFSET(NameConv!$AX$5,0,AU119,NameConv!$A$45,1)))</f>
        <v>0.02</v>
      </c>
      <c r="K119" s="518"/>
      <c r="L119" s="518"/>
      <c r="M119" s="518"/>
      <c r="N119" s="518"/>
      <c r="O119" s="518"/>
      <c r="P119" s="518"/>
      <c r="Q119" s="518"/>
      <c r="R119" s="518"/>
      <c r="S119" s="518"/>
      <c r="T119" s="518"/>
      <c r="U119" s="518"/>
      <c r="V119" s="518"/>
      <c r="W119" s="518"/>
      <c r="X119" s="518"/>
      <c r="Y119" s="518"/>
      <c r="Z119" s="518"/>
      <c r="AA119" s="518"/>
      <c r="AB119" s="518"/>
      <c r="AC119" s="518"/>
      <c r="AD119" s="518"/>
      <c r="AE119" s="518"/>
      <c r="AF119" s="518"/>
      <c r="AG119" s="518"/>
      <c r="AH119" s="518"/>
      <c r="AI119" s="518"/>
      <c r="AJ119" s="518"/>
      <c r="AK119" s="518"/>
      <c r="AL119" s="518"/>
      <c r="AM119" s="518"/>
      <c r="AN119" s="518"/>
      <c r="AO119" s="518"/>
      <c r="AP119" s="518"/>
      <c r="AQ119" s="518"/>
      <c r="AR119" s="518"/>
      <c r="AS119" s="495">
        <f ca="1">IF(AND(AV118&gt;=SUMIF(NameConv!$C$5:$C$45,RIGHT(E118,3),NameConv!$CG$5:$CG$45),AT118=SUMIF(NameConv!$G$4:$M$4,LEFT(E118,3),NameConv!$G$45:$M$45)),AS118+1,AS118)</f>
        <v>3</v>
      </c>
      <c r="AT119" s="495">
        <f ca="1">IF(AS119&lt;&gt;AS118,1,IF(AV118&gt;=SUMIF(NameConv!$C$5:$C$45,RIGHT(E118,3),NameConv!$CG$5:$CG$45),AT118+1,AT118))</f>
        <v>5</v>
      </c>
      <c r="AU119" s="495">
        <f ca="1">SUMIF(NameConv!$C$5:$C$45,RIGHT(E119,3),OFFSET(NameConv!$CG$5,0,AV119,NameConv!$A$45,1))</f>
        <v>6</v>
      </c>
      <c r="AV119" s="495">
        <f ca="1">IF(AV118&gt;=SUMIF(NameConv!$C$5:$C$45,RIGHT(E118,3),NameConv!$CG$5:$CG$45),1,AV118+1)</f>
        <v>6</v>
      </c>
    </row>
    <row r="120" spans="1:48">
      <c r="A120" s="422" t="str">
        <f t="shared" ca="1" si="3"/>
        <v/>
      </c>
      <c r="B120" s="515" t="str">
        <f t="shared" si="2"/>
        <v>FLO_EMIS</v>
      </c>
      <c r="C120" s="518" t="str">
        <f ca="1">"X"&amp;OFFSET(NameConv!$F$4,0,AS120)&amp;OFFSET(NameConv!$F$59,AT120,AS120)</f>
        <v>XINDCLE</v>
      </c>
      <c r="D120" s="515" t="str">
        <f ca="1">OFFSET(NameConv!$F$4,0,AS120)&amp;OFFSET(NameConv!$AX$4,0,AU120)</f>
        <v>INDNMVS</v>
      </c>
      <c r="E120" s="515" t="str">
        <f ca="1">OFFSET(NameConv!$F$4,0,AS120)&amp;OFFSET(NameConv!$F$59,AT120,AS120)</f>
        <v>INDCLE</v>
      </c>
      <c r="F120" s="740" t="s">
        <v>334</v>
      </c>
      <c r="G120" s="515" t="s">
        <v>337</v>
      </c>
      <c r="H120" s="740" t="s">
        <v>334</v>
      </c>
      <c r="I120" s="516">
        <v>0</v>
      </c>
      <c r="J120" s="517">
        <f ca="1">IF(E120="TRAOKE",0,SUMIF(NameConv!$C$5:$C$45,RIGHT(E120,3),OFFSET(NameConv!$AX$5,0,AU120,NameConv!$A$45,1)))</f>
        <v>5.0000000000000001E-3</v>
      </c>
      <c r="K120" s="518"/>
      <c r="L120" s="518"/>
      <c r="M120" s="518"/>
      <c r="N120" s="518"/>
      <c r="O120" s="518"/>
      <c r="P120" s="518"/>
      <c r="Q120" s="518"/>
      <c r="R120" s="518"/>
      <c r="S120" s="518"/>
      <c r="T120" s="518"/>
      <c r="U120" s="518"/>
      <c r="V120" s="518"/>
      <c r="W120" s="518"/>
      <c r="X120" s="518"/>
      <c r="Y120" s="518"/>
      <c r="Z120" s="518"/>
      <c r="AA120" s="518"/>
      <c r="AB120" s="518"/>
      <c r="AC120" s="518"/>
      <c r="AD120" s="518"/>
      <c r="AE120" s="518"/>
      <c r="AF120" s="518"/>
      <c r="AG120" s="518"/>
      <c r="AH120" s="518"/>
      <c r="AI120" s="518"/>
      <c r="AJ120" s="518"/>
      <c r="AK120" s="518"/>
      <c r="AL120" s="518"/>
      <c r="AM120" s="518"/>
      <c r="AN120" s="518"/>
      <c r="AO120" s="518"/>
      <c r="AP120" s="518"/>
      <c r="AQ120" s="518"/>
      <c r="AR120" s="518"/>
      <c r="AS120" s="495">
        <f ca="1">IF(AND(AV119&gt;=SUMIF(NameConv!$C$5:$C$45,RIGHT(E119,3),NameConv!$CG$5:$CG$45),AT119=SUMIF(NameConv!$G$4:$M$4,LEFT(E119,3),NameConv!$G$45:$M$45)),AS119+1,AS119)</f>
        <v>3</v>
      </c>
      <c r="AT120" s="495">
        <f ca="1">IF(AS120&lt;&gt;AS119,1,IF(AV119&gt;=SUMIF(NameConv!$C$5:$C$45,RIGHT(E119,3),NameConv!$CG$5:$CG$45),AT119+1,AT119))</f>
        <v>5</v>
      </c>
      <c r="AU120" s="495">
        <f ca="1">SUMIF(NameConv!$C$5:$C$45,RIGHT(E120,3),OFFSET(NameConv!$CG$5,0,AV120,NameConv!$A$45,1))</f>
        <v>7</v>
      </c>
      <c r="AV120" s="495">
        <f ca="1">IF(AV119&gt;=SUMIF(NameConv!$C$5:$C$45,RIGHT(E119,3),NameConv!$CG$5:$CG$45),1,AV119+1)</f>
        <v>7</v>
      </c>
    </row>
    <row r="121" spans="1:48">
      <c r="A121" s="422" t="str">
        <f t="shared" ca="1" si="3"/>
        <v>*</v>
      </c>
      <c r="B121" s="515" t="str">
        <f t="shared" si="2"/>
        <v>FLO_EMIS</v>
      </c>
      <c r="C121" s="518" t="str">
        <f ca="1">"X"&amp;OFFSET(NameConv!$F$4,0,AS121)&amp;OFFSET(NameConv!$F$59,AT121,AS121)</f>
        <v>XINDELC</v>
      </c>
      <c r="D121" s="515" t="str">
        <f ca="1">OFFSET(NameConv!$F$4,0,AS121)&amp;OFFSET(NameConv!$AX$4,0,AU121)</f>
        <v>IND</v>
      </c>
      <c r="E121" s="515" t="str">
        <f ca="1">OFFSET(NameConv!$F$4,0,AS121)&amp;OFFSET(NameConv!$F$59,AT121,AS121)</f>
        <v>INDELC</v>
      </c>
      <c r="F121" s="740" t="s">
        <v>334</v>
      </c>
      <c r="G121" s="515" t="s">
        <v>337</v>
      </c>
      <c r="H121" s="740" t="s">
        <v>334</v>
      </c>
      <c r="I121" s="516">
        <v>0</v>
      </c>
      <c r="J121" s="517">
        <f ca="1">IF(E121="TRAOKE",0,SUMIF(NameConv!$C$5:$C$45,RIGHT(E121,3),OFFSET(NameConv!$AX$5,0,AU121,NameConv!$A$45,1)))</f>
        <v>0</v>
      </c>
      <c r="K121" s="518"/>
      <c r="L121" s="518"/>
      <c r="M121" s="518"/>
      <c r="N121" s="518"/>
      <c r="O121" s="518"/>
      <c r="P121" s="518"/>
      <c r="Q121" s="518"/>
      <c r="R121" s="518"/>
      <c r="S121" s="518"/>
      <c r="T121" s="518"/>
      <c r="U121" s="518"/>
      <c r="V121" s="518"/>
      <c r="W121" s="518"/>
      <c r="X121" s="518"/>
      <c r="Y121" s="518"/>
      <c r="Z121" s="518"/>
      <c r="AA121" s="518"/>
      <c r="AB121" s="518"/>
      <c r="AC121" s="518"/>
      <c r="AD121" s="518"/>
      <c r="AE121" s="518"/>
      <c r="AF121" s="518"/>
      <c r="AG121" s="518"/>
      <c r="AH121" s="518"/>
      <c r="AI121" s="518"/>
      <c r="AJ121" s="518"/>
      <c r="AK121" s="518"/>
      <c r="AL121" s="518"/>
      <c r="AM121" s="518"/>
      <c r="AN121" s="518"/>
      <c r="AO121" s="518"/>
      <c r="AP121" s="518"/>
      <c r="AQ121" s="518"/>
      <c r="AR121" s="518"/>
      <c r="AS121" s="495">
        <f ca="1">IF(AND(AV120&gt;=SUMIF(NameConv!$C$5:$C$45,RIGHT(E120,3),NameConv!$CG$5:$CG$45),AT120=SUMIF(NameConv!$G$4:$M$4,LEFT(E120,3),NameConv!$G$45:$M$45)),AS120+1,AS120)</f>
        <v>3</v>
      </c>
      <c r="AT121" s="495">
        <f ca="1">IF(AS121&lt;&gt;AS120,1,IF(AV120&gt;=SUMIF(NameConv!$C$5:$C$45,RIGHT(E120,3),NameConv!$CG$5:$CG$45),AT120+1,AT120))</f>
        <v>6</v>
      </c>
      <c r="AU121" s="495">
        <f ca="1">SUMIF(NameConv!$C$5:$C$45,RIGHT(E121,3),OFFSET(NameConv!$CG$5,0,AV121,NameConv!$A$45,1))</f>
        <v>0</v>
      </c>
      <c r="AV121" s="495">
        <f ca="1">IF(AV120&gt;=SUMIF(NameConv!$C$5:$C$45,RIGHT(E120,3),NameConv!$CG$5:$CG$45),1,AV120+1)</f>
        <v>1</v>
      </c>
    </row>
    <row r="122" spans="1:48">
      <c r="A122" s="422" t="str">
        <f t="shared" ca="1" si="3"/>
        <v/>
      </c>
      <c r="B122" s="515" t="str">
        <f t="shared" si="2"/>
        <v>FLO_EMIS</v>
      </c>
      <c r="C122" s="518" t="str">
        <f ca="1">"X"&amp;OFFSET(NameConv!$F$4,0,AS122)&amp;OFFSET(NameConv!$F$59,AT122,AS122)</f>
        <v>XINDGAS</v>
      </c>
      <c r="D122" s="515" t="str">
        <f ca="1">OFFSET(NameConv!$F$4,0,AS122)&amp;OFFSET(NameConv!$AX$4,0,AU122)</f>
        <v>INDCO2S</v>
      </c>
      <c r="E122" s="515" t="str">
        <f ca="1">OFFSET(NameConv!$F$4,0,AS122)&amp;OFFSET(NameConv!$F$59,AT122,AS122)</f>
        <v>INDGAS</v>
      </c>
      <c r="F122" s="740" t="s">
        <v>334</v>
      </c>
      <c r="G122" s="515" t="s">
        <v>337</v>
      </c>
      <c r="H122" s="740" t="s">
        <v>334</v>
      </c>
      <c r="I122" s="516">
        <v>0</v>
      </c>
      <c r="J122" s="517">
        <f ca="1">IF(E122="TRAOKE",0,SUMIF(NameConv!$C$5:$C$45,RIGHT(E122,3),OFFSET(NameConv!$AX$5,0,AU122,NameConv!$A$45,1)))</f>
        <v>56.1</v>
      </c>
      <c r="K122" s="518"/>
      <c r="L122" s="518"/>
      <c r="M122" s="518"/>
      <c r="N122" s="518"/>
      <c r="O122" s="518"/>
      <c r="P122" s="518"/>
      <c r="Q122" s="518"/>
      <c r="R122" s="518"/>
      <c r="S122" s="518"/>
      <c r="T122" s="518"/>
      <c r="U122" s="518"/>
      <c r="V122" s="518"/>
      <c r="W122" s="518"/>
      <c r="X122" s="518"/>
      <c r="Y122" s="518"/>
      <c r="Z122" s="518"/>
      <c r="AA122" s="518"/>
      <c r="AB122" s="518"/>
      <c r="AC122" s="518"/>
      <c r="AD122" s="518"/>
      <c r="AE122" s="518"/>
      <c r="AF122" s="518"/>
      <c r="AG122" s="518"/>
      <c r="AH122" s="518"/>
      <c r="AI122" s="518"/>
      <c r="AJ122" s="518"/>
      <c r="AK122" s="518"/>
      <c r="AL122" s="518"/>
      <c r="AM122" s="518"/>
      <c r="AN122" s="518"/>
      <c r="AO122" s="518"/>
      <c r="AP122" s="518"/>
      <c r="AQ122" s="518"/>
      <c r="AR122" s="518"/>
      <c r="AS122" s="495">
        <f ca="1">IF(AND(AV121&gt;=SUMIF(NameConv!$C$5:$C$45,RIGHT(E121,3),NameConv!$CG$5:$CG$45),AT121=SUMIF(NameConv!$G$4:$M$4,LEFT(E121,3),NameConv!$G$45:$M$45)),AS121+1,AS121)</f>
        <v>3</v>
      </c>
      <c r="AT122" s="495">
        <f ca="1">IF(AS122&lt;&gt;AS121,1,IF(AV121&gt;=SUMIF(NameConv!$C$5:$C$45,RIGHT(E121,3),NameConv!$CG$5:$CG$45),AT121+1,AT121))</f>
        <v>7</v>
      </c>
      <c r="AU122" s="495">
        <f ca="1">SUMIF(NameConv!$C$5:$C$45,RIGHT(E122,3),OFFSET(NameConv!$CG$5,0,AV122,NameConv!$A$45,1))</f>
        <v>1</v>
      </c>
      <c r="AV122" s="495">
        <f ca="1">IF(AV121&gt;=SUMIF(NameConv!$C$5:$C$45,RIGHT(E121,3),NameConv!$CG$5:$CG$45),1,AV121+1)</f>
        <v>1</v>
      </c>
    </row>
    <row r="123" spans="1:48">
      <c r="A123" s="422" t="str">
        <f t="shared" ca="1" si="3"/>
        <v/>
      </c>
      <c r="B123" s="515" t="str">
        <f t="shared" si="2"/>
        <v>FLO_EMIS</v>
      </c>
      <c r="C123" s="518" t="str">
        <f ca="1">"X"&amp;OFFSET(NameConv!$F$4,0,AS123)&amp;OFFSET(NameConv!$F$59,AT123,AS123)</f>
        <v>XINDGAS</v>
      </c>
      <c r="D123" s="515" t="str">
        <f ca="1">OFFSET(NameConv!$F$4,0,AS123)&amp;OFFSET(NameConv!$AX$4,0,AU123)</f>
        <v>INDCH4S</v>
      </c>
      <c r="E123" s="515" t="str">
        <f ca="1">OFFSET(NameConv!$F$4,0,AS123)&amp;OFFSET(NameConv!$F$59,AT123,AS123)</f>
        <v>INDGAS</v>
      </c>
      <c r="F123" s="740" t="s">
        <v>334</v>
      </c>
      <c r="G123" s="515" t="s">
        <v>337</v>
      </c>
      <c r="H123" s="740" t="s">
        <v>334</v>
      </c>
      <c r="I123" s="516">
        <v>0</v>
      </c>
      <c r="J123" s="517">
        <f ca="1">IF(E123="TRAOKE",0,SUMIF(NameConv!$C$5:$C$45,RIGHT(E123,3),OFFSET(NameConv!$AX$5,0,AU123,NameConv!$A$45,1)))</f>
        <v>1E-3</v>
      </c>
      <c r="K123" s="518"/>
      <c r="L123" s="518"/>
      <c r="M123" s="518"/>
      <c r="N123" s="518"/>
      <c r="O123" s="518"/>
      <c r="P123" s="518"/>
      <c r="Q123" s="518"/>
      <c r="R123" s="518"/>
      <c r="S123" s="518"/>
      <c r="T123" s="518"/>
      <c r="U123" s="518"/>
      <c r="V123" s="518"/>
      <c r="W123" s="518"/>
      <c r="X123" s="518"/>
      <c r="Y123" s="518"/>
      <c r="Z123" s="518"/>
      <c r="AA123" s="518"/>
      <c r="AB123" s="518"/>
      <c r="AC123" s="518"/>
      <c r="AD123" s="518"/>
      <c r="AE123" s="518"/>
      <c r="AF123" s="518"/>
      <c r="AG123" s="518"/>
      <c r="AH123" s="518"/>
      <c r="AI123" s="518"/>
      <c r="AJ123" s="518"/>
      <c r="AK123" s="518"/>
      <c r="AL123" s="518"/>
      <c r="AM123" s="518"/>
      <c r="AN123" s="518"/>
      <c r="AO123" s="518"/>
      <c r="AP123" s="518"/>
      <c r="AQ123" s="518"/>
      <c r="AR123" s="518"/>
      <c r="AS123" s="495">
        <f ca="1">IF(AND(AV122&gt;=SUMIF(NameConv!$C$5:$C$45,RIGHT(E122,3),NameConv!$CG$5:$CG$45),AT122=SUMIF(NameConv!$G$4:$M$4,LEFT(E122,3),NameConv!$G$45:$M$45)),AS122+1,AS122)</f>
        <v>3</v>
      </c>
      <c r="AT123" s="495">
        <f ca="1">IF(AS123&lt;&gt;AS122,1,IF(AV122&gt;=SUMIF(NameConv!$C$5:$C$45,RIGHT(E122,3),NameConv!$CG$5:$CG$45),AT122+1,AT122))</f>
        <v>7</v>
      </c>
      <c r="AU123" s="495">
        <f ca="1">SUMIF(NameConv!$C$5:$C$45,RIGHT(E123,3),OFFSET(NameConv!$CG$5,0,AV123,NameConv!$A$45,1))</f>
        <v>2</v>
      </c>
      <c r="AV123" s="495">
        <f ca="1">IF(AV122&gt;=SUMIF(NameConv!$C$5:$C$45,RIGHT(E122,3),NameConv!$CG$5:$CG$45),1,AV122+1)</f>
        <v>2</v>
      </c>
    </row>
    <row r="124" spans="1:48">
      <c r="A124" s="422" t="str">
        <f t="shared" ca="1" si="3"/>
        <v/>
      </c>
      <c r="B124" s="515" t="str">
        <f t="shared" si="2"/>
        <v>FLO_EMIS</v>
      </c>
      <c r="C124" s="518" t="str">
        <f ca="1">"X"&amp;OFFSET(NameConv!$F$4,0,AS124)&amp;OFFSET(NameConv!$F$59,AT124,AS124)</f>
        <v>XINDGAS</v>
      </c>
      <c r="D124" s="515" t="str">
        <f ca="1">OFFSET(NameConv!$F$4,0,AS124)&amp;OFFSET(NameConv!$AX$4,0,AU124)</f>
        <v>INDN2OS</v>
      </c>
      <c r="E124" s="515" t="str">
        <f ca="1">OFFSET(NameConv!$F$4,0,AS124)&amp;OFFSET(NameConv!$F$59,AT124,AS124)</f>
        <v>INDGAS</v>
      </c>
      <c r="F124" s="740" t="s">
        <v>334</v>
      </c>
      <c r="G124" s="515" t="s">
        <v>337</v>
      </c>
      <c r="H124" s="740" t="s">
        <v>334</v>
      </c>
      <c r="I124" s="516">
        <v>0</v>
      </c>
      <c r="J124" s="517">
        <f ca="1">IF(E124="TRAOKE",0,SUMIF(NameConv!$C$5:$C$45,RIGHT(E124,3),OFFSET(NameConv!$AX$5,0,AU124,NameConv!$A$45,1)))</f>
        <v>1E-4</v>
      </c>
      <c r="K124" s="518"/>
      <c r="L124" s="518"/>
      <c r="M124" s="518"/>
      <c r="N124" s="518"/>
      <c r="O124" s="518"/>
      <c r="P124" s="518"/>
      <c r="Q124" s="518"/>
      <c r="R124" s="518"/>
      <c r="S124" s="518"/>
      <c r="T124" s="518"/>
      <c r="U124" s="518"/>
      <c r="V124" s="518"/>
      <c r="W124" s="518"/>
      <c r="X124" s="518"/>
      <c r="Y124" s="518"/>
      <c r="Z124" s="518"/>
      <c r="AA124" s="518"/>
      <c r="AB124" s="518"/>
      <c r="AC124" s="518"/>
      <c r="AD124" s="518"/>
      <c r="AE124" s="518"/>
      <c r="AF124" s="518"/>
      <c r="AG124" s="518"/>
      <c r="AH124" s="518"/>
      <c r="AI124" s="518"/>
      <c r="AJ124" s="518"/>
      <c r="AK124" s="518"/>
      <c r="AL124" s="518"/>
      <c r="AM124" s="518"/>
      <c r="AN124" s="518"/>
      <c r="AO124" s="518"/>
      <c r="AP124" s="518"/>
      <c r="AQ124" s="518"/>
      <c r="AR124" s="518"/>
      <c r="AS124" s="495">
        <f ca="1">IF(AND(AV123&gt;=SUMIF(NameConv!$C$5:$C$45,RIGHT(E123,3),NameConv!$CG$5:$CG$45),AT123=SUMIF(NameConv!$G$4:$M$4,LEFT(E123,3),NameConv!$G$45:$M$45)),AS123+1,AS123)</f>
        <v>3</v>
      </c>
      <c r="AT124" s="495">
        <f ca="1">IF(AS124&lt;&gt;AS123,1,IF(AV123&gt;=SUMIF(NameConv!$C$5:$C$45,RIGHT(E123,3),NameConv!$CG$5:$CG$45),AT123+1,AT123))</f>
        <v>7</v>
      </c>
      <c r="AU124" s="495">
        <f ca="1">SUMIF(NameConv!$C$5:$C$45,RIGHT(E124,3),OFFSET(NameConv!$CG$5,0,AV124,NameConv!$A$45,1))</f>
        <v>3</v>
      </c>
      <c r="AV124" s="495">
        <f ca="1">IF(AV123&gt;=SUMIF(NameConv!$C$5:$C$45,RIGHT(E123,3),NameConv!$CG$5:$CG$45),1,AV123+1)</f>
        <v>3</v>
      </c>
    </row>
    <row r="125" spans="1:48">
      <c r="A125" s="422" t="str">
        <f t="shared" ca="1" si="3"/>
        <v/>
      </c>
      <c r="B125" s="515" t="str">
        <f t="shared" si="2"/>
        <v>FLO_EMIS</v>
      </c>
      <c r="C125" s="518" t="str">
        <f ca="1">"X"&amp;OFFSET(NameConv!$F$4,0,AS125)&amp;OFFSET(NameConv!$F$59,AT125,AS125)</f>
        <v>XINDGAS</v>
      </c>
      <c r="D125" s="515" t="str">
        <f ca="1">OFFSET(NameConv!$F$4,0,AS125)&amp;OFFSET(NameConv!$AX$4,0,AU125)</f>
        <v>INDNOXS</v>
      </c>
      <c r="E125" s="515" t="str">
        <f ca="1">OFFSET(NameConv!$F$4,0,AS125)&amp;OFFSET(NameConv!$F$59,AT125,AS125)</f>
        <v>INDGAS</v>
      </c>
      <c r="F125" s="740" t="s">
        <v>334</v>
      </c>
      <c r="G125" s="515" t="s">
        <v>337</v>
      </c>
      <c r="H125" s="740" t="s">
        <v>334</v>
      </c>
      <c r="I125" s="516">
        <v>0</v>
      </c>
      <c r="J125" s="517">
        <f ca="1">IF(E125="TRAOKE",0,SUMIF(NameConv!$C$5:$C$45,RIGHT(E125,3),OFFSET(NameConv!$AX$5,0,AU125,NameConv!$A$45,1)))</f>
        <v>0.15</v>
      </c>
      <c r="K125" s="518"/>
      <c r="L125" s="518"/>
      <c r="M125" s="518"/>
      <c r="N125" s="518"/>
      <c r="O125" s="518"/>
      <c r="P125" s="518"/>
      <c r="Q125" s="518"/>
      <c r="R125" s="518"/>
      <c r="S125" s="518"/>
      <c r="T125" s="518"/>
      <c r="U125" s="518"/>
      <c r="V125" s="518"/>
      <c r="W125" s="518"/>
      <c r="X125" s="518"/>
      <c r="Y125" s="518"/>
      <c r="Z125" s="518"/>
      <c r="AA125" s="518"/>
      <c r="AB125" s="518"/>
      <c r="AC125" s="518"/>
      <c r="AD125" s="518"/>
      <c r="AE125" s="518"/>
      <c r="AF125" s="518"/>
      <c r="AG125" s="518"/>
      <c r="AH125" s="518"/>
      <c r="AI125" s="518"/>
      <c r="AJ125" s="518"/>
      <c r="AK125" s="518"/>
      <c r="AL125" s="518"/>
      <c r="AM125" s="518"/>
      <c r="AN125" s="518"/>
      <c r="AO125" s="518"/>
      <c r="AP125" s="518"/>
      <c r="AQ125" s="518"/>
      <c r="AR125" s="518"/>
      <c r="AS125" s="495">
        <f ca="1">IF(AND(AV124&gt;=SUMIF(NameConv!$C$5:$C$45,RIGHT(E124,3),NameConv!$CG$5:$CG$45),AT124=SUMIF(NameConv!$G$4:$M$4,LEFT(E124,3),NameConv!$G$45:$M$45)),AS124+1,AS124)</f>
        <v>3</v>
      </c>
      <c r="AT125" s="495">
        <f ca="1">IF(AS125&lt;&gt;AS124,1,IF(AV124&gt;=SUMIF(NameConv!$C$5:$C$45,RIGHT(E124,3),NameConv!$CG$5:$CG$45),AT124+1,AT124))</f>
        <v>7</v>
      </c>
      <c r="AU125" s="495">
        <f ca="1">SUMIF(NameConv!$C$5:$C$45,RIGHT(E125,3),OFFSET(NameConv!$CG$5,0,AV125,NameConv!$A$45,1))</f>
        <v>5</v>
      </c>
      <c r="AV125" s="495">
        <f ca="1">IF(AV124&gt;=SUMIF(NameConv!$C$5:$C$45,RIGHT(E124,3),NameConv!$CG$5:$CG$45),1,AV124+1)</f>
        <v>4</v>
      </c>
    </row>
    <row r="126" spans="1:48">
      <c r="A126" s="422" t="str">
        <f t="shared" ca="1" si="3"/>
        <v/>
      </c>
      <c r="B126" s="515" t="str">
        <f t="shared" si="2"/>
        <v>FLO_EMIS</v>
      </c>
      <c r="C126" s="518" t="str">
        <f ca="1">"X"&amp;OFFSET(NameConv!$F$4,0,AS126)&amp;OFFSET(NameConv!$F$59,AT126,AS126)</f>
        <v>XINDGAS</v>
      </c>
      <c r="D126" s="515" t="str">
        <f ca="1">OFFSET(NameConv!$F$4,0,AS126)&amp;OFFSET(NameConv!$AX$4,0,AU126)</f>
        <v>INDCMOX</v>
      </c>
      <c r="E126" s="515" t="str">
        <f ca="1">OFFSET(NameConv!$F$4,0,AS126)&amp;OFFSET(NameConv!$F$59,AT126,AS126)</f>
        <v>INDGAS</v>
      </c>
      <c r="F126" s="740" t="s">
        <v>334</v>
      </c>
      <c r="G126" s="515" t="s">
        <v>337</v>
      </c>
      <c r="H126" s="740" t="s">
        <v>334</v>
      </c>
      <c r="I126" s="516">
        <v>0</v>
      </c>
      <c r="J126" s="517">
        <f ca="1">IF(E126="TRAOKE",0,SUMIF(NameConv!$C$5:$C$45,RIGHT(E126,3),OFFSET(NameConv!$AX$5,0,AU126,NameConv!$A$45,1)))</f>
        <v>0.02</v>
      </c>
      <c r="K126" s="518"/>
      <c r="L126" s="518"/>
      <c r="M126" s="518"/>
      <c r="N126" s="518"/>
      <c r="O126" s="518"/>
      <c r="P126" s="518"/>
      <c r="Q126" s="518"/>
      <c r="R126" s="518"/>
      <c r="S126" s="518"/>
      <c r="T126" s="518"/>
      <c r="U126" s="518"/>
      <c r="V126" s="518"/>
      <c r="W126" s="518"/>
      <c r="X126" s="518"/>
      <c r="Y126" s="518"/>
      <c r="Z126" s="518"/>
      <c r="AA126" s="518"/>
      <c r="AB126" s="518"/>
      <c r="AC126" s="518"/>
      <c r="AD126" s="518"/>
      <c r="AE126" s="518"/>
      <c r="AF126" s="518"/>
      <c r="AG126" s="518"/>
      <c r="AH126" s="518"/>
      <c r="AI126" s="518"/>
      <c r="AJ126" s="518"/>
      <c r="AK126" s="518"/>
      <c r="AL126" s="518"/>
      <c r="AM126" s="518"/>
      <c r="AN126" s="518"/>
      <c r="AO126" s="518"/>
      <c r="AP126" s="518"/>
      <c r="AQ126" s="518"/>
      <c r="AR126" s="518"/>
      <c r="AS126" s="495">
        <f ca="1">IF(AND(AV125&gt;=SUMIF(NameConv!$C$5:$C$45,RIGHT(E125,3),NameConv!$CG$5:$CG$45),AT125=SUMIF(NameConv!$G$4:$M$4,LEFT(E125,3),NameConv!$G$45:$M$45)),AS125+1,AS125)</f>
        <v>3</v>
      </c>
      <c r="AT126" s="495">
        <f ca="1">IF(AS126&lt;&gt;AS125,1,IF(AV125&gt;=SUMIF(NameConv!$C$5:$C$45,RIGHT(E125,3),NameConv!$CG$5:$CG$45),AT125+1,AT125))</f>
        <v>7</v>
      </c>
      <c r="AU126" s="495">
        <f ca="1">SUMIF(NameConv!$C$5:$C$45,RIGHT(E126,3),OFFSET(NameConv!$CG$5,0,AV126,NameConv!$A$45,1))</f>
        <v>6</v>
      </c>
      <c r="AV126" s="495">
        <f ca="1">IF(AV125&gt;=SUMIF(NameConv!$C$5:$C$45,RIGHT(E125,3),NameConv!$CG$5:$CG$45),1,AV125+1)</f>
        <v>5</v>
      </c>
    </row>
    <row r="127" spans="1:48">
      <c r="A127" s="422" t="str">
        <f t="shared" ca="1" si="3"/>
        <v/>
      </c>
      <c r="B127" s="515" t="str">
        <f t="shared" si="2"/>
        <v>FLO_EMIS</v>
      </c>
      <c r="C127" s="518" t="str">
        <f ca="1">"X"&amp;OFFSET(NameConv!$F$4,0,AS127)&amp;OFFSET(NameConv!$F$59,AT127,AS127)</f>
        <v>XINDGAS</v>
      </c>
      <c r="D127" s="515" t="str">
        <f ca="1">OFFSET(NameConv!$F$4,0,AS127)&amp;OFFSET(NameConv!$AX$4,0,AU127)</f>
        <v>INDNMVS</v>
      </c>
      <c r="E127" s="515" t="str">
        <f ca="1">OFFSET(NameConv!$F$4,0,AS127)&amp;OFFSET(NameConv!$F$59,AT127,AS127)</f>
        <v>INDGAS</v>
      </c>
      <c r="F127" s="740" t="s">
        <v>334</v>
      </c>
      <c r="G127" s="515" t="s">
        <v>337</v>
      </c>
      <c r="H127" s="740" t="s">
        <v>334</v>
      </c>
      <c r="I127" s="516">
        <v>0</v>
      </c>
      <c r="J127" s="517">
        <f ca="1">IF(E127="TRAOKE",0,SUMIF(NameConv!$C$5:$C$45,RIGHT(E127,3),OFFSET(NameConv!$AX$5,0,AU127,NameConv!$A$45,1)))</f>
        <v>5.0000000000000001E-3</v>
      </c>
      <c r="K127" s="518"/>
      <c r="L127" s="518"/>
      <c r="M127" s="518"/>
      <c r="N127" s="518"/>
      <c r="O127" s="518"/>
      <c r="P127" s="518"/>
      <c r="Q127" s="518"/>
      <c r="R127" s="518"/>
      <c r="S127" s="518"/>
      <c r="T127" s="518"/>
      <c r="U127" s="518"/>
      <c r="V127" s="518"/>
      <c r="W127" s="518"/>
      <c r="X127" s="518"/>
      <c r="Y127" s="518"/>
      <c r="Z127" s="518"/>
      <c r="AA127" s="518"/>
      <c r="AB127" s="518"/>
      <c r="AC127" s="518"/>
      <c r="AD127" s="518"/>
      <c r="AE127" s="518"/>
      <c r="AF127" s="518"/>
      <c r="AG127" s="518"/>
      <c r="AH127" s="518"/>
      <c r="AI127" s="518"/>
      <c r="AJ127" s="518"/>
      <c r="AK127" s="518"/>
      <c r="AL127" s="518"/>
      <c r="AM127" s="518"/>
      <c r="AN127" s="518"/>
      <c r="AO127" s="518"/>
      <c r="AP127" s="518"/>
      <c r="AQ127" s="518"/>
      <c r="AR127" s="518"/>
      <c r="AS127" s="495">
        <f ca="1">IF(AND(AV126&gt;=SUMIF(NameConv!$C$5:$C$45,RIGHT(E126,3),NameConv!$CG$5:$CG$45),AT126=SUMIF(NameConv!$G$4:$M$4,LEFT(E126,3),NameConv!$G$45:$M$45)),AS126+1,AS126)</f>
        <v>3</v>
      </c>
      <c r="AT127" s="495">
        <f ca="1">IF(AS127&lt;&gt;AS126,1,IF(AV126&gt;=SUMIF(NameConv!$C$5:$C$45,RIGHT(E126,3),NameConv!$CG$5:$CG$45),AT126+1,AT126))</f>
        <v>7</v>
      </c>
      <c r="AU127" s="495">
        <f ca="1">SUMIF(NameConv!$C$5:$C$45,RIGHT(E127,3),OFFSET(NameConv!$CG$5,0,AV127,NameConv!$A$45,1))</f>
        <v>7</v>
      </c>
      <c r="AV127" s="495">
        <f ca="1">IF(AV126&gt;=SUMIF(NameConv!$C$5:$C$45,RIGHT(E126,3),NameConv!$CG$5:$CG$45),1,AV126+1)</f>
        <v>6</v>
      </c>
    </row>
    <row r="128" spans="1:48">
      <c r="A128" s="422" t="str">
        <f t="shared" ca="1" si="3"/>
        <v/>
      </c>
      <c r="B128" s="515" t="str">
        <f t="shared" si="2"/>
        <v>FLO_EMIS</v>
      </c>
      <c r="C128" s="518" t="str">
        <f ca="1">"X"&amp;OFFSET(NameConv!$F$4,0,AS128)&amp;OFFSET(NameConv!$F$59,AT128,AS128)</f>
        <v>XINDODS</v>
      </c>
      <c r="D128" s="515" t="str">
        <f ca="1">OFFSET(NameConv!$F$4,0,AS128)&amp;OFFSET(NameConv!$AX$4,0,AU128)</f>
        <v>INDCO2S</v>
      </c>
      <c r="E128" s="515" t="str">
        <f ca="1">OFFSET(NameConv!$F$4,0,AS128)&amp;OFFSET(NameConv!$F$59,AT128,AS128)</f>
        <v>INDODS</v>
      </c>
      <c r="F128" s="740" t="s">
        <v>334</v>
      </c>
      <c r="G128" s="515" t="s">
        <v>337</v>
      </c>
      <c r="H128" s="740" t="s">
        <v>334</v>
      </c>
      <c r="I128" s="516">
        <v>0</v>
      </c>
      <c r="J128" s="517">
        <f ca="1">IF(E128="TRAOKE",0,SUMIF(NameConv!$C$5:$C$45,RIGHT(E128,3),OFFSET(NameConv!$AX$5,0,AU128,NameConv!$A$45,1)))</f>
        <v>74.066699999999997</v>
      </c>
      <c r="K128" s="518"/>
      <c r="L128" s="518"/>
      <c r="M128" s="518"/>
      <c r="N128" s="518"/>
      <c r="O128" s="518"/>
      <c r="P128" s="518"/>
      <c r="Q128" s="518"/>
      <c r="R128" s="518"/>
      <c r="S128" s="518"/>
      <c r="T128" s="518"/>
      <c r="U128" s="518"/>
      <c r="V128" s="518"/>
      <c r="W128" s="518"/>
      <c r="X128" s="518"/>
      <c r="Y128" s="518"/>
      <c r="Z128" s="518"/>
      <c r="AA128" s="518"/>
      <c r="AB128" s="518"/>
      <c r="AC128" s="518"/>
      <c r="AD128" s="518"/>
      <c r="AE128" s="518"/>
      <c r="AF128" s="518"/>
      <c r="AG128" s="518"/>
      <c r="AH128" s="518"/>
      <c r="AI128" s="518"/>
      <c r="AJ128" s="518"/>
      <c r="AK128" s="518"/>
      <c r="AL128" s="518"/>
      <c r="AM128" s="518"/>
      <c r="AN128" s="518"/>
      <c r="AO128" s="518"/>
      <c r="AP128" s="518"/>
      <c r="AQ128" s="518"/>
      <c r="AR128" s="518"/>
      <c r="AS128" s="495">
        <f ca="1">IF(AND(AV127&gt;=SUMIF(NameConv!$C$5:$C$45,RIGHT(E127,3),NameConv!$CG$5:$CG$45),AT127=SUMIF(NameConv!$G$4:$M$4,LEFT(E127,3),NameConv!$G$45:$M$45)),AS127+1,AS127)</f>
        <v>3</v>
      </c>
      <c r="AT128" s="495">
        <f ca="1">IF(AS128&lt;&gt;AS127,1,IF(AV127&gt;=SUMIF(NameConv!$C$5:$C$45,RIGHT(E127,3),NameConv!$CG$5:$CG$45),AT127+1,AT127))</f>
        <v>8</v>
      </c>
      <c r="AU128" s="495">
        <f ca="1">SUMIF(NameConv!$C$5:$C$45,RIGHT(E128,3),OFFSET(NameConv!$CG$5,0,AV128,NameConv!$A$45,1))</f>
        <v>1</v>
      </c>
      <c r="AV128" s="495">
        <f ca="1">IF(AV127&gt;=SUMIF(NameConv!$C$5:$C$45,RIGHT(E127,3),NameConv!$CG$5:$CG$45),1,AV127+1)</f>
        <v>1</v>
      </c>
    </row>
    <row r="129" spans="1:48">
      <c r="A129" s="422" t="str">
        <f t="shared" ca="1" si="3"/>
        <v/>
      </c>
      <c r="B129" s="515" t="str">
        <f t="shared" si="2"/>
        <v>FLO_EMIS</v>
      </c>
      <c r="C129" s="518" t="str">
        <f ca="1">"X"&amp;OFFSET(NameConv!$F$4,0,AS129)&amp;OFFSET(NameConv!$F$59,AT129,AS129)</f>
        <v>XINDODS</v>
      </c>
      <c r="D129" s="515" t="str">
        <f ca="1">OFFSET(NameConv!$F$4,0,AS129)&amp;OFFSET(NameConv!$AX$4,0,AU129)</f>
        <v>INDCH4S</v>
      </c>
      <c r="E129" s="515" t="str">
        <f ca="1">OFFSET(NameConv!$F$4,0,AS129)&amp;OFFSET(NameConv!$F$59,AT129,AS129)</f>
        <v>INDODS</v>
      </c>
      <c r="F129" s="740" t="s">
        <v>334</v>
      </c>
      <c r="G129" s="515" t="s">
        <v>337</v>
      </c>
      <c r="H129" s="740" t="s">
        <v>334</v>
      </c>
      <c r="I129" s="516">
        <v>0</v>
      </c>
      <c r="J129" s="517">
        <f ca="1">IF(E129="TRAOKE",0,SUMIF(NameConv!$C$5:$C$45,RIGHT(E129,3),OFFSET(NameConv!$AX$5,0,AU129,NameConv!$A$45,1)))</f>
        <v>3.0000000000000001E-3</v>
      </c>
      <c r="K129" s="518"/>
      <c r="L129" s="518"/>
      <c r="M129" s="518"/>
      <c r="N129" s="518"/>
      <c r="O129" s="518"/>
      <c r="P129" s="518"/>
      <c r="Q129" s="518"/>
      <c r="R129" s="518"/>
      <c r="S129" s="518"/>
      <c r="T129" s="518"/>
      <c r="U129" s="518"/>
      <c r="V129" s="518"/>
      <c r="W129" s="518"/>
      <c r="X129" s="518"/>
      <c r="Y129" s="518"/>
      <c r="Z129" s="518"/>
      <c r="AA129" s="518"/>
      <c r="AB129" s="518"/>
      <c r="AC129" s="518"/>
      <c r="AD129" s="518"/>
      <c r="AE129" s="518"/>
      <c r="AF129" s="518"/>
      <c r="AG129" s="518"/>
      <c r="AH129" s="518"/>
      <c r="AI129" s="518"/>
      <c r="AJ129" s="518"/>
      <c r="AK129" s="518"/>
      <c r="AL129" s="518"/>
      <c r="AM129" s="518"/>
      <c r="AN129" s="518"/>
      <c r="AO129" s="518"/>
      <c r="AP129" s="518"/>
      <c r="AQ129" s="518"/>
      <c r="AR129" s="518"/>
      <c r="AS129" s="495">
        <f ca="1">IF(AND(AV128&gt;=SUMIF(NameConv!$C$5:$C$45,RIGHT(E128,3),NameConv!$CG$5:$CG$45),AT128=SUMIF(NameConv!$G$4:$M$4,LEFT(E128,3),NameConv!$G$45:$M$45)),AS128+1,AS128)</f>
        <v>3</v>
      </c>
      <c r="AT129" s="495">
        <f ca="1">IF(AS129&lt;&gt;AS128,1,IF(AV128&gt;=SUMIF(NameConv!$C$5:$C$45,RIGHT(E128,3),NameConv!$CG$5:$CG$45),AT128+1,AT128))</f>
        <v>8</v>
      </c>
      <c r="AU129" s="495">
        <f ca="1">SUMIF(NameConv!$C$5:$C$45,RIGHT(E129,3),OFFSET(NameConv!$CG$5,0,AV129,NameConv!$A$45,1))</f>
        <v>2</v>
      </c>
      <c r="AV129" s="495">
        <f ca="1">IF(AV128&gt;=SUMIF(NameConv!$C$5:$C$45,RIGHT(E128,3),NameConv!$CG$5:$CG$45),1,AV128+1)</f>
        <v>2</v>
      </c>
    </row>
    <row r="130" spans="1:48">
      <c r="A130" s="422" t="str">
        <f t="shared" ca="1" si="3"/>
        <v/>
      </c>
      <c r="B130" s="515" t="str">
        <f t="shared" si="2"/>
        <v>FLO_EMIS</v>
      </c>
      <c r="C130" s="518" t="str">
        <f ca="1">"X"&amp;OFFSET(NameConv!$F$4,0,AS130)&amp;OFFSET(NameConv!$F$59,AT130,AS130)</f>
        <v>XINDODS</v>
      </c>
      <c r="D130" s="515" t="str">
        <f ca="1">OFFSET(NameConv!$F$4,0,AS130)&amp;OFFSET(NameConv!$AX$4,0,AU130)</f>
        <v>INDN2OS</v>
      </c>
      <c r="E130" s="515" t="str">
        <f ca="1">OFFSET(NameConv!$F$4,0,AS130)&amp;OFFSET(NameConv!$F$59,AT130,AS130)</f>
        <v>INDODS</v>
      </c>
      <c r="F130" s="740" t="s">
        <v>334</v>
      </c>
      <c r="G130" s="515" t="s">
        <v>337</v>
      </c>
      <c r="H130" s="740" t="s">
        <v>334</v>
      </c>
      <c r="I130" s="516">
        <v>0</v>
      </c>
      <c r="J130" s="517">
        <f ca="1">IF(E130="TRAOKE",0,SUMIF(NameConv!$C$5:$C$45,RIGHT(E130,3),OFFSET(NameConv!$AX$5,0,AU130,NameConv!$A$45,1)))</f>
        <v>5.9999999999999995E-4</v>
      </c>
      <c r="K130" s="518"/>
      <c r="L130" s="518"/>
      <c r="M130" s="518"/>
      <c r="N130" s="518"/>
      <c r="O130" s="518"/>
      <c r="P130" s="518"/>
      <c r="Q130" s="518"/>
      <c r="R130" s="518"/>
      <c r="S130" s="518"/>
      <c r="T130" s="518"/>
      <c r="U130" s="518"/>
      <c r="V130" s="518"/>
      <c r="W130" s="518"/>
      <c r="X130" s="518"/>
      <c r="Y130" s="518"/>
      <c r="Z130" s="518"/>
      <c r="AA130" s="518"/>
      <c r="AB130" s="518"/>
      <c r="AC130" s="518"/>
      <c r="AD130" s="518"/>
      <c r="AE130" s="518"/>
      <c r="AF130" s="518"/>
      <c r="AG130" s="518"/>
      <c r="AH130" s="518"/>
      <c r="AI130" s="518"/>
      <c r="AJ130" s="518"/>
      <c r="AK130" s="518"/>
      <c r="AL130" s="518"/>
      <c r="AM130" s="518"/>
      <c r="AN130" s="518"/>
      <c r="AO130" s="518"/>
      <c r="AP130" s="518"/>
      <c r="AQ130" s="518"/>
      <c r="AR130" s="518"/>
      <c r="AS130" s="495">
        <f ca="1">IF(AND(AV129&gt;=SUMIF(NameConv!$C$5:$C$45,RIGHT(E129,3),NameConv!$CG$5:$CG$45),AT129=SUMIF(NameConv!$G$4:$M$4,LEFT(E129,3),NameConv!$G$45:$M$45)),AS129+1,AS129)</f>
        <v>3</v>
      </c>
      <c r="AT130" s="495">
        <f ca="1">IF(AS130&lt;&gt;AS129,1,IF(AV129&gt;=SUMIF(NameConv!$C$5:$C$45,RIGHT(E129,3),NameConv!$CG$5:$CG$45),AT129+1,AT129))</f>
        <v>8</v>
      </c>
      <c r="AU130" s="495">
        <f ca="1">SUMIF(NameConv!$C$5:$C$45,RIGHT(E130,3),OFFSET(NameConv!$CG$5,0,AV130,NameConv!$A$45,1))</f>
        <v>3</v>
      </c>
      <c r="AV130" s="495">
        <f ca="1">IF(AV129&gt;=SUMIF(NameConv!$C$5:$C$45,RIGHT(E129,3),NameConv!$CG$5:$CG$45),1,AV129+1)</f>
        <v>3</v>
      </c>
    </row>
    <row r="131" spans="1:48">
      <c r="A131" s="422" t="str">
        <f t="shared" ca="1" si="3"/>
        <v/>
      </c>
      <c r="B131" s="515" t="str">
        <f t="shared" si="2"/>
        <v>FLO_EMIS</v>
      </c>
      <c r="C131" s="518" t="str">
        <f ca="1">"X"&amp;OFFSET(NameConv!$F$4,0,AS131)&amp;OFFSET(NameConv!$F$59,AT131,AS131)</f>
        <v>XINDODS</v>
      </c>
      <c r="D131" s="515" t="str">
        <f ca="1">OFFSET(NameConv!$F$4,0,AS131)&amp;OFFSET(NameConv!$AX$4,0,AU131)</f>
        <v>INDSOXS</v>
      </c>
      <c r="E131" s="515" t="str">
        <f ca="1">OFFSET(NameConv!$F$4,0,AS131)&amp;OFFSET(NameConv!$F$59,AT131,AS131)</f>
        <v>INDODS</v>
      </c>
      <c r="F131" s="740" t="s">
        <v>334</v>
      </c>
      <c r="G131" s="515" t="s">
        <v>337</v>
      </c>
      <c r="H131" s="740" t="s">
        <v>334</v>
      </c>
      <c r="I131" s="516">
        <v>0</v>
      </c>
      <c r="J131" s="517">
        <f ca="1">IF(E131="TRAOKE",0,SUMIF(NameConv!$C$5:$C$45,RIGHT(E131,3),OFFSET(NameConv!$AX$5,0,AU131,NameConv!$A$45,1)))</f>
        <v>0.25290000000000001</v>
      </c>
      <c r="K131" s="518"/>
      <c r="L131" s="518"/>
      <c r="M131" s="518"/>
      <c r="N131" s="518"/>
      <c r="O131" s="518"/>
      <c r="P131" s="518"/>
      <c r="Q131" s="518"/>
      <c r="R131" s="518"/>
      <c r="S131" s="518"/>
      <c r="T131" s="518"/>
      <c r="U131" s="518"/>
      <c r="V131" s="518"/>
      <c r="W131" s="518"/>
      <c r="X131" s="518"/>
      <c r="Y131" s="518"/>
      <c r="Z131" s="518"/>
      <c r="AA131" s="518"/>
      <c r="AB131" s="518"/>
      <c r="AC131" s="518"/>
      <c r="AD131" s="518"/>
      <c r="AE131" s="518"/>
      <c r="AF131" s="518"/>
      <c r="AG131" s="518"/>
      <c r="AH131" s="518"/>
      <c r="AI131" s="518"/>
      <c r="AJ131" s="518"/>
      <c r="AK131" s="518"/>
      <c r="AL131" s="518"/>
      <c r="AM131" s="518"/>
      <c r="AN131" s="518"/>
      <c r="AO131" s="518"/>
      <c r="AP131" s="518"/>
      <c r="AQ131" s="518"/>
      <c r="AR131" s="518"/>
      <c r="AS131" s="495">
        <f ca="1">IF(AND(AV130&gt;=SUMIF(NameConv!$C$5:$C$45,RIGHT(E130,3),NameConv!$CG$5:$CG$45),AT130=SUMIF(NameConv!$G$4:$M$4,LEFT(E130,3),NameConv!$G$45:$M$45)),AS130+1,AS130)</f>
        <v>3</v>
      </c>
      <c r="AT131" s="495">
        <f ca="1">IF(AS131&lt;&gt;AS130,1,IF(AV130&gt;=SUMIF(NameConv!$C$5:$C$45,RIGHT(E130,3),NameConv!$CG$5:$CG$45),AT130+1,AT130))</f>
        <v>8</v>
      </c>
      <c r="AU131" s="495">
        <f ca="1">SUMIF(NameConv!$C$5:$C$45,RIGHT(E131,3),OFFSET(NameConv!$CG$5,0,AV131,NameConv!$A$45,1))</f>
        <v>4</v>
      </c>
      <c r="AV131" s="495">
        <f ca="1">IF(AV130&gt;=SUMIF(NameConv!$C$5:$C$45,RIGHT(E130,3),NameConv!$CG$5:$CG$45),1,AV130+1)</f>
        <v>4</v>
      </c>
    </row>
    <row r="132" spans="1:48">
      <c r="A132" s="422" t="str">
        <f t="shared" ca="1" si="3"/>
        <v/>
      </c>
      <c r="B132" s="515" t="str">
        <f t="shared" si="2"/>
        <v>FLO_EMIS</v>
      </c>
      <c r="C132" s="518" t="str">
        <f ca="1">"X"&amp;OFFSET(NameConv!$F$4,0,AS132)&amp;OFFSET(NameConv!$F$59,AT132,AS132)</f>
        <v>XINDODS</v>
      </c>
      <c r="D132" s="515" t="str">
        <f ca="1">OFFSET(NameConv!$F$4,0,AS132)&amp;OFFSET(NameConv!$AX$4,0,AU132)</f>
        <v>INDNOXS</v>
      </c>
      <c r="E132" s="515" t="str">
        <f ca="1">OFFSET(NameConv!$F$4,0,AS132)&amp;OFFSET(NameConv!$F$59,AT132,AS132)</f>
        <v>INDODS</v>
      </c>
      <c r="F132" s="740" t="s">
        <v>334</v>
      </c>
      <c r="G132" s="515" t="s">
        <v>337</v>
      </c>
      <c r="H132" s="740" t="s">
        <v>334</v>
      </c>
      <c r="I132" s="516">
        <v>0</v>
      </c>
      <c r="J132" s="517">
        <f ca="1">IF(E132="TRAOKE",0,SUMIF(NameConv!$C$5:$C$45,RIGHT(E132,3),OFFSET(NameConv!$AX$5,0,AU132,NameConv!$A$45,1)))</f>
        <v>0.2</v>
      </c>
      <c r="K132" s="518"/>
      <c r="L132" s="518"/>
      <c r="M132" s="518"/>
      <c r="N132" s="518"/>
      <c r="O132" s="518"/>
      <c r="P132" s="518"/>
      <c r="Q132" s="518"/>
      <c r="R132" s="518"/>
      <c r="S132" s="518"/>
      <c r="T132" s="518"/>
      <c r="U132" s="518"/>
      <c r="V132" s="518"/>
      <c r="W132" s="518"/>
      <c r="X132" s="518"/>
      <c r="Y132" s="518"/>
      <c r="Z132" s="518"/>
      <c r="AA132" s="518"/>
      <c r="AB132" s="518"/>
      <c r="AC132" s="518"/>
      <c r="AD132" s="518"/>
      <c r="AE132" s="518"/>
      <c r="AF132" s="518"/>
      <c r="AG132" s="518"/>
      <c r="AH132" s="518"/>
      <c r="AI132" s="518"/>
      <c r="AJ132" s="518"/>
      <c r="AK132" s="518"/>
      <c r="AL132" s="518"/>
      <c r="AM132" s="518"/>
      <c r="AN132" s="518"/>
      <c r="AO132" s="518"/>
      <c r="AP132" s="518"/>
      <c r="AQ132" s="518"/>
      <c r="AR132" s="518"/>
      <c r="AS132" s="495">
        <f ca="1">IF(AND(AV131&gt;=SUMIF(NameConv!$C$5:$C$45,RIGHT(E131,3),NameConv!$CG$5:$CG$45),AT131=SUMIF(NameConv!$G$4:$M$4,LEFT(E131,3),NameConv!$G$45:$M$45)),AS131+1,AS131)</f>
        <v>3</v>
      </c>
      <c r="AT132" s="495">
        <f ca="1">IF(AS132&lt;&gt;AS131,1,IF(AV131&gt;=SUMIF(NameConv!$C$5:$C$45,RIGHT(E131,3),NameConv!$CG$5:$CG$45),AT131+1,AT131))</f>
        <v>8</v>
      </c>
      <c r="AU132" s="495">
        <f ca="1">SUMIF(NameConv!$C$5:$C$45,RIGHT(E132,3),OFFSET(NameConv!$CG$5,0,AV132,NameConv!$A$45,1))</f>
        <v>5</v>
      </c>
      <c r="AV132" s="495">
        <f ca="1">IF(AV131&gt;=SUMIF(NameConv!$C$5:$C$45,RIGHT(E131,3),NameConv!$CG$5:$CG$45),1,AV131+1)</f>
        <v>5</v>
      </c>
    </row>
    <row r="133" spans="1:48">
      <c r="A133" s="422" t="str">
        <f t="shared" ca="1" si="3"/>
        <v/>
      </c>
      <c r="B133" s="515" t="str">
        <f t="shared" si="2"/>
        <v>FLO_EMIS</v>
      </c>
      <c r="C133" s="518" t="str">
        <f ca="1">"X"&amp;OFFSET(NameConv!$F$4,0,AS133)&amp;OFFSET(NameConv!$F$59,AT133,AS133)</f>
        <v>XINDODS</v>
      </c>
      <c r="D133" s="515" t="str">
        <f ca="1">OFFSET(NameConv!$F$4,0,AS133)&amp;OFFSET(NameConv!$AX$4,0,AU133)</f>
        <v>INDCMOX</v>
      </c>
      <c r="E133" s="515" t="str">
        <f ca="1">OFFSET(NameConv!$F$4,0,AS133)&amp;OFFSET(NameConv!$F$59,AT133,AS133)</f>
        <v>INDODS</v>
      </c>
      <c r="F133" s="740" t="s">
        <v>334</v>
      </c>
      <c r="G133" s="515" t="s">
        <v>337</v>
      </c>
      <c r="H133" s="740" t="s">
        <v>334</v>
      </c>
      <c r="I133" s="516">
        <v>0</v>
      </c>
      <c r="J133" s="517">
        <f ca="1">IF(E133="TRAOKE",0,SUMIF(NameConv!$C$5:$C$45,RIGHT(E133,3),OFFSET(NameConv!$AX$5,0,AU133,NameConv!$A$45,1)))</f>
        <v>1.4999999999999999E-2</v>
      </c>
      <c r="K133" s="518"/>
      <c r="L133" s="518"/>
      <c r="M133" s="518"/>
      <c r="N133" s="518"/>
      <c r="O133" s="518"/>
      <c r="P133" s="518"/>
      <c r="Q133" s="518"/>
      <c r="R133" s="518"/>
      <c r="S133" s="518"/>
      <c r="T133" s="518"/>
      <c r="U133" s="518"/>
      <c r="V133" s="518"/>
      <c r="W133" s="518"/>
      <c r="X133" s="518"/>
      <c r="Y133" s="518"/>
      <c r="Z133" s="518"/>
      <c r="AA133" s="518"/>
      <c r="AB133" s="518"/>
      <c r="AC133" s="518"/>
      <c r="AD133" s="518"/>
      <c r="AE133" s="518"/>
      <c r="AF133" s="518"/>
      <c r="AG133" s="518"/>
      <c r="AH133" s="518"/>
      <c r="AI133" s="518"/>
      <c r="AJ133" s="518"/>
      <c r="AK133" s="518"/>
      <c r="AL133" s="518"/>
      <c r="AM133" s="518"/>
      <c r="AN133" s="518"/>
      <c r="AO133" s="518"/>
      <c r="AP133" s="518"/>
      <c r="AQ133" s="518"/>
      <c r="AR133" s="518"/>
      <c r="AS133" s="495">
        <f ca="1">IF(AND(AV132&gt;=SUMIF(NameConv!$C$5:$C$45,RIGHT(E132,3),NameConv!$CG$5:$CG$45),AT132=SUMIF(NameConv!$G$4:$M$4,LEFT(E132,3),NameConv!$G$45:$M$45)),AS132+1,AS132)</f>
        <v>3</v>
      </c>
      <c r="AT133" s="495">
        <f ca="1">IF(AS133&lt;&gt;AS132,1,IF(AV132&gt;=SUMIF(NameConv!$C$5:$C$45,RIGHT(E132,3),NameConv!$CG$5:$CG$45),AT132+1,AT132))</f>
        <v>8</v>
      </c>
      <c r="AU133" s="495">
        <f ca="1">SUMIF(NameConv!$C$5:$C$45,RIGHT(E133,3),OFFSET(NameConv!$CG$5,0,AV133,NameConv!$A$45,1))</f>
        <v>6</v>
      </c>
      <c r="AV133" s="495">
        <f ca="1">IF(AV132&gt;=SUMIF(NameConv!$C$5:$C$45,RIGHT(E132,3),NameConv!$CG$5:$CG$45),1,AV132+1)</f>
        <v>6</v>
      </c>
    </row>
    <row r="134" spans="1:48">
      <c r="A134" s="422" t="str">
        <f t="shared" ca="1" si="3"/>
        <v/>
      </c>
      <c r="B134" s="515" t="str">
        <f t="shared" si="2"/>
        <v>FLO_EMIS</v>
      </c>
      <c r="C134" s="518" t="str">
        <f ca="1">"X"&amp;OFFSET(NameConv!$F$4,0,AS134)&amp;OFFSET(NameConv!$F$59,AT134,AS134)</f>
        <v>XINDODS</v>
      </c>
      <c r="D134" s="515" t="str">
        <f ca="1">OFFSET(NameConv!$F$4,0,AS134)&amp;OFFSET(NameConv!$AX$4,0,AU134)</f>
        <v>INDNMVS</v>
      </c>
      <c r="E134" s="515" t="str">
        <f ca="1">OFFSET(NameConv!$F$4,0,AS134)&amp;OFFSET(NameConv!$F$59,AT134,AS134)</f>
        <v>INDODS</v>
      </c>
      <c r="F134" s="740" t="s">
        <v>334</v>
      </c>
      <c r="G134" s="515" t="s">
        <v>337</v>
      </c>
      <c r="H134" s="740" t="s">
        <v>334</v>
      </c>
      <c r="I134" s="516">
        <v>0</v>
      </c>
      <c r="J134" s="517">
        <f ca="1">IF(E134="TRAOKE",0,SUMIF(NameConv!$C$5:$C$45,RIGHT(E134,3),OFFSET(NameConv!$AX$5,0,AU134,NameConv!$A$45,1)))</f>
        <v>5.0000000000000001E-3</v>
      </c>
      <c r="K134" s="518"/>
      <c r="L134" s="518"/>
      <c r="M134" s="518"/>
      <c r="N134" s="518"/>
      <c r="O134" s="518"/>
      <c r="P134" s="518"/>
      <c r="Q134" s="518"/>
      <c r="R134" s="518"/>
      <c r="S134" s="518"/>
      <c r="T134" s="518"/>
      <c r="U134" s="518"/>
      <c r="V134" s="518"/>
      <c r="W134" s="518"/>
      <c r="X134" s="518"/>
      <c r="Y134" s="518"/>
      <c r="Z134" s="518"/>
      <c r="AA134" s="518"/>
      <c r="AB134" s="518"/>
      <c r="AC134" s="518"/>
      <c r="AD134" s="518"/>
      <c r="AE134" s="518"/>
      <c r="AF134" s="518"/>
      <c r="AG134" s="518"/>
      <c r="AH134" s="518"/>
      <c r="AI134" s="518"/>
      <c r="AJ134" s="518"/>
      <c r="AK134" s="518"/>
      <c r="AL134" s="518"/>
      <c r="AM134" s="518"/>
      <c r="AN134" s="518"/>
      <c r="AO134" s="518"/>
      <c r="AP134" s="518"/>
      <c r="AQ134" s="518"/>
      <c r="AR134" s="518"/>
      <c r="AS134" s="495">
        <f ca="1">IF(AND(AV133&gt;=SUMIF(NameConv!$C$5:$C$45,RIGHT(E133,3),NameConv!$CG$5:$CG$45),AT133=SUMIF(NameConv!$G$4:$M$4,LEFT(E133,3),NameConv!$G$45:$M$45)),AS133+1,AS133)</f>
        <v>3</v>
      </c>
      <c r="AT134" s="495">
        <f ca="1">IF(AS134&lt;&gt;AS133,1,IF(AV133&gt;=SUMIF(NameConv!$C$5:$C$45,RIGHT(E133,3),NameConv!$CG$5:$CG$45),AT133+1,AT133))</f>
        <v>8</v>
      </c>
      <c r="AU134" s="495">
        <f ca="1">SUMIF(NameConv!$C$5:$C$45,RIGHT(E134,3),OFFSET(NameConv!$CG$5,0,AV134,NameConv!$A$45,1))</f>
        <v>7</v>
      </c>
      <c r="AV134" s="495">
        <f ca="1">IF(AV133&gt;=SUMIF(NameConv!$C$5:$C$45,RIGHT(E133,3),NameConv!$CG$5:$CG$45),1,AV133+1)</f>
        <v>7</v>
      </c>
    </row>
    <row r="135" spans="1:48">
      <c r="A135" s="422" t="str">
        <f t="shared" ca="1" si="3"/>
        <v/>
      </c>
      <c r="B135" s="515" t="str">
        <f t="shared" si="2"/>
        <v>FLO_EMIS</v>
      </c>
      <c r="C135" s="518" t="str">
        <f ca="1">"X"&amp;OFFSET(NameConv!$F$4,0,AS135)&amp;OFFSET(NameConv!$F$59,AT135,AS135)</f>
        <v>XINDOGS</v>
      </c>
      <c r="D135" s="515" t="str">
        <f ca="1">OFFSET(NameConv!$F$4,0,AS135)&amp;OFFSET(NameConv!$AX$4,0,AU135)</f>
        <v>INDCO2S</v>
      </c>
      <c r="E135" s="515" t="str">
        <f ca="1">OFFSET(NameConv!$F$4,0,AS135)&amp;OFFSET(NameConv!$F$59,AT135,AS135)</f>
        <v>INDOGS</v>
      </c>
      <c r="F135" s="740" t="s">
        <v>334</v>
      </c>
      <c r="G135" s="515" t="s">
        <v>337</v>
      </c>
      <c r="H135" s="740" t="s">
        <v>334</v>
      </c>
      <c r="I135" s="516">
        <v>0</v>
      </c>
      <c r="J135" s="517">
        <f ca="1">IF(E135="TRAOKE",0,SUMIF(NameConv!$C$5:$C$45,RIGHT(E135,3),OFFSET(NameConv!$AX$5,0,AU135,NameConv!$A$45,1)))</f>
        <v>69.3</v>
      </c>
      <c r="K135" s="518"/>
      <c r="L135" s="518"/>
      <c r="M135" s="518"/>
      <c r="N135" s="518"/>
      <c r="O135" s="518"/>
      <c r="P135" s="518"/>
      <c r="Q135" s="518"/>
      <c r="R135" s="518"/>
      <c r="S135" s="518"/>
      <c r="T135" s="518"/>
      <c r="U135" s="518"/>
      <c r="V135" s="518"/>
      <c r="W135" s="518"/>
      <c r="X135" s="518"/>
      <c r="Y135" s="518"/>
      <c r="Z135" s="518"/>
      <c r="AA135" s="518"/>
      <c r="AB135" s="518"/>
      <c r="AC135" s="518"/>
      <c r="AD135" s="518"/>
      <c r="AE135" s="518"/>
      <c r="AF135" s="518"/>
      <c r="AG135" s="518"/>
      <c r="AH135" s="518"/>
      <c r="AI135" s="518"/>
      <c r="AJ135" s="518"/>
      <c r="AK135" s="518"/>
      <c r="AL135" s="518"/>
      <c r="AM135" s="518"/>
      <c r="AN135" s="518"/>
      <c r="AO135" s="518"/>
      <c r="AP135" s="518"/>
      <c r="AQ135" s="518"/>
      <c r="AR135" s="518"/>
      <c r="AS135" s="495">
        <f ca="1">IF(AND(AV134&gt;=SUMIF(NameConv!$C$5:$C$45,RIGHT(E134,3),NameConv!$CG$5:$CG$45),AT134=SUMIF(NameConv!$G$4:$M$4,LEFT(E134,3),NameConv!$G$45:$M$45)),AS134+1,AS134)</f>
        <v>3</v>
      </c>
      <c r="AT135" s="495">
        <f ca="1">IF(AS135&lt;&gt;AS134,1,IF(AV134&gt;=SUMIF(NameConv!$C$5:$C$45,RIGHT(E134,3),NameConv!$CG$5:$CG$45),AT134+1,AT134))</f>
        <v>9</v>
      </c>
      <c r="AU135" s="495">
        <f ca="1">SUMIF(NameConv!$C$5:$C$45,RIGHT(E135,3),OFFSET(NameConv!$CG$5,0,AV135,NameConv!$A$45,1))</f>
        <v>1</v>
      </c>
      <c r="AV135" s="495">
        <f ca="1">IF(AV134&gt;=SUMIF(NameConv!$C$5:$C$45,RIGHT(E134,3),NameConv!$CG$5:$CG$45),1,AV134+1)</f>
        <v>1</v>
      </c>
    </row>
    <row r="136" spans="1:48">
      <c r="A136" s="422" t="str">
        <f t="shared" ca="1" si="3"/>
        <v/>
      </c>
      <c r="B136" s="515" t="str">
        <f t="shared" si="2"/>
        <v>FLO_EMIS</v>
      </c>
      <c r="C136" s="518" t="str">
        <f ca="1">"X"&amp;OFFSET(NameConv!$F$4,0,AS136)&amp;OFFSET(NameConv!$F$59,AT136,AS136)</f>
        <v>XINDOGS</v>
      </c>
      <c r="D136" s="515" t="str">
        <f ca="1">OFFSET(NameConv!$F$4,0,AS136)&amp;OFFSET(NameConv!$AX$4,0,AU136)</f>
        <v>INDCH4S</v>
      </c>
      <c r="E136" s="515" t="str">
        <f ca="1">OFFSET(NameConv!$F$4,0,AS136)&amp;OFFSET(NameConv!$F$59,AT136,AS136)</f>
        <v>INDOGS</v>
      </c>
      <c r="F136" s="740" t="s">
        <v>334</v>
      </c>
      <c r="G136" s="515" t="s">
        <v>337</v>
      </c>
      <c r="H136" s="740" t="s">
        <v>334</v>
      </c>
      <c r="I136" s="516">
        <v>0</v>
      </c>
      <c r="J136" s="517">
        <f ca="1">IF(E136="TRAOKE",0,SUMIF(NameConv!$C$5:$C$45,RIGHT(E136,3),OFFSET(NameConv!$AX$5,0,AU136,NameConv!$A$45,1)))</f>
        <v>3.0000000000000001E-3</v>
      </c>
      <c r="K136" s="518"/>
      <c r="L136" s="518"/>
      <c r="M136" s="518"/>
      <c r="N136" s="518"/>
      <c r="O136" s="518"/>
      <c r="P136" s="518"/>
      <c r="Q136" s="518"/>
      <c r="R136" s="518"/>
      <c r="S136" s="518"/>
      <c r="T136" s="518"/>
      <c r="U136" s="518"/>
      <c r="V136" s="518"/>
      <c r="W136" s="518"/>
      <c r="X136" s="518"/>
      <c r="Y136" s="518"/>
      <c r="Z136" s="518"/>
      <c r="AA136" s="518"/>
      <c r="AB136" s="518"/>
      <c r="AC136" s="518"/>
      <c r="AD136" s="518"/>
      <c r="AE136" s="518"/>
      <c r="AF136" s="518"/>
      <c r="AG136" s="518"/>
      <c r="AH136" s="518"/>
      <c r="AI136" s="518"/>
      <c r="AJ136" s="518"/>
      <c r="AK136" s="518"/>
      <c r="AL136" s="518"/>
      <c r="AM136" s="518"/>
      <c r="AN136" s="518"/>
      <c r="AO136" s="518"/>
      <c r="AP136" s="518"/>
      <c r="AQ136" s="518"/>
      <c r="AR136" s="518"/>
      <c r="AS136" s="495">
        <f ca="1">IF(AND(AV135&gt;=SUMIF(NameConv!$C$5:$C$45,RIGHT(E135,3),NameConv!$CG$5:$CG$45),AT135=SUMIF(NameConv!$G$4:$M$4,LEFT(E135,3),NameConv!$G$45:$M$45)),AS135+1,AS135)</f>
        <v>3</v>
      </c>
      <c r="AT136" s="495">
        <f ca="1">IF(AS136&lt;&gt;AS135,1,IF(AV135&gt;=SUMIF(NameConv!$C$5:$C$45,RIGHT(E135,3),NameConv!$CG$5:$CG$45),AT135+1,AT135))</f>
        <v>9</v>
      </c>
      <c r="AU136" s="495">
        <f ca="1">SUMIF(NameConv!$C$5:$C$45,RIGHT(E136,3),OFFSET(NameConv!$CG$5,0,AV136,NameConv!$A$45,1))</f>
        <v>2</v>
      </c>
      <c r="AV136" s="495">
        <f ca="1">IF(AV135&gt;=SUMIF(NameConv!$C$5:$C$45,RIGHT(E135,3),NameConv!$CG$5:$CG$45),1,AV135+1)</f>
        <v>2</v>
      </c>
    </row>
    <row r="137" spans="1:48">
      <c r="A137" s="422" t="str">
        <f t="shared" ca="1" si="3"/>
        <v/>
      </c>
      <c r="B137" s="515" t="str">
        <f t="shared" si="2"/>
        <v>FLO_EMIS</v>
      </c>
      <c r="C137" s="518" t="str">
        <f ca="1">"X"&amp;OFFSET(NameConv!$F$4,0,AS137)&amp;OFFSET(NameConv!$F$59,AT137,AS137)</f>
        <v>XINDOGS</v>
      </c>
      <c r="D137" s="515" t="str">
        <f ca="1">OFFSET(NameConv!$F$4,0,AS137)&amp;OFFSET(NameConv!$AX$4,0,AU137)</f>
        <v>INDN2OS</v>
      </c>
      <c r="E137" s="515" t="str">
        <f ca="1">OFFSET(NameConv!$F$4,0,AS137)&amp;OFFSET(NameConv!$F$59,AT137,AS137)</f>
        <v>INDOGS</v>
      </c>
      <c r="F137" s="740" t="s">
        <v>334</v>
      </c>
      <c r="G137" s="515" t="s">
        <v>337</v>
      </c>
      <c r="H137" s="740" t="s">
        <v>334</v>
      </c>
      <c r="I137" s="516">
        <v>0</v>
      </c>
      <c r="J137" s="517">
        <f ca="1">IF(E137="TRAOKE",0,SUMIF(NameConv!$C$5:$C$45,RIGHT(E137,3),OFFSET(NameConv!$AX$5,0,AU137,NameConv!$A$45,1)))</f>
        <v>5.9999999999999995E-4</v>
      </c>
      <c r="K137" s="518"/>
      <c r="L137" s="518"/>
      <c r="M137" s="518"/>
      <c r="N137" s="518"/>
      <c r="O137" s="518"/>
      <c r="P137" s="518"/>
      <c r="Q137" s="518"/>
      <c r="R137" s="518"/>
      <c r="S137" s="518"/>
      <c r="T137" s="518"/>
      <c r="U137" s="518"/>
      <c r="V137" s="518"/>
      <c r="W137" s="518"/>
      <c r="X137" s="518"/>
      <c r="Y137" s="518"/>
      <c r="Z137" s="518"/>
      <c r="AA137" s="518"/>
      <c r="AB137" s="518"/>
      <c r="AC137" s="518"/>
      <c r="AD137" s="518"/>
      <c r="AE137" s="518"/>
      <c r="AF137" s="518"/>
      <c r="AG137" s="518"/>
      <c r="AH137" s="518"/>
      <c r="AI137" s="518"/>
      <c r="AJ137" s="518"/>
      <c r="AK137" s="518"/>
      <c r="AL137" s="518"/>
      <c r="AM137" s="518"/>
      <c r="AN137" s="518"/>
      <c r="AO137" s="518"/>
      <c r="AP137" s="518"/>
      <c r="AQ137" s="518"/>
      <c r="AR137" s="518"/>
      <c r="AS137" s="495">
        <f ca="1">IF(AND(AV136&gt;=SUMIF(NameConv!$C$5:$C$45,RIGHT(E136,3),NameConv!$CG$5:$CG$45),AT136=SUMIF(NameConv!$G$4:$M$4,LEFT(E136,3),NameConv!$G$45:$M$45)),AS136+1,AS136)</f>
        <v>3</v>
      </c>
      <c r="AT137" s="495">
        <f ca="1">IF(AS137&lt;&gt;AS136,1,IF(AV136&gt;=SUMIF(NameConv!$C$5:$C$45,RIGHT(E136,3),NameConv!$CG$5:$CG$45),AT136+1,AT136))</f>
        <v>9</v>
      </c>
      <c r="AU137" s="495">
        <f ca="1">SUMIF(NameConv!$C$5:$C$45,RIGHT(E137,3),OFFSET(NameConv!$CG$5,0,AV137,NameConv!$A$45,1))</f>
        <v>3</v>
      </c>
      <c r="AV137" s="495">
        <f ca="1">IF(AV136&gt;=SUMIF(NameConv!$C$5:$C$45,RIGHT(E136,3),NameConv!$CG$5:$CG$45),1,AV136+1)</f>
        <v>3</v>
      </c>
    </row>
    <row r="138" spans="1:48">
      <c r="A138" s="422" t="str">
        <f t="shared" ca="1" si="3"/>
        <v/>
      </c>
      <c r="B138" s="515" t="str">
        <f t="shared" si="2"/>
        <v>FLO_EMIS</v>
      </c>
      <c r="C138" s="518" t="str">
        <f ca="1">"X"&amp;OFFSET(NameConv!$F$4,0,AS138)&amp;OFFSET(NameConv!$F$59,AT138,AS138)</f>
        <v>XINDOGS</v>
      </c>
      <c r="D138" s="515" t="str">
        <f ca="1">OFFSET(NameConv!$F$4,0,AS138)&amp;OFFSET(NameConv!$AX$4,0,AU138)</f>
        <v>INDSOXS</v>
      </c>
      <c r="E138" s="515" t="str">
        <f ca="1">OFFSET(NameConv!$F$4,0,AS138)&amp;OFFSET(NameConv!$F$59,AT138,AS138)</f>
        <v>INDOGS</v>
      </c>
      <c r="F138" s="740" t="s">
        <v>334</v>
      </c>
      <c r="G138" s="515" t="s">
        <v>337</v>
      </c>
      <c r="H138" s="740" t="s">
        <v>334</v>
      </c>
      <c r="I138" s="516">
        <v>0</v>
      </c>
      <c r="J138" s="517">
        <f ca="1">IF(E138="TRAOKE",0,SUMIF(NameConv!$C$5:$C$45,RIGHT(E138,3),OFFSET(NameConv!$AX$5,0,AU138,NameConv!$A$45,1)))</f>
        <v>4.6699999999999998E-2</v>
      </c>
      <c r="K138" s="518"/>
      <c r="L138" s="518"/>
      <c r="M138" s="518"/>
      <c r="N138" s="518"/>
      <c r="O138" s="518"/>
      <c r="P138" s="518"/>
      <c r="Q138" s="518"/>
      <c r="R138" s="518"/>
      <c r="S138" s="518"/>
      <c r="T138" s="518"/>
      <c r="U138" s="518"/>
      <c r="V138" s="518"/>
      <c r="W138" s="518"/>
      <c r="X138" s="518"/>
      <c r="Y138" s="518"/>
      <c r="Z138" s="518"/>
      <c r="AA138" s="518"/>
      <c r="AB138" s="518"/>
      <c r="AC138" s="518"/>
      <c r="AD138" s="518"/>
      <c r="AE138" s="518"/>
      <c r="AF138" s="518"/>
      <c r="AG138" s="518"/>
      <c r="AH138" s="518"/>
      <c r="AI138" s="518"/>
      <c r="AJ138" s="518"/>
      <c r="AK138" s="518"/>
      <c r="AL138" s="518"/>
      <c r="AM138" s="518"/>
      <c r="AN138" s="518"/>
      <c r="AO138" s="518"/>
      <c r="AP138" s="518"/>
      <c r="AQ138" s="518"/>
      <c r="AR138" s="518"/>
      <c r="AS138" s="495">
        <f ca="1">IF(AND(AV137&gt;=SUMIF(NameConv!$C$5:$C$45,RIGHT(E137,3),NameConv!$CG$5:$CG$45),AT137=SUMIF(NameConv!$G$4:$M$4,LEFT(E137,3),NameConv!$G$45:$M$45)),AS137+1,AS137)</f>
        <v>3</v>
      </c>
      <c r="AT138" s="495">
        <f ca="1">IF(AS138&lt;&gt;AS137,1,IF(AV137&gt;=SUMIF(NameConv!$C$5:$C$45,RIGHT(E137,3),NameConv!$CG$5:$CG$45),AT137+1,AT137))</f>
        <v>9</v>
      </c>
      <c r="AU138" s="495">
        <f ca="1">SUMIF(NameConv!$C$5:$C$45,RIGHT(E138,3),OFFSET(NameConv!$CG$5,0,AV138,NameConv!$A$45,1))</f>
        <v>4</v>
      </c>
      <c r="AV138" s="495">
        <f ca="1">IF(AV137&gt;=SUMIF(NameConv!$C$5:$C$45,RIGHT(E137,3),NameConv!$CG$5:$CG$45),1,AV137+1)</f>
        <v>4</v>
      </c>
    </row>
    <row r="139" spans="1:48">
      <c r="A139" s="422" t="str">
        <f t="shared" ca="1" si="3"/>
        <v/>
      </c>
      <c r="B139" s="515" t="str">
        <f t="shared" si="2"/>
        <v>FLO_EMIS</v>
      </c>
      <c r="C139" s="518" t="str">
        <f ca="1">"X"&amp;OFFSET(NameConv!$F$4,0,AS139)&amp;OFFSET(NameConv!$F$59,AT139,AS139)</f>
        <v>XINDOGS</v>
      </c>
      <c r="D139" s="515" t="str">
        <f ca="1">OFFSET(NameConv!$F$4,0,AS139)&amp;OFFSET(NameConv!$AX$4,0,AU139)</f>
        <v>INDNOXS</v>
      </c>
      <c r="E139" s="515" t="str">
        <f ca="1">OFFSET(NameConv!$F$4,0,AS139)&amp;OFFSET(NameConv!$F$59,AT139,AS139)</f>
        <v>INDOGS</v>
      </c>
      <c r="F139" s="740" t="s">
        <v>334</v>
      </c>
      <c r="G139" s="515" t="s">
        <v>337</v>
      </c>
      <c r="H139" s="740" t="s">
        <v>334</v>
      </c>
      <c r="I139" s="516">
        <v>0</v>
      </c>
      <c r="J139" s="517">
        <f ca="1">IF(E139="TRAOKE",0,SUMIF(NameConv!$C$5:$C$45,RIGHT(E139,3),OFFSET(NameConv!$AX$5,0,AU139,NameConv!$A$45,1)))</f>
        <v>0.6</v>
      </c>
      <c r="K139" s="518"/>
      <c r="L139" s="518"/>
      <c r="M139" s="518"/>
      <c r="N139" s="518"/>
      <c r="O139" s="518"/>
      <c r="P139" s="518"/>
      <c r="Q139" s="518"/>
      <c r="R139" s="518"/>
      <c r="S139" s="518"/>
      <c r="T139" s="518"/>
      <c r="U139" s="518"/>
      <c r="V139" s="518"/>
      <c r="W139" s="518"/>
      <c r="X139" s="518"/>
      <c r="Y139" s="518"/>
      <c r="Z139" s="518"/>
      <c r="AA139" s="518"/>
      <c r="AB139" s="518"/>
      <c r="AC139" s="518"/>
      <c r="AD139" s="518"/>
      <c r="AE139" s="518"/>
      <c r="AF139" s="518"/>
      <c r="AG139" s="518"/>
      <c r="AH139" s="518"/>
      <c r="AI139" s="518"/>
      <c r="AJ139" s="518"/>
      <c r="AK139" s="518"/>
      <c r="AL139" s="518"/>
      <c r="AM139" s="518"/>
      <c r="AN139" s="518"/>
      <c r="AO139" s="518"/>
      <c r="AP139" s="518"/>
      <c r="AQ139" s="518"/>
      <c r="AR139" s="518"/>
      <c r="AS139" s="495">
        <f ca="1">IF(AND(AV138&gt;=SUMIF(NameConv!$C$5:$C$45,RIGHT(E138,3),NameConv!$CG$5:$CG$45),AT138=SUMIF(NameConv!$G$4:$M$4,LEFT(E138,3),NameConv!$G$45:$M$45)),AS138+1,AS138)</f>
        <v>3</v>
      </c>
      <c r="AT139" s="495">
        <f ca="1">IF(AS139&lt;&gt;AS138,1,IF(AV138&gt;=SUMIF(NameConv!$C$5:$C$45,RIGHT(E138,3),NameConv!$CG$5:$CG$45),AT138+1,AT138))</f>
        <v>9</v>
      </c>
      <c r="AU139" s="495">
        <f ca="1">SUMIF(NameConv!$C$5:$C$45,RIGHT(E139,3),OFFSET(NameConv!$CG$5,0,AV139,NameConv!$A$45,1))</f>
        <v>5</v>
      </c>
      <c r="AV139" s="495">
        <f ca="1">IF(AV138&gt;=SUMIF(NameConv!$C$5:$C$45,RIGHT(E138,3),NameConv!$CG$5:$CG$45),1,AV138+1)</f>
        <v>5</v>
      </c>
    </row>
    <row r="140" spans="1:48">
      <c r="A140" s="422" t="str">
        <f t="shared" ca="1" si="3"/>
        <v/>
      </c>
      <c r="B140" s="515" t="str">
        <f t="shared" ref="B140:B204" si="4">$B$10</f>
        <v>FLO_EMIS</v>
      </c>
      <c r="C140" s="518" t="str">
        <f ca="1">"X"&amp;OFFSET(NameConv!$F$4,0,AS140)&amp;OFFSET(NameConv!$F$59,AT140,AS140)</f>
        <v>XINDOGS</v>
      </c>
      <c r="D140" s="515" t="str">
        <f ca="1">OFFSET(NameConv!$F$4,0,AS140)&amp;OFFSET(NameConv!$AX$4,0,AU140)</f>
        <v>INDCMOX</v>
      </c>
      <c r="E140" s="515" t="str">
        <f ca="1">OFFSET(NameConv!$F$4,0,AS140)&amp;OFFSET(NameConv!$F$59,AT140,AS140)</f>
        <v>INDOGS</v>
      </c>
      <c r="F140" s="740" t="s">
        <v>334</v>
      </c>
      <c r="G140" s="515" t="s">
        <v>337</v>
      </c>
      <c r="H140" s="740" t="s">
        <v>334</v>
      </c>
      <c r="I140" s="516">
        <v>0</v>
      </c>
      <c r="J140" s="517">
        <f ca="1">IF(E140="TRAOKE",0,SUMIF(NameConv!$C$5:$C$45,RIGHT(E140,3),OFFSET(NameConv!$AX$5,0,AU140,NameConv!$A$45,1)))</f>
        <v>8</v>
      </c>
      <c r="K140" s="518"/>
      <c r="L140" s="518"/>
      <c r="M140" s="518"/>
      <c r="N140" s="518"/>
      <c r="O140" s="518"/>
      <c r="P140" s="518"/>
      <c r="Q140" s="518"/>
      <c r="R140" s="518"/>
      <c r="S140" s="518"/>
      <c r="T140" s="518"/>
      <c r="U140" s="518"/>
      <c r="V140" s="518"/>
      <c r="W140" s="518"/>
      <c r="X140" s="518"/>
      <c r="Y140" s="518"/>
      <c r="Z140" s="518"/>
      <c r="AA140" s="518"/>
      <c r="AB140" s="518"/>
      <c r="AC140" s="518"/>
      <c r="AD140" s="518"/>
      <c r="AE140" s="518"/>
      <c r="AF140" s="518"/>
      <c r="AG140" s="518"/>
      <c r="AH140" s="518"/>
      <c r="AI140" s="518"/>
      <c r="AJ140" s="518"/>
      <c r="AK140" s="518"/>
      <c r="AL140" s="518"/>
      <c r="AM140" s="518"/>
      <c r="AN140" s="518"/>
      <c r="AO140" s="518"/>
      <c r="AP140" s="518"/>
      <c r="AQ140" s="518"/>
      <c r="AR140" s="518"/>
      <c r="AS140" s="495">
        <f ca="1">IF(AND(AV139&gt;=SUMIF(NameConv!$C$5:$C$45,RIGHT(E139,3),NameConv!$CG$5:$CG$45),AT139=SUMIF(NameConv!$G$4:$M$4,LEFT(E139,3),NameConv!$G$45:$M$45)),AS139+1,AS139)</f>
        <v>3</v>
      </c>
      <c r="AT140" s="495">
        <f ca="1">IF(AS140&lt;&gt;AS139,1,IF(AV139&gt;=SUMIF(NameConv!$C$5:$C$45,RIGHT(E139,3),NameConv!$CG$5:$CG$45),AT139+1,AT139))</f>
        <v>9</v>
      </c>
      <c r="AU140" s="495">
        <f ca="1">SUMIF(NameConv!$C$5:$C$45,RIGHT(E140,3),OFFSET(NameConv!$CG$5,0,AV140,NameConv!$A$45,1))</f>
        <v>6</v>
      </c>
      <c r="AV140" s="495">
        <f ca="1">IF(AV139&gt;=SUMIF(NameConv!$C$5:$C$45,RIGHT(E139,3),NameConv!$CG$5:$CG$45),1,AV139+1)</f>
        <v>6</v>
      </c>
    </row>
    <row r="141" spans="1:48">
      <c r="A141" s="422" t="str">
        <f t="shared" ref="A141:A204" ca="1" si="5">IF(J141=0,"*","")</f>
        <v/>
      </c>
      <c r="B141" s="515" t="str">
        <f t="shared" si="4"/>
        <v>FLO_EMIS</v>
      </c>
      <c r="C141" s="518" t="str">
        <f ca="1">"X"&amp;OFFSET(NameConv!$F$4,0,AS141)&amp;OFFSET(NameConv!$F$59,AT141,AS141)</f>
        <v>XINDOGS</v>
      </c>
      <c r="D141" s="515" t="str">
        <f ca="1">OFFSET(NameConv!$F$4,0,AS141)&amp;OFFSET(NameConv!$AX$4,0,AU141)</f>
        <v>INDNMVS</v>
      </c>
      <c r="E141" s="515" t="str">
        <f ca="1">OFFSET(NameConv!$F$4,0,AS141)&amp;OFFSET(NameConv!$F$59,AT141,AS141)</f>
        <v>INDOGS</v>
      </c>
      <c r="F141" s="740" t="s">
        <v>334</v>
      </c>
      <c r="G141" s="515" t="s">
        <v>337</v>
      </c>
      <c r="H141" s="740" t="s">
        <v>334</v>
      </c>
      <c r="I141" s="516">
        <v>0</v>
      </c>
      <c r="J141" s="517">
        <f ca="1">IF(E141="TRAOKE",0,SUMIF(NameConv!$C$5:$C$45,RIGHT(E141,3),OFFSET(NameConv!$AX$5,0,AU141,NameConv!$A$45,1)))</f>
        <v>1.5</v>
      </c>
      <c r="K141" s="518"/>
      <c r="L141" s="518"/>
      <c r="M141" s="518"/>
      <c r="N141" s="518"/>
      <c r="O141" s="518"/>
      <c r="P141" s="518"/>
      <c r="Q141" s="518"/>
      <c r="R141" s="518"/>
      <c r="S141" s="518"/>
      <c r="T141" s="518"/>
      <c r="U141" s="518"/>
      <c r="V141" s="518"/>
      <c r="W141" s="518"/>
      <c r="X141" s="518"/>
      <c r="Y141" s="518"/>
      <c r="Z141" s="518"/>
      <c r="AA141" s="518"/>
      <c r="AB141" s="518"/>
      <c r="AC141" s="518"/>
      <c r="AD141" s="518"/>
      <c r="AE141" s="518"/>
      <c r="AF141" s="518"/>
      <c r="AG141" s="518"/>
      <c r="AH141" s="518"/>
      <c r="AI141" s="518"/>
      <c r="AJ141" s="518"/>
      <c r="AK141" s="518"/>
      <c r="AL141" s="518"/>
      <c r="AM141" s="518"/>
      <c r="AN141" s="518"/>
      <c r="AO141" s="518"/>
      <c r="AP141" s="518"/>
      <c r="AQ141" s="518"/>
      <c r="AR141" s="518"/>
      <c r="AS141" s="495">
        <f ca="1">IF(AND(AV140&gt;=SUMIF(NameConv!$C$5:$C$45,RIGHT(E140,3),NameConv!$CG$5:$CG$45),AT140=SUMIF(NameConv!$G$4:$M$4,LEFT(E140,3),NameConv!$G$45:$M$45)),AS140+1,AS140)</f>
        <v>3</v>
      </c>
      <c r="AT141" s="495">
        <f ca="1">IF(AS141&lt;&gt;AS140,1,IF(AV140&gt;=SUMIF(NameConv!$C$5:$C$45,RIGHT(E140,3),NameConv!$CG$5:$CG$45),AT140+1,AT140))</f>
        <v>9</v>
      </c>
      <c r="AU141" s="495">
        <f ca="1">SUMIF(NameConv!$C$5:$C$45,RIGHT(E141,3),OFFSET(NameConv!$CG$5,0,AV141,NameConv!$A$45,1))</f>
        <v>7</v>
      </c>
      <c r="AV141" s="495">
        <f ca="1">IF(AV140&gt;=SUMIF(NameConv!$C$5:$C$45,RIGHT(E140,3),NameConv!$CG$5:$CG$45),1,AV140+1)</f>
        <v>7</v>
      </c>
    </row>
    <row r="142" spans="1:48">
      <c r="A142" s="422" t="str">
        <f t="shared" ca="1" si="5"/>
        <v/>
      </c>
      <c r="B142" s="515" t="str">
        <f t="shared" si="4"/>
        <v>FLO_EMIS</v>
      </c>
      <c r="C142" s="518" t="str">
        <f ca="1">"X"&amp;OFFSET(NameConv!$F$4,0,AS142)&amp;OFFSET(NameConv!$F$59,AT142,AS142)</f>
        <v>XINDOHF</v>
      </c>
      <c r="D142" s="515" t="str">
        <f ca="1">OFFSET(NameConv!$F$4,0,AS142)&amp;OFFSET(NameConv!$AX$4,0,AU142)</f>
        <v>INDCO2S</v>
      </c>
      <c r="E142" s="515" t="str">
        <f ca="1">OFFSET(NameConv!$F$4,0,AS142)&amp;OFFSET(NameConv!$F$59,AT142,AS142)</f>
        <v>INDOHF</v>
      </c>
      <c r="F142" s="740" t="s">
        <v>334</v>
      </c>
      <c r="G142" s="515" t="s">
        <v>337</v>
      </c>
      <c r="H142" s="740" t="s">
        <v>334</v>
      </c>
      <c r="I142" s="516">
        <v>0</v>
      </c>
      <c r="J142" s="517">
        <f ca="1">IF(E142="TRAOKE",0,SUMIF(NameConv!$C$5:$C$45,RIGHT(E142,3),OFFSET(NameConv!$AX$5,0,AU142,NameConv!$A$45,1)))</f>
        <v>77.400000000000006</v>
      </c>
      <c r="K142" s="518"/>
      <c r="L142" s="518"/>
      <c r="M142" s="518"/>
      <c r="N142" s="518"/>
      <c r="O142" s="518"/>
      <c r="P142" s="518"/>
      <c r="Q142" s="518"/>
      <c r="R142" s="518"/>
      <c r="S142" s="518"/>
      <c r="T142" s="518"/>
      <c r="U142" s="518"/>
      <c r="V142" s="518"/>
      <c r="W142" s="518"/>
      <c r="X142" s="518"/>
      <c r="Y142" s="518"/>
      <c r="Z142" s="518"/>
      <c r="AA142" s="518"/>
      <c r="AB142" s="518"/>
      <c r="AC142" s="518"/>
      <c r="AD142" s="518"/>
      <c r="AE142" s="518"/>
      <c r="AF142" s="518"/>
      <c r="AG142" s="518"/>
      <c r="AH142" s="518"/>
      <c r="AI142" s="518"/>
      <c r="AJ142" s="518"/>
      <c r="AK142" s="518"/>
      <c r="AL142" s="518"/>
      <c r="AM142" s="518"/>
      <c r="AN142" s="518"/>
      <c r="AO142" s="518"/>
      <c r="AP142" s="518"/>
      <c r="AQ142" s="518"/>
      <c r="AR142" s="518"/>
      <c r="AS142" s="495">
        <f ca="1">IF(AND(AV141&gt;=SUMIF(NameConv!$C$5:$C$45,RIGHT(E141,3),NameConv!$CG$5:$CG$45),AT141=SUMIF(NameConv!$G$4:$M$4,LEFT(E141,3),NameConv!$G$45:$M$45)),AS141+1,AS141)</f>
        <v>3</v>
      </c>
      <c r="AT142" s="495">
        <f ca="1">IF(AS142&lt;&gt;AS141,1,IF(AV141&gt;=SUMIF(NameConv!$C$5:$C$45,RIGHT(E141,3),NameConv!$CG$5:$CG$45),AT141+1,AT141))</f>
        <v>10</v>
      </c>
      <c r="AU142" s="495">
        <f ca="1">SUMIF(NameConv!$C$5:$C$45,RIGHT(E142,3),OFFSET(NameConv!$CG$5,0,AV142,NameConv!$A$45,1))</f>
        <v>1</v>
      </c>
      <c r="AV142" s="495">
        <f ca="1">IF(AV141&gt;=SUMIF(NameConv!$C$5:$C$45,RIGHT(E141,3),NameConv!$CG$5:$CG$45),1,AV141+1)</f>
        <v>1</v>
      </c>
    </row>
    <row r="143" spans="1:48">
      <c r="A143" s="422" t="str">
        <f t="shared" ca="1" si="5"/>
        <v/>
      </c>
      <c r="B143" s="515" t="str">
        <f t="shared" si="4"/>
        <v>FLO_EMIS</v>
      </c>
      <c r="C143" s="518" t="str">
        <f ca="1">"X"&amp;OFFSET(NameConv!$F$4,0,AS143)&amp;OFFSET(NameConv!$F$59,AT143,AS143)</f>
        <v>XINDOHF</v>
      </c>
      <c r="D143" s="515" t="str">
        <f ca="1">OFFSET(NameConv!$F$4,0,AS143)&amp;OFFSET(NameConv!$AX$4,0,AU143)</f>
        <v>INDCH4S</v>
      </c>
      <c r="E143" s="515" t="str">
        <f ca="1">OFFSET(NameConv!$F$4,0,AS143)&amp;OFFSET(NameConv!$F$59,AT143,AS143)</f>
        <v>INDOHF</v>
      </c>
      <c r="F143" s="740" t="s">
        <v>334</v>
      </c>
      <c r="G143" s="515" t="s">
        <v>337</v>
      </c>
      <c r="H143" s="740" t="s">
        <v>334</v>
      </c>
      <c r="I143" s="516">
        <v>0</v>
      </c>
      <c r="J143" s="517">
        <f ca="1">IF(E143="TRAOKE",0,SUMIF(NameConv!$C$5:$C$45,RIGHT(E143,3),OFFSET(NameConv!$AX$5,0,AU143,NameConv!$A$45,1)))</f>
        <v>3.0000000000000001E-3</v>
      </c>
      <c r="K143" s="518"/>
      <c r="L143" s="518"/>
      <c r="M143" s="518"/>
      <c r="N143" s="518"/>
      <c r="O143" s="518"/>
      <c r="P143" s="518"/>
      <c r="Q143" s="518"/>
      <c r="R143" s="518"/>
      <c r="S143" s="518"/>
      <c r="T143" s="518"/>
      <c r="U143" s="518"/>
      <c r="V143" s="518"/>
      <c r="W143" s="518"/>
      <c r="X143" s="518"/>
      <c r="Y143" s="518"/>
      <c r="Z143" s="518"/>
      <c r="AA143" s="518"/>
      <c r="AB143" s="518"/>
      <c r="AC143" s="518"/>
      <c r="AD143" s="518"/>
      <c r="AE143" s="518"/>
      <c r="AF143" s="518"/>
      <c r="AG143" s="518"/>
      <c r="AH143" s="518"/>
      <c r="AI143" s="518"/>
      <c r="AJ143" s="518"/>
      <c r="AK143" s="518"/>
      <c r="AL143" s="518"/>
      <c r="AM143" s="518"/>
      <c r="AN143" s="518"/>
      <c r="AO143" s="518"/>
      <c r="AP143" s="518"/>
      <c r="AQ143" s="518"/>
      <c r="AR143" s="518"/>
      <c r="AS143" s="495">
        <f ca="1">IF(AND(AV142&gt;=SUMIF(NameConv!$C$5:$C$45,RIGHT(E142,3),NameConv!$CG$5:$CG$45),AT142=SUMIF(NameConv!$G$4:$M$4,LEFT(E142,3),NameConv!$G$45:$M$45)),AS142+1,AS142)</f>
        <v>3</v>
      </c>
      <c r="AT143" s="495">
        <f ca="1">IF(AS143&lt;&gt;AS142,1,IF(AV142&gt;=SUMIF(NameConv!$C$5:$C$45,RIGHT(E142,3),NameConv!$CG$5:$CG$45),AT142+1,AT142))</f>
        <v>10</v>
      </c>
      <c r="AU143" s="495">
        <f ca="1">SUMIF(NameConv!$C$5:$C$45,RIGHT(E143,3),OFFSET(NameConv!$CG$5,0,AV143,NameConv!$A$45,1))</f>
        <v>2</v>
      </c>
      <c r="AV143" s="495">
        <f ca="1">IF(AV142&gt;=SUMIF(NameConv!$C$5:$C$45,RIGHT(E142,3),NameConv!$CG$5:$CG$45),1,AV142+1)</f>
        <v>2</v>
      </c>
    </row>
    <row r="144" spans="1:48">
      <c r="A144" s="422" t="str">
        <f t="shared" ca="1" si="5"/>
        <v/>
      </c>
      <c r="B144" s="515" t="str">
        <f t="shared" si="4"/>
        <v>FLO_EMIS</v>
      </c>
      <c r="C144" s="518" t="str">
        <f ca="1">"X"&amp;OFFSET(NameConv!$F$4,0,AS144)&amp;OFFSET(NameConv!$F$59,AT144,AS144)</f>
        <v>XINDOHF</v>
      </c>
      <c r="D144" s="515" t="str">
        <f ca="1">OFFSET(NameConv!$F$4,0,AS144)&amp;OFFSET(NameConv!$AX$4,0,AU144)</f>
        <v>INDN2OS</v>
      </c>
      <c r="E144" s="515" t="str">
        <f ca="1">OFFSET(NameConv!$F$4,0,AS144)&amp;OFFSET(NameConv!$F$59,AT144,AS144)</f>
        <v>INDOHF</v>
      </c>
      <c r="F144" s="740" t="s">
        <v>334</v>
      </c>
      <c r="G144" s="515" t="s">
        <v>337</v>
      </c>
      <c r="H144" s="740" t="s">
        <v>334</v>
      </c>
      <c r="I144" s="516">
        <v>0</v>
      </c>
      <c r="J144" s="517">
        <f ca="1">IF(E144="TRAOKE",0,SUMIF(NameConv!$C$5:$C$45,RIGHT(E144,3),OFFSET(NameConv!$AX$5,0,AU144,NameConv!$A$45,1)))</f>
        <v>5.9999999999999995E-4</v>
      </c>
      <c r="K144" s="518"/>
      <c r="L144" s="518"/>
      <c r="M144" s="518"/>
      <c r="N144" s="518"/>
      <c r="O144" s="518"/>
      <c r="P144" s="518"/>
      <c r="Q144" s="518"/>
      <c r="R144" s="518"/>
      <c r="S144" s="518"/>
      <c r="T144" s="518"/>
      <c r="U144" s="518"/>
      <c r="V144" s="518"/>
      <c r="W144" s="518"/>
      <c r="X144" s="518"/>
      <c r="Y144" s="518"/>
      <c r="Z144" s="518"/>
      <c r="AA144" s="518"/>
      <c r="AB144" s="518"/>
      <c r="AC144" s="518"/>
      <c r="AD144" s="518"/>
      <c r="AE144" s="518"/>
      <c r="AF144" s="518"/>
      <c r="AG144" s="518"/>
      <c r="AH144" s="518"/>
      <c r="AI144" s="518"/>
      <c r="AJ144" s="518"/>
      <c r="AK144" s="518"/>
      <c r="AL144" s="518"/>
      <c r="AM144" s="518"/>
      <c r="AN144" s="518"/>
      <c r="AO144" s="518"/>
      <c r="AP144" s="518"/>
      <c r="AQ144" s="518"/>
      <c r="AR144" s="518"/>
      <c r="AS144" s="495">
        <f ca="1">IF(AND(AV143&gt;=SUMIF(NameConv!$C$5:$C$45,RIGHT(E143,3),NameConv!$CG$5:$CG$45),AT143=SUMIF(NameConv!$G$4:$M$4,LEFT(E143,3),NameConv!$G$45:$M$45)),AS143+1,AS143)</f>
        <v>3</v>
      </c>
      <c r="AT144" s="495">
        <f ca="1">IF(AS144&lt;&gt;AS143,1,IF(AV143&gt;=SUMIF(NameConv!$C$5:$C$45,RIGHT(E143,3),NameConv!$CG$5:$CG$45),AT143+1,AT143))</f>
        <v>10</v>
      </c>
      <c r="AU144" s="495">
        <f ca="1">SUMIF(NameConv!$C$5:$C$45,RIGHT(E144,3),OFFSET(NameConv!$CG$5,0,AV144,NameConv!$A$45,1))</f>
        <v>3</v>
      </c>
      <c r="AV144" s="495">
        <f ca="1">IF(AV143&gt;=SUMIF(NameConv!$C$5:$C$45,RIGHT(E143,3),NameConv!$CG$5:$CG$45),1,AV143+1)</f>
        <v>3</v>
      </c>
    </row>
    <row r="145" spans="1:48">
      <c r="A145" s="422" t="str">
        <f t="shared" ca="1" si="5"/>
        <v/>
      </c>
      <c r="B145" s="515" t="str">
        <f t="shared" si="4"/>
        <v>FLO_EMIS</v>
      </c>
      <c r="C145" s="518" t="str">
        <f ca="1">"X"&amp;OFFSET(NameConv!$F$4,0,AS145)&amp;OFFSET(NameConv!$F$59,AT145,AS145)</f>
        <v>XINDOHF</v>
      </c>
      <c r="D145" s="515" t="str">
        <f ca="1">OFFSET(NameConv!$F$4,0,AS145)&amp;OFFSET(NameConv!$AX$4,0,AU145)</f>
        <v>INDSOXS</v>
      </c>
      <c r="E145" s="515" t="str">
        <f ca="1">OFFSET(NameConv!$F$4,0,AS145)&amp;OFFSET(NameConv!$F$59,AT145,AS145)</f>
        <v>INDOHF</v>
      </c>
      <c r="F145" s="740" t="s">
        <v>334</v>
      </c>
      <c r="G145" s="515" t="s">
        <v>337</v>
      </c>
      <c r="H145" s="740" t="s">
        <v>334</v>
      </c>
      <c r="I145" s="516">
        <v>0</v>
      </c>
      <c r="J145" s="517">
        <f ca="1">IF(E145="TRAOKE",0,SUMIF(NameConv!$C$5:$C$45,RIGHT(E145,3),OFFSET(NameConv!$AX$5,0,AU145,NameConv!$A$45,1)))</f>
        <v>1.5290999999999999</v>
      </c>
      <c r="K145" s="518"/>
      <c r="L145" s="518"/>
      <c r="M145" s="518"/>
      <c r="N145" s="518"/>
      <c r="O145" s="518"/>
      <c r="P145" s="518"/>
      <c r="Q145" s="518"/>
      <c r="R145" s="518"/>
      <c r="S145" s="518"/>
      <c r="T145" s="518"/>
      <c r="U145" s="518"/>
      <c r="V145" s="518"/>
      <c r="W145" s="518"/>
      <c r="X145" s="518"/>
      <c r="Y145" s="518"/>
      <c r="Z145" s="518"/>
      <c r="AA145" s="518"/>
      <c r="AB145" s="518"/>
      <c r="AC145" s="518"/>
      <c r="AD145" s="518"/>
      <c r="AE145" s="518"/>
      <c r="AF145" s="518"/>
      <c r="AG145" s="518"/>
      <c r="AH145" s="518"/>
      <c r="AI145" s="518"/>
      <c r="AJ145" s="518"/>
      <c r="AK145" s="518"/>
      <c r="AL145" s="518"/>
      <c r="AM145" s="518"/>
      <c r="AN145" s="518"/>
      <c r="AO145" s="518"/>
      <c r="AP145" s="518"/>
      <c r="AQ145" s="518"/>
      <c r="AR145" s="518"/>
      <c r="AS145" s="495">
        <f ca="1">IF(AND(AV144&gt;=SUMIF(NameConv!$C$5:$C$45,RIGHT(E144,3),NameConv!$CG$5:$CG$45),AT144=SUMIF(NameConv!$G$4:$M$4,LEFT(E144,3),NameConv!$G$45:$M$45)),AS144+1,AS144)</f>
        <v>3</v>
      </c>
      <c r="AT145" s="495">
        <f ca="1">IF(AS145&lt;&gt;AS144,1,IF(AV144&gt;=SUMIF(NameConv!$C$5:$C$45,RIGHT(E144,3),NameConv!$CG$5:$CG$45),AT144+1,AT144))</f>
        <v>10</v>
      </c>
      <c r="AU145" s="495">
        <f ca="1">SUMIF(NameConv!$C$5:$C$45,RIGHT(E145,3),OFFSET(NameConv!$CG$5,0,AV145,NameConv!$A$45,1))</f>
        <v>4</v>
      </c>
      <c r="AV145" s="495">
        <f ca="1">IF(AV144&gt;=SUMIF(NameConv!$C$5:$C$45,RIGHT(E144,3),NameConv!$CG$5:$CG$45),1,AV144+1)</f>
        <v>4</v>
      </c>
    </row>
    <row r="146" spans="1:48">
      <c r="A146" s="422" t="str">
        <f t="shared" ca="1" si="5"/>
        <v/>
      </c>
      <c r="B146" s="515" t="str">
        <f t="shared" si="4"/>
        <v>FLO_EMIS</v>
      </c>
      <c r="C146" s="518" t="str">
        <f ca="1">"X"&amp;OFFSET(NameConv!$F$4,0,AS146)&amp;OFFSET(NameConv!$F$59,AT146,AS146)</f>
        <v>XINDOHF</v>
      </c>
      <c r="D146" s="515" t="str">
        <f ca="1">OFFSET(NameConv!$F$4,0,AS146)&amp;OFFSET(NameConv!$AX$4,0,AU146)</f>
        <v>INDNOXS</v>
      </c>
      <c r="E146" s="515" t="str">
        <f ca="1">OFFSET(NameConv!$F$4,0,AS146)&amp;OFFSET(NameConv!$F$59,AT146,AS146)</f>
        <v>INDOHF</v>
      </c>
      <c r="F146" s="740" t="s">
        <v>334</v>
      </c>
      <c r="G146" s="515" t="s">
        <v>337</v>
      </c>
      <c r="H146" s="740" t="s">
        <v>334</v>
      </c>
      <c r="I146" s="516">
        <v>0</v>
      </c>
      <c r="J146" s="517">
        <f ca="1">IF(E146="TRAOKE",0,SUMIF(NameConv!$C$5:$C$45,RIGHT(E146,3),OFFSET(NameConv!$AX$5,0,AU146,NameConv!$A$45,1)))</f>
        <v>0.2</v>
      </c>
      <c r="K146" s="518"/>
      <c r="L146" s="518"/>
      <c r="M146" s="518"/>
      <c r="N146" s="518"/>
      <c r="O146" s="518"/>
      <c r="P146" s="518"/>
      <c r="Q146" s="518"/>
      <c r="R146" s="518"/>
      <c r="S146" s="518"/>
      <c r="T146" s="518"/>
      <c r="U146" s="518"/>
      <c r="V146" s="518"/>
      <c r="W146" s="518"/>
      <c r="X146" s="518"/>
      <c r="Y146" s="518"/>
      <c r="Z146" s="518"/>
      <c r="AA146" s="518"/>
      <c r="AB146" s="518"/>
      <c r="AC146" s="518"/>
      <c r="AD146" s="518"/>
      <c r="AE146" s="518"/>
      <c r="AF146" s="518"/>
      <c r="AG146" s="518"/>
      <c r="AH146" s="518"/>
      <c r="AI146" s="518"/>
      <c r="AJ146" s="518"/>
      <c r="AK146" s="518"/>
      <c r="AL146" s="518"/>
      <c r="AM146" s="518"/>
      <c r="AN146" s="518"/>
      <c r="AO146" s="518"/>
      <c r="AP146" s="518"/>
      <c r="AQ146" s="518"/>
      <c r="AR146" s="518"/>
      <c r="AS146" s="495">
        <f ca="1">IF(AND(AV145&gt;=SUMIF(NameConv!$C$5:$C$45,RIGHT(E145,3),NameConv!$CG$5:$CG$45),AT145=SUMIF(NameConv!$G$4:$M$4,LEFT(E145,3),NameConv!$G$45:$M$45)),AS145+1,AS145)</f>
        <v>3</v>
      </c>
      <c r="AT146" s="495">
        <f ca="1">IF(AS146&lt;&gt;AS145,1,IF(AV145&gt;=SUMIF(NameConv!$C$5:$C$45,RIGHT(E145,3),NameConv!$CG$5:$CG$45),AT145+1,AT145))</f>
        <v>10</v>
      </c>
      <c r="AU146" s="495">
        <f ca="1">SUMIF(NameConv!$C$5:$C$45,RIGHT(E146,3),OFFSET(NameConv!$CG$5,0,AV146,NameConv!$A$45,1))</f>
        <v>5</v>
      </c>
      <c r="AV146" s="495">
        <f ca="1">IF(AV145&gt;=SUMIF(NameConv!$C$5:$C$45,RIGHT(E145,3),NameConv!$CG$5:$CG$45),1,AV145+1)</f>
        <v>5</v>
      </c>
    </row>
    <row r="147" spans="1:48">
      <c r="A147" s="422" t="str">
        <f t="shared" ca="1" si="5"/>
        <v/>
      </c>
      <c r="B147" s="515" t="str">
        <f t="shared" si="4"/>
        <v>FLO_EMIS</v>
      </c>
      <c r="C147" s="518" t="str">
        <f ca="1">"X"&amp;OFFSET(NameConv!$F$4,0,AS147)&amp;OFFSET(NameConv!$F$59,AT147,AS147)</f>
        <v>XINDOHF</v>
      </c>
      <c r="D147" s="515" t="str">
        <f ca="1">OFFSET(NameConv!$F$4,0,AS147)&amp;OFFSET(NameConv!$AX$4,0,AU147)</f>
        <v>INDCMOX</v>
      </c>
      <c r="E147" s="515" t="str">
        <f ca="1">OFFSET(NameConv!$F$4,0,AS147)&amp;OFFSET(NameConv!$F$59,AT147,AS147)</f>
        <v>INDOHF</v>
      </c>
      <c r="F147" s="740" t="s">
        <v>334</v>
      </c>
      <c r="G147" s="515" t="s">
        <v>337</v>
      </c>
      <c r="H147" s="740" t="s">
        <v>334</v>
      </c>
      <c r="I147" s="516">
        <v>0</v>
      </c>
      <c r="J147" s="517">
        <f ca="1">IF(E147="TRAOKE",0,SUMIF(NameConv!$C$5:$C$45,RIGHT(E147,3),OFFSET(NameConv!$AX$5,0,AU147,NameConv!$A$45,1)))</f>
        <v>0.01</v>
      </c>
      <c r="K147" s="518"/>
      <c r="L147" s="518"/>
      <c r="M147" s="518"/>
      <c r="N147" s="518"/>
      <c r="O147" s="518"/>
      <c r="P147" s="518"/>
      <c r="Q147" s="518"/>
      <c r="R147" s="518"/>
      <c r="S147" s="518"/>
      <c r="T147" s="518"/>
      <c r="U147" s="518"/>
      <c r="V147" s="518"/>
      <c r="W147" s="518"/>
      <c r="X147" s="518"/>
      <c r="Y147" s="518"/>
      <c r="Z147" s="518"/>
      <c r="AA147" s="518"/>
      <c r="AB147" s="518"/>
      <c r="AC147" s="518"/>
      <c r="AD147" s="518"/>
      <c r="AE147" s="518"/>
      <c r="AF147" s="518"/>
      <c r="AG147" s="518"/>
      <c r="AH147" s="518"/>
      <c r="AI147" s="518"/>
      <c r="AJ147" s="518"/>
      <c r="AK147" s="518"/>
      <c r="AL147" s="518"/>
      <c r="AM147" s="518"/>
      <c r="AN147" s="518"/>
      <c r="AO147" s="518"/>
      <c r="AP147" s="518"/>
      <c r="AQ147" s="518"/>
      <c r="AR147" s="518"/>
      <c r="AS147" s="495">
        <f ca="1">IF(AND(AV146&gt;=SUMIF(NameConv!$C$5:$C$45,RIGHT(E146,3),NameConv!$CG$5:$CG$45),AT146=SUMIF(NameConv!$G$4:$M$4,LEFT(E146,3),NameConv!$G$45:$M$45)),AS146+1,AS146)</f>
        <v>3</v>
      </c>
      <c r="AT147" s="495">
        <f ca="1">IF(AS147&lt;&gt;AS146,1,IF(AV146&gt;=SUMIF(NameConv!$C$5:$C$45,RIGHT(E146,3),NameConv!$CG$5:$CG$45),AT146+1,AT146))</f>
        <v>10</v>
      </c>
      <c r="AU147" s="495">
        <f ca="1">SUMIF(NameConv!$C$5:$C$45,RIGHT(E147,3),OFFSET(NameConv!$CG$5,0,AV147,NameConv!$A$45,1))</f>
        <v>6</v>
      </c>
      <c r="AV147" s="495">
        <f ca="1">IF(AV146&gt;=SUMIF(NameConv!$C$5:$C$45,RIGHT(E146,3),NameConv!$CG$5:$CG$45),1,AV146+1)</f>
        <v>6</v>
      </c>
    </row>
    <row r="148" spans="1:48">
      <c r="A148" s="422" t="str">
        <f t="shared" ca="1" si="5"/>
        <v/>
      </c>
      <c r="B148" s="515" t="str">
        <f t="shared" si="4"/>
        <v>FLO_EMIS</v>
      </c>
      <c r="C148" s="518" t="str">
        <f ca="1">"X"&amp;OFFSET(NameConv!$F$4,0,AS148)&amp;OFFSET(NameConv!$F$59,AT148,AS148)</f>
        <v>XINDOHF</v>
      </c>
      <c r="D148" s="515" t="str">
        <f ca="1">OFFSET(NameConv!$F$4,0,AS148)&amp;OFFSET(NameConv!$AX$4,0,AU148)</f>
        <v>INDNMVS</v>
      </c>
      <c r="E148" s="515" t="str">
        <f ca="1">OFFSET(NameConv!$F$4,0,AS148)&amp;OFFSET(NameConv!$F$59,AT148,AS148)</f>
        <v>INDOHF</v>
      </c>
      <c r="F148" s="740" t="s">
        <v>334</v>
      </c>
      <c r="G148" s="515" t="s">
        <v>337</v>
      </c>
      <c r="H148" s="740" t="s">
        <v>334</v>
      </c>
      <c r="I148" s="516">
        <v>0</v>
      </c>
      <c r="J148" s="517">
        <f ca="1">IF(E148="TRAOKE",0,SUMIF(NameConv!$C$5:$C$45,RIGHT(E148,3),OFFSET(NameConv!$AX$5,0,AU148,NameConv!$A$45,1)))</f>
        <v>5.0000000000000001E-3</v>
      </c>
      <c r="K148" s="518"/>
      <c r="L148" s="518"/>
      <c r="M148" s="518"/>
      <c r="N148" s="518"/>
      <c r="O148" s="518"/>
      <c r="P148" s="518"/>
      <c r="Q148" s="518"/>
      <c r="R148" s="518"/>
      <c r="S148" s="518"/>
      <c r="T148" s="518"/>
      <c r="U148" s="518"/>
      <c r="V148" s="518"/>
      <c r="W148" s="518"/>
      <c r="X148" s="518"/>
      <c r="Y148" s="518"/>
      <c r="Z148" s="518"/>
      <c r="AA148" s="518"/>
      <c r="AB148" s="518"/>
      <c r="AC148" s="518"/>
      <c r="AD148" s="518"/>
      <c r="AE148" s="518"/>
      <c r="AF148" s="518"/>
      <c r="AG148" s="518"/>
      <c r="AH148" s="518"/>
      <c r="AI148" s="518"/>
      <c r="AJ148" s="518"/>
      <c r="AK148" s="518"/>
      <c r="AL148" s="518"/>
      <c r="AM148" s="518"/>
      <c r="AN148" s="518"/>
      <c r="AO148" s="518"/>
      <c r="AP148" s="518"/>
      <c r="AQ148" s="518"/>
      <c r="AR148" s="518"/>
      <c r="AS148" s="495">
        <f ca="1">IF(AND(AV147&gt;=SUMIF(NameConv!$C$5:$C$45,RIGHT(E147,3),NameConv!$CG$5:$CG$45),AT147=SUMIF(NameConv!$G$4:$M$4,LEFT(E147,3),NameConv!$G$45:$M$45)),AS147+1,AS147)</f>
        <v>3</v>
      </c>
      <c r="AT148" s="495">
        <f ca="1">IF(AS148&lt;&gt;AS147,1,IF(AV147&gt;=SUMIF(NameConv!$C$5:$C$45,RIGHT(E147,3),NameConv!$CG$5:$CG$45),AT147+1,AT147))</f>
        <v>10</v>
      </c>
      <c r="AU148" s="495">
        <f ca="1">SUMIF(NameConv!$C$5:$C$45,RIGHT(E148,3),OFFSET(NameConv!$CG$5,0,AV148,NameConv!$A$45,1))</f>
        <v>7</v>
      </c>
      <c r="AV148" s="495">
        <f ca="1">IF(AV147&gt;=SUMIF(NameConv!$C$5:$C$45,RIGHT(E147,3),NameConv!$CG$5:$CG$45),1,AV147+1)</f>
        <v>7</v>
      </c>
    </row>
    <row r="149" spans="1:48">
      <c r="A149" s="422" t="str">
        <f t="shared" ca="1" si="5"/>
        <v/>
      </c>
      <c r="B149" s="515" t="str">
        <f t="shared" si="4"/>
        <v>FLO_EMIS</v>
      </c>
      <c r="C149" s="518" t="str">
        <f ca="1">"X"&amp;OFFSET(NameConv!$F$4,0,AS149)&amp;OFFSET(NameConv!$F$59,AT149,AS149)</f>
        <v>XINDOLP</v>
      </c>
      <c r="D149" s="515" t="str">
        <f ca="1">OFFSET(NameConv!$F$4,0,AS149)&amp;OFFSET(NameConv!$AX$4,0,AU149)</f>
        <v>INDCO2S</v>
      </c>
      <c r="E149" s="515" t="str">
        <f ca="1">OFFSET(NameConv!$F$4,0,AS149)&amp;OFFSET(NameConv!$F$59,AT149,AS149)</f>
        <v>INDOLP</v>
      </c>
      <c r="F149" s="740" t="s">
        <v>334</v>
      </c>
      <c r="G149" s="515" t="s">
        <v>337</v>
      </c>
      <c r="H149" s="740" t="s">
        <v>334</v>
      </c>
      <c r="I149" s="516">
        <v>0</v>
      </c>
      <c r="J149" s="517">
        <f ca="1">IF(E149="TRAOKE",0,SUMIF(NameConv!$C$5:$C$45,RIGHT(E149,3),OFFSET(NameConv!$AX$5,0,AU149,NameConv!$A$45,1)))</f>
        <v>63.1</v>
      </c>
      <c r="K149" s="518"/>
      <c r="L149" s="518"/>
      <c r="M149" s="518"/>
      <c r="N149" s="518"/>
      <c r="O149" s="518"/>
      <c r="P149" s="518"/>
      <c r="Q149" s="518"/>
      <c r="R149" s="518"/>
      <c r="S149" s="518"/>
      <c r="T149" s="518"/>
      <c r="U149" s="518"/>
      <c r="V149" s="518"/>
      <c r="W149" s="518"/>
      <c r="X149" s="518"/>
      <c r="Y149" s="518"/>
      <c r="Z149" s="518"/>
      <c r="AA149" s="518"/>
      <c r="AB149" s="518"/>
      <c r="AC149" s="518"/>
      <c r="AD149" s="518"/>
      <c r="AE149" s="518"/>
      <c r="AF149" s="518"/>
      <c r="AG149" s="518"/>
      <c r="AH149" s="518"/>
      <c r="AI149" s="518"/>
      <c r="AJ149" s="518"/>
      <c r="AK149" s="518"/>
      <c r="AL149" s="518"/>
      <c r="AM149" s="518"/>
      <c r="AN149" s="518"/>
      <c r="AO149" s="518"/>
      <c r="AP149" s="518"/>
      <c r="AQ149" s="518"/>
      <c r="AR149" s="518"/>
      <c r="AS149" s="495">
        <f ca="1">IF(AND(AV148&gt;=SUMIF(NameConv!$C$5:$C$45,RIGHT(E148,3),NameConv!$CG$5:$CG$45),AT148=SUMIF(NameConv!$G$4:$M$4,LEFT(E148,3),NameConv!$G$45:$M$45)),AS148+1,AS148)</f>
        <v>3</v>
      </c>
      <c r="AT149" s="495">
        <f ca="1">IF(AS149&lt;&gt;AS148,1,IF(AV148&gt;=SUMIF(NameConv!$C$5:$C$45,RIGHT(E148,3),NameConv!$CG$5:$CG$45),AT148+1,AT148))</f>
        <v>11</v>
      </c>
      <c r="AU149" s="495">
        <f ca="1">SUMIF(NameConv!$C$5:$C$45,RIGHT(E149,3),OFFSET(NameConv!$CG$5,0,AV149,NameConv!$A$45,1))</f>
        <v>1</v>
      </c>
      <c r="AV149" s="495">
        <f ca="1">IF(AV148&gt;=SUMIF(NameConv!$C$5:$C$45,RIGHT(E148,3),NameConv!$CG$5:$CG$45),1,AV148+1)</f>
        <v>1</v>
      </c>
    </row>
    <row r="150" spans="1:48">
      <c r="A150" s="422" t="str">
        <f t="shared" ca="1" si="5"/>
        <v/>
      </c>
      <c r="B150" s="515" t="str">
        <f t="shared" si="4"/>
        <v>FLO_EMIS</v>
      </c>
      <c r="C150" s="518" t="str">
        <f ca="1">"X"&amp;OFFSET(NameConv!$F$4,0,AS150)&amp;OFFSET(NameConv!$F$59,AT150,AS150)</f>
        <v>XINDOLP</v>
      </c>
      <c r="D150" s="515" t="str">
        <f ca="1">OFFSET(NameConv!$F$4,0,AS150)&amp;OFFSET(NameConv!$AX$4,0,AU150)</f>
        <v>INDCH4S</v>
      </c>
      <c r="E150" s="515" t="str">
        <f ca="1">OFFSET(NameConv!$F$4,0,AS150)&amp;OFFSET(NameConv!$F$59,AT150,AS150)</f>
        <v>INDOLP</v>
      </c>
      <c r="F150" s="740" t="s">
        <v>334</v>
      </c>
      <c r="G150" s="515" t="s">
        <v>337</v>
      </c>
      <c r="H150" s="740" t="s">
        <v>334</v>
      </c>
      <c r="I150" s="516">
        <v>0</v>
      </c>
      <c r="J150" s="517">
        <f ca="1">IF(E150="TRAOKE",0,SUMIF(NameConv!$C$5:$C$45,RIGHT(E150,3),OFFSET(NameConv!$AX$5,0,AU150,NameConv!$A$45,1)))</f>
        <v>3.0000000000000001E-3</v>
      </c>
      <c r="K150" s="518"/>
      <c r="L150" s="518"/>
      <c r="M150" s="518"/>
      <c r="N150" s="518"/>
      <c r="O150" s="518"/>
      <c r="P150" s="518"/>
      <c r="Q150" s="518"/>
      <c r="R150" s="518"/>
      <c r="S150" s="518"/>
      <c r="T150" s="518"/>
      <c r="U150" s="518"/>
      <c r="V150" s="518"/>
      <c r="W150" s="518"/>
      <c r="X150" s="518"/>
      <c r="Y150" s="518"/>
      <c r="Z150" s="518"/>
      <c r="AA150" s="518"/>
      <c r="AB150" s="518"/>
      <c r="AC150" s="518"/>
      <c r="AD150" s="518"/>
      <c r="AE150" s="518"/>
      <c r="AF150" s="518"/>
      <c r="AG150" s="518"/>
      <c r="AH150" s="518"/>
      <c r="AI150" s="518"/>
      <c r="AJ150" s="518"/>
      <c r="AK150" s="518"/>
      <c r="AL150" s="518"/>
      <c r="AM150" s="518"/>
      <c r="AN150" s="518"/>
      <c r="AO150" s="518"/>
      <c r="AP150" s="518"/>
      <c r="AQ150" s="518"/>
      <c r="AR150" s="518"/>
      <c r="AS150" s="495">
        <f ca="1">IF(AND(AV149&gt;=SUMIF(NameConv!$C$5:$C$45,RIGHT(E149,3),NameConv!$CG$5:$CG$45),AT149=SUMIF(NameConv!$G$4:$M$4,LEFT(E149,3),NameConv!$G$45:$M$45)),AS149+1,AS149)</f>
        <v>3</v>
      </c>
      <c r="AT150" s="495">
        <f ca="1">IF(AS150&lt;&gt;AS149,1,IF(AV149&gt;=SUMIF(NameConv!$C$5:$C$45,RIGHT(E149,3),NameConv!$CG$5:$CG$45),AT149+1,AT149))</f>
        <v>11</v>
      </c>
      <c r="AU150" s="495">
        <f ca="1">SUMIF(NameConv!$C$5:$C$45,RIGHT(E150,3),OFFSET(NameConv!$CG$5,0,AV150,NameConv!$A$45,1))</f>
        <v>2</v>
      </c>
      <c r="AV150" s="495">
        <f ca="1">IF(AV149&gt;=SUMIF(NameConv!$C$5:$C$45,RIGHT(E149,3),NameConv!$CG$5:$CG$45),1,AV149+1)</f>
        <v>2</v>
      </c>
    </row>
    <row r="151" spans="1:48">
      <c r="A151" s="422" t="str">
        <f t="shared" ca="1" si="5"/>
        <v/>
      </c>
      <c r="B151" s="515" t="str">
        <f t="shared" si="4"/>
        <v>FLO_EMIS</v>
      </c>
      <c r="C151" s="518" t="str">
        <f ca="1">"X"&amp;OFFSET(NameConv!$F$4,0,AS151)&amp;OFFSET(NameConv!$F$59,AT151,AS151)</f>
        <v>XINDOLP</v>
      </c>
      <c r="D151" s="515" t="str">
        <f ca="1">OFFSET(NameConv!$F$4,0,AS151)&amp;OFFSET(NameConv!$AX$4,0,AU151)</f>
        <v>INDN2OS</v>
      </c>
      <c r="E151" s="515" t="str">
        <f ca="1">OFFSET(NameConv!$F$4,0,AS151)&amp;OFFSET(NameConv!$F$59,AT151,AS151)</f>
        <v>INDOLP</v>
      </c>
      <c r="F151" s="740" t="s">
        <v>334</v>
      </c>
      <c r="G151" s="515" t="s">
        <v>337</v>
      </c>
      <c r="H151" s="740" t="s">
        <v>334</v>
      </c>
      <c r="I151" s="516">
        <v>0</v>
      </c>
      <c r="J151" s="517">
        <f ca="1">IF(E151="TRAOKE",0,SUMIF(NameConv!$C$5:$C$45,RIGHT(E151,3),OFFSET(NameConv!$AX$5,0,AU151,NameConv!$A$45,1)))</f>
        <v>1E-4</v>
      </c>
      <c r="K151" s="518"/>
      <c r="L151" s="518"/>
      <c r="M151" s="518"/>
      <c r="N151" s="518"/>
      <c r="O151" s="518"/>
      <c r="P151" s="518"/>
      <c r="Q151" s="518"/>
      <c r="R151" s="518"/>
      <c r="S151" s="518"/>
      <c r="T151" s="518"/>
      <c r="U151" s="518"/>
      <c r="V151" s="518"/>
      <c r="W151" s="518"/>
      <c r="X151" s="518"/>
      <c r="Y151" s="518"/>
      <c r="Z151" s="518"/>
      <c r="AA151" s="518"/>
      <c r="AB151" s="518"/>
      <c r="AC151" s="518"/>
      <c r="AD151" s="518"/>
      <c r="AE151" s="518"/>
      <c r="AF151" s="518"/>
      <c r="AG151" s="518"/>
      <c r="AH151" s="518"/>
      <c r="AI151" s="518"/>
      <c r="AJ151" s="518"/>
      <c r="AK151" s="518"/>
      <c r="AL151" s="518"/>
      <c r="AM151" s="518"/>
      <c r="AN151" s="518"/>
      <c r="AO151" s="518"/>
      <c r="AP151" s="518"/>
      <c r="AQ151" s="518"/>
      <c r="AR151" s="518"/>
      <c r="AS151" s="495">
        <f ca="1">IF(AND(AV150&gt;=SUMIF(NameConv!$C$5:$C$45,RIGHT(E150,3),NameConv!$CG$5:$CG$45),AT150=SUMIF(NameConv!$G$4:$M$4,LEFT(E150,3),NameConv!$G$45:$M$45)),AS150+1,AS150)</f>
        <v>3</v>
      </c>
      <c r="AT151" s="495">
        <f ca="1">IF(AS151&lt;&gt;AS150,1,IF(AV150&gt;=SUMIF(NameConv!$C$5:$C$45,RIGHT(E150,3),NameConv!$CG$5:$CG$45),AT150+1,AT150))</f>
        <v>11</v>
      </c>
      <c r="AU151" s="495">
        <f ca="1">SUMIF(NameConv!$C$5:$C$45,RIGHT(E151,3),OFFSET(NameConv!$CG$5,0,AV151,NameConv!$A$45,1))</f>
        <v>3</v>
      </c>
      <c r="AV151" s="495">
        <f ca="1">IF(AV150&gt;=SUMIF(NameConv!$C$5:$C$45,RIGHT(E150,3),NameConv!$CG$5:$CG$45),1,AV150+1)</f>
        <v>3</v>
      </c>
    </row>
    <row r="152" spans="1:48">
      <c r="A152" s="422" t="str">
        <f t="shared" ca="1" si="5"/>
        <v/>
      </c>
      <c r="B152" s="515" t="str">
        <f t="shared" si="4"/>
        <v>FLO_EMIS</v>
      </c>
      <c r="C152" s="518" t="str">
        <f ca="1">"X"&amp;OFFSET(NameConv!$F$4,0,AS152)&amp;OFFSET(NameConv!$F$59,AT152,AS152)</f>
        <v>XINDOLP</v>
      </c>
      <c r="D152" s="515" t="str">
        <f ca="1">OFFSET(NameConv!$F$4,0,AS152)&amp;OFFSET(NameConv!$AX$4,0,AU152)</f>
        <v>INDSOXS</v>
      </c>
      <c r="E152" s="515" t="str">
        <f ca="1">OFFSET(NameConv!$F$4,0,AS152)&amp;OFFSET(NameConv!$F$59,AT152,AS152)</f>
        <v>INDOLP</v>
      </c>
      <c r="F152" s="740" t="s">
        <v>334</v>
      </c>
      <c r="G152" s="515" t="s">
        <v>337</v>
      </c>
      <c r="H152" s="740" t="s">
        <v>334</v>
      </c>
      <c r="I152" s="516">
        <v>0</v>
      </c>
      <c r="J152" s="517">
        <f ca="1">IF(E152="TRAOKE",0,SUMIF(NameConv!$C$5:$C$45,RIGHT(E152,3),OFFSET(NameConv!$AX$5,0,AU152,NameConv!$A$45,1)))</f>
        <v>5.4089999999999998</v>
      </c>
      <c r="K152" s="518"/>
      <c r="L152" s="518"/>
      <c r="M152" s="518"/>
      <c r="N152" s="518"/>
      <c r="O152" s="518"/>
      <c r="P152" s="518"/>
      <c r="Q152" s="518"/>
      <c r="R152" s="518"/>
      <c r="S152" s="518"/>
      <c r="T152" s="518"/>
      <c r="U152" s="518"/>
      <c r="V152" s="518"/>
      <c r="W152" s="518"/>
      <c r="X152" s="518"/>
      <c r="Y152" s="518"/>
      <c r="Z152" s="518"/>
      <c r="AA152" s="518"/>
      <c r="AB152" s="518"/>
      <c r="AC152" s="518"/>
      <c r="AD152" s="518"/>
      <c r="AE152" s="518"/>
      <c r="AF152" s="518"/>
      <c r="AG152" s="518"/>
      <c r="AH152" s="518"/>
      <c r="AI152" s="518"/>
      <c r="AJ152" s="518"/>
      <c r="AK152" s="518"/>
      <c r="AL152" s="518"/>
      <c r="AM152" s="518"/>
      <c r="AN152" s="518"/>
      <c r="AO152" s="518"/>
      <c r="AP152" s="518"/>
      <c r="AQ152" s="518"/>
      <c r="AR152" s="518"/>
      <c r="AS152" s="495">
        <f ca="1">IF(AND(AV151&gt;=SUMIF(NameConv!$C$5:$C$45,RIGHT(E151,3),NameConv!$CG$5:$CG$45),AT151=SUMIF(NameConv!$G$4:$M$4,LEFT(E151,3),NameConv!$G$45:$M$45)),AS151+1,AS151)</f>
        <v>3</v>
      </c>
      <c r="AT152" s="495">
        <f ca="1">IF(AS152&lt;&gt;AS151,1,IF(AV151&gt;=SUMIF(NameConv!$C$5:$C$45,RIGHT(E151,3),NameConv!$CG$5:$CG$45),AT151+1,AT151))</f>
        <v>11</v>
      </c>
      <c r="AU152" s="495">
        <f ca="1">SUMIF(NameConv!$C$5:$C$45,RIGHT(E152,3),OFFSET(NameConv!$CG$5,0,AV152,NameConv!$A$45,1))</f>
        <v>4</v>
      </c>
      <c r="AV152" s="495">
        <f ca="1">IF(AV151&gt;=SUMIF(NameConv!$C$5:$C$45,RIGHT(E151,3),NameConv!$CG$5:$CG$45),1,AV151+1)</f>
        <v>4</v>
      </c>
    </row>
    <row r="153" spans="1:48">
      <c r="A153" s="422" t="str">
        <f t="shared" ca="1" si="5"/>
        <v/>
      </c>
      <c r="B153" s="515" t="str">
        <f t="shared" si="4"/>
        <v>FLO_EMIS</v>
      </c>
      <c r="C153" s="518" t="str">
        <f ca="1">"X"&amp;OFFSET(NameConv!$F$4,0,AS153)&amp;OFFSET(NameConv!$F$59,AT153,AS153)</f>
        <v>XINDOLP</v>
      </c>
      <c r="D153" s="515" t="str">
        <f ca="1">OFFSET(NameConv!$F$4,0,AS153)&amp;OFFSET(NameConv!$AX$4,0,AU153)</f>
        <v>INDNOXS</v>
      </c>
      <c r="E153" s="515" t="str">
        <f ca="1">OFFSET(NameConv!$F$4,0,AS153)&amp;OFFSET(NameConv!$F$59,AT153,AS153)</f>
        <v>INDOLP</v>
      </c>
      <c r="F153" s="740" t="s">
        <v>334</v>
      </c>
      <c r="G153" s="515" t="s">
        <v>337</v>
      </c>
      <c r="H153" s="740" t="s">
        <v>334</v>
      </c>
      <c r="I153" s="516">
        <v>0</v>
      </c>
      <c r="J153" s="517">
        <f ca="1">IF(E153="TRAOKE",0,SUMIF(NameConv!$C$5:$C$45,RIGHT(E153,3),OFFSET(NameConv!$AX$5,0,AU153,NameConv!$A$45,1)))</f>
        <v>1.2460000000000001E-2</v>
      </c>
      <c r="K153" s="518"/>
      <c r="L153" s="518"/>
      <c r="M153" s="518"/>
      <c r="N153" s="518"/>
      <c r="O153" s="518"/>
      <c r="P153" s="518"/>
      <c r="Q153" s="518"/>
      <c r="R153" s="518"/>
      <c r="S153" s="518"/>
      <c r="T153" s="518"/>
      <c r="U153" s="518"/>
      <c r="V153" s="518"/>
      <c r="W153" s="518"/>
      <c r="X153" s="518"/>
      <c r="Y153" s="518"/>
      <c r="Z153" s="518"/>
      <c r="AA153" s="518"/>
      <c r="AB153" s="518"/>
      <c r="AC153" s="518"/>
      <c r="AD153" s="518"/>
      <c r="AE153" s="518"/>
      <c r="AF153" s="518"/>
      <c r="AG153" s="518"/>
      <c r="AH153" s="518"/>
      <c r="AI153" s="518"/>
      <c r="AJ153" s="518"/>
      <c r="AK153" s="518"/>
      <c r="AL153" s="518"/>
      <c r="AM153" s="518"/>
      <c r="AN153" s="518"/>
      <c r="AO153" s="518"/>
      <c r="AP153" s="518"/>
      <c r="AQ153" s="518"/>
      <c r="AR153" s="518"/>
      <c r="AS153" s="495">
        <f ca="1">IF(AND(AV152&gt;=SUMIF(NameConv!$C$5:$C$45,RIGHT(E152,3),NameConv!$CG$5:$CG$45),AT152=SUMIF(NameConv!$G$4:$M$4,LEFT(E152,3),NameConv!$G$45:$M$45)),AS152+1,AS152)</f>
        <v>3</v>
      </c>
      <c r="AT153" s="495">
        <f ca="1">IF(AS153&lt;&gt;AS152,1,IF(AV152&gt;=SUMIF(NameConv!$C$5:$C$45,RIGHT(E152,3),NameConv!$CG$5:$CG$45),AT152+1,AT152))</f>
        <v>11</v>
      </c>
      <c r="AU153" s="495">
        <f ca="1">SUMIF(NameConv!$C$5:$C$45,RIGHT(E153,3),OFFSET(NameConv!$CG$5,0,AV153,NameConv!$A$45,1))</f>
        <v>5</v>
      </c>
      <c r="AV153" s="495">
        <f ca="1">IF(AV152&gt;=SUMIF(NameConv!$C$5:$C$45,RIGHT(E152,3),NameConv!$CG$5:$CG$45),1,AV152+1)</f>
        <v>5</v>
      </c>
    </row>
    <row r="154" spans="1:48">
      <c r="A154" s="422" t="str">
        <f t="shared" ca="1" si="5"/>
        <v/>
      </c>
      <c r="B154" s="515" t="str">
        <f t="shared" si="4"/>
        <v>FLO_EMIS</v>
      </c>
      <c r="C154" s="518" t="str">
        <f ca="1">"X"&amp;OFFSET(NameConv!$F$4,0,AS154)&amp;OFFSET(NameConv!$F$59,AT154,AS154)</f>
        <v>XINDOLP</v>
      </c>
      <c r="D154" s="515" t="str">
        <f ca="1">OFFSET(NameConv!$F$4,0,AS154)&amp;OFFSET(NameConv!$AX$4,0,AU154)</f>
        <v>INDCMOX</v>
      </c>
      <c r="E154" s="515" t="str">
        <f ca="1">OFFSET(NameConv!$F$4,0,AS154)&amp;OFFSET(NameConv!$F$59,AT154,AS154)</f>
        <v>INDOLP</v>
      </c>
      <c r="F154" s="740" t="s">
        <v>334</v>
      </c>
      <c r="G154" s="515" t="s">
        <v>337</v>
      </c>
      <c r="H154" s="740" t="s">
        <v>334</v>
      </c>
      <c r="I154" s="516">
        <v>0</v>
      </c>
      <c r="J154" s="517">
        <f ca="1">IF(E154="TRAOKE",0,SUMIF(NameConv!$C$5:$C$45,RIGHT(E154,3),OFFSET(NameConv!$AX$5,0,AU154,NameConv!$A$45,1)))</f>
        <v>0.182</v>
      </c>
      <c r="K154" s="518"/>
      <c r="L154" s="518"/>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495">
        <f ca="1">IF(AND(AV153&gt;=SUMIF(NameConv!$C$5:$C$45,RIGHT(E153,3),NameConv!$CG$5:$CG$45),AT153=SUMIF(NameConv!$G$4:$M$4,LEFT(E153,3),NameConv!$G$45:$M$45)),AS153+1,AS153)</f>
        <v>3</v>
      </c>
      <c r="AT154" s="495">
        <f ca="1">IF(AS154&lt;&gt;AS153,1,IF(AV153&gt;=SUMIF(NameConv!$C$5:$C$45,RIGHT(E153,3),NameConv!$CG$5:$CG$45),AT153+1,AT153))</f>
        <v>11</v>
      </c>
      <c r="AU154" s="495">
        <f ca="1">SUMIF(NameConv!$C$5:$C$45,RIGHT(E154,3),OFFSET(NameConv!$CG$5,0,AV154,NameConv!$A$45,1))</f>
        <v>6</v>
      </c>
      <c r="AV154" s="495">
        <f ca="1">IF(AV153&gt;=SUMIF(NameConv!$C$5:$C$45,RIGHT(E153,3),NameConv!$CG$5:$CG$45),1,AV153+1)</f>
        <v>6</v>
      </c>
    </row>
    <row r="155" spans="1:48">
      <c r="A155" s="422" t="str">
        <f t="shared" ca="1" si="5"/>
        <v/>
      </c>
      <c r="B155" s="515" t="str">
        <f t="shared" si="4"/>
        <v>FLO_EMIS</v>
      </c>
      <c r="C155" s="518" t="str">
        <f ca="1">"X"&amp;OFFSET(NameConv!$F$4,0,AS155)&amp;OFFSET(NameConv!$F$59,AT155,AS155)</f>
        <v>XINDOLP</v>
      </c>
      <c r="D155" s="515" t="str">
        <f ca="1">OFFSET(NameConv!$F$4,0,AS155)&amp;OFFSET(NameConv!$AX$4,0,AU155)</f>
        <v>INDNMVS</v>
      </c>
      <c r="E155" s="515" t="str">
        <f ca="1">OFFSET(NameConv!$F$4,0,AS155)&amp;OFFSET(NameConv!$F$59,AT155,AS155)</f>
        <v>INDOLP</v>
      </c>
      <c r="F155" s="740" t="s">
        <v>334</v>
      </c>
      <c r="G155" s="515" t="s">
        <v>337</v>
      </c>
      <c r="H155" s="740" t="s">
        <v>334</v>
      </c>
      <c r="I155" s="516">
        <v>0</v>
      </c>
      <c r="J155" s="517">
        <f ca="1">IF(E155="TRAOKE",0,SUMIF(NameConv!$C$5:$C$45,RIGHT(E155,3),OFFSET(NameConv!$AX$5,0,AU155,NameConv!$A$45,1)))</f>
        <v>2.3699999999999999E-2</v>
      </c>
      <c r="K155" s="518"/>
      <c r="L155" s="518"/>
      <c r="M155" s="518"/>
      <c r="N155" s="518"/>
      <c r="O155" s="518"/>
      <c r="P155" s="518"/>
      <c r="Q155" s="518"/>
      <c r="R155" s="518"/>
      <c r="S155" s="518"/>
      <c r="T155" s="518"/>
      <c r="U155" s="518"/>
      <c r="V155" s="518"/>
      <c r="W155" s="518"/>
      <c r="X155" s="518"/>
      <c r="Y155" s="518"/>
      <c r="Z155" s="518"/>
      <c r="AA155" s="518"/>
      <c r="AB155" s="518"/>
      <c r="AC155" s="518"/>
      <c r="AD155" s="518"/>
      <c r="AE155" s="518"/>
      <c r="AF155" s="518"/>
      <c r="AG155" s="518"/>
      <c r="AH155" s="518"/>
      <c r="AI155" s="518"/>
      <c r="AJ155" s="518"/>
      <c r="AK155" s="518"/>
      <c r="AL155" s="518"/>
      <c r="AM155" s="518"/>
      <c r="AN155" s="518"/>
      <c r="AO155" s="518"/>
      <c r="AP155" s="518"/>
      <c r="AQ155" s="518"/>
      <c r="AR155" s="518"/>
      <c r="AS155" s="495">
        <f ca="1">IF(AND(AV154&gt;=SUMIF(NameConv!$C$5:$C$45,RIGHT(E154,3),NameConv!$CG$5:$CG$45),AT154=SUMIF(NameConv!$G$4:$M$4,LEFT(E154,3),NameConv!$G$45:$M$45)),AS154+1,AS154)</f>
        <v>3</v>
      </c>
      <c r="AT155" s="495">
        <f ca="1">IF(AS155&lt;&gt;AS154,1,IF(AV154&gt;=SUMIF(NameConv!$C$5:$C$45,RIGHT(E154,3),NameConv!$CG$5:$CG$45),AT154+1,AT154))</f>
        <v>11</v>
      </c>
      <c r="AU155" s="495">
        <f ca="1">SUMIF(NameConv!$C$5:$C$45,RIGHT(E155,3),OFFSET(NameConv!$CG$5,0,AV155,NameConv!$A$45,1))</f>
        <v>7</v>
      </c>
      <c r="AV155" s="495">
        <f ca="1">IF(AV154&gt;=SUMIF(NameConv!$C$5:$C$45,RIGHT(E154,3),NameConv!$CG$5:$CG$45),1,AV154+1)</f>
        <v>7</v>
      </c>
    </row>
    <row r="156" spans="1:48">
      <c r="A156" s="422" t="str">
        <f t="shared" ca="1" si="5"/>
        <v/>
      </c>
      <c r="B156" s="515" t="str">
        <f t="shared" si="4"/>
        <v>FLO_EMIS</v>
      </c>
      <c r="C156" s="518" t="str">
        <f ca="1">"X"&amp;OFFSET(NameConv!$F$4,0,AS156)&amp;OFFSET(NameConv!$F$59,AT156,AS156)</f>
        <v>XINDWAS</v>
      </c>
      <c r="D156" s="515" t="str">
        <f ca="1">OFFSET(NameConv!$F$4,0,AS156)&amp;OFFSET(NameConv!$AX$4,0,AU156)</f>
        <v>INDCO2S</v>
      </c>
      <c r="E156" s="515" t="str">
        <f ca="1">OFFSET(NameConv!$F$4,0,AS156)&amp;OFFSET(NameConv!$F$59,AT156,AS156)</f>
        <v>INDWAS</v>
      </c>
      <c r="F156" s="740" t="s">
        <v>334</v>
      </c>
      <c r="G156" s="515" t="s">
        <v>337</v>
      </c>
      <c r="H156" s="740" t="s">
        <v>334</v>
      </c>
      <c r="I156" s="516">
        <v>0</v>
      </c>
      <c r="J156" s="517">
        <f ca="1">IF(E156="TRAOKE",0,SUMIF(NameConv!$C$5:$C$45,RIGHT(E156,3),OFFSET(NameConv!$AX$5,0,AU156,NameConv!$A$45,1)))</f>
        <v>91.7</v>
      </c>
      <c r="K156" s="518"/>
      <c r="L156" s="518"/>
      <c r="M156" s="518"/>
      <c r="N156" s="518"/>
      <c r="O156" s="518"/>
      <c r="P156" s="518"/>
      <c r="Q156" s="518"/>
      <c r="R156" s="518"/>
      <c r="S156" s="518"/>
      <c r="T156" s="518"/>
      <c r="U156" s="518"/>
      <c r="V156" s="518"/>
      <c r="W156" s="518"/>
      <c r="X156" s="518"/>
      <c r="Y156" s="518"/>
      <c r="Z156" s="518"/>
      <c r="AA156" s="518"/>
      <c r="AB156" s="518"/>
      <c r="AC156" s="518"/>
      <c r="AD156" s="518"/>
      <c r="AE156" s="518"/>
      <c r="AF156" s="518"/>
      <c r="AG156" s="518"/>
      <c r="AH156" s="518"/>
      <c r="AI156" s="518"/>
      <c r="AJ156" s="518"/>
      <c r="AK156" s="518"/>
      <c r="AL156" s="518"/>
      <c r="AM156" s="518"/>
      <c r="AN156" s="518"/>
      <c r="AO156" s="518"/>
      <c r="AP156" s="518"/>
      <c r="AQ156" s="518"/>
      <c r="AR156" s="518"/>
      <c r="AS156" s="495">
        <f ca="1">IF(AND(AV155&gt;=SUMIF(NameConv!$C$5:$C$45,RIGHT(E155,3),NameConv!$CG$5:$CG$45),AT155=SUMIF(NameConv!$G$4:$M$4,LEFT(E155,3),NameConv!$G$45:$M$45)),AS155+1,AS155)</f>
        <v>3</v>
      </c>
      <c r="AT156" s="495">
        <f ca="1">IF(AS156&lt;&gt;AS155,1,IF(AV155&gt;=SUMIF(NameConv!$C$5:$C$45,RIGHT(E155,3),NameConv!$CG$5:$CG$45),AT155+1,AT155))</f>
        <v>12</v>
      </c>
      <c r="AU156" s="495">
        <f ca="1">SUMIF(NameConv!$C$5:$C$45,RIGHT(E156,3),OFFSET(NameConv!$CG$5,0,AV156,NameConv!$A$45,1))</f>
        <v>1</v>
      </c>
      <c r="AV156" s="495">
        <f ca="1">IF(AV155&gt;=SUMIF(NameConv!$C$5:$C$45,RIGHT(E155,3),NameConv!$CG$5:$CG$45),1,AV155+1)</f>
        <v>1</v>
      </c>
    </row>
    <row r="157" spans="1:48">
      <c r="A157" s="422" t="str">
        <f t="shared" ca="1" si="5"/>
        <v/>
      </c>
      <c r="B157" s="515" t="str">
        <f t="shared" si="4"/>
        <v>FLO_EMIS</v>
      </c>
      <c r="C157" s="518" t="str">
        <f ca="1">"X"&amp;OFFSET(NameConv!$F$4,0,AS157)&amp;OFFSET(NameConv!$F$59,AT157,AS157)</f>
        <v>XINDWAS</v>
      </c>
      <c r="D157" s="515" t="str">
        <f ca="1">OFFSET(NameConv!$F$4,0,AS157)&amp;OFFSET(NameConv!$AX$4,0,AU157)</f>
        <v>INDCH4S</v>
      </c>
      <c r="E157" s="515" t="str">
        <f ca="1">OFFSET(NameConv!$F$4,0,AS157)&amp;OFFSET(NameConv!$F$59,AT157,AS157)</f>
        <v>INDWAS</v>
      </c>
      <c r="F157" s="740" t="s">
        <v>334</v>
      </c>
      <c r="G157" s="515" t="s">
        <v>337</v>
      </c>
      <c r="H157" s="740" t="s">
        <v>334</v>
      </c>
      <c r="I157" s="516">
        <v>0</v>
      </c>
      <c r="J157" s="517">
        <f ca="1">IF(E157="TRAOKE",0,SUMIF(NameConv!$C$5:$C$45,RIGHT(E157,3),OFFSET(NameConv!$AX$5,0,AU157,NameConv!$A$45,1)))</f>
        <v>0.03</v>
      </c>
      <c r="K157" s="518"/>
      <c r="L157" s="518"/>
      <c r="M157" s="518"/>
      <c r="N157" s="518"/>
      <c r="O157" s="518"/>
      <c r="P157" s="518"/>
      <c r="Q157" s="518"/>
      <c r="R157" s="518"/>
      <c r="S157" s="518"/>
      <c r="T157" s="518"/>
      <c r="U157" s="518"/>
      <c r="V157" s="518"/>
      <c r="W157" s="518"/>
      <c r="X157" s="518"/>
      <c r="Y157" s="518"/>
      <c r="Z157" s="518"/>
      <c r="AA157" s="518"/>
      <c r="AB157" s="518"/>
      <c r="AC157" s="518"/>
      <c r="AD157" s="518"/>
      <c r="AE157" s="518"/>
      <c r="AF157" s="518"/>
      <c r="AG157" s="518"/>
      <c r="AH157" s="518"/>
      <c r="AI157" s="518"/>
      <c r="AJ157" s="518"/>
      <c r="AK157" s="518"/>
      <c r="AL157" s="518"/>
      <c r="AM157" s="518"/>
      <c r="AN157" s="518"/>
      <c r="AO157" s="518"/>
      <c r="AP157" s="518"/>
      <c r="AQ157" s="518"/>
      <c r="AR157" s="518"/>
      <c r="AS157" s="495">
        <f ca="1">IF(AND(AV156&gt;=SUMIF(NameConv!$C$5:$C$45,RIGHT(E156,3),NameConv!$CG$5:$CG$45),AT156=SUMIF(NameConv!$G$4:$M$4,LEFT(E156,3),NameConv!$G$45:$M$45)),AS156+1,AS156)</f>
        <v>3</v>
      </c>
      <c r="AT157" s="495">
        <f ca="1">IF(AS157&lt;&gt;AS156,1,IF(AV156&gt;=SUMIF(NameConv!$C$5:$C$45,RIGHT(E156,3),NameConv!$CG$5:$CG$45),AT156+1,AT156))</f>
        <v>12</v>
      </c>
      <c r="AU157" s="495">
        <f ca="1">SUMIF(NameConv!$C$5:$C$45,RIGHT(E157,3),OFFSET(NameConv!$CG$5,0,AV157,NameConv!$A$45,1))</f>
        <v>2</v>
      </c>
      <c r="AV157" s="495">
        <f ca="1">IF(AV156&gt;=SUMIF(NameConv!$C$5:$C$45,RIGHT(E156,3),NameConv!$CG$5:$CG$45),1,AV156+1)</f>
        <v>2</v>
      </c>
    </row>
    <row r="158" spans="1:48">
      <c r="A158" s="422" t="str">
        <f t="shared" ca="1" si="5"/>
        <v/>
      </c>
      <c r="B158" s="515" t="str">
        <f t="shared" si="4"/>
        <v>FLO_EMIS</v>
      </c>
      <c r="C158" s="518" t="str">
        <f ca="1">"X"&amp;OFFSET(NameConv!$F$4,0,AS158)&amp;OFFSET(NameConv!$F$59,AT158,AS158)</f>
        <v>XINDWAS</v>
      </c>
      <c r="D158" s="515" t="str">
        <f ca="1">OFFSET(NameConv!$F$4,0,AS158)&amp;OFFSET(NameConv!$AX$4,0,AU158)</f>
        <v>INDN2OS</v>
      </c>
      <c r="E158" s="515" t="str">
        <f ca="1">OFFSET(NameConv!$F$4,0,AS158)&amp;OFFSET(NameConv!$F$59,AT158,AS158)</f>
        <v>INDWAS</v>
      </c>
      <c r="F158" s="740" t="s">
        <v>334</v>
      </c>
      <c r="G158" s="515" t="s">
        <v>337</v>
      </c>
      <c r="H158" s="740" t="s">
        <v>334</v>
      </c>
      <c r="I158" s="516">
        <v>0</v>
      </c>
      <c r="J158" s="517">
        <f ca="1">IF(E158="TRAOKE",0,SUMIF(NameConv!$C$5:$C$45,RIGHT(E158,3),OFFSET(NameConv!$AX$5,0,AU158,NameConv!$A$45,1)))</f>
        <v>4.0000000000000001E-3</v>
      </c>
      <c r="K158" s="518"/>
      <c r="L158" s="518"/>
      <c r="M158" s="518"/>
      <c r="N158" s="518"/>
      <c r="O158" s="518"/>
      <c r="P158" s="518"/>
      <c r="Q158" s="518"/>
      <c r="R158" s="518"/>
      <c r="S158" s="518"/>
      <c r="T158" s="518"/>
      <c r="U158" s="518"/>
      <c r="V158" s="518"/>
      <c r="W158" s="518"/>
      <c r="X158" s="518"/>
      <c r="Y158" s="518"/>
      <c r="Z158" s="518"/>
      <c r="AA158" s="518"/>
      <c r="AB158" s="518"/>
      <c r="AC158" s="518"/>
      <c r="AD158" s="518"/>
      <c r="AE158" s="518"/>
      <c r="AF158" s="518"/>
      <c r="AG158" s="518"/>
      <c r="AH158" s="518"/>
      <c r="AI158" s="518"/>
      <c r="AJ158" s="518"/>
      <c r="AK158" s="518"/>
      <c r="AL158" s="518"/>
      <c r="AM158" s="518"/>
      <c r="AN158" s="518"/>
      <c r="AO158" s="518"/>
      <c r="AP158" s="518"/>
      <c r="AQ158" s="518"/>
      <c r="AR158" s="518"/>
      <c r="AS158" s="495">
        <f ca="1">IF(AND(AV157&gt;=SUMIF(NameConv!$C$5:$C$45,RIGHT(E157,3),NameConv!$CG$5:$CG$45),AT157=SUMIF(NameConv!$G$4:$M$4,LEFT(E157,3),NameConv!$G$45:$M$45)),AS157+1,AS157)</f>
        <v>3</v>
      </c>
      <c r="AT158" s="495">
        <f ca="1">IF(AS158&lt;&gt;AS157,1,IF(AV157&gt;=SUMIF(NameConv!$C$5:$C$45,RIGHT(E157,3),NameConv!$CG$5:$CG$45),AT157+1,AT157))</f>
        <v>12</v>
      </c>
      <c r="AU158" s="495">
        <f ca="1">SUMIF(NameConv!$C$5:$C$45,RIGHT(E158,3),OFFSET(NameConv!$CG$5,0,AV158,NameConv!$A$45,1))</f>
        <v>3</v>
      </c>
      <c r="AV158" s="495">
        <f ca="1">IF(AV157&gt;=SUMIF(NameConv!$C$5:$C$45,RIGHT(E157,3),NameConv!$CG$5:$CG$45),1,AV157+1)</f>
        <v>3</v>
      </c>
    </row>
    <row r="159" spans="1:48">
      <c r="A159" s="422" t="str">
        <f t="shared" ca="1" si="5"/>
        <v/>
      </c>
      <c r="B159" s="515" t="str">
        <f t="shared" si="4"/>
        <v>FLO_EMIS</v>
      </c>
      <c r="C159" s="518" t="str">
        <f ca="1">"X"&amp;OFFSET(NameConv!$F$4,0,AS159)&amp;OFFSET(NameConv!$F$59,AT159,AS159)</f>
        <v>XINDWAS</v>
      </c>
      <c r="D159" s="515" t="str">
        <f ca="1">OFFSET(NameConv!$F$4,0,AS159)&amp;OFFSET(NameConv!$AX$4,0,AU159)</f>
        <v>INDSOXS</v>
      </c>
      <c r="E159" s="515" t="str">
        <f ca="1">OFFSET(NameConv!$F$4,0,AS159)&amp;OFFSET(NameConv!$F$59,AT159,AS159)</f>
        <v>INDWAS</v>
      </c>
      <c r="F159" s="740" t="s">
        <v>334</v>
      </c>
      <c r="G159" s="515" t="s">
        <v>337</v>
      </c>
      <c r="H159" s="740" t="s">
        <v>334</v>
      </c>
      <c r="I159" s="516">
        <v>0</v>
      </c>
      <c r="J159" s="517">
        <f ca="1">IF(E159="TRAOKE",0,SUMIF(NameConv!$C$5:$C$45,RIGHT(E159,3),OFFSET(NameConv!$AX$5,0,AU159,NameConv!$A$45,1)))</f>
        <v>1.5290999999999999</v>
      </c>
      <c r="K159" s="518"/>
      <c r="L159" s="518"/>
      <c r="M159" s="518"/>
      <c r="N159" s="518"/>
      <c r="O159" s="518"/>
      <c r="P159" s="518"/>
      <c r="Q159" s="518"/>
      <c r="R159" s="518"/>
      <c r="S159" s="518"/>
      <c r="T159" s="518"/>
      <c r="U159" s="518"/>
      <c r="V159" s="518"/>
      <c r="W159" s="518"/>
      <c r="X159" s="518"/>
      <c r="Y159" s="518"/>
      <c r="Z159" s="518"/>
      <c r="AA159" s="518"/>
      <c r="AB159" s="518"/>
      <c r="AC159" s="518"/>
      <c r="AD159" s="518"/>
      <c r="AE159" s="518"/>
      <c r="AF159" s="518"/>
      <c r="AG159" s="518"/>
      <c r="AH159" s="518"/>
      <c r="AI159" s="518"/>
      <c r="AJ159" s="518"/>
      <c r="AK159" s="518"/>
      <c r="AL159" s="518"/>
      <c r="AM159" s="518"/>
      <c r="AN159" s="518"/>
      <c r="AO159" s="518"/>
      <c r="AP159" s="518"/>
      <c r="AQ159" s="518"/>
      <c r="AR159" s="518"/>
      <c r="AS159" s="495">
        <f ca="1">IF(AND(AV158&gt;=SUMIF(NameConv!$C$5:$C$45,RIGHT(E158,3),NameConv!$CG$5:$CG$45),AT158=SUMIF(NameConv!$G$4:$M$4,LEFT(E158,3),NameConv!$G$45:$M$45)),AS158+1,AS158)</f>
        <v>3</v>
      </c>
      <c r="AT159" s="495">
        <f ca="1">IF(AS159&lt;&gt;AS158,1,IF(AV158&gt;=SUMIF(NameConv!$C$5:$C$45,RIGHT(E158,3),NameConv!$CG$5:$CG$45),AT158+1,AT158))</f>
        <v>12</v>
      </c>
      <c r="AU159" s="495">
        <f ca="1">SUMIF(NameConv!$C$5:$C$45,RIGHT(E159,3),OFFSET(NameConv!$CG$5,0,AV159,NameConv!$A$45,1))</f>
        <v>4</v>
      </c>
      <c r="AV159" s="495">
        <f ca="1">IF(AV158&gt;=SUMIF(NameConv!$C$5:$C$45,RIGHT(E158,3),NameConv!$CG$5:$CG$45),1,AV158+1)</f>
        <v>4</v>
      </c>
    </row>
    <row r="160" spans="1:48">
      <c r="A160" s="422" t="str">
        <f t="shared" ca="1" si="5"/>
        <v/>
      </c>
      <c r="B160" s="515" t="str">
        <f t="shared" si="4"/>
        <v>FLO_EMIS</v>
      </c>
      <c r="C160" s="518" t="str">
        <f ca="1">"X"&amp;OFFSET(NameConv!$F$4,0,AS160)&amp;OFFSET(NameConv!$F$59,AT160,AS160)</f>
        <v>XINDWAS</v>
      </c>
      <c r="D160" s="515" t="str">
        <f ca="1">OFFSET(NameConv!$F$4,0,AS160)&amp;OFFSET(NameConv!$AX$4,0,AU160)</f>
        <v>INDNOXS</v>
      </c>
      <c r="E160" s="515" t="str">
        <f ca="1">OFFSET(NameConv!$F$4,0,AS160)&amp;OFFSET(NameConv!$F$59,AT160,AS160)</f>
        <v>INDWAS</v>
      </c>
      <c r="F160" s="740" t="s">
        <v>334</v>
      </c>
      <c r="G160" s="515" t="s">
        <v>337</v>
      </c>
      <c r="H160" s="740" t="s">
        <v>334</v>
      </c>
      <c r="I160" s="516">
        <v>0</v>
      </c>
      <c r="J160" s="517">
        <f ca="1">IF(E160="TRAOKE",0,SUMIF(NameConv!$C$5:$C$45,RIGHT(E160,3),OFFSET(NameConv!$AX$5,0,AU160,NameConv!$A$45,1)))</f>
        <v>0.2</v>
      </c>
      <c r="K160" s="518"/>
      <c r="L160" s="518"/>
      <c r="M160" s="518"/>
      <c r="N160" s="518"/>
      <c r="O160" s="518"/>
      <c r="P160" s="518"/>
      <c r="Q160" s="518"/>
      <c r="R160" s="518"/>
      <c r="S160" s="518"/>
      <c r="T160" s="518"/>
      <c r="U160" s="518"/>
      <c r="V160" s="518"/>
      <c r="W160" s="518"/>
      <c r="X160" s="518"/>
      <c r="Y160" s="518"/>
      <c r="Z160" s="518"/>
      <c r="AA160" s="518"/>
      <c r="AB160" s="518"/>
      <c r="AC160" s="518"/>
      <c r="AD160" s="518"/>
      <c r="AE160" s="518"/>
      <c r="AF160" s="518"/>
      <c r="AG160" s="518"/>
      <c r="AH160" s="518"/>
      <c r="AI160" s="518"/>
      <c r="AJ160" s="518"/>
      <c r="AK160" s="518"/>
      <c r="AL160" s="518"/>
      <c r="AM160" s="518"/>
      <c r="AN160" s="518"/>
      <c r="AO160" s="518"/>
      <c r="AP160" s="518"/>
      <c r="AQ160" s="518"/>
      <c r="AR160" s="518"/>
      <c r="AS160" s="495">
        <f ca="1">IF(AND(AV159&gt;=SUMIF(NameConv!$C$5:$C$45,RIGHT(E159,3),NameConv!$CG$5:$CG$45),AT159=SUMIF(NameConv!$G$4:$M$4,LEFT(E159,3),NameConv!$G$45:$M$45)),AS159+1,AS159)</f>
        <v>3</v>
      </c>
      <c r="AT160" s="495">
        <f ca="1">IF(AS160&lt;&gt;AS159,1,IF(AV159&gt;=SUMIF(NameConv!$C$5:$C$45,RIGHT(E159,3),NameConv!$CG$5:$CG$45),AT159+1,AT159))</f>
        <v>12</v>
      </c>
      <c r="AU160" s="495">
        <f ca="1">SUMIF(NameConv!$C$5:$C$45,RIGHT(E160,3),OFFSET(NameConv!$CG$5,0,AV160,NameConv!$A$45,1))</f>
        <v>5</v>
      </c>
      <c r="AV160" s="495">
        <f ca="1">IF(AV159&gt;=SUMIF(NameConv!$C$5:$C$45,RIGHT(E159,3),NameConv!$CG$5:$CG$45),1,AV159+1)</f>
        <v>5</v>
      </c>
    </row>
    <row r="161" spans="1:48">
      <c r="A161" s="422" t="str">
        <f t="shared" ca="1" si="5"/>
        <v/>
      </c>
      <c r="B161" s="515" t="str">
        <f t="shared" si="4"/>
        <v>FLO_EMIS</v>
      </c>
      <c r="C161" s="518" t="str">
        <f ca="1">"X"&amp;OFFSET(NameConv!$F$4,0,AS161)&amp;OFFSET(NameConv!$F$59,AT161,AS161)</f>
        <v>XINDWAS</v>
      </c>
      <c r="D161" s="515" t="str">
        <f ca="1">OFFSET(NameConv!$F$4,0,AS161)&amp;OFFSET(NameConv!$AX$4,0,AU161)</f>
        <v>INDCMOX</v>
      </c>
      <c r="E161" s="515" t="str">
        <f ca="1">OFFSET(NameConv!$F$4,0,AS161)&amp;OFFSET(NameConv!$F$59,AT161,AS161)</f>
        <v>INDWAS</v>
      </c>
      <c r="F161" s="740" t="s">
        <v>334</v>
      </c>
      <c r="G161" s="515" t="s">
        <v>337</v>
      </c>
      <c r="H161" s="740" t="s">
        <v>334</v>
      </c>
      <c r="I161" s="516">
        <v>0</v>
      </c>
      <c r="J161" s="517">
        <f ca="1">IF(E161="TRAOKE",0,SUMIF(NameConv!$C$5:$C$45,RIGHT(E161,3),OFFSET(NameConv!$AX$5,0,AU161,NameConv!$A$45,1)))</f>
        <v>0.01</v>
      </c>
      <c r="K161" s="518"/>
      <c r="L161" s="518"/>
      <c r="M161" s="518"/>
      <c r="N161" s="518"/>
      <c r="O161" s="518"/>
      <c r="P161" s="518"/>
      <c r="Q161" s="518"/>
      <c r="R161" s="518"/>
      <c r="S161" s="518"/>
      <c r="T161" s="518"/>
      <c r="U161" s="518"/>
      <c r="V161" s="518"/>
      <c r="W161" s="518"/>
      <c r="X161" s="518"/>
      <c r="Y161" s="518"/>
      <c r="Z161" s="518"/>
      <c r="AA161" s="518"/>
      <c r="AB161" s="518"/>
      <c r="AC161" s="518"/>
      <c r="AD161" s="518"/>
      <c r="AE161" s="518"/>
      <c r="AF161" s="518"/>
      <c r="AG161" s="518"/>
      <c r="AH161" s="518"/>
      <c r="AI161" s="518"/>
      <c r="AJ161" s="518"/>
      <c r="AK161" s="518"/>
      <c r="AL161" s="518"/>
      <c r="AM161" s="518"/>
      <c r="AN161" s="518"/>
      <c r="AO161" s="518"/>
      <c r="AP161" s="518"/>
      <c r="AQ161" s="518"/>
      <c r="AR161" s="518"/>
      <c r="AS161" s="495">
        <f ca="1">IF(AND(AV160&gt;=SUMIF(NameConv!$C$5:$C$45,RIGHT(E160,3),NameConv!$CG$5:$CG$45),AT160=SUMIF(NameConv!$G$4:$M$4,LEFT(E160,3),NameConv!$G$45:$M$45)),AS160+1,AS160)</f>
        <v>3</v>
      </c>
      <c r="AT161" s="495">
        <f ca="1">IF(AS161&lt;&gt;AS160,1,IF(AV160&gt;=SUMIF(NameConv!$C$5:$C$45,RIGHT(E160,3),NameConv!$CG$5:$CG$45),AT160+1,AT160))</f>
        <v>12</v>
      </c>
      <c r="AU161" s="495">
        <f ca="1">SUMIF(NameConv!$C$5:$C$45,RIGHT(E161,3),OFFSET(NameConv!$CG$5,0,AV161,NameConv!$A$45,1))</f>
        <v>6</v>
      </c>
      <c r="AV161" s="495">
        <f ca="1">IF(AV160&gt;=SUMIF(NameConv!$C$5:$C$45,RIGHT(E160,3),NameConv!$CG$5:$CG$45),1,AV160+1)</f>
        <v>6</v>
      </c>
    </row>
    <row r="162" spans="1:48">
      <c r="A162" s="422" t="str">
        <f t="shared" ca="1" si="5"/>
        <v/>
      </c>
      <c r="B162" s="515" t="str">
        <f t="shared" si="4"/>
        <v>FLO_EMIS</v>
      </c>
      <c r="C162" s="518" t="str">
        <f ca="1">"X"&amp;OFFSET(NameConv!$F$4,0,AS162)&amp;OFFSET(NameConv!$F$59,AT162,AS162)</f>
        <v>XINDWAS</v>
      </c>
      <c r="D162" s="515" t="str">
        <f ca="1">OFFSET(NameConv!$F$4,0,AS162)&amp;OFFSET(NameConv!$AX$4,0,AU162)</f>
        <v>INDNMVS</v>
      </c>
      <c r="E162" s="515" t="str">
        <f ca="1">OFFSET(NameConv!$F$4,0,AS162)&amp;OFFSET(NameConv!$F$59,AT162,AS162)</f>
        <v>INDWAS</v>
      </c>
      <c r="F162" s="740" t="s">
        <v>334</v>
      </c>
      <c r="G162" s="515" t="s">
        <v>337</v>
      </c>
      <c r="H162" s="740" t="s">
        <v>334</v>
      </c>
      <c r="I162" s="516">
        <v>0</v>
      </c>
      <c r="J162" s="517">
        <f ca="1">IF(E162="TRAOKE",0,SUMIF(NameConv!$C$5:$C$45,RIGHT(E162,3),OFFSET(NameConv!$AX$5,0,AU162,NameConv!$A$45,1)))</f>
        <v>5.0000000000000001E-3</v>
      </c>
      <c r="K162" s="518"/>
      <c r="L162" s="518"/>
      <c r="M162" s="518"/>
      <c r="N162" s="518"/>
      <c r="O162" s="518"/>
      <c r="P162" s="518"/>
      <c r="Q162" s="518"/>
      <c r="R162" s="518"/>
      <c r="S162" s="518"/>
      <c r="T162" s="518"/>
      <c r="U162" s="518"/>
      <c r="V162" s="518"/>
      <c r="W162" s="518"/>
      <c r="X162" s="518"/>
      <c r="Y162" s="518"/>
      <c r="Z162" s="518"/>
      <c r="AA162" s="518"/>
      <c r="AB162" s="518"/>
      <c r="AC162" s="518"/>
      <c r="AD162" s="518"/>
      <c r="AE162" s="518"/>
      <c r="AF162" s="518"/>
      <c r="AG162" s="518"/>
      <c r="AH162" s="518"/>
      <c r="AI162" s="518"/>
      <c r="AJ162" s="518"/>
      <c r="AK162" s="518"/>
      <c r="AL162" s="518"/>
      <c r="AM162" s="518"/>
      <c r="AN162" s="518"/>
      <c r="AO162" s="518"/>
      <c r="AP162" s="518"/>
      <c r="AQ162" s="518"/>
      <c r="AR162" s="518"/>
      <c r="AS162" s="495">
        <f ca="1">IF(AND(AV161&gt;=SUMIF(NameConv!$C$5:$C$45,RIGHT(E161,3),NameConv!$CG$5:$CG$45),AT161=SUMIF(NameConv!$G$4:$M$4,LEFT(E161,3),NameConv!$G$45:$M$45)),AS161+1,AS161)</f>
        <v>3</v>
      </c>
      <c r="AT162" s="495">
        <f ca="1">IF(AS162&lt;&gt;AS161,1,IF(AV161&gt;=SUMIF(NameConv!$C$5:$C$45,RIGHT(E161,3),NameConv!$CG$5:$CG$45),AT161+1,AT161))</f>
        <v>12</v>
      </c>
      <c r="AU162" s="495">
        <f ca="1">SUMIF(NameConv!$C$5:$C$45,RIGHT(E162,3),OFFSET(NameConv!$CG$5,0,AV162,NameConv!$A$45,1))</f>
        <v>7</v>
      </c>
      <c r="AV162" s="495">
        <f ca="1">IF(AV161&gt;=SUMIF(NameConv!$C$5:$C$45,RIGHT(E161,3),NameConv!$CG$5:$CG$45),1,AV161+1)</f>
        <v>7</v>
      </c>
    </row>
    <row r="163" spans="1:48">
      <c r="A163" s="422" t="str">
        <f t="shared" ca="1" si="5"/>
        <v>*</v>
      </c>
      <c r="B163" s="515" t="str">
        <f t="shared" si="4"/>
        <v>FLO_EMIS</v>
      </c>
      <c r="C163" s="518" t="str">
        <f ca="1">"X"&amp;OFFSET(NameConv!$F$4,0,AS163)&amp;OFFSET(NameConv!$F$59,AT163,AS163)</f>
        <v>XTRAELC</v>
      </c>
      <c r="D163" s="515" t="str">
        <f ca="1">OFFSET(NameConv!$F$4,0,AS163)&amp;OFFSET(NameConv!$AX$4,0,AU163)</f>
        <v>TRA</v>
      </c>
      <c r="E163" s="515" t="str">
        <f ca="1">OFFSET(NameConv!$F$4,0,AS163)&amp;OFFSET(NameConv!$F$59,AT163,AS163)</f>
        <v>TRAELC</v>
      </c>
      <c r="F163" s="740" t="s">
        <v>334</v>
      </c>
      <c r="G163" s="515" t="s">
        <v>337</v>
      </c>
      <c r="H163" s="740" t="s">
        <v>334</v>
      </c>
      <c r="I163" s="516">
        <v>0</v>
      </c>
      <c r="J163" s="517">
        <f ca="1">IF(E163="TRAOKE",0,SUMIF(NameConv!$C$5:$C$45,RIGHT(E163,3),OFFSET(NameConv!$AX$5,0,AU163,NameConv!$A$45,1)))</f>
        <v>0</v>
      </c>
      <c r="K163" s="518"/>
      <c r="L163" s="518"/>
      <c r="M163" s="518"/>
      <c r="N163" s="518"/>
      <c r="O163" s="518"/>
      <c r="P163" s="518"/>
      <c r="Q163" s="518"/>
      <c r="R163" s="518"/>
      <c r="S163" s="518"/>
      <c r="T163" s="518"/>
      <c r="U163" s="518"/>
      <c r="V163" s="518"/>
      <c r="W163" s="518"/>
      <c r="X163" s="518"/>
      <c r="Y163" s="518"/>
      <c r="Z163" s="518"/>
      <c r="AA163" s="518"/>
      <c r="AB163" s="518"/>
      <c r="AC163" s="518"/>
      <c r="AD163" s="518"/>
      <c r="AE163" s="518"/>
      <c r="AF163" s="518"/>
      <c r="AG163" s="518"/>
      <c r="AH163" s="518"/>
      <c r="AI163" s="518"/>
      <c r="AJ163" s="518"/>
      <c r="AK163" s="518"/>
      <c r="AL163" s="518"/>
      <c r="AM163" s="518"/>
      <c r="AN163" s="518"/>
      <c r="AO163" s="518"/>
      <c r="AP163" s="518"/>
      <c r="AQ163" s="518"/>
      <c r="AR163" s="518"/>
      <c r="AS163" s="495">
        <f ca="1">IF(AND(AV162&gt;=SUMIF(NameConv!$C$5:$C$45,RIGHT(E162,3),NameConv!$CG$5:$CG$45),AT162=SUMIF(NameConv!$G$4:$M$4,LEFT(E162,3),NameConv!$G$45:$M$45)),AS162+1,AS162)</f>
        <v>4</v>
      </c>
      <c r="AT163" s="495">
        <f ca="1">IF(AS163&lt;&gt;AS162,1,IF(AV162&gt;=SUMIF(NameConv!$C$5:$C$45,RIGHT(E162,3),NameConv!$CG$5:$CG$45),AT162+1,AT162))</f>
        <v>1</v>
      </c>
      <c r="AU163" s="495">
        <f ca="1">SUMIF(NameConv!$C$5:$C$45,RIGHT(E163,3),OFFSET(NameConv!$CG$5,0,AV163,NameConv!$A$45,1))</f>
        <v>0</v>
      </c>
      <c r="AV163" s="495">
        <f ca="1">IF(AV162&gt;=SUMIF(NameConv!$C$5:$C$45,RIGHT(E162,3),NameConv!$CG$5:$CG$45),1,AV162+1)</f>
        <v>1</v>
      </c>
    </row>
    <row r="164" spans="1:48">
      <c r="A164" s="422" t="str">
        <f t="shared" ca="1" si="5"/>
        <v/>
      </c>
      <c r="B164" s="515" t="str">
        <f t="shared" si="4"/>
        <v>FLO_EMIS</v>
      </c>
      <c r="C164" s="518" t="str">
        <f ca="1">"X"&amp;OFFSET(NameConv!$F$4,0,AS164)&amp;OFFSET(NameConv!$F$59,AT164,AS164)</f>
        <v>XTRAGAS</v>
      </c>
      <c r="D164" s="515" t="str">
        <f ca="1">OFFSET(NameConv!$F$4,0,AS164)&amp;OFFSET(NameConv!$AX$4,0,AU164)</f>
        <v>TRACO2S</v>
      </c>
      <c r="E164" s="515" t="str">
        <f ca="1">OFFSET(NameConv!$F$4,0,AS164)&amp;OFFSET(NameConv!$F$59,AT164,AS164)</f>
        <v>TRAGAS</v>
      </c>
      <c r="F164" s="740" t="s">
        <v>334</v>
      </c>
      <c r="G164" s="515" t="s">
        <v>337</v>
      </c>
      <c r="H164" s="740" t="s">
        <v>334</v>
      </c>
      <c r="I164" s="516">
        <v>0</v>
      </c>
      <c r="J164" s="517">
        <f ca="1">IF(E164="TRAOKE",0,SUMIF(NameConv!$C$5:$C$45,RIGHT(E164,3),OFFSET(NameConv!$AX$5,0,AU164,NameConv!$A$45,1)))</f>
        <v>56.1</v>
      </c>
      <c r="K164" s="518"/>
      <c r="L164" s="518"/>
      <c r="M164" s="518"/>
      <c r="N164" s="518"/>
      <c r="O164" s="518"/>
      <c r="P164" s="518"/>
      <c r="Q164" s="518"/>
      <c r="R164" s="518"/>
      <c r="S164" s="518"/>
      <c r="T164" s="518"/>
      <c r="U164" s="518"/>
      <c r="V164" s="518"/>
      <c r="W164" s="518"/>
      <c r="X164" s="518"/>
      <c r="Y164" s="518"/>
      <c r="Z164" s="518"/>
      <c r="AA164" s="518"/>
      <c r="AB164" s="518"/>
      <c r="AC164" s="518"/>
      <c r="AD164" s="518"/>
      <c r="AE164" s="518"/>
      <c r="AF164" s="518"/>
      <c r="AG164" s="518"/>
      <c r="AH164" s="518"/>
      <c r="AI164" s="518"/>
      <c r="AJ164" s="518"/>
      <c r="AK164" s="518"/>
      <c r="AL164" s="518"/>
      <c r="AM164" s="518"/>
      <c r="AN164" s="518"/>
      <c r="AO164" s="518"/>
      <c r="AP164" s="518"/>
      <c r="AQ164" s="518"/>
      <c r="AR164" s="518"/>
      <c r="AS164" s="495">
        <f ca="1">IF(AND(AV163&gt;=SUMIF(NameConv!$C$5:$C$45,RIGHT(E163,3),NameConv!$CG$5:$CG$45),AT163=SUMIF(NameConv!$G$4:$M$4,LEFT(E163,3),NameConv!$G$45:$M$45)),AS163+1,AS163)</f>
        <v>4</v>
      </c>
      <c r="AT164" s="495">
        <f ca="1">IF(AS164&lt;&gt;AS163,1,IF(AV163&gt;=SUMIF(NameConv!$C$5:$C$45,RIGHT(E163,3),NameConv!$CG$5:$CG$45),AT163+1,AT163))</f>
        <v>2</v>
      </c>
      <c r="AU164" s="495">
        <f ca="1">SUMIF(NameConv!$C$5:$C$45,RIGHT(E164,3),OFFSET(NameConv!$CG$5,0,AV164,NameConv!$A$45,1))</f>
        <v>1</v>
      </c>
      <c r="AV164" s="495">
        <f ca="1">IF(AV163&gt;=SUMIF(NameConv!$C$5:$C$45,RIGHT(E163,3),NameConv!$CG$5:$CG$45),1,AV163+1)</f>
        <v>1</v>
      </c>
    </row>
    <row r="165" spans="1:48">
      <c r="A165" s="422" t="str">
        <f t="shared" ca="1" si="5"/>
        <v/>
      </c>
      <c r="B165" s="515" t="str">
        <f t="shared" si="4"/>
        <v>FLO_EMIS</v>
      </c>
      <c r="C165" s="518" t="str">
        <f ca="1">"X"&amp;OFFSET(NameConv!$F$4,0,AS165)&amp;OFFSET(NameConv!$F$59,AT165,AS165)</f>
        <v>XTRAGAS</v>
      </c>
      <c r="D165" s="515" t="str">
        <f ca="1">OFFSET(NameConv!$F$4,0,AS165)&amp;OFFSET(NameConv!$AX$4,0,AU165)</f>
        <v>TRACH4S</v>
      </c>
      <c r="E165" s="515" t="str">
        <f ca="1">OFFSET(NameConv!$F$4,0,AS165)&amp;OFFSET(NameConv!$F$59,AT165,AS165)</f>
        <v>TRAGAS</v>
      </c>
      <c r="F165" s="740" t="s">
        <v>334</v>
      </c>
      <c r="G165" s="515" t="s">
        <v>337</v>
      </c>
      <c r="H165" s="740" t="s">
        <v>334</v>
      </c>
      <c r="I165" s="516">
        <v>0</v>
      </c>
      <c r="J165" s="517">
        <f ca="1">IF(E165="TRAOKE",0,SUMIF(NameConv!$C$5:$C$45,RIGHT(E165,3),OFFSET(NameConv!$AX$5,0,AU165,NameConv!$A$45,1)))</f>
        <v>1E-3</v>
      </c>
      <c r="K165" s="518"/>
      <c r="L165" s="518"/>
      <c r="M165" s="518"/>
      <c r="N165" s="518"/>
      <c r="O165" s="518"/>
      <c r="P165" s="518"/>
      <c r="Q165" s="518"/>
      <c r="R165" s="518"/>
      <c r="S165" s="518"/>
      <c r="T165" s="518"/>
      <c r="U165" s="518"/>
      <c r="V165" s="518"/>
      <c r="W165" s="518"/>
      <c r="X165" s="518"/>
      <c r="Y165" s="518"/>
      <c r="Z165" s="518"/>
      <c r="AA165" s="518"/>
      <c r="AB165" s="518"/>
      <c r="AC165" s="518"/>
      <c r="AD165" s="518"/>
      <c r="AE165" s="518"/>
      <c r="AF165" s="518"/>
      <c r="AG165" s="518"/>
      <c r="AH165" s="518"/>
      <c r="AI165" s="518"/>
      <c r="AJ165" s="518"/>
      <c r="AK165" s="518"/>
      <c r="AL165" s="518"/>
      <c r="AM165" s="518"/>
      <c r="AN165" s="518"/>
      <c r="AO165" s="518"/>
      <c r="AP165" s="518"/>
      <c r="AQ165" s="518"/>
      <c r="AR165" s="518"/>
      <c r="AS165" s="495">
        <f ca="1">IF(AND(AV164&gt;=SUMIF(NameConv!$C$5:$C$45,RIGHT(E164,3),NameConv!$CG$5:$CG$45),AT164=SUMIF(NameConv!$G$4:$M$4,LEFT(E164,3),NameConv!$G$45:$M$45)),AS164+1,AS164)</f>
        <v>4</v>
      </c>
      <c r="AT165" s="495">
        <f ca="1">IF(AS165&lt;&gt;AS164,1,IF(AV164&gt;=SUMIF(NameConv!$C$5:$C$45,RIGHT(E164,3),NameConv!$CG$5:$CG$45),AT164+1,AT164))</f>
        <v>2</v>
      </c>
      <c r="AU165" s="495">
        <f ca="1">SUMIF(NameConv!$C$5:$C$45,RIGHT(E165,3),OFFSET(NameConv!$CG$5,0,AV165,NameConv!$A$45,1))</f>
        <v>2</v>
      </c>
      <c r="AV165" s="495">
        <f ca="1">IF(AV164&gt;=SUMIF(NameConv!$C$5:$C$45,RIGHT(E164,3),NameConv!$CG$5:$CG$45),1,AV164+1)</f>
        <v>2</v>
      </c>
    </row>
    <row r="166" spans="1:48">
      <c r="A166" s="422" t="str">
        <f t="shared" ca="1" si="5"/>
        <v/>
      </c>
      <c r="B166" s="515" t="str">
        <f t="shared" si="4"/>
        <v>FLO_EMIS</v>
      </c>
      <c r="C166" s="518" t="str">
        <f ca="1">"X"&amp;OFFSET(NameConv!$F$4,0,AS166)&amp;OFFSET(NameConv!$F$59,AT166,AS166)</f>
        <v>XTRAGAS</v>
      </c>
      <c r="D166" s="515" t="str">
        <f ca="1">OFFSET(NameConv!$F$4,0,AS166)&amp;OFFSET(NameConv!$AX$4,0,AU166)</f>
        <v>TRAN2OS</v>
      </c>
      <c r="E166" s="515" t="str">
        <f ca="1">OFFSET(NameConv!$F$4,0,AS166)&amp;OFFSET(NameConv!$F$59,AT166,AS166)</f>
        <v>TRAGAS</v>
      </c>
      <c r="F166" s="740" t="s">
        <v>334</v>
      </c>
      <c r="G166" s="515" t="s">
        <v>337</v>
      </c>
      <c r="H166" s="740" t="s">
        <v>334</v>
      </c>
      <c r="I166" s="516">
        <v>0</v>
      </c>
      <c r="J166" s="517">
        <f ca="1">IF(E166="TRAOKE",0,SUMIF(NameConv!$C$5:$C$45,RIGHT(E166,3),OFFSET(NameConv!$AX$5,0,AU166,NameConv!$A$45,1)))</f>
        <v>1E-4</v>
      </c>
      <c r="K166" s="518"/>
      <c r="L166" s="518"/>
      <c r="M166" s="518"/>
      <c r="N166" s="518"/>
      <c r="O166" s="518"/>
      <c r="P166" s="518"/>
      <c r="Q166" s="518"/>
      <c r="R166" s="518"/>
      <c r="S166" s="518"/>
      <c r="T166" s="518"/>
      <c r="U166" s="518"/>
      <c r="V166" s="518"/>
      <c r="W166" s="518"/>
      <c r="X166" s="518"/>
      <c r="Y166" s="518"/>
      <c r="Z166" s="518"/>
      <c r="AA166" s="518"/>
      <c r="AB166" s="518"/>
      <c r="AC166" s="518"/>
      <c r="AD166" s="518"/>
      <c r="AE166" s="518"/>
      <c r="AF166" s="518"/>
      <c r="AG166" s="518"/>
      <c r="AH166" s="518"/>
      <c r="AI166" s="518"/>
      <c r="AJ166" s="518"/>
      <c r="AK166" s="518"/>
      <c r="AL166" s="518"/>
      <c r="AM166" s="518"/>
      <c r="AN166" s="518"/>
      <c r="AO166" s="518"/>
      <c r="AP166" s="518"/>
      <c r="AQ166" s="518"/>
      <c r="AR166" s="518"/>
      <c r="AS166" s="495">
        <f ca="1">IF(AND(AV165&gt;=SUMIF(NameConv!$C$5:$C$45,RIGHT(E165,3),NameConv!$CG$5:$CG$45),AT165=SUMIF(NameConv!$G$4:$M$4,LEFT(E165,3),NameConv!$G$45:$M$45)),AS165+1,AS165)</f>
        <v>4</v>
      </c>
      <c r="AT166" s="495">
        <f ca="1">IF(AS166&lt;&gt;AS165,1,IF(AV165&gt;=SUMIF(NameConv!$C$5:$C$45,RIGHT(E165,3),NameConv!$CG$5:$CG$45),AT165+1,AT165))</f>
        <v>2</v>
      </c>
      <c r="AU166" s="495">
        <f ca="1">SUMIF(NameConv!$C$5:$C$45,RIGHT(E166,3),OFFSET(NameConv!$CG$5,0,AV166,NameConv!$A$45,1))</f>
        <v>3</v>
      </c>
      <c r="AV166" s="495">
        <f ca="1">IF(AV165&gt;=SUMIF(NameConv!$C$5:$C$45,RIGHT(E165,3),NameConv!$CG$5:$CG$45),1,AV165+1)</f>
        <v>3</v>
      </c>
    </row>
    <row r="167" spans="1:48">
      <c r="A167" s="422" t="str">
        <f t="shared" ca="1" si="5"/>
        <v/>
      </c>
      <c r="B167" s="515" t="str">
        <f t="shared" si="4"/>
        <v>FLO_EMIS</v>
      </c>
      <c r="C167" s="518" t="str">
        <f ca="1">"X"&amp;OFFSET(NameConv!$F$4,0,AS167)&amp;OFFSET(NameConv!$F$59,AT167,AS167)</f>
        <v>XTRAGAS</v>
      </c>
      <c r="D167" s="515" t="str">
        <f ca="1">OFFSET(NameConv!$F$4,0,AS167)&amp;OFFSET(NameConv!$AX$4,0,AU167)</f>
        <v>TRANOXS</v>
      </c>
      <c r="E167" s="515" t="str">
        <f ca="1">OFFSET(NameConv!$F$4,0,AS167)&amp;OFFSET(NameConv!$F$59,AT167,AS167)</f>
        <v>TRAGAS</v>
      </c>
      <c r="F167" s="740" t="s">
        <v>334</v>
      </c>
      <c r="G167" s="515" t="s">
        <v>337</v>
      </c>
      <c r="H167" s="740" t="s">
        <v>334</v>
      </c>
      <c r="I167" s="516">
        <v>0</v>
      </c>
      <c r="J167" s="517">
        <f ca="1">IF(E167="TRAOKE",0,SUMIF(NameConv!$C$5:$C$45,RIGHT(E167,3),OFFSET(NameConv!$AX$5,0,AU167,NameConv!$A$45,1)))</f>
        <v>0.15</v>
      </c>
      <c r="K167" s="518"/>
      <c r="L167" s="518"/>
      <c r="M167" s="518"/>
      <c r="N167" s="518"/>
      <c r="O167" s="518"/>
      <c r="P167" s="518"/>
      <c r="Q167" s="518"/>
      <c r="R167" s="518"/>
      <c r="S167" s="518"/>
      <c r="T167" s="518"/>
      <c r="U167" s="518"/>
      <c r="V167" s="518"/>
      <c r="W167" s="518"/>
      <c r="X167" s="518"/>
      <c r="Y167" s="518"/>
      <c r="Z167" s="518"/>
      <c r="AA167" s="518"/>
      <c r="AB167" s="518"/>
      <c r="AC167" s="518"/>
      <c r="AD167" s="518"/>
      <c r="AE167" s="518"/>
      <c r="AF167" s="518"/>
      <c r="AG167" s="518"/>
      <c r="AH167" s="518"/>
      <c r="AI167" s="518"/>
      <c r="AJ167" s="518"/>
      <c r="AK167" s="518"/>
      <c r="AL167" s="518"/>
      <c r="AM167" s="518"/>
      <c r="AN167" s="518"/>
      <c r="AO167" s="518"/>
      <c r="AP167" s="518"/>
      <c r="AQ167" s="518"/>
      <c r="AR167" s="518"/>
      <c r="AS167" s="495">
        <f ca="1">IF(AND(AV166&gt;=SUMIF(NameConv!$C$5:$C$45,RIGHT(E166,3),NameConv!$CG$5:$CG$45),AT166=SUMIF(NameConv!$G$4:$M$4,LEFT(E166,3),NameConv!$G$45:$M$45)),AS166+1,AS166)</f>
        <v>4</v>
      </c>
      <c r="AT167" s="495">
        <f ca="1">IF(AS167&lt;&gt;AS166,1,IF(AV166&gt;=SUMIF(NameConv!$C$5:$C$45,RIGHT(E166,3),NameConv!$CG$5:$CG$45),AT166+1,AT166))</f>
        <v>2</v>
      </c>
      <c r="AU167" s="495">
        <f ca="1">SUMIF(NameConv!$C$5:$C$45,RIGHT(E167,3),OFFSET(NameConv!$CG$5,0,AV167,NameConv!$A$45,1))</f>
        <v>5</v>
      </c>
      <c r="AV167" s="495">
        <f ca="1">IF(AV166&gt;=SUMIF(NameConv!$C$5:$C$45,RIGHT(E166,3),NameConv!$CG$5:$CG$45),1,AV166+1)</f>
        <v>4</v>
      </c>
    </row>
    <row r="168" spans="1:48">
      <c r="A168" s="422" t="str">
        <f t="shared" ca="1" si="5"/>
        <v/>
      </c>
      <c r="B168" s="515" t="str">
        <f t="shared" si="4"/>
        <v>FLO_EMIS</v>
      </c>
      <c r="C168" s="518" t="str">
        <f ca="1">"X"&amp;OFFSET(NameConv!$F$4,0,AS168)&amp;OFFSET(NameConv!$F$59,AT168,AS168)</f>
        <v>XTRAGAS</v>
      </c>
      <c r="D168" s="515" t="str">
        <f ca="1">OFFSET(NameConv!$F$4,0,AS168)&amp;OFFSET(NameConv!$AX$4,0,AU168)</f>
        <v>TRACMOX</v>
      </c>
      <c r="E168" s="515" t="str">
        <f ca="1">OFFSET(NameConv!$F$4,0,AS168)&amp;OFFSET(NameConv!$F$59,AT168,AS168)</f>
        <v>TRAGAS</v>
      </c>
      <c r="F168" s="740" t="s">
        <v>334</v>
      </c>
      <c r="G168" s="515" t="s">
        <v>337</v>
      </c>
      <c r="H168" s="740" t="s">
        <v>334</v>
      </c>
      <c r="I168" s="516">
        <v>0</v>
      </c>
      <c r="J168" s="517">
        <f ca="1">IF(E168="TRAOKE",0,SUMIF(NameConv!$C$5:$C$45,RIGHT(E168,3),OFFSET(NameConv!$AX$5,0,AU168,NameConv!$A$45,1)))</f>
        <v>0.02</v>
      </c>
      <c r="K168" s="518"/>
      <c r="L168" s="518"/>
      <c r="M168" s="518"/>
      <c r="N168" s="518"/>
      <c r="O168" s="518"/>
      <c r="P168" s="518"/>
      <c r="Q168" s="518"/>
      <c r="R168" s="518"/>
      <c r="S168" s="518"/>
      <c r="T168" s="518"/>
      <c r="U168" s="518"/>
      <c r="V168" s="518"/>
      <c r="W168" s="518"/>
      <c r="X168" s="518"/>
      <c r="Y168" s="518"/>
      <c r="Z168" s="518"/>
      <c r="AA168" s="518"/>
      <c r="AB168" s="518"/>
      <c r="AC168" s="518"/>
      <c r="AD168" s="518"/>
      <c r="AE168" s="518"/>
      <c r="AF168" s="518"/>
      <c r="AG168" s="518"/>
      <c r="AH168" s="518"/>
      <c r="AI168" s="518"/>
      <c r="AJ168" s="518"/>
      <c r="AK168" s="518"/>
      <c r="AL168" s="518"/>
      <c r="AM168" s="518"/>
      <c r="AN168" s="518"/>
      <c r="AO168" s="518"/>
      <c r="AP168" s="518"/>
      <c r="AQ168" s="518"/>
      <c r="AR168" s="518"/>
      <c r="AS168" s="495">
        <f ca="1">IF(AND(AV167&gt;=SUMIF(NameConv!$C$5:$C$45,RIGHT(E167,3),NameConv!$CG$5:$CG$45),AT167=SUMIF(NameConv!$G$4:$M$4,LEFT(E167,3),NameConv!$G$45:$M$45)),AS167+1,AS167)</f>
        <v>4</v>
      </c>
      <c r="AT168" s="495">
        <f ca="1">IF(AS168&lt;&gt;AS167,1,IF(AV167&gt;=SUMIF(NameConv!$C$5:$C$45,RIGHT(E167,3),NameConv!$CG$5:$CG$45),AT167+1,AT167))</f>
        <v>2</v>
      </c>
      <c r="AU168" s="495">
        <f ca="1">SUMIF(NameConv!$C$5:$C$45,RIGHT(E168,3),OFFSET(NameConv!$CG$5,0,AV168,NameConv!$A$45,1))</f>
        <v>6</v>
      </c>
      <c r="AV168" s="495">
        <f ca="1">IF(AV167&gt;=SUMIF(NameConv!$C$5:$C$45,RIGHT(E167,3),NameConv!$CG$5:$CG$45),1,AV167+1)</f>
        <v>5</v>
      </c>
    </row>
    <row r="169" spans="1:48">
      <c r="A169" s="422" t="str">
        <f t="shared" ca="1" si="5"/>
        <v/>
      </c>
      <c r="B169" s="515" t="str">
        <f t="shared" si="4"/>
        <v>FLO_EMIS</v>
      </c>
      <c r="C169" s="518" t="str">
        <f ca="1">"X"&amp;OFFSET(NameConv!$F$4,0,AS169)&amp;OFFSET(NameConv!$F$59,AT169,AS169)</f>
        <v>XTRAGAS</v>
      </c>
      <c r="D169" s="515" t="str">
        <f ca="1">OFFSET(NameConv!$F$4,0,AS169)&amp;OFFSET(NameConv!$AX$4,0,AU169)</f>
        <v>TRANMVS</v>
      </c>
      <c r="E169" s="515" t="str">
        <f ca="1">OFFSET(NameConv!$F$4,0,AS169)&amp;OFFSET(NameConv!$F$59,AT169,AS169)</f>
        <v>TRAGAS</v>
      </c>
      <c r="F169" s="740" t="s">
        <v>334</v>
      </c>
      <c r="G169" s="515" t="s">
        <v>337</v>
      </c>
      <c r="H169" s="740" t="s">
        <v>334</v>
      </c>
      <c r="I169" s="516">
        <v>0</v>
      </c>
      <c r="J169" s="517">
        <f ca="1">IF(E169="TRAOKE",0,SUMIF(NameConv!$C$5:$C$45,RIGHT(E169,3),OFFSET(NameConv!$AX$5,0,AU169,NameConv!$A$45,1)))</f>
        <v>5.0000000000000001E-3</v>
      </c>
      <c r="K169" s="518"/>
      <c r="L169" s="518"/>
      <c r="M169" s="518"/>
      <c r="N169" s="518"/>
      <c r="O169" s="518"/>
      <c r="P169" s="518"/>
      <c r="Q169" s="518"/>
      <c r="R169" s="518"/>
      <c r="S169" s="518"/>
      <c r="T169" s="518"/>
      <c r="U169" s="518"/>
      <c r="V169" s="518"/>
      <c r="W169" s="518"/>
      <c r="X169" s="518"/>
      <c r="Y169" s="518"/>
      <c r="Z169" s="518"/>
      <c r="AA169" s="518"/>
      <c r="AB169" s="518"/>
      <c r="AC169" s="518"/>
      <c r="AD169" s="518"/>
      <c r="AE169" s="518"/>
      <c r="AF169" s="518"/>
      <c r="AG169" s="518"/>
      <c r="AH169" s="518"/>
      <c r="AI169" s="518"/>
      <c r="AJ169" s="518"/>
      <c r="AK169" s="518"/>
      <c r="AL169" s="518"/>
      <c r="AM169" s="518"/>
      <c r="AN169" s="518"/>
      <c r="AO169" s="518"/>
      <c r="AP169" s="518"/>
      <c r="AQ169" s="518"/>
      <c r="AR169" s="518"/>
      <c r="AS169" s="495">
        <f ca="1">IF(AND(AV168&gt;=SUMIF(NameConv!$C$5:$C$45,RIGHT(E168,3),NameConv!$CG$5:$CG$45),AT168=SUMIF(NameConv!$G$4:$M$4,LEFT(E168,3),NameConv!$G$45:$M$45)),AS168+1,AS168)</f>
        <v>4</v>
      </c>
      <c r="AT169" s="495">
        <f ca="1">IF(AS169&lt;&gt;AS168,1,IF(AV168&gt;=SUMIF(NameConv!$C$5:$C$45,RIGHT(E168,3),NameConv!$CG$5:$CG$45),AT168+1,AT168))</f>
        <v>2</v>
      </c>
      <c r="AU169" s="495">
        <f ca="1">SUMIF(NameConv!$C$5:$C$45,RIGHT(E169,3),OFFSET(NameConv!$CG$5,0,AV169,NameConv!$A$45,1))</f>
        <v>7</v>
      </c>
      <c r="AV169" s="495">
        <f ca="1">IF(AV168&gt;=SUMIF(NameConv!$C$5:$C$45,RIGHT(E168,3),NameConv!$CG$5:$CG$45),1,AV168+1)</f>
        <v>6</v>
      </c>
    </row>
    <row r="170" spans="1:48">
      <c r="A170" s="422" t="str">
        <f t="shared" ca="1" si="5"/>
        <v>*</v>
      </c>
      <c r="B170" s="515" t="str">
        <f t="shared" si="4"/>
        <v>FLO_EMIS</v>
      </c>
      <c r="C170" s="518" t="str">
        <f ca="1">"X"&amp;OFFSET(NameConv!$F$4,0,AS170)&amp;OFFSET(NameConv!$F$59,AT170,AS170)</f>
        <v>XTRAHGN</v>
      </c>
      <c r="D170" s="515" t="str">
        <f ca="1">OFFSET(NameConv!$F$4,0,AS170)&amp;OFFSET(NameConv!$AX$4,0,AU170)</f>
        <v>TRA</v>
      </c>
      <c r="E170" s="515" t="str">
        <f ca="1">OFFSET(NameConv!$F$4,0,AS170)&amp;OFFSET(NameConv!$F$59,AT170,AS170)</f>
        <v>TRAHGN</v>
      </c>
      <c r="F170" s="740" t="s">
        <v>334</v>
      </c>
      <c r="G170" s="515" t="s">
        <v>337</v>
      </c>
      <c r="H170" s="740" t="s">
        <v>334</v>
      </c>
      <c r="I170" s="516">
        <v>0</v>
      </c>
      <c r="J170" s="517">
        <f ca="1">IF(E170="TRAOKE",0,SUMIF(NameConv!$C$5:$C$45,RIGHT(E170,3),OFFSET(NameConv!$AX$5,0,AU170,NameConv!$A$45,1)))</f>
        <v>0</v>
      </c>
      <c r="K170" s="518"/>
      <c r="L170" s="518"/>
      <c r="M170" s="518"/>
      <c r="N170" s="518"/>
      <c r="O170" s="518"/>
      <c r="P170" s="518"/>
      <c r="Q170" s="518"/>
      <c r="R170" s="518"/>
      <c r="S170" s="518"/>
      <c r="T170" s="518"/>
      <c r="U170" s="518"/>
      <c r="V170" s="518"/>
      <c r="W170" s="518"/>
      <c r="X170" s="518"/>
      <c r="Y170" s="518"/>
      <c r="Z170" s="518"/>
      <c r="AA170" s="518"/>
      <c r="AB170" s="518"/>
      <c r="AC170" s="518"/>
      <c r="AD170" s="518"/>
      <c r="AE170" s="518"/>
      <c r="AF170" s="518"/>
      <c r="AG170" s="518"/>
      <c r="AH170" s="518"/>
      <c r="AI170" s="518"/>
      <c r="AJ170" s="518"/>
      <c r="AK170" s="518"/>
      <c r="AL170" s="518"/>
      <c r="AM170" s="518"/>
      <c r="AN170" s="518"/>
      <c r="AO170" s="518"/>
      <c r="AP170" s="518"/>
      <c r="AQ170" s="518"/>
      <c r="AR170" s="518"/>
      <c r="AS170" s="495">
        <f ca="1">IF(AND(AV169&gt;=SUMIF(NameConv!$C$5:$C$45,RIGHT(E169,3),NameConv!$CG$5:$CG$45),AT169=SUMIF(NameConv!$G$4:$M$4,LEFT(E169,3),NameConv!$G$45:$M$45)),AS169+1,AS169)</f>
        <v>4</v>
      </c>
      <c r="AT170" s="495">
        <f ca="1">IF(AS170&lt;&gt;AS169,1,IF(AV169&gt;=SUMIF(NameConv!$C$5:$C$45,RIGHT(E169,3),NameConv!$CG$5:$CG$45),AT169+1,AT169))</f>
        <v>3</v>
      </c>
      <c r="AU170" s="495">
        <f ca="1">SUMIF(NameConv!$C$5:$C$45,RIGHT(E170,3),OFFSET(NameConv!$CG$5,0,AV170,NameConv!$A$45,1))</f>
        <v>0</v>
      </c>
      <c r="AV170" s="495">
        <f ca="1">IF(AV169&gt;=SUMIF(NameConv!$C$5:$C$45,RIGHT(E169,3),NameConv!$CG$5:$CG$45),1,AV169+1)</f>
        <v>1</v>
      </c>
    </row>
    <row r="171" spans="1:48">
      <c r="A171" s="422" t="str">
        <f t="shared" ca="1" si="5"/>
        <v/>
      </c>
      <c r="B171" s="515" t="str">
        <f t="shared" si="4"/>
        <v>FLO_EMIS</v>
      </c>
      <c r="C171" s="518" t="str">
        <f ca="1">"X"&amp;OFFSET(NameConv!$F$4,0,AS171)&amp;OFFSET(NameConv!$F$59,AT171,AS171)</f>
        <v>XTRAOAG</v>
      </c>
      <c r="D171" s="515" t="str">
        <f ca="1">OFFSET(NameConv!$F$4,0,AS171)&amp;OFFSET(NameConv!$AX$4,0,AU171)</f>
        <v>TRACO2S</v>
      </c>
      <c r="E171" s="515" t="str">
        <f ca="1">OFFSET(NameConv!$F$4,0,AS171)&amp;OFFSET(NameConv!$F$59,AT171,AS171)</f>
        <v>TRAOAG</v>
      </c>
      <c r="F171" s="740" t="s">
        <v>334</v>
      </c>
      <c r="G171" s="515" t="s">
        <v>337</v>
      </c>
      <c r="H171" s="740" t="s">
        <v>334</v>
      </c>
      <c r="I171" s="516">
        <v>0</v>
      </c>
      <c r="J171" s="517">
        <f ca="1">IF(E171="TRAOKE",0,SUMIF(NameConv!$C$5:$C$45,RIGHT(E171,3),OFFSET(NameConv!$AX$5,0,AU171,NameConv!$A$45,1)))</f>
        <v>70</v>
      </c>
      <c r="K171" s="518"/>
      <c r="L171" s="518"/>
      <c r="M171" s="518"/>
      <c r="N171" s="518"/>
      <c r="O171" s="518"/>
      <c r="P171" s="518"/>
      <c r="Q171" s="518"/>
      <c r="R171" s="518"/>
      <c r="S171" s="518"/>
      <c r="T171" s="518"/>
      <c r="U171" s="518"/>
      <c r="V171" s="518"/>
      <c r="W171" s="518"/>
      <c r="X171" s="518"/>
      <c r="Y171" s="518"/>
      <c r="Z171" s="518"/>
      <c r="AA171" s="518"/>
      <c r="AB171" s="518"/>
      <c r="AC171" s="518"/>
      <c r="AD171" s="518"/>
      <c r="AE171" s="518"/>
      <c r="AF171" s="518"/>
      <c r="AG171" s="518"/>
      <c r="AH171" s="518"/>
      <c r="AI171" s="518"/>
      <c r="AJ171" s="518"/>
      <c r="AK171" s="518"/>
      <c r="AL171" s="518"/>
      <c r="AM171" s="518"/>
      <c r="AN171" s="518"/>
      <c r="AO171" s="518"/>
      <c r="AP171" s="518"/>
      <c r="AQ171" s="518"/>
      <c r="AR171" s="518"/>
      <c r="AS171" s="495">
        <f ca="1">IF(AND(AV170&gt;=SUMIF(NameConv!$C$5:$C$45,RIGHT(E170,3),NameConv!$CG$5:$CG$45),AT170=SUMIF(NameConv!$G$4:$M$4,LEFT(E170,3),NameConv!$G$45:$M$45)),AS170+1,AS170)</f>
        <v>4</v>
      </c>
      <c r="AT171" s="495">
        <f ca="1">IF(AS171&lt;&gt;AS170,1,IF(AV170&gt;=SUMIF(NameConv!$C$5:$C$45,RIGHT(E170,3),NameConv!$CG$5:$CG$45),AT170+1,AT170))</f>
        <v>4</v>
      </c>
      <c r="AU171" s="495">
        <f ca="1">SUMIF(NameConv!$C$5:$C$45,RIGHT(E171,3),OFFSET(NameConv!$CG$5,0,AV171,NameConv!$A$45,1))</f>
        <v>1</v>
      </c>
      <c r="AV171" s="495">
        <f ca="1">IF(AV170&gt;=SUMIF(NameConv!$C$5:$C$45,RIGHT(E170,3),NameConv!$CG$5:$CG$45),1,AV170+1)</f>
        <v>1</v>
      </c>
    </row>
    <row r="172" spans="1:48">
      <c r="A172" s="422" t="str">
        <f t="shared" ca="1" si="5"/>
        <v/>
      </c>
      <c r="B172" s="515" t="str">
        <f t="shared" si="4"/>
        <v>FLO_EMIS</v>
      </c>
      <c r="C172" s="518" t="str">
        <f ca="1">"X"&amp;OFFSET(NameConv!$F$4,0,AS172)&amp;OFFSET(NameConv!$F$59,AT172,AS172)</f>
        <v>XTRAOAG</v>
      </c>
      <c r="D172" s="515" t="str">
        <f ca="1">OFFSET(NameConv!$F$4,0,AS172)&amp;OFFSET(NameConv!$AX$4,0,AU172)</f>
        <v>TRACH4S</v>
      </c>
      <c r="E172" s="515" t="str">
        <f ca="1">OFFSET(NameConv!$F$4,0,AS172)&amp;OFFSET(NameConv!$F$59,AT172,AS172)</f>
        <v>TRAOAG</v>
      </c>
      <c r="F172" s="740" t="s">
        <v>334</v>
      </c>
      <c r="G172" s="515" t="s">
        <v>337</v>
      </c>
      <c r="H172" s="740" t="s">
        <v>334</v>
      </c>
      <c r="I172" s="516">
        <v>0</v>
      </c>
      <c r="J172" s="517">
        <f ca="1">IF(E172="TRAOKE",0,SUMIF(NameConv!$C$5:$C$45,RIGHT(E172,3),OFFSET(NameConv!$AX$5,0,AU172,NameConv!$A$45,1)))</f>
        <v>3.0000000000000001E-3</v>
      </c>
      <c r="K172" s="518"/>
      <c r="L172" s="518"/>
      <c r="M172" s="518"/>
      <c r="N172" s="518"/>
      <c r="O172" s="518"/>
      <c r="P172" s="518"/>
      <c r="Q172" s="518"/>
      <c r="R172" s="518"/>
      <c r="S172" s="518"/>
      <c r="T172" s="518"/>
      <c r="U172" s="518"/>
      <c r="V172" s="518"/>
      <c r="W172" s="518"/>
      <c r="X172" s="518"/>
      <c r="Y172" s="518"/>
      <c r="Z172" s="518"/>
      <c r="AA172" s="518"/>
      <c r="AB172" s="518"/>
      <c r="AC172" s="518"/>
      <c r="AD172" s="518"/>
      <c r="AE172" s="518"/>
      <c r="AF172" s="518"/>
      <c r="AG172" s="518"/>
      <c r="AH172" s="518"/>
      <c r="AI172" s="518"/>
      <c r="AJ172" s="518"/>
      <c r="AK172" s="518"/>
      <c r="AL172" s="518"/>
      <c r="AM172" s="518"/>
      <c r="AN172" s="518"/>
      <c r="AO172" s="518"/>
      <c r="AP172" s="518"/>
      <c r="AQ172" s="518"/>
      <c r="AR172" s="518"/>
      <c r="AS172" s="495">
        <f ca="1">IF(AND(AV171&gt;=SUMIF(NameConv!$C$5:$C$45,RIGHT(E171,3),NameConv!$CG$5:$CG$45),AT171=SUMIF(NameConv!$G$4:$M$4,LEFT(E171,3),NameConv!$G$45:$M$45)),AS171+1,AS171)</f>
        <v>4</v>
      </c>
      <c r="AT172" s="495">
        <f ca="1">IF(AS172&lt;&gt;AS171,1,IF(AV171&gt;=SUMIF(NameConv!$C$5:$C$45,RIGHT(E171,3),NameConv!$CG$5:$CG$45),AT171+1,AT171))</f>
        <v>4</v>
      </c>
      <c r="AU172" s="495">
        <f ca="1">SUMIF(NameConv!$C$5:$C$45,RIGHT(E172,3),OFFSET(NameConv!$CG$5,0,AV172,NameConv!$A$45,1))</f>
        <v>2</v>
      </c>
      <c r="AV172" s="495">
        <f ca="1">IF(AV171&gt;=SUMIF(NameConv!$C$5:$C$45,RIGHT(E171,3),NameConv!$CG$5:$CG$45),1,AV171+1)</f>
        <v>2</v>
      </c>
    </row>
    <row r="173" spans="1:48">
      <c r="A173" s="422" t="str">
        <f t="shared" ca="1" si="5"/>
        <v/>
      </c>
      <c r="B173" s="515" t="str">
        <f t="shared" si="4"/>
        <v>FLO_EMIS</v>
      </c>
      <c r="C173" s="518" t="str">
        <f ca="1">"X"&amp;OFFSET(NameConv!$F$4,0,AS173)&amp;OFFSET(NameConv!$F$59,AT173,AS173)</f>
        <v>XTRAOAG</v>
      </c>
      <c r="D173" s="515" t="str">
        <f ca="1">OFFSET(NameConv!$F$4,0,AS173)&amp;OFFSET(NameConv!$AX$4,0,AU173)</f>
        <v>TRAN2OS</v>
      </c>
      <c r="E173" s="515" t="str">
        <f ca="1">OFFSET(NameConv!$F$4,0,AS173)&amp;OFFSET(NameConv!$F$59,AT173,AS173)</f>
        <v>TRAOAG</v>
      </c>
      <c r="F173" s="740" t="s">
        <v>334</v>
      </c>
      <c r="G173" s="515" t="s">
        <v>337</v>
      </c>
      <c r="H173" s="740" t="s">
        <v>334</v>
      </c>
      <c r="I173" s="516">
        <v>0</v>
      </c>
      <c r="J173" s="517">
        <f ca="1">IF(E173="TRAOKE",0,SUMIF(NameConv!$C$5:$C$45,RIGHT(E173,3),OFFSET(NameConv!$AX$5,0,AU173,NameConv!$A$45,1)))</f>
        <v>5.9999999999999995E-4</v>
      </c>
      <c r="K173" s="518"/>
      <c r="L173" s="518"/>
      <c r="M173" s="518"/>
      <c r="N173" s="518"/>
      <c r="O173" s="518"/>
      <c r="P173" s="518"/>
      <c r="Q173" s="518"/>
      <c r="R173" s="518"/>
      <c r="S173" s="518"/>
      <c r="T173" s="518"/>
      <c r="U173" s="518"/>
      <c r="V173" s="518"/>
      <c r="W173" s="518"/>
      <c r="X173" s="518"/>
      <c r="Y173" s="518"/>
      <c r="Z173" s="518"/>
      <c r="AA173" s="518"/>
      <c r="AB173" s="518"/>
      <c r="AC173" s="518"/>
      <c r="AD173" s="518"/>
      <c r="AE173" s="518"/>
      <c r="AF173" s="518"/>
      <c r="AG173" s="518"/>
      <c r="AH173" s="518"/>
      <c r="AI173" s="518"/>
      <c r="AJ173" s="518"/>
      <c r="AK173" s="518"/>
      <c r="AL173" s="518"/>
      <c r="AM173" s="518"/>
      <c r="AN173" s="518"/>
      <c r="AO173" s="518"/>
      <c r="AP173" s="518"/>
      <c r="AQ173" s="518"/>
      <c r="AR173" s="518"/>
      <c r="AS173" s="495">
        <f ca="1">IF(AND(AV172&gt;=SUMIF(NameConv!$C$5:$C$45,RIGHT(E172,3),NameConv!$CG$5:$CG$45),AT172=SUMIF(NameConv!$G$4:$M$4,LEFT(E172,3),NameConv!$G$45:$M$45)),AS172+1,AS172)</f>
        <v>4</v>
      </c>
      <c r="AT173" s="495">
        <f ca="1">IF(AS173&lt;&gt;AS172,1,IF(AV172&gt;=SUMIF(NameConv!$C$5:$C$45,RIGHT(E172,3),NameConv!$CG$5:$CG$45),AT172+1,AT172))</f>
        <v>4</v>
      </c>
      <c r="AU173" s="495">
        <f ca="1">SUMIF(NameConv!$C$5:$C$45,RIGHT(E173,3),OFFSET(NameConv!$CG$5,0,AV173,NameConv!$A$45,1))</f>
        <v>3</v>
      </c>
      <c r="AV173" s="495">
        <f ca="1">IF(AV172&gt;=SUMIF(NameConv!$C$5:$C$45,RIGHT(E172,3),NameConv!$CG$5:$CG$45),1,AV172+1)</f>
        <v>3</v>
      </c>
    </row>
    <row r="174" spans="1:48">
      <c r="A174" s="422" t="str">
        <f t="shared" ca="1" si="5"/>
        <v/>
      </c>
      <c r="B174" s="515" t="str">
        <f t="shared" si="4"/>
        <v>FLO_EMIS</v>
      </c>
      <c r="C174" s="518" t="str">
        <f ca="1">"X"&amp;OFFSET(NameConv!$F$4,0,AS174)&amp;OFFSET(NameConv!$F$59,AT174,AS174)</f>
        <v>XTRAOAG</v>
      </c>
      <c r="D174" s="515" t="str">
        <f ca="1">OFFSET(NameConv!$F$4,0,AS174)&amp;OFFSET(NameConv!$AX$4,0,AU174)</f>
        <v>TRASOXS</v>
      </c>
      <c r="E174" s="515" t="str">
        <f ca="1">OFFSET(NameConv!$F$4,0,AS174)&amp;OFFSET(NameConv!$F$59,AT174,AS174)</f>
        <v>TRAOAG</v>
      </c>
      <c r="F174" s="740" t="s">
        <v>334</v>
      </c>
      <c r="G174" s="515" t="s">
        <v>337</v>
      </c>
      <c r="H174" s="740" t="s">
        <v>334</v>
      </c>
      <c r="I174" s="516">
        <v>0</v>
      </c>
      <c r="J174" s="517">
        <f ca="1">IF(E174="TRAOKE",0,SUMIF(NameConv!$C$5:$C$45,RIGHT(E174,3),OFFSET(NameConv!$AX$5,0,AU174,NameConv!$A$45,1)))</f>
        <v>4.6699999999999998E-2</v>
      </c>
      <c r="K174" s="518"/>
      <c r="L174" s="518"/>
      <c r="M174" s="518"/>
      <c r="N174" s="518"/>
      <c r="O174" s="518"/>
      <c r="P174" s="518"/>
      <c r="Q174" s="518"/>
      <c r="R174" s="518"/>
      <c r="S174" s="518"/>
      <c r="T174" s="518"/>
      <c r="U174" s="518"/>
      <c r="V174" s="518"/>
      <c r="W174" s="518"/>
      <c r="X174" s="518"/>
      <c r="Y174" s="518"/>
      <c r="Z174" s="518"/>
      <c r="AA174" s="518"/>
      <c r="AB174" s="518"/>
      <c r="AC174" s="518"/>
      <c r="AD174" s="518"/>
      <c r="AE174" s="518"/>
      <c r="AF174" s="518"/>
      <c r="AG174" s="518"/>
      <c r="AH174" s="518"/>
      <c r="AI174" s="518"/>
      <c r="AJ174" s="518"/>
      <c r="AK174" s="518"/>
      <c r="AL174" s="518"/>
      <c r="AM174" s="518"/>
      <c r="AN174" s="518"/>
      <c r="AO174" s="518"/>
      <c r="AP174" s="518"/>
      <c r="AQ174" s="518"/>
      <c r="AR174" s="518"/>
      <c r="AS174" s="495">
        <f ca="1">IF(AND(AV173&gt;=SUMIF(NameConv!$C$5:$C$45,RIGHT(E173,3),NameConv!$CG$5:$CG$45),AT173=SUMIF(NameConv!$G$4:$M$4,LEFT(E173,3),NameConv!$G$45:$M$45)),AS173+1,AS173)</f>
        <v>4</v>
      </c>
      <c r="AT174" s="495">
        <f ca="1">IF(AS174&lt;&gt;AS173,1,IF(AV173&gt;=SUMIF(NameConv!$C$5:$C$45,RIGHT(E173,3),NameConv!$CG$5:$CG$45),AT173+1,AT173))</f>
        <v>4</v>
      </c>
      <c r="AU174" s="495">
        <f ca="1">SUMIF(NameConv!$C$5:$C$45,RIGHT(E174,3),OFFSET(NameConv!$CG$5,0,AV174,NameConv!$A$45,1))</f>
        <v>4</v>
      </c>
      <c r="AV174" s="495">
        <f ca="1">IF(AV173&gt;=SUMIF(NameConv!$C$5:$C$45,RIGHT(E173,3),NameConv!$CG$5:$CG$45),1,AV173+1)</f>
        <v>4</v>
      </c>
    </row>
    <row r="175" spans="1:48">
      <c r="A175" s="422" t="str">
        <f t="shared" ca="1" si="5"/>
        <v/>
      </c>
      <c r="B175" s="515" t="str">
        <f t="shared" si="4"/>
        <v>FLO_EMIS</v>
      </c>
      <c r="C175" s="518" t="str">
        <f ca="1">"X"&amp;OFFSET(NameConv!$F$4,0,AS175)&amp;OFFSET(NameConv!$F$59,AT175,AS175)</f>
        <v>XTRAOAG</v>
      </c>
      <c r="D175" s="515" t="str">
        <f ca="1">OFFSET(NameConv!$F$4,0,AS175)&amp;OFFSET(NameConv!$AX$4,0,AU175)</f>
        <v>TRANOXS</v>
      </c>
      <c r="E175" s="515" t="str">
        <f ca="1">OFFSET(NameConv!$F$4,0,AS175)&amp;OFFSET(NameConv!$F$59,AT175,AS175)</f>
        <v>TRAOAG</v>
      </c>
      <c r="F175" s="740" t="s">
        <v>334</v>
      </c>
      <c r="G175" s="515" t="s">
        <v>337</v>
      </c>
      <c r="H175" s="740" t="s">
        <v>334</v>
      </c>
      <c r="I175" s="516">
        <v>0</v>
      </c>
      <c r="J175" s="517">
        <f ca="1">IF(E175="TRAOKE",0,SUMIF(NameConv!$C$5:$C$45,RIGHT(E175,3),OFFSET(NameConv!$AX$5,0,AU175,NameConv!$A$45,1)))</f>
        <v>0.3</v>
      </c>
      <c r="K175" s="518"/>
      <c r="L175" s="518"/>
      <c r="M175" s="518"/>
      <c r="N175" s="518"/>
      <c r="O175" s="518"/>
      <c r="P175" s="518"/>
      <c r="Q175" s="518"/>
      <c r="R175" s="518"/>
      <c r="S175" s="518"/>
      <c r="T175" s="518"/>
      <c r="U175" s="518"/>
      <c r="V175" s="518"/>
      <c r="W175" s="518"/>
      <c r="X175" s="518"/>
      <c r="Y175" s="518"/>
      <c r="Z175" s="518"/>
      <c r="AA175" s="518"/>
      <c r="AB175" s="518"/>
      <c r="AC175" s="518"/>
      <c r="AD175" s="518"/>
      <c r="AE175" s="518"/>
      <c r="AF175" s="518"/>
      <c r="AG175" s="518"/>
      <c r="AH175" s="518"/>
      <c r="AI175" s="518"/>
      <c r="AJ175" s="518"/>
      <c r="AK175" s="518"/>
      <c r="AL175" s="518"/>
      <c r="AM175" s="518"/>
      <c r="AN175" s="518"/>
      <c r="AO175" s="518"/>
      <c r="AP175" s="518"/>
      <c r="AQ175" s="518"/>
      <c r="AR175" s="518"/>
      <c r="AS175" s="495">
        <f ca="1">IF(AND(AV174&gt;=SUMIF(NameConv!$C$5:$C$45,RIGHT(E174,3),NameConv!$CG$5:$CG$45),AT174=SUMIF(NameConv!$G$4:$M$4,LEFT(E174,3),NameConv!$G$45:$M$45)),AS174+1,AS174)</f>
        <v>4</v>
      </c>
      <c r="AT175" s="495">
        <f ca="1">IF(AS175&lt;&gt;AS174,1,IF(AV174&gt;=SUMIF(NameConv!$C$5:$C$45,RIGHT(E174,3),NameConv!$CG$5:$CG$45),AT174+1,AT174))</f>
        <v>4</v>
      </c>
      <c r="AU175" s="495">
        <f ca="1">SUMIF(NameConv!$C$5:$C$45,RIGHT(E175,3),OFFSET(NameConv!$CG$5,0,AV175,NameConv!$A$45,1))</f>
        <v>5</v>
      </c>
      <c r="AV175" s="495">
        <f ca="1">IF(AV174&gt;=SUMIF(NameConv!$C$5:$C$45,RIGHT(E174,3),NameConv!$CG$5:$CG$45),1,AV174+1)</f>
        <v>5</v>
      </c>
    </row>
    <row r="176" spans="1:48">
      <c r="A176" s="422" t="str">
        <f t="shared" ca="1" si="5"/>
        <v/>
      </c>
      <c r="B176" s="515" t="str">
        <f t="shared" si="4"/>
        <v>FLO_EMIS</v>
      </c>
      <c r="C176" s="518" t="str">
        <f ca="1">"X"&amp;OFFSET(NameConv!$F$4,0,AS176)&amp;OFFSET(NameConv!$F$59,AT176,AS176)</f>
        <v>XTRAOAG</v>
      </c>
      <c r="D176" s="515" t="str">
        <f ca="1">OFFSET(NameConv!$F$4,0,AS176)&amp;OFFSET(NameConv!$AX$4,0,AU176)</f>
        <v>TRACMOX</v>
      </c>
      <c r="E176" s="515" t="str">
        <f ca="1">OFFSET(NameConv!$F$4,0,AS176)&amp;OFFSET(NameConv!$F$59,AT176,AS176)</f>
        <v>TRAOAG</v>
      </c>
      <c r="F176" s="740" t="s">
        <v>334</v>
      </c>
      <c r="G176" s="515" t="s">
        <v>337</v>
      </c>
      <c r="H176" s="740" t="s">
        <v>334</v>
      </c>
      <c r="I176" s="516">
        <v>0</v>
      </c>
      <c r="J176" s="517">
        <f ca="1">IF(E176="TRAOKE",0,SUMIF(NameConv!$C$5:$C$45,RIGHT(E176,3),OFFSET(NameConv!$AX$5,0,AU176,NameConv!$A$45,1)))</f>
        <v>0.1</v>
      </c>
      <c r="K176" s="518"/>
      <c r="L176" s="518"/>
      <c r="M176" s="518"/>
      <c r="N176" s="518"/>
      <c r="O176" s="518"/>
      <c r="P176" s="518"/>
      <c r="Q176" s="518"/>
      <c r="R176" s="518"/>
      <c r="S176" s="518"/>
      <c r="T176" s="518"/>
      <c r="U176" s="518"/>
      <c r="V176" s="518"/>
      <c r="W176" s="518"/>
      <c r="X176" s="518"/>
      <c r="Y176" s="518"/>
      <c r="Z176" s="518"/>
      <c r="AA176" s="518"/>
      <c r="AB176" s="518"/>
      <c r="AC176" s="518"/>
      <c r="AD176" s="518"/>
      <c r="AE176" s="518"/>
      <c r="AF176" s="518"/>
      <c r="AG176" s="518"/>
      <c r="AH176" s="518"/>
      <c r="AI176" s="518"/>
      <c r="AJ176" s="518"/>
      <c r="AK176" s="518"/>
      <c r="AL176" s="518"/>
      <c r="AM176" s="518"/>
      <c r="AN176" s="518"/>
      <c r="AO176" s="518"/>
      <c r="AP176" s="518"/>
      <c r="AQ176" s="518"/>
      <c r="AR176" s="518"/>
      <c r="AS176" s="495">
        <f ca="1">IF(AND(AV175&gt;=SUMIF(NameConv!$C$5:$C$45,RIGHT(E175,3),NameConv!$CG$5:$CG$45),AT175=SUMIF(NameConv!$G$4:$M$4,LEFT(E175,3),NameConv!$G$45:$M$45)),AS175+1,AS175)</f>
        <v>4</v>
      </c>
      <c r="AT176" s="495">
        <f ca="1">IF(AS176&lt;&gt;AS175,1,IF(AV175&gt;=SUMIF(NameConv!$C$5:$C$45,RIGHT(E175,3),NameConv!$CG$5:$CG$45),AT175+1,AT175))</f>
        <v>4</v>
      </c>
      <c r="AU176" s="495">
        <f ca="1">SUMIF(NameConv!$C$5:$C$45,RIGHT(E176,3),OFFSET(NameConv!$CG$5,0,AV176,NameConv!$A$45,1))</f>
        <v>6</v>
      </c>
      <c r="AV176" s="495">
        <f ca="1">IF(AV175&gt;=SUMIF(NameConv!$C$5:$C$45,RIGHT(E175,3),NameConv!$CG$5:$CG$45),1,AV175+1)</f>
        <v>6</v>
      </c>
    </row>
    <row r="177" spans="1:48">
      <c r="A177" s="422" t="str">
        <f t="shared" ca="1" si="5"/>
        <v/>
      </c>
      <c r="B177" s="515" t="str">
        <f t="shared" si="4"/>
        <v>FLO_EMIS</v>
      </c>
      <c r="C177" s="518" t="str">
        <f ca="1">"X"&amp;OFFSET(NameConv!$F$4,0,AS177)&amp;OFFSET(NameConv!$F$59,AT177,AS177)</f>
        <v>XTRAOAG</v>
      </c>
      <c r="D177" s="515" t="str">
        <f ca="1">OFFSET(NameConv!$F$4,0,AS177)&amp;OFFSET(NameConv!$AX$4,0,AU177)</f>
        <v>TRANMVS</v>
      </c>
      <c r="E177" s="515" t="str">
        <f ca="1">OFFSET(NameConv!$F$4,0,AS177)&amp;OFFSET(NameConv!$F$59,AT177,AS177)</f>
        <v>TRAOAG</v>
      </c>
      <c r="F177" s="740" t="s">
        <v>334</v>
      </c>
      <c r="G177" s="515" t="s">
        <v>337</v>
      </c>
      <c r="H177" s="740" t="s">
        <v>334</v>
      </c>
      <c r="I177" s="516">
        <v>0</v>
      </c>
      <c r="J177" s="517">
        <f ca="1">IF(E177="TRAOKE",0,SUMIF(NameConv!$C$5:$C$45,RIGHT(E177,3),OFFSET(NameConv!$AX$5,0,AU177,NameConv!$A$45,1)))</f>
        <v>0.05</v>
      </c>
      <c r="K177" s="518"/>
      <c r="L177" s="518"/>
      <c r="M177" s="518"/>
      <c r="N177" s="518"/>
      <c r="O177" s="518"/>
      <c r="P177" s="518"/>
      <c r="Q177" s="518"/>
      <c r="R177" s="518"/>
      <c r="S177" s="518"/>
      <c r="T177" s="518"/>
      <c r="U177" s="518"/>
      <c r="V177" s="518"/>
      <c r="W177" s="518"/>
      <c r="X177" s="518"/>
      <c r="Y177" s="518"/>
      <c r="Z177" s="518"/>
      <c r="AA177" s="518"/>
      <c r="AB177" s="518"/>
      <c r="AC177" s="518"/>
      <c r="AD177" s="518"/>
      <c r="AE177" s="518"/>
      <c r="AF177" s="518"/>
      <c r="AG177" s="518"/>
      <c r="AH177" s="518"/>
      <c r="AI177" s="518"/>
      <c r="AJ177" s="518"/>
      <c r="AK177" s="518"/>
      <c r="AL177" s="518"/>
      <c r="AM177" s="518"/>
      <c r="AN177" s="518"/>
      <c r="AO177" s="518"/>
      <c r="AP177" s="518"/>
      <c r="AQ177" s="518"/>
      <c r="AR177" s="518"/>
      <c r="AS177" s="495">
        <f ca="1">IF(AND(AV176&gt;=SUMIF(NameConv!$C$5:$C$45,RIGHT(E176,3),NameConv!$CG$5:$CG$45),AT176=SUMIF(NameConv!$G$4:$M$4,LEFT(E176,3),NameConv!$G$45:$M$45)),AS176+1,AS176)</f>
        <v>4</v>
      </c>
      <c r="AT177" s="495">
        <f ca="1">IF(AS177&lt;&gt;AS176,1,IF(AV176&gt;=SUMIF(NameConv!$C$5:$C$45,RIGHT(E176,3),NameConv!$CG$5:$CG$45),AT176+1,AT176))</f>
        <v>4</v>
      </c>
      <c r="AU177" s="495">
        <f ca="1">SUMIF(NameConv!$C$5:$C$45,RIGHT(E177,3),OFFSET(NameConv!$CG$5,0,AV177,NameConv!$A$45,1))</f>
        <v>7</v>
      </c>
      <c r="AV177" s="495">
        <f ca="1">IF(AV176&gt;=SUMIF(NameConv!$C$5:$C$45,RIGHT(E176,3),NameConv!$CG$5:$CG$45),1,AV176+1)</f>
        <v>7</v>
      </c>
    </row>
    <row r="178" spans="1:48">
      <c r="A178" s="422" t="str">
        <f t="shared" ca="1" si="5"/>
        <v/>
      </c>
      <c r="B178" s="515" t="str">
        <f t="shared" si="4"/>
        <v>FLO_EMIS</v>
      </c>
      <c r="C178" s="518" t="str">
        <f ca="1">"X"&amp;OFFSET(NameConv!$F$4,0,AS178)&amp;OFFSET(NameConv!$F$59,AT178,AS178)</f>
        <v>XTRAODS</v>
      </c>
      <c r="D178" s="515" t="str">
        <f ca="1">OFFSET(NameConv!$F$4,0,AS178)&amp;OFFSET(NameConv!$AX$4,0,AU178)</f>
        <v>TRACO2S</v>
      </c>
      <c r="E178" s="515" t="str">
        <f ca="1">OFFSET(NameConv!$F$4,0,AS178)&amp;OFFSET(NameConv!$F$59,AT178,AS178)</f>
        <v>TRAODS</v>
      </c>
      <c r="F178" s="740" t="s">
        <v>334</v>
      </c>
      <c r="G178" s="515" t="s">
        <v>337</v>
      </c>
      <c r="H178" s="740" t="s">
        <v>334</v>
      </c>
      <c r="I178" s="516">
        <v>0</v>
      </c>
      <c r="J178" s="517">
        <f ca="1">IF(E178="TRAOKE",0,SUMIF(NameConv!$C$5:$C$45,RIGHT(E178,3),OFFSET(NameConv!$AX$5,0,AU178,NameConv!$A$45,1)))</f>
        <v>74.066699999999997</v>
      </c>
      <c r="K178" s="518"/>
      <c r="L178" s="518"/>
      <c r="M178" s="518"/>
      <c r="N178" s="518"/>
      <c r="O178" s="518"/>
      <c r="P178" s="518"/>
      <c r="Q178" s="518"/>
      <c r="R178" s="518"/>
      <c r="S178" s="518"/>
      <c r="T178" s="518"/>
      <c r="U178" s="518"/>
      <c r="V178" s="518"/>
      <c r="W178" s="518"/>
      <c r="X178" s="518"/>
      <c r="Y178" s="518"/>
      <c r="Z178" s="518"/>
      <c r="AA178" s="518"/>
      <c r="AB178" s="518"/>
      <c r="AC178" s="518"/>
      <c r="AD178" s="518"/>
      <c r="AE178" s="518"/>
      <c r="AF178" s="518"/>
      <c r="AG178" s="518"/>
      <c r="AH178" s="518"/>
      <c r="AI178" s="518"/>
      <c r="AJ178" s="518"/>
      <c r="AK178" s="518"/>
      <c r="AL178" s="518"/>
      <c r="AM178" s="518"/>
      <c r="AN178" s="518"/>
      <c r="AO178" s="518"/>
      <c r="AP178" s="518"/>
      <c r="AQ178" s="518"/>
      <c r="AR178" s="518"/>
      <c r="AS178" s="495">
        <f ca="1">IF(AND(AV177&gt;=SUMIF(NameConv!$C$5:$C$45,RIGHT(E177,3),NameConv!$CG$5:$CG$45),AT177=SUMIF(NameConv!$G$4:$M$4,LEFT(E177,3),NameConv!$G$45:$M$45)),AS177+1,AS177)</f>
        <v>4</v>
      </c>
      <c r="AT178" s="495">
        <f ca="1">IF(AS178&lt;&gt;AS177,1,IF(AV177&gt;=SUMIF(NameConv!$C$5:$C$45,RIGHT(E177,3),NameConv!$CG$5:$CG$45),AT177+1,AT177))</f>
        <v>5</v>
      </c>
      <c r="AU178" s="495">
        <f ca="1">SUMIF(NameConv!$C$5:$C$45,RIGHT(E178,3),OFFSET(NameConv!$CG$5,0,AV178,NameConv!$A$45,1))</f>
        <v>1</v>
      </c>
      <c r="AV178" s="495">
        <f ca="1">IF(AV177&gt;=SUMIF(NameConv!$C$5:$C$45,RIGHT(E177,3),NameConv!$CG$5:$CG$45),1,AV177+1)</f>
        <v>1</v>
      </c>
    </row>
    <row r="179" spans="1:48">
      <c r="A179" s="422" t="str">
        <f t="shared" ca="1" si="5"/>
        <v/>
      </c>
      <c r="B179" s="515" t="str">
        <f t="shared" si="4"/>
        <v>FLO_EMIS</v>
      </c>
      <c r="C179" s="518" t="str">
        <f ca="1">"X"&amp;OFFSET(NameConv!$F$4,0,AS179)&amp;OFFSET(NameConv!$F$59,AT179,AS179)</f>
        <v>XTRAODS</v>
      </c>
      <c r="D179" s="515" t="str">
        <f ca="1">OFFSET(NameConv!$F$4,0,AS179)&amp;OFFSET(NameConv!$AX$4,0,AU179)</f>
        <v>TRACH4S</v>
      </c>
      <c r="E179" s="515" t="str">
        <f ca="1">OFFSET(NameConv!$F$4,0,AS179)&amp;OFFSET(NameConv!$F$59,AT179,AS179)</f>
        <v>TRAODS</v>
      </c>
      <c r="F179" s="740" t="s">
        <v>334</v>
      </c>
      <c r="G179" s="515" t="s">
        <v>337</v>
      </c>
      <c r="H179" s="740" t="s">
        <v>334</v>
      </c>
      <c r="I179" s="516">
        <v>0</v>
      </c>
      <c r="J179" s="517">
        <f ca="1">IF(E179="TRAOKE",0,SUMIF(NameConv!$C$5:$C$45,RIGHT(E179,3),OFFSET(NameConv!$AX$5,0,AU179,NameConv!$A$45,1)))</f>
        <v>3.0000000000000001E-3</v>
      </c>
      <c r="K179" s="518"/>
      <c r="L179" s="518"/>
      <c r="M179" s="518"/>
      <c r="N179" s="518"/>
      <c r="O179" s="518"/>
      <c r="P179" s="518"/>
      <c r="Q179" s="518"/>
      <c r="R179" s="518"/>
      <c r="S179" s="518"/>
      <c r="T179" s="518"/>
      <c r="U179" s="518"/>
      <c r="V179" s="518"/>
      <c r="W179" s="518"/>
      <c r="X179" s="518"/>
      <c r="Y179" s="518"/>
      <c r="Z179" s="518"/>
      <c r="AA179" s="518"/>
      <c r="AB179" s="518"/>
      <c r="AC179" s="518"/>
      <c r="AD179" s="518"/>
      <c r="AE179" s="518"/>
      <c r="AF179" s="518"/>
      <c r="AG179" s="518"/>
      <c r="AH179" s="518"/>
      <c r="AI179" s="518"/>
      <c r="AJ179" s="518"/>
      <c r="AK179" s="518"/>
      <c r="AL179" s="518"/>
      <c r="AM179" s="518"/>
      <c r="AN179" s="518"/>
      <c r="AO179" s="518"/>
      <c r="AP179" s="518"/>
      <c r="AQ179" s="518"/>
      <c r="AR179" s="518"/>
      <c r="AS179" s="495">
        <f ca="1">IF(AND(AV178&gt;=SUMIF(NameConv!$C$5:$C$45,RIGHT(E178,3),NameConv!$CG$5:$CG$45),AT178=SUMIF(NameConv!$G$4:$M$4,LEFT(E178,3),NameConv!$G$45:$M$45)),AS178+1,AS178)</f>
        <v>4</v>
      </c>
      <c r="AT179" s="495">
        <f ca="1">IF(AS179&lt;&gt;AS178,1,IF(AV178&gt;=SUMIF(NameConv!$C$5:$C$45,RIGHT(E178,3),NameConv!$CG$5:$CG$45),AT178+1,AT178))</f>
        <v>5</v>
      </c>
      <c r="AU179" s="495">
        <f ca="1">SUMIF(NameConv!$C$5:$C$45,RIGHT(E179,3),OFFSET(NameConv!$CG$5,0,AV179,NameConv!$A$45,1))</f>
        <v>2</v>
      </c>
      <c r="AV179" s="495">
        <f ca="1">IF(AV178&gt;=SUMIF(NameConv!$C$5:$C$45,RIGHT(E178,3),NameConv!$CG$5:$CG$45),1,AV178+1)</f>
        <v>2</v>
      </c>
    </row>
    <row r="180" spans="1:48">
      <c r="A180" s="422" t="str">
        <f t="shared" ca="1" si="5"/>
        <v/>
      </c>
      <c r="B180" s="515" t="str">
        <f t="shared" si="4"/>
        <v>FLO_EMIS</v>
      </c>
      <c r="C180" s="518" t="str">
        <f ca="1">"X"&amp;OFFSET(NameConv!$F$4,0,AS180)&amp;OFFSET(NameConv!$F$59,AT180,AS180)</f>
        <v>XTRAODS</v>
      </c>
      <c r="D180" s="515" t="str">
        <f ca="1">OFFSET(NameConv!$F$4,0,AS180)&amp;OFFSET(NameConv!$AX$4,0,AU180)</f>
        <v>TRAN2OS</v>
      </c>
      <c r="E180" s="515" t="str">
        <f ca="1">OFFSET(NameConv!$F$4,0,AS180)&amp;OFFSET(NameConv!$F$59,AT180,AS180)</f>
        <v>TRAODS</v>
      </c>
      <c r="F180" s="740" t="s">
        <v>334</v>
      </c>
      <c r="G180" s="515" t="s">
        <v>337</v>
      </c>
      <c r="H180" s="740" t="s">
        <v>334</v>
      </c>
      <c r="I180" s="516">
        <v>0</v>
      </c>
      <c r="J180" s="517">
        <f ca="1">IF(E180="TRAOKE",0,SUMIF(NameConv!$C$5:$C$45,RIGHT(E180,3),OFFSET(NameConv!$AX$5,0,AU180,NameConv!$A$45,1)))</f>
        <v>5.9999999999999995E-4</v>
      </c>
      <c r="K180" s="518"/>
      <c r="L180" s="518"/>
      <c r="M180" s="518"/>
      <c r="N180" s="518"/>
      <c r="O180" s="518"/>
      <c r="P180" s="518"/>
      <c r="Q180" s="518"/>
      <c r="R180" s="518"/>
      <c r="S180" s="518"/>
      <c r="T180" s="518"/>
      <c r="U180" s="518"/>
      <c r="V180" s="518"/>
      <c r="W180" s="518"/>
      <c r="X180" s="518"/>
      <c r="Y180" s="518"/>
      <c r="Z180" s="518"/>
      <c r="AA180" s="518"/>
      <c r="AB180" s="518"/>
      <c r="AC180" s="518"/>
      <c r="AD180" s="518"/>
      <c r="AE180" s="518"/>
      <c r="AF180" s="518"/>
      <c r="AG180" s="518"/>
      <c r="AH180" s="518"/>
      <c r="AI180" s="518"/>
      <c r="AJ180" s="518"/>
      <c r="AK180" s="518"/>
      <c r="AL180" s="518"/>
      <c r="AM180" s="518"/>
      <c r="AN180" s="518"/>
      <c r="AO180" s="518"/>
      <c r="AP180" s="518"/>
      <c r="AQ180" s="518"/>
      <c r="AR180" s="518"/>
      <c r="AS180" s="495">
        <f ca="1">IF(AND(AV179&gt;=SUMIF(NameConv!$C$5:$C$45,RIGHT(E179,3),NameConv!$CG$5:$CG$45),AT179=SUMIF(NameConv!$G$4:$M$4,LEFT(E179,3),NameConv!$G$45:$M$45)),AS179+1,AS179)</f>
        <v>4</v>
      </c>
      <c r="AT180" s="495">
        <f ca="1">IF(AS180&lt;&gt;AS179,1,IF(AV179&gt;=SUMIF(NameConv!$C$5:$C$45,RIGHT(E179,3),NameConv!$CG$5:$CG$45),AT179+1,AT179))</f>
        <v>5</v>
      </c>
      <c r="AU180" s="495">
        <f ca="1">SUMIF(NameConv!$C$5:$C$45,RIGHT(E180,3),OFFSET(NameConv!$CG$5,0,AV180,NameConv!$A$45,1))</f>
        <v>3</v>
      </c>
      <c r="AV180" s="495">
        <f ca="1">IF(AV179&gt;=SUMIF(NameConv!$C$5:$C$45,RIGHT(E179,3),NameConv!$CG$5:$CG$45),1,AV179+1)</f>
        <v>3</v>
      </c>
    </row>
    <row r="181" spans="1:48">
      <c r="A181" s="422" t="str">
        <f t="shared" ca="1" si="5"/>
        <v/>
      </c>
      <c r="B181" s="515" t="str">
        <f t="shared" si="4"/>
        <v>FLO_EMIS</v>
      </c>
      <c r="C181" s="518" t="str">
        <f ca="1">"X"&amp;OFFSET(NameConv!$F$4,0,AS181)&amp;OFFSET(NameConv!$F$59,AT181,AS181)</f>
        <v>XTRAODS</v>
      </c>
      <c r="D181" s="515" t="str">
        <f ca="1">OFFSET(NameConv!$F$4,0,AS181)&amp;OFFSET(NameConv!$AX$4,0,AU181)</f>
        <v>TRASOXS</v>
      </c>
      <c r="E181" s="515" t="str">
        <f ca="1">OFFSET(NameConv!$F$4,0,AS181)&amp;OFFSET(NameConv!$F$59,AT181,AS181)</f>
        <v>TRAODS</v>
      </c>
      <c r="F181" s="740" t="s">
        <v>334</v>
      </c>
      <c r="G181" s="515" t="s">
        <v>337</v>
      </c>
      <c r="H181" s="740" t="s">
        <v>334</v>
      </c>
      <c r="I181" s="516">
        <v>0</v>
      </c>
      <c r="J181" s="517">
        <f ca="1">IF(E181="TRAOKE",0,SUMIF(NameConv!$C$5:$C$45,RIGHT(E181,3),OFFSET(NameConv!$AX$5,0,AU181,NameConv!$A$45,1)))</f>
        <v>0.25290000000000001</v>
      </c>
      <c r="K181" s="518"/>
      <c r="L181" s="518"/>
      <c r="M181" s="518"/>
      <c r="N181" s="518"/>
      <c r="O181" s="518"/>
      <c r="P181" s="518"/>
      <c r="Q181" s="518"/>
      <c r="R181" s="518"/>
      <c r="S181" s="518"/>
      <c r="T181" s="518"/>
      <c r="U181" s="518"/>
      <c r="V181" s="518"/>
      <c r="W181" s="518"/>
      <c r="X181" s="518"/>
      <c r="Y181" s="518"/>
      <c r="Z181" s="518"/>
      <c r="AA181" s="518"/>
      <c r="AB181" s="518"/>
      <c r="AC181" s="518"/>
      <c r="AD181" s="518"/>
      <c r="AE181" s="518"/>
      <c r="AF181" s="518"/>
      <c r="AG181" s="518"/>
      <c r="AH181" s="518"/>
      <c r="AI181" s="518"/>
      <c r="AJ181" s="518"/>
      <c r="AK181" s="518"/>
      <c r="AL181" s="518"/>
      <c r="AM181" s="518"/>
      <c r="AN181" s="518"/>
      <c r="AO181" s="518"/>
      <c r="AP181" s="518"/>
      <c r="AQ181" s="518"/>
      <c r="AR181" s="518"/>
      <c r="AS181" s="495">
        <f ca="1">IF(AND(AV180&gt;=SUMIF(NameConv!$C$5:$C$45,RIGHT(E180,3),NameConv!$CG$5:$CG$45),AT180=SUMIF(NameConv!$G$4:$M$4,LEFT(E180,3),NameConv!$G$45:$M$45)),AS180+1,AS180)</f>
        <v>4</v>
      </c>
      <c r="AT181" s="495">
        <f ca="1">IF(AS181&lt;&gt;AS180,1,IF(AV180&gt;=SUMIF(NameConv!$C$5:$C$45,RIGHT(E180,3),NameConv!$CG$5:$CG$45),AT180+1,AT180))</f>
        <v>5</v>
      </c>
      <c r="AU181" s="495">
        <f ca="1">SUMIF(NameConv!$C$5:$C$45,RIGHT(E181,3),OFFSET(NameConv!$CG$5,0,AV181,NameConv!$A$45,1))</f>
        <v>4</v>
      </c>
      <c r="AV181" s="495">
        <f ca="1">IF(AV180&gt;=SUMIF(NameConv!$C$5:$C$45,RIGHT(E180,3),NameConv!$CG$5:$CG$45),1,AV180+1)</f>
        <v>4</v>
      </c>
    </row>
    <row r="182" spans="1:48">
      <c r="A182" s="422" t="str">
        <f t="shared" ca="1" si="5"/>
        <v/>
      </c>
      <c r="B182" s="515" t="str">
        <f t="shared" si="4"/>
        <v>FLO_EMIS</v>
      </c>
      <c r="C182" s="518" t="str">
        <f ca="1">"X"&amp;OFFSET(NameConv!$F$4,0,AS182)&amp;OFFSET(NameConv!$F$59,AT182,AS182)</f>
        <v>XTRAODS</v>
      </c>
      <c r="D182" s="515" t="str">
        <f ca="1">OFFSET(NameConv!$F$4,0,AS182)&amp;OFFSET(NameConv!$AX$4,0,AU182)</f>
        <v>TRANOXS</v>
      </c>
      <c r="E182" s="515" t="str">
        <f ca="1">OFFSET(NameConv!$F$4,0,AS182)&amp;OFFSET(NameConv!$F$59,AT182,AS182)</f>
        <v>TRAODS</v>
      </c>
      <c r="F182" s="740" t="s">
        <v>334</v>
      </c>
      <c r="G182" s="515" t="s">
        <v>337</v>
      </c>
      <c r="H182" s="740" t="s">
        <v>334</v>
      </c>
      <c r="I182" s="516">
        <v>0</v>
      </c>
      <c r="J182" s="517">
        <f ca="1">IF(E182="TRAOKE",0,SUMIF(NameConv!$C$5:$C$45,RIGHT(E182,3),OFFSET(NameConv!$AX$5,0,AU182,NameConv!$A$45,1)))</f>
        <v>0.2</v>
      </c>
      <c r="K182" s="518"/>
      <c r="L182" s="518"/>
      <c r="M182" s="518"/>
      <c r="N182" s="518"/>
      <c r="O182" s="518"/>
      <c r="P182" s="518"/>
      <c r="Q182" s="518"/>
      <c r="R182" s="518"/>
      <c r="S182" s="518"/>
      <c r="T182" s="518"/>
      <c r="U182" s="518"/>
      <c r="V182" s="518"/>
      <c r="W182" s="518"/>
      <c r="X182" s="518"/>
      <c r="Y182" s="518"/>
      <c r="Z182" s="518"/>
      <c r="AA182" s="518"/>
      <c r="AB182" s="518"/>
      <c r="AC182" s="518"/>
      <c r="AD182" s="518"/>
      <c r="AE182" s="518"/>
      <c r="AF182" s="518"/>
      <c r="AG182" s="518"/>
      <c r="AH182" s="518"/>
      <c r="AI182" s="518"/>
      <c r="AJ182" s="518"/>
      <c r="AK182" s="518"/>
      <c r="AL182" s="518"/>
      <c r="AM182" s="518"/>
      <c r="AN182" s="518"/>
      <c r="AO182" s="518"/>
      <c r="AP182" s="518"/>
      <c r="AQ182" s="518"/>
      <c r="AR182" s="518"/>
      <c r="AS182" s="495">
        <f ca="1">IF(AND(AV181&gt;=SUMIF(NameConv!$C$5:$C$45,RIGHT(E181,3),NameConv!$CG$5:$CG$45),AT181=SUMIF(NameConv!$G$4:$M$4,LEFT(E181,3),NameConv!$G$45:$M$45)),AS181+1,AS181)</f>
        <v>4</v>
      </c>
      <c r="AT182" s="495">
        <f ca="1">IF(AS182&lt;&gt;AS181,1,IF(AV181&gt;=SUMIF(NameConv!$C$5:$C$45,RIGHT(E181,3),NameConv!$CG$5:$CG$45),AT181+1,AT181))</f>
        <v>5</v>
      </c>
      <c r="AU182" s="495">
        <f ca="1">SUMIF(NameConv!$C$5:$C$45,RIGHT(E182,3),OFFSET(NameConv!$CG$5,0,AV182,NameConv!$A$45,1))</f>
        <v>5</v>
      </c>
      <c r="AV182" s="495">
        <f ca="1">IF(AV181&gt;=SUMIF(NameConv!$C$5:$C$45,RIGHT(E181,3),NameConv!$CG$5:$CG$45),1,AV181+1)</f>
        <v>5</v>
      </c>
    </row>
    <row r="183" spans="1:48">
      <c r="A183" s="422" t="str">
        <f t="shared" ca="1" si="5"/>
        <v/>
      </c>
      <c r="B183" s="515" t="str">
        <f t="shared" si="4"/>
        <v>FLO_EMIS</v>
      </c>
      <c r="C183" s="518" t="str">
        <f ca="1">"X"&amp;OFFSET(NameConv!$F$4,0,AS183)&amp;OFFSET(NameConv!$F$59,AT183,AS183)</f>
        <v>XTRAODS</v>
      </c>
      <c r="D183" s="515" t="str">
        <f ca="1">OFFSET(NameConv!$F$4,0,AS183)&amp;OFFSET(NameConv!$AX$4,0,AU183)</f>
        <v>TRACMOX</v>
      </c>
      <c r="E183" s="515" t="str">
        <f ca="1">OFFSET(NameConv!$F$4,0,AS183)&amp;OFFSET(NameConv!$F$59,AT183,AS183)</f>
        <v>TRAODS</v>
      </c>
      <c r="F183" s="740" t="s">
        <v>334</v>
      </c>
      <c r="G183" s="515" t="s">
        <v>337</v>
      </c>
      <c r="H183" s="740" t="s">
        <v>334</v>
      </c>
      <c r="I183" s="516">
        <v>0</v>
      </c>
      <c r="J183" s="517">
        <f ca="1">IF(E183="TRAOKE",0,SUMIF(NameConv!$C$5:$C$45,RIGHT(E183,3),OFFSET(NameConv!$AX$5,0,AU183,NameConv!$A$45,1)))</f>
        <v>1.4999999999999999E-2</v>
      </c>
      <c r="K183" s="518"/>
      <c r="L183" s="518"/>
      <c r="M183" s="518"/>
      <c r="N183" s="518"/>
      <c r="O183" s="518"/>
      <c r="P183" s="518"/>
      <c r="Q183" s="518"/>
      <c r="R183" s="518"/>
      <c r="S183" s="518"/>
      <c r="T183" s="518"/>
      <c r="U183" s="518"/>
      <c r="V183" s="518"/>
      <c r="W183" s="518"/>
      <c r="X183" s="518"/>
      <c r="Y183" s="518"/>
      <c r="Z183" s="518"/>
      <c r="AA183" s="518"/>
      <c r="AB183" s="518"/>
      <c r="AC183" s="518"/>
      <c r="AD183" s="518"/>
      <c r="AE183" s="518"/>
      <c r="AF183" s="518"/>
      <c r="AG183" s="518"/>
      <c r="AH183" s="518"/>
      <c r="AI183" s="518"/>
      <c r="AJ183" s="518"/>
      <c r="AK183" s="518"/>
      <c r="AL183" s="518"/>
      <c r="AM183" s="518"/>
      <c r="AN183" s="518"/>
      <c r="AO183" s="518"/>
      <c r="AP183" s="518"/>
      <c r="AQ183" s="518"/>
      <c r="AR183" s="518"/>
      <c r="AS183" s="495">
        <f ca="1">IF(AND(AV182&gt;=SUMIF(NameConv!$C$5:$C$45,RIGHT(E182,3),NameConv!$CG$5:$CG$45),AT182=SUMIF(NameConv!$G$4:$M$4,LEFT(E182,3),NameConv!$G$45:$M$45)),AS182+1,AS182)</f>
        <v>4</v>
      </c>
      <c r="AT183" s="495">
        <f ca="1">IF(AS183&lt;&gt;AS182,1,IF(AV182&gt;=SUMIF(NameConv!$C$5:$C$45,RIGHT(E182,3),NameConv!$CG$5:$CG$45),AT182+1,AT182))</f>
        <v>5</v>
      </c>
      <c r="AU183" s="495">
        <f ca="1">SUMIF(NameConv!$C$5:$C$45,RIGHT(E183,3),OFFSET(NameConv!$CG$5,0,AV183,NameConv!$A$45,1))</f>
        <v>6</v>
      </c>
      <c r="AV183" s="495">
        <f ca="1">IF(AV182&gt;=SUMIF(NameConv!$C$5:$C$45,RIGHT(E182,3),NameConv!$CG$5:$CG$45),1,AV182+1)</f>
        <v>6</v>
      </c>
    </row>
    <row r="184" spans="1:48">
      <c r="A184" s="422" t="str">
        <f t="shared" ca="1" si="5"/>
        <v/>
      </c>
      <c r="B184" s="515" t="str">
        <f t="shared" si="4"/>
        <v>FLO_EMIS</v>
      </c>
      <c r="C184" s="518" t="str">
        <f ca="1">"X"&amp;OFFSET(NameConv!$F$4,0,AS184)&amp;OFFSET(NameConv!$F$59,AT184,AS184)</f>
        <v>XTRAODS</v>
      </c>
      <c r="D184" s="515" t="str">
        <f ca="1">OFFSET(NameConv!$F$4,0,AS184)&amp;OFFSET(NameConv!$AX$4,0,AU184)</f>
        <v>TRANMVS</v>
      </c>
      <c r="E184" s="515" t="str">
        <f ca="1">OFFSET(NameConv!$F$4,0,AS184)&amp;OFFSET(NameConv!$F$59,AT184,AS184)</f>
        <v>TRAODS</v>
      </c>
      <c r="F184" s="740" t="s">
        <v>334</v>
      </c>
      <c r="G184" s="515" t="s">
        <v>337</v>
      </c>
      <c r="H184" s="740" t="s">
        <v>334</v>
      </c>
      <c r="I184" s="516">
        <v>0</v>
      </c>
      <c r="J184" s="517">
        <f ca="1">IF(E184="TRAOKE",0,SUMIF(NameConv!$C$5:$C$45,RIGHT(E184,3),OFFSET(NameConv!$AX$5,0,AU184,NameConv!$A$45,1)))</f>
        <v>5.0000000000000001E-3</v>
      </c>
      <c r="K184" s="518"/>
      <c r="L184" s="518"/>
      <c r="M184" s="518"/>
      <c r="N184" s="518"/>
      <c r="O184" s="518"/>
      <c r="P184" s="518"/>
      <c r="Q184" s="518"/>
      <c r="R184" s="518"/>
      <c r="S184" s="518"/>
      <c r="T184" s="518"/>
      <c r="U184" s="518"/>
      <c r="V184" s="518"/>
      <c r="W184" s="518"/>
      <c r="X184" s="518"/>
      <c r="Y184" s="518"/>
      <c r="Z184" s="518"/>
      <c r="AA184" s="518"/>
      <c r="AB184" s="518"/>
      <c r="AC184" s="518"/>
      <c r="AD184" s="518"/>
      <c r="AE184" s="518"/>
      <c r="AF184" s="518"/>
      <c r="AG184" s="518"/>
      <c r="AH184" s="518"/>
      <c r="AI184" s="518"/>
      <c r="AJ184" s="518"/>
      <c r="AK184" s="518"/>
      <c r="AL184" s="518"/>
      <c r="AM184" s="518"/>
      <c r="AN184" s="518"/>
      <c r="AO184" s="518"/>
      <c r="AP184" s="518"/>
      <c r="AQ184" s="518"/>
      <c r="AR184" s="518"/>
      <c r="AS184" s="495">
        <f ca="1">IF(AND(AV183&gt;=SUMIF(NameConv!$C$5:$C$45,RIGHT(E183,3),NameConv!$CG$5:$CG$45),AT183=SUMIF(NameConv!$G$4:$M$4,LEFT(E183,3),NameConv!$G$45:$M$45)),AS183+1,AS183)</f>
        <v>4</v>
      </c>
      <c r="AT184" s="495">
        <f ca="1">IF(AS184&lt;&gt;AS183,1,IF(AV183&gt;=SUMIF(NameConv!$C$5:$C$45,RIGHT(E183,3),NameConv!$CG$5:$CG$45),AT183+1,AT183))</f>
        <v>5</v>
      </c>
      <c r="AU184" s="495">
        <f ca="1">SUMIF(NameConv!$C$5:$C$45,RIGHT(E184,3),OFFSET(NameConv!$CG$5,0,AV184,NameConv!$A$45,1))</f>
        <v>7</v>
      </c>
      <c r="AV184" s="495">
        <f ca="1">IF(AV183&gt;=SUMIF(NameConv!$C$5:$C$45,RIGHT(E183,3),NameConv!$CG$5:$CG$45),1,AV183+1)</f>
        <v>7</v>
      </c>
    </row>
    <row r="185" spans="1:48">
      <c r="A185" s="422" t="str">
        <f t="shared" ca="1" si="5"/>
        <v/>
      </c>
      <c r="B185" s="515" t="str">
        <f t="shared" si="4"/>
        <v>FLO_EMIS</v>
      </c>
      <c r="C185" s="518" t="str">
        <f ca="1">"X"&amp;OFFSET(NameConv!$F$4,0,AS185)&amp;OFFSET(NameConv!$F$59,AT185,AS185)</f>
        <v>XTRAOGS</v>
      </c>
      <c r="D185" s="515" t="str">
        <f ca="1">OFFSET(NameConv!$F$4,0,AS185)&amp;OFFSET(NameConv!$AX$4,0,AU185)</f>
        <v>TRACO2S</v>
      </c>
      <c r="E185" s="515" t="str">
        <f ca="1">OFFSET(NameConv!$F$4,0,AS185)&amp;OFFSET(NameConv!$F$59,AT185,AS185)</f>
        <v>TRAOGS</v>
      </c>
      <c r="F185" s="740" t="s">
        <v>334</v>
      </c>
      <c r="G185" s="515" t="s">
        <v>337</v>
      </c>
      <c r="H185" s="740" t="s">
        <v>334</v>
      </c>
      <c r="I185" s="516">
        <v>0</v>
      </c>
      <c r="J185" s="517">
        <f ca="1">IF(E185="TRAOKE",0,SUMIF(NameConv!$C$5:$C$45,RIGHT(E185,3),OFFSET(NameConv!$AX$5,0,AU185,NameConv!$A$45,1)))</f>
        <v>69.3</v>
      </c>
      <c r="K185" s="518"/>
      <c r="L185" s="518"/>
      <c r="M185" s="518"/>
      <c r="N185" s="518"/>
      <c r="O185" s="518"/>
      <c r="P185" s="518"/>
      <c r="Q185" s="518"/>
      <c r="R185" s="518"/>
      <c r="S185" s="518"/>
      <c r="T185" s="518"/>
      <c r="U185" s="518"/>
      <c r="V185" s="518"/>
      <c r="W185" s="518"/>
      <c r="X185" s="518"/>
      <c r="Y185" s="518"/>
      <c r="Z185" s="518"/>
      <c r="AA185" s="518"/>
      <c r="AB185" s="518"/>
      <c r="AC185" s="518"/>
      <c r="AD185" s="518"/>
      <c r="AE185" s="518"/>
      <c r="AF185" s="518"/>
      <c r="AG185" s="518"/>
      <c r="AH185" s="518"/>
      <c r="AI185" s="518"/>
      <c r="AJ185" s="518"/>
      <c r="AK185" s="518"/>
      <c r="AL185" s="518"/>
      <c r="AM185" s="518"/>
      <c r="AN185" s="518"/>
      <c r="AO185" s="518"/>
      <c r="AP185" s="518"/>
      <c r="AQ185" s="518"/>
      <c r="AR185" s="518"/>
      <c r="AS185" s="495">
        <f ca="1">IF(AND(AV184&gt;=SUMIF(NameConv!$C$5:$C$45,RIGHT(E184,3),NameConv!$CG$5:$CG$45),AT184=SUMIF(NameConv!$G$4:$M$4,LEFT(E184,3),NameConv!$G$45:$M$45)),AS184+1,AS184)</f>
        <v>4</v>
      </c>
      <c r="AT185" s="495">
        <f ca="1">IF(AS185&lt;&gt;AS184,1,IF(AV184&gt;=SUMIF(NameConv!$C$5:$C$45,RIGHT(E184,3),NameConv!$CG$5:$CG$45),AT184+1,AT184))</f>
        <v>6</v>
      </c>
      <c r="AU185" s="495">
        <f ca="1">SUMIF(NameConv!$C$5:$C$45,RIGHT(E185,3),OFFSET(NameConv!$CG$5,0,AV185,NameConv!$A$45,1))</f>
        <v>1</v>
      </c>
      <c r="AV185" s="495">
        <f ca="1">IF(AV184&gt;=SUMIF(NameConv!$C$5:$C$45,RIGHT(E184,3),NameConv!$CG$5:$CG$45),1,AV184+1)</f>
        <v>1</v>
      </c>
    </row>
    <row r="186" spans="1:48">
      <c r="A186" s="422" t="str">
        <f t="shared" ca="1" si="5"/>
        <v/>
      </c>
      <c r="B186" s="515" t="str">
        <f t="shared" si="4"/>
        <v>FLO_EMIS</v>
      </c>
      <c r="C186" s="518" t="str">
        <f ca="1">"X"&amp;OFFSET(NameConv!$F$4,0,AS186)&amp;OFFSET(NameConv!$F$59,AT186,AS186)</f>
        <v>XTRAOGS</v>
      </c>
      <c r="D186" s="515" t="str">
        <f ca="1">OFFSET(NameConv!$F$4,0,AS186)&amp;OFFSET(NameConv!$AX$4,0,AU186)</f>
        <v>TRACH4S</v>
      </c>
      <c r="E186" s="515" t="str">
        <f ca="1">OFFSET(NameConv!$F$4,0,AS186)&amp;OFFSET(NameConv!$F$59,AT186,AS186)</f>
        <v>TRAOGS</v>
      </c>
      <c r="F186" s="740" t="s">
        <v>334</v>
      </c>
      <c r="G186" s="515" t="s">
        <v>337</v>
      </c>
      <c r="H186" s="740" t="s">
        <v>334</v>
      </c>
      <c r="I186" s="516">
        <v>0</v>
      </c>
      <c r="J186" s="517">
        <f ca="1">IF(E186="TRAOKE",0,SUMIF(NameConv!$C$5:$C$45,RIGHT(E186,3),OFFSET(NameConv!$AX$5,0,AU186,NameConv!$A$45,1)))</f>
        <v>3.0000000000000001E-3</v>
      </c>
      <c r="K186" s="518"/>
      <c r="L186" s="518"/>
      <c r="M186" s="518"/>
      <c r="N186" s="518"/>
      <c r="O186" s="518"/>
      <c r="P186" s="518"/>
      <c r="Q186" s="518"/>
      <c r="R186" s="518"/>
      <c r="S186" s="518"/>
      <c r="T186" s="518"/>
      <c r="U186" s="518"/>
      <c r="V186" s="518"/>
      <c r="W186" s="518"/>
      <c r="X186" s="518"/>
      <c r="Y186" s="518"/>
      <c r="Z186" s="518"/>
      <c r="AA186" s="518"/>
      <c r="AB186" s="518"/>
      <c r="AC186" s="518"/>
      <c r="AD186" s="518"/>
      <c r="AE186" s="518"/>
      <c r="AF186" s="518"/>
      <c r="AG186" s="518"/>
      <c r="AH186" s="518"/>
      <c r="AI186" s="518"/>
      <c r="AJ186" s="518"/>
      <c r="AK186" s="518"/>
      <c r="AL186" s="518"/>
      <c r="AM186" s="518"/>
      <c r="AN186" s="518"/>
      <c r="AO186" s="518"/>
      <c r="AP186" s="518"/>
      <c r="AQ186" s="518"/>
      <c r="AR186" s="518"/>
      <c r="AS186" s="495">
        <f ca="1">IF(AND(AV185&gt;=SUMIF(NameConv!$C$5:$C$45,RIGHT(E185,3),NameConv!$CG$5:$CG$45),AT185=SUMIF(NameConv!$G$4:$M$4,LEFT(E185,3),NameConv!$G$45:$M$45)),AS185+1,AS185)</f>
        <v>4</v>
      </c>
      <c r="AT186" s="495">
        <f ca="1">IF(AS186&lt;&gt;AS185,1,IF(AV185&gt;=SUMIF(NameConv!$C$5:$C$45,RIGHT(E185,3),NameConv!$CG$5:$CG$45),AT185+1,AT185))</f>
        <v>6</v>
      </c>
      <c r="AU186" s="495">
        <f ca="1">SUMIF(NameConv!$C$5:$C$45,RIGHT(E186,3),OFFSET(NameConv!$CG$5,0,AV186,NameConv!$A$45,1))</f>
        <v>2</v>
      </c>
      <c r="AV186" s="495">
        <f ca="1">IF(AV185&gt;=SUMIF(NameConv!$C$5:$C$45,RIGHT(E185,3),NameConv!$CG$5:$CG$45),1,AV185+1)</f>
        <v>2</v>
      </c>
    </row>
    <row r="187" spans="1:48">
      <c r="A187" s="422" t="str">
        <f t="shared" ca="1" si="5"/>
        <v/>
      </c>
      <c r="B187" s="515" t="str">
        <f t="shared" si="4"/>
        <v>FLO_EMIS</v>
      </c>
      <c r="C187" s="518" t="str">
        <f ca="1">"X"&amp;OFFSET(NameConv!$F$4,0,AS187)&amp;OFFSET(NameConv!$F$59,AT187,AS187)</f>
        <v>XTRAOGS</v>
      </c>
      <c r="D187" s="515" t="str">
        <f ca="1">OFFSET(NameConv!$F$4,0,AS187)&amp;OFFSET(NameConv!$AX$4,0,AU187)</f>
        <v>TRAN2OS</v>
      </c>
      <c r="E187" s="515" t="str">
        <f ca="1">OFFSET(NameConv!$F$4,0,AS187)&amp;OFFSET(NameConv!$F$59,AT187,AS187)</f>
        <v>TRAOGS</v>
      </c>
      <c r="F187" s="740" t="s">
        <v>334</v>
      </c>
      <c r="G187" s="515" t="s">
        <v>337</v>
      </c>
      <c r="H187" s="740" t="s">
        <v>334</v>
      </c>
      <c r="I187" s="516">
        <v>0</v>
      </c>
      <c r="J187" s="517">
        <f ca="1">IF(E187="TRAOKE",0,SUMIF(NameConv!$C$5:$C$45,RIGHT(E187,3),OFFSET(NameConv!$AX$5,0,AU187,NameConv!$A$45,1)))</f>
        <v>5.9999999999999995E-4</v>
      </c>
      <c r="K187" s="518"/>
      <c r="L187" s="518"/>
      <c r="M187" s="518"/>
      <c r="N187" s="518"/>
      <c r="O187" s="518"/>
      <c r="P187" s="518"/>
      <c r="Q187" s="518"/>
      <c r="R187" s="518"/>
      <c r="S187" s="518"/>
      <c r="T187" s="518"/>
      <c r="U187" s="518"/>
      <c r="V187" s="518"/>
      <c r="W187" s="518"/>
      <c r="X187" s="518"/>
      <c r="Y187" s="518"/>
      <c r="Z187" s="518"/>
      <c r="AA187" s="518"/>
      <c r="AB187" s="518"/>
      <c r="AC187" s="518"/>
      <c r="AD187" s="518"/>
      <c r="AE187" s="518"/>
      <c r="AF187" s="518"/>
      <c r="AG187" s="518"/>
      <c r="AH187" s="518"/>
      <c r="AI187" s="518"/>
      <c r="AJ187" s="518"/>
      <c r="AK187" s="518"/>
      <c r="AL187" s="518"/>
      <c r="AM187" s="518"/>
      <c r="AN187" s="518"/>
      <c r="AO187" s="518"/>
      <c r="AP187" s="518"/>
      <c r="AQ187" s="518"/>
      <c r="AR187" s="518"/>
      <c r="AS187" s="495">
        <f ca="1">IF(AND(AV186&gt;=SUMIF(NameConv!$C$5:$C$45,RIGHT(E186,3),NameConv!$CG$5:$CG$45),AT186=SUMIF(NameConv!$G$4:$M$4,LEFT(E186,3),NameConv!$G$45:$M$45)),AS186+1,AS186)</f>
        <v>4</v>
      </c>
      <c r="AT187" s="495">
        <f ca="1">IF(AS187&lt;&gt;AS186,1,IF(AV186&gt;=SUMIF(NameConv!$C$5:$C$45,RIGHT(E186,3),NameConv!$CG$5:$CG$45),AT186+1,AT186))</f>
        <v>6</v>
      </c>
      <c r="AU187" s="495">
        <f ca="1">SUMIF(NameConv!$C$5:$C$45,RIGHT(E187,3),OFFSET(NameConv!$CG$5,0,AV187,NameConv!$A$45,1))</f>
        <v>3</v>
      </c>
      <c r="AV187" s="495">
        <f ca="1">IF(AV186&gt;=SUMIF(NameConv!$C$5:$C$45,RIGHT(E186,3),NameConv!$CG$5:$CG$45),1,AV186+1)</f>
        <v>3</v>
      </c>
    </row>
    <row r="188" spans="1:48">
      <c r="A188" s="422" t="str">
        <f t="shared" ca="1" si="5"/>
        <v/>
      </c>
      <c r="B188" s="515" t="str">
        <f t="shared" si="4"/>
        <v>FLO_EMIS</v>
      </c>
      <c r="C188" s="518" t="str">
        <f ca="1">"X"&amp;OFFSET(NameConv!$F$4,0,AS188)&amp;OFFSET(NameConv!$F$59,AT188,AS188)</f>
        <v>XTRAOGS</v>
      </c>
      <c r="D188" s="515" t="str">
        <f ca="1">OFFSET(NameConv!$F$4,0,AS188)&amp;OFFSET(NameConv!$AX$4,0,AU188)</f>
        <v>TRASOXS</v>
      </c>
      <c r="E188" s="515" t="str">
        <f ca="1">OFFSET(NameConv!$F$4,0,AS188)&amp;OFFSET(NameConv!$F$59,AT188,AS188)</f>
        <v>TRAOGS</v>
      </c>
      <c r="F188" s="740" t="s">
        <v>334</v>
      </c>
      <c r="G188" s="515" t="s">
        <v>337</v>
      </c>
      <c r="H188" s="740" t="s">
        <v>334</v>
      </c>
      <c r="I188" s="516">
        <v>0</v>
      </c>
      <c r="J188" s="517">
        <f ca="1">IF(E188="TRAOKE",0,SUMIF(NameConv!$C$5:$C$45,RIGHT(E188,3),OFFSET(NameConv!$AX$5,0,AU188,NameConv!$A$45,1)))</f>
        <v>4.6699999999999998E-2</v>
      </c>
      <c r="K188" s="518"/>
      <c r="L188" s="518"/>
      <c r="M188" s="518"/>
      <c r="N188" s="518"/>
      <c r="O188" s="518"/>
      <c r="P188" s="518"/>
      <c r="Q188" s="518"/>
      <c r="R188" s="518"/>
      <c r="S188" s="518"/>
      <c r="T188" s="518"/>
      <c r="U188" s="518"/>
      <c r="V188" s="518"/>
      <c r="W188" s="518"/>
      <c r="X188" s="518"/>
      <c r="Y188" s="518"/>
      <c r="Z188" s="518"/>
      <c r="AA188" s="518"/>
      <c r="AB188" s="518"/>
      <c r="AC188" s="518"/>
      <c r="AD188" s="518"/>
      <c r="AE188" s="518"/>
      <c r="AF188" s="518"/>
      <c r="AG188" s="518"/>
      <c r="AH188" s="518"/>
      <c r="AI188" s="518"/>
      <c r="AJ188" s="518"/>
      <c r="AK188" s="518"/>
      <c r="AL188" s="518"/>
      <c r="AM188" s="518"/>
      <c r="AN188" s="518"/>
      <c r="AO188" s="518"/>
      <c r="AP188" s="518"/>
      <c r="AQ188" s="518"/>
      <c r="AR188" s="518"/>
      <c r="AS188" s="495">
        <f ca="1">IF(AND(AV187&gt;=SUMIF(NameConv!$C$5:$C$45,RIGHT(E187,3),NameConv!$CG$5:$CG$45),AT187=SUMIF(NameConv!$G$4:$M$4,LEFT(E187,3),NameConv!$G$45:$M$45)),AS187+1,AS187)</f>
        <v>4</v>
      </c>
      <c r="AT188" s="495">
        <f ca="1">IF(AS188&lt;&gt;AS187,1,IF(AV187&gt;=SUMIF(NameConv!$C$5:$C$45,RIGHT(E187,3),NameConv!$CG$5:$CG$45),AT187+1,AT187))</f>
        <v>6</v>
      </c>
      <c r="AU188" s="495">
        <f ca="1">SUMIF(NameConv!$C$5:$C$45,RIGHT(E188,3),OFFSET(NameConv!$CG$5,0,AV188,NameConv!$A$45,1))</f>
        <v>4</v>
      </c>
      <c r="AV188" s="495">
        <f ca="1">IF(AV187&gt;=SUMIF(NameConv!$C$5:$C$45,RIGHT(E187,3),NameConv!$CG$5:$CG$45),1,AV187+1)</f>
        <v>4</v>
      </c>
    </row>
    <row r="189" spans="1:48">
      <c r="A189" s="422" t="str">
        <f t="shared" ca="1" si="5"/>
        <v/>
      </c>
      <c r="B189" s="515" t="str">
        <f t="shared" si="4"/>
        <v>FLO_EMIS</v>
      </c>
      <c r="C189" s="518" t="str">
        <f ca="1">"X"&amp;OFFSET(NameConv!$F$4,0,AS189)&amp;OFFSET(NameConv!$F$59,AT189,AS189)</f>
        <v>XTRAOGS</v>
      </c>
      <c r="D189" s="515" t="str">
        <f ca="1">OFFSET(NameConv!$F$4,0,AS189)&amp;OFFSET(NameConv!$AX$4,0,AU189)</f>
        <v>TRANOXS</v>
      </c>
      <c r="E189" s="515" t="str">
        <f ca="1">OFFSET(NameConv!$F$4,0,AS189)&amp;OFFSET(NameConv!$F$59,AT189,AS189)</f>
        <v>TRAOGS</v>
      </c>
      <c r="F189" s="740" t="s">
        <v>334</v>
      </c>
      <c r="G189" s="515" t="s">
        <v>337</v>
      </c>
      <c r="H189" s="740" t="s">
        <v>334</v>
      </c>
      <c r="I189" s="516">
        <v>0</v>
      </c>
      <c r="J189" s="517">
        <f ca="1">IF(E189="TRAOKE",0,SUMIF(NameConv!$C$5:$C$45,RIGHT(E189,3),OFFSET(NameConv!$AX$5,0,AU189,NameConv!$A$45,1)))</f>
        <v>0.6</v>
      </c>
      <c r="K189" s="518"/>
      <c r="L189" s="518"/>
      <c r="M189" s="518"/>
      <c r="N189" s="518"/>
      <c r="O189" s="518"/>
      <c r="P189" s="518"/>
      <c r="Q189" s="518"/>
      <c r="R189" s="518"/>
      <c r="S189" s="518"/>
      <c r="T189" s="518"/>
      <c r="U189" s="518"/>
      <c r="V189" s="518"/>
      <c r="W189" s="518"/>
      <c r="X189" s="518"/>
      <c r="Y189" s="518"/>
      <c r="Z189" s="518"/>
      <c r="AA189" s="518"/>
      <c r="AB189" s="518"/>
      <c r="AC189" s="518"/>
      <c r="AD189" s="518"/>
      <c r="AE189" s="518"/>
      <c r="AF189" s="518"/>
      <c r="AG189" s="518"/>
      <c r="AH189" s="518"/>
      <c r="AI189" s="518"/>
      <c r="AJ189" s="518"/>
      <c r="AK189" s="518"/>
      <c r="AL189" s="518"/>
      <c r="AM189" s="518"/>
      <c r="AN189" s="518"/>
      <c r="AO189" s="518"/>
      <c r="AP189" s="518"/>
      <c r="AQ189" s="518"/>
      <c r="AR189" s="518"/>
      <c r="AS189" s="495">
        <f ca="1">IF(AND(AV188&gt;=SUMIF(NameConv!$C$5:$C$45,RIGHT(E188,3),NameConv!$CG$5:$CG$45),AT188=SUMIF(NameConv!$G$4:$M$4,LEFT(E188,3),NameConv!$G$45:$M$45)),AS188+1,AS188)</f>
        <v>4</v>
      </c>
      <c r="AT189" s="495">
        <f ca="1">IF(AS189&lt;&gt;AS188,1,IF(AV188&gt;=SUMIF(NameConv!$C$5:$C$45,RIGHT(E188,3),NameConv!$CG$5:$CG$45),AT188+1,AT188))</f>
        <v>6</v>
      </c>
      <c r="AU189" s="495">
        <f ca="1">SUMIF(NameConv!$C$5:$C$45,RIGHT(E189,3),OFFSET(NameConv!$CG$5,0,AV189,NameConv!$A$45,1))</f>
        <v>5</v>
      </c>
      <c r="AV189" s="495">
        <f ca="1">IF(AV188&gt;=SUMIF(NameConv!$C$5:$C$45,RIGHT(E188,3),NameConv!$CG$5:$CG$45),1,AV188+1)</f>
        <v>5</v>
      </c>
    </row>
    <row r="190" spans="1:48">
      <c r="A190" s="422" t="str">
        <f t="shared" ca="1" si="5"/>
        <v/>
      </c>
      <c r="B190" s="515" t="str">
        <f t="shared" si="4"/>
        <v>FLO_EMIS</v>
      </c>
      <c r="C190" s="518" t="str">
        <f ca="1">"X"&amp;OFFSET(NameConv!$F$4,0,AS190)&amp;OFFSET(NameConv!$F$59,AT190,AS190)</f>
        <v>XTRAOGS</v>
      </c>
      <c r="D190" s="515" t="str">
        <f ca="1">OFFSET(NameConv!$F$4,0,AS190)&amp;OFFSET(NameConv!$AX$4,0,AU190)</f>
        <v>TRACMOX</v>
      </c>
      <c r="E190" s="515" t="str">
        <f ca="1">OFFSET(NameConv!$F$4,0,AS190)&amp;OFFSET(NameConv!$F$59,AT190,AS190)</f>
        <v>TRAOGS</v>
      </c>
      <c r="F190" s="740" t="s">
        <v>334</v>
      </c>
      <c r="G190" s="515" t="s">
        <v>337</v>
      </c>
      <c r="H190" s="740" t="s">
        <v>334</v>
      </c>
      <c r="I190" s="516">
        <v>0</v>
      </c>
      <c r="J190" s="517">
        <f ca="1">IF(E190="TRAOKE",0,SUMIF(NameConv!$C$5:$C$45,RIGHT(E190,3),OFFSET(NameConv!$AX$5,0,AU190,NameConv!$A$45,1)))</f>
        <v>8</v>
      </c>
      <c r="K190" s="518"/>
      <c r="L190" s="518"/>
      <c r="M190" s="518"/>
      <c r="N190" s="518"/>
      <c r="O190" s="518"/>
      <c r="P190" s="518"/>
      <c r="Q190" s="518"/>
      <c r="R190" s="518"/>
      <c r="S190" s="518"/>
      <c r="T190" s="518"/>
      <c r="U190" s="518"/>
      <c r="V190" s="518"/>
      <c r="W190" s="518"/>
      <c r="X190" s="518"/>
      <c r="Y190" s="518"/>
      <c r="Z190" s="518"/>
      <c r="AA190" s="518"/>
      <c r="AB190" s="518"/>
      <c r="AC190" s="518"/>
      <c r="AD190" s="518"/>
      <c r="AE190" s="518"/>
      <c r="AF190" s="518"/>
      <c r="AG190" s="518"/>
      <c r="AH190" s="518"/>
      <c r="AI190" s="518"/>
      <c r="AJ190" s="518"/>
      <c r="AK190" s="518"/>
      <c r="AL190" s="518"/>
      <c r="AM190" s="518"/>
      <c r="AN190" s="518"/>
      <c r="AO190" s="518"/>
      <c r="AP190" s="518"/>
      <c r="AQ190" s="518"/>
      <c r="AR190" s="518"/>
      <c r="AS190" s="495">
        <f ca="1">IF(AND(AV189&gt;=SUMIF(NameConv!$C$5:$C$45,RIGHT(E189,3),NameConv!$CG$5:$CG$45),AT189=SUMIF(NameConv!$G$4:$M$4,LEFT(E189,3),NameConv!$G$45:$M$45)),AS189+1,AS189)</f>
        <v>4</v>
      </c>
      <c r="AT190" s="495">
        <f ca="1">IF(AS190&lt;&gt;AS189,1,IF(AV189&gt;=SUMIF(NameConv!$C$5:$C$45,RIGHT(E189,3),NameConv!$CG$5:$CG$45),AT189+1,AT189))</f>
        <v>6</v>
      </c>
      <c r="AU190" s="495">
        <f ca="1">SUMIF(NameConv!$C$5:$C$45,RIGHT(E190,3),OFFSET(NameConv!$CG$5,0,AV190,NameConv!$A$45,1))</f>
        <v>6</v>
      </c>
      <c r="AV190" s="495">
        <f ca="1">IF(AV189&gt;=SUMIF(NameConv!$C$5:$C$45,RIGHT(E189,3),NameConv!$CG$5:$CG$45),1,AV189+1)</f>
        <v>6</v>
      </c>
    </row>
    <row r="191" spans="1:48">
      <c r="A191" s="422" t="str">
        <f t="shared" ca="1" si="5"/>
        <v/>
      </c>
      <c r="B191" s="515" t="str">
        <f t="shared" si="4"/>
        <v>FLO_EMIS</v>
      </c>
      <c r="C191" s="518" t="str">
        <f ca="1">"X"&amp;OFFSET(NameConv!$F$4,0,AS191)&amp;OFFSET(NameConv!$F$59,AT191,AS191)</f>
        <v>XTRAOGS</v>
      </c>
      <c r="D191" s="515" t="str">
        <f ca="1">OFFSET(NameConv!$F$4,0,AS191)&amp;OFFSET(NameConv!$AX$4,0,AU191)</f>
        <v>TRANMVS</v>
      </c>
      <c r="E191" s="515" t="str">
        <f ca="1">OFFSET(NameConv!$F$4,0,AS191)&amp;OFFSET(NameConv!$F$59,AT191,AS191)</f>
        <v>TRAOGS</v>
      </c>
      <c r="F191" s="740" t="s">
        <v>334</v>
      </c>
      <c r="G191" s="515" t="s">
        <v>337</v>
      </c>
      <c r="H191" s="740" t="s">
        <v>334</v>
      </c>
      <c r="I191" s="516">
        <v>0</v>
      </c>
      <c r="J191" s="517">
        <f ca="1">IF(E191="TRAOKE",0,SUMIF(NameConv!$C$5:$C$45,RIGHT(E191,3),OFFSET(NameConv!$AX$5,0,AU191,NameConv!$A$45,1)))</f>
        <v>1.5</v>
      </c>
      <c r="K191" s="518"/>
      <c r="L191" s="518"/>
      <c r="M191" s="518"/>
      <c r="N191" s="518"/>
      <c r="O191" s="518"/>
      <c r="P191" s="518"/>
      <c r="Q191" s="518"/>
      <c r="R191" s="518"/>
      <c r="S191" s="518"/>
      <c r="T191" s="518"/>
      <c r="U191" s="518"/>
      <c r="V191" s="518"/>
      <c r="W191" s="518"/>
      <c r="X191" s="518"/>
      <c r="Y191" s="518"/>
      <c r="Z191" s="518"/>
      <c r="AA191" s="518"/>
      <c r="AB191" s="518"/>
      <c r="AC191" s="518"/>
      <c r="AD191" s="518"/>
      <c r="AE191" s="518"/>
      <c r="AF191" s="518"/>
      <c r="AG191" s="518"/>
      <c r="AH191" s="518"/>
      <c r="AI191" s="518"/>
      <c r="AJ191" s="518"/>
      <c r="AK191" s="518"/>
      <c r="AL191" s="518"/>
      <c r="AM191" s="518"/>
      <c r="AN191" s="518"/>
      <c r="AO191" s="518"/>
      <c r="AP191" s="518"/>
      <c r="AQ191" s="518"/>
      <c r="AR191" s="518"/>
      <c r="AS191" s="495">
        <f ca="1">IF(AND(AV190&gt;=SUMIF(NameConv!$C$5:$C$45,RIGHT(E190,3),NameConv!$CG$5:$CG$45),AT190=SUMIF(NameConv!$G$4:$M$4,LEFT(E190,3),NameConv!$G$45:$M$45)),AS190+1,AS190)</f>
        <v>4</v>
      </c>
      <c r="AT191" s="495">
        <f ca="1">IF(AS191&lt;&gt;AS190,1,IF(AV190&gt;=SUMIF(NameConv!$C$5:$C$45,RIGHT(E190,3),NameConv!$CG$5:$CG$45),AT190+1,AT190))</f>
        <v>6</v>
      </c>
      <c r="AU191" s="495">
        <f ca="1">SUMIF(NameConv!$C$5:$C$45,RIGHT(E191,3),OFFSET(NameConv!$CG$5,0,AV191,NameConv!$A$45,1))</f>
        <v>7</v>
      </c>
      <c r="AV191" s="495">
        <f ca="1">IF(AV190&gt;=SUMIF(NameConv!$C$5:$C$45,RIGHT(E190,3),NameConv!$CG$5:$CG$45),1,AV190+1)</f>
        <v>7</v>
      </c>
    </row>
    <row r="192" spans="1:48">
      <c r="A192" s="422" t="str">
        <f t="shared" ca="1" si="5"/>
        <v/>
      </c>
      <c r="B192" s="515" t="str">
        <f t="shared" si="4"/>
        <v>FLO_EMIS</v>
      </c>
      <c r="C192" s="518" t="str">
        <f ca="1">"X"&amp;OFFSET(NameConv!$F$4,0,AS192)&amp;OFFSET(NameConv!$F$59,AT192,AS192)</f>
        <v>XTRAOHF</v>
      </c>
      <c r="D192" s="515" t="str">
        <f ca="1">OFFSET(NameConv!$F$4,0,AS192)&amp;OFFSET(NameConv!$AX$4,0,AU192)</f>
        <v>TRACO2S</v>
      </c>
      <c r="E192" s="515" t="str">
        <f ca="1">OFFSET(NameConv!$F$4,0,AS192)&amp;OFFSET(NameConv!$F$59,AT192,AS192)</f>
        <v>TRAOHF</v>
      </c>
      <c r="F192" s="740" t="s">
        <v>334</v>
      </c>
      <c r="G192" s="515" t="s">
        <v>337</v>
      </c>
      <c r="H192" s="740" t="s">
        <v>334</v>
      </c>
      <c r="I192" s="516">
        <v>0</v>
      </c>
      <c r="J192" s="517">
        <f ca="1">IF(E192="TRAOKE",0,SUMIF(NameConv!$C$5:$C$45,RIGHT(E192,3),OFFSET(NameConv!$AX$5,0,AU192,NameConv!$A$45,1)))</f>
        <v>77.400000000000006</v>
      </c>
      <c r="K192" s="518"/>
      <c r="L192" s="518"/>
      <c r="M192" s="518"/>
      <c r="N192" s="518"/>
      <c r="O192" s="518"/>
      <c r="P192" s="518"/>
      <c r="Q192" s="518"/>
      <c r="R192" s="518"/>
      <c r="S192" s="518"/>
      <c r="T192" s="518"/>
      <c r="U192" s="518"/>
      <c r="V192" s="518"/>
      <c r="W192" s="518"/>
      <c r="X192" s="518"/>
      <c r="Y192" s="518"/>
      <c r="Z192" s="518"/>
      <c r="AA192" s="518"/>
      <c r="AB192" s="518"/>
      <c r="AC192" s="518"/>
      <c r="AD192" s="518"/>
      <c r="AE192" s="518"/>
      <c r="AF192" s="518"/>
      <c r="AG192" s="518"/>
      <c r="AH192" s="518"/>
      <c r="AI192" s="518"/>
      <c r="AJ192" s="518"/>
      <c r="AK192" s="518"/>
      <c r="AL192" s="518"/>
      <c r="AM192" s="518"/>
      <c r="AN192" s="518"/>
      <c r="AO192" s="518"/>
      <c r="AP192" s="518"/>
      <c r="AQ192" s="518"/>
      <c r="AR192" s="518"/>
      <c r="AS192" s="495">
        <f ca="1">IF(AND(AV191&gt;=SUMIF(NameConv!$C$5:$C$45,RIGHT(E191,3),NameConv!$CG$5:$CG$45),AT191=SUMIF(NameConv!$G$4:$M$4,LEFT(E191,3),NameConv!$G$45:$M$45)),AS191+1,AS191)</f>
        <v>4</v>
      </c>
      <c r="AT192" s="495">
        <f ca="1">IF(AS192&lt;&gt;AS191,1,IF(AV191&gt;=SUMIF(NameConv!$C$5:$C$45,RIGHT(E191,3),NameConv!$CG$5:$CG$45),AT191+1,AT191))</f>
        <v>7</v>
      </c>
      <c r="AU192" s="495">
        <f ca="1">SUMIF(NameConv!$C$5:$C$45,RIGHT(E192,3),OFFSET(NameConv!$CG$5,0,AV192,NameConv!$A$45,1))</f>
        <v>1</v>
      </c>
      <c r="AV192" s="495">
        <f ca="1">IF(AV191&gt;=SUMIF(NameConv!$C$5:$C$45,RIGHT(E191,3),NameConv!$CG$5:$CG$45),1,AV191+1)</f>
        <v>1</v>
      </c>
    </row>
    <row r="193" spans="1:48">
      <c r="A193" s="422" t="str">
        <f t="shared" ca="1" si="5"/>
        <v/>
      </c>
      <c r="B193" s="515" t="str">
        <f t="shared" si="4"/>
        <v>FLO_EMIS</v>
      </c>
      <c r="C193" s="518" t="str">
        <f ca="1">"X"&amp;OFFSET(NameConv!$F$4,0,AS193)&amp;OFFSET(NameConv!$F$59,AT193,AS193)</f>
        <v>XTRAOHF</v>
      </c>
      <c r="D193" s="515" t="str">
        <f ca="1">OFFSET(NameConv!$F$4,0,AS193)&amp;OFFSET(NameConv!$AX$4,0,AU193)</f>
        <v>TRACH4S</v>
      </c>
      <c r="E193" s="515" t="str">
        <f ca="1">OFFSET(NameConv!$F$4,0,AS193)&amp;OFFSET(NameConv!$F$59,AT193,AS193)</f>
        <v>TRAOHF</v>
      </c>
      <c r="F193" s="740" t="s">
        <v>334</v>
      </c>
      <c r="G193" s="515" t="s">
        <v>337</v>
      </c>
      <c r="H193" s="740" t="s">
        <v>334</v>
      </c>
      <c r="I193" s="516">
        <v>0</v>
      </c>
      <c r="J193" s="517">
        <f ca="1">IF(E193="TRAOKE",0,SUMIF(NameConv!$C$5:$C$45,RIGHT(E193,3),OFFSET(NameConv!$AX$5,0,AU193,NameConv!$A$45,1)))</f>
        <v>3.0000000000000001E-3</v>
      </c>
      <c r="K193" s="518"/>
      <c r="L193" s="518"/>
      <c r="M193" s="518"/>
      <c r="N193" s="518"/>
      <c r="O193" s="518"/>
      <c r="P193" s="518"/>
      <c r="Q193" s="518"/>
      <c r="R193" s="518"/>
      <c r="S193" s="518"/>
      <c r="T193" s="518"/>
      <c r="U193" s="518"/>
      <c r="V193" s="518"/>
      <c r="W193" s="518"/>
      <c r="X193" s="518"/>
      <c r="Y193" s="518"/>
      <c r="Z193" s="518"/>
      <c r="AA193" s="518"/>
      <c r="AB193" s="518"/>
      <c r="AC193" s="518"/>
      <c r="AD193" s="518"/>
      <c r="AE193" s="518"/>
      <c r="AF193" s="518"/>
      <c r="AG193" s="518"/>
      <c r="AH193" s="518"/>
      <c r="AI193" s="518"/>
      <c r="AJ193" s="518"/>
      <c r="AK193" s="518"/>
      <c r="AL193" s="518"/>
      <c r="AM193" s="518"/>
      <c r="AN193" s="518"/>
      <c r="AO193" s="518"/>
      <c r="AP193" s="518"/>
      <c r="AQ193" s="518"/>
      <c r="AR193" s="518"/>
      <c r="AS193" s="495">
        <f ca="1">IF(AND(AV192&gt;=SUMIF(NameConv!$C$5:$C$45,RIGHT(E192,3),NameConv!$CG$5:$CG$45),AT192=SUMIF(NameConv!$G$4:$M$4,LEFT(E192,3),NameConv!$G$45:$M$45)),AS192+1,AS192)</f>
        <v>4</v>
      </c>
      <c r="AT193" s="495">
        <f ca="1">IF(AS193&lt;&gt;AS192,1,IF(AV192&gt;=SUMIF(NameConv!$C$5:$C$45,RIGHT(E192,3),NameConv!$CG$5:$CG$45),AT192+1,AT192))</f>
        <v>7</v>
      </c>
      <c r="AU193" s="495">
        <f ca="1">SUMIF(NameConv!$C$5:$C$45,RIGHT(E193,3),OFFSET(NameConv!$CG$5,0,AV193,NameConv!$A$45,1))</f>
        <v>2</v>
      </c>
      <c r="AV193" s="495">
        <f ca="1">IF(AV192&gt;=SUMIF(NameConv!$C$5:$C$45,RIGHT(E192,3),NameConv!$CG$5:$CG$45),1,AV192+1)</f>
        <v>2</v>
      </c>
    </row>
    <row r="194" spans="1:48">
      <c r="A194" s="422" t="str">
        <f t="shared" ca="1" si="5"/>
        <v/>
      </c>
      <c r="B194" s="515" t="str">
        <f t="shared" si="4"/>
        <v>FLO_EMIS</v>
      </c>
      <c r="C194" s="518" t="str">
        <f ca="1">"X"&amp;OFFSET(NameConv!$F$4,0,AS194)&amp;OFFSET(NameConv!$F$59,AT194,AS194)</f>
        <v>XTRAOHF</v>
      </c>
      <c r="D194" s="515" t="str">
        <f ca="1">OFFSET(NameConv!$F$4,0,AS194)&amp;OFFSET(NameConv!$AX$4,0,AU194)</f>
        <v>TRAN2OS</v>
      </c>
      <c r="E194" s="515" t="str">
        <f ca="1">OFFSET(NameConv!$F$4,0,AS194)&amp;OFFSET(NameConv!$F$59,AT194,AS194)</f>
        <v>TRAOHF</v>
      </c>
      <c r="F194" s="740" t="s">
        <v>334</v>
      </c>
      <c r="G194" s="515" t="s">
        <v>337</v>
      </c>
      <c r="H194" s="740" t="s">
        <v>334</v>
      </c>
      <c r="I194" s="516">
        <v>0</v>
      </c>
      <c r="J194" s="517">
        <f ca="1">IF(E194="TRAOKE",0,SUMIF(NameConv!$C$5:$C$45,RIGHT(E194,3),OFFSET(NameConv!$AX$5,0,AU194,NameConv!$A$45,1)))</f>
        <v>5.9999999999999995E-4</v>
      </c>
      <c r="K194" s="518"/>
      <c r="L194" s="518"/>
      <c r="M194" s="518"/>
      <c r="N194" s="518"/>
      <c r="O194" s="518"/>
      <c r="P194" s="518"/>
      <c r="Q194" s="518"/>
      <c r="R194" s="518"/>
      <c r="S194" s="518"/>
      <c r="T194" s="518"/>
      <c r="U194" s="518"/>
      <c r="V194" s="518"/>
      <c r="W194" s="518"/>
      <c r="X194" s="518"/>
      <c r="Y194" s="518"/>
      <c r="Z194" s="518"/>
      <c r="AA194" s="518"/>
      <c r="AB194" s="518"/>
      <c r="AC194" s="518"/>
      <c r="AD194" s="518"/>
      <c r="AE194" s="518"/>
      <c r="AF194" s="518"/>
      <c r="AG194" s="518"/>
      <c r="AH194" s="518"/>
      <c r="AI194" s="518"/>
      <c r="AJ194" s="518"/>
      <c r="AK194" s="518"/>
      <c r="AL194" s="518"/>
      <c r="AM194" s="518"/>
      <c r="AN194" s="518"/>
      <c r="AO194" s="518"/>
      <c r="AP194" s="518"/>
      <c r="AQ194" s="518"/>
      <c r="AR194" s="518"/>
      <c r="AS194" s="495">
        <f ca="1">IF(AND(AV193&gt;=SUMIF(NameConv!$C$5:$C$45,RIGHT(E193,3),NameConv!$CG$5:$CG$45),AT193=SUMIF(NameConv!$G$4:$M$4,LEFT(E193,3),NameConv!$G$45:$M$45)),AS193+1,AS193)</f>
        <v>4</v>
      </c>
      <c r="AT194" s="495">
        <f ca="1">IF(AS194&lt;&gt;AS193,1,IF(AV193&gt;=SUMIF(NameConv!$C$5:$C$45,RIGHT(E193,3),NameConv!$CG$5:$CG$45),AT193+1,AT193))</f>
        <v>7</v>
      </c>
      <c r="AU194" s="495">
        <f ca="1">SUMIF(NameConv!$C$5:$C$45,RIGHT(E194,3),OFFSET(NameConv!$CG$5,0,AV194,NameConv!$A$45,1))</f>
        <v>3</v>
      </c>
      <c r="AV194" s="495">
        <f ca="1">IF(AV193&gt;=SUMIF(NameConv!$C$5:$C$45,RIGHT(E193,3),NameConv!$CG$5:$CG$45),1,AV193+1)</f>
        <v>3</v>
      </c>
    </row>
    <row r="195" spans="1:48">
      <c r="A195" s="422" t="str">
        <f t="shared" ca="1" si="5"/>
        <v/>
      </c>
      <c r="B195" s="515" t="str">
        <f t="shared" si="4"/>
        <v>FLO_EMIS</v>
      </c>
      <c r="C195" s="518" t="str">
        <f ca="1">"X"&amp;OFFSET(NameConv!$F$4,0,AS195)&amp;OFFSET(NameConv!$F$59,AT195,AS195)</f>
        <v>XTRAOHF</v>
      </c>
      <c r="D195" s="515" t="str">
        <f ca="1">OFFSET(NameConv!$F$4,0,AS195)&amp;OFFSET(NameConv!$AX$4,0,AU195)</f>
        <v>TRASOXS</v>
      </c>
      <c r="E195" s="515" t="str">
        <f ca="1">OFFSET(NameConv!$F$4,0,AS195)&amp;OFFSET(NameConv!$F$59,AT195,AS195)</f>
        <v>TRAOHF</v>
      </c>
      <c r="F195" s="740" t="s">
        <v>334</v>
      </c>
      <c r="G195" s="515" t="s">
        <v>337</v>
      </c>
      <c r="H195" s="740" t="s">
        <v>334</v>
      </c>
      <c r="I195" s="516">
        <v>0</v>
      </c>
      <c r="J195" s="517">
        <f ca="1">IF(E195="TRAOKE",0,SUMIF(NameConv!$C$5:$C$45,RIGHT(E195,3),OFFSET(NameConv!$AX$5,0,AU195,NameConv!$A$45,1)))</f>
        <v>1.5290999999999999</v>
      </c>
      <c r="K195" s="518"/>
      <c r="L195" s="518"/>
      <c r="M195" s="518"/>
      <c r="N195" s="518"/>
      <c r="O195" s="518"/>
      <c r="P195" s="518"/>
      <c r="Q195" s="518"/>
      <c r="R195" s="518"/>
      <c r="S195" s="518"/>
      <c r="T195" s="518"/>
      <c r="U195" s="518"/>
      <c r="V195" s="518"/>
      <c r="W195" s="518"/>
      <c r="X195" s="518"/>
      <c r="Y195" s="518"/>
      <c r="Z195" s="518"/>
      <c r="AA195" s="518"/>
      <c r="AB195" s="518"/>
      <c r="AC195" s="518"/>
      <c r="AD195" s="518"/>
      <c r="AE195" s="518"/>
      <c r="AF195" s="518"/>
      <c r="AG195" s="518"/>
      <c r="AH195" s="518"/>
      <c r="AI195" s="518"/>
      <c r="AJ195" s="518"/>
      <c r="AK195" s="518"/>
      <c r="AL195" s="518"/>
      <c r="AM195" s="518"/>
      <c r="AN195" s="518"/>
      <c r="AO195" s="518"/>
      <c r="AP195" s="518"/>
      <c r="AQ195" s="518"/>
      <c r="AR195" s="518"/>
      <c r="AS195" s="495">
        <f ca="1">IF(AND(AV194&gt;=SUMIF(NameConv!$C$5:$C$45,RIGHT(E194,3),NameConv!$CG$5:$CG$45),AT194=SUMIF(NameConv!$G$4:$M$4,LEFT(E194,3),NameConv!$G$45:$M$45)),AS194+1,AS194)</f>
        <v>4</v>
      </c>
      <c r="AT195" s="495">
        <f ca="1">IF(AS195&lt;&gt;AS194,1,IF(AV194&gt;=SUMIF(NameConv!$C$5:$C$45,RIGHT(E194,3),NameConv!$CG$5:$CG$45),AT194+1,AT194))</f>
        <v>7</v>
      </c>
      <c r="AU195" s="495">
        <f ca="1">SUMIF(NameConv!$C$5:$C$45,RIGHT(E195,3),OFFSET(NameConv!$CG$5,0,AV195,NameConv!$A$45,1))</f>
        <v>4</v>
      </c>
      <c r="AV195" s="495">
        <f ca="1">IF(AV194&gt;=SUMIF(NameConv!$C$5:$C$45,RIGHT(E194,3),NameConv!$CG$5:$CG$45),1,AV194+1)</f>
        <v>4</v>
      </c>
    </row>
    <row r="196" spans="1:48">
      <c r="A196" s="422" t="str">
        <f t="shared" ca="1" si="5"/>
        <v/>
      </c>
      <c r="B196" s="515" t="str">
        <f t="shared" si="4"/>
        <v>FLO_EMIS</v>
      </c>
      <c r="C196" s="518" t="str">
        <f ca="1">"X"&amp;OFFSET(NameConv!$F$4,0,AS196)&amp;OFFSET(NameConv!$F$59,AT196,AS196)</f>
        <v>XTRAOHF</v>
      </c>
      <c r="D196" s="515" t="str">
        <f ca="1">OFFSET(NameConv!$F$4,0,AS196)&amp;OFFSET(NameConv!$AX$4,0,AU196)</f>
        <v>TRANOXS</v>
      </c>
      <c r="E196" s="515" t="str">
        <f ca="1">OFFSET(NameConv!$F$4,0,AS196)&amp;OFFSET(NameConv!$F$59,AT196,AS196)</f>
        <v>TRAOHF</v>
      </c>
      <c r="F196" s="740" t="s">
        <v>334</v>
      </c>
      <c r="G196" s="515" t="s">
        <v>337</v>
      </c>
      <c r="H196" s="740" t="s">
        <v>334</v>
      </c>
      <c r="I196" s="516">
        <v>0</v>
      </c>
      <c r="J196" s="517">
        <f ca="1">IF(E196="TRAOKE",0,SUMIF(NameConv!$C$5:$C$45,RIGHT(E196,3),OFFSET(NameConv!$AX$5,0,AU196,NameConv!$A$45,1)))</f>
        <v>0.2</v>
      </c>
      <c r="K196" s="518"/>
      <c r="L196" s="518"/>
      <c r="M196" s="518"/>
      <c r="N196" s="518"/>
      <c r="O196" s="518"/>
      <c r="P196" s="518"/>
      <c r="Q196" s="518"/>
      <c r="R196" s="518"/>
      <c r="S196" s="518"/>
      <c r="T196" s="518"/>
      <c r="U196" s="518"/>
      <c r="V196" s="518"/>
      <c r="W196" s="518"/>
      <c r="X196" s="518"/>
      <c r="Y196" s="518"/>
      <c r="Z196" s="518"/>
      <c r="AA196" s="518"/>
      <c r="AB196" s="518"/>
      <c r="AC196" s="518"/>
      <c r="AD196" s="518"/>
      <c r="AE196" s="518"/>
      <c r="AF196" s="518"/>
      <c r="AG196" s="518"/>
      <c r="AH196" s="518"/>
      <c r="AI196" s="518"/>
      <c r="AJ196" s="518"/>
      <c r="AK196" s="518"/>
      <c r="AL196" s="518"/>
      <c r="AM196" s="518"/>
      <c r="AN196" s="518"/>
      <c r="AO196" s="518"/>
      <c r="AP196" s="518"/>
      <c r="AQ196" s="518"/>
      <c r="AR196" s="518"/>
      <c r="AS196" s="495">
        <f ca="1">IF(AND(AV195&gt;=SUMIF(NameConv!$C$5:$C$45,RIGHT(E195,3),NameConv!$CG$5:$CG$45),AT195=SUMIF(NameConv!$G$4:$M$4,LEFT(E195,3),NameConv!$G$45:$M$45)),AS195+1,AS195)</f>
        <v>4</v>
      </c>
      <c r="AT196" s="495">
        <f ca="1">IF(AS196&lt;&gt;AS195,1,IF(AV195&gt;=SUMIF(NameConv!$C$5:$C$45,RIGHT(E195,3),NameConv!$CG$5:$CG$45),AT195+1,AT195))</f>
        <v>7</v>
      </c>
      <c r="AU196" s="495">
        <f ca="1">SUMIF(NameConv!$C$5:$C$45,RIGHT(E196,3),OFFSET(NameConv!$CG$5,0,AV196,NameConv!$A$45,1))</f>
        <v>5</v>
      </c>
      <c r="AV196" s="495">
        <f ca="1">IF(AV195&gt;=SUMIF(NameConv!$C$5:$C$45,RIGHT(E195,3),NameConv!$CG$5:$CG$45),1,AV195+1)</f>
        <v>5</v>
      </c>
    </row>
    <row r="197" spans="1:48">
      <c r="A197" s="422" t="str">
        <f t="shared" ca="1" si="5"/>
        <v/>
      </c>
      <c r="B197" s="515" t="str">
        <f t="shared" si="4"/>
        <v>FLO_EMIS</v>
      </c>
      <c r="C197" s="518" t="str">
        <f ca="1">"X"&amp;OFFSET(NameConv!$F$4,0,AS197)&amp;OFFSET(NameConv!$F$59,AT197,AS197)</f>
        <v>XTRAOHF</v>
      </c>
      <c r="D197" s="515" t="str">
        <f ca="1">OFFSET(NameConv!$F$4,0,AS197)&amp;OFFSET(NameConv!$AX$4,0,AU197)</f>
        <v>TRACMOX</v>
      </c>
      <c r="E197" s="515" t="str">
        <f ca="1">OFFSET(NameConv!$F$4,0,AS197)&amp;OFFSET(NameConv!$F$59,AT197,AS197)</f>
        <v>TRAOHF</v>
      </c>
      <c r="F197" s="740" t="s">
        <v>334</v>
      </c>
      <c r="G197" s="515" t="s">
        <v>337</v>
      </c>
      <c r="H197" s="740" t="s">
        <v>334</v>
      </c>
      <c r="I197" s="516">
        <v>0</v>
      </c>
      <c r="J197" s="517">
        <f ca="1">IF(E197="TRAOKE",0,SUMIF(NameConv!$C$5:$C$45,RIGHT(E197,3),OFFSET(NameConv!$AX$5,0,AU197,NameConv!$A$45,1)))</f>
        <v>0.01</v>
      </c>
      <c r="K197" s="518"/>
      <c r="L197" s="518"/>
      <c r="M197" s="518"/>
      <c r="N197" s="518"/>
      <c r="O197" s="518"/>
      <c r="P197" s="518"/>
      <c r="Q197" s="518"/>
      <c r="R197" s="518"/>
      <c r="S197" s="518"/>
      <c r="T197" s="518"/>
      <c r="U197" s="518"/>
      <c r="V197" s="518"/>
      <c r="W197" s="518"/>
      <c r="X197" s="518"/>
      <c r="Y197" s="518"/>
      <c r="Z197" s="518"/>
      <c r="AA197" s="518"/>
      <c r="AB197" s="518"/>
      <c r="AC197" s="518"/>
      <c r="AD197" s="518"/>
      <c r="AE197" s="518"/>
      <c r="AF197" s="518"/>
      <c r="AG197" s="518"/>
      <c r="AH197" s="518"/>
      <c r="AI197" s="518"/>
      <c r="AJ197" s="518"/>
      <c r="AK197" s="518"/>
      <c r="AL197" s="518"/>
      <c r="AM197" s="518"/>
      <c r="AN197" s="518"/>
      <c r="AO197" s="518"/>
      <c r="AP197" s="518"/>
      <c r="AQ197" s="518"/>
      <c r="AR197" s="518"/>
      <c r="AS197" s="495">
        <f ca="1">IF(AND(AV196&gt;=SUMIF(NameConv!$C$5:$C$45,RIGHT(E196,3),NameConv!$CG$5:$CG$45),AT196=SUMIF(NameConv!$G$4:$M$4,LEFT(E196,3),NameConv!$G$45:$M$45)),AS196+1,AS196)</f>
        <v>4</v>
      </c>
      <c r="AT197" s="495">
        <f ca="1">IF(AS197&lt;&gt;AS196,1,IF(AV196&gt;=SUMIF(NameConv!$C$5:$C$45,RIGHT(E196,3),NameConv!$CG$5:$CG$45),AT196+1,AT196))</f>
        <v>7</v>
      </c>
      <c r="AU197" s="495">
        <f ca="1">SUMIF(NameConv!$C$5:$C$45,RIGHT(E197,3),OFFSET(NameConv!$CG$5,0,AV197,NameConv!$A$45,1))</f>
        <v>6</v>
      </c>
      <c r="AV197" s="495">
        <f ca="1">IF(AV196&gt;=SUMIF(NameConv!$C$5:$C$45,RIGHT(E196,3),NameConv!$CG$5:$CG$45),1,AV196+1)</f>
        <v>6</v>
      </c>
    </row>
    <row r="198" spans="1:48">
      <c r="A198" s="422" t="str">
        <f t="shared" ca="1" si="5"/>
        <v/>
      </c>
      <c r="B198" s="515" t="str">
        <f t="shared" si="4"/>
        <v>FLO_EMIS</v>
      </c>
      <c r="C198" s="518" t="str">
        <f ca="1">"X"&amp;OFFSET(NameConv!$F$4,0,AS198)&amp;OFFSET(NameConv!$F$59,AT198,AS198)</f>
        <v>XTRAOHF</v>
      </c>
      <c r="D198" s="515" t="str">
        <f ca="1">OFFSET(NameConv!$F$4,0,AS198)&amp;OFFSET(NameConv!$AX$4,0,AU198)</f>
        <v>TRANMVS</v>
      </c>
      <c r="E198" s="515" t="str">
        <f ca="1">OFFSET(NameConv!$F$4,0,AS198)&amp;OFFSET(NameConv!$F$59,AT198,AS198)</f>
        <v>TRAOHF</v>
      </c>
      <c r="F198" s="740" t="s">
        <v>334</v>
      </c>
      <c r="G198" s="515" t="s">
        <v>337</v>
      </c>
      <c r="H198" s="740" t="s">
        <v>334</v>
      </c>
      <c r="I198" s="516">
        <v>0</v>
      </c>
      <c r="J198" s="517">
        <f ca="1">IF(E198="TRAOKE",0,SUMIF(NameConv!$C$5:$C$45,RIGHT(E198,3),OFFSET(NameConv!$AX$5,0,AU198,NameConv!$A$45,1)))</f>
        <v>5.0000000000000001E-3</v>
      </c>
      <c r="K198" s="518"/>
      <c r="L198" s="518"/>
      <c r="M198" s="518"/>
      <c r="N198" s="518"/>
      <c r="O198" s="518"/>
      <c r="P198" s="518"/>
      <c r="Q198" s="518"/>
      <c r="R198" s="518"/>
      <c r="S198" s="518"/>
      <c r="T198" s="518"/>
      <c r="U198" s="518"/>
      <c r="V198" s="518"/>
      <c r="W198" s="518"/>
      <c r="X198" s="518"/>
      <c r="Y198" s="518"/>
      <c r="Z198" s="518"/>
      <c r="AA198" s="518"/>
      <c r="AB198" s="518"/>
      <c r="AC198" s="518"/>
      <c r="AD198" s="518"/>
      <c r="AE198" s="518"/>
      <c r="AF198" s="518"/>
      <c r="AG198" s="518"/>
      <c r="AH198" s="518"/>
      <c r="AI198" s="518"/>
      <c r="AJ198" s="518"/>
      <c r="AK198" s="518"/>
      <c r="AL198" s="518"/>
      <c r="AM198" s="518"/>
      <c r="AN198" s="518"/>
      <c r="AO198" s="518"/>
      <c r="AP198" s="518"/>
      <c r="AQ198" s="518"/>
      <c r="AR198" s="518"/>
      <c r="AS198" s="495">
        <f ca="1">IF(AND(AV197&gt;=SUMIF(NameConv!$C$5:$C$45,RIGHT(E197,3),NameConv!$CG$5:$CG$45),AT197=SUMIF(NameConv!$G$4:$M$4,LEFT(E197,3),NameConv!$G$45:$M$45)),AS197+1,AS197)</f>
        <v>4</v>
      </c>
      <c r="AT198" s="495">
        <f ca="1">IF(AS198&lt;&gt;AS197,1,IF(AV197&gt;=SUMIF(NameConv!$C$5:$C$45,RIGHT(E197,3),NameConv!$CG$5:$CG$45),AT197+1,AT197))</f>
        <v>7</v>
      </c>
      <c r="AU198" s="495">
        <f ca="1">SUMIF(NameConv!$C$5:$C$45,RIGHT(E198,3),OFFSET(NameConv!$CG$5,0,AV198,NameConv!$A$45,1))</f>
        <v>7</v>
      </c>
      <c r="AV198" s="495">
        <f ca="1">IF(AV197&gt;=SUMIF(NameConv!$C$5:$C$45,RIGHT(E197,3),NameConv!$CG$5:$CG$45),1,AV197+1)</f>
        <v>7</v>
      </c>
    </row>
    <row r="199" spans="1:48">
      <c r="A199" s="422" t="str">
        <f t="shared" ca="1" si="5"/>
        <v>*</v>
      </c>
      <c r="B199" s="515" t="str">
        <f t="shared" si="4"/>
        <v>FLO_EMIS</v>
      </c>
      <c r="C199" s="518" t="str">
        <f ca="1">"X"&amp;OFFSET(NameConv!$F$4,0,AS199)&amp;OFFSET(NameConv!$F$59,AT199,AS199)</f>
        <v>XTRAOKE</v>
      </c>
      <c r="D199" s="515" t="str">
        <f ca="1">OFFSET(NameConv!$F$4,0,AS199)&amp;OFFSET(NameConv!$AX$4,0,AU199)</f>
        <v>TRACO2S</v>
      </c>
      <c r="E199" s="515" t="str">
        <f ca="1">OFFSET(NameConv!$F$4,0,AS199)&amp;OFFSET(NameConv!$F$59,AT199,AS199)</f>
        <v>TRAOKE</v>
      </c>
      <c r="F199" s="740" t="s">
        <v>334</v>
      </c>
      <c r="G199" s="515" t="s">
        <v>337</v>
      </c>
      <c r="H199" s="740" t="s">
        <v>334</v>
      </c>
      <c r="I199" s="516">
        <v>0</v>
      </c>
      <c r="J199" s="517">
        <f ca="1">IF(E199="TRAOKE",0,SUMIF(NameConv!$C$5:$C$45,RIGHT(E199,3),OFFSET(NameConv!$AX$5,0,AU199,NameConv!$A$45,1)))</f>
        <v>0</v>
      </c>
      <c r="K199" s="518"/>
      <c r="L199" s="518"/>
      <c r="M199" s="518"/>
      <c r="N199" s="518"/>
      <c r="O199" s="518"/>
      <c r="P199" s="518"/>
      <c r="Q199" s="518"/>
      <c r="R199" s="518"/>
      <c r="S199" s="518"/>
      <c r="T199" s="518"/>
      <c r="U199" s="518"/>
      <c r="V199" s="518"/>
      <c r="W199" s="518"/>
      <c r="X199" s="518"/>
      <c r="Y199" s="518"/>
      <c r="Z199" s="518"/>
      <c r="AA199" s="518"/>
      <c r="AB199" s="518"/>
      <c r="AC199" s="518"/>
      <c r="AD199" s="518"/>
      <c r="AE199" s="518"/>
      <c r="AF199" s="518"/>
      <c r="AG199" s="518"/>
      <c r="AH199" s="518"/>
      <c r="AI199" s="518"/>
      <c r="AJ199" s="518"/>
      <c r="AK199" s="518"/>
      <c r="AL199" s="518"/>
      <c r="AM199" s="518"/>
      <c r="AN199" s="518"/>
      <c r="AO199" s="518"/>
      <c r="AP199" s="518"/>
      <c r="AQ199" s="518"/>
      <c r="AR199" s="518"/>
      <c r="AS199" s="495">
        <f ca="1">IF(AND(AV198&gt;=SUMIF(NameConv!$C$5:$C$45,RIGHT(E198,3),NameConv!$CG$5:$CG$45),AT198=SUMIF(NameConv!$G$4:$M$4,LEFT(E198,3),NameConv!$G$45:$M$45)),AS198+1,AS198)</f>
        <v>4</v>
      </c>
      <c r="AT199" s="495">
        <f ca="1">IF(AS199&lt;&gt;AS198,1,IF(AV198&gt;=SUMIF(NameConv!$C$5:$C$45,RIGHT(E198,3),NameConv!$CG$5:$CG$45),AT198+1,AT198))</f>
        <v>8</v>
      </c>
      <c r="AU199" s="495">
        <f ca="1">SUMIF(NameConv!$C$5:$C$45,RIGHT(E199,3),OFFSET(NameConv!$CG$5,0,AV199,NameConv!$A$45,1))</f>
        <v>1</v>
      </c>
      <c r="AV199" s="495">
        <f ca="1">IF(AV198&gt;=SUMIF(NameConv!$C$5:$C$45,RIGHT(E198,3),NameConv!$CG$5:$CG$45),1,AV198+1)</f>
        <v>1</v>
      </c>
    </row>
    <row r="200" spans="1:48">
      <c r="A200" s="422" t="str">
        <f t="shared" ca="1" si="5"/>
        <v>*</v>
      </c>
      <c r="B200" s="515" t="str">
        <f t="shared" si="4"/>
        <v>FLO_EMIS</v>
      </c>
      <c r="C200" s="518" t="str">
        <f ca="1">"X"&amp;OFFSET(NameConv!$F$4,0,AS200)&amp;OFFSET(NameConv!$F$59,AT200,AS200)</f>
        <v>XTRAOKE</v>
      </c>
      <c r="D200" s="515" t="str">
        <f ca="1">OFFSET(NameConv!$F$4,0,AS200)&amp;OFFSET(NameConv!$AX$4,0,AU200)</f>
        <v>TRACH4S</v>
      </c>
      <c r="E200" s="515" t="str">
        <f ca="1">OFFSET(NameConv!$F$4,0,AS200)&amp;OFFSET(NameConv!$F$59,AT200,AS200)</f>
        <v>TRAOKE</v>
      </c>
      <c r="F200" s="740" t="s">
        <v>334</v>
      </c>
      <c r="G200" s="515" t="s">
        <v>337</v>
      </c>
      <c r="H200" s="740" t="s">
        <v>334</v>
      </c>
      <c r="I200" s="516">
        <v>0</v>
      </c>
      <c r="J200" s="517">
        <f ca="1">IF(E200="TRAOKE",0,SUMIF(NameConv!$C$5:$C$45,RIGHT(E200,3),OFFSET(NameConv!$AX$5,0,AU200,NameConv!$A$45,1)))</f>
        <v>0</v>
      </c>
      <c r="K200" s="518"/>
      <c r="L200" s="518"/>
      <c r="M200" s="518"/>
      <c r="N200" s="518"/>
      <c r="O200" s="518"/>
      <c r="P200" s="518"/>
      <c r="Q200" s="518"/>
      <c r="R200" s="518"/>
      <c r="S200" s="518"/>
      <c r="T200" s="518"/>
      <c r="U200" s="518"/>
      <c r="V200" s="518"/>
      <c r="W200" s="518"/>
      <c r="X200" s="518"/>
      <c r="Y200" s="518"/>
      <c r="Z200" s="518"/>
      <c r="AA200" s="518"/>
      <c r="AB200" s="518"/>
      <c r="AC200" s="518"/>
      <c r="AD200" s="518"/>
      <c r="AE200" s="518"/>
      <c r="AF200" s="518"/>
      <c r="AG200" s="518"/>
      <c r="AH200" s="518"/>
      <c r="AI200" s="518"/>
      <c r="AJ200" s="518"/>
      <c r="AK200" s="518"/>
      <c r="AL200" s="518"/>
      <c r="AM200" s="518"/>
      <c r="AN200" s="518"/>
      <c r="AO200" s="518"/>
      <c r="AP200" s="518"/>
      <c r="AQ200" s="518"/>
      <c r="AR200" s="518"/>
      <c r="AS200" s="495">
        <f ca="1">IF(AND(AV199&gt;=SUMIF(NameConv!$C$5:$C$45,RIGHT(E199,3),NameConv!$CG$5:$CG$45),AT199=SUMIF(NameConv!$G$4:$M$4,LEFT(E199,3),NameConv!$G$45:$M$45)),AS199+1,AS199)</f>
        <v>4</v>
      </c>
      <c r="AT200" s="495">
        <f ca="1">IF(AS200&lt;&gt;AS199,1,IF(AV199&gt;=SUMIF(NameConv!$C$5:$C$45,RIGHT(E199,3),NameConv!$CG$5:$CG$45),AT199+1,AT199))</f>
        <v>8</v>
      </c>
      <c r="AU200" s="495">
        <f ca="1">SUMIF(NameConv!$C$5:$C$45,RIGHT(E200,3),OFFSET(NameConv!$CG$5,0,AV200,NameConv!$A$45,1))</f>
        <v>2</v>
      </c>
      <c r="AV200" s="495">
        <f ca="1">IF(AV199&gt;=SUMIF(NameConv!$C$5:$C$45,RIGHT(E199,3),NameConv!$CG$5:$CG$45),1,AV199+1)</f>
        <v>2</v>
      </c>
    </row>
    <row r="201" spans="1:48">
      <c r="A201" s="422" t="str">
        <f t="shared" ca="1" si="5"/>
        <v>*</v>
      </c>
      <c r="B201" s="515" t="str">
        <f t="shared" si="4"/>
        <v>FLO_EMIS</v>
      </c>
      <c r="C201" s="518" t="str">
        <f ca="1">"X"&amp;OFFSET(NameConv!$F$4,0,AS201)&amp;OFFSET(NameConv!$F$59,AT201,AS201)</f>
        <v>XTRAOKE</v>
      </c>
      <c r="D201" s="515" t="str">
        <f ca="1">OFFSET(NameConv!$F$4,0,AS201)&amp;OFFSET(NameConv!$AX$4,0,AU201)</f>
        <v>TRAN2OS</v>
      </c>
      <c r="E201" s="515" t="str">
        <f ca="1">OFFSET(NameConv!$F$4,0,AS201)&amp;OFFSET(NameConv!$F$59,AT201,AS201)</f>
        <v>TRAOKE</v>
      </c>
      <c r="F201" s="740" t="s">
        <v>334</v>
      </c>
      <c r="G201" s="515" t="s">
        <v>337</v>
      </c>
      <c r="H201" s="740" t="s">
        <v>334</v>
      </c>
      <c r="I201" s="516">
        <v>0</v>
      </c>
      <c r="J201" s="517">
        <f ca="1">IF(E201="TRAOKE",0,SUMIF(NameConv!$C$5:$C$45,RIGHT(E201,3),OFFSET(NameConv!$AX$5,0,AU201,NameConv!$A$45,1)))</f>
        <v>0</v>
      </c>
      <c r="K201" s="518"/>
      <c r="L201" s="518"/>
      <c r="M201" s="518"/>
      <c r="N201" s="518"/>
      <c r="O201" s="518"/>
      <c r="P201" s="518"/>
      <c r="Q201" s="518"/>
      <c r="R201" s="518"/>
      <c r="S201" s="518"/>
      <c r="T201" s="518"/>
      <c r="U201" s="518"/>
      <c r="V201" s="518"/>
      <c r="W201" s="518"/>
      <c r="X201" s="518"/>
      <c r="Y201" s="518"/>
      <c r="Z201" s="518"/>
      <c r="AA201" s="518"/>
      <c r="AB201" s="518"/>
      <c r="AC201" s="518"/>
      <c r="AD201" s="518"/>
      <c r="AE201" s="518"/>
      <c r="AF201" s="518"/>
      <c r="AG201" s="518"/>
      <c r="AH201" s="518"/>
      <c r="AI201" s="518"/>
      <c r="AJ201" s="518"/>
      <c r="AK201" s="518"/>
      <c r="AL201" s="518"/>
      <c r="AM201" s="518"/>
      <c r="AN201" s="518"/>
      <c r="AO201" s="518"/>
      <c r="AP201" s="518"/>
      <c r="AQ201" s="518"/>
      <c r="AR201" s="518"/>
      <c r="AS201" s="495">
        <f ca="1">IF(AND(AV200&gt;=SUMIF(NameConv!$C$5:$C$45,RIGHT(E200,3),NameConv!$CG$5:$CG$45),AT200=SUMIF(NameConv!$G$4:$M$4,LEFT(E200,3),NameConv!$G$45:$M$45)),AS200+1,AS200)</f>
        <v>4</v>
      </c>
      <c r="AT201" s="495">
        <f ca="1">IF(AS201&lt;&gt;AS200,1,IF(AV200&gt;=SUMIF(NameConv!$C$5:$C$45,RIGHT(E200,3),NameConv!$CG$5:$CG$45),AT200+1,AT200))</f>
        <v>8</v>
      </c>
      <c r="AU201" s="495">
        <f ca="1">SUMIF(NameConv!$C$5:$C$45,RIGHT(E201,3),OFFSET(NameConv!$CG$5,0,AV201,NameConv!$A$45,1))</f>
        <v>3</v>
      </c>
      <c r="AV201" s="495">
        <f ca="1">IF(AV200&gt;=SUMIF(NameConv!$C$5:$C$45,RIGHT(E200,3),NameConv!$CG$5:$CG$45),1,AV200+1)</f>
        <v>3</v>
      </c>
    </row>
    <row r="202" spans="1:48">
      <c r="A202" s="422" t="str">
        <f t="shared" ca="1" si="5"/>
        <v>*</v>
      </c>
      <c r="B202" s="515" t="str">
        <f t="shared" si="4"/>
        <v>FLO_EMIS</v>
      </c>
      <c r="C202" s="518" t="str">
        <f ca="1">"X"&amp;OFFSET(NameConv!$F$4,0,AS202)&amp;OFFSET(NameConv!$F$59,AT202,AS202)</f>
        <v>XTRAOKE</v>
      </c>
      <c r="D202" s="515" t="str">
        <f ca="1">OFFSET(NameConv!$F$4,0,AS202)&amp;OFFSET(NameConv!$AX$4,0,AU202)</f>
        <v>TRASOXS</v>
      </c>
      <c r="E202" s="515" t="str">
        <f ca="1">OFFSET(NameConv!$F$4,0,AS202)&amp;OFFSET(NameConv!$F$59,AT202,AS202)</f>
        <v>TRAOKE</v>
      </c>
      <c r="F202" s="740" t="s">
        <v>334</v>
      </c>
      <c r="G202" s="515" t="s">
        <v>337</v>
      </c>
      <c r="H202" s="740" t="s">
        <v>334</v>
      </c>
      <c r="I202" s="516">
        <v>0</v>
      </c>
      <c r="J202" s="517">
        <f ca="1">IF(E202="TRAOKE",0,SUMIF(NameConv!$C$5:$C$45,RIGHT(E202,3),OFFSET(NameConv!$AX$5,0,AU202,NameConv!$A$45,1)))</f>
        <v>0</v>
      </c>
      <c r="K202" s="518"/>
      <c r="L202" s="518"/>
      <c r="M202" s="518"/>
      <c r="N202" s="518"/>
      <c r="O202" s="518"/>
      <c r="P202" s="518"/>
      <c r="Q202" s="518"/>
      <c r="R202" s="518"/>
      <c r="S202" s="518"/>
      <c r="T202" s="518"/>
      <c r="U202" s="518"/>
      <c r="V202" s="518"/>
      <c r="W202" s="518"/>
      <c r="X202" s="518"/>
      <c r="Y202" s="518"/>
      <c r="Z202" s="518"/>
      <c r="AA202" s="518"/>
      <c r="AB202" s="518"/>
      <c r="AC202" s="518"/>
      <c r="AD202" s="518"/>
      <c r="AE202" s="518"/>
      <c r="AF202" s="518"/>
      <c r="AG202" s="518"/>
      <c r="AH202" s="518"/>
      <c r="AI202" s="518"/>
      <c r="AJ202" s="518"/>
      <c r="AK202" s="518"/>
      <c r="AL202" s="518"/>
      <c r="AM202" s="518"/>
      <c r="AN202" s="518"/>
      <c r="AO202" s="518"/>
      <c r="AP202" s="518"/>
      <c r="AQ202" s="518"/>
      <c r="AR202" s="518"/>
      <c r="AS202" s="495">
        <f ca="1">IF(AND(AV201&gt;=SUMIF(NameConv!$C$5:$C$45,RIGHT(E201,3),NameConv!$CG$5:$CG$45),AT201=SUMIF(NameConv!$G$4:$M$4,LEFT(E201,3),NameConv!$G$45:$M$45)),AS201+1,AS201)</f>
        <v>4</v>
      </c>
      <c r="AT202" s="495">
        <f ca="1">IF(AS202&lt;&gt;AS201,1,IF(AV201&gt;=SUMIF(NameConv!$C$5:$C$45,RIGHT(E201,3),NameConv!$CG$5:$CG$45),AT201+1,AT201))</f>
        <v>8</v>
      </c>
      <c r="AU202" s="495">
        <f ca="1">SUMIF(NameConv!$C$5:$C$45,RIGHT(E202,3),OFFSET(NameConv!$CG$5,0,AV202,NameConv!$A$45,1))</f>
        <v>4</v>
      </c>
      <c r="AV202" s="495">
        <f ca="1">IF(AV201&gt;=SUMIF(NameConv!$C$5:$C$45,RIGHT(E201,3),NameConv!$CG$5:$CG$45),1,AV201+1)</f>
        <v>4</v>
      </c>
    </row>
    <row r="203" spans="1:48">
      <c r="A203" s="422" t="str">
        <f t="shared" ca="1" si="5"/>
        <v>*</v>
      </c>
      <c r="B203" s="515" t="str">
        <f t="shared" si="4"/>
        <v>FLO_EMIS</v>
      </c>
      <c r="C203" s="518" t="str">
        <f ca="1">"X"&amp;OFFSET(NameConv!$F$4,0,AS203)&amp;OFFSET(NameConv!$F$59,AT203,AS203)</f>
        <v>XTRAOKE</v>
      </c>
      <c r="D203" s="515" t="str">
        <f ca="1">OFFSET(NameConv!$F$4,0,AS203)&amp;OFFSET(NameConv!$AX$4,0,AU203)</f>
        <v>TRANOXS</v>
      </c>
      <c r="E203" s="515" t="str">
        <f ca="1">OFFSET(NameConv!$F$4,0,AS203)&amp;OFFSET(NameConv!$F$59,AT203,AS203)</f>
        <v>TRAOKE</v>
      </c>
      <c r="F203" s="740" t="s">
        <v>334</v>
      </c>
      <c r="G203" s="515" t="s">
        <v>337</v>
      </c>
      <c r="H203" s="740" t="s">
        <v>334</v>
      </c>
      <c r="I203" s="516">
        <v>0</v>
      </c>
      <c r="J203" s="517">
        <f ca="1">IF(E203="TRAOKE",0,SUMIF(NameConv!$C$5:$C$45,RIGHT(E203,3),OFFSET(NameConv!$AX$5,0,AU203,NameConv!$A$45,1)))</f>
        <v>0</v>
      </c>
      <c r="K203" s="518"/>
      <c r="L203" s="518"/>
      <c r="M203" s="518"/>
      <c r="N203" s="518"/>
      <c r="O203" s="518"/>
      <c r="P203" s="518"/>
      <c r="Q203" s="518"/>
      <c r="R203" s="518"/>
      <c r="S203" s="518"/>
      <c r="T203" s="518"/>
      <c r="U203" s="518"/>
      <c r="V203" s="518"/>
      <c r="W203" s="518"/>
      <c r="X203" s="518"/>
      <c r="Y203" s="518"/>
      <c r="Z203" s="518"/>
      <c r="AA203" s="518"/>
      <c r="AB203" s="518"/>
      <c r="AC203" s="518"/>
      <c r="AD203" s="518"/>
      <c r="AE203" s="518"/>
      <c r="AF203" s="518"/>
      <c r="AG203" s="518"/>
      <c r="AH203" s="518"/>
      <c r="AI203" s="518"/>
      <c r="AJ203" s="518"/>
      <c r="AK203" s="518"/>
      <c r="AL203" s="518"/>
      <c r="AM203" s="518"/>
      <c r="AN203" s="518"/>
      <c r="AO203" s="518"/>
      <c r="AP203" s="518"/>
      <c r="AQ203" s="518"/>
      <c r="AR203" s="518"/>
      <c r="AS203" s="495">
        <f ca="1">IF(AND(AV202&gt;=SUMIF(NameConv!$C$5:$C$45,RIGHT(E202,3),NameConv!$CG$5:$CG$45),AT202=SUMIF(NameConv!$G$4:$M$4,LEFT(E202,3),NameConv!$G$45:$M$45)),AS202+1,AS202)</f>
        <v>4</v>
      </c>
      <c r="AT203" s="495">
        <f ca="1">IF(AS203&lt;&gt;AS202,1,IF(AV202&gt;=SUMIF(NameConv!$C$5:$C$45,RIGHT(E202,3),NameConv!$CG$5:$CG$45),AT202+1,AT202))</f>
        <v>8</v>
      </c>
      <c r="AU203" s="495">
        <f ca="1">SUMIF(NameConv!$C$5:$C$45,RIGHT(E203,3),OFFSET(NameConv!$CG$5,0,AV203,NameConv!$A$45,1))</f>
        <v>5</v>
      </c>
      <c r="AV203" s="495">
        <f ca="1">IF(AV202&gt;=SUMIF(NameConv!$C$5:$C$45,RIGHT(E202,3),NameConv!$CG$5:$CG$45),1,AV202+1)</f>
        <v>5</v>
      </c>
    </row>
    <row r="204" spans="1:48">
      <c r="A204" s="422" t="str">
        <f t="shared" ca="1" si="5"/>
        <v>*</v>
      </c>
      <c r="B204" s="515" t="str">
        <f t="shared" si="4"/>
        <v>FLO_EMIS</v>
      </c>
      <c r="C204" s="518" t="str">
        <f ca="1">"X"&amp;OFFSET(NameConv!$F$4,0,AS204)&amp;OFFSET(NameConv!$F$59,AT204,AS204)</f>
        <v>XTRAOKE</v>
      </c>
      <c r="D204" s="515" t="str">
        <f ca="1">OFFSET(NameConv!$F$4,0,AS204)&amp;OFFSET(NameConv!$AX$4,0,AU204)</f>
        <v>TRACMOX</v>
      </c>
      <c r="E204" s="515" t="str">
        <f ca="1">OFFSET(NameConv!$F$4,0,AS204)&amp;OFFSET(NameConv!$F$59,AT204,AS204)</f>
        <v>TRAOKE</v>
      </c>
      <c r="F204" s="740" t="s">
        <v>334</v>
      </c>
      <c r="G204" s="515" t="s">
        <v>337</v>
      </c>
      <c r="H204" s="740" t="s">
        <v>334</v>
      </c>
      <c r="I204" s="516">
        <v>0</v>
      </c>
      <c r="J204" s="517">
        <f ca="1">IF(E204="TRAOKE",0,SUMIF(NameConv!$C$5:$C$45,RIGHT(E204,3),OFFSET(NameConv!$AX$5,0,AU204,NameConv!$A$45,1)))</f>
        <v>0</v>
      </c>
      <c r="K204" s="518"/>
      <c r="L204" s="518"/>
      <c r="M204" s="518"/>
      <c r="N204" s="518"/>
      <c r="O204" s="518"/>
      <c r="P204" s="518"/>
      <c r="Q204" s="518"/>
      <c r="R204" s="518"/>
      <c r="S204" s="518"/>
      <c r="T204" s="518"/>
      <c r="U204" s="518"/>
      <c r="V204" s="518"/>
      <c r="W204" s="518"/>
      <c r="X204" s="518"/>
      <c r="Y204" s="518"/>
      <c r="Z204" s="518"/>
      <c r="AA204" s="518"/>
      <c r="AB204" s="518"/>
      <c r="AC204" s="518"/>
      <c r="AD204" s="518"/>
      <c r="AE204" s="518"/>
      <c r="AF204" s="518"/>
      <c r="AG204" s="518"/>
      <c r="AH204" s="518"/>
      <c r="AI204" s="518"/>
      <c r="AJ204" s="518"/>
      <c r="AK204" s="518"/>
      <c r="AL204" s="518"/>
      <c r="AM204" s="518"/>
      <c r="AN204" s="518"/>
      <c r="AO204" s="518"/>
      <c r="AP204" s="518"/>
      <c r="AQ204" s="518"/>
      <c r="AR204" s="518"/>
      <c r="AS204" s="495">
        <f ca="1">IF(AND(AV203&gt;=SUMIF(NameConv!$C$5:$C$45,RIGHT(E203,3),NameConv!$CG$5:$CG$45),AT203=SUMIF(NameConv!$G$4:$M$4,LEFT(E203,3),NameConv!$G$45:$M$45)),AS203+1,AS203)</f>
        <v>4</v>
      </c>
      <c r="AT204" s="495">
        <f ca="1">IF(AS204&lt;&gt;AS203,1,IF(AV203&gt;=SUMIF(NameConv!$C$5:$C$45,RIGHT(E203,3),NameConv!$CG$5:$CG$45),AT203+1,AT203))</f>
        <v>8</v>
      </c>
      <c r="AU204" s="495">
        <f ca="1">SUMIF(NameConv!$C$5:$C$45,RIGHT(E204,3),OFFSET(NameConv!$CG$5,0,AV204,NameConv!$A$45,1))</f>
        <v>6</v>
      </c>
      <c r="AV204" s="495">
        <f ca="1">IF(AV203&gt;=SUMIF(NameConv!$C$5:$C$45,RIGHT(E203,3),NameConv!$CG$5:$CG$45),1,AV203+1)</f>
        <v>6</v>
      </c>
    </row>
    <row r="205" spans="1:48">
      <c r="A205" s="422" t="str">
        <f t="shared" ref="A205:A268" ca="1" si="6">IF(J205=0,"*","")</f>
        <v>*</v>
      </c>
      <c r="B205" s="515" t="str">
        <f t="shared" ref="B205:B268" si="7">$B$10</f>
        <v>FLO_EMIS</v>
      </c>
      <c r="C205" s="518" t="str">
        <f ca="1">"X"&amp;OFFSET(NameConv!$F$4,0,AS205)&amp;OFFSET(NameConv!$F$59,AT205,AS205)</f>
        <v>XTRAOKE</v>
      </c>
      <c r="D205" s="515" t="str">
        <f ca="1">OFFSET(NameConv!$F$4,0,AS205)&amp;OFFSET(NameConv!$AX$4,0,AU205)</f>
        <v>TRANMVS</v>
      </c>
      <c r="E205" s="515" t="str">
        <f ca="1">OFFSET(NameConv!$F$4,0,AS205)&amp;OFFSET(NameConv!$F$59,AT205,AS205)</f>
        <v>TRAOKE</v>
      </c>
      <c r="F205" s="740" t="s">
        <v>334</v>
      </c>
      <c r="G205" s="515" t="s">
        <v>337</v>
      </c>
      <c r="H205" s="740" t="s">
        <v>334</v>
      </c>
      <c r="I205" s="516">
        <v>0</v>
      </c>
      <c r="J205" s="517">
        <f ca="1">IF(E205="TRAOKE",0,SUMIF(NameConv!$C$5:$C$45,RIGHT(E205,3),OFFSET(NameConv!$AX$5,0,AU205,NameConv!$A$45,1)))</f>
        <v>0</v>
      </c>
      <c r="K205" s="518"/>
      <c r="L205" s="518"/>
      <c r="M205" s="518"/>
      <c r="N205" s="518"/>
      <c r="O205" s="518"/>
      <c r="P205" s="518"/>
      <c r="Q205" s="518"/>
      <c r="R205" s="518"/>
      <c r="S205" s="518"/>
      <c r="T205" s="518"/>
      <c r="U205" s="518"/>
      <c r="V205" s="518"/>
      <c r="W205" s="518"/>
      <c r="X205" s="518"/>
      <c r="Y205" s="518"/>
      <c r="Z205" s="518"/>
      <c r="AA205" s="518"/>
      <c r="AB205" s="518"/>
      <c r="AC205" s="518"/>
      <c r="AD205" s="518"/>
      <c r="AE205" s="518"/>
      <c r="AF205" s="518"/>
      <c r="AG205" s="518"/>
      <c r="AH205" s="518"/>
      <c r="AI205" s="518"/>
      <c r="AJ205" s="518"/>
      <c r="AK205" s="518"/>
      <c r="AL205" s="518"/>
      <c r="AM205" s="518"/>
      <c r="AN205" s="518"/>
      <c r="AO205" s="518"/>
      <c r="AP205" s="518"/>
      <c r="AQ205" s="518"/>
      <c r="AR205" s="518"/>
      <c r="AS205" s="495">
        <f ca="1">IF(AND(AV204&gt;=SUMIF(NameConv!$C$5:$C$45,RIGHT(E204,3),NameConv!$CG$5:$CG$45),AT204=SUMIF(NameConv!$G$4:$M$4,LEFT(E204,3),NameConv!$G$45:$M$45)),AS204+1,AS204)</f>
        <v>4</v>
      </c>
      <c r="AT205" s="495">
        <f ca="1">IF(AS205&lt;&gt;AS204,1,IF(AV204&gt;=SUMIF(NameConv!$C$5:$C$45,RIGHT(E204,3),NameConv!$CG$5:$CG$45),AT204+1,AT204))</f>
        <v>8</v>
      </c>
      <c r="AU205" s="495">
        <f ca="1">SUMIF(NameConv!$C$5:$C$45,RIGHT(E205,3),OFFSET(NameConv!$CG$5,0,AV205,NameConv!$A$45,1))</f>
        <v>7</v>
      </c>
      <c r="AV205" s="495">
        <f ca="1">IF(AV204&gt;=SUMIF(NameConv!$C$5:$C$45,RIGHT(E204,3),NameConv!$CG$5:$CG$45),1,AV204+1)</f>
        <v>7</v>
      </c>
    </row>
    <row r="206" spans="1:48">
      <c r="A206" s="422" t="str">
        <f t="shared" ca="1" si="6"/>
        <v>*</v>
      </c>
      <c r="B206" s="515" t="str">
        <f t="shared" si="7"/>
        <v>FLO_EMIS</v>
      </c>
      <c r="C206" s="518" t="str">
        <f ca="1">"X"&amp;OFFSET(NameConv!$F$4,0,AS206)&amp;OFFSET(NameConv!$F$59,AT206,AS206)</f>
        <v>XRESBIW</v>
      </c>
      <c r="D206" s="515" t="str">
        <f ca="1">OFFSET(NameConv!$F$4,0,AS206)&amp;OFFSET(NameConv!$AX$4,0,AU206)</f>
        <v>RES</v>
      </c>
      <c r="E206" s="515" t="str">
        <f ca="1">OFFSET(NameConv!$F$4,0,AS206)&amp;OFFSET(NameConv!$F$59,AT206,AS206)</f>
        <v>RESBIW</v>
      </c>
      <c r="F206" s="740" t="s">
        <v>334</v>
      </c>
      <c r="G206" s="515" t="s">
        <v>337</v>
      </c>
      <c r="H206" s="740" t="s">
        <v>334</v>
      </c>
      <c r="I206" s="516">
        <v>0</v>
      </c>
      <c r="J206" s="517">
        <f ca="1">IF(E206="TRAOKE",0,SUMIF(NameConv!$C$5:$C$45,RIGHT(E206,3),OFFSET(NameConv!$AX$5,0,AU206,NameConv!$A$45,1)))</f>
        <v>0</v>
      </c>
      <c r="K206" s="518"/>
      <c r="L206" s="518"/>
      <c r="M206" s="518"/>
      <c r="N206" s="518"/>
      <c r="O206" s="518"/>
      <c r="P206" s="518"/>
      <c r="Q206" s="518"/>
      <c r="R206" s="518"/>
      <c r="S206" s="518"/>
      <c r="T206" s="518"/>
      <c r="U206" s="518"/>
      <c r="V206" s="518"/>
      <c r="W206" s="518"/>
      <c r="X206" s="518"/>
      <c r="Y206" s="518"/>
      <c r="Z206" s="518"/>
      <c r="AA206" s="518"/>
      <c r="AB206" s="518"/>
      <c r="AC206" s="518"/>
      <c r="AD206" s="518"/>
      <c r="AE206" s="518"/>
      <c r="AF206" s="518"/>
      <c r="AG206" s="518"/>
      <c r="AH206" s="518"/>
      <c r="AI206" s="518"/>
      <c r="AJ206" s="518"/>
      <c r="AK206" s="518"/>
      <c r="AL206" s="518"/>
      <c r="AM206" s="518"/>
      <c r="AN206" s="518"/>
      <c r="AO206" s="518"/>
      <c r="AP206" s="518"/>
      <c r="AQ206" s="518"/>
      <c r="AR206" s="518"/>
      <c r="AS206" s="495">
        <f ca="1">IF(AND(AV205&gt;=SUMIF(NameConv!$C$5:$C$45,RIGHT(E205,3),NameConv!$CG$5:$CG$45),AT205=SUMIF(NameConv!$G$4:$M$4,LEFT(E205,3),NameConv!$G$45:$M$45)),AS205+1,AS205)</f>
        <v>5</v>
      </c>
      <c r="AT206" s="495">
        <f ca="1">IF(AS206&lt;&gt;AS205,1,IF(AV205&gt;=SUMIF(NameConv!$C$5:$C$45,RIGHT(E205,3),NameConv!$CG$5:$CG$45),AT205+1,AT205))</f>
        <v>1</v>
      </c>
      <c r="AU206" s="495">
        <f ca="1">SUMIF(NameConv!$C$5:$C$45,RIGHT(E206,3),OFFSET(NameConv!$CG$5,0,AV206,NameConv!$A$45,1))</f>
        <v>0</v>
      </c>
      <c r="AV206" s="495">
        <f ca="1">IF(AV205&gt;=SUMIF(NameConv!$C$5:$C$45,RIGHT(E205,3),NameConv!$CG$5:$CG$45),1,AV205+1)</f>
        <v>1</v>
      </c>
    </row>
    <row r="207" spans="1:48">
      <c r="A207" s="422" t="str">
        <f t="shared" ca="1" si="6"/>
        <v/>
      </c>
      <c r="B207" s="515" t="str">
        <f t="shared" si="7"/>
        <v>FLO_EMIS</v>
      </c>
      <c r="C207" s="518" t="str">
        <f ca="1">"X"&amp;OFFSET(NameConv!$F$4,0,AS207)&amp;OFFSET(NameConv!$F$59,AT207,AS207)</f>
        <v>XRESCOA</v>
      </c>
      <c r="D207" s="515" t="str">
        <f ca="1">OFFSET(NameConv!$F$4,0,AS207)&amp;OFFSET(NameConv!$AX$4,0,AU207)</f>
        <v>RESCO2S</v>
      </c>
      <c r="E207" s="515" t="str">
        <f ca="1">OFFSET(NameConv!$F$4,0,AS207)&amp;OFFSET(NameConv!$F$59,AT207,AS207)</f>
        <v>RESCOA</v>
      </c>
      <c r="F207" s="740" t="s">
        <v>334</v>
      </c>
      <c r="G207" s="515" t="s">
        <v>337</v>
      </c>
      <c r="H207" s="740" t="s">
        <v>334</v>
      </c>
      <c r="I207" s="516">
        <v>0</v>
      </c>
      <c r="J207" s="517">
        <f ca="1">IF(E207="TRAOKE",0,SUMIF(NameConv!$C$5:$C$45,RIGHT(E207,3),OFFSET(NameConv!$AX$5,0,AU207,NameConv!$A$45,1)))</f>
        <v>96.25</v>
      </c>
      <c r="K207" s="518"/>
      <c r="L207" s="518"/>
      <c r="M207" s="518"/>
      <c r="N207" s="518"/>
      <c r="O207" s="518"/>
      <c r="P207" s="518"/>
      <c r="Q207" s="518"/>
      <c r="R207" s="518"/>
      <c r="S207" s="518"/>
      <c r="T207" s="518"/>
      <c r="U207" s="518"/>
      <c r="V207" s="518"/>
      <c r="W207" s="518"/>
      <c r="X207" s="518"/>
      <c r="Y207" s="518"/>
      <c r="Z207" s="518"/>
      <c r="AA207" s="518"/>
      <c r="AB207" s="518"/>
      <c r="AC207" s="518"/>
      <c r="AD207" s="518"/>
      <c r="AE207" s="518"/>
      <c r="AF207" s="518"/>
      <c r="AG207" s="518"/>
      <c r="AH207" s="518"/>
      <c r="AI207" s="518"/>
      <c r="AJ207" s="518"/>
      <c r="AK207" s="518"/>
      <c r="AL207" s="518"/>
      <c r="AM207" s="518"/>
      <c r="AN207" s="518"/>
      <c r="AO207" s="518"/>
      <c r="AP207" s="518"/>
      <c r="AQ207" s="518"/>
      <c r="AR207" s="518"/>
      <c r="AS207" s="495">
        <f ca="1">IF(AND(AV206&gt;=SUMIF(NameConv!$C$5:$C$45,RIGHT(E206,3),NameConv!$CG$5:$CG$45),AT206=SUMIF(NameConv!$G$4:$M$4,LEFT(E206,3),NameConv!$G$45:$M$45)),AS206+1,AS206)</f>
        <v>5</v>
      </c>
      <c r="AT207" s="495">
        <f ca="1">IF(AS207&lt;&gt;AS206,1,IF(AV206&gt;=SUMIF(NameConv!$C$5:$C$45,RIGHT(E206,3),NameConv!$CG$5:$CG$45),AT206+1,AT206))</f>
        <v>2</v>
      </c>
      <c r="AU207" s="495">
        <f ca="1">SUMIF(NameConv!$C$5:$C$45,RIGHT(E207,3),OFFSET(NameConv!$CG$5,0,AV207,NameConv!$A$45,1))</f>
        <v>1</v>
      </c>
      <c r="AV207" s="495">
        <f ca="1">IF(AV206&gt;=SUMIF(NameConv!$C$5:$C$45,RIGHT(E206,3),NameConv!$CG$5:$CG$45),1,AV206+1)</f>
        <v>1</v>
      </c>
    </row>
    <row r="208" spans="1:48">
      <c r="A208" s="422" t="str">
        <f t="shared" ca="1" si="6"/>
        <v/>
      </c>
      <c r="B208" s="515" t="str">
        <f t="shared" si="7"/>
        <v>FLO_EMIS</v>
      </c>
      <c r="C208" s="518" t="str">
        <f ca="1">"X"&amp;OFFSET(NameConv!$F$4,0,AS208)&amp;OFFSET(NameConv!$F$59,AT208,AS208)</f>
        <v>XRESCOA</v>
      </c>
      <c r="D208" s="515" t="str">
        <f ca="1">OFFSET(NameConv!$F$4,0,AS208)&amp;OFFSET(NameConv!$AX$4,0,AU208)</f>
        <v>RESCH4S</v>
      </c>
      <c r="E208" s="515" t="str">
        <f ca="1">OFFSET(NameConv!$F$4,0,AS208)&amp;OFFSET(NameConv!$F$59,AT208,AS208)</f>
        <v>RESCOA</v>
      </c>
      <c r="F208" s="740" t="s">
        <v>334</v>
      </c>
      <c r="G208" s="515" t="s">
        <v>337</v>
      </c>
      <c r="H208" s="740" t="s">
        <v>334</v>
      </c>
      <c r="I208" s="516">
        <v>0</v>
      </c>
      <c r="J208" s="517">
        <f ca="1">IF(E208="TRAOKE",0,SUMIF(NameConv!$C$5:$C$45,RIGHT(E208,3),OFFSET(NameConv!$AX$5,0,AU208,NameConv!$A$45,1)))</f>
        <v>1E-3</v>
      </c>
      <c r="K208" s="518"/>
      <c r="L208" s="518"/>
      <c r="M208" s="518"/>
      <c r="N208" s="518"/>
      <c r="O208" s="518"/>
      <c r="P208" s="518"/>
      <c r="Q208" s="518"/>
      <c r="R208" s="518"/>
      <c r="S208" s="518"/>
      <c r="T208" s="518"/>
      <c r="U208" s="518"/>
      <c r="V208" s="518"/>
      <c r="W208" s="518"/>
      <c r="X208" s="518"/>
      <c r="Y208" s="518"/>
      <c r="Z208" s="518"/>
      <c r="AA208" s="518"/>
      <c r="AB208" s="518"/>
      <c r="AC208" s="518"/>
      <c r="AD208" s="518"/>
      <c r="AE208" s="518"/>
      <c r="AF208" s="518"/>
      <c r="AG208" s="518"/>
      <c r="AH208" s="518"/>
      <c r="AI208" s="518"/>
      <c r="AJ208" s="518"/>
      <c r="AK208" s="518"/>
      <c r="AL208" s="518"/>
      <c r="AM208" s="518"/>
      <c r="AN208" s="518"/>
      <c r="AO208" s="518"/>
      <c r="AP208" s="518"/>
      <c r="AQ208" s="518"/>
      <c r="AR208" s="518"/>
      <c r="AS208" s="495">
        <f ca="1">IF(AND(AV207&gt;=SUMIF(NameConv!$C$5:$C$45,RIGHT(E207,3),NameConv!$CG$5:$CG$45),AT207=SUMIF(NameConv!$G$4:$M$4,LEFT(E207,3),NameConv!$G$45:$M$45)),AS207+1,AS207)</f>
        <v>5</v>
      </c>
      <c r="AT208" s="495">
        <f ca="1">IF(AS208&lt;&gt;AS207,1,IF(AV207&gt;=SUMIF(NameConv!$C$5:$C$45,RIGHT(E207,3),NameConv!$CG$5:$CG$45),AT207+1,AT207))</f>
        <v>2</v>
      </c>
      <c r="AU208" s="495">
        <f ca="1">SUMIF(NameConv!$C$5:$C$45,RIGHT(E208,3),OFFSET(NameConv!$CG$5,0,AV208,NameConv!$A$45,1))</f>
        <v>2</v>
      </c>
      <c r="AV208" s="495">
        <f ca="1">IF(AV207&gt;=SUMIF(NameConv!$C$5:$C$45,RIGHT(E207,3),NameConv!$CG$5:$CG$45),1,AV207+1)</f>
        <v>2</v>
      </c>
    </row>
    <row r="209" spans="1:48">
      <c r="A209" s="422" t="str">
        <f t="shared" ca="1" si="6"/>
        <v/>
      </c>
      <c r="B209" s="515" t="str">
        <f t="shared" si="7"/>
        <v>FLO_EMIS</v>
      </c>
      <c r="C209" s="518" t="str">
        <f ca="1">"X"&amp;OFFSET(NameConv!$F$4,0,AS209)&amp;OFFSET(NameConv!$F$59,AT209,AS209)</f>
        <v>XRESCOA</v>
      </c>
      <c r="D209" s="515" t="str">
        <f ca="1">OFFSET(NameConv!$F$4,0,AS209)&amp;OFFSET(NameConv!$AX$4,0,AU209)</f>
        <v>RESN2OS</v>
      </c>
      <c r="E209" s="515" t="str">
        <f ca="1">OFFSET(NameConv!$F$4,0,AS209)&amp;OFFSET(NameConv!$F$59,AT209,AS209)</f>
        <v>RESCOA</v>
      </c>
      <c r="F209" s="740" t="s">
        <v>334</v>
      </c>
      <c r="G209" s="515" t="s">
        <v>337</v>
      </c>
      <c r="H209" s="740" t="s">
        <v>334</v>
      </c>
      <c r="I209" s="516">
        <v>0</v>
      </c>
      <c r="J209" s="517">
        <f ca="1">IF(E209="TRAOKE",0,SUMIF(NameConv!$C$5:$C$45,RIGHT(E209,3),OFFSET(NameConv!$AX$5,0,AU209,NameConv!$A$45,1)))</f>
        <v>1.4E-3</v>
      </c>
      <c r="K209" s="518"/>
      <c r="L209" s="518"/>
      <c r="M209" s="518"/>
      <c r="N209" s="518"/>
      <c r="O209" s="518"/>
      <c r="P209" s="518"/>
      <c r="Q209" s="518"/>
      <c r="R209" s="518"/>
      <c r="S209" s="518"/>
      <c r="T209" s="518"/>
      <c r="U209" s="518"/>
      <c r="V209" s="518"/>
      <c r="W209" s="518"/>
      <c r="X209" s="518"/>
      <c r="Y209" s="518"/>
      <c r="Z209" s="518"/>
      <c r="AA209" s="518"/>
      <c r="AB209" s="518"/>
      <c r="AC209" s="518"/>
      <c r="AD209" s="518"/>
      <c r="AE209" s="518"/>
      <c r="AF209" s="518"/>
      <c r="AG209" s="518"/>
      <c r="AH209" s="518"/>
      <c r="AI209" s="518"/>
      <c r="AJ209" s="518"/>
      <c r="AK209" s="518"/>
      <c r="AL209" s="518"/>
      <c r="AM209" s="518"/>
      <c r="AN209" s="518"/>
      <c r="AO209" s="518"/>
      <c r="AP209" s="518"/>
      <c r="AQ209" s="518"/>
      <c r="AR209" s="518"/>
      <c r="AS209" s="495">
        <f ca="1">IF(AND(AV208&gt;=SUMIF(NameConv!$C$5:$C$45,RIGHT(E208,3),NameConv!$CG$5:$CG$45),AT208=SUMIF(NameConv!$G$4:$M$4,LEFT(E208,3),NameConv!$G$45:$M$45)),AS208+1,AS208)</f>
        <v>5</v>
      </c>
      <c r="AT209" s="495">
        <f ca="1">IF(AS209&lt;&gt;AS208,1,IF(AV208&gt;=SUMIF(NameConv!$C$5:$C$45,RIGHT(E208,3),NameConv!$CG$5:$CG$45),AT208+1,AT208))</f>
        <v>2</v>
      </c>
      <c r="AU209" s="495">
        <f ca="1">SUMIF(NameConv!$C$5:$C$45,RIGHT(E209,3),OFFSET(NameConv!$CG$5,0,AV209,NameConv!$A$45,1))</f>
        <v>3</v>
      </c>
      <c r="AV209" s="495">
        <f ca="1">IF(AV208&gt;=SUMIF(NameConv!$C$5:$C$45,RIGHT(E208,3),NameConv!$CG$5:$CG$45),1,AV208+1)</f>
        <v>3</v>
      </c>
    </row>
    <row r="210" spans="1:48">
      <c r="A210" s="422" t="str">
        <f t="shared" ca="1" si="6"/>
        <v/>
      </c>
      <c r="B210" s="515" t="str">
        <f t="shared" si="7"/>
        <v>FLO_EMIS</v>
      </c>
      <c r="C210" s="518" t="str">
        <f ca="1">"X"&amp;OFFSET(NameConv!$F$4,0,AS210)&amp;OFFSET(NameConv!$F$59,AT210,AS210)</f>
        <v>XRESCOA</v>
      </c>
      <c r="D210" s="515" t="str">
        <f ca="1">OFFSET(NameConv!$F$4,0,AS210)&amp;OFFSET(NameConv!$AX$4,0,AU210)</f>
        <v>RESSOXS</v>
      </c>
      <c r="E210" s="515" t="str">
        <f ca="1">OFFSET(NameConv!$F$4,0,AS210)&amp;OFFSET(NameConv!$F$59,AT210,AS210)</f>
        <v>RESCOA</v>
      </c>
      <c r="F210" s="740" t="s">
        <v>334</v>
      </c>
      <c r="G210" s="515" t="s">
        <v>337</v>
      </c>
      <c r="H210" s="740" t="s">
        <v>334</v>
      </c>
      <c r="I210" s="516">
        <v>0</v>
      </c>
      <c r="J210" s="517">
        <f ca="1">IF(E210="TRAOKE",0,SUMIF(NameConv!$C$5:$C$45,RIGHT(E210,3),OFFSET(NameConv!$AX$5,0,AU210,NameConv!$A$45,1)))</f>
        <v>0.62619999999999998</v>
      </c>
      <c r="K210" s="518"/>
      <c r="L210" s="518"/>
      <c r="M210" s="518"/>
      <c r="N210" s="518"/>
      <c r="O210" s="518"/>
      <c r="P210" s="518"/>
      <c r="Q210" s="518"/>
      <c r="R210" s="518"/>
      <c r="S210" s="518"/>
      <c r="T210" s="518"/>
      <c r="U210" s="518"/>
      <c r="V210" s="518"/>
      <c r="W210" s="518"/>
      <c r="X210" s="518"/>
      <c r="Y210" s="518"/>
      <c r="Z210" s="518"/>
      <c r="AA210" s="518"/>
      <c r="AB210" s="518"/>
      <c r="AC210" s="518"/>
      <c r="AD210" s="518"/>
      <c r="AE210" s="518"/>
      <c r="AF210" s="518"/>
      <c r="AG210" s="518"/>
      <c r="AH210" s="518"/>
      <c r="AI210" s="518"/>
      <c r="AJ210" s="518"/>
      <c r="AK210" s="518"/>
      <c r="AL210" s="518"/>
      <c r="AM210" s="518"/>
      <c r="AN210" s="518"/>
      <c r="AO210" s="518"/>
      <c r="AP210" s="518"/>
      <c r="AQ210" s="518"/>
      <c r="AR210" s="518"/>
      <c r="AS210" s="495">
        <f ca="1">IF(AND(AV209&gt;=SUMIF(NameConv!$C$5:$C$45,RIGHT(E209,3),NameConv!$CG$5:$CG$45),AT209=SUMIF(NameConv!$G$4:$M$4,LEFT(E209,3),NameConv!$G$45:$M$45)),AS209+1,AS209)</f>
        <v>5</v>
      </c>
      <c r="AT210" s="495">
        <f ca="1">IF(AS210&lt;&gt;AS209,1,IF(AV209&gt;=SUMIF(NameConv!$C$5:$C$45,RIGHT(E209,3),NameConv!$CG$5:$CG$45),AT209+1,AT209))</f>
        <v>2</v>
      </c>
      <c r="AU210" s="495">
        <f ca="1">SUMIF(NameConv!$C$5:$C$45,RIGHT(E210,3),OFFSET(NameConv!$CG$5,0,AV210,NameConv!$A$45,1))</f>
        <v>4</v>
      </c>
      <c r="AV210" s="495">
        <f ca="1">IF(AV209&gt;=SUMIF(NameConv!$C$5:$C$45,RIGHT(E209,3),NameConv!$CG$5:$CG$45),1,AV209+1)</f>
        <v>4</v>
      </c>
    </row>
    <row r="211" spans="1:48">
      <c r="A211" s="422" t="str">
        <f t="shared" ca="1" si="6"/>
        <v/>
      </c>
      <c r="B211" s="515" t="str">
        <f t="shared" si="7"/>
        <v>FLO_EMIS</v>
      </c>
      <c r="C211" s="518" t="str">
        <f ca="1">"X"&amp;OFFSET(NameConv!$F$4,0,AS211)&amp;OFFSET(NameConv!$F$59,AT211,AS211)</f>
        <v>XRESCOA</v>
      </c>
      <c r="D211" s="515" t="str">
        <f ca="1">OFFSET(NameConv!$F$4,0,AS211)&amp;OFFSET(NameConv!$AX$4,0,AU211)</f>
        <v>RESNOXS</v>
      </c>
      <c r="E211" s="515" t="str">
        <f ca="1">OFFSET(NameConv!$F$4,0,AS211)&amp;OFFSET(NameConv!$F$59,AT211,AS211)</f>
        <v>RESCOA</v>
      </c>
      <c r="F211" s="740" t="s">
        <v>334</v>
      </c>
      <c r="G211" s="515" t="s">
        <v>337</v>
      </c>
      <c r="H211" s="740" t="s">
        <v>334</v>
      </c>
      <c r="I211" s="516">
        <v>0</v>
      </c>
      <c r="J211" s="517">
        <f ca="1">IF(E211="TRAOKE",0,SUMIF(NameConv!$C$5:$C$45,RIGHT(E211,3),OFFSET(NameConv!$AX$5,0,AU211,NameConv!$A$45,1)))</f>
        <v>0.3</v>
      </c>
      <c r="K211" s="518"/>
      <c r="L211" s="518"/>
      <c r="M211" s="518"/>
      <c r="N211" s="518"/>
      <c r="O211" s="518"/>
      <c r="P211" s="518"/>
      <c r="Q211" s="518"/>
      <c r="R211" s="518"/>
      <c r="S211" s="518"/>
      <c r="T211" s="518"/>
      <c r="U211" s="518"/>
      <c r="V211" s="518"/>
      <c r="W211" s="518"/>
      <c r="X211" s="518"/>
      <c r="Y211" s="518"/>
      <c r="Z211" s="518"/>
      <c r="AA211" s="518"/>
      <c r="AB211" s="518"/>
      <c r="AC211" s="518"/>
      <c r="AD211" s="518"/>
      <c r="AE211" s="518"/>
      <c r="AF211" s="518"/>
      <c r="AG211" s="518"/>
      <c r="AH211" s="518"/>
      <c r="AI211" s="518"/>
      <c r="AJ211" s="518"/>
      <c r="AK211" s="518"/>
      <c r="AL211" s="518"/>
      <c r="AM211" s="518"/>
      <c r="AN211" s="518"/>
      <c r="AO211" s="518"/>
      <c r="AP211" s="518"/>
      <c r="AQ211" s="518"/>
      <c r="AR211" s="518"/>
      <c r="AS211" s="495">
        <f ca="1">IF(AND(AV210&gt;=SUMIF(NameConv!$C$5:$C$45,RIGHT(E210,3),NameConv!$CG$5:$CG$45),AT210=SUMIF(NameConv!$G$4:$M$4,LEFT(E210,3),NameConv!$G$45:$M$45)),AS210+1,AS210)</f>
        <v>5</v>
      </c>
      <c r="AT211" s="495">
        <f ca="1">IF(AS211&lt;&gt;AS210,1,IF(AV210&gt;=SUMIF(NameConv!$C$5:$C$45,RIGHT(E210,3),NameConv!$CG$5:$CG$45),AT210+1,AT210))</f>
        <v>2</v>
      </c>
      <c r="AU211" s="495">
        <f ca="1">SUMIF(NameConv!$C$5:$C$45,RIGHT(E211,3),OFFSET(NameConv!$CG$5,0,AV211,NameConv!$A$45,1))</f>
        <v>5</v>
      </c>
      <c r="AV211" s="495">
        <f ca="1">IF(AV210&gt;=SUMIF(NameConv!$C$5:$C$45,RIGHT(E210,3),NameConv!$CG$5:$CG$45),1,AV210+1)</f>
        <v>5</v>
      </c>
    </row>
    <row r="212" spans="1:48">
      <c r="A212" s="422" t="str">
        <f t="shared" ca="1" si="6"/>
        <v/>
      </c>
      <c r="B212" s="515" t="str">
        <f t="shared" si="7"/>
        <v>FLO_EMIS</v>
      </c>
      <c r="C212" s="518" t="str">
        <f ca="1">"X"&amp;OFFSET(NameConv!$F$4,0,AS212)&amp;OFFSET(NameConv!$F$59,AT212,AS212)</f>
        <v>XRESCOA</v>
      </c>
      <c r="D212" s="515" t="str">
        <f ca="1">OFFSET(NameConv!$F$4,0,AS212)&amp;OFFSET(NameConv!$AX$4,0,AU212)</f>
        <v>RESCMOX</v>
      </c>
      <c r="E212" s="515" t="str">
        <f ca="1">OFFSET(NameConv!$F$4,0,AS212)&amp;OFFSET(NameConv!$F$59,AT212,AS212)</f>
        <v>RESCOA</v>
      </c>
      <c r="F212" s="740" t="s">
        <v>334</v>
      </c>
      <c r="G212" s="515" t="s">
        <v>337</v>
      </c>
      <c r="H212" s="740" t="s">
        <v>334</v>
      </c>
      <c r="I212" s="516">
        <v>0</v>
      </c>
      <c r="J212" s="517">
        <f ca="1">IF(E212="TRAOKE",0,SUMIF(NameConv!$C$5:$C$45,RIGHT(E212,3),OFFSET(NameConv!$AX$5,0,AU212,NameConv!$A$45,1)))</f>
        <v>0.02</v>
      </c>
      <c r="K212" s="518"/>
      <c r="L212" s="518"/>
      <c r="M212" s="518"/>
      <c r="N212" s="518"/>
      <c r="O212" s="518"/>
      <c r="P212" s="518"/>
      <c r="Q212" s="518"/>
      <c r="R212" s="518"/>
      <c r="S212" s="518"/>
      <c r="T212" s="518"/>
      <c r="U212" s="518"/>
      <c r="V212" s="518"/>
      <c r="W212" s="518"/>
      <c r="X212" s="518"/>
      <c r="Y212" s="518"/>
      <c r="Z212" s="518"/>
      <c r="AA212" s="518"/>
      <c r="AB212" s="518"/>
      <c r="AC212" s="518"/>
      <c r="AD212" s="518"/>
      <c r="AE212" s="518"/>
      <c r="AF212" s="518"/>
      <c r="AG212" s="518"/>
      <c r="AH212" s="518"/>
      <c r="AI212" s="518"/>
      <c r="AJ212" s="518"/>
      <c r="AK212" s="518"/>
      <c r="AL212" s="518"/>
      <c r="AM212" s="518"/>
      <c r="AN212" s="518"/>
      <c r="AO212" s="518"/>
      <c r="AP212" s="518"/>
      <c r="AQ212" s="518"/>
      <c r="AR212" s="518"/>
      <c r="AS212" s="495">
        <f ca="1">IF(AND(AV211&gt;=SUMIF(NameConv!$C$5:$C$45,RIGHT(E211,3),NameConv!$CG$5:$CG$45),AT211=SUMIF(NameConv!$G$4:$M$4,LEFT(E211,3),NameConv!$G$45:$M$45)),AS211+1,AS211)</f>
        <v>5</v>
      </c>
      <c r="AT212" s="495">
        <f ca="1">IF(AS212&lt;&gt;AS211,1,IF(AV211&gt;=SUMIF(NameConv!$C$5:$C$45,RIGHT(E211,3),NameConv!$CG$5:$CG$45),AT211+1,AT211))</f>
        <v>2</v>
      </c>
      <c r="AU212" s="495">
        <f ca="1">SUMIF(NameConv!$C$5:$C$45,RIGHT(E212,3),OFFSET(NameConv!$CG$5,0,AV212,NameConv!$A$45,1))</f>
        <v>6</v>
      </c>
      <c r="AV212" s="495">
        <f ca="1">IF(AV211&gt;=SUMIF(NameConv!$C$5:$C$45,RIGHT(E211,3),NameConv!$CG$5:$CG$45),1,AV211+1)</f>
        <v>6</v>
      </c>
    </row>
    <row r="213" spans="1:48">
      <c r="A213" s="422" t="str">
        <f t="shared" ca="1" si="6"/>
        <v/>
      </c>
      <c r="B213" s="515" t="str">
        <f t="shared" si="7"/>
        <v>FLO_EMIS</v>
      </c>
      <c r="C213" s="518" t="str">
        <f ca="1">"X"&amp;OFFSET(NameConv!$F$4,0,AS213)&amp;OFFSET(NameConv!$F$59,AT213,AS213)</f>
        <v>XRESCOA</v>
      </c>
      <c r="D213" s="515" t="str">
        <f ca="1">OFFSET(NameConv!$F$4,0,AS213)&amp;OFFSET(NameConv!$AX$4,0,AU213)</f>
        <v>RESNMVS</v>
      </c>
      <c r="E213" s="515" t="str">
        <f ca="1">OFFSET(NameConv!$F$4,0,AS213)&amp;OFFSET(NameConv!$F$59,AT213,AS213)</f>
        <v>RESCOA</v>
      </c>
      <c r="F213" s="740" t="s">
        <v>334</v>
      </c>
      <c r="G213" s="515" t="s">
        <v>337</v>
      </c>
      <c r="H213" s="740" t="s">
        <v>334</v>
      </c>
      <c r="I213" s="516">
        <v>0</v>
      </c>
      <c r="J213" s="517">
        <f ca="1">IF(E213="TRAOKE",0,SUMIF(NameConv!$C$5:$C$45,RIGHT(E213,3),OFFSET(NameConv!$AX$5,0,AU213,NameConv!$A$45,1)))</f>
        <v>5.0000000000000001E-3</v>
      </c>
      <c r="K213" s="518"/>
      <c r="L213" s="518"/>
      <c r="M213" s="518"/>
      <c r="N213" s="518"/>
      <c r="O213" s="518"/>
      <c r="P213" s="518"/>
      <c r="Q213" s="518"/>
      <c r="R213" s="518"/>
      <c r="S213" s="518"/>
      <c r="T213" s="518"/>
      <c r="U213" s="518"/>
      <c r="V213" s="518"/>
      <c r="W213" s="518"/>
      <c r="X213" s="518"/>
      <c r="Y213" s="518"/>
      <c r="Z213" s="518"/>
      <c r="AA213" s="518"/>
      <c r="AB213" s="518"/>
      <c r="AC213" s="518"/>
      <c r="AD213" s="518"/>
      <c r="AE213" s="518"/>
      <c r="AF213" s="518"/>
      <c r="AG213" s="518"/>
      <c r="AH213" s="518"/>
      <c r="AI213" s="518"/>
      <c r="AJ213" s="518"/>
      <c r="AK213" s="518"/>
      <c r="AL213" s="518"/>
      <c r="AM213" s="518"/>
      <c r="AN213" s="518"/>
      <c r="AO213" s="518"/>
      <c r="AP213" s="518"/>
      <c r="AQ213" s="518"/>
      <c r="AR213" s="518"/>
      <c r="AS213" s="495">
        <f ca="1">IF(AND(AV212&gt;=SUMIF(NameConv!$C$5:$C$45,RIGHT(E212,3),NameConv!$CG$5:$CG$45),AT212=SUMIF(NameConv!$G$4:$M$4,LEFT(E212,3),NameConv!$G$45:$M$45)),AS212+1,AS212)</f>
        <v>5</v>
      </c>
      <c r="AT213" s="495">
        <f ca="1">IF(AS213&lt;&gt;AS212,1,IF(AV212&gt;=SUMIF(NameConv!$C$5:$C$45,RIGHT(E212,3),NameConv!$CG$5:$CG$45),AT212+1,AT212))</f>
        <v>2</v>
      </c>
      <c r="AU213" s="495">
        <f ca="1">SUMIF(NameConv!$C$5:$C$45,RIGHT(E213,3),OFFSET(NameConv!$CG$5,0,AV213,NameConv!$A$45,1))</f>
        <v>7</v>
      </c>
      <c r="AV213" s="495">
        <f ca="1">IF(AV212&gt;=SUMIF(NameConv!$C$5:$C$45,RIGHT(E212,3),NameConv!$CG$5:$CG$45),1,AV212+1)</f>
        <v>7</v>
      </c>
    </row>
    <row r="214" spans="1:48">
      <c r="A214" s="422" t="str">
        <f t="shared" ca="1" si="6"/>
        <v>*</v>
      </c>
      <c r="B214" s="515" t="str">
        <f t="shared" si="7"/>
        <v>FLO_EMIS</v>
      </c>
      <c r="C214" s="518" t="str">
        <f ca="1">"X"&amp;OFFSET(NameConv!$F$4,0,AS214)&amp;OFFSET(NameConv!$F$59,AT214,AS214)</f>
        <v>XRESELC</v>
      </c>
      <c r="D214" s="515" t="str">
        <f ca="1">OFFSET(NameConv!$F$4,0,AS214)&amp;OFFSET(NameConv!$AX$4,0,AU214)</f>
        <v>RES</v>
      </c>
      <c r="E214" s="515" t="str">
        <f ca="1">OFFSET(NameConv!$F$4,0,AS214)&amp;OFFSET(NameConv!$F$59,AT214,AS214)</f>
        <v>RESELC</v>
      </c>
      <c r="F214" s="740" t="s">
        <v>334</v>
      </c>
      <c r="G214" s="515" t="s">
        <v>337</v>
      </c>
      <c r="H214" s="740" t="s">
        <v>334</v>
      </c>
      <c r="I214" s="516">
        <v>0</v>
      </c>
      <c r="J214" s="517">
        <f ca="1">IF(E214="TRAOKE",0,SUMIF(NameConv!$C$5:$C$45,RIGHT(E214,3),OFFSET(NameConv!$AX$5,0,AU214,NameConv!$A$45,1)))</f>
        <v>0</v>
      </c>
      <c r="K214" s="518"/>
      <c r="L214" s="518"/>
      <c r="M214" s="518"/>
      <c r="N214" s="518"/>
      <c r="O214" s="518"/>
      <c r="P214" s="518"/>
      <c r="Q214" s="518"/>
      <c r="R214" s="518"/>
      <c r="S214" s="518"/>
      <c r="T214" s="518"/>
      <c r="U214" s="518"/>
      <c r="V214" s="518"/>
      <c r="W214" s="518"/>
      <c r="X214" s="518"/>
      <c r="Y214" s="518"/>
      <c r="Z214" s="518"/>
      <c r="AA214" s="518"/>
      <c r="AB214" s="518"/>
      <c r="AC214" s="518"/>
      <c r="AD214" s="518"/>
      <c r="AE214" s="518"/>
      <c r="AF214" s="518"/>
      <c r="AG214" s="518"/>
      <c r="AH214" s="518"/>
      <c r="AI214" s="518"/>
      <c r="AJ214" s="518"/>
      <c r="AK214" s="518"/>
      <c r="AL214" s="518"/>
      <c r="AM214" s="518"/>
      <c r="AN214" s="518"/>
      <c r="AO214" s="518"/>
      <c r="AP214" s="518"/>
      <c r="AQ214" s="518"/>
      <c r="AR214" s="518"/>
      <c r="AS214" s="495">
        <f ca="1">IF(AND(AV213&gt;=SUMIF(NameConv!$C$5:$C$45,RIGHT(E213,3),NameConv!$CG$5:$CG$45),AT213=SUMIF(NameConv!$G$4:$M$4,LEFT(E213,3),NameConv!$G$45:$M$45)),AS213+1,AS213)</f>
        <v>5</v>
      </c>
      <c r="AT214" s="495">
        <f ca="1">IF(AS214&lt;&gt;AS213,1,IF(AV213&gt;=SUMIF(NameConv!$C$5:$C$45,RIGHT(E213,3),NameConv!$CG$5:$CG$45),AT213+1,AT213))</f>
        <v>3</v>
      </c>
      <c r="AU214" s="495">
        <f ca="1">SUMIF(NameConv!$C$5:$C$45,RIGHT(E214,3),OFFSET(NameConv!$CG$5,0,AV214,NameConv!$A$45,1))</f>
        <v>0</v>
      </c>
      <c r="AV214" s="495">
        <f ca="1">IF(AV213&gt;=SUMIF(NameConv!$C$5:$C$45,RIGHT(E213,3),NameConv!$CG$5:$CG$45),1,AV213+1)</f>
        <v>1</v>
      </c>
    </row>
    <row r="215" spans="1:48">
      <c r="A215" s="422" t="str">
        <f t="shared" ca="1" si="6"/>
        <v/>
      </c>
      <c r="B215" s="515" t="str">
        <f t="shared" si="7"/>
        <v>FLO_EMIS</v>
      </c>
      <c r="C215" s="518" t="str">
        <f ca="1">"X"&amp;OFFSET(NameConv!$F$4,0,AS215)&amp;OFFSET(NameConv!$F$59,AT215,AS215)</f>
        <v>XRESGAS</v>
      </c>
      <c r="D215" s="515" t="str">
        <f ca="1">OFFSET(NameConv!$F$4,0,AS215)&amp;OFFSET(NameConv!$AX$4,0,AU215)</f>
        <v>RESCO2S</v>
      </c>
      <c r="E215" s="515" t="str">
        <f ca="1">OFFSET(NameConv!$F$4,0,AS215)&amp;OFFSET(NameConv!$F$59,AT215,AS215)</f>
        <v>RESGAS</v>
      </c>
      <c r="F215" s="740" t="s">
        <v>334</v>
      </c>
      <c r="G215" s="515" t="s">
        <v>337</v>
      </c>
      <c r="H215" s="740" t="s">
        <v>334</v>
      </c>
      <c r="I215" s="516">
        <v>0</v>
      </c>
      <c r="J215" s="517">
        <f ca="1">IF(E215="TRAOKE",0,SUMIF(NameConv!$C$5:$C$45,RIGHT(E215,3),OFFSET(NameConv!$AX$5,0,AU215,NameConv!$A$45,1)))</f>
        <v>56.1</v>
      </c>
      <c r="K215" s="518"/>
      <c r="L215" s="518"/>
      <c r="M215" s="518"/>
      <c r="N215" s="518"/>
      <c r="O215" s="518"/>
      <c r="P215" s="518"/>
      <c r="Q215" s="518"/>
      <c r="R215" s="518"/>
      <c r="S215" s="518"/>
      <c r="T215" s="518"/>
      <c r="U215" s="518"/>
      <c r="V215" s="518"/>
      <c r="W215" s="518"/>
      <c r="X215" s="518"/>
      <c r="Y215" s="518"/>
      <c r="Z215" s="518"/>
      <c r="AA215" s="518"/>
      <c r="AB215" s="518"/>
      <c r="AC215" s="518"/>
      <c r="AD215" s="518"/>
      <c r="AE215" s="518"/>
      <c r="AF215" s="518"/>
      <c r="AG215" s="518"/>
      <c r="AH215" s="518"/>
      <c r="AI215" s="518"/>
      <c r="AJ215" s="518"/>
      <c r="AK215" s="518"/>
      <c r="AL215" s="518"/>
      <c r="AM215" s="518"/>
      <c r="AN215" s="518"/>
      <c r="AO215" s="518"/>
      <c r="AP215" s="518"/>
      <c r="AQ215" s="518"/>
      <c r="AR215" s="518"/>
      <c r="AS215" s="495">
        <f ca="1">IF(AND(AV214&gt;=SUMIF(NameConv!$C$5:$C$45,RIGHT(E214,3),NameConv!$CG$5:$CG$45),AT214=SUMIF(NameConv!$G$4:$M$4,LEFT(E214,3),NameConv!$G$45:$M$45)),AS214+1,AS214)</f>
        <v>5</v>
      </c>
      <c r="AT215" s="495">
        <f ca="1">IF(AS215&lt;&gt;AS214,1,IF(AV214&gt;=SUMIF(NameConv!$C$5:$C$45,RIGHT(E214,3),NameConv!$CG$5:$CG$45),AT214+1,AT214))</f>
        <v>4</v>
      </c>
      <c r="AU215" s="495">
        <f ca="1">SUMIF(NameConv!$C$5:$C$45,RIGHT(E215,3),OFFSET(NameConv!$CG$5,0,AV215,NameConv!$A$45,1))</f>
        <v>1</v>
      </c>
      <c r="AV215" s="495">
        <f ca="1">IF(AV214&gt;=SUMIF(NameConv!$C$5:$C$45,RIGHT(E214,3),NameConv!$CG$5:$CG$45),1,AV214+1)</f>
        <v>1</v>
      </c>
    </row>
    <row r="216" spans="1:48">
      <c r="A216" s="422" t="str">
        <f t="shared" ca="1" si="6"/>
        <v/>
      </c>
      <c r="B216" s="515" t="str">
        <f t="shared" si="7"/>
        <v>FLO_EMIS</v>
      </c>
      <c r="C216" s="518" t="str">
        <f ca="1">"X"&amp;OFFSET(NameConv!$F$4,0,AS216)&amp;OFFSET(NameConv!$F$59,AT216,AS216)</f>
        <v>XRESGAS</v>
      </c>
      <c r="D216" s="515" t="str">
        <f ca="1">OFFSET(NameConv!$F$4,0,AS216)&amp;OFFSET(NameConv!$AX$4,0,AU216)</f>
        <v>RESCH4S</v>
      </c>
      <c r="E216" s="515" t="str">
        <f ca="1">OFFSET(NameConv!$F$4,0,AS216)&amp;OFFSET(NameConv!$F$59,AT216,AS216)</f>
        <v>RESGAS</v>
      </c>
      <c r="F216" s="740" t="s">
        <v>334</v>
      </c>
      <c r="G216" s="515" t="s">
        <v>337</v>
      </c>
      <c r="H216" s="740" t="s">
        <v>334</v>
      </c>
      <c r="I216" s="516">
        <v>0</v>
      </c>
      <c r="J216" s="517">
        <f ca="1">IF(E216="TRAOKE",0,SUMIF(NameConv!$C$5:$C$45,RIGHT(E216,3),OFFSET(NameConv!$AX$5,0,AU216,NameConv!$A$45,1)))</f>
        <v>1E-3</v>
      </c>
      <c r="K216" s="518"/>
      <c r="L216" s="518"/>
      <c r="M216" s="518"/>
      <c r="N216" s="518"/>
      <c r="O216" s="518"/>
      <c r="P216" s="518"/>
      <c r="Q216" s="518"/>
      <c r="R216" s="518"/>
      <c r="S216" s="518"/>
      <c r="T216" s="518"/>
      <c r="U216" s="518"/>
      <c r="V216" s="518"/>
      <c r="W216" s="518"/>
      <c r="X216" s="518"/>
      <c r="Y216" s="518"/>
      <c r="Z216" s="518"/>
      <c r="AA216" s="518"/>
      <c r="AB216" s="518"/>
      <c r="AC216" s="518"/>
      <c r="AD216" s="518"/>
      <c r="AE216" s="518"/>
      <c r="AF216" s="518"/>
      <c r="AG216" s="518"/>
      <c r="AH216" s="518"/>
      <c r="AI216" s="518"/>
      <c r="AJ216" s="518"/>
      <c r="AK216" s="518"/>
      <c r="AL216" s="518"/>
      <c r="AM216" s="518"/>
      <c r="AN216" s="518"/>
      <c r="AO216" s="518"/>
      <c r="AP216" s="518"/>
      <c r="AQ216" s="518"/>
      <c r="AR216" s="518"/>
      <c r="AS216" s="495">
        <f ca="1">IF(AND(AV215&gt;=SUMIF(NameConv!$C$5:$C$45,RIGHT(E215,3),NameConv!$CG$5:$CG$45),AT215=SUMIF(NameConv!$G$4:$M$4,LEFT(E215,3),NameConv!$G$45:$M$45)),AS215+1,AS215)</f>
        <v>5</v>
      </c>
      <c r="AT216" s="495">
        <f ca="1">IF(AS216&lt;&gt;AS215,1,IF(AV215&gt;=SUMIF(NameConv!$C$5:$C$45,RIGHT(E215,3),NameConv!$CG$5:$CG$45),AT215+1,AT215))</f>
        <v>4</v>
      </c>
      <c r="AU216" s="495">
        <f ca="1">SUMIF(NameConv!$C$5:$C$45,RIGHT(E216,3),OFFSET(NameConv!$CG$5,0,AV216,NameConv!$A$45,1))</f>
        <v>2</v>
      </c>
      <c r="AV216" s="495">
        <f ca="1">IF(AV215&gt;=SUMIF(NameConv!$C$5:$C$45,RIGHT(E215,3),NameConv!$CG$5:$CG$45),1,AV215+1)</f>
        <v>2</v>
      </c>
    </row>
    <row r="217" spans="1:48">
      <c r="A217" s="422" t="str">
        <f t="shared" ca="1" si="6"/>
        <v/>
      </c>
      <c r="B217" s="515" t="str">
        <f t="shared" si="7"/>
        <v>FLO_EMIS</v>
      </c>
      <c r="C217" s="518" t="str">
        <f ca="1">"X"&amp;OFFSET(NameConv!$F$4,0,AS217)&amp;OFFSET(NameConv!$F$59,AT217,AS217)</f>
        <v>XRESGAS</v>
      </c>
      <c r="D217" s="515" t="str">
        <f ca="1">OFFSET(NameConv!$F$4,0,AS217)&amp;OFFSET(NameConv!$AX$4,0,AU217)</f>
        <v>RESN2OS</v>
      </c>
      <c r="E217" s="515" t="str">
        <f ca="1">OFFSET(NameConv!$F$4,0,AS217)&amp;OFFSET(NameConv!$F$59,AT217,AS217)</f>
        <v>RESGAS</v>
      </c>
      <c r="F217" s="740" t="s">
        <v>334</v>
      </c>
      <c r="G217" s="515" t="s">
        <v>337</v>
      </c>
      <c r="H217" s="740" t="s">
        <v>334</v>
      </c>
      <c r="I217" s="516">
        <v>0</v>
      </c>
      <c r="J217" s="517">
        <f ca="1">IF(E217="TRAOKE",0,SUMIF(NameConv!$C$5:$C$45,RIGHT(E217,3),OFFSET(NameConv!$AX$5,0,AU217,NameConv!$A$45,1)))</f>
        <v>1E-4</v>
      </c>
      <c r="K217" s="518"/>
      <c r="L217" s="518"/>
      <c r="M217" s="518"/>
      <c r="N217" s="518"/>
      <c r="O217" s="518"/>
      <c r="P217" s="518"/>
      <c r="Q217" s="518"/>
      <c r="R217" s="518"/>
      <c r="S217" s="518"/>
      <c r="T217" s="518"/>
      <c r="U217" s="518"/>
      <c r="V217" s="518"/>
      <c r="W217" s="518"/>
      <c r="X217" s="518"/>
      <c r="Y217" s="518"/>
      <c r="Z217" s="518"/>
      <c r="AA217" s="518"/>
      <c r="AB217" s="518"/>
      <c r="AC217" s="518"/>
      <c r="AD217" s="518"/>
      <c r="AE217" s="518"/>
      <c r="AF217" s="518"/>
      <c r="AG217" s="518"/>
      <c r="AH217" s="518"/>
      <c r="AI217" s="518"/>
      <c r="AJ217" s="518"/>
      <c r="AK217" s="518"/>
      <c r="AL217" s="518"/>
      <c r="AM217" s="518"/>
      <c r="AN217" s="518"/>
      <c r="AO217" s="518"/>
      <c r="AP217" s="518"/>
      <c r="AQ217" s="518"/>
      <c r="AR217" s="518"/>
      <c r="AS217" s="495">
        <f ca="1">IF(AND(AV216&gt;=SUMIF(NameConv!$C$5:$C$45,RIGHT(E216,3),NameConv!$CG$5:$CG$45),AT216=SUMIF(NameConv!$G$4:$M$4,LEFT(E216,3),NameConv!$G$45:$M$45)),AS216+1,AS216)</f>
        <v>5</v>
      </c>
      <c r="AT217" s="495">
        <f ca="1">IF(AS217&lt;&gt;AS216,1,IF(AV216&gt;=SUMIF(NameConv!$C$5:$C$45,RIGHT(E216,3),NameConv!$CG$5:$CG$45),AT216+1,AT216))</f>
        <v>4</v>
      </c>
      <c r="AU217" s="495">
        <f ca="1">SUMIF(NameConv!$C$5:$C$45,RIGHT(E217,3),OFFSET(NameConv!$CG$5,0,AV217,NameConv!$A$45,1))</f>
        <v>3</v>
      </c>
      <c r="AV217" s="495">
        <f ca="1">IF(AV216&gt;=SUMIF(NameConv!$C$5:$C$45,RIGHT(E216,3),NameConv!$CG$5:$CG$45),1,AV216+1)</f>
        <v>3</v>
      </c>
    </row>
    <row r="218" spans="1:48">
      <c r="A218" s="422" t="str">
        <f t="shared" ca="1" si="6"/>
        <v/>
      </c>
      <c r="B218" s="515" t="str">
        <f t="shared" si="7"/>
        <v>FLO_EMIS</v>
      </c>
      <c r="C218" s="518" t="str">
        <f ca="1">"X"&amp;OFFSET(NameConv!$F$4,0,AS218)&amp;OFFSET(NameConv!$F$59,AT218,AS218)</f>
        <v>XRESGAS</v>
      </c>
      <c r="D218" s="515" t="str">
        <f ca="1">OFFSET(NameConv!$F$4,0,AS218)&amp;OFFSET(NameConv!$AX$4,0,AU218)</f>
        <v>RESNOXS</v>
      </c>
      <c r="E218" s="515" t="str">
        <f ca="1">OFFSET(NameConv!$F$4,0,AS218)&amp;OFFSET(NameConv!$F$59,AT218,AS218)</f>
        <v>RESGAS</v>
      </c>
      <c r="F218" s="740" t="s">
        <v>334</v>
      </c>
      <c r="G218" s="515" t="s">
        <v>337</v>
      </c>
      <c r="H218" s="740" t="s">
        <v>334</v>
      </c>
      <c r="I218" s="516">
        <v>0</v>
      </c>
      <c r="J218" s="517">
        <f ca="1">IF(E218="TRAOKE",0,SUMIF(NameConv!$C$5:$C$45,RIGHT(E218,3),OFFSET(NameConv!$AX$5,0,AU218,NameConv!$A$45,1)))</f>
        <v>0.15</v>
      </c>
      <c r="K218" s="518"/>
      <c r="L218" s="518"/>
      <c r="M218" s="518"/>
      <c r="N218" s="518"/>
      <c r="O218" s="518"/>
      <c r="P218" s="518"/>
      <c r="Q218" s="518"/>
      <c r="R218" s="518"/>
      <c r="S218" s="518"/>
      <c r="T218" s="518"/>
      <c r="U218" s="518"/>
      <c r="V218" s="518"/>
      <c r="W218" s="518"/>
      <c r="X218" s="518"/>
      <c r="Y218" s="518"/>
      <c r="Z218" s="518"/>
      <c r="AA218" s="518"/>
      <c r="AB218" s="518"/>
      <c r="AC218" s="518"/>
      <c r="AD218" s="518"/>
      <c r="AE218" s="518"/>
      <c r="AF218" s="518"/>
      <c r="AG218" s="518"/>
      <c r="AH218" s="518"/>
      <c r="AI218" s="518"/>
      <c r="AJ218" s="518"/>
      <c r="AK218" s="518"/>
      <c r="AL218" s="518"/>
      <c r="AM218" s="518"/>
      <c r="AN218" s="518"/>
      <c r="AO218" s="518"/>
      <c r="AP218" s="518"/>
      <c r="AQ218" s="518"/>
      <c r="AR218" s="518"/>
      <c r="AS218" s="495">
        <f ca="1">IF(AND(AV217&gt;=SUMIF(NameConv!$C$5:$C$45,RIGHT(E217,3),NameConv!$CG$5:$CG$45),AT217=SUMIF(NameConv!$G$4:$M$4,LEFT(E217,3),NameConv!$G$45:$M$45)),AS217+1,AS217)</f>
        <v>5</v>
      </c>
      <c r="AT218" s="495">
        <f ca="1">IF(AS218&lt;&gt;AS217,1,IF(AV217&gt;=SUMIF(NameConv!$C$5:$C$45,RIGHT(E217,3),NameConv!$CG$5:$CG$45),AT217+1,AT217))</f>
        <v>4</v>
      </c>
      <c r="AU218" s="495">
        <f ca="1">SUMIF(NameConv!$C$5:$C$45,RIGHT(E218,3),OFFSET(NameConv!$CG$5,0,AV218,NameConv!$A$45,1))</f>
        <v>5</v>
      </c>
      <c r="AV218" s="495">
        <f ca="1">IF(AV217&gt;=SUMIF(NameConv!$C$5:$C$45,RIGHT(E217,3),NameConv!$CG$5:$CG$45),1,AV217+1)</f>
        <v>4</v>
      </c>
    </row>
    <row r="219" spans="1:48">
      <c r="A219" s="422" t="str">
        <f t="shared" ca="1" si="6"/>
        <v/>
      </c>
      <c r="B219" s="515" t="str">
        <f t="shared" si="7"/>
        <v>FLO_EMIS</v>
      </c>
      <c r="C219" s="518" t="str">
        <f ca="1">"X"&amp;OFFSET(NameConv!$F$4,0,AS219)&amp;OFFSET(NameConv!$F$59,AT219,AS219)</f>
        <v>XRESGAS</v>
      </c>
      <c r="D219" s="515" t="str">
        <f ca="1">OFFSET(NameConv!$F$4,0,AS219)&amp;OFFSET(NameConv!$AX$4,0,AU219)</f>
        <v>RESCMOX</v>
      </c>
      <c r="E219" s="515" t="str">
        <f ca="1">OFFSET(NameConv!$F$4,0,AS219)&amp;OFFSET(NameConv!$F$59,AT219,AS219)</f>
        <v>RESGAS</v>
      </c>
      <c r="F219" s="740" t="s">
        <v>334</v>
      </c>
      <c r="G219" s="515" t="s">
        <v>337</v>
      </c>
      <c r="H219" s="740" t="s">
        <v>334</v>
      </c>
      <c r="I219" s="516">
        <v>0</v>
      </c>
      <c r="J219" s="517">
        <f ca="1">IF(E219="TRAOKE",0,SUMIF(NameConv!$C$5:$C$45,RIGHT(E219,3),OFFSET(NameConv!$AX$5,0,AU219,NameConv!$A$45,1)))</f>
        <v>0.02</v>
      </c>
      <c r="K219" s="518"/>
      <c r="L219" s="518"/>
      <c r="M219" s="518"/>
      <c r="N219" s="518"/>
      <c r="O219" s="518"/>
      <c r="P219" s="518"/>
      <c r="Q219" s="518"/>
      <c r="R219" s="518"/>
      <c r="S219" s="518"/>
      <c r="T219" s="518"/>
      <c r="U219" s="518"/>
      <c r="V219" s="518"/>
      <c r="W219" s="518"/>
      <c r="X219" s="518"/>
      <c r="Y219" s="518"/>
      <c r="Z219" s="518"/>
      <c r="AA219" s="518"/>
      <c r="AB219" s="518"/>
      <c r="AC219" s="518"/>
      <c r="AD219" s="518"/>
      <c r="AE219" s="518"/>
      <c r="AF219" s="518"/>
      <c r="AG219" s="518"/>
      <c r="AH219" s="518"/>
      <c r="AI219" s="518"/>
      <c r="AJ219" s="518"/>
      <c r="AK219" s="518"/>
      <c r="AL219" s="518"/>
      <c r="AM219" s="518"/>
      <c r="AN219" s="518"/>
      <c r="AO219" s="518"/>
      <c r="AP219" s="518"/>
      <c r="AQ219" s="518"/>
      <c r="AR219" s="518"/>
      <c r="AS219" s="495">
        <f ca="1">IF(AND(AV218&gt;=SUMIF(NameConv!$C$5:$C$45,RIGHT(E218,3),NameConv!$CG$5:$CG$45),AT218=SUMIF(NameConv!$G$4:$M$4,LEFT(E218,3),NameConv!$G$45:$M$45)),AS218+1,AS218)</f>
        <v>5</v>
      </c>
      <c r="AT219" s="495">
        <f ca="1">IF(AS219&lt;&gt;AS218,1,IF(AV218&gt;=SUMIF(NameConv!$C$5:$C$45,RIGHT(E218,3),NameConv!$CG$5:$CG$45),AT218+1,AT218))</f>
        <v>4</v>
      </c>
      <c r="AU219" s="495">
        <f ca="1">SUMIF(NameConv!$C$5:$C$45,RIGHT(E219,3),OFFSET(NameConv!$CG$5,0,AV219,NameConv!$A$45,1))</f>
        <v>6</v>
      </c>
      <c r="AV219" s="495">
        <f ca="1">IF(AV218&gt;=SUMIF(NameConv!$C$5:$C$45,RIGHT(E218,3),NameConv!$CG$5:$CG$45),1,AV218+1)</f>
        <v>5</v>
      </c>
    </row>
    <row r="220" spans="1:48">
      <c r="A220" s="422" t="str">
        <f t="shared" ca="1" si="6"/>
        <v/>
      </c>
      <c r="B220" s="515" t="str">
        <f t="shared" si="7"/>
        <v>FLO_EMIS</v>
      </c>
      <c r="C220" s="518" t="str">
        <f ca="1">"X"&amp;OFFSET(NameConv!$F$4,0,AS220)&amp;OFFSET(NameConv!$F$59,AT220,AS220)</f>
        <v>XRESGAS</v>
      </c>
      <c r="D220" s="515" t="str">
        <f ca="1">OFFSET(NameConv!$F$4,0,AS220)&amp;OFFSET(NameConv!$AX$4,0,AU220)</f>
        <v>RESNMVS</v>
      </c>
      <c r="E220" s="515" t="str">
        <f ca="1">OFFSET(NameConv!$F$4,0,AS220)&amp;OFFSET(NameConv!$F$59,AT220,AS220)</f>
        <v>RESGAS</v>
      </c>
      <c r="F220" s="740" t="s">
        <v>334</v>
      </c>
      <c r="G220" s="515" t="s">
        <v>337</v>
      </c>
      <c r="H220" s="740" t="s">
        <v>334</v>
      </c>
      <c r="I220" s="516">
        <v>0</v>
      </c>
      <c r="J220" s="517">
        <f ca="1">IF(E220="TRAOKE",0,SUMIF(NameConv!$C$5:$C$45,RIGHT(E220,3),OFFSET(NameConv!$AX$5,0,AU220,NameConv!$A$45,1)))</f>
        <v>5.0000000000000001E-3</v>
      </c>
      <c r="K220" s="518"/>
      <c r="L220" s="518"/>
      <c r="M220" s="518"/>
      <c r="N220" s="518"/>
      <c r="O220" s="518"/>
      <c r="P220" s="518"/>
      <c r="Q220" s="518"/>
      <c r="R220" s="518"/>
      <c r="S220" s="518"/>
      <c r="T220" s="518"/>
      <c r="U220" s="518"/>
      <c r="V220" s="518"/>
      <c r="W220" s="518"/>
      <c r="X220" s="518"/>
      <c r="Y220" s="518"/>
      <c r="Z220" s="518"/>
      <c r="AA220" s="518"/>
      <c r="AB220" s="518"/>
      <c r="AC220" s="518"/>
      <c r="AD220" s="518"/>
      <c r="AE220" s="518"/>
      <c r="AF220" s="518"/>
      <c r="AG220" s="518"/>
      <c r="AH220" s="518"/>
      <c r="AI220" s="518"/>
      <c r="AJ220" s="518"/>
      <c r="AK220" s="518"/>
      <c r="AL220" s="518"/>
      <c r="AM220" s="518"/>
      <c r="AN220" s="518"/>
      <c r="AO220" s="518"/>
      <c r="AP220" s="518"/>
      <c r="AQ220" s="518"/>
      <c r="AR220" s="518"/>
      <c r="AS220" s="495">
        <f ca="1">IF(AND(AV219&gt;=SUMIF(NameConv!$C$5:$C$45,RIGHT(E219,3),NameConv!$CG$5:$CG$45),AT219=SUMIF(NameConv!$G$4:$M$4,LEFT(E219,3),NameConv!$G$45:$M$45)),AS219+1,AS219)</f>
        <v>5</v>
      </c>
      <c r="AT220" s="495">
        <f ca="1">IF(AS220&lt;&gt;AS219,1,IF(AV219&gt;=SUMIF(NameConv!$C$5:$C$45,RIGHT(E219,3),NameConv!$CG$5:$CG$45),AT219+1,AT219))</f>
        <v>4</v>
      </c>
      <c r="AU220" s="495">
        <f ca="1">SUMIF(NameConv!$C$5:$C$45,RIGHT(E220,3),OFFSET(NameConv!$CG$5,0,AV220,NameConv!$A$45,1))</f>
        <v>7</v>
      </c>
      <c r="AV220" s="495">
        <f ca="1">IF(AV219&gt;=SUMIF(NameConv!$C$5:$C$45,RIGHT(E219,3),NameConv!$CG$5:$CG$45),1,AV219+1)</f>
        <v>6</v>
      </c>
    </row>
    <row r="221" spans="1:48">
      <c r="A221" s="422" t="str">
        <f t="shared" ca="1" si="6"/>
        <v/>
      </c>
      <c r="B221" s="515" t="str">
        <f t="shared" si="7"/>
        <v>FLO_EMIS</v>
      </c>
      <c r="C221" s="518" t="str">
        <f ca="1">"X"&amp;OFFSET(NameConv!$F$4,0,AS221)&amp;OFFSET(NameConv!$F$59,AT221,AS221)</f>
        <v>XRESOKE</v>
      </c>
      <c r="D221" s="515" t="str">
        <f ca="1">OFFSET(NameConv!$F$4,0,AS221)&amp;OFFSET(NameConv!$AX$4,0,AU221)</f>
        <v>RESCO2S</v>
      </c>
      <c r="E221" s="515" t="str">
        <f ca="1">OFFSET(NameConv!$F$4,0,AS221)&amp;OFFSET(NameConv!$F$59,AT221,AS221)</f>
        <v>RESOKE</v>
      </c>
      <c r="F221" s="740" t="s">
        <v>334</v>
      </c>
      <c r="G221" s="515" t="s">
        <v>337</v>
      </c>
      <c r="H221" s="740" t="s">
        <v>334</v>
      </c>
      <c r="I221" s="516">
        <v>0</v>
      </c>
      <c r="J221" s="517">
        <f ca="1">IF(E221="TRAOKE",0,SUMIF(NameConv!$C$5:$C$45,RIGHT(E221,3),OFFSET(NameConv!$AX$5,0,AU221,NameConv!$A$45,1)))</f>
        <v>72.900000000000006</v>
      </c>
      <c r="K221" s="518"/>
      <c r="L221" s="518"/>
      <c r="M221" s="518"/>
      <c r="N221" s="518"/>
      <c r="O221" s="518"/>
      <c r="P221" s="518"/>
      <c r="Q221" s="518"/>
      <c r="R221" s="518"/>
      <c r="S221" s="518"/>
      <c r="T221" s="518"/>
      <c r="U221" s="518"/>
      <c r="V221" s="518"/>
      <c r="W221" s="518"/>
      <c r="X221" s="518"/>
      <c r="Y221" s="518"/>
      <c r="Z221" s="518"/>
      <c r="AA221" s="518"/>
      <c r="AB221" s="518"/>
      <c r="AC221" s="518"/>
      <c r="AD221" s="518"/>
      <c r="AE221" s="518"/>
      <c r="AF221" s="518"/>
      <c r="AG221" s="518"/>
      <c r="AH221" s="518"/>
      <c r="AI221" s="518"/>
      <c r="AJ221" s="518"/>
      <c r="AK221" s="518"/>
      <c r="AL221" s="518"/>
      <c r="AM221" s="518"/>
      <c r="AN221" s="518"/>
      <c r="AO221" s="518"/>
      <c r="AP221" s="518"/>
      <c r="AQ221" s="518"/>
      <c r="AR221" s="518"/>
      <c r="AS221" s="495">
        <f ca="1">IF(AND(AV220&gt;=SUMIF(NameConv!$C$5:$C$45,RIGHT(E220,3),NameConv!$CG$5:$CG$45),AT220=SUMIF(NameConv!$G$4:$M$4,LEFT(E220,3),NameConv!$G$45:$M$45)),AS220+1,AS220)</f>
        <v>5</v>
      </c>
      <c r="AT221" s="495">
        <f ca="1">IF(AS221&lt;&gt;AS220,1,IF(AV220&gt;=SUMIF(NameConv!$C$5:$C$45,RIGHT(E220,3),NameConv!$CG$5:$CG$45),AT220+1,AT220))</f>
        <v>5</v>
      </c>
      <c r="AU221" s="495">
        <f ca="1">SUMIF(NameConv!$C$5:$C$45,RIGHT(E221,3),OFFSET(NameConv!$CG$5,0,AV221,NameConv!$A$45,1))</f>
        <v>1</v>
      </c>
      <c r="AV221" s="495">
        <f ca="1">IF(AV220&gt;=SUMIF(NameConv!$C$5:$C$45,RIGHT(E220,3),NameConv!$CG$5:$CG$45),1,AV220+1)</f>
        <v>1</v>
      </c>
    </row>
    <row r="222" spans="1:48">
      <c r="A222" s="422" t="str">
        <f t="shared" ca="1" si="6"/>
        <v/>
      </c>
      <c r="B222" s="515" t="str">
        <f t="shared" si="7"/>
        <v>FLO_EMIS</v>
      </c>
      <c r="C222" s="518" t="str">
        <f ca="1">"X"&amp;OFFSET(NameConv!$F$4,0,AS222)&amp;OFFSET(NameConv!$F$59,AT222,AS222)</f>
        <v>XRESOKE</v>
      </c>
      <c r="D222" s="515" t="str">
        <f ca="1">OFFSET(NameConv!$F$4,0,AS222)&amp;OFFSET(NameConv!$AX$4,0,AU222)</f>
        <v>RESCH4S</v>
      </c>
      <c r="E222" s="515" t="str">
        <f ca="1">OFFSET(NameConv!$F$4,0,AS222)&amp;OFFSET(NameConv!$F$59,AT222,AS222)</f>
        <v>RESOKE</v>
      </c>
      <c r="F222" s="740" t="s">
        <v>334</v>
      </c>
      <c r="G222" s="515" t="s">
        <v>337</v>
      </c>
      <c r="H222" s="740" t="s">
        <v>334</v>
      </c>
      <c r="I222" s="516">
        <v>0</v>
      </c>
      <c r="J222" s="517">
        <f ca="1">IF(E222="TRAOKE",0,SUMIF(NameConv!$C$5:$C$45,RIGHT(E222,3),OFFSET(NameConv!$AX$5,0,AU222,NameConv!$A$45,1)))</f>
        <v>3.0000000000000001E-3</v>
      </c>
      <c r="K222" s="518"/>
      <c r="L222" s="518"/>
      <c r="M222" s="518"/>
      <c r="N222" s="518"/>
      <c r="O222" s="518"/>
      <c r="P222" s="518"/>
      <c r="Q222" s="518"/>
      <c r="R222" s="518"/>
      <c r="S222" s="518"/>
      <c r="T222" s="518"/>
      <c r="U222" s="518"/>
      <c r="V222" s="518"/>
      <c r="W222" s="518"/>
      <c r="X222" s="518"/>
      <c r="Y222" s="518"/>
      <c r="Z222" s="518"/>
      <c r="AA222" s="518"/>
      <c r="AB222" s="518"/>
      <c r="AC222" s="518"/>
      <c r="AD222" s="518"/>
      <c r="AE222" s="518"/>
      <c r="AF222" s="518"/>
      <c r="AG222" s="518"/>
      <c r="AH222" s="518"/>
      <c r="AI222" s="518"/>
      <c r="AJ222" s="518"/>
      <c r="AK222" s="518"/>
      <c r="AL222" s="518"/>
      <c r="AM222" s="518"/>
      <c r="AN222" s="518"/>
      <c r="AO222" s="518"/>
      <c r="AP222" s="518"/>
      <c r="AQ222" s="518"/>
      <c r="AR222" s="518"/>
      <c r="AS222" s="495">
        <f ca="1">IF(AND(AV221&gt;=SUMIF(NameConv!$C$5:$C$45,RIGHT(E221,3),NameConv!$CG$5:$CG$45),AT221=SUMIF(NameConv!$G$4:$M$4,LEFT(E221,3),NameConv!$G$45:$M$45)),AS221+1,AS221)</f>
        <v>5</v>
      </c>
      <c r="AT222" s="495">
        <f ca="1">IF(AS222&lt;&gt;AS221,1,IF(AV221&gt;=SUMIF(NameConv!$C$5:$C$45,RIGHT(E221,3),NameConv!$CG$5:$CG$45),AT221+1,AT221))</f>
        <v>5</v>
      </c>
      <c r="AU222" s="495">
        <f ca="1">SUMIF(NameConv!$C$5:$C$45,RIGHT(E222,3),OFFSET(NameConv!$CG$5,0,AV222,NameConv!$A$45,1))</f>
        <v>2</v>
      </c>
      <c r="AV222" s="495">
        <f ca="1">IF(AV221&gt;=SUMIF(NameConv!$C$5:$C$45,RIGHT(E221,3),NameConv!$CG$5:$CG$45),1,AV221+1)</f>
        <v>2</v>
      </c>
    </row>
    <row r="223" spans="1:48">
      <c r="A223" s="422" t="str">
        <f t="shared" ca="1" si="6"/>
        <v/>
      </c>
      <c r="B223" s="515" t="str">
        <f t="shared" si="7"/>
        <v>FLO_EMIS</v>
      </c>
      <c r="C223" s="518" t="str">
        <f ca="1">"X"&amp;OFFSET(NameConv!$F$4,0,AS223)&amp;OFFSET(NameConv!$F$59,AT223,AS223)</f>
        <v>XRESOKE</v>
      </c>
      <c r="D223" s="515" t="str">
        <f ca="1">OFFSET(NameConv!$F$4,0,AS223)&amp;OFFSET(NameConv!$AX$4,0,AU223)</f>
        <v>RESN2OS</v>
      </c>
      <c r="E223" s="515" t="str">
        <f ca="1">OFFSET(NameConv!$F$4,0,AS223)&amp;OFFSET(NameConv!$F$59,AT223,AS223)</f>
        <v>RESOKE</v>
      </c>
      <c r="F223" s="740" t="s">
        <v>334</v>
      </c>
      <c r="G223" s="515" t="s">
        <v>337</v>
      </c>
      <c r="H223" s="740" t="s">
        <v>334</v>
      </c>
      <c r="I223" s="516">
        <v>0</v>
      </c>
      <c r="J223" s="517">
        <f ca="1">IF(E223="TRAOKE",0,SUMIF(NameConv!$C$5:$C$45,RIGHT(E223,3),OFFSET(NameConv!$AX$5,0,AU223,NameConv!$A$45,1)))</f>
        <v>5.9999999999999995E-4</v>
      </c>
      <c r="K223" s="518"/>
      <c r="L223" s="518"/>
      <c r="M223" s="518"/>
      <c r="N223" s="518"/>
      <c r="O223" s="518"/>
      <c r="P223" s="518"/>
      <c r="Q223" s="518"/>
      <c r="R223" s="518"/>
      <c r="S223" s="518"/>
      <c r="T223" s="518"/>
      <c r="U223" s="518"/>
      <c r="V223" s="518"/>
      <c r="W223" s="518"/>
      <c r="X223" s="518"/>
      <c r="Y223" s="518"/>
      <c r="Z223" s="518"/>
      <c r="AA223" s="518"/>
      <c r="AB223" s="518"/>
      <c r="AC223" s="518"/>
      <c r="AD223" s="518"/>
      <c r="AE223" s="518"/>
      <c r="AF223" s="518"/>
      <c r="AG223" s="518"/>
      <c r="AH223" s="518"/>
      <c r="AI223" s="518"/>
      <c r="AJ223" s="518"/>
      <c r="AK223" s="518"/>
      <c r="AL223" s="518"/>
      <c r="AM223" s="518"/>
      <c r="AN223" s="518"/>
      <c r="AO223" s="518"/>
      <c r="AP223" s="518"/>
      <c r="AQ223" s="518"/>
      <c r="AR223" s="518"/>
      <c r="AS223" s="495">
        <f ca="1">IF(AND(AV222&gt;=SUMIF(NameConv!$C$5:$C$45,RIGHT(E222,3),NameConv!$CG$5:$CG$45),AT222=SUMIF(NameConv!$G$4:$M$4,LEFT(E222,3),NameConv!$G$45:$M$45)),AS222+1,AS222)</f>
        <v>5</v>
      </c>
      <c r="AT223" s="495">
        <f ca="1">IF(AS223&lt;&gt;AS222,1,IF(AV222&gt;=SUMIF(NameConv!$C$5:$C$45,RIGHT(E222,3),NameConv!$CG$5:$CG$45),AT222+1,AT222))</f>
        <v>5</v>
      </c>
      <c r="AU223" s="495">
        <f ca="1">SUMIF(NameConv!$C$5:$C$45,RIGHT(E223,3),OFFSET(NameConv!$CG$5,0,AV223,NameConv!$A$45,1))</f>
        <v>3</v>
      </c>
      <c r="AV223" s="495">
        <f ca="1">IF(AV222&gt;=SUMIF(NameConv!$C$5:$C$45,RIGHT(E222,3),NameConv!$CG$5:$CG$45),1,AV222+1)</f>
        <v>3</v>
      </c>
    </row>
    <row r="224" spans="1:48">
      <c r="A224" s="422" t="str">
        <f t="shared" ca="1" si="6"/>
        <v/>
      </c>
      <c r="B224" s="515" t="str">
        <f t="shared" si="7"/>
        <v>FLO_EMIS</v>
      </c>
      <c r="C224" s="518" t="str">
        <f ca="1">"X"&amp;OFFSET(NameConv!$F$4,0,AS224)&amp;OFFSET(NameConv!$F$59,AT224,AS224)</f>
        <v>XRESOKE</v>
      </c>
      <c r="D224" s="515" t="str">
        <f ca="1">OFFSET(NameConv!$F$4,0,AS224)&amp;OFFSET(NameConv!$AX$4,0,AU224)</f>
        <v>RESSOXS</v>
      </c>
      <c r="E224" s="515" t="str">
        <f ca="1">OFFSET(NameConv!$F$4,0,AS224)&amp;OFFSET(NameConv!$F$59,AT224,AS224)</f>
        <v>RESOKE</v>
      </c>
      <c r="F224" s="740" t="s">
        <v>334</v>
      </c>
      <c r="G224" s="515" t="s">
        <v>337</v>
      </c>
      <c r="H224" s="740" t="s">
        <v>334</v>
      </c>
      <c r="I224" s="516">
        <v>0</v>
      </c>
      <c r="J224" s="517">
        <f ca="1">IF(E224="TRAOKE",0,SUMIF(NameConv!$C$5:$C$45,RIGHT(E224,3),OFFSET(NameConv!$AX$5,0,AU224,NameConv!$A$45,1)))</f>
        <v>4.5900000000000003E-2</v>
      </c>
      <c r="K224" s="518"/>
      <c r="L224" s="518"/>
      <c r="M224" s="518"/>
      <c r="N224" s="518"/>
      <c r="O224" s="518"/>
      <c r="P224" s="518"/>
      <c r="Q224" s="518"/>
      <c r="R224" s="518"/>
      <c r="S224" s="518"/>
      <c r="T224" s="518"/>
      <c r="U224" s="518"/>
      <c r="V224" s="518"/>
      <c r="W224" s="518"/>
      <c r="X224" s="518"/>
      <c r="Y224" s="518"/>
      <c r="Z224" s="518"/>
      <c r="AA224" s="518"/>
      <c r="AB224" s="518"/>
      <c r="AC224" s="518"/>
      <c r="AD224" s="518"/>
      <c r="AE224" s="518"/>
      <c r="AF224" s="518"/>
      <c r="AG224" s="518"/>
      <c r="AH224" s="518"/>
      <c r="AI224" s="518"/>
      <c r="AJ224" s="518"/>
      <c r="AK224" s="518"/>
      <c r="AL224" s="518"/>
      <c r="AM224" s="518"/>
      <c r="AN224" s="518"/>
      <c r="AO224" s="518"/>
      <c r="AP224" s="518"/>
      <c r="AQ224" s="518"/>
      <c r="AR224" s="518"/>
      <c r="AS224" s="495">
        <f ca="1">IF(AND(AV223&gt;=SUMIF(NameConv!$C$5:$C$45,RIGHT(E223,3),NameConv!$CG$5:$CG$45),AT223=SUMIF(NameConv!$G$4:$M$4,LEFT(E223,3),NameConv!$G$45:$M$45)),AS223+1,AS223)</f>
        <v>5</v>
      </c>
      <c r="AT224" s="495">
        <f ca="1">IF(AS224&lt;&gt;AS223,1,IF(AV223&gt;=SUMIF(NameConv!$C$5:$C$45,RIGHT(E223,3),NameConv!$CG$5:$CG$45),AT223+1,AT223))</f>
        <v>5</v>
      </c>
      <c r="AU224" s="495">
        <f ca="1">SUMIF(NameConv!$C$5:$C$45,RIGHT(E224,3),OFFSET(NameConv!$CG$5,0,AV224,NameConv!$A$45,1))</f>
        <v>4</v>
      </c>
      <c r="AV224" s="495">
        <f ca="1">IF(AV223&gt;=SUMIF(NameConv!$C$5:$C$45,RIGHT(E223,3),NameConv!$CG$5:$CG$45),1,AV223+1)</f>
        <v>4</v>
      </c>
    </row>
    <row r="225" spans="1:48">
      <c r="A225" s="422" t="str">
        <f t="shared" ca="1" si="6"/>
        <v/>
      </c>
      <c r="B225" s="515" t="str">
        <f t="shared" si="7"/>
        <v>FLO_EMIS</v>
      </c>
      <c r="C225" s="518" t="str">
        <f ca="1">"X"&amp;OFFSET(NameConv!$F$4,0,AS225)&amp;OFFSET(NameConv!$F$59,AT225,AS225)</f>
        <v>XRESOKE</v>
      </c>
      <c r="D225" s="515" t="str">
        <f ca="1">OFFSET(NameConv!$F$4,0,AS225)&amp;OFFSET(NameConv!$AX$4,0,AU225)</f>
        <v>RESNOXS</v>
      </c>
      <c r="E225" s="515" t="str">
        <f ca="1">OFFSET(NameConv!$F$4,0,AS225)&amp;OFFSET(NameConv!$F$59,AT225,AS225)</f>
        <v>RESOKE</v>
      </c>
      <c r="F225" s="740" t="s">
        <v>334</v>
      </c>
      <c r="G225" s="515" t="s">
        <v>337</v>
      </c>
      <c r="H225" s="740" t="s">
        <v>334</v>
      </c>
      <c r="I225" s="516">
        <v>0</v>
      </c>
      <c r="J225" s="517">
        <f ca="1">IF(E225="TRAOKE",0,SUMIF(NameConv!$C$5:$C$45,RIGHT(E225,3),OFFSET(NameConv!$AX$5,0,AU225,NameConv!$A$45,1)))</f>
        <v>0.2</v>
      </c>
      <c r="K225" s="518"/>
      <c r="L225" s="518"/>
      <c r="M225" s="518"/>
      <c r="N225" s="518"/>
      <c r="O225" s="518"/>
      <c r="P225" s="518"/>
      <c r="Q225" s="518"/>
      <c r="R225" s="518"/>
      <c r="S225" s="518"/>
      <c r="T225" s="518"/>
      <c r="U225" s="518"/>
      <c r="V225" s="518"/>
      <c r="W225" s="518"/>
      <c r="X225" s="518"/>
      <c r="Y225" s="518"/>
      <c r="Z225" s="518"/>
      <c r="AA225" s="518"/>
      <c r="AB225" s="518"/>
      <c r="AC225" s="518"/>
      <c r="AD225" s="518"/>
      <c r="AE225" s="518"/>
      <c r="AF225" s="518"/>
      <c r="AG225" s="518"/>
      <c r="AH225" s="518"/>
      <c r="AI225" s="518"/>
      <c r="AJ225" s="518"/>
      <c r="AK225" s="518"/>
      <c r="AL225" s="518"/>
      <c r="AM225" s="518"/>
      <c r="AN225" s="518"/>
      <c r="AO225" s="518"/>
      <c r="AP225" s="518"/>
      <c r="AQ225" s="518"/>
      <c r="AR225" s="518"/>
      <c r="AS225" s="495">
        <f ca="1">IF(AND(AV224&gt;=SUMIF(NameConv!$C$5:$C$45,RIGHT(E224,3),NameConv!$CG$5:$CG$45),AT224=SUMIF(NameConv!$G$4:$M$4,LEFT(E224,3),NameConv!$G$45:$M$45)),AS224+1,AS224)</f>
        <v>5</v>
      </c>
      <c r="AT225" s="495">
        <f ca="1">IF(AS225&lt;&gt;AS224,1,IF(AV224&gt;=SUMIF(NameConv!$C$5:$C$45,RIGHT(E224,3),NameConv!$CG$5:$CG$45),AT224+1,AT224))</f>
        <v>5</v>
      </c>
      <c r="AU225" s="495">
        <f ca="1">SUMIF(NameConv!$C$5:$C$45,RIGHT(E225,3),OFFSET(NameConv!$CG$5,0,AV225,NameConv!$A$45,1))</f>
        <v>5</v>
      </c>
      <c r="AV225" s="495">
        <f ca="1">IF(AV224&gt;=SUMIF(NameConv!$C$5:$C$45,RIGHT(E224,3),NameConv!$CG$5:$CG$45),1,AV224+1)</f>
        <v>5</v>
      </c>
    </row>
    <row r="226" spans="1:48">
      <c r="A226" s="422" t="str">
        <f t="shared" ca="1" si="6"/>
        <v/>
      </c>
      <c r="B226" s="515" t="str">
        <f t="shared" si="7"/>
        <v>FLO_EMIS</v>
      </c>
      <c r="C226" s="518" t="str">
        <f ca="1">"X"&amp;OFFSET(NameConv!$F$4,0,AS226)&amp;OFFSET(NameConv!$F$59,AT226,AS226)</f>
        <v>XRESOKE</v>
      </c>
      <c r="D226" s="515" t="str">
        <f ca="1">OFFSET(NameConv!$F$4,0,AS226)&amp;OFFSET(NameConv!$AX$4,0,AU226)</f>
        <v>RESCMOX</v>
      </c>
      <c r="E226" s="515" t="str">
        <f ca="1">OFFSET(NameConv!$F$4,0,AS226)&amp;OFFSET(NameConv!$F$59,AT226,AS226)</f>
        <v>RESOKE</v>
      </c>
      <c r="F226" s="740" t="s">
        <v>334</v>
      </c>
      <c r="G226" s="515" t="s">
        <v>337</v>
      </c>
      <c r="H226" s="740" t="s">
        <v>334</v>
      </c>
      <c r="I226" s="516">
        <v>0</v>
      </c>
      <c r="J226" s="517">
        <f ca="1">IF(E226="TRAOKE",0,SUMIF(NameConv!$C$5:$C$45,RIGHT(E226,3),OFFSET(NameConv!$AX$5,0,AU226,NameConv!$A$45,1)))</f>
        <v>0.01</v>
      </c>
      <c r="K226" s="518"/>
      <c r="L226" s="518"/>
      <c r="M226" s="518"/>
      <c r="N226" s="518"/>
      <c r="O226" s="518"/>
      <c r="P226" s="518"/>
      <c r="Q226" s="518"/>
      <c r="R226" s="518"/>
      <c r="S226" s="518"/>
      <c r="T226" s="518"/>
      <c r="U226" s="518"/>
      <c r="V226" s="518"/>
      <c r="W226" s="518"/>
      <c r="X226" s="518"/>
      <c r="Y226" s="518"/>
      <c r="Z226" s="518"/>
      <c r="AA226" s="518"/>
      <c r="AB226" s="518"/>
      <c r="AC226" s="518"/>
      <c r="AD226" s="518"/>
      <c r="AE226" s="518"/>
      <c r="AF226" s="518"/>
      <c r="AG226" s="518"/>
      <c r="AH226" s="518"/>
      <c r="AI226" s="518"/>
      <c r="AJ226" s="518"/>
      <c r="AK226" s="518"/>
      <c r="AL226" s="518"/>
      <c r="AM226" s="518"/>
      <c r="AN226" s="518"/>
      <c r="AO226" s="518"/>
      <c r="AP226" s="518"/>
      <c r="AQ226" s="518"/>
      <c r="AR226" s="518"/>
      <c r="AS226" s="495">
        <f ca="1">IF(AND(AV225&gt;=SUMIF(NameConv!$C$5:$C$45,RIGHT(E225,3),NameConv!$CG$5:$CG$45),AT225=SUMIF(NameConv!$G$4:$M$4,LEFT(E225,3),NameConv!$G$45:$M$45)),AS225+1,AS225)</f>
        <v>5</v>
      </c>
      <c r="AT226" s="495">
        <f ca="1">IF(AS226&lt;&gt;AS225,1,IF(AV225&gt;=SUMIF(NameConv!$C$5:$C$45,RIGHT(E225,3),NameConv!$CG$5:$CG$45),AT225+1,AT225))</f>
        <v>5</v>
      </c>
      <c r="AU226" s="495">
        <f ca="1">SUMIF(NameConv!$C$5:$C$45,RIGHT(E226,3),OFFSET(NameConv!$CG$5,0,AV226,NameConv!$A$45,1))</f>
        <v>6</v>
      </c>
      <c r="AV226" s="495">
        <f ca="1">IF(AV225&gt;=SUMIF(NameConv!$C$5:$C$45,RIGHT(E225,3),NameConv!$CG$5:$CG$45),1,AV225+1)</f>
        <v>6</v>
      </c>
    </row>
    <row r="227" spans="1:48">
      <c r="A227" s="422" t="str">
        <f t="shared" ca="1" si="6"/>
        <v/>
      </c>
      <c r="B227" s="515" t="str">
        <f t="shared" si="7"/>
        <v>FLO_EMIS</v>
      </c>
      <c r="C227" s="518" t="str">
        <f ca="1">"X"&amp;OFFSET(NameConv!$F$4,0,AS227)&amp;OFFSET(NameConv!$F$59,AT227,AS227)</f>
        <v>XRESOKE</v>
      </c>
      <c r="D227" s="515" t="str">
        <f ca="1">OFFSET(NameConv!$F$4,0,AS227)&amp;OFFSET(NameConv!$AX$4,0,AU227)</f>
        <v>RESNMVS</v>
      </c>
      <c r="E227" s="515" t="str">
        <f ca="1">OFFSET(NameConv!$F$4,0,AS227)&amp;OFFSET(NameConv!$F$59,AT227,AS227)</f>
        <v>RESOKE</v>
      </c>
      <c r="F227" s="740" t="s">
        <v>334</v>
      </c>
      <c r="G227" s="515" t="s">
        <v>337</v>
      </c>
      <c r="H227" s="740" t="s">
        <v>334</v>
      </c>
      <c r="I227" s="516">
        <v>0</v>
      </c>
      <c r="J227" s="517">
        <f ca="1">IF(E227="TRAOKE",0,SUMIF(NameConv!$C$5:$C$45,RIGHT(E227,3),OFFSET(NameConv!$AX$5,0,AU227,NameConv!$A$45,1)))</f>
        <v>5.0000000000000001E-3</v>
      </c>
      <c r="K227" s="518"/>
      <c r="L227" s="518"/>
      <c r="M227" s="518"/>
      <c r="N227" s="518"/>
      <c r="O227" s="518"/>
      <c r="P227" s="518"/>
      <c r="Q227" s="518"/>
      <c r="R227" s="518"/>
      <c r="S227" s="518"/>
      <c r="T227" s="518"/>
      <c r="U227" s="518"/>
      <c r="V227" s="518"/>
      <c r="W227" s="518"/>
      <c r="X227" s="518"/>
      <c r="Y227" s="518"/>
      <c r="Z227" s="518"/>
      <c r="AA227" s="518"/>
      <c r="AB227" s="518"/>
      <c r="AC227" s="518"/>
      <c r="AD227" s="518"/>
      <c r="AE227" s="518"/>
      <c r="AF227" s="518"/>
      <c r="AG227" s="518"/>
      <c r="AH227" s="518"/>
      <c r="AI227" s="518"/>
      <c r="AJ227" s="518"/>
      <c r="AK227" s="518"/>
      <c r="AL227" s="518"/>
      <c r="AM227" s="518"/>
      <c r="AN227" s="518"/>
      <c r="AO227" s="518"/>
      <c r="AP227" s="518"/>
      <c r="AQ227" s="518"/>
      <c r="AR227" s="518"/>
      <c r="AS227" s="495">
        <f ca="1">IF(AND(AV226&gt;=SUMIF(NameConv!$C$5:$C$45,RIGHT(E226,3),NameConv!$CG$5:$CG$45),AT226=SUMIF(NameConv!$G$4:$M$4,LEFT(E226,3),NameConv!$G$45:$M$45)),AS226+1,AS226)</f>
        <v>5</v>
      </c>
      <c r="AT227" s="495">
        <f ca="1">IF(AS227&lt;&gt;AS226,1,IF(AV226&gt;=SUMIF(NameConv!$C$5:$C$45,RIGHT(E226,3),NameConv!$CG$5:$CG$45),AT226+1,AT226))</f>
        <v>5</v>
      </c>
      <c r="AU227" s="495">
        <f ca="1">SUMIF(NameConv!$C$5:$C$45,RIGHT(E227,3),OFFSET(NameConv!$CG$5,0,AV227,NameConv!$A$45,1))</f>
        <v>7</v>
      </c>
      <c r="AV227" s="495">
        <f ca="1">IF(AV226&gt;=SUMIF(NameConv!$C$5:$C$45,RIGHT(E226,3),NameConv!$CG$5:$CG$45),1,AV226+1)</f>
        <v>7</v>
      </c>
    </row>
    <row r="228" spans="1:48">
      <c r="A228" s="422" t="str">
        <f t="shared" ca="1" si="6"/>
        <v/>
      </c>
      <c r="B228" s="515" t="str">
        <f t="shared" si="7"/>
        <v>FLO_EMIS</v>
      </c>
      <c r="C228" s="518" t="str">
        <f ca="1">"X"&amp;OFFSET(NameConv!$F$4,0,AS228)&amp;OFFSET(NameConv!$F$59,AT228,AS228)</f>
        <v>XRESOLP</v>
      </c>
      <c r="D228" s="515" t="str">
        <f ca="1">OFFSET(NameConv!$F$4,0,AS228)&amp;OFFSET(NameConv!$AX$4,0,AU228)</f>
        <v>RESCO2S</v>
      </c>
      <c r="E228" s="515" t="str">
        <f ca="1">OFFSET(NameConv!$F$4,0,AS228)&amp;OFFSET(NameConv!$F$59,AT228,AS228)</f>
        <v>RESOLP</v>
      </c>
      <c r="F228" s="740" t="s">
        <v>334</v>
      </c>
      <c r="G228" s="515" t="s">
        <v>337</v>
      </c>
      <c r="H228" s="740" t="s">
        <v>334</v>
      </c>
      <c r="I228" s="516">
        <v>0</v>
      </c>
      <c r="J228" s="517">
        <f ca="1">IF(E228="TRAOKE",0,SUMIF(NameConv!$C$5:$C$45,RIGHT(E228,3),OFFSET(NameConv!$AX$5,0,AU228,NameConv!$A$45,1)))</f>
        <v>63.1</v>
      </c>
      <c r="K228" s="518"/>
      <c r="L228" s="518"/>
      <c r="M228" s="518"/>
      <c r="N228" s="518"/>
      <c r="O228" s="518"/>
      <c r="P228" s="518"/>
      <c r="Q228" s="518"/>
      <c r="R228" s="518"/>
      <c r="S228" s="518"/>
      <c r="T228" s="518"/>
      <c r="U228" s="518"/>
      <c r="V228" s="518"/>
      <c r="W228" s="518"/>
      <c r="X228" s="518"/>
      <c r="Y228" s="518"/>
      <c r="Z228" s="518"/>
      <c r="AA228" s="518"/>
      <c r="AB228" s="518"/>
      <c r="AC228" s="518"/>
      <c r="AD228" s="518"/>
      <c r="AE228" s="518"/>
      <c r="AF228" s="518"/>
      <c r="AG228" s="518"/>
      <c r="AH228" s="518"/>
      <c r="AI228" s="518"/>
      <c r="AJ228" s="518"/>
      <c r="AK228" s="518"/>
      <c r="AL228" s="518"/>
      <c r="AM228" s="518"/>
      <c r="AN228" s="518"/>
      <c r="AO228" s="518"/>
      <c r="AP228" s="518"/>
      <c r="AQ228" s="518"/>
      <c r="AR228" s="518"/>
      <c r="AS228" s="495">
        <f ca="1">IF(AND(AV227&gt;=SUMIF(NameConv!$C$5:$C$45,RIGHT(E227,3),NameConv!$CG$5:$CG$45),AT227=SUMIF(NameConv!$G$4:$M$4,LEFT(E227,3),NameConv!$G$45:$M$45)),AS227+1,AS227)</f>
        <v>5</v>
      </c>
      <c r="AT228" s="495">
        <f ca="1">IF(AS228&lt;&gt;AS227,1,IF(AV227&gt;=SUMIF(NameConv!$C$5:$C$45,RIGHT(E227,3),NameConv!$CG$5:$CG$45),AT227+1,AT227))</f>
        <v>6</v>
      </c>
      <c r="AU228" s="495">
        <f ca="1">SUMIF(NameConv!$C$5:$C$45,RIGHT(E228,3),OFFSET(NameConv!$CG$5,0,AV228,NameConv!$A$45,1))</f>
        <v>1</v>
      </c>
      <c r="AV228" s="495">
        <f ca="1">IF(AV227&gt;=SUMIF(NameConv!$C$5:$C$45,RIGHT(E227,3),NameConv!$CG$5:$CG$45),1,AV227+1)</f>
        <v>1</v>
      </c>
    </row>
    <row r="229" spans="1:48">
      <c r="A229" s="422" t="str">
        <f t="shared" ca="1" si="6"/>
        <v/>
      </c>
      <c r="B229" s="515" t="str">
        <f t="shared" si="7"/>
        <v>FLO_EMIS</v>
      </c>
      <c r="C229" s="518" t="str">
        <f ca="1">"X"&amp;OFFSET(NameConv!$F$4,0,AS229)&amp;OFFSET(NameConv!$F$59,AT229,AS229)</f>
        <v>XRESOLP</v>
      </c>
      <c r="D229" s="515" t="str">
        <f ca="1">OFFSET(NameConv!$F$4,0,AS229)&amp;OFFSET(NameConv!$AX$4,0,AU229)</f>
        <v>RESCH4S</v>
      </c>
      <c r="E229" s="515" t="str">
        <f ca="1">OFFSET(NameConv!$F$4,0,AS229)&amp;OFFSET(NameConv!$F$59,AT229,AS229)</f>
        <v>RESOLP</v>
      </c>
      <c r="F229" s="740" t="s">
        <v>334</v>
      </c>
      <c r="G229" s="515" t="s">
        <v>337</v>
      </c>
      <c r="H229" s="740" t="s">
        <v>334</v>
      </c>
      <c r="I229" s="516">
        <v>0</v>
      </c>
      <c r="J229" s="517">
        <f ca="1">IF(E229="TRAOKE",0,SUMIF(NameConv!$C$5:$C$45,RIGHT(E229,3),OFFSET(NameConv!$AX$5,0,AU229,NameConv!$A$45,1)))</f>
        <v>3.0000000000000001E-3</v>
      </c>
      <c r="K229" s="518"/>
      <c r="L229" s="518"/>
      <c r="M229" s="518"/>
      <c r="N229" s="518"/>
      <c r="O229" s="518"/>
      <c r="P229" s="518"/>
      <c r="Q229" s="518"/>
      <c r="R229" s="518"/>
      <c r="S229" s="518"/>
      <c r="T229" s="518"/>
      <c r="U229" s="518"/>
      <c r="V229" s="518"/>
      <c r="W229" s="518"/>
      <c r="X229" s="518"/>
      <c r="Y229" s="518"/>
      <c r="Z229" s="518"/>
      <c r="AA229" s="518"/>
      <c r="AB229" s="518"/>
      <c r="AC229" s="518"/>
      <c r="AD229" s="518"/>
      <c r="AE229" s="518"/>
      <c r="AF229" s="518"/>
      <c r="AG229" s="518"/>
      <c r="AH229" s="518"/>
      <c r="AI229" s="518"/>
      <c r="AJ229" s="518"/>
      <c r="AK229" s="518"/>
      <c r="AL229" s="518"/>
      <c r="AM229" s="518"/>
      <c r="AN229" s="518"/>
      <c r="AO229" s="518"/>
      <c r="AP229" s="518"/>
      <c r="AQ229" s="518"/>
      <c r="AR229" s="518"/>
      <c r="AS229" s="495">
        <f ca="1">IF(AND(AV228&gt;=SUMIF(NameConv!$C$5:$C$45,RIGHT(E228,3),NameConv!$CG$5:$CG$45),AT228=SUMIF(NameConv!$G$4:$M$4,LEFT(E228,3),NameConv!$G$45:$M$45)),AS228+1,AS228)</f>
        <v>5</v>
      </c>
      <c r="AT229" s="495">
        <f ca="1">IF(AS229&lt;&gt;AS228,1,IF(AV228&gt;=SUMIF(NameConv!$C$5:$C$45,RIGHT(E228,3),NameConv!$CG$5:$CG$45),AT228+1,AT228))</f>
        <v>6</v>
      </c>
      <c r="AU229" s="495">
        <f ca="1">SUMIF(NameConv!$C$5:$C$45,RIGHT(E229,3),OFFSET(NameConv!$CG$5,0,AV229,NameConv!$A$45,1))</f>
        <v>2</v>
      </c>
      <c r="AV229" s="495">
        <f ca="1">IF(AV228&gt;=SUMIF(NameConv!$C$5:$C$45,RIGHT(E228,3),NameConv!$CG$5:$CG$45),1,AV228+1)</f>
        <v>2</v>
      </c>
    </row>
    <row r="230" spans="1:48">
      <c r="A230" s="422" t="str">
        <f t="shared" ca="1" si="6"/>
        <v/>
      </c>
      <c r="B230" s="515" t="str">
        <f t="shared" si="7"/>
        <v>FLO_EMIS</v>
      </c>
      <c r="C230" s="518" t="str">
        <f ca="1">"X"&amp;OFFSET(NameConv!$F$4,0,AS230)&amp;OFFSET(NameConv!$F$59,AT230,AS230)</f>
        <v>XRESOLP</v>
      </c>
      <c r="D230" s="515" t="str">
        <f ca="1">OFFSET(NameConv!$F$4,0,AS230)&amp;OFFSET(NameConv!$AX$4,0,AU230)</f>
        <v>RESN2OS</v>
      </c>
      <c r="E230" s="515" t="str">
        <f ca="1">OFFSET(NameConv!$F$4,0,AS230)&amp;OFFSET(NameConv!$F$59,AT230,AS230)</f>
        <v>RESOLP</v>
      </c>
      <c r="F230" s="740" t="s">
        <v>334</v>
      </c>
      <c r="G230" s="515" t="s">
        <v>337</v>
      </c>
      <c r="H230" s="740" t="s">
        <v>334</v>
      </c>
      <c r="I230" s="516">
        <v>0</v>
      </c>
      <c r="J230" s="517">
        <f ca="1">IF(E230="TRAOKE",0,SUMIF(NameConv!$C$5:$C$45,RIGHT(E230,3),OFFSET(NameConv!$AX$5,0,AU230,NameConv!$A$45,1)))</f>
        <v>1E-4</v>
      </c>
      <c r="K230" s="518"/>
      <c r="L230" s="518"/>
      <c r="M230" s="518"/>
      <c r="N230" s="518"/>
      <c r="O230" s="518"/>
      <c r="P230" s="518"/>
      <c r="Q230" s="518"/>
      <c r="R230" s="518"/>
      <c r="S230" s="518"/>
      <c r="T230" s="518"/>
      <c r="U230" s="518"/>
      <c r="V230" s="518"/>
      <c r="W230" s="518"/>
      <c r="X230" s="518"/>
      <c r="Y230" s="518"/>
      <c r="Z230" s="518"/>
      <c r="AA230" s="518"/>
      <c r="AB230" s="518"/>
      <c r="AC230" s="518"/>
      <c r="AD230" s="518"/>
      <c r="AE230" s="518"/>
      <c r="AF230" s="518"/>
      <c r="AG230" s="518"/>
      <c r="AH230" s="518"/>
      <c r="AI230" s="518"/>
      <c r="AJ230" s="518"/>
      <c r="AK230" s="518"/>
      <c r="AL230" s="518"/>
      <c r="AM230" s="518"/>
      <c r="AN230" s="518"/>
      <c r="AO230" s="518"/>
      <c r="AP230" s="518"/>
      <c r="AQ230" s="518"/>
      <c r="AR230" s="518"/>
      <c r="AS230" s="495">
        <f ca="1">IF(AND(AV229&gt;=SUMIF(NameConv!$C$5:$C$45,RIGHT(E229,3),NameConv!$CG$5:$CG$45),AT229=SUMIF(NameConv!$G$4:$M$4,LEFT(E229,3),NameConv!$G$45:$M$45)),AS229+1,AS229)</f>
        <v>5</v>
      </c>
      <c r="AT230" s="495">
        <f ca="1">IF(AS230&lt;&gt;AS229,1,IF(AV229&gt;=SUMIF(NameConv!$C$5:$C$45,RIGHT(E229,3),NameConv!$CG$5:$CG$45),AT229+1,AT229))</f>
        <v>6</v>
      </c>
      <c r="AU230" s="495">
        <f ca="1">SUMIF(NameConv!$C$5:$C$45,RIGHT(E230,3),OFFSET(NameConv!$CG$5,0,AV230,NameConv!$A$45,1))</f>
        <v>3</v>
      </c>
      <c r="AV230" s="495">
        <f ca="1">IF(AV229&gt;=SUMIF(NameConv!$C$5:$C$45,RIGHT(E229,3),NameConv!$CG$5:$CG$45),1,AV229+1)</f>
        <v>3</v>
      </c>
    </row>
    <row r="231" spans="1:48">
      <c r="A231" s="422" t="str">
        <f t="shared" ca="1" si="6"/>
        <v/>
      </c>
      <c r="B231" s="515" t="str">
        <f t="shared" si="7"/>
        <v>FLO_EMIS</v>
      </c>
      <c r="C231" s="518" t="str">
        <f ca="1">"X"&amp;OFFSET(NameConv!$F$4,0,AS231)&amp;OFFSET(NameConv!$F$59,AT231,AS231)</f>
        <v>XRESOLP</v>
      </c>
      <c r="D231" s="515" t="str">
        <f ca="1">OFFSET(NameConv!$F$4,0,AS231)&amp;OFFSET(NameConv!$AX$4,0,AU231)</f>
        <v>RESSOXS</v>
      </c>
      <c r="E231" s="515" t="str">
        <f ca="1">OFFSET(NameConv!$F$4,0,AS231)&amp;OFFSET(NameConv!$F$59,AT231,AS231)</f>
        <v>RESOLP</v>
      </c>
      <c r="F231" s="740" t="s">
        <v>334</v>
      </c>
      <c r="G231" s="515" t="s">
        <v>337</v>
      </c>
      <c r="H231" s="740" t="s">
        <v>334</v>
      </c>
      <c r="I231" s="516">
        <v>0</v>
      </c>
      <c r="J231" s="517">
        <f ca="1">IF(E231="TRAOKE",0,SUMIF(NameConv!$C$5:$C$45,RIGHT(E231,3),OFFSET(NameConv!$AX$5,0,AU231,NameConv!$A$45,1)))</f>
        <v>5.4089999999999998</v>
      </c>
      <c r="K231" s="518"/>
      <c r="L231" s="518"/>
      <c r="M231" s="518"/>
      <c r="N231" s="518"/>
      <c r="O231" s="518"/>
      <c r="P231" s="518"/>
      <c r="Q231" s="518"/>
      <c r="R231" s="518"/>
      <c r="S231" s="518"/>
      <c r="T231" s="518"/>
      <c r="U231" s="518"/>
      <c r="V231" s="518"/>
      <c r="W231" s="518"/>
      <c r="X231" s="518"/>
      <c r="Y231" s="518"/>
      <c r="Z231" s="518"/>
      <c r="AA231" s="518"/>
      <c r="AB231" s="518"/>
      <c r="AC231" s="518"/>
      <c r="AD231" s="518"/>
      <c r="AE231" s="518"/>
      <c r="AF231" s="518"/>
      <c r="AG231" s="518"/>
      <c r="AH231" s="518"/>
      <c r="AI231" s="518"/>
      <c r="AJ231" s="518"/>
      <c r="AK231" s="518"/>
      <c r="AL231" s="518"/>
      <c r="AM231" s="518"/>
      <c r="AN231" s="518"/>
      <c r="AO231" s="518"/>
      <c r="AP231" s="518"/>
      <c r="AQ231" s="518"/>
      <c r="AR231" s="518"/>
      <c r="AS231" s="495">
        <f ca="1">IF(AND(AV230&gt;=SUMIF(NameConv!$C$5:$C$45,RIGHT(E230,3),NameConv!$CG$5:$CG$45),AT230=SUMIF(NameConv!$G$4:$M$4,LEFT(E230,3),NameConv!$G$45:$M$45)),AS230+1,AS230)</f>
        <v>5</v>
      </c>
      <c r="AT231" s="495">
        <f ca="1">IF(AS231&lt;&gt;AS230,1,IF(AV230&gt;=SUMIF(NameConv!$C$5:$C$45,RIGHT(E230,3),NameConv!$CG$5:$CG$45),AT230+1,AT230))</f>
        <v>6</v>
      </c>
      <c r="AU231" s="495">
        <f ca="1">SUMIF(NameConv!$C$5:$C$45,RIGHT(E231,3),OFFSET(NameConv!$CG$5,0,AV231,NameConv!$A$45,1))</f>
        <v>4</v>
      </c>
      <c r="AV231" s="495">
        <f ca="1">IF(AV230&gt;=SUMIF(NameConv!$C$5:$C$45,RIGHT(E230,3),NameConv!$CG$5:$CG$45),1,AV230+1)</f>
        <v>4</v>
      </c>
    </row>
    <row r="232" spans="1:48">
      <c r="A232" s="422" t="str">
        <f t="shared" ca="1" si="6"/>
        <v/>
      </c>
      <c r="B232" s="515" t="str">
        <f t="shared" si="7"/>
        <v>FLO_EMIS</v>
      </c>
      <c r="C232" s="518" t="str">
        <f ca="1">"X"&amp;OFFSET(NameConv!$F$4,0,AS232)&amp;OFFSET(NameConv!$F$59,AT232,AS232)</f>
        <v>XRESOLP</v>
      </c>
      <c r="D232" s="515" t="str">
        <f ca="1">OFFSET(NameConv!$F$4,0,AS232)&amp;OFFSET(NameConv!$AX$4,0,AU232)</f>
        <v>RESNOXS</v>
      </c>
      <c r="E232" s="515" t="str">
        <f ca="1">OFFSET(NameConv!$F$4,0,AS232)&amp;OFFSET(NameConv!$F$59,AT232,AS232)</f>
        <v>RESOLP</v>
      </c>
      <c r="F232" s="740" t="s">
        <v>334</v>
      </c>
      <c r="G232" s="515" t="s">
        <v>337</v>
      </c>
      <c r="H232" s="740" t="s">
        <v>334</v>
      </c>
      <c r="I232" s="516">
        <v>0</v>
      </c>
      <c r="J232" s="517">
        <f ca="1">IF(E232="TRAOKE",0,SUMIF(NameConv!$C$5:$C$45,RIGHT(E232,3),OFFSET(NameConv!$AX$5,0,AU232,NameConv!$A$45,1)))</f>
        <v>1.2460000000000001E-2</v>
      </c>
      <c r="K232" s="518"/>
      <c r="L232" s="518"/>
      <c r="M232" s="518"/>
      <c r="N232" s="518"/>
      <c r="O232" s="518"/>
      <c r="P232" s="518"/>
      <c r="Q232" s="518"/>
      <c r="R232" s="518"/>
      <c r="S232" s="518"/>
      <c r="T232" s="518"/>
      <c r="U232" s="518"/>
      <c r="V232" s="518"/>
      <c r="W232" s="518"/>
      <c r="X232" s="518"/>
      <c r="Y232" s="518"/>
      <c r="Z232" s="518"/>
      <c r="AA232" s="518"/>
      <c r="AB232" s="518"/>
      <c r="AC232" s="518"/>
      <c r="AD232" s="518"/>
      <c r="AE232" s="518"/>
      <c r="AF232" s="518"/>
      <c r="AG232" s="518"/>
      <c r="AH232" s="518"/>
      <c r="AI232" s="518"/>
      <c r="AJ232" s="518"/>
      <c r="AK232" s="518"/>
      <c r="AL232" s="518"/>
      <c r="AM232" s="518"/>
      <c r="AN232" s="518"/>
      <c r="AO232" s="518"/>
      <c r="AP232" s="518"/>
      <c r="AQ232" s="518"/>
      <c r="AR232" s="518"/>
      <c r="AS232" s="495">
        <f ca="1">IF(AND(AV231&gt;=SUMIF(NameConv!$C$5:$C$45,RIGHT(E231,3),NameConv!$CG$5:$CG$45),AT231=SUMIF(NameConv!$G$4:$M$4,LEFT(E231,3),NameConv!$G$45:$M$45)),AS231+1,AS231)</f>
        <v>5</v>
      </c>
      <c r="AT232" s="495">
        <f ca="1">IF(AS232&lt;&gt;AS231,1,IF(AV231&gt;=SUMIF(NameConv!$C$5:$C$45,RIGHT(E231,3),NameConv!$CG$5:$CG$45),AT231+1,AT231))</f>
        <v>6</v>
      </c>
      <c r="AU232" s="495">
        <f ca="1">SUMIF(NameConv!$C$5:$C$45,RIGHT(E232,3),OFFSET(NameConv!$CG$5,0,AV232,NameConv!$A$45,1))</f>
        <v>5</v>
      </c>
      <c r="AV232" s="495">
        <f ca="1">IF(AV231&gt;=SUMIF(NameConv!$C$5:$C$45,RIGHT(E231,3),NameConv!$CG$5:$CG$45),1,AV231+1)</f>
        <v>5</v>
      </c>
    </row>
    <row r="233" spans="1:48">
      <c r="A233" s="422" t="str">
        <f t="shared" ca="1" si="6"/>
        <v/>
      </c>
      <c r="B233" s="515" t="str">
        <f t="shared" si="7"/>
        <v>FLO_EMIS</v>
      </c>
      <c r="C233" s="518" t="str">
        <f ca="1">"X"&amp;OFFSET(NameConv!$F$4,0,AS233)&amp;OFFSET(NameConv!$F$59,AT233,AS233)</f>
        <v>XRESOLP</v>
      </c>
      <c r="D233" s="515" t="str">
        <f ca="1">OFFSET(NameConv!$F$4,0,AS233)&amp;OFFSET(NameConv!$AX$4,0,AU233)</f>
        <v>RESCMOX</v>
      </c>
      <c r="E233" s="515" t="str">
        <f ca="1">OFFSET(NameConv!$F$4,0,AS233)&amp;OFFSET(NameConv!$F$59,AT233,AS233)</f>
        <v>RESOLP</v>
      </c>
      <c r="F233" s="740" t="s">
        <v>334</v>
      </c>
      <c r="G233" s="515" t="s">
        <v>337</v>
      </c>
      <c r="H233" s="740" t="s">
        <v>334</v>
      </c>
      <c r="I233" s="516">
        <v>0</v>
      </c>
      <c r="J233" s="517">
        <f ca="1">IF(E233="TRAOKE",0,SUMIF(NameConv!$C$5:$C$45,RIGHT(E233,3),OFFSET(NameConv!$AX$5,0,AU233,NameConv!$A$45,1)))</f>
        <v>0.182</v>
      </c>
      <c r="K233" s="518"/>
      <c r="L233" s="518"/>
      <c r="M233" s="518"/>
      <c r="N233" s="518"/>
      <c r="O233" s="518"/>
      <c r="P233" s="518"/>
      <c r="Q233" s="518"/>
      <c r="R233" s="518"/>
      <c r="S233" s="518"/>
      <c r="T233" s="518"/>
      <c r="U233" s="518"/>
      <c r="V233" s="518"/>
      <c r="W233" s="518"/>
      <c r="X233" s="518"/>
      <c r="Y233" s="518"/>
      <c r="Z233" s="518"/>
      <c r="AA233" s="518"/>
      <c r="AB233" s="518"/>
      <c r="AC233" s="518"/>
      <c r="AD233" s="518"/>
      <c r="AE233" s="518"/>
      <c r="AF233" s="518"/>
      <c r="AG233" s="518"/>
      <c r="AH233" s="518"/>
      <c r="AI233" s="518"/>
      <c r="AJ233" s="518"/>
      <c r="AK233" s="518"/>
      <c r="AL233" s="518"/>
      <c r="AM233" s="518"/>
      <c r="AN233" s="518"/>
      <c r="AO233" s="518"/>
      <c r="AP233" s="518"/>
      <c r="AQ233" s="518"/>
      <c r="AR233" s="518"/>
      <c r="AS233" s="495">
        <f ca="1">IF(AND(AV232&gt;=SUMIF(NameConv!$C$5:$C$45,RIGHT(E232,3),NameConv!$CG$5:$CG$45),AT232=SUMIF(NameConv!$G$4:$M$4,LEFT(E232,3),NameConv!$G$45:$M$45)),AS232+1,AS232)</f>
        <v>5</v>
      </c>
      <c r="AT233" s="495">
        <f ca="1">IF(AS233&lt;&gt;AS232,1,IF(AV232&gt;=SUMIF(NameConv!$C$5:$C$45,RIGHT(E232,3),NameConv!$CG$5:$CG$45),AT232+1,AT232))</f>
        <v>6</v>
      </c>
      <c r="AU233" s="495">
        <f ca="1">SUMIF(NameConv!$C$5:$C$45,RIGHT(E233,3),OFFSET(NameConv!$CG$5,0,AV233,NameConv!$A$45,1))</f>
        <v>6</v>
      </c>
      <c r="AV233" s="495">
        <f ca="1">IF(AV232&gt;=SUMIF(NameConv!$C$5:$C$45,RIGHT(E232,3),NameConv!$CG$5:$CG$45),1,AV232+1)</f>
        <v>6</v>
      </c>
    </row>
    <row r="234" spans="1:48">
      <c r="A234" s="422" t="str">
        <f t="shared" ca="1" si="6"/>
        <v/>
      </c>
      <c r="B234" s="515" t="str">
        <f t="shared" si="7"/>
        <v>FLO_EMIS</v>
      </c>
      <c r="C234" s="518" t="str">
        <f ca="1">"X"&amp;OFFSET(NameConv!$F$4,0,AS234)&amp;OFFSET(NameConv!$F$59,AT234,AS234)</f>
        <v>XRESOLP</v>
      </c>
      <c r="D234" s="515" t="str">
        <f ca="1">OFFSET(NameConv!$F$4,0,AS234)&amp;OFFSET(NameConv!$AX$4,0,AU234)</f>
        <v>RESNMVS</v>
      </c>
      <c r="E234" s="515" t="str">
        <f ca="1">OFFSET(NameConv!$F$4,0,AS234)&amp;OFFSET(NameConv!$F$59,AT234,AS234)</f>
        <v>RESOLP</v>
      </c>
      <c r="F234" s="740" t="s">
        <v>334</v>
      </c>
      <c r="G234" s="515" t="s">
        <v>337</v>
      </c>
      <c r="H234" s="740" t="s">
        <v>334</v>
      </c>
      <c r="I234" s="516">
        <v>0</v>
      </c>
      <c r="J234" s="517">
        <f ca="1">IF(E234="TRAOKE",0,SUMIF(NameConv!$C$5:$C$45,RIGHT(E234,3),OFFSET(NameConv!$AX$5,0,AU234,NameConv!$A$45,1)))</f>
        <v>2.3699999999999999E-2</v>
      </c>
      <c r="K234" s="518"/>
      <c r="L234" s="518"/>
      <c r="M234" s="518"/>
      <c r="N234" s="518"/>
      <c r="O234" s="518"/>
      <c r="P234" s="518"/>
      <c r="Q234" s="518"/>
      <c r="R234" s="518"/>
      <c r="S234" s="518"/>
      <c r="T234" s="518"/>
      <c r="U234" s="518"/>
      <c r="V234" s="518"/>
      <c r="W234" s="518"/>
      <c r="X234" s="518"/>
      <c r="Y234" s="518"/>
      <c r="Z234" s="518"/>
      <c r="AA234" s="518"/>
      <c r="AB234" s="518"/>
      <c r="AC234" s="518"/>
      <c r="AD234" s="518"/>
      <c r="AE234" s="518"/>
      <c r="AF234" s="518"/>
      <c r="AG234" s="518"/>
      <c r="AH234" s="518"/>
      <c r="AI234" s="518"/>
      <c r="AJ234" s="518"/>
      <c r="AK234" s="518"/>
      <c r="AL234" s="518"/>
      <c r="AM234" s="518"/>
      <c r="AN234" s="518"/>
      <c r="AO234" s="518"/>
      <c r="AP234" s="518"/>
      <c r="AQ234" s="518"/>
      <c r="AR234" s="518"/>
      <c r="AS234" s="495">
        <f ca="1">IF(AND(AV233&gt;=SUMIF(NameConv!$C$5:$C$45,RIGHT(E233,3),NameConv!$CG$5:$CG$45),AT233=SUMIF(NameConv!$G$4:$M$4,LEFT(E233,3),NameConv!$G$45:$M$45)),AS233+1,AS233)</f>
        <v>5</v>
      </c>
      <c r="AT234" s="495">
        <f ca="1">IF(AS234&lt;&gt;AS233,1,IF(AV233&gt;=SUMIF(NameConv!$C$5:$C$45,RIGHT(E233,3),NameConv!$CG$5:$CG$45),AT233+1,AT233))</f>
        <v>6</v>
      </c>
      <c r="AU234" s="495">
        <f ca="1">SUMIF(NameConv!$C$5:$C$45,RIGHT(E234,3),OFFSET(NameConv!$CG$5,0,AV234,NameConv!$A$45,1))</f>
        <v>7</v>
      </c>
      <c r="AV234" s="495">
        <f ca="1">IF(AV233&gt;=SUMIF(NameConv!$C$5:$C$45,RIGHT(E233,3),NameConv!$CG$5:$CG$45),1,AV233+1)</f>
        <v>7</v>
      </c>
    </row>
    <row r="235" spans="1:48">
      <c r="A235" s="422" t="str">
        <f t="shared" ca="1" si="6"/>
        <v>*</v>
      </c>
      <c r="B235" s="515" t="str">
        <f t="shared" si="7"/>
        <v>FLO_EMIS</v>
      </c>
      <c r="C235" s="518" t="str">
        <f ca="1">"X"&amp;OFFSET(NameConv!$F$4,0,AS235)&amp;OFFSET(NameConv!$F$59,AT235,AS235)</f>
        <v>XPWRBIG</v>
      </c>
      <c r="D235" s="515" t="str">
        <f ca="1">OFFSET(NameConv!$F$4,0,AS235)&amp;OFFSET(NameConv!$AX$4,0,AU235)</f>
        <v>PWR</v>
      </c>
      <c r="E235" s="515" t="str">
        <f ca="1">OFFSET(NameConv!$F$4,0,AS235)&amp;OFFSET(NameConv!$F$59,AT235,AS235)</f>
        <v>PWRBIG</v>
      </c>
      <c r="F235" s="740" t="s">
        <v>334</v>
      </c>
      <c r="G235" s="515" t="s">
        <v>337</v>
      </c>
      <c r="H235" s="740" t="s">
        <v>334</v>
      </c>
      <c r="I235" s="516">
        <v>0</v>
      </c>
      <c r="J235" s="517">
        <f ca="1">IF(E235="TRAOKE",0,SUMIF(NameConv!$C$5:$C$45,RIGHT(E235,3),OFFSET(NameConv!$AX$5,0,AU235,NameConv!$A$45,1)))</f>
        <v>0</v>
      </c>
      <c r="K235" s="518"/>
      <c r="L235" s="518"/>
      <c r="M235" s="518"/>
      <c r="N235" s="518"/>
      <c r="O235" s="518"/>
      <c r="P235" s="518"/>
      <c r="Q235" s="518"/>
      <c r="R235" s="518"/>
      <c r="S235" s="518"/>
      <c r="T235" s="518"/>
      <c r="U235" s="518"/>
      <c r="V235" s="518"/>
      <c r="W235" s="518"/>
      <c r="X235" s="518"/>
      <c r="Y235" s="518"/>
      <c r="Z235" s="518"/>
      <c r="AA235" s="518"/>
      <c r="AB235" s="518"/>
      <c r="AC235" s="518"/>
      <c r="AD235" s="518"/>
      <c r="AE235" s="518"/>
      <c r="AF235" s="518"/>
      <c r="AG235" s="518"/>
      <c r="AH235" s="518"/>
      <c r="AI235" s="518"/>
      <c r="AJ235" s="518"/>
      <c r="AK235" s="518"/>
      <c r="AL235" s="518"/>
      <c r="AM235" s="518"/>
      <c r="AN235" s="518"/>
      <c r="AO235" s="518"/>
      <c r="AP235" s="518"/>
      <c r="AQ235" s="518"/>
      <c r="AR235" s="518"/>
      <c r="AS235" s="495">
        <f ca="1">IF(AND(AV234&gt;=SUMIF(NameConv!$C$5:$C$45,RIGHT(E234,3),NameConv!$CG$5:$CG$45),AT234=SUMIF(NameConv!$G$4:$M$4,LEFT(E234,3),NameConv!$G$45:$M$45)),AS234+1,AS234)</f>
        <v>6</v>
      </c>
      <c r="AT235" s="495">
        <f ca="1">IF(AS235&lt;&gt;AS234,1,IF(AV234&gt;=SUMIF(NameConv!$C$5:$C$45,RIGHT(E234,3),NameConv!$CG$5:$CG$45),AT234+1,AT234))</f>
        <v>1</v>
      </c>
      <c r="AU235" s="495">
        <f ca="1">SUMIF(NameConv!$C$5:$C$45,RIGHT(E235,3),OFFSET(NameConv!$CG$5,0,AV235,NameConv!$A$45,1))</f>
        <v>0</v>
      </c>
      <c r="AV235" s="495">
        <f ca="1">IF(AV234&gt;=SUMIF(NameConv!$C$5:$C$45,RIGHT(E234,3),NameConv!$CG$5:$CG$45),1,AV234+1)</f>
        <v>1</v>
      </c>
    </row>
    <row r="236" spans="1:48">
      <c r="A236" s="422" t="str">
        <f t="shared" ca="1" si="6"/>
        <v>*</v>
      </c>
      <c r="B236" s="515" t="str">
        <f t="shared" si="7"/>
        <v>FLO_EMIS</v>
      </c>
      <c r="C236" s="518" t="str">
        <f ca="1">"X"&amp;OFFSET(NameConv!$F$4,0,AS236)&amp;OFFSET(NameConv!$F$59,AT236,AS236)</f>
        <v>XPWRBIB</v>
      </c>
      <c r="D236" s="515" t="str">
        <f ca="1">OFFSET(NameConv!$F$4,0,AS236)&amp;OFFSET(NameConv!$AX$4,0,AU236)</f>
        <v>PWR</v>
      </c>
      <c r="E236" s="515" t="str">
        <f ca="1">OFFSET(NameConv!$F$4,0,AS236)&amp;OFFSET(NameConv!$F$59,AT236,AS236)</f>
        <v>PWRBIB</v>
      </c>
      <c r="F236" s="740" t="s">
        <v>334</v>
      </c>
      <c r="G236" s="515" t="s">
        <v>337</v>
      </c>
      <c r="H236" s="740" t="s">
        <v>334</v>
      </c>
      <c r="I236" s="516">
        <v>0</v>
      </c>
      <c r="J236" s="517">
        <f ca="1">IF(E236="TRAOKE",0,SUMIF(NameConv!$C$5:$C$45,RIGHT(E236,3),OFFSET(NameConv!$AX$5,0,AU236,NameConv!$A$45,1)))</f>
        <v>0</v>
      </c>
      <c r="K236" s="518"/>
      <c r="L236" s="518"/>
      <c r="M236" s="518"/>
      <c r="N236" s="518"/>
      <c r="O236" s="518"/>
      <c r="P236" s="518"/>
      <c r="Q236" s="518"/>
      <c r="R236" s="518"/>
      <c r="S236" s="518"/>
      <c r="T236" s="518"/>
      <c r="U236" s="518"/>
      <c r="V236" s="518"/>
      <c r="W236" s="518"/>
      <c r="X236" s="518"/>
      <c r="Y236" s="518"/>
      <c r="Z236" s="518"/>
      <c r="AA236" s="518"/>
      <c r="AB236" s="518"/>
      <c r="AC236" s="518"/>
      <c r="AD236" s="518"/>
      <c r="AE236" s="518"/>
      <c r="AF236" s="518"/>
      <c r="AG236" s="518"/>
      <c r="AH236" s="518"/>
      <c r="AI236" s="518"/>
      <c r="AJ236" s="518"/>
      <c r="AK236" s="518"/>
      <c r="AL236" s="518"/>
      <c r="AM236" s="518"/>
      <c r="AN236" s="518"/>
      <c r="AO236" s="518"/>
      <c r="AP236" s="518"/>
      <c r="AQ236" s="518"/>
      <c r="AR236" s="518"/>
      <c r="AS236" s="495">
        <f ca="1">IF(AND(AV235&gt;=SUMIF(NameConv!$C$5:$C$45,RIGHT(E235,3),NameConv!$CG$5:$CG$45),AT235=SUMIF(NameConv!$G$4:$M$4,LEFT(E235,3),NameConv!$G$45:$M$45)),AS235+1,AS235)</f>
        <v>6</v>
      </c>
      <c r="AT236" s="495">
        <f ca="1">IF(AS236&lt;&gt;AS235,1,IF(AV235&gt;=SUMIF(NameConv!$C$5:$C$45,RIGHT(E235,3),NameConv!$CG$5:$CG$45),AT235+1,AT235))</f>
        <v>2</v>
      </c>
      <c r="AU236" s="495">
        <f ca="1">SUMIF(NameConv!$C$5:$C$45,RIGHT(E236,3),OFFSET(NameConv!$CG$5,0,AV236,NameConv!$A$45,1))</f>
        <v>0</v>
      </c>
      <c r="AV236" s="495">
        <f ca="1">IF(AV235&gt;=SUMIF(NameConv!$C$5:$C$45,RIGHT(E235,3),NameConv!$CG$5:$CG$45),1,AV235+1)</f>
        <v>1</v>
      </c>
    </row>
    <row r="237" spans="1:48">
      <c r="A237" s="422" t="str">
        <f t="shared" ca="1" si="6"/>
        <v>*</v>
      </c>
      <c r="B237" s="515" t="str">
        <f t="shared" si="7"/>
        <v>FLO_EMIS</v>
      </c>
      <c r="C237" s="518" t="str">
        <f ca="1">"X"&amp;OFFSET(NameConv!$F$4,0,AS237)&amp;OFFSET(NameConv!$F$59,AT237,AS237)</f>
        <v>XPWRBIO</v>
      </c>
      <c r="D237" s="515" t="str">
        <f ca="1">OFFSET(NameConv!$F$4,0,AS237)&amp;OFFSET(NameConv!$AX$4,0,AU237)</f>
        <v>PWR</v>
      </c>
      <c r="E237" s="515" t="str">
        <f ca="1">OFFSET(NameConv!$F$4,0,AS237)&amp;OFFSET(NameConv!$F$59,AT237,AS237)</f>
        <v>PWRBIO</v>
      </c>
      <c r="F237" s="740" t="s">
        <v>334</v>
      </c>
      <c r="G237" s="515" t="s">
        <v>337</v>
      </c>
      <c r="H237" s="740" t="s">
        <v>334</v>
      </c>
      <c r="I237" s="516">
        <v>0</v>
      </c>
      <c r="J237" s="517">
        <f ca="1">IF(E237="TRAOKE",0,SUMIF(NameConv!$C$5:$C$45,RIGHT(E237,3),OFFSET(NameConv!$AX$5,0,AU237,NameConv!$A$45,1)))</f>
        <v>0</v>
      </c>
      <c r="K237" s="518"/>
      <c r="L237" s="518"/>
      <c r="M237" s="518"/>
      <c r="N237" s="518"/>
      <c r="O237" s="518"/>
      <c r="P237" s="518"/>
      <c r="Q237" s="518"/>
      <c r="R237" s="518"/>
      <c r="S237" s="518"/>
      <c r="T237" s="518"/>
      <c r="U237" s="518"/>
      <c r="V237" s="518"/>
      <c r="W237" s="518"/>
      <c r="X237" s="518"/>
      <c r="Y237" s="518"/>
      <c r="Z237" s="518"/>
      <c r="AA237" s="518"/>
      <c r="AB237" s="518"/>
      <c r="AC237" s="518"/>
      <c r="AD237" s="518"/>
      <c r="AE237" s="518"/>
      <c r="AF237" s="518"/>
      <c r="AG237" s="518"/>
      <c r="AH237" s="518"/>
      <c r="AI237" s="518"/>
      <c r="AJ237" s="518"/>
      <c r="AK237" s="518"/>
      <c r="AL237" s="518"/>
      <c r="AM237" s="518"/>
      <c r="AN237" s="518"/>
      <c r="AO237" s="518"/>
      <c r="AP237" s="518"/>
      <c r="AQ237" s="518"/>
      <c r="AR237" s="518"/>
      <c r="AS237" s="495">
        <f ca="1">IF(AND(AV236&gt;=SUMIF(NameConv!$C$5:$C$45,RIGHT(E236,3),NameConv!$CG$5:$CG$45),AT236=SUMIF(NameConv!$G$4:$M$4,LEFT(E236,3),NameConv!$G$45:$M$45)),AS236+1,AS236)</f>
        <v>6</v>
      </c>
      <c r="AT237" s="495">
        <f ca="1">IF(AS237&lt;&gt;AS236,1,IF(AV236&gt;=SUMIF(NameConv!$C$5:$C$45,RIGHT(E236,3),NameConv!$CG$5:$CG$45),AT236+1,AT236))</f>
        <v>3</v>
      </c>
      <c r="AU237" s="495">
        <f ca="1">SUMIF(NameConv!$C$5:$C$45,RIGHT(E237,3),OFFSET(NameConv!$CG$5,0,AV237,NameConv!$A$45,1))</f>
        <v>0</v>
      </c>
      <c r="AV237" s="495">
        <f ca="1">IF(AV236&gt;=SUMIF(NameConv!$C$5:$C$45,RIGHT(E236,3),NameConv!$CG$5:$CG$45),1,AV236+1)</f>
        <v>1</v>
      </c>
    </row>
    <row r="238" spans="1:48">
      <c r="A238" s="422" t="str">
        <f t="shared" ca="1" si="6"/>
        <v>*</v>
      </c>
      <c r="B238" s="515" t="str">
        <f t="shared" si="7"/>
        <v>FLO_EMIS</v>
      </c>
      <c r="C238" s="518" t="str">
        <f ca="1">"X"&amp;OFFSET(NameConv!$F$4,0,AS238)&amp;OFFSET(NameConv!$F$59,AT238,AS238)</f>
        <v>XPWRBIW</v>
      </c>
      <c r="D238" s="515" t="str">
        <f ca="1">OFFSET(NameConv!$F$4,0,AS238)&amp;OFFSET(NameConv!$AX$4,0,AU238)</f>
        <v>PWR</v>
      </c>
      <c r="E238" s="515" t="str">
        <f ca="1">OFFSET(NameConv!$F$4,0,AS238)&amp;OFFSET(NameConv!$F$59,AT238,AS238)</f>
        <v>PWRBIW</v>
      </c>
      <c r="F238" s="740" t="s">
        <v>334</v>
      </c>
      <c r="G238" s="515" t="s">
        <v>337</v>
      </c>
      <c r="H238" s="740" t="s">
        <v>334</v>
      </c>
      <c r="I238" s="516">
        <v>0</v>
      </c>
      <c r="J238" s="517">
        <f ca="1">IF(E238="TRAOKE",0,SUMIF(NameConv!$C$5:$C$45,RIGHT(E238,3),OFFSET(NameConv!$AX$5,0,AU238,NameConv!$A$45,1)))</f>
        <v>0</v>
      </c>
      <c r="K238" s="518"/>
      <c r="L238" s="518"/>
      <c r="M238" s="518"/>
      <c r="N238" s="518"/>
      <c r="O238" s="518"/>
      <c r="P238" s="518"/>
      <c r="Q238" s="518"/>
      <c r="R238" s="518"/>
      <c r="S238" s="518"/>
      <c r="T238" s="518"/>
      <c r="U238" s="518"/>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518"/>
      <c r="AQ238" s="518"/>
      <c r="AR238" s="518"/>
      <c r="AS238" s="495">
        <f ca="1">IF(AND(AV237&gt;=SUMIF(NameConv!$C$5:$C$45,RIGHT(E237,3),NameConv!$CG$5:$CG$45),AT237=SUMIF(NameConv!$G$4:$M$4,LEFT(E237,3),NameConv!$G$45:$M$45)),AS237+1,AS237)</f>
        <v>6</v>
      </c>
      <c r="AT238" s="495">
        <f ca="1">IF(AS238&lt;&gt;AS237,1,IF(AV237&gt;=SUMIF(NameConv!$C$5:$C$45,RIGHT(E237,3),NameConv!$CG$5:$CG$45),AT237+1,AT237))</f>
        <v>4</v>
      </c>
      <c r="AU238" s="495">
        <f ca="1">SUMIF(NameConv!$C$5:$C$45,RIGHT(E238,3),OFFSET(NameConv!$CG$5,0,AV238,NameConv!$A$45,1))</f>
        <v>0</v>
      </c>
      <c r="AV238" s="495">
        <f ca="1">IF(AV237&gt;=SUMIF(NameConv!$C$5:$C$45,RIGHT(E237,3),NameConv!$CG$5:$CG$45),1,AV237+1)</f>
        <v>1</v>
      </c>
    </row>
    <row r="239" spans="1:48">
      <c r="A239" s="422" t="str">
        <f t="shared" ca="1" si="6"/>
        <v/>
      </c>
      <c r="B239" s="515" t="str">
        <f t="shared" si="7"/>
        <v>FLO_EMIS</v>
      </c>
      <c r="C239" s="518" t="str">
        <f ca="1">"X"&amp;OFFSET(NameConv!$F$4,0,AS239)&amp;OFFSET(NameConv!$F$59,AT239,AS239)</f>
        <v>XPWRCLD</v>
      </c>
      <c r="D239" s="515" t="str">
        <f ca="1">OFFSET(NameConv!$F$4,0,AS239)&amp;OFFSET(NameConv!$AX$4,0,AU239)</f>
        <v>PWRCO2S</v>
      </c>
      <c r="E239" s="515" t="str">
        <f ca="1">OFFSET(NameConv!$F$4,0,AS239)&amp;OFFSET(NameConv!$F$59,AT239,AS239)</f>
        <v>PWRCLD</v>
      </c>
      <c r="F239" s="740" t="s">
        <v>334</v>
      </c>
      <c r="G239" s="515" t="s">
        <v>337</v>
      </c>
      <c r="H239" s="740" t="s">
        <v>334</v>
      </c>
      <c r="I239" s="516">
        <v>0</v>
      </c>
      <c r="J239" s="517">
        <f ca="1">IF(E239="TRAOKE",0,SUMIF(NameConv!$C$5:$C$45,RIGHT(E239,3),OFFSET(NameConv!$AX$5,0,AU239,NameConv!$A$45,1)))</f>
        <v>96.25</v>
      </c>
      <c r="K239" s="518"/>
      <c r="L239" s="518"/>
      <c r="M239" s="518"/>
      <c r="N239" s="518"/>
      <c r="O239" s="518"/>
      <c r="P239" s="518"/>
      <c r="Q239" s="518"/>
      <c r="R239" s="518"/>
      <c r="S239" s="518"/>
      <c r="T239" s="518"/>
      <c r="U239" s="518"/>
      <c r="V239" s="518"/>
      <c r="W239" s="518"/>
      <c r="X239" s="518"/>
      <c r="Y239" s="518"/>
      <c r="Z239" s="518"/>
      <c r="AA239" s="518"/>
      <c r="AB239" s="518"/>
      <c r="AC239" s="518"/>
      <c r="AD239" s="518"/>
      <c r="AE239" s="518"/>
      <c r="AF239" s="518"/>
      <c r="AG239" s="518"/>
      <c r="AH239" s="518"/>
      <c r="AI239" s="518"/>
      <c r="AJ239" s="518"/>
      <c r="AK239" s="518"/>
      <c r="AL239" s="518"/>
      <c r="AM239" s="518"/>
      <c r="AN239" s="518"/>
      <c r="AO239" s="518"/>
      <c r="AP239" s="518"/>
      <c r="AQ239" s="518"/>
      <c r="AR239" s="518"/>
      <c r="AS239" s="495">
        <f ca="1">IF(AND(AV238&gt;=SUMIF(NameConv!$C$5:$C$45,RIGHT(E238,3),NameConv!$CG$5:$CG$45),AT238=SUMIF(NameConv!$G$4:$M$4,LEFT(E238,3),NameConv!$G$45:$M$45)),AS238+1,AS238)</f>
        <v>6</v>
      </c>
      <c r="AT239" s="495">
        <f ca="1">IF(AS239&lt;&gt;AS238,1,IF(AV238&gt;=SUMIF(NameConv!$C$5:$C$45,RIGHT(E238,3),NameConv!$CG$5:$CG$45),AT238+1,AT238))</f>
        <v>5</v>
      </c>
      <c r="AU239" s="495">
        <f ca="1">SUMIF(NameConv!$C$5:$C$45,RIGHT(E239,3),OFFSET(NameConv!$CG$5,0,AV239,NameConv!$A$45,1))</f>
        <v>1</v>
      </c>
      <c r="AV239" s="495">
        <f ca="1">IF(AV238&gt;=SUMIF(NameConv!$C$5:$C$45,RIGHT(E238,3),NameConv!$CG$5:$CG$45),1,AV238+1)</f>
        <v>1</v>
      </c>
    </row>
    <row r="240" spans="1:48">
      <c r="A240" s="422" t="str">
        <f t="shared" ca="1" si="6"/>
        <v/>
      </c>
      <c r="B240" s="515" t="str">
        <f t="shared" si="7"/>
        <v>FLO_EMIS</v>
      </c>
      <c r="C240" s="518" t="str">
        <f ca="1">"X"&amp;OFFSET(NameConv!$F$4,0,AS240)&amp;OFFSET(NameConv!$F$59,AT240,AS240)</f>
        <v>XPWRCLD</v>
      </c>
      <c r="D240" s="515" t="str">
        <f ca="1">OFFSET(NameConv!$F$4,0,AS240)&amp;OFFSET(NameConv!$AX$4,0,AU240)</f>
        <v>PWRCH4S</v>
      </c>
      <c r="E240" s="515" t="str">
        <f ca="1">OFFSET(NameConv!$F$4,0,AS240)&amp;OFFSET(NameConv!$F$59,AT240,AS240)</f>
        <v>PWRCLD</v>
      </c>
      <c r="F240" s="740" t="s">
        <v>334</v>
      </c>
      <c r="G240" s="515" t="s">
        <v>337</v>
      </c>
      <c r="H240" s="740" t="s">
        <v>334</v>
      </c>
      <c r="I240" s="516">
        <v>0</v>
      </c>
      <c r="J240" s="517">
        <f ca="1">IF(E240="TRAOKE",0,SUMIF(NameConv!$C$5:$C$45,RIGHT(E240,3),OFFSET(NameConv!$AX$5,0,AU240,NameConv!$A$45,1)))</f>
        <v>1E-3</v>
      </c>
      <c r="K240" s="518"/>
      <c r="L240" s="518"/>
      <c r="M240" s="518"/>
      <c r="N240" s="518"/>
      <c r="O240" s="518"/>
      <c r="P240" s="518"/>
      <c r="Q240" s="518"/>
      <c r="R240" s="518"/>
      <c r="S240" s="518"/>
      <c r="T240" s="518"/>
      <c r="U240" s="518"/>
      <c r="V240" s="518"/>
      <c r="W240" s="518"/>
      <c r="X240" s="518"/>
      <c r="Y240" s="518"/>
      <c r="Z240" s="518"/>
      <c r="AA240" s="518"/>
      <c r="AB240" s="518"/>
      <c r="AC240" s="518"/>
      <c r="AD240" s="518"/>
      <c r="AE240" s="518"/>
      <c r="AF240" s="518"/>
      <c r="AG240" s="518"/>
      <c r="AH240" s="518"/>
      <c r="AI240" s="518"/>
      <c r="AJ240" s="518"/>
      <c r="AK240" s="518"/>
      <c r="AL240" s="518"/>
      <c r="AM240" s="518"/>
      <c r="AN240" s="518"/>
      <c r="AO240" s="518"/>
      <c r="AP240" s="518"/>
      <c r="AQ240" s="518"/>
      <c r="AR240" s="518"/>
      <c r="AS240" s="495">
        <f ca="1">IF(AND(AV239&gt;=SUMIF(NameConv!$C$5:$C$45,RIGHT(E239,3),NameConv!$CG$5:$CG$45),AT239=SUMIF(NameConv!$G$4:$M$4,LEFT(E239,3),NameConv!$G$45:$M$45)),AS239+1,AS239)</f>
        <v>6</v>
      </c>
      <c r="AT240" s="495">
        <f ca="1">IF(AS240&lt;&gt;AS239,1,IF(AV239&gt;=SUMIF(NameConv!$C$5:$C$45,RIGHT(E239,3),NameConv!$CG$5:$CG$45),AT239+1,AT239))</f>
        <v>5</v>
      </c>
      <c r="AU240" s="495">
        <f ca="1">SUMIF(NameConv!$C$5:$C$45,RIGHT(E240,3),OFFSET(NameConv!$CG$5,0,AV240,NameConv!$A$45,1))</f>
        <v>2</v>
      </c>
      <c r="AV240" s="495">
        <f ca="1">IF(AV239&gt;=SUMIF(NameConv!$C$5:$C$45,RIGHT(E239,3),NameConv!$CG$5:$CG$45),1,AV239+1)</f>
        <v>2</v>
      </c>
    </row>
    <row r="241" spans="1:48">
      <c r="A241" s="422" t="str">
        <f t="shared" ca="1" si="6"/>
        <v/>
      </c>
      <c r="B241" s="515" t="str">
        <f t="shared" si="7"/>
        <v>FLO_EMIS</v>
      </c>
      <c r="C241" s="518" t="str">
        <f ca="1">"X"&amp;OFFSET(NameConv!$F$4,0,AS241)&amp;OFFSET(NameConv!$F$59,AT241,AS241)</f>
        <v>XPWRCLD</v>
      </c>
      <c r="D241" s="515" t="str">
        <f ca="1">OFFSET(NameConv!$F$4,0,AS241)&amp;OFFSET(NameConv!$AX$4,0,AU241)</f>
        <v>PWRN2OS</v>
      </c>
      <c r="E241" s="515" t="str">
        <f ca="1">OFFSET(NameConv!$F$4,0,AS241)&amp;OFFSET(NameConv!$F$59,AT241,AS241)</f>
        <v>PWRCLD</v>
      </c>
      <c r="F241" s="740" t="s">
        <v>334</v>
      </c>
      <c r="G241" s="515" t="s">
        <v>337</v>
      </c>
      <c r="H241" s="740" t="s">
        <v>334</v>
      </c>
      <c r="I241" s="516">
        <v>0</v>
      </c>
      <c r="J241" s="517">
        <f ca="1">IF(E241="TRAOKE",0,SUMIF(NameConv!$C$5:$C$45,RIGHT(E241,3),OFFSET(NameConv!$AX$5,0,AU241,NameConv!$A$45,1)))</f>
        <v>1.4E-3</v>
      </c>
      <c r="K241" s="518"/>
      <c r="L241" s="518"/>
      <c r="M241" s="518"/>
      <c r="N241" s="518"/>
      <c r="O241" s="518"/>
      <c r="P241" s="518"/>
      <c r="Q241" s="518"/>
      <c r="R241" s="518"/>
      <c r="S241" s="518"/>
      <c r="T241" s="518"/>
      <c r="U241" s="518"/>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518"/>
      <c r="AQ241" s="518"/>
      <c r="AR241" s="518"/>
      <c r="AS241" s="495">
        <f ca="1">IF(AND(AV240&gt;=SUMIF(NameConv!$C$5:$C$45,RIGHT(E240,3),NameConv!$CG$5:$CG$45),AT240=SUMIF(NameConv!$G$4:$M$4,LEFT(E240,3),NameConv!$G$45:$M$45)),AS240+1,AS240)</f>
        <v>6</v>
      </c>
      <c r="AT241" s="495">
        <f ca="1">IF(AS241&lt;&gt;AS240,1,IF(AV240&gt;=SUMIF(NameConv!$C$5:$C$45,RIGHT(E240,3),NameConv!$CG$5:$CG$45),AT240+1,AT240))</f>
        <v>5</v>
      </c>
      <c r="AU241" s="495">
        <f ca="1">SUMIF(NameConv!$C$5:$C$45,RIGHT(E241,3),OFFSET(NameConv!$CG$5,0,AV241,NameConv!$A$45,1))</f>
        <v>3</v>
      </c>
      <c r="AV241" s="495">
        <f ca="1">IF(AV240&gt;=SUMIF(NameConv!$C$5:$C$45,RIGHT(E240,3),NameConv!$CG$5:$CG$45),1,AV240+1)</f>
        <v>3</v>
      </c>
    </row>
    <row r="242" spans="1:48">
      <c r="A242" s="422" t="str">
        <f t="shared" ca="1" si="6"/>
        <v/>
      </c>
      <c r="B242" s="515" t="str">
        <f t="shared" si="7"/>
        <v>FLO_EMIS</v>
      </c>
      <c r="C242" s="518" t="str">
        <f ca="1">"X"&amp;OFFSET(NameConv!$F$4,0,AS242)&amp;OFFSET(NameConv!$F$59,AT242,AS242)</f>
        <v>XPWRCLD</v>
      </c>
      <c r="D242" s="515" t="str">
        <f ca="1">OFFSET(NameConv!$F$4,0,AS242)&amp;OFFSET(NameConv!$AX$4,0,AU242)</f>
        <v>PWRSOXS</v>
      </c>
      <c r="E242" s="515" t="str">
        <f ca="1">OFFSET(NameConv!$F$4,0,AS242)&amp;OFFSET(NameConv!$F$59,AT242,AS242)</f>
        <v>PWRCLD</v>
      </c>
      <c r="F242" s="740" t="s">
        <v>334</v>
      </c>
      <c r="G242" s="515" t="s">
        <v>337</v>
      </c>
      <c r="H242" s="740" t="s">
        <v>334</v>
      </c>
      <c r="I242" s="516">
        <v>0</v>
      </c>
      <c r="J242" s="517">
        <f ca="1">IF(E242="TRAOKE",0,SUMIF(NameConv!$C$5:$C$45,RIGHT(E242,3),OFFSET(NameConv!$AX$5,0,AU242,NameConv!$A$45,1)))</f>
        <v>0.62619999999999998</v>
      </c>
      <c r="K242" s="518"/>
      <c r="L242" s="518"/>
      <c r="M242" s="518"/>
      <c r="N242" s="518"/>
      <c r="O242" s="518"/>
      <c r="P242" s="518"/>
      <c r="Q242" s="518"/>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518"/>
      <c r="AQ242" s="518"/>
      <c r="AR242" s="518"/>
      <c r="AS242" s="495">
        <f ca="1">IF(AND(AV241&gt;=SUMIF(NameConv!$C$5:$C$45,RIGHT(E241,3),NameConv!$CG$5:$CG$45),AT241=SUMIF(NameConv!$G$4:$M$4,LEFT(E241,3),NameConv!$G$45:$M$45)),AS241+1,AS241)</f>
        <v>6</v>
      </c>
      <c r="AT242" s="495">
        <f ca="1">IF(AS242&lt;&gt;AS241,1,IF(AV241&gt;=SUMIF(NameConv!$C$5:$C$45,RIGHT(E241,3),NameConv!$CG$5:$CG$45),AT241+1,AT241))</f>
        <v>5</v>
      </c>
      <c r="AU242" s="495">
        <f ca="1">SUMIF(NameConv!$C$5:$C$45,RIGHT(E242,3),OFFSET(NameConv!$CG$5,0,AV242,NameConv!$A$45,1))</f>
        <v>4</v>
      </c>
      <c r="AV242" s="495">
        <f ca="1">IF(AV241&gt;=SUMIF(NameConv!$C$5:$C$45,RIGHT(E241,3),NameConv!$CG$5:$CG$45),1,AV241+1)</f>
        <v>4</v>
      </c>
    </row>
    <row r="243" spans="1:48">
      <c r="A243" s="422" t="str">
        <f t="shared" ca="1" si="6"/>
        <v/>
      </c>
      <c r="B243" s="515" t="str">
        <f t="shared" si="7"/>
        <v>FLO_EMIS</v>
      </c>
      <c r="C243" s="518" t="str">
        <f ca="1">"X"&amp;OFFSET(NameConv!$F$4,0,AS243)&amp;OFFSET(NameConv!$F$59,AT243,AS243)</f>
        <v>XPWRCLD</v>
      </c>
      <c r="D243" s="515" t="str">
        <f ca="1">OFFSET(NameConv!$F$4,0,AS243)&amp;OFFSET(NameConv!$AX$4,0,AU243)</f>
        <v>PWRNOXS</v>
      </c>
      <c r="E243" s="515" t="str">
        <f ca="1">OFFSET(NameConv!$F$4,0,AS243)&amp;OFFSET(NameConv!$F$59,AT243,AS243)</f>
        <v>PWRCLD</v>
      </c>
      <c r="F243" s="740" t="s">
        <v>334</v>
      </c>
      <c r="G243" s="515" t="s">
        <v>337</v>
      </c>
      <c r="H243" s="740" t="s">
        <v>334</v>
      </c>
      <c r="I243" s="516">
        <v>0</v>
      </c>
      <c r="J243" s="517">
        <f ca="1">IF(E243="TRAOKE",0,SUMIF(NameConv!$C$5:$C$45,RIGHT(E243,3),OFFSET(NameConv!$AX$5,0,AU243,NameConv!$A$45,1)))</f>
        <v>0.3</v>
      </c>
      <c r="K243" s="518"/>
      <c r="L243" s="518"/>
      <c r="M243" s="518"/>
      <c r="N243" s="518"/>
      <c r="O243" s="518"/>
      <c r="P243" s="518"/>
      <c r="Q243" s="518"/>
      <c r="R243" s="518"/>
      <c r="S243" s="518"/>
      <c r="T243" s="518"/>
      <c r="U243" s="518"/>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518"/>
      <c r="AQ243" s="518"/>
      <c r="AR243" s="518"/>
      <c r="AS243" s="495">
        <f ca="1">IF(AND(AV242&gt;=SUMIF(NameConv!$C$5:$C$45,RIGHT(E242,3),NameConv!$CG$5:$CG$45),AT242=SUMIF(NameConv!$G$4:$M$4,LEFT(E242,3),NameConv!$G$45:$M$45)),AS242+1,AS242)</f>
        <v>6</v>
      </c>
      <c r="AT243" s="495">
        <f ca="1">IF(AS243&lt;&gt;AS242,1,IF(AV242&gt;=SUMIF(NameConv!$C$5:$C$45,RIGHT(E242,3),NameConv!$CG$5:$CG$45),AT242+1,AT242))</f>
        <v>5</v>
      </c>
      <c r="AU243" s="495">
        <f ca="1">SUMIF(NameConv!$C$5:$C$45,RIGHT(E243,3),OFFSET(NameConv!$CG$5,0,AV243,NameConv!$A$45,1))</f>
        <v>5</v>
      </c>
      <c r="AV243" s="495">
        <f ca="1">IF(AV242&gt;=SUMIF(NameConv!$C$5:$C$45,RIGHT(E242,3),NameConv!$CG$5:$CG$45),1,AV242+1)</f>
        <v>5</v>
      </c>
    </row>
    <row r="244" spans="1:48">
      <c r="A244" s="422" t="str">
        <f t="shared" ca="1" si="6"/>
        <v/>
      </c>
      <c r="B244" s="515" t="str">
        <f t="shared" si="7"/>
        <v>FLO_EMIS</v>
      </c>
      <c r="C244" s="518" t="str">
        <f ca="1">"X"&amp;OFFSET(NameConv!$F$4,0,AS244)&amp;OFFSET(NameConv!$F$59,AT244,AS244)</f>
        <v>XPWRCLD</v>
      </c>
      <c r="D244" s="515" t="str">
        <f ca="1">OFFSET(NameConv!$F$4,0,AS244)&amp;OFFSET(NameConv!$AX$4,0,AU244)</f>
        <v>PWRCMOX</v>
      </c>
      <c r="E244" s="515" t="str">
        <f ca="1">OFFSET(NameConv!$F$4,0,AS244)&amp;OFFSET(NameConv!$F$59,AT244,AS244)</f>
        <v>PWRCLD</v>
      </c>
      <c r="F244" s="740" t="s">
        <v>334</v>
      </c>
      <c r="G244" s="515" t="s">
        <v>337</v>
      </c>
      <c r="H244" s="740" t="s">
        <v>334</v>
      </c>
      <c r="I244" s="516">
        <v>0</v>
      </c>
      <c r="J244" s="517">
        <f ca="1">IF(E244="TRAOKE",0,SUMIF(NameConv!$C$5:$C$45,RIGHT(E244,3),OFFSET(NameConv!$AX$5,0,AU244,NameConv!$A$45,1)))</f>
        <v>0.02</v>
      </c>
      <c r="K244" s="518"/>
      <c r="L244" s="518"/>
      <c r="M244" s="518"/>
      <c r="N244" s="518"/>
      <c r="O244" s="518"/>
      <c r="P244" s="518"/>
      <c r="Q244" s="518"/>
      <c r="R244" s="518"/>
      <c r="S244" s="518"/>
      <c r="T244" s="518"/>
      <c r="U244" s="518"/>
      <c r="V244" s="518"/>
      <c r="W244" s="518"/>
      <c r="X244" s="518"/>
      <c r="Y244" s="518"/>
      <c r="Z244" s="518"/>
      <c r="AA244" s="518"/>
      <c r="AB244" s="518"/>
      <c r="AC244" s="518"/>
      <c r="AD244" s="518"/>
      <c r="AE244" s="518"/>
      <c r="AF244" s="518"/>
      <c r="AG244" s="518"/>
      <c r="AH244" s="518"/>
      <c r="AI244" s="518"/>
      <c r="AJ244" s="518"/>
      <c r="AK244" s="518"/>
      <c r="AL244" s="518"/>
      <c r="AM244" s="518"/>
      <c r="AN244" s="518"/>
      <c r="AO244" s="518"/>
      <c r="AP244" s="518"/>
      <c r="AQ244" s="518"/>
      <c r="AR244" s="518"/>
      <c r="AS244" s="495">
        <f ca="1">IF(AND(AV243&gt;=SUMIF(NameConv!$C$5:$C$45,RIGHT(E243,3),NameConv!$CG$5:$CG$45),AT243=SUMIF(NameConv!$G$4:$M$4,LEFT(E243,3),NameConv!$G$45:$M$45)),AS243+1,AS243)</f>
        <v>6</v>
      </c>
      <c r="AT244" s="495">
        <f ca="1">IF(AS244&lt;&gt;AS243,1,IF(AV243&gt;=SUMIF(NameConv!$C$5:$C$45,RIGHT(E243,3),NameConv!$CG$5:$CG$45),AT243+1,AT243))</f>
        <v>5</v>
      </c>
      <c r="AU244" s="495">
        <f ca="1">SUMIF(NameConv!$C$5:$C$45,RIGHT(E244,3),OFFSET(NameConv!$CG$5,0,AV244,NameConv!$A$45,1))</f>
        <v>6</v>
      </c>
      <c r="AV244" s="495">
        <f ca="1">IF(AV243&gt;=SUMIF(NameConv!$C$5:$C$45,RIGHT(E243,3),NameConv!$CG$5:$CG$45),1,AV243+1)</f>
        <v>6</v>
      </c>
    </row>
    <row r="245" spans="1:48">
      <c r="A245" s="422" t="str">
        <f t="shared" ca="1" si="6"/>
        <v/>
      </c>
      <c r="B245" s="515" t="str">
        <f t="shared" si="7"/>
        <v>FLO_EMIS</v>
      </c>
      <c r="C245" s="518" t="str">
        <f ca="1">"X"&amp;OFFSET(NameConv!$F$4,0,AS245)&amp;OFFSET(NameConv!$F$59,AT245,AS245)</f>
        <v>XPWRCLD</v>
      </c>
      <c r="D245" s="515" t="str">
        <f ca="1">OFFSET(NameConv!$F$4,0,AS245)&amp;OFFSET(NameConv!$AX$4,0,AU245)</f>
        <v>PWRNMVS</v>
      </c>
      <c r="E245" s="515" t="str">
        <f ca="1">OFFSET(NameConv!$F$4,0,AS245)&amp;OFFSET(NameConv!$F$59,AT245,AS245)</f>
        <v>PWRCLD</v>
      </c>
      <c r="F245" s="740" t="s">
        <v>334</v>
      </c>
      <c r="G245" s="515" t="s">
        <v>337</v>
      </c>
      <c r="H245" s="740" t="s">
        <v>334</v>
      </c>
      <c r="I245" s="516">
        <v>0</v>
      </c>
      <c r="J245" s="517">
        <f ca="1">IF(E245="TRAOKE",0,SUMIF(NameConv!$C$5:$C$45,RIGHT(E245,3),OFFSET(NameConv!$AX$5,0,AU245,NameConv!$A$45,1)))</f>
        <v>5.0000000000000001E-3</v>
      </c>
      <c r="K245" s="518"/>
      <c r="L245" s="518"/>
      <c r="M245" s="518"/>
      <c r="N245" s="518"/>
      <c r="O245" s="518"/>
      <c r="P245" s="518"/>
      <c r="Q245" s="518"/>
      <c r="R245" s="518"/>
      <c r="S245" s="518"/>
      <c r="T245" s="518"/>
      <c r="U245" s="518"/>
      <c r="V245" s="518"/>
      <c r="W245" s="518"/>
      <c r="X245" s="518"/>
      <c r="Y245" s="518"/>
      <c r="Z245" s="518"/>
      <c r="AA245" s="518"/>
      <c r="AB245" s="518"/>
      <c r="AC245" s="518"/>
      <c r="AD245" s="518"/>
      <c r="AE245" s="518"/>
      <c r="AF245" s="518"/>
      <c r="AG245" s="518"/>
      <c r="AH245" s="518"/>
      <c r="AI245" s="518"/>
      <c r="AJ245" s="518"/>
      <c r="AK245" s="518"/>
      <c r="AL245" s="518"/>
      <c r="AM245" s="518"/>
      <c r="AN245" s="518"/>
      <c r="AO245" s="518"/>
      <c r="AP245" s="518"/>
      <c r="AQ245" s="518"/>
      <c r="AR245" s="518"/>
      <c r="AS245" s="495">
        <f ca="1">IF(AND(AV244&gt;=SUMIF(NameConv!$C$5:$C$45,RIGHT(E244,3),NameConv!$CG$5:$CG$45),AT244=SUMIF(NameConv!$G$4:$M$4,LEFT(E244,3),NameConv!$G$45:$M$45)),AS244+1,AS244)</f>
        <v>6</v>
      </c>
      <c r="AT245" s="495">
        <f ca="1">IF(AS245&lt;&gt;AS244,1,IF(AV244&gt;=SUMIF(NameConv!$C$5:$C$45,RIGHT(E244,3),NameConv!$CG$5:$CG$45),AT244+1,AT244))</f>
        <v>5</v>
      </c>
      <c r="AU245" s="495">
        <f ca="1">SUMIF(NameConv!$C$5:$C$45,RIGHT(E245,3),OFFSET(NameConv!$CG$5,0,AV245,NameConv!$A$45,1))</f>
        <v>7</v>
      </c>
      <c r="AV245" s="495">
        <f ca="1">IF(AV244&gt;=SUMIF(NameConv!$C$5:$C$45,RIGHT(E244,3),NameConv!$CG$5:$CG$45),1,AV244+1)</f>
        <v>7</v>
      </c>
    </row>
    <row r="246" spans="1:48">
      <c r="A246" s="422" t="str">
        <f t="shared" ca="1" si="6"/>
        <v/>
      </c>
      <c r="B246" s="515" t="str">
        <f t="shared" si="7"/>
        <v>FLO_EMIS</v>
      </c>
      <c r="C246" s="518" t="str">
        <f ca="1">"X"&amp;OFFSET(NameConv!$F$4,0,AS246)&amp;OFFSET(NameConv!$F$59,AT246,AS246)</f>
        <v>XPWRCLE</v>
      </c>
      <c r="D246" s="515" t="str">
        <f ca="1">OFFSET(NameConv!$F$4,0,AS246)&amp;OFFSET(NameConv!$AX$4,0,AU246)</f>
        <v>PWRCO2S</v>
      </c>
      <c r="E246" s="515" t="str">
        <f ca="1">OFFSET(NameConv!$F$4,0,AS246)&amp;OFFSET(NameConv!$F$59,AT246,AS246)</f>
        <v>PWRCLE</v>
      </c>
      <c r="F246" s="740" t="s">
        <v>334</v>
      </c>
      <c r="G246" s="515" t="s">
        <v>337</v>
      </c>
      <c r="H246" s="740" t="s">
        <v>334</v>
      </c>
      <c r="I246" s="516">
        <v>0</v>
      </c>
      <c r="J246" s="517">
        <f ca="1">IF(E246="TRAOKE",0,SUMIF(NameConv!$C$5:$C$45,RIGHT(E246,3),OFFSET(NameConv!$AX$5,0,AU246,NameConv!$A$45,1)))</f>
        <v>96.25</v>
      </c>
      <c r="K246" s="518"/>
      <c r="L246" s="518"/>
      <c r="M246" s="518"/>
      <c r="N246" s="518"/>
      <c r="O246" s="518"/>
      <c r="P246" s="518"/>
      <c r="Q246" s="518"/>
      <c r="R246" s="518"/>
      <c r="S246" s="518"/>
      <c r="T246" s="518"/>
      <c r="U246" s="518"/>
      <c r="V246" s="518"/>
      <c r="W246" s="518"/>
      <c r="X246" s="518"/>
      <c r="Y246" s="518"/>
      <c r="Z246" s="518"/>
      <c r="AA246" s="518"/>
      <c r="AB246" s="518"/>
      <c r="AC246" s="518"/>
      <c r="AD246" s="518"/>
      <c r="AE246" s="518"/>
      <c r="AF246" s="518"/>
      <c r="AG246" s="518"/>
      <c r="AH246" s="518"/>
      <c r="AI246" s="518"/>
      <c r="AJ246" s="518"/>
      <c r="AK246" s="518"/>
      <c r="AL246" s="518"/>
      <c r="AM246" s="518"/>
      <c r="AN246" s="518"/>
      <c r="AO246" s="518"/>
      <c r="AP246" s="518"/>
      <c r="AQ246" s="518"/>
      <c r="AR246" s="518"/>
      <c r="AS246" s="495">
        <f ca="1">IF(AND(AV245&gt;=SUMIF(NameConv!$C$5:$C$45,RIGHT(E245,3),NameConv!$CG$5:$CG$45),AT245=SUMIF(NameConv!$G$4:$M$4,LEFT(E245,3),NameConv!$G$45:$M$45)),AS245+1,AS245)</f>
        <v>6</v>
      </c>
      <c r="AT246" s="495">
        <f ca="1">IF(AS246&lt;&gt;AS245,1,IF(AV245&gt;=SUMIF(NameConv!$C$5:$C$45,RIGHT(E245,3),NameConv!$CG$5:$CG$45),AT245+1,AT245))</f>
        <v>6</v>
      </c>
      <c r="AU246" s="495">
        <f ca="1">SUMIF(NameConv!$C$5:$C$45,RIGHT(E246,3),OFFSET(NameConv!$CG$5,0,AV246,NameConv!$A$45,1))</f>
        <v>1</v>
      </c>
      <c r="AV246" s="495">
        <f ca="1">IF(AV245&gt;=SUMIF(NameConv!$C$5:$C$45,RIGHT(E245,3),NameConv!$CG$5:$CG$45),1,AV245+1)</f>
        <v>1</v>
      </c>
    </row>
    <row r="247" spans="1:48">
      <c r="A247" s="422" t="str">
        <f t="shared" ca="1" si="6"/>
        <v/>
      </c>
      <c r="B247" s="515" t="str">
        <f t="shared" si="7"/>
        <v>FLO_EMIS</v>
      </c>
      <c r="C247" s="518" t="str">
        <f ca="1">"X"&amp;OFFSET(NameConv!$F$4,0,AS247)&amp;OFFSET(NameConv!$F$59,AT247,AS247)</f>
        <v>XPWRCLE</v>
      </c>
      <c r="D247" s="515" t="str">
        <f ca="1">OFFSET(NameConv!$F$4,0,AS247)&amp;OFFSET(NameConv!$AX$4,0,AU247)</f>
        <v>PWRCH4S</v>
      </c>
      <c r="E247" s="515" t="str">
        <f ca="1">OFFSET(NameConv!$F$4,0,AS247)&amp;OFFSET(NameConv!$F$59,AT247,AS247)</f>
        <v>PWRCLE</v>
      </c>
      <c r="F247" s="740" t="s">
        <v>334</v>
      </c>
      <c r="G247" s="515" t="s">
        <v>337</v>
      </c>
      <c r="H247" s="740" t="s">
        <v>334</v>
      </c>
      <c r="I247" s="516">
        <v>0</v>
      </c>
      <c r="J247" s="517">
        <f ca="1">IF(E247="TRAOKE",0,SUMIF(NameConv!$C$5:$C$45,RIGHT(E247,3),OFFSET(NameConv!$AX$5,0,AU247,NameConv!$A$45,1)))</f>
        <v>1E-3</v>
      </c>
      <c r="K247" s="518"/>
      <c r="L247" s="518"/>
      <c r="M247" s="518"/>
      <c r="N247" s="518"/>
      <c r="O247" s="518"/>
      <c r="P247" s="518"/>
      <c r="Q247" s="518"/>
      <c r="R247" s="518"/>
      <c r="S247" s="518"/>
      <c r="T247" s="518"/>
      <c r="U247" s="518"/>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518"/>
      <c r="AQ247" s="518"/>
      <c r="AR247" s="518"/>
      <c r="AS247" s="495">
        <f ca="1">IF(AND(AV246&gt;=SUMIF(NameConv!$C$5:$C$45,RIGHT(E246,3),NameConv!$CG$5:$CG$45),AT246=SUMIF(NameConv!$G$4:$M$4,LEFT(E246,3),NameConv!$G$45:$M$45)),AS246+1,AS246)</f>
        <v>6</v>
      </c>
      <c r="AT247" s="495">
        <f ca="1">IF(AS247&lt;&gt;AS246,1,IF(AV246&gt;=SUMIF(NameConv!$C$5:$C$45,RIGHT(E246,3),NameConv!$CG$5:$CG$45),AT246+1,AT246))</f>
        <v>6</v>
      </c>
      <c r="AU247" s="495">
        <f ca="1">SUMIF(NameConv!$C$5:$C$45,RIGHT(E247,3),OFFSET(NameConv!$CG$5,0,AV247,NameConv!$A$45,1))</f>
        <v>2</v>
      </c>
      <c r="AV247" s="495">
        <f ca="1">IF(AV246&gt;=SUMIF(NameConv!$C$5:$C$45,RIGHT(E246,3),NameConv!$CG$5:$CG$45),1,AV246+1)</f>
        <v>2</v>
      </c>
    </row>
    <row r="248" spans="1:48">
      <c r="A248" s="422" t="str">
        <f t="shared" ca="1" si="6"/>
        <v/>
      </c>
      <c r="B248" s="515" t="str">
        <f t="shared" si="7"/>
        <v>FLO_EMIS</v>
      </c>
      <c r="C248" s="518" t="str">
        <f ca="1">"X"&amp;OFFSET(NameConv!$F$4,0,AS248)&amp;OFFSET(NameConv!$F$59,AT248,AS248)</f>
        <v>XPWRCLE</v>
      </c>
      <c r="D248" s="515" t="str">
        <f ca="1">OFFSET(NameConv!$F$4,0,AS248)&amp;OFFSET(NameConv!$AX$4,0,AU248)</f>
        <v>PWRN2OS</v>
      </c>
      <c r="E248" s="515" t="str">
        <f ca="1">OFFSET(NameConv!$F$4,0,AS248)&amp;OFFSET(NameConv!$F$59,AT248,AS248)</f>
        <v>PWRCLE</v>
      </c>
      <c r="F248" s="740" t="s">
        <v>334</v>
      </c>
      <c r="G248" s="515" t="s">
        <v>337</v>
      </c>
      <c r="H248" s="740" t="s">
        <v>334</v>
      </c>
      <c r="I248" s="516">
        <v>0</v>
      </c>
      <c r="J248" s="517">
        <f ca="1">IF(E248="TRAOKE",0,SUMIF(NameConv!$C$5:$C$45,RIGHT(E248,3),OFFSET(NameConv!$AX$5,0,AU248,NameConv!$A$45,1)))</f>
        <v>1.4E-3</v>
      </c>
      <c r="K248" s="518"/>
      <c r="L248" s="518"/>
      <c r="M248" s="518"/>
      <c r="N248" s="518"/>
      <c r="O248" s="518"/>
      <c r="P248" s="518"/>
      <c r="Q248" s="518"/>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518"/>
      <c r="AQ248" s="518"/>
      <c r="AR248" s="518"/>
      <c r="AS248" s="495">
        <f ca="1">IF(AND(AV247&gt;=SUMIF(NameConv!$C$5:$C$45,RIGHT(E247,3),NameConv!$CG$5:$CG$45),AT247=SUMIF(NameConv!$G$4:$M$4,LEFT(E247,3),NameConv!$G$45:$M$45)),AS247+1,AS247)</f>
        <v>6</v>
      </c>
      <c r="AT248" s="495">
        <f ca="1">IF(AS248&lt;&gt;AS247,1,IF(AV247&gt;=SUMIF(NameConv!$C$5:$C$45,RIGHT(E247,3),NameConv!$CG$5:$CG$45),AT247+1,AT247))</f>
        <v>6</v>
      </c>
      <c r="AU248" s="495">
        <f ca="1">SUMIF(NameConv!$C$5:$C$45,RIGHT(E248,3),OFFSET(NameConv!$CG$5,0,AV248,NameConv!$A$45,1))</f>
        <v>3</v>
      </c>
      <c r="AV248" s="495">
        <f ca="1">IF(AV247&gt;=SUMIF(NameConv!$C$5:$C$45,RIGHT(E247,3),NameConv!$CG$5:$CG$45),1,AV247+1)</f>
        <v>3</v>
      </c>
    </row>
    <row r="249" spans="1:48">
      <c r="A249" s="422" t="str">
        <f t="shared" ca="1" si="6"/>
        <v/>
      </c>
      <c r="B249" s="515" t="str">
        <f t="shared" si="7"/>
        <v>FLO_EMIS</v>
      </c>
      <c r="C249" s="518" t="str">
        <f ca="1">"X"&amp;OFFSET(NameConv!$F$4,0,AS249)&amp;OFFSET(NameConv!$F$59,AT249,AS249)</f>
        <v>XPWRCLE</v>
      </c>
      <c r="D249" s="515" t="str">
        <f ca="1">OFFSET(NameConv!$F$4,0,AS249)&amp;OFFSET(NameConv!$AX$4,0,AU249)</f>
        <v>PWRSOXS</v>
      </c>
      <c r="E249" s="515" t="str">
        <f ca="1">OFFSET(NameConv!$F$4,0,AS249)&amp;OFFSET(NameConv!$F$59,AT249,AS249)</f>
        <v>PWRCLE</v>
      </c>
      <c r="F249" s="740" t="s">
        <v>334</v>
      </c>
      <c r="G249" s="515" t="s">
        <v>337</v>
      </c>
      <c r="H249" s="740" t="s">
        <v>334</v>
      </c>
      <c r="I249" s="516">
        <v>0</v>
      </c>
      <c r="J249" s="517">
        <f ca="1">IF(E249="TRAOKE",0,SUMIF(NameConv!$C$5:$C$45,RIGHT(E249,3),OFFSET(NameConv!$AX$5,0,AU249,NameConv!$A$45,1)))</f>
        <v>0.62619999999999998</v>
      </c>
      <c r="K249" s="518"/>
      <c r="L249" s="518"/>
      <c r="M249" s="518"/>
      <c r="N249" s="518"/>
      <c r="O249" s="518"/>
      <c r="P249" s="518"/>
      <c r="Q249" s="518"/>
      <c r="R249" s="518"/>
      <c r="S249" s="518"/>
      <c r="T249" s="518"/>
      <c r="U249" s="518"/>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518"/>
      <c r="AQ249" s="518"/>
      <c r="AR249" s="518"/>
      <c r="AS249" s="495">
        <f ca="1">IF(AND(AV248&gt;=SUMIF(NameConv!$C$5:$C$45,RIGHT(E248,3),NameConv!$CG$5:$CG$45),AT248=SUMIF(NameConv!$G$4:$M$4,LEFT(E248,3),NameConv!$G$45:$M$45)),AS248+1,AS248)</f>
        <v>6</v>
      </c>
      <c r="AT249" s="495">
        <f ca="1">IF(AS249&lt;&gt;AS248,1,IF(AV248&gt;=SUMIF(NameConv!$C$5:$C$45,RIGHT(E248,3),NameConv!$CG$5:$CG$45),AT248+1,AT248))</f>
        <v>6</v>
      </c>
      <c r="AU249" s="495">
        <f ca="1">SUMIF(NameConv!$C$5:$C$45,RIGHT(E249,3),OFFSET(NameConv!$CG$5,0,AV249,NameConv!$A$45,1))</f>
        <v>4</v>
      </c>
      <c r="AV249" s="495">
        <f ca="1">IF(AV248&gt;=SUMIF(NameConv!$C$5:$C$45,RIGHT(E248,3),NameConv!$CG$5:$CG$45),1,AV248+1)</f>
        <v>4</v>
      </c>
    </row>
    <row r="250" spans="1:48">
      <c r="A250" s="422" t="str">
        <f t="shared" ca="1" si="6"/>
        <v/>
      </c>
      <c r="B250" s="515" t="str">
        <f t="shared" si="7"/>
        <v>FLO_EMIS</v>
      </c>
      <c r="C250" s="518" t="str">
        <f ca="1">"X"&amp;OFFSET(NameConv!$F$4,0,AS250)&amp;OFFSET(NameConv!$F$59,AT250,AS250)</f>
        <v>XPWRCLE</v>
      </c>
      <c r="D250" s="515" t="str">
        <f ca="1">OFFSET(NameConv!$F$4,0,AS250)&amp;OFFSET(NameConv!$AX$4,0,AU250)</f>
        <v>PWRNOXS</v>
      </c>
      <c r="E250" s="515" t="str">
        <f ca="1">OFFSET(NameConv!$F$4,0,AS250)&amp;OFFSET(NameConv!$F$59,AT250,AS250)</f>
        <v>PWRCLE</v>
      </c>
      <c r="F250" s="740" t="s">
        <v>334</v>
      </c>
      <c r="G250" s="515" t="s">
        <v>337</v>
      </c>
      <c r="H250" s="740" t="s">
        <v>334</v>
      </c>
      <c r="I250" s="516">
        <v>0</v>
      </c>
      <c r="J250" s="517">
        <f ca="1">IF(E250="TRAOKE",0,SUMIF(NameConv!$C$5:$C$45,RIGHT(E250,3),OFFSET(NameConv!$AX$5,0,AU250,NameConv!$A$45,1)))</f>
        <v>0.3</v>
      </c>
      <c r="K250" s="518"/>
      <c r="L250" s="518"/>
      <c r="M250" s="518"/>
      <c r="N250" s="518"/>
      <c r="O250" s="518"/>
      <c r="P250" s="518"/>
      <c r="Q250" s="518"/>
      <c r="R250" s="518"/>
      <c r="S250" s="518"/>
      <c r="T250" s="518"/>
      <c r="U250" s="518"/>
      <c r="V250" s="518"/>
      <c r="W250" s="518"/>
      <c r="X250" s="518"/>
      <c r="Y250" s="518"/>
      <c r="Z250" s="518"/>
      <c r="AA250" s="518"/>
      <c r="AB250" s="518"/>
      <c r="AC250" s="518"/>
      <c r="AD250" s="518"/>
      <c r="AE250" s="518"/>
      <c r="AF250" s="518"/>
      <c r="AG250" s="518"/>
      <c r="AH250" s="518"/>
      <c r="AI250" s="518"/>
      <c r="AJ250" s="518"/>
      <c r="AK250" s="518"/>
      <c r="AL250" s="518"/>
      <c r="AM250" s="518"/>
      <c r="AN250" s="518"/>
      <c r="AO250" s="518"/>
      <c r="AP250" s="518"/>
      <c r="AQ250" s="518"/>
      <c r="AR250" s="518"/>
      <c r="AS250" s="495">
        <f ca="1">IF(AND(AV249&gt;=SUMIF(NameConv!$C$5:$C$45,RIGHT(E249,3),NameConv!$CG$5:$CG$45),AT249=SUMIF(NameConv!$G$4:$M$4,LEFT(E249,3),NameConv!$G$45:$M$45)),AS249+1,AS249)</f>
        <v>6</v>
      </c>
      <c r="AT250" s="495">
        <f ca="1">IF(AS250&lt;&gt;AS249,1,IF(AV249&gt;=SUMIF(NameConv!$C$5:$C$45,RIGHT(E249,3),NameConv!$CG$5:$CG$45),AT249+1,AT249))</f>
        <v>6</v>
      </c>
      <c r="AU250" s="495">
        <f ca="1">SUMIF(NameConv!$C$5:$C$45,RIGHT(E250,3),OFFSET(NameConv!$CG$5,0,AV250,NameConv!$A$45,1))</f>
        <v>5</v>
      </c>
      <c r="AV250" s="495">
        <f ca="1">IF(AV249&gt;=SUMIF(NameConv!$C$5:$C$45,RIGHT(E249,3),NameConv!$CG$5:$CG$45),1,AV249+1)</f>
        <v>5</v>
      </c>
    </row>
    <row r="251" spans="1:48">
      <c r="A251" s="422" t="str">
        <f t="shared" ca="1" si="6"/>
        <v/>
      </c>
      <c r="B251" s="515" t="str">
        <f t="shared" si="7"/>
        <v>FLO_EMIS</v>
      </c>
      <c r="C251" s="518" t="str">
        <f ca="1">"X"&amp;OFFSET(NameConv!$F$4,0,AS251)&amp;OFFSET(NameConv!$F$59,AT251,AS251)</f>
        <v>XPWRCLE</v>
      </c>
      <c r="D251" s="515" t="str">
        <f ca="1">OFFSET(NameConv!$F$4,0,AS251)&amp;OFFSET(NameConv!$AX$4,0,AU251)</f>
        <v>PWRCMOX</v>
      </c>
      <c r="E251" s="515" t="str">
        <f ca="1">OFFSET(NameConv!$F$4,0,AS251)&amp;OFFSET(NameConv!$F$59,AT251,AS251)</f>
        <v>PWRCLE</v>
      </c>
      <c r="F251" s="740" t="s">
        <v>334</v>
      </c>
      <c r="G251" s="515" t="s">
        <v>337</v>
      </c>
      <c r="H251" s="740" t="s">
        <v>334</v>
      </c>
      <c r="I251" s="516">
        <v>0</v>
      </c>
      <c r="J251" s="517">
        <f ca="1">IF(E251="TRAOKE",0,SUMIF(NameConv!$C$5:$C$45,RIGHT(E251,3),OFFSET(NameConv!$AX$5,0,AU251,NameConv!$A$45,1)))</f>
        <v>0.02</v>
      </c>
      <c r="K251" s="518"/>
      <c r="L251" s="518"/>
      <c r="M251" s="518"/>
      <c r="N251" s="518"/>
      <c r="O251" s="518"/>
      <c r="P251" s="518"/>
      <c r="Q251" s="518"/>
      <c r="R251" s="518"/>
      <c r="S251" s="518"/>
      <c r="T251" s="518"/>
      <c r="U251" s="518"/>
      <c r="V251" s="518"/>
      <c r="W251" s="518"/>
      <c r="X251" s="518"/>
      <c r="Y251" s="518"/>
      <c r="Z251" s="518"/>
      <c r="AA251" s="518"/>
      <c r="AB251" s="518"/>
      <c r="AC251" s="518"/>
      <c r="AD251" s="518"/>
      <c r="AE251" s="518"/>
      <c r="AF251" s="518"/>
      <c r="AG251" s="518"/>
      <c r="AH251" s="518"/>
      <c r="AI251" s="518"/>
      <c r="AJ251" s="518"/>
      <c r="AK251" s="518"/>
      <c r="AL251" s="518"/>
      <c r="AM251" s="518"/>
      <c r="AN251" s="518"/>
      <c r="AO251" s="518"/>
      <c r="AP251" s="518"/>
      <c r="AQ251" s="518"/>
      <c r="AR251" s="518"/>
      <c r="AS251" s="495">
        <f ca="1">IF(AND(AV250&gt;=SUMIF(NameConv!$C$5:$C$45,RIGHT(E250,3),NameConv!$CG$5:$CG$45),AT250=SUMIF(NameConv!$G$4:$M$4,LEFT(E250,3),NameConv!$G$45:$M$45)),AS250+1,AS250)</f>
        <v>6</v>
      </c>
      <c r="AT251" s="495">
        <f ca="1">IF(AS251&lt;&gt;AS250,1,IF(AV250&gt;=SUMIF(NameConv!$C$5:$C$45,RIGHT(E250,3),NameConv!$CG$5:$CG$45),AT250+1,AT250))</f>
        <v>6</v>
      </c>
      <c r="AU251" s="495">
        <f ca="1">SUMIF(NameConv!$C$5:$C$45,RIGHT(E251,3),OFFSET(NameConv!$CG$5,0,AV251,NameConv!$A$45,1))</f>
        <v>6</v>
      </c>
      <c r="AV251" s="495">
        <f ca="1">IF(AV250&gt;=SUMIF(NameConv!$C$5:$C$45,RIGHT(E250,3),NameConv!$CG$5:$CG$45),1,AV250+1)</f>
        <v>6</v>
      </c>
    </row>
    <row r="252" spans="1:48">
      <c r="A252" s="422" t="str">
        <f t="shared" ca="1" si="6"/>
        <v/>
      </c>
      <c r="B252" s="515" t="str">
        <f t="shared" si="7"/>
        <v>FLO_EMIS</v>
      </c>
      <c r="C252" s="518" t="str">
        <f ca="1">"X"&amp;OFFSET(NameConv!$F$4,0,AS252)&amp;OFFSET(NameConv!$F$59,AT252,AS252)</f>
        <v>XPWRCLE</v>
      </c>
      <c r="D252" s="515" t="str">
        <f ca="1">OFFSET(NameConv!$F$4,0,AS252)&amp;OFFSET(NameConv!$AX$4,0,AU252)</f>
        <v>PWRNMVS</v>
      </c>
      <c r="E252" s="515" t="str">
        <f ca="1">OFFSET(NameConv!$F$4,0,AS252)&amp;OFFSET(NameConv!$F$59,AT252,AS252)</f>
        <v>PWRCLE</v>
      </c>
      <c r="F252" s="740" t="s">
        <v>334</v>
      </c>
      <c r="G252" s="515" t="s">
        <v>337</v>
      </c>
      <c r="H252" s="740" t="s">
        <v>334</v>
      </c>
      <c r="I252" s="516">
        <v>0</v>
      </c>
      <c r="J252" s="517">
        <f ca="1">IF(E252="TRAOKE",0,SUMIF(NameConv!$C$5:$C$45,RIGHT(E252,3),OFFSET(NameConv!$AX$5,0,AU252,NameConv!$A$45,1)))</f>
        <v>5.0000000000000001E-3</v>
      </c>
      <c r="K252" s="518"/>
      <c r="L252" s="518"/>
      <c r="M252" s="518"/>
      <c r="N252" s="518"/>
      <c r="O252" s="518"/>
      <c r="P252" s="518"/>
      <c r="Q252" s="518"/>
      <c r="R252" s="518"/>
      <c r="S252" s="518"/>
      <c r="T252" s="518"/>
      <c r="U252" s="518"/>
      <c r="V252" s="518"/>
      <c r="W252" s="518"/>
      <c r="X252" s="518"/>
      <c r="Y252" s="518"/>
      <c r="Z252" s="518"/>
      <c r="AA252" s="518"/>
      <c r="AB252" s="518"/>
      <c r="AC252" s="518"/>
      <c r="AD252" s="518"/>
      <c r="AE252" s="518"/>
      <c r="AF252" s="518"/>
      <c r="AG252" s="518"/>
      <c r="AH252" s="518"/>
      <c r="AI252" s="518"/>
      <c r="AJ252" s="518"/>
      <c r="AK252" s="518"/>
      <c r="AL252" s="518"/>
      <c r="AM252" s="518"/>
      <c r="AN252" s="518"/>
      <c r="AO252" s="518"/>
      <c r="AP252" s="518"/>
      <c r="AQ252" s="518"/>
      <c r="AR252" s="518"/>
      <c r="AS252" s="495">
        <f ca="1">IF(AND(AV251&gt;=SUMIF(NameConv!$C$5:$C$45,RIGHT(E251,3),NameConv!$CG$5:$CG$45),AT251=SUMIF(NameConv!$G$4:$M$4,LEFT(E251,3),NameConv!$G$45:$M$45)),AS251+1,AS251)</f>
        <v>6</v>
      </c>
      <c r="AT252" s="495">
        <f ca="1">IF(AS252&lt;&gt;AS251,1,IF(AV251&gt;=SUMIF(NameConv!$C$5:$C$45,RIGHT(E251,3),NameConv!$CG$5:$CG$45),AT251+1,AT251))</f>
        <v>6</v>
      </c>
      <c r="AU252" s="495">
        <f ca="1">SUMIF(NameConv!$C$5:$C$45,RIGHT(E252,3),OFFSET(NameConv!$CG$5,0,AV252,NameConv!$A$45,1))</f>
        <v>7</v>
      </c>
      <c r="AV252" s="495">
        <f ca="1">IF(AV251&gt;=SUMIF(NameConv!$C$5:$C$45,RIGHT(E251,3),NameConv!$CG$5:$CG$45),1,AV251+1)</f>
        <v>7</v>
      </c>
    </row>
    <row r="253" spans="1:48">
      <c r="A253" s="422" t="str">
        <f t="shared" ca="1" si="6"/>
        <v/>
      </c>
      <c r="B253" s="515" t="str">
        <f t="shared" si="7"/>
        <v>FLO_EMIS</v>
      </c>
      <c r="C253" s="518" t="str">
        <f ca="1">"X"&amp;OFFSET(NameConv!$F$4,0,AS253)&amp;OFFSET(NameConv!$F$59,AT253,AS253)</f>
        <v>XPWRCRB</v>
      </c>
      <c r="D253" s="515" t="str">
        <f ca="1">OFFSET(NameConv!$F$4,0,AS253)&amp;OFFSET(NameConv!$AX$4,0,AU253)</f>
        <v>PWRCO2R</v>
      </c>
      <c r="E253" s="515" t="str">
        <f ca="1">OFFSET(NameConv!$F$4,0,AS253)&amp;OFFSET(NameConv!$F$59,AT253,AS253)</f>
        <v>PWRCRB</v>
      </c>
      <c r="F253" s="740" t="s">
        <v>334</v>
      </c>
      <c r="G253" s="515" t="s">
        <v>337</v>
      </c>
      <c r="H253" s="740" t="s">
        <v>334</v>
      </c>
      <c r="I253" s="516">
        <v>0</v>
      </c>
      <c r="J253" s="517">
        <f ca="1">IF(E253="TRAOKE",0,SUMIF(NameConv!$C$5:$C$45,RIGHT(E253,3),OFFSET(NameConv!$AX$5,0,AU253,NameConv!$A$45,1)))</f>
        <v>96.25</v>
      </c>
      <c r="K253" s="518"/>
      <c r="L253" s="518"/>
      <c r="M253" s="518"/>
      <c r="N253" s="518"/>
      <c r="O253" s="518"/>
      <c r="P253" s="518"/>
      <c r="Q253" s="518"/>
      <c r="R253" s="518"/>
      <c r="S253" s="518"/>
      <c r="T253" s="518"/>
      <c r="U253" s="518"/>
      <c r="V253" s="518"/>
      <c r="W253" s="518"/>
      <c r="X253" s="518"/>
      <c r="Y253" s="518"/>
      <c r="Z253" s="518"/>
      <c r="AA253" s="518"/>
      <c r="AB253" s="518"/>
      <c r="AC253" s="518"/>
      <c r="AD253" s="518"/>
      <c r="AE253" s="518"/>
      <c r="AF253" s="518"/>
      <c r="AG253" s="518"/>
      <c r="AH253" s="518"/>
      <c r="AI253" s="518"/>
      <c r="AJ253" s="518"/>
      <c r="AK253" s="518"/>
      <c r="AL253" s="518"/>
      <c r="AM253" s="518"/>
      <c r="AN253" s="518"/>
      <c r="AO253" s="518"/>
      <c r="AP253" s="518"/>
      <c r="AQ253" s="518"/>
      <c r="AR253" s="518"/>
      <c r="AS253" s="495">
        <f ca="1">IF(AND(AV252&gt;=SUMIF(NameConv!$C$5:$C$45,RIGHT(E252,3),NameConv!$CG$5:$CG$45),AT252=SUMIF(NameConv!$G$4:$M$4,LEFT(E252,3),NameConv!$G$45:$M$45)),AS252+1,AS252)</f>
        <v>6</v>
      </c>
      <c r="AT253" s="495">
        <f ca="1">IF(AS253&lt;&gt;AS252,1,IF(AV252&gt;=SUMIF(NameConv!$C$5:$C$45,RIGHT(E252,3),NameConv!$CG$5:$CG$45),AT252+1,AT252))</f>
        <v>7</v>
      </c>
      <c r="AU253" s="495">
        <f ca="1">SUMIF(NameConv!$C$5:$C$45,RIGHT(E253,3),OFFSET(NameConv!$CG$5,0,AV253,NameConv!$A$45,1))</f>
        <v>9</v>
      </c>
      <c r="AV253" s="495">
        <f ca="1">IF(AV252&gt;=SUMIF(NameConv!$C$5:$C$45,RIGHT(E252,3),NameConv!$CG$5:$CG$45),1,AV252+1)</f>
        <v>1</v>
      </c>
    </row>
    <row r="254" spans="1:48">
      <c r="A254" s="422" t="str">
        <f t="shared" ca="1" si="6"/>
        <v/>
      </c>
      <c r="B254" s="515" t="str">
        <f t="shared" si="7"/>
        <v>FLO_EMIS</v>
      </c>
      <c r="C254" s="518" t="str">
        <f ca="1">"X"&amp;OFFSET(NameConv!$F$4,0,AS254)&amp;OFFSET(NameConv!$F$59,AT254,AS254)</f>
        <v>XPWRCRB</v>
      </c>
      <c r="D254" s="515" t="str">
        <f ca="1">OFFSET(NameConv!$F$4,0,AS254)&amp;OFFSET(NameConv!$AX$4,0,AU254)</f>
        <v>PWRCH4R</v>
      </c>
      <c r="E254" s="515" t="str">
        <f ca="1">OFFSET(NameConv!$F$4,0,AS254)&amp;OFFSET(NameConv!$F$59,AT254,AS254)</f>
        <v>PWRCRB</v>
      </c>
      <c r="F254" s="740" t="s">
        <v>334</v>
      </c>
      <c r="G254" s="515" t="s">
        <v>337</v>
      </c>
      <c r="H254" s="740" t="s">
        <v>334</v>
      </c>
      <c r="I254" s="516">
        <v>0</v>
      </c>
      <c r="J254" s="517">
        <f ca="1">IF(E254="TRAOKE",0,SUMIF(NameConv!$C$5:$C$45,RIGHT(E254,3),OFFSET(NameConv!$AX$5,0,AU254,NameConv!$A$45,1)))</f>
        <v>1E-3</v>
      </c>
      <c r="K254" s="518"/>
      <c r="L254" s="518"/>
      <c r="M254" s="518"/>
      <c r="N254" s="518"/>
      <c r="O254" s="518"/>
      <c r="P254" s="518"/>
      <c r="Q254" s="518"/>
      <c r="R254" s="518"/>
      <c r="S254" s="518"/>
      <c r="T254" s="518"/>
      <c r="U254" s="518"/>
      <c r="V254" s="518"/>
      <c r="W254" s="518"/>
      <c r="X254" s="518"/>
      <c r="Y254" s="518"/>
      <c r="Z254" s="518"/>
      <c r="AA254" s="518"/>
      <c r="AB254" s="518"/>
      <c r="AC254" s="518"/>
      <c r="AD254" s="518"/>
      <c r="AE254" s="518"/>
      <c r="AF254" s="518"/>
      <c r="AG254" s="518"/>
      <c r="AH254" s="518"/>
      <c r="AI254" s="518"/>
      <c r="AJ254" s="518"/>
      <c r="AK254" s="518"/>
      <c r="AL254" s="518"/>
      <c r="AM254" s="518"/>
      <c r="AN254" s="518"/>
      <c r="AO254" s="518"/>
      <c r="AP254" s="518"/>
      <c r="AQ254" s="518"/>
      <c r="AR254" s="518"/>
      <c r="AS254" s="495">
        <f ca="1">IF(AND(AV253&gt;=SUMIF(NameConv!$C$5:$C$45,RIGHT(E253,3),NameConv!$CG$5:$CG$45),AT253=SUMIF(NameConv!$G$4:$M$4,LEFT(E253,3),NameConv!$G$45:$M$45)),AS253+1,AS253)</f>
        <v>6</v>
      </c>
      <c r="AT254" s="495">
        <f ca="1">IF(AS254&lt;&gt;AS253,1,IF(AV253&gt;=SUMIF(NameConv!$C$5:$C$45,RIGHT(E253,3),NameConv!$CG$5:$CG$45),AT253+1,AT253))</f>
        <v>7</v>
      </c>
      <c r="AU254" s="495">
        <f ca="1">SUMIF(NameConv!$C$5:$C$45,RIGHT(E254,3),OFFSET(NameConv!$CG$5,0,AV254,NameConv!$A$45,1))</f>
        <v>10</v>
      </c>
      <c r="AV254" s="495">
        <f ca="1">IF(AV253&gt;=SUMIF(NameConv!$C$5:$C$45,RIGHT(E253,3),NameConv!$CG$5:$CG$45),1,AV253+1)</f>
        <v>2</v>
      </c>
    </row>
    <row r="255" spans="1:48">
      <c r="A255" s="422" t="str">
        <f t="shared" ca="1" si="6"/>
        <v/>
      </c>
      <c r="B255" s="515" t="str">
        <f t="shared" si="7"/>
        <v>FLO_EMIS</v>
      </c>
      <c r="C255" s="518" t="str">
        <f ca="1">"X"&amp;OFFSET(NameConv!$F$4,0,AS255)&amp;OFFSET(NameConv!$F$59,AT255,AS255)</f>
        <v>XPWRCRB</v>
      </c>
      <c r="D255" s="515" t="str">
        <f ca="1">OFFSET(NameConv!$F$4,0,AS255)&amp;OFFSET(NameConv!$AX$4,0,AU255)</f>
        <v>PWRN2OR</v>
      </c>
      <c r="E255" s="515" t="str">
        <f ca="1">OFFSET(NameConv!$F$4,0,AS255)&amp;OFFSET(NameConv!$F$59,AT255,AS255)</f>
        <v>PWRCRB</v>
      </c>
      <c r="F255" s="740" t="s">
        <v>334</v>
      </c>
      <c r="G255" s="515" t="s">
        <v>337</v>
      </c>
      <c r="H255" s="740" t="s">
        <v>334</v>
      </c>
      <c r="I255" s="516">
        <v>0</v>
      </c>
      <c r="J255" s="517">
        <f ca="1">IF(E255="TRAOKE",0,SUMIF(NameConv!$C$5:$C$45,RIGHT(E255,3),OFFSET(NameConv!$AX$5,0,AU255,NameConv!$A$45,1)))</f>
        <v>1.4E-3</v>
      </c>
      <c r="K255" s="518"/>
      <c r="L255" s="518"/>
      <c r="M255" s="518"/>
      <c r="N255" s="518"/>
      <c r="O255" s="518"/>
      <c r="P255" s="518"/>
      <c r="Q255" s="518"/>
      <c r="R255" s="518"/>
      <c r="S255" s="518"/>
      <c r="T255" s="518"/>
      <c r="U255" s="518"/>
      <c r="V255" s="518"/>
      <c r="W255" s="518"/>
      <c r="X255" s="518"/>
      <c r="Y255" s="518"/>
      <c r="Z255" s="518"/>
      <c r="AA255" s="518"/>
      <c r="AB255" s="518"/>
      <c r="AC255" s="518"/>
      <c r="AD255" s="518"/>
      <c r="AE255" s="518"/>
      <c r="AF255" s="518"/>
      <c r="AG255" s="518"/>
      <c r="AH255" s="518"/>
      <c r="AI255" s="518"/>
      <c r="AJ255" s="518"/>
      <c r="AK255" s="518"/>
      <c r="AL255" s="518"/>
      <c r="AM255" s="518"/>
      <c r="AN255" s="518"/>
      <c r="AO255" s="518"/>
      <c r="AP255" s="518"/>
      <c r="AQ255" s="518"/>
      <c r="AR255" s="518"/>
      <c r="AS255" s="495">
        <f ca="1">IF(AND(AV254&gt;=SUMIF(NameConv!$C$5:$C$45,RIGHT(E254,3),NameConv!$CG$5:$CG$45),AT254=SUMIF(NameConv!$G$4:$M$4,LEFT(E254,3),NameConv!$G$45:$M$45)),AS254+1,AS254)</f>
        <v>6</v>
      </c>
      <c r="AT255" s="495">
        <f ca="1">IF(AS255&lt;&gt;AS254,1,IF(AV254&gt;=SUMIF(NameConv!$C$5:$C$45,RIGHT(E254,3),NameConv!$CG$5:$CG$45),AT254+1,AT254))</f>
        <v>7</v>
      </c>
      <c r="AU255" s="495">
        <f ca="1">SUMIF(NameConv!$C$5:$C$45,RIGHT(E255,3),OFFSET(NameConv!$CG$5,0,AV255,NameConv!$A$45,1))</f>
        <v>11</v>
      </c>
      <c r="AV255" s="495">
        <f ca="1">IF(AV254&gt;=SUMIF(NameConv!$C$5:$C$45,RIGHT(E254,3),NameConv!$CG$5:$CG$45),1,AV254+1)</f>
        <v>3</v>
      </c>
    </row>
    <row r="256" spans="1:48">
      <c r="A256" s="422" t="str">
        <f t="shared" ca="1" si="6"/>
        <v/>
      </c>
      <c r="B256" s="515" t="str">
        <f t="shared" si="7"/>
        <v>FLO_EMIS</v>
      </c>
      <c r="C256" s="518" t="str">
        <f ca="1">"X"&amp;OFFSET(NameConv!$F$4,0,AS256)&amp;OFFSET(NameConv!$F$59,AT256,AS256)</f>
        <v>XPWRCRB</v>
      </c>
      <c r="D256" s="515" t="str">
        <f ca="1">OFFSET(NameConv!$F$4,0,AS256)&amp;OFFSET(NameConv!$AX$4,0,AU256)</f>
        <v>PWRSOXR</v>
      </c>
      <c r="E256" s="515" t="str">
        <f ca="1">OFFSET(NameConv!$F$4,0,AS256)&amp;OFFSET(NameConv!$F$59,AT256,AS256)</f>
        <v>PWRCRB</v>
      </c>
      <c r="F256" s="740" t="s">
        <v>334</v>
      </c>
      <c r="G256" s="515" t="s">
        <v>337</v>
      </c>
      <c r="H256" s="740" t="s">
        <v>334</v>
      </c>
      <c r="I256" s="516">
        <v>0</v>
      </c>
      <c r="J256" s="517">
        <f ca="1">IF(E256="TRAOKE",0,SUMIF(NameConv!$C$5:$C$45,RIGHT(E256,3),OFFSET(NameConv!$AX$5,0,AU256,NameConv!$A$45,1)))</f>
        <v>0.62619999999999998</v>
      </c>
      <c r="K256" s="518"/>
      <c r="L256" s="518"/>
      <c r="M256" s="518"/>
      <c r="N256" s="518"/>
      <c r="O256" s="518"/>
      <c r="P256" s="518"/>
      <c r="Q256" s="518"/>
      <c r="R256" s="518"/>
      <c r="S256" s="518"/>
      <c r="T256" s="518"/>
      <c r="U256" s="518"/>
      <c r="V256" s="518"/>
      <c r="W256" s="518"/>
      <c r="X256" s="518"/>
      <c r="Y256" s="518"/>
      <c r="Z256" s="518"/>
      <c r="AA256" s="518"/>
      <c r="AB256" s="518"/>
      <c r="AC256" s="518"/>
      <c r="AD256" s="518"/>
      <c r="AE256" s="518"/>
      <c r="AF256" s="518"/>
      <c r="AG256" s="518"/>
      <c r="AH256" s="518"/>
      <c r="AI256" s="518"/>
      <c r="AJ256" s="518"/>
      <c r="AK256" s="518"/>
      <c r="AL256" s="518"/>
      <c r="AM256" s="518"/>
      <c r="AN256" s="518"/>
      <c r="AO256" s="518"/>
      <c r="AP256" s="518"/>
      <c r="AQ256" s="518"/>
      <c r="AR256" s="518"/>
      <c r="AS256" s="495">
        <f ca="1">IF(AND(AV255&gt;=SUMIF(NameConv!$C$5:$C$45,RIGHT(E255,3),NameConv!$CG$5:$CG$45),AT255=SUMIF(NameConv!$G$4:$M$4,LEFT(E255,3),NameConv!$G$45:$M$45)),AS255+1,AS255)</f>
        <v>6</v>
      </c>
      <c r="AT256" s="495">
        <f ca="1">IF(AS256&lt;&gt;AS255,1,IF(AV255&gt;=SUMIF(NameConv!$C$5:$C$45,RIGHT(E255,3),NameConv!$CG$5:$CG$45),AT255+1,AT255))</f>
        <v>7</v>
      </c>
      <c r="AU256" s="495">
        <f ca="1">SUMIF(NameConv!$C$5:$C$45,RIGHT(E256,3),OFFSET(NameConv!$CG$5,0,AV256,NameConv!$A$45,1))</f>
        <v>12</v>
      </c>
      <c r="AV256" s="495">
        <f ca="1">IF(AV255&gt;=SUMIF(NameConv!$C$5:$C$45,RIGHT(E255,3),NameConv!$CG$5:$CG$45),1,AV255+1)</f>
        <v>4</v>
      </c>
    </row>
    <row r="257" spans="1:48">
      <c r="A257" s="422" t="str">
        <f t="shared" ca="1" si="6"/>
        <v/>
      </c>
      <c r="B257" s="515" t="str">
        <f t="shared" si="7"/>
        <v>FLO_EMIS</v>
      </c>
      <c r="C257" s="518" t="str">
        <f ca="1">"X"&amp;OFFSET(NameConv!$F$4,0,AS257)&amp;OFFSET(NameConv!$F$59,AT257,AS257)</f>
        <v>XPWRCRB</v>
      </c>
      <c r="D257" s="515" t="str">
        <f ca="1">OFFSET(NameConv!$F$4,0,AS257)&amp;OFFSET(NameConv!$AX$4,0,AU257)</f>
        <v>PWRNOXR</v>
      </c>
      <c r="E257" s="515" t="str">
        <f ca="1">OFFSET(NameConv!$F$4,0,AS257)&amp;OFFSET(NameConv!$F$59,AT257,AS257)</f>
        <v>PWRCRB</v>
      </c>
      <c r="F257" s="740" t="s">
        <v>334</v>
      </c>
      <c r="G257" s="515" t="s">
        <v>337</v>
      </c>
      <c r="H257" s="740" t="s">
        <v>334</v>
      </c>
      <c r="I257" s="516">
        <v>0</v>
      </c>
      <c r="J257" s="517">
        <f ca="1">IF(E257="TRAOKE",0,SUMIF(NameConv!$C$5:$C$45,RIGHT(E257,3),OFFSET(NameConv!$AX$5,0,AU257,NameConv!$A$45,1)))</f>
        <v>0.3</v>
      </c>
      <c r="K257" s="518"/>
      <c r="L257" s="518"/>
      <c r="M257" s="518"/>
      <c r="N257" s="518"/>
      <c r="O257" s="518"/>
      <c r="P257" s="518"/>
      <c r="Q257" s="518"/>
      <c r="R257" s="518"/>
      <c r="S257" s="518"/>
      <c r="T257" s="518"/>
      <c r="U257" s="518"/>
      <c r="V257" s="518"/>
      <c r="W257" s="518"/>
      <c r="X257" s="518"/>
      <c r="Y257" s="518"/>
      <c r="Z257" s="518"/>
      <c r="AA257" s="518"/>
      <c r="AB257" s="518"/>
      <c r="AC257" s="518"/>
      <c r="AD257" s="518"/>
      <c r="AE257" s="518"/>
      <c r="AF257" s="518"/>
      <c r="AG257" s="518"/>
      <c r="AH257" s="518"/>
      <c r="AI257" s="518"/>
      <c r="AJ257" s="518"/>
      <c r="AK257" s="518"/>
      <c r="AL257" s="518"/>
      <c r="AM257" s="518"/>
      <c r="AN257" s="518"/>
      <c r="AO257" s="518"/>
      <c r="AP257" s="518"/>
      <c r="AQ257" s="518"/>
      <c r="AR257" s="518"/>
      <c r="AS257" s="495">
        <f ca="1">IF(AND(AV256&gt;=SUMIF(NameConv!$C$5:$C$45,RIGHT(E256,3),NameConv!$CG$5:$CG$45),AT256=SUMIF(NameConv!$G$4:$M$4,LEFT(E256,3),NameConv!$G$45:$M$45)),AS256+1,AS256)</f>
        <v>6</v>
      </c>
      <c r="AT257" s="495">
        <f ca="1">IF(AS257&lt;&gt;AS256,1,IF(AV256&gt;=SUMIF(NameConv!$C$5:$C$45,RIGHT(E256,3),NameConv!$CG$5:$CG$45),AT256+1,AT256))</f>
        <v>7</v>
      </c>
      <c r="AU257" s="495">
        <f ca="1">SUMIF(NameConv!$C$5:$C$45,RIGHT(E257,3),OFFSET(NameConv!$CG$5,0,AV257,NameConv!$A$45,1))</f>
        <v>13</v>
      </c>
      <c r="AV257" s="495">
        <f ca="1">IF(AV256&gt;=SUMIF(NameConv!$C$5:$C$45,RIGHT(E256,3),NameConv!$CG$5:$CG$45),1,AV256+1)</f>
        <v>5</v>
      </c>
    </row>
    <row r="258" spans="1:48">
      <c r="A258" s="422" t="str">
        <f t="shared" ca="1" si="6"/>
        <v/>
      </c>
      <c r="B258" s="515" t="str">
        <f t="shared" si="7"/>
        <v>FLO_EMIS</v>
      </c>
      <c r="C258" s="518" t="str">
        <f ca="1">"X"&amp;OFFSET(NameConv!$F$4,0,AS258)&amp;OFFSET(NameConv!$F$59,AT258,AS258)</f>
        <v>XPWRCRB</v>
      </c>
      <c r="D258" s="515" t="str">
        <f ca="1">OFFSET(NameConv!$F$4,0,AS258)&amp;OFFSET(NameConv!$AX$4,0,AU258)</f>
        <v>PWRCMOR</v>
      </c>
      <c r="E258" s="515" t="str">
        <f ca="1">OFFSET(NameConv!$F$4,0,AS258)&amp;OFFSET(NameConv!$F$59,AT258,AS258)</f>
        <v>PWRCRB</v>
      </c>
      <c r="F258" s="740" t="s">
        <v>334</v>
      </c>
      <c r="G258" s="515" t="s">
        <v>337</v>
      </c>
      <c r="H258" s="740" t="s">
        <v>334</v>
      </c>
      <c r="I258" s="516">
        <v>0</v>
      </c>
      <c r="J258" s="517">
        <f ca="1">IF(E258="TRAOKE",0,SUMIF(NameConv!$C$5:$C$45,RIGHT(E258,3),OFFSET(NameConv!$AX$5,0,AU258,NameConv!$A$45,1)))</f>
        <v>0.02</v>
      </c>
      <c r="K258" s="518"/>
      <c r="L258" s="518"/>
      <c r="M258" s="518"/>
      <c r="N258" s="518"/>
      <c r="O258" s="518"/>
      <c r="P258" s="518"/>
      <c r="Q258" s="518"/>
      <c r="R258" s="518"/>
      <c r="S258" s="518"/>
      <c r="T258" s="518"/>
      <c r="U258" s="518"/>
      <c r="V258" s="518"/>
      <c r="W258" s="518"/>
      <c r="X258" s="518"/>
      <c r="Y258" s="518"/>
      <c r="Z258" s="518"/>
      <c r="AA258" s="518"/>
      <c r="AB258" s="518"/>
      <c r="AC258" s="518"/>
      <c r="AD258" s="518"/>
      <c r="AE258" s="518"/>
      <c r="AF258" s="518"/>
      <c r="AG258" s="518"/>
      <c r="AH258" s="518"/>
      <c r="AI258" s="518"/>
      <c r="AJ258" s="518"/>
      <c r="AK258" s="518"/>
      <c r="AL258" s="518"/>
      <c r="AM258" s="518"/>
      <c r="AN258" s="518"/>
      <c r="AO258" s="518"/>
      <c r="AP258" s="518"/>
      <c r="AQ258" s="518"/>
      <c r="AR258" s="518"/>
      <c r="AS258" s="495">
        <f ca="1">IF(AND(AV257&gt;=SUMIF(NameConv!$C$5:$C$45,RIGHT(E257,3),NameConv!$CG$5:$CG$45),AT257=SUMIF(NameConv!$G$4:$M$4,LEFT(E257,3),NameConv!$G$45:$M$45)),AS257+1,AS257)</f>
        <v>6</v>
      </c>
      <c r="AT258" s="495">
        <f ca="1">IF(AS258&lt;&gt;AS257,1,IF(AV257&gt;=SUMIF(NameConv!$C$5:$C$45,RIGHT(E257,3),NameConv!$CG$5:$CG$45),AT257+1,AT257))</f>
        <v>7</v>
      </c>
      <c r="AU258" s="495">
        <f ca="1">SUMIF(NameConv!$C$5:$C$45,RIGHT(E258,3),OFFSET(NameConv!$CG$5,0,AV258,NameConv!$A$45,1))</f>
        <v>14</v>
      </c>
      <c r="AV258" s="495">
        <f ca="1">IF(AV257&gt;=SUMIF(NameConv!$C$5:$C$45,RIGHT(E257,3),NameConv!$CG$5:$CG$45),1,AV257+1)</f>
        <v>6</v>
      </c>
    </row>
    <row r="259" spans="1:48">
      <c r="A259" s="422" t="str">
        <f t="shared" ca="1" si="6"/>
        <v/>
      </c>
      <c r="B259" s="515" t="str">
        <f t="shared" si="7"/>
        <v>FLO_EMIS</v>
      </c>
      <c r="C259" s="518" t="str">
        <f ca="1">"X"&amp;OFFSET(NameConv!$F$4,0,AS259)&amp;OFFSET(NameConv!$F$59,AT259,AS259)</f>
        <v>XPWRCRB</v>
      </c>
      <c r="D259" s="515" t="str">
        <f ca="1">OFFSET(NameConv!$F$4,0,AS259)&amp;OFFSET(NameConv!$AX$4,0,AU259)</f>
        <v>PWRNMVR</v>
      </c>
      <c r="E259" s="515" t="str">
        <f ca="1">OFFSET(NameConv!$F$4,0,AS259)&amp;OFFSET(NameConv!$F$59,AT259,AS259)</f>
        <v>PWRCRB</v>
      </c>
      <c r="F259" s="740" t="s">
        <v>334</v>
      </c>
      <c r="G259" s="515" t="s">
        <v>337</v>
      </c>
      <c r="H259" s="740" t="s">
        <v>334</v>
      </c>
      <c r="I259" s="516">
        <v>0</v>
      </c>
      <c r="J259" s="517">
        <f ca="1">IF(E259="TRAOKE",0,SUMIF(NameConv!$C$5:$C$45,RIGHT(E259,3),OFFSET(NameConv!$AX$5,0,AU259,NameConv!$A$45,1)))</f>
        <v>5.0000000000000001E-3</v>
      </c>
      <c r="K259" s="518"/>
      <c r="L259" s="518"/>
      <c r="M259" s="518"/>
      <c r="N259" s="518"/>
      <c r="O259" s="518"/>
      <c r="P259" s="518"/>
      <c r="Q259" s="518"/>
      <c r="R259" s="518"/>
      <c r="S259" s="518"/>
      <c r="T259" s="518"/>
      <c r="U259" s="518"/>
      <c r="V259" s="518"/>
      <c r="W259" s="518"/>
      <c r="X259" s="518"/>
      <c r="Y259" s="518"/>
      <c r="Z259" s="518"/>
      <c r="AA259" s="518"/>
      <c r="AB259" s="518"/>
      <c r="AC259" s="518"/>
      <c r="AD259" s="518"/>
      <c r="AE259" s="518"/>
      <c r="AF259" s="518"/>
      <c r="AG259" s="518"/>
      <c r="AH259" s="518"/>
      <c r="AI259" s="518"/>
      <c r="AJ259" s="518"/>
      <c r="AK259" s="518"/>
      <c r="AL259" s="518"/>
      <c r="AM259" s="518"/>
      <c r="AN259" s="518"/>
      <c r="AO259" s="518"/>
      <c r="AP259" s="518"/>
      <c r="AQ259" s="518"/>
      <c r="AR259" s="518"/>
      <c r="AS259" s="495">
        <f ca="1">IF(AND(AV258&gt;=SUMIF(NameConv!$C$5:$C$45,RIGHT(E258,3),NameConv!$CG$5:$CG$45),AT258=SUMIF(NameConv!$G$4:$M$4,LEFT(E258,3),NameConv!$G$45:$M$45)),AS258+1,AS258)</f>
        <v>6</v>
      </c>
      <c r="AT259" s="495">
        <f ca="1">IF(AS259&lt;&gt;AS258,1,IF(AV258&gt;=SUMIF(NameConv!$C$5:$C$45,RIGHT(E258,3),NameConv!$CG$5:$CG$45),AT258+1,AT258))</f>
        <v>7</v>
      </c>
      <c r="AU259" s="495">
        <f ca="1">SUMIF(NameConv!$C$5:$C$45,RIGHT(E259,3),OFFSET(NameConv!$CG$5,0,AV259,NameConv!$A$45,1))</f>
        <v>15</v>
      </c>
      <c r="AV259" s="495">
        <f ca="1">IF(AV258&gt;=SUMIF(NameConv!$C$5:$C$45,RIGHT(E258,3),NameConv!$CG$5:$CG$45),1,AV258+1)</f>
        <v>7</v>
      </c>
    </row>
    <row r="260" spans="1:48">
      <c r="A260" s="422" t="str">
        <f t="shared" ca="1" si="6"/>
        <v/>
      </c>
      <c r="B260" s="515" t="str">
        <f t="shared" si="7"/>
        <v>FLO_EMIS</v>
      </c>
      <c r="C260" s="518" t="str">
        <f ca="1">"X"&amp;OFFSET(NameConv!$F$4,0,AS260)&amp;OFFSET(NameConv!$F$59,AT260,AS260)</f>
        <v>XPWRGAS</v>
      </c>
      <c r="D260" s="515" t="str">
        <f ca="1">OFFSET(NameConv!$F$4,0,AS260)&amp;OFFSET(NameConv!$AX$4,0,AU260)</f>
        <v>PWRCO2S</v>
      </c>
      <c r="E260" s="515" t="str">
        <f ca="1">OFFSET(NameConv!$F$4,0,AS260)&amp;OFFSET(NameConv!$F$59,AT260,AS260)</f>
        <v>PWRGAS</v>
      </c>
      <c r="F260" s="740" t="s">
        <v>334</v>
      </c>
      <c r="G260" s="515" t="s">
        <v>337</v>
      </c>
      <c r="H260" s="740" t="s">
        <v>334</v>
      </c>
      <c r="I260" s="516">
        <v>0</v>
      </c>
      <c r="J260" s="517">
        <f ca="1">IF(E260="TRAOKE",0,SUMIF(NameConv!$C$5:$C$45,RIGHT(E260,3),OFFSET(NameConv!$AX$5,0,AU260,NameConv!$A$45,1)))</f>
        <v>56.1</v>
      </c>
      <c r="K260" s="518"/>
      <c r="L260" s="518"/>
      <c r="M260" s="518"/>
      <c r="N260" s="518"/>
      <c r="O260" s="518"/>
      <c r="P260" s="518"/>
      <c r="Q260" s="518"/>
      <c r="R260" s="518"/>
      <c r="S260" s="518"/>
      <c r="T260" s="518"/>
      <c r="U260" s="518"/>
      <c r="V260" s="518"/>
      <c r="W260" s="518"/>
      <c r="X260" s="518"/>
      <c r="Y260" s="518"/>
      <c r="Z260" s="518"/>
      <c r="AA260" s="518"/>
      <c r="AB260" s="518"/>
      <c r="AC260" s="518"/>
      <c r="AD260" s="518"/>
      <c r="AE260" s="518"/>
      <c r="AF260" s="518"/>
      <c r="AG260" s="518"/>
      <c r="AH260" s="518"/>
      <c r="AI260" s="518"/>
      <c r="AJ260" s="518"/>
      <c r="AK260" s="518"/>
      <c r="AL260" s="518"/>
      <c r="AM260" s="518"/>
      <c r="AN260" s="518"/>
      <c r="AO260" s="518"/>
      <c r="AP260" s="518"/>
      <c r="AQ260" s="518"/>
      <c r="AR260" s="518"/>
      <c r="AS260" s="495">
        <f ca="1">IF(AND(AV259&gt;=SUMIF(NameConv!$C$5:$C$45,RIGHT(E259,3),NameConv!$CG$5:$CG$45),AT259=SUMIF(NameConv!$G$4:$M$4,LEFT(E259,3),NameConv!$G$45:$M$45)),AS259+1,AS259)</f>
        <v>6</v>
      </c>
      <c r="AT260" s="495">
        <f ca="1">IF(AS260&lt;&gt;AS259,1,IF(AV259&gt;=SUMIF(NameConv!$C$5:$C$45,RIGHT(E259,3),NameConv!$CG$5:$CG$45),AT259+1,AT259))</f>
        <v>8</v>
      </c>
      <c r="AU260" s="495">
        <f ca="1">SUMIF(NameConv!$C$5:$C$45,RIGHT(E260,3),OFFSET(NameConv!$CG$5,0,AV260,NameConv!$A$45,1))</f>
        <v>1</v>
      </c>
      <c r="AV260" s="495">
        <f ca="1">IF(AV259&gt;=SUMIF(NameConv!$C$5:$C$45,RIGHT(E259,3),NameConv!$CG$5:$CG$45),1,AV259+1)</f>
        <v>1</v>
      </c>
    </row>
    <row r="261" spans="1:48">
      <c r="A261" s="422" t="str">
        <f t="shared" ca="1" si="6"/>
        <v/>
      </c>
      <c r="B261" s="515" t="str">
        <f t="shared" si="7"/>
        <v>FLO_EMIS</v>
      </c>
      <c r="C261" s="518" t="str">
        <f ca="1">"X"&amp;OFFSET(NameConv!$F$4,0,AS261)&amp;OFFSET(NameConv!$F$59,AT261,AS261)</f>
        <v>XPWRGAS</v>
      </c>
      <c r="D261" s="515" t="str">
        <f ca="1">OFFSET(NameConv!$F$4,0,AS261)&amp;OFFSET(NameConv!$AX$4,0,AU261)</f>
        <v>PWRCH4S</v>
      </c>
      <c r="E261" s="515" t="str">
        <f ca="1">OFFSET(NameConv!$F$4,0,AS261)&amp;OFFSET(NameConv!$F$59,AT261,AS261)</f>
        <v>PWRGAS</v>
      </c>
      <c r="F261" s="740" t="s">
        <v>334</v>
      </c>
      <c r="G261" s="515" t="s">
        <v>337</v>
      </c>
      <c r="H261" s="740" t="s">
        <v>334</v>
      </c>
      <c r="I261" s="516">
        <v>0</v>
      </c>
      <c r="J261" s="517">
        <f ca="1">IF(E261="TRAOKE",0,SUMIF(NameConv!$C$5:$C$45,RIGHT(E261,3),OFFSET(NameConv!$AX$5,0,AU261,NameConv!$A$45,1)))</f>
        <v>1E-3</v>
      </c>
      <c r="K261" s="518"/>
      <c r="L261" s="518"/>
      <c r="M261" s="518"/>
      <c r="N261" s="518"/>
      <c r="O261" s="518"/>
      <c r="P261" s="518"/>
      <c r="Q261" s="518"/>
      <c r="R261" s="518"/>
      <c r="S261" s="518"/>
      <c r="T261" s="518"/>
      <c r="U261" s="518"/>
      <c r="V261" s="518"/>
      <c r="W261" s="518"/>
      <c r="X261" s="518"/>
      <c r="Y261" s="518"/>
      <c r="Z261" s="518"/>
      <c r="AA261" s="518"/>
      <c r="AB261" s="518"/>
      <c r="AC261" s="518"/>
      <c r="AD261" s="518"/>
      <c r="AE261" s="518"/>
      <c r="AF261" s="518"/>
      <c r="AG261" s="518"/>
      <c r="AH261" s="518"/>
      <c r="AI261" s="518"/>
      <c r="AJ261" s="518"/>
      <c r="AK261" s="518"/>
      <c r="AL261" s="518"/>
      <c r="AM261" s="518"/>
      <c r="AN261" s="518"/>
      <c r="AO261" s="518"/>
      <c r="AP261" s="518"/>
      <c r="AQ261" s="518"/>
      <c r="AR261" s="518"/>
      <c r="AS261" s="495">
        <f ca="1">IF(AND(AV260&gt;=SUMIF(NameConv!$C$5:$C$45,RIGHT(E260,3),NameConv!$CG$5:$CG$45),AT260=SUMIF(NameConv!$G$4:$M$4,LEFT(E260,3),NameConv!$G$45:$M$45)),AS260+1,AS260)</f>
        <v>6</v>
      </c>
      <c r="AT261" s="495">
        <f ca="1">IF(AS261&lt;&gt;AS260,1,IF(AV260&gt;=SUMIF(NameConv!$C$5:$C$45,RIGHT(E260,3),NameConv!$CG$5:$CG$45),AT260+1,AT260))</f>
        <v>8</v>
      </c>
      <c r="AU261" s="495">
        <f ca="1">SUMIF(NameConv!$C$5:$C$45,RIGHT(E261,3),OFFSET(NameConv!$CG$5,0,AV261,NameConv!$A$45,1))</f>
        <v>2</v>
      </c>
      <c r="AV261" s="495">
        <f ca="1">IF(AV260&gt;=SUMIF(NameConv!$C$5:$C$45,RIGHT(E260,3),NameConv!$CG$5:$CG$45),1,AV260+1)</f>
        <v>2</v>
      </c>
    </row>
    <row r="262" spans="1:48">
      <c r="A262" s="422" t="str">
        <f t="shared" ca="1" si="6"/>
        <v/>
      </c>
      <c r="B262" s="515" t="str">
        <f t="shared" si="7"/>
        <v>FLO_EMIS</v>
      </c>
      <c r="C262" s="518" t="str">
        <f ca="1">"X"&amp;OFFSET(NameConv!$F$4,0,AS262)&amp;OFFSET(NameConv!$F$59,AT262,AS262)</f>
        <v>XPWRGAS</v>
      </c>
      <c r="D262" s="515" t="str">
        <f ca="1">OFFSET(NameConv!$F$4,0,AS262)&amp;OFFSET(NameConv!$AX$4,0,AU262)</f>
        <v>PWRN2OS</v>
      </c>
      <c r="E262" s="515" t="str">
        <f ca="1">OFFSET(NameConv!$F$4,0,AS262)&amp;OFFSET(NameConv!$F$59,AT262,AS262)</f>
        <v>PWRGAS</v>
      </c>
      <c r="F262" s="740" t="s">
        <v>334</v>
      </c>
      <c r="G262" s="515" t="s">
        <v>337</v>
      </c>
      <c r="H262" s="740" t="s">
        <v>334</v>
      </c>
      <c r="I262" s="516">
        <v>0</v>
      </c>
      <c r="J262" s="517">
        <f ca="1">IF(E262="TRAOKE",0,SUMIF(NameConv!$C$5:$C$45,RIGHT(E262,3),OFFSET(NameConv!$AX$5,0,AU262,NameConv!$A$45,1)))</f>
        <v>1E-4</v>
      </c>
      <c r="K262" s="518"/>
      <c r="L262" s="518"/>
      <c r="M262" s="518"/>
      <c r="N262" s="518"/>
      <c r="O262" s="518"/>
      <c r="P262" s="518"/>
      <c r="Q262" s="518"/>
      <c r="R262" s="518"/>
      <c r="S262" s="518"/>
      <c r="T262" s="518"/>
      <c r="U262" s="518"/>
      <c r="V262" s="518"/>
      <c r="W262" s="518"/>
      <c r="X262" s="518"/>
      <c r="Y262" s="518"/>
      <c r="Z262" s="518"/>
      <c r="AA262" s="518"/>
      <c r="AB262" s="518"/>
      <c r="AC262" s="518"/>
      <c r="AD262" s="518"/>
      <c r="AE262" s="518"/>
      <c r="AF262" s="518"/>
      <c r="AG262" s="518"/>
      <c r="AH262" s="518"/>
      <c r="AI262" s="518"/>
      <c r="AJ262" s="518"/>
      <c r="AK262" s="518"/>
      <c r="AL262" s="518"/>
      <c r="AM262" s="518"/>
      <c r="AN262" s="518"/>
      <c r="AO262" s="518"/>
      <c r="AP262" s="518"/>
      <c r="AQ262" s="518"/>
      <c r="AR262" s="518"/>
      <c r="AS262" s="495">
        <f ca="1">IF(AND(AV261&gt;=SUMIF(NameConv!$C$5:$C$45,RIGHT(E261,3),NameConv!$CG$5:$CG$45),AT261=SUMIF(NameConv!$G$4:$M$4,LEFT(E261,3),NameConv!$G$45:$M$45)),AS261+1,AS261)</f>
        <v>6</v>
      </c>
      <c r="AT262" s="495">
        <f ca="1">IF(AS262&lt;&gt;AS261,1,IF(AV261&gt;=SUMIF(NameConv!$C$5:$C$45,RIGHT(E261,3),NameConv!$CG$5:$CG$45),AT261+1,AT261))</f>
        <v>8</v>
      </c>
      <c r="AU262" s="495">
        <f ca="1">SUMIF(NameConv!$C$5:$C$45,RIGHT(E262,3),OFFSET(NameConv!$CG$5,0,AV262,NameConv!$A$45,1))</f>
        <v>3</v>
      </c>
      <c r="AV262" s="495">
        <f ca="1">IF(AV261&gt;=SUMIF(NameConv!$C$5:$C$45,RIGHT(E261,3),NameConv!$CG$5:$CG$45),1,AV261+1)</f>
        <v>3</v>
      </c>
    </row>
    <row r="263" spans="1:48">
      <c r="A263" s="422" t="str">
        <f t="shared" ca="1" si="6"/>
        <v/>
      </c>
      <c r="B263" s="515" t="str">
        <f t="shared" si="7"/>
        <v>FLO_EMIS</v>
      </c>
      <c r="C263" s="518" t="str">
        <f ca="1">"X"&amp;OFFSET(NameConv!$F$4,0,AS263)&amp;OFFSET(NameConv!$F$59,AT263,AS263)</f>
        <v>XPWRGAS</v>
      </c>
      <c r="D263" s="515" t="str">
        <f ca="1">OFFSET(NameConv!$F$4,0,AS263)&amp;OFFSET(NameConv!$AX$4,0,AU263)</f>
        <v>PWRNOXS</v>
      </c>
      <c r="E263" s="515" t="str">
        <f ca="1">OFFSET(NameConv!$F$4,0,AS263)&amp;OFFSET(NameConv!$F$59,AT263,AS263)</f>
        <v>PWRGAS</v>
      </c>
      <c r="F263" s="740" t="s">
        <v>334</v>
      </c>
      <c r="G263" s="515" t="s">
        <v>337</v>
      </c>
      <c r="H263" s="740" t="s">
        <v>334</v>
      </c>
      <c r="I263" s="516">
        <v>0</v>
      </c>
      <c r="J263" s="517">
        <f ca="1">IF(E263="TRAOKE",0,SUMIF(NameConv!$C$5:$C$45,RIGHT(E263,3),OFFSET(NameConv!$AX$5,0,AU263,NameConv!$A$45,1)))</f>
        <v>0.15</v>
      </c>
      <c r="K263" s="518"/>
      <c r="L263" s="518"/>
      <c r="M263" s="518"/>
      <c r="N263" s="518"/>
      <c r="O263" s="518"/>
      <c r="P263" s="518"/>
      <c r="Q263" s="518"/>
      <c r="R263" s="518"/>
      <c r="S263" s="518"/>
      <c r="T263" s="518"/>
      <c r="U263" s="518"/>
      <c r="V263" s="518"/>
      <c r="W263" s="518"/>
      <c r="X263" s="518"/>
      <c r="Y263" s="518"/>
      <c r="Z263" s="518"/>
      <c r="AA263" s="518"/>
      <c r="AB263" s="518"/>
      <c r="AC263" s="518"/>
      <c r="AD263" s="518"/>
      <c r="AE263" s="518"/>
      <c r="AF263" s="518"/>
      <c r="AG263" s="518"/>
      <c r="AH263" s="518"/>
      <c r="AI263" s="518"/>
      <c r="AJ263" s="518"/>
      <c r="AK263" s="518"/>
      <c r="AL263" s="518"/>
      <c r="AM263" s="518"/>
      <c r="AN263" s="518"/>
      <c r="AO263" s="518"/>
      <c r="AP263" s="518"/>
      <c r="AQ263" s="518"/>
      <c r="AR263" s="518"/>
      <c r="AS263" s="495">
        <f ca="1">IF(AND(AV262&gt;=SUMIF(NameConv!$C$5:$C$45,RIGHT(E262,3),NameConv!$CG$5:$CG$45),AT262=SUMIF(NameConv!$G$4:$M$4,LEFT(E262,3),NameConv!$G$45:$M$45)),AS262+1,AS262)</f>
        <v>6</v>
      </c>
      <c r="AT263" s="495">
        <f ca="1">IF(AS263&lt;&gt;AS262,1,IF(AV262&gt;=SUMIF(NameConv!$C$5:$C$45,RIGHT(E262,3),NameConv!$CG$5:$CG$45),AT262+1,AT262))</f>
        <v>8</v>
      </c>
      <c r="AU263" s="495">
        <f ca="1">SUMIF(NameConv!$C$5:$C$45,RIGHT(E263,3),OFFSET(NameConv!$CG$5,0,AV263,NameConv!$A$45,1))</f>
        <v>5</v>
      </c>
      <c r="AV263" s="495">
        <f ca="1">IF(AV262&gt;=SUMIF(NameConv!$C$5:$C$45,RIGHT(E262,3),NameConv!$CG$5:$CG$45),1,AV262+1)</f>
        <v>4</v>
      </c>
    </row>
    <row r="264" spans="1:48">
      <c r="A264" s="422" t="str">
        <f t="shared" ca="1" si="6"/>
        <v/>
      </c>
      <c r="B264" s="515" t="str">
        <f t="shared" si="7"/>
        <v>FLO_EMIS</v>
      </c>
      <c r="C264" s="518" t="str">
        <f ca="1">"X"&amp;OFFSET(NameConv!$F$4,0,AS264)&amp;OFFSET(NameConv!$F$59,AT264,AS264)</f>
        <v>XPWRGAS</v>
      </c>
      <c r="D264" s="515" t="str">
        <f ca="1">OFFSET(NameConv!$F$4,0,AS264)&amp;OFFSET(NameConv!$AX$4,0,AU264)</f>
        <v>PWRCMOX</v>
      </c>
      <c r="E264" s="515" t="str">
        <f ca="1">OFFSET(NameConv!$F$4,0,AS264)&amp;OFFSET(NameConv!$F$59,AT264,AS264)</f>
        <v>PWRGAS</v>
      </c>
      <c r="F264" s="740" t="s">
        <v>334</v>
      </c>
      <c r="G264" s="515" t="s">
        <v>337</v>
      </c>
      <c r="H264" s="740" t="s">
        <v>334</v>
      </c>
      <c r="I264" s="516">
        <v>0</v>
      </c>
      <c r="J264" s="517">
        <f ca="1">IF(E264="TRAOKE",0,SUMIF(NameConv!$C$5:$C$45,RIGHT(E264,3),OFFSET(NameConv!$AX$5,0,AU264,NameConv!$A$45,1)))</f>
        <v>0.02</v>
      </c>
      <c r="K264" s="518"/>
      <c r="L264" s="518"/>
      <c r="M264" s="518"/>
      <c r="N264" s="518"/>
      <c r="O264" s="518"/>
      <c r="P264" s="518"/>
      <c r="Q264" s="518"/>
      <c r="R264" s="518"/>
      <c r="S264" s="518"/>
      <c r="T264" s="518"/>
      <c r="U264" s="518"/>
      <c r="V264" s="518"/>
      <c r="W264" s="518"/>
      <c r="X264" s="518"/>
      <c r="Y264" s="518"/>
      <c r="Z264" s="518"/>
      <c r="AA264" s="518"/>
      <c r="AB264" s="518"/>
      <c r="AC264" s="518"/>
      <c r="AD264" s="518"/>
      <c r="AE264" s="518"/>
      <c r="AF264" s="518"/>
      <c r="AG264" s="518"/>
      <c r="AH264" s="518"/>
      <c r="AI264" s="518"/>
      <c r="AJ264" s="518"/>
      <c r="AK264" s="518"/>
      <c r="AL264" s="518"/>
      <c r="AM264" s="518"/>
      <c r="AN264" s="518"/>
      <c r="AO264" s="518"/>
      <c r="AP264" s="518"/>
      <c r="AQ264" s="518"/>
      <c r="AR264" s="518"/>
      <c r="AS264" s="495">
        <f ca="1">IF(AND(AV263&gt;=SUMIF(NameConv!$C$5:$C$45,RIGHT(E263,3),NameConv!$CG$5:$CG$45),AT263=SUMIF(NameConv!$G$4:$M$4,LEFT(E263,3),NameConv!$G$45:$M$45)),AS263+1,AS263)</f>
        <v>6</v>
      </c>
      <c r="AT264" s="495">
        <f ca="1">IF(AS264&lt;&gt;AS263,1,IF(AV263&gt;=SUMIF(NameConv!$C$5:$C$45,RIGHT(E263,3),NameConv!$CG$5:$CG$45),AT263+1,AT263))</f>
        <v>8</v>
      </c>
      <c r="AU264" s="495">
        <f ca="1">SUMIF(NameConv!$C$5:$C$45,RIGHT(E264,3),OFFSET(NameConv!$CG$5,0,AV264,NameConv!$A$45,1))</f>
        <v>6</v>
      </c>
      <c r="AV264" s="495">
        <f ca="1">IF(AV263&gt;=SUMIF(NameConv!$C$5:$C$45,RIGHT(E263,3),NameConv!$CG$5:$CG$45),1,AV263+1)</f>
        <v>5</v>
      </c>
    </row>
    <row r="265" spans="1:48">
      <c r="A265" s="422" t="str">
        <f t="shared" ca="1" si="6"/>
        <v/>
      </c>
      <c r="B265" s="515" t="str">
        <f t="shared" si="7"/>
        <v>FLO_EMIS</v>
      </c>
      <c r="C265" s="518" t="str">
        <f ca="1">"X"&amp;OFFSET(NameConv!$F$4,0,AS265)&amp;OFFSET(NameConv!$F$59,AT265,AS265)</f>
        <v>XPWRGAS</v>
      </c>
      <c r="D265" s="515" t="str">
        <f ca="1">OFFSET(NameConv!$F$4,0,AS265)&amp;OFFSET(NameConv!$AX$4,0,AU265)</f>
        <v>PWRNMVS</v>
      </c>
      <c r="E265" s="515" t="str">
        <f ca="1">OFFSET(NameConv!$F$4,0,AS265)&amp;OFFSET(NameConv!$F$59,AT265,AS265)</f>
        <v>PWRGAS</v>
      </c>
      <c r="F265" s="740" t="s">
        <v>334</v>
      </c>
      <c r="G265" s="515" t="s">
        <v>337</v>
      </c>
      <c r="H265" s="740" t="s">
        <v>334</v>
      </c>
      <c r="I265" s="516">
        <v>0</v>
      </c>
      <c r="J265" s="517">
        <f ca="1">IF(E265="TRAOKE",0,SUMIF(NameConv!$C$5:$C$45,RIGHT(E265,3),OFFSET(NameConv!$AX$5,0,AU265,NameConv!$A$45,1)))</f>
        <v>5.0000000000000001E-3</v>
      </c>
      <c r="K265" s="518"/>
      <c r="L265" s="518"/>
      <c r="M265" s="518"/>
      <c r="N265" s="518"/>
      <c r="O265" s="518"/>
      <c r="P265" s="518"/>
      <c r="Q265" s="518"/>
      <c r="R265" s="518"/>
      <c r="S265" s="518"/>
      <c r="T265" s="518"/>
      <c r="U265" s="518"/>
      <c r="V265" s="518"/>
      <c r="W265" s="518"/>
      <c r="X265" s="518"/>
      <c r="Y265" s="518"/>
      <c r="Z265" s="518"/>
      <c r="AA265" s="518"/>
      <c r="AB265" s="518"/>
      <c r="AC265" s="518"/>
      <c r="AD265" s="518"/>
      <c r="AE265" s="518"/>
      <c r="AF265" s="518"/>
      <c r="AG265" s="518"/>
      <c r="AH265" s="518"/>
      <c r="AI265" s="518"/>
      <c r="AJ265" s="518"/>
      <c r="AK265" s="518"/>
      <c r="AL265" s="518"/>
      <c r="AM265" s="518"/>
      <c r="AN265" s="518"/>
      <c r="AO265" s="518"/>
      <c r="AP265" s="518"/>
      <c r="AQ265" s="518"/>
      <c r="AR265" s="518"/>
      <c r="AS265" s="495">
        <f ca="1">IF(AND(AV264&gt;=SUMIF(NameConv!$C$5:$C$45,RIGHT(E264,3),NameConv!$CG$5:$CG$45),AT264=SUMIF(NameConv!$G$4:$M$4,LEFT(E264,3),NameConv!$G$45:$M$45)),AS264+1,AS264)</f>
        <v>6</v>
      </c>
      <c r="AT265" s="495">
        <f ca="1">IF(AS265&lt;&gt;AS264,1,IF(AV264&gt;=SUMIF(NameConv!$C$5:$C$45,RIGHT(E264,3),NameConv!$CG$5:$CG$45),AT264+1,AT264))</f>
        <v>8</v>
      </c>
      <c r="AU265" s="495">
        <f ca="1">SUMIF(NameConv!$C$5:$C$45,RIGHT(E265,3),OFFSET(NameConv!$CG$5,0,AV265,NameConv!$A$45,1))</f>
        <v>7</v>
      </c>
      <c r="AV265" s="495">
        <f ca="1">IF(AV264&gt;=SUMIF(NameConv!$C$5:$C$45,RIGHT(E264,3),NameConv!$CG$5:$CG$45),1,AV264+1)</f>
        <v>6</v>
      </c>
    </row>
    <row r="266" spans="1:48">
      <c r="A266" s="422" t="str">
        <f t="shared" ca="1" si="6"/>
        <v/>
      </c>
      <c r="B266" s="515" t="str">
        <f t="shared" si="7"/>
        <v>FLO_EMIS</v>
      </c>
      <c r="C266" s="518" t="str">
        <f ca="1">"X"&amp;OFFSET(NameConv!$F$4,0,AS266)&amp;OFFSET(NameConv!$F$59,AT266,AS266)</f>
        <v>XPWRGRS</v>
      </c>
      <c r="D266" s="515" t="str">
        <f ca="1">OFFSET(NameConv!$F$4,0,AS266)&amp;OFFSET(NameConv!$AX$4,0,AU266)</f>
        <v>PWRCO2R</v>
      </c>
      <c r="E266" s="515" t="str">
        <f ca="1">OFFSET(NameConv!$F$4,0,AS266)&amp;OFFSET(NameConv!$F$59,AT266,AS266)</f>
        <v>PWRGRS</v>
      </c>
      <c r="F266" s="740" t="s">
        <v>334</v>
      </c>
      <c r="G266" s="515" t="s">
        <v>337</v>
      </c>
      <c r="H266" s="740" t="s">
        <v>334</v>
      </c>
      <c r="I266" s="516">
        <v>0</v>
      </c>
      <c r="J266" s="517">
        <f ca="1">IF(E266="TRAOKE",0,SUMIF(NameConv!$C$5:$C$45,RIGHT(E266,3),OFFSET(NameConv!$AX$5,0,AU266,NameConv!$A$45,1)))</f>
        <v>56.1</v>
      </c>
      <c r="K266" s="518"/>
      <c r="L266" s="518"/>
      <c r="M266" s="518"/>
      <c r="N266" s="518"/>
      <c r="O266" s="518"/>
      <c r="P266" s="518"/>
      <c r="Q266" s="518"/>
      <c r="R266" s="518"/>
      <c r="S266" s="518"/>
      <c r="T266" s="518"/>
      <c r="U266" s="518"/>
      <c r="V266" s="518"/>
      <c r="W266" s="518"/>
      <c r="X266" s="518"/>
      <c r="Y266" s="518"/>
      <c r="Z266" s="518"/>
      <c r="AA266" s="518"/>
      <c r="AB266" s="518"/>
      <c r="AC266" s="518"/>
      <c r="AD266" s="518"/>
      <c r="AE266" s="518"/>
      <c r="AF266" s="518"/>
      <c r="AG266" s="518"/>
      <c r="AH266" s="518"/>
      <c r="AI266" s="518"/>
      <c r="AJ266" s="518"/>
      <c r="AK266" s="518"/>
      <c r="AL266" s="518"/>
      <c r="AM266" s="518"/>
      <c r="AN266" s="518"/>
      <c r="AO266" s="518"/>
      <c r="AP266" s="518"/>
      <c r="AQ266" s="518"/>
      <c r="AR266" s="518"/>
      <c r="AS266" s="495">
        <f ca="1">IF(AND(AV265&gt;=SUMIF(NameConv!$C$5:$C$45,RIGHT(E265,3),NameConv!$CG$5:$CG$45),AT265=SUMIF(NameConv!$G$4:$M$4,LEFT(E265,3),NameConv!$G$45:$M$45)),AS265+1,AS265)</f>
        <v>6</v>
      </c>
      <c r="AT266" s="495">
        <f ca="1">IF(AS266&lt;&gt;AS265,1,IF(AV265&gt;=SUMIF(NameConv!$C$5:$C$45,RIGHT(E265,3),NameConv!$CG$5:$CG$45),AT265+1,AT265))</f>
        <v>9</v>
      </c>
      <c r="AU266" s="495">
        <f ca="1">SUMIF(NameConv!$C$5:$C$45,RIGHT(E266,3),OFFSET(NameConv!$CG$5,0,AV266,NameConv!$A$45,1))</f>
        <v>9</v>
      </c>
      <c r="AV266" s="495">
        <f ca="1">IF(AV265&gt;=SUMIF(NameConv!$C$5:$C$45,RIGHT(E265,3),NameConv!$CG$5:$CG$45),1,AV265+1)</f>
        <v>1</v>
      </c>
    </row>
    <row r="267" spans="1:48">
      <c r="A267" s="422" t="str">
        <f t="shared" ca="1" si="6"/>
        <v/>
      </c>
      <c r="B267" s="515" t="str">
        <f t="shared" si="7"/>
        <v>FLO_EMIS</v>
      </c>
      <c r="C267" s="518" t="str">
        <f ca="1">"X"&amp;OFFSET(NameConv!$F$4,0,AS267)&amp;OFFSET(NameConv!$F$59,AT267,AS267)</f>
        <v>XPWRGRS</v>
      </c>
      <c r="D267" s="515" t="str">
        <f ca="1">OFFSET(NameConv!$F$4,0,AS267)&amp;OFFSET(NameConv!$AX$4,0,AU267)</f>
        <v>PWRCH4R</v>
      </c>
      <c r="E267" s="515" t="str">
        <f ca="1">OFFSET(NameConv!$F$4,0,AS267)&amp;OFFSET(NameConv!$F$59,AT267,AS267)</f>
        <v>PWRGRS</v>
      </c>
      <c r="F267" s="740" t="s">
        <v>334</v>
      </c>
      <c r="G267" s="515" t="s">
        <v>337</v>
      </c>
      <c r="H267" s="740" t="s">
        <v>334</v>
      </c>
      <c r="I267" s="516">
        <v>0</v>
      </c>
      <c r="J267" s="517">
        <f ca="1">IF(E267="TRAOKE",0,SUMIF(NameConv!$C$5:$C$45,RIGHT(E267,3),OFFSET(NameConv!$AX$5,0,AU267,NameConv!$A$45,1)))</f>
        <v>1E-3</v>
      </c>
      <c r="K267" s="518"/>
      <c r="L267" s="518"/>
      <c r="M267" s="518"/>
      <c r="N267" s="518"/>
      <c r="O267" s="518"/>
      <c r="P267" s="518"/>
      <c r="Q267" s="518"/>
      <c r="R267" s="518"/>
      <c r="S267" s="518"/>
      <c r="T267" s="518"/>
      <c r="U267" s="518"/>
      <c r="V267" s="518"/>
      <c r="W267" s="518"/>
      <c r="X267" s="518"/>
      <c r="Y267" s="518"/>
      <c r="Z267" s="518"/>
      <c r="AA267" s="518"/>
      <c r="AB267" s="518"/>
      <c r="AC267" s="518"/>
      <c r="AD267" s="518"/>
      <c r="AE267" s="518"/>
      <c r="AF267" s="518"/>
      <c r="AG267" s="518"/>
      <c r="AH267" s="518"/>
      <c r="AI267" s="518"/>
      <c r="AJ267" s="518"/>
      <c r="AK267" s="518"/>
      <c r="AL267" s="518"/>
      <c r="AM267" s="518"/>
      <c r="AN267" s="518"/>
      <c r="AO267" s="518"/>
      <c r="AP267" s="518"/>
      <c r="AQ267" s="518"/>
      <c r="AR267" s="518"/>
      <c r="AS267" s="495">
        <f ca="1">IF(AND(AV266&gt;=SUMIF(NameConv!$C$5:$C$45,RIGHT(E266,3),NameConv!$CG$5:$CG$45),AT266=SUMIF(NameConv!$G$4:$M$4,LEFT(E266,3),NameConv!$G$45:$M$45)),AS266+1,AS266)</f>
        <v>6</v>
      </c>
      <c r="AT267" s="495">
        <f ca="1">IF(AS267&lt;&gt;AS266,1,IF(AV266&gt;=SUMIF(NameConv!$C$5:$C$45,RIGHT(E266,3),NameConv!$CG$5:$CG$45),AT266+1,AT266))</f>
        <v>9</v>
      </c>
      <c r="AU267" s="495">
        <f ca="1">SUMIF(NameConv!$C$5:$C$45,RIGHT(E267,3),OFFSET(NameConv!$CG$5,0,AV267,NameConv!$A$45,1))</f>
        <v>10</v>
      </c>
      <c r="AV267" s="495">
        <f ca="1">IF(AV266&gt;=SUMIF(NameConv!$C$5:$C$45,RIGHT(E266,3),NameConv!$CG$5:$CG$45),1,AV266+1)</f>
        <v>2</v>
      </c>
    </row>
    <row r="268" spans="1:48">
      <c r="A268" s="422" t="str">
        <f t="shared" ca="1" si="6"/>
        <v/>
      </c>
      <c r="B268" s="515" t="str">
        <f t="shared" si="7"/>
        <v>FLO_EMIS</v>
      </c>
      <c r="C268" s="518" t="str">
        <f ca="1">"X"&amp;OFFSET(NameConv!$F$4,0,AS268)&amp;OFFSET(NameConv!$F$59,AT268,AS268)</f>
        <v>XPWRGRS</v>
      </c>
      <c r="D268" s="515" t="str">
        <f ca="1">OFFSET(NameConv!$F$4,0,AS268)&amp;OFFSET(NameConv!$AX$4,0,AU268)</f>
        <v>PWRN2OR</v>
      </c>
      <c r="E268" s="515" t="str">
        <f ca="1">OFFSET(NameConv!$F$4,0,AS268)&amp;OFFSET(NameConv!$F$59,AT268,AS268)</f>
        <v>PWRGRS</v>
      </c>
      <c r="F268" s="740" t="s">
        <v>334</v>
      </c>
      <c r="G268" s="515" t="s">
        <v>337</v>
      </c>
      <c r="H268" s="740" t="s">
        <v>334</v>
      </c>
      <c r="I268" s="516">
        <v>0</v>
      </c>
      <c r="J268" s="517">
        <f ca="1">IF(E268="TRAOKE",0,SUMIF(NameConv!$C$5:$C$45,RIGHT(E268,3),OFFSET(NameConv!$AX$5,0,AU268,NameConv!$A$45,1)))</f>
        <v>1E-4</v>
      </c>
      <c r="K268" s="518"/>
      <c r="L268" s="518"/>
      <c r="M268" s="518"/>
      <c r="N268" s="518"/>
      <c r="O268" s="518"/>
      <c r="P268" s="518"/>
      <c r="Q268" s="518"/>
      <c r="R268" s="518"/>
      <c r="S268" s="518"/>
      <c r="T268" s="518"/>
      <c r="U268" s="518"/>
      <c r="V268" s="518"/>
      <c r="W268" s="518"/>
      <c r="X268" s="518"/>
      <c r="Y268" s="518"/>
      <c r="Z268" s="518"/>
      <c r="AA268" s="518"/>
      <c r="AB268" s="518"/>
      <c r="AC268" s="518"/>
      <c r="AD268" s="518"/>
      <c r="AE268" s="518"/>
      <c r="AF268" s="518"/>
      <c r="AG268" s="518"/>
      <c r="AH268" s="518"/>
      <c r="AI268" s="518"/>
      <c r="AJ268" s="518"/>
      <c r="AK268" s="518"/>
      <c r="AL268" s="518"/>
      <c r="AM268" s="518"/>
      <c r="AN268" s="518"/>
      <c r="AO268" s="518"/>
      <c r="AP268" s="518"/>
      <c r="AQ268" s="518"/>
      <c r="AR268" s="518"/>
      <c r="AS268" s="495">
        <f ca="1">IF(AND(AV267&gt;=SUMIF(NameConv!$C$5:$C$45,RIGHT(E267,3),NameConv!$CG$5:$CG$45),AT267=SUMIF(NameConv!$G$4:$M$4,LEFT(E267,3),NameConv!$G$45:$M$45)),AS267+1,AS267)</f>
        <v>6</v>
      </c>
      <c r="AT268" s="495">
        <f ca="1">IF(AS268&lt;&gt;AS267,1,IF(AV267&gt;=SUMIF(NameConv!$C$5:$C$45,RIGHT(E267,3),NameConv!$CG$5:$CG$45),AT267+1,AT267))</f>
        <v>9</v>
      </c>
      <c r="AU268" s="495">
        <f ca="1">SUMIF(NameConv!$C$5:$C$45,RIGHT(E268,3),OFFSET(NameConv!$CG$5,0,AV268,NameConv!$A$45,1))</f>
        <v>11</v>
      </c>
      <c r="AV268" s="495">
        <f ca="1">IF(AV267&gt;=SUMIF(NameConv!$C$5:$C$45,RIGHT(E267,3),NameConv!$CG$5:$CG$45),1,AV267+1)</f>
        <v>3</v>
      </c>
    </row>
    <row r="269" spans="1:48">
      <c r="A269" s="422" t="str">
        <f t="shared" ref="A269:A293" ca="1" si="8">IF(J269=0,"*","")</f>
        <v/>
      </c>
      <c r="B269" s="515" t="str">
        <f t="shared" ref="B269:B293" si="9">$B$10</f>
        <v>FLO_EMIS</v>
      </c>
      <c r="C269" s="518" t="str">
        <f ca="1">"X"&amp;OFFSET(NameConv!$F$4,0,AS269)&amp;OFFSET(NameConv!$F$59,AT269,AS269)</f>
        <v>XPWRGRS</v>
      </c>
      <c r="D269" s="515" t="str">
        <f ca="1">OFFSET(NameConv!$F$4,0,AS269)&amp;OFFSET(NameConv!$AX$4,0,AU269)</f>
        <v>PWRNOXR</v>
      </c>
      <c r="E269" s="515" t="str">
        <f ca="1">OFFSET(NameConv!$F$4,0,AS269)&amp;OFFSET(NameConv!$F$59,AT269,AS269)</f>
        <v>PWRGRS</v>
      </c>
      <c r="F269" s="740" t="s">
        <v>334</v>
      </c>
      <c r="G269" s="515" t="s">
        <v>337</v>
      </c>
      <c r="H269" s="740" t="s">
        <v>334</v>
      </c>
      <c r="I269" s="516">
        <v>0</v>
      </c>
      <c r="J269" s="517">
        <f ca="1">IF(E269="TRAOKE",0,SUMIF(NameConv!$C$5:$C$45,RIGHT(E269,3),OFFSET(NameConv!$AX$5,0,AU269,NameConv!$A$45,1)))</f>
        <v>0.15</v>
      </c>
      <c r="K269" s="518"/>
      <c r="L269" s="518"/>
      <c r="M269" s="518"/>
      <c r="N269" s="518"/>
      <c r="O269" s="518"/>
      <c r="P269" s="518"/>
      <c r="Q269" s="518"/>
      <c r="R269" s="518"/>
      <c r="S269" s="518"/>
      <c r="T269" s="518"/>
      <c r="U269" s="518"/>
      <c r="V269" s="518"/>
      <c r="W269" s="518"/>
      <c r="X269" s="518"/>
      <c r="Y269" s="518"/>
      <c r="Z269" s="518"/>
      <c r="AA269" s="518"/>
      <c r="AB269" s="518"/>
      <c r="AC269" s="518"/>
      <c r="AD269" s="518"/>
      <c r="AE269" s="518"/>
      <c r="AF269" s="518"/>
      <c r="AG269" s="518"/>
      <c r="AH269" s="518"/>
      <c r="AI269" s="518"/>
      <c r="AJ269" s="518"/>
      <c r="AK269" s="518"/>
      <c r="AL269" s="518"/>
      <c r="AM269" s="518"/>
      <c r="AN269" s="518"/>
      <c r="AO269" s="518"/>
      <c r="AP269" s="518"/>
      <c r="AQ269" s="518"/>
      <c r="AR269" s="518"/>
      <c r="AS269" s="495">
        <f ca="1">IF(AND(AV268&gt;=SUMIF(NameConv!$C$5:$C$45,RIGHT(E268,3),NameConv!$CG$5:$CG$45),AT268=SUMIF(NameConv!$G$4:$M$4,LEFT(E268,3),NameConv!$G$45:$M$45)),AS268+1,AS268)</f>
        <v>6</v>
      </c>
      <c r="AT269" s="495">
        <f ca="1">IF(AS269&lt;&gt;AS268,1,IF(AV268&gt;=SUMIF(NameConv!$C$5:$C$45,RIGHT(E268,3),NameConv!$CG$5:$CG$45),AT268+1,AT268))</f>
        <v>9</v>
      </c>
      <c r="AU269" s="495">
        <f ca="1">SUMIF(NameConv!$C$5:$C$45,RIGHT(E269,3),OFFSET(NameConv!$CG$5,0,AV269,NameConv!$A$45,1))</f>
        <v>13</v>
      </c>
      <c r="AV269" s="495">
        <f ca="1">IF(AV268&gt;=SUMIF(NameConv!$C$5:$C$45,RIGHT(E268,3),NameConv!$CG$5:$CG$45),1,AV268+1)</f>
        <v>4</v>
      </c>
    </row>
    <row r="270" spans="1:48">
      <c r="A270" s="422" t="str">
        <f t="shared" ca="1" si="8"/>
        <v/>
      </c>
      <c r="B270" s="515" t="str">
        <f t="shared" si="9"/>
        <v>FLO_EMIS</v>
      </c>
      <c r="C270" s="518" t="str">
        <f ca="1">"X"&amp;OFFSET(NameConv!$F$4,0,AS270)&amp;OFFSET(NameConv!$F$59,AT270,AS270)</f>
        <v>XPWRGRS</v>
      </c>
      <c r="D270" s="515" t="str">
        <f ca="1">OFFSET(NameConv!$F$4,0,AS270)&amp;OFFSET(NameConv!$AX$4,0,AU270)</f>
        <v>PWRCMOR</v>
      </c>
      <c r="E270" s="515" t="str">
        <f ca="1">OFFSET(NameConv!$F$4,0,AS270)&amp;OFFSET(NameConv!$F$59,AT270,AS270)</f>
        <v>PWRGRS</v>
      </c>
      <c r="F270" s="740" t="s">
        <v>334</v>
      </c>
      <c r="G270" s="515" t="s">
        <v>337</v>
      </c>
      <c r="H270" s="740" t="s">
        <v>334</v>
      </c>
      <c r="I270" s="516">
        <v>0</v>
      </c>
      <c r="J270" s="517">
        <f ca="1">IF(E270="TRAOKE",0,SUMIF(NameConv!$C$5:$C$45,RIGHT(E270,3),OFFSET(NameConv!$AX$5,0,AU270,NameConv!$A$45,1)))</f>
        <v>0.02</v>
      </c>
      <c r="K270" s="518"/>
      <c r="L270" s="518"/>
      <c r="M270" s="518"/>
      <c r="N270" s="518"/>
      <c r="O270" s="518"/>
      <c r="P270" s="518"/>
      <c r="Q270" s="518"/>
      <c r="R270" s="518"/>
      <c r="S270" s="518"/>
      <c r="T270" s="518"/>
      <c r="U270" s="518"/>
      <c r="V270" s="518"/>
      <c r="W270" s="518"/>
      <c r="X270" s="518"/>
      <c r="Y270" s="518"/>
      <c r="Z270" s="518"/>
      <c r="AA270" s="518"/>
      <c r="AB270" s="518"/>
      <c r="AC270" s="518"/>
      <c r="AD270" s="518"/>
      <c r="AE270" s="518"/>
      <c r="AF270" s="518"/>
      <c r="AG270" s="518"/>
      <c r="AH270" s="518"/>
      <c r="AI270" s="518"/>
      <c r="AJ270" s="518"/>
      <c r="AK270" s="518"/>
      <c r="AL270" s="518"/>
      <c r="AM270" s="518"/>
      <c r="AN270" s="518"/>
      <c r="AO270" s="518"/>
      <c r="AP270" s="518"/>
      <c r="AQ270" s="518"/>
      <c r="AR270" s="518"/>
      <c r="AS270" s="495">
        <f ca="1">IF(AND(AV269&gt;=SUMIF(NameConv!$C$5:$C$45,RIGHT(E269,3),NameConv!$CG$5:$CG$45),AT269=SUMIF(NameConv!$G$4:$M$4,LEFT(E269,3),NameConv!$G$45:$M$45)),AS269+1,AS269)</f>
        <v>6</v>
      </c>
      <c r="AT270" s="495">
        <f ca="1">IF(AS270&lt;&gt;AS269,1,IF(AV269&gt;=SUMIF(NameConv!$C$5:$C$45,RIGHT(E269,3),NameConv!$CG$5:$CG$45),AT269+1,AT269))</f>
        <v>9</v>
      </c>
      <c r="AU270" s="495">
        <f ca="1">SUMIF(NameConv!$C$5:$C$45,RIGHT(E270,3),OFFSET(NameConv!$CG$5,0,AV270,NameConv!$A$45,1))</f>
        <v>14</v>
      </c>
      <c r="AV270" s="495">
        <f ca="1">IF(AV269&gt;=SUMIF(NameConv!$C$5:$C$45,RIGHT(E269,3),NameConv!$CG$5:$CG$45),1,AV269+1)</f>
        <v>5</v>
      </c>
    </row>
    <row r="271" spans="1:48">
      <c r="A271" s="422" t="str">
        <f t="shared" ca="1" si="8"/>
        <v/>
      </c>
      <c r="B271" s="515" t="str">
        <f t="shared" si="9"/>
        <v>FLO_EMIS</v>
      </c>
      <c r="C271" s="518" t="str">
        <f ca="1">"X"&amp;OFFSET(NameConv!$F$4,0,AS271)&amp;OFFSET(NameConv!$F$59,AT271,AS271)</f>
        <v>XPWRGRS</v>
      </c>
      <c r="D271" s="515" t="str">
        <f ca="1">OFFSET(NameConv!$F$4,0,AS271)&amp;OFFSET(NameConv!$AX$4,0,AU271)</f>
        <v>PWRNMVR</v>
      </c>
      <c r="E271" s="515" t="str">
        <f ca="1">OFFSET(NameConv!$F$4,0,AS271)&amp;OFFSET(NameConv!$F$59,AT271,AS271)</f>
        <v>PWRGRS</v>
      </c>
      <c r="F271" s="740" t="s">
        <v>334</v>
      </c>
      <c r="G271" s="515" t="s">
        <v>337</v>
      </c>
      <c r="H271" s="740" t="s">
        <v>334</v>
      </c>
      <c r="I271" s="516">
        <v>0</v>
      </c>
      <c r="J271" s="517">
        <f ca="1">IF(E271="TRAOKE",0,SUMIF(NameConv!$C$5:$C$45,RIGHT(E271,3),OFFSET(NameConv!$AX$5,0,AU271,NameConv!$A$45,1)))</f>
        <v>5.0000000000000001E-3</v>
      </c>
      <c r="K271" s="518"/>
      <c r="L271" s="518"/>
      <c r="M271" s="518"/>
      <c r="N271" s="518"/>
      <c r="O271" s="518"/>
      <c r="P271" s="518"/>
      <c r="Q271" s="518"/>
      <c r="R271" s="518"/>
      <c r="S271" s="518"/>
      <c r="T271" s="518"/>
      <c r="U271" s="518"/>
      <c r="V271" s="518"/>
      <c r="W271" s="518"/>
      <c r="X271" s="518"/>
      <c r="Y271" s="518"/>
      <c r="Z271" s="518"/>
      <c r="AA271" s="518"/>
      <c r="AB271" s="518"/>
      <c r="AC271" s="518"/>
      <c r="AD271" s="518"/>
      <c r="AE271" s="518"/>
      <c r="AF271" s="518"/>
      <c r="AG271" s="518"/>
      <c r="AH271" s="518"/>
      <c r="AI271" s="518"/>
      <c r="AJ271" s="518"/>
      <c r="AK271" s="518"/>
      <c r="AL271" s="518"/>
      <c r="AM271" s="518"/>
      <c r="AN271" s="518"/>
      <c r="AO271" s="518"/>
      <c r="AP271" s="518"/>
      <c r="AQ271" s="518"/>
      <c r="AR271" s="518"/>
      <c r="AS271" s="495">
        <f ca="1">IF(AND(AV270&gt;=SUMIF(NameConv!$C$5:$C$45,RIGHT(E270,3),NameConv!$CG$5:$CG$45),AT270=SUMIF(NameConv!$G$4:$M$4,LEFT(E270,3),NameConv!$G$45:$M$45)),AS270+1,AS270)</f>
        <v>6</v>
      </c>
      <c r="AT271" s="495">
        <f ca="1">IF(AS271&lt;&gt;AS270,1,IF(AV270&gt;=SUMIF(NameConv!$C$5:$C$45,RIGHT(E270,3),NameConv!$CG$5:$CG$45),AT270+1,AT270))</f>
        <v>9</v>
      </c>
      <c r="AU271" s="495">
        <f ca="1">SUMIF(NameConv!$C$5:$C$45,RIGHT(E271,3),OFFSET(NameConv!$CG$5,0,AV271,NameConv!$A$45,1))</f>
        <v>15</v>
      </c>
      <c r="AV271" s="495">
        <f ca="1">IF(AV270&gt;=SUMIF(NameConv!$C$5:$C$45,RIGHT(E270,3),NameConv!$CG$5:$CG$45),1,AV270+1)</f>
        <v>6</v>
      </c>
    </row>
    <row r="272" spans="1:48">
      <c r="A272" s="422" t="str">
        <f t="shared" ca="1" si="8"/>
        <v/>
      </c>
      <c r="B272" s="515" t="str">
        <f t="shared" si="9"/>
        <v>FLO_EMIS</v>
      </c>
      <c r="C272" s="518" t="str">
        <f ca="1">"X"&amp;OFFSET(NameConv!$F$4,0,AS272)&amp;OFFSET(NameConv!$F$59,AT272,AS272)</f>
        <v>XPWRGRN</v>
      </c>
      <c r="D272" s="515" t="str">
        <f ca="1">OFFSET(NameConv!$F$4,0,AS272)&amp;OFFSET(NameConv!$AX$4,0,AU272)</f>
        <v>PWRCO2R</v>
      </c>
      <c r="E272" s="515" t="str">
        <f ca="1">OFFSET(NameConv!$F$4,0,AS272)&amp;OFFSET(NameConv!$F$59,AT272,AS272)</f>
        <v>PWRGRN</v>
      </c>
      <c r="F272" s="740" t="s">
        <v>334</v>
      </c>
      <c r="G272" s="515" t="s">
        <v>337</v>
      </c>
      <c r="H272" s="740" t="s">
        <v>334</v>
      </c>
      <c r="I272" s="516">
        <v>0</v>
      </c>
      <c r="J272" s="517">
        <f ca="1">IF(E272="TRAOKE",0,SUMIF(NameConv!$C$5:$C$45,RIGHT(E272,3),OFFSET(NameConv!$AX$5,0,AU272,NameConv!$A$45,1)))</f>
        <v>56.1</v>
      </c>
      <c r="K272" s="518"/>
      <c r="L272" s="518"/>
      <c r="M272" s="518"/>
      <c r="N272" s="518"/>
      <c r="O272" s="518"/>
      <c r="P272" s="518"/>
      <c r="Q272" s="518"/>
      <c r="R272" s="518"/>
      <c r="S272" s="518"/>
      <c r="T272" s="518"/>
      <c r="U272" s="518"/>
      <c r="V272" s="518"/>
      <c r="W272" s="518"/>
      <c r="X272" s="518"/>
      <c r="Y272" s="518"/>
      <c r="Z272" s="518"/>
      <c r="AA272" s="518"/>
      <c r="AB272" s="518"/>
      <c r="AC272" s="518"/>
      <c r="AD272" s="518"/>
      <c r="AE272" s="518"/>
      <c r="AF272" s="518"/>
      <c r="AG272" s="518"/>
      <c r="AH272" s="518"/>
      <c r="AI272" s="518"/>
      <c r="AJ272" s="518"/>
      <c r="AK272" s="518"/>
      <c r="AL272" s="518"/>
      <c r="AM272" s="518"/>
      <c r="AN272" s="518"/>
      <c r="AO272" s="518"/>
      <c r="AP272" s="518"/>
      <c r="AQ272" s="518"/>
      <c r="AR272" s="518"/>
      <c r="AS272" s="495">
        <f ca="1">IF(AND(AV271&gt;=SUMIF(NameConv!$C$5:$C$45,RIGHT(E271,3),NameConv!$CG$5:$CG$45),AT271=SUMIF(NameConv!$G$4:$M$4,LEFT(E271,3),NameConv!$G$45:$M$45)),AS271+1,AS271)</f>
        <v>6</v>
      </c>
      <c r="AT272" s="495">
        <f ca="1">IF(AS272&lt;&gt;AS271,1,IF(AV271&gt;=SUMIF(NameConv!$C$5:$C$45,RIGHT(E271,3),NameConv!$CG$5:$CG$45),AT271+1,AT271))</f>
        <v>10</v>
      </c>
      <c r="AU272" s="495">
        <f ca="1">SUMIF(NameConv!$C$5:$C$45,RIGHT(E272,3),OFFSET(NameConv!$CG$5,0,AV272,NameConv!$A$45,1))</f>
        <v>9</v>
      </c>
      <c r="AV272" s="495">
        <f ca="1">IF(AV271&gt;=SUMIF(NameConv!$C$5:$C$45,RIGHT(E271,3),NameConv!$CG$5:$CG$45),1,AV271+1)</f>
        <v>1</v>
      </c>
    </row>
    <row r="273" spans="1:48">
      <c r="A273" s="422" t="str">
        <f t="shared" ca="1" si="8"/>
        <v/>
      </c>
      <c r="B273" s="515" t="str">
        <f t="shared" si="9"/>
        <v>FLO_EMIS</v>
      </c>
      <c r="C273" s="518" t="str">
        <f ca="1">"X"&amp;OFFSET(NameConv!$F$4,0,AS273)&amp;OFFSET(NameConv!$F$59,AT273,AS273)</f>
        <v>XPWRGRN</v>
      </c>
      <c r="D273" s="515" t="str">
        <f ca="1">OFFSET(NameConv!$F$4,0,AS273)&amp;OFFSET(NameConv!$AX$4,0,AU273)</f>
        <v>PWRCH4R</v>
      </c>
      <c r="E273" s="515" t="str">
        <f ca="1">OFFSET(NameConv!$F$4,0,AS273)&amp;OFFSET(NameConv!$F$59,AT273,AS273)</f>
        <v>PWRGRN</v>
      </c>
      <c r="F273" s="740" t="s">
        <v>334</v>
      </c>
      <c r="G273" s="515" t="s">
        <v>337</v>
      </c>
      <c r="H273" s="740" t="s">
        <v>334</v>
      </c>
      <c r="I273" s="516">
        <v>0</v>
      </c>
      <c r="J273" s="517">
        <f ca="1">IF(E273="TRAOKE",0,SUMIF(NameConv!$C$5:$C$45,RIGHT(E273,3),OFFSET(NameConv!$AX$5,0,AU273,NameConv!$A$45,1)))</f>
        <v>1E-3</v>
      </c>
      <c r="K273" s="518"/>
      <c r="L273" s="518"/>
      <c r="M273" s="518"/>
      <c r="N273" s="518"/>
      <c r="O273" s="518"/>
      <c r="P273" s="518"/>
      <c r="Q273" s="518"/>
      <c r="R273" s="518"/>
      <c r="S273" s="518"/>
      <c r="T273" s="518"/>
      <c r="U273" s="518"/>
      <c r="V273" s="518"/>
      <c r="W273" s="518"/>
      <c r="X273" s="518"/>
      <c r="Y273" s="518"/>
      <c r="Z273" s="518"/>
      <c r="AA273" s="518"/>
      <c r="AB273" s="518"/>
      <c r="AC273" s="518"/>
      <c r="AD273" s="518"/>
      <c r="AE273" s="518"/>
      <c r="AF273" s="518"/>
      <c r="AG273" s="518"/>
      <c r="AH273" s="518"/>
      <c r="AI273" s="518"/>
      <c r="AJ273" s="518"/>
      <c r="AK273" s="518"/>
      <c r="AL273" s="518"/>
      <c r="AM273" s="518"/>
      <c r="AN273" s="518"/>
      <c r="AO273" s="518"/>
      <c r="AP273" s="518"/>
      <c r="AQ273" s="518"/>
      <c r="AR273" s="518"/>
      <c r="AS273" s="495">
        <f ca="1">IF(AND(AV272&gt;=SUMIF(NameConv!$C$5:$C$45,RIGHT(E272,3),NameConv!$CG$5:$CG$45),AT272=SUMIF(NameConv!$G$4:$M$4,LEFT(E272,3),NameConv!$G$45:$M$45)),AS272+1,AS272)</f>
        <v>6</v>
      </c>
      <c r="AT273" s="495">
        <f ca="1">IF(AS273&lt;&gt;AS272,1,IF(AV272&gt;=SUMIF(NameConv!$C$5:$C$45,RIGHT(E272,3),NameConv!$CG$5:$CG$45),AT272+1,AT272))</f>
        <v>10</v>
      </c>
      <c r="AU273" s="495">
        <f ca="1">SUMIF(NameConv!$C$5:$C$45,RIGHT(E273,3),OFFSET(NameConv!$CG$5,0,AV273,NameConv!$A$45,1))</f>
        <v>10</v>
      </c>
      <c r="AV273" s="495">
        <f ca="1">IF(AV272&gt;=SUMIF(NameConv!$C$5:$C$45,RIGHT(E272,3),NameConv!$CG$5:$CG$45),1,AV272+1)</f>
        <v>2</v>
      </c>
    </row>
    <row r="274" spans="1:48">
      <c r="A274" s="422" t="str">
        <f t="shared" ca="1" si="8"/>
        <v/>
      </c>
      <c r="B274" s="1104" t="str">
        <f t="shared" si="9"/>
        <v>FLO_EMIS</v>
      </c>
      <c r="C274" s="1103" t="str">
        <f ca="1">"X"&amp;OFFSET(NameConv!$F$4,0,AS274)&amp;OFFSET(NameConv!$F$59,AT274,AS274)</f>
        <v>XPWRGRN</v>
      </c>
      <c r="D274" s="1104" t="str">
        <f ca="1">OFFSET(NameConv!$F$4,0,AS274)&amp;OFFSET(NameConv!$AX$4,0,AU274)</f>
        <v>PWRN2OR</v>
      </c>
      <c r="E274" s="515" t="str">
        <f ca="1">OFFSET(NameConv!$F$4,0,AS274)&amp;OFFSET(NameConv!$F$59,AT274,AS274)</f>
        <v>PWRGRN</v>
      </c>
      <c r="F274" s="740" t="s">
        <v>334</v>
      </c>
      <c r="G274" s="515" t="s">
        <v>337</v>
      </c>
      <c r="H274" s="740" t="s">
        <v>334</v>
      </c>
      <c r="I274" s="516">
        <v>0</v>
      </c>
      <c r="J274" s="517">
        <f ca="1">IF(E274="TRAOKE",0,SUMIF(NameConv!$C$5:$C$45,RIGHT(E274,3),OFFSET(NameConv!$AX$5,0,AU274,NameConv!$A$45,1)))</f>
        <v>1E-4</v>
      </c>
      <c r="K274" s="518"/>
      <c r="L274" s="518"/>
      <c r="M274" s="518"/>
      <c r="N274" s="518"/>
      <c r="O274" s="518"/>
      <c r="P274" s="518"/>
      <c r="Q274" s="518"/>
      <c r="R274" s="518"/>
      <c r="S274" s="518"/>
      <c r="T274" s="518"/>
      <c r="U274" s="518"/>
      <c r="V274" s="518"/>
      <c r="W274" s="518"/>
      <c r="X274" s="518"/>
      <c r="Y274" s="518"/>
      <c r="Z274" s="518"/>
      <c r="AA274" s="518"/>
      <c r="AB274" s="518"/>
      <c r="AC274" s="518"/>
      <c r="AD274" s="518"/>
      <c r="AE274" s="518"/>
      <c r="AF274" s="518"/>
      <c r="AG274" s="518"/>
      <c r="AH274" s="518"/>
      <c r="AI274" s="518"/>
      <c r="AJ274" s="518"/>
      <c r="AK274" s="518"/>
      <c r="AL274" s="518"/>
      <c r="AM274" s="518"/>
      <c r="AN274" s="518"/>
      <c r="AO274" s="518"/>
      <c r="AP274" s="518"/>
      <c r="AQ274" s="518"/>
      <c r="AR274" s="518"/>
      <c r="AS274" s="495">
        <f ca="1">IF(AND(AV273&gt;=SUMIF(NameConv!$C$5:$C$45,RIGHT(E273,3),NameConv!$CG$5:$CG$45),AT273=SUMIF(NameConv!$G$4:$M$4,LEFT(E273,3),NameConv!$G$45:$M$45)),AS273+1,AS273)</f>
        <v>6</v>
      </c>
      <c r="AT274" s="495">
        <f ca="1">IF(AS274&lt;&gt;AS273,1,IF(AV273&gt;=SUMIF(NameConv!$C$5:$C$45,RIGHT(E273,3),NameConv!$CG$5:$CG$45),AT273+1,AT273))</f>
        <v>10</v>
      </c>
      <c r="AU274" s="495">
        <f ca="1">SUMIF(NameConv!$C$5:$C$45,RIGHT(E274,3),OFFSET(NameConv!$CG$5,0,AV274,NameConv!$A$45,1))</f>
        <v>11</v>
      </c>
      <c r="AV274" s="495">
        <f ca="1">IF(AV273&gt;=SUMIF(NameConv!$C$5:$C$45,RIGHT(E273,3),NameConv!$CG$5:$CG$45),1,AV273+1)</f>
        <v>3</v>
      </c>
    </row>
    <row r="275" spans="1:48">
      <c r="A275" s="422" t="str">
        <f t="shared" ca="1" si="8"/>
        <v/>
      </c>
      <c r="B275" s="515" t="str">
        <f t="shared" si="9"/>
        <v>FLO_EMIS</v>
      </c>
      <c r="C275" s="518" t="str">
        <f ca="1">"X"&amp;OFFSET(NameConv!$F$4,0,AS275)&amp;OFFSET(NameConv!$F$59,AT275,AS275)</f>
        <v>XPWRGRN</v>
      </c>
      <c r="D275" s="515" t="str">
        <f ca="1">OFFSET(NameConv!$F$4,0,AS275)&amp;OFFSET(NameConv!$AX$4,0,AU275)</f>
        <v>PWRNOXR</v>
      </c>
      <c r="E275" s="515" t="str">
        <f ca="1">OFFSET(NameConv!$F$4,0,AS275)&amp;OFFSET(NameConv!$F$59,AT275,AS275)</f>
        <v>PWRGRN</v>
      </c>
      <c r="F275" s="740" t="s">
        <v>334</v>
      </c>
      <c r="G275" s="515" t="s">
        <v>337</v>
      </c>
      <c r="H275" s="740" t="s">
        <v>334</v>
      </c>
      <c r="I275" s="516">
        <v>0</v>
      </c>
      <c r="J275" s="517">
        <f ca="1">IF(E275="TRAOKE",0,SUMIF(NameConv!$C$5:$C$45,RIGHT(E275,3),OFFSET(NameConv!$AX$5,0,AU275,NameConv!$A$45,1)))</f>
        <v>0.15</v>
      </c>
      <c r="K275" s="518"/>
      <c r="L275" s="518"/>
      <c r="M275" s="518"/>
      <c r="N275" s="518"/>
      <c r="O275" s="518"/>
      <c r="P275" s="518"/>
      <c r="Q275" s="518"/>
      <c r="R275" s="518"/>
      <c r="S275" s="518"/>
      <c r="T275" s="518"/>
      <c r="U275" s="518"/>
      <c r="V275" s="518"/>
      <c r="W275" s="518"/>
      <c r="X275" s="518"/>
      <c r="Y275" s="518"/>
      <c r="Z275" s="518"/>
      <c r="AA275" s="518"/>
      <c r="AB275" s="518"/>
      <c r="AC275" s="518"/>
      <c r="AD275" s="518"/>
      <c r="AE275" s="518"/>
      <c r="AF275" s="518"/>
      <c r="AG275" s="518"/>
      <c r="AH275" s="518"/>
      <c r="AI275" s="518"/>
      <c r="AJ275" s="518"/>
      <c r="AK275" s="518"/>
      <c r="AL275" s="518"/>
      <c r="AM275" s="518"/>
      <c r="AN275" s="518"/>
      <c r="AO275" s="518"/>
      <c r="AP275" s="518"/>
      <c r="AQ275" s="518"/>
      <c r="AR275" s="518"/>
      <c r="AS275" s="495">
        <f ca="1">IF(AND(AV274&gt;=SUMIF(NameConv!$C$5:$C$45,RIGHT(E274,3),NameConv!$CG$5:$CG$45),AT274=SUMIF(NameConv!$G$4:$M$4,LEFT(E274,3),NameConv!$G$45:$M$45)),AS274+1,AS274)</f>
        <v>6</v>
      </c>
      <c r="AT275" s="495">
        <f ca="1">IF(AS275&lt;&gt;AS274,1,IF(AV274&gt;=SUMIF(NameConv!$C$5:$C$45,RIGHT(E274,3),NameConv!$CG$5:$CG$45),AT274+1,AT274))</f>
        <v>10</v>
      </c>
      <c r="AU275" s="495">
        <f ca="1">SUMIF(NameConv!$C$5:$C$45,RIGHT(E275,3),OFFSET(NameConv!$CG$5,0,AV275,NameConv!$A$45,1))</f>
        <v>13</v>
      </c>
      <c r="AV275" s="495">
        <f ca="1">IF(AV274&gt;=SUMIF(NameConv!$C$5:$C$45,RIGHT(E274,3),NameConv!$CG$5:$CG$45),1,AV274+1)</f>
        <v>4</v>
      </c>
    </row>
    <row r="276" spans="1:48">
      <c r="A276" s="422" t="str">
        <f t="shared" ca="1" si="8"/>
        <v/>
      </c>
      <c r="B276" s="515" t="str">
        <f t="shared" si="9"/>
        <v>FLO_EMIS</v>
      </c>
      <c r="C276" s="518" t="str">
        <f ca="1">"X"&amp;OFFSET(NameConv!$F$4,0,AS276)&amp;OFFSET(NameConv!$F$59,AT276,AS276)</f>
        <v>XPWRGRN</v>
      </c>
      <c r="D276" s="515" t="str">
        <f ca="1">OFFSET(NameConv!$F$4,0,AS276)&amp;OFFSET(NameConv!$AX$4,0,AU276)</f>
        <v>PWRCMOR</v>
      </c>
      <c r="E276" s="515" t="str">
        <f ca="1">OFFSET(NameConv!$F$4,0,AS276)&amp;OFFSET(NameConv!$F$59,AT276,AS276)</f>
        <v>PWRGRN</v>
      </c>
      <c r="F276" s="740" t="s">
        <v>334</v>
      </c>
      <c r="G276" s="515" t="s">
        <v>337</v>
      </c>
      <c r="H276" s="740" t="s">
        <v>334</v>
      </c>
      <c r="I276" s="516">
        <v>0</v>
      </c>
      <c r="J276" s="517">
        <f ca="1">IF(E276="TRAOKE",0,SUMIF(NameConv!$C$5:$C$45,RIGHT(E276,3),OFFSET(NameConv!$AX$5,0,AU276,NameConv!$A$45,1)))</f>
        <v>0.02</v>
      </c>
      <c r="K276" s="518"/>
      <c r="L276" s="518"/>
      <c r="M276" s="518"/>
      <c r="N276" s="518"/>
      <c r="O276" s="518"/>
      <c r="P276" s="518"/>
      <c r="Q276" s="518"/>
      <c r="R276" s="518"/>
      <c r="S276" s="518"/>
      <c r="T276" s="518"/>
      <c r="U276" s="518"/>
      <c r="V276" s="518"/>
      <c r="W276" s="518"/>
      <c r="X276" s="518"/>
      <c r="Y276" s="518"/>
      <c r="Z276" s="518"/>
      <c r="AA276" s="518"/>
      <c r="AB276" s="518"/>
      <c r="AC276" s="518"/>
      <c r="AD276" s="518"/>
      <c r="AE276" s="518"/>
      <c r="AF276" s="518"/>
      <c r="AG276" s="518"/>
      <c r="AH276" s="518"/>
      <c r="AI276" s="518"/>
      <c r="AJ276" s="518"/>
      <c r="AK276" s="518"/>
      <c r="AL276" s="518"/>
      <c r="AM276" s="518"/>
      <c r="AN276" s="518"/>
      <c r="AO276" s="518"/>
      <c r="AP276" s="518"/>
      <c r="AQ276" s="518"/>
      <c r="AR276" s="518"/>
      <c r="AS276" s="495">
        <f ca="1">IF(AND(AV275&gt;=SUMIF(NameConv!$C$5:$C$45,RIGHT(E275,3),NameConv!$CG$5:$CG$45),AT275=SUMIF(NameConv!$G$4:$M$4,LEFT(E275,3),NameConv!$G$45:$M$45)),AS275+1,AS275)</f>
        <v>6</v>
      </c>
      <c r="AT276" s="495">
        <f ca="1">IF(AS276&lt;&gt;AS275,1,IF(AV275&gt;=SUMIF(NameConv!$C$5:$C$45,RIGHT(E275,3),NameConv!$CG$5:$CG$45),AT275+1,AT275))</f>
        <v>10</v>
      </c>
      <c r="AU276" s="495">
        <f ca="1">SUMIF(NameConv!$C$5:$C$45,RIGHT(E276,3),OFFSET(NameConv!$CG$5,0,AV276,NameConv!$A$45,1))</f>
        <v>14</v>
      </c>
      <c r="AV276" s="495">
        <f ca="1">IF(AV275&gt;=SUMIF(NameConv!$C$5:$C$45,RIGHT(E275,3),NameConv!$CG$5:$CG$45),1,AV275+1)</f>
        <v>5</v>
      </c>
    </row>
    <row r="277" spans="1:48">
      <c r="A277" s="422" t="str">
        <f t="shared" ca="1" si="8"/>
        <v/>
      </c>
      <c r="B277" s="515" t="str">
        <f t="shared" si="9"/>
        <v>FLO_EMIS</v>
      </c>
      <c r="C277" s="518" t="str">
        <f ca="1">"X"&amp;OFFSET(NameConv!$F$4,0,AS277)&amp;OFFSET(NameConv!$F$59,AT277,AS277)</f>
        <v>XPWRGRN</v>
      </c>
      <c r="D277" s="515" t="str">
        <f ca="1">OFFSET(NameConv!$F$4,0,AS277)&amp;OFFSET(NameConv!$AX$4,0,AU277)</f>
        <v>PWRNMVR</v>
      </c>
      <c r="E277" s="515" t="str">
        <f ca="1">OFFSET(NameConv!$F$4,0,AS277)&amp;OFFSET(NameConv!$F$59,AT277,AS277)</f>
        <v>PWRGRN</v>
      </c>
      <c r="F277" s="740" t="s">
        <v>334</v>
      </c>
      <c r="G277" s="515" t="s">
        <v>337</v>
      </c>
      <c r="H277" s="740" t="s">
        <v>334</v>
      </c>
      <c r="I277" s="516">
        <v>0</v>
      </c>
      <c r="J277" s="517">
        <f ca="1">IF(E277="TRAOKE",0,SUMIF(NameConv!$C$5:$C$45,RIGHT(E277,3),OFFSET(NameConv!$AX$5,0,AU277,NameConv!$A$45,1)))</f>
        <v>5.0000000000000001E-3</v>
      </c>
      <c r="K277" s="518"/>
      <c r="L277" s="518"/>
      <c r="M277" s="518"/>
      <c r="N277" s="518"/>
      <c r="O277" s="518"/>
      <c r="P277" s="518"/>
      <c r="Q277" s="518"/>
      <c r="R277" s="518"/>
      <c r="S277" s="518"/>
      <c r="T277" s="518"/>
      <c r="U277" s="518"/>
      <c r="V277" s="518"/>
      <c r="W277" s="518"/>
      <c r="X277" s="518"/>
      <c r="Y277" s="518"/>
      <c r="Z277" s="518"/>
      <c r="AA277" s="518"/>
      <c r="AB277" s="518"/>
      <c r="AC277" s="518"/>
      <c r="AD277" s="518"/>
      <c r="AE277" s="518"/>
      <c r="AF277" s="518"/>
      <c r="AG277" s="518"/>
      <c r="AH277" s="518"/>
      <c r="AI277" s="518"/>
      <c r="AJ277" s="518"/>
      <c r="AK277" s="518"/>
      <c r="AL277" s="518"/>
      <c r="AM277" s="518"/>
      <c r="AN277" s="518"/>
      <c r="AO277" s="518"/>
      <c r="AP277" s="518"/>
      <c r="AQ277" s="518"/>
      <c r="AR277" s="518"/>
      <c r="AS277" s="495">
        <f ca="1">IF(AND(AV276&gt;=SUMIF(NameConv!$C$5:$C$45,RIGHT(E276,3),NameConv!$CG$5:$CG$45),AT276=SUMIF(NameConv!$G$4:$M$4,LEFT(E276,3),NameConv!$G$45:$M$45)),AS276+1,AS276)</f>
        <v>6</v>
      </c>
      <c r="AT277" s="495">
        <f ca="1">IF(AS277&lt;&gt;AS276,1,IF(AV276&gt;=SUMIF(NameConv!$C$5:$C$45,RIGHT(E276,3),NameConv!$CG$5:$CG$45),AT276+1,AT276))</f>
        <v>10</v>
      </c>
      <c r="AU277" s="495">
        <f ca="1">SUMIF(NameConv!$C$5:$C$45,RIGHT(E277,3),OFFSET(NameConv!$CG$5,0,AV277,NameConv!$A$45,1))</f>
        <v>15</v>
      </c>
      <c r="AV277" s="495">
        <f ca="1">IF(AV276&gt;=SUMIF(NameConv!$C$5:$C$45,RIGHT(E276,3),NameConv!$CG$5:$CG$45),1,AV276+1)</f>
        <v>6</v>
      </c>
    </row>
    <row r="278" spans="1:48">
      <c r="A278" s="422" t="str">
        <f t="shared" ca="1" si="8"/>
        <v/>
      </c>
      <c r="B278" s="515" t="str">
        <f t="shared" si="9"/>
        <v>FLO_EMIS</v>
      </c>
      <c r="C278" s="518" t="str">
        <f ca="1">"X"&amp;OFFSET(NameConv!$F$4,0,AS278)&amp;OFFSET(NameConv!$F$59,AT278,AS278)</f>
        <v>XPWRGRM</v>
      </c>
      <c r="D278" s="515" t="str">
        <f ca="1">OFFSET(NameConv!$F$4,0,AS278)&amp;OFFSET(NameConv!$AX$4,0,AU278)</f>
        <v>PWRCO2R</v>
      </c>
      <c r="E278" s="515" t="str">
        <f ca="1">OFFSET(NameConv!$F$4,0,AS278)&amp;OFFSET(NameConv!$F$59,AT278,AS278)</f>
        <v>PWRGRM</v>
      </c>
      <c r="F278" s="740" t="s">
        <v>334</v>
      </c>
      <c r="G278" s="515" t="s">
        <v>337</v>
      </c>
      <c r="H278" s="740" t="s">
        <v>334</v>
      </c>
      <c r="I278" s="516">
        <v>0</v>
      </c>
      <c r="J278" s="517">
        <f ca="1">IF(E278="TRAOKE",0,SUMIF(NameConv!$C$5:$C$45,RIGHT(E278,3),OFFSET(NameConv!$AX$5,0,AU278,NameConv!$A$45,1)))</f>
        <v>56.1</v>
      </c>
      <c r="K278" s="518"/>
      <c r="L278" s="518"/>
      <c r="M278" s="518"/>
      <c r="N278" s="518"/>
      <c r="O278" s="518"/>
      <c r="P278" s="518"/>
      <c r="Q278" s="518"/>
      <c r="R278" s="518"/>
      <c r="S278" s="518"/>
      <c r="T278" s="518"/>
      <c r="U278" s="518"/>
      <c r="V278" s="518"/>
      <c r="W278" s="518"/>
      <c r="X278" s="518"/>
      <c r="Y278" s="518"/>
      <c r="Z278" s="518"/>
      <c r="AA278" s="518"/>
      <c r="AB278" s="518"/>
      <c r="AC278" s="518"/>
      <c r="AD278" s="518"/>
      <c r="AE278" s="518"/>
      <c r="AF278" s="518"/>
      <c r="AG278" s="518"/>
      <c r="AH278" s="518"/>
      <c r="AI278" s="518"/>
      <c r="AJ278" s="518"/>
      <c r="AK278" s="518"/>
      <c r="AL278" s="518"/>
      <c r="AM278" s="518"/>
      <c r="AN278" s="518"/>
      <c r="AO278" s="518"/>
      <c r="AP278" s="518"/>
      <c r="AQ278" s="518"/>
      <c r="AR278" s="518"/>
      <c r="AS278" s="495">
        <f ca="1">IF(AND(AV277&gt;=SUMIF(NameConv!$C$5:$C$45,RIGHT(E277,3),NameConv!$CG$5:$CG$45),AT277=SUMIF(NameConv!$G$4:$M$4,LEFT(E277,3),NameConv!$G$45:$M$45)),AS277+1,AS277)</f>
        <v>6</v>
      </c>
      <c r="AT278" s="495">
        <f ca="1">IF(AS278&lt;&gt;AS277,1,IF(AV277&gt;=SUMIF(NameConv!$C$5:$C$45,RIGHT(E277,3),NameConv!$CG$5:$CG$45),AT277+1,AT277))</f>
        <v>11</v>
      </c>
      <c r="AU278" s="495">
        <f ca="1">SUMIF(NameConv!$C$5:$C$45,RIGHT(E278,3),OFFSET(NameConv!$CG$5,0,AV278,NameConv!$A$45,1))</f>
        <v>9</v>
      </c>
      <c r="AV278" s="495">
        <f ca="1">IF(AV277&gt;=SUMIF(NameConv!$C$5:$C$45,RIGHT(E277,3),NameConv!$CG$5:$CG$45),1,AV277+1)</f>
        <v>1</v>
      </c>
    </row>
    <row r="279" spans="1:48">
      <c r="A279" s="422" t="str">
        <f t="shared" ca="1" si="8"/>
        <v/>
      </c>
      <c r="B279" s="515" t="str">
        <f t="shared" si="9"/>
        <v>FLO_EMIS</v>
      </c>
      <c r="C279" s="518" t="str">
        <f ca="1">"X"&amp;OFFSET(NameConv!$F$4,0,AS279)&amp;OFFSET(NameConv!$F$59,AT279,AS279)</f>
        <v>XPWRGRM</v>
      </c>
      <c r="D279" s="515" t="str">
        <f ca="1">OFFSET(NameConv!$F$4,0,AS279)&amp;OFFSET(NameConv!$AX$4,0,AU279)</f>
        <v>PWRCH4R</v>
      </c>
      <c r="E279" s="515" t="str">
        <f ca="1">OFFSET(NameConv!$F$4,0,AS279)&amp;OFFSET(NameConv!$F$59,AT279,AS279)</f>
        <v>PWRGRM</v>
      </c>
      <c r="F279" s="740" t="s">
        <v>334</v>
      </c>
      <c r="G279" s="515" t="s">
        <v>337</v>
      </c>
      <c r="H279" s="740" t="s">
        <v>334</v>
      </c>
      <c r="I279" s="516">
        <v>0</v>
      </c>
      <c r="J279" s="517">
        <f ca="1">IF(E279="TRAOKE",0,SUMIF(NameConv!$C$5:$C$45,RIGHT(E279,3),OFFSET(NameConv!$AX$5,0,AU279,NameConv!$A$45,1)))</f>
        <v>1E-3</v>
      </c>
      <c r="K279" s="518"/>
      <c r="L279" s="518"/>
      <c r="M279" s="518"/>
      <c r="N279" s="518"/>
      <c r="O279" s="518"/>
      <c r="P279" s="518"/>
      <c r="Q279" s="518"/>
      <c r="R279" s="518"/>
      <c r="S279" s="518"/>
      <c r="T279" s="518"/>
      <c r="U279" s="518"/>
      <c r="V279" s="518"/>
      <c r="W279" s="518"/>
      <c r="X279" s="518"/>
      <c r="Y279" s="518"/>
      <c r="Z279" s="518"/>
      <c r="AA279" s="518"/>
      <c r="AB279" s="518"/>
      <c r="AC279" s="518"/>
      <c r="AD279" s="518"/>
      <c r="AE279" s="518"/>
      <c r="AF279" s="518"/>
      <c r="AG279" s="518"/>
      <c r="AH279" s="518"/>
      <c r="AI279" s="518"/>
      <c r="AJ279" s="518"/>
      <c r="AK279" s="518"/>
      <c r="AL279" s="518"/>
      <c r="AM279" s="518"/>
      <c r="AN279" s="518"/>
      <c r="AO279" s="518"/>
      <c r="AP279" s="518"/>
      <c r="AQ279" s="518"/>
      <c r="AR279" s="518"/>
      <c r="AS279" s="495">
        <f ca="1">IF(AND(AV278&gt;=SUMIF(NameConv!$C$5:$C$45,RIGHT(E278,3),NameConv!$CG$5:$CG$45),AT278=SUMIF(NameConv!$G$4:$M$4,LEFT(E278,3),NameConv!$G$45:$M$45)),AS278+1,AS278)</f>
        <v>6</v>
      </c>
      <c r="AT279" s="495">
        <f ca="1">IF(AS279&lt;&gt;AS278,1,IF(AV278&gt;=SUMIF(NameConv!$C$5:$C$45,RIGHT(E278,3),NameConv!$CG$5:$CG$45),AT278+1,AT278))</f>
        <v>11</v>
      </c>
      <c r="AU279" s="495">
        <f ca="1">SUMIF(NameConv!$C$5:$C$45,RIGHT(E279,3),OFFSET(NameConv!$CG$5,0,AV279,NameConv!$A$45,1))</f>
        <v>10</v>
      </c>
      <c r="AV279" s="495">
        <f ca="1">IF(AV278&gt;=SUMIF(NameConv!$C$5:$C$45,RIGHT(E278,3),NameConv!$CG$5:$CG$45),1,AV278+1)</f>
        <v>2</v>
      </c>
    </row>
    <row r="280" spans="1:48">
      <c r="A280" s="422" t="str">
        <f t="shared" ca="1" si="8"/>
        <v/>
      </c>
      <c r="B280" s="515" t="str">
        <f t="shared" si="9"/>
        <v>FLO_EMIS</v>
      </c>
      <c r="C280" s="518" t="str">
        <f ca="1">"X"&amp;OFFSET(NameConv!$F$4,0,AS280)&amp;OFFSET(NameConv!$F$59,AT280,AS280)</f>
        <v>XPWRGRM</v>
      </c>
      <c r="D280" s="515" t="str">
        <f ca="1">OFFSET(NameConv!$F$4,0,AS280)&amp;OFFSET(NameConv!$AX$4,0,AU280)</f>
        <v>PWRN2OR</v>
      </c>
      <c r="E280" s="515" t="str">
        <f ca="1">OFFSET(NameConv!$F$4,0,AS280)&amp;OFFSET(NameConv!$F$59,AT280,AS280)</f>
        <v>PWRGRM</v>
      </c>
      <c r="F280" s="740" t="s">
        <v>334</v>
      </c>
      <c r="G280" s="515" t="s">
        <v>337</v>
      </c>
      <c r="H280" s="740" t="s">
        <v>334</v>
      </c>
      <c r="I280" s="516">
        <v>0</v>
      </c>
      <c r="J280" s="517">
        <f ca="1">IF(E280="TRAOKE",0,SUMIF(NameConv!$C$5:$C$45,RIGHT(E280,3),OFFSET(NameConv!$AX$5,0,AU280,NameConv!$A$45,1)))</f>
        <v>1E-4</v>
      </c>
      <c r="K280" s="518"/>
      <c r="L280" s="518"/>
      <c r="M280" s="518"/>
      <c r="N280" s="518"/>
      <c r="O280" s="518"/>
      <c r="P280" s="518"/>
      <c r="Q280" s="518"/>
      <c r="R280" s="518"/>
      <c r="S280" s="518"/>
      <c r="T280" s="518"/>
      <c r="U280" s="518"/>
      <c r="V280" s="518"/>
      <c r="W280" s="518"/>
      <c r="X280" s="518"/>
      <c r="Y280" s="518"/>
      <c r="Z280" s="518"/>
      <c r="AA280" s="518"/>
      <c r="AB280" s="518"/>
      <c r="AC280" s="518"/>
      <c r="AD280" s="518"/>
      <c r="AE280" s="518"/>
      <c r="AF280" s="518"/>
      <c r="AG280" s="518"/>
      <c r="AH280" s="518"/>
      <c r="AI280" s="518"/>
      <c r="AJ280" s="518"/>
      <c r="AK280" s="518"/>
      <c r="AL280" s="518"/>
      <c r="AM280" s="518"/>
      <c r="AN280" s="518"/>
      <c r="AO280" s="518"/>
      <c r="AP280" s="518"/>
      <c r="AQ280" s="518"/>
      <c r="AR280" s="518"/>
      <c r="AS280" s="495">
        <f ca="1">IF(AND(AV279&gt;=SUMIF(NameConv!$C$5:$C$45,RIGHT(E279,3),NameConv!$CG$5:$CG$45),AT279=SUMIF(NameConv!$G$4:$M$4,LEFT(E279,3),NameConv!$G$45:$M$45)),AS279+1,AS279)</f>
        <v>6</v>
      </c>
      <c r="AT280" s="495">
        <f ca="1">IF(AS280&lt;&gt;AS279,1,IF(AV279&gt;=SUMIF(NameConv!$C$5:$C$45,RIGHT(E279,3),NameConv!$CG$5:$CG$45),AT279+1,AT279))</f>
        <v>11</v>
      </c>
      <c r="AU280" s="495">
        <f ca="1">SUMIF(NameConv!$C$5:$C$45,RIGHT(E280,3),OFFSET(NameConv!$CG$5,0,AV280,NameConv!$A$45,1))</f>
        <v>11</v>
      </c>
      <c r="AV280" s="495">
        <f ca="1">IF(AV279&gt;=SUMIF(NameConv!$C$5:$C$45,RIGHT(E279,3),NameConv!$CG$5:$CG$45),1,AV279+1)</f>
        <v>3</v>
      </c>
    </row>
    <row r="281" spans="1:48">
      <c r="A281" s="422" t="str">
        <f t="shared" ca="1" si="8"/>
        <v/>
      </c>
      <c r="B281" s="515" t="str">
        <f t="shared" si="9"/>
        <v>FLO_EMIS</v>
      </c>
      <c r="C281" s="518" t="str">
        <f ca="1">"X"&amp;OFFSET(NameConv!$F$4,0,AS281)&amp;OFFSET(NameConv!$F$59,AT281,AS281)</f>
        <v>XPWRGRM</v>
      </c>
      <c r="D281" s="515" t="str">
        <f ca="1">OFFSET(NameConv!$F$4,0,AS281)&amp;OFFSET(NameConv!$AX$4,0,AU281)</f>
        <v>PWRNOXR</v>
      </c>
      <c r="E281" s="515" t="str">
        <f ca="1">OFFSET(NameConv!$F$4,0,AS281)&amp;OFFSET(NameConv!$F$59,AT281,AS281)</f>
        <v>PWRGRM</v>
      </c>
      <c r="F281" s="740" t="s">
        <v>334</v>
      </c>
      <c r="G281" s="515" t="s">
        <v>337</v>
      </c>
      <c r="H281" s="740" t="s">
        <v>334</v>
      </c>
      <c r="I281" s="516">
        <v>0</v>
      </c>
      <c r="J281" s="517">
        <f ca="1">IF(E281="TRAOKE",0,SUMIF(NameConv!$C$5:$C$45,RIGHT(E281,3),OFFSET(NameConv!$AX$5,0,AU281,NameConv!$A$45,1)))</f>
        <v>0.15</v>
      </c>
      <c r="K281" s="518"/>
      <c r="L281" s="518"/>
      <c r="M281" s="518"/>
      <c r="N281" s="518"/>
      <c r="O281" s="518"/>
      <c r="P281" s="518"/>
      <c r="Q281" s="518"/>
      <c r="R281" s="518"/>
      <c r="S281" s="518"/>
      <c r="T281" s="518"/>
      <c r="U281" s="518"/>
      <c r="V281" s="518"/>
      <c r="W281" s="518"/>
      <c r="X281" s="518"/>
      <c r="Y281" s="518"/>
      <c r="Z281" s="518"/>
      <c r="AA281" s="518"/>
      <c r="AB281" s="518"/>
      <c r="AC281" s="518"/>
      <c r="AD281" s="518"/>
      <c r="AE281" s="518"/>
      <c r="AF281" s="518"/>
      <c r="AG281" s="518"/>
      <c r="AH281" s="518"/>
      <c r="AI281" s="518"/>
      <c r="AJ281" s="518"/>
      <c r="AK281" s="518"/>
      <c r="AL281" s="518"/>
      <c r="AM281" s="518"/>
      <c r="AN281" s="518"/>
      <c r="AO281" s="518"/>
      <c r="AP281" s="518"/>
      <c r="AQ281" s="518"/>
      <c r="AR281" s="518"/>
      <c r="AS281" s="495">
        <f ca="1">IF(AND(AV280&gt;=SUMIF(NameConv!$C$5:$C$45,RIGHT(E280,3),NameConv!$CG$5:$CG$45),AT280=SUMIF(NameConv!$G$4:$M$4,LEFT(E280,3),NameConv!$G$45:$M$45)),AS280+1,AS280)</f>
        <v>6</v>
      </c>
      <c r="AT281" s="495">
        <f ca="1">IF(AS281&lt;&gt;AS280,1,IF(AV280&gt;=SUMIF(NameConv!$C$5:$C$45,RIGHT(E280,3),NameConv!$CG$5:$CG$45),AT280+1,AT280))</f>
        <v>11</v>
      </c>
      <c r="AU281" s="495">
        <f ca="1">SUMIF(NameConv!$C$5:$C$45,RIGHT(E281,3),OFFSET(NameConv!$CG$5,0,AV281,NameConv!$A$45,1))</f>
        <v>13</v>
      </c>
      <c r="AV281" s="495">
        <f ca="1">IF(AV280&gt;=SUMIF(NameConv!$C$5:$C$45,RIGHT(E280,3),NameConv!$CG$5:$CG$45),1,AV280+1)</f>
        <v>4</v>
      </c>
    </row>
    <row r="282" spans="1:48">
      <c r="A282" s="422" t="str">
        <f t="shared" ca="1" si="8"/>
        <v/>
      </c>
      <c r="B282" s="515" t="str">
        <f t="shared" si="9"/>
        <v>FLO_EMIS</v>
      </c>
      <c r="C282" s="518" t="str">
        <f ca="1">"X"&amp;OFFSET(NameConv!$F$4,0,AS282)&amp;OFFSET(NameConv!$F$59,AT282,AS282)</f>
        <v>XPWRGRM</v>
      </c>
      <c r="D282" s="515" t="str">
        <f ca="1">OFFSET(NameConv!$F$4,0,AS282)&amp;OFFSET(NameConv!$AX$4,0,AU282)</f>
        <v>PWRCMOR</v>
      </c>
      <c r="E282" s="515" t="str">
        <f ca="1">OFFSET(NameConv!$F$4,0,AS282)&amp;OFFSET(NameConv!$F$59,AT282,AS282)</f>
        <v>PWRGRM</v>
      </c>
      <c r="F282" s="740" t="s">
        <v>334</v>
      </c>
      <c r="G282" s="515" t="s">
        <v>337</v>
      </c>
      <c r="H282" s="740" t="s">
        <v>334</v>
      </c>
      <c r="I282" s="516">
        <v>0</v>
      </c>
      <c r="J282" s="517">
        <f ca="1">IF(E282="TRAOKE",0,SUMIF(NameConv!$C$5:$C$45,RIGHT(E282,3),OFFSET(NameConv!$AX$5,0,AU282,NameConv!$A$45,1)))</f>
        <v>0.02</v>
      </c>
      <c r="K282" s="518"/>
      <c r="L282" s="518"/>
      <c r="M282" s="518"/>
      <c r="N282" s="518"/>
      <c r="O282" s="518"/>
      <c r="P282" s="518"/>
      <c r="Q282" s="518"/>
      <c r="R282" s="518"/>
      <c r="S282" s="518"/>
      <c r="T282" s="518"/>
      <c r="U282" s="518"/>
      <c r="V282" s="518"/>
      <c r="W282" s="518"/>
      <c r="X282" s="518"/>
      <c r="Y282" s="518"/>
      <c r="Z282" s="518"/>
      <c r="AA282" s="518"/>
      <c r="AB282" s="518"/>
      <c r="AC282" s="518"/>
      <c r="AD282" s="518"/>
      <c r="AE282" s="518"/>
      <c r="AF282" s="518"/>
      <c r="AG282" s="518"/>
      <c r="AH282" s="518"/>
      <c r="AI282" s="518"/>
      <c r="AJ282" s="518"/>
      <c r="AK282" s="518"/>
      <c r="AL282" s="518"/>
      <c r="AM282" s="518"/>
      <c r="AN282" s="518"/>
      <c r="AO282" s="518"/>
      <c r="AP282" s="518"/>
      <c r="AQ282" s="518"/>
      <c r="AR282" s="518"/>
      <c r="AS282" s="495">
        <f ca="1">IF(AND(AV281&gt;=SUMIF(NameConv!$C$5:$C$45,RIGHT(E281,3),NameConv!$CG$5:$CG$45),AT281=SUMIF(NameConv!$G$4:$M$4,LEFT(E281,3),NameConv!$G$45:$M$45)),AS281+1,AS281)</f>
        <v>6</v>
      </c>
      <c r="AT282" s="495">
        <f ca="1">IF(AS282&lt;&gt;AS281,1,IF(AV281&gt;=SUMIF(NameConv!$C$5:$C$45,RIGHT(E281,3),NameConv!$CG$5:$CG$45),AT281+1,AT281))</f>
        <v>11</v>
      </c>
      <c r="AU282" s="495">
        <f ca="1">SUMIF(NameConv!$C$5:$C$45,RIGHT(E282,3),OFFSET(NameConv!$CG$5,0,AV282,NameConv!$A$45,1))</f>
        <v>14</v>
      </c>
      <c r="AV282" s="495">
        <f ca="1">IF(AV281&gt;=SUMIF(NameConv!$C$5:$C$45,RIGHT(E281,3),NameConv!$CG$5:$CG$45),1,AV281+1)</f>
        <v>5</v>
      </c>
    </row>
    <row r="283" spans="1:48">
      <c r="A283" s="422" t="str">
        <f t="shared" ca="1" si="8"/>
        <v/>
      </c>
      <c r="B283" s="515" t="str">
        <f t="shared" si="9"/>
        <v>FLO_EMIS</v>
      </c>
      <c r="C283" s="518" t="str">
        <f ca="1">"X"&amp;OFFSET(NameConv!$F$4,0,AS283)&amp;OFFSET(NameConv!$F$59,AT283,AS283)</f>
        <v>XPWRGRM</v>
      </c>
      <c r="D283" s="515" t="str">
        <f ca="1">OFFSET(NameConv!$F$4,0,AS283)&amp;OFFSET(NameConv!$AX$4,0,AU283)</f>
        <v>PWRNMVR</v>
      </c>
      <c r="E283" s="515" t="str">
        <f ca="1">OFFSET(NameConv!$F$4,0,AS283)&amp;OFFSET(NameConv!$F$59,AT283,AS283)</f>
        <v>PWRGRM</v>
      </c>
      <c r="F283" s="740" t="s">
        <v>334</v>
      </c>
      <c r="G283" s="515" t="s">
        <v>337</v>
      </c>
      <c r="H283" s="740" t="s">
        <v>334</v>
      </c>
      <c r="I283" s="516">
        <v>0</v>
      </c>
      <c r="J283" s="517">
        <f ca="1">IF(E283="TRAOKE",0,SUMIF(NameConv!$C$5:$C$45,RIGHT(E283,3),OFFSET(NameConv!$AX$5,0,AU283,NameConv!$A$45,1)))</f>
        <v>5.0000000000000001E-3</v>
      </c>
      <c r="K283" s="518"/>
      <c r="L283" s="518"/>
      <c r="M283" s="518"/>
      <c r="N283" s="518"/>
      <c r="O283" s="518"/>
      <c r="P283" s="518"/>
      <c r="Q283" s="518"/>
      <c r="R283" s="518"/>
      <c r="S283" s="518"/>
      <c r="T283" s="518"/>
      <c r="U283" s="518"/>
      <c r="V283" s="518"/>
      <c r="W283" s="518"/>
      <c r="X283" s="518"/>
      <c r="Y283" s="518"/>
      <c r="Z283" s="518"/>
      <c r="AA283" s="518"/>
      <c r="AB283" s="518"/>
      <c r="AC283" s="518"/>
      <c r="AD283" s="518"/>
      <c r="AE283" s="518"/>
      <c r="AF283" s="518"/>
      <c r="AG283" s="518"/>
      <c r="AH283" s="518"/>
      <c r="AI283" s="518"/>
      <c r="AJ283" s="518"/>
      <c r="AK283" s="518"/>
      <c r="AL283" s="518"/>
      <c r="AM283" s="518"/>
      <c r="AN283" s="518"/>
      <c r="AO283" s="518"/>
      <c r="AP283" s="518"/>
      <c r="AQ283" s="518"/>
      <c r="AR283" s="518"/>
      <c r="AS283" s="495">
        <f ca="1">IF(AND(AV282&gt;=SUMIF(NameConv!$C$5:$C$45,RIGHT(E282,3),NameConv!$CG$5:$CG$45),AT282=SUMIF(NameConv!$G$4:$M$4,LEFT(E282,3),NameConv!$G$45:$M$45)),AS282+1,AS282)</f>
        <v>6</v>
      </c>
      <c r="AT283" s="495">
        <f ca="1">IF(AS283&lt;&gt;AS282,1,IF(AV282&gt;=SUMIF(NameConv!$C$5:$C$45,RIGHT(E282,3),NameConv!$CG$5:$CG$45),AT282+1,AT282))</f>
        <v>11</v>
      </c>
      <c r="AU283" s="495">
        <f ca="1">SUMIF(NameConv!$C$5:$C$45,RIGHT(E283,3),OFFSET(NameConv!$CG$5,0,AV283,NameConv!$A$45,1))</f>
        <v>15</v>
      </c>
      <c r="AV283" s="495">
        <f ca="1">IF(AV282&gt;=SUMIF(NameConv!$C$5:$C$45,RIGHT(E282,3),NameConv!$CG$5:$CG$45),1,AV282+1)</f>
        <v>6</v>
      </c>
    </row>
    <row r="284" spans="1:48">
      <c r="A284" s="422" t="str">
        <f t="shared" ca="1" si="8"/>
        <v/>
      </c>
      <c r="B284" s="515" t="str">
        <f t="shared" si="9"/>
        <v>FLO_EMIS</v>
      </c>
      <c r="C284" s="518" t="str">
        <f ca="1">"X"&amp;OFFSET(NameConv!$F$4,0,AS284)&amp;OFFSET(NameConv!$F$59,AT284,AS284)</f>
        <v>XPWRGIH</v>
      </c>
      <c r="D284" s="515" t="str">
        <f ca="1">OFFSET(NameConv!$F$4,0,AS284)&amp;OFFSET(NameConv!$AX$4,0,AU284)</f>
        <v>PWRCO2S</v>
      </c>
      <c r="E284" s="515" t="str">
        <f ca="1">OFFSET(NameConv!$F$4,0,AS284)&amp;OFFSET(NameConv!$F$59,AT284,AS284)</f>
        <v>PWRGIH</v>
      </c>
      <c r="F284" s="740" t="s">
        <v>334</v>
      </c>
      <c r="G284" s="515" t="s">
        <v>337</v>
      </c>
      <c r="H284" s="740" t="s">
        <v>334</v>
      </c>
      <c r="I284" s="516">
        <v>0</v>
      </c>
      <c r="J284" s="517">
        <f ca="1">IF(E284="TRAOKE",0,SUMIF(NameConv!$C$5:$C$45,RIGHT(E284,3),OFFSET(NameConv!$AX$5,0,AU284,NameConv!$A$45,1)))</f>
        <v>56.1</v>
      </c>
      <c r="K284" s="518"/>
      <c r="L284" s="518"/>
      <c r="M284" s="518"/>
      <c r="N284" s="518"/>
      <c r="O284" s="518"/>
      <c r="P284" s="518"/>
      <c r="Q284" s="518"/>
      <c r="R284" s="518"/>
      <c r="S284" s="518"/>
      <c r="T284" s="518"/>
      <c r="U284" s="518"/>
      <c r="V284" s="518"/>
      <c r="W284" s="518"/>
      <c r="X284" s="518"/>
      <c r="Y284" s="518"/>
      <c r="Z284" s="518"/>
      <c r="AA284" s="518"/>
      <c r="AB284" s="518"/>
      <c r="AC284" s="518"/>
      <c r="AD284" s="518"/>
      <c r="AE284" s="518"/>
      <c r="AF284" s="518"/>
      <c r="AG284" s="518"/>
      <c r="AH284" s="518"/>
      <c r="AI284" s="518"/>
      <c r="AJ284" s="518"/>
      <c r="AK284" s="518"/>
      <c r="AL284" s="518"/>
      <c r="AM284" s="518"/>
      <c r="AN284" s="518"/>
      <c r="AO284" s="518"/>
      <c r="AP284" s="518"/>
      <c r="AQ284" s="518"/>
      <c r="AR284" s="518"/>
      <c r="AS284" s="495">
        <f ca="1">IF(AND(AV283&gt;=SUMIF(NameConv!$C$5:$C$45,RIGHT(E283,3),NameConv!$CG$5:$CG$45),AT283=SUMIF(NameConv!$G$4:$M$4,LEFT(E283,3),NameConv!$G$45:$M$45)),AS283+1,AS283)</f>
        <v>6</v>
      </c>
      <c r="AT284" s="495">
        <f ca="1">IF(AS284&lt;&gt;AS283,1,IF(AV283&gt;=SUMIF(NameConv!$C$5:$C$45,RIGHT(E283,3),NameConv!$CG$5:$CG$45),AT283+1,AT283))</f>
        <v>12</v>
      </c>
      <c r="AU284" s="495">
        <f ca="1">SUMIF(NameConv!$C$5:$C$45,RIGHT(E284,3),OFFSET(NameConv!$CG$5,0,AV284,NameConv!$A$45,1))</f>
        <v>1</v>
      </c>
      <c r="AV284" s="495">
        <f ca="1">IF(AV283&gt;=SUMIF(NameConv!$C$5:$C$45,RIGHT(E283,3),NameConv!$CG$5:$CG$45),1,AV283+1)</f>
        <v>1</v>
      </c>
    </row>
    <row r="285" spans="1:48">
      <c r="A285" s="422" t="str">
        <f t="shared" ca="1" si="8"/>
        <v/>
      </c>
      <c r="B285" s="515" t="str">
        <f t="shared" si="9"/>
        <v>FLO_EMIS</v>
      </c>
      <c r="C285" s="518" t="str">
        <f ca="1">"X"&amp;OFFSET(NameConv!$F$4,0,AS285)&amp;OFFSET(NameConv!$F$59,AT285,AS285)</f>
        <v>XPWRGIH</v>
      </c>
      <c r="D285" s="515" t="str">
        <f ca="1">OFFSET(NameConv!$F$4,0,AS285)&amp;OFFSET(NameConv!$AX$4,0,AU285)</f>
        <v>PWRCH4S</v>
      </c>
      <c r="E285" s="515" t="str">
        <f ca="1">OFFSET(NameConv!$F$4,0,AS285)&amp;OFFSET(NameConv!$F$59,AT285,AS285)</f>
        <v>PWRGIH</v>
      </c>
      <c r="F285" s="740" t="s">
        <v>334</v>
      </c>
      <c r="G285" s="515" t="s">
        <v>337</v>
      </c>
      <c r="H285" s="740" t="s">
        <v>334</v>
      </c>
      <c r="I285" s="516">
        <v>0</v>
      </c>
      <c r="J285" s="517">
        <f ca="1">IF(E285="TRAOKE",0,SUMIF(NameConv!$C$5:$C$45,RIGHT(E285,3),OFFSET(NameConv!$AX$5,0,AU285,NameConv!$A$45,1)))</f>
        <v>1E-3</v>
      </c>
      <c r="K285" s="518"/>
      <c r="L285" s="518"/>
      <c r="M285" s="518"/>
      <c r="N285" s="518"/>
      <c r="O285" s="518"/>
      <c r="P285" s="518"/>
      <c r="Q285" s="518"/>
      <c r="R285" s="518"/>
      <c r="S285" s="518"/>
      <c r="T285" s="518"/>
      <c r="U285" s="518"/>
      <c r="V285" s="518"/>
      <c r="W285" s="518"/>
      <c r="X285" s="518"/>
      <c r="Y285" s="518"/>
      <c r="Z285" s="518"/>
      <c r="AA285" s="518"/>
      <c r="AB285" s="518"/>
      <c r="AC285" s="518"/>
      <c r="AD285" s="518"/>
      <c r="AE285" s="518"/>
      <c r="AF285" s="518"/>
      <c r="AG285" s="518"/>
      <c r="AH285" s="518"/>
      <c r="AI285" s="518"/>
      <c r="AJ285" s="518"/>
      <c r="AK285" s="518"/>
      <c r="AL285" s="518"/>
      <c r="AM285" s="518"/>
      <c r="AN285" s="518"/>
      <c r="AO285" s="518"/>
      <c r="AP285" s="518"/>
      <c r="AQ285" s="518"/>
      <c r="AR285" s="518"/>
      <c r="AS285" s="495">
        <f ca="1">IF(AND(AV284&gt;=SUMIF(NameConv!$C$5:$C$45,RIGHT(E284,3),NameConv!$CG$5:$CG$45),AT284=SUMIF(NameConv!$G$4:$M$4,LEFT(E284,3),NameConv!$G$45:$M$45)),AS284+1,AS284)</f>
        <v>6</v>
      </c>
      <c r="AT285" s="495">
        <f ca="1">IF(AS285&lt;&gt;AS284,1,IF(AV284&gt;=SUMIF(NameConv!$C$5:$C$45,RIGHT(E284,3),NameConv!$CG$5:$CG$45),AT284+1,AT284))</f>
        <v>12</v>
      </c>
      <c r="AU285" s="495">
        <f ca="1">SUMIF(NameConv!$C$5:$C$45,RIGHT(E285,3),OFFSET(NameConv!$CG$5,0,AV285,NameConv!$A$45,1))</f>
        <v>2</v>
      </c>
      <c r="AV285" s="495">
        <f ca="1">IF(AV284&gt;=SUMIF(NameConv!$C$5:$C$45,RIGHT(E284,3),NameConv!$CG$5:$CG$45),1,AV284+1)</f>
        <v>2</v>
      </c>
    </row>
    <row r="286" spans="1:48">
      <c r="A286" s="422" t="str">
        <f t="shared" ca="1" si="8"/>
        <v>*</v>
      </c>
      <c r="B286" s="515" t="str">
        <f t="shared" si="9"/>
        <v>FLO_EMIS</v>
      </c>
      <c r="C286" s="518" t="str">
        <f ca="1">"X"&amp;OFFSET(NameConv!$F$4,0,AS286)&amp;OFFSET(NameConv!$F$59,AT286,AS286)</f>
        <v>XPWRGIH</v>
      </c>
      <c r="D286" s="515" t="str">
        <f ca="1">OFFSET(NameConv!$F$4,0,AS286)&amp;OFFSET(NameConv!$AX$4,0,AU286)</f>
        <v>PWRN2OS</v>
      </c>
      <c r="E286" s="515" t="str">
        <f ca="1">OFFSET(NameConv!$F$4,0,AS286)&amp;OFFSET(NameConv!$F$59,AT286,AS286)</f>
        <v>PWRGIH</v>
      </c>
      <c r="F286" s="740" t="s">
        <v>334</v>
      </c>
      <c r="G286" s="515" t="s">
        <v>337</v>
      </c>
      <c r="H286" s="740" t="s">
        <v>334</v>
      </c>
      <c r="I286" s="516">
        <v>0</v>
      </c>
      <c r="J286" s="517">
        <f ca="1">IF(E286="TRAOKE",0,SUMIF(NameConv!$C$5:$C$45,RIGHT(E286,3),OFFSET(NameConv!$AX$5,0,AU286,NameConv!$A$45,1)))</f>
        <v>0</v>
      </c>
      <c r="K286" s="518"/>
      <c r="L286" s="518"/>
      <c r="M286" s="518"/>
      <c r="N286" s="518"/>
      <c r="O286" s="518"/>
      <c r="P286" s="518"/>
      <c r="Q286" s="518"/>
      <c r="R286" s="518"/>
      <c r="S286" s="518"/>
      <c r="T286" s="518"/>
      <c r="U286" s="518"/>
      <c r="V286" s="518"/>
      <c r="W286" s="518"/>
      <c r="X286" s="518"/>
      <c r="Y286" s="518"/>
      <c r="Z286" s="518"/>
      <c r="AA286" s="518"/>
      <c r="AB286" s="518"/>
      <c r="AC286" s="518"/>
      <c r="AD286" s="518"/>
      <c r="AE286" s="518"/>
      <c r="AF286" s="518"/>
      <c r="AG286" s="518"/>
      <c r="AH286" s="518"/>
      <c r="AI286" s="518"/>
      <c r="AJ286" s="518"/>
      <c r="AK286" s="518"/>
      <c r="AL286" s="518"/>
      <c r="AM286" s="518"/>
      <c r="AN286" s="518"/>
      <c r="AO286" s="518"/>
      <c r="AP286" s="518"/>
      <c r="AQ286" s="518"/>
      <c r="AR286" s="518"/>
      <c r="AS286" s="495">
        <f ca="1">IF(AND(AV285&gt;=SUMIF(NameConv!$C$5:$C$45,RIGHT(E285,3),NameConv!$CG$5:$CG$45),AT285=SUMIF(NameConv!$G$4:$M$4,LEFT(E285,3),NameConv!$G$45:$M$45)),AS285+1,AS285)</f>
        <v>6</v>
      </c>
      <c r="AT286" s="495">
        <f ca="1">IF(AS286&lt;&gt;AS285,1,IF(AV285&gt;=SUMIF(NameConv!$C$5:$C$45,RIGHT(E285,3),NameConv!$CG$5:$CG$45),AT285+1,AT285))</f>
        <v>12</v>
      </c>
      <c r="AU286" s="495">
        <f ca="1">SUMIF(NameConv!$C$5:$C$45,RIGHT(E286,3),OFFSET(NameConv!$CG$5,0,AV286,NameConv!$A$45,1))</f>
        <v>3</v>
      </c>
      <c r="AV286" s="495">
        <f ca="1">IF(AV285&gt;=SUMIF(NameConv!$C$5:$C$45,RIGHT(E285,3),NameConv!$CG$5:$CG$45),1,AV285+1)</f>
        <v>3</v>
      </c>
    </row>
    <row r="287" spans="1:48">
      <c r="A287" s="422" t="str">
        <f t="shared" ca="1" si="8"/>
        <v/>
      </c>
      <c r="B287" s="515" t="str">
        <f t="shared" si="9"/>
        <v>FLO_EMIS</v>
      </c>
      <c r="C287" s="518" t="str">
        <f ca="1">"X"&amp;OFFSET(NameConv!$F$4,0,AS287)&amp;OFFSET(NameConv!$F$59,AT287,AS287)</f>
        <v>XPWRGIH</v>
      </c>
      <c r="D287" s="515" t="str">
        <f ca="1">OFFSET(NameConv!$F$4,0,AS287)&amp;OFFSET(NameConv!$AX$4,0,AU287)</f>
        <v>PWRNOXS</v>
      </c>
      <c r="E287" s="515" t="str">
        <f ca="1">OFFSET(NameConv!$F$4,0,AS287)&amp;OFFSET(NameConv!$F$59,AT287,AS287)</f>
        <v>PWRGIH</v>
      </c>
      <c r="F287" s="740" t="s">
        <v>334</v>
      </c>
      <c r="G287" s="515" t="s">
        <v>337</v>
      </c>
      <c r="H287" s="740" t="s">
        <v>334</v>
      </c>
      <c r="I287" s="516">
        <v>0</v>
      </c>
      <c r="J287" s="517">
        <f ca="1">IF(E287="TRAOKE",0,SUMIF(NameConv!$C$5:$C$45,RIGHT(E287,3),OFFSET(NameConv!$AX$5,0,AU287,NameConv!$A$45,1)))</f>
        <v>0.15</v>
      </c>
      <c r="K287" s="518"/>
      <c r="L287" s="518"/>
      <c r="M287" s="518"/>
      <c r="N287" s="518"/>
      <c r="O287" s="518"/>
      <c r="P287" s="518"/>
      <c r="Q287" s="518"/>
      <c r="R287" s="518"/>
      <c r="S287" s="518"/>
      <c r="T287" s="518"/>
      <c r="U287" s="518"/>
      <c r="V287" s="518"/>
      <c r="W287" s="518"/>
      <c r="X287" s="518"/>
      <c r="Y287" s="518"/>
      <c r="Z287" s="518"/>
      <c r="AA287" s="518"/>
      <c r="AB287" s="518"/>
      <c r="AC287" s="518"/>
      <c r="AD287" s="518"/>
      <c r="AE287" s="518"/>
      <c r="AF287" s="518"/>
      <c r="AG287" s="518"/>
      <c r="AH287" s="518"/>
      <c r="AI287" s="518"/>
      <c r="AJ287" s="518"/>
      <c r="AK287" s="518"/>
      <c r="AL287" s="518"/>
      <c r="AM287" s="518"/>
      <c r="AN287" s="518"/>
      <c r="AO287" s="518"/>
      <c r="AP287" s="518"/>
      <c r="AQ287" s="518"/>
      <c r="AR287" s="518"/>
      <c r="AS287" s="495">
        <f ca="1">IF(AND(AV286&gt;=SUMIF(NameConv!$C$5:$C$45,RIGHT(E286,3),NameConv!$CG$5:$CG$45),AT286=SUMIF(NameConv!$G$4:$M$4,LEFT(E286,3),NameConv!$G$45:$M$45)),AS286+1,AS286)</f>
        <v>6</v>
      </c>
      <c r="AT287" s="495">
        <f ca="1">IF(AS287&lt;&gt;AS286,1,IF(AV286&gt;=SUMIF(NameConv!$C$5:$C$45,RIGHT(E286,3),NameConv!$CG$5:$CG$45),AT286+1,AT286))</f>
        <v>12</v>
      </c>
      <c r="AU287" s="495">
        <f ca="1">SUMIF(NameConv!$C$5:$C$45,RIGHT(E287,3),OFFSET(NameConv!$CG$5,0,AV287,NameConv!$A$45,1))</f>
        <v>5</v>
      </c>
      <c r="AV287" s="495">
        <f ca="1">IF(AV286&gt;=SUMIF(NameConv!$C$5:$C$45,RIGHT(E286,3),NameConv!$CG$5:$CG$45),1,AV286+1)</f>
        <v>4</v>
      </c>
    </row>
    <row r="288" spans="1:48">
      <c r="A288" s="422" t="str">
        <f t="shared" ca="1" si="8"/>
        <v/>
      </c>
      <c r="B288" s="515" t="str">
        <f t="shared" si="9"/>
        <v>FLO_EMIS</v>
      </c>
      <c r="C288" s="518" t="str">
        <f ca="1">"X"&amp;OFFSET(NameConv!$F$4,0,AS288)&amp;OFFSET(NameConv!$F$59,AT288,AS288)</f>
        <v>XPWRGIH</v>
      </c>
      <c r="D288" s="515" t="str">
        <f ca="1">OFFSET(NameConv!$F$4,0,AS288)&amp;OFFSET(NameConv!$AX$4,0,AU288)</f>
        <v>PWRCMOX</v>
      </c>
      <c r="E288" s="515" t="str">
        <f ca="1">OFFSET(NameConv!$F$4,0,AS288)&amp;OFFSET(NameConv!$F$59,AT288,AS288)</f>
        <v>PWRGIH</v>
      </c>
      <c r="F288" s="740" t="s">
        <v>334</v>
      </c>
      <c r="G288" s="515" t="s">
        <v>337</v>
      </c>
      <c r="H288" s="740" t="s">
        <v>334</v>
      </c>
      <c r="I288" s="516">
        <v>0</v>
      </c>
      <c r="J288" s="517">
        <f ca="1">IF(E288="TRAOKE",0,SUMIF(NameConv!$C$5:$C$45,RIGHT(E288,3),OFFSET(NameConv!$AX$5,0,AU288,NameConv!$A$45,1)))</f>
        <v>0.02</v>
      </c>
      <c r="K288" s="518"/>
      <c r="L288" s="518"/>
      <c r="M288" s="518"/>
      <c r="N288" s="518"/>
      <c r="O288" s="518"/>
      <c r="P288" s="518"/>
      <c r="Q288" s="518"/>
      <c r="R288" s="518"/>
      <c r="S288" s="518"/>
      <c r="T288" s="518"/>
      <c r="U288" s="518"/>
      <c r="V288" s="518"/>
      <c r="W288" s="518"/>
      <c r="X288" s="518"/>
      <c r="Y288" s="518"/>
      <c r="Z288" s="518"/>
      <c r="AA288" s="518"/>
      <c r="AB288" s="518"/>
      <c r="AC288" s="518"/>
      <c r="AD288" s="518"/>
      <c r="AE288" s="518"/>
      <c r="AF288" s="518"/>
      <c r="AG288" s="518"/>
      <c r="AH288" s="518"/>
      <c r="AI288" s="518"/>
      <c r="AJ288" s="518"/>
      <c r="AK288" s="518"/>
      <c r="AL288" s="518"/>
      <c r="AM288" s="518"/>
      <c r="AN288" s="518"/>
      <c r="AO288" s="518"/>
      <c r="AP288" s="518"/>
      <c r="AQ288" s="518"/>
      <c r="AR288" s="518"/>
      <c r="AS288" s="495">
        <f ca="1">IF(AND(AV287&gt;=SUMIF(NameConv!$C$5:$C$45,RIGHT(E287,3),NameConv!$CG$5:$CG$45),AT287=SUMIF(NameConv!$G$4:$M$4,LEFT(E287,3),NameConv!$G$45:$M$45)),AS287+1,AS287)</f>
        <v>6</v>
      </c>
      <c r="AT288" s="495">
        <f ca="1">IF(AS288&lt;&gt;AS287,1,IF(AV287&gt;=SUMIF(NameConv!$C$5:$C$45,RIGHT(E287,3),NameConv!$CG$5:$CG$45),AT287+1,AT287))</f>
        <v>12</v>
      </c>
      <c r="AU288" s="495">
        <f ca="1">SUMIF(NameConv!$C$5:$C$45,RIGHT(E288,3),OFFSET(NameConv!$CG$5,0,AV288,NameConv!$A$45,1))</f>
        <v>6</v>
      </c>
      <c r="AV288" s="495">
        <f ca="1">IF(AV287&gt;=SUMIF(NameConv!$C$5:$C$45,RIGHT(E287,3),NameConv!$CG$5:$CG$45),1,AV287+1)</f>
        <v>5</v>
      </c>
    </row>
    <row r="289" spans="1:48">
      <c r="A289" s="422" t="str">
        <f t="shared" ca="1" si="8"/>
        <v/>
      </c>
      <c r="B289" s="515" t="str">
        <f t="shared" si="9"/>
        <v>FLO_EMIS</v>
      </c>
      <c r="C289" s="518" t="str">
        <f ca="1">"X"&amp;OFFSET(NameConv!$F$4,0,AS289)&amp;OFFSET(NameConv!$F$59,AT289,AS289)</f>
        <v>XPWRGIH</v>
      </c>
      <c r="D289" s="515" t="str">
        <f ca="1">OFFSET(NameConv!$F$4,0,AS289)&amp;OFFSET(NameConv!$AX$4,0,AU289)</f>
        <v>PWRNMVS</v>
      </c>
      <c r="E289" s="515" t="str">
        <f ca="1">OFFSET(NameConv!$F$4,0,AS289)&amp;OFFSET(NameConv!$F$59,AT289,AS289)</f>
        <v>PWRGIH</v>
      </c>
      <c r="F289" s="740" t="s">
        <v>334</v>
      </c>
      <c r="G289" s="515" t="s">
        <v>337</v>
      </c>
      <c r="H289" s="740" t="s">
        <v>334</v>
      </c>
      <c r="I289" s="516">
        <v>0</v>
      </c>
      <c r="J289" s="517">
        <f ca="1">IF(E289="TRAOKE",0,SUMIF(NameConv!$C$5:$C$45,RIGHT(E289,3),OFFSET(NameConv!$AX$5,0,AU289,NameConv!$A$45,1)))</f>
        <v>5.0000000000000001E-3</v>
      </c>
      <c r="K289" s="518"/>
      <c r="L289" s="518"/>
      <c r="M289" s="518"/>
      <c r="N289" s="518"/>
      <c r="O289" s="518"/>
      <c r="P289" s="518"/>
      <c r="Q289" s="518"/>
      <c r="R289" s="518"/>
      <c r="S289" s="518"/>
      <c r="T289" s="518"/>
      <c r="U289" s="518"/>
      <c r="V289" s="518"/>
      <c r="W289" s="518"/>
      <c r="X289" s="518"/>
      <c r="Y289" s="518"/>
      <c r="Z289" s="518"/>
      <c r="AA289" s="518"/>
      <c r="AB289" s="518"/>
      <c r="AC289" s="518"/>
      <c r="AD289" s="518"/>
      <c r="AE289" s="518"/>
      <c r="AF289" s="518"/>
      <c r="AG289" s="518"/>
      <c r="AH289" s="518"/>
      <c r="AI289" s="518"/>
      <c r="AJ289" s="518"/>
      <c r="AK289" s="518"/>
      <c r="AL289" s="518"/>
      <c r="AM289" s="518"/>
      <c r="AN289" s="518"/>
      <c r="AO289" s="518"/>
      <c r="AP289" s="518"/>
      <c r="AQ289" s="518"/>
      <c r="AR289" s="518"/>
      <c r="AS289" s="495">
        <f ca="1">IF(AND(AV288&gt;=SUMIF(NameConv!$C$5:$C$45,RIGHT(E288,3),NameConv!$CG$5:$CG$45),AT288=SUMIF(NameConv!$G$4:$M$4,LEFT(E288,3),NameConv!$G$45:$M$45)),AS288+1,AS288)</f>
        <v>6</v>
      </c>
      <c r="AT289" s="495">
        <f ca="1">IF(AS289&lt;&gt;AS288,1,IF(AV288&gt;=SUMIF(NameConv!$C$5:$C$45,RIGHT(E288,3),NameConv!$CG$5:$CG$45),AT288+1,AT288))</f>
        <v>12</v>
      </c>
      <c r="AU289" s="495">
        <f ca="1">SUMIF(NameConv!$C$5:$C$45,RIGHT(E289,3),OFFSET(NameConv!$CG$5,0,AV289,NameConv!$A$45,1))</f>
        <v>7</v>
      </c>
      <c r="AV289" s="495">
        <f ca="1">IF(AV288&gt;=SUMIF(NameConv!$C$5:$C$45,RIGHT(E288,3),NameConv!$CG$5:$CG$45),1,AV288+1)</f>
        <v>6</v>
      </c>
    </row>
    <row r="290" spans="1:48">
      <c r="A290" s="422" t="str">
        <f t="shared" ca="1" si="8"/>
        <v>*</v>
      </c>
      <c r="B290" s="515" t="str">
        <f t="shared" si="9"/>
        <v>FLO_EMIS</v>
      </c>
      <c r="C290" s="518" t="str">
        <f ca="1">"X"&amp;OFFSET(NameConv!$F$4,0,AS290)&amp;OFFSET(NameConv!$F$59,AT290,AS290)</f>
        <v>XPWRGIC</v>
      </c>
      <c r="D290" s="515" t="str">
        <f ca="1">OFFSET(NameConv!$F$4,0,AS290)&amp;OFFSET(NameConv!$AX$4,0,AU290)</f>
        <v>PWR</v>
      </c>
      <c r="E290" s="515" t="str">
        <f ca="1">OFFSET(NameConv!$F$4,0,AS290)&amp;OFFSET(NameConv!$F$59,AT290,AS290)</f>
        <v>PWRGIC</v>
      </c>
      <c r="F290" s="740" t="s">
        <v>334</v>
      </c>
      <c r="G290" s="515" t="s">
        <v>337</v>
      </c>
      <c r="H290" s="740" t="s">
        <v>334</v>
      </c>
      <c r="I290" s="516">
        <v>0</v>
      </c>
      <c r="J290" s="517">
        <f ca="1">IF(E290="TRAOKE",0,SUMIF(NameConv!$C$5:$C$45,RIGHT(E290,3),OFFSET(NameConv!$AX$5,0,AU290,NameConv!$A$45,1)))</f>
        <v>0</v>
      </c>
      <c r="K290" s="518"/>
      <c r="L290" s="518"/>
      <c r="M290" s="518"/>
      <c r="N290" s="518"/>
      <c r="O290" s="518"/>
      <c r="P290" s="518"/>
      <c r="Q290" s="518"/>
      <c r="R290" s="518"/>
      <c r="S290" s="518"/>
      <c r="T290" s="518"/>
      <c r="U290" s="518"/>
      <c r="V290" s="518"/>
      <c r="W290" s="518"/>
      <c r="X290" s="518"/>
      <c r="Y290" s="518"/>
      <c r="Z290" s="518"/>
      <c r="AA290" s="518"/>
      <c r="AB290" s="518"/>
      <c r="AC290" s="518"/>
      <c r="AD290" s="518"/>
      <c r="AE290" s="518"/>
      <c r="AF290" s="518"/>
      <c r="AG290" s="518"/>
      <c r="AH290" s="518"/>
      <c r="AI290" s="518"/>
      <c r="AJ290" s="518"/>
      <c r="AK290" s="518"/>
      <c r="AL290" s="518"/>
      <c r="AM290" s="518"/>
      <c r="AN290" s="518"/>
      <c r="AO290" s="518"/>
      <c r="AP290" s="518"/>
      <c r="AQ290" s="518"/>
      <c r="AR290" s="518"/>
      <c r="AS290" s="495">
        <f ca="1">IF(AND(AV289&gt;=SUMIF(NameConv!$C$5:$C$45,RIGHT(E289,3),NameConv!$CG$5:$CG$45),AT289=SUMIF(NameConv!$G$4:$M$4,LEFT(E289,3),NameConv!$G$45:$M$45)),AS289+1,AS289)</f>
        <v>6</v>
      </c>
      <c r="AT290" s="495">
        <f ca="1">IF(AS290&lt;&gt;AS289,1,IF(AV289&gt;=SUMIF(NameConv!$C$5:$C$45,RIGHT(E289,3),NameConv!$CG$5:$CG$45),AT289+1,AT289))</f>
        <v>13</v>
      </c>
      <c r="AU290" s="495">
        <f ca="1">SUMIF(NameConv!$C$5:$C$45,RIGHT(E290,3),OFFSET(NameConv!$CG$5,0,AV290,NameConv!$A$45,1))</f>
        <v>0</v>
      </c>
      <c r="AV290" s="495">
        <f ca="1">IF(AV289&gt;=SUMIF(NameConv!$C$5:$C$45,RIGHT(E289,3),NameConv!$CG$5:$CG$45),1,AV289+1)</f>
        <v>1</v>
      </c>
    </row>
    <row r="291" spans="1:48">
      <c r="A291" s="422" t="str">
        <f t="shared" ca="1" si="8"/>
        <v>*</v>
      </c>
      <c r="B291" s="515" t="str">
        <f t="shared" si="9"/>
        <v>FLO_EMIS</v>
      </c>
      <c r="C291" s="518" t="str">
        <f ca="1">"X"&amp;OFFSET(NameConv!$F$4,0,AS291)&amp;OFFSET(NameConv!$F$59,AT291,AS291)</f>
        <v>XPWRHYD</v>
      </c>
      <c r="D291" s="515" t="str">
        <f ca="1">OFFSET(NameConv!$F$4,0,AS291)&amp;OFFSET(NameConv!$AX$4,0,AU291)</f>
        <v>PWR</v>
      </c>
      <c r="E291" s="515" t="str">
        <f ca="1">OFFSET(NameConv!$F$4,0,AS291)&amp;OFFSET(NameConv!$F$59,AT291,AS291)</f>
        <v>PWRHYD</v>
      </c>
      <c r="F291" s="740" t="s">
        <v>334</v>
      </c>
      <c r="G291" s="515" t="s">
        <v>337</v>
      </c>
      <c r="H291" s="740" t="s">
        <v>334</v>
      </c>
      <c r="I291" s="516">
        <v>0</v>
      </c>
      <c r="J291" s="517">
        <f ca="1">IF(E291="TRAOKE",0,SUMIF(NameConv!$C$5:$C$45,RIGHT(E291,3),OFFSET(NameConv!$AX$5,0,AU291,NameConv!$A$45,1)))</f>
        <v>0</v>
      </c>
      <c r="K291" s="518"/>
      <c r="L291" s="518"/>
      <c r="M291" s="518"/>
      <c r="N291" s="518"/>
      <c r="O291" s="518"/>
      <c r="P291" s="518"/>
      <c r="Q291" s="518"/>
      <c r="R291" s="518"/>
      <c r="S291" s="518"/>
      <c r="T291" s="518"/>
      <c r="U291" s="518"/>
      <c r="V291" s="518"/>
      <c r="W291" s="518"/>
      <c r="X291" s="518"/>
      <c r="Y291" s="518"/>
      <c r="Z291" s="518"/>
      <c r="AA291" s="518"/>
      <c r="AB291" s="518"/>
      <c r="AC291" s="518"/>
      <c r="AD291" s="518"/>
      <c r="AE291" s="518"/>
      <c r="AF291" s="518"/>
      <c r="AG291" s="518"/>
      <c r="AH291" s="518"/>
      <c r="AI291" s="518"/>
      <c r="AJ291" s="518"/>
      <c r="AK291" s="518"/>
      <c r="AL291" s="518"/>
      <c r="AM291" s="518"/>
      <c r="AN291" s="518"/>
      <c r="AO291" s="518"/>
      <c r="AP291" s="518"/>
      <c r="AQ291" s="518"/>
      <c r="AR291" s="518"/>
      <c r="AS291" s="495">
        <f ca="1">IF(AND(AV290&gt;=SUMIF(NameConv!$C$5:$C$45,RIGHT(E290,3),NameConv!$CG$5:$CG$45),AT290=SUMIF(NameConv!$G$4:$M$4,LEFT(E290,3),NameConv!$G$45:$M$45)),AS290+1,AS290)</f>
        <v>6</v>
      </c>
      <c r="AT291" s="495">
        <f ca="1">IF(AS291&lt;&gt;AS290,1,IF(AV290&gt;=SUMIF(NameConv!$C$5:$C$45,RIGHT(E290,3),NameConv!$CG$5:$CG$45),AT290+1,AT290))</f>
        <v>14</v>
      </c>
      <c r="AU291" s="495">
        <f ca="1">SUMIF(NameConv!$C$5:$C$45,RIGHT(E291,3),OFFSET(NameConv!$CG$5,0,AV291,NameConv!$A$45,1))</f>
        <v>0</v>
      </c>
      <c r="AV291" s="495">
        <f ca="1">IF(AV290&gt;=SUMIF(NameConv!$C$5:$C$45,RIGHT(E290,3),NameConv!$CG$5:$CG$45),1,AV290+1)</f>
        <v>1</v>
      </c>
    </row>
    <row r="292" spans="1:48">
      <c r="A292" s="422" t="str">
        <f t="shared" ca="1" si="8"/>
        <v>*</v>
      </c>
      <c r="B292" s="515" t="str">
        <f t="shared" si="9"/>
        <v>FLO_EMIS</v>
      </c>
      <c r="C292" s="518" t="str">
        <f ca="1">"X"&amp;OFFSET(NameConv!$F$4,0,AS292)&amp;OFFSET(NameConv!$F$59,AT292,AS292)</f>
        <v>XPWRHGN</v>
      </c>
      <c r="D292" s="515" t="str">
        <f ca="1">OFFSET(NameConv!$F$4,0,AS292)&amp;OFFSET(NameConv!$AX$4,0,AU292)</f>
        <v>PWR</v>
      </c>
      <c r="E292" s="515" t="str">
        <f ca="1">OFFSET(NameConv!$F$4,0,AS292)&amp;OFFSET(NameConv!$F$59,AT292,AS292)</f>
        <v>PWRHGN</v>
      </c>
      <c r="F292" s="740" t="s">
        <v>334</v>
      </c>
      <c r="G292" s="515" t="s">
        <v>337</v>
      </c>
      <c r="H292" s="740" t="s">
        <v>334</v>
      </c>
      <c r="I292" s="516">
        <v>0</v>
      </c>
      <c r="J292" s="517">
        <f ca="1">IF(E292="TRAOKE",0,SUMIF(NameConv!$C$5:$C$45,RIGHT(E292,3),OFFSET(NameConv!$AX$5,0,AU292,NameConv!$A$45,1)))</f>
        <v>0</v>
      </c>
      <c r="K292" s="518"/>
      <c r="L292" s="518"/>
      <c r="M292" s="518"/>
      <c r="N292" s="518"/>
      <c r="O292" s="518"/>
      <c r="P292" s="518"/>
      <c r="Q292" s="518"/>
      <c r="R292" s="518"/>
      <c r="S292" s="518"/>
      <c r="T292" s="518"/>
      <c r="U292" s="518"/>
      <c r="V292" s="518"/>
      <c r="W292" s="518"/>
      <c r="X292" s="518"/>
      <c r="Y292" s="518"/>
      <c r="Z292" s="518"/>
      <c r="AA292" s="518"/>
      <c r="AB292" s="518"/>
      <c r="AC292" s="518"/>
      <c r="AD292" s="518"/>
      <c r="AE292" s="518"/>
      <c r="AF292" s="518"/>
      <c r="AG292" s="518"/>
      <c r="AH292" s="518"/>
      <c r="AI292" s="518"/>
      <c r="AJ292" s="518"/>
      <c r="AK292" s="518"/>
      <c r="AL292" s="518"/>
      <c r="AM292" s="518"/>
      <c r="AN292" s="518"/>
      <c r="AO292" s="518"/>
      <c r="AP292" s="518"/>
      <c r="AQ292" s="518"/>
      <c r="AR292" s="518"/>
      <c r="AS292" s="495">
        <f ca="1">IF(AND(AV291&gt;=SUMIF(NameConv!$C$5:$C$45,RIGHT(E291,3),NameConv!$CG$5:$CG$45),AT291=SUMIF(NameConv!$G$4:$M$4,LEFT(E291,3),NameConv!$G$45:$M$45)),AS291+1,AS291)</f>
        <v>6</v>
      </c>
      <c r="AT292" s="495">
        <f ca="1">IF(AS292&lt;&gt;AS291,1,IF(AV291&gt;=SUMIF(NameConv!$C$5:$C$45,RIGHT(E291,3),NameConv!$CG$5:$CG$45),AT291+1,AT291))</f>
        <v>15</v>
      </c>
      <c r="AU292" s="495">
        <f ca="1">SUMIF(NameConv!$C$5:$C$45,RIGHT(E292,3),OFFSET(NameConv!$CG$5,0,AV292,NameConv!$A$45,1))</f>
        <v>0</v>
      </c>
      <c r="AV292" s="495">
        <f ca="1">IF(AV291&gt;=SUMIF(NameConv!$C$5:$C$45,RIGHT(E291,3),NameConv!$CG$5:$CG$45),1,AV291+1)</f>
        <v>1</v>
      </c>
    </row>
    <row r="293" spans="1:48">
      <c r="A293" s="422" t="str">
        <f t="shared" ca="1" si="8"/>
        <v>*</v>
      </c>
      <c r="B293" s="515" t="str">
        <f t="shared" si="9"/>
        <v>FLO_EMIS</v>
      </c>
      <c r="C293" s="518" t="str">
        <f ca="1">"X"&amp;OFFSET(NameConv!$F$4,0,AS293)&amp;OFFSET(NameConv!$F$59,AT293,AS293)</f>
        <v>XPWRNUC</v>
      </c>
      <c r="D293" s="515" t="str">
        <f ca="1">OFFSET(NameConv!$F$4,0,AS293)&amp;OFFSET(NameConv!$AX$4,0,AU293)</f>
        <v>PWR</v>
      </c>
      <c r="E293" s="515" t="str">
        <f ca="1">OFFSET(NameConv!$F$4,0,AS293)&amp;OFFSET(NameConv!$F$59,AT293,AS293)</f>
        <v>PWRNUC</v>
      </c>
      <c r="F293" s="740" t="s">
        <v>334</v>
      </c>
      <c r="G293" s="515" t="s">
        <v>337</v>
      </c>
      <c r="H293" s="740" t="s">
        <v>334</v>
      </c>
      <c r="I293" s="516">
        <v>0</v>
      </c>
      <c r="J293" s="517">
        <f ca="1">IF(E293="TRAOKE",0,SUMIF(NameConv!$C$5:$C$45,RIGHT(E293,3),OFFSET(NameConv!$AX$5,0,AU293,NameConv!$A$45,1)))</f>
        <v>0</v>
      </c>
      <c r="K293" s="518"/>
      <c r="L293" s="518"/>
      <c r="M293" s="518"/>
      <c r="N293" s="518"/>
      <c r="O293" s="518"/>
      <c r="P293" s="518"/>
      <c r="Q293" s="518"/>
      <c r="R293" s="518"/>
      <c r="S293" s="518"/>
      <c r="T293" s="518"/>
      <c r="U293" s="518"/>
      <c r="V293" s="518"/>
      <c r="W293" s="518"/>
      <c r="X293" s="518"/>
      <c r="Y293" s="518"/>
      <c r="Z293" s="518"/>
      <c r="AA293" s="518"/>
      <c r="AB293" s="518"/>
      <c r="AC293" s="518"/>
      <c r="AD293" s="518"/>
      <c r="AE293" s="518"/>
      <c r="AF293" s="518"/>
      <c r="AG293" s="518"/>
      <c r="AH293" s="518"/>
      <c r="AI293" s="518"/>
      <c r="AJ293" s="518"/>
      <c r="AK293" s="518"/>
      <c r="AL293" s="518"/>
      <c r="AM293" s="518"/>
      <c r="AN293" s="518"/>
      <c r="AO293" s="518"/>
      <c r="AP293" s="518"/>
      <c r="AQ293" s="518"/>
      <c r="AR293" s="518"/>
      <c r="AS293" s="495">
        <f ca="1">IF(AND(AV292&gt;=SUMIF(NameConv!$C$5:$C$45,RIGHT(E292,3),NameConv!$CG$5:$CG$45),AT292=SUMIF(NameConv!$G$4:$M$4,LEFT(E292,3),NameConv!$G$45:$M$45)),AS292+1,AS292)</f>
        <v>6</v>
      </c>
      <c r="AT293" s="495">
        <f ca="1">IF(AS293&lt;&gt;AS292,1,IF(AV292&gt;=SUMIF(NameConv!$C$5:$C$45,RIGHT(E292,3),NameConv!$CG$5:$CG$45),AT292+1,AT292))</f>
        <v>16</v>
      </c>
      <c r="AU293" s="495">
        <f ca="1">SUMIF(NameConv!$C$5:$C$45,RIGHT(E293,3),OFFSET(NameConv!$CG$5,0,AV293,NameConv!$A$45,1))</f>
        <v>0</v>
      </c>
      <c r="AV293" s="495">
        <f ca="1">IF(AV292&gt;=SUMIF(NameConv!$C$5:$C$45,RIGHT(E292,3),NameConv!$CG$5:$CG$45),1,AV292+1)</f>
        <v>1</v>
      </c>
    </row>
    <row r="294" spans="1:48">
      <c r="B294" s="515"/>
      <c r="C294" s="518"/>
      <c r="D294" s="515"/>
      <c r="E294" s="515"/>
      <c r="F294" s="740"/>
      <c r="G294" s="515"/>
      <c r="H294" s="740"/>
      <c r="I294" s="516"/>
      <c r="J294" s="517"/>
      <c r="K294" s="518"/>
      <c r="L294" s="518"/>
      <c r="M294" s="518"/>
      <c r="N294" s="518"/>
      <c r="O294" s="518"/>
      <c r="P294" s="518"/>
      <c r="Q294" s="518"/>
      <c r="R294" s="518"/>
      <c r="S294" s="518"/>
      <c r="T294" s="518"/>
      <c r="U294" s="518"/>
      <c r="V294" s="518"/>
      <c r="W294" s="518"/>
      <c r="X294" s="518"/>
      <c r="Y294" s="518"/>
      <c r="Z294" s="518"/>
      <c r="AA294" s="518"/>
      <c r="AB294" s="518"/>
      <c r="AC294" s="518"/>
      <c r="AD294" s="518"/>
      <c r="AE294" s="518"/>
      <c r="AF294" s="518"/>
      <c r="AG294" s="518"/>
      <c r="AH294" s="518"/>
      <c r="AI294" s="518"/>
      <c r="AJ294" s="518"/>
      <c r="AK294" s="518"/>
      <c r="AL294" s="518"/>
      <c r="AM294" s="518"/>
      <c r="AN294" s="518"/>
      <c r="AO294" s="518"/>
      <c r="AP294" s="518"/>
      <c r="AQ294" s="518"/>
      <c r="AR294" s="518"/>
    </row>
    <row r="295" spans="1:48">
      <c r="B295" s="515"/>
      <c r="C295" s="518"/>
      <c r="D295" s="515"/>
      <c r="E295" s="515"/>
      <c r="F295" s="740"/>
      <c r="G295" s="515"/>
      <c r="H295" s="740"/>
      <c r="I295" s="516"/>
      <c r="J295" s="517"/>
      <c r="K295" s="518"/>
      <c r="L295" s="518"/>
      <c r="M295" s="518"/>
      <c r="N295" s="518"/>
      <c r="O295" s="518"/>
      <c r="P295" s="518"/>
      <c r="Q295" s="518"/>
      <c r="R295" s="518"/>
      <c r="S295" s="518"/>
      <c r="T295" s="518"/>
      <c r="U295" s="518"/>
      <c r="V295" s="518"/>
      <c r="W295" s="518"/>
      <c r="X295" s="518"/>
      <c r="Y295" s="518"/>
      <c r="Z295" s="518"/>
      <c r="AA295" s="518"/>
      <c r="AB295" s="518"/>
      <c r="AC295" s="518"/>
      <c r="AD295" s="518"/>
      <c r="AE295" s="518"/>
      <c r="AF295" s="518"/>
      <c r="AG295" s="518"/>
      <c r="AH295" s="518"/>
      <c r="AI295" s="518"/>
      <c r="AJ295" s="518"/>
      <c r="AK295" s="518"/>
      <c r="AL295" s="518"/>
      <c r="AM295" s="518"/>
      <c r="AN295" s="518"/>
      <c r="AO295" s="518"/>
      <c r="AP295" s="518"/>
      <c r="AQ295" s="518"/>
      <c r="AR295" s="518"/>
    </row>
    <row r="296" spans="1:48">
      <c r="B296" s="515"/>
      <c r="C296" s="518"/>
      <c r="D296" s="515"/>
      <c r="E296" s="515"/>
      <c r="F296" s="740"/>
      <c r="G296" s="515"/>
      <c r="H296" s="740"/>
      <c r="I296" s="516"/>
      <c r="J296" s="517"/>
      <c r="K296" s="518"/>
      <c r="L296" s="518"/>
      <c r="M296" s="518"/>
      <c r="N296" s="518"/>
      <c r="O296" s="518"/>
      <c r="P296" s="518"/>
      <c r="Q296" s="518"/>
      <c r="R296" s="518"/>
      <c r="S296" s="518"/>
      <c r="T296" s="518"/>
      <c r="U296" s="518"/>
      <c r="V296" s="518"/>
      <c r="W296" s="518"/>
      <c r="X296" s="518"/>
      <c r="Y296" s="518"/>
      <c r="Z296" s="518"/>
      <c r="AA296" s="518"/>
      <c r="AB296" s="518"/>
      <c r="AC296" s="518"/>
      <c r="AD296" s="518"/>
      <c r="AE296" s="518"/>
      <c r="AF296" s="518"/>
      <c r="AG296" s="518"/>
      <c r="AH296" s="518"/>
      <c r="AI296" s="518"/>
      <c r="AJ296" s="518"/>
      <c r="AK296" s="518"/>
      <c r="AL296" s="518"/>
      <c r="AM296" s="518"/>
      <c r="AN296" s="518"/>
      <c r="AO296" s="518"/>
      <c r="AP296" s="518"/>
      <c r="AQ296" s="518"/>
      <c r="AR296" s="518"/>
    </row>
    <row r="297" spans="1:48">
      <c r="B297" s="515"/>
      <c r="C297" s="518"/>
      <c r="D297" s="515"/>
      <c r="E297" s="515"/>
      <c r="F297" s="740"/>
      <c r="G297" s="515"/>
      <c r="H297" s="740"/>
      <c r="I297" s="516"/>
      <c r="J297" s="517"/>
      <c r="K297" s="518"/>
      <c r="L297" s="518"/>
      <c r="M297" s="518"/>
      <c r="N297" s="518"/>
      <c r="O297" s="518"/>
      <c r="P297" s="518"/>
      <c r="Q297" s="518"/>
      <c r="R297" s="518"/>
      <c r="S297" s="518"/>
      <c r="T297" s="518"/>
      <c r="U297" s="518"/>
      <c r="V297" s="518"/>
      <c r="W297" s="518"/>
      <c r="X297" s="518"/>
      <c r="Y297" s="518"/>
      <c r="Z297" s="518"/>
      <c r="AA297" s="518"/>
      <c r="AB297" s="518"/>
      <c r="AC297" s="518"/>
      <c r="AD297" s="518"/>
      <c r="AE297" s="518"/>
      <c r="AF297" s="518"/>
      <c r="AG297" s="518"/>
      <c r="AH297" s="518"/>
      <c r="AI297" s="518"/>
      <c r="AJ297" s="518"/>
      <c r="AK297" s="518"/>
      <c r="AL297" s="518"/>
      <c r="AM297" s="518"/>
      <c r="AN297" s="518"/>
      <c r="AO297" s="518"/>
      <c r="AP297" s="518"/>
      <c r="AQ297" s="518"/>
      <c r="AR297" s="518"/>
    </row>
    <row r="298" spans="1:48">
      <c r="B298" s="515"/>
      <c r="C298" s="518"/>
      <c r="D298" s="515"/>
      <c r="E298" s="515"/>
      <c r="F298" s="740"/>
      <c r="G298" s="515"/>
      <c r="H298" s="740"/>
      <c r="I298" s="516"/>
      <c r="J298" s="517"/>
      <c r="K298" s="518"/>
      <c r="L298" s="518"/>
      <c r="M298" s="518"/>
      <c r="N298" s="518"/>
      <c r="O298" s="518"/>
      <c r="P298" s="518"/>
      <c r="Q298" s="518"/>
      <c r="R298" s="518"/>
      <c r="S298" s="518"/>
      <c r="T298" s="518"/>
      <c r="U298" s="518"/>
      <c r="V298" s="518"/>
      <c r="W298" s="518"/>
      <c r="X298" s="518"/>
      <c r="Y298" s="518"/>
      <c r="Z298" s="518"/>
      <c r="AA298" s="518"/>
      <c r="AB298" s="518"/>
      <c r="AC298" s="518"/>
      <c r="AD298" s="518"/>
      <c r="AE298" s="518"/>
      <c r="AF298" s="518"/>
      <c r="AG298" s="518"/>
      <c r="AH298" s="518"/>
      <c r="AI298" s="518"/>
      <c r="AJ298" s="518"/>
      <c r="AK298" s="518"/>
      <c r="AL298" s="518"/>
      <c r="AM298" s="518"/>
      <c r="AN298" s="518"/>
      <c r="AO298" s="518"/>
      <c r="AP298" s="518"/>
      <c r="AQ298" s="518"/>
      <c r="AR298" s="518"/>
    </row>
    <row r="299" spans="1:48">
      <c r="B299" s="515"/>
      <c r="C299" s="518"/>
      <c r="D299" s="515"/>
      <c r="E299" s="515"/>
      <c r="F299" s="740"/>
      <c r="G299" s="515"/>
      <c r="H299" s="740"/>
      <c r="I299" s="516"/>
      <c r="J299" s="517"/>
      <c r="K299" s="518"/>
      <c r="L299" s="518"/>
      <c r="M299" s="518"/>
      <c r="N299" s="518"/>
      <c r="O299" s="518"/>
      <c r="P299" s="518"/>
      <c r="Q299" s="518"/>
      <c r="R299" s="518"/>
      <c r="S299" s="518"/>
      <c r="T299" s="518"/>
      <c r="U299" s="518"/>
      <c r="V299" s="518"/>
      <c r="W299" s="518"/>
      <c r="X299" s="518"/>
      <c r="Y299" s="518"/>
      <c r="Z299" s="518"/>
      <c r="AA299" s="518"/>
      <c r="AB299" s="518"/>
      <c r="AC299" s="518"/>
      <c r="AD299" s="518"/>
      <c r="AE299" s="518"/>
      <c r="AF299" s="518"/>
      <c r="AG299" s="518"/>
      <c r="AH299" s="518"/>
      <c r="AI299" s="518"/>
      <c r="AJ299" s="518"/>
      <c r="AK299" s="518"/>
      <c r="AL299" s="518"/>
      <c r="AM299" s="518"/>
      <c r="AN299" s="518"/>
      <c r="AO299" s="518"/>
      <c r="AP299" s="518"/>
      <c r="AQ299" s="518"/>
      <c r="AR299" s="518"/>
    </row>
    <row r="300" spans="1:48">
      <c r="B300" s="515"/>
      <c r="C300" s="518"/>
      <c r="D300" s="515"/>
      <c r="E300" s="515"/>
      <c r="F300" s="740"/>
      <c r="G300" s="515"/>
      <c r="H300" s="740"/>
      <c r="I300" s="516"/>
      <c r="J300" s="517"/>
      <c r="K300" s="518"/>
      <c r="L300" s="518"/>
      <c r="M300" s="518"/>
      <c r="N300" s="518"/>
      <c r="O300" s="518"/>
      <c r="P300" s="518"/>
      <c r="Q300" s="518"/>
      <c r="R300" s="518"/>
      <c r="S300" s="518"/>
      <c r="T300" s="518"/>
      <c r="U300" s="518"/>
      <c r="V300" s="518"/>
      <c r="W300" s="518"/>
      <c r="X300" s="518"/>
      <c r="Y300" s="518"/>
      <c r="Z300" s="518"/>
      <c r="AA300" s="518"/>
      <c r="AB300" s="518"/>
      <c r="AC300" s="518"/>
      <c r="AD300" s="518"/>
      <c r="AE300" s="518"/>
      <c r="AF300" s="518"/>
      <c r="AG300" s="518"/>
      <c r="AH300" s="518"/>
      <c r="AI300" s="518"/>
      <c r="AJ300" s="518"/>
      <c r="AK300" s="518"/>
      <c r="AL300" s="518"/>
      <c r="AM300" s="518"/>
      <c r="AN300" s="518"/>
      <c r="AO300" s="518"/>
      <c r="AP300" s="518"/>
      <c r="AQ300" s="518"/>
      <c r="AR300" s="518"/>
    </row>
    <row r="301" spans="1:48">
      <c r="B301" s="515"/>
      <c r="C301" s="518"/>
      <c r="D301" s="515"/>
      <c r="E301" s="515"/>
      <c r="F301" s="740"/>
      <c r="G301" s="515"/>
      <c r="H301" s="740"/>
      <c r="I301" s="516"/>
      <c r="J301" s="517"/>
      <c r="K301" s="518"/>
      <c r="L301" s="518"/>
      <c r="M301" s="518"/>
      <c r="N301" s="518"/>
      <c r="O301" s="518"/>
      <c r="P301" s="518"/>
      <c r="Q301" s="518"/>
      <c r="R301" s="518"/>
      <c r="S301" s="518"/>
      <c r="T301" s="518"/>
      <c r="U301" s="518"/>
      <c r="V301" s="518"/>
      <c r="W301" s="518"/>
      <c r="X301" s="518"/>
      <c r="Y301" s="518"/>
      <c r="Z301" s="518"/>
      <c r="AA301" s="518"/>
      <c r="AB301" s="518"/>
      <c r="AC301" s="518"/>
      <c r="AD301" s="518"/>
      <c r="AE301" s="518"/>
      <c r="AF301" s="518"/>
      <c r="AG301" s="518"/>
      <c r="AH301" s="518"/>
      <c r="AI301" s="518"/>
      <c r="AJ301" s="518"/>
      <c r="AK301" s="518"/>
      <c r="AL301" s="518"/>
      <c r="AM301" s="518"/>
      <c r="AN301" s="518"/>
      <c r="AO301" s="518"/>
      <c r="AP301" s="518"/>
      <c r="AQ301" s="518"/>
      <c r="AR301" s="518"/>
    </row>
    <row r="302" spans="1:48">
      <c r="B302" s="515"/>
      <c r="C302" s="518"/>
      <c r="D302" s="515"/>
      <c r="E302" s="515"/>
      <c r="F302" s="740"/>
      <c r="G302" s="515"/>
      <c r="H302" s="740"/>
      <c r="I302" s="516"/>
      <c r="J302" s="517"/>
      <c r="K302" s="518"/>
      <c r="L302" s="518"/>
      <c r="M302" s="518"/>
      <c r="N302" s="518"/>
      <c r="O302" s="518"/>
      <c r="P302" s="518"/>
      <c r="Q302" s="518"/>
      <c r="R302" s="518"/>
      <c r="S302" s="518"/>
      <c r="T302" s="518"/>
      <c r="U302" s="518"/>
      <c r="V302" s="518"/>
      <c r="W302" s="518"/>
      <c r="X302" s="518"/>
      <c r="Y302" s="518"/>
      <c r="Z302" s="518"/>
      <c r="AA302" s="518"/>
      <c r="AB302" s="518"/>
      <c r="AC302" s="518"/>
      <c r="AD302" s="518"/>
      <c r="AE302" s="518"/>
      <c r="AF302" s="518"/>
      <c r="AG302" s="518"/>
      <c r="AH302" s="518"/>
      <c r="AI302" s="518"/>
      <c r="AJ302" s="518"/>
      <c r="AK302" s="518"/>
      <c r="AL302" s="518"/>
      <c r="AM302" s="518"/>
      <c r="AN302" s="518"/>
      <c r="AO302" s="518"/>
      <c r="AP302" s="518"/>
      <c r="AQ302" s="518"/>
      <c r="AR302" s="518"/>
    </row>
    <row r="303" spans="1:48">
      <c r="B303" s="515"/>
      <c r="C303" s="518"/>
      <c r="D303" s="515"/>
      <c r="E303" s="515"/>
      <c r="F303" s="740"/>
      <c r="G303" s="515"/>
      <c r="H303" s="740"/>
      <c r="I303" s="516"/>
      <c r="J303" s="517"/>
      <c r="K303" s="518"/>
      <c r="L303" s="518"/>
      <c r="M303" s="518"/>
      <c r="N303" s="518"/>
      <c r="O303" s="518"/>
      <c r="P303" s="518"/>
      <c r="Q303" s="518"/>
      <c r="R303" s="518"/>
      <c r="S303" s="518"/>
      <c r="T303" s="518"/>
      <c r="U303" s="518"/>
      <c r="V303" s="518"/>
      <c r="W303" s="518"/>
      <c r="X303" s="518"/>
      <c r="Y303" s="518"/>
      <c r="Z303" s="518"/>
      <c r="AA303" s="518"/>
      <c r="AB303" s="518"/>
      <c r="AC303" s="518"/>
      <c r="AD303" s="518"/>
      <c r="AE303" s="518"/>
      <c r="AF303" s="518"/>
      <c r="AG303" s="518"/>
      <c r="AH303" s="518"/>
      <c r="AI303" s="518"/>
      <c r="AJ303" s="518"/>
      <c r="AK303" s="518"/>
      <c r="AL303" s="518"/>
      <c r="AM303" s="518"/>
      <c r="AN303" s="518"/>
      <c r="AO303" s="518"/>
      <c r="AP303" s="518"/>
      <c r="AQ303" s="518"/>
      <c r="AR303" s="518"/>
    </row>
    <row r="304" spans="1:48">
      <c r="B304" s="515"/>
      <c r="C304" s="518"/>
      <c r="D304" s="515"/>
      <c r="E304" s="515"/>
      <c r="F304" s="740"/>
      <c r="G304" s="515"/>
      <c r="H304" s="740"/>
      <c r="I304" s="516"/>
      <c r="J304" s="517"/>
      <c r="K304" s="518"/>
      <c r="L304" s="518"/>
      <c r="M304" s="518"/>
      <c r="N304" s="518"/>
      <c r="O304" s="518"/>
      <c r="P304" s="518"/>
      <c r="Q304" s="518"/>
      <c r="R304" s="518"/>
      <c r="S304" s="518"/>
      <c r="T304" s="518"/>
      <c r="U304" s="518"/>
      <c r="V304" s="518"/>
      <c r="W304" s="518"/>
      <c r="X304" s="518"/>
      <c r="Y304" s="518"/>
      <c r="Z304" s="518"/>
      <c r="AA304" s="518"/>
      <c r="AB304" s="518"/>
      <c r="AC304" s="518"/>
      <c r="AD304" s="518"/>
      <c r="AE304" s="518"/>
      <c r="AF304" s="518"/>
      <c r="AG304" s="518"/>
      <c r="AH304" s="518"/>
      <c r="AI304" s="518"/>
      <c r="AJ304" s="518"/>
      <c r="AK304" s="518"/>
      <c r="AL304" s="518"/>
      <c r="AM304" s="518"/>
      <c r="AN304" s="518"/>
      <c r="AO304" s="518"/>
      <c r="AP304" s="518"/>
      <c r="AQ304" s="518"/>
      <c r="AR304" s="518"/>
    </row>
    <row r="305" spans="2:44">
      <c r="B305" s="515"/>
      <c r="C305" s="518"/>
      <c r="D305" s="515"/>
      <c r="E305" s="515"/>
      <c r="F305" s="740"/>
      <c r="G305" s="515"/>
      <c r="H305" s="740"/>
      <c r="I305" s="516"/>
      <c r="J305" s="517"/>
      <c r="K305" s="518"/>
      <c r="L305" s="518"/>
      <c r="M305" s="518"/>
      <c r="N305" s="518"/>
      <c r="O305" s="518"/>
      <c r="P305" s="518"/>
      <c r="Q305" s="518"/>
      <c r="R305" s="518"/>
      <c r="S305" s="518"/>
      <c r="T305" s="518"/>
      <c r="U305" s="518"/>
      <c r="V305" s="518"/>
      <c r="W305" s="518"/>
      <c r="X305" s="518"/>
      <c r="Y305" s="518"/>
      <c r="Z305" s="518"/>
      <c r="AA305" s="518"/>
      <c r="AB305" s="518"/>
      <c r="AC305" s="518"/>
      <c r="AD305" s="518"/>
      <c r="AE305" s="518"/>
      <c r="AF305" s="518"/>
      <c r="AG305" s="518"/>
      <c r="AH305" s="518"/>
      <c r="AI305" s="518"/>
      <c r="AJ305" s="518"/>
      <c r="AK305" s="518"/>
      <c r="AL305" s="518"/>
      <c r="AM305" s="518"/>
      <c r="AN305" s="518"/>
      <c r="AO305" s="518"/>
      <c r="AP305" s="518"/>
      <c r="AQ305" s="518"/>
      <c r="AR305" s="518"/>
    </row>
    <row r="306" spans="2:44">
      <c r="B306" s="515"/>
      <c r="C306" s="518"/>
      <c r="D306" s="515"/>
      <c r="E306" s="515"/>
      <c r="F306" s="740"/>
      <c r="G306" s="515"/>
      <c r="H306" s="740"/>
      <c r="I306" s="516"/>
      <c r="J306" s="517"/>
      <c r="K306" s="518"/>
      <c r="L306" s="518"/>
      <c r="M306" s="518"/>
      <c r="N306" s="518"/>
      <c r="O306" s="518"/>
      <c r="P306" s="518"/>
      <c r="Q306" s="518"/>
      <c r="R306" s="518"/>
      <c r="S306" s="518"/>
      <c r="T306" s="518"/>
      <c r="U306" s="518"/>
      <c r="V306" s="518"/>
      <c r="W306" s="518"/>
      <c r="X306" s="518"/>
      <c r="Y306" s="518"/>
      <c r="Z306" s="518"/>
      <c r="AA306" s="518"/>
      <c r="AB306" s="518"/>
      <c r="AC306" s="518"/>
      <c r="AD306" s="518"/>
      <c r="AE306" s="518"/>
      <c r="AF306" s="518"/>
      <c r="AG306" s="518"/>
      <c r="AH306" s="518"/>
      <c r="AI306" s="518"/>
      <c r="AJ306" s="518"/>
      <c r="AK306" s="518"/>
      <c r="AL306" s="518"/>
      <c r="AM306" s="518"/>
      <c r="AN306" s="518"/>
      <c r="AO306" s="518"/>
      <c r="AP306" s="518"/>
      <c r="AQ306" s="518"/>
      <c r="AR306" s="518"/>
    </row>
    <row r="307" spans="2:44">
      <c r="B307" s="515"/>
      <c r="C307" s="518"/>
      <c r="D307" s="515"/>
      <c r="E307" s="515"/>
      <c r="F307" s="740"/>
      <c r="G307" s="515"/>
      <c r="H307" s="740"/>
      <c r="I307" s="516"/>
      <c r="J307" s="517"/>
      <c r="K307" s="518"/>
      <c r="L307" s="518"/>
      <c r="M307" s="518"/>
      <c r="N307" s="518"/>
      <c r="O307" s="518"/>
      <c r="P307" s="518"/>
      <c r="Q307" s="518"/>
      <c r="R307" s="518"/>
      <c r="S307" s="518"/>
      <c r="T307" s="518"/>
      <c r="U307" s="518"/>
      <c r="V307" s="518"/>
      <c r="W307" s="518"/>
      <c r="X307" s="518"/>
      <c r="Y307" s="518"/>
      <c r="Z307" s="518"/>
      <c r="AA307" s="518"/>
      <c r="AB307" s="518"/>
      <c r="AC307" s="518"/>
      <c r="AD307" s="518"/>
      <c r="AE307" s="518"/>
      <c r="AF307" s="518"/>
      <c r="AG307" s="518"/>
      <c r="AH307" s="518"/>
      <c r="AI307" s="518"/>
      <c r="AJ307" s="518"/>
      <c r="AK307" s="518"/>
      <c r="AL307" s="518"/>
      <c r="AM307" s="518"/>
      <c r="AN307" s="518"/>
      <c r="AO307" s="518"/>
      <c r="AP307" s="518"/>
      <c r="AQ307" s="518"/>
      <c r="AR307" s="518"/>
    </row>
    <row r="308" spans="2:44">
      <c r="B308" s="515"/>
      <c r="C308" s="518"/>
      <c r="D308" s="515"/>
      <c r="E308" s="515"/>
      <c r="F308" s="740"/>
      <c r="G308" s="515"/>
      <c r="H308" s="740"/>
      <c r="I308" s="516"/>
      <c r="J308" s="517"/>
      <c r="K308" s="518"/>
      <c r="L308" s="518"/>
      <c r="M308" s="518"/>
      <c r="N308" s="518"/>
      <c r="O308" s="518"/>
      <c r="P308" s="518"/>
      <c r="Q308" s="518"/>
      <c r="R308" s="518"/>
      <c r="S308" s="518"/>
      <c r="T308" s="518"/>
      <c r="U308" s="518"/>
      <c r="V308" s="518"/>
      <c r="W308" s="518"/>
      <c r="X308" s="518"/>
      <c r="Y308" s="518"/>
      <c r="Z308" s="518"/>
      <c r="AA308" s="518"/>
      <c r="AB308" s="518"/>
      <c r="AC308" s="518"/>
      <c r="AD308" s="518"/>
      <c r="AE308" s="518"/>
      <c r="AF308" s="518"/>
      <c r="AG308" s="518"/>
      <c r="AH308" s="518"/>
      <c r="AI308" s="518"/>
      <c r="AJ308" s="518"/>
      <c r="AK308" s="518"/>
      <c r="AL308" s="518"/>
      <c r="AM308" s="518"/>
      <c r="AN308" s="518"/>
      <c r="AO308" s="518"/>
      <c r="AP308" s="518"/>
      <c r="AQ308" s="518"/>
      <c r="AR308" s="518"/>
    </row>
    <row r="309" spans="2:44">
      <c r="B309" s="515"/>
      <c r="C309" s="518"/>
      <c r="D309" s="515"/>
      <c r="E309" s="515"/>
      <c r="F309" s="740"/>
      <c r="G309" s="515"/>
      <c r="H309" s="740"/>
      <c r="I309" s="516"/>
      <c r="J309" s="517"/>
      <c r="K309" s="518"/>
      <c r="L309" s="518"/>
      <c r="M309" s="518"/>
      <c r="N309" s="518"/>
      <c r="O309" s="518"/>
      <c r="P309" s="518"/>
      <c r="Q309" s="518"/>
      <c r="R309" s="518"/>
      <c r="S309" s="518"/>
      <c r="T309" s="518"/>
      <c r="U309" s="518"/>
      <c r="V309" s="518"/>
      <c r="W309" s="518"/>
      <c r="X309" s="518"/>
      <c r="Y309" s="518"/>
      <c r="Z309" s="518"/>
      <c r="AA309" s="518"/>
      <c r="AB309" s="518"/>
      <c r="AC309" s="518"/>
      <c r="AD309" s="518"/>
      <c r="AE309" s="518"/>
      <c r="AF309" s="518"/>
      <c r="AG309" s="518"/>
      <c r="AH309" s="518"/>
      <c r="AI309" s="518"/>
      <c r="AJ309" s="518"/>
      <c r="AK309" s="518"/>
      <c r="AL309" s="518"/>
      <c r="AM309" s="518"/>
      <c r="AN309" s="518"/>
      <c r="AO309" s="518"/>
      <c r="AP309" s="518"/>
      <c r="AQ309" s="518"/>
      <c r="AR309" s="518"/>
    </row>
    <row r="310" spans="2:44">
      <c r="B310" s="515"/>
      <c r="C310" s="518"/>
      <c r="D310" s="515"/>
      <c r="E310" s="515"/>
      <c r="F310" s="740"/>
      <c r="G310" s="515"/>
      <c r="H310" s="740"/>
      <c r="I310" s="516"/>
      <c r="J310" s="517"/>
      <c r="K310" s="518"/>
      <c r="L310" s="518"/>
      <c r="M310" s="518"/>
      <c r="N310" s="518"/>
      <c r="O310" s="518"/>
      <c r="P310" s="518"/>
      <c r="Q310" s="518"/>
      <c r="R310" s="518"/>
      <c r="S310" s="518"/>
      <c r="T310" s="518"/>
      <c r="U310" s="518"/>
      <c r="V310" s="518"/>
      <c r="W310" s="518"/>
      <c r="X310" s="518"/>
      <c r="Y310" s="518"/>
      <c r="Z310" s="518"/>
      <c r="AA310" s="518"/>
      <c r="AB310" s="518"/>
      <c r="AC310" s="518"/>
      <c r="AD310" s="518"/>
      <c r="AE310" s="518"/>
      <c r="AF310" s="518"/>
      <c r="AG310" s="518"/>
      <c r="AH310" s="518"/>
      <c r="AI310" s="518"/>
      <c r="AJ310" s="518"/>
      <c r="AK310" s="518"/>
      <c r="AL310" s="518"/>
      <c r="AM310" s="518"/>
      <c r="AN310" s="518"/>
      <c r="AO310" s="518"/>
      <c r="AP310" s="518"/>
      <c r="AQ310" s="518"/>
      <c r="AR310" s="518"/>
    </row>
  </sheetData>
  <conditionalFormatting sqref="AS12:AS310">
    <cfRule type="cellIs" dxfId="3" priority="2" operator="greaterThan">
      <formula>6</formula>
    </cfRule>
  </conditionalFormatting>
  <conditionalFormatting sqref="AS5:AY5">
    <cfRule type="cellIs" dxfId="2" priority="1" operator="greaterThan">
      <formula>6</formula>
    </cfRule>
  </conditionalFormatting>
  <pageMargins left="0.7" right="0.7" top="0.75" bottom="0.75" header="0.3" footer="0.3"/>
  <pageSetup paperSize="9" orientation="portrait" horizontalDpi="4294967292" verticalDpi="4294967292"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8"/>
  <dimension ref="A1:R293"/>
  <sheetViews>
    <sheetView workbookViewId="0"/>
  </sheetViews>
  <sheetFormatPr defaultColWidth="11.42578125" defaultRowHeight="11.25"/>
  <cols>
    <col min="1" max="1" width="12.28515625" style="422" customWidth="1"/>
    <col min="2" max="2" width="12" style="422" customWidth="1"/>
    <col min="3" max="3" width="11.28515625" style="422" customWidth="1"/>
    <col min="4" max="8" width="11.42578125" style="422" customWidth="1"/>
    <col min="9" max="11" width="7.42578125" style="511" customWidth="1"/>
    <col min="12" max="13" width="11.42578125" style="495" customWidth="1"/>
    <col min="14" max="16384" width="11.42578125" style="422"/>
  </cols>
  <sheetData>
    <row r="1" spans="1:18">
      <c r="A1" s="423" t="str">
        <f>IF(Index!B8=0,"TID DATA","")</f>
        <v>TID DATA</v>
      </c>
      <c r="B1" s="422" t="s">
        <v>308</v>
      </c>
      <c r="L1" s="495" t="s">
        <v>310</v>
      </c>
      <c r="M1" s="495" t="s">
        <v>310</v>
      </c>
      <c r="N1" s="422" t="s">
        <v>310</v>
      </c>
    </row>
    <row r="2" spans="1:18">
      <c r="A2" s="422" t="s">
        <v>310</v>
      </c>
      <c r="L2" s="495" t="s">
        <v>320</v>
      </c>
      <c r="M2" s="495" t="s">
        <v>321</v>
      </c>
      <c r="N2" s="422" t="s">
        <v>322</v>
      </c>
    </row>
    <row r="3" spans="1:18" ht="15" customHeight="1">
      <c r="A3" s="422" t="s">
        <v>310</v>
      </c>
    </row>
    <row r="4" spans="1:18">
      <c r="A4" s="422" t="s">
        <v>310</v>
      </c>
    </row>
    <row r="5" spans="1:18">
      <c r="A5" s="422" t="s">
        <v>310</v>
      </c>
    </row>
    <row r="6" spans="1:18">
      <c r="A6" s="422" t="s">
        <v>310</v>
      </c>
    </row>
    <row r="7" spans="1:18" ht="15">
      <c r="A7" s="422" t="s">
        <v>310</v>
      </c>
      <c r="B7" s="423" t="s">
        <v>323</v>
      </c>
      <c r="C7" s="423" t="s">
        <v>324</v>
      </c>
      <c r="D7" s="423" t="s">
        <v>325</v>
      </c>
      <c r="E7" s="423" t="s">
        <v>326</v>
      </c>
      <c r="F7" s="423" t="s">
        <v>327</v>
      </c>
      <c r="G7" s="423" t="s">
        <v>328</v>
      </c>
      <c r="H7" s="423" t="s">
        <v>329</v>
      </c>
      <c r="I7" s="512" t="s">
        <v>339</v>
      </c>
      <c r="J7" s="512"/>
      <c r="K7" s="512"/>
      <c r="L7" s="738" t="s">
        <v>2136</v>
      </c>
      <c r="M7" s="738"/>
      <c r="N7" s="738"/>
      <c r="O7" s="738"/>
      <c r="P7" s="738"/>
      <c r="Q7" s="738"/>
      <c r="R7" s="738"/>
    </row>
    <row r="8" spans="1:18">
      <c r="A8" s="422" t="s">
        <v>310</v>
      </c>
      <c r="B8" s="423"/>
      <c r="C8" s="423"/>
      <c r="D8" s="423"/>
      <c r="E8" s="423"/>
      <c r="F8" s="423"/>
      <c r="G8" s="423"/>
      <c r="H8" s="423"/>
      <c r="I8" s="512"/>
      <c r="J8" s="512"/>
      <c r="K8" s="512"/>
    </row>
    <row r="9" spans="1:18">
      <c r="A9" s="422" t="s">
        <v>310</v>
      </c>
      <c r="I9" s="495"/>
      <c r="J9" s="495"/>
      <c r="K9" s="495"/>
    </row>
    <row r="10" spans="1:18">
      <c r="A10" s="495" t="str">
        <f ca="1">'TS XEmiss'!A12</f>
        <v/>
      </c>
      <c r="B10" s="515" t="s">
        <v>344</v>
      </c>
      <c r="C10" s="515" t="str">
        <f ca="1">'TS XEmiss'!C12</f>
        <v>XAGRCOA</v>
      </c>
      <c r="D10" s="515" t="str">
        <f ca="1">'TS XEmiss'!D12</f>
        <v>AGRCO2S</v>
      </c>
      <c r="E10" s="515" t="str">
        <f t="shared" ref="E10:H11" ca="1" si="0">IF($A10="*","","-")</f>
        <v>-</v>
      </c>
      <c r="F10" s="515" t="str">
        <f t="shared" ca="1" si="0"/>
        <v>-</v>
      </c>
      <c r="G10" s="515" t="str">
        <f t="shared" ca="1" si="0"/>
        <v>-</v>
      </c>
      <c r="H10" s="515" t="str">
        <f t="shared" ca="1" si="0"/>
        <v>-</v>
      </c>
      <c r="I10" s="516">
        <v>1</v>
      </c>
      <c r="J10" s="516"/>
      <c r="K10" s="516"/>
      <c r="L10" s="495">
        <v>1</v>
      </c>
      <c r="M10" s="495">
        <v>1</v>
      </c>
    </row>
    <row r="11" spans="1:18">
      <c r="A11" s="495" t="str">
        <f ca="1">'TS XEmiss'!A13</f>
        <v/>
      </c>
      <c r="B11" s="515" t="s">
        <v>344</v>
      </c>
      <c r="C11" s="515" t="str">
        <f ca="1">'TS XEmiss'!C13</f>
        <v>XAGRCOA</v>
      </c>
      <c r="D11" s="515" t="str">
        <f ca="1">'TS XEmiss'!D13</f>
        <v>AGRCH4S</v>
      </c>
      <c r="E11" s="515" t="str">
        <f t="shared" ca="1" si="0"/>
        <v>-</v>
      </c>
      <c r="F11" s="515" t="str">
        <f t="shared" ca="1" si="0"/>
        <v>-</v>
      </c>
      <c r="G11" s="515" t="str">
        <f t="shared" ca="1" si="0"/>
        <v>-</v>
      </c>
      <c r="H11" s="515" t="str">
        <f t="shared" ca="1" si="0"/>
        <v>-</v>
      </c>
      <c r="I11" s="516">
        <f>I10</f>
        <v>1</v>
      </c>
      <c r="J11" s="516"/>
      <c r="K11" s="516"/>
      <c r="L11" s="495">
        <f>IF(M10=emissions_types,L10+1,L10)</f>
        <v>1</v>
      </c>
      <c r="M11" s="495">
        <f>IF(L11=L10,M10+1,1)</f>
        <v>2</v>
      </c>
    </row>
    <row r="12" spans="1:18" ht="15">
      <c r="A12" s="422" t="str">
        <f ca="1">IF(LEN(D12)=3,"*","")</f>
        <v/>
      </c>
      <c r="B12" s="515" t="str">
        <f>$B$10</f>
        <v>TOP-OUT</v>
      </c>
      <c r="C12" s="518" t="str">
        <f ca="1">"X"&amp;OFFSET(NameConv!$F$4,0,L12)&amp;OFFSET(NameConv!$F$59,M12,L12)</f>
        <v>XAGRCOA</v>
      </c>
      <c r="D12" s="515" t="str">
        <f ca="1">OFFSET(NameConv!$F$4,0,L12)&amp;OFFSET(NameConv!$AX$4,0,N12)</f>
        <v>AGRCO2S</v>
      </c>
      <c r="E12" s="740" t="s">
        <v>334</v>
      </c>
      <c r="F12" s="740" t="s">
        <v>334</v>
      </c>
      <c r="G12" s="740" t="s">
        <v>334</v>
      </c>
      <c r="H12" s="740" t="s">
        <v>334</v>
      </c>
      <c r="I12" s="516">
        <f>I11</f>
        <v>1</v>
      </c>
      <c r="J12" s="518"/>
      <c r="K12" s="518"/>
      <c r="L12" s="738">
        <f>Model_RUN_code</f>
        <v>1</v>
      </c>
      <c r="M12" s="495">
        <v>1</v>
      </c>
      <c r="N12" s="495">
        <f ca="1">SUMIF(NameConv!$C$5:$C$45,RIGHT(C12,3),OFFSET(NameConv!$CG$5,0,O12,NameConv!$A$45,1))</f>
        <v>1</v>
      </c>
      <c r="O12" s="495">
        <v>1</v>
      </c>
    </row>
    <row r="13" spans="1:18">
      <c r="A13" s="422" t="str">
        <f t="shared" ref="A13:A42" ca="1" si="1">IF(LEN(D13)=3,"*","")</f>
        <v/>
      </c>
      <c r="B13" s="515" t="str">
        <f>$B$10</f>
        <v>TOP-OUT</v>
      </c>
      <c r="C13" s="518" t="str">
        <f ca="1">"X"&amp;OFFSET(NameConv!$F$4,0,L13)&amp;OFFSET(NameConv!$F$59,M13,L13)</f>
        <v>XAGRCOA</v>
      </c>
      <c r="D13" s="515" t="str">
        <f ca="1">OFFSET(NameConv!$F$4,0,L13)&amp;OFFSET(NameConv!$AX$4,0,N13)</f>
        <v>AGRCH4S</v>
      </c>
      <c r="E13" s="740" t="s">
        <v>334</v>
      </c>
      <c r="F13" s="740" t="s">
        <v>334</v>
      </c>
      <c r="G13" s="740" t="s">
        <v>334</v>
      </c>
      <c r="H13" s="740" t="s">
        <v>334</v>
      </c>
      <c r="I13" s="516">
        <f t="shared" ref="I13:I76" si="2">I12</f>
        <v>1</v>
      </c>
      <c r="J13" s="518"/>
      <c r="K13" s="518"/>
      <c r="L13" s="495">
        <f ca="1">IF(AND(O12&gt;=SUMIF(NameConv!$C$5:$C$45,RIGHT(C12,3),NameConv!$CG$5:$CG$45),M12=SUMIF(NameConv!$G$4:$M$4,MID(C12,2,3),NameConv!$G$45:$M$45)),L12+1,L12)</f>
        <v>1</v>
      </c>
      <c r="M13" s="495">
        <f ca="1">IF(L13&lt;&gt;L12,1,IF(O12&gt;=SUMIF(NameConv!$C$5:$C$45,RIGHT(C12,3),NameConv!$CG$5:$CG$45),M12+1,M12))</f>
        <v>1</v>
      </c>
      <c r="N13" s="495">
        <f ca="1">SUMIF(NameConv!$C$5:$C$45,RIGHT(C13,3),OFFSET(NameConv!$CG$5,0,O13,NameConv!$A$45,1))</f>
        <v>2</v>
      </c>
      <c r="O13" s="495">
        <f ca="1">IF(O12&gt;=SUMIF(NameConv!$C$5:$C$45,RIGHT(C12,3),NameConv!$CG$5:$CG$45),1,O12+1)</f>
        <v>2</v>
      </c>
    </row>
    <row r="14" spans="1:18">
      <c r="A14" s="422" t="str">
        <f t="shared" ca="1" si="1"/>
        <v/>
      </c>
      <c r="B14" s="515" t="str">
        <f t="shared" ref="B14:B77" si="3">$B$10</f>
        <v>TOP-OUT</v>
      </c>
      <c r="C14" s="518" t="str">
        <f ca="1">"X"&amp;OFFSET(NameConv!$F$4,0,L14)&amp;OFFSET(NameConv!$F$59,M14,L14)</f>
        <v>XAGRCOA</v>
      </c>
      <c r="D14" s="515" t="str">
        <f ca="1">OFFSET(NameConv!$F$4,0,L14)&amp;OFFSET(NameConv!$AX$4,0,N14)</f>
        <v>AGRN2OS</v>
      </c>
      <c r="E14" s="740" t="s">
        <v>334</v>
      </c>
      <c r="F14" s="740" t="s">
        <v>334</v>
      </c>
      <c r="G14" s="740" t="s">
        <v>334</v>
      </c>
      <c r="H14" s="740" t="s">
        <v>334</v>
      </c>
      <c r="I14" s="516">
        <f t="shared" si="2"/>
        <v>1</v>
      </c>
      <c r="J14" s="516"/>
      <c r="K14" s="516"/>
      <c r="L14" s="495">
        <f ca="1">IF(AND(O13&gt;=SUMIF(NameConv!$C$5:$C$45,RIGHT(C13,3),NameConv!$CG$5:$CG$45),M13=SUMIF(NameConv!$G$4:$M$4,MID(C13,2,3),NameConv!$G$45:$M$45)),L13+1,L13)</f>
        <v>1</v>
      </c>
      <c r="M14" s="495">
        <f ca="1">IF(L14&lt;&gt;L13,1,IF(O13&gt;=SUMIF(NameConv!$C$5:$C$45,RIGHT(C13,3),NameConv!$CG$5:$CG$45),M13+1,M13))</f>
        <v>1</v>
      </c>
      <c r="N14" s="495">
        <f ca="1">SUMIF(NameConv!$C$5:$C$45,RIGHT(C14,3),OFFSET(NameConv!$CG$5,0,O14,NameConv!$A$45,1))</f>
        <v>3</v>
      </c>
      <c r="O14" s="495">
        <f ca="1">IF(O13&gt;=SUMIF(NameConv!$C$5:$C$45,RIGHT(C13,3),NameConv!$CG$5:$CG$45),1,O13+1)</f>
        <v>3</v>
      </c>
    </row>
    <row r="15" spans="1:18">
      <c r="A15" s="422" t="str">
        <f t="shared" ca="1" si="1"/>
        <v/>
      </c>
      <c r="B15" s="515" t="str">
        <f t="shared" si="3"/>
        <v>TOP-OUT</v>
      </c>
      <c r="C15" s="518" t="str">
        <f ca="1">"X"&amp;OFFSET(NameConv!$F$4,0,L15)&amp;OFFSET(NameConv!$F$59,M15,L15)</f>
        <v>XAGRCOA</v>
      </c>
      <c r="D15" s="515" t="str">
        <f ca="1">OFFSET(NameConv!$F$4,0,L15)&amp;OFFSET(NameConv!$AX$4,0,N15)</f>
        <v>AGRSOXS</v>
      </c>
      <c r="E15" s="740" t="s">
        <v>334</v>
      </c>
      <c r="F15" s="740" t="s">
        <v>334</v>
      </c>
      <c r="G15" s="740" t="s">
        <v>334</v>
      </c>
      <c r="H15" s="740" t="s">
        <v>334</v>
      </c>
      <c r="I15" s="516">
        <f t="shared" si="2"/>
        <v>1</v>
      </c>
      <c r="J15" s="516"/>
      <c r="K15" s="516"/>
      <c r="L15" s="495">
        <f ca="1">IF(AND(O14&gt;=SUMIF(NameConv!$C$5:$C$45,RIGHT(C14,3),NameConv!$CG$5:$CG$45),M14=SUMIF(NameConv!$G$4:$M$4,MID(C14,2,3),NameConv!$G$45:$M$45)),L14+1,L14)</f>
        <v>1</v>
      </c>
      <c r="M15" s="495">
        <f ca="1">IF(L15&lt;&gt;L14,1,IF(O14&gt;=SUMIF(NameConv!$C$5:$C$45,RIGHT(C14,3),NameConv!$CG$5:$CG$45),M14+1,M14))</f>
        <v>1</v>
      </c>
      <c r="N15" s="495">
        <f ca="1">SUMIF(NameConv!$C$5:$C$45,RIGHT(C15,3),OFFSET(NameConv!$CG$5,0,O15,NameConv!$A$45,1))</f>
        <v>4</v>
      </c>
      <c r="O15" s="495">
        <f ca="1">IF(O14&gt;=SUMIF(NameConv!$C$5:$C$45,RIGHT(C14,3),NameConv!$CG$5:$CG$45),1,O14+1)</f>
        <v>4</v>
      </c>
    </row>
    <row r="16" spans="1:18">
      <c r="A16" s="422" t="str">
        <f t="shared" ca="1" si="1"/>
        <v/>
      </c>
      <c r="B16" s="515" t="str">
        <f t="shared" si="3"/>
        <v>TOP-OUT</v>
      </c>
      <c r="C16" s="518" t="str">
        <f ca="1">"X"&amp;OFFSET(NameConv!$F$4,0,L16)&amp;OFFSET(NameConv!$F$59,M16,L16)</f>
        <v>XAGRCOA</v>
      </c>
      <c r="D16" s="515" t="str">
        <f ca="1">OFFSET(NameConv!$F$4,0,L16)&amp;OFFSET(NameConv!$AX$4,0,N16)</f>
        <v>AGRNOXS</v>
      </c>
      <c r="E16" s="740" t="s">
        <v>334</v>
      </c>
      <c r="F16" s="740" t="s">
        <v>334</v>
      </c>
      <c r="G16" s="740" t="s">
        <v>334</v>
      </c>
      <c r="H16" s="740" t="s">
        <v>334</v>
      </c>
      <c r="I16" s="516">
        <f t="shared" si="2"/>
        <v>1</v>
      </c>
      <c r="J16" s="516"/>
      <c r="K16" s="516"/>
      <c r="L16" s="495">
        <f ca="1">IF(AND(O15&gt;=SUMIF(NameConv!$C$5:$C$45,RIGHT(C15,3),NameConv!$CG$5:$CG$45),M15=SUMIF(NameConv!$G$4:$M$4,MID(C15,2,3),NameConv!$G$45:$M$45)),L15+1,L15)</f>
        <v>1</v>
      </c>
      <c r="M16" s="495">
        <f ca="1">IF(L16&lt;&gt;L15,1,IF(O15&gt;=SUMIF(NameConv!$C$5:$C$45,RIGHT(C15,3),NameConv!$CG$5:$CG$45),M15+1,M15))</f>
        <v>1</v>
      </c>
      <c r="N16" s="495">
        <f ca="1">SUMIF(NameConv!$C$5:$C$45,RIGHT(C16,3),OFFSET(NameConv!$CG$5,0,O16,NameConv!$A$45,1))</f>
        <v>5</v>
      </c>
      <c r="O16" s="495">
        <f ca="1">IF(O15&gt;=SUMIF(NameConv!$C$5:$C$45,RIGHT(C15,3),NameConv!$CG$5:$CG$45),1,O15+1)</f>
        <v>5</v>
      </c>
    </row>
    <row r="17" spans="1:15">
      <c r="A17" s="422" t="str">
        <f t="shared" ca="1" si="1"/>
        <v/>
      </c>
      <c r="B17" s="515" t="str">
        <f t="shared" si="3"/>
        <v>TOP-OUT</v>
      </c>
      <c r="C17" s="518" t="str">
        <f ca="1">"X"&amp;OFFSET(NameConv!$F$4,0,L17)&amp;OFFSET(NameConv!$F$59,M17,L17)</f>
        <v>XAGRCOA</v>
      </c>
      <c r="D17" s="515" t="str">
        <f ca="1">OFFSET(NameConv!$F$4,0,L17)&amp;OFFSET(NameConv!$AX$4,0,N17)</f>
        <v>AGRCMOX</v>
      </c>
      <c r="E17" s="740" t="s">
        <v>334</v>
      </c>
      <c r="F17" s="740" t="s">
        <v>334</v>
      </c>
      <c r="G17" s="740" t="s">
        <v>334</v>
      </c>
      <c r="H17" s="740" t="s">
        <v>334</v>
      </c>
      <c r="I17" s="516">
        <f t="shared" si="2"/>
        <v>1</v>
      </c>
      <c r="J17" s="516"/>
      <c r="K17" s="516"/>
      <c r="L17" s="495">
        <f ca="1">IF(AND(O16&gt;=SUMIF(NameConv!$C$5:$C$45,RIGHT(C16,3),NameConv!$CG$5:$CG$45),M16=SUMIF(NameConv!$G$4:$M$4,MID(C16,2,3),NameConv!$G$45:$M$45)),L16+1,L16)</f>
        <v>1</v>
      </c>
      <c r="M17" s="495">
        <f ca="1">IF(L17&lt;&gt;L16,1,IF(O16&gt;=SUMIF(NameConv!$C$5:$C$45,RIGHT(C16,3),NameConv!$CG$5:$CG$45),M16+1,M16))</f>
        <v>1</v>
      </c>
      <c r="N17" s="495">
        <f ca="1">SUMIF(NameConv!$C$5:$C$45,RIGHT(C17,3),OFFSET(NameConv!$CG$5,0,O17,NameConv!$A$45,1))</f>
        <v>6</v>
      </c>
      <c r="O17" s="495">
        <f ca="1">IF(O16&gt;=SUMIF(NameConv!$C$5:$C$45,RIGHT(C16,3),NameConv!$CG$5:$CG$45),1,O16+1)</f>
        <v>6</v>
      </c>
    </row>
    <row r="18" spans="1:15">
      <c r="A18" s="422" t="str">
        <f t="shared" ca="1" si="1"/>
        <v/>
      </c>
      <c r="B18" s="515" t="str">
        <f t="shared" si="3"/>
        <v>TOP-OUT</v>
      </c>
      <c r="C18" s="518" t="str">
        <f ca="1">"X"&amp;OFFSET(NameConv!$F$4,0,L18)&amp;OFFSET(NameConv!$F$59,M18,L18)</f>
        <v>XAGRCOA</v>
      </c>
      <c r="D18" s="515" t="str">
        <f ca="1">OFFSET(NameConv!$F$4,0,L18)&amp;OFFSET(NameConv!$AX$4,0,N18)</f>
        <v>AGRNMVS</v>
      </c>
      <c r="E18" s="740" t="s">
        <v>334</v>
      </c>
      <c r="F18" s="740" t="s">
        <v>334</v>
      </c>
      <c r="G18" s="740" t="s">
        <v>334</v>
      </c>
      <c r="H18" s="740" t="s">
        <v>334</v>
      </c>
      <c r="I18" s="516">
        <f t="shared" si="2"/>
        <v>1</v>
      </c>
      <c r="J18" s="516"/>
      <c r="K18" s="516"/>
      <c r="L18" s="495">
        <f ca="1">IF(AND(O17&gt;=SUMIF(NameConv!$C$5:$C$45,RIGHT(C17,3),NameConv!$CG$5:$CG$45),M17=SUMIF(NameConv!$G$4:$M$4,MID(C17,2,3),NameConv!$G$45:$M$45)),L17+1,L17)</f>
        <v>1</v>
      </c>
      <c r="M18" s="495">
        <f ca="1">IF(L18&lt;&gt;L17,1,IF(O17&gt;=SUMIF(NameConv!$C$5:$C$45,RIGHT(C17,3),NameConv!$CG$5:$CG$45),M17+1,M17))</f>
        <v>1</v>
      </c>
      <c r="N18" s="495">
        <f ca="1">SUMIF(NameConv!$C$5:$C$45,RIGHT(C18,3),OFFSET(NameConv!$CG$5,0,O18,NameConv!$A$45,1))</f>
        <v>7</v>
      </c>
      <c r="O18" s="495">
        <f ca="1">IF(O17&gt;=SUMIF(NameConv!$C$5:$C$45,RIGHT(C17,3),NameConv!$CG$5:$CG$45),1,O17+1)</f>
        <v>7</v>
      </c>
    </row>
    <row r="19" spans="1:15">
      <c r="A19" s="422" t="str">
        <f t="shared" ca="1" si="1"/>
        <v>*</v>
      </c>
      <c r="B19" s="515" t="str">
        <f t="shared" si="3"/>
        <v>TOP-OUT</v>
      </c>
      <c r="C19" s="518" t="str">
        <f ca="1">"X"&amp;OFFSET(NameConv!$F$4,0,L19)&amp;OFFSET(NameConv!$F$59,M19,L19)</f>
        <v>XAGRELC</v>
      </c>
      <c r="D19" s="515" t="str">
        <f ca="1">OFFSET(NameConv!$F$4,0,L19)&amp;OFFSET(NameConv!$AX$4,0,N19)</f>
        <v>AGR</v>
      </c>
      <c r="E19" s="740" t="s">
        <v>334</v>
      </c>
      <c r="F19" s="740" t="s">
        <v>334</v>
      </c>
      <c r="G19" s="740" t="s">
        <v>334</v>
      </c>
      <c r="H19" s="740" t="s">
        <v>334</v>
      </c>
      <c r="I19" s="516">
        <f t="shared" si="2"/>
        <v>1</v>
      </c>
      <c r="J19" s="516"/>
      <c r="K19" s="516"/>
      <c r="L19" s="495">
        <f ca="1">IF(AND(O18&gt;=SUMIF(NameConv!$C$5:$C$45,RIGHT(C18,3),NameConv!$CG$5:$CG$45),M18=SUMIF(NameConv!$G$4:$M$4,MID(C18,2,3),NameConv!$G$45:$M$45)),L18+1,L18)</f>
        <v>1</v>
      </c>
      <c r="M19" s="495">
        <f ca="1">IF(L19&lt;&gt;L18,1,IF(O18&gt;=SUMIF(NameConv!$C$5:$C$45,RIGHT(C18,3),NameConv!$CG$5:$CG$45),M18+1,M18))</f>
        <v>2</v>
      </c>
      <c r="N19" s="495">
        <f ca="1">SUMIF(NameConv!$C$5:$C$45,RIGHT(C19,3),OFFSET(NameConv!$CG$5,0,O19,NameConv!$A$45,1))</f>
        <v>0</v>
      </c>
      <c r="O19" s="495">
        <f ca="1">IF(O18&gt;=SUMIF(NameConv!$C$5:$C$45,RIGHT(C18,3),NameConv!$CG$5:$CG$45),1,O18+1)</f>
        <v>1</v>
      </c>
    </row>
    <row r="20" spans="1:15">
      <c r="A20" s="422" t="str">
        <f t="shared" ca="1" si="1"/>
        <v/>
      </c>
      <c r="B20" s="515" t="str">
        <f t="shared" si="3"/>
        <v>TOP-OUT</v>
      </c>
      <c r="C20" s="518" t="str">
        <f ca="1">"X"&amp;OFFSET(NameConv!$F$4,0,L20)&amp;OFFSET(NameConv!$F$59,M20,L20)</f>
        <v>XAGRODS</v>
      </c>
      <c r="D20" s="515" t="str">
        <f ca="1">OFFSET(NameConv!$F$4,0,L20)&amp;OFFSET(NameConv!$AX$4,0,N20)</f>
        <v>AGRCO2S</v>
      </c>
      <c r="E20" s="740" t="s">
        <v>334</v>
      </c>
      <c r="F20" s="740" t="s">
        <v>334</v>
      </c>
      <c r="G20" s="740" t="s">
        <v>334</v>
      </c>
      <c r="H20" s="740" t="s">
        <v>334</v>
      </c>
      <c r="I20" s="516">
        <f t="shared" si="2"/>
        <v>1</v>
      </c>
      <c r="J20" s="516"/>
      <c r="K20" s="516"/>
      <c r="L20" s="495">
        <f ca="1">IF(AND(O19&gt;=SUMIF(NameConv!$C$5:$C$45,RIGHT(C19,3),NameConv!$CG$5:$CG$45),M19=SUMIF(NameConv!$G$4:$M$4,MID(C19,2,3),NameConv!$G$45:$M$45)),L19+1,L19)</f>
        <v>1</v>
      </c>
      <c r="M20" s="495">
        <f ca="1">IF(L20&lt;&gt;L19,1,IF(O19&gt;=SUMIF(NameConv!$C$5:$C$45,RIGHT(C19,3),NameConv!$CG$5:$CG$45),M19+1,M19))</f>
        <v>3</v>
      </c>
      <c r="N20" s="495">
        <f ca="1">SUMIF(NameConv!$C$5:$C$45,RIGHT(C20,3),OFFSET(NameConv!$CG$5,0,O20,NameConv!$A$45,1))</f>
        <v>1</v>
      </c>
      <c r="O20" s="495">
        <f ca="1">IF(O19&gt;=SUMIF(NameConv!$C$5:$C$45,RIGHT(C19,3),NameConv!$CG$5:$CG$45),1,O19+1)</f>
        <v>1</v>
      </c>
    </row>
    <row r="21" spans="1:15">
      <c r="A21" s="422" t="str">
        <f t="shared" ca="1" si="1"/>
        <v/>
      </c>
      <c r="B21" s="515" t="str">
        <f t="shared" si="3"/>
        <v>TOP-OUT</v>
      </c>
      <c r="C21" s="518" t="str">
        <f ca="1">"X"&amp;OFFSET(NameConv!$F$4,0,L21)&amp;OFFSET(NameConv!$F$59,M21,L21)</f>
        <v>XAGRODS</v>
      </c>
      <c r="D21" s="515" t="str">
        <f ca="1">OFFSET(NameConv!$F$4,0,L21)&amp;OFFSET(NameConv!$AX$4,0,N21)</f>
        <v>AGRCH4S</v>
      </c>
      <c r="E21" s="740" t="s">
        <v>334</v>
      </c>
      <c r="F21" s="740" t="s">
        <v>334</v>
      </c>
      <c r="G21" s="740" t="s">
        <v>334</v>
      </c>
      <c r="H21" s="740" t="s">
        <v>334</v>
      </c>
      <c r="I21" s="516">
        <f t="shared" si="2"/>
        <v>1</v>
      </c>
      <c r="J21" s="516"/>
      <c r="K21" s="516"/>
      <c r="L21" s="495">
        <f ca="1">IF(AND(O20&gt;=SUMIF(NameConv!$C$5:$C$45,RIGHT(C20,3),NameConv!$CG$5:$CG$45),M20=SUMIF(NameConv!$G$4:$M$4,MID(C20,2,3),NameConv!$G$45:$M$45)),L20+1,L20)</f>
        <v>1</v>
      </c>
      <c r="M21" s="495">
        <f ca="1">IF(L21&lt;&gt;L20,1,IF(O20&gt;=SUMIF(NameConv!$C$5:$C$45,RIGHT(C20,3),NameConv!$CG$5:$CG$45),M20+1,M20))</f>
        <v>3</v>
      </c>
      <c r="N21" s="495">
        <f ca="1">SUMIF(NameConv!$C$5:$C$45,RIGHT(C21,3),OFFSET(NameConv!$CG$5,0,O21,NameConv!$A$45,1))</f>
        <v>2</v>
      </c>
      <c r="O21" s="495">
        <f ca="1">IF(O20&gt;=SUMIF(NameConv!$C$5:$C$45,RIGHT(C20,3),NameConv!$CG$5:$CG$45),1,O20+1)</f>
        <v>2</v>
      </c>
    </row>
    <row r="22" spans="1:15">
      <c r="A22" s="422" t="str">
        <f t="shared" ca="1" si="1"/>
        <v/>
      </c>
      <c r="B22" s="515" t="str">
        <f t="shared" si="3"/>
        <v>TOP-OUT</v>
      </c>
      <c r="C22" s="518" t="str">
        <f ca="1">"X"&amp;OFFSET(NameConv!$F$4,0,L22)&amp;OFFSET(NameConv!$F$59,M22,L22)</f>
        <v>XAGRODS</v>
      </c>
      <c r="D22" s="515" t="str">
        <f ca="1">OFFSET(NameConv!$F$4,0,L22)&amp;OFFSET(NameConv!$AX$4,0,N22)</f>
        <v>AGRN2OS</v>
      </c>
      <c r="E22" s="740" t="s">
        <v>334</v>
      </c>
      <c r="F22" s="740" t="s">
        <v>334</v>
      </c>
      <c r="G22" s="740" t="s">
        <v>334</v>
      </c>
      <c r="H22" s="740" t="s">
        <v>334</v>
      </c>
      <c r="I22" s="516">
        <f t="shared" si="2"/>
        <v>1</v>
      </c>
      <c r="J22" s="516"/>
      <c r="K22" s="516"/>
      <c r="L22" s="495">
        <f ca="1">IF(AND(O21&gt;=SUMIF(NameConv!$C$5:$C$45,RIGHT(C21,3),NameConv!$CG$5:$CG$45),M21=SUMIF(NameConv!$G$4:$M$4,MID(C21,2,3),NameConv!$G$45:$M$45)),L21+1,L21)</f>
        <v>1</v>
      </c>
      <c r="M22" s="495">
        <f ca="1">IF(L22&lt;&gt;L21,1,IF(O21&gt;=SUMIF(NameConv!$C$5:$C$45,RIGHT(C21,3),NameConv!$CG$5:$CG$45),M21+1,M21))</f>
        <v>3</v>
      </c>
      <c r="N22" s="495">
        <f ca="1">SUMIF(NameConv!$C$5:$C$45,RIGHT(C22,3),OFFSET(NameConv!$CG$5,0,O22,NameConv!$A$45,1))</f>
        <v>3</v>
      </c>
      <c r="O22" s="495">
        <f ca="1">IF(O21&gt;=SUMIF(NameConv!$C$5:$C$45,RIGHT(C21,3),NameConv!$CG$5:$CG$45),1,O21+1)</f>
        <v>3</v>
      </c>
    </row>
    <row r="23" spans="1:15">
      <c r="A23" s="422" t="str">
        <f t="shared" ca="1" si="1"/>
        <v/>
      </c>
      <c r="B23" s="515" t="str">
        <f t="shared" si="3"/>
        <v>TOP-OUT</v>
      </c>
      <c r="C23" s="518" t="str">
        <f ca="1">"X"&amp;OFFSET(NameConv!$F$4,0,L23)&amp;OFFSET(NameConv!$F$59,M23,L23)</f>
        <v>XAGRODS</v>
      </c>
      <c r="D23" s="515" t="str">
        <f ca="1">OFFSET(NameConv!$F$4,0,L23)&amp;OFFSET(NameConv!$AX$4,0,N23)</f>
        <v>AGRSOXS</v>
      </c>
      <c r="E23" s="740" t="s">
        <v>334</v>
      </c>
      <c r="F23" s="740" t="s">
        <v>334</v>
      </c>
      <c r="G23" s="740" t="s">
        <v>334</v>
      </c>
      <c r="H23" s="740" t="s">
        <v>334</v>
      </c>
      <c r="I23" s="516">
        <f t="shared" si="2"/>
        <v>1</v>
      </c>
      <c r="J23" s="516"/>
      <c r="K23" s="516"/>
      <c r="L23" s="495">
        <f ca="1">IF(AND(O22&gt;=SUMIF(NameConv!$C$5:$C$45,RIGHT(C22,3),NameConv!$CG$5:$CG$45),M22=SUMIF(NameConv!$G$4:$M$4,MID(C22,2,3),NameConv!$G$45:$M$45)),L22+1,L22)</f>
        <v>1</v>
      </c>
      <c r="M23" s="495">
        <f ca="1">IF(L23&lt;&gt;L22,1,IF(O22&gt;=SUMIF(NameConv!$C$5:$C$45,RIGHT(C22,3),NameConv!$CG$5:$CG$45),M22+1,M22))</f>
        <v>3</v>
      </c>
      <c r="N23" s="495">
        <f ca="1">SUMIF(NameConv!$C$5:$C$45,RIGHT(C23,3),OFFSET(NameConv!$CG$5,0,O23,NameConv!$A$45,1))</f>
        <v>4</v>
      </c>
      <c r="O23" s="495">
        <f ca="1">IF(O22&gt;=SUMIF(NameConv!$C$5:$C$45,RIGHT(C22,3),NameConv!$CG$5:$CG$45),1,O22+1)</f>
        <v>4</v>
      </c>
    </row>
    <row r="24" spans="1:15">
      <c r="A24" s="422" t="str">
        <f t="shared" ca="1" si="1"/>
        <v/>
      </c>
      <c r="B24" s="515" t="str">
        <f t="shared" si="3"/>
        <v>TOP-OUT</v>
      </c>
      <c r="C24" s="518" t="str">
        <f ca="1">"X"&amp;OFFSET(NameConv!$F$4,0,L24)&amp;OFFSET(NameConv!$F$59,M24,L24)</f>
        <v>XAGRODS</v>
      </c>
      <c r="D24" s="515" t="str">
        <f ca="1">OFFSET(NameConv!$F$4,0,L24)&amp;OFFSET(NameConv!$AX$4,0,N24)</f>
        <v>AGRNOXS</v>
      </c>
      <c r="E24" s="740" t="s">
        <v>334</v>
      </c>
      <c r="F24" s="740" t="s">
        <v>334</v>
      </c>
      <c r="G24" s="740" t="s">
        <v>334</v>
      </c>
      <c r="H24" s="740" t="s">
        <v>334</v>
      </c>
      <c r="I24" s="516">
        <f t="shared" si="2"/>
        <v>1</v>
      </c>
      <c r="J24" s="516"/>
      <c r="K24" s="516"/>
      <c r="L24" s="495">
        <f ca="1">IF(AND(O23&gt;=SUMIF(NameConv!$C$5:$C$45,RIGHT(C23,3),NameConv!$CG$5:$CG$45),M23=SUMIF(NameConv!$G$4:$M$4,MID(C23,2,3),NameConv!$G$45:$M$45)),L23+1,L23)</f>
        <v>1</v>
      </c>
      <c r="M24" s="495">
        <f ca="1">IF(L24&lt;&gt;L23,1,IF(O23&gt;=SUMIF(NameConv!$C$5:$C$45,RIGHT(C23,3),NameConv!$CG$5:$CG$45),M23+1,M23))</f>
        <v>3</v>
      </c>
      <c r="N24" s="495">
        <f ca="1">SUMIF(NameConv!$C$5:$C$45,RIGHT(C24,3),OFFSET(NameConv!$CG$5,0,O24,NameConv!$A$45,1))</f>
        <v>5</v>
      </c>
      <c r="O24" s="495">
        <f ca="1">IF(O23&gt;=SUMIF(NameConv!$C$5:$C$45,RIGHT(C23,3),NameConv!$CG$5:$CG$45),1,O23+1)</f>
        <v>5</v>
      </c>
    </row>
    <row r="25" spans="1:15">
      <c r="A25" s="422" t="str">
        <f t="shared" ca="1" si="1"/>
        <v/>
      </c>
      <c r="B25" s="515" t="str">
        <f t="shared" si="3"/>
        <v>TOP-OUT</v>
      </c>
      <c r="C25" s="518" t="str">
        <f ca="1">"X"&amp;OFFSET(NameConv!$F$4,0,L25)&amp;OFFSET(NameConv!$F$59,M25,L25)</f>
        <v>XAGRODS</v>
      </c>
      <c r="D25" s="515" t="str">
        <f ca="1">OFFSET(NameConv!$F$4,0,L25)&amp;OFFSET(NameConv!$AX$4,0,N25)</f>
        <v>AGRCMOX</v>
      </c>
      <c r="E25" s="740" t="s">
        <v>334</v>
      </c>
      <c r="F25" s="740" t="s">
        <v>334</v>
      </c>
      <c r="G25" s="740" t="s">
        <v>334</v>
      </c>
      <c r="H25" s="740" t="s">
        <v>334</v>
      </c>
      <c r="I25" s="516">
        <f t="shared" si="2"/>
        <v>1</v>
      </c>
      <c r="J25" s="516"/>
      <c r="K25" s="516"/>
      <c r="L25" s="495">
        <f ca="1">IF(AND(O24&gt;=SUMIF(NameConv!$C$5:$C$45,RIGHT(C24,3),NameConv!$CG$5:$CG$45),M24=SUMIF(NameConv!$G$4:$M$4,MID(C24,2,3),NameConv!$G$45:$M$45)),L24+1,L24)</f>
        <v>1</v>
      </c>
      <c r="M25" s="495">
        <f ca="1">IF(L25&lt;&gt;L24,1,IF(O24&gt;=SUMIF(NameConv!$C$5:$C$45,RIGHT(C24,3),NameConv!$CG$5:$CG$45),M24+1,M24))</f>
        <v>3</v>
      </c>
      <c r="N25" s="495">
        <f ca="1">SUMIF(NameConv!$C$5:$C$45,RIGHT(C25,3),OFFSET(NameConv!$CG$5,0,O25,NameConv!$A$45,1))</f>
        <v>6</v>
      </c>
      <c r="O25" s="495">
        <f ca="1">IF(O24&gt;=SUMIF(NameConv!$C$5:$C$45,RIGHT(C24,3),NameConv!$CG$5:$CG$45),1,O24+1)</f>
        <v>6</v>
      </c>
    </row>
    <row r="26" spans="1:15">
      <c r="A26" s="422" t="str">
        <f t="shared" ca="1" si="1"/>
        <v/>
      </c>
      <c r="B26" s="515" t="str">
        <f t="shared" si="3"/>
        <v>TOP-OUT</v>
      </c>
      <c r="C26" s="518" t="str">
        <f ca="1">"X"&amp;OFFSET(NameConv!$F$4,0,L26)&amp;OFFSET(NameConv!$F$59,M26,L26)</f>
        <v>XAGRODS</v>
      </c>
      <c r="D26" s="515" t="str">
        <f ca="1">OFFSET(NameConv!$F$4,0,L26)&amp;OFFSET(NameConv!$AX$4,0,N26)</f>
        <v>AGRNMVS</v>
      </c>
      <c r="E26" s="740" t="s">
        <v>334</v>
      </c>
      <c r="F26" s="740" t="s">
        <v>334</v>
      </c>
      <c r="G26" s="740" t="s">
        <v>334</v>
      </c>
      <c r="H26" s="740" t="s">
        <v>334</v>
      </c>
      <c r="I26" s="516">
        <f t="shared" si="2"/>
        <v>1</v>
      </c>
      <c r="J26" s="516"/>
      <c r="K26" s="516"/>
      <c r="L26" s="495">
        <f ca="1">IF(AND(O25&gt;=SUMIF(NameConv!$C$5:$C$45,RIGHT(C25,3),NameConv!$CG$5:$CG$45),M25=SUMIF(NameConv!$G$4:$M$4,MID(C25,2,3),NameConv!$G$45:$M$45)),L25+1,L25)</f>
        <v>1</v>
      </c>
      <c r="M26" s="495">
        <f ca="1">IF(L26&lt;&gt;L25,1,IF(O25&gt;=SUMIF(NameConv!$C$5:$C$45,RIGHT(C25,3),NameConv!$CG$5:$CG$45),M25+1,M25))</f>
        <v>3</v>
      </c>
      <c r="N26" s="495">
        <f ca="1">SUMIF(NameConv!$C$5:$C$45,RIGHT(C26,3),OFFSET(NameConv!$CG$5,0,O26,NameConv!$A$45,1))</f>
        <v>7</v>
      </c>
      <c r="O26" s="495">
        <f ca="1">IF(O25&gt;=SUMIF(NameConv!$C$5:$C$45,RIGHT(C25,3),NameConv!$CG$5:$CG$45),1,O25+1)</f>
        <v>7</v>
      </c>
    </row>
    <row r="27" spans="1:15">
      <c r="A27" s="422" t="str">
        <f t="shared" ca="1" si="1"/>
        <v/>
      </c>
      <c r="B27" s="515" t="str">
        <f t="shared" si="3"/>
        <v>TOP-OUT</v>
      </c>
      <c r="C27" s="518" t="str">
        <f ca="1">"X"&amp;OFFSET(NameConv!$F$4,0,L27)&amp;OFFSET(NameConv!$F$59,M27,L27)</f>
        <v>XAGROGS</v>
      </c>
      <c r="D27" s="515" t="str">
        <f ca="1">OFFSET(NameConv!$F$4,0,L27)&amp;OFFSET(NameConv!$AX$4,0,N27)</f>
        <v>AGRCO2S</v>
      </c>
      <c r="E27" s="740" t="s">
        <v>334</v>
      </c>
      <c r="F27" s="740" t="s">
        <v>334</v>
      </c>
      <c r="G27" s="740" t="s">
        <v>334</v>
      </c>
      <c r="H27" s="740" t="s">
        <v>334</v>
      </c>
      <c r="I27" s="516">
        <f t="shared" si="2"/>
        <v>1</v>
      </c>
      <c r="J27" s="516"/>
      <c r="K27" s="516"/>
      <c r="L27" s="495">
        <f ca="1">IF(AND(O26&gt;=SUMIF(NameConv!$C$5:$C$45,RIGHT(C26,3),NameConv!$CG$5:$CG$45),M26=SUMIF(NameConv!$G$4:$M$4,MID(C26,2,3),NameConv!$G$45:$M$45)),L26+1,L26)</f>
        <v>1</v>
      </c>
      <c r="M27" s="495">
        <f ca="1">IF(L27&lt;&gt;L26,1,IF(O26&gt;=SUMIF(NameConv!$C$5:$C$45,RIGHT(C26,3),NameConv!$CG$5:$CG$45),M26+1,M26))</f>
        <v>4</v>
      </c>
      <c r="N27" s="495">
        <f ca="1">SUMIF(NameConv!$C$5:$C$45,RIGHT(C27,3),OFFSET(NameConv!$CG$5,0,O27,NameConv!$A$45,1))</f>
        <v>1</v>
      </c>
      <c r="O27" s="495">
        <f ca="1">IF(O26&gt;=SUMIF(NameConv!$C$5:$C$45,RIGHT(C26,3),NameConv!$CG$5:$CG$45),1,O26+1)</f>
        <v>1</v>
      </c>
    </row>
    <row r="28" spans="1:15">
      <c r="A28" s="422" t="str">
        <f t="shared" ca="1" si="1"/>
        <v/>
      </c>
      <c r="B28" s="515" t="str">
        <f t="shared" si="3"/>
        <v>TOP-OUT</v>
      </c>
      <c r="C28" s="518" t="str">
        <f ca="1">"X"&amp;OFFSET(NameConv!$F$4,0,L28)&amp;OFFSET(NameConv!$F$59,M28,L28)</f>
        <v>XAGROGS</v>
      </c>
      <c r="D28" s="515" t="str">
        <f ca="1">OFFSET(NameConv!$F$4,0,L28)&amp;OFFSET(NameConv!$AX$4,0,N28)</f>
        <v>AGRCH4S</v>
      </c>
      <c r="E28" s="740" t="s">
        <v>334</v>
      </c>
      <c r="F28" s="740" t="s">
        <v>334</v>
      </c>
      <c r="G28" s="740" t="s">
        <v>334</v>
      </c>
      <c r="H28" s="740" t="s">
        <v>334</v>
      </c>
      <c r="I28" s="516">
        <f t="shared" si="2"/>
        <v>1</v>
      </c>
      <c r="J28" s="516"/>
      <c r="K28" s="516"/>
      <c r="L28" s="495">
        <f ca="1">IF(AND(O27&gt;=SUMIF(NameConv!$C$5:$C$45,RIGHT(C27,3),NameConv!$CG$5:$CG$45),M27=SUMIF(NameConv!$G$4:$M$4,MID(C27,2,3),NameConv!$G$45:$M$45)),L27+1,L27)</f>
        <v>1</v>
      </c>
      <c r="M28" s="495">
        <f ca="1">IF(L28&lt;&gt;L27,1,IF(O27&gt;=SUMIF(NameConv!$C$5:$C$45,RIGHT(C27,3),NameConv!$CG$5:$CG$45),M27+1,M27))</f>
        <v>4</v>
      </c>
      <c r="N28" s="495">
        <f ca="1">SUMIF(NameConv!$C$5:$C$45,RIGHT(C28,3),OFFSET(NameConv!$CG$5,0,O28,NameConv!$A$45,1))</f>
        <v>2</v>
      </c>
      <c r="O28" s="495">
        <f ca="1">IF(O27&gt;=SUMIF(NameConv!$C$5:$C$45,RIGHT(C27,3),NameConv!$CG$5:$CG$45),1,O27+1)</f>
        <v>2</v>
      </c>
    </row>
    <row r="29" spans="1:15">
      <c r="A29" s="422" t="str">
        <f t="shared" ca="1" si="1"/>
        <v/>
      </c>
      <c r="B29" s="515" t="str">
        <f t="shared" si="3"/>
        <v>TOP-OUT</v>
      </c>
      <c r="C29" s="518" t="str">
        <f ca="1">"X"&amp;OFFSET(NameConv!$F$4,0,L29)&amp;OFFSET(NameConv!$F$59,M29,L29)</f>
        <v>XAGROGS</v>
      </c>
      <c r="D29" s="515" t="str">
        <f ca="1">OFFSET(NameConv!$F$4,0,L29)&amp;OFFSET(NameConv!$AX$4,0,N29)</f>
        <v>AGRN2OS</v>
      </c>
      <c r="E29" s="740" t="s">
        <v>334</v>
      </c>
      <c r="F29" s="740" t="s">
        <v>334</v>
      </c>
      <c r="G29" s="740" t="s">
        <v>334</v>
      </c>
      <c r="H29" s="740" t="s">
        <v>334</v>
      </c>
      <c r="I29" s="516">
        <f t="shared" si="2"/>
        <v>1</v>
      </c>
      <c r="J29" s="516"/>
      <c r="K29" s="516"/>
      <c r="L29" s="495">
        <f ca="1">IF(AND(O28&gt;=SUMIF(NameConv!$C$5:$C$45,RIGHT(C28,3),NameConv!$CG$5:$CG$45),M28=SUMIF(NameConv!$G$4:$M$4,MID(C28,2,3),NameConv!$G$45:$M$45)),L28+1,L28)</f>
        <v>1</v>
      </c>
      <c r="M29" s="495">
        <f ca="1">IF(L29&lt;&gt;L28,1,IF(O28&gt;=SUMIF(NameConv!$C$5:$C$45,RIGHT(C28,3),NameConv!$CG$5:$CG$45),M28+1,M28))</f>
        <v>4</v>
      </c>
      <c r="N29" s="495">
        <f ca="1">SUMIF(NameConv!$C$5:$C$45,RIGHT(C29,3),OFFSET(NameConv!$CG$5,0,O29,NameConv!$A$45,1))</f>
        <v>3</v>
      </c>
      <c r="O29" s="495">
        <f ca="1">IF(O28&gt;=SUMIF(NameConv!$C$5:$C$45,RIGHT(C28,3),NameConv!$CG$5:$CG$45),1,O28+1)</f>
        <v>3</v>
      </c>
    </row>
    <row r="30" spans="1:15">
      <c r="A30" s="422" t="str">
        <f t="shared" ca="1" si="1"/>
        <v/>
      </c>
      <c r="B30" s="515" t="str">
        <f t="shared" si="3"/>
        <v>TOP-OUT</v>
      </c>
      <c r="C30" s="518" t="str">
        <f ca="1">"X"&amp;OFFSET(NameConv!$F$4,0,L30)&amp;OFFSET(NameConv!$F$59,M30,L30)</f>
        <v>XAGROGS</v>
      </c>
      <c r="D30" s="515" t="str">
        <f ca="1">OFFSET(NameConv!$F$4,0,L30)&amp;OFFSET(NameConv!$AX$4,0,N30)</f>
        <v>AGRSOXS</v>
      </c>
      <c r="E30" s="740" t="s">
        <v>334</v>
      </c>
      <c r="F30" s="740" t="s">
        <v>334</v>
      </c>
      <c r="G30" s="740" t="s">
        <v>334</v>
      </c>
      <c r="H30" s="740" t="s">
        <v>334</v>
      </c>
      <c r="I30" s="516">
        <f t="shared" si="2"/>
        <v>1</v>
      </c>
      <c r="J30" s="516"/>
      <c r="K30" s="516"/>
      <c r="L30" s="495">
        <f ca="1">IF(AND(O29&gt;=SUMIF(NameConv!$C$5:$C$45,RIGHT(C29,3),NameConv!$CG$5:$CG$45),M29=SUMIF(NameConv!$G$4:$M$4,MID(C29,2,3),NameConv!$G$45:$M$45)),L29+1,L29)</f>
        <v>1</v>
      </c>
      <c r="M30" s="495">
        <f ca="1">IF(L30&lt;&gt;L29,1,IF(O29&gt;=SUMIF(NameConv!$C$5:$C$45,RIGHT(C29,3),NameConv!$CG$5:$CG$45),M29+1,M29))</f>
        <v>4</v>
      </c>
      <c r="N30" s="495">
        <f ca="1">SUMIF(NameConv!$C$5:$C$45,RIGHT(C30,3),OFFSET(NameConv!$CG$5,0,O30,NameConv!$A$45,1))</f>
        <v>4</v>
      </c>
      <c r="O30" s="495">
        <f ca="1">IF(O29&gt;=SUMIF(NameConv!$C$5:$C$45,RIGHT(C29,3),NameConv!$CG$5:$CG$45),1,O29+1)</f>
        <v>4</v>
      </c>
    </row>
    <row r="31" spans="1:15">
      <c r="A31" s="422" t="str">
        <f t="shared" ca="1" si="1"/>
        <v/>
      </c>
      <c r="B31" s="515" t="str">
        <f t="shared" si="3"/>
        <v>TOP-OUT</v>
      </c>
      <c r="C31" s="518" t="str">
        <f ca="1">"X"&amp;OFFSET(NameConv!$F$4,0,L31)&amp;OFFSET(NameConv!$F$59,M31,L31)</f>
        <v>XAGROGS</v>
      </c>
      <c r="D31" s="515" t="str">
        <f ca="1">OFFSET(NameConv!$F$4,0,L31)&amp;OFFSET(NameConv!$AX$4,0,N31)</f>
        <v>AGRNOXS</v>
      </c>
      <c r="E31" s="740" t="s">
        <v>334</v>
      </c>
      <c r="F31" s="740" t="s">
        <v>334</v>
      </c>
      <c r="G31" s="740" t="s">
        <v>334</v>
      </c>
      <c r="H31" s="740" t="s">
        <v>334</v>
      </c>
      <c r="I31" s="516">
        <f t="shared" si="2"/>
        <v>1</v>
      </c>
      <c r="J31" s="516"/>
      <c r="K31" s="516"/>
      <c r="L31" s="495">
        <f ca="1">IF(AND(O30&gt;=SUMIF(NameConv!$C$5:$C$45,RIGHT(C30,3),NameConv!$CG$5:$CG$45),M30=SUMIF(NameConv!$G$4:$M$4,MID(C30,2,3),NameConv!$G$45:$M$45)),L30+1,L30)</f>
        <v>1</v>
      </c>
      <c r="M31" s="495">
        <f ca="1">IF(L31&lt;&gt;L30,1,IF(O30&gt;=SUMIF(NameConv!$C$5:$C$45,RIGHT(C30,3),NameConv!$CG$5:$CG$45),M30+1,M30))</f>
        <v>4</v>
      </c>
      <c r="N31" s="495">
        <f ca="1">SUMIF(NameConv!$C$5:$C$45,RIGHT(C31,3),OFFSET(NameConv!$CG$5,0,O31,NameConv!$A$45,1))</f>
        <v>5</v>
      </c>
      <c r="O31" s="495">
        <f ca="1">IF(O30&gt;=SUMIF(NameConv!$C$5:$C$45,RIGHT(C30,3),NameConv!$CG$5:$CG$45),1,O30+1)</f>
        <v>5</v>
      </c>
    </row>
    <row r="32" spans="1:15">
      <c r="A32" s="422" t="str">
        <f t="shared" ca="1" si="1"/>
        <v/>
      </c>
      <c r="B32" s="515" t="str">
        <f t="shared" si="3"/>
        <v>TOP-OUT</v>
      </c>
      <c r="C32" s="518" t="str">
        <f ca="1">"X"&amp;OFFSET(NameConv!$F$4,0,L32)&amp;OFFSET(NameConv!$F$59,M32,L32)</f>
        <v>XAGROGS</v>
      </c>
      <c r="D32" s="515" t="str">
        <f ca="1">OFFSET(NameConv!$F$4,0,L32)&amp;OFFSET(NameConv!$AX$4,0,N32)</f>
        <v>AGRCMOX</v>
      </c>
      <c r="E32" s="740" t="s">
        <v>334</v>
      </c>
      <c r="F32" s="740" t="s">
        <v>334</v>
      </c>
      <c r="G32" s="740" t="s">
        <v>334</v>
      </c>
      <c r="H32" s="740" t="s">
        <v>334</v>
      </c>
      <c r="I32" s="516">
        <f t="shared" si="2"/>
        <v>1</v>
      </c>
      <c r="J32" s="516"/>
      <c r="K32" s="516"/>
      <c r="L32" s="495">
        <f ca="1">IF(AND(O31&gt;=SUMIF(NameConv!$C$5:$C$45,RIGHT(C31,3),NameConv!$CG$5:$CG$45),M31=SUMIF(NameConv!$G$4:$M$4,MID(C31,2,3),NameConv!$G$45:$M$45)),L31+1,L31)</f>
        <v>1</v>
      </c>
      <c r="M32" s="495">
        <f ca="1">IF(L32&lt;&gt;L31,1,IF(O31&gt;=SUMIF(NameConv!$C$5:$C$45,RIGHT(C31,3),NameConv!$CG$5:$CG$45),M31+1,M31))</f>
        <v>4</v>
      </c>
      <c r="N32" s="495">
        <f ca="1">SUMIF(NameConv!$C$5:$C$45,RIGHT(C32,3),OFFSET(NameConv!$CG$5,0,O32,NameConv!$A$45,1))</f>
        <v>6</v>
      </c>
      <c r="O32" s="495">
        <f ca="1">IF(O31&gt;=SUMIF(NameConv!$C$5:$C$45,RIGHT(C31,3),NameConv!$CG$5:$CG$45),1,O31+1)</f>
        <v>6</v>
      </c>
    </row>
    <row r="33" spans="1:15">
      <c r="A33" s="422" t="str">
        <f t="shared" ca="1" si="1"/>
        <v/>
      </c>
      <c r="B33" s="515" t="str">
        <f t="shared" si="3"/>
        <v>TOP-OUT</v>
      </c>
      <c r="C33" s="518" t="str">
        <f ca="1">"X"&amp;OFFSET(NameConv!$F$4,0,L33)&amp;OFFSET(NameConv!$F$59,M33,L33)</f>
        <v>XAGROGS</v>
      </c>
      <c r="D33" s="515" t="str">
        <f ca="1">OFFSET(NameConv!$F$4,0,L33)&amp;OFFSET(NameConv!$AX$4,0,N33)</f>
        <v>AGRNMVS</v>
      </c>
      <c r="E33" s="740" t="s">
        <v>334</v>
      </c>
      <c r="F33" s="740" t="s">
        <v>334</v>
      </c>
      <c r="G33" s="740" t="s">
        <v>334</v>
      </c>
      <c r="H33" s="740" t="s">
        <v>334</v>
      </c>
      <c r="I33" s="516">
        <f t="shared" si="2"/>
        <v>1</v>
      </c>
      <c r="J33" s="516"/>
      <c r="K33" s="516"/>
      <c r="L33" s="495">
        <f ca="1">IF(AND(O32&gt;=SUMIF(NameConv!$C$5:$C$45,RIGHT(C32,3),NameConv!$CG$5:$CG$45),M32=SUMIF(NameConv!$G$4:$M$4,MID(C32,2,3),NameConv!$G$45:$M$45)),L32+1,L32)</f>
        <v>1</v>
      </c>
      <c r="M33" s="495">
        <f ca="1">IF(L33&lt;&gt;L32,1,IF(O32&gt;=SUMIF(NameConv!$C$5:$C$45,RIGHT(C32,3),NameConv!$CG$5:$CG$45),M32+1,M32))</f>
        <v>4</v>
      </c>
      <c r="N33" s="495">
        <f ca="1">SUMIF(NameConv!$C$5:$C$45,RIGHT(C33,3),OFFSET(NameConv!$CG$5,0,O33,NameConv!$A$45,1))</f>
        <v>7</v>
      </c>
      <c r="O33" s="495">
        <f ca="1">IF(O32&gt;=SUMIF(NameConv!$C$5:$C$45,RIGHT(C32,3),NameConv!$CG$5:$CG$45),1,O32+1)</f>
        <v>7</v>
      </c>
    </row>
    <row r="34" spans="1:15">
      <c r="A34" s="422" t="str">
        <f t="shared" ca="1" si="1"/>
        <v/>
      </c>
      <c r="B34" s="515" t="str">
        <f t="shared" si="3"/>
        <v>TOP-OUT</v>
      </c>
      <c r="C34" s="518" t="str">
        <f ca="1">"X"&amp;OFFSET(NameConv!$F$4,0,L34)&amp;OFFSET(NameConv!$F$59,M34,L34)</f>
        <v>XAGROHF</v>
      </c>
      <c r="D34" s="515" t="str">
        <f ca="1">OFFSET(NameConv!$F$4,0,L34)&amp;OFFSET(NameConv!$AX$4,0,N34)</f>
        <v>AGRCO2S</v>
      </c>
      <c r="E34" s="740" t="s">
        <v>334</v>
      </c>
      <c r="F34" s="740" t="s">
        <v>334</v>
      </c>
      <c r="G34" s="740" t="s">
        <v>334</v>
      </c>
      <c r="H34" s="740" t="s">
        <v>334</v>
      </c>
      <c r="I34" s="516">
        <f t="shared" si="2"/>
        <v>1</v>
      </c>
      <c r="J34" s="516"/>
      <c r="K34" s="516"/>
      <c r="L34" s="495">
        <f ca="1">IF(AND(O33&gt;=SUMIF(NameConv!$C$5:$C$45,RIGHT(C33,3),NameConv!$CG$5:$CG$45),M33=SUMIF(NameConv!$G$4:$M$4,MID(C33,2,3),NameConv!$G$45:$M$45)),L33+1,L33)</f>
        <v>1</v>
      </c>
      <c r="M34" s="495">
        <f ca="1">IF(L34&lt;&gt;L33,1,IF(O33&gt;=SUMIF(NameConv!$C$5:$C$45,RIGHT(C33,3),NameConv!$CG$5:$CG$45),M33+1,M33))</f>
        <v>5</v>
      </c>
      <c r="N34" s="495">
        <f ca="1">SUMIF(NameConv!$C$5:$C$45,RIGHT(C34,3),OFFSET(NameConv!$CG$5,0,O34,NameConv!$A$45,1))</f>
        <v>1</v>
      </c>
      <c r="O34" s="495">
        <f ca="1">IF(O33&gt;=SUMIF(NameConv!$C$5:$C$45,RIGHT(C33,3),NameConv!$CG$5:$CG$45),1,O33+1)</f>
        <v>1</v>
      </c>
    </row>
    <row r="35" spans="1:15">
      <c r="A35" s="422" t="str">
        <f t="shared" ca="1" si="1"/>
        <v/>
      </c>
      <c r="B35" s="515" t="str">
        <f t="shared" si="3"/>
        <v>TOP-OUT</v>
      </c>
      <c r="C35" s="518" t="str">
        <f ca="1">"X"&amp;OFFSET(NameConv!$F$4,0,L35)&amp;OFFSET(NameConv!$F$59,M35,L35)</f>
        <v>XAGROHF</v>
      </c>
      <c r="D35" s="515" t="str">
        <f ca="1">OFFSET(NameConv!$F$4,0,L35)&amp;OFFSET(NameConv!$AX$4,0,N35)</f>
        <v>AGRCH4S</v>
      </c>
      <c r="E35" s="740" t="s">
        <v>334</v>
      </c>
      <c r="F35" s="740" t="s">
        <v>334</v>
      </c>
      <c r="G35" s="740" t="s">
        <v>334</v>
      </c>
      <c r="H35" s="740" t="s">
        <v>334</v>
      </c>
      <c r="I35" s="516">
        <f t="shared" si="2"/>
        <v>1</v>
      </c>
      <c r="J35" s="516"/>
      <c r="K35" s="516"/>
      <c r="L35" s="495">
        <f ca="1">IF(AND(O34&gt;=SUMIF(NameConv!$C$5:$C$45,RIGHT(C34,3),NameConv!$CG$5:$CG$45),M34=SUMIF(NameConv!$G$4:$M$4,MID(C34,2,3),NameConv!$G$45:$M$45)),L34+1,L34)</f>
        <v>1</v>
      </c>
      <c r="M35" s="495">
        <f ca="1">IF(L35&lt;&gt;L34,1,IF(O34&gt;=SUMIF(NameConv!$C$5:$C$45,RIGHT(C34,3),NameConv!$CG$5:$CG$45),M34+1,M34))</f>
        <v>5</v>
      </c>
      <c r="N35" s="495">
        <f ca="1">SUMIF(NameConv!$C$5:$C$45,RIGHT(C35,3),OFFSET(NameConv!$CG$5,0,O35,NameConv!$A$45,1))</f>
        <v>2</v>
      </c>
      <c r="O35" s="495">
        <f ca="1">IF(O34&gt;=SUMIF(NameConv!$C$5:$C$45,RIGHT(C34,3),NameConv!$CG$5:$CG$45),1,O34+1)</f>
        <v>2</v>
      </c>
    </row>
    <row r="36" spans="1:15">
      <c r="A36" s="422" t="str">
        <f t="shared" ca="1" si="1"/>
        <v/>
      </c>
      <c r="B36" s="515" t="str">
        <f t="shared" si="3"/>
        <v>TOP-OUT</v>
      </c>
      <c r="C36" s="518" t="str">
        <f ca="1">"X"&amp;OFFSET(NameConv!$F$4,0,L36)&amp;OFFSET(NameConv!$F$59,M36,L36)</f>
        <v>XAGROHF</v>
      </c>
      <c r="D36" s="515" t="str">
        <f ca="1">OFFSET(NameConv!$F$4,0,L36)&amp;OFFSET(NameConv!$AX$4,0,N36)</f>
        <v>AGRN2OS</v>
      </c>
      <c r="E36" s="740" t="s">
        <v>334</v>
      </c>
      <c r="F36" s="740" t="s">
        <v>334</v>
      </c>
      <c r="G36" s="740" t="s">
        <v>334</v>
      </c>
      <c r="H36" s="740" t="s">
        <v>334</v>
      </c>
      <c r="I36" s="516">
        <f t="shared" si="2"/>
        <v>1</v>
      </c>
      <c r="J36" s="516"/>
      <c r="K36" s="516"/>
      <c r="L36" s="495">
        <f ca="1">IF(AND(O35&gt;=SUMIF(NameConv!$C$5:$C$45,RIGHT(C35,3),NameConv!$CG$5:$CG$45),M35=SUMIF(NameConv!$G$4:$M$4,MID(C35,2,3),NameConv!$G$45:$M$45)),L35+1,L35)</f>
        <v>1</v>
      </c>
      <c r="M36" s="495">
        <f ca="1">IF(L36&lt;&gt;L35,1,IF(O35&gt;=SUMIF(NameConv!$C$5:$C$45,RIGHT(C35,3),NameConv!$CG$5:$CG$45),M35+1,M35))</f>
        <v>5</v>
      </c>
      <c r="N36" s="495">
        <f ca="1">SUMIF(NameConv!$C$5:$C$45,RIGHT(C36,3),OFFSET(NameConv!$CG$5,0,O36,NameConv!$A$45,1))</f>
        <v>3</v>
      </c>
      <c r="O36" s="495">
        <f ca="1">IF(O35&gt;=SUMIF(NameConv!$C$5:$C$45,RIGHT(C35,3),NameConv!$CG$5:$CG$45),1,O35+1)</f>
        <v>3</v>
      </c>
    </row>
    <row r="37" spans="1:15">
      <c r="A37" s="422" t="str">
        <f t="shared" ca="1" si="1"/>
        <v/>
      </c>
      <c r="B37" s="515" t="str">
        <f t="shared" si="3"/>
        <v>TOP-OUT</v>
      </c>
      <c r="C37" s="518" t="str">
        <f ca="1">"X"&amp;OFFSET(NameConv!$F$4,0,L37)&amp;OFFSET(NameConv!$F$59,M37,L37)</f>
        <v>XAGROHF</v>
      </c>
      <c r="D37" s="515" t="str">
        <f ca="1">OFFSET(NameConv!$F$4,0,L37)&amp;OFFSET(NameConv!$AX$4,0,N37)</f>
        <v>AGRSOXS</v>
      </c>
      <c r="E37" s="740" t="s">
        <v>334</v>
      </c>
      <c r="F37" s="740" t="s">
        <v>334</v>
      </c>
      <c r="G37" s="740" t="s">
        <v>334</v>
      </c>
      <c r="H37" s="740" t="s">
        <v>334</v>
      </c>
      <c r="I37" s="516">
        <f t="shared" si="2"/>
        <v>1</v>
      </c>
      <c r="J37" s="516"/>
      <c r="K37" s="516"/>
      <c r="L37" s="495">
        <f ca="1">IF(AND(O36&gt;=SUMIF(NameConv!$C$5:$C$45,RIGHT(C36,3),NameConv!$CG$5:$CG$45),M36=SUMIF(NameConv!$G$4:$M$4,MID(C36,2,3),NameConv!$G$45:$M$45)),L36+1,L36)</f>
        <v>1</v>
      </c>
      <c r="M37" s="495">
        <f ca="1">IF(L37&lt;&gt;L36,1,IF(O36&gt;=SUMIF(NameConv!$C$5:$C$45,RIGHT(C36,3),NameConv!$CG$5:$CG$45),M36+1,M36))</f>
        <v>5</v>
      </c>
      <c r="N37" s="495">
        <f ca="1">SUMIF(NameConv!$C$5:$C$45,RIGHT(C37,3),OFFSET(NameConv!$CG$5,0,O37,NameConv!$A$45,1))</f>
        <v>4</v>
      </c>
      <c r="O37" s="495">
        <f ca="1">IF(O36&gt;=SUMIF(NameConv!$C$5:$C$45,RIGHT(C36,3),NameConv!$CG$5:$CG$45),1,O36+1)</f>
        <v>4</v>
      </c>
    </row>
    <row r="38" spans="1:15">
      <c r="A38" s="422" t="str">
        <f t="shared" ca="1" si="1"/>
        <v/>
      </c>
      <c r="B38" s="515" t="str">
        <f t="shared" si="3"/>
        <v>TOP-OUT</v>
      </c>
      <c r="C38" s="518" t="str">
        <f ca="1">"X"&amp;OFFSET(NameConv!$F$4,0,L38)&amp;OFFSET(NameConv!$F$59,M38,L38)</f>
        <v>XAGROHF</v>
      </c>
      <c r="D38" s="515" t="str">
        <f ca="1">OFFSET(NameConv!$F$4,0,L38)&amp;OFFSET(NameConv!$AX$4,0,N38)</f>
        <v>AGRNOXS</v>
      </c>
      <c r="E38" s="740" t="s">
        <v>334</v>
      </c>
      <c r="F38" s="740" t="s">
        <v>334</v>
      </c>
      <c r="G38" s="740" t="s">
        <v>334</v>
      </c>
      <c r="H38" s="740" t="s">
        <v>334</v>
      </c>
      <c r="I38" s="516">
        <f t="shared" si="2"/>
        <v>1</v>
      </c>
      <c r="J38" s="516"/>
      <c r="K38" s="516"/>
      <c r="L38" s="495">
        <f ca="1">IF(AND(O37&gt;=SUMIF(NameConv!$C$5:$C$45,RIGHT(C37,3),NameConv!$CG$5:$CG$45),M37=SUMIF(NameConv!$G$4:$M$4,MID(C37,2,3),NameConv!$G$45:$M$45)),L37+1,L37)</f>
        <v>1</v>
      </c>
      <c r="M38" s="495">
        <f ca="1">IF(L38&lt;&gt;L37,1,IF(O37&gt;=SUMIF(NameConv!$C$5:$C$45,RIGHT(C37,3),NameConv!$CG$5:$CG$45),M37+1,M37))</f>
        <v>5</v>
      </c>
      <c r="N38" s="495">
        <f ca="1">SUMIF(NameConv!$C$5:$C$45,RIGHT(C38,3),OFFSET(NameConv!$CG$5,0,O38,NameConv!$A$45,1))</f>
        <v>5</v>
      </c>
      <c r="O38" s="495">
        <f ca="1">IF(O37&gt;=SUMIF(NameConv!$C$5:$C$45,RIGHT(C37,3),NameConv!$CG$5:$CG$45),1,O37+1)</f>
        <v>5</v>
      </c>
    </row>
    <row r="39" spans="1:15">
      <c r="A39" s="422" t="str">
        <f t="shared" ca="1" si="1"/>
        <v/>
      </c>
      <c r="B39" s="515" t="str">
        <f t="shared" si="3"/>
        <v>TOP-OUT</v>
      </c>
      <c r="C39" s="518" t="str">
        <f ca="1">"X"&amp;OFFSET(NameConv!$F$4,0,L39)&amp;OFFSET(NameConv!$F$59,M39,L39)</f>
        <v>XAGROHF</v>
      </c>
      <c r="D39" s="515" t="str">
        <f ca="1">OFFSET(NameConv!$F$4,0,L39)&amp;OFFSET(NameConv!$AX$4,0,N39)</f>
        <v>AGRCMOX</v>
      </c>
      <c r="E39" s="740" t="s">
        <v>334</v>
      </c>
      <c r="F39" s="740" t="s">
        <v>334</v>
      </c>
      <c r="G39" s="740" t="s">
        <v>334</v>
      </c>
      <c r="H39" s="740" t="s">
        <v>334</v>
      </c>
      <c r="I39" s="516">
        <f t="shared" si="2"/>
        <v>1</v>
      </c>
      <c r="J39" s="516"/>
      <c r="K39" s="516"/>
      <c r="L39" s="495">
        <f ca="1">IF(AND(O38&gt;=SUMIF(NameConv!$C$5:$C$45,RIGHT(C38,3),NameConv!$CG$5:$CG$45),M38=SUMIF(NameConv!$G$4:$M$4,MID(C38,2,3),NameConv!$G$45:$M$45)),L38+1,L38)</f>
        <v>1</v>
      </c>
      <c r="M39" s="495">
        <f ca="1">IF(L39&lt;&gt;L38,1,IF(O38&gt;=SUMIF(NameConv!$C$5:$C$45,RIGHT(C38,3),NameConv!$CG$5:$CG$45),M38+1,M38))</f>
        <v>5</v>
      </c>
      <c r="N39" s="495">
        <f ca="1">SUMIF(NameConv!$C$5:$C$45,RIGHT(C39,3),OFFSET(NameConv!$CG$5,0,O39,NameConv!$A$45,1))</f>
        <v>6</v>
      </c>
      <c r="O39" s="495">
        <f ca="1">IF(O38&gt;=SUMIF(NameConv!$C$5:$C$45,RIGHT(C38,3),NameConv!$CG$5:$CG$45),1,O38+1)</f>
        <v>6</v>
      </c>
    </row>
    <row r="40" spans="1:15">
      <c r="A40" s="422" t="str">
        <f t="shared" ca="1" si="1"/>
        <v/>
      </c>
      <c r="B40" s="515" t="str">
        <f t="shared" si="3"/>
        <v>TOP-OUT</v>
      </c>
      <c r="C40" s="518" t="str">
        <f ca="1">"X"&amp;OFFSET(NameConv!$F$4,0,L40)&amp;OFFSET(NameConv!$F$59,M40,L40)</f>
        <v>XAGROHF</v>
      </c>
      <c r="D40" s="515" t="str">
        <f ca="1">OFFSET(NameConv!$F$4,0,L40)&amp;OFFSET(NameConv!$AX$4,0,N40)</f>
        <v>AGRNMVS</v>
      </c>
      <c r="E40" s="740" t="s">
        <v>334</v>
      </c>
      <c r="F40" s="740" t="s">
        <v>334</v>
      </c>
      <c r="G40" s="740" t="s">
        <v>334</v>
      </c>
      <c r="H40" s="740" t="s">
        <v>334</v>
      </c>
      <c r="I40" s="516">
        <f t="shared" si="2"/>
        <v>1</v>
      </c>
      <c r="J40" s="516"/>
      <c r="K40" s="516"/>
      <c r="L40" s="495">
        <f ca="1">IF(AND(O39&gt;=SUMIF(NameConv!$C$5:$C$45,RIGHT(C39,3),NameConv!$CG$5:$CG$45),M39=SUMIF(NameConv!$G$4:$M$4,MID(C39,2,3),NameConv!$G$45:$M$45)),L39+1,L39)</f>
        <v>1</v>
      </c>
      <c r="M40" s="495">
        <f ca="1">IF(L40&lt;&gt;L39,1,IF(O39&gt;=SUMIF(NameConv!$C$5:$C$45,RIGHT(C39,3),NameConv!$CG$5:$CG$45),M39+1,M39))</f>
        <v>5</v>
      </c>
      <c r="N40" s="495">
        <f ca="1">SUMIF(NameConv!$C$5:$C$45,RIGHT(C40,3),OFFSET(NameConv!$CG$5,0,O40,NameConv!$A$45,1))</f>
        <v>7</v>
      </c>
      <c r="O40" s="495">
        <f ca="1">IF(O39&gt;=SUMIF(NameConv!$C$5:$C$45,RIGHT(C39,3),NameConv!$CG$5:$CG$45),1,O39+1)</f>
        <v>7</v>
      </c>
    </row>
    <row r="41" spans="1:15">
      <c r="A41" s="422" t="str">
        <f t="shared" ca="1" si="1"/>
        <v/>
      </c>
      <c r="B41" s="515" t="str">
        <f t="shared" si="3"/>
        <v>TOP-OUT</v>
      </c>
      <c r="C41" s="518" t="str">
        <f ca="1">"X"&amp;OFFSET(NameConv!$F$4,0,L41)&amp;OFFSET(NameConv!$F$59,M41,L41)</f>
        <v>XAGROKE</v>
      </c>
      <c r="D41" s="515" t="str">
        <f ca="1">OFFSET(NameConv!$F$4,0,L41)&amp;OFFSET(NameConv!$AX$4,0,N41)</f>
        <v>AGRCO2S</v>
      </c>
      <c r="E41" s="740" t="s">
        <v>334</v>
      </c>
      <c r="F41" s="740" t="s">
        <v>334</v>
      </c>
      <c r="G41" s="740" t="s">
        <v>334</v>
      </c>
      <c r="H41" s="740" t="s">
        <v>334</v>
      </c>
      <c r="I41" s="516">
        <f t="shared" si="2"/>
        <v>1</v>
      </c>
      <c r="J41" s="516"/>
      <c r="K41" s="516"/>
      <c r="L41" s="495">
        <f ca="1">IF(AND(O40&gt;=SUMIF(NameConv!$C$5:$C$45,RIGHT(C40,3),NameConv!$CG$5:$CG$45),M40=SUMIF(NameConv!$G$4:$M$4,MID(C40,2,3),NameConv!$G$45:$M$45)),L40+1,L40)</f>
        <v>1</v>
      </c>
      <c r="M41" s="495">
        <f ca="1">IF(L41&lt;&gt;L40,1,IF(O40&gt;=SUMIF(NameConv!$C$5:$C$45,RIGHT(C40,3),NameConv!$CG$5:$CG$45),M40+1,M40))</f>
        <v>6</v>
      </c>
      <c r="N41" s="495">
        <f ca="1">SUMIF(NameConv!$C$5:$C$45,RIGHT(C41,3),OFFSET(NameConv!$CG$5,0,O41,NameConv!$A$45,1))</f>
        <v>1</v>
      </c>
      <c r="O41" s="495">
        <f ca="1">IF(O40&gt;=SUMIF(NameConv!$C$5:$C$45,RIGHT(C40,3),NameConv!$CG$5:$CG$45),1,O40+1)</f>
        <v>1</v>
      </c>
    </row>
    <row r="42" spans="1:15">
      <c r="A42" s="422" t="str">
        <f t="shared" ca="1" si="1"/>
        <v/>
      </c>
      <c r="B42" s="515" t="str">
        <f t="shared" si="3"/>
        <v>TOP-OUT</v>
      </c>
      <c r="C42" s="518" t="str">
        <f ca="1">"X"&amp;OFFSET(NameConv!$F$4,0,L42)&amp;OFFSET(NameConv!$F$59,M42,L42)</f>
        <v>XAGROKE</v>
      </c>
      <c r="D42" s="515" t="str">
        <f ca="1">OFFSET(NameConv!$F$4,0,L42)&amp;OFFSET(NameConv!$AX$4,0,N42)</f>
        <v>AGRCH4S</v>
      </c>
      <c r="E42" s="740" t="s">
        <v>334</v>
      </c>
      <c r="F42" s="740" t="s">
        <v>334</v>
      </c>
      <c r="G42" s="740" t="s">
        <v>334</v>
      </c>
      <c r="H42" s="740" t="s">
        <v>334</v>
      </c>
      <c r="I42" s="516">
        <f t="shared" si="2"/>
        <v>1</v>
      </c>
      <c r="J42" s="516"/>
      <c r="K42" s="516"/>
      <c r="L42" s="495">
        <f ca="1">IF(AND(O41&gt;=SUMIF(NameConv!$C$5:$C$45,RIGHT(C41,3),NameConv!$CG$5:$CG$45),M41=SUMIF(NameConv!$G$4:$M$4,MID(C41,2,3),NameConv!$G$45:$M$45)),L41+1,L41)</f>
        <v>1</v>
      </c>
      <c r="M42" s="495">
        <f ca="1">IF(L42&lt;&gt;L41,1,IF(O41&gt;=SUMIF(NameConv!$C$5:$C$45,RIGHT(C41,3),NameConv!$CG$5:$CG$45),M41+1,M41))</f>
        <v>6</v>
      </c>
      <c r="N42" s="495">
        <f ca="1">SUMIF(NameConv!$C$5:$C$45,RIGHT(C42,3),OFFSET(NameConv!$CG$5,0,O42,NameConv!$A$45,1))</f>
        <v>2</v>
      </c>
      <c r="O42" s="495">
        <f ca="1">IF(O41&gt;=SUMIF(NameConv!$C$5:$C$45,RIGHT(C41,3),NameConv!$CG$5:$CG$45),1,O41+1)</f>
        <v>2</v>
      </c>
    </row>
    <row r="43" spans="1:15">
      <c r="A43" s="422" t="str">
        <f t="shared" ref="A43:A75" ca="1" si="4">IF(LEN(D43)=3,"*","")</f>
        <v/>
      </c>
      <c r="B43" s="515" t="str">
        <f t="shared" si="3"/>
        <v>TOP-OUT</v>
      </c>
      <c r="C43" s="518" t="str">
        <f ca="1">"X"&amp;OFFSET(NameConv!$F$4,0,L43)&amp;OFFSET(NameConv!$F$59,M43,L43)</f>
        <v>XAGROKE</v>
      </c>
      <c r="D43" s="515" t="str">
        <f ca="1">OFFSET(NameConv!$F$4,0,L43)&amp;OFFSET(NameConv!$AX$4,0,N43)</f>
        <v>AGRN2OS</v>
      </c>
      <c r="E43" s="740" t="s">
        <v>334</v>
      </c>
      <c r="F43" s="740" t="s">
        <v>334</v>
      </c>
      <c r="G43" s="740" t="s">
        <v>334</v>
      </c>
      <c r="H43" s="740" t="s">
        <v>334</v>
      </c>
      <c r="I43" s="516">
        <f t="shared" si="2"/>
        <v>1</v>
      </c>
      <c r="J43" s="516"/>
      <c r="K43" s="516"/>
      <c r="L43" s="495">
        <f ca="1">IF(AND(O42&gt;=SUMIF(NameConv!$C$5:$C$45,RIGHT(C42,3),NameConv!$CG$5:$CG$45),M42=SUMIF(NameConv!$G$4:$M$4,MID(C42,2,3),NameConv!$G$45:$M$45)),L42+1,L42)</f>
        <v>1</v>
      </c>
      <c r="M43" s="495">
        <f ca="1">IF(L43&lt;&gt;L42,1,IF(O42&gt;=SUMIF(NameConv!$C$5:$C$45,RIGHT(C42,3),NameConv!$CG$5:$CG$45),M42+1,M42))</f>
        <v>6</v>
      </c>
      <c r="N43" s="495">
        <f ca="1">SUMIF(NameConv!$C$5:$C$45,RIGHT(C43,3),OFFSET(NameConv!$CG$5,0,O43,NameConv!$A$45,1))</f>
        <v>3</v>
      </c>
      <c r="O43" s="495">
        <f ca="1">IF(O42&gt;=SUMIF(NameConv!$C$5:$C$45,RIGHT(C42,3),NameConv!$CG$5:$CG$45),1,O42+1)</f>
        <v>3</v>
      </c>
    </row>
    <row r="44" spans="1:15">
      <c r="A44" s="422" t="str">
        <f t="shared" ca="1" si="4"/>
        <v/>
      </c>
      <c r="B44" s="515" t="str">
        <f t="shared" si="3"/>
        <v>TOP-OUT</v>
      </c>
      <c r="C44" s="518" t="str">
        <f ca="1">"X"&amp;OFFSET(NameConv!$F$4,0,L44)&amp;OFFSET(NameConv!$F$59,M44,L44)</f>
        <v>XAGROKE</v>
      </c>
      <c r="D44" s="515" t="str">
        <f ca="1">OFFSET(NameConv!$F$4,0,L44)&amp;OFFSET(NameConv!$AX$4,0,N44)</f>
        <v>AGRSOXS</v>
      </c>
      <c r="E44" s="740" t="s">
        <v>334</v>
      </c>
      <c r="F44" s="740" t="s">
        <v>334</v>
      </c>
      <c r="G44" s="740" t="s">
        <v>334</v>
      </c>
      <c r="H44" s="740" t="s">
        <v>334</v>
      </c>
      <c r="I44" s="516">
        <f t="shared" si="2"/>
        <v>1</v>
      </c>
      <c r="J44" s="516"/>
      <c r="K44" s="516"/>
      <c r="L44" s="495">
        <f ca="1">IF(AND(O43&gt;=SUMIF(NameConv!$C$5:$C$45,RIGHT(C43,3),NameConv!$CG$5:$CG$45),M43=SUMIF(NameConv!$G$4:$M$4,MID(C43,2,3),NameConv!$G$45:$M$45)),L43+1,L43)</f>
        <v>1</v>
      </c>
      <c r="M44" s="495">
        <f ca="1">IF(L44&lt;&gt;L43,1,IF(O43&gt;=SUMIF(NameConv!$C$5:$C$45,RIGHT(C43,3),NameConv!$CG$5:$CG$45),M43+1,M43))</f>
        <v>6</v>
      </c>
      <c r="N44" s="495">
        <f ca="1">SUMIF(NameConv!$C$5:$C$45,RIGHT(C44,3),OFFSET(NameConv!$CG$5,0,O44,NameConv!$A$45,1))</f>
        <v>4</v>
      </c>
      <c r="O44" s="495">
        <f ca="1">IF(O43&gt;=SUMIF(NameConv!$C$5:$C$45,RIGHT(C43,3),NameConv!$CG$5:$CG$45),1,O43+1)</f>
        <v>4</v>
      </c>
    </row>
    <row r="45" spans="1:15">
      <c r="A45" s="422" t="str">
        <f t="shared" ca="1" si="4"/>
        <v/>
      </c>
      <c r="B45" s="515" t="str">
        <f t="shared" si="3"/>
        <v>TOP-OUT</v>
      </c>
      <c r="C45" s="518" t="str">
        <f ca="1">"X"&amp;OFFSET(NameConv!$F$4,0,L45)&amp;OFFSET(NameConv!$F$59,M45,L45)</f>
        <v>XAGROKE</v>
      </c>
      <c r="D45" s="515" t="str">
        <f ca="1">OFFSET(NameConv!$F$4,0,L45)&amp;OFFSET(NameConv!$AX$4,0,N45)</f>
        <v>AGRNOXS</v>
      </c>
      <c r="E45" s="740" t="s">
        <v>334</v>
      </c>
      <c r="F45" s="740" t="s">
        <v>334</v>
      </c>
      <c r="G45" s="740" t="s">
        <v>334</v>
      </c>
      <c r="H45" s="740" t="s">
        <v>334</v>
      </c>
      <c r="I45" s="516">
        <f t="shared" si="2"/>
        <v>1</v>
      </c>
      <c r="J45" s="516"/>
      <c r="K45" s="516"/>
      <c r="L45" s="495">
        <f ca="1">IF(AND(O44&gt;=SUMIF(NameConv!$C$5:$C$45,RIGHT(C44,3),NameConv!$CG$5:$CG$45),M44=SUMIF(NameConv!$G$4:$M$4,MID(C44,2,3),NameConv!$G$45:$M$45)),L44+1,L44)</f>
        <v>1</v>
      </c>
      <c r="M45" s="495">
        <f ca="1">IF(L45&lt;&gt;L44,1,IF(O44&gt;=SUMIF(NameConv!$C$5:$C$45,RIGHT(C44,3),NameConv!$CG$5:$CG$45),M44+1,M44))</f>
        <v>6</v>
      </c>
      <c r="N45" s="495">
        <f ca="1">SUMIF(NameConv!$C$5:$C$45,RIGHT(C45,3),OFFSET(NameConv!$CG$5,0,O45,NameConv!$A$45,1))</f>
        <v>5</v>
      </c>
      <c r="O45" s="495">
        <f ca="1">IF(O44&gt;=SUMIF(NameConv!$C$5:$C$45,RIGHT(C44,3),NameConv!$CG$5:$CG$45),1,O44+1)</f>
        <v>5</v>
      </c>
    </row>
    <row r="46" spans="1:15">
      <c r="A46" s="422" t="str">
        <f t="shared" ca="1" si="4"/>
        <v/>
      </c>
      <c r="B46" s="515" t="str">
        <f t="shared" si="3"/>
        <v>TOP-OUT</v>
      </c>
      <c r="C46" s="518" t="str">
        <f ca="1">"X"&amp;OFFSET(NameConv!$F$4,0,L46)&amp;OFFSET(NameConv!$F$59,M46,L46)</f>
        <v>XAGROKE</v>
      </c>
      <c r="D46" s="515" t="str">
        <f ca="1">OFFSET(NameConv!$F$4,0,L46)&amp;OFFSET(NameConv!$AX$4,0,N46)</f>
        <v>AGRCMOX</v>
      </c>
      <c r="E46" s="740" t="s">
        <v>334</v>
      </c>
      <c r="F46" s="740" t="s">
        <v>334</v>
      </c>
      <c r="G46" s="740" t="s">
        <v>334</v>
      </c>
      <c r="H46" s="740" t="s">
        <v>334</v>
      </c>
      <c r="I46" s="516">
        <f t="shared" si="2"/>
        <v>1</v>
      </c>
      <c r="J46" s="516"/>
      <c r="K46" s="516"/>
      <c r="L46" s="495">
        <f ca="1">IF(AND(O45&gt;=SUMIF(NameConv!$C$5:$C$45,RIGHT(C45,3),NameConv!$CG$5:$CG$45),M45=SUMIF(NameConv!$G$4:$M$4,MID(C45,2,3),NameConv!$G$45:$M$45)),L45+1,L45)</f>
        <v>1</v>
      </c>
      <c r="M46" s="495">
        <f ca="1">IF(L46&lt;&gt;L45,1,IF(O45&gt;=SUMIF(NameConv!$C$5:$C$45,RIGHT(C45,3),NameConv!$CG$5:$CG$45),M45+1,M45))</f>
        <v>6</v>
      </c>
      <c r="N46" s="495">
        <f ca="1">SUMIF(NameConv!$C$5:$C$45,RIGHT(C46,3),OFFSET(NameConv!$CG$5,0,O46,NameConv!$A$45,1))</f>
        <v>6</v>
      </c>
      <c r="O46" s="495">
        <f ca="1">IF(O45&gt;=SUMIF(NameConv!$C$5:$C$45,RIGHT(C45,3),NameConv!$CG$5:$CG$45),1,O45+1)</f>
        <v>6</v>
      </c>
    </row>
    <row r="47" spans="1:15">
      <c r="A47" s="422" t="str">
        <f t="shared" ca="1" si="4"/>
        <v/>
      </c>
      <c r="B47" s="515" t="str">
        <f t="shared" si="3"/>
        <v>TOP-OUT</v>
      </c>
      <c r="C47" s="518" t="str">
        <f ca="1">"X"&amp;OFFSET(NameConv!$F$4,0,L47)&amp;OFFSET(NameConv!$F$59,M47,L47)</f>
        <v>XAGROKE</v>
      </c>
      <c r="D47" s="515" t="str">
        <f ca="1">OFFSET(NameConv!$F$4,0,L47)&amp;OFFSET(NameConv!$AX$4,0,N47)</f>
        <v>AGRNMVS</v>
      </c>
      <c r="E47" s="740" t="s">
        <v>334</v>
      </c>
      <c r="F47" s="740" t="s">
        <v>334</v>
      </c>
      <c r="G47" s="740" t="s">
        <v>334</v>
      </c>
      <c r="H47" s="740" t="s">
        <v>334</v>
      </c>
      <c r="I47" s="516">
        <f t="shared" si="2"/>
        <v>1</v>
      </c>
      <c r="J47" s="516"/>
      <c r="K47" s="516"/>
      <c r="L47" s="495">
        <f ca="1">IF(AND(O46&gt;=SUMIF(NameConv!$C$5:$C$45,RIGHT(C46,3),NameConv!$CG$5:$CG$45),M46=SUMIF(NameConv!$G$4:$M$4,MID(C46,2,3),NameConv!$G$45:$M$45)),L46+1,L46)</f>
        <v>1</v>
      </c>
      <c r="M47" s="495">
        <f ca="1">IF(L47&lt;&gt;L46,1,IF(O46&gt;=SUMIF(NameConv!$C$5:$C$45,RIGHT(C46,3),NameConv!$CG$5:$CG$45),M46+1,M46))</f>
        <v>6</v>
      </c>
      <c r="N47" s="495">
        <f ca="1">SUMIF(NameConv!$C$5:$C$45,RIGHT(C47,3),OFFSET(NameConv!$CG$5,0,O47,NameConv!$A$45,1))</f>
        <v>7</v>
      </c>
      <c r="O47" s="495">
        <f ca="1">IF(O46&gt;=SUMIF(NameConv!$C$5:$C$45,RIGHT(C46,3),NameConv!$CG$5:$CG$45),1,O46+1)</f>
        <v>7</v>
      </c>
    </row>
    <row r="48" spans="1:15">
      <c r="A48" s="422" t="str">
        <f t="shared" ca="1" si="4"/>
        <v/>
      </c>
      <c r="B48" s="515" t="str">
        <f t="shared" si="3"/>
        <v>TOP-OUT</v>
      </c>
      <c r="C48" s="518" t="str">
        <f ca="1">"X"&amp;OFFSET(NameConv!$F$4,0,L48)&amp;OFFSET(NameConv!$F$59,M48,L48)</f>
        <v>XAGROLP</v>
      </c>
      <c r="D48" s="515" t="str">
        <f ca="1">OFFSET(NameConv!$F$4,0,L48)&amp;OFFSET(NameConv!$AX$4,0,N48)</f>
        <v>AGRCO2S</v>
      </c>
      <c r="E48" s="740" t="s">
        <v>334</v>
      </c>
      <c r="F48" s="740" t="s">
        <v>334</v>
      </c>
      <c r="G48" s="740" t="s">
        <v>334</v>
      </c>
      <c r="H48" s="740" t="s">
        <v>334</v>
      </c>
      <c r="I48" s="516">
        <f t="shared" si="2"/>
        <v>1</v>
      </c>
      <c r="J48" s="516"/>
      <c r="K48" s="516"/>
      <c r="L48" s="495">
        <f ca="1">IF(AND(O47&gt;=SUMIF(NameConv!$C$5:$C$45,RIGHT(C47,3),NameConv!$CG$5:$CG$45),M47=SUMIF(NameConv!$G$4:$M$4,MID(C47,2,3),NameConv!$G$45:$M$45)),L47+1,L47)</f>
        <v>1</v>
      </c>
      <c r="M48" s="495">
        <f ca="1">IF(L48&lt;&gt;L47,1,IF(O47&gt;=SUMIF(NameConv!$C$5:$C$45,RIGHT(C47,3),NameConv!$CG$5:$CG$45),M47+1,M47))</f>
        <v>7</v>
      </c>
      <c r="N48" s="495">
        <f ca="1">SUMIF(NameConv!$C$5:$C$45,RIGHT(C48,3),OFFSET(NameConv!$CG$5,0,O48,NameConv!$A$45,1))</f>
        <v>1</v>
      </c>
      <c r="O48" s="495">
        <f ca="1">IF(O47&gt;=SUMIF(NameConv!$C$5:$C$45,RIGHT(C47,3),NameConv!$CG$5:$CG$45),1,O47+1)</f>
        <v>1</v>
      </c>
    </row>
    <row r="49" spans="1:15">
      <c r="A49" s="422" t="str">
        <f t="shared" ca="1" si="4"/>
        <v/>
      </c>
      <c r="B49" s="515" t="str">
        <f t="shared" si="3"/>
        <v>TOP-OUT</v>
      </c>
      <c r="C49" s="518" t="str">
        <f ca="1">"X"&amp;OFFSET(NameConv!$F$4,0,L49)&amp;OFFSET(NameConv!$F$59,M49,L49)</f>
        <v>XAGROLP</v>
      </c>
      <c r="D49" s="515" t="str">
        <f ca="1">OFFSET(NameConv!$F$4,0,L49)&amp;OFFSET(NameConv!$AX$4,0,N49)</f>
        <v>AGRCH4S</v>
      </c>
      <c r="E49" s="740" t="s">
        <v>334</v>
      </c>
      <c r="F49" s="740" t="s">
        <v>334</v>
      </c>
      <c r="G49" s="740" t="s">
        <v>334</v>
      </c>
      <c r="H49" s="740" t="s">
        <v>334</v>
      </c>
      <c r="I49" s="516">
        <f t="shared" si="2"/>
        <v>1</v>
      </c>
      <c r="J49" s="516"/>
      <c r="K49" s="516"/>
      <c r="L49" s="495">
        <f ca="1">IF(AND(O48&gt;=SUMIF(NameConv!$C$5:$C$45,RIGHT(C48,3),NameConv!$CG$5:$CG$45),M48=SUMIF(NameConv!$G$4:$M$4,MID(C48,2,3),NameConv!$G$45:$M$45)),L48+1,L48)</f>
        <v>1</v>
      </c>
      <c r="M49" s="495">
        <f ca="1">IF(L49&lt;&gt;L48,1,IF(O48&gt;=SUMIF(NameConv!$C$5:$C$45,RIGHT(C48,3),NameConv!$CG$5:$CG$45),M48+1,M48))</f>
        <v>7</v>
      </c>
      <c r="N49" s="495">
        <f ca="1">SUMIF(NameConv!$C$5:$C$45,RIGHT(C49,3),OFFSET(NameConv!$CG$5,0,O49,NameConv!$A$45,1))</f>
        <v>2</v>
      </c>
      <c r="O49" s="495">
        <f ca="1">IF(O48&gt;=SUMIF(NameConv!$C$5:$C$45,RIGHT(C48,3),NameConv!$CG$5:$CG$45),1,O48+1)</f>
        <v>2</v>
      </c>
    </row>
    <row r="50" spans="1:15">
      <c r="A50" s="422" t="str">
        <f t="shared" ca="1" si="4"/>
        <v/>
      </c>
      <c r="B50" s="515" t="str">
        <f t="shared" si="3"/>
        <v>TOP-OUT</v>
      </c>
      <c r="C50" s="518" t="str">
        <f ca="1">"X"&amp;OFFSET(NameConv!$F$4,0,L50)&amp;OFFSET(NameConv!$F$59,M50,L50)</f>
        <v>XAGROLP</v>
      </c>
      <c r="D50" s="515" t="str">
        <f ca="1">OFFSET(NameConv!$F$4,0,L50)&amp;OFFSET(NameConv!$AX$4,0,N50)</f>
        <v>AGRN2OS</v>
      </c>
      <c r="E50" s="740" t="s">
        <v>334</v>
      </c>
      <c r="F50" s="740" t="s">
        <v>334</v>
      </c>
      <c r="G50" s="740" t="s">
        <v>334</v>
      </c>
      <c r="H50" s="740" t="s">
        <v>334</v>
      </c>
      <c r="I50" s="516">
        <f t="shared" si="2"/>
        <v>1</v>
      </c>
      <c r="J50" s="516"/>
      <c r="K50" s="516"/>
      <c r="L50" s="495">
        <f ca="1">IF(AND(O49&gt;=SUMIF(NameConv!$C$5:$C$45,RIGHT(C49,3),NameConv!$CG$5:$CG$45),M49=SUMIF(NameConv!$G$4:$M$4,MID(C49,2,3),NameConv!$G$45:$M$45)),L49+1,L49)</f>
        <v>1</v>
      </c>
      <c r="M50" s="495">
        <f ca="1">IF(L50&lt;&gt;L49,1,IF(O49&gt;=SUMIF(NameConv!$C$5:$C$45,RIGHT(C49,3),NameConv!$CG$5:$CG$45),M49+1,M49))</f>
        <v>7</v>
      </c>
      <c r="N50" s="495">
        <f ca="1">SUMIF(NameConv!$C$5:$C$45,RIGHT(C50,3),OFFSET(NameConv!$CG$5,0,O50,NameConv!$A$45,1))</f>
        <v>3</v>
      </c>
      <c r="O50" s="495">
        <f ca="1">IF(O49&gt;=SUMIF(NameConv!$C$5:$C$45,RIGHT(C49,3),NameConv!$CG$5:$CG$45),1,O49+1)</f>
        <v>3</v>
      </c>
    </row>
    <row r="51" spans="1:15">
      <c r="A51" s="422" t="str">
        <f t="shared" ca="1" si="4"/>
        <v/>
      </c>
      <c r="B51" s="515" t="str">
        <f t="shared" si="3"/>
        <v>TOP-OUT</v>
      </c>
      <c r="C51" s="518" t="str">
        <f ca="1">"X"&amp;OFFSET(NameConv!$F$4,0,L51)&amp;OFFSET(NameConv!$F$59,M51,L51)</f>
        <v>XAGROLP</v>
      </c>
      <c r="D51" s="515" t="str">
        <f ca="1">OFFSET(NameConv!$F$4,0,L51)&amp;OFFSET(NameConv!$AX$4,0,N51)</f>
        <v>AGRSOXS</v>
      </c>
      <c r="E51" s="740" t="s">
        <v>334</v>
      </c>
      <c r="F51" s="740" t="s">
        <v>334</v>
      </c>
      <c r="G51" s="740" t="s">
        <v>334</v>
      </c>
      <c r="H51" s="740" t="s">
        <v>334</v>
      </c>
      <c r="I51" s="516">
        <f t="shared" si="2"/>
        <v>1</v>
      </c>
      <c r="J51" s="516"/>
      <c r="K51" s="516"/>
      <c r="L51" s="495">
        <f ca="1">IF(AND(O50&gt;=SUMIF(NameConv!$C$5:$C$45,RIGHT(C50,3),NameConv!$CG$5:$CG$45),M50=SUMIF(NameConv!$G$4:$M$4,MID(C50,2,3),NameConv!$G$45:$M$45)),L50+1,L50)</f>
        <v>1</v>
      </c>
      <c r="M51" s="495">
        <f ca="1">IF(L51&lt;&gt;L50,1,IF(O50&gt;=SUMIF(NameConv!$C$5:$C$45,RIGHT(C50,3),NameConv!$CG$5:$CG$45),M50+1,M50))</f>
        <v>7</v>
      </c>
      <c r="N51" s="495">
        <f ca="1">SUMIF(NameConv!$C$5:$C$45,RIGHT(C51,3),OFFSET(NameConv!$CG$5,0,O51,NameConv!$A$45,1))</f>
        <v>4</v>
      </c>
      <c r="O51" s="495">
        <f ca="1">IF(O50&gt;=SUMIF(NameConv!$C$5:$C$45,RIGHT(C50,3),NameConv!$CG$5:$CG$45),1,O50+1)</f>
        <v>4</v>
      </c>
    </row>
    <row r="52" spans="1:15">
      <c r="A52" s="422" t="str">
        <f t="shared" ca="1" si="4"/>
        <v/>
      </c>
      <c r="B52" s="515" t="str">
        <f t="shared" si="3"/>
        <v>TOP-OUT</v>
      </c>
      <c r="C52" s="518" t="str">
        <f ca="1">"X"&amp;OFFSET(NameConv!$F$4,0,L52)&amp;OFFSET(NameConv!$F$59,M52,L52)</f>
        <v>XAGROLP</v>
      </c>
      <c r="D52" s="515" t="str">
        <f ca="1">OFFSET(NameConv!$F$4,0,L52)&amp;OFFSET(NameConv!$AX$4,0,N52)</f>
        <v>AGRNOXS</v>
      </c>
      <c r="E52" s="740" t="s">
        <v>334</v>
      </c>
      <c r="F52" s="740" t="s">
        <v>334</v>
      </c>
      <c r="G52" s="740" t="s">
        <v>334</v>
      </c>
      <c r="H52" s="740" t="s">
        <v>334</v>
      </c>
      <c r="I52" s="516">
        <f t="shared" si="2"/>
        <v>1</v>
      </c>
      <c r="J52" s="516"/>
      <c r="K52" s="516"/>
      <c r="L52" s="495">
        <f ca="1">IF(AND(O51&gt;=SUMIF(NameConv!$C$5:$C$45,RIGHT(C51,3),NameConv!$CG$5:$CG$45),M51=SUMIF(NameConv!$G$4:$M$4,MID(C51,2,3),NameConv!$G$45:$M$45)),L51+1,L51)</f>
        <v>1</v>
      </c>
      <c r="M52" s="495">
        <f ca="1">IF(L52&lt;&gt;L51,1,IF(O51&gt;=SUMIF(NameConv!$C$5:$C$45,RIGHT(C51,3),NameConv!$CG$5:$CG$45),M51+1,M51))</f>
        <v>7</v>
      </c>
      <c r="N52" s="495">
        <f ca="1">SUMIF(NameConv!$C$5:$C$45,RIGHT(C52,3),OFFSET(NameConv!$CG$5,0,O52,NameConv!$A$45,1))</f>
        <v>5</v>
      </c>
      <c r="O52" s="495">
        <f ca="1">IF(O51&gt;=SUMIF(NameConv!$C$5:$C$45,RIGHT(C51,3),NameConv!$CG$5:$CG$45),1,O51+1)</f>
        <v>5</v>
      </c>
    </row>
    <row r="53" spans="1:15">
      <c r="A53" s="422" t="str">
        <f t="shared" ca="1" si="4"/>
        <v/>
      </c>
      <c r="B53" s="515" t="str">
        <f t="shared" si="3"/>
        <v>TOP-OUT</v>
      </c>
      <c r="C53" s="518" t="str">
        <f ca="1">"X"&amp;OFFSET(NameConv!$F$4,0,L53)&amp;OFFSET(NameConv!$F$59,M53,L53)</f>
        <v>XAGROLP</v>
      </c>
      <c r="D53" s="515" t="str">
        <f ca="1">OFFSET(NameConv!$F$4,0,L53)&amp;OFFSET(NameConv!$AX$4,0,N53)</f>
        <v>AGRCMOX</v>
      </c>
      <c r="E53" s="740" t="s">
        <v>334</v>
      </c>
      <c r="F53" s="740" t="s">
        <v>334</v>
      </c>
      <c r="G53" s="740" t="s">
        <v>334</v>
      </c>
      <c r="H53" s="740" t="s">
        <v>334</v>
      </c>
      <c r="I53" s="516">
        <f t="shared" si="2"/>
        <v>1</v>
      </c>
      <c r="J53" s="516"/>
      <c r="K53" s="516"/>
      <c r="L53" s="495">
        <f ca="1">IF(AND(O52&gt;=SUMIF(NameConv!$C$5:$C$45,RIGHT(C52,3),NameConv!$CG$5:$CG$45),M52=SUMIF(NameConv!$G$4:$M$4,MID(C52,2,3),NameConv!$G$45:$M$45)),L52+1,L52)</f>
        <v>1</v>
      </c>
      <c r="M53" s="495">
        <f ca="1">IF(L53&lt;&gt;L52,1,IF(O52&gt;=SUMIF(NameConv!$C$5:$C$45,RIGHT(C52,3),NameConv!$CG$5:$CG$45),M52+1,M52))</f>
        <v>7</v>
      </c>
      <c r="N53" s="495">
        <f ca="1">SUMIF(NameConv!$C$5:$C$45,RIGHT(C53,3),OFFSET(NameConv!$CG$5,0,O53,NameConv!$A$45,1))</f>
        <v>6</v>
      </c>
      <c r="O53" s="495">
        <f ca="1">IF(O52&gt;=SUMIF(NameConv!$C$5:$C$45,RIGHT(C52,3),NameConv!$CG$5:$CG$45),1,O52+1)</f>
        <v>6</v>
      </c>
    </row>
    <row r="54" spans="1:15">
      <c r="A54" s="422" t="str">
        <f t="shared" ca="1" si="4"/>
        <v/>
      </c>
      <c r="B54" s="515" t="str">
        <f t="shared" si="3"/>
        <v>TOP-OUT</v>
      </c>
      <c r="C54" s="518" t="str">
        <f ca="1">"X"&amp;OFFSET(NameConv!$F$4,0,L54)&amp;OFFSET(NameConv!$F$59,M54,L54)</f>
        <v>XAGROLP</v>
      </c>
      <c r="D54" s="515" t="str">
        <f ca="1">OFFSET(NameConv!$F$4,0,L54)&amp;OFFSET(NameConv!$AX$4,0,N54)</f>
        <v>AGRNMVS</v>
      </c>
      <c r="E54" s="740" t="s">
        <v>334</v>
      </c>
      <c r="F54" s="740" t="s">
        <v>334</v>
      </c>
      <c r="G54" s="740" t="s">
        <v>334</v>
      </c>
      <c r="H54" s="740" t="s">
        <v>334</v>
      </c>
      <c r="I54" s="516">
        <f t="shared" si="2"/>
        <v>1</v>
      </c>
      <c r="J54" s="516"/>
      <c r="K54" s="516"/>
      <c r="L54" s="495">
        <f ca="1">IF(AND(O53&gt;=SUMIF(NameConv!$C$5:$C$45,RIGHT(C53,3),NameConv!$CG$5:$CG$45),M53=SUMIF(NameConv!$G$4:$M$4,MID(C53,2,3),NameConv!$G$45:$M$45)),L53+1,L53)</f>
        <v>1</v>
      </c>
      <c r="M54" s="495">
        <f ca="1">IF(L54&lt;&gt;L53,1,IF(O53&gt;=SUMIF(NameConv!$C$5:$C$45,RIGHT(C53,3),NameConv!$CG$5:$CG$45),M53+1,M53))</f>
        <v>7</v>
      </c>
      <c r="N54" s="495">
        <f ca="1">SUMIF(NameConv!$C$5:$C$45,RIGHT(C54,3),OFFSET(NameConv!$CG$5,0,O54,NameConv!$A$45,1))</f>
        <v>7</v>
      </c>
      <c r="O54" s="495">
        <f ca="1">IF(O53&gt;=SUMIF(NameConv!$C$5:$C$45,RIGHT(C53,3),NameConv!$CG$5:$CG$45),1,O53+1)</f>
        <v>7</v>
      </c>
    </row>
    <row r="55" spans="1:15">
      <c r="A55" s="422" t="str">
        <f t="shared" ca="1" si="4"/>
        <v/>
      </c>
      <c r="B55" s="515" t="str">
        <f t="shared" si="3"/>
        <v>TOP-OUT</v>
      </c>
      <c r="C55" s="518" t="str">
        <f ca="1">"X"&amp;OFFSET(NameConv!$F$4,0,L55)&amp;OFFSET(NameConv!$F$59,M55,L55)</f>
        <v>XCOMCOA</v>
      </c>
      <c r="D55" s="515" t="str">
        <f ca="1">OFFSET(NameConv!$F$4,0,L55)&amp;OFFSET(NameConv!$AX$4,0,N55)</f>
        <v>COMCO2S</v>
      </c>
      <c r="E55" s="740" t="s">
        <v>334</v>
      </c>
      <c r="F55" s="740" t="s">
        <v>334</v>
      </c>
      <c r="G55" s="740" t="s">
        <v>334</v>
      </c>
      <c r="H55" s="740" t="s">
        <v>334</v>
      </c>
      <c r="I55" s="516">
        <f t="shared" si="2"/>
        <v>1</v>
      </c>
      <c r="J55" s="516"/>
      <c r="K55" s="516"/>
      <c r="L55" s="495">
        <f ca="1">IF(AND(O54&gt;=SUMIF(NameConv!$C$5:$C$45,RIGHT(C54,3),NameConv!$CG$5:$CG$45),M54=SUMIF(NameConv!$G$4:$M$4,MID(C54,2,3),NameConv!$G$45:$M$45)),L54+1,L54)</f>
        <v>2</v>
      </c>
      <c r="M55" s="495">
        <f ca="1">IF(L55&lt;&gt;L54,1,IF(O54&gt;=SUMIF(NameConv!$C$5:$C$45,RIGHT(C54,3),NameConv!$CG$5:$CG$45),M54+1,M54))</f>
        <v>1</v>
      </c>
      <c r="N55" s="495">
        <f ca="1">SUMIF(NameConv!$C$5:$C$45,RIGHT(C55,3),OFFSET(NameConv!$CG$5,0,O55,NameConv!$A$45,1))</f>
        <v>1</v>
      </c>
      <c r="O55" s="495">
        <f ca="1">IF(O54&gt;=SUMIF(NameConv!$C$5:$C$45,RIGHT(C54,3),NameConv!$CG$5:$CG$45),1,O54+1)</f>
        <v>1</v>
      </c>
    </row>
    <row r="56" spans="1:15">
      <c r="A56" s="422" t="str">
        <f t="shared" ca="1" si="4"/>
        <v/>
      </c>
      <c r="B56" s="515" t="str">
        <f t="shared" si="3"/>
        <v>TOP-OUT</v>
      </c>
      <c r="C56" s="518" t="str">
        <f ca="1">"X"&amp;OFFSET(NameConv!$F$4,0,L56)&amp;OFFSET(NameConv!$F$59,M56,L56)</f>
        <v>XCOMCOA</v>
      </c>
      <c r="D56" s="515" t="str">
        <f ca="1">OFFSET(NameConv!$F$4,0,L56)&amp;OFFSET(NameConv!$AX$4,0,N56)</f>
        <v>COMCH4S</v>
      </c>
      <c r="E56" s="740" t="s">
        <v>334</v>
      </c>
      <c r="F56" s="740" t="s">
        <v>334</v>
      </c>
      <c r="G56" s="740" t="s">
        <v>334</v>
      </c>
      <c r="H56" s="740" t="s">
        <v>334</v>
      </c>
      <c r="I56" s="516">
        <f t="shared" si="2"/>
        <v>1</v>
      </c>
      <c r="J56" s="516"/>
      <c r="K56" s="516"/>
      <c r="L56" s="495">
        <f ca="1">IF(AND(O55&gt;=SUMIF(NameConv!$C$5:$C$45,RIGHT(C55,3),NameConv!$CG$5:$CG$45),M55=SUMIF(NameConv!$G$4:$M$4,MID(C55,2,3),NameConv!$G$45:$M$45)),L55+1,L55)</f>
        <v>2</v>
      </c>
      <c r="M56" s="495">
        <f ca="1">IF(L56&lt;&gt;L55,1,IF(O55&gt;=SUMIF(NameConv!$C$5:$C$45,RIGHT(C55,3),NameConv!$CG$5:$CG$45),M55+1,M55))</f>
        <v>1</v>
      </c>
      <c r="N56" s="495">
        <f ca="1">SUMIF(NameConv!$C$5:$C$45,RIGHT(C56,3),OFFSET(NameConv!$CG$5,0,O56,NameConv!$A$45,1))</f>
        <v>2</v>
      </c>
      <c r="O56" s="495">
        <f ca="1">IF(O55&gt;=SUMIF(NameConv!$C$5:$C$45,RIGHT(C55,3),NameConv!$CG$5:$CG$45),1,O55+1)</f>
        <v>2</v>
      </c>
    </row>
    <row r="57" spans="1:15">
      <c r="A57" s="422" t="str">
        <f t="shared" ca="1" si="4"/>
        <v/>
      </c>
      <c r="B57" s="515" t="str">
        <f t="shared" si="3"/>
        <v>TOP-OUT</v>
      </c>
      <c r="C57" s="518" t="str">
        <f ca="1">"X"&amp;OFFSET(NameConv!$F$4,0,L57)&amp;OFFSET(NameConv!$F$59,M57,L57)</f>
        <v>XCOMCOA</v>
      </c>
      <c r="D57" s="515" t="str">
        <f ca="1">OFFSET(NameConv!$F$4,0,L57)&amp;OFFSET(NameConv!$AX$4,0,N57)</f>
        <v>COMN2OS</v>
      </c>
      <c r="E57" s="740" t="s">
        <v>334</v>
      </c>
      <c r="F57" s="740" t="s">
        <v>334</v>
      </c>
      <c r="G57" s="740" t="s">
        <v>334</v>
      </c>
      <c r="H57" s="740" t="s">
        <v>334</v>
      </c>
      <c r="I57" s="516">
        <f t="shared" si="2"/>
        <v>1</v>
      </c>
      <c r="J57" s="516"/>
      <c r="K57" s="516"/>
      <c r="L57" s="495">
        <f ca="1">IF(AND(O56&gt;=SUMIF(NameConv!$C$5:$C$45,RIGHT(C56,3),NameConv!$CG$5:$CG$45),M56=SUMIF(NameConv!$G$4:$M$4,MID(C56,2,3),NameConv!$G$45:$M$45)),L56+1,L56)</f>
        <v>2</v>
      </c>
      <c r="M57" s="495">
        <f ca="1">IF(L57&lt;&gt;L56,1,IF(O56&gt;=SUMIF(NameConv!$C$5:$C$45,RIGHT(C56,3),NameConv!$CG$5:$CG$45),M56+1,M56))</f>
        <v>1</v>
      </c>
      <c r="N57" s="495">
        <f ca="1">SUMIF(NameConv!$C$5:$C$45,RIGHT(C57,3),OFFSET(NameConv!$CG$5,0,O57,NameConv!$A$45,1))</f>
        <v>3</v>
      </c>
      <c r="O57" s="495">
        <f ca="1">IF(O56&gt;=SUMIF(NameConv!$C$5:$C$45,RIGHT(C56,3),NameConv!$CG$5:$CG$45),1,O56+1)</f>
        <v>3</v>
      </c>
    </row>
    <row r="58" spans="1:15">
      <c r="A58" s="422" t="str">
        <f t="shared" ca="1" si="4"/>
        <v/>
      </c>
      <c r="B58" s="515" t="str">
        <f t="shared" si="3"/>
        <v>TOP-OUT</v>
      </c>
      <c r="C58" s="518" t="str">
        <f ca="1">"X"&amp;OFFSET(NameConv!$F$4,0,L58)&amp;OFFSET(NameConv!$F$59,M58,L58)</f>
        <v>XCOMCOA</v>
      </c>
      <c r="D58" s="515" t="str">
        <f ca="1">OFFSET(NameConv!$F$4,0,L58)&amp;OFFSET(NameConv!$AX$4,0,N58)</f>
        <v>COMSOXS</v>
      </c>
      <c r="E58" s="740" t="s">
        <v>334</v>
      </c>
      <c r="F58" s="740" t="s">
        <v>334</v>
      </c>
      <c r="G58" s="740" t="s">
        <v>334</v>
      </c>
      <c r="H58" s="740" t="s">
        <v>334</v>
      </c>
      <c r="I58" s="516">
        <f t="shared" si="2"/>
        <v>1</v>
      </c>
      <c r="J58" s="516"/>
      <c r="K58" s="516"/>
      <c r="L58" s="495">
        <f ca="1">IF(AND(O57&gt;=SUMIF(NameConv!$C$5:$C$45,RIGHT(C57,3),NameConv!$CG$5:$CG$45),M57=SUMIF(NameConv!$G$4:$M$4,MID(C57,2,3),NameConv!$G$45:$M$45)),L57+1,L57)</f>
        <v>2</v>
      </c>
      <c r="M58" s="495">
        <f ca="1">IF(L58&lt;&gt;L57,1,IF(O57&gt;=SUMIF(NameConv!$C$5:$C$45,RIGHT(C57,3),NameConv!$CG$5:$CG$45),M57+1,M57))</f>
        <v>1</v>
      </c>
      <c r="N58" s="495">
        <f ca="1">SUMIF(NameConv!$C$5:$C$45,RIGHT(C58,3),OFFSET(NameConv!$CG$5,0,O58,NameConv!$A$45,1))</f>
        <v>4</v>
      </c>
      <c r="O58" s="495">
        <f ca="1">IF(O57&gt;=SUMIF(NameConv!$C$5:$C$45,RIGHT(C57,3),NameConv!$CG$5:$CG$45),1,O57+1)</f>
        <v>4</v>
      </c>
    </row>
    <row r="59" spans="1:15">
      <c r="A59" s="422" t="str">
        <f t="shared" ca="1" si="4"/>
        <v/>
      </c>
      <c r="B59" s="515" t="str">
        <f t="shared" si="3"/>
        <v>TOP-OUT</v>
      </c>
      <c r="C59" s="518" t="str">
        <f ca="1">"X"&amp;OFFSET(NameConv!$F$4,0,L59)&amp;OFFSET(NameConv!$F$59,M59,L59)</f>
        <v>XCOMCOA</v>
      </c>
      <c r="D59" s="515" t="str">
        <f ca="1">OFFSET(NameConv!$F$4,0,L59)&amp;OFFSET(NameConv!$AX$4,0,N59)</f>
        <v>COMNOXS</v>
      </c>
      <c r="E59" s="740" t="s">
        <v>334</v>
      </c>
      <c r="F59" s="740" t="s">
        <v>334</v>
      </c>
      <c r="G59" s="740" t="s">
        <v>334</v>
      </c>
      <c r="H59" s="740" t="s">
        <v>334</v>
      </c>
      <c r="I59" s="516">
        <f t="shared" si="2"/>
        <v>1</v>
      </c>
      <c r="J59" s="516"/>
      <c r="K59" s="516"/>
      <c r="L59" s="495">
        <f ca="1">IF(AND(O58&gt;=SUMIF(NameConv!$C$5:$C$45,RIGHT(C58,3),NameConv!$CG$5:$CG$45),M58=SUMIF(NameConv!$G$4:$M$4,MID(C58,2,3),NameConv!$G$45:$M$45)),L58+1,L58)</f>
        <v>2</v>
      </c>
      <c r="M59" s="495">
        <f ca="1">IF(L59&lt;&gt;L58,1,IF(O58&gt;=SUMIF(NameConv!$C$5:$C$45,RIGHT(C58,3),NameConv!$CG$5:$CG$45),M58+1,M58))</f>
        <v>1</v>
      </c>
      <c r="N59" s="495">
        <f ca="1">SUMIF(NameConv!$C$5:$C$45,RIGHT(C59,3),OFFSET(NameConv!$CG$5,0,O59,NameConv!$A$45,1))</f>
        <v>5</v>
      </c>
      <c r="O59" s="495">
        <f ca="1">IF(O58&gt;=SUMIF(NameConv!$C$5:$C$45,RIGHT(C58,3),NameConv!$CG$5:$CG$45),1,O58+1)</f>
        <v>5</v>
      </c>
    </row>
    <row r="60" spans="1:15">
      <c r="A60" s="422" t="str">
        <f t="shared" ca="1" si="4"/>
        <v/>
      </c>
      <c r="B60" s="515" t="str">
        <f t="shared" si="3"/>
        <v>TOP-OUT</v>
      </c>
      <c r="C60" s="518" t="str">
        <f ca="1">"X"&amp;OFFSET(NameConv!$F$4,0,L60)&amp;OFFSET(NameConv!$F$59,M60,L60)</f>
        <v>XCOMCOA</v>
      </c>
      <c r="D60" s="515" t="str">
        <f ca="1">OFFSET(NameConv!$F$4,0,L60)&amp;OFFSET(NameConv!$AX$4,0,N60)</f>
        <v>COMCMOX</v>
      </c>
      <c r="E60" s="740" t="s">
        <v>334</v>
      </c>
      <c r="F60" s="740" t="s">
        <v>334</v>
      </c>
      <c r="G60" s="740" t="s">
        <v>334</v>
      </c>
      <c r="H60" s="740" t="s">
        <v>334</v>
      </c>
      <c r="I60" s="516">
        <f t="shared" si="2"/>
        <v>1</v>
      </c>
      <c r="J60" s="516"/>
      <c r="K60" s="516"/>
      <c r="L60" s="495">
        <f ca="1">IF(AND(O59&gt;=SUMIF(NameConv!$C$5:$C$45,RIGHT(C59,3),NameConv!$CG$5:$CG$45),M59=SUMIF(NameConv!$G$4:$M$4,MID(C59,2,3),NameConv!$G$45:$M$45)),L59+1,L59)</f>
        <v>2</v>
      </c>
      <c r="M60" s="495">
        <f ca="1">IF(L60&lt;&gt;L59,1,IF(O59&gt;=SUMIF(NameConv!$C$5:$C$45,RIGHT(C59,3),NameConv!$CG$5:$CG$45),M59+1,M59))</f>
        <v>1</v>
      </c>
      <c r="N60" s="495">
        <f ca="1">SUMIF(NameConv!$C$5:$C$45,RIGHT(C60,3),OFFSET(NameConv!$CG$5,0,O60,NameConv!$A$45,1))</f>
        <v>6</v>
      </c>
      <c r="O60" s="495">
        <f ca="1">IF(O59&gt;=SUMIF(NameConv!$C$5:$C$45,RIGHT(C59,3),NameConv!$CG$5:$CG$45),1,O59+1)</f>
        <v>6</v>
      </c>
    </row>
    <row r="61" spans="1:15">
      <c r="A61" s="422" t="str">
        <f t="shared" ca="1" si="4"/>
        <v/>
      </c>
      <c r="B61" s="515" t="str">
        <f t="shared" si="3"/>
        <v>TOP-OUT</v>
      </c>
      <c r="C61" s="518" t="str">
        <f ca="1">"X"&amp;OFFSET(NameConv!$F$4,0,L61)&amp;OFFSET(NameConv!$F$59,M61,L61)</f>
        <v>XCOMCOA</v>
      </c>
      <c r="D61" s="515" t="str">
        <f ca="1">OFFSET(NameConv!$F$4,0,L61)&amp;OFFSET(NameConv!$AX$4,0,N61)</f>
        <v>COMNMVS</v>
      </c>
      <c r="E61" s="740" t="s">
        <v>334</v>
      </c>
      <c r="F61" s="740" t="s">
        <v>334</v>
      </c>
      <c r="G61" s="740" t="s">
        <v>334</v>
      </c>
      <c r="H61" s="740" t="s">
        <v>334</v>
      </c>
      <c r="I61" s="516">
        <f t="shared" si="2"/>
        <v>1</v>
      </c>
      <c r="J61" s="516"/>
      <c r="K61" s="516"/>
      <c r="L61" s="495">
        <f ca="1">IF(AND(O60&gt;=SUMIF(NameConv!$C$5:$C$45,RIGHT(C60,3),NameConv!$CG$5:$CG$45),M60=SUMIF(NameConv!$G$4:$M$4,MID(C60,2,3),NameConv!$G$45:$M$45)),L60+1,L60)</f>
        <v>2</v>
      </c>
      <c r="M61" s="495">
        <f ca="1">IF(L61&lt;&gt;L60,1,IF(O60&gt;=SUMIF(NameConv!$C$5:$C$45,RIGHT(C60,3),NameConv!$CG$5:$CG$45),M60+1,M60))</f>
        <v>1</v>
      </c>
      <c r="N61" s="495">
        <f ca="1">SUMIF(NameConv!$C$5:$C$45,RIGHT(C61,3),OFFSET(NameConv!$CG$5,0,O61,NameConv!$A$45,1))</f>
        <v>7</v>
      </c>
      <c r="O61" s="495">
        <f ca="1">IF(O60&gt;=SUMIF(NameConv!$C$5:$C$45,RIGHT(C60,3),NameConv!$CG$5:$CG$45),1,O60+1)</f>
        <v>7</v>
      </c>
    </row>
    <row r="62" spans="1:15">
      <c r="A62" s="422" t="str">
        <f t="shared" ca="1" si="4"/>
        <v>*</v>
      </c>
      <c r="B62" s="515" t="str">
        <f t="shared" si="3"/>
        <v>TOP-OUT</v>
      </c>
      <c r="C62" s="518" t="str">
        <f ca="1">"X"&amp;OFFSET(NameConv!$F$4,0,L62)&amp;OFFSET(NameConv!$F$59,M62,L62)</f>
        <v>XCOMELC</v>
      </c>
      <c r="D62" s="515" t="str">
        <f ca="1">OFFSET(NameConv!$F$4,0,L62)&amp;OFFSET(NameConv!$AX$4,0,N62)</f>
        <v>COM</v>
      </c>
      <c r="E62" s="740" t="s">
        <v>334</v>
      </c>
      <c r="F62" s="740" t="s">
        <v>334</v>
      </c>
      <c r="G62" s="740" t="s">
        <v>334</v>
      </c>
      <c r="H62" s="740" t="s">
        <v>334</v>
      </c>
      <c r="I62" s="516">
        <f t="shared" si="2"/>
        <v>1</v>
      </c>
      <c r="J62" s="516"/>
      <c r="K62" s="516"/>
      <c r="L62" s="495">
        <f ca="1">IF(AND(O61&gt;=SUMIF(NameConv!$C$5:$C$45,RIGHT(C61,3),NameConv!$CG$5:$CG$45),M61=SUMIF(NameConv!$G$4:$M$4,MID(C61,2,3),NameConv!$G$45:$M$45)),L61+1,L61)</f>
        <v>2</v>
      </c>
      <c r="M62" s="495">
        <f ca="1">IF(L62&lt;&gt;L61,1,IF(O61&gt;=SUMIF(NameConv!$C$5:$C$45,RIGHT(C61,3),NameConv!$CG$5:$CG$45),M61+1,M61))</f>
        <v>2</v>
      </c>
      <c r="N62" s="495">
        <f ca="1">SUMIF(NameConv!$C$5:$C$45,RIGHT(C62,3),OFFSET(NameConv!$CG$5,0,O62,NameConv!$A$45,1))</f>
        <v>0</v>
      </c>
      <c r="O62" s="495">
        <f ca="1">IF(O61&gt;=SUMIF(NameConv!$C$5:$C$45,RIGHT(C61,3),NameConv!$CG$5:$CG$45),1,O61+1)</f>
        <v>1</v>
      </c>
    </row>
    <row r="63" spans="1:15">
      <c r="A63" s="422" t="str">
        <f t="shared" ca="1" si="4"/>
        <v/>
      </c>
      <c r="B63" s="515" t="str">
        <f t="shared" si="3"/>
        <v>TOP-OUT</v>
      </c>
      <c r="C63" s="518" t="str">
        <f ca="1">"X"&amp;OFFSET(NameConv!$F$4,0,L63)&amp;OFFSET(NameConv!$F$59,M63,L63)</f>
        <v>XCOMGAS</v>
      </c>
      <c r="D63" s="515" t="str">
        <f ca="1">OFFSET(NameConv!$F$4,0,L63)&amp;OFFSET(NameConv!$AX$4,0,N63)</f>
        <v>COMCO2S</v>
      </c>
      <c r="E63" s="740" t="s">
        <v>334</v>
      </c>
      <c r="F63" s="740" t="s">
        <v>334</v>
      </c>
      <c r="G63" s="740" t="s">
        <v>334</v>
      </c>
      <c r="H63" s="740" t="s">
        <v>334</v>
      </c>
      <c r="I63" s="516">
        <f t="shared" si="2"/>
        <v>1</v>
      </c>
      <c r="J63" s="516"/>
      <c r="K63" s="516"/>
      <c r="L63" s="495">
        <f ca="1">IF(AND(O62&gt;=SUMIF(NameConv!$C$5:$C$45,RIGHT(C62,3),NameConv!$CG$5:$CG$45),M62=SUMIF(NameConv!$G$4:$M$4,MID(C62,2,3),NameConv!$G$45:$M$45)),L62+1,L62)</f>
        <v>2</v>
      </c>
      <c r="M63" s="495">
        <f ca="1">IF(L63&lt;&gt;L62,1,IF(O62&gt;=SUMIF(NameConv!$C$5:$C$45,RIGHT(C62,3),NameConv!$CG$5:$CG$45),M62+1,M62))</f>
        <v>3</v>
      </c>
      <c r="N63" s="495">
        <f ca="1">SUMIF(NameConv!$C$5:$C$45,RIGHT(C63,3),OFFSET(NameConv!$CG$5,0,O63,NameConv!$A$45,1))</f>
        <v>1</v>
      </c>
      <c r="O63" s="495">
        <f ca="1">IF(O62&gt;=SUMIF(NameConv!$C$5:$C$45,RIGHT(C62,3),NameConv!$CG$5:$CG$45),1,O62+1)</f>
        <v>1</v>
      </c>
    </row>
    <row r="64" spans="1:15">
      <c r="A64" s="422" t="str">
        <f t="shared" ca="1" si="4"/>
        <v/>
      </c>
      <c r="B64" s="515" t="str">
        <f t="shared" si="3"/>
        <v>TOP-OUT</v>
      </c>
      <c r="C64" s="518" t="str">
        <f ca="1">"X"&amp;OFFSET(NameConv!$F$4,0,L64)&amp;OFFSET(NameConv!$F$59,M64,L64)</f>
        <v>XCOMGAS</v>
      </c>
      <c r="D64" s="515" t="str">
        <f ca="1">OFFSET(NameConv!$F$4,0,L64)&amp;OFFSET(NameConv!$AX$4,0,N64)</f>
        <v>COMCH4S</v>
      </c>
      <c r="E64" s="740" t="s">
        <v>334</v>
      </c>
      <c r="F64" s="740" t="s">
        <v>334</v>
      </c>
      <c r="G64" s="740" t="s">
        <v>334</v>
      </c>
      <c r="H64" s="740" t="s">
        <v>334</v>
      </c>
      <c r="I64" s="516">
        <f t="shared" si="2"/>
        <v>1</v>
      </c>
      <c r="J64" s="516"/>
      <c r="K64" s="516"/>
      <c r="L64" s="495">
        <f ca="1">IF(AND(O63&gt;=SUMIF(NameConv!$C$5:$C$45,RIGHT(C63,3),NameConv!$CG$5:$CG$45),M63=SUMIF(NameConv!$G$4:$M$4,MID(C63,2,3),NameConv!$G$45:$M$45)),L63+1,L63)</f>
        <v>2</v>
      </c>
      <c r="M64" s="495">
        <f ca="1">IF(L64&lt;&gt;L63,1,IF(O63&gt;=SUMIF(NameConv!$C$5:$C$45,RIGHT(C63,3),NameConv!$CG$5:$CG$45),M63+1,M63))</f>
        <v>3</v>
      </c>
      <c r="N64" s="495">
        <f ca="1">SUMIF(NameConv!$C$5:$C$45,RIGHT(C64,3),OFFSET(NameConv!$CG$5,0,O64,NameConv!$A$45,1))</f>
        <v>2</v>
      </c>
      <c r="O64" s="495">
        <f ca="1">IF(O63&gt;=SUMIF(NameConv!$C$5:$C$45,RIGHT(C63,3),NameConv!$CG$5:$CG$45),1,O63+1)</f>
        <v>2</v>
      </c>
    </row>
    <row r="65" spans="1:15">
      <c r="A65" s="422" t="str">
        <f t="shared" ca="1" si="4"/>
        <v/>
      </c>
      <c r="B65" s="515" t="str">
        <f t="shared" si="3"/>
        <v>TOP-OUT</v>
      </c>
      <c r="C65" s="518" t="str">
        <f ca="1">"X"&amp;OFFSET(NameConv!$F$4,0,L65)&amp;OFFSET(NameConv!$F$59,M65,L65)</f>
        <v>XCOMGAS</v>
      </c>
      <c r="D65" s="515" t="str">
        <f ca="1">OFFSET(NameConv!$F$4,0,L65)&amp;OFFSET(NameConv!$AX$4,0,N65)</f>
        <v>COMN2OS</v>
      </c>
      <c r="E65" s="740" t="s">
        <v>334</v>
      </c>
      <c r="F65" s="740" t="s">
        <v>334</v>
      </c>
      <c r="G65" s="740" t="s">
        <v>334</v>
      </c>
      <c r="H65" s="740" t="s">
        <v>334</v>
      </c>
      <c r="I65" s="516">
        <f t="shared" si="2"/>
        <v>1</v>
      </c>
      <c r="J65" s="516"/>
      <c r="K65" s="516"/>
      <c r="L65" s="495">
        <f ca="1">IF(AND(O64&gt;=SUMIF(NameConv!$C$5:$C$45,RIGHT(C64,3),NameConv!$CG$5:$CG$45),M64=SUMIF(NameConv!$G$4:$M$4,MID(C64,2,3),NameConv!$G$45:$M$45)),L64+1,L64)</f>
        <v>2</v>
      </c>
      <c r="M65" s="495">
        <f ca="1">IF(L65&lt;&gt;L64,1,IF(O64&gt;=SUMIF(NameConv!$C$5:$C$45,RIGHT(C64,3),NameConv!$CG$5:$CG$45),M64+1,M64))</f>
        <v>3</v>
      </c>
      <c r="N65" s="495">
        <f ca="1">SUMIF(NameConv!$C$5:$C$45,RIGHT(C65,3),OFFSET(NameConv!$CG$5,0,O65,NameConv!$A$45,1))</f>
        <v>3</v>
      </c>
      <c r="O65" s="495">
        <f ca="1">IF(O64&gt;=SUMIF(NameConv!$C$5:$C$45,RIGHT(C64,3),NameConv!$CG$5:$CG$45),1,O64+1)</f>
        <v>3</v>
      </c>
    </row>
    <row r="66" spans="1:15">
      <c r="A66" s="422" t="str">
        <f t="shared" ca="1" si="4"/>
        <v/>
      </c>
      <c r="B66" s="515" t="str">
        <f t="shared" si="3"/>
        <v>TOP-OUT</v>
      </c>
      <c r="C66" s="518" t="str">
        <f ca="1">"X"&amp;OFFSET(NameConv!$F$4,0,L66)&amp;OFFSET(NameConv!$F$59,M66,L66)</f>
        <v>XCOMGAS</v>
      </c>
      <c r="D66" s="515" t="str">
        <f ca="1">OFFSET(NameConv!$F$4,0,L66)&amp;OFFSET(NameConv!$AX$4,0,N66)</f>
        <v>COMNOXS</v>
      </c>
      <c r="E66" s="740" t="s">
        <v>334</v>
      </c>
      <c r="F66" s="740" t="s">
        <v>334</v>
      </c>
      <c r="G66" s="740" t="s">
        <v>334</v>
      </c>
      <c r="H66" s="740" t="s">
        <v>334</v>
      </c>
      <c r="I66" s="516">
        <f t="shared" si="2"/>
        <v>1</v>
      </c>
      <c r="J66" s="516"/>
      <c r="K66" s="516"/>
      <c r="L66" s="495">
        <f ca="1">IF(AND(O65&gt;=SUMIF(NameConv!$C$5:$C$45,RIGHT(C65,3),NameConv!$CG$5:$CG$45),M65=SUMIF(NameConv!$G$4:$M$4,MID(C65,2,3),NameConv!$G$45:$M$45)),L65+1,L65)</f>
        <v>2</v>
      </c>
      <c r="M66" s="495">
        <f ca="1">IF(L66&lt;&gt;L65,1,IF(O65&gt;=SUMIF(NameConv!$C$5:$C$45,RIGHT(C65,3),NameConv!$CG$5:$CG$45),M65+1,M65))</f>
        <v>3</v>
      </c>
      <c r="N66" s="495">
        <f ca="1">SUMIF(NameConv!$C$5:$C$45,RIGHT(C66,3),OFFSET(NameConv!$CG$5,0,O66,NameConv!$A$45,1))</f>
        <v>5</v>
      </c>
      <c r="O66" s="495">
        <f ca="1">IF(O65&gt;=SUMIF(NameConv!$C$5:$C$45,RIGHT(C65,3),NameConv!$CG$5:$CG$45),1,O65+1)</f>
        <v>4</v>
      </c>
    </row>
    <row r="67" spans="1:15">
      <c r="A67" s="422" t="str">
        <f t="shared" ca="1" si="4"/>
        <v/>
      </c>
      <c r="B67" s="515" t="str">
        <f t="shared" si="3"/>
        <v>TOP-OUT</v>
      </c>
      <c r="C67" s="518" t="str">
        <f ca="1">"X"&amp;OFFSET(NameConv!$F$4,0,L67)&amp;OFFSET(NameConv!$F$59,M67,L67)</f>
        <v>XCOMGAS</v>
      </c>
      <c r="D67" s="515" t="str">
        <f ca="1">OFFSET(NameConv!$F$4,0,L67)&amp;OFFSET(NameConv!$AX$4,0,N67)</f>
        <v>COMCMOX</v>
      </c>
      <c r="E67" s="740" t="s">
        <v>334</v>
      </c>
      <c r="F67" s="740" t="s">
        <v>334</v>
      </c>
      <c r="G67" s="740" t="s">
        <v>334</v>
      </c>
      <c r="H67" s="740" t="s">
        <v>334</v>
      </c>
      <c r="I67" s="516">
        <f t="shared" si="2"/>
        <v>1</v>
      </c>
      <c r="J67" s="516"/>
      <c r="K67" s="516"/>
      <c r="L67" s="495">
        <f ca="1">IF(AND(O66&gt;=SUMIF(NameConv!$C$5:$C$45,RIGHT(C66,3),NameConv!$CG$5:$CG$45),M66=SUMIF(NameConv!$G$4:$M$4,MID(C66,2,3),NameConv!$G$45:$M$45)),L66+1,L66)</f>
        <v>2</v>
      </c>
      <c r="M67" s="495">
        <f ca="1">IF(L67&lt;&gt;L66,1,IF(O66&gt;=SUMIF(NameConv!$C$5:$C$45,RIGHT(C66,3),NameConv!$CG$5:$CG$45),M66+1,M66))</f>
        <v>3</v>
      </c>
      <c r="N67" s="495">
        <f ca="1">SUMIF(NameConv!$C$5:$C$45,RIGHT(C67,3),OFFSET(NameConv!$CG$5,0,O67,NameConv!$A$45,1))</f>
        <v>6</v>
      </c>
      <c r="O67" s="495">
        <f ca="1">IF(O66&gt;=SUMIF(NameConv!$C$5:$C$45,RIGHT(C66,3),NameConv!$CG$5:$CG$45),1,O66+1)</f>
        <v>5</v>
      </c>
    </row>
    <row r="68" spans="1:15">
      <c r="A68" s="422" t="str">
        <f t="shared" ca="1" si="4"/>
        <v/>
      </c>
      <c r="B68" s="515" t="str">
        <f t="shared" si="3"/>
        <v>TOP-OUT</v>
      </c>
      <c r="C68" s="518" t="str">
        <f ca="1">"X"&amp;OFFSET(NameConv!$F$4,0,L68)&amp;OFFSET(NameConv!$F$59,M68,L68)</f>
        <v>XCOMGAS</v>
      </c>
      <c r="D68" s="515" t="str">
        <f ca="1">OFFSET(NameConv!$F$4,0,L68)&amp;OFFSET(NameConv!$AX$4,0,N68)</f>
        <v>COMNMVS</v>
      </c>
      <c r="E68" s="740" t="s">
        <v>334</v>
      </c>
      <c r="F68" s="740" t="s">
        <v>334</v>
      </c>
      <c r="G68" s="740" t="s">
        <v>334</v>
      </c>
      <c r="H68" s="740" t="s">
        <v>334</v>
      </c>
      <c r="I68" s="516">
        <f t="shared" si="2"/>
        <v>1</v>
      </c>
      <c r="J68" s="516"/>
      <c r="K68" s="516"/>
      <c r="L68" s="495">
        <f ca="1">IF(AND(O67&gt;=SUMIF(NameConv!$C$5:$C$45,RIGHT(C67,3),NameConv!$CG$5:$CG$45),M67=SUMIF(NameConv!$G$4:$M$4,MID(C67,2,3),NameConv!$G$45:$M$45)),L67+1,L67)</f>
        <v>2</v>
      </c>
      <c r="M68" s="495">
        <f ca="1">IF(L68&lt;&gt;L67,1,IF(O67&gt;=SUMIF(NameConv!$C$5:$C$45,RIGHT(C67,3),NameConv!$CG$5:$CG$45),M67+1,M67))</f>
        <v>3</v>
      </c>
      <c r="N68" s="495">
        <f ca="1">SUMIF(NameConv!$C$5:$C$45,RIGHT(C68,3),OFFSET(NameConv!$CG$5,0,O68,NameConv!$A$45,1))</f>
        <v>7</v>
      </c>
      <c r="O68" s="495">
        <f ca="1">IF(O67&gt;=SUMIF(NameConv!$C$5:$C$45,RIGHT(C67,3),NameConv!$CG$5:$CG$45),1,O67+1)</f>
        <v>6</v>
      </c>
    </row>
    <row r="69" spans="1:15">
      <c r="A69" s="422" t="str">
        <f t="shared" ca="1" si="4"/>
        <v/>
      </c>
      <c r="B69" s="515" t="str">
        <f t="shared" si="3"/>
        <v>TOP-OUT</v>
      </c>
      <c r="C69" s="518" t="str">
        <f ca="1">"X"&amp;OFFSET(NameConv!$F$4,0,L69)&amp;OFFSET(NameConv!$F$59,M69,L69)</f>
        <v>XCOMODS</v>
      </c>
      <c r="D69" s="515" t="str">
        <f ca="1">OFFSET(NameConv!$F$4,0,L69)&amp;OFFSET(NameConv!$AX$4,0,N69)</f>
        <v>COMCO2S</v>
      </c>
      <c r="E69" s="740" t="s">
        <v>334</v>
      </c>
      <c r="F69" s="740" t="s">
        <v>334</v>
      </c>
      <c r="G69" s="740" t="s">
        <v>334</v>
      </c>
      <c r="H69" s="740" t="s">
        <v>334</v>
      </c>
      <c r="I69" s="516">
        <f t="shared" si="2"/>
        <v>1</v>
      </c>
      <c r="J69" s="516"/>
      <c r="K69" s="516"/>
      <c r="L69" s="495">
        <f ca="1">IF(AND(O68&gt;=SUMIF(NameConv!$C$5:$C$45,RIGHT(C68,3),NameConv!$CG$5:$CG$45),M68=SUMIF(NameConv!$G$4:$M$4,MID(C68,2,3),NameConv!$G$45:$M$45)),L68+1,L68)</f>
        <v>2</v>
      </c>
      <c r="M69" s="495">
        <f ca="1">IF(L69&lt;&gt;L68,1,IF(O68&gt;=SUMIF(NameConv!$C$5:$C$45,RIGHT(C68,3),NameConv!$CG$5:$CG$45),M68+1,M68))</f>
        <v>4</v>
      </c>
      <c r="N69" s="495">
        <f ca="1">SUMIF(NameConv!$C$5:$C$45,RIGHT(C69,3),OFFSET(NameConv!$CG$5,0,O69,NameConv!$A$45,1))</f>
        <v>1</v>
      </c>
      <c r="O69" s="495">
        <f ca="1">IF(O68&gt;=SUMIF(NameConv!$C$5:$C$45,RIGHT(C68,3),NameConv!$CG$5:$CG$45),1,O68+1)</f>
        <v>1</v>
      </c>
    </row>
    <row r="70" spans="1:15">
      <c r="A70" s="422" t="str">
        <f t="shared" ca="1" si="4"/>
        <v/>
      </c>
      <c r="B70" s="515" t="str">
        <f t="shared" si="3"/>
        <v>TOP-OUT</v>
      </c>
      <c r="C70" s="518" t="str">
        <f ca="1">"X"&amp;OFFSET(NameConv!$F$4,0,L70)&amp;OFFSET(NameConv!$F$59,M70,L70)</f>
        <v>XCOMODS</v>
      </c>
      <c r="D70" s="515" t="str">
        <f ca="1">OFFSET(NameConv!$F$4,0,L70)&amp;OFFSET(NameConv!$AX$4,0,N70)</f>
        <v>COMCH4S</v>
      </c>
      <c r="E70" s="740" t="s">
        <v>334</v>
      </c>
      <c r="F70" s="740" t="s">
        <v>334</v>
      </c>
      <c r="G70" s="740" t="s">
        <v>334</v>
      </c>
      <c r="H70" s="740" t="s">
        <v>334</v>
      </c>
      <c r="I70" s="516">
        <f t="shared" si="2"/>
        <v>1</v>
      </c>
      <c r="J70" s="516"/>
      <c r="K70" s="516"/>
      <c r="L70" s="495">
        <f ca="1">IF(AND(O69&gt;=SUMIF(NameConv!$C$5:$C$45,RIGHT(C69,3),NameConv!$CG$5:$CG$45),M69=SUMIF(NameConv!$G$4:$M$4,MID(C69,2,3),NameConv!$G$45:$M$45)),L69+1,L69)</f>
        <v>2</v>
      </c>
      <c r="M70" s="495">
        <f ca="1">IF(L70&lt;&gt;L69,1,IF(O69&gt;=SUMIF(NameConv!$C$5:$C$45,RIGHT(C69,3),NameConv!$CG$5:$CG$45),M69+1,M69))</f>
        <v>4</v>
      </c>
      <c r="N70" s="495">
        <f ca="1">SUMIF(NameConv!$C$5:$C$45,RIGHT(C70,3),OFFSET(NameConv!$CG$5,0,O70,NameConv!$A$45,1))</f>
        <v>2</v>
      </c>
      <c r="O70" s="495">
        <f ca="1">IF(O69&gt;=SUMIF(NameConv!$C$5:$C$45,RIGHT(C69,3),NameConv!$CG$5:$CG$45),1,O69+1)</f>
        <v>2</v>
      </c>
    </row>
    <row r="71" spans="1:15">
      <c r="A71" s="422" t="str">
        <f t="shared" ca="1" si="4"/>
        <v/>
      </c>
      <c r="B71" s="515" t="str">
        <f t="shared" si="3"/>
        <v>TOP-OUT</v>
      </c>
      <c r="C71" s="518" t="str">
        <f ca="1">"X"&amp;OFFSET(NameConv!$F$4,0,L71)&amp;OFFSET(NameConv!$F$59,M71,L71)</f>
        <v>XCOMODS</v>
      </c>
      <c r="D71" s="515" t="str">
        <f ca="1">OFFSET(NameConv!$F$4,0,L71)&amp;OFFSET(NameConv!$AX$4,0,N71)</f>
        <v>COMN2OS</v>
      </c>
      <c r="E71" s="740" t="s">
        <v>334</v>
      </c>
      <c r="F71" s="740" t="s">
        <v>334</v>
      </c>
      <c r="G71" s="740" t="s">
        <v>334</v>
      </c>
      <c r="H71" s="740" t="s">
        <v>334</v>
      </c>
      <c r="I71" s="516">
        <f t="shared" si="2"/>
        <v>1</v>
      </c>
      <c r="J71" s="516"/>
      <c r="K71" s="516"/>
      <c r="L71" s="495">
        <f ca="1">IF(AND(O70&gt;=SUMIF(NameConv!$C$5:$C$45,RIGHT(C70,3),NameConv!$CG$5:$CG$45),M70=SUMIF(NameConv!$G$4:$M$4,MID(C70,2,3),NameConv!$G$45:$M$45)),L70+1,L70)</f>
        <v>2</v>
      </c>
      <c r="M71" s="495">
        <f ca="1">IF(L71&lt;&gt;L70,1,IF(O70&gt;=SUMIF(NameConv!$C$5:$C$45,RIGHT(C70,3),NameConv!$CG$5:$CG$45),M70+1,M70))</f>
        <v>4</v>
      </c>
      <c r="N71" s="495">
        <f ca="1">SUMIF(NameConv!$C$5:$C$45,RIGHT(C71,3),OFFSET(NameConv!$CG$5,0,O71,NameConv!$A$45,1))</f>
        <v>3</v>
      </c>
      <c r="O71" s="495">
        <f ca="1">IF(O70&gt;=SUMIF(NameConv!$C$5:$C$45,RIGHT(C70,3),NameConv!$CG$5:$CG$45),1,O70+1)</f>
        <v>3</v>
      </c>
    </row>
    <row r="72" spans="1:15">
      <c r="A72" s="422" t="str">
        <f t="shared" ca="1" si="4"/>
        <v/>
      </c>
      <c r="B72" s="515" t="str">
        <f t="shared" si="3"/>
        <v>TOP-OUT</v>
      </c>
      <c r="C72" s="518" t="str">
        <f ca="1">"X"&amp;OFFSET(NameConv!$F$4,0,L72)&amp;OFFSET(NameConv!$F$59,M72,L72)</f>
        <v>XCOMODS</v>
      </c>
      <c r="D72" s="515" t="str">
        <f ca="1">OFFSET(NameConv!$F$4,0,L72)&amp;OFFSET(NameConv!$AX$4,0,N72)</f>
        <v>COMSOXS</v>
      </c>
      <c r="E72" s="740" t="s">
        <v>334</v>
      </c>
      <c r="F72" s="740" t="s">
        <v>334</v>
      </c>
      <c r="G72" s="740" t="s">
        <v>334</v>
      </c>
      <c r="H72" s="740" t="s">
        <v>334</v>
      </c>
      <c r="I72" s="516">
        <f t="shared" si="2"/>
        <v>1</v>
      </c>
      <c r="J72" s="516"/>
      <c r="K72" s="516"/>
      <c r="L72" s="495">
        <f ca="1">IF(AND(O71&gt;=SUMIF(NameConv!$C$5:$C$45,RIGHT(C71,3),NameConv!$CG$5:$CG$45),M71=SUMIF(NameConv!$G$4:$M$4,MID(C71,2,3),NameConv!$G$45:$M$45)),L71+1,L71)</f>
        <v>2</v>
      </c>
      <c r="M72" s="495">
        <f ca="1">IF(L72&lt;&gt;L71,1,IF(O71&gt;=SUMIF(NameConv!$C$5:$C$45,RIGHT(C71,3),NameConv!$CG$5:$CG$45),M71+1,M71))</f>
        <v>4</v>
      </c>
      <c r="N72" s="495">
        <f ca="1">SUMIF(NameConv!$C$5:$C$45,RIGHT(C72,3),OFFSET(NameConv!$CG$5,0,O72,NameConv!$A$45,1))</f>
        <v>4</v>
      </c>
      <c r="O72" s="495">
        <f ca="1">IF(O71&gt;=SUMIF(NameConv!$C$5:$C$45,RIGHT(C71,3),NameConv!$CG$5:$CG$45),1,O71+1)</f>
        <v>4</v>
      </c>
    </row>
    <row r="73" spans="1:15">
      <c r="A73" s="422" t="str">
        <f t="shared" ca="1" si="4"/>
        <v/>
      </c>
      <c r="B73" s="515" t="str">
        <f t="shared" si="3"/>
        <v>TOP-OUT</v>
      </c>
      <c r="C73" s="518" t="str">
        <f ca="1">"X"&amp;OFFSET(NameConv!$F$4,0,L73)&amp;OFFSET(NameConv!$F$59,M73,L73)</f>
        <v>XCOMODS</v>
      </c>
      <c r="D73" s="515" t="str">
        <f ca="1">OFFSET(NameConv!$F$4,0,L73)&amp;OFFSET(NameConv!$AX$4,0,N73)</f>
        <v>COMNOXS</v>
      </c>
      <c r="E73" s="740" t="s">
        <v>334</v>
      </c>
      <c r="F73" s="740" t="s">
        <v>334</v>
      </c>
      <c r="G73" s="740" t="s">
        <v>334</v>
      </c>
      <c r="H73" s="740" t="s">
        <v>334</v>
      </c>
      <c r="I73" s="516">
        <f t="shared" si="2"/>
        <v>1</v>
      </c>
      <c r="J73" s="516"/>
      <c r="K73" s="516"/>
      <c r="L73" s="495">
        <f ca="1">IF(AND(O72&gt;=SUMIF(NameConv!$C$5:$C$45,RIGHT(C72,3),NameConv!$CG$5:$CG$45),M72=SUMIF(NameConv!$G$4:$M$4,MID(C72,2,3),NameConv!$G$45:$M$45)),L72+1,L72)</f>
        <v>2</v>
      </c>
      <c r="M73" s="495">
        <f ca="1">IF(L73&lt;&gt;L72,1,IF(O72&gt;=SUMIF(NameConv!$C$5:$C$45,RIGHT(C72,3),NameConv!$CG$5:$CG$45),M72+1,M72))</f>
        <v>4</v>
      </c>
      <c r="N73" s="495">
        <f ca="1">SUMIF(NameConv!$C$5:$C$45,RIGHT(C73,3),OFFSET(NameConv!$CG$5,0,O73,NameConv!$A$45,1))</f>
        <v>5</v>
      </c>
      <c r="O73" s="495">
        <f ca="1">IF(O72&gt;=SUMIF(NameConv!$C$5:$C$45,RIGHT(C72,3),NameConv!$CG$5:$CG$45),1,O72+1)</f>
        <v>5</v>
      </c>
    </row>
    <row r="74" spans="1:15">
      <c r="A74" s="422" t="str">
        <f t="shared" ca="1" si="4"/>
        <v/>
      </c>
      <c r="B74" s="515" t="str">
        <f t="shared" si="3"/>
        <v>TOP-OUT</v>
      </c>
      <c r="C74" s="518" t="str">
        <f ca="1">"X"&amp;OFFSET(NameConv!$F$4,0,L74)&amp;OFFSET(NameConv!$F$59,M74,L74)</f>
        <v>XCOMODS</v>
      </c>
      <c r="D74" s="515" t="str">
        <f ca="1">OFFSET(NameConv!$F$4,0,L74)&amp;OFFSET(NameConv!$AX$4,0,N74)</f>
        <v>COMCMOX</v>
      </c>
      <c r="E74" s="740" t="s">
        <v>334</v>
      </c>
      <c r="F74" s="740" t="s">
        <v>334</v>
      </c>
      <c r="G74" s="740" t="s">
        <v>334</v>
      </c>
      <c r="H74" s="740" t="s">
        <v>334</v>
      </c>
      <c r="I74" s="516">
        <f t="shared" si="2"/>
        <v>1</v>
      </c>
      <c r="J74" s="516"/>
      <c r="K74" s="516"/>
      <c r="L74" s="495">
        <f ca="1">IF(AND(O73&gt;=SUMIF(NameConv!$C$5:$C$45,RIGHT(C73,3),NameConv!$CG$5:$CG$45),M73=SUMIF(NameConv!$G$4:$M$4,MID(C73,2,3),NameConv!$G$45:$M$45)),L73+1,L73)</f>
        <v>2</v>
      </c>
      <c r="M74" s="495">
        <f ca="1">IF(L74&lt;&gt;L73,1,IF(O73&gt;=SUMIF(NameConv!$C$5:$C$45,RIGHT(C73,3),NameConv!$CG$5:$CG$45),M73+1,M73))</f>
        <v>4</v>
      </c>
      <c r="N74" s="495">
        <f ca="1">SUMIF(NameConv!$C$5:$C$45,RIGHT(C74,3),OFFSET(NameConv!$CG$5,0,O74,NameConv!$A$45,1))</f>
        <v>6</v>
      </c>
      <c r="O74" s="495">
        <f ca="1">IF(O73&gt;=SUMIF(NameConv!$C$5:$C$45,RIGHT(C73,3),NameConv!$CG$5:$CG$45),1,O73+1)</f>
        <v>6</v>
      </c>
    </row>
    <row r="75" spans="1:15">
      <c r="A75" s="422" t="str">
        <f t="shared" ca="1" si="4"/>
        <v/>
      </c>
      <c r="B75" s="515" t="str">
        <f t="shared" si="3"/>
        <v>TOP-OUT</v>
      </c>
      <c r="C75" s="518" t="str">
        <f ca="1">"X"&amp;OFFSET(NameConv!$F$4,0,L75)&amp;OFFSET(NameConv!$F$59,M75,L75)</f>
        <v>XCOMODS</v>
      </c>
      <c r="D75" s="515" t="str">
        <f ca="1">OFFSET(NameConv!$F$4,0,L75)&amp;OFFSET(NameConv!$AX$4,0,N75)</f>
        <v>COMNMVS</v>
      </c>
      <c r="E75" s="740" t="s">
        <v>334</v>
      </c>
      <c r="F75" s="740" t="s">
        <v>334</v>
      </c>
      <c r="G75" s="740" t="s">
        <v>334</v>
      </c>
      <c r="H75" s="740" t="s">
        <v>334</v>
      </c>
      <c r="I75" s="516">
        <f t="shared" si="2"/>
        <v>1</v>
      </c>
      <c r="J75" s="516"/>
      <c r="K75" s="516"/>
      <c r="L75" s="495">
        <f ca="1">IF(AND(O74&gt;=SUMIF(NameConv!$C$5:$C$45,RIGHT(C74,3),NameConv!$CG$5:$CG$45),M74=SUMIF(NameConv!$G$4:$M$4,MID(C74,2,3),NameConv!$G$45:$M$45)),L74+1,L74)</f>
        <v>2</v>
      </c>
      <c r="M75" s="495">
        <f ca="1">IF(L75&lt;&gt;L74,1,IF(O74&gt;=SUMIF(NameConv!$C$5:$C$45,RIGHT(C74,3),NameConv!$CG$5:$CG$45),M74+1,M74))</f>
        <v>4</v>
      </c>
      <c r="N75" s="495">
        <f ca="1">SUMIF(NameConv!$C$5:$C$45,RIGHT(C75,3),OFFSET(NameConv!$CG$5,0,O75,NameConv!$A$45,1))</f>
        <v>7</v>
      </c>
      <c r="O75" s="495">
        <f ca="1">IF(O74&gt;=SUMIF(NameConv!$C$5:$C$45,RIGHT(C74,3),NameConv!$CG$5:$CG$45),1,O74+1)</f>
        <v>7</v>
      </c>
    </row>
    <row r="76" spans="1:15">
      <c r="A76" s="422" t="str">
        <f t="shared" ref="A76:A103" ca="1" si="5">IF(LEN(D76)=3,"*","")</f>
        <v/>
      </c>
      <c r="B76" s="515" t="str">
        <f t="shared" si="3"/>
        <v>TOP-OUT</v>
      </c>
      <c r="C76" s="518" t="str">
        <f ca="1">"X"&amp;OFFSET(NameConv!$F$4,0,L76)&amp;OFFSET(NameConv!$F$59,M76,L76)</f>
        <v>XCOMOGS</v>
      </c>
      <c r="D76" s="515" t="str">
        <f ca="1">OFFSET(NameConv!$F$4,0,L76)&amp;OFFSET(NameConv!$AX$4,0,N76)</f>
        <v>COMCO2S</v>
      </c>
      <c r="E76" s="740" t="s">
        <v>334</v>
      </c>
      <c r="F76" s="740" t="s">
        <v>334</v>
      </c>
      <c r="G76" s="740" t="s">
        <v>334</v>
      </c>
      <c r="H76" s="740" t="s">
        <v>334</v>
      </c>
      <c r="I76" s="516">
        <f t="shared" si="2"/>
        <v>1</v>
      </c>
      <c r="J76" s="516"/>
      <c r="K76" s="516"/>
      <c r="L76" s="495">
        <f ca="1">IF(AND(O75&gt;=SUMIF(NameConv!$C$5:$C$45,RIGHT(C75,3),NameConv!$CG$5:$CG$45),M75=SUMIF(NameConv!$G$4:$M$4,MID(C75,2,3),NameConv!$G$45:$M$45)),L75+1,L75)</f>
        <v>2</v>
      </c>
      <c r="M76" s="495">
        <f ca="1">IF(L76&lt;&gt;L75,1,IF(O75&gt;=SUMIF(NameConv!$C$5:$C$45,RIGHT(C75,3),NameConv!$CG$5:$CG$45),M75+1,M75))</f>
        <v>5</v>
      </c>
      <c r="N76" s="495">
        <f ca="1">SUMIF(NameConv!$C$5:$C$45,RIGHT(C76,3),OFFSET(NameConv!$CG$5,0,O76,NameConv!$A$45,1))</f>
        <v>1</v>
      </c>
      <c r="O76" s="495">
        <f ca="1">IF(O75&gt;=SUMIF(NameConv!$C$5:$C$45,RIGHT(C75,3),NameConv!$CG$5:$CG$45),1,O75+1)</f>
        <v>1</v>
      </c>
    </row>
    <row r="77" spans="1:15">
      <c r="A77" s="422" t="str">
        <f t="shared" ca="1" si="5"/>
        <v/>
      </c>
      <c r="B77" s="515" t="str">
        <f t="shared" si="3"/>
        <v>TOP-OUT</v>
      </c>
      <c r="C77" s="518" t="str">
        <f ca="1">"X"&amp;OFFSET(NameConv!$F$4,0,L77)&amp;OFFSET(NameConv!$F$59,M77,L77)</f>
        <v>XCOMOGS</v>
      </c>
      <c r="D77" s="515" t="str">
        <f ca="1">OFFSET(NameConv!$F$4,0,L77)&amp;OFFSET(NameConv!$AX$4,0,N77)</f>
        <v>COMCH4S</v>
      </c>
      <c r="E77" s="740" t="s">
        <v>334</v>
      </c>
      <c r="F77" s="740" t="s">
        <v>334</v>
      </c>
      <c r="G77" s="740" t="s">
        <v>334</v>
      </c>
      <c r="H77" s="740" t="s">
        <v>334</v>
      </c>
      <c r="I77" s="516">
        <f t="shared" ref="I77:I103" si="6">I76</f>
        <v>1</v>
      </c>
      <c r="J77" s="516"/>
      <c r="K77" s="516"/>
      <c r="L77" s="495">
        <f ca="1">IF(AND(O76&gt;=SUMIF(NameConv!$C$5:$C$45,RIGHT(C76,3),NameConv!$CG$5:$CG$45),M76=SUMIF(NameConv!$G$4:$M$4,MID(C76,2,3),NameConv!$G$45:$M$45)),L76+1,L76)</f>
        <v>2</v>
      </c>
      <c r="M77" s="495">
        <f ca="1">IF(L77&lt;&gt;L76,1,IF(O76&gt;=SUMIF(NameConv!$C$5:$C$45,RIGHT(C76,3),NameConv!$CG$5:$CG$45),M76+1,M76))</f>
        <v>5</v>
      </c>
      <c r="N77" s="495">
        <f ca="1">SUMIF(NameConv!$C$5:$C$45,RIGHT(C77,3),OFFSET(NameConv!$CG$5,0,O77,NameConv!$A$45,1))</f>
        <v>2</v>
      </c>
      <c r="O77" s="495">
        <f ca="1">IF(O76&gt;=SUMIF(NameConv!$C$5:$C$45,RIGHT(C76,3),NameConv!$CG$5:$CG$45),1,O76+1)</f>
        <v>2</v>
      </c>
    </row>
    <row r="78" spans="1:15">
      <c r="A78" s="422" t="str">
        <f t="shared" ca="1" si="5"/>
        <v/>
      </c>
      <c r="B78" s="515" t="str">
        <f t="shared" ref="B78:B141" si="7">$B$10</f>
        <v>TOP-OUT</v>
      </c>
      <c r="C78" s="518" t="str">
        <f ca="1">"X"&amp;OFFSET(NameConv!$F$4,0,L78)&amp;OFFSET(NameConv!$F$59,M78,L78)</f>
        <v>XCOMOGS</v>
      </c>
      <c r="D78" s="515" t="str">
        <f ca="1">OFFSET(NameConv!$F$4,0,L78)&amp;OFFSET(NameConv!$AX$4,0,N78)</f>
        <v>COMN2OS</v>
      </c>
      <c r="E78" s="740" t="s">
        <v>334</v>
      </c>
      <c r="F78" s="740" t="s">
        <v>334</v>
      </c>
      <c r="G78" s="740" t="s">
        <v>334</v>
      </c>
      <c r="H78" s="740" t="s">
        <v>334</v>
      </c>
      <c r="I78" s="516">
        <f t="shared" si="6"/>
        <v>1</v>
      </c>
      <c r="J78" s="516"/>
      <c r="K78" s="516"/>
      <c r="L78" s="495">
        <f ca="1">IF(AND(O77&gt;=SUMIF(NameConv!$C$5:$C$45,RIGHT(C77,3),NameConv!$CG$5:$CG$45),M77=SUMIF(NameConv!$G$4:$M$4,MID(C77,2,3),NameConv!$G$45:$M$45)),L77+1,L77)</f>
        <v>2</v>
      </c>
      <c r="M78" s="495">
        <f ca="1">IF(L78&lt;&gt;L77,1,IF(O77&gt;=SUMIF(NameConv!$C$5:$C$45,RIGHT(C77,3),NameConv!$CG$5:$CG$45),M77+1,M77))</f>
        <v>5</v>
      </c>
      <c r="N78" s="495">
        <f ca="1">SUMIF(NameConv!$C$5:$C$45,RIGHT(C78,3),OFFSET(NameConv!$CG$5,0,O78,NameConv!$A$45,1))</f>
        <v>3</v>
      </c>
      <c r="O78" s="495">
        <f ca="1">IF(O77&gt;=SUMIF(NameConv!$C$5:$C$45,RIGHT(C77,3),NameConv!$CG$5:$CG$45),1,O77+1)</f>
        <v>3</v>
      </c>
    </row>
    <row r="79" spans="1:15">
      <c r="A79" s="422" t="str">
        <f t="shared" ca="1" si="5"/>
        <v/>
      </c>
      <c r="B79" s="515" t="str">
        <f t="shared" si="7"/>
        <v>TOP-OUT</v>
      </c>
      <c r="C79" s="518" t="str">
        <f ca="1">"X"&amp;OFFSET(NameConv!$F$4,0,L79)&amp;OFFSET(NameConv!$F$59,M79,L79)</f>
        <v>XCOMOGS</v>
      </c>
      <c r="D79" s="515" t="str">
        <f ca="1">OFFSET(NameConv!$F$4,0,L79)&amp;OFFSET(NameConv!$AX$4,0,N79)</f>
        <v>COMSOXS</v>
      </c>
      <c r="E79" s="740" t="s">
        <v>334</v>
      </c>
      <c r="F79" s="740" t="s">
        <v>334</v>
      </c>
      <c r="G79" s="740" t="s">
        <v>334</v>
      </c>
      <c r="H79" s="740" t="s">
        <v>334</v>
      </c>
      <c r="I79" s="516">
        <f t="shared" si="6"/>
        <v>1</v>
      </c>
      <c r="J79" s="516"/>
      <c r="K79" s="516"/>
      <c r="L79" s="495">
        <f ca="1">IF(AND(O78&gt;=SUMIF(NameConv!$C$5:$C$45,RIGHT(C78,3),NameConv!$CG$5:$CG$45),M78=SUMIF(NameConv!$G$4:$M$4,MID(C78,2,3),NameConv!$G$45:$M$45)),L78+1,L78)</f>
        <v>2</v>
      </c>
      <c r="M79" s="495">
        <f ca="1">IF(L79&lt;&gt;L78,1,IF(O78&gt;=SUMIF(NameConv!$C$5:$C$45,RIGHT(C78,3),NameConv!$CG$5:$CG$45),M78+1,M78))</f>
        <v>5</v>
      </c>
      <c r="N79" s="495">
        <f ca="1">SUMIF(NameConv!$C$5:$C$45,RIGHT(C79,3),OFFSET(NameConv!$CG$5,0,O79,NameConv!$A$45,1))</f>
        <v>4</v>
      </c>
      <c r="O79" s="495">
        <f ca="1">IF(O78&gt;=SUMIF(NameConv!$C$5:$C$45,RIGHT(C78,3),NameConv!$CG$5:$CG$45),1,O78+1)</f>
        <v>4</v>
      </c>
    </row>
    <row r="80" spans="1:15">
      <c r="A80" s="422" t="str">
        <f t="shared" ca="1" si="5"/>
        <v/>
      </c>
      <c r="B80" s="515" t="str">
        <f t="shared" si="7"/>
        <v>TOP-OUT</v>
      </c>
      <c r="C80" s="518" t="str">
        <f ca="1">"X"&amp;OFFSET(NameConv!$F$4,0,L80)&amp;OFFSET(NameConv!$F$59,M80,L80)</f>
        <v>XCOMOGS</v>
      </c>
      <c r="D80" s="515" t="str">
        <f ca="1">OFFSET(NameConv!$F$4,0,L80)&amp;OFFSET(NameConv!$AX$4,0,N80)</f>
        <v>COMNOXS</v>
      </c>
      <c r="E80" s="740" t="s">
        <v>334</v>
      </c>
      <c r="F80" s="740" t="s">
        <v>334</v>
      </c>
      <c r="G80" s="740" t="s">
        <v>334</v>
      </c>
      <c r="H80" s="740" t="s">
        <v>334</v>
      </c>
      <c r="I80" s="516">
        <f t="shared" si="6"/>
        <v>1</v>
      </c>
      <c r="J80" s="516"/>
      <c r="K80" s="516"/>
      <c r="L80" s="495">
        <f ca="1">IF(AND(O79&gt;=SUMIF(NameConv!$C$5:$C$45,RIGHT(C79,3),NameConv!$CG$5:$CG$45),M79=SUMIF(NameConv!$G$4:$M$4,MID(C79,2,3),NameConv!$G$45:$M$45)),L79+1,L79)</f>
        <v>2</v>
      </c>
      <c r="M80" s="495">
        <f ca="1">IF(L80&lt;&gt;L79,1,IF(O79&gt;=SUMIF(NameConv!$C$5:$C$45,RIGHT(C79,3),NameConv!$CG$5:$CG$45),M79+1,M79))</f>
        <v>5</v>
      </c>
      <c r="N80" s="495">
        <f ca="1">SUMIF(NameConv!$C$5:$C$45,RIGHT(C80,3),OFFSET(NameConv!$CG$5,0,O80,NameConv!$A$45,1))</f>
        <v>5</v>
      </c>
      <c r="O80" s="495">
        <f ca="1">IF(O79&gt;=SUMIF(NameConv!$C$5:$C$45,RIGHT(C79,3),NameConv!$CG$5:$CG$45),1,O79+1)</f>
        <v>5</v>
      </c>
    </row>
    <row r="81" spans="1:15">
      <c r="A81" s="422" t="str">
        <f t="shared" ca="1" si="5"/>
        <v/>
      </c>
      <c r="B81" s="515" t="str">
        <f t="shared" si="7"/>
        <v>TOP-OUT</v>
      </c>
      <c r="C81" s="518" t="str">
        <f ca="1">"X"&amp;OFFSET(NameConv!$F$4,0,L81)&amp;OFFSET(NameConv!$F$59,M81,L81)</f>
        <v>XCOMOGS</v>
      </c>
      <c r="D81" s="515" t="str">
        <f ca="1">OFFSET(NameConv!$F$4,0,L81)&amp;OFFSET(NameConv!$AX$4,0,N81)</f>
        <v>COMCMOX</v>
      </c>
      <c r="E81" s="740" t="s">
        <v>334</v>
      </c>
      <c r="F81" s="740" t="s">
        <v>334</v>
      </c>
      <c r="G81" s="740" t="s">
        <v>334</v>
      </c>
      <c r="H81" s="740" t="s">
        <v>334</v>
      </c>
      <c r="I81" s="516">
        <f t="shared" si="6"/>
        <v>1</v>
      </c>
      <c r="J81" s="516"/>
      <c r="K81" s="516"/>
      <c r="L81" s="495">
        <f ca="1">IF(AND(O80&gt;=SUMIF(NameConv!$C$5:$C$45,RIGHT(C80,3),NameConv!$CG$5:$CG$45),M80=SUMIF(NameConv!$G$4:$M$4,MID(C80,2,3),NameConv!$G$45:$M$45)),L80+1,L80)</f>
        <v>2</v>
      </c>
      <c r="M81" s="495">
        <f ca="1">IF(L81&lt;&gt;L80,1,IF(O80&gt;=SUMIF(NameConv!$C$5:$C$45,RIGHT(C80,3),NameConv!$CG$5:$CG$45),M80+1,M80))</f>
        <v>5</v>
      </c>
      <c r="N81" s="495">
        <f ca="1">SUMIF(NameConv!$C$5:$C$45,RIGHT(C81,3),OFFSET(NameConv!$CG$5,0,O81,NameConv!$A$45,1))</f>
        <v>6</v>
      </c>
      <c r="O81" s="495">
        <f ca="1">IF(O80&gt;=SUMIF(NameConv!$C$5:$C$45,RIGHT(C80,3),NameConv!$CG$5:$CG$45),1,O80+1)</f>
        <v>6</v>
      </c>
    </row>
    <row r="82" spans="1:15">
      <c r="A82" s="422" t="str">
        <f t="shared" ca="1" si="5"/>
        <v/>
      </c>
      <c r="B82" s="515" t="str">
        <f t="shared" si="7"/>
        <v>TOP-OUT</v>
      </c>
      <c r="C82" s="518" t="str">
        <f ca="1">"X"&amp;OFFSET(NameConv!$F$4,0,L82)&amp;OFFSET(NameConv!$F$59,M82,L82)</f>
        <v>XCOMOGS</v>
      </c>
      <c r="D82" s="515" t="str">
        <f ca="1">OFFSET(NameConv!$F$4,0,L82)&amp;OFFSET(NameConv!$AX$4,0,N82)</f>
        <v>COMNMVS</v>
      </c>
      <c r="E82" s="740" t="s">
        <v>334</v>
      </c>
      <c r="F82" s="740" t="s">
        <v>334</v>
      </c>
      <c r="G82" s="740" t="s">
        <v>334</v>
      </c>
      <c r="H82" s="740" t="s">
        <v>334</v>
      </c>
      <c r="I82" s="516">
        <f t="shared" si="6"/>
        <v>1</v>
      </c>
      <c r="J82" s="516"/>
      <c r="K82" s="516"/>
      <c r="L82" s="495">
        <f ca="1">IF(AND(O81&gt;=SUMIF(NameConv!$C$5:$C$45,RIGHT(C81,3),NameConv!$CG$5:$CG$45),M81=SUMIF(NameConv!$G$4:$M$4,MID(C81,2,3),NameConv!$G$45:$M$45)),L81+1,L81)</f>
        <v>2</v>
      </c>
      <c r="M82" s="495">
        <f ca="1">IF(L82&lt;&gt;L81,1,IF(O81&gt;=SUMIF(NameConv!$C$5:$C$45,RIGHT(C81,3),NameConv!$CG$5:$CG$45),M81+1,M81))</f>
        <v>5</v>
      </c>
      <c r="N82" s="495">
        <f ca="1">SUMIF(NameConv!$C$5:$C$45,RIGHT(C82,3),OFFSET(NameConv!$CG$5,0,O82,NameConv!$A$45,1))</f>
        <v>7</v>
      </c>
      <c r="O82" s="495">
        <f ca="1">IF(O81&gt;=SUMIF(NameConv!$C$5:$C$45,RIGHT(C81,3),NameConv!$CG$5:$CG$45),1,O81+1)</f>
        <v>7</v>
      </c>
    </row>
    <row r="83" spans="1:15">
      <c r="A83" s="422" t="str">
        <f t="shared" ca="1" si="5"/>
        <v/>
      </c>
      <c r="B83" s="515" t="str">
        <f t="shared" si="7"/>
        <v>TOP-OUT</v>
      </c>
      <c r="C83" s="518" t="str">
        <f ca="1">"X"&amp;OFFSET(NameConv!$F$4,0,L83)&amp;OFFSET(NameConv!$F$59,M83,L83)</f>
        <v>XCOMOHF</v>
      </c>
      <c r="D83" s="515" t="str">
        <f ca="1">OFFSET(NameConv!$F$4,0,L83)&amp;OFFSET(NameConv!$AX$4,0,N83)</f>
        <v>COMCO2S</v>
      </c>
      <c r="E83" s="740" t="s">
        <v>334</v>
      </c>
      <c r="F83" s="740" t="s">
        <v>334</v>
      </c>
      <c r="G83" s="740" t="s">
        <v>334</v>
      </c>
      <c r="H83" s="740" t="s">
        <v>334</v>
      </c>
      <c r="I83" s="516">
        <f t="shared" si="6"/>
        <v>1</v>
      </c>
      <c r="J83" s="516"/>
      <c r="K83" s="516"/>
      <c r="L83" s="495">
        <f ca="1">IF(AND(O82&gt;=SUMIF(NameConv!$C$5:$C$45,RIGHT(C82,3),NameConv!$CG$5:$CG$45),M82=SUMIF(NameConv!$G$4:$M$4,MID(C82,2,3),NameConv!$G$45:$M$45)),L82+1,L82)</f>
        <v>2</v>
      </c>
      <c r="M83" s="495">
        <f ca="1">IF(L83&lt;&gt;L82,1,IF(O82&gt;=SUMIF(NameConv!$C$5:$C$45,RIGHT(C82,3),NameConv!$CG$5:$CG$45),M82+1,M82))</f>
        <v>6</v>
      </c>
      <c r="N83" s="495">
        <f ca="1">SUMIF(NameConv!$C$5:$C$45,RIGHT(C83,3),OFFSET(NameConv!$CG$5,0,O83,NameConv!$A$45,1))</f>
        <v>1</v>
      </c>
      <c r="O83" s="495">
        <f ca="1">IF(O82&gt;=SUMIF(NameConv!$C$5:$C$45,RIGHT(C82,3),NameConv!$CG$5:$CG$45),1,O82+1)</f>
        <v>1</v>
      </c>
    </row>
    <row r="84" spans="1:15">
      <c r="A84" s="422" t="str">
        <f t="shared" ca="1" si="5"/>
        <v/>
      </c>
      <c r="B84" s="515" t="str">
        <f t="shared" si="7"/>
        <v>TOP-OUT</v>
      </c>
      <c r="C84" s="518" t="str">
        <f ca="1">"X"&amp;OFFSET(NameConv!$F$4,0,L84)&amp;OFFSET(NameConv!$F$59,M84,L84)</f>
        <v>XCOMOHF</v>
      </c>
      <c r="D84" s="515" t="str">
        <f ca="1">OFFSET(NameConv!$F$4,0,L84)&amp;OFFSET(NameConv!$AX$4,0,N84)</f>
        <v>COMCH4S</v>
      </c>
      <c r="E84" s="740" t="s">
        <v>334</v>
      </c>
      <c r="F84" s="740" t="s">
        <v>334</v>
      </c>
      <c r="G84" s="740" t="s">
        <v>334</v>
      </c>
      <c r="H84" s="740" t="s">
        <v>334</v>
      </c>
      <c r="I84" s="516">
        <f t="shared" si="6"/>
        <v>1</v>
      </c>
      <c r="J84" s="516"/>
      <c r="K84" s="516"/>
      <c r="L84" s="495">
        <f ca="1">IF(AND(O83&gt;=SUMIF(NameConv!$C$5:$C$45,RIGHT(C83,3),NameConv!$CG$5:$CG$45),M83=SUMIF(NameConv!$G$4:$M$4,MID(C83,2,3),NameConv!$G$45:$M$45)),L83+1,L83)</f>
        <v>2</v>
      </c>
      <c r="M84" s="495">
        <f ca="1">IF(L84&lt;&gt;L83,1,IF(O83&gt;=SUMIF(NameConv!$C$5:$C$45,RIGHT(C83,3),NameConv!$CG$5:$CG$45),M83+1,M83))</f>
        <v>6</v>
      </c>
      <c r="N84" s="495">
        <f ca="1">SUMIF(NameConv!$C$5:$C$45,RIGHT(C84,3),OFFSET(NameConv!$CG$5,0,O84,NameConv!$A$45,1))</f>
        <v>2</v>
      </c>
      <c r="O84" s="495">
        <f ca="1">IF(O83&gt;=SUMIF(NameConv!$C$5:$C$45,RIGHT(C83,3),NameConv!$CG$5:$CG$45),1,O83+1)</f>
        <v>2</v>
      </c>
    </row>
    <row r="85" spans="1:15">
      <c r="A85" s="422" t="str">
        <f t="shared" ca="1" si="5"/>
        <v/>
      </c>
      <c r="B85" s="515" t="str">
        <f t="shared" si="7"/>
        <v>TOP-OUT</v>
      </c>
      <c r="C85" s="518" t="str">
        <f ca="1">"X"&amp;OFFSET(NameConv!$F$4,0,L85)&amp;OFFSET(NameConv!$F$59,M85,L85)</f>
        <v>XCOMOHF</v>
      </c>
      <c r="D85" s="515" t="str">
        <f ca="1">OFFSET(NameConv!$F$4,0,L85)&amp;OFFSET(NameConv!$AX$4,0,N85)</f>
        <v>COMN2OS</v>
      </c>
      <c r="E85" s="740" t="s">
        <v>334</v>
      </c>
      <c r="F85" s="740" t="s">
        <v>334</v>
      </c>
      <c r="G85" s="740" t="s">
        <v>334</v>
      </c>
      <c r="H85" s="740" t="s">
        <v>334</v>
      </c>
      <c r="I85" s="516">
        <f t="shared" si="6"/>
        <v>1</v>
      </c>
      <c r="J85" s="516"/>
      <c r="K85" s="516"/>
      <c r="L85" s="495">
        <f ca="1">IF(AND(O84&gt;=SUMIF(NameConv!$C$5:$C$45,RIGHT(C84,3),NameConv!$CG$5:$CG$45),M84=SUMIF(NameConv!$G$4:$M$4,MID(C84,2,3),NameConv!$G$45:$M$45)),L84+1,L84)</f>
        <v>2</v>
      </c>
      <c r="M85" s="495">
        <f ca="1">IF(L85&lt;&gt;L84,1,IF(O84&gt;=SUMIF(NameConv!$C$5:$C$45,RIGHT(C84,3),NameConv!$CG$5:$CG$45),M84+1,M84))</f>
        <v>6</v>
      </c>
      <c r="N85" s="495">
        <f ca="1">SUMIF(NameConv!$C$5:$C$45,RIGHT(C85,3),OFFSET(NameConv!$CG$5,0,O85,NameConv!$A$45,1))</f>
        <v>3</v>
      </c>
      <c r="O85" s="495">
        <f ca="1">IF(O84&gt;=SUMIF(NameConv!$C$5:$C$45,RIGHT(C84,3),NameConv!$CG$5:$CG$45),1,O84+1)</f>
        <v>3</v>
      </c>
    </row>
    <row r="86" spans="1:15">
      <c r="A86" s="422" t="str">
        <f t="shared" ca="1" si="5"/>
        <v/>
      </c>
      <c r="B86" s="515" t="str">
        <f t="shared" si="7"/>
        <v>TOP-OUT</v>
      </c>
      <c r="C86" s="518" t="str">
        <f ca="1">"X"&amp;OFFSET(NameConv!$F$4,0,L86)&amp;OFFSET(NameConv!$F$59,M86,L86)</f>
        <v>XCOMOHF</v>
      </c>
      <c r="D86" s="515" t="str">
        <f ca="1">OFFSET(NameConv!$F$4,0,L86)&amp;OFFSET(NameConv!$AX$4,0,N86)</f>
        <v>COMSOXS</v>
      </c>
      <c r="E86" s="740" t="s">
        <v>334</v>
      </c>
      <c r="F86" s="740" t="s">
        <v>334</v>
      </c>
      <c r="G86" s="740" t="s">
        <v>334</v>
      </c>
      <c r="H86" s="740" t="s">
        <v>334</v>
      </c>
      <c r="I86" s="516">
        <f t="shared" si="6"/>
        <v>1</v>
      </c>
      <c r="J86" s="516"/>
      <c r="K86" s="516"/>
      <c r="L86" s="495">
        <f ca="1">IF(AND(O85&gt;=SUMIF(NameConv!$C$5:$C$45,RIGHT(C85,3),NameConv!$CG$5:$CG$45),M85=SUMIF(NameConv!$G$4:$M$4,MID(C85,2,3),NameConv!$G$45:$M$45)),L85+1,L85)</f>
        <v>2</v>
      </c>
      <c r="M86" s="495">
        <f ca="1">IF(L86&lt;&gt;L85,1,IF(O85&gt;=SUMIF(NameConv!$C$5:$C$45,RIGHT(C85,3),NameConv!$CG$5:$CG$45),M85+1,M85))</f>
        <v>6</v>
      </c>
      <c r="N86" s="495">
        <f ca="1">SUMIF(NameConv!$C$5:$C$45,RIGHT(C86,3),OFFSET(NameConv!$CG$5,0,O86,NameConv!$A$45,1))</f>
        <v>4</v>
      </c>
      <c r="O86" s="495">
        <f ca="1">IF(O85&gt;=SUMIF(NameConv!$C$5:$C$45,RIGHT(C85,3),NameConv!$CG$5:$CG$45),1,O85+1)</f>
        <v>4</v>
      </c>
    </row>
    <row r="87" spans="1:15">
      <c r="A87" s="422" t="str">
        <f t="shared" ca="1" si="5"/>
        <v/>
      </c>
      <c r="B87" s="515" t="str">
        <f t="shared" si="7"/>
        <v>TOP-OUT</v>
      </c>
      <c r="C87" s="518" t="str">
        <f ca="1">"X"&amp;OFFSET(NameConv!$F$4,0,L87)&amp;OFFSET(NameConv!$F$59,M87,L87)</f>
        <v>XCOMOHF</v>
      </c>
      <c r="D87" s="515" t="str">
        <f ca="1">OFFSET(NameConv!$F$4,0,L87)&amp;OFFSET(NameConv!$AX$4,0,N87)</f>
        <v>COMNOXS</v>
      </c>
      <c r="E87" s="740" t="s">
        <v>334</v>
      </c>
      <c r="F87" s="740" t="s">
        <v>334</v>
      </c>
      <c r="G87" s="740" t="s">
        <v>334</v>
      </c>
      <c r="H87" s="740" t="s">
        <v>334</v>
      </c>
      <c r="I87" s="516">
        <f t="shared" si="6"/>
        <v>1</v>
      </c>
      <c r="J87" s="516"/>
      <c r="K87" s="516"/>
      <c r="L87" s="495">
        <f ca="1">IF(AND(O86&gt;=SUMIF(NameConv!$C$5:$C$45,RIGHT(C86,3),NameConv!$CG$5:$CG$45),M86=SUMIF(NameConv!$G$4:$M$4,MID(C86,2,3),NameConv!$G$45:$M$45)),L86+1,L86)</f>
        <v>2</v>
      </c>
      <c r="M87" s="495">
        <f ca="1">IF(L87&lt;&gt;L86,1,IF(O86&gt;=SUMIF(NameConv!$C$5:$C$45,RIGHT(C86,3),NameConv!$CG$5:$CG$45),M86+1,M86))</f>
        <v>6</v>
      </c>
      <c r="N87" s="495">
        <f ca="1">SUMIF(NameConv!$C$5:$C$45,RIGHT(C87,3),OFFSET(NameConv!$CG$5,0,O87,NameConv!$A$45,1))</f>
        <v>5</v>
      </c>
      <c r="O87" s="495">
        <f ca="1">IF(O86&gt;=SUMIF(NameConv!$C$5:$C$45,RIGHT(C86,3),NameConv!$CG$5:$CG$45),1,O86+1)</f>
        <v>5</v>
      </c>
    </row>
    <row r="88" spans="1:15">
      <c r="A88" s="422" t="str">
        <f t="shared" ca="1" si="5"/>
        <v/>
      </c>
      <c r="B88" s="515" t="str">
        <f t="shared" si="7"/>
        <v>TOP-OUT</v>
      </c>
      <c r="C88" s="518" t="str">
        <f ca="1">"X"&amp;OFFSET(NameConv!$F$4,0,L88)&amp;OFFSET(NameConv!$F$59,M88,L88)</f>
        <v>XCOMOHF</v>
      </c>
      <c r="D88" s="515" t="str">
        <f ca="1">OFFSET(NameConv!$F$4,0,L88)&amp;OFFSET(NameConv!$AX$4,0,N88)</f>
        <v>COMCMOX</v>
      </c>
      <c r="E88" s="740" t="s">
        <v>334</v>
      </c>
      <c r="F88" s="740" t="s">
        <v>334</v>
      </c>
      <c r="G88" s="740" t="s">
        <v>334</v>
      </c>
      <c r="H88" s="740" t="s">
        <v>334</v>
      </c>
      <c r="I88" s="516">
        <f t="shared" si="6"/>
        <v>1</v>
      </c>
      <c r="J88" s="516"/>
      <c r="K88" s="516"/>
      <c r="L88" s="495">
        <f ca="1">IF(AND(O87&gt;=SUMIF(NameConv!$C$5:$C$45,RIGHT(C87,3),NameConv!$CG$5:$CG$45),M87=SUMIF(NameConv!$G$4:$M$4,MID(C87,2,3),NameConv!$G$45:$M$45)),L87+1,L87)</f>
        <v>2</v>
      </c>
      <c r="M88" s="495">
        <f ca="1">IF(L88&lt;&gt;L87,1,IF(O87&gt;=SUMIF(NameConv!$C$5:$C$45,RIGHT(C87,3),NameConv!$CG$5:$CG$45),M87+1,M87))</f>
        <v>6</v>
      </c>
      <c r="N88" s="495">
        <f ca="1">SUMIF(NameConv!$C$5:$C$45,RIGHT(C88,3),OFFSET(NameConv!$CG$5,0,O88,NameConv!$A$45,1))</f>
        <v>6</v>
      </c>
      <c r="O88" s="495">
        <f ca="1">IF(O87&gt;=SUMIF(NameConv!$C$5:$C$45,RIGHT(C87,3),NameConv!$CG$5:$CG$45),1,O87+1)</f>
        <v>6</v>
      </c>
    </row>
    <row r="89" spans="1:15">
      <c r="A89" s="422" t="str">
        <f t="shared" ca="1" si="5"/>
        <v/>
      </c>
      <c r="B89" s="515" t="str">
        <f t="shared" si="7"/>
        <v>TOP-OUT</v>
      </c>
      <c r="C89" s="518" t="str">
        <f ca="1">"X"&amp;OFFSET(NameConv!$F$4,0,L89)&amp;OFFSET(NameConv!$F$59,M89,L89)</f>
        <v>XCOMOHF</v>
      </c>
      <c r="D89" s="515" t="str">
        <f ca="1">OFFSET(NameConv!$F$4,0,L89)&amp;OFFSET(NameConv!$AX$4,0,N89)</f>
        <v>COMNMVS</v>
      </c>
      <c r="E89" s="740" t="s">
        <v>334</v>
      </c>
      <c r="F89" s="740" t="s">
        <v>334</v>
      </c>
      <c r="G89" s="740" t="s">
        <v>334</v>
      </c>
      <c r="H89" s="740" t="s">
        <v>334</v>
      </c>
      <c r="I89" s="516">
        <f t="shared" si="6"/>
        <v>1</v>
      </c>
      <c r="J89" s="516"/>
      <c r="K89" s="516"/>
      <c r="L89" s="495">
        <f ca="1">IF(AND(O88&gt;=SUMIF(NameConv!$C$5:$C$45,RIGHT(C88,3),NameConv!$CG$5:$CG$45),M88=SUMIF(NameConv!$G$4:$M$4,MID(C88,2,3),NameConv!$G$45:$M$45)),L88+1,L88)</f>
        <v>2</v>
      </c>
      <c r="M89" s="495">
        <f ca="1">IF(L89&lt;&gt;L88,1,IF(O88&gt;=SUMIF(NameConv!$C$5:$C$45,RIGHT(C88,3),NameConv!$CG$5:$CG$45),M88+1,M88))</f>
        <v>6</v>
      </c>
      <c r="N89" s="495">
        <f ca="1">SUMIF(NameConv!$C$5:$C$45,RIGHT(C89,3),OFFSET(NameConv!$CG$5,0,O89,NameConv!$A$45,1))</f>
        <v>7</v>
      </c>
      <c r="O89" s="495">
        <f ca="1">IF(O88&gt;=SUMIF(NameConv!$C$5:$C$45,RIGHT(C88,3),NameConv!$CG$5:$CG$45),1,O88+1)</f>
        <v>7</v>
      </c>
    </row>
    <row r="90" spans="1:15">
      <c r="A90" s="422" t="str">
        <f t="shared" ca="1" si="5"/>
        <v/>
      </c>
      <c r="B90" s="515" t="str">
        <f t="shared" si="7"/>
        <v>TOP-OUT</v>
      </c>
      <c r="C90" s="518" t="str">
        <f ca="1">"X"&amp;OFFSET(NameConv!$F$4,0,L90)&amp;OFFSET(NameConv!$F$59,M90,L90)</f>
        <v>XCOMOKE</v>
      </c>
      <c r="D90" s="515" t="str">
        <f ca="1">OFFSET(NameConv!$F$4,0,L90)&amp;OFFSET(NameConv!$AX$4,0,N90)</f>
        <v>COMCO2S</v>
      </c>
      <c r="E90" s="740" t="s">
        <v>334</v>
      </c>
      <c r="F90" s="740" t="s">
        <v>334</v>
      </c>
      <c r="G90" s="740" t="s">
        <v>334</v>
      </c>
      <c r="H90" s="740" t="s">
        <v>334</v>
      </c>
      <c r="I90" s="516">
        <f t="shared" si="6"/>
        <v>1</v>
      </c>
      <c r="J90" s="516"/>
      <c r="K90" s="516"/>
      <c r="L90" s="495">
        <f ca="1">IF(AND(O89&gt;=SUMIF(NameConv!$C$5:$C$45,RIGHT(C89,3),NameConv!$CG$5:$CG$45),M89=SUMIF(NameConv!$G$4:$M$4,MID(C89,2,3),NameConv!$G$45:$M$45)),L89+1,L89)</f>
        <v>2</v>
      </c>
      <c r="M90" s="495">
        <f ca="1">IF(L90&lt;&gt;L89,1,IF(O89&gt;=SUMIF(NameConv!$C$5:$C$45,RIGHT(C89,3),NameConv!$CG$5:$CG$45),M89+1,M89))</f>
        <v>7</v>
      </c>
      <c r="N90" s="495">
        <f ca="1">SUMIF(NameConv!$C$5:$C$45,RIGHT(C90,3),OFFSET(NameConv!$CG$5,0,O90,NameConv!$A$45,1))</f>
        <v>1</v>
      </c>
      <c r="O90" s="495">
        <f ca="1">IF(O89&gt;=SUMIF(NameConv!$C$5:$C$45,RIGHT(C89,3),NameConv!$CG$5:$CG$45),1,O89+1)</f>
        <v>1</v>
      </c>
    </row>
    <row r="91" spans="1:15">
      <c r="A91" s="422" t="str">
        <f t="shared" ca="1" si="5"/>
        <v/>
      </c>
      <c r="B91" s="515" t="str">
        <f t="shared" si="7"/>
        <v>TOP-OUT</v>
      </c>
      <c r="C91" s="518" t="str">
        <f ca="1">"X"&amp;OFFSET(NameConv!$F$4,0,L91)&amp;OFFSET(NameConv!$F$59,M91,L91)</f>
        <v>XCOMOKE</v>
      </c>
      <c r="D91" s="515" t="str">
        <f ca="1">OFFSET(NameConv!$F$4,0,L91)&amp;OFFSET(NameConv!$AX$4,0,N91)</f>
        <v>COMCH4S</v>
      </c>
      <c r="E91" s="740" t="s">
        <v>334</v>
      </c>
      <c r="F91" s="740" t="s">
        <v>334</v>
      </c>
      <c r="G91" s="740" t="s">
        <v>334</v>
      </c>
      <c r="H91" s="740" t="s">
        <v>334</v>
      </c>
      <c r="I91" s="516">
        <f t="shared" si="6"/>
        <v>1</v>
      </c>
      <c r="J91" s="516"/>
      <c r="K91" s="516"/>
      <c r="L91" s="495">
        <f ca="1">IF(AND(O90&gt;=SUMIF(NameConv!$C$5:$C$45,RIGHT(C90,3),NameConv!$CG$5:$CG$45),M90=SUMIF(NameConv!$G$4:$M$4,MID(C90,2,3),NameConv!$G$45:$M$45)),L90+1,L90)</f>
        <v>2</v>
      </c>
      <c r="M91" s="495">
        <f ca="1">IF(L91&lt;&gt;L90,1,IF(O90&gt;=SUMIF(NameConv!$C$5:$C$45,RIGHT(C90,3),NameConv!$CG$5:$CG$45),M90+1,M90))</f>
        <v>7</v>
      </c>
      <c r="N91" s="495">
        <f ca="1">SUMIF(NameConv!$C$5:$C$45,RIGHT(C91,3),OFFSET(NameConv!$CG$5,0,O91,NameConv!$A$45,1))</f>
        <v>2</v>
      </c>
      <c r="O91" s="495">
        <f ca="1">IF(O90&gt;=SUMIF(NameConv!$C$5:$C$45,RIGHT(C90,3),NameConv!$CG$5:$CG$45),1,O90+1)</f>
        <v>2</v>
      </c>
    </row>
    <row r="92" spans="1:15">
      <c r="A92" s="422" t="str">
        <f t="shared" ca="1" si="5"/>
        <v/>
      </c>
      <c r="B92" s="515" t="str">
        <f t="shared" si="7"/>
        <v>TOP-OUT</v>
      </c>
      <c r="C92" s="518" t="str">
        <f ca="1">"X"&amp;OFFSET(NameConv!$F$4,0,L92)&amp;OFFSET(NameConv!$F$59,M92,L92)</f>
        <v>XCOMOKE</v>
      </c>
      <c r="D92" s="515" t="str">
        <f ca="1">OFFSET(NameConv!$F$4,0,L92)&amp;OFFSET(NameConv!$AX$4,0,N92)</f>
        <v>COMN2OS</v>
      </c>
      <c r="E92" s="740" t="s">
        <v>334</v>
      </c>
      <c r="F92" s="740" t="s">
        <v>334</v>
      </c>
      <c r="G92" s="740" t="s">
        <v>334</v>
      </c>
      <c r="H92" s="740" t="s">
        <v>334</v>
      </c>
      <c r="I92" s="516">
        <f t="shared" si="6"/>
        <v>1</v>
      </c>
      <c r="J92" s="516"/>
      <c r="K92" s="516"/>
      <c r="L92" s="495">
        <f ca="1">IF(AND(O91&gt;=SUMIF(NameConv!$C$5:$C$45,RIGHT(C91,3),NameConv!$CG$5:$CG$45),M91=SUMIF(NameConv!$G$4:$M$4,MID(C91,2,3),NameConv!$G$45:$M$45)),L91+1,L91)</f>
        <v>2</v>
      </c>
      <c r="M92" s="495">
        <f ca="1">IF(L92&lt;&gt;L91,1,IF(O91&gt;=SUMIF(NameConv!$C$5:$C$45,RIGHT(C91,3),NameConv!$CG$5:$CG$45),M91+1,M91))</f>
        <v>7</v>
      </c>
      <c r="N92" s="495">
        <f ca="1">SUMIF(NameConv!$C$5:$C$45,RIGHT(C92,3),OFFSET(NameConv!$CG$5,0,O92,NameConv!$A$45,1))</f>
        <v>3</v>
      </c>
      <c r="O92" s="495">
        <f ca="1">IF(O91&gt;=SUMIF(NameConv!$C$5:$C$45,RIGHT(C91,3),NameConv!$CG$5:$CG$45),1,O91+1)</f>
        <v>3</v>
      </c>
    </row>
    <row r="93" spans="1:15">
      <c r="A93" s="422" t="str">
        <f t="shared" ca="1" si="5"/>
        <v/>
      </c>
      <c r="B93" s="515" t="str">
        <f t="shared" si="7"/>
        <v>TOP-OUT</v>
      </c>
      <c r="C93" s="518" t="str">
        <f ca="1">"X"&amp;OFFSET(NameConv!$F$4,0,L93)&amp;OFFSET(NameConv!$F$59,M93,L93)</f>
        <v>XCOMOKE</v>
      </c>
      <c r="D93" s="515" t="str">
        <f ca="1">OFFSET(NameConv!$F$4,0,L93)&amp;OFFSET(NameConv!$AX$4,0,N93)</f>
        <v>COMSOXS</v>
      </c>
      <c r="E93" s="740" t="s">
        <v>334</v>
      </c>
      <c r="F93" s="740" t="s">
        <v>334</v>
      </c>
      <c r="G93" s="740" t="s">
        <v>334</v>
      </c>
      <c r="H93" s="740" t="s">
        <v>334</v>
      </c>
      <c r="I93" s="516">
        <f t="shared" si="6"/>
        <v>1</v>
      </c>
      <c r="J93" s="516"/>
      <c r="K93" s="516"/>
      <c r="L93" s="495">
        <f ca="1">IF(AND(O92&gt;=SUMIF(NameConv!$C$5:$C$45,RIGHT(C92,3),NameConv!$CG$5:$CG$45),M92=SUMIF(NameConv!$G$4:$M$4,MID(C92,2,3),NameConv!$G$45:$M$45)),L92+1,L92)</f>
        <v>2</v>
      </c>
      <c r="M93" s="495">
        <f ca="1">IF(L93&lt;&gt;L92,1,IF(O92&gt;=SUMIF(NameConv!$C$5:$C$45,RIGHT(C92,3),NameConv!$CG$5:$CG$45),M92+1,M92))</f>
        <v>7</v>
      </c>
      <c r="N93" s="495">
        <f ca="1">SUMIF(NameConv!$C$5:$C$45,RIGHT(C93,3),OFFSET(NameConv!$CG$5,0,O93,NameConv!$A$45,1))</f>
        <v>4</v>
      </c>
      <c r="O93" s="495">
        <f ca="1">IF(O92&gt;=SUMIF(NameConv!$C$5:$C$45,RIGHT(C92,3),NameConv!$CG$5:$CG$45),1,O92+1)</f>
        <v>4</v>
      </c>
    </row>
    <row r="94" spans="1:15">
      <c r="A94" s="422" t="str">
        <f t="shared" ca="1" si="5"/>
        <v/>
      </c>
      <c r="B94" s="515" t="str">
        <f t="shared" si="7"/>
        <v>TOP-OUT</v>
      </c>
      <c r="C94" s="518" t="str">
        <f ca="1">"X"&amp;OFFSET(NameConv!$F$4,0,L94)&amp;OFFSET(NameConv!$F$59,M94,L94)</f>
        <v>XCOMOKE</v>
      </c>
      <c r="D94" s="515" t="str">
        <f ca="1">OFFSET(NameConv!$F$4,0,L94)&amp;OFFSET(NameConv!$AX$4,0,N94)</f>
        <v>COMNOXS</v>
      </c>
      <c r="E94" s="740" t="s">
        <v>334</v>
      </c>
      <c r="F94" s="740" t="s">
        <v>334</v>
      </c>
      <c r="G94" s="740" t="s">
        <v>334</v>
      </c>
      <c r="H94" s="740" t="s">
        <v>334</v>
      </c>
      <c r="I94" s="516">
        <f t="shared" si="6"/>
        <v>1</v>
      </c>
      <c r="J94" s="516"/>
      <c r="K94" s="516"/>
      <c r="L94" s="495">
        <f ca="1">IF(AND(O93&gt;=SUMIF(NameConv!$C$5:$C$45,RIGHT(C93,3),NameConv!$CG$5:$CG$45),M93=SUMIF(NameConv!$G$4:$M$4,MID(C93,2,3),NameConv!$G$45:$M$45)),L93+1,L93)</f>
        <v>2</v>
      </c>
      <c r="M94" s="495">
        <f ca="1">IF(L94&lt;&gt;L93,1,IF(O93&gt;=SUMIF(NameConv!$C$5:$C$45,RIGHT(C93,3),NameConv!$CG$5:$CG$45),M93+1,M93))</f>
        <v>7</v>
      </c>
      <c r="N94" s="495">
        <f ca="1">SUMIF(NameConv!$C$5:$C$45,RIGHT(C94,3),OFFSET(NameConv!$CG$5,0,O94,NameConv!$A$45,1))</f>
        <v>5</v>
      </c>
      <c r="O94" s="495">
        <f ca="1">IF(O93&gt;=SUMIF(NameConv!$C$5:$C$45,RIGHT(C93,3),NameConv!$CG$5:$CG$45),1,O93+1)</f>
        <v>5</v>
      </c>
    </row>
    <row r="95" spans="1:15">
      <c r="A95" s="422" t="str">
        <f t="shared" ca="1" si="5"/>
        <v/>
      </c>
      <c r="B95" s="515" t="str">
        <f t="shared" si="7"/>
        <v>TOP-OUT</v>
      </c>
      <c r="C95" s="518" t="str">
        <f ca="1">"X"&amp;OFFSET(NameConv!$F$4,0,L95)&amp;OFFSET(NameConv!$F$59,M95,L95)</f>
        <v>XCOMOKE</v>
      </c>
      <c r="D95" s="515" t="str">
        <f ca="1">OFFSET(NameConv!$F$4,0,L95)&amp;OFFSET(NameConv!$AX$4,0,N95)</f>
        <v>COMCMOX</v>
      </c>
      <c r="E95" s="740" t="s">
        <v>334</v>
      </c>
      <c r="F95" s="740" t="s">
        <v>334</v>
      </c>
      <c r="G95" s="740" t="s">
        <v>334</v>
      </c>
      <c r="H95" s="740" t="s">
        <v>334</v>
      </c>
      <c r="I95" s="516">
        <f t="shared" si="6"/>
        <v>1</v>
      </c>
      <c r="J95" s="516"/>
      <c r="K95" s="516"/>
      <c r="L95" s="495">
        <f ca="1">IF(AND(O94&gt;=SUMIF(NameConv!$C$5:$C$45,RIGHT(C94,3),NameConv!$CG$5:$CG$45),M94=SUMIF(NameConv!$G$4:$M$4,MID(C94,2,3),NameConv!$G$45:$M$45)),L94+1,L94)</f>
        <v>2</v>
      </c>
      <c r="M95" s="495">
        <f ca="1">IF(L95&lt;&gt;L94,1,IF(O94&gt;=SUMIF(NameConv!$C$5:$C$45,RIGHT(C94,3),NameConv!$CG$5:$CG$45),M94+1,M94))</f>
        <v>7</v>
      </c>
      <c r="N95" s="495">
        <f ca="1">SUMIF(NameConv!$C$5:$C$45,RIGHT(C95,3),OFFSET(NameConv!$CG$5,0,O95,NameConv!$A$45,1))</f>
        <v>6</v>
      </c>
      <c r="O95" s="495">
        <f ca="1">IF(O94&gt;=SUMIF(NameConv!$C$5:$C$45,RIGHT(C94,3),NameConv!$CG$5:$CG$45),1,O94+1)</f>
        <v>6</v>
      </c>
    </row>
    <row r="96" spans="1:15">
      <c r="A96" s="422" t="str">
        <f t="shared" ca="1" si="5"/>
        <v/>
      </c>
      <c r="B96" s="515" t="str">
        <f t="shared" si="7"/>
        <v>TOP-OUT</v>
      </c>
      <c r="C96" s="518" t="str">
        <f ca="1">"X"&amp;OFFSET(NameConv!$F$4,0,L96)&amp;OFFSET(NameConv!$F$59,M96,L96)</f>
        <v>XCOMOKE</v>
      </c>
      <c r="D96" s="515" t="str">
        <f ca="1">OFFSET(NameConv!$F$4,0,L96)&amp;OFFSET(NameConv!$AX$4,0,N96)</f>
        <v>COMNMVS</v>
      </c>
      <c r="E96" s="740" t="s">
        <v>334</v>
      </c>
      <c r="F96" s="740" t="s">
        <v>334</v>
      </c>
      <c r="G96" s="740" t="s">
        <v>334</v>
      </c>
      <c r="H96" s="740" t="s">
        <v>334</v>
      </c>
      <c r="I96" s="516">
        <f t="shared" si="6"/>
        <v>1</v>
      </c>
      <c r="J96" s="516"/>
      <c r="K96" s="516"/>
      <c r="L96" s="495">
        <f ca="1">IF(AND(O95&gt;=SUMIF(NameConv!$C$5:$C$45,RIGHT(C95,3),NameConv!$CG$5:$CG$45),M95=SUMIF(NameConv!$G$4:$M$4,MID(C95,2,3),NameConv!$G$45:$M$45)),L95+1,L95)</f>
        <v>2</v>
      </c>
      <c r="M96" s="495">
        <f ca="1">IF(L96&lt;&gt;L95,1,IF(O95&gt;=SUMIF(NameConv!$C$5:$C$45,RIGHT(C95,3),NameConv!$CG$5:$CG$45),M95+1,M95))</f>
        <v>7</v>
      </c>
      <c r="N96" s="495">
        <f ca="1">SUMIF(NameConv!$C$5:$C$45,RIGHT(C96,3),OFFSET(NameConv!$CG$5,0,O96,NameConv!$A$45,1))</f>
        <v>7</v>
      </c>
      <c r="O96" s="495">
        <f ca="1">IF(O95&gt;=SUMIF(NameConv!$C$5:$C$45,RIGHT(C95,3),NameConv!$CG$5:$CG$45),1,O95+1)</f>
        <v>7</v>
      </c>
    </row>
    <row r="97" spans="1:15">
      <c r="A97" s="422" t="str">
        <f t="shared" ca="1" si="5"/>
        <v/>
      </c>
      <c r="B97" s="515" t="str">
        <f t="shared" si="7"/>
        <v>TOP-OUT</v>
      </c>
      <c r="C97" s="518" t="str">
        <f ca="1">"X"&amp;OFFSET(NameConv!$F$4,0,L97)&amp;OFFSET(NameConv!$F$59,M97,L97)</f>
        <v>XCOMOLP</v>
      </c>
      <c r="D97" s="515" t="str">
        <f ca="1">OFFSET(NameConv!$F$4,0,L97)&amp;OFFSET(NameConv!$AX$4,0,N97)</f>
        <v>COMCO2S</v>
      </c>
      <c r="E97" s="740" t="s">
        <v>334</v>
      </c>
      <c r="F97" s="740" t="s">
        <v>334</v>
      </c>
      <c r="G97" s="740" t="s">
        <v>334</v>
      </c>
      <c r="H97" s="740" t="s">
        <v>334</v>
      </c>
      <c r="I97" s="516">
        <f t="shared" si="6"/>
        <v>1</v>
      </c>
      <c r="J97" s="516"/>
      <c r="K97" s="516"/>
      <c r="L97" s="495">
        <f ca="1">IF(AND(O96&gt;=SUMIF(NameConv!$C$5:$C$45,RIGHT(C96,3),NameConv!$CG$5:$CG$45),M96=SUMIF(NameConv!$G$4:$M$4,MID(C96,2,3),NameConv!$G$45:$M$45)),L96+1,L96)</f>
        <v>2</v>
      </c>
      <c r="M97" s="495">
        <f ca="1">IF(L97&lt;&gt;L96,1,IF(O96&gt;=SUMIF(NameConv!$C$5:$C$45,RIGHT(C96,3),NameConv!$CG$5:$CG$45),M96+1,M96))</f>
        <v>8</v>
      </c>
      <c r="N97" s="495">
        <f ca="1">SUMIF(NameConv!$C$5:$C$45,RIGHT(C97,3),OFFSET(NameConv!$CG$5,0,O97,NameConv!$A$45,1))</f>
        <v>1</v>
      </c>
      <c r="O97" s="495">
        <f ca="1">IF(O96&gt;=SUMIF(NameConv!$C$5:$C$45,RIGHT(C96,3),NameConv!$CG$5:$CG$45),1,O96+1)</f>
        <v>1</v>
      </c>
    </row>
    <row r="98" spans="1:15">
      <c r="A98" s="422" t="str">
        <f t="shared" ca="1" si="5"/>
        <v/>
      </c>
      <c r="B98" s="515" t="str">
        <f t="shared" si="7"/>
        <v>TOP-OUT</v>
      </c>
      <c r="C98" s="518" t="str">
        <f ca="1">"X"&amp;OFFSET(NameConv!$F$4,0,L98)&amp;OFFSET(NameConv!$F$59,M98,L98)</f>
        <v>XCOMOLP</v>
      </c>
      <c r="D98" s="515" t="str">
        <f ca="1">OFFSET(NameConv!$F$4,0,L98)&amp;OFFSET(NameConv!$AX$4,0,N98)</f>
        <v>COMCH4S</v>
      </c>
      <c r="E98" s="740" t="s">
        <v>334</v>
      </c>
      <c r="F98" s="740" t="s">
        <v>334</v>
      </c>
      <c r="G98" s="740" t="s">
        <v>334</v>
      </c>
      <c r="H98" s="740" t="s">
        <v>334</v>
      </c>
      <c r="I98" s="516">
        <f t="shared" si="6"/>
        <v>1</v>
      </c>
      <c r="J98" s="516"/>
      <c r="K98" s="516"/>
      <c r="L98" s="495">
        <f ca="1">IF(AND(O97&gt;=SUMIF(NameConv!$C$5:$C$45,RIGHT(C97,3),NameConv!$CG$5:$CG$45),M97=SUMIF(NameConv!$G$4:$M$4,MID(C97,2,3),NameConv!$G$45:$M$45)),L97+1,L97)</f>
        <v>2</v>
      </c>
      <c r="M98" s="495">
        <f ca="1">IF(L98&lt;&gt;L97,1,IF(O97&gt;=SUMIF(NameConv!$C$5:$C$45,RIGHT(C97,3),NameConv!$CG$5:$CG$45),M97+1,M97))</f>
        <v>8</v>
      </c>
      <c r="N98" s="495">
        <f ca="1">SUMIF(NameConv!$C$5:$C$45,RIGHT(C98,3),OFFSET(NameConv!$CG$5,0,O98,NameConv!$A$45,1))</f>
        <v>2</v>
      </c>
      <c r="O98" s="495">
        <f ca="1">IF(O97&gt;=SUMIF(NameConv!$C$5:$C$45,RIGHT(C97,3),NameConv!$CG$5:$CG$45),1,O97+1)</f>
        <v>2</v>
      </c>
    </row>
    <row r="99" spans="1:15">
      <c r="A99" s="422" t="str">
        <f t="shared" ca="1" si="5"/>
        <v/>
      </c>
      <c r="B99" s="515" t="str">
        <f t="shared" si="7"/>
        <v>TOP-OUT</v>
      </c>
      <c r="C99" s="518" t="str">
        <f ca="1">"X"&amp;OFFSET(NameConv!$F$4,0,L99)&amp;OFFSET(NameConv!$F$59,M99,L99)</f>
        <v>XCOMOLP</v>
      </c>
      <c r="D99" s="515" t="str">
        <f ca="1">OFFSET(NameConv!$F$4,0,L99)&amp;OFFSET(NameConv!$AX$4,0,N99)</f>
        <v>COMN2OS</v>
      </c>
      <c r="E99" s="740" t="s">
        <v>334</v>
      </c>
      <c r="F99" s="740" t="s">
        <v>334</v>
      </c>
      <c r="G99" s="740" t="s">
        <v>334</v>
      </c>
      <c r="H99" s="740" t="s">
        <v>334</v>
      </c>
      <c r="I99" s="516">
        <f t="shared" si="6"/>
        <v>1</v>
      </c>
      <c r="J99" s="516"/>
      <c r="K99" s="516"/>
      <c r="L99" s="495">
        <f ca="1">IF(AND(O98&gt;=SUMIF(NameConv!$C$5:$C$45,RIGHT(C98,3),NameConv!$CG$5:$CG$45),M98=SUMIF(NameConv!$G$4:$M$4,MID(C98,2,3),NameConv!$G$45:$M$45)),L98+1,L98)</f>
        <v>2</v>
      </c>
      <c r="M99" s="495">
        <f ca="1">IF(L99&lt;&gt;L98,1,IF(O98&gt;=SUMIF(NameConv!$C$5:$C$45,RIGHT(C98,3),NameConv!$CG$5:$CG$45),M98+1,M98))</f>
        <v>8</v>
      </c>
      <c r="N99" s="495">
        <f ca="1">SUMIF(NameConv!$C$5:$C$45,RIGHT(C99,3),OFFSET(NameConv!$CG$5,0,O99,NameConv!$A$45,1))</f>
        <v>3</v>
      </c>
      <c r="O99" s="495">
        <f ca="1">IF(O98&gt;=SUMIF(NameConv!$C$5:$C$45,RIGHT(C98,3),NameConv!$CG$5:$CG$45),1,O98+1)</f>
        <v>3</v>
      </c>
    </row>
    <row r="100" spans="1:15">
      <c r="A100" s="422" t="str">
        <f t="shared" ca="1" si="5"/>
        <v/>
      </c>
      <c r="B100" s="515" t="str">
        <f t="shared" si="7"/>
        <v>TOP-OUT</v>
      </c>
      <c r="C100" s="518" t="str">
        <f ca="1">"X"&amp;OFFSET(NameConv!$F$4,0,L100)&amp;OFFSET(NameConv!$F$59,M100,L100)</f>
        <v>XCOMOLP</v>
      </c>
      <c r="D100" s="515" t="str">
        <f ca="1">OFFSET(NameConv!$F$4,0,L100)&amp;OFFSET(NameConv!$AX$4,0,N100)</f>
        <v>COMSOXS</v>
      </c>
      <c r="E100" s="740" t="s">
        <v>334</v>
      </c>
      <c r="F100" s="740" t="s">
        <v>334</v>
      </c>
      <c r="G100" s="740" t="s">
        <v>334</v>
      </c>
      <c r="H100" s="740" t="s">
        <v>334</v>
      </c>
      <c r="I100" s="516">
        <f t="shared" si="6"/>
        <v>1</v>
      </c>
      <c r="J100" s="516"/>
      <c r="K100" s="516"/>
      <c r="L100" s="495">
        <f ca="1">IF(AND(O99&gt;=SUMIF(NameConv!$C$5:$C$45,RIGHT(C99,3),NameConv!$CG$5:$CG$45),M99=SUMIF(NameConv!$G$4:$M$4,MID(C99,2,3),NameConv!$G$45:$M$45)),L99+1,L99)</f>
        <v>2</v>
      </c>
      <c r="M100" s="495">
        <f ca="1">IF(L100&lt;&gt;L99,1,IF(O99&gt;=SUMIF(NameConv!$C$5:$C$45,RIGHT(C99,3),NameConv!$CG$5:$CG$45),M99+1,M99))</f>
        <v>8</v>
      </c>
      <c r="N100" s="495">
        <f ca="1">SUMIF(NameConv!$C$5:$C$45,RIGHT(C100,3),OFFSET(NameConv!$CG$5,0,O100,NameConv!$A$45,1))</f>
        <v>4</v>
      </c>
      <c r="O100" s="495">
        <f ca="1">IF(O99&gt;=SUMIF(NameConv!$C$5:$C$45,RIGHT(C99,3),NameConv!$CG$5:$CG$45),1,O99+1)</f>
        <v>4</v>
      </c>
    </row>
    <row r="101" spans="1:15">
      <c r="A101" s="422" t="str">
        <f t="shared" ca="1" si="5"/>
        <v/>
      </c>
      <c r="B101" s="515" t="str">
        <f t="shared" si="7"/>
        <v>TOP-OUT</v>
      </c>
      <c r="C101" s="518" t="str">
        <f ca="1">"X"&amp;OFFSET(NameConv!$F$4,0,L101)&amp;OFFSET(NameConv!$F$59,M101,L101)</f>
        <v>XCOMOLP</v>
      </c>
      <c r="D101" s="515" t="str">
        <f ca="1">OFFSET(NameConv!$F$4,0,L101)&amp;OFFSET(NameConv!$AX$4,0,N101)</f>
        <v>COMNOXS</v>
      </c>
      <c r="E101" s="740" t="s">
        <v>334</v>
      </c>
      <c r="F101" s="740" t="s">
        <v>334</v>
      </c>
      <c r="G101" s="740" t="s">
        <v>334</v>
      </c>
      <c r="H101" s="740" t="s">
        <v>334</v>
      </c>
      <c r="I101" s="516">
        <f t="shared" si="6"/>
        <v>1</v>
      </c>
      <c r="J101" s="516"/>
      <c r="K101" s="516"/>
      <c r="L101" s="495">
        <f ca="1">IF(AND(O100&gt;=SUMIF(NameConv!$C$5:$C$45,RIGHT(C100,3),NameConv!$CG$5:$CG$45),M100=SUMIF(NameConv!$G$4:$M$4,MID(C100,2,3),NameConv!$G$45:$M$45)),L100+1,L100)</f>
        <v>2</v>
      </c>
      <c r="M101" s="495">
        <f ca="1">IF(L101&lt;&gt;L100,1,IF(O100&gt;=SUMIF(NameConv!$C$5:$C$45,RIGHT(C100,3),NameConv!$CG$5:$CG$45),M100+1,M100))</f>
        <v>8</v>
      </c>
      <c r="N101" s="495">
        <f ca="1">SUMIF(NameConv!$C$5:$C$45,RIGHT(C101,3),OFFSET(NameConv!$CG$5,0,O101,NameConv!$A$45,1))</f>
        <v>5</v>
      </c>
      <c r="O101" s="495">
        <f ca="1">IF(O100&gt;=SUMIF(NameConv!$C$5:$C$45,RIGHT(C100,3),NameConv!$CG$5:$CG$45),1,O100+1)</f>
        <v>5</v>
      </c>
    </row>
    <row r="102" spans="1:15">
      <c r="A102" s="422" t="str">
        <f t="shared" ca="1" si="5"/>
        <v/>
      </c>
      <c r="B102" s="515" t="str">
        <f t="shared" si="7"/>
        <v>TOP-OUT</v>
      </c>
      <c r="C102" s="518" t="str">
        <f ca="1">"X"&amp;OFFSET(NameConv!$F$4,0,L102)&amp;OFFSET(NameConv!$F$59,M102,L102)</f>
        <v>XCOMOLP</v>
      </c>
      <c r="D102" s="515" t="str">
        <f ca="1">OFFSET(NameConv!$F$4,0,L102)&amp;OFFSET(NameConv!$AX$4,0,N102)</f>
        <v>COMCMOX</v>
      </c>
      <c r="E102" s="740" t="s">
        <v>334</v>
      </c>
      <c r="F102" s="740" t="s">
        <v>334</v>
      </c>
      <c r="G102" s="740" t="s">
        <v>334</v>
      </c>
      <c r="H102" s="740" t="s">
        <v>334</v>
      </c>
      <c r="I102" s="516">
        <f t="shared" si="6"/>
        <v>1</v>
      </c>
      <c r="J102" s="516"/>
      <c r="K102" s="516"/>
      <c r="L102" s="495">
        <f ca="1">IF(AND(O101&gt;=SUMIF(NameConv!$C$5:$C$45,RIGHT(C101,3),NameConv!$CG$5:$CG$45),M101=SUMIF(NameConv!$G$4:$M$4,MID(C101,2,3),NameConv!$G$45:$M$45)),L101+1,L101)</f>
        <v>2</v>
      </c>
      <c r="M102" s="495">
        <f ca="1">IF(L102&lt;&gt;L101,1,IF(O101&gt;=SUMIF(NameConv!$C$5:$C$45,RIGHT(C101,3),NameConv!$CG$5:$CG$45),M101+1,M101))</f>
        <v>8</v>
      </c>
      <c r="N102" s="495">
        <f ca="1">SUMIF(NameConv!$C$5:$C$45,RIGHT(C102,3),OFFSET(NameConv!$CG$5,0,O102,NameConv!$A$45,1))</f>
        <v>6</v>
      </c>
      <c r="O102" s="495">
        <f ca="1">IF(O101&gt;=SUMIF(NameConv!$C$5:$C$45,RIGHT(C101,3),NameConv!$CG$5:$CG$45),1,O101+1)</f>
        <v>6</v>
      </c>
    </row>
    <row r="103" spans="1:15">
      <c r="A103" s="422" t="str">
        <f t="shared" ca="1" si="5"/>
        <v/>
      </c>
      <c r="B103" s="515" t="str">
        <f t="shared" si="7"/>
        <v>TOP-OUT</v>
      </c>
      <c r="C103" s="518" t="str">
        <f ca="1">"X"&amp;OFFSET(NameConv!$F$4,0,L103)&amp;OFFSET(NameConv!$F$59,M103,L103)</f>
        <v>XCOMOLP</v>
      </c>
      <c r="D103" s="515" t="str">
        <f ca="1">OFFSET(NameConv!$F$4,0,L103)&amp;OFFSET(NameConv!$AX$4,0,N103)</f>
        <v>COMNMVS</v>
      </c>
      <c r="E103" s="740" t="s">
        <v>334</v>
      </c>
      <c r="F103" s="740" t="s">
        <v>334</v>
      </c>
      <c r="G103" s="740" t="s">
        <v>334</v>
      </c>
      <c r="H103" s="740" t="s">
        <v>334</v>
      </c>
      <c r="I103" s="516">
        <f t="shared" si="6"/>
        <v>1</v>
      </c>
      <c r="J103" s="516"/>
      <c r="K103" s="516"/>
      <c r="L103" s="495">
        <f ca="1">IF(AND(O102&gt;=SUMIF(NameConv!$C$5:$C$45,RIGHT(C102,3),NameConv!$CG$5:$CG$45),M102=SUMIF(NameConv!$G$4:$M$4,MID(C102,2,3),NameConv!$G$45:$M$45)),L102+1,L102)</f>
        <v>2</v>
      </c>
      <c r="M103" s="495">
        <f ca="1">IF(L103&lt;&gt;L102,1,IF(O102&gt;=SUMIF(NameConv!$C$5:$C$45,RIGHT(C102,3),NameConv!$CG$5:$CG$45),M102+1,M102))</f>
        <v>8</v>
      </c>
      <c r="N103" s="495">
        <f ca="1">SUMIF(NameConv!$C$5:$C$45,RIGHT(C103,3),OFFSET(NameConv!$CG$5,0,O103,NameConv!$A$45,1))</f>
        <v>7</v>
      </c>
      <c r="O103" s="495">
        <f ca="1">IF(O102&gt;=SUMIF(NameConv!$C$5:$C$45,RIGHT(C102,3),NameConv!$CG$5:$CG$45),1,O102+1)</f>
        <v>7</v>
      </c>
    </row>
    <row r="104" spans="1:15">
      <c r="A104" s="422" t="str">
        <f t="shared" ref="A104:A121" ca="1" si="8">IF(LEN(D104)=3,"*","")</f>
        <v>*</v>
      </c>
      <c r="B104" s="515" t="str">
        <f t="shared" si="7"/>
        <v>TOP-OUT</v>
      </c>
      <c r="C104" s="518" t="str">
        <f ca="1">"X"&amp;OFFSET(NameConv!$F$4,0,L104)&amp;OFFSET(NameConv!$F$59,M104,L104)</f>
        <v>XINDBIB</v>
      </c>
      <c r="D104" s="515" t="str">
        <f ca="1">OFFSET(NameConv!$F$4,0,L104)&amp;OFFSET(NameConv!$AX$4,0,N104)</f>
        <v>IND</v>
      </c>
      <c r="E104" s="740" t="s">
        <v>334</v>
      </c>
      <c r="F104" s="740" t="s">
        <v>334</v>
      </c>
      <c r="G104" s="740" t="s">
        <v>334</v>
      </c>
      <c r="H104" s="740" t="s">
        <v>334</v>
      </c>
      <c r="I104" s="516">
        <f t="shared" ref="I104:I167" si="9">I103</f>
        <v>1</v>
      </c>
      <c r="J104" s="516"/>
      <c r="K104" s="516"/>
      <c r="L104" s="495">
        <f ca="1">IF(AND(O103&gt;=SUMIF(NameConv!$C$5:$C$45,RIGHT(C103,3),NameConv!$CG$5:$CG$45),M103=SUMIF(NameConv!$G$4:$M$4,MID(C103,2,3),NameConv!$G$45:$M$45)),L103+1,L103)</f>
        <v>3</v>
      </c>
      <c r="M104" s="495">
        <f ca="1">IF(L104&lt;&gt;L103,1,IF(O103&gt;=SUMIF(NameConv!$C$5:$C$45,RIGHT(C103,3),NameConv!$CG$5:$CG$45),M103+1,M103))</f>
        <v>1</v>
      </c>
      <c r="N104" s="495">
        <f ca="1">SUMIF(NameConv!$C$5:$C$45,RIGHT(C104,3),OFFSET(NameConv!$CG$5,0,O104,NameConv!$A$45,1))</f>
        <v>0</v>
      </c>
      <c r="O104" s="495">
        <f ca="1">IF(O103&gt;=SUMIF(NameConv!$C$5:$C$45,RIGHT(C103,3),NameConv!$CG$5:$CG$45),1,O103+1)</f>
        <v>1</v>
      </c>
    </row>
    <row r="105" spans="1:15">
      <c r="A105" s="422" t="str">
        <f t="shared" ca="1" si="8"/>
        <v>*</v>
      </c>
      <c r="B105" s="515" t="str">
        <f t="shared" si="7"/>
        <v>TOP-OUT</v>
      </c>
      <c r="C105" s="518" t="str">
        <f ca="1">"X"&amp;OFFSET(NameConv!$F$4,0,L105)&amp;OFFSET(NameConv!$F$59,M105,L105)</f>
        <v>XINDBIW</v>
      </c>
      <c r="D105" s="515" t="str">
        <f ca="1">OFFSET(NameConv!$F$4,0,L105)&amp;OFFSET(NameConv!$AX$4,0,N105)</f>
        <v>IND</v>
      </c>
      <c r="E105" s="740" t="s">
        <v>334</v>
      </c>
      <c r="F105" s="740" t="s">
        <v>334</v>
      </c>
      <c r="G105" s="740" t="s">
        <v>334</v>
      </c>
      <c r="H105" s="740" t="s">
        <v>334</v>
      </c>
      <c r="I105" s="516">
        <f t="shared" si="9"/>
        <v>1</v>
      </c>
      <c r="J105" s="516"/>
      <c r="K105" s="516"/>
      <c r="L105" s="495">
        <f ca="1">IF(AND(O104&gt;=SUMIF(NameConv!$C$5:$C$45,RIGHT(C104,3),NameConv!$CG$5:$CG$45),M104=SUMIF(NameConv!$G$4:$M$4,MID(C104,2,3),NameConv!$G$45:$M$45)),L104+1,L104)</f>
        <v>3</v>
      </c>
      <c r="M105" s="495">
        <f ca="1">IF(L105&lt;&gt;L104,1,IF(O104&gt;=SUMIF(NameConv!$C$5:$C$45,RIGHT(C104,3),NameConv!$CG$5:$CG$45),M104+1,M104))</f>
        <v>2</v>
      </c>
      <c r="N105" s="495">
        <f ca="1">SUMIF(NameConv!$C$5:$C$45,RIGHT(C105,3),OFFSET(NameConv!$CG$5,0,O105,NameConv!$A$45,1))</f>
        <v>0</v>
      </c>
      <c r="O105" s="495">
        <f ca="1">IF(O104&gt;=SUMIF(NameConv!$C$5:$C$45,RIGHT(C104,3),NameConv!$CG$5:$CG$45),1,O104+1)</f>
        <v>1</v>
      </c>
    </row>
    <row r="106" spans="1:15">
      <c r="A106" s="422" t="str">
        <f t="shared" ca="1" si="8"/>
        <v/>
      </c>
      <c r="B106" s="515" t="str">
        <f t="shared" si="7"/>
        <v>TOP-OUT</v>
      </c>
      <c r="C106" s="518" t="str">
        <f ca="1">"X"&amp;OFFSET(NameConv!$F$4,0,L106)&amp;OFFSET(NameConv!$F$59,M106,L106)</f>
        <v>XINDCOA</v>
      </c>
      <c r="D106" s="515" t="str">
        <f ca="1">OFFSET(NameConv!$F$4,0,L106)&amp;OFFSET(NameConv!$AX$4,0,N106)</f>
        <v>INDCO2S</v>
      </c>
      <c r="E106" s="740" t="s">
        <v>334</v>
      </c>
      <c r="F106" s="740" t="s">
        <v>334</v>
      </c>
      <c r="G106" s="740" t="s">
        <v>334</v>
      </c>
      <c r="H106" s="740" t="s">
        <v>334</v>
      </c>
      <c r="I106" s="516">
        <f t="shared" si="9"/>
        <v>1</v>
      </c>
      <c r="J106" s="516"/>
      <c r="K106" s="516"/>
      <c r="L106" s="495">
        <f ca="1">IF(AND(O105&gt;=SUMIF(NameConv!$C$5:$C$45,RIGHT(C105,3),NameConv!$CG$5:$CG$45),M105=SUMIF(NameConv!$G$4:$M$4,MID(C105,2,3),NameConv!$G$45:$M$45)),L105+1,L105)</f>
        <v>3</v>
      </c>
      <c r="M106" s="495">
        <f ca="1">IF(L106&lt;&gt;L105,1,IF(O105&gt;=SUMIF(NameConv!$C$5:$C$45,RIGHT(C105,3),NameConv!$CG$5:$CG$45),M105+1,M105))</f>
        <v>3</v>
      </c>
      <c r="N106" s="495">
        <f ca="1">SUMIF(NameConv!$C$5:$C$45,RIGHT(C106,3),OFFSET(NameConv!$CG$5,0,O106,NameConv!$A$45,1))</f>
        <v>1</v>
      </c>
      <c r="O106" s="495">
        <f ca="1">IF(O105&gt;=SUMIF(NameConv!$C$5:$C$45,RIGHT(C105,3),NameConv!$CG$5:$CG$45),1,O105+1)</f>
        <v>1</v>
      </c>
    </row>
    <row r="107" spans="1:15">
      <c r="A107" s="422" t="str">
        <f t="shared" ca="1" si="8"/>
        <v/>
      </c>
      <c r="B107" s="515" t="str">
        <f t="shared" si="7"/>
        <v>TOP-OUT</v>
      </c>
      <c r="C107" s="518" t="str">
        <f ca="1">"X"&amp;OFFSET(NameConv!$F$4,0,L107)&amp;OFFSET(NameConv!$F$59,M107,L107)</f>
        <v>XINDCOA</v>
      </c>
      <c r="D107" s="515" t="str">
        <f ca="1">OFFSET(NameConv!$F$4,0,L107)&amp;OFFSET(NameConv!$AX$4,0,N107)</f>
        <v>INDCH4S</v>
      </c>
      <c r="E107" s="740" t="s">
        <v>334</v>
      </c>
      <c r="F107" s="740" t="s">
        <v>334</v>
      </c>
      <c r="G107" s="740" t="s">
        <v>334</v>
      </c>
      <c r="H107" s="740" t="s">
        <v>334</v>
      </c>
      <c r="I107" s="516">
        <f t="shared" si="9"/>
        <v>1</v>
      </c>
      <c r="J107" s="516"/>
      <c r="K107" s="516"/>
      <c r="L107" s="495">
        <f ca="1">IF(AND(O106&gt;=SUMIF(NameConv!$C$5:$C$45,RIGHT(C106,3),NameConv!$CG$5:$CG$45),M106=SUMIF(NameConv!$G$4:$M$4,MID(C106,2,3),NameConv!$G$45:$M$45)),L106+1,L106)</f>
        <v>3</v>
      </c>
      <c r="M107" s="495">
        <f ca="1">IF(L107&lt;&gt;L106,1,IF(O106&gt;=SUMIF(NameConv!$C$5:$C$45,RIGHT(C106,3),NameConv!$CG$5:$CG$45),M106+1,M106))</f>
        <v>3</v>
      </c>
      <c r="N107" s="495">
        <f ca="1">SUMIF(NameConv!$C$5:$C$45,RIGHT(C107,3),OFFSET(NameConv!$CG$5,0,O107,NameConv!$A$45,1))</f>
        <v>2</v>
      </c>
      <c r="O107" s="495">
        <f ca="1">IF(O106&gt;=SUMIF(NameConv!$C$5:$C$45,RIGHT(C106,3),NameConv!$CG$5:$CG$45),1,O106+1)</f>
        <v>2</v>
      </c>
    </row>
    <row r="108" spans="1:15">
      <c r="A108" s="422" t="str">
        <f t="shared" ca="1" si="8"/>
        <v/>
      </c>
      <c r="B108" s="515" t="str">
        <f t="shared" si="7"/>
        <v>TOP-OUT</v>
      </c>
      <c r="C108" s="518" t="str">
        <f ca="1">"X"&amp;OFFSET(NameConv!$F$4,0,L108)&amp;OFFSET(NameConv!$F$59,M108,L108)</f>
        <v>XINDCOA</v>
      </c>
      <c r="D108" s="515" t="str">
        <f ca="1">OFFSET(NameConv!$F$4,0,L108)&amp;OFFSET(NameConv!$AX$4,0,N108)</f>
        <v>INDN2OS</v>
      </c>
      <c r="E108" s="740" t="s">
        <v>334</v>
      </c>
      <c r="F108" s="740" t="s">
        <v>334</v>
      </c>
      <c r="G108" s="740" t="s">
        <v>334</v>
      </c>
      <c r="H108" s="740" t="s">
        <v>334</v>
      </c>
      <c r="I108" s="516">
        <f t="shared" si="9"/>
        <v>1</v>
      </c>
      <c r="J108" s="516"/>
      <c r="K108" s="516"/>
      <c r="L108" s="495">
        <f ca="1">IF(AND(O107&gt;=SUMIF(NameConv!$C$5:$C$45,RIGHT(C107,3),NameConv!$CG$5:$CG$45),M107=SUMIF(NameConv!$G$4:$M$4,MID(C107,2,3),NameConv!$G$45:$M$45)),L107+1,L107)</f>
        <v>3</v>
      </c>
      <c r="M108" s="495">
        <f ca="1">IF(L108&lt;&gt;L107,1,IF(O107&gt;=SUMIF(NameConv!$C$5:$C$45,RIGHT(C107,3),NameConv!$CG$5:$CG$45),M107+1,M107))</f>
        <v>3</v>
      </c>
      <c r="N108" s="495">
        <f ca="1">SUMIF(NameConv!$C$5:$C$45,RIGHT(C108,3),OFFSET(NameConv!$CG$5,0,O108,NameConv!$A$45,1))</f>
        <v>3</v>
      </c>
      <c r="O108" s="495">
        <f ca="1">IF(O107&gt;=SUMIF(NameConv!$C$5:$C$45,RIGHT(C107,3),NameConv!$CG$5:$CG$45),1,O107+1)</f>
        <v>3</v>
      </c>
    </row>
    <row r="109" spans="1:15">
      <c r="A109" s="422" t="str">
        <f t="shared" ca="1" si="8"/>
        <v/>
      </c>
      <c r="B109" s="515" t="str">
        <f t="shared" si="7"/>
        <v>TOP-OUT</v>
      </c>
      <c r="C109" s="518" t="str">
        <f ca="1">"X"&amp;OFFSET(NameConv!$F$4,0,L109)&amp;OFFSET(NameConv!$F$59,M109,L109)</f>
        <v>XINDCOA</v>
      </c>
      <c r="D109" s="515" t="str">
        <f ca="1">OFFSET(NameConv!$F$4,0,L109)&amp;OFFSET(NameConv!$AX$4,0,N109)</f>
        <v>INDSOXS</v>
      </c>
      <c r="E109" s="740" t="s">
        <v>334</v>
      </c>
      <c r="F109" s="740" t="s">
        <v>334</v>
      </c>
      <c r="G109" s="740" t="s">
        <v>334</v>
      </c>
      <c r="H109" s="740" t="s">
        <v>334</v>
      </c>
      <c r="I109" s="516">
        <f t="shared" si="9"/>
        <v>1</v>
      </c>
      <c r="J109" s="516"/>
      <c r="K109" s="516"/>
      <c r="L109" s="495">
        <f ca="1">IF(AND(O108&gt;=SUMIF(NameConv!$C$5:$C$45,RIGHT(C108,3),NameConv!$CG$5:$CG$45),M108=SUMIF(NameConv!$G$4:$M$4,MID(C108,2,3),NameConv!$G$45:$M$45)),L108+1,L108)</f>
        <v>3</v>
      </c>
      <c r="M109" s="495">
        <f ca="1">IF(L109&lt;&gt;L108,1,IF(O108&gt;=SUMIF(NameConv!$C$5:$C$45,RIGHT(C108,3),NameConv!$CG$5:$CG$45),M108+1,M108))</f>
        <v>3</v>
      </c>
      <c r="N109" s="495">
        <f ca="1">SUMIF(NameConv!$C$5:$C$45,RIGHT(C109,3),OFFSET(NameConv!$CG$5,0,O109,NameConv!$A$45,1))</f>
        <v>4</v>
      </c>
      <c r="O109" s="495">
        <f ca="1">IF(O108&gt;=SUMIF(NameConv!$C$5:$C$45,RIGHT(C108,3),NameConv!$CG$5:$CG$45),1,O108+1)</f>
        <v>4</v>
      </c>
    </row>
    <row r="110" spans="1:15">
      <c r="A110" s="422" t="str">
        <f t="shared" ca="1" si="8"/>
        <v/>
      </c>
      <c r="B110" s="515" t="str">
        <f t="shared" si="7"/>
        <v>TOP-OUT</v>
      </c>
      <c r="C110" s="518" t="str">
        <f ca="1">"X"&amp;OFFSET(NameConv!$F$4,0,L110)&amp;OFFSET(NameConv!$F$59,M110,L110)</f>
        <v>XINDCOA</v>
      </c>
      <c r="D110" s="515" t="str">
        <f ca="1">OFFSET(NameConv!$F$4,0,L110)&amp;OFFSET(NameConv!$AX$4,0,N110)</f>
        <v>INDNOXS</v>
      </c>
      <c r="E110" s="740" t="s">
        <v>334</v>
      </c>
      <c r="F110" s="740" t="s">
        <v>334</v>
      </c>
      <c r="G110" s="740" t="s">
        <v>334</v>
      </c>
      <c r="H110" s="740" t="s">
        <v>334</v>
      </c>
      <c r="I110" s="516">
        <f t="shared" si="9"/>
        <v>1</v>
      </c>
      <c r="J110" s="516"/>
      <c r="K110" s="516"/>
      <c r="L110" s="495">
        <f ca="1">IF(AND(O109&gt;=SUMIF(NameConv!$C$5:$C$45,RIGHT(C109,3),NameConv!$CG$5:$CG$45),M109=SUMIF(NameConv!$G$4:$M$4,MID(C109,2,3),NameConv!$G$45:$M$45)),L109+1,L109)</f>
        <v>3</v>
      </c>
      <c r="M110" s="495">
        <f ca="1">IF(L110&lt;&gt;L109,1,IF(O109&gt;=SUMIF(NameConv!$C$5:$C$45,RIGHT(C109,3),NameConv!$CG$5:$CG$45),M109+1,M109))</f>
        <v>3</v>
      </c>
      <c r="N110" s="495">
        <f ca="1">SUMIF(NameConv!$C$5:$C$45,RIGHT(C110,3),OFFSET(NameConv!$CG$5,0,O110,NameConv!$A$45,1))</f>
        <v>5</v>
      </c>
      <c r="O110" s="495">
        <f ca="1">IF(O109&gt;=SUMIF(NameConv!$C$5:$C$45,RIGHT(C109,3),NameConv!$CG$5:$CG$45),1,O109+1)</f>
        <v>5</v>
      </c>
    </row>
    <row r="111" spans="1:15">
      <c r="A111" s="422" t="str">
        <f t="shared" ca="1" si="8"/>
        <v/>
      </c>
      <c r="B111" s="515" t="str">
        <f t="shared" si="7"/>
        <v>TOP-OUT</v>
      </c>
      <c r="C111" s="518" t="str">
        <f ca="1">"X"&amp;OFFSET(NameConv!$F$4,0,L111)&amp;OFFSET(NameConv!$F$59,M111,L111)</f>
        <v>XINDCOA</v>
      </c>
      <c r="D111" s="515" t="str">
        <f ca="1">OFFSET(NameConv!$F$4,0,L111)&amp;OFFSET(NameConv!$AX$4,0,N111)</f>
        <v>INDCMOX</v>
      </c>
      <c r="E111" s="740" t="s">
        <v>334</v>
      </c>
      <c r="F111" s="740" t="s">
        <v>334</v>
      </c>
      <c r="G111" s="740" t="s">
        <v>334</v>
      </c>
      <c r="H111" s="740" t="s">
        <v>334</v>
      </c>
      <c r="I111" s="516">
        <f t="shared" si="9"/>
        <v>1</v>
      </c>
      <c r="J111" s="516"/>
      <c r="K111" s="516"/>
      <c r="L111" s="495">
        <f ca="1">IF(AND(O110&gt;=SUMIF(NameConv!$C$5:$C$45,RIGHT(C110,3),NameConv!$CG$5:$CG$45),M110=SUMIF(NameConv!$G$4:$M$4,MID(C110,2,3),NameConv!$G$45:$M$45)),L110+1,L110)</f>
        <v>3</v>
      </c>
      <c r="M111" s="495">
        <f ca="1">IF(L111&lt;&gt;L110,1,IF(O110&gt;=SUMIF(NameConv!$C$5:$C$45,RIGHT(C110,3),NameConv!$CG$5:$CG$45),M110+1,M110))</f>
        <v>3</v>
      </c>
      <c r="N111" s="495">
        <f ca="1">SUMIF(NameConv!$C$5:$C$45,RIGHT(C111,3),OFFSET(NameConv!$CG$5,0,O111,NameConv!$A$45,1))</f>
        <v>6</v>
      </c>
      <c r="O111" s="495">
        <f ca="1">IF(O110&gt;=SUMIF(NameConv!$C$5:$C$45,RIGHT(C110,3),NameConv!$CG$5:$CG$45),1,O110+1)</f>
        <v>6</v>
      </c>
    </row>
    <row r="112" spans="1:15">
      <c r="A112" s="422" t="str">
        <f t="shared" ca="1" si="8"/>
        <v/>
      </c>
      <c r="B112" s="515" t="str">
        <f t="shared" si="7"/>
        <v>TOP-OUT</v>
      </c>
      <c r="C112" s="518" t="str">
        <f ca="1">"X"&amp;OFFSET(NameConv!$F$4,0,L112)&amp;OFFSET(NameConv!$F$59,M112,L112)</f>
        <v>XINDCOA</v>
      </c>
      <c r="D112" s="515" t="str">
        <f ca="1">OFFSET(NameConv!$F$4,0,L112)&amp;OFFSET(NameConv!$AX$4,0,N112)</f>
        <v>INDNMVS</v>
      </c>
      <c r="E112" s="740" t="s">
        <v>334</v>
      </c>
      <c r="F112" s="740" t="s">
        <v>334</v>
      </c>
      <c r="G112" s="740" t="s">
        <v>334</v>
      </c>
      <c r="H112" s="740" t="s">
        <v>334</v>
      </c>
      <c r="I112" s="516">
        <f t="shared" si="9"/>
        <v>1</v>
      </c>
      <c r="J112" s="516"/>
      <c r="K112" s="516"/>
      <c r="L112" s="495">
        <f ca="1">IF(AND(O111&gt;=SUMIF(NameConv!$C$5:$C$45,RIGHT(C111,3),NameConv!$CG$5:$CG$45),M111=SUMIF(NameConv!$G$4:$M$4,MID(C111,2,3),NameConv!$G$45:$M$45)),L111+1,L111)</f>
        <v>3</v>
      </c>
      <c r="M112" s="495">
        <f ca="1">IF(L112&lt;&gt;L111,1,IF(O111&gt;=SUMIF(NameConv!$C$5:$C$45,RIGHT(C111,3),NameConv!$CG$5:$CG$45),M111+1,M111))</f>
        <v>3</v>
      </c>
      <c r="N112" s="495">
        <f ca="1">SUMIF(NameConv!$C$5:$C$45,RIGHT(C112,3),OFFSET(NameConv!$CG$5,0,O112,NameConv!$A$45,1))</f>
        <v>7</v>
      </c>
      <c r="O112" s="495">
        <f ca="1">IF(O111&gt;=SUMIF(NameConv!$C$5:$C$45,RIGHT(C111,3),NameConv!$CG$5:$CG$45),1,O111+1)</f>
        <v>7</v>
      </c>
    </row>
    <row r="113" spans="1:15">
      <c r="A113" s="422" t="str">
        <f t="shared" ca="1" si="8"/>
        <v>*</v>
      </c>
      <c r="B113" s="515" t="str">
        <f t="shared" si="7"/>
        <v>TOP-OUT</v>
      </c>
      <c r="C113" s="518" t="str">
        <f ca="1">"X"&amp;OFFSET(NameConv!$F$4,0,L113)&amp;OFFSET(NameConv!$F$59,M113,L113)</f>
        <v>XINDCOK</v>
      </c>
      <c r="D113" s="515" t="str">
        <f ca="1">OFFSET(NameConv!$F$4,0,L113)&amp;OFFSET(NameConv!$AX$4,0,N113)</f>
        <v>IND</v>
      </c>
      <c r="E113" s="740" t="s">
        <v>334</v>
      </c>
      <c r="F113" s="740" t="s">
        <v>334</v>
      </c>
      <c r="G113" s="740" t="s">
        <v>334</v>
      </c>
      <c r="H113" s="740" t="s">
        <v>334</v>
      </c>
      <c r="I113" s="516">
        <f t="shared" si="9"/>
        <v>1</v>
      </c>
      <c r="J113" s="516"/>
      <c r="K113" s="516"/>
      <c r="L113" s="495">
        <f ca="1">IF(AND(O112&gt;=SUMIF(NameConv!$C$5:$C$45,RIGHT(C112,3),NameConv!$CG$5:$CG$45),M112=SUMIF(NameConv!$G$4:$M$4,MID(C112,2,3),NameConv!$G$45:$M$45)),L112+1,L112)</f>
        <v>3</v>
      </c>
      <c r="M113" s="495">
        <f ca="1">IF(L113&lt;&gt;L112,1,IF(O112&gt;=SUMIF(NameConv!$C$5:$C$45,RIGHT(C112,3),NameConv!$CG$5:$CG$45),M112+1,M112))</f>
        <v>4</v>
      </c>
      <c r="N113" s="495">
        <f ca="1">SUMIF(NameConv!$C$5:$C$45,RIGHT(C113,3),OFFSET(NameConv!$CG$5,0,O113,NameConv!$A$45,1))</f>
        <v>0</v>
      </c>
      <c r="O113" s="495">
        <f ca="1">IF(O112&gt;=SUMIF(NameConv!$C$5:$C$45,RIGHT(C112,3),NameConv!$CG$5:$CG$45),1,O112+1)</f>
        <v>1</v>
      </c>
    </row>
    <row r="114" spans="1:15">
      <c r="A114" s="422" t="str">
        <f t="shared" ca="1" si="8"/>
        <v/>
      </c>
      <c r="B114" s="515" t="str">
        <f t="shared" si="7"/>
        <v>TOP-OUT</v>
      </c>
      <c r="C114" s="518" t="str">
        <f ca="1">"X"&amp;OFFSET(NameConv!$F$4,0,L114)&amp;OFFSET(NameConv!$F$59,M114,L114)</f>
        <v>XINDCLE</v>
      </c>
      <c r="D114" s="515" t="str">
        <f ca="1">OFFSET(NameConv!$F$4,0,L114)&amp;OFFSET(NameConv!$AX$4,0,N114)</f>
        <v>INDCO2S</v>
      </c>
      <c r="E114" s="740" t="s">
        <v>334</v>
      </c>
      <c r="F114" s="740" t="s">
        <v>334</v>
      </c>
      <c r="G114" s="740" t="s">
        <v>334</v>
      </c>
      <c r="H114" s="740" t="s">
        <v>334</v>
      </c>
      <c r="I114" s="516">
        <f t="shared" si="9"/>
        <v>1</v>
      </c>
      <c r="J114" s="516"/>
      <c r="K114" s="516"/>
      <c r="L114" s="495">
        <f ca="1">IF(AND(O113&gt;=SUMIF(NameConv!$C$5:$C$45,RIGHT(C113,3),NameConv!$CG$5:$CG$45),M113=SUMIF(NameConv!$G$4:$M$4,MID(C113,2,3),NameConv!$G$45:$M$45)),L113+1,L113)</f>
        <v>3</v>
      </c>
      <c r="M114" s="495">
        <f ca="1">IF(L114&lt;&gt;L113,1,IF(O113&gt;=SUMIF(NameConv!$C$5:$C$45,RIGHT(C113,3),NameConv!$CG$5:$CG$45),M113+1,M113))</f>
        <v>5</v>
      </c>
      <c r="N114" s="495">
        <f ca="1">SUMIF(NameConv!$C$5:$C$45,RIGHT(C114,3),OFFSET(NameConv!$CG$5,0,O114,NameConv!$A$45,1))</f>
        <v>1</v>
      </c>
      <c r="O114" s="495">
        <f ca="1">IF(O113&gt;=SUMIF(NameConv!$C$5:$C$45,RIGHT(C113,3),NameConv!$CG$5:$CG$45),1,O113+1)</f>
        <v>1</v>
      </c>
    </row>
    <row r="115" spans="1:15">
      <c r="A115" s="422" t="str">
        <f t="shared" ca="1" si="8"/>
        <v/>
      </c>
      <c r="B115" s="515" t="str">
        <f t="shared" si="7"/>
        <v>TOP-OUT</v>
      </c>
      <c r="C115" s="518" t="str">
        <f ca="1">"X"&amp;OFFSET(NameConv!$F$4,0,L115)&amp;OFFSET(NameConv!$F$59,M115,L115)</f>
        <v>XINDCLE</v>
      </c>
      <c r="D115" s="515" t="str">
        <f ca="1">OFFSET(NameConv!$F$4,0,L115)&amp;OFFSET(NameConv!$AX$4,0,N115)</f>
        <v>INDCH4S</v>
      </c>
      <c r="E115" s="740" t="s">
        <v>334</v>
      </c>
      <c r="F115" s="740" t="s">
        <v>334</v>
      </c>
      <c r="G115" s="740" t="s">
        <v>334</v>
      </c>
      <c r="H115" s="740" t="s">
        <v>334</v>
      </c>
      <c r="I115" s="516">
        <f t="shared" si="9"/>
        <v>1</v>
      </c>
      <c r="J115" s="516"/>
      <c r="K115" s="516"/>
      <c r="L115" s="495">
        <f ca="1">IF(AND(O114&gt;=SUMIF(NameConv!$C$5:$C$45,RIGHT(C114,3),NameConv!$CG$5:$CG$45),M114=SUMIF(NameConv!$G$4:$M$4,MID(C114,2,3),NameConv!$G$45:$M$45)),L114+1,L114)</f>
        <v>3</v>
      </c>
      <c r="M115" s="495">
        <f ca="1">IF(L115&lt;&gt;L114,1,IF(O114&gt;=SUMIF(NameConv!$C$5:$C$45,RIGHT(C114,3),NameConv!$CG$5:$CG$45),M114+1,M114))</f>
        <v>5</v>
      </c>
      <c r="N115" s="495">
        <f ca="1">SUMIF(NameConv!$C$5:$C$45,RIGHT(C115,3),OFFSET(NameConv!$CG$5,0,O115,NameConv!$A$45,1))</f>
        <v>2</v>
      </c>
      <c r="O115" s="495">
        <f ca="1">IF(O114&gt;=SUMIF(NameConv!$C$5:$C$45,RIGHT(C114,3),NameConv!$CG$5:$CG$45),1,O114+1)</f>
        <v>2</v>
      </c>
    </row>
    <row r="116" spans="1:15">
      <c r="A116" s="422" t="str">
        <f t="shared" ca="1" si="8"/>
        <v/>
      </c>
      <c r="B116" s="515" t="str">
        <f t="shared" si="7"/>
        <v>TOP-OUT</v>
      </c>
      <c r="C116" s="518" t="str">
        <f ca="1">"X"&amp;OFFSET(NameConv!$F$4,0,L116)&amp;OFFSET(NameConv!$F$59,M116,L116)</f>
        <v>XINDCLE</v>
      </c>
      <c r="D116" s="515" t="str">
        <f ca="1">OFFSET(NameConv!$F$4,0,L116)&amp;OFFSET(NameConv!$AX$4,0,N116)</f>
        <v>INDN2OS</v>
      </c>
      <c r="E116" s="740" t="s">
        <v>334</v>
      </c>
      <c r="F116" s="740" t="s">
        <v>334</v>
      </c>
      <c r="G116" s="740" t="s">
        <v>334</v>
      </c>
      <c r="H116" s="740" t="s">
        <v>334</v>
      </c>
      <c r="I116" s="516">
        <f t="shared" si="9"/>
        <v>1</v>
      </c>
      <c r="J116" s="516"/>
      <c r="K116" s="516"/>
      <c r="L116" s="495">
        <f ca="1">IF(AND(O115&gt;=SUMIF(NameConv!$C$5:$C$45,RIGHT(C115,3),NameConv!$CG$5:$CG$45),M115=SUMIF(NameConv!$G$4:$M$4,MID(C115,2,3),NameConv!$G$45:$M$45)),L115+1,L115)</f>
        <v>3</v>
      </c>
      <c r="M116" s="495">
        <f ca="1">IF(L116&lt;&gt;L115,1,IF(O115&gt;=SUMIF(NameConv!$C$5:$C$45,RIGHT(C115,3),NameConv!$CG$5:$CG$45),M115+1,M115))</f>
        <v>5</v>
      </c>
      <c r="N116" s="495">
        <f ca="1">SUMIF(NameConv!$C$5:$C$45,RIGHT(C116,3),OFFSET(NameConv!$CG$5,0,O116,NameConv!$A$45,1))</f>
        <v>3</v>
      </c>
      <c r="O116" s="495">
        <f ca="1">IF(O115&gt;=SUMIF(NameConv!$C$5:$C$45,RIGHT(C115,3),NameConv!$CG$5:$CG$45),1,O115+1)</f>
        <v>3</v>
      </c>
    </row>
    <row r="117" spans="1:15">
      <c r="A117" s="422" t="str">
        <f t="shared" ca="1" si="8"/>
        <v/>
      </c>
      <c r="B117" s="515" t="str">
        <f t="shared" si="7"/>
        <v>TOP-OUT</v>
      </c>
      <c r="C117" s="518" t="str">
        <f ca="1">"X"&amp;OFFSET(NameConv!$F$4,0,L117)&amp;OFFSET(NameConv!$F$59,M117,L117)</f>
        <v>XINDCLE</v>
      </c>
      <c r="D117" s="515" t="str">
        <f ca="1">OFFSET(NameConv!$F$4,0,L117)&amp;OFFSET(NameConv!$AX$4,0,N117)</f>
        <v>INDSOXS</v>
      </c>
      <c r="E117" s="740" t="s">
        <v>334</v>
      </c>
      <c r="F117" s="740" t="s">
        <v>334</v>
      </c>
      <c r="G117" s="740" t="s">
        <v>334</v>
      </c>
      <c r="H117" s="740" t="s">
        <v>334</v>
      </c>
      <c r="I117" s="516">
        <f t="shared" si="9"/>
        <v>1</v>
      </c>
      <c r="J117" s="516"/>
      <c r="K117" s="516"/>
      <c r="L117" s="495">
        <f ca="1">IF(AND(O116&gt;=SUMIF(NameConv!$C$5:$C$45,RIGHT(C116,3),NameConv!$CG$5:$CG$45),M116=SUMIF(NameConv!$G$4:$M$4,MID(C116,2,3),NameConv!$G$45:$M$45)),L116+1,L116)</f>
        <v>3</v>
      </c>
      <c r="M117" s="495">
        <f ca="1">IF(L117&lt;&gt;L116,1,IF(O116&gt;=SUMIF(NameConv!$C$5:$C$45,RIGHT(C116,3),NameConv!$CG$5:$CG$45),M116+1,M116))</f>
        <v>5</v>
      </c>
      <c r="N117" s="495">
        <f ca="1">SUMIF(NameConv!$C$5:$C$45,RIGHT(C117,3),OFFSET(NameConv!$CG$5,0,O117,NameConv!$A$45,1))</f>
        <v>4</v>
      </c>
      <c r="O117" s="495">
        <f ca="1">IF(O116&gt;=SUMIF(NameConv!$C$5:$C$45,RIGHT(C116,3),NameConv!$CG$5:$CG$45),1,O116+1)</f>
        <v>4</v>
      </c>
    </row>
    <row r="118" spans="1:15">
      <c r="A118" s="422" t="str">
        <f t="shared" ca="1" si="8"/>
        <v/>
      </c>
      <c r="B118" s="515" t="str">
        <f t="shared" si="7"/>
        <v>TOP-OUT</v>
      </c>
      <c r="C118" s="518" t="str">
        <f ca="1">"X"&amp;OFFSET(NameConv!$F$4,0,L118)&amp;OFFSET(NameConv!$F$59,M118,L118)</f>
        <v>XINDCLE</v>
      </c>
      <c r="D118" s="515" t="str">
        <f ca="1">OFFSET(NameConv!$F$4,0,L118)&amp;OFFSET(NameConv!$AX$4,0,N118)</f>
        <v>INDNOXS</v>
      </c>
      <c r="E118" s="740" t="s">
        <v>334</v>
      </c>
      <c r="F118" s="740" t="s">
        <v>334</v>
      </c>
      <c r="G118" s="740" t="s">
        <v>334</v>
      </c>
      <c r="H118" s="740" t="s">
        <v>334</v>
      </c>
      <c r="I118" s="516">
        <f t="shared" si="9"/>
        <v>1</v>
      </c>
      <c r="J118" s="516"/>
      <c r="K118" s="516"/>
      <c r="L118" s="495">
        <f ca="1">IF(AND(O117&gt;=SUMIF(NameConv!$C$5:$C$45,RIGHT(C117,3),NameConv!$CG$5:$CG$45),M117=SUMIF(NameConv!$G$4:$M$4,MID(C117,2,3),NameConv!$G$45:$M$45)),L117+1,L117)</f>
        <v>3</v>
      </c>
      <c r="M118" s="495">
        <f ca="1">IF(L118&lt;&gt;L117,1,IF(O117&gt;=SUMIF(NameConv!$C$5:$C$45,RIGHT(C117,3),NameConv!$CG$5:$CG$45),M117+1,M117))</f>
        <v>5</v>
      </c>
      <c r="N118" s="495">
        <f ca="1">SUMIF(NameConv!$C$5:$C$45,RIGHT(C118,3),OFFSET(NameConv!$CG$5,0,O118,NameConv!$A$45,1))</f>
        <v>5</v>
      </c>
      <c r="O118" s="495">
        <f ca="1">IF(O117&gt;=SUMIF(NameConv!$C$5:$C$45,RIGHT(C117,3),NameConv!$CG$5:$CG$45),1,O117+1)</f>
        <v>5</v>
      </c>
    </row>
    <row r="119" spans="1:15">
      <c r="A119" s="422" t="str">
        <f t="shared" ca="1" si="8"/>
        <v/>
      </c>
      <c r="B119" s="515" t="str">
        <f t="shared" si="7"/>
        <v>TOP-OUT</v>
      </c>
      <c r="C119" s="518" t="str">
        <f ca="1">"X"&amp;OFFSET(NameConv!$F$4,0,L119)&amp;OFFSET(NameConv!$F$59,M119,L119)</f>
        <v>XINDCLE</v>
      </c>
      <c r="D119" s="515" t="str">
        <f ca="1">OFFSET(NameConv!$F$4,0,L119)&amp;OFFSET(NameConv!$AX$4,0,N119)</f>
        <v>INDCMOX</v>
      </c>
      <c r="E119" s="740" t="s">
        <v>334</v>
      </c>
      <c r="F119" s="740" t="s">
        <v>334</v>
      </c>
      <c r="G119" s="740" t="s">
        <v>334</v>
      </c>
      <c r="H119" s="740" t="s">
        <v>334</v>
      </c>
      <c r="I119" s="516">
        <f t="shared" si="9"/>
        <v>1</v>
      </c>
      <c r="J119" s="516"/>
      <c r="K119" s="516"/>
      <c r="L119" s="495">
        <f ca="1">IF(AND(O118&gt;=SUMIF(NameConv!$C$5:$C$45,RIGHT(C118,3),NameConv!$CG$5:$CG$45),M118=SUMIF(NameConv!$G$4:$M$4,MID(C118,2,3),NameConv!$G$45:$M$45)),L118+1,L118)</f>
        <v>3</v>
      </c>
      <c r="M119" s="495">
        <f ca="1">IF(L119&lt;&gt;L118,1,IF(O118&gt;=SUMIF(NameConv!$C$5:$C$45,RIGHT(C118,3),NameConv!$CG$5:$CG$45),M118+1,M118))</f>
        <v>5</v>
      </c>
      <c r="N119" s="495">
        <f ca="1">SUMIF(NameConv!$C$5:$C$45,RIGHT(C119,3),OFFSET(NameConv!$CG$5,0,O119,NameConv!$A$45,1))</f>
        <v>6</v>
      </c>
      <c r="O119" s="495">
        <f ca="1">IF(O118&gt;=SUMIF(NameConv!$C$5:$C$45,RIGHT(C118,3),NameConv!$CG$5:$CG$45),1,O118+1)</f>
        <v>6</v>
      </c>
    </row>
    <row r="120" spans="1:15">
      <c r="A120" s="422" t="str">
        <f t="shared" ca="1" si="8"/>
        <v/>
      </c>
      <c r="B120" s="515" t="str">
        <f t="shared" si="7"/>
        <v>TOP-OUT</v>
      </c>
      <c r="C120" s="518" t="str">
        <f ca="1">"X"&amp;OFFSET(NameConv!$F$4,0,L120)&amp;OFFSET(NameConv!$F$59,M120,L120)</f>
        <v>XINDCLE</v>
      </c>
      <c r="D120" s="515" t="str">
        <f ca="1">OFFSET(NameConv!$F$4,0,L120)&amp;OFFSET(NameConv!$AX$4,0,N120)</f>
        <v>INDNMVS</v>
      </c>
      <c r="E120" s="740" t="s">
        <v>334</v>
      </c>
      <c r="F120" s="740" t="s">
        <v>334</v>
      </c>
      <c r="G120" s="740" t="s">
        <v>334</v>
      </c>
      <c r="H120" s="740" t="s">
        <v>334</v>
      </c>
      <c r="I120" s="516">
        <f t="shared" si="9"/>
        <v>1</v>
      </c>
      <c r="J120" s="516"/>
      <c r="K120" s="516"/>
      <c r="L120" s="495">
        <f ca="1">IF(AND(O119&gt;=SUMIF(NameConv!$C$5:$C$45,RIGHT(C119,3),NameConv!$CG$5:$CG$45),M119=SUMIF(NameConv!$G$4:$M$4,MID(C119,2,3),NameConv!$G$45:$M$45)),L119+1,L119)</f>
        <v>3</v>
      </c>
      <c r="M120" s="495">
        <f ca="1">IF(L120&lt;&gt;L119,1,IF(O119&gt;=SUMIF(NameConv!$C$5:$C$45,RIGHT(C119,3),NameConv!$CG$5:$CG$45),M119+1,M119))</f>
        <v>5</v>
      </c>
      <c r="N120" s="495">
        <f ca="1">SUMIF(NameConv!$C$5:$C$45,RIGHT(C120,3),OFFSET(NameConv!$CG$5,0,O120,NameConv!$A$45,1))</f>
        <v>7</v>
      </c>
      <c r="O120" s="495">
        <f ca="1">IF(O119&gt;=SUMIF(NameConv!$C$5:$C$45,RIGHT(C119,3),NameConv!$CG$5:$CG$45),1,O119+1)</f>
        <v>7</v>
      </c>
    </row>
    <row r="121" spans="1:15">
      <c r="A121" s="422" t="str">
        <f t="shared" ca="1" si="8"/>
        <v>*</v>
      </c>
      <c r="B121" s="515" t="str">
        <f t="shared" si="7"/>
        <v>TOP-OUT</v>
      </c>
      <c r="C121" s="518" t="str">
        <f ca="1">"X"&amp;OFFSET(NameConv!$F$4,0,L121)&amp;OFFSET(NameConv!$F$59,M121,L121)</f>
        <v>XINDELC</v>
      </c>
      <c r="D121" s="515" t="str">
        <f ca="1">OFFSET(NameConv!$F$4,0,L121)&amp;OFFSET(NameConv!$AX$4,0,N121)</f>
        <v>IND</v>
      </c>
      <c r="E121" s="740" t="s">
        <v>334</v>
      </c>
      <c r="F121" s="740" t="s">
        <v>334</v>
      </c>
      <c r="G121" s="740" t="s">
        <v>334</v>
      </c>
      <c r="H121" s="740" t="s">
        <v>334</v>
      </c>
      <c r="I121" s="516">
        <f t="shared" si="9"/>
        <v>1</v>
      </c>
      <c r="J121" s="516"/>
      <c r="K121" s="516"/>
      <c r="L121" s="495">
        <f ca="1">IF(AND(O120&gt;=SUMIF(NameConv!$C$5:$C$45,RIGHT(C120,3),NameConv!$CG$5:$CG$45),M120=SUMIF(NameConv!$G$4:$M$4,MID(C120,2,3),NameConv!$G$45:$M$45)),L120+1,L120)</f>
        <v>3</v>
      </c>
      <c r="M121" s="495">
        <f ca="1">IF(L121&lt;&gt;L120,1,IF(O120&gt;=SUMIF(NameConv!$C$5:$C$45,RIGHT(C120,3),NameConv!$CG$5:$CG$45),M120+1,M120))</f>
        <v>6</v>
      </c>
      <c r="N121" s="495">
        <f ca="1">SUMIF(NameConv!$C$5:$C$45,RIGHT(C121,3),OFFSET(NameConv!$CG$5,0,O121,NameConv!$A$45,1))</f>
        <v>0</v>
      </c>
      <c r="O121" s="495">
        <f ca="1">IF(O120&gt;=SUMIF(NameConv!$C$5:$C$45,RIGHT(C120,3),NameConv!$CG$5:$CG$45),1,O120+1)</f>
        <v>1</v>
      </c>
    </row>
    <row r="122" spans="1:15">
      <c r="A122" s="422" t="str">
        <f t="shared" ref="A122:A135" ca="1" si="10">IF(LEN(D122)=3,"*","")</f>
        <v/>
      </c>
      <c r="B122" s="515" t="str">
        <f t="shared" si="7"/>
        <v>TOP-OUT</v>
      </c>
      <c r="C122" s="518" t="str">
        <f ca="1">"X"&amp;OFFSET(NameConv!$F$4,0,L122)&amp;OFFSET(NameConv!$F$59,M122,L122)</f>
        <v>XINDGAS</v>
      </c>
      <c r="D122" s="515" t="str">
        <f ca="1">OFFSET(NameConv!$F$4,0,L122)&amp;OFFSET(NameConv!$AX$4,0,N122)</f>
        <v>INDCO2S</v>
      </c>
      <c r="E122" s="740" t="s">
        <v>334</v>
      </c>
      <c r="F122" s="740" t="s">
        <v>334</v>
      </c>
      <c r="G122" s="740" t="s">
        <v>334</v>
      </c>
      <c r="H122" s="740" t="s">
        <v>334</v>
      </c>
      <c r="I122" s="516">
        <f t="shared" si="9"/>
        <v>1</v>
      </c>
      <c r="J122" s="516"/>
      <c r="K122" s="516"/>
      <c r="L122" s="495">
        <f ca="1">IF(AND(O121&gt;=SUMIF(NameConv!$C$5:$C$45,RIGHT(C121,3),NameConv!$CG$5:$CG$45),M121=SUMIF(NameConv!$G$4:$M$4,MID(C121,2,3),NameConv!$G$45:$M$45)),L121+1,L121)</f>
        <v>3</v>
      </c>
      <c r="M122" s="495">
        <f ca="1">IF(L122&lt;&gt;L121,1,IF(O121&gt;=SUMIF(NameConv!$C$5:$C$45,RIGHT(C121,3),NameConv!$CG$5:$CG$45),M121+1,M121))</f>
        <v>7</v>
      </c>
      <c r="N122" s="495">
        <f ca="1">SUMIF(NameConv!$C$5:$C$45,RIGHT(C122,3),OFFSET(NameConv!$CG$5,0,O122,NameConv!$A$45,1))</f>
        <v>1</v>
      </c>
      <c r="O122" s="495">
        <f ca="1">IF(O121&gt;=SUMIF(NameConv!$C$5:$C$45,RIGHT(C121,3),NameConv!$CG$5:$CG$45),1,O121+1)</f>
        <v>1</v>
      </c>
    </row>
    <row r="123" spans="1:15">
      <c r="A123" s="422" t="str">
        <f t="shared" ca="1" si="10"/>
        <v/>
      </c>
      <c r="B123" s="515" t="str">
        <f t="shared" si="7"/>
        <v>TOP-OUT</v>
      </c>
      <c r="C123" s="518" t="str">
        <f ca="1">"X"&amp;OFFSET(NameConv!$F$4,0,L123)&amp;OFFSET(NameConv!$F$59,M123,L123)</f>
        <v>XINDGAS</v>
      </c>
      <c r="D123" s="515" t="str">
        <f ca="1">OFFSET(NameConv!$F$4,0,L123)&amp;OFFSET(NameConv!$AX$4,0,N123)</f>
        <v>INDCH4S</v>
      </c>
      <c r="E123" s="740" t="s">
        <v>334</v>
      </c>
      <c r="F123" s="740" t="s">
        <v>334</v>
      </c>
      <c r="G123" s="740" t="s">
        <v>334</v>
      </c>
      <c r="H123" s="740" t="s">
        <v>334</v>
      </c>
      <c r="I123" s="516">
        <f t="shared" si="9"/>
        <v>1</v>
      </c>
      <c r="J123" s="516"/>
      <c r="K123" s="516"/>
      <c r="L123" s="495">
        <f ca="1">IF(AND(O122&gt;=SUMIF(NameConv!$C$5:$C$45,RIGHT(C122,3),NameConv!$CG$5:$CG$45),M122=SUMIF(NameConv!$G$4:$M$4,MID(C122,2,3),NameConv!$G$45:$M$45)),L122+1,L122)</f>
        <v>3</v>
      </c>
      <c r="M123" s="495">
        <f ca="1">IF(L123&lt;&gt;L122,1,IF(O122&gt;=SUMIF(NameConv!$C$5:$C$45,RIGHT(C122,3),NameConv!$CG$5:$CG$45),M122+1,M122))</f>
        <v>7</v>
      </c>
      <c r="N123" s="495">
        <f ca="1">SUMIF(NameConv!$C$5:$C$45,RIGHT(C123,3),OFFSET(NameConv!$CG$5,0,O123,NameConv!$A$45,1))</f>
        <v>2</v>
      </c>
      <c r="O123" s="495">
        <f ca="1">IF(O122&gt;=SUMIF(NameConv!$C$5:$C$45,RIGHT(C122,3),NameConv!$CG$5:$CG$45),1,O122+1)</f>
        <v>2</v>
      </c>
    </row>
    <row r="124" spans="1:15">
      <c r="A124" s="422" t="str">
        <f t="shared" ca="1" si="10"/>
        <v/>
      </c>
      <c r="B124" s="515" t="str">
        <f t="shared" si="7"/>
        <v>TOP-OUT</v>
      </c>
      <c r="C124" s="518" t="str">
        <f ca="1">"X"&amp;OFFSET(NameConv!$F$4,0,L124)&amp;OFFSET(NameConv!$F$59,M124,L124)</f>
        <v>XINDGAS</v>
      </c>
      <c r="D124" s="515" t="str">
        <f ca="1">OFFSET(NameConv!$F$4,0,L124)&amp;OFFSET(NameConv!$AX$4,0,N124)</f>
        <v>INDN2OS</v>
      </c>
      <c r="E124" s="740" t="s">
        <v>334</v>
      </c>
      <c r="F124" s="740" t="s">
        <v>334</v>
      </c>
      <c r="G124" s="740" t="s">
        <v>334</v>
      </c>
      <c r="H124" s="740" t="s">
        <v>334</v>
      </c>
      <c r="I124" s="516">
        <f t="shared" si="9"/>
        <v>1</v>
      </c>
      <c r="J124" s="516"/>
      <c r="K124" s="516"/>
      <c r="L124" s="495">
        <f ca="1">IF(AND(O123&gt;=SUMIF(NameConv!$C$5:$C$45,RIGHT(C123,3),NameConv!$CG$5:$CG$45),M123=SUMIF(NameConv!$G$4:$M$4,MID(C123,2,3),NameConv!$G$45:$M$45)),L123+1,L123)</f>
        <v>3</v>
      </c>
      <c r="M124" s="495">
        <f ca="1">IF(L124&lt;&gt;L123,1,IF(O123&gt;=SUMIF(NameConv!$C$5:$C$45,RIGHT(C123,3),NameConv!$CG$5:$CG$45),M123+1,M123))</f>
        <v>7</v>
      </c>
      <c r="N124" s="495">
        <f ca="1">SUMIF(NameConv!$C$5:$C$45,RIGHT(C124,3),OFFSET(NameConv!$CG$5,0,O124,NameConv!$A$45,1))</f>
        <v>3</v>
      </c>
      <c r="O124" s="495">
        <f ca="1">IF(O123&gt;=SUMIF(NameConv!$C$5:$C$45,RIGHT(C123,3),NameConv!$CG$5:$CG$45),1,O123+1)</f>
        <v>3</v>
      </c>
    </row>
    <row r="125" spans="1:15">
      <c r="A125" s="422" t="str">
        <f t="shared" ca="1" si="10"/>
        <v/>
      </c>
      <c r="B125" s="515" t="str">
        <f t="shared" si="7"/>
        <v>TOP-OUT</v>
      </c>
      <c r="C125" s="518" t="str">
        <f ca="1">"X"&amp;OFFSET(NameConv!$F$4,0,L125)&amp;OFFSET(NameConv!$F$59,M125,L125)</f>
        <v>XINDGAS</v>
      </c>
      <c r="D125" s="515" t="str">
        <f ca="1">OFFSET(NameConv!$F$4,0,L125)&amp;OFFSET(NameConv!$AX$4,0,N125)</f>
        <v>INDNOXS</v>
      </c>
      <c r="E125" s="740" t="s">
        <v>334</v>
      </c>
      <c r="F125" s="740" t="s">
        <v>334</v>
      </c>
      <c r="G125" s="740" t="s">
        <v>334</v>
      </c>
      <c r="H125" s="740" t="s">
        <v>334</v>
      </c>
      <c r="I125" s="516">
        <f t="shared" si="9"/>
        <v>1</v>
      </c>
      <c r="J125" s="516"/>
      <c r="K125" s="516"/>
      <c r="L125" s="495">
        <f ca="1">IF(AND(O124&gt;=SUMIF(NameConv!$C$5:$C$45,RIGHT(C124,3),NameConv!$CG$5:$CG$45),M124=SUMIF(NameConv!$G$4:$M$4,MID(C124,2,3),NameConv!$G$45:$M$45)),L124+1,L124)</f>
        <v>3</v>
      </c>
      <c r="M125" s="495">
        <f ca="1">IF(L125&lt;&gt;L124,1,IF(O124&gt;=SUMIF(NameConv!$C$5:$C$45,RIGHT(C124,3),NameConv!$CG$5:$CG$45),M124+1,M124))</f>
        <v>7</v>
      </c>
      <c r="N125" s="495">
        <f ca="1">SUMIF(NameConv!$C$5:$C$45,RIGHT(C125,3),OFFSET(NameConv!$CG$5,0,O125,NameConv!$A$45,1))</f>
        <v>5</v>
      </c>
      <c r="O125" s="495">
        <f ca="1">IF(O124&gt;=SUMIF(NameConv!$C$5:$C$45,RIGHT(C124,3),NameConv!$CG$5:$CG$45),1,O124+1)</f>
        <v>4</v>
      </c>
    </row>
    <row r="126" spans="1:15">
      <c r="A126" s="422" t="str">
        <f t="shared" ca="1" si="10"/>
        <v/>
      </c>
      <c r="B126" s="515" t="str">
        <f t="shared" si="7"/>
        <v>TOP-OUT</v>
      </c>
      <c r="C126" s="518" t="str">
        <f ca="1">"X"&amp;OFFSET(NameConv!$F$4,0,L126)&amp;OFFSET(NameConv!$F$59,M126,L126)</f>
        <v>XINDGAS</v>
      </c>
      <c r="D126" s="515" t="str">
        <f ca="1">OFFSET(NameConv!$F$4,0,L126)&amp;OFFSET(NameConv!$AX$4,0,N126)</f>
        <v>INDCMOX</v>
      </c>
      <c r="E126" s="740" t="s">
        <v>334</v>
      </c>
      <c r="F126" s="740" t="s">
        <v>334</v>
      </c>
      <c r="G126" s="740" t="s">
        <v>334</v>
      </c>
      <c r="H126" s="740" t="s">
        <v>334</v>
      </c>
      <c r="I126" s="516">
        <f t="shared" si="9"/>
        <v>1</v>
      </c>
      <c r="J126" s="516"/>
      <c r="K126" s="516"/>
      <c r="L126" s="495">
        <f ca="1">IF(AND(O125&gt;=SUMIF(NameConv!$C$5:$C$45,RIGHT(C125,3),NameConv!$CG$5:$CG$45),M125=SUMIF(NameConv!$G$4:$M$4,MID(C125,2,3),NameConv!$G$45:$M$45)),L125+1,L125)</f>
        <v>3</v>
      </c>
      <c r="M126" s="495">
        <f ca="1">IF(L126&lt;&gt;L125,1,IF(O125&gt;=SUMIF(NameConv!$C$5:$C$45,RIGHT(C125,3),NameConv!$CG$5:$CG$45),M125+1,M125))</f>
        <v>7</v>
      </c>
      <c r="N126" s="495">
        <f ca="1">SUMIF(NameConv!$C$5:$C$45,RIGHT(C126,3),OFFSET(NameConv!$CG$5,0,O126,NameConv!$A$45,1))</f>
        <v>6</v>
      </c>
      <c r="O126" s="495">
        <f ca="1">IF(O125&gt;=SUMIF(NameConv!$C$5:$C$45,RIGHT(C125,3),NameConv!$CG$5:$CG$45),1,O125+1)</f>
        <v>5</v>
      </c>
    </row>
    <row r="127" spans="1:15">
      <c r="A127" s="422" t="str">
        <f t="shared" ca="1" si="10"/>
        <v/>
      </c>
      <c r="B127" s="515" t="str">
        <f t="shared" si="7"/>
        <v>TOP-OUT</v>
      </c>
      <c r="C127" s="518" t="str">
        <f ca="1">"X"&amp;OFFSET(NameConv!$F$4,0,L127)&amp;OFFSET(NameConv!$F$59,M127,L127)</f>
        <v>XINDGAS</v>
      </c>
      <c r="D127" s="515" t="str">
        <f ca="1">OFFSET(NameConv!$F$4,0,L127)&amp;OFFSET(NameConv!$AX$4,0,N127)</f>
        <v>INDNMVS</v>
      </c>
      <c r="E127" s="740" t="s">
        <v>334</v>
      </c>
      <c r="F127" s="740" t="s">
        <v>334</v>
      </c>
      <c r="G127" s="740" t="s">
        <v>334</v>
      </c>
      <c r="H127" s="740" t="s">
        <v>334</v>
      </c>
      <c r="I127" s="516">
        <f t="shared" si="9"/>
        <v>1</v>
      </c>
      <c r="J127" s="516"/>
      <c r="K127" s="516"/>
      <c r="L127" s="495">
        <f ca="1">IF(AND(O126&gt;=SUMIF(NameConv!$C$5:$C$45,RIGHT(C126,3),NameConv!$CG$5:$CG$45),M126=SUMIF(NameConv!$G$4:$M$4,MID(C126,2,3),NameConv!$G$45:$M$45)),L126+1,L126)</f>
        <v>3</v>
      </c>
      <c r="M127" s="495">
        <f ca="1">IF(L127&lt;&gt;L126,1,IF(O126&gt;=SUMIF(NameConv!$C$5:$C$45,RIGHT(C126,3),NameConv!$CG$5:$CG$45),M126+1,M126))</f>
        <v>7</v>
      </c>
      <c r="N127" s="495">
        <f ca="1">SUMIF(NameConv!$C$5:$C$45,RIGHT(C127,3),OFFSET(NameConv!$CG$5,0,O127,NameConv!$A$45,1))</f>
        <v>7</v>
      </c>
      <c r="O127" s="495">
        <f ca="1">IF(O126&gt;=SUMIF(NameConv!$C$5:$C$45,RIGHT(C126,3),NameConv!$CG$5:$CG$45),1,O126+1)</f>
        <v>6</v>
      </c>
    </row>
    <row r="128" spans="1:15">
      <c r="A128" s="422" t="str">
        <f t="shared" ca="1" si="10"/>
        <v/>
      </c>
      <c r="B128" s="515" t="str">
        <f t="shared" si="7"/>
        <v>TOP-OUT</v>
      </c>
      <c r="C128" s="518" t="str">
        <f ca="1">"X"&amp;OFFSET(NameConv!$F$4,0,L128)&amp;OFFSET(NameConv!$F$59,M128,L128)</f>
        <v>XINDODS</v>
      </c>
      <c r="D128" s="515" t="str">
        <f ca="1">OFFSET(NameConv!$F$4,0,L128)&amp;OFFSET(NameConv!$AX$4,0,N128)</f>
        <v>INDCO2S</v>
      </c>
      <c r="E128" s="740" t="s">
        <v>334</v>
      </c>
      <c r="F128" s="740" t="s">
        <v>334</v>
      </c>
      <c r="G128" s="740" t="s">
        <v>334</v>
      </c>
      <c r="H128" s="740" t="s">
        <v>334</v>
      </c>
      <c r="I128" s="516">
        <f t="shared" si="9"/>
        <v>1</v>
      </c>
      <c r="J128" s="516"/>
      <c r="K128" s="516"/>
      <c r="L128" s="495">
        <f ca="1">IF(AND(O127&gt;=SUMIF(NameConv!$C$5:$C$45,RIGHT(C127,3),NameConv!$CG$5:$CG$45),M127=SUMIF(NameConv!$G$4:$M$4,MID(C127,2,3),NameConv!$G$45:$M$45)),L127+1,L127)</f>
        <v>3</v>
      </c>
      <c r="M128" s="495">
        <f ca="1">IF(L128&lt;&gt;L127,1,IF(O127&gt;=SUMIF(NameConv!$C$5:$C$45,RIGHT(C127,3),NameConv!$CG$5:$CG$45),M127+1,M127))</f>
        <v>8</v>
      </c>
      <c r="N128" s="495">
        <f ca="1">SUMIF(NameConv!$C$5:$C$45,RIGHT(C128,3),OFFSET(NameConv!$CG$5,0,O128,NameConv!$A$45,1))</f>
        <v>1</v>
      </c>
      <c r="O128" s="495">
        <f ca="1">IF(O127&gt;=SUMIF(NameConv!$C$5:$C$45,RIGHT(C127,3),NameConv!$CG$5:$CG$45),1,O127+1)</f>
        <v>1</v>
      </c>
    </row>
    <row r="129" spans="1:15">
      <c r="A129" s="422" t="str">
        <f t="shared" ca="1" si="10"/>
        <v/>
      </c>
      <c r="B129" s="515" t="str">
        <f t="shared" si="7"/>
        <v>TOP-OUT</v>
      </c>
      <c r="C129" s="518" t="str">
        <f ca="1">"X"&amp;OFFSET(NameConv!$F$4,0,L129)&amp;OFFSET(NameConv!$F$59,M129,L129)</f>
        <v>XINDODS</v>
      </c>
      <c r="D129" s="515" t="str">
        <f ca="1">OFFSET(NameConv!$F$4,0,L129)&amp;OFFSET(NameConv!$AX$4,0,N129)</f>
        <v>INDCH4S</v>
      </c>
      <c r="E129" s="740" t="s">
        <v>334</v>
      </c>
      <c r="F129" s="740" t="s">
        <v>334</v>
      </c>
      <c r="G129" s="740" t="s">
        <v>334</v>
      </c>
      <c r="H129" s="740" t="s">
        <v>334</v>
      </c>
      <c r="I129" s="516">
        <f t="shared" si="9"/>
        <v>1</v>
      </c>
      <c r="J129" s="516"/>
      <c r="K129" s="516"/>
      <c r="L129" s="495">
        <f ca="1">IF(AND(O128&gt;=SUMIF(NameConv!$C$5:$C$45,RIGHT(C128,3),NameConv!$CG$5:$CG$45),M128=SUMIF(NameConv!$G$4:$M$4,MID(C128,2,3),NameConv!$G$45:$M$45)),L128+1,L128)</f>
        <v>3</v>
      </c>
      <c r="M129" s="495">
        <f ca="1">IF(L129&lt;&gt;L128,1,IF(O128&gt;=SUMIF(NameConv!$C$5:$C$45,RIGHT(C128,3),NameConv!$CG$5:$CG$45),M128+1,M128))</f>
        <v>8</v>
      </c>
      <c r="N129" s="495">
        <f ca="1">SUMIF(NameConv!$C$5:$C$45,RIGHT(C129,3),OFFSET(NameConv!$CG$5,0,O129,NameConv!$A$45,1))</f>
        <v>2</v>
      </c>
      <c r="O129" s="495">
        <f ca="1">IF(O128&gt;=SUMIF(NameConv!$C$5:$C$45,RIGHT(C128,3),NameConv!$CG$5:$CG$45),1,O128+1)</f>
        <v>2</v>
      </c>
    </row>
    <row r="130" spans="1:15">
      <c r="A130" s="422" t="str">
        <f t="shared" ca="1" si="10"/>
        <v/>
      </c>
      <c r="B130" s="515" t="str">
        <f t="shared" si="7"/>
        <v>TOP-OUT</v>
      </c>
      <c r="C130" s="518" t="str">
        <f ca="1">"X"&amp;OFFSET(NameConv!$F$4,0,L130)&amp;OFFSET(NameConv!$F$59,M130,L130)</f>
        <v>XINDODS</v>
      </c>
      <c r="D130" s="515" t="str">
        <f ca="1">OFFSET(NameConv!$F$4,0,L130)&amp;OFFSET(NameConv!$AX$4,0,N130)</f>
        <v>INDN2OS</v>
      </c>
      <c r="E130" s="740" t="s">
        <v>334</v>
      </c>
      <c r="F130" s="740" t="s">
        <v>334</v>
      </c>
      <c r="G130" s="740" t="s">
        <v>334</v>
      </c>
      <c r="H130" s="740" t="s">
        <v>334</v>
      </c>
      <c r="I130" s="516">
        <f t="shared" si="9"/>
        <v>1</v>
      </c>
      <c r="J130" s="516"/>
      <c r="K130" s="516"/>
      <c r="L130" s="495">
        <f ca="1">IF(AND(O129&gt;=SUMIF(NameConv!$C$5:$C$45,RIGHT(C129,3),NameConv!$CG$5:$CG$45),M129=SUMIF(NameConv!$G$4:$M$4,MID(C129,2,3),NameConv!$G$45:$M$45)),L129+1,L129)</f>
        <v>3</v>
      </c>
      <c r="M130" s="495">
        <f ca="1">IF(L130&lt;&gt;L129,1,IF(O129&gt;=SUMIF(NameConv!$C$5:$C$45,RIGHT(C129,3),NameConv!$CG$5:$CG$45),M129+1,M129))</f>
        <v>8</v>
      </c>
      <c r="N130" s="495">
        <f ca="1">SUMIF(NameConv!$C$5:$C$45,RIGHT(C130,3),OFFSET(NameConv!$CG$5,0,O130,NameConv!$A$45,1))</f>
        <v>3</v>
      </c>
      <c r="O130" s="495">
        <f ca="1">IF(O129&gt;=SUMIF(NameConv!$C$5:$C$45,RIGHT(C129,3),NameConv!$CG$5:$CG$45),1,O129+1)</f>
        <v>3</v>
      </c>
    </row>
    <row r="131" spans="1:15">
      <c r="A131" s="422" t="str">
        <f t="shared" ca="1" si="10"/>
        <v/>
      </c>
      <c r="B131" s="515" t="str">
        <f t="shared" si="7"/>
        <v>TOP-OUT</v>
      </c>
      <c r="C131" s="518" t="str">
        <f ca="1">"X"&amp;OFFSET(NameConv!$F$4,0,L131)&amp;OFFSET(NameConv!$F$59,M131,L131)</f>
        <v>XINDODS</v>
      </c>
      <c r="D131" s="515" t="str">
        <f ca="1">OFFSET(NameConv!$F$4,0,L131)&amp;OFFSET(NameConv!$AX$4,0,N131)</f>
        <v>INDSOXS</v>
      </c>
      <c r="E131" s="740" t="s">
        <v>334</v>
      </c>
      <c r="F131" s="740" t="s">
        <v>334</v>
      </c>
      <c r="G131" s="740" t="s">
        <v>334</v>
      </c>
      <c r="H131" s="740" t="s">
        <v>334</v>
      </c>
      <c r="I131" s="516">
        <f t="shared" si="9"/>
        <v>1</v>
      </c>
      <c r="J131" s="516"/>
      <c r="K131" s="516"/>
      <c r="L131" s="495">
        <f ca="1">IF(AND(O130&gt;=SUMIF(NameConv!$C$5:$C$45,RIGHT(C130,3),NameConv!$CG$5:$CG$45),M130=SUMIF(NameConv!$G$4:$M$4,MID(C130,2,3),NameConv!$G$45:$M$45)),L130+1,L130)</f>
        <v>3</v>
      </c>
      <c r="M131" s="495">
        <f ca="1">IF(L131&lt;&gt;L130,1,IF(O130&gt;=SUMIF(NameConv!$C$5:$C$45,RIGHT(C130,3),NameConv!$CG$5:$CG$45),M130+1,M130))</f>
        <v>8</v>
      </c>
      <c r="N131" s="495">
        <f ca="1">SUMIF(NameConv!$C$5:$C$45,RIGHT(C131,3),OFFSET(NameConv!$CG$5,0,O131,NameConv!$A$45,1))</f>
        <v>4</v>
      </c>
      <c r="O131" s="495">
        <f ca="1">IF(O130&gt;=SUMIF(NameConv!$C$5:$C$45,RIGHT(C130,3),NameConv!$CG$5:$CG$45),1,O130+1)</f>
        <v>4</v>
      </c>
    </row>
    <row r="132" spans="1:15">
      <c r="A132" s="422" t="str">
        <f t="shared" ca="1" si="10"/>
        <v/>
      </c>
      <c r="B132" s="515" t="str">
        <f t="shared" si="7"/>
        <v>TOP-OUT</v>
      </c>
      <c r="C132" s="518" t="str">
        <f ca="1">"X"&amp;OFFSET(NameConv!$F$4,0,L132)&amp;OFFSET(NameConv!$F$59,M132,L132)</f>
        <v>XINDODS</v>
      </c>
      <c r="D132" s="515" t="str">
        <f ca="1">OFFSET(NameConv!$F$4,0,L132)&amp;OFFSET(NameConv!$AX$4,0,N132)</f>
        <v>INDNOXS</v>
      </c>
      <c r="E132" s="740" t="s">
        <v>334</v>
      </c>
      <c r="F132" s="740" t="s">
        <v>334</v>
      </c>
      <c r="G132" s="740" t="s">
        <v>334</v>
      </c>
      <c r="H132" s="740" t="s">
        <v>334</v>
      </c>
      <c r="I132" s="516">
        <f t="shared" si="9"/>
        <v>1</v>
      </c>
      <c r="J132" s="516"/>
      <c r="K132" s="516"/>
      <c r="L132" s="495">
        <f ca="1">IF(AND(O131&gt;=SUMIF(NameConv!$C$5:$C$45,RIGHT(C131,3),NameConv!$CG$5:$CG$45),M131=SUMIF(NameConv!$G$4:$M$4,MID(C131,2,3),NameConv!$G$45:$M$45)),L131+1,L131)</f>
        <v>3</v>
      </c>
      <c r="M132" s="495">
        <f ca="1">IF(L132&lt;&gt;L131,1,IF(O131&gt;=SUMIF(NameConv!$C$5:$C$45,RIGHT(C131,3),NameConv!$CG$5:$CG$45),M131+1,M131))</f>
        <v>8</v>
      </c>
      <c r="N132" s="495">
        <f ca="1">SUMIF(NameConv!$C$5:$C$45,RIGHT(C132,3),OFFSET(NameConv!$CG$5,0,O132,NameConv!$A$45,1))</f>
        <v>5</v>
      </c>
      <c r="O132" s="495">
        <f ca="1">IF(O131&gt;=SUMIF(NameConv!$C$5:$C$45,RIGHT(C131,3),NameConv!$CG$5:$CG$45),1,O131+1)</f>
        <v>5</v>
      </c>
    </row>
    <row r="133" spans="1:15">
      <c r="A133" s="422" t="str">
        <f t="shared" ca="1" si="10"/>
        <v/>
      </c>
      <c r="B133" s="515" t="str">
        <f t="shared" si="7"/>
        <v>TOP-OUT</v>
      </c>
      <c r="C133" s="518" t="str">
        <f ca="1">"X"&amp;OFFSET(NameConv!$F$4,0,L133)&amp;OFFSET(NameConv!$F$59,M133,L133)</f>
        <v>XINDODS</v>
      </c>
      <c r="D133" s="515" t="str">
        <f ca="1">OFFSET(NameConv!$F$4,0,L133)&amp;OFFSET(NameConv!$AX$4,0,N133)</f>
        <v>INDCMOX</v>
      </c>
      <c r="E133" s="740" t="s">
        <v>334</v>
      </c>
      <c r="F133" s="740" t="s">
        <v>334</v>
      </c>
      <c r="G133" s="740" t="s">
        <v>334</v>
      </c>
      <c r="H133" s="740" t="s">
        <v>334</v>
      </c>
      <c r="I133" s="516">
        <f t="shared" si="9"/>
        <v>1</v>
      </c>
      <c r="J133" s="516"/>
      <c r="K133" s="516"/>
      <c r="L133" s="495">
        <f ca="1">IF(AND(O132&gt;=SUMIF(NameConv!$C$5:$C$45,RIGHT(C132,3),NameConv!$CG$5:$CG$45),M132=SUMIF(NameConv!$G$4:$M$4,MID(C132,2,3),NameConv!$G$45:$M$45)),L132+1,L132)</f>
        <v>3</v>
      </c>
      <c r="M133" s="495">
        <f ca="1">IF(L133&lt;&gt;L132,1,IF(O132&gt;=SUMIF(NameConv!$C$5:$C$45,RIGHT(C132,3),NameConv!$CG$5:$CG$45),M132+1,M132))</f>
        <v>8</v>
      </c>
      <c r="N133" s="495">
        <f ca="1">SUMIF(NameConv!$C$5:$C$45,RIGHT(C133,3),OFFSET(NameConv!$CG$5,0,O133,NameConv!$A$45,1))</f>
        <v>6</v>
      </c>
      <c r="O133" s="495">
        <f ca="1">IF(O132&gt;=SUMIF(NameConv!$C$5:$C$45,RIGHT(C132,3),NameConv!$CG$5:$CG$45),1,O132+1)</f>
        <v>6</v>
      </c>
    </row>
    <row r="134" spans="1:15">
      <c r="A134" s="422" t="str">
        <f t="shared" ca="1" si="10"/>
        <v/>
      </c>
      <c r="B134" s="515" t="str">
        <f t="shared" si="7"/>
        <v>TOP-OUT</v>
      </c>
      <c r="C134" s="518" t="str">
        <f ca="1">"X"&amp;OFFSET(NameConv!$F$4,0,L134)&amp;OFFSET(NameConv!$F$59,M134,L134)</f>
        <v>XINDODS</v>
      </c>
      <c r="D134" s="515" t="str">
        <f ca="1">OFFSET(NameConv!$F$4,0,L134)&amp;OFFSET(NameConv!$AX$4,0,N134)</f>
        <v>INDNMVS</v>
      </c>
      <c r="E134" s="740" t="s">
        <v>334</v>
      </c>
      <c r="F134" s="740" t="s">
        <v>334</v>
      </c>
      <c r="G134" s="740" t="s">
        <v>334</v>
      </c>
      <c r="H134" s="740" t="s">
        <v>334</v>
      </c>
      <c r="I134" s="516">
        <f t="shared" si="9"/>
        <v>1</v>
      </c>
      <c r="J134" s="516"/>
      <c r="K134" s="516"/>
      <c r="L134" s="495">
        <f ca="1">IF(AND(O133&gt;=SUMIF(NameConv!$C$5:$C$45,RIGHT(C133,3),NameConv!$CG$5:$CG$45),M133=SUMIF(NameConv!$G$4:$M$4,MID(C133,2,3),NameConv!$G$45:$M$45)),L133+1,L133)</f>
        <v>3</v>
      </c>
      <c r="M134" s="495">
        <f ca="1">IF(L134&lt;&gt;L133,1,IF(O133&gt;=SUMIF(NameConv!$C$5:$C$45,RIGHT(C133,3),NameConv!$CG$5:$CG$45),M133+1,M133))</f>
        <v>8</v>
      </c>
      <c r="N134" s="495">
        <f ca="1">SUMIF(NameConv!$C$5:$C$45,RIGHT(C134,3),OFFSET(NameConv!$CG$5,0,O134,NameConv!$A$45,1))</f>
        <v>7</v>
      </c>
      <c r="O134" s="495">
        <f ca="1">IF(O133&gt;=SUMIF(NameConv!$C$5:$C$45,RIGHT(C133,3),NameConv!$CG$5:$CG$45),1,O133+1)</f>
        <v>7</v>
      </c>
    </row>
    <row r="135" spans="1:15">
      <c r="A135" s="422" t="str">
        <f t="shared" ca="1" si="10"/>
        <v/>
      </c>
      <c r="B135" s="515" t="str">
        <f t="shared" si="7"/>
        <v>TOP-OUT</v>
      </c>
      <c r="C135" s="518" t="str">
        <f ca="1">"X"&amp;OFFSET(NameConv!$F$4,0,L135)&amp;OFFSET(NameConv!$F$59,M135,L135)</f>
        <v>XINDOGS</v>
      </c>
      <c r="D135" s="515" t="str">
        <f ca="1">OFFSET(NameConv!$F$4,0,L135)&amp;OFFSET(NameConv!$AX$4,0,N135)</f>
        <v>INDCO2S</v>
      </c>
      <c r="E135" s="740" t="s">
        <v>334</v>
      </c>
      <c r="F135" s="740" t="s">
        <v>334</v>
      </c>
      <c r="G135" s="740" t="s">
        <v>334</v>
      </c>
      <c r="H135" s="740" t="s">
        <v>334</v>
      </c>
      <c r="I135" s="516">
        <f t="shared" si="9"/>
        <v>1</v>
      </c>
      <c r="J135" s="516"/>
      <c r="K135" s="516"/>
      <c r="L135" s="495">
        <f ca="1">IF(AND(O134&gt;=SUMIF(NameConv!$C$5:$C$45,RIGHT(C134,3),NameConv!$CG$5:$CG$45),M134=SUMIF(NameConv!$G$4:$M$4,MID(C134,2,3),NameConv!$G$45:$M$45)),L134+1,L134)</f>
        <v>3</v>
      </c>
      <c r="M135" s="495">
        <f ca="1">IF(L135&lt;&gt;L134,1,IF(O134&gt;=SUMIF(NameConv!$C$5:$C$45,RIGHT(C134,3),NameConv!$CG$5:$CG$45),M134+1,M134))</f>
        <v>9</v>
      </c>
      <c r="N135" s="495">
        <f ca="1">SUMIF(NameConv!$C$5:$C$45,RIGHT(C135,3),OFFSET(NameConv!$CG$5,0,O135,NameConv!$A$45,1))</f>
        <v>1</v>
      </c>
      <c r="O135" s="495">
        <f ca="1">IF(O134&gt;=SUMIF(NameConv!$C$5:$C$45,RIGHT(C134,3),NameConv!$CG$5:$CG$45),1,O134+1)</f>
        <v>1</v>
      </c>
    </row>
    <row r="136" spans="1:15">
      <c r="A136" s="422" t="str">
        <f ca="1">IF(LEN(D136)=3,"*","")</f>
        <v/>
      </c>
      <c r="B136" s="515" t="str">
        <f t="shared" si="7"/>
        <v>TOP-OUT</v>
      </c>
      <c r="C136" s="518" t="str">
        <f ca="1">"X"&amp;OFFSET(NameConv!$F$4,0,L136)&amp;OFFSET(NameConv!$F$59,M136,L136)</f>
        <v>XINDOGS</v>
      </c>
      <c r="D136" s="515" t="str">
        <f ca="1">OFFSET(NameConv!$F$4,0,L136)&amp;OFFSET(NameConv!$AX$4,0,N136)</f>
        <v>INDCH4S</v>
      </c>
      <c r="E136" s="740" t="s">
        <v>334</v>
      </c>
      <c r="F136" s="740" t="s">
        <v>334</v>
      </c>
      <c r="G136" s="740" t="s">
        <v>334</v>
      </c>
      <c r="H136" s="740" t="s">
        <v>334</v>
      </c>
      <c r="I136" s="516">
        <f t="shared" si="9"/>
        <v>1</v>
      </c>
      <c r="J136" s="516"/>
      <c r="K136" s="516"/>
      <c r="L136" s="495">
        <f ca="1">IF(AND(O135&gt;=SUMIF(NameConv!$C$5:$C$45,RIGHT(C135,3),NameConv!$CG$5:$CG$45),M135=SUMIF(NameConv!$G$4:$M$4,MID(C135,2,3),NameConv!$G$45:$M$45)),L135+1,L135)</f>
        <v>3</v>
      </c>
      <c r="M136" s="495">
        <f ca="1">IF(L136&lt;&gt;L135,1,IF(O135&gt;=SUMIF(NameConv!$C$5:$C$45,RIGHT(C135,3),NameConv!$CG$5:$CG$45),M135+1,M135))</f>
        <v>9</v>
      </c>
      <c r="N136" s="495">
        <f ca="1">SUMIF(NameConv!$C$5:$C$45,RIGHT(C136,3),OFFSET(NameConv!$CG$5,0,O136,NameConv!$A$45,1))</f>
        <v>2</v>
      </c>
      <c r="O136" s="495">
        <f ca="1">IF(O135&gt;=SUMIF(NameConv!$C$5:$C$45,RIGHT(C135,3),NameConv!$CG$5:$CG$45),1,O135+1)</f>
        <v>2</v>
      </c>
    </row>
    <row r="137" spans="1:15">
      <c r="A137" s="422" t="str">
        <f t="shared" ref="A137:A159" ca="1" si="11">IF(LEN(D137)=3,"*","")</f>
        <v/>
      </c>
      <c r="B137" s="515" t="str">
        <f t="shared" si="7"/>
        <v>TOP-OUT</v>
      </c>
      <c r="C137" s="518" t="str">
        <f ca="1">"X"&amp;OFFSET(NameConv!$F$4,0,L137)&amp;OFFSET(NameConv!$F$59,M137,L137)</f>
        <v>XINDOGS</v>
      </c>
      <c r="D137" s="515" t="str">
        <f ca="1">OFFSET(NameConv!$F$4,0,L137)&amp;OFFSET(NameConv!$AX$4,0,N137)</f>
        <v>INDN2OS</v>
      </c>
      <c r="E137" s="740" t="s">
        <v>334</v>
      </c>
      <c r="F137" s="740" t="s">
        <v>334</v>
      </c>
      <c r="G137" s="740" t="s">
        <v>334</v>
      </c>
      <c r="H137" s="740" t="s">
        <v>334</v>
      </c>
      <c r="I137" s="516">
        <f t="shared" si="9"/>
        <v>1</v>
      </c>
      <c r="J137" s="516"/>
      <c r="K137" s="516"/>
      <c r="L137" s="495">
        <f ca="1">IF(AND(O136&gt;=SUMIF(NameConv!$C$5:$C$45,RIGHT(C136,3),NameConv!$CG$5:$CG$45),M136=SUMIF(NameConv!$G$4:$M$4,MID(C136,2,3),NameConv!$G$45:$M$45)),L136+1,L136)</f>
        <v>3</v>
      </c>
      <c r="M137" s="495">
        <f ca="1">IF(L137&lt;&gt;L136,1,IF(O136&gt;=SUMIF(NameConv!$C$5:$C$45,RIGHT(C136,3),NameConv!$CG$5:$CG$45),M136+1,M136))</f>
        <v>9</v>
      </c>
      <c r="N137" s="495">
        <f ca="1">SUMIF(NameConv!$C$5:$C$45,RIGHT(C137,3),OFFSET(NameConv!$CG$5,0,O137,NameConv!$A$45,1))</f>
        <v>3</v>
      </c>
      <c r="O137" s="495">
        <f ca="1">IF(O136&gt;=SUMIF(NameConv!$C$5:$C$45,RIGHT(C136,3),NameConv!$CG$5:$CG$45),1,O136+1)</f>
        <v>3</v>
      </c>
    </row>
    <row r="138" spans="1:15">
      <c r="A138" s="422" t="str">
        <f t="shared" ca="1" si="11"/>
        <v/>
      </c>
      <c r="B138" s="515" t="str">
        <f t="shared" si="7"/>
        <v>TOP-OUT</v>
      </c>
      <c r="C138" s="518" t="str">
        <f ca="1">"X"&amp;OFFSET(NameConv!$F$4,0,L138)&amp;OFFSET(NameConv!$F$59,M138,L138)</f>
        <v>XINDOGS</v>
      </c>
      <c r="D138" s="515" t="str">
        <f ca="1">OFFSET(NameConv!$F$4,0,L138)&amp;OFFSET(NameConv!$AX$4,0,N138)</f>
        <v>INDSOXS</v>
      </c>
      <c r="E138" s="740" t="s">
        <v>334</v>
      </c>
      <c r="F138" s="740" t="s">
        <v>334</v>
      </c>
      <c r="G138" s="740" t="s">
        <v>334</v>
      </c>
      <c r="H138" s="740" t="s">
        <v>334</v>
      </c>
      <c r="I138" s="516">
        <f t="shared" si="9"/>
        <v>1</v>
      </c>
      <c r="J138" s="516"/>
      <c r="K138" s="516"/>
      <c r="L138" s="495">
        <f ca="1">IF(AND(O137&gt;=SUMIF(NameConv!$C$5:$C$45,RIGHT(C137,3),NameConv!$CG$5:$CG$45),M137=SUMIF(NameConv!$G$4:$M$4,MID(C137,2,3),NameConv!$G$45:$M$45)),L137+1,L137)</f>
        <v>3</v>
      </c>
      <c r="M138" s="495">
        <f ca="1">IF(L138&lt;&gt;L137,1,IF(O137&gt;=SUMIF(NameConv!$C$5:$C$45,RIGHT(C137,3),NameConv!$CG$5:$CG$45),M137+1,M137))</f>
        <v>9</v>
      </c>
      <c r="N138" s="495">
        <f ca="1">SUMIF(NameConv!$C$5:$C$45,RIGHT(C138,3),OFFSET(NameConv!$CG$5,0,O138,NameConv!$A$45,1))</f>
        <v>4</v>
      </c>
      <c r="O138" s="495">
        <f ca="1">IF(O137&gt;=SUMIF(NameConv!$C$5:$C$45,RIGHT(C137,3),NameConv!$CG$5:$CG$45),1,O137+1)</f>
        <v>4</v>
      </c>
    </row>
    <row r="139" spans="1:15">
      <c r="A139" s="422" t="str">
        <f t="shared" ca="1" si="11"/>
        <v/>
      </c>
      <c r="B139" s="515" t="str">
        <f t="shared" si="7"/>
        <v>TOP-OUT</v>
      </c>
      <c r="C139" s="518" t="str">
        <f ca="1">"X"&amp;OFFSET(NameConv!$F$4,0,L139)&amp;OFFSET(NameConv!$F$59,M139,L139)</f>
        <v>XINDOGS</v>
      </c>
      <c r="D139" s="515" t="str">
        <f ca="1">OFFSET(NameConv!$F$4,0,L139)&amp;OFFSET(NameConv!$AX$4,0,N139)</f>
        <v>INDNOXS</v>
      </c>
      <c r="E139" s="740" t="s">
        <v>334</v>
      </c>
      <c r="F139" s="740" t="s">
        <v>334</v>
      </c>
      <c r="G139" s="740" t="s">
        <v>334</v>
      </c>
      <c r="H139" s="740" t="s">
        <v>334</v>
      </c>
      <c r="I139" s="516">
        <f t="shared" si="9"/>
        <v>1</v>
      </c>
      <c r="J139" s="516"/>
      <c r="K139" s="516"/>
      <c r="L139" s="495">
        <f ca="1">IF(AND(O138&gt;=SUMIF(NameConv!$C$5:$C$45,RIGHT(C138,3),NameConv!$CG$5:$CG$45),M138=SUMIF(NameConv!$G$4:$M$4,MID(C138,2,3),NameConv!$G$45:$M$45)),L138+1,L138)</f>
        <v>3</v>
      </c>
      <c r="M139" s="495">
        <f ca="1">IF(L139&lt;&gt;L138,1,IF(O138&gt;=SUMIF(NameConv!$C$5:$C$45,RIGHT(C138,3),NameConv!$CG$5:$CG$45),M138+1,M138))</f>
        <v>9</v>
      </c>
      <c r="N139" s="495">
        <f ca="1">SUMIF(NameConv!$C$5:$C$45,RIGHT(C139,3),OFFSET(NameConv!$CG$5,0,O139,NameConv!$A$45,1))</f>
        <v>5</v>
      </c>
      <c r="O139" s="495">
        <f ca="1">IF(O138&gt;=SUMIF(NameConv!$C$5:$C$45,RIGHT(C138,3),NameConv!$CG$5:$CG$45),1,O138+1)</f>
        <v>5</v>
      </c>
    </row>
    <row r="140" spans="1:15">
      <c r="A140" s="422" t="str">
        <f t="shared" ca="1" si="11"/>
        <v/>
      </c>
      <c r="B140" s="515" t="str">
        <f t="shared" si="7"/>
        <v>TOP-OUT</v>
      </c>
      <c r="C140" s="518" t="str">
        <f ca="1">"X"&amp;OFFSET(NameConv!$F$4,0,L140)&amp;OFFSET(NameConv!$F$59,M140,L140)</f>
        <v>XINDOGS</v>
      </c>
      <c r="D140" s="515" t="str">
        <f ca="1">OFFSET(NameConv!$F$4,0,L140)&amp;OFFSET(NameConv!$AX$4,0,N140)</f>
        <v>INDCMOX</v>
      </c>
      <c r="E140" s="740" t="s">
        <v>334</v>
      </c>
      <c r="F140" s="740" t="s">
        <v>334</v>
      </c>
      <c r="G140" s="740" t="s">
        <v>334</v>
      </c>
      <c r="H140" s="740" t="s">
        <v>334</v>
      </c>
      <c r="I140" s="516">
        <f t="shared" si="9"/>
        <v>1</v>
      </c>
      <c r="J140" s="516"/>
      <c r="K140" s="516"/>
      <c r="L140" s="495">
        <f ca="1">IF(AND(O139&gt;=SUMIF(NameConv!$C$5:$C$45,RIGHT(C139,3),NameConv!$CG$5:$CG$45),M139=SUMIF(NameConv!$G$4:$M$4,MID(C139,2,3),NameConv!$G$45:$M$45)),L139+1,L139)</f>
        <v>3</v>
      </c>
      <c r="M140" s="495">
        <f ca="1">IF(L140&lt;&gt;L139,1,IF(O139&gt;=SUMIF(NameConv!$C$5:$C$45,RIGHT(C139,3),NameConv!$CG$5:$CG$45),M139+1,M139))</f>
        <v>9</v>
      </c>
      <c r="N140" s="495">
        <f ca="1">SUMIF(NameConv!$C$5:$C$45,RIGHT(C140,3),OFFSET(NameConv!$CG$5,0,O140,NameConv!$A$45,1))</f>
        <v>6</v>
      </c>
      <c r="O140" s="495">
        <f ca="1">IF(O139&gt;=SUMIF(NameConv!$C$5:$C$45,RIGHT(C139,3),NameConv!$CG$5:$CG$45),1,O139+1)</f>
        <v>6</v>
      </c>
    </row>
    <row r="141" spans="1:15">
      <c r="A141" s="422" t="str">
        <f t="shared" ca="1" si="11"/>
        <v/>
      </c>
      <c r="B141" s="515" t="str">
        <f t="shared" si="7"/>
        <v>TOP-OUT</v>
      </c>
      <c r="C141" s="518" t="str">
        <f ca="1">"X"&amp;OFFSET(NameConv!$F$4,0,L141)&amp;OFFSET(NameConv!$F$59,M141,L141)</f>
        <v>XINDOGS</v>
      </c>
      <c r="D141" s="515" t="str">
        <f ca="1">OFFSET(NameConv!$F$4,0,L141)&amp;OFFSET(NameConv!$AX$4,0,N141)</f>
        <v>INDNMVS</v>
      </c>
      <c r="E141" s="740" t="s">
        <v>334</v>
      </c>
      <c r="F141" s="740" t="s">
        <v>334</v>
      </c>
      <c r="G141" s="740" t="s">
        <v>334</v>
      </c>
      <c r="H141" s="740" t="s">
        <v>334</v>
      </c>
      <c r="I141" s="516">
        <f t="shared" si="9"/>
        <v>1</v>
      </c>
      <c r="J141" s="516"/>
      <c r="K141" s="516"/>
      <c r="L141" s="495">
        <f ca="1">IF(AND(O140&gt;=SUMIF(NameConv!$C$5:$C$45,RIGHT(C140,3),NameConv!$CG$5:$CG$45),M140=SUMIF(NameConv!$G$4:$M$4,MID(C140,2,3),NameConv!$G$45:$M$45)),L140+1,L140)</f>
        <v>3</v>
      </c>
      <c r="M141" s="495">
        <f ca="1">IF(L141&lt;&gt;L140,1,IF(O140&gt;=SUMIF(NameConv!$C$5:$C$45,RIGHT(C140,3),NameConv!$CG$5:$CG$45),M140+1,M140))</f>
        <v>9</v>
      </c>
      <c r="N141" s="495">
        <f ca="1">SUMIF(NameConv!$C$5:$C$45,RIGHT(C141,3),OFFSET(NameConv!$CG$5,0,O141,NameConv!$A$45,1))</f>
        <v>7</v>
      </c>
      <c r="O141" s="495">
        <f ca="1">IF(O140&gt;=SUMIF(NameConv!$C$5:$C$45,RIGHT(C140,3),NameConv!$CG$5:$CG$45),1,O140+1)</f>
        <v>7</v>
      </c>
    </row>
    <row r="142" spans="1:15">
      <c r="A142" s="422" t="str">
        <f t="shared" ca="1" si="11"/>
        <v/>
      </c>
      <c r="B142" s="515" t="str">
        <f t="shared" ref="B142:B206" si="12">$B$10</f>
        <v>TOP-OUT</v>
      </c>
      <c r="C142" s="518" t="str">
        <f ca="1">"X"&amp;OFFSET(NameConv!$F$4,0,L142)&amp;OFFSET(NameConv!$F$59,M142,L142)</f>
        <v>XINDOHF</v>
      </c>
      <c r="D142" s="515" t="str">
        <f ca="1">OFFSET(NameConv!$F$4,0,L142)&amp;OFFSET(NameConv!$AX$4,0,N142)</f>
        <v>INDCO2S</v>
      </c>
      <c r="E142" s="740" t="s">
        <v>334</v>
      </c>
      <c r="F142" s="740" t="s">
        <v>334</v>
      </c>
      <c r="G142" s="740" t="s">
        <v>334</v>
      </c>
      <c r="H142" s="740" t="s">
        <v>334</v>
      </c>
      <c r="I142" s="516">
        <f t="shared" si="9"/>
        <v>1</v>
      </c>
      <c r="J142" s="516"/>
      <c r="K142" s="516"/>
      <c r="L142" s="495">
        <f ca="1">IF(AND(O141&gt;=SUMIF(NameConv!$C$5:$C$45,RIGHT(C141,3),NameConv!$CG$5:$CG$45),M141=SUMIF(NameConv!$G$4:$M$4,MID(C141,2,3),NameConv!$G$45:$M$45)),L141+1,L141)</f>
        <v>3</v>
      </c>
      <c r="M142" s="495">
        <f ca="1">IF(L142&lt;&gt;L141,1,IF(O141&gt;=SUMIF(NameConv!$C$5:$C$45,RIGHT(C141,3),NameConv!$CG$5:$CG$45),M141+1,M141))</f>
        <v>10</v>
      </c>
      <c r="N142" s="495">
        <f ca="1">SUMIF(NameConv!$C$5:$C$45,RIGHT(C142,3),OFFSET(NameConv!$CG$5,0,O142,NameConv!$A$45,1))</f>
        <v>1</v>
      </c>
      <c r="O142" s="495">
        <f ca="1">IF(O141&gt;=SUMIF(NameConv!$C$5:$C$45,RIGHT(C141,3),NameConv!$CG$5:$CG$45),1,O141+1)</f>
        <v>1</v>
      </c>
    </row>
    <row r="143" spans="1:15">
      <c r="A143" s="422" t="str">
        <f t="shared" ca="1" si="11"/>
        <v/>
      </c>
      <c r="B143" s="515" t="str">
        <f t="shared" si="12"/>
        <v>TOP-OUT</v>
      </c>
      <c r="C143" s="518" t="str">
        <f ca="1">"X"&amp;OFFSET(NameConv!$F$4,0,L143)&amp;OFFSET(NameConv!$F$59,M143,L143)</f>
        <v>XINDOHF</v>
      </c>
      <c r="D143" s="515" t="str">
        <f ca="1">OFFSET(NameConv!$F$4,0,L143)&amp;OFFSET(NameConv!$AX$4,0,N143)</f>
        <v>INDCH4S</v>
      </c>
      <c r="E143" s="740" t="s">
        <v>334</v>
      </c>
      <c r="F143" s="740" t="s">
        <v>334</v>
      </c>
      <c r="G143" s="740" t="s">
        <v>334</v>
      </c>
      <c r="H143" s="740" t="s">
        <v>334</v>
      </c>
      <c r="I143" s="516">
        <f t="shared" si="9"/>
        <v>1</v>
      </c>
      <c r="J143" s="516"/>
      <c r="K143" s="516"/>
      <c r="L143" s="495">
        <f ca="1">IF(AND(O142&gt;=SUMIF(NameConv!$C$5:$C$45,RIGHT(C142,3),NameConv!$CG$5:$CG$45),M142=SUMIF(NameConv!$G$4:$M$4,MID(C142,2,3),NameConv!$G$45:$M$45)),L142+1,L142)</f>
        <v>3</v>
      </c>
      <c r="M143" s="495">
        <f ca="1">IF(L143&lt;&gt;L142,1,IF(O142&gt;=SUMIF(NameConv!$C$5:$C$45,RIGHT(C142,3),NameConv!$CG$5:$CG$45),M142+1,M142))</f>
        <v>10</v>
      </c>
      <c r="N143" s="495">
        <f ca="1">SUMIF(NameConv!$C$5:$C$45,RIGHT(C143,3),OFFSET(NameConv!$CG$5,0,O143,NameConv!$A$45,1))</f>
        <v>2</v>
      </c>
      <c r="O143" s="495">
        <f ca="1">IF(O142&gt;=SUMIF(NameConv!$C$5:$C$45,RIGHT(C142,3),NameConv!$CG$5:$CG$45),1,O142+1)</f>
        <v>2</v>
      </c>
    </row>
    <row r="144" spans="1:15">
      <c r="A144" s="422" t="str">
        <f t="shared" ca="1" si="11"/>
        <v/>
      </c>
      <c r="B144" s="515" t="str">
        <f t="shared" si="12"/>
        <v>TOP-OUT</v>
      </c>
      <c r="C144" s="518" t="str">
        <f ca="1">"X"&amp;OFFSET(NameConv!$F$4,0,L144)&amp;OFFSET(NameConv!$F$59,M144,L144)</f>
        <v>XINDOHF</v>
      </c>
      <c r="D144" s="515" t="str">
        <f ca="1">OFFSET(NameConv!$F$4,0,L144)&amp;OFFSET(NameConv!$AX$4,0,N144)</f>
        <v>INDN2OS</v>
      </c>
      <c r="E144" s="740" t="s">
        <v>334</v>
      </c>
      <c r="F144" s="740" t="s">
        <v>334</v>
      </c>
      <c r="G144" s="740" t="s">
        <v>334</v>
      </c>
      <c r="H144" s="740" t="s">
        <v>334</v>
      </c>
      <c r="I144" s="516">
        <f t="shared" si="9"/>
        <v>1</v>
      </c>
      <c r="J144" s="516"/>
      <c r="K144" s="516"/>
      <c r="L144" s="495">
        <f ca="1">IF(AND(O143&gt;=SUMIF(NameConv!$C$5:$C$45,RIGHT(C143,3),NameConv!$CG$5:$CG$45),M143=SUMIF(NameConv!$G$4:$M$4,MID(C143,2,3),NameConv!$G$45:$M$45)),L143+1,L143)</f>
        <v>3</v>
      </c>
      <c r="M144" s="495">
        <f ca="1">IF(L144&lt;&gt;L143,1,IF(O143&gt;=SUMIF(NameConv!$C$5:$C$45,RIGHT(C143,3),NameConv!$CG$5:$CG$45),M143+1,M143))</f>
        <v>10</v>
      </c>
      <c r="N144" s="495">
        <f ca="1">SUMIF(NameConv!$C$5:$C$45,RIGHT(C144,3),OFFSET(NameConv!$CG$5,0,O144,NameConv!$A$45,1))</f>
        <v>3</v>
      </c>
      <c r="O144" s="495">
        <f ca="1">IF(O143&gt;=SUMIF(NameConv!$C$5:$C$45,RIGHT(C143,3),NameConv!$CG$5:$CG$45),1,O143+1)</f>
        <v>3</v>
      </c>
    </row>
    <row r="145" spans="1:15">
      <c r="A145" s="422" t="str">
        <f t="shared" ca="1" si="11"/>
        <v/>
      </c>
      <c r="B145" s="515" t="str">
        <f t="shared" si="12"/>
        <v>TOP-OUT</v>
      </c>
      <c r="C145" s="518" t="str">
        <f ca="1">"X"&amp;OFFSET(NameConv!$F$4,0,L145)&amp;OFFSET(NameConv!$F$59,M145,L145)</f>
        <v>XINDOHF</v>
      </c>
      <c r="D145" s="515" t="str">
        <f ca="1">OFFSET(NameConv!$F$4,0,L145)&amp;OFFSET(NameConv!$AX$4,0,N145)</f>
        <v>INDSOXS</v>
      </c>
      <c r="E145" s="740" t="s">
        <v>334</v>
      </c>
      <c r="F145" s="740" t="s">
        <v>334</v>
      </c>
      <c r="G145" s="740" t="s">
        <v>334</v>
      </c>
      <c r="H145" s="740" t="s">
        <v>334</v>
      </c>
      <c r="I145" s="516">
        <f t="shared" si="9"/>
        <v>1</v>
      </c>
      <c r="J145" s="516"/>
      <c r="K145" s="516"/>
      <c r="L145" s="495">
        <f ca="1">IF(AND(O144&gt;=SUMIF(NameConv!$C$5:$C$45,RIGHT(C144,3),NameConv!$CG$5:$CG$45),M144=SUMIF(NameConv!$G$4:$M$4,MID(C144,2,3),NameConv!$G$45:$M$45)),L144+1,L144)</f>
        <v>3</v>
      </c>
      <c r="M145" s="495">
        <f ca="1">IF(L145&lt;&gt;L144,1,IF(O144&gt;=SUMIF(NameConv!$C$5:$C$45,RIGHT(C144,3),NameConv!$CG$5:$CG$45),M144+1,M144))</f>
        <v>10</v>
      </c>
      <c r="N145" s="495">
        <f ca="1">SUMIF(NameConv!$C$5:$C$45,RIGHT(C145,3),OFFSET(NameConv!$CG$5,0,O145,NameConv!$A$45,1))</f>
        <v>4</v>
      </c>
      <c r="O145" s="495">
        <f ca="1">IF(O144&gt;=SUMIF(NameConv!$C$5:$C$45,RIGHT(C144,3),NameConv!$CG$5:$CG$45),1,O144+1)</f>
        <v>4</v>
      </c>
    </row>
    <row r="146" spans="1:15">
      <c r="A146" s="422" t="str">
        <f t="shared" ca="1" si="11"/>
        <v/>
      </c>
      <c r="B146" s="515" t="str">
        <f t="shared" si="12"/>
        <v>TOP-OUT</v>
      </c>
      <c r="C146" s="518" t="str">
        <f ca="1">"X"&amp;OFFSET(NameConv!$F$4,0,L146)&amp;OFFSET(NameConv!$F$59,M146,L146)</f>
        <v>XINDOHF</v>
      </c>
      <c r="D146" s="515" t="str">
        <f ca="1">OFFSET(NameConv!$F$4,0,L146)&amp;OFFSET(NameConv!$AX$4,0,N146)</f>
        <v>INDNOXS</v>
      </c>
      <c r="E146" s="740" t="s">
        <v>334</v>
      </c>
      <c r="F146" s="740" t="s">
        <v>334</v>
      </c>
      <c r="G146" s="740" t="s">
        <v>334</v>
      </c>
      <c r="H146" s="740" t="s">
        <v>334</v>
      </c>
      <c r="I146" s="516">
        <f t="shared" si="9"/>
        <v>1</v>
      </c>
      <c r="J146" s="516"/>
      <c r="K146" s="516"/>
      <c r="L146" s="495">
        <f ca="1">IF(AND(O145&gt;=SUMIF(NameConv!$C$5:$C$45,RIGHT(C145,3),NameConv!$CG$5:$CG$45),M145=SUMIF(NameConv!$G$4:$M$4,MID(C145,2,3),NameConv!$G$45:$M$45)),L145+1,L145)</f>
        <v>3</v>
      </c>
      <c r="M146" s="495">
        <f ca="1">IF(L146&lt;&gt;L145,1,IF(O145&gt;=SUMIF(NameConv!$C$5:$C$45,RIGHT(C145,3),NameConv!$CG$5:$CG$45),M145+1,M145))</f>
        <v>10</v>
      </c>
      <c r="N146" s="495">
        <f ca="1">SUMIF(NameConv!$C$5:$C$45,RIGHT(C146,3),OFFSET(NameConv!$CG$5,0,O146,NameConv!$A$45,1))</f>
        <v>5</v>
      </c>
      <c r="O146" s="495">
        <f ca="1">IF(O145&gt;=SUMIF(NameConv!$C$5:$C$45,RIGHT(C145,3),NameConv!$CG$5:$CG$45),1,O145+1)</f>
        <v>5</v>
      </c>
    </row>
    <row r="147" spans="1:15">
      <c r="A147" s="422" t="str">
        <f t="shared" ca="1" si="11"/>
        <v/>
      </c>
      <c r="B147" s="515" t="str">
        <f t="shared" si="12"/>
        <v>TOP-OUT</v>
      </c>
      <c r="C147" s="518" t="str">
        <f ca="1">"X"&amp;OFFSET(NameConv!$F$4,0,L147)&amp;OFFSET(NameConv!$F$59,M147,L147)</f>
        <v>XINDOHF</v>
      </c>
      <c r="D147" s="515" t="str">
        <f ca="1">OFFSET(NameConv!$F$4,0,L147)&amp;OFFSET(NameConv!$AX$4,0,N147)</f>
        <v>INDCMOX</v>
      </c>
      <c r="E147" s="740" t="s">
        <v>334</v>
      </c>
      <c r="F147" s="740" t="s">
        <v>334</v>
      </c>
      <c r="G147" s="740" t="s">
        <v>334</v>
      </c>
      <c r="H147" s="740" t="s">
        <v>334</v>
      </c>
      <c r="I147" s="516">
        <f t="shared" si="9"/>
        <v>1</v>
      </c>
      <c r="J147" s="516"/>
      <c r="K147" s="516"/>
      <c r="L147" s="495">
        <f ca="1">IF(AND(O146&gt;=SUMIF(NameConv!$C$5:$C$45,RIGHT(C146,3),NameConv!$CG$5:$CG$45),M146=SUMIF(NameConv!$G$4:$M$4,MID(C146,2,3),NameConv!$G$45:$M$45)),L146+1,L146)</f>
        <v>3</v>
      </c>
      <c r="M147" s="495">
        <f ca="1">IF(L147&lt;&gt;L146,1,IF(O146&gt;=SUMIF(NameConv!$C$5:$C$45,RIGHT(C146,3),NameConv!$CG$5:$CG$45),M146+1,M146))</f>
        <v>10</v>
      </c>
      <c r="N147" s="495">
        <f ca="1">SUMIF(NameConv!$C$5:$C$45,RIGHT(C147,3),OFFSET(NameConv!$CG$5,0,O147,NameConv!$A$45,1))</f>
        <v>6</v>
      </c>
      <c r="O147" s="495">
        <f ca="1">IF(O146&gt;=SUMIF(NameConv!$C$5:$C$45,RIGHT(C146,3),NameConv!$CG$5:$CG$45),1,O146+1)</f>
        <v>6</v>
      </c>
    </row>
    <row r="148" spans="1:15">
      <c r="A148" s="422" t="str">
        <f t="shared" ca="1" si="11"/>
        <v/>
      </c>
      <c r="B148" s="515" t="str">
        <f t="shared" si="12"/>
        <v>TOP-OUT</v>
      </c>
      <c r="C148" s="518" t="str">
        <f ca="1">"X"&amp;OFFSET(NameConv!$F$4,0,L148)&amp;OFFSET(NameConv!$F$59,M148,L148)</f>
        <v>XINDOHF</v>
      </c>
      <c r="D148" s="515" t="str">
        <f ca="1">OFFSET(NameConv!$F$4,0,L148)&amp;OFFSET(NameConv!$AX$4,0,N148)</f>
        <v>INDNMVS</v>
      </c>
      <c r="E148" s="740" t="s">
        <v>334</v>
      </c>
      <c r="F148" s="740" t="s">
        <v>334</v>
      </c>
      <c r="G148" s="740" t="s">
        <v>334</v>
      </c>
      <c r="H148" s="740" t="s">
        <v>334</v>
      </c>
      <c r="I148" s="516">
        <f t="shared" si="9"/>
        <v>1</v>
      </c>
      <c r="J148" s="516"/>
      <c r="K148" s="516"/>
      <c r="L148" s="495">
        <f ca="1">IF(AND(O147&gt;=SUMIF(NameConv!$C$5:$C$45,RIGHT(C147,3),NameConv!$CG$5:$CG$45),M147=SUMIF(NameConv!$G$4:$M$4,MID(C147,2,3),NameConv!$G$45:$M$45)),L147+1,L147)</f>
        <v>3</v>
      </c>
      <c r="M148" s="495">
        <f ca="1">IF(L148&lt;&gt;L147,1,IF(O147&gt;=SUMIF(NameConv!$C$5:$C$45,RIGHT(C147,3),NameConv!$CG$5:$CG$45),M147+1,M147))</f>
        <v>10</v>
      </c>
      <c r="N148" s="495">
        <f ca="1">SUMIF(NameConv!$C$5:$C$45,RIGHT(C148,3),OFFSET(NameConv!$CG$5,0,O148,NameConv!$A$45,1))</f>
        <v>7</v>
      </c>
      <c r="O148" s="495">
        <f ca="1">IF(O147&gt;=SUMIF(NameConv!$C$5:$C$45,RIGHT(C147,3),NameConv!$CG$5:$CG$45),1,O147+1)</f>
        <v>7</v>
      </c>
    </row>
    <row r="149" spans="1:15">
      <c r="A149" s="422" t="str">
        <f t="shared" ca="1" si="11"/>
        <v/>
      </c>
      <c r="B149" s="515" t="str">
        <f t="shared" si="12"/>
        <v>TOP-OUT</v>
      </c>
      <c r="C149" s="518" t="str">
        <f ca="1">"X"&amp;OFFSET(NameConv!$F$4,0,L149)&amp;OFFSET(NameConv!$F$59,M149,L149)</f>
        <v>XINDOLP</v>
      </c>
      <c r="D149" s="515" t="str">
        <f ca="1">OFFSET(NameConv!$F$4,0,L149)&amp;OFFSET(NameConv!$AX$4,0,N149)</f>
        <v>INDCO2S</v>
      </c>
      <c r="E149" s="740" t="s">
        <v>334</v>
      </c>
      <c r="F149" s="740" t="s">
        <v>334</v>
      </c>
      <c r="G149" s="740" t="s">
        <v>334</v>
      </c>
      <c r="H149" s="740" t="s">
        <v>334</v>
      </c>
      <c r="I149" s="516">
        <f t="shared" si="9"/>
        <v>1</v>
      </c>
      <c r="J149" s="516"/>
      <c r="K149" s="516"/>
      <c r="L149" s="495">
        <f ca="1">IF(AND(O148&gt;=SUMIF(NameConv!$C$5:$C$45,RIGHT(C148,3),NameConv!$CG$5:$CG$45),M148=SUMIF(NameConv!$G$4:$M$4,MID(C148,2,3),NameConv!$G$45:$M$45)),L148+1,L148)</f>
        <v>3</v>
      </c>
      <c r="M149" s="495">
        <f ca="1">IF(L149&lt;&gt;L148,1,IF(O148&gt;=SUMIF(NameConv!$C$5:$C$45,RIGHT(C148,3),NameConv!$CG$5:$CG$45),M148+1,M148))</f>
        <v>11</v>
      </c>
      <c r="N149" s="495">
        <f ca="1">SUMIF(NameConv!$C$5:$C$45,RIGHT(C149,3),OFFSET(NameConv!$CG$5,0,O149,NameConv!$A$45,1))</f>
        <v>1</v>
      </c>
      <c r="O149" s="495">
        <f ca="1">IF(O148&gt;=SUMIF(NameConv!$C$5:$C$45,RIGHT(C148,3),NameConv!$CG$5:$CG$45),1,O148+1)</f>
        <v>1</v>
      </c>
    </row>
    <row r="150" spans="1:15">
      <c r="A150" s="422" t="str">
        <f t="shared" ca="1" si="11"/>
        <v/>
      </c>
      <c r="B150" s="515" t="str">
        <f t="shared" si="12"/>
        <v>TOP-OUT</v>
      </c>
      <c r="C150" s="518" t="str">
        <f ca="1">"X"&amp;OFFSET(NameConv!$F$4,0,L150)&amp;OFFSET(NameConv!$F$59,M150,L150)</f>
        <v>XINDOLP</v>
      </c>
      <c r="D150" s="515" t="str">
        <f ca="1">OFFSET(NameConv!$F$4,0,L150)&amp;OFFSET(NameConv!$AX$4,0,N150)</f>
        <v>INDCH4S</v>
      </c>
      <c r="E150" s="740" t="s">
        <v>334</v>
      </c>
      <c r="F150" s="740" t="s">
        <v>334</v>
      </c>
      <c r="G150" s="740" t="s">
        <v>334</v>
      </c>
      <c r="H150" s="740" t="s">
        <v>334</v>
      </c>
      <c r="I150" s="516">
        <f t="shared" si="9"/>
        <v>1</v>
      </c>
      <c r="J150" s="516"/>
      <c r="K150" s="516"/>
      <c r="L150" s="495">
        <f ca="1">IF(AND(O149&gt;=SUMIF(NameConv!$C$5:$C$45,RIGHT(C149,3),NameConv!$CG$5:$CG$45),M149=SUMIF(NameConv!$G$4:$M$4,MID(C149,2,3),NameConv!$G$45:$M$45)),L149+1,L149)</f>
        <v>3</v>
      </c>
      <c r="M150" s="495">
        <f ca="1">IF(L150&lt;&gt;L149,1,IF(O149&gt;=SUMIF(NameConv!$C$5:$C$45,RIGHT(C149,3),NameConv!$CG$5:$CG$45),M149+1,M149))</f>
        <v>11</v>
      </c>
      <c r="N150" s="495">
        <f ca="1">SUMIF(NameConv!$C$5:$C$45,RIGHT(C150,3),OFFSET(NameConv!$CG$5,0,O150,NameConv!$A$45,1))</f>
        <v>2</v>
      </c>
      <c r="O150" s="495">
        <f ca="1">IF(O149&gt;=SUMIF(NameConv!$C$5:$C$45,RIGHT(C149,3),NameConv!$CG$5:$CG$45),1,O149+1)</f>
        <v>2</v>
      </c>
    </row>
    <row r="151" spans="1:15">
      <c r="A151" s="422" t="str">
        <f t="shared" ca="1" si="11"/>
        <v/>
      </c>
      <c r="B151" s="515" t="str">
        <f t="shared" si="12"/>
        <v>TOP-OUT</v>
      </c>
      <c r="C151" s="518" t="str">
        <f ca="1">"X"&amp;OFFSET(NameConv!$F$4,0,L151)&amp;OFFSET(NameConv!$F$59,M151,L151)</f>
        <v>XINDOLP</v>
      </c>
      <c r="D151" s="515" t="str">
        <f ca="1">OFFSET(NameConv!$F$4,0,L151)&amp;OFFSET(NameConv!$AX$4,0,N151)</f>
        <v>INDN2OS</v>
      </c>
      <c r="E151" s="740" t="s">
        <v>334</v>
      </c>
      <c r="F151" s="740" t="s">
        <v>334</v>
      </c>
      <c r="G151" s="740" t="s">
        <v>334</v>
      </c>
      <c r="H151" s="740" t="s">
        <v>334</v>
      </c>
      <c r="I151" s="516">
        <f t="shared" si="9"/>
        <v>1</v>
      </c>
      <c r="J151" s="516"/>
      <c r="K151" s="516"/>
      <c r="L151" s="495">
        <f ca="1">IF(AND(O150&gt;=SUMIF(NameConv!$C$5:$C$45,RIGHT(C150,3),NameConv!$CG$5:$CG$45),M150=SUMIF(NameConv!$G$4:$M$4,MID(C150,2,3),NameConv!$G$45:$M$45)),L150+1,L150)</f>
        <v>3</v>
      </c>
      <c r="M151" s="495">
        <f ca="1">IF(L151&lt;&gt;L150,1,IF(O150&gt;=SUMIF(NameConv!$C$5:$C$45,RIGHT(C150,3),NameConv!$CG$5:$CG$45),M150+1,M150))</f>
        <v>11</v>
      </c>
      <c r="N151" s="495">
        <f ca="1">SUMIF(NameConv!$C$5:$C$45,RIGHT(C151,3),OFFSET(NameConv!$CG$5,0,O151,NameConv!$A$45,1))</f>
        <v>3</v>
      </c>
      <c r="O151" s="495">
        <f ca="1">IF(O150&gt;=SUMIF(NameConv!$C$5:$C$45,RIGHT(C150,3),NameConv!$CG$5:$CG$45),1,O150+1)</f>
        <v>3</v>
      </c>
    </row>
    <row r="152" spans="1:15">
      <c r="A152" s="422" t="str">
        <f t="shared" ca="1" si="11"/>
        <v/>
      </c>
      <c r="B152" s="515" t="str">
        <f t="shared" si="12"/>
        <v>TOP-OUT</v>
      </c>
      <c r="C152" s="518" t="str">
        <f ca="1">"X"&amp;OFFSET(NameConv!$F$4,0,L152)&amp;OFFSET(NameConv!$F$59,M152,L152)</f>
        <v>XINDOLP</v>
      </c>
      <c r="D152" s="515" t="str">
        <f ca="1">OFFSET(NameConv!$F$4,0,L152)&amp;OFFSET(NameConv!$AX$4,0,N152)</f>
        <v>INDSOXS</v>
      </c>
      <c r="E152" s="740" t="s">
        <v>334</v>
      </c>
      <c r="F152" s="740" t="s">
        <v>334</v>
      </c>
      <c r="G152" s="740" t="s">
        <v>334</v>
      </c>
      <c r="H152" s="740" t="s">
        <v>334</v>
      </c>
      <c r="I152" s="516">
        <f t="shared" si="9"/>
        <v>1</v>
      </c>
      <c r="J152" s="516"/>
      <c r="K152" s="516"/>
      <c r="L152" s="495">
        <f ca="1">IF(AND(O151&gt;=SUMIF(NameConv!$C$5:$C$45,RIGHT(C151,3),NameConv!$CG$5:$CG$45),M151=SUMIF(NameConv!$G$4:$M$4,MID(C151,2,3),NameConv!$G$45:$M$45)),L151+1,L151)</f>
        <v>3</v>
      </c>
      <c r="M152" s="495">
        <f ca="1">IF(L152&lt;&gt;L151,1,IF(O151&gt;=SUMIF(NameConv!$C$5:$C$45,RIGHT(C151,3),NameConv!$CG$5:$CG$45),M151+1,M151))</f>
        <v>11</v>
      </c>
      <c r="N152" s="495">
        <f ca="1">SUMIF(NameConv!$C$5:$C$45,RIGHT(C152,3),OFFSET(NameConv!$CG$5,0,O152,NameConv!$A$45,1))</f>
        <v>4</v>
      </c>
      <c r="O152" s="495">
        <f ca="1">IF(O151&gt;=SUMIF(NameConv!$C$5:$C$45,RIGHT(C151,3),NameConv!$CG$5:$CG$45),1,O151+1)</f>
        <v>4</v>
      </c>
    </row>
    <row r="153" spans="1:15">
      <c r="A153" s="422" t="str">
        <f t="shared" ca="1" si="11"/>
        <v/>
      </c>
      <c r="B153" s="515" t="str">
        <f t="shared" si="12"/>
        <v>TOP-OUT</v>
      </c>
      <c r="C153" s="518" t="str">
        <f ca="1">"X"&amp;OFFSET(NameConv!$F$4,0,L153)&amp;OFFSET(NameConv!$F$59,M153,L153)</f>
        <v>XINDOLP</v>
      </c>
      <c r="D153" s="515" t="str">
        <f ca="1">OFFSET(NameConv!$F$4,0,L153)&amp;OFFSET(NameConv!$AX$4,0,N153)</f>
        <v>INDNOXS</v>
      </c>
      <c r="E153" s="740" t="s">
        <v>334</v>
      </c>
      <c r="F153" s="740" t="s">
        <v>334</v>
      </c>
      <c r="G153" s="740" t="s">
        <v>334</v>
      </c>
      <c r="H153" s="740" t="s">
        <v>334</v>
      </c>
      <c r="I153" s="516">
        <f t="shared" si="9"/>
        <v>1</v>
      </c>
      <c r="J153" s="516"/>
      <c r="K153" s="516"/>
      <c r="L153" s="495">
        <f ca="1">IF(AND(O152&gt;=SUMIF(NameConv!$C$5:$C$45,RIGHT(C152,3),NameConv!$CG$5:$CG$45),M152=SUMIF(NameConv!$G$4:$M$4,MID(C152,2,3),NameConv!$G$45:$M$45)),L152+1,L152)</f>
        <v>3</v>
      </c>
      <c r="M153" s="495">
        <f ca="1">IF(L153&lt;&gt;L152,1,IF(O152&gt;=SUMIF(NameConv!$C$5:$C$45,RIGHT(C152,3),NameConv!$CG$5:$CG$45),M152+1,M152))</f>
        <v>11</v>
      </c>
      <c r="N153" s="495">
        <f ca="1">SUMIF(NameConv!$C$5:$C$45,RIGHT(C153,3),OFFSET(NameConv!$CG$5,0,O153,NameConv!$A$45,1))</f>
        <v>5</v>
      </c>
      <c r="O153" s="495">
        <f ca="1">IF(O152&gt;=SUMIF(NameConv!$C$5:$C$45,RIGHT(C152,3),NameConv!$CG$5:$CG$45),1,O152+1)</f>
        <v>5</v>
      </c>
    </row>
    <row r="154" spans="1:15">
      <c r="A154" s="422" t="str">
        <f t="shared" ca="1" si="11"/>
        <v/>
      </c>
      <c r="B154" s="515" t="str">
        <f t="shared" si="12"/>
        <v>TOP-OUT</v>
      </c>
      <c r="C154" s="518" t="str">
        <f ca="1">"X"&amp;OFFSET(NameConv!$F$4,0,L154)&amp;OFFSET(NameConv!$F$59,M154,L154)</f>
        <v>XINDOLP</v>
      </c>
      <c r="D154" s="515" t="str">
        <f ca="1">OFFSET(NameConv!$F$4,0,L154)&amp;OFFSET(NameConv!$AX$4,0,N154)</f>
        <v>INDCMOX</v>
      </c>
      <c r="E154" s="740" t="s">
        <v>334</v>
      </c>
      <c r="F154" s="740" t="s">
        <v>334</v>
      </c>
      <c r="G154" s="740" t="s">
        <v>334</v>
      </c>
      <c r="H154" s="740" t="s">
        <v>334</v>
      </c>
      <c r="I154" s="516">
        <f t="shared" si="9"/>
        <v>1</v>
      </c>
      <c r="J154" s="516"/>
      <c r="K154" s="516"/>
      <c r="L154" s="495">
        <f ca="1">IF(AND(O153&gt;=SUMIF(NameConv!$C$5:$C$45,RIGHT(C153,3),NameConv!$CG$5:$CG$45),M153=SUMIF(NameConv!$G$4:$M$4,MID(C153,2,3),NameConv!$G$45:$M$45)),L153+1,L153)</f>
        <v>3</v>
      </c>
      <c r="M154" s="495">
        <f ca="1">IF(L154&lt;&gt;L153,1,IF(O153&gt;=SUMIF(NameConv!$C$5:$C$45,RIGHT(C153,3),NameConv!$CG$5:$CG$45),M153+1,M153))</f>
        <v>11</v>
      </c>
      <c r="N154" s="495">
        <f ca="1">SUMIF(NameConv!$C$5:$C$45,RIGHT(C154,3),OFFSET(NameConv!$CG$5,0,O154,NameConv!$A$45,1))</f>
        <v>6</v>
      </c>
      <c r="O154" s="495">
        <f ca="1">IF(O153&gt;=SUMIF(NameConv!$C$5:$C$45,RIGHT(C153,3),NameConv!$CG$5:$CG$45),1,O153+1)</f>
        <v>6</v>
      </c>
    </row>
    <row r="155" spans="1:15">
      <c r="A155" s="422" t="str">
        <f t="shared" ca="1" si="11"/>
        <v/>
      </c>
      <c r="B155" s="515" t="str">
        <f t="shared" si="12"/>
        <v>TOP-OUT</v>
      </c>
      <c r="C155" s="518" t="str">
        <f ca="1">"X"&amp;OFFSET(NameConv!$F$4,0,L155)&amp;OFFSET(NameConv!$F$59,M155,L155)</f>
        <v>XINDOLP</v>
      </c>
      <c r="D155" s="515" t="str">
        <f ca="1">OFFSET(NameConv!$F$4,0,L155)&amp;OFFSET(NameConv!$AX$4,0,N155)</f>
        <v>INDNMVS</v>
      </c>
      <c r="E155" s="740" t="s">
        <v>334</v>
      </c>
      <c r="F155" s="740" t="s">
        <v>334</v>
      </c>
      <c r="G155" s="740" t="s">
        <v>334</v>
      </c>
      <c r="H155" s="740" t="s">
        <v>334</v>
      </c>
      <c r="I155" s="516">
        <f t="shared" si="9"/>
        <v>1</v>
      </c>
      <c r="J155" s="516"/>
      <c r="K155" s="516"/>
      <c r="L155" s="495">
        <f ca="1">IF(AND(O154&gt;=SUMIF(NameConv!$C$5:$C$45,RIGHT(C154,3),NameConv!$CG$5:$CG$45),M154=SUMIF(NameConv!$G$4:$M$4,MID(C154,2,3),NameConv!$G$45:$M$45)),L154+1,L154)</f>
        <v>3</v>
      </c>
      <c r="M155" s="495">
        <f ca="1">IF(L155&lt;&gt;L154,1,IF(O154&gt;=SUMIF(NameConv!$C$5:$C$45,RIGHT(C154,3),NameConv!$CG$5:$CG$45),M154+1,M154))</f>
        <v>11</v>
      </c>
      <c r="N155" s="495">
        <f ca="1">SUMIF(NameConv!$C$5:$C$45,RIGHT(C155,3),OFFSET(NameConv!$CG$5,0,O155,NameConv!$A$45,1))</f>
        <v>7</v>
      </c>
      <c r="O155" s="495">
        <f ca="1">IF(O154&gt;=SUMIF(NameConv!$C$5:$C$45,RIGHT(C154,3),NameConv!$CG$5:$CG$45),1,O154+1)</f>
        <v>7</v>
      </c>
    </row>
    <row r="156" spans="1:15">
      <c r="A156" s="422" t="str">
        <f t="shared" ca="1" si="11"/>
        <v/>
      </c>
      <c r="B156" s="515" t="str">
        <f t="shared" si="12"/>
        <v>TOP-OUT</v>
      </c>
      <c r="C156" s="518" t="str">
        <f ca="1">"X"&amp;OFFSET(NameConv!$F$4,0,L156)&amp;OFFSET(NameConv!$F$59,M156,L156)</f>
        <v>XINDWAS</v>
      </c>
      <c r="D156" s="515" t="str">
        <f ca="1">OFFSET(NameConv!$F$4,0,L156)&amp;OFFSET(NameConv!$AX$4,0,N156)</f>
        <v>INDCO2S</v>
      </c>
      <c r="E156" s="740" t="s">
        <v>334</v>
      </c>
      <c r="F156" s="740" t="s">
        <v>334</v>
      </c>
      <c r="G156" s="740" t="s">
        <v>334</v>
      </c>
      <c r="H156" s="740" t="s">
        <v>334</v>
      </c>
      <c r="I156" s="516">
        <f t="shared" si="9"/>
        <v>1</v>
      </c>
      <c r="J156" s="516"/>
      <c r="K156" s="516"/>
      <c r="L156" s="495">
        <f ca="1">IF(AND(O155&gt;=SUMIF(NameConv!$C$5:$C$45,RIGHT(C155,3),NameConv!$CG$5:$CG$45),M155=SUMIF(NameConv!$G$4:$M$4,MID(C155,2,3),NameConv!$G$45:$M$45)),L155+1,L155)</f>
        <v>3</v>
      </c>
      <c r="M156" s="495">
        <f ca="1">IF(L156&lt;&gt;L155,1,IF(O155&gt;=SUMIF(NameConv!$C$5:$C$45,RIGHT(C155,3),NameConv!$CG$5:$CG$45),M155+1,M155))</f>
        <v>12</v>
      </c>
      <c r="N156" s="495">
        <f ca="1">SUMIF(NameConv!$C$5:$C$45,RIGHT(C156,3),OFFSET(NameConv!$CG$5,0,O156,NameConv!$A$45,1))</f>
        <v>1</v>
      </c>
      <c r="O156" s="495">
        <f ca="1">IF(O155&gt;=SUMIF(NameConv!$C$5:$C$45,RIGHT(C155,3),NameConv!$CG$5:$CG$45),1,O155+1)</f>
        <v>1</v>
      </c>
    </row>
    <row r="157" spans="1:15">
      <c r="A157" s="422" t="str">
        <f t="shared" ca="1" si="11"/>
        <v/>
      </c>
      <c r="B157" s="515" t="str">
        <f t="shared" si="12"/>
        <v>TOP-OUT</v>
      </c>
      <c r="C157" s="518" t="str">
        <f ca="1">"X"&amp;OFFSET(NameConv!$F$4,0,L157)&amp;OFFSET(NameConv!$F$59,M157,L157)</f>
        <v>XINDWAS</v>
      </c>
      <c r="D157" s="515" t="str">
        <f ca="1">OFFSET(NameConv!$F$4,0,L157)&amp;OFFSET(NameConv!$AX$4,0,N157)</f>
        <v>INDCH4S</v>
      </c>
      <c r="E157" s="740" t="s">
        <v>334</v>
      </c>
      <c r="F157" s="740" t="s">
        <v>334</v>
      </c>
      <c r="G157" s="740" t="s">
        <v>334</v>
      </c>
      <c r="H157" s="740" t="s">
        <v>334</v>
      </c>
      <c r="I157" s="516">
        <f t="shared" si="9"/>
        <v>1</v>
      </c>
      <c r="J157" s="516"/>
      <c r="K157" s="516"/>
      <c r="L157" s="495">
        <f ca="1">IF(AND(O156&gt;=SUMIF(NameConv!$C$5:$C$45,RIGHT(C156,3),NameConv!$CG$5:$CG$45),M156=SUMIF(NameConv!$G$4:$M$4,MID(C156,2,3),NameConv!$G$45:$M$45)),L156+1,L156)</f>
        <v>3</v>
      </c>
      <c r="M157" s="495">
        <f ca="1">IF(L157&lt;&gt;L156,1,IF(O156&gt;=SUMIF(NameConv!$C$5:$C$45,RIGHT(C156,3),NameConv!$CG$5:$CG$45),M156+1,M156))</f>
        <v>12</v>
      </c>
      <c r="N157" s="495">
        <f ca="1">SUMIF(NameConv!$C$5:$C$45,RIGHT(C157,3),OFFSET(NameConv!$CG$5,0,O157,NameConv!$A$45,1))</f>
        <v>2</v>
      </c>
      <c r="O157" s="495">
        <f ca="1">IF(O156&gt;=SUMIF(NameConv!$C$5:$C$45,RIGHT(C156,3),NameConv!$CG$5:$CG$45),1,O156+1)</f>
        <v>2</v>
      </c>
    </row>
    <row r="158" spans="1:15">
      <c r="A158" s="422" t="str">
        <f t="shared" ca="1" si="11"/>
        <v/>
      </c>
      <c r="B158" s="515" t="str">
        <f t="shared" si="12"/>
        <v>TOP-OUT</v>
      </c>
      <c r="C158" s="518" t="str">
        <f ca="1">"X"&amp;OFFSET(NameConv!$F$4,0,L158)&amp;OFFSET(NameConv!$F$59,M158,L158)</f>
        <v>XINDWAS</v>
      </c>
      <c r="D158" s="515" t="str">
        <f ca="1">OFFSET(NameConv!$F$4,0,L158)&amp;OFFSET(NameConv!$AX$4,0,N158)</f>
        <v>INDN2OS</v>
      </c>
      <c r="E158" s="740" t="s">
        <v>334</v>
      </c>
      <c r="F158" s="740" t="s">
        <v>334</v>
      </c>
      <c r="G158" s="740" t="s">
        <v>334</v>
      </c>
      <c r="H158" s="740" t="s">
        <v>334</v>
      </c>
      <c r="I158" s="516">
        <f t="shared" si="9"/>
        <v>1</v>
      </c>
      <c r="J158" s="516"/>
      <c r="K158" s="516"/>
      <c r="L158" s="495">
        <f ca="1">IF(AND(O157&gt;=SUMIF(NameConv!$C$5:$C$45,RIGHT(C157,3),NameConv!$CG$5:$CG$45),M157=SUMIF(NameConv!$G$4:$M$4,MID(C157,2,3),NameConv!$G$45:$M$45)),L157+1,L157)</f>
        <v>3</v>
      </c>
      <c r="M158" s="495">
        <f ca="1">IF(L158&lt;&gt;L157,1,IF(O157&gt;=SUMIF(NameConv!$C$5:$C$45,RIGHT(C157,3),NameConv!$CG$5:$CG$45),M157+1,M157))</f>
        <v>12</v>
      </c>
      <c r="N158" s="495">
        <f ca="1">SUMIF(NameConv!$C$5:$C$45,RIGHT(C158,3),OFFSET(NameConv!$CG$5,0,O158,NameConv!$A$45,1))</f>
        <v>3</v>
      </c>
      <c r="O158" s="495">
        <f ca="1">IF(O157&gt;=SUMIF(NameConv!$C$5:$C$45,RIGHT(C157,3),NameConv!$CG$5:$CG$45),1,O157+1)</f>
        <v>3</v>
      </c>
    </row>
    <row r="159" spans="1:15">
      <c r="A159" s="422" t="str">
        <f t="shared" ca="1" si="11"/>
        <v/>
      </c>
      <c r="B159" s="515" t="str">
        <f t="shared" si="12"/>
        <v>TOP-OUT</v>
      </c>
      <c r="C159" s="518" t="str">
        <f ca="1">"X"&amp;OFFSET(NameConv!$F$4,0,L159)&amp;OFFSET(NameConv!$F$59,M159,L159)</f>
        <v>XINDWAS</v>
      </c>
      <c r="D159" s="515" t="str">
        <f ca="1">OFFSET(NameConv!$F$4,0,L159)&amp;OFFSET(NameConv!$AX$4,0,N159)</f>
        <v>INDSOXS</v>
      </c>
      <c r="E159" s="740" t="s">
        <v>334</v>
      </c>
      <c r="F159" s="740" t="s">
        <v>334</v>
      </c>
      <c r="G159" s="740" t="s">
        <v>334</v>
      </c>
      <c r="H159" s="740" t="s">
        <v>334</v>
      </c>
      <c r="I159" s="516">
        <f t="shared" si="9"/>
        <v>1</v>
      </c>
      <c r="J159" s="516"/>
      <c r="K159" s="516"/>
      <c r="L159" s="495">
        <f ca="1">IF(AND(O158&gt;=SUMIF(NameConv!$C$5:$C$45,RIGHT(C158,3),NameConv!$CG$5:$CG$45),M158=SUMIF(NameConv!$G$4:$M$4,MID(C158,2,3),NameConv!$G$45:$M$45)),L158+1,L158)</f>
        <v>3</v>
      </c>
      <c r="M159" s="495">
        <f ca="1">IF(L159&lt;&gt;L158,1,IF(O158&gt;=SUMIF(NameConv!$C$5:$C$45,RIGHT(C158,3),NameConv!$CG$5:$CG$45),M158+1,M158))</f>
        <v>12</v>
      </c>
      <c r="N159" s="495">
        <f ca="1">SUMIF(NameConv!$C$5:$C$45,RIGHT(C159,3),OFFSET(NameConv!$CG$5,0,O159,NameConv!$A$45,1))</f>
        <v>4</v>
      </c>
      <c r="O159" s="495">
        <f ca="1">IF(O158&gt;=SUMIF(NameConv!$C$5:$C$45,RIGHT(C158,3),NameConv!$CG$5:$CG$45),1,O158+1)</f>
        <v>4</v>
      </c>
    </row>
    <row r="160" spans="1:15">
      <c r="A160" s="422" t="str">
        <f ca="1">IF(LEN(D160)=3,"*","")</f>
        <v/>
      </c>
      <c r="B160" s="515" t="str">
        <f t="shared" si="12"/>
        <v>TOP-OUT</v>
      </c>
      <c r="C160" s="518" t="str">
        <f ca="1">"X"&amp;OFFSET(NameConv!$F$4,0,L160)&amp;OFFSET(NameConv!$F$59,M160,L160)</f>
        <v>XINDWAS</v>
      </c>
      <c r="D160" s="515" t="str">
        <f ca="1">OFFSET(NameConv!$F$4,0,L160)&amp;OFFSET(NameConv!$AX$4,0,N160)</f>
        <v>INDNOXS</v>
      </c>
      <c r="E160" s="740" t="s">
        <v>334</v>
      </c>
      <c r="F160" s="740" t="s">
        <v>334</v>
      </c>
      <c r="G160" s="740" t="s">
        <v>334</v>
      </c>
      <c r="H160" s="740" t="s">
        <v>334</v>
      </c>
      <c r="I160" s="516">
        <f t="shared" si="9"/>
        <v>1</v>
      </c>
      <c r="J160" s="516"/>
      <c r="K160" s="516"/>
      <c r="L160" s="495">
        <f ca="1">IF(AND(O159&gt;=SUMIF(NameConv!$C$5:$C$45,RIGHT(C159,3),NameConv!$CG$5:$CG$45),M159=SUMIF(NameConv!$G$4:$M$4,MID(C159,2,3),NameConv!$G$45:$M$45)),L159+1,L159)</f>
        <v>3</v>
      </c>
      <c r="M160" s="495">
        <f ca="1">IF(L160&lt;&gt;L159,1,IF(O159&gt;=SUMIF(NameConv!$C$5:$C$45,RIGHT(C159,3),NameConv!$CG$5:$CG$45),M159+1,M159))</f>
        <v>12</v>
      </c>
      <c r="N160" s="495">
        <f ca="1">SUMIF(NameConv!$C$5:$C$45,RIGHT(C160,3),OFFSET(NameConv!$CG$5,0,O160,NameConv!$A$45,1))</f>
        <v>5</v>
      </c>
      <c r="O160" s="495">
        <f ca="1">IF(O159&gt;=SUMIF(NameConv!$C$5:$C$45,RIGHT(C159,3),NameConv!$CG$5:$CG$45),1,O159+1)</f>
        <v>5</v>
      </c>
    </row>
    <row r="161" spans="1:15">
      <c r="A161" s="422" t="str">
        <f t="shared" ref="A161:A187" ca="1" si="13">IF(LEN(D161)=3,"*","")</f>
        <v/>
      </c>
      <c r="B161" s="515" t="str">
        <f t="shared" si="12"/>
        <v>TOP-OUT</v>
      </c>
      <c r="C161" s="518" t="str">
        <f ca="1">"X"&amp;OFFSET(NameConv!$F$4,0,L161)&amp;OFFSET(NameConv!$F$59,M161,L161)</f>
        <v>XINDWAS</v>
      </c>
      <c r="D161" s="515" t="str">
        <f ca="1">OFFSET(NameConv!$F$4,0,L161)&amp;OFFSET(NameConv!$AX$4,0,N161)</f>
        <v>INDCMOX</v>
      </c>
      <c r="E161" s="740" t="s">
        <v>334</v>
      </c>
      <c r="F161" s="740" t="s">
        <v>334</v>
      </c>
      <c r="G161" s="740" t="s">
        <v>334</v>
      </c>
      <c r="H161" s="740" t="s">
        <v>334</v>
      </c>
      <c r="I161" s="516">
        <f t="shared" si="9"/>
        <v>1</v>
      </c>
      <c r="J161" s="516"/>
      <c r="K161" s="516"/>
      <c r="L161" s="495">
        <f ca="1">IF(AND(O160&gt;=SUMIF(NameConv!$C$5:$C$45,RIGHT(C160,3),NameConv!$CG$5:$CG$45),M160=SUMIF(NameConv!$G$4:$M$4,MID(C160,2,3),NameConv!$G$45:$M$45)),L160+1,L160)</f>
        <v>3</v>
      </c>
      <c r="M161" s="495">
        <f ca="1">IF(L161&lt;&gt;L160,1,IF(O160&gt;=SUMIF(NameConv!$C$5:$C$45,RIGHT(C160,3),NameConv!$CG$5:$CG$45),M160+1,M160))</f>
        <v>12</v>
      </c>
      <c r="N161" s="495">
        <f ca="1">SUMIF(NameConv!$C$5:$C$45,RIGHT(C161,3),OFFSET(NameConv!$CG$5,0,O161,NameConv!$A$45,1))</f>
        <v>6</v>
      </c>
      <c r="O161" s="495">
        <f ca="1">IF(O160&gt;=SUMIF(NameConv!$C$5:$C$45,RIGHT(C160,3),NameConv!$CG$5:$CG$45),1,O160+1)</f>
        <v>6</v>
      </c>
    </row>
    <row r="162" spans="1:15">
      <c r="A162" s="422" t="str">
        <f t="shared" ca="1" si="13"/>
        <v/>
      </c>
      <c r="B162" s="515" t="str">
        <f t="shared" si="12"/>
        <v>TOP-OUT</v>
      </c>
      <c r="C162" s="518" t="str">
        <f ca="1">"X"&amp;OFFSET(NameConv!$F$4,0,L162)&amp;OFFSET(NameConv!$F$59,M162,L162)</f>
        <v>XINDWAS</v>
      </c>
      <c r="D162" s="515" t="str">
        <f ca="1">OFFSET(NameConv!$F$4,0,L162)&amp;OFFSET(NameConv!$AX$4,0,N162)</f>
        <v>INDNMVS</v>
      </c>
      <c r="E162" s="740" t="s">
        <v>334</v>
      </c>
      <c r="F162" s="740" t="s">
        <v>334</v>
      </c>
      <c r="G162" s="740" t="s">
        <v>334</v>
      </c>
      <c r="H162" s="740" t="s">
        <v>334</v>
      </c>
      <c r="I162" s="516">
        <f t="shared" si="9"/>
        <v>1</v>
      </c>
      <c r="J162" s="516"/>
      <c r="K162" s="516"/>
      <c r="L162" s="495">
        <f ca="1">IF(AND(O161&gt;=SUMIF(NameConv!$C$5:$C$45,RIGHT(C161,3),NameConv!$CG$5:$CG$45),M161=SUMIF(NameConv!$G$4:$M$4,MID(C161,2,3),NameConv!$G$45:$M$45)),L161+1,L161)</f>
        <v>3</v>
      </c>
      <c r="M162" s="495">
        <f ca="1">IF(L162&lt;&gt;L161,1,IF(O161&gt;=SUMIF(NameConv!$C$5:$C$45,RIGHT(C161,3),NameConv!$CG$5:$CG$45),M161+1,M161))</f>
        <v>12</v>
      </c>
      <c r="N162" s="495">
        <f ca="1">SUMIF(NameConv!$C$5:$C$45,RIGHT(C162,3),OFFSET(NameConv!$CG$5,0,O162,NameConv!$A$45,1))</f>
        <v>7</v>
      </c>
      <c r="O162" s="495">
        <f ca="1">IF(O161&gt;=SUMIF(NameConv!$C$5:$C$45,RIGHT(C161,3),NameConv!$CG$5:$CG$45),1,O161+1)</f>
        <v>7</v>
      </c>
    </row>
    <row r="163" spans="1:15">
      <c r="A163" s="422" t="str">
        <f t="shared" ca="1" si="13"/>
        <v>*</v>
      </c>
      <c r="B163" s="515" t="str">
        <f t="shared" si="12"/>
        <v>TOP-OUT</v>
      </c>
      <c r="C163" s="518" t="str">
        <f ca="1">"X"&amp;OFFSET(NameConv!$F$4,0,L163)&amp;OFFSET(NameConv!$F$59,M163,L163)</f>
        <v>XTRAELC</v>
      </c>
      <c r="D163" s="515" t="str">
        <f ca="1">OFFSET(NameConv!$F$4,0,L163)&amp;OFFSET(NameConv!$AX$4,0,N163)</f>
        <v>TRA</v>
      </c>
      <c r="E163" s="740" t="s">
        <v>334</v>
      </c>
      <c r="F163" s="740" t="s">
        <v>334</v>
      </c>
      <c r="G163" s="740" t="s">
        <v>334</v>
      </c>
      <c r="H163" s="740" t="s">
        <v>334</v>
      </c>
      <c r="I163" s="516">
        <f t="shared" si="9"/>
        <v>1</v>
      </c>
      <c r="J163" s="516"/>
      <c r="K163" s="516"/>
      <c r="L163" s="495">
        <f ca="1">IF(AND(O162&gt;=SUMIF(NameConv!$C$5:$C$45,RIGHT(C162,3),NameConv!$CG$5:$CG$45),M162=SUMIF(NameConv!$G$4:$M$4,MID(C162,2,3),NameConv!$G$45:$M$45)),L162+1,L162)</f>
        <v>4</v>
      </c>
      <c r="M163" s="495">
        <f ca="1">IF(L163&lt;&gt;L162,1,IF(O162&gt;=SUMIF(NameConv!$C$5:$C$45,RIGHT(C162,3),NameConv!$CG$5:$CG$45),M162+1,M162))</f>
        <v>1</v>
      </c>
      <c r="N163" s="495">
        <f ca="1">SUMIF(NameConv!$C$5:$C$45,RIGHT(C163,3),OFFSET(NameConv!$CG$5,0,O163,NameConv!$A$45,1))</f>
        <v>0</v>
      </c>
      <c r="O163" s="495">
        <f ca="1">IF(O162&gt;=SUMIF(NameConv!$C$5:$C$45,RIGHT(C162,3),NameConv!$CG$5:$CG$45),1,O162+1)</f>
        <v>1</v>
      </c>
    </row>
    <row r="164" spans="1:15">
      <c r="A164" s="422" t="str">
        <f t="shared" ca="1" si="13"/>
        <v/>
      </c>
      <c r="B164" s="515" t="str">
        <f t="shared" si="12"/>
        <v>TOP-OUT</v>
      </c>
      <c r="C164" s="518" t="str">
        <f ca="1">"X"&amp;OFFSET(NameConv!$F$4,0,L164)&amp;OFFSET(NameConv!$F$59,M164,L164)</f>
        <v>XTRAGAS</v>
      </c>
      <c r="D164" s="515" t="str">
        <f ca="1">OFFSET(NameConv!$F$4,0,L164)&amp;OFFSET(NameConv!$AX$4,0,N164)</f>
        <v>TRACO2S</v>
      </c>
      <c r="E164" s="740" t="s">
        <v>334</v>
      </c>
      <c r="F164" s="740" t="s">
        <v>334</v>
      </c>
      <c r="G164" s="740" t="s">
        <v>334</v>
      </c>
      <c r="H164" s="740" t="s">
        <v>334</v>
      </c>
      <c r="I164" s="516">
        <f t="shared" si="9"/>
        <v>1</v>
      </c>
      <c r="J164" s="516"/>
      <c r="K164" s="516"/>
      <c r="L164" s="495">
        <f ca="1">IF(AND(O163&gt;=SUMIF(NameConv!$C$5:$C$45,RIGHT(C163,3),NameConv!$CG$5:$CG$45),M163=SUMIF(NameConv!$G$4:$M$4,MID(C163,2,3),NameConv!$G$45:$M$45)),L163+1,L163)</f>
        <v>4</v>
      </c>
      <c r="M164" s="495">
        <f ca="1">IF(L164&lt;&gt;L163,1,IF(O163&gt;=SUMIF(NameConv!$C$5:$C$45,RIGHT(C163,3),NameConv!$CG$5:$CG$45),M163+1,M163))</f>
        <v>2</v>
      </c>
      <c r="N164" s="495">
        <f ca="1">SUMIF(NameConv!$C$5:$C$45,RIGHT(C164,3),OFFSET(NameConv!$CG$5,0,O164,NameConv!$A$45,1))</f>
        <v>1</v>
      </c>
      <c r="O164" s="495">
        <f ca="1">IF(O163&gt;=SUMIF(NameConv!$C$5:$C$45,RIGHT(C163,3),NameConv!$CG$5:$CG$45),1,O163+1)</f>
        <v>1</v>
      </c>
    </row>
    <row r="165" spans="1:15">
      <c r="A165" s="422" t="str">
        <f t="shared" ca="1" si="13"/>
        <v/>
      </c>
      <c r="B165" s="515" t="str">
        <f t="shared" si="12"/>
        <v>TOP-OUT</v>
      </c>
      <c r="C165" s="518" t="str">
        <f ca="1">"X"&amp;OFFSET(NameConv!$F$4,0,L165)&amp;OFFSET(NameConv!$F$59,M165,L165)</f>
        <v>XTRAGAS</v>
      </c>
      <c r="D165" s="515" t="str">
        <f ca="1">OFFSET(NameConv!$F$4,0,L165)&amp;OFFSET(NameConv!$AX$4,0,N165)</f>
        <v>TRACH4S</v>
      </c>
      <c r="E165" s="740" t="s">
        <v>334</v>
      </c>
      <c r="F165" s="740" t="s">
        <v>334</v>
      </c>
      <c r="G165" s="740" t="s">
        <v>334</v>
      </c>
      <c r="H165" s="740" t="s">
        <v>334</v>
      </c>
      <c r="I165" s="516">
        <f t="shared" si="9"/>
        <v>1</v>
      </c>
      <c r="J165" s="516"/>
      <c r="K165" s="516"/>
      <c r="L165" s="495">
        <f ca="1">IF(AND(O164&gt;=SUMIF(NameConv!$C$5:$C$45,RIGHT(C164,3),NameConv!$CG$5:$CG$45),M164=SUMIF(NameConv!$G$4:$M$4,MID(C164,2,3),NameConv!$G$45:$M$45)),L164+1,L164)</f>
        <v>4</v>
      </c>
      <c r="M165" s="495">
        <f ca="1">IF(L165&lt;&gt;L164,1,IF(O164&gt;=SUMIF(NameConv!$C$5:$C$45,RIGHT(C164,3),NameConv!$CG$5:$CG$45),M164+1,M164))</f>
        <v>2</v>
      </c>
      <c r="N165" s="495">
        <f ca="1">SUMIF(NameConv!$C$5:$C$45,RIGHT(C165,3),OFFSET(NameConv!$CG$5,0,O165,NameConv!$A$45,1))</f>
        <v>2</v>
      </c>
      <c r="O165" s="495">
        <f ca="1">IF(O164&gt;=SUMIF(NameConv!$C$5:$C$45,RIGHT(C164,3),NameConv!$CG$5:$CG$45),1,O164+1)</f>
        <v>2</v>
      </c>
    </row>
    <row r="166" spans="1:15">
      <c r="A166" s="422" t="str">
        <f t="shared" ca="1" si="13"/>
        <v/>
      </c>
      <c r="B166" s="515" t="str">
        <f t="shared" si="12"/>
        <v>TOP-OUT</v>
      </c>
      <c r="C166" s="518" t="str">
        <f ca="1">"X"&amp;OFFSET(NameConv!$F$4,0,L166)&amp;OFFSET(NameConv!$F$59,M166,L166)</f>
        <v>XTRAGAS</v>
      </c>
      <c r="D166" s="515" t="str">
        <f ca="1">OFFSET(NameConv!$F$4,0,L166)&amp;OFFSET(NameConv!$AX$4,0,N166)</f>
        <v>TRAN2OS</v>
      </c>
      <c r="E166" s="740" t="s">
        <v>334</v>
      </c>
      <c r="F166" s="740" t="s">
        <v>334</v>
      </c>
      <c r="G166" s="740" t="s">
        <v>334</v>
      </c>
      <c r="H166" s="740" t="s">
        <v>334</v>
      </c>
      <c r="I166" s="516">
        <f t="shared" si="9"/>
        <v>1</v>
      </c>
      <c r="J166" s="516"/>
      <c r="K166" s="516"/>
      <c r="L166" s="495">
        <f ca="1">IF(AND(O165&gt;=SUMIF(NameConv!$C$5:$C$45,RIGHT(C165,3),NameConv!$CG$5:$CG$45),M165=SUMIF(NameConv!$G$4:$M$4,MID(C165,2,3),NameConv!$G$45:$M$45)),L165+1,L165)</f>
        <v>4</v>
      </c>
      <c r="M166" s="495">
        <f ca="1">IF(L166&lt;&gt;L165,1,IF(O165&gt;=SUMIF(NameConv!$C$5:$C$45,RIGHT(C165,3),NameConv!$CG$5:$CG$45),M165+1,M165))</f>
        <v>2</v>
      </c>
      <c r="N166" s="495">
        <f ca="1">SUMIF(NameConv!$C$5:$C$45,RIGHT(C166,3),OFFSET(NameConv!$CG$5,0,O166,NameConv!$A$45,1))</f>
        <v>3</v>
      </c>
      <c r="O166" s="495">
        <f ca="1">IF(O165&gt;=SUMIF(NameConv!$C$5:$C$45,RIGHT(C165,3),NameConv!$CG$5:$CG$45),1,O165+1)</f>
        <v>3</v>
      </c>
    </row>
    <row r="167" spans="1:15">
      <c r="A167" s="422" t="str">
        <f t="shared" ca="1" si="13"/>
        <v/>
      </c>
      <c r="B167" s="515" t="str">
        <f t="shared" si="12"/>
        <v>TOP-OUT</v>
      </c>
      <c r="C167" s="518" t="str">
        <f ca="1">"X"&amp;OFFSET(NameConv!$F$4,0,L167)&amp;OFFSET(NameConv!$F$59,M167,L167)</f>
        <v>XTRAGAS</v>
      </c>
      <c r="D167" s="515" t="str">
        <f ca="1">OFFSET(NameConv!$F$4,0,L167)&amp;OFFSET(NameConv!$AX$4,0,N167)</f>
        <v>TRANOXS</v>
      </c>
      <c r="E167" s="740" t="s">
        <v>334</v>
      </c>
      <c r="F167" s="740" t="s">
        <v>334</v>
      </c>
      <c r="G167" s="740" t="s">
        <v>334</v>
      </c>
      <c r="H167" s="740" t="s">
        <v>334</v>
      </c>
      <c r="I167" s="516">
        <f t="shared" si="9"/>
        <v>1</v>
      </c>
      <c r="J167" s="516"/>
      <c r="K167" s="516"/>
      <c r="L167" s="495">
        <f ca="1">IF(AND(O166&gt;=SUMIF(NameConv!$C$5:$C$45,RIGHT(C166,3),NameConv!$CG$5:$CG$45),M166=SUMIF(NameConv!$G$4:$M$4,MID(C166,2,3),NameConv!$G$45:$M$45)),L166+1,L166)</f>
        <v>4</v>
      </c>
      <c r="M167" s="495">
        <f ca="1">IF(L167&lt;&gt;L166,1,IF(O166&gt;=SUMIF(NameConv!$C$5:$C$45,RIGHT(C166,3),NameConv!$CG$5:$CG$45),M166+1,M166))</f>
        <v>2</v>
      </c>
      <c r="N167" s="495">
        <f ca="1">SUMIF(NameConv!$C$5:$C$45,RIGHT(C167,3),OFFSET(NameConv!$CG$5,0,O167,NameConv!$A$45,1))</f>
        <v>5</v>
      </c>
      <c r="O167" s="495">
        <f ca="1">IF(O166&gt;=SUMIF(NameConv!$C$5:$C$45,RIGHT(C166,3),NameConv!$CG$5:$CG$45),1,O166+1)</f>
        <v>4</v>
      </c>
    </row>
    <row r="168" spans="1:15">
      <c r="A168" s="422" t="str">
        <f t="shared" ca="1" si="13"/>
        <v/>
      </c>
      <c r="B168" s="515" t="str">
        <f t="shared" si="12"/>
        <v>TOP-OUT</v>
      </c>
      <c r="C168" s="518" t="str">
        <f ca="1">"X"&amp;OFFSET(NameConv!$F$4,0,L168)&amp;OFFSET(NameConv!$F$59,M168,L168)</f>
        <v>XTRAGAS</v>
      </c>
      <c r="D168" s="515" t="str">
        <f ca="1">OFFSET(NameConv!$F$4,0,L168)&amp;OFFSET(NameConv!$AX$4,0,N168)</f>
        <v>TRACMOX</v>
      </c>
      <c r="E168" s="740" t="s">
        <v>334</v>
      </c>
      <c r="F168" s="740" t="s">
        <v>334</v>
      </c>
      <c r="G168" s="740" t="s">
        <v>334</v>
      </c>
      <c r="H168" s="740" t="s">
        <v>334</v>
      </c>
      <c r="I168" s="516">
        <f t="shared" ref="I168:I231" si="14">I167</f>
        <v>1</v>
      </c>
      <c r="J168" s="516"/>
      <c r="K168" s="516"/>
      <c r="L168" s="495">
        <f ca="1">IF(AND(O167&gt;=SUMIF(NameConv!$C$5:$C$45,RIGHT(C167,3),NameConv!$CG$5:$CG$45),M167=SUMIF(NameConv!$G$4:$M$4,MID(C167,2,3),NameConv!$G$45:$M$45)),L167+1,L167)</f>
        <v>4</v>
      </c>
      <c r="M168" s="495">
        <f ca="1">IF(L168&lt;&gt;L167,1,IF(O167&gt;=SUMIF(NameConv!$C$5:$C$45,RIGHT(C167,3),NameConv!$CG$5:$CG$45),M167+1,M167))</f>
        <v>2</v>
      </c>
      <c r="N168" s="495">
        <f ca="1">SUMIF(NameConv!$C$5:$C$45,RIGHT(C168,3),OFFSET(NameConv!$CG$5,0,O168,NameConv!$A$45,1))</f>
        <v>6</v>
      </c>
      <c r="O168" s="495">
        <f ca="1">IF(O167&gt;=SUMIF(NameConv!$C$5:$C$45,RIGHT(C167,3),NameConv!$CG$5:$CG$45),1,O167+1)</f>
        <v>5</v>
      </c>
    </row>
    <row r="169" spans="1:15">
      <c r="A169" s="422" t="str">
        <f t="shared" ca="1" si="13"/>
        <v/>
      </c>
      <c r="B169" s="515" t="str">
        <f t="shared" si="12"/>
        <v>TOP-OUT</v>
      </c>
      <c r="C169" s="518" t="str">
        <f ca="1">"X"&amp;OFFSET(NameConv!$F$4,0,L169)&amp;OFFSET(NameConv!$F$59,M169,L169)</f>
        <v>XTRAGAS</v>
      </c>
      <c r="D169" s="515" t="str">
        <f ca="1">OFFSET(NameConv!$F$4,0,L169)&amp;OFFSET(NameConv!$AX$4,0,N169)</f>
        <v>TRANMVS</v>
      </c>
      <c r="E169" s="740" t="s">
        <v>334</v>
      </c>
      <c r="F169" s="740" t="s">
        <v>334</v>
      </c>
      <c r="G169" s="740" t="s">
        <v>334</v>
      </c>
      <c r="H169" s="740" t="s">
        <v>334</v>
      </c>
      <c r="I169" s="516">
        <f t="shared" si="14"/>
        <v>1</v>
      </c>
      <c r="J169" s="516"/>
      <c r="K169" s="516"/>
      <c r="L169" s="495">
        <f ca="1">IF(AND(O168&gt;=SUMIF(NameConv!$C$5:$C$45,RIGHT(C168,3),NameConv!$CG$5:$CG$45),M168=SUMIF(NameConv!$G$4:$M$4,MID(C168,2,3),NameConv!$G$45:$M$45)),L168+1,L168)</f>
        <v>4</v>
      </c>
      <c r="M169" s="495">
        <f ca="1">IF(L169&lt;&gt;L168,1,IF(O168&gt;=SUMIF(NameConv!$C$5:$C$45,RIGHT(C168,3),NameConv!$CG$5:$CG$45),M168+1,M168))</f>
        <v>2</v>
      </c>
      <c r="N169" s="495">
        <f ca="1">SUMIF(NameConv!$C$5:$C$45,RIGHT(C169,3),OFFSET(NameConv!$CG$5,0,O169,NameConv!$A$45,1))</f>
        <v>7</v>
      </c>
      <c r="O169" s="495">
        <f ca="1">IF(O168&gt;=SUMIF(NameConv!$C$5:$C$45,RIGHT(C168,3),NameConv!$CG$5:$CG$45),1,O168+1)</f>
        <v>6</v>
      </c>
    </row>
    <row r="170" spans="1:15">
      <c r="A170" s="422" t="str">
        <f t="shared" ca="1" si="13"/>
        <v>*</v>
      </c>
      <c r="B170" s="515" t="str">
        <f t="shared" si="12"/>
        <v>TOP-OUT</v>
      </c>
      <c r="C170" s="518" t="str">
        <f ca="1">"X"&amp;OFFSET(NameConv!$F$4,0,L170)&amp;OFFSET(NameConv!$F$59,M170,L170)</f>
        <v>XTRAHGN</v>
      </c>
      <c r="D170" s="515" t="str">
        <f ca="1">OFFSET(NameConv!$F$4,0,L170)&amp;OFFSET(NameConv!$AX$4,0,N170)</f>
        <v>TRA</v>
      </c>
      <c r="E170" s="740" t="s">
        <v>334</v>
      </c>
      <c r="F170" s="740" t="s">
        <v>334</v>
      </c>
      <c r="G170" s="740" t="s">
        <v>334</v>
      </c>
      <c r="H170" s="740" t="s">
        <v>334</v>
      </c>
      <c r="I170" s="516">
        <f t="shared" si="14"/>
        <v>1</v>
      </c>
      <c r="J170" s="516"/>
      <c r="K170" s="516"/>
      <c r="L170" s="495">
        <f ca="1">IF(AND(O169&gt;=SUMIF(NameConv!$C$5:$C$45,RIGHT(C169,3),NameConv!$CG$5:$CG$45),M169=SUMIF(NameConv!$G$4:$M$4,MID(C169,2,3),NameConv!$G$45:$M$45)),L169+1,L169)</f>
        <v>4</v>
      </c>
      <c r="M170" s="495">
        <f ca="1">IF(L170&lt;&gt;L169,1,IF(O169&gt;=SUMIF(NameConv!$C$5:$C$45,RIGHT(C169,3),NameConv!$CG$5:$CG$45),M169+1,M169))</f>
        <v>3</v>
      </c>
      <c r="N170" s="495">
        <f ca="1">SUMIF(NameConv!$C$5:$C$45,RIGHT(C170,3),OFFSET(NameConv!$CG$5,0,O170,NameConv!$A$45,1))</f>
        <v>0</v>
      </c>
      <c r="O170" s="495">
        <f ca="1">IF(O169&gt;=SUMIF(NameConv!$C$5:$C$45,RIGHT(C169,3),NameConv!$CG$5:$CG$45),1,O169+1)</f>
        <v>1</v>
      </c>
    </row>
    <row r="171" spans="1:15">
      <c r="A171" s="422" t="str">
        <f t="shared" ca="1" si="13"/>
        <v/>
      </c>
      <c r="B171" s="515" t="str">
        <f t="shared" si="12"/>
        <v>TOP-OUT</v>
      </c>
      <c r="C171" s="518" t="str">
        <f ca="1">"X"&amp;OFFSET(NameConv!$F$4,0,L171)&amp;OFFSET(NameConv!$F$59,M171,L171)</f>
        <v>XTRAOAG</v>
      </c>
      <c r="D171" s="515" t="str">
        <f ca="1">OFFSET(NameConv!$F$4,0,L171)&amp;OFFSET(NameConv!$AX$4,0,N171)</f>
        <v>TRACO2S</v>
      </c>
      <c r="E171" s="740" t="s">
        <v>334</v>
      </c>
      <c r="F171" s="740" t="s">
        <v>334</v>
      </c>
      <c r="G171" s="740" t="s">
        <v>334</v>
      </c>
      <c r="H171" s="740" t="s">
        <v>334</v>
      </c>
      <c r="I171" s="516">
        <f t="shared" si="14"/>
        <v>1</v>
      </c>
      <c r="J171" s="516"/>
      <c r="K171" s="516"/>
      <c r="L171" s="495">
        <f ca="1">IF(AND(O170&gt;=SUMIF(NameConv!$C$5:$C$45,RIGHT(C170,3),NameConv!$CG$5:$CG$45),M170=SUMIF(NameConv!$G$4:$M$4,MID(C170,2,3),NameConv!$G$45:$M$45)),L170+1,L170)</f>
        <v>4</v>
      </c>
      <c r="M171" s="495">
        <f ca="1">IF(L171&lt;&gt;L170,1,IF(O170&gt;=SUMIF(NameConv!$C$5:$C$45,RIGHT(C170,3),NameConv!$CG$5:$CG$45),M170+1,M170))</f>
        <v>4</v>
      </c>
      <c r="N171" s="495">
        <f ca="1">SUMIF(NameConv!$C$5:$C$45,RIGHT(C171,3),OFFSET(NameConv!$CG$5,0,O171,NameConv!$A$45,1))</f>
        <v>1</v>
      </c>
      <c r="O171" s="495">
        <f ca="1">IF(O170&gt;=SUMIF(NameConv!$C$5:$C$45,RIGHT(C170,3),NameConv!$CG$5:$CG$45),1,O170+1)</f>
        <v>1</v>
      </c>
    </row>
    <row r="172" spans="1:15">
      <c r="A172" s="422" t="str">
        <f t="shared" ca="1" si="13"/>
        <v/>
      </c>
      <c r="B172" s="515" t="str">
        <f t="shared" si="12"/>
        <v>TOP-OUT</v>
      </c>
      <c r="C172" s="518" t="str">
        <f ca="1">"X"&amp;OFFSET(NameConv!$F$4,0,L172)&amp;OFFSET(NameConv!$F$59,M172,L172)</f>
        <v>XTRAOAG</v>
      </c>
      <c r="D172" s="515" t="str">
        <f ca="1">OFFSET(NameConv!$F$4,0,L172)&amp;OFFSET(NameConv!$AX$4,0,N172)</f>
        <v>TRACH4S</v>
      </c>
      <c r="E172" s="740" t="s">
        <v>334</v>
      </c>
      <c r="F172" s="740" t="s">
        <v>334</v>
      </c>
      <c r="G172" s="740" t="s">
        <v>334</v>
      </c>
      <c r="H172" s="740" t="s">
        <v>334</v>
      </c>
      <c r="I172" s="516">
        <f t="shared" si="14"/>
        <v>1</v>
      </c>
      <c r="J172" s="516"/>
      <c r="K172" s="516"/>
      <c r="L172" s="495">
        <f ca="1">IF(AND(O171&gt;=SUMIF(NameConv!$C$5:$C$45,RIGHT(C171,3),NameConv!$CG$5:$CG$45),M171=SUMIF(NameConv!$G$4:$M$4,MID(C171,2,3),NameConv!$G$45:$M$45)),L171+1,L171)</f>
        <v>4</v>
      </c>
      <c r="M172" s="495">
        <f ca="1">IF(L172&lt;&gt;L171,1,IF(O171&gt;=SUMIF(NameConv!$C$5:$C$45,RIGHT(C171,3),NameConv!$CG$5:$CG$45),M171+1,M171))</f>
        <v>4</v>
      </c>
      <c r="N172" s="495">
        <f ca="1">SUMIF(NameConv!$C$5:$C$45,RIGHT(C172,3),OFFSET(NameConv!$CG$5,0,O172,NameConv!$A$45,1))</f>
        <v>2</v>
      </c>
      <c r="O172" s="495">
        <f ca="1">IF(O171&gt;=SUMIF(NameConv!$C$5:$C$45,RIGHT(C171,3),NameConv!$CG$5:$CG$45),1,O171+1)</f>
        <v>2</v>
      </c>
    </row>
    <row r="173" spans="1:15">
      <c r="A173" s="422" t="str">
        <f t="shared" ca="1" si="13"/>
        <v/>
      </c>
      <c r="B173" s="515" t="str">
        <f t="shared" si="12"/>
        <v>TOP-OUT</v>
      </c>
      <c r="C173" s="518" t="str">
        <f ca="1">"X"&amp;OFFSET(NameConv!$F$4,0,L173)&amp;OFFSET(NameConv!$F$59,M173,L173)</f>
        <v>XTRAOAG</v>
      </c>
      <c r="D173" s="515" t="str">
        <f ca="1">OFFSET(NameConv!$F$4,0,L173)&amp;OFFSET(NameConv!$AX$4,0,N173)</f>
        <v>TRAN2OS</v>
      </c>
      <c r="E173" s="740" t="s">
        <v>334</v>
      </c>
      <c r="F173" s="740" t="s">
        <v>334</v>
      </c>
      <c r="G173" s="740" t="s">
        <v>334</v>
      </c>
      <c r="H173" s="740" t="s">
        <v>334</v>
      </c>
      <c r="I173" s="516">
        <f t="shared" si="14"/>
        <v>1</v>
      </c>
      <c r="J173" s="516"/>
      <c r="K173" s="516"/>
      <c r="L173" s="495">
        <f ca="1">IF(AND(O172&gt;=SUMIF(NameConv!$C$5:$C$45,RIGHT(C172,3),NameConv!$CG$5:$CG$45),M172=SUMIF(NameConv!$G$4:$M$4,MID(C172,2,3),NameConv!$G$45:$M$45)),L172+1,L172)</f>
        <v>4</v>
      </c>
      <c r="M173" s="495">
        <f ca="1">IF(L173&lt;&gt;L172,1,IF(O172&gt;=SUMIF(NameConv!$C$5:$C$45,RIGHT(C172,3),NameConv!$CG$5:$CG$45),M172+1,M172))</f>
        <v>4</v>
      </c>
      <c r="N173" s="495">
        <f ca="1">SUMIF(NameConv!$C$5:$C$45,RIGHT(C173,3),OFFSET(NameConv!$CG$5,0,O173,NameConv!$A$45,1))</f>
        <v>3</v>
      </c>
      <c r="O173" s="495">
        <f ca="1">IF(O172&gt;=SUMIF(NameConv!$C$5:$C$45,RIGHT(C172,3),NameConv!$CG$5:$CG$45),1,O172+1)</f>
        <v>3</v>
      </c>
    </row>
    <row r="174" spans="1:15">
      <c r="A174" s="422" t="str">
        <f t="shared" ca="1" si="13"/>
        <v/>
      </c>
      <c r="B174" s="515" t="str">
        <f t="shared" si="12"/>
        <v>TOP-OUT</v>
      </c>
      <c r="C174" s="518" t="str">
        <f ca="1">"X"&amp;OFFSET(NameConv!$F$4,0,L174)&amp;OFFSET(NameConv!$F$59,M174,L174)</f>
        <v>XTRAOAG</v>
      </c>
      <c r="D174" s="515" t="str">
        <f ca="1">OFFSET(NameConv!$F$4,0,L174)&amp;OFFSET(NameConv!$AX$4,0,N174)</f>
        <v>TRASOXS</v>
      </c>
      <c r="E174" s="740" t="s">
        <v>334</v>
      </c>
      <c r="F174" s="740" t="s">
        <v>334</v>
      </c>
      <c r="G174" s="740" t="s">
        <v>334</v>
      </c>
      <c r="H174" s="740" t="s">
        <v>334</v>
      </c>
      <c r="I174" s="516">
        <f t="shared" si="14"/>
        <v>1</v>
      </c>
      <c r="J174" s="516"/>
      <c r="K174" s="516"/>
      <c r="L174" s="495">
        <f ca="1">IF(AND(O173&gt;=SUMIF(NameConv!$C$5:$C$45,RIGHT(C173,3),NameConv!$CG$5:$CG$45),M173=SUMIF(NameConv!$G$4:$M$4,MID(C173,2,3),NameConv!$G$45:$M$45)),L173+1,L173)</f>
        <v>4</v>
      </c>
      <c r="M174" s="495">
        <f ca="1">IF(L174&lt;&gt;L173,1,IF(O173&gt;=SUMIF(NameConv!$C$5:$C$45,RIGHT(C173,3),NameConv!$CG$5:$CG$45),M173+1,M173))</f>
        <v>4</v>
      </c>
      <c r="N174" s="495">
        <f ca="1">SUMIF(NameConv!$C$5:$C$45,RIGHT(C174,3),OFFSET(NameConv!$CG$5,0,O174,NameConv!$A$45,1))</f>
        <v>4</v>
      </c>
      <c r="O174" s="495">
        <f ca="1">IF(O173&gt;=SUMIF(NameConv!$C$5:$C$45,RIGHT(C173,3),NameConv!$CG$5:$CG$45),1,O173+1)</f>
        <v>4</v>
      </c>
    </row>
    <row r="175" spans="1:15">
      <c r="A175" s="422" t="str">
        <f t="shared" ca="1" si="13"/>
        <v/>
      </c>
      <c r="B175" s="515" t="str">
        <f t="shared" si="12"/>
        <v>TOP-OUT</v>
      </c>
      <c r="C175" s="518" t="str">
        <f ca="1">"X"&amp;OFFSET(NameConv!$F$4,0,L175)&amp;OFFSET(NameConv!$F$59,M175,L175)</f>
        <v>XTRAOAG</v>
      </c>
      <c r="D175" s="515" t="str">
        <f ca="1">OFFSET(NameConv!$F$4,0,L175)&amp;OFFSET(NameConv!$AX$4,0,N175)</f>
        <v>TRANOXS</v>
      </c>
      <c r="E175" s="740" t="s">
        <v>334</v>
      </c>
      <c r="F175" s="740" t="s">
        <v>334</v>
      </c>
      <c r="G175" s="740" t="s">
        <v>334</v>
      </c>
      <c r="H175" s="740" t="s">
        <v>334</v>
      </c>
      <c r="I175" s="516">
        <f t="shared" si="14"/>
        <v>1</v>
      </c>
      <c r="J175" s="516"/>
      <c r="K175" s="516"/>
      <c r="L175" s="495">
        <f ca="1">IF(AND(O174&gt;=SUMIF(NameConv!$C$5:$C$45,RIGHT(C174,3),NameConv!$CG$5:$CG$45),M174=SUMIF(NameConv!$G$4:$M$4,MID(C174,2,3),NameConv!$G$45:$M$45)),L174+1,L174)</f>
        <v>4</v>
      </c>
      <c r="M175" s="495">
        <f ca="1">IF(L175&lt;&gt;L174,1,IF(O174&gt;=SUMIF(NameConv!$C$5:$C$45,RIGHT(C174,3),NameConv!$CG$5:$CG$45),M174+1,M174))</f>
        <v>4</v>
      </c>
      <c r="N175" s="495">
        <f ca="1">SUMIF(NameConv!$C$5:$C$45,RIGHT(C175,3),OFFSET(NameConv!$CG$5,0,O175,NameConv!$A$45,1))</f>
        <v>5</v>
      </c>
      <c r="O175" s="495">
        <f ca="1">IF(O174&gt;=SUMIF(NameConv!$C$5:$C$45,RIGHT(C174,3),NameConv!$CG$5:$CG$45),1,O174+1)</f>
        <v>5</v>
      </c>
    </row>
    <row r="176" spans="1:15">
      <c r="A176" s="422" t="str">
        <f t="shared" ca="1" si="13"/>
        <v/>
      </c>
      <c r="B176" s="515" t="str">
        <f t="shared" si="12"/>
        <v>TOP-OUT</v>
      </c>
      <c r="C176" s="518" t="str">
        <f ca="1">"X"&amp;OFFSET(NameConv!$F$4,0,L176)&amp;OFFSET(NameConv!$F$59,M176,L176)</f>
        <v>XTRAOAG</v>
      </c>
      <c r="D176" s="515" t="str">
        <f ca="1">OFFSET(NameConv!$F$4,0,L176)&amp;OFFSET(NameConv!$AX$4,0,N176)</f>
        <v>TRACMOX</v>
      </c>
      <c r="E176" s="740" t="s">
        <v>334</v>
      </c>
      <c r="F176" s="740" t="s">
        <v>334</v>
      </c>
      <c r="G176" s="740" t="s">
        <v>334</v>
      </c>
      <c r="H176" s="740" t="s">
        <v>334</v>
      </c>
      <c r="I176" s="516">
        <f t="shared" si="14"/>
        <v>1</v>
      </c>
      <c r="J176" s="516"/>
      <c r="K176" s="516"/>
      <c r="L176" s="495">
        <f ca="1">IF(AND(O175&gt;=SUMIF(NameConv!$C$5:$C$45,RIGHT(C175,3),NameConv!$CG$5:$CG$45),M175=SUMIF(NameConv!$G$4:$M$4,MID(C175,2,3),NameConv!$G$45:$M$45)),L175+1,L175)</f>
        <v>4</v>
      </c>
      <c r="M176" s="495">
        <f ca="1">IF(L176&lt;&gt;L175,1,IF(O175&gt;=SUMIF(NameConv!$C$5:$C$45,RIGHT(C175,3),NameConv!$CG$5:$CG$45),M175+1,M175))</f>
        <v>4</v>
      </c>
      <c r="N176" s="495">
        <f ca="1">SUMIF(NameConv!$C$5:$C$45,RIGHT(C176,3),OFFSET(NameConv!$CG$5,0,O176,NameConv!$A$45,1))</f>
        <v>6</v>
      </c>
      <c r="O176" s="495">
        <f ca="1">IF(O175&gt;=SUMIF(NameConv!$C$5:$C$45,RIGHT(C175,3),NameConv!$CG$5:$CG$45),1,O175+1)</f>
        <v>6</v>
      </c>
    </row>
    <row r="177" spans="1:15">
      <c r="A177" s="422" t="str">
        <f t="shared" ca="1" si="13"/>
        <v/>
      </c>
      <c r="B177" s="515" t="str">
        <f t="shared" si="12"/>
        <v>TOP-OUT</v>
      </c>
      <c r="C177" s="518" t="str">
        <f ca="1">"X"&amp;OFFSET(NameConv!$F$4,0,L177)&amp;OFFSET(NameConv!$F$59,M177,L177)</f>
        <v>XTRAOAG</v>
      </c>
      <c r="D177" s="515" t="str">
        <f ca="1">OFFSET(NameConv!$F$4,0,L177)&amp;OFFSET(NameConv!$AX$4,0,N177)</f>
        <v>TRANMVS</v>
      </c>
      <c r="E177" s="740" t="s">
        <v>334</v>
      </c>
      <c r="F177" s="740" t="s">
        <v>334</v>
      </c>
      <c r="G177" s="740" t="s">
        <v>334</v>
      </c>
      <c r="H177" s="740" t="s">
        <v>334</v>
      </c>
      <c r="I177" s="516">
        <f t="shared" si="14"/>
        <v>1</v>
      </c>
      <c r="J177" s="516"/>
      <c r="K177" s="516"/>
      <c r="L177" s="495">
        <f ca="1">IF(AND(O176&gt;=SUMIF(NameConv!$C$5:$C$45,RIGHT(C176,3),NameConv!$CG$5:$CG$45),M176=SUMIF(NameConv!$G$4:$M$4,MID(C176,2,3),NameConv!$G$45:$M$45)),L176+1,L176)</f>
        <v>4</v>
      </c>
      <c r="M177" s="495">
        <f ca="1">IF(L177&lt;&gt;L176,1,IF(O176&gt;=SUMIF(NameConv!$C$5:$C$45,RIGHT(C176,3),NameConv!$CG$5:$CG$45),M176+1,M176))</f>
        <v>4</v>
      </c>
      <c r="N177" s="495">
        <f ca="1">SUMIF(NameConv!$C$5:$C$45,RIGHT(C177,3),OFFSET(NameConv!$CG$5,0,O177,NameConv!$A$45,1))</f>
        <v>7</v>
      </c>
      <c r="O177" s="495">
        <f ca="1">IF(O176&gt;=SUMIF(NameConv!$C$5:$C$45,RIGHT(C176,3),NameConv!$CG$5:$CG$45),1,O176+1)</f>
        <v>7</v>
      </c>
    </row>
    <row r="178" spans="1:15">
      <c r="A178" s="422" t="str">
        <f t="shared" ca="1" si="13"/>
        <v/>
      </c>
      <c r="B178" s="515" t="str">
        <f t="shared" si="12"/>
        <v>TOP-OUT</v>
      </c>
      <c r="C178" s="518" t="str">
        <f ca="1">"X"&amp;OFFSET(NameConv!$F$4,0,L178)&amp;OFFSET(NameConv!$F$59,M178,L178)</f>
        <v>XTRAODS</v>
      </c>
      <c r="D178" s="515" t="str">
        <f ca="1">OFFSET(NameConv!$F$4,0,L178)&amp;OFFSET(NameConv!$AX$4,0,N178)</f>
        <v>TRACO2S</v>
      </c>
      <c r="E178" s="740" t="s">
        <v>334</v>
      </c>
      <c r="F178" s="740" t="s">
        <v>334</v>
      </c>
      <c r="G178" s="740" t="s">
        <v>334</v>
      </c>
      <c r="H178" s="740" t="s">
        <v>334</v>
      </c>
      <c r="I178" s="516">
        <f t="shared" si="14"/>
        <v>1</v>
      </c>
      <c r="J178" s="516"/>
      <c r="K178" s="516"/>
      <c r="L178" s="495">
        <f ca="1">IF(AND(O177&gt;=SUMIF(NameConv!$C$5:$C$45,RIGHT(C177,3),NameConv!$CG$5:$CG$45),M177=SUMIF(NameConv!$G$4:$M$4,MID(C177,2,3),NameConv!$G$45:$M$45)),L177+1,L177)</f>
        <v>4</v>
      </c>
      <c r="M178" s="495">
        <f ca="1">IF(L178&lt;&gt;L177,1,IF(O177&gt;=SUMIF(NameConv!$C$5:$C$45,RIGHT(C177,3),NameConv!$CG$5:$CG$45),M177+1,M177))</f>
        <v>5</v>
      </c>
      <c r="N178" s="495">
        <f ca="1">SUMIF(NameConv!$C$5:$C$45,RIGHT(C178,3),OFFSET(NameConv!$CG$5,0,O178,NameConv!$A$45,1))</f>
        <v>1</v>
      </c>
      <c r="O178" s="495">
        <f ca="1">IF(O177&gt;=SUMIF(NameConv!$C$5:$C$45,RIGHT(C177,3),NameConv!$CG$5:$CG$45),1,O177+1)</f>
        <v>1</v>
      </c>
    </row>
    <row r="179" spans="1:15">
      <c r="A179" s="422" t="str">
        <f t="shared" ca="1" si="13"/>
        <v/>
      </c>
      <c r="B179" s="515" t="str">
        <f t="shared" si="12"/>
        <v>TOP-OUT</v>
      </c>
      <c r="C179" s="518" t="str">
        <f ca="1">"X"&amp;OFFSET(NameConv!$F$4,0,L179)&amp;OFFSET(NameConv!$F$59,M179,L179)</f>
        <v>XTRAODS</v>
      </c>
      <c r="D179" s="515" t="str">
        <f ca="1">OFFSET(NameConv!$F$4,0,L179)&amp;OFFSET(NameConv!$AX$4,0,N179)</f>
        <v>TRACH4S</v>
      </c>
      <c r="E179" s="740" t="s">
        <v>334</v>
      </c>
      <c r="F179" s="740" t="s">
        <v>334</v>
      </c>
      <c r="G179" s="740" t="s">
        <v>334</v>
      </c>
      <c r="H179" s="740" t="s">
        <v>334</v>
      </c>
      <c r="I179" s="516">
        <f t="shared" si="14"/>
        <v>1</v>
      </c>
      <c r="J179" s="516"/>
      <c r="K179" s="516"/>
      <c r="L179" s="495">
        <f ca="1">IF(AND(O178&gt;=SUMIF(NameConv!$C$5:$C$45,RIGHT(C178,3),NameConv!$CG$5:$CG$45),M178=SUMIF(NameConv!$G$4:$M$4,MID(C178,2,3),NameConv!$G$45:$M$45)),L178+1,L178)</f>
        <v>4</v>
      </c>
      <c r="M179" s="495">
        <f ca="1">IF(L179&lt;&gt;L178,1,IF(O178&gt;=SUMIF(NameConv!$C$5:$C$45,RIGHT(C178,3),NameConv!$CG$5:$CG$45),M178+1,M178))</f>
        <v>5</v>
      </c>
      <c r="N179" s="495">
        <f ca="1">SUMIF(NameConv!$C$5:$C$45,RIGHT(C179,3),OFFSET(NameConv!$CG$5,0,O179,NameConv!$A$45,1))</f>
        <v>2</v>
      </c>
      <c r="O179" s="495">
        <f ca="1">IF(O178&gt;=SUMIF(NameConv!$C$5:$C$45,RIGHT(C178,3),NameConv!$CG$5:$CG$45),1,O178+1)</f>
        <v>2</v>
      </c>
    </row>
    <row r="180" spans="1:15">
      <c r="A180" s="422" t="str">
        <f t="shared" ca="1" si="13"/>
        <v/>
      </c>
      <c r="B180" s="515" t="str">
        <f t="shared" si="12"/>
        <v>TOP-OUT</v>
      </c>
      <c r="C180" s="518" t="str">
        <f ca="1">"X"&amp;OFFSET(NameConv!$F$4,0,L180)&amp;OFFSET(NameConv!$F$59,M180,L180)</f>
        <v>XTRAODS</v>
      </c>
      <c r="D180" s="515" t="str">
        <f ca="1">OFFSET(NameConv!$F$4,0,L180)&amp;OFFSET(NameConv!$AX$4,0,N180)</f>
        <v>TRAN2OS</v>
      </c>
      <c r="E180" s="740" t="s">
        <v>334</v>
      </c>
      <c r="F180" s="740" t="s">
        <v>334</v>
      </c>
      <c r="G180" s="740" t="s">
        <v>334</v>
      </c>
      <c r="H180" s="740" t="s">
        <v>334</v>
      </c>
      <c r="I180" s="516">
        <f t="shared" si="14"/>
        <v>1</v>
      </c>
      <c r="J180" s="516"/>
      <c r="K180" s="516"/>
      <c r="L180" s="495">
        <f ca="1">IF(AND(O179&gt;=SUMIF(NameConv!$C$5:$C$45,RIGHT(C179,3),NameConv!$CG$5:$CG$45),M179=SUMIF(NameConv!$G$4:$M$4,MID(C179,2,3),NameConv!$G$45:$M$45)),L179+1,L179)</f>
        <v>4</v>
      </c>
      <c r="M180" s="495">
        <f ca="1">IF(L180&lt;&gt;L179,1,IF(O179&gt;=SUMIF(NameConv!$C$5:$C$45,RIGHT(C179,3),NameConv!$CG$5:$CG$45),M179+1,M179))</f>
        <v>5</v>
      </c>
      <c r="N180" s="495">
        <f ca="1">SUMIF(NameConv!$C$5:$C$45,RIGHT(C180,3),OFFSET(NameConv!$CG$5,0,O180,NameConv!$A$45,1))</f>
        <v>3</v>
      </c>
      <c r="O180" s="495">
        <f ca="1">IF(O179&gt;=SUMIF(NameConv!$C$5:$C$45,RIGHT(C179,3),NameConv!$CG$5:$CG$45),1,O179+1)</f>
        <v>3</v>
      </c>
    </row>
    <row r="181" spans="1:15">
      <c r="A181" s="422" t="str">
        <f t="shared" ca="1" si="13"/>
        <v/>
      </c>
      <c r="B181" s="515" t="str">
        <f t="shared" si="12"/>
        <v>TOP-OUT</v>
      </c>
      <c r="C181" s="518" t="str">
        <f ca="1">"X"&amp;OFFSET(NameConv!$F$4,0,L181)&amp;OFFSET(NameConv!$F$59,M181,L181)</f>
        <v>XTRAODS</v>
      </c>
      <c r="D181" s="515" t="str">
        <f ca="1">OFFSET(NameConv!$F$4,0,L181)&amp;OFFSET(NameConv!$AX$4,0,N181)</f>
        <v>TRASOXS</v>
      </c>
      <c r="E181" s="740" t="s">
        <v>334</v>
      </c>
      <c r="F181" s="740" t="s">
        <v>334</v>
      </c>
      <c r="G181" s="740" t="s">
        <v>334</v>
      </c>
      <c r="H181" s="740" t="s">
        <v>334</v>
      </c>
      <c r="I181" s="516">
        <f t="shared" si="14"/>
        <v>1</v>
      </c>
      <c r="J181" s="516"/>
      <c r="K181" s="516"/>
      <c r="L181" s="495">
        <f ca="1">IF(AND(O180&gt;=SUMIF(NameConv!$C$5:$C$45,RIGHT(C180,3),NameConv!$CG$5:$CG$45),M180=SUMIF(NameConv!$G$4:$M$4,MID(C180,2,3),NameConv!$G$45:$M$45)),L180+1,L180)</f>
        <v>4</v>
      </c>
      <c r="M181" s="495">
        <f ca="1">IF(L181&lt;&gt;L180,1,IF(O180&gt;=SUMIF(NameConv!$C$5:$C$45,RIGHT(C180,3),NameConv!$CG$5:$CG$45),M180+1,M180))</f>
        <v>5</v>
      </c>
      <c r="N181" s="495">
        <f ca="1">SUMIF(NameConv!$C$5:$C$45,RIGHT(C181,3),OFFSET(NameConv!$CG$5,0,O181,NameConv!$A$45,1))</f>
        <v>4</v>
      </c>
      <c r="O181" s="495">
        <f ca="1">IF(O180&gt;=SUMIF(NameConv!$C$5:$C$45,RIGHT(C180,3),NameConv!$CG$5:$CG$45),1,O180+1)</f>
        <v>4</v>
      </c>
    </row>
    <row r="182" spans="1:15">
      <c r="A182" s="422" t="str">
        <f t="shared" ca="1" si="13"/>
        <v/>
      </c>
      <c r="B182" s="515" t="str">
        <f t="shared" si="12"/>
        <v>TOP-OUT</v>
      </c>
      <c r="C182" s="518" t="str">
        <f ca="1">"X"&amp;OFFSET(NameConv!$F$4,0,L182)&amp;OFFSET(NameConv!$F$59,M182,L182)</f>
        <v>XTRAODS</v>
      </c>
      <c r="D182" s="515" t="str">
        <f ca="1">OFFSET(NameConv!$F$4,0,L182)&amp;OFFSET(NameConv!$AX$4,0,N182)</f>
        <v>TRANOXS</v>
      </c>
      <c r="E182" s="740" t="s">
        <v>334</v>
      </c>
      <c r="F182" s="740" t="s">
        <v>334</v>
      </c>
      <c r="G182" s="740" t="s">
        <v>334</v>
      </c>
      <c r="H182" s="740" t="s">
        <v>334</v>
      </c>
      <c r="I182" s="516">
        <f t="shared" si="14"/>
        <v>1</v>
      </c>
      <c r="J182" s="516"/>
      <c r="K182" s="516"/>
      <c r="L182" s="495">
        <f ca="1">IF(AND(O181&gt;=SUMIF(NameConv!$C$5:$C$45,RIGHT(C181,3),NameConv!$CG$5:$CG$45),M181=SUMIF(NameConv!$G$4:$M$4,MID(C181,2,3),NameConv!$G$45:$M$45)),L181+1,L181)</f>
        <v>4</v>
      </c>
      <c r="M182" s="495">
        <f ca="1">IF(L182&lt;&gt;L181,1,IF(O181&gt;=SUMIF(NameConv!$C$5:$C$45,RIGHT(C181,3),NameConv!$CG$5:$CG$45),M181+1,M181))</f>
        <v>5</v>
      </c>
      <c r="N182" s="495">
        <f ca="1">SUMIF(NameConv!$C$5:$C$45,RIGHT(C182,3),OFFSET(NameConv!$CG$5,0,O182,NameConv!$A$45,1))</f>
        <v>5</v>
      </c>
      <c r="O182" s="495">
        <f ca="1">IF(O181&gt;=SUMIF(NameConv!$C$5:$C$45,RIGHT(C181,3),NameConv!$CG$5:$CG$45),1,O181+1)</f>
        <v>5</v>
      </c>
    </row>
    <row r="183" spans="1:15">
      <c r="A183" s="422" t="str">
        <f t="shared" ca="1" si="13"/>
        <v/>
      </c>
      <c r="B183" s="515" t="str">
        <f t="shared" si="12"/>
        <v>TOP-OUT</v>
      </c>
      <c r="C183" s="518" t="str">
        <f ca="1">"X"&amp;OFFSET(NameConv!$F$4,0,L183)&amp;OFFSET(NameConv!$F$59,M183,L183)</f>
        <v>XTRAODS</v>
      </c>
      <c r="D183" s="515" t="str">
        <f ca="1">OFFSET(NameConv!$F$4,0,L183)&amp;OFFSET(NameConv!$AX$4,0,N183)</f>
        <v>TRACMOX</v>
      </c>
      <c r="E183" s="740" t="s">
        <v>334</v>
      </c>
      <c r="F183" s="740" t="s">
        <v>334</v>
      </c>
      <c r="G183" s="740" t="s">
        <v>334</v>
      </c>
      <c r="H183" s="740" t="s">
        <v>334</v>
      </c>
      <c r="I183" s="516">
        <f t="shared" si="14"/>
        <v>1</v>
      </c>
      <c r="J183" s="516"/>
      <c r="K183" s="516"/>
      <c r="L183" s="495">
        <f ca="1">IF(AND(O182&gt;=SUMIF(NameConv!$C$5:$C$45,RIGHT(C182,3),NameConv!$CG$5:$CG$45),M182=SUMIF(NameConv!$G$4:$M$4,MID(C182,2,3),NameConv!$G$45:$M$45)),L182+1,L182)</f>
        <v>4</v>
      </c>
      <c r="M183" s="495">
        <f ca="1">IF(L183&lt;&gt;L182,1,IF(O182&gt;=SUMIF(NameConv!$C$5:$C$45,RIGHT(C182,3),NameConv!$CG$5:$CG$45),M182+1,M182))</f>
        <v>5</v>
      </c>
      <c r="N183" s="495">
        <f ca="1">SUMIF(NameConv!$C$5:$C$45,RIGHT(C183,3),OFFSET(NameConv!$CG$5,0,O183,NameConv!$A$45,1))</f>
        <v>6</v>
      </c>
      <c r="O183" s="495">
        <f ca="1">IF(O182&gt;=SUMIF(NameConv!$C$5:$C$45,RIGHT(C182,3),NameConv!$CG$5:$CG$45),1,O182+1)</f>
        <v>6</v>
      </c>
    </row>
    <row r="184" spans="1:15">
      <c r="A184" s="422" t="str">
        <f t="shared" ca="1" si="13"/>
        <v/>
      </c>
      <c r="B184" s="515" t="str">
        <f t="shared" si="12"/>
        <v>TOP-OUT</v>
      </c>
      <c r="C184" s="518" t="str">
        <f ca="1">"X"&amp;OFFSET(NameConv!$F$4,0,L184)&amp;OFFSET(NameConv!$F$59,M184,L184)</f>
        <v>XTRAODS</v>
      </c>
      <c r="D184" s="515" t="str">
        <f ca="1">OFFSET(NameConv!$F$4,0,L184)&amp;OFFSET(NameConv!$AX$4,0,N184)</f>
        <v>TRANMVS</v>
      </c>
      <c r="E184" s="740" t="s">
        <v>334</v>
      </c>
      <c r="F184" s="740" t="s">
        <v>334</v>
      </c>
      <c r="G184" s="740" t="s">
        <v>334</v>
      </c>
      <c r="H184" s="740" t="s">
        <v>334</v>
      </c>
      <c r="I184" s="516">
        <f t="shared" si="14"/>
        <v>1</v>
      </c>
      <c r="J184" s="516"/>
      <c r="K184" s="516"/>
      <c r="L184" s="495">
        <f ca="1">IF(AND(O183&gt;=SUMIF(NameConv!$C$5:$C$45,RIGHT(C183,3),NameConv!$CG$5:$CG$45),M183=SUMIF(NameConv!$G$4:$M$4,MID(C183,2,3),NameConv!$G$45:$M$45)),L183+1,L183)</f>
        <v>4</v>
      </c>
      <c r="M184" s="495">
        <f ca="1">IF(L184&lt;&gt;L183,1,IF(O183&gt;=SUMIF(NameConv!$C$5:$C$45,RIGHT(C183,3),NameConv!$CG$5:$CG$45),M183+1,M183))</f>
        <v>5</v>
      </c>
      <c r="N184" s="495">
        <f ca="1">SUMIF(NameConv!$C$5:$C$45,RIGHT(C184,3),OFFSET(NameConv!$CG$5,0,O184,NameConv!$A$45,1))</f>
        <v>7</v>
      </c>
      <c r="O184" s="495">
        <f ca="1">IF(O183&gt;=SUMIF(NameConv!$C$5:$C$45,RIGHT(C183,3),NameConv!$CG$5:$CG$45),1,O183+1)</f>
        <v>7</v>
      </c>
    </row>
    <row r="185" spans="1:15">
      <c r="A185" s="422" t="str">
        <f t="shared" ca="1" si="13"/>
        <v/>
      </c>
      <c r="B185" s="515" t="str">
        <f t="shared" si="12"/>
        <v>TOP-OUT</v>
      </c>
      <c r="C185" s="518" t="str">
        <f ca="1">"X"&amp;OFFSET(NameConv!$F$4,0,L185)&amp;OFFSET(NameConv!$F$59,M185,L185)</f>
        <v>XTRAOGS</v>
      </c>
      <c r="D185" s="515" t="str">
        <f ca="1">OFFSET(NameConv!$F$4,0,L185)&amp;OFFSET(NameConv!$AX$4,0,N185)</f>
        <v>TRACO2S</v>
      </c>
      <c r="E185" s="740" t="s">
        <v>334</v>
      </c>
      <c r="F185" s="740" t="s">
        <v>334</v>
      </c>
      <c r="G185" s="740" t="s">
        <v>334</v>
      </c>
      <c r="H185" s="740" t="s">
        <v>334</v>
      </c>
      <c r="I185" s="516">
        <f t="shared" si="14"/>
        <v>1</v>
      </c>
      <c r="J185" s="516"/>
      <c r="K185" s="516"/>
      <c r="L185" s="495">
        <f ca="1">IF(AND(O184&gt;=SUMIF(NameConv!$C$5:$C$45,RIGHT(C184,3),NameConv!$CG$5:$CG$45),M184=SUMIF(NameConv!$G$4:$M$4,MID(C184,2,3),NameConv!$G$45:$M$45)),L184+1,L184)</f>
        <v>4</v>
      </c>
      <c r="M185" s="495">
        <f ca="1">IF(L185&lt;&gt;L184,1,IF(O184&gt;=SUMIF(NameConv!$C$5:$C$45,RIGHT(C184,3),NameConv!$CG$5:$CG$45),M184+1,M184))</f>
        <v>6</v>
      </c>
      <c r="N185" s="495">
        <f ca="1">SUMIF(NameConv!$C$5:$C$45,RIGHT(C185,3),OFFSET(NameConv!$CG$5,0,O185,NameConv!$A$45,1))</f>
        <v>1</v>
      </c>
      <c r="O185" s="495">
        <f ca="1">IF(O184&gt;=SUMIF(NameConv!$C$5:$C$45,RIGHT(C184,3),NameConv!$CG$5:$CG$45),1,O184+1)</f>
        <v>1</v>
      </c>
    </row>
    <row r="186" spans="1:15">
      <c r="A186" s="422" t="str">
        <f t="shared" ca="1" si="13"/>
        <v/>
      </c>
      <c r="B186" s="515" t="str">
        <f t="shared" si="12"/>
        <v>TOP-OUT</v>
      </c>
      <c r="C186" s="518" t="str">
        <f ca="1">"X"&amp;OFFSET(NameConv!$F$4,0,L186)&amp;OFFSET(NameConv!$F$59,M186,L186)</f>
        <v>XTRAOGS</v>
      </c>
      <c r="D186" s="515" t="str">
        <f ca="1">OFFSET(NameConv!$F$4,0,L186)&amp;OFFSET(NameConv!$AX$4,0,N186)</f>
        <v>TRACH4S</v>
      </c>
      <c r="E186" s="740" t="s">
        <v>334</v>
      </c>
      <c r="F186" s="740" t="s">
        <v>334</v>
      </c>
      <c r="G186" s="740" t="s">
        <v>334</v>
      </c>
      <c r="H186" s="740" t="s">
        <v>334</v>
      </c>
      <c r="I186" s="516">
        <f t="shared" si="14"/>
        <v>1</v>
      </c>
      <c r="J186" s="516"/>
      <c r="K186" s="516"/>
      <c r="L186" s="495">
        <f ca="1">IF(AND(O185&gt;=SUMIF(NameConv!$C$5:$C$45,RIGHT(C185,3),NameConv!$CG$5:$CG$45),M185=SUMIF(NameConv!$G$4:$M$4,MID(C185,2,3),NameConv!$G$45:$M$45)),L185+1,L185)</f>
        <v>4</v>
      </c>
      <c r="M186" s="495">
        <f ca="1">IF(L186&lt;&gt;L185,1,IF(O185&gt;=SUMIF(NameConv!$C$5:$C$45,RIGHT(C185,3),NameConv!$CG$5:$CG$45),M185+1,M185))</f>
        <v>6</v>
      </c>
      <c r="N186" s="495">
        <f ca="1">SUMIF(NameConv!$C$5:$C$45,RIGHT(C186,3),OFFSET(NameConv!$CG$5,0,O186,NameConv!$A$45,1))</f>
        <v>2</v>
      </c>
      <c r="O186" s="495">
        <f ca="1">IF(O185&gt;=SUMIF(NameConv!$C$5:$C$45,RIGHT(C185,3),NameConv!$CG$5:$CG$45),1,O185+1)</f>
        <v>2</v>
      </c>
    </row>
    <row r="187" spans="1:15">
      <c r="A187" s="422" t="str">
        <f t="shared" ca="1" si="13"/>
        <v/>
      </c>
      <c r="B187" s="515" t="str">
        <f t="shared" si="12"/>
        <v>TOP-OUT</v>
      </c>
      <c r="C187" s="518" t="str">
        <f ca="1">"X"&amp;OFFSET(NameConv!$F$4,0,L187)&amp;OFFSET(NameConv!$F$59,M187,L187)</f>
        <v>XTRAOGS</v>
      </c>
      <c r="D187" s="515" t="str">
        <f ca="1">OFFSET(NameConv!$F$4,0,L187)&amp;OFFSET(NameConv!$AX$4,0,N187)</f>
        <v>TRAN2OS</v>
      </c>
      <c r="E187" s="740" t="s">
        <v>334</v>
      </c>
      <c r="F187" s="740" t="s">
        <v>334</v>
      </c>
      <c r="G187" s="740" t="s">
        <v>334</v>
      </c>
      <c r="H187" s="740" t="s">
        <v>334</v>
      </c>
      <c r="I187" s="516">
        <f t="shared" si="14"/>
        <v>1</v>
      </c>
      <c r="J187" s="516"/>
      <c r="K187" s="516"/>
      <c r="L187" s="495">
        <f ca="1">IF(AND(O186&gt;=SUMIF(NameConv!$C$5:$C$45,RIGHT(C186,3),NameConv!$CG$5:$CG$45),M186=SUMIF(NameConv!$G$4:$M$4,MID(C186,2,3),NameConv!$G$45:$M$45)),L186+1,L186)</f>
        <v>4</v>
      </c>
      <c r="M187" s="495">
        <f ca="1">IF(L187&lt;&gt;L186,1,IF(O186&gt;=SUMIF(NameConv!$C$5:$C$45,RIGHT(C186,3),NameConv!$CG$5:$CG$45),M186+1,M186))</f>
        <v>6</v>
      </c>
      <c r="N187" s="495">
        <f ca="1">SUMIF(NameConv!$C$5:$C$45,RIGHT(C187,3),OFFSET(NameConv!$CG$5,0,O187,NameConv!$A$45,1))</f>
        <v>3</v>
      </c>
      <c r="O187" s="495">
        <f ca="1">IF(O186&gt;=SUMIF(NameConv!$C$5:$C$45,RIGHT(C186,3),NameConv!$CG$5:$CG$45),1,O186+1)</f>
        <v>3</v>
      </c>
    </row>
    <row r="188" spans="1:15">
      <c r="A188" s="422" t="str">
        <f ca="1">IF(LEN(D188)=3,"*","")</f>
        <v/>
      </c>
      <c r="B188" s="515" t="str">
        <f t="shared" si="12"/>
        <v>TOP-OUT</v>
      </c>
      <c r="C188" s="518" t="str">
        <f ca="1">"X"&amp;OFFSET(NameConv!$F$4,0,L188)&amp;OFFSET(NameConv!$F$59,M188,L188)</f>
        <v>XTRAOGS</v>
      </c>
      <c r="D188" s="515" t="str">
        <f ca="1">OFFSET(NameConv!$F$4,0,L188)&amp;OFFSET(NameConv!$AX$4,0,N188)</f>
        <v>TRASOXS</v>
      </c>
      <c r="E188" s="740" t="s">
        <v>334</v>
      </c>
      <c r="F188" s="740" t="s">
        <v>334</v>
      </c>
      <c r="G188" s="740" t="s">
        <v>334</v>
      </c>
      <c r="H188" s="740" t="s">
        <v>334</v>
      </c>
      <c r="I188" s="516">
        <f t="shared" si="14"/>
        <v>1</v>
      </c>
      <c r="J188" s="516"/>
      <c r="K188" s="516"/>
      <c r="L188" s="495">
        <f ca="1">IF(AND(O187&gt;=SUMIF(NameConv!$C$5:$C$45,RIGHT(C187,3),NameConv!$CG$5:$CG$45),M187=SUMIF(NameConv!$G$4:$M$4,MID(C187,2,3),NameConv!$G$45:$M$45)),L187+1,L187)</f>
        <v>4</v>
      </c>
      <c r="M188" s="495">
        <f ca="1">IF(L188&lt;&gt;L187,1,IF(O187&gt;=SUMIF(NameConv!$C$5:$C$45,RIGHT(C187,3),NameConv!$CG$5:$CG$45),M187+1,M187))</f>
        <v>6</v>
      </c>
      <c r="N188" s="495">
        <f ca="1">SUMIF(NameConv!$C$5:$C$45,RIGHT(C188,3),OFFSET(NameConv!$CG$5,0,O188,NameConv!$A$45,1))</f>
        <v>4</v>
      </c>
      <c r="O188" s="495">
        <f ca="1">IF(O187&gt;=SUMIF(NameConv!$C$5:$C$45,RIGHT(C187,3),NameConv!$CG$5:$CG$45),1,O187+1)</f>
        <v>4</v>
      </c>
    </row>
    <row r="189" spans="1:15">
      <c r="A189" s="422" t="str">
        <f ca="1">IF(LEN(D189)=3,"*","")</f>
        <v/>
      </c>
      <c r="B189" s="515" t="str">
        <f t="shared" si="12"/>
        <v>TOP-OUT</v>
      </c>
      <c r="C189" s="518" t="str">
        <f ca="1">"X"&amp;OFFSET(NameConv!$F$4,0,L189)&amp;OFFSET(NameConv!$F$59,M189,L189)</f>
        <v>XTRAOGS</v>
      </c>
      <c r="D189" s="515" t="str">
        <f ca="1">OFFSET(NameConv!$F$4,0,L189)&amp;OFFSET(NameConv!$AX$4,0,N189)</f>
        <v>TRANOXS</v>
      </c>
      <c r="E189" s="740" t="s">
        <v>334</v>
      </c>
      <c r="F189" s="740" t="s">
        <v>334</v>
      </c>
      <c r="G189" s="740" t="s">
        <v>334</v>
      </c>
      <c r="H189" s="740" t="s">
        <v>334</v>
      </c>
      <c r="I189" s="516">
        <f t="shared" si="14"/>
        <v>1</v>
      </c>
      <c r="J189" s="516"/>
      <c r="K189" s="516"/>
      <c r="L189" s="495">
        <f ca="1">IF(AND(O188&gt;=SUMIF(NameConv!$C$5:$C$45,RIGHT(C188,3),NameConv!$CG$5:$CG$45),M188=SUMIF(NameConv!$G$4:$M$4,MID(C188,2,3),NameConv!$G$45:$M$45)),L188+1,L188)</f>
        <v>4</v>
      </c>
      <c r="M189" s="495">
        <f ca="1">IF(L189&lt;&gt;L188,1,IF(O188&gt;=SUMIF(NameConv!$C$5:$C$45,RIGHT(C188,3),NameConv!$CG$5:$CG$45),M188+1,M188))</f>
        <v>6</v>
      </c>
      <c r="N189" s="495">
        <f ca="1">SUMIF(NameConv!$C$5:$C$45,RIGHT(C189,3),OFFSET(NameConv!$CG$5,0,O189,NameConv!$A$45,1))</f>
        <v>5</v>
      </c>
      <c r="O189" s="495">
        <f ca="1">IF(O188&gt;=SUMIF(NameConv!$C$5:$C$45,RIGHT(C188,3),NameConv!$CG$5:$CG$45),1,O188+1)</f>
        <v>5</v>
      </c>
    </row>
    <row r="190" spans="1:15">
      <c r="A190" s="422" t="str">
        <f ca="1">IF(LEN(D190)=3,"*","")</f>
        <v/>
      </c>
      <c r="B190" s="515" t="str">
        <f t="shared" si="12"/>
        <v>TOP-OUT</v>
      </c>
      <c r="C190" s="518" t="str">
        <f ca="1">"X"&amp;OFFSET(NameConv!$F$4,0,L190)&amp;OFFSET(NameConv!$F$59,M190,L190)</f>
        <v>XTRAOGS</v>
      </c>
      <c r="D190" s="515" t="str">
        <f ca="1">OFFSET(NameConv!$F$4,0,L190)&amp;OFFSET(NameConv!$AX$4,0,N190)</f>
        <v>TRACMOX</v>
      </c>
      <c r="E190" s="740" t="s">
        <v>334</v>
      </c>
      <c r="F190" s="740" t="s">
        <v>334</v>
      </c>
      <c r="G190" s="740" t="s">
        <v>334</v>
      </c>
      <c r="H190" s="740" t="s">
        <v>334</v>
      </c>
      <c r="I190" s="516">
        <f t="shared" si="14"/>
        <v>1</v>
      </c>
      <c r="J190" s="516"/>
      <c r="K190" s="516"/>
      <c r="L190" s="495">
        <f ca="1">IF(AND(O189&gt;=SUMIF(NameConv!$C$5:$C$45,RIGHT(C189,3),NameConv!$CG$5:$CG$45),M189=SUMIF(NameConv!$G$4:$M$4,MID(C189,2,3),NameConv!$G$45:$M$45)),L189+1,L189)</f>
        <v>4</v>
      </c>
      <c r="M190" s="495">
        <f ca="1">IF(L190&lt;&gt;L189,1,IF(O189&gt;=SUMIF(NameConv!$C$5:$C$45,RIGHT(C189,3),NameConv!$CG$5:$CG$45),M189+1,M189))</f>
        <v>6</v>
      </c>
      <c r="N190" s="495">
        <f ca="1">SUMIF(NameConv!$C$5:$C$45,RIGHT(C190,3),OFFSET(NameConv!$CG$5,0,O190,NameConv!$A$45,1))</f>
        <v>6</v>
      </c>
      <c r="O190" s="495">
        <f ca="1">IF(O189&gt;=SUMIF(NameConv!$C$5:$C$45,RIGHT(C189,3),NameConv!$CG$5:$CG$45),1,O189+1)</f>
        <v>6</v>
      </c>
    </row>
    <row r="191" spans="1:15">
      <c r="A191" s="422" t="str">
        <f t="shared" ref="A191:A206" ca="1" si="15">IF(LEN(D191)=3,"*","")</f>
        <v/>
      </c>
      <c r="B191" s="515" t="str">
        <f t="shared" si="12"/>
        <v>TOP-OUT</v>
      </c>
      <c r="C191" s="518" t="str">
        <f ca="1">"X"&amp;OFFSET(NameConv!$F$4,0,L191)&amp;OFFSET(NameConv!$F$59,M191,L191)</f>
        <v>XTRAOGS</v>
      </c>
      <c r="D191" s="515" t="str">
        <f ca="1">OFFSET(NameConv!$F$4,0,L191)&amp;OFFSET(NameConv!$AX$4,0,N191)</f>
        <v>TRANMVS</v>
      </c>
      <c r="E191" s="740" t="s">
        <v>334</v>
      </c>
      <c r="F191" s="740" t="s">
        <v>334</v>
      </c>
      <c r="G191" s="740" t="s">
        <v>334</v>
      </c>
      <c r="H191" s="740" t="s">
        <v>334</v>
      </c>
      <c r="I191" s="516">
        <f t="shared" si="14"/>
        <v>1</v>
      </c>
      <c r="J191" s="516"/>
      <c r="K191" s="516"/>
      <c r="L191" s="495">
        <f ca="1">IF(AND(O190&gt;=SUMIF(NameConv!$C$5:$C$45,RIGHT(C190,3),NameConv!$CG$5:$CG$45),M190=SUMIF(NameConv!$G$4:$M$4,MID(C190,2,3),NameConv!$G$45:$M$45)),L190+1,L190)</f>
        <v>4</v>
      </c>
      <c r="M191" s="495">
        <f ca="1">IF(L191&lt;&gt;L190,1,IF(O190&gt;=SUMIF(NameConv!$C$5:$C$45,RIGHT(C190,3),NameConv!$CG$5:$CG$45),M190+1,M190))</f>
        <v>6</v>
      </c>
      <c r="N191" s="495">
        <f ca="1">SUMIF(NameConv!$C$5:$C$45,RIGHT(C191,3),OFFSET(NameConv!$CG$5,0,O191,NameConv!$A$45,1))</f>
        <v>7</v>
      </c>
      <c r="O191" s="495">
        <f ca="1">IF(O190&gt;=SUMIF(NameConv!$C$5:$C$45,RIGHT(C190,3),NameConv!$CG$5:$CG$45),1,O190+1)</f>
        <v>7</v>
      </c>
    </row>
    <row r="192" spans="1:15">
      <c r="A192" s="422" t="str">
        <f t="shared" ca="1" si="15"/>
        <v/>
      </c>
      <c r="B192" s="515" t="str">
        <f t="shared" si="12"/>
        <v>TOP-OUT</v>
      </c>
      <c r="C192" s="518" t="str">
        <f ca="1">"X"&amp;OFFSET(NameConv!$F$4,0,L192)&amp;OFFSET(NameConv!$F$59,M192,L192)</f>
        <v>XTRAOHF</v>
      </c>
      <c r="D192" s="515" t="str">
        <f ca="1">OFFSET(NameConv!$F$4,0,L192)&amp;OFFSET(NameConv!$AX$4,0,N192)</f>
        <v>TRACO2S</v>
      </c>
      <c r="E192" s="740" t="s">
        <v>334</v>
      </c>
      <c r="F192" s="740" t="s">
        <v>334</v>
      </c>
      <c r="G192" s="740" t="s">
        <v>334</v>
      </c>
      <c r="H192" s="740" t="s">
        <v>334</v>
      </c>
      <c r="I192" s="516">
        <f t="shared" si="14"/>
        <v>1</v>
      </c>
      <c r="J192" s="516"/>
      <c r="K192" s="516"/>
      <c r="L192" s="495">
        <f ca="1">IF(AND(O191&gt;=SUMIF(NameConv!$C$5:$C$45,RIGHT(C191,3),NameConv!$CG$5:$CG$45),M191=SUMIF(NameConv!$G$4:$M$4,MID(C191,2,3),NameConv!$G$45:$M$45)),L191+1,L191)</f>
        <v>4</v>
      </c>
      <c r="M192" s="495">
        <f ca="1">IF(L192&lt;&gt;L191,1,IF(O191&gt;=SUMIF(NameConv!$C$5:$C$45,RIGHT(C191,3),NameConv!$CG$5:$CG$45),M191+1,M191))</f>
        <v>7</v>
      </c>
      <c r="N192" s="495">
        <f ca="1">SUMIF(NameConv!$C$5:$C$45,RIGHT(C192,3),OFFSET(NameConv!$CG$5,0,O192,NameConv!$A$45,1))</f>
        <v>1</v>
      </c>
      <c r="O192" s="495">
        <f ca="1">IF(O191&gt;=SUMIF(NameConv!$C$5:$C$45,RIGHT(C191,3),NameConv!$CG$5:$CG$45),1,O191+1)</f>
        <v>1</v>
      </c>
    </row>
    <row r="193" spans="1:15">
      <c r="A193" s="422" t="str">
        <f t="shared" ca="1" si="15"/>
        <v/>
      </c>
      <c r="B193" s="515" t="str">
        <f t="shared" si="12"/>
        <v>TOP-OUT</v>
      </c>
      <c r="C193" s="518" t="str">
        <f ca="1">"X"&amp;OFFSET(NameConv!$F$4,0,L193)&amp;OFFSET(NameConv!$F$59,M193,L193)</f>
        <v>XTRAOHF</v>
      </c>
      <c r="D193" s="515" t="str">
        <f ca="1">OFFSET(NameConv!$F$4,0,L193)&amp;OFFSET(NameConv!$AX$4,0,N193)</f>
        <v>TRACH4S</v>
      </c>
      <c r="E193" s="740" t="s">
        <v>334</v>
      </c>
      <c r="F193" s="740" t="s">
        <v>334</v>
      </c>
      <c r="G193" s="740" t="s">
        <v>334</v>
      </c>
      <c r="H193" s="740" t="s">
        <v>334</v>
      </c>
      <c r="I193" s="516">
        <f t="shared" si="14"/>
        <v>1</v>
      </c>
      <c r="J193" s="516"/>
      <c r="K193" s="516"/>
      <c r="L193" s="495">
        <f ca="1">IF(AND(O192&gt;=SUMIF(NameConv!$C$5:$C$45,RIGHT(C192,3),NameConv!$CG$5:$CG$45),M192=SUMIF(NameConv!$G$4:$M$4,MID(C192,2,3),NameConv!$G$45:$M$45)),L192+1,L192)</f>
        <v>4</v>
      </c>
      <c r="M193" s="495">
        <f ca="1">IF(L193&lt;&gt;L192,1,IF(O192&gt;=SUMIF(NameConv!$C$5:$C$45,RIGHT(C192,3),NameConv!$CG$5:$CG$45),M192+1,M192))</f>
        <v>7</v>
      </c>
      <c r="N193" s="495">
        <f ca="1">SUMIF(NameConv!$C$5:$C$45,RIGHT(C193,3),OFFSET(NameConv!$CG$5,0,O193,NameConv!$A$45,1))</f>
        <v>2</v>
      </c>
      <c r="O193" s="495">
        <f ca="1">IF(O192&gt;=SUMIF(NameConv!$C$5:$C$45,RIGHT(C192,3),NameConv!$CG$5:$CG$45),1,O192+1)</f>
        <v>2</v>
      </c>
    </row>
    <row r="194" spans="1:15">
      <c r="A194" s="422" t="str">
        <f t="shared" ca="1" si="15"/>
        <v/>
      </c>
      <c r="B194" s="515" t="str">
        <f t="shared" si="12"/>
        <v>TOP-OUT</v>
      </c>
      <c r="C194" s="518" t="str">
        <f ca="1">"X"&amp;OFFSET(NameConv!$F$4,0,L194)&amp;OFFSET(NameConv!$F$59,M194,L194)</f>
        <v>XTRAOHF</v>
      </c>
      <c r="D194" s="515" t="str">
        <f ca="1">OFFSET(NameConv!$F$4,0,L194)&amp;OFFSET(NameConv!$AX$4,0,N194)</f>
        <v>TRAN2OS</v>
      </c>
      <c r="E194" s="740" t="s">
        <v>334</v>
      </c>
      <c r="F194" s="740" t="s">
        <v>334</v>
      </c>
      <c r="G194" s="740" t="s">
        <v>334</v>
      </c>
      <c r="H194" s="740" t="s">
        <v>334</v>
      </c>
      <c r="I194" s="516">
        <f t="shared" si="14"/>
        <v>1</v>
      </c>
      <c r="J194" s="516"/>
      <c r="K194" s="516"/>
      <c r="L194" s="495">
        <f ca="1">IF(AND(O193&gt;=SUMIF(NameConv!$C$5:$C$45,RIGHT(C193,3),NameConv!$CG$5:$CG$45),M193=SUMIF(NameConv!$G$4:$M$4,MID(C193,2,3),NameConv!$G$45:$M$45)),L193+1,L193)</f>
        <v>4</v>
      </c>
      <c r="M194" s="495">
        <f ca="1">IF(L194&lt;&gt;L193,1,IF(O193&gt;=SUMIF(NameConv!$C$5:$C$45,RIGHT(C193,3),NameConv!$CG$5:$CG$45),M193+1,M193))</f>
        <v>7</v>
      </c>
      <c r="N194" s="495">
        <f ca="1">SUMIF(NameConv!$C$5:$C$45,RIGHT(C194,3),OFFSET(NameConv!$CG$5,0,O194,NameConv!$A$45,1))</f>
        <v>3</v>
      </c>
      <c r="O194" s="495">
        <f ca="1">IF(O193&gt;=SUMIF(NameConv!$C$5:$C$45,RIGHT(C193,3),NameConv!$CG$5:$CG$45),1,O193+1)</f>
        <v>3</v>
      </c>
    </row>
    <row r="195" spans="1:15">
      <c r="A195" s="422" t="str">
        <f t="shared" ca="1" si="15"/>
        <v/>
      </c>
      <c r="B195" s="515" t="str">
        <f t="shared" si="12"/>
        <v>TOP-OUT</v>
      </c>
      <c r="C195" s="518" t="str">
        <f ca="1">"X"&amp;OFFSET(NameConv!$F$4,0,L195)&amp;OFFSET(NameConv!$F$59,M195,L195)</f>
        <v>XTRAOHF</v>
      </c>
      <c r="D195" s="515" t="str">
        <f ca="1">OFFSET(NameConv!$F$4,0,L195)&amp;OFFSET(NameConv!$AX$4,0,N195)</f>
        <v>TRASOXS</v>
      </c>
      <c r="E195" s="740" t="s">
        <v>334</v>
      </c>
      <c r="F195" s="740" t="s">
        <v>334</v>
      </c>
      <c r="G195" s="740" t="s">
        <v>334</v>
      </c>
      <c r="H195" s="740" t="s">
        <v>334</v>
      </c>
      <c r="I195" s="516">
        <f t="shared" si="14"/>
        <v>1</v>
      </c>
      <c r="J195" s="516"/>
      <c r="K195" s="516"/>
      <c r="L195" s="495">
        <f ca="1">IF(AND(O194&gt;=SUMIF(NameConv!$C$5:$C$45,RIGHT(C194,3),NameConv!$CG$5:$CG$45),M194=SUMIF(NameConv!$G$4:$M$4,MID(C194,2,3),NameConv!$G$45:$M$45)),L194+1,L194)</f>
        <v>4</v>
      </c>
      <c r="M195" s="495">
        <f ca="1">IF(L195&lt;&gt;L194,1,IF(O194&gt;=SUMIF(NameConv!$C$5:$C$45,RIGHT(C194,3),NameConv!$CG$5:$CG$45),M194+1,M194))</f>
        <v>7</v>
      </c>
      <c r="N195" s="495">
        <f ca="1">SUMIF(NameConv!$C$5:$C$45,RIGHT(C195,3),OFFSET(NameConv!$CG$5,0,O195,NameConv!$A$45,1))</f>
        <v>4</v>
      </c>
      <c r="O195" s="495">
        <f ca="1">IF(O194&gt;=SUMIF(NameConv!$C$5:$C$45,RIGHT(C194,3),NameConv!$CG$5:$CG$45),1,O194+1)</f>
        <v>4</v>
      </c>
    </row>
    <row r="196" spans="1:15">
      <c r="A196" s="422" t="str">
        <f t="shared" ca="1" si="15"/>
        <v/>
      </c>
      <c r="B196" s="515" t="str">
        <f t="shared" si="12"/>
        <v>TOP-OUT</v>
      </c>
      <c r="C196" s="518" t="str">
        <f ca="1">"X"&amp;OFFSET(NameConv!$F$4,0,L196)&amp;OFFSET(NameConv!$F$59,M196,L196)</f>
        <v>XTRAOHF</v>
      </c>
      <c r="D196" s="515" t="str">
        <f ca="1">OFFSET(NameConv!$F$4,0,L196)&amp;OFFSET(NameConv!$AX$4,0,N196)</f>
        <v>TRANOXS</v>
      </c>
      <c r="E196" s="740" t="s">
        <v>334</v>
      </c>
      <c r="F196" s="740" t="s">
        <v>334</v>
      </c>
      <c r="G196" s="740" t="s">
        <v>334</v>
      </c>
      <c r="H196" s="740" t="s">
        <v>334</v>
      </c>
      <c r="I196" s="516">
        <f t="shared" si="14"/>
        <v>1</v>
      </c>
      <c r="J196" s="516"/>
      <c r="K196" s="516"/>
      <c r="L196" s="495">
        <f ca="1">IF(AND(O195&gt;=SUMIF(NameConv!$C$5:$C$45,RIGHT(C195,3),NameConv!$CG$5:$CG$45),M195=SUMIF(NameConv!$G$4:$M$4,MID(C195,2,3),NameConv!$G$45:$M$45)),L195+1,L195)</f>
        <v>4</v>
      </c>
      <c r="M196" s="495">
        <f ca="1">IF(L196&lt;&gt;L195,1,IF(O195&gt;=SUMIF(NameConv!$C$5:$C$45,RIGHT(C195,3),NameConv!$CG$5:$CG$45),M195+1,M195))</f>
        <v>7</v>
      </c>
      <c r="N196" s="495">
        <f ca="1">SUMIF(NameConv!$C$5:$C$45,RIGHT(C196,3),OFFSET(NameConv!$CG$5,0,O196,NameConv!$A$45,1))</f>
        <v>5</v>
      </c>
      <c r="O196" s="495">
        <f ca="1">IF(O195&gt;=SUMIF(NameConv!$C$5:$C$45,RIGHT(C195,3),NameConv!$CG$5:$CG$45),1,O195+1)</f>
        <v>5</v>
      </c>
    </row>
    <row r="197" spans="1:15">
      <c r="A197" s="422" t="str">
        <f t="shared" ca="1" si="15"/>
        <v/>
      </c>
      <c r="B197" s="515" t="str">
        <f t="shared" si="12"/>
        <v>TOP-OUT</v>
      </c>
      <c r="C197" s="518" t="str">
        <f ca="1">"X"&amp;OFFSET(NameConv!$F$4,0,L197)&amp;OFFSET(NameConv!$F$59,M197,L197)</f>
        <v>XTRAOHF</v>
      </c>
      <c r="D197" s="515" t="str">
        <f ca="1">OFFSET(NameConv!$F$4,0,L197)&amp;OFFSET(NameConv!$AX$4,0,N197)</f>
        <v>TRACMOX</v>
      </c>
      <c r="E197" s="740" t="s">
        <v>334</v>
      </c>
      <c r="F197" s="740" t="s">
        <v>334</v>
      </c>
      <c r="G197" s="740" t="s">
        <v>334</v>
      </c>
      <c r="H197" s="740" t="s">
        <v>334</v>
      </c>
      <c r="I197" s="516">
        <f t="shared" si="14"/>
        <v>1</v>
      </c>
      <c r="J197" s="516"/>
      <c r="K197" s="516"/>
      <c r="L197" s="495">
        <f ca="1">IF(AND(O196&gt;=SUMIF(NameConv!$C$5:$C$45,RIGHT(C196,3),NameConv!$CG$5:$CG$45),M196=SUMIF(NameConv!$G$4:$M$4,MID(C196,2,3),NameConv!$G$45:$M$45)),L196+1,L196)</f>
        <v>4</v>
      </c>
      <c r="M197" s="495">
        <f ca="1">IF(L197&lt;&gt;L196,1,IF(O196&gt;=SUMIF(NameConv!$C$5:$C$45,RIGHT(C196,3),NameConv!$CG$5:$CG$45),M196+1,M196))</f>
        <v>7</v>
      </c>
      <c r="N197" s="495">
        <f ca="1">SUMIF(NameConv!$C$5:$C$45,RIGHT(C197,3),OFFSET(NameConv!$CG$5,0,O197,NameConv!$A$45,1))</f>
        <v>6</v>
      </c>
      <c r="O197" s="495">
        <f ca="1">IF(O196&gt;=SUMIF(NameConv!$C$5:$C$45,RIGHT(C196,3),NameConv!$CG$5:$CG$45),1,O196+1)</f>
        <v>6</v>
      </c>
    </row>
    <row r="198" spans="1:15">
      <c r="A198" s="422" t="str">
        <f t="shared" ca="1" si="15"/>
        <v/>
      </c>
      <c r="B198" s="515" t="str">
        <f t="shared" si="12"/>
        <v>TOP-OUT</v>
      </c>
      <c r="C198" s="518" t="str">
        <f ca="1">"X"&amp;OFFSET(NameConv!$F$4,0,L198)&amp;OFFSET(NameConv!$F$59,M198,L198)</f>
        <v>XTRAOHF</v>
      </c>
      <c r="D198" s="515" t="str">
        <f ca="1">OFFSET(NameConv!$F$4,0,L198)&amp;OFFSET(NameConv!$AX$4,0,N198)</f>
        <v>TRANMVS</v>
      </c>
      <c r="E198" s="740" t="s">
        <v>334</v>
      </c>
      <c r="F198" s="740" t="s">
        <v>334</v>
      </c>
      <c r="G198" s="740" t="s">
        <v>334</v>
      </c>
      <c r="H198" s="740" t="s">
        <v>334</v>
      </c>
      <c r="I198" s="516">
        <f t="shared" si="14"/>
        <v>1</v>
      </c>
      <c r="J198" s="516"/>
      <c r="K198" s="516"/>
      <c r="L198" s="495">
        <f ca="1">IF(AND(O197&gt;=SUMIF(NameConv!$C$5:$C$45,RIGHT(C197,3),NameConv!$CG$5:$CG$45),M197=SUMIF(NameConv!$G$4:$M$4,MID(C197,2,3),NameConv!$G$45:$M$45)),L197+1,L197)</f>
        <v>4</v>
      </c>
      <c r="M198" s="495">
        <f ca="1">IF(L198&lt;&gt;L197,1,IF(O197&gt;=SUMIF(NameConv!$C$5:$C$45,RIGHT(C197,3),NameConv!$CG$5:$CG$45),M197+1,M197))</f>
        <v>7</v>
      </c>
      <c r="N198" s="495">
        <f ca="1">SUMIF(NameConv!$C$5:$C$45,RIGHT(C198,3),OFFSET(NameConv!$CG$5,0,O198,NameConv!$A$45,1))</f>
        <v>7</v>
      </c>
      <c r="O198" s="495">
        <f ca="1">IF(O197&gt;=SUMIF(NameConv!$C$5:$C$45,RIGHT(C197,3),NameConv!$CG$5:$CG$45),1,O197+1)</f>
        <v>7</v>
      </c>
    </row>
    <row r="199" spans="1:15">
      <c r="A199" s="422" t="str">
        <f t="shared" ca="1" si="15"/>
        <v/>
      </c>
      <c r="B199" s="515" t="str">
        <f t="shared" si="12"/>
        <v>TOP-OUT</v>
      </c>
      <c r="C199" s="518" t="str">
        <f ca="1">"X"&amp;OFFSET(NameConv!$F$4,0,L199)&amp;OFFSET(NameConv!$F$59,M199,L199)</f>
        <v>XTRAOKE</v>
      </c>
      <c r="D199" s="515" t="str">
        <f ca="1">OFFSET(NameConv!$F$4,0,L199)&amp;OFFSET(NameConv!$AX$4,0,N199)</f>
        <v>TRACO2S</v>
      </c>
      <c r="E199" s="740" t="s">
        <v>334</v>
      </c>
      <c r="F199" s="740" t="s">
        <v>334</v>
      </c>
      <c r="G199" s="740" t="s">
        <v>334</v>
      </c>
      <c r="H199" s="740" t="s">
        <v>334</v>
      </c>
      <c r="I199" s="516">
        <f t="shared" si="14"/>
        <v>1</v>
      </c>
      <c r="J199" s="516"/>
      <c r="K199" s="516"/>
      <c r="L199" s="495">
        <f ca="1">IF(AND(O198&gt;=SUMIF(NameConv!$C$5:$C$45,RIGHT(C198,3),NameConv!$CG$5:$CG$45),M198=SUMIF(NameConv!$G$4:$M$4,MID(C198,2,3),NameConv!$G$45:$M$45)),L198+1,L198)</f>
        <v>4</v>
      </c>
      <c r="M199" s="495">
        <f ca="1">IF(L199&lt;&gt;L198,1,IF(O198&gt;=SUMIF(NameConv!$C$5:$C$45,RIGHT(C198,3),NameConv!$CG$5:$CG$45),M198+1,M198))</f>
        <v>8</v>
      </c>
      <c r="N199" s="495">
        <f ca="1">SUMIF(NameConv!$C$5:$C$45,RIGHT(C199,3),OFFSET(NameConv!$CG$5,0,O199,NameConv!$A$45,1))</f>
        <v>1</v>
      </c>
      <c r="O199" s="495">
        <f ca="1">IF(O198&gt;=SUMIF(NameConv!$C$5:$C$45,RIGHT(C198,3),NameConv!$CG$5:$CG$45),1,O198+1)</f>
        <v>1</v>
      </c>
    </row>
    <row r="200" spans="1:15">
      <c r="A200" s="422" t="str">
        <f t="shared" ca="1" si="15"/>
        <v/>
      </c>
      <c r="B200" s="515" t="str">
        <f t="shared" si="12"/>
        <v>TOP-OUT</v>
      </c>
      <c r="C200" s="518" t="str">
        <f ca="1">"X"&amp;OFFSET(NameConv!$F$4,0,L200)&amp;OFFSET(NameConv!$F$59,M200,L200)</f>
        <v>XTRAOKE</v>
      </c>
      <c r="D200" s="515" t="str">
        <f ca="1">OFFSET(NameConv!$F$4,0,L200)&amp;OFFSET(NameConv!$AX$4,0,N200)</f>
        <v>TRACH4S</v>
      </c>
      <c r="E200" s="740" t="s">
        <v>334</v>
      </c>
      <c r="F200" s="740" t="s">
        <v>334</v>
      </c>
      <c r="G200" s="740" t="s">
        <v>334</v>
      </c>
      <c r="H200" s="740" t="s">
        <v>334</v>
      </c>
      <c r="I200" s="516">
        <f t="shared" si="14"/>
        <v>1</v>
      </c>
      <c r="J200" s="516"/>
      <c r="K200" s="516"/>
      <c r="L200" s="495">
        <f ca="1">IF(AND(O199&gt;=SUMIF(NameConv!$C$5:$C$45,RIGHT(C199,3),NameConv!$CG$5:$CG$45),M199=SUMIF(NameConv!$G$4:$M$4,MID(C199,2,3),NameConv!$G$45:$M$45)),L199+1,L199)</f>
        <v>4</v>
      </c>
      <c r="M200" s="495">
        <f ca="1">IF(L200&lt;&gt;L199,1,IF(O199&gt;=SUMIF(NameConv!$C$5:$C$45,RIGHT(C199,3),NameConv!$CG$5:$CG$45),M199+1,M199))</f>
        <v>8</v>
      </c>
      <c r="N200" s="495">
        <f ca="1">SUMIF(NameConv!$C$5:$C$45,RIGHT(C200,3),OFFSET(NameConv!$CG$5,0,O200,NameConv!$A$45,1))</f>
        <v>2</v>
      </c>
      <c r="O200" s="495">
        <f ca="1">IF(O199&gt;=SUMIF(NameConv!$C$5:$C$45,RIGHT(C199,3),NameConv!$CG$5:$CG$45),1,O199+1)</f>
        <v>2</v>
      </c>
    </row>
    <row r="201" spans="1:15">
      <c r="A201" s="422" t="str">
        <f t="shared" ca="1" si="15"/>
        <v/>
      </c>
      <c r="B201" s="515" t="str">
        <f t="shared" si="12"/>
        <v>TOP-OUT</v>
      </c>
      <c r="C201" s="518" t="str">
        <f ca="1">"X"&amp;OFFSET(NameConv!$F$4,0,L201)&amp;OFFSET(NameConv!$F$59,M201,L201)</f>
        <v>XTRAOKE</v>
      </c>
      <c r="D201" s="515" t="str">
        <f ca="1">OFFSET(NameConv!$F$4,0,L201)&amp;OFFSET(NameConv!$AX$4,0,N201)</f>
        <v>TRAN2OS</v>
      </c>
      <c r="E201" s="740" t="s">
        <v>334</v>
      </c>
      <c r="F201" s="740" t="s">
        <v>334</v>
      </c>
      <c r="G201" s="740" t="s">
        <v>334</v>
      </c>
      <c r="H201" s="740" t="s">
        <v>334</v>
      </c>
      <c r="I201" s="516">
        <f t="shared" si="14"/>
        <v>1</v>
      </c>
      <c r="J201" s="516"/>
      <c r="K201" s="516"/>
      <c r="L201" s="495">
        <f ca="1">IF(AND(O200&gt;=SUMIF(NameConv!$C$5:$C$45,RIGHT(C200,3),NameConv!$CG$5:$CG$45),M200=SUMIF(NameConv!$G$4:$M$4,MID(C200,2,3),NameConv!$G$45:$M$45)),L200+1,L200)</f>
        <v>4</v>
      </c>
      <c r="M201" s="495">
        <f ca="1">IF(L201&lt;&gt;L200,1,IF(O200&gt;=SUMIF(NameConv!$C$5:$C$45,RIGHT(C200,3),NameConv!$CG$5:$CG$45),M200+1,M200))</f>
        <v>8</v>
      </c>
      <c r="N201" s="495">
        <f ca="1">SUMIF(NameConv!$C$5:$C$45,RIGHT(C201,3),OFFSET(NameConv!$CG$5,0,O201,NameConv!$A$45,1))</f>
        <v>3</v>
      </c>
      <c r="O201" s="495">
        <f ca="1">IF(O200&gt;=SUMIF(NameConv!$C$5:$C$45,RIGHT(C200,3),NameConv!$CG$5:$CG$45),1,O200+1)</f>
        <v>3</v>
      </c>
    </row>
    <row r="202" spans="1:15">
      <c r="A202" s="422" t="str">
        <f t="shared" ca="1" si="15"/>
        <v/>
      </c>
      <c r="B202" s="515" t="str">
        <f t="shared" si="12"/>
        <v>TOP-OUT</v>
      </c>
      <c r="C202" s="518" t="str">
        <f ca="1">"X"&amp;OFFSET(NameConv!$F$4,0,L202)&amp;OFFSET(NameConv!$F$59,M202,L202)</f>
        <v>XTRAOKE</v>
      </c>
      <c r="D202" s="515" t="str">
        <f ca="1">OFFSET(NameConv!$F$4,0,L202)&amp;OFFSET(NameConv!$AX$4,0,N202)</f>
        <v>TRASOXS</v>
      </c>
      <c r="E202" s="740" t="s">
        <v>334</v>
      </c>
      <c r="F202" s="740" t="s">
        <v>334</v>
      </c>
      <c r="G202" s="740" t="s">
        <v>334</v>
      </c>
      <c r="H202" s="740" t="s">
        <v>334</v>
      </c>
      <c r="I202" s="516">
        <f t="shared" si="14"/>
        <v>1</v>
      </c>
      <c r="J202" s="516"/>
      <c r="K202" s="516"/>
      <c r="L202" s="495">
        <f ca="1">IF(AND(O201&gt;=SUMIF(NameConv!$C$5:$C$45,RIGHT(C201,3),NameConv!$CG$5:$CG$45),M201=SUMIF(NameConv!$G$4:$M$4,MID(C201,2,3),NameConv!$G$45:$M$45)),L201+1,L201)</f>
        <v>4</v>
      </c>
      <c r="M202" s="495">
        <f ca="1">IF(L202&lt;&gt;L201,1,IF(O201&gt;=SUMIF(NameConv!$C$5:$C$45,RIGHT(C201,3),NameConv!$CG$5:$CG$45),M201+1,M201))</f>
        <v>8</v>
      </c>
      <c r="N202" s="495">
        <f ca="1">SUMIF(NameConv!$C$5:$C$45,RIGHT(C202,3),OFFSET(NameConv!$CG$5,0,O202,NameConv!$A$45,1))</f>
        <v>4</v>
      </c>
      <c r="O202" s="495">
        <f ca="1">IF(O201&gt;=SUMIF(NameConv!$C$5:$C$45,RIGHT(C201,3),NameConv!$CG$5:$CG$45),1,O201+1)</f>
        <v>4</v>
      </c>
    </row>
    <row r="203" spans="1:15">
      <c r="A203" s="422" t="str">
        <f t="shared" ca="1" si="15"/>
        <v/>
      </c>
      <c r="B203" s="515" t="str">
        <f t="shared" si="12"/>
        <v>TOP-OUT</v>
      </c>
      <c r="C203" s="518" t="str">
        <f ca="1">"X"&amp;OFFSET(NameConv!$F$4,0,L203)&amp;OFFSET(NameConv!$F$59,M203,L203)</f>
        <v>XTRAOKE</v>
      </c>
      <c r="D203" s="515" t="str">
        <f ca="1">OFFSET(NameConv!$F$4,0,L203)&amp;OFFSET(NameConv!$AX$4,0,N203)</f>
        <v>TRANOXS</v>
      </c>
      <c r="E203" s="740" t="s">
        <v>334</v>
      </c>
      <c r="F203" s="740" t="s">
        <v>334</v>
      </c>
      <c r="G203" s="740" t="s">
        <v>334</v>
      </c>
      <c r="H203" s="740" t="s">
        <v>334</v>
      </c>
      <c r="I203" s="516">
        <f t="shared" si="14"/>
        <v>1</v>
      </c>
      <c r="J203" s="516"/>
      <c r="K203" s="516"/>
      <c r="L203" s="495">
        <f ca="1">IF(AND(O202&gt;=SUMIF(NameConv!$C$5:$C$45,RIGHT(C202,3),NameConv!$CG$5:$CG$45),M202=SUMIF(NameConv!$G$4:$M$4,MID(C202,2,3),NameConv!$G$45:$M$45)),L202+1,L202)</f>
        <v>4</v>
      </c>
      <c r="M203" s="495">
        <f ca="1">IF(L203&lt;&gt;L202,1,IF(O202&gt;=SUMIF(NameConv!$C$5:$C$45,RIGHT(C202,3),NameConv!$CG$5:$CG$45),M202+1,M202))</f>
        <v>8</v>
      </c>
      <c r="N203" s="495">
        <f ca="1">SUMIF(NameConv!$C$5:$C$45,RIGHT(C203,3),OFFSET(NameConv!$CG$5,0,O203,NameConv!$A$45,1))</f>
        <v>5</v>
      </c>
      <c r="O203" s="495">
        <f ca="1">IF(O202&gt;=SUMIF(NameConv!$C$5:$C$45,RIGHT(C202,3),NameConv!$CG$5:$CG$45),1,O202+1)</f>
        <v>5</v>
      </c>
    </row>
    <row r="204" spans="1:15">
      <c r="A204" s="422" t="str">
        <f t="shared" ca="1" si="15"/>
        <v/>
      </c>
      <c r="B204" s="515" t="str">
        <f t="shared" si="12"/>
        <v>TOP-OUT</v>
      </c>
      <c r="C204" s="518" t="str">
        <f ca="1">"X"&amp;OFFSET(NameConv!$F$4,0,L204)&amp;OFFSET(NameConv!$F$59,M204,L204)</f>
        <v>XTRAOKE</v>
      </c>
      <c r="D204" s="515" t="str">
        <f ca="1">OFFSET(NameConv!$F$4,0,L204)&amp;OFFSET(NameConv!$AX$4,0,N204)</f>
        <v>TRACMOX</v>
      </c>
      <c r="E204" s="740" t="s">
        <v>334</v>
      </c>
      <c r="F204" s="740" t="s">
        <v>334</v>
      </c>
      <c r="G204" s="740" t="s">
        <v>334</v>
      </c>
      <c r="H204" s="740" t="s">
        <v>334</v>
      </c>
      <c r="I204" s="516">
        <f t="shared" si="14"/>
        <v>1</v>
      </c>
      <c r="J204" s="516"/>
      <c r="K204" s="516"/>
      <c r="L204" s="495">
        <f ca="1">IF(AND(O203&gt;=SUMIF(NameConv!$C$5:$C$45,RIGHT(C203,3),NameConv!$CG$5:$CG$45),M203=SUMIF(NameConv!$G$4:$M$4,MID(C203,2,3),NameConv!$G$45:$M$45)),L203+1,L203)</f>
        <v>4</v>
      </c>
      <c r="M204" s="495">
        <f ca="1">IF(L204&lt;&gt;L203,1,IF(O203&gt;=SUMIF(NameConv!$C$5:$C$45,RIGHT(C203,3),NameConv!$CG$5:$CG$45),M203+1,M203))</f>
        <v>8</v>
      </c>
      <c r="N204" s="495">
        <f ca="1">SUMIF(NameConv!$C$5:$C$45,RIGHT(C204,3),OFFSET(NameConv!$CG$5,0,O204,NameConv!$A$45,1))</f>
        <v>6</v>
      </c>
      <c r="O204" s="495">
        <f ca="1">IF(O203&gt;=SUMIF(NameConv!$C$5:$C$45,RIGHT(C203,3),NameConv!$CG$5:$CG$45),1,O203+1)</f>
        <v>6</v>
      </c>
    </row>
    <row r="205" spans="1:15">
      <c r="A205" s="422" t="str">
        <f t="shared" ca="1" si="15"/>
        <v/>
      </c>
      <c r="B205" s="515" t="str">
        <f t="shared" si="12"/>
        <v>TOP-OUT</v>
      </c>
      <c r="C205" s="518" t="str">
        <f ca="1">"X"&amp;OFFSET(NameConv!$F$4,0,L205)&amp;OFFSET(NameConv!$F$59,M205,L205)</f>
        <v>XTRAOKE</v>
      </c>
      <c r="D205" s="515" t="str">
        <f ca="1">OFFSET(NameConv!$F$4,0,L205)&amp;OFFSET(NameConv!$AX$4,0,N205)</f>
        <v>TRANMVS</v>
      </c>
      <c r="E205" s="740" t="s">
        <v>334</v>
      </c>
      <c r="F205" s="740" t="s">
        <v>334</v>
      </c>
      <c r="G205" s="740" t="s">
        <v>334</v>
      </c>
      <c r="H205" s="740" t="s">
        <v>334</v>
      </c>
      <c r="I205" s="516">
        <f t="shared" si="14"/>
        <v>1</v>
      </c>
      <c r="J205" s="516"/>
      <c r="K205" s="516"/>
      <c r="L205" s="495">
        <f ca="1">IF(AND(O204&gt;=SUMIF(NameConv!$C$5:$C$45,RIGHT(C204,3),NameConv!$CG$5:$CG$45),M204=SUMIF(NameConv!$G$4:$M$4,MID(C204,2,3),NameConv!$G$45:$M$45)),L204+1,L204)</f>
        <v>4</v>
      </c>
      <c r="M205" s="495">
        <f ca="1">IF(L205&lt;&gt;L204,1,IF(O204&gt;=SUMIF(NameConv!$C$5:$C$45,RIGHT(C204,3),NameConv!$CG$5:$CG$45),M204+1,M204))</f>
        <v>8</v>
      </c>
      <c r="N205" s="495">
        <f ca="1">SUMIF(NameConv!$C$5:$C$45,RIGHT(C205,3),OFFSET(NameConv!$CG$5,0,O205,NameConv!$A$45,1))</f>
        <v>7</v>
      </c>
      <c r="O205" s="495">
        <f ca="1">IF(O204&gt;=SUMIF(NameConv!$C$5:$C$45,RIGHT(C204,3),NameConv!$CG$5:$CG$45),1,O204+1)</f>
        <v>7</v>
      </c>
    </row>
    <row r="206" spans="1:15">
      <c r="A206" s="422" t="str">
        <f t="shared" ca="1" si="15"/>
        <v>*</v>
      </c>
      <c r="B206" s="515" t="str">
        <f t="shared" si="12"/>
        <v>TOP-OUT</v>
      </c>
      <c r="C206" s="518" t="str">
        <f ca="1">"X"&amp;OFFSET(NameConv!$F$4,0,L206)&amp;OFFSET(NameConv!$F$59,M206,L206)</f>
        <v>XRESBIW</v>
      </c>
      <c r="D206" s="515" t="str">
        <f ca="1">OFFSET(NameConv!$F$4,0,L206)&amp;OFFSET(NameConv!$AX$4,0,N206)</f>
        <v>RES</v>
      </c>
      <c r="E206" s="740" t="s">
        <v>334</v>
      </c>
      <c r="F206" s="740" t="s">
        <v>334</v>
      </c>
      <c r="G206" s="740" t="s">
        <v>334</v>
      </c>
      <c r="H206" s="740" t="s">
        <v>334</v>
      </c>
      <c r="I206" s="516">
        <f t="shared" si="14"/>
        <v>1</v>
      </c>
      <c r="J206" s="516"/>
      <c r="K206" s="516"/>
      <c r="L206" s="495">
        <f ca="1">IF(AND(O205&gt;=SUMIF(NameConv!$C$5:$C$45,RIGHT(C205,3),NameConv!$CG$5:$CG$45),M205=SUMIF(NameConv!$G$4:$M$4,MID(C205,2,3),NameConv!$G$45:$M$45)),L205+1,L205)</f>
        <v>5</v>
      </c>
      <c r="M206" s="495">
        <f ca="1">IF(L206&lt;&gt;L205,1,IF(O205&gt;=SUMIF(NameConv!$C$5:$C$45,RIGHT(C205,3),NameConv!$CG$5:$CG$45),M205+1,M205))</f>
        <v>1</v>
      </c>
      <c r="N206" s="495">
        <f ca="1">SUMIF(NameConv!$C$5:$C$45,RIGHT(C206,3),OFFSET(NameConv!$CG$5,0,O206,NameConv!$A$45,1))</f>
        <v>0</v>
      </c>
      <c r="O206" s="495">
        <f ca="1">IF(O205&gt;=SUMIF(NameConv!$C$5:$C$45,RIGHT(C205,3),NameConv!$CG$5:$CG$45),1,O205+1)</f>
        <v>1</v>
      </c>
    </row>
    <row r="207" spans="1:15">
      <c r="A207" s="422" t="str">
        <f t="shared" ref="A207:A234" ca="1" si="16">IF(LEN(D207)=3,"*","")</f>
        <v/>
      </c>
      <c r="B207" s="515" t="str">
        <f t="shared" ref="B207:B270" si="17">$B$10</f>
        <v>TOP-OUT</v>
      </c>
      <c r="C207" s="518" t="str">
        <f ca="1">"X"&amp;OFFSET(NameConv!$F$4,0,L207)&amp;OFFSET(NameConv!$F$59,M207,L207)</f>
        <v>XRESCOA</v>
      </c>
      <c r="D207" s="515" t="str">
        <f ca="1">OFFSET(NameConv!$F$4,0,L207)&amp;OFFSET(NameConv!$AX$4,0,N207)</f>
        <v>RESCO2S</v>
      </c>
      <c r="E207" s="740" t="s">
        <v>334</v>
      </c>
      <c r="F207" s="740" t="s">
        <v>334</v>
      </c>
      <c r="G207" s="740" t="s">
        <v>334</v>
      </c>
      <c r="H207" s="740" t="s">
        <v>334</v>
      </c>
      <c r="I207" s="516">
        <f t="shared" si="14"/>
        <v>1</v>
      </c>
      <c r="J207" s="516"/>
      <c r="K207" s="516"/>
      <c r="L207" s="495">
        <f ca="1">IF(AND(O206&gt;=SUMIF(NameConv!$C$5:$C$45,RIGHT(C206,3),NameConv!$CG$5:$CG$45),M206=SUMIF(NameConv!$G$4:$M$4,MID(C206,2,3),NameConv!$G$45:$M$45)),L206+1,L206)</f>
        <v>5</v>
      </c>
      <c r="M207" s="495">
        <f ca="1">IF(L207&lt;&gt;L206,1,IF(O206&gt;=SUMIF(NameConv!$C$5:$C$45,RIGHT(C206,3),NameConv!$CG$5:$CG$45),M206+1,M206))</f>
        <v>2</v>
      </c>
      <c r="N207" s="495">
        <f ca="1">SUMIF(NameConv!$C$5:$C$45,RIGHT(C207,3),OFFSET(NameConv!$CG$5,0,O207,NameConv!$A$45,1))</f>
        <v>1</v>
      </c>
      <c r="O207" s="495">
        <f ca="1">IF(O206&gt;=SUMIF(NameConv!$C$5:$C$45,RIGHT(C206,3),NameConv!$CG$5:$CG$45),1,O206+1)</f>
        <v>1</v>
      </c>
    </row>
    <row r="208" spans="1:15">
      <c r="A208" s="422" t="str">
        <f t="shared" ca="1" si="16"/>
        <v/>
      </c>
      <c r="B208" s="515" t="str">
        <f t="shared" si="17"/>
        <v>TOP-OUT</v>
      </c>
      <c r="C208" s="518" t="str">
        <f ca="1">"X"&amp;OFFSET(NameConv!$F$4,0,L208)&amp;OFFSET(NameConv!$F$59,M208,L208)</f>
        <v>XRESCOA</v>
      </c>
      <c r="D208" s="515" t="str">
        <f ca="1">OFFSET(NameConv!$F$4,0,L208)&amp;OFFSET(NameConv!$AX$4,0,N208)</f>
        <v>RESCH4S</v>
      </c>
      <c r="E208" s="740" t="s">
        <v>334</v>
      </c>
      <c r="F208" s="740" t="s">
        <v>334</v>
      </c>
      <c r="G208" s="740" t="s">
        <v>334</v>
      </c>
      <c r="H208" s="740" t="s">
        <v>334</v>
      </c>
      <c r="I208" s="516">
        <f t="shared" si="14"/>
        <v>1</v>
      </c>
      <c r="J208" s="516"/>
      <c r="K208" s="516"/>
      <c r="L208" s="495">
        <f ca="1">IF(AND(O207&gt;=SUMIF(NameConv!$C$5:$C$45,RIGHT(C207,3),NameConv!$CG$5:$CG$45),M207=SUMIF(NameConv!$G$4:$M$4,MID(C207,2,3),NameConv!$G$45:$M$45)),L207+1,L207)</f>
        <v>5</v>
      </c>
      <c r="M208" s="495">
        <f ca="1">IF(L208&lt;&gt;L207,1,IF(O207&gt;=SUMIF(NameConv!$C$5:$C$45,RIGHT(C207,3),NameConv!$CG$5:$CG$45),M207+1,M207))</f>
        <v>2</v>
      </c>
      <c r="N208" s="495">
        <f ca="1">SUMIF(NameConv!$C$5:$C$45,RIGHT(C208,3),OFFSET(NameConv!$CG$5,0,O208,NameConv!$A$45,1))</f>
        <v>2</v>
      </c>
      <c r="O208" s="495">
        <f ca="1">IF(O207&gt;=SUMIF(NameConv!$C$5:$C$45,RIGHT(C207,3),NameConv!$CG$5:$CG$45),1,O207+1)</f>
        <v>2</v>
      </c>
    </row>
    <row r="209" spans="1:15">
      <c r="A209" s="422" t="str">
        <f t="shared" ca="1" si="16"/>
        <v/>
      </c>
      <c r="B209" s="515" t="str">
        <f t="shared" si="17"/>
        <v>TOP-OUT</v>
      </c>
      <c r="C209" s="518" t="str">
        <f ca="1">"X"&amp;OFFSET(NameConv!$F$4,0,L209)&amp;OFFSET(NameConv!$F$59,M209,L209)</f>
        <v>XRESCOA</v>
      </c>
      <c r="D209" s="515" t="str">
        <f ca="1">OFFSET(NameConv!$F$4,0,L209)&amp;OFFSET(NameConv!$AX$4,0,N209)</f>
        <v>RESN2OS</v>
      </c>
      <c r="E209" s="740" t="s">
        <v>334</v>
      </c>
      <c r="F209" s="740" t="s">
        <v>334</v>
      </c>
      <c r="G209" s="740" t="s">
        <v>334</v>
      </c>
      <c r="H209" s="740" t="s">
        <v>334</v>
      </c>
      <c r="I209" s="516">
        <f t="shared" si="14"/>
        <v>1</v>
      </c>
      <c r="J209" s="516"/>
      <c r="K209" s="516"/>
      <c r="L209" s="495">
        <f ca="1">IF(AND(O208&gt;=SUMIF(NameConv!$C$5:$C$45,RIGHT(C208,3),NameConv!$CG$5:$CG$45),M208=SUMIF(NameConv!$G$4:$M$4,MID(C208,2,3),NameConv!$G$45:$M$45)),L208+1,L208)</f>
        <v>5</v>
      </c>
      <c r="M209" s="495">
        <f ca="1">IF(L209&lt;&gt;L208,1,IF(O208&gt;=SUMIF(NameConv!$C$5:$C$45,RIGHT(C208,3),NameConv!$CG$5:$CG$45),M208+1,M208))</f>
        <v>2</v>
      </c>
      <c r="N209" s="495">
        <f ca="1">SUMIF(NameConv!$C$5:$C$45,RIGHT(C209,3),OFFSET(NameConv!$CG$5,0,O209,NameConv!$A$45,1))</f>
        <v>3</v>
      </c>
      <c r="O209" s="495">
        <f ca="1">IF(O208&gt;=SUMIF(NameConv!$C$5:$C$45,RIGHT(C208,3),NameConv!$CG$5:$CG$45),1,O208+1)</f>
        <v>3</v>
      </c>
    </row>
    <row r="210" spans="1:15">
      <c r="A210" s="422" t="str">
        <f t="shared" ca="1" si="16"/>
        <v/>
      </c>
      <c r="B210" s="515" t="str">
        <f t="shared" si="17"/>
        <v>TOP-OUT</v>
      </c>
      <c r="C210" s="518" t="str">
        <f ca="1">"X"&amp;OFFSET(NameConv!$F$4,0,L210)&amp;OFFSET(NameConv!$F$59,M210,L210)</f>
        <v>XRESCOA</v>
      </c>
      <c r="D210" s="515" t="str">
        <f ca="1">OFFSET(NameConv!$F$4,0,L210)&amp;OFFSET(NameConv!$AX$4,0,N210)</f>
        <v>RESSOXS</v>
      </c>
      <c r="E210" s="740" t="s">
        <v>334</v>
      </c>
      <c r="F210" s="740" t="s">
        <v>334</v>
      </c>
      <c r="G210" s="740" t="s">
        <v>334</v>
      </c>
      <c r="H210" s="740" t="s">
        <v>334</v>
      </c>
      <c r="I210" s="516">
        <f t="shared" si="14"/>
        <v>1</v>
      </c>
      <c r="J210" s="516"/>
      <c r="K210" s="516"/>
      <c r="L210" s="495">
        <f ca="1">IF(AND(O209&gt;=SUMIF(NameConv!$C$5:$C$45,RIGHT(C209,3),NameConv!$CG$5:$CG$45),M209=SUMIF(NameConv!$G$4:$M$4,MID(C209,2,3),NameConv!$G$45:$M$45)),L209+1,L209)</f>
        <v>5</v>
      </c>
      <c r="M210" s="495">
        <f ca="1">IF(L210&lt;&gt;L209,1,IF(O209&gt;=SUMIF(NameConv!$C$5:$C$45,RIGHT(C209,3),NameConv!$CG$5:$CG$45),M209+1,M209))</f>
        <v>2</v>
      </c>
      <c r="N210" s="495">
        <f ca="1">SUMIF(NameConv!$C$5:$C$45,RIGHT(C210,3),OFFSET(NameConv!$CG$5,0,O210,NameConv!$A$45,1))</f>
        <v>4</v>
      </c>
      <c r="O210" s="495">
        <f ca="1">IF(O209&gt;=SUMIF(NameConv!$C$5:$C$45,RIGHT(C209,3),NameConv!$CG$5:$CG$45),1,O209+1)</f>
        <v>4</v>
      </c>
    </row>
    <row r="211" spans="1:15">
      <c r="A211" s="422" t="str">
        <f t="shared" ca="1" si="16"/>
        <v/>
      </c>
      <c r="B211" s="515" t="str">
        <f t="shared" si="17"/>
        <v>TOP-OUT</v>
      </c>
      <c r="C211" s="518" t="str">
        <f ca="1">"X"&amp;OFFSET(NameConv!$F$4,0,L211)&amp;OFFSET(NameConv!$F$59,M211,L211)</f>
        <v>XRESCOA</v>
      </c>
      <c r="D211" s="515" t="str">
        <f ca="1">OFFSET(NameConv!$F$4,0,L211)&amp;OFFSET(NameConv!$AX$4,0,N211)</f>
        <v>RESNOXS</v>
      </c>
      <c r="E211" s="740" t="s">
        <v>334</v>
      </c>
      <c r="F211" s="740" t="s">
        <v>334</v>
      </c>
      <c r="G211" s="740" t="s">
        <v>334</v>
      </c>
      <c r="H211" s="740" t="s">
        <v>334</v>
      </c>
      <c r="I211" s="516">
        <f t="shared" si="14"/>
        <v>1</v>
      </c>
      <c r="J211" s="516"/>
      <c r="K211" s="516"/>
      <c r="L211" s="495">
        <f ca="1">IF(AND(O210&gt;=SUMIF(NameConv!$C$5:$C$45,RIGHT(C210,3),NameConv!$CG$5:$CG$45),M210=SUMIF(NameConv!$G$4:$M$4,MID(C210,2,3),NameConv!$G$45:$M$45)),L210+1,L210)</f>
        <v>5</v>
      </c>
      <c r="M211" s="495">
        <f ca="1">IF(L211&lt;&gt;L210,1,IF(O210&gt;=SUMIF(NameConv!$C$5:$C$45,RIGHT(C210,3),NameConv!$CG$5:$CG$45),M210+1,M210))</f>
        <v>2</v>
      </c>
      <c r="N211" s="495">
        <f ca="1">SUMIF(NameConv!$C$5:$C$45,RIGHT(C211,3),OFFSET(NameConv!$CG$5,0,O211,NameConv!$A$45,1))</f>
        <v>5</v>
      </c>
      <c r="O211" s="495">
        <f ca="1">IF(O210&gt;=SUMIF(NameConv!$C$5:$C$45,RIGHT(C210,3),NameConv!$CG$5:$CG$45),1,O210+1)</f>
        <v>5</v>
      </c>
    </row>
    <row r="212" spans="1:15">
      <c r="A212" s="422" t="str">
        <f t="shared" ca="1" si="16"/>
        <v/>
      </c>
      <c r="B212" s="515" t="str">
        <f t="shared" si="17"/>
        <v>TOP-OUT</v>
      </c>
      <c r="C212" s="518" t="str">
        <f ca="1">"X"&amp;OFFSET(NameConv!$F$4,0,L212)&amp;OFFSET(NameConv!$F$59,M212,L212)</f>
        <v>XRESCOA</v>
      </c>
      <c r="D212" s="515" t="str">
        <f ca="1">OFFSET(NameConv!$F$4,0,L212)&amp;OFFSET(NameConv!$AX$4,0,N212)</f>
        <v>RESCMOX</v>
      </c>
      <c r="E212" s="740" t="s">
        <v>334</v>
      </c>
      <c r="F212" s="740" t="s">
        <v>334</v>
      </c>
      <c r="G212" s="740" t="s">
        <v>334</v>
      </c>
      <c r="H212" s="740" t="s">
        <v>334</v>
      </c>
      <c r="I212" s="516">
        <f t="shared" si="14"/>
        <v>1</v>
      </c>
      <c r="J212" s="516"/>
      <c r="K212" s="516"/>
      <c r="L212" s="495">
        <f ca="1">IF(AND(O211&gt;=SUMIF(NameConv!$C$5:$C$45,RIGHT(C211,3),NameConv!$CG$5:$CG$45),M211=SUMIF(NameConv!$G$4:$M$4,MID(C211,2,3),NameConv!$G$45:$M$45)),L211+1,L211)</f>
        <v>5</v>
      </c>
      <c r="M212" s="495">
        <f ca="1">IF(L212&lt;&gt;L211,1,IF(O211&gt;=SUMIF(NameConv!$C$5:$C$45,RIGHT(C211,3),NameConv!$CG$5:$CG$45),M211+1,M211))</f>
        <v>2</v>
      </c>
      <c r="N212" s="495">
        <f ca="1">SUMIF(NameConv!$C$5:$C$45,RIGHT(C212,3),OFFSET(NameConv!$CG$5,0,O212,NameConv!$A$45,1))</f>
        <v>6</v>
      </c>
      <c r="O212" s="495">
        <f ca="1">IF(O211&gt;=SUMIF(NameConv!$C$5:$C$45,RIGHT(C211,3),NameConv!$CG$5:$CG$45),1,O211+1)</f>
        <v>6</v>
      </c>
    </row>
    <row r="213" spans="1:15">
      <c r="A213" s="422" t="str">
        <f t="shared" ca="1" si="16"/>
        <v/>
      </c>
      <c r="B213" s="515" t="str">
        <f t="shared" si="17"/>
        <v>TOP-OUT</v>
      </c>
      <c r="C213" s="518" t="str">
        <f ca="1">"X"&amp;OFFSET(NameConv!$F$4,0,L213)&amp;OFFSET(NameConv!$F$59,M213,L213)</f>
        <v>XRESCOA</v>
      </c>
      <c r="D213" s="515" t="str">
        <f ca="1">OFFSET(NameConv!$F$4,0,L213)&amp;OFFSET(NameConv!$AX$4,0,N213)</f>
        <v>RESNMVS</v>
      </c>
      <c r="E213" s="740" t="s">
        <v>334</v>
      </c>
      <c r="F213" s="740" t="s">
        <v>334</v>
      </c>
      <c r="G213" s="740" t="s">
        <v>334</v>
      </c>
      <c r="H213" s="740" t="s">
        <v>334</v>
      </c>
      <c r="I213" s="516">
        <f t="shared" si="14"/>
        <v>1</v>
      </c>
      <c r="J213" s="516"/>
      <c r="K213" s="516"/>
      <c r="L213" s="495">
        <f ca="1">IF(AND(O212&gt;=SUMIF(NameConv!$C$5:$C$45,RIGHT(C212,3),NameConv!$CG$5:$CG$45),M212=SUMIF(NameConv!$G$4:$M$4,MID(C212,2,3),NameConv!$G$45:$M$45)),L212+1,L212)</f>
        <v>5</v>
      </c>
      <c r="M213" s="495">
        <f ca="1">IF(L213&lt;&gt;L212,1,IF(O212&gt;=SUMIF(NameConv!$C$5:$C$45,RIGHT(C212,3),NameConv!$CG$5:$CG$45),M212+1,M212))</f>
        <v>2</v>
      </c>
      <c r="N213" s="495">
        <f ca="1">SUMIF(NameConv!$C$5:$C$45,RIGHT(C213,3),OFFSET(NameConv!$CG$5,0,O213,NameConv!$A$45,1))</f>
        <v>7</v>
      </c>
      <c r="O213" s="495">
        <f ca="1">IF(O212&gt;=SUMIF(NameConv!$C$5:$C$45,RIGHT(C212,3),NameConv!$CG$5:$CG$45),1,O212+1)</f>
        <v>7</v>
      </c>
    </row>
    <row r="214" spans="1:15">
      <c r="A214" s="422" t="str">
        <f t="shared" ca="1" si="16"/>
        <v>*</v>
      </c>
      <c r="B214" s="515" t="str">
        <f t="shared" si="17"/>
        <v>TOP-OUT</v>
      </c>
      <c r="C214" s="518" t="str">
        <f ca="1">"X"&amp;OFFSET(NameConv!$F$4,0,L214)&amp;OFFSET(NameConv!$F$59,M214,L214)</f>
        <v>XRESELC</v>
      </c>
      <c r="D214" s="515" t="str">
        <f ca="1">OFFSET(NameConv!$F$4,0,L214)&amp;OFFSET(NameConv!$AX$4,0,N214)</f>
        <v>RES</v>
      </c>
      <c r="E214" s="740" t="s">
        <v>334</v>
      </c>
      <c r="F214" s="740" t="s">
        <v>334</v>
      </c>
      <c r="G214" s="740" t="s">
        <v>334</v>
      </c>
      <c r="H214" s="740" t="s">
        <v>334</v>
      </c>
      <c r="I214" s="516">
        <f t="shared" si="14"/>
        <v>1</v>
      </c>
      <c r="J214" s="516"/>
      <c r="K214" s="516"/>
      <c r="L214" s="495">
        <f ca="1">IF(AND(O213&gt;=SUMIF(NameConv!$C$5:$C$45,RIGHT(C213,3),NameConv!$CG$5:$CG$45),M213=SUMIF(NameConv!$G$4:$M$4,MID(C213,2,3),NameConv!$G$45:$M$45)),L213+1,L213)</f>
        <v>5</v>
      </c>
      <c r="M214" s="495">
        <f ca="1">IF(L214&lt;&gt;L213,1,IF(O213&gt;=SUMIF(NameConv!$C$5:$C$45,RIGHT(C213,3),NameConv!$CG$5:$CG$45),M213+1,M213))</f>
        <v>3</v>
      </c>
      <c r="N214" s="495">
        <f ca="1">SUMIF(NameConv!$C$5:$C$45,RIGHT(C214,3),OFFSET(NameConv!$CG$5,0,O214,NameConv!$A$45,1))</f>
        <v>0</v>
      </c>
      <c r="O214" s="495">
        <f ca="1">IF(O213&gt;=SUMIF(NameConv!$C$5:$C$45,RIGHT(C213,3),NameConv!$CG$5:$CG$45),1,O213+1)</f>
        <v>1</v>
      </c>
    </row>
    <row r="215" spans="1:15">
      <c r="A215" s="422" t="str">
        <f t="shared" ca="1" si="16"/>
        <v/>
      </c>
      <c r="B215" s="515" t="str">
        <f t="shared" si="17"/>
        <v>TOP-OUT</v>
      </c>
      <c r="C215" s="518" t="str">
        <f ca="1">"X"&amp;OFFSET(NameConv!$F$4,0,L215)&amp;OFFSET(NameConv!$F$59,M215,L215)</f>
        <v>XRESGAS</v>
      </c>
      <c r="D215" s="515" t="str">
        <f ca="1">OFFSET(NameConv!$F$4,0,L215)&amp;OFFSET(NameConv!$AX$4,0,N215)</f>
        <v>RESCO2S</v>
      </c>
      <c r="E215" s="740" t="s">
        <v>334</v>
      </c>
      <c r="F215" s="740" t="s">
        <v>334</v>
      </c>
      <c r="G215" s="740" t="s">
        <v>334</v>
      </c>
      <c r="H215" s="740" t="s">
        <v>334</v>
      </c>
      <c r="I215" s="516">
        <f t="shared" si="14"/>
        <v>1</v>
      </c>
      <c r="J215" s="516"/>
      <c r="K215" s="516"/>
      <c r="L215" s="495">
        <f ca="1">IF(AND(O214&gt;=SUMIF(NameConv!$C$5:$C$45,RIGHT(C214,3),NameConv!$CG$5:$CG$45),M214=SUMIF(NameConv!$G$4:$M$4,MID(C214,2,3),NameConv!$G$45:$M$45)),L214+1,L214)</f>
        <v>5</v>
      </c>
      <c r="M215" s="495">
        <f ca="1">IF(L215&lt;&gt;L214,1,IF(O214&gt;=SUMIF(NameConv!$C$5:$C$45,RIGHT(C214,3),NameConv!$CG$5:$CG$45),M214+1,M214))</f>
        <v>4</v>
      </c>
      <c r="N215" s="495">
        <f ca="1">SUMIF(NameConv!$C$5:$C$45,RIGHT(C215,3),OFFSET(NameConv!$CG$5,0,O215,NameConv!$A$45,1))</f>
        <v>1</v>
      </c>
      <c r="O215" s="495">
        <f ca="1">IF(O214&gt;=SUMIF(NameConv!$C$5:$C$45,RIGHT(C214,3),NameConv!$CG$5:$CG$45),1,O214+1)</f>
        <v>1</v>
      </c>
    </row>
    <row r="216" spans="1:15">
      <c r="A216" s="422" t="str">
        <f t="shared" ca="1" si="16"/>
        <v/>
      </c>
      <c r="B216" s="515" t="str">
        <f t="shared" si="17"/>
        <v>TOP-OUT</v>
      </c>
      <c r="C216" s="518" t="str">
        <f ca="1">"X"&amp;OFFSET(NameConv!$F$4,0,L216)&amp;OFFSET(NameConv!$F$59,M216,L216)</f>
        <v>XRESGAS</v>
      </c>
      <c r="D216" s="515" t="str">
        <f ca="1">OFFSET(NameConv!$F$4,0,L216)&amp;OFFSET(NameConv!$AX$4,0,N216)</f>
        <v>RESCH4S</v>
      </c>
      <c r="E216" s="740" t="s">
        <v>334</v>
      </c>
      <c r="F216" s="740" t="s">
        <v>334</v>
      </c>
      <c r="G216" s="740" t="s">
        <v>334</v>
      </c>
      <c r="H216" s="740" t="s">
        <v>334</v>
      </c>
      <c r="I216" s="516">
        <f t="shared" si="14"/>
        <v>1</v>
      </c>
      <c r="J216" s="516"/>
      <c r="K216" s="516"/>
      <c r="L216" s="495">
        <f ca="1">IF(AND(O215&gt;=SUMIF(NameConv!$C$5:$C$45,RIGHT(C215,3),NameConv!$CG$5:$CG$45),M215=SUMIF(NameConv!$G$4:$M$4,MID(C215,2,3),NameConv!$G$45:$M$45)),L215+1,L215)</f>
        <v>5</v>
      </c>
      <c r="M216" s="495">
        <f ca="1">IF(L216&lt;&gt;L215,1,IF(O215&gt;=SUMIF(NameConv!$C$5:$C$45,RIGHT(C215,3),NameConv!$CG$5:$CG$45),M215+1,M215))</f>
        <v>4</v>
      </c>
      <c r="N216" s="495">
        <f ca="1">SUMIF(NameConv!$C$5:$C$45,RIGHT(C216,3),OFFSET(NameConv!$CG$5,0,O216,NameConv!$A$45,1))</f>
        <v>2</v>
      </c>
      <c r="O216" s="495">
        <f ca="1">IF(O215&gt;=SUMIF(NameConv!$C$5:$C$45,RIGHT(C215,3),NameConv!$CG$5:$CG$45),1,O215+1)</f>
        <v>2</v>
      </c>
    </row>
    <row r="217" spans="1:15">
      <c r="A217" s="422" t="str">
        <f t="shared" ca="1" si="16"/>
        <v/>
      </c>
      <c r="B217" s="515" t="str">
        <f t="shared" si="17"/>
        <v>TOP-OUT</v>
      </c>
      <c r="C217" s="518" t="str">
        <f ca="1">"X"&amp;OFFSET(NameConv!$F$4,0,L217)&amp;OFFSET(NameConv!$F$59,M217,L217)</f>
        <v>XRESGAS</v>
      </c>
      <c r="D217" s="515" t="str">
        <f ca="1">OFFSET(NameConv!$F$4,0,L217)&amp;OFFSET(NameConv!$AX$4,0,N217)</f>
        <v>RESN2OS</v>
      </c>
      <c r="E217" s="740" t="s">
        <v>334</v>
      </c>
      <c r="F217" s="740" t="s">
        <v>334</v>
      </c>
      <c r="G217" s="740" t="s">
        <v>334</v>
      </c>
      <c r="H217" s="740" t="s">
        <v>334</v>
      </c>
      <c r="I217" s="516">
        <f t="shared" si="14"/>
        <v>1</v>
      </c>
      <c r="J217" s="516"/>
      <c r="K217" s="516"/>
      <c r="L217" s="495">
        <f ca="1">IF(AND(O216&gt;=SUMIF(NameConv!$C$5:$C$45,RIGHT(C216,3),NameConv!$CG$5:$CG$45),M216=SUMIF(NameConv!$G$4:$M$4,MID(C216,2,3),NameConv!$G$45:$M$45)),L216+1,L216)</f>
        <v>5</v>
      </c>
      <c r="M217" s="495">
        <f ca="1">IF(L217&lt;&gt;L216,1,IF(O216&gt;=SUMIF(NameConv!$C$5:$C$45,RIGHT(C216,3),NameConv!$CG$5:$CG$45),M216+1,M216))</f>
        <v>4</v>
      </c>
      <c r="N217" s="495">
        <f ca="1">SUMIF(NameConv!$C$5:$C$45,RIGHT(C217,3),OFFSET(NameConv!$CG$5,0,O217,NameConv!$A$45,1))</f>
        <v>3</v>
      </c>
      <c r="O217" s="495">
        <f ca="1">IF(O216&gt;=SUMIF(NameConv!$C$5:$C$45,RIGHT(C216,3),NameConv!$CG$5:$CG$45),1,O216+1)</f>
        <v>3</v>
      </c>
    </row>
    <row r="218" spans="1:15">
      <c r="A218" s="422" t="str">
        <f t="shared" ca="1" si="16"/>
        <v/>
      </c>
      <c r="B218" s="515" t="str">
        <f t="shared" si="17"/>
        <v>TOP-OUT</v>
      </c>
      <c r="C218" s="518" t="str">
        <f ca="1">"X"&amp;OFFSET(NameConv!$F$4,0,L218)&amp;OFFSET(NameConv!$F$59,M218,L218)</f>
        <v>XRESGAS</v>
      </c>
      <c r="D218" s="515" t="str">
        <f ca="1">OFFSET(NameConv!$F$4,0,L218)&amp;OFFSET(NameConv!$AX$4,0,N218)</f>
        <v>RESNOXS</v>
      </c>
      <c r="E218" s="740" t="s">
        <v>334</v>
      </c>
      <c r="F218" s="740" t="s">
        <v>334</v>
      </c>
      <c r="G218" s="740" t="s">
        <v>334</v>
      </c>
      <c r="H218" s="740" t="s">
        <v>334</v>
      </c>
      <c r="I218" s="516">
        <f t="shared" si="14"/>
        <v>1</v>
      </c>
      <c r="J218" s="516"/>
      <c r="K218" s="516"/>
      <c r="L218" s="495">
        <f ca="1">IF(AND(O217&gt;=SUMIF(NameConv!$C$5:$C$45,RIGHT(C217,3),NameConv!$CG$5:$CG$45),M217=SUMIF(NameConv!$G$4:$M$4,MID(C217,2,3),NameConv!$G$45:$M$45)),L217+1,L217)</f>
        <v>5</v>
      </c>
      <c r="M218" s="495">
        <f ca="1">IF(L218&lt;&gt;L217,1,IF(O217&gt;=SUMIF(NameConv!$C$5:$C$45,RIGHT(C217,3),NameConv!$CG$5:$CG$45),M217+1,M217))</f>
        <v>4</v>
      </c>
      <c r="N218" s="495">
        <f ca="1">SUMIF(NameConv!$C$5:$C$45,RIGHT(C218,3),OFFSET(NameConv!$CG$5,0,O218,NameConv!$A$45,1))</f>
        <v>5</v>
      </c>
      <c r="O218" s="495">
        <f ca="1">IF(O217&gt;=SUMIF(NameConv!$C$5:$C$45,RIGHT(C217,3),NameConv!$CG$5:$CG$45),1,O217+1)</f>
        <v>4</v>
      </c>
    </row>
    <row r="219" spans="1:15">
      <c r="A219" s="422" t="str">
        <f t="shared" ca="1" si="16"/>
        <v/>
      </c>
      <c r="B219" s="515" t="str">
        <f t="shared" si="17"/>
        <v>TOP-OUT</v>
      </c>
      <c r="C219" s="518" t="str">
        <f ca="1">"X"&amp;OFFSET(NameConv!$F$4,0,L219)&amp;OFFSET(NameConv!$F$59,M219,L219)</f>
        <v>XRESGAS</v>
      </c>
      <c r="D219" s="515" t="str">
        <f ca="1">OFFSET(NameConv!$F$4,0,L219)&amp;OFFSET(NameConv!$AX$4,0,N219)</f>
        <v>RESCMOX</v>
      </c>
      <c r="E219" s="740" t="s">
        <v>334</v>
      </c>
      <c r="F219" s="740" t="s">
        <v>334</v>
      </c>
      <c r="G219" s="740" t="s">
        <v>334</v>
      </c>
      <c r="H219" s="740" t="s">
        <v>334</v>
      </c>
      <c r="I219" s="516">
        <f t="shared" si="14"/>
        <v>1</v>
      </c>
      <c r="J219" s="516"/>
      <c r="K219" s="516"/>
      <c r="L219" s="495">
        <f ca="1">IF(AND(O218&gt;=SUMIF(NameConv!$C$5:$C$45,RIGHT(C218,3),NameConv!$CG$5:$CG$45),M218=SUMIF(NameConv!$G$4:$M$4,MID(C218,2,3),NameConv!$G$45:$M$45)),L218+1,L218)</f>
        <v>5</v>
      </c>
      <c r="M219" s="495">
        <f ca="1">IF(L219&lt;&gt;L218,1,IF(O218&gt;=SUMIF(NameConv!$C$5:$C$45,RIGHT(C218,3),NameConv!$CG$5:$CG$45),M218+1,M218))</f>
        <v>4</v>
      </c>
      <c r="N219" s="495">
        <f ca="1">SUMIF(NameConv!$C$5:$C$45,RIGHT(C219,3),OFFSET(NameConv!$CG$5,0,O219,NameConv!$A$45,1))</f>
        <v>6</v>
      </c>
      <c r="O219" s="495">
        <f ca="1">IF(O218&gt;=SUMIF(NameConv!$C$5:$C$45,RIGHT(C218,3),NameConv!$CG$5:$CG$45),1,O218+1)</f>
        <v>5</v>
      </c>
    </row>
    <row r="220" spans="1:15">
      <c r="A220" s="422" t="str">
        <f t="shared" ca="1" si="16"/>
        <v/>
      </c>
      <c r="B220" s="515" t="str">
        <f t="shared" si="17"/>
        <v>TOP-OUT</v>
      </c>
      <c r="C220" s="518" t="str">
        <f ca="1">"X"&amp;OFFSET(NameConv!$F$4,0,L220)&amp;OFFSET(NameConv!$F$59,M220,L220)</f>
        <v>XRESGAS</v>
      </c>
      <c r="D220" s="515" t="str">
        <f ca="1">OFFSET(NameConv!$F$4,0,L220)&amp;OFFSET(NameConv!$AX$4,0,N220)</f>
        <v>RESNMVS</v>
      </c>
      <c r="E220" s="740" t="s">
        <v>334</v>
      </c>
      <c r="F220" s="740" t="s">
        <v>334</v>
      </c>
      <c r="G220" s="740" t="s">
        <v>334</v>
      </c>
      <c r="H220" s="740" t="s">
        <v>334</v>
      </c>
      <c r="I220" s="516">
        <f t="shared" si="14"/>
        <v>1</v>
      </c>
      <c r="J220" s="516"/>
      <c r="K220" s="516"/>
      <c r="L220" s="495">
        <f ca="1">IF(AND(O219&gt;=SUMIF(NameConv!$C$5:$C$45,RIGHT(C219,3),NameConv!$CG$5:$CG$45),M219=SUMIF(NameConv!$G$4:$M$4,MID(C219,2,3),NameConv!$G$45:$M$45)),L219+1,L219)</f>
        <v>5</v>
      </c>
      <c r="M220" s="495">
        <f ca="1">IF(L220&lt;&gt;L219,1,IF(O219&gt;=SUMIF(NameConv!$C$5:$C$45,RIGHT(C219,3),NameConv!$CG$5:$CG$45),M219+1,M219))</f>
        <v>4</v>
      </c>
      <c r="N220" s="495">
        <f ca="1">SUMIF(NameConv!$C$5:$C$45,RIGHT(C220,3),OFFSET(NameConv!$CG$5,0,O220,NameConv!$A$45,1))</f>
        <v>7</v>
      </c>
      <c r="O220" s="495">
        <f ca="1">IF(O219&gt;=SUMIF(NameConv!$C$5:$C$45,RIGHT(C219,3),NameConv!$CG$5:$CG$45),1,O219+1)</f>
        <v>6</v>
      </c>
    </row>
    <row r="221" spans="1:15">
      <c r="A221" s="422" t="str">
        <f t="shared" ca="1" si="16"/>
        <v/>
      </c>
      <c r="B221" s="515" t="str">
        <f t="shared" si="17"/>
        <v>TOP-OUT</v>
      </c>
      <c r="C221" s="518" t="str">
        <f ca="1">"X"&amp;OFFSET(NameConv!$F$4,0,L221)&amp;OFFSET(NameConv!$F$59,M221,L221)</f>
        <v>XRESOKE</v>
      </c>
      <c r="D221" s="515" t="str">
        <f ca="1">OFFSET(NameConv!$F$4,0,L221)&amp;OFFSET(NameConv!$AX$4,0,N221)</f>
        <v>RESCO2S</v>
      </c>
      <c r="E221" s="740" t="s">
        <v>334</v>
      </c>
      <c r="F221" s="740" t="s">
        <v>334</v>
      </c>
      <c r="G221" s="740" t="s">
        <v>334</v>
      </c>
      <c r="H221" s="740" t="s">
        <v>334</v>
      </c>
      <c r="I221" s="516">
        <f t="shared" si="14"/>
        <v>1</v>
      </c>
      <c r="J221" s="516"/>
      <c r="K221" s="516"/>
      <c r="L221" s="495">
        <f ca="1">IF(AND(O220&gt;=SUMIF(NameConv!$C$5:$C$45,RIGHT(C220,3),NameConv!$CG$5:$CG$45),M220=SUMIF(NameConv!$G$4:$M$4,MID(C220,2,3),NameConv!$G$45:$M$45)),L220+1,L220)</f>
        <v>5</v>
      </c>
      <c r="M221" s="495">
        <f ca="1">IF(L221&lt;&gt;L220,1,IF(O220&gt;=SUMIF(NameConv!$C$5:$C$45,RIGHT(C220,3),NameConv!$CG$5:$CG$45),M220+1,M220))</f>
        <v>5</v>
      </c>
      <c r="N221" s="495">
        <f ca="1">SUMIF(NameConv!$C$5:$C$45,RIGHT(C221,3),OFFSET(NameConv!$CG$5,0,O221,NameConv!$A$45,1))</f>
        <v>1</v>
      </c>
      <c r="O221" s="495">
        <f ca="1">IF(O220&gt;=SUMIF(NameConv!$C$5:$C$45,RIGHT(C220,3),NameConv!$CG$5:$CG$45),1,O220+1)</f>
        <v>1</v>
      </c>
    </row>
    <row r="222" spans="1:15">
      <c r="A222" s="422" t="str">
        <f t="shared" ca="1" si="16"/>
        <v/>
      </c>
      <c r="B222" s="515" t="str">
        <f t="shared" si="17"/>
        <v>TOP-OUT</v>
      </c>
      <c r="C222" s="518" t="str">
        <f ca="1">"X"&amp;OFFSET(NameConv!$F$4,0,L222)&amp;OFFSET(NameConv!$F$59,M222,L222)</f>
        <v>XRESOKE</v>
      </c>
      <c r="D222" s="515" t="str">
        <f ca="1">OFFSET(NameConv!$F$4,0,L222)&amp;OFFSET(NameConv!$AX$4,0,N222)</f>
        <v>RESCH4S</v>
      </c>
      <c r="E222" s="740" t="s">
        <v>334</v>
      </c>
      <c r="F222" s="740" t="s">
        <v>334</v>
      </c>
      <c r="G222" s="740" t="s">
        <v>334</v>
      </c>
      <c r="H222" s="740" t="s">
        <v>334</v>
      </c>
      <c r="I222" s="516">
        <f t="shared" si="14"/>
        <v>1</v>
      </c>
      <c r="J222" s="516"/>
      <c r="K222" s="516"/>
      <c r="L222" s="495">
        <f ca="1">IF(AND(O221&gt;=SUMIF(NameConv!$C$5:$C$45,RIGHT(C221,3),NameConv!$CG$5:$CG$45),M221=SUMIF(NameConv!$G$4:$M$4,MID(C221,2,3),NameConv!$G$45:$M$45)),L221+1,L221)</f>
        <v>5</v>
      </c>
      <c r="M222" s="495">
        <f ca="1">IF(L222&lt;&gt;L221,1,IF(O221&gt;=SUMIF(NameConv!$C$5:$C$45,RIGHT(C221,3),NameConv!$CG$5:$CG$45),M221+1,M221))</f>
        <v>5</v>
      </c>
      <c r="N222" s="495">
        <f ca="1">SUMIF(NameConv!$C$5:$C$45,RIGHT(C222,3),OFFSET(NameConv!$CG$5,0,O222,NameConv!$A$45,1))</f>
        <v>2</v>
      </c>
      <c r="O222" s="495">
        <f ca="1">IF(O221&gt;=SUMIF(NameConv!$C$5:$C$45,RIGHT(C221,3),NameConv!$CG$5:$CG$45),1,O221+1)</f>
        <v>2</v>
      </c>
    </row>
    <row r="223" spans="1:15">
      <c r="A223" s="422" t="str">
        <f t="shared" ca="1" si="16"/>
        <v/>
      </c>
      <c r="B223" s="515" t="str">
        <f t="shared" si="17"/>
        <v>TOP-OUT</v>
      </c>
      <c r="C223" s="518" t="str">
        <f ca="1">"X"&amp;OFFSET(NameConv!$F$4,0,L223)&amp;OFFSET(NameConv!$F$59,M223,L223)</f>
        <v>XRESOKE</v>
      </c>
      <c r="D223" s="515" t="str">
        <f ca="1">OFFSET(NameConv!$F$4,0,L223)&amp;OFFSET(NameConv!$AX$4,0,N223)</f>
        <v>RESN2OS</v>
      </c>
      <c r="E223" s="740" t="s">
        <v>334</v>
      </c>
      <c r="F223" s="740" t="s">
        <v>334</v>
      </c>
      <c r="G223" s="740" t="s">
        <v>334</v>
      </c>
      <c r="H223" s="740" t="s">
        <v>334</v>
      </c>
      <c r="I223" s="516">
        <f t="shared" si="14"/>
        <v>1</v>
      </c>
      <c r="J223" s="516"/>
      <c r="K223" s="516"/>
      <c r="L223" s="495">
        <f ca="1">IF(AND(O222&gt;=SUMIF(NameConv!$C$5:$C$45,RIGHT(C222,3),NameConv!$CG$5:$CG$45),M222=SUMIF(NameConv!$G$4:$M$4,MID(C222,2,3),NameConv!$G$45:$M$45)),L222+1,L222)</f>
        <v>5</v>
      </c>
      <c r="M223" s="495">
        <f ca="1">IF(L223&lt;&gt;L222,1,IF(O222&gt;=SUMIF(NameConv!$C$5:$C$45,RIGHT(C222,3),NameConv!$CG$5:$CG$45),M222+1,M222))</f>
        <v>5</v>
      </c>
      <c r="N223" s="495">
        <f ca="1">SUMIF(NameConv!$C$5:$C$45,RIGHT(C223,3),OFFSET(NameConv!$CG$5,0,O223,NameConv!$A$45,1))</f>
        <v>3</v>
      </c>
      <c r="O223" s="495">
        <f ca="1">IF(O222&gt;=SUMIF(NameConv!$C$5:$C$45,RIGHT(C222,3),NameConv!$CG$5:$CG$45),1,O222+1)</f>
        <v>3</v>
      </c>
    </row>
    <row r="224" spans="1:15">
      <c r="A224" s="422" t="str">
        <f t="shared" ca="1" si="16"/>
        <v/>
      </c>
      <c r="B224" s="515" t="str">
        <f t="shared" si="17"/>
        <v>TOP-OUT</v>
      </c>
      <c r="C224" s="518" t="str">
        <f ca="1">"X"&amp;OFFSET(NameConv!$F$4,0,L224)&amp;OFFSET(NameConv!$F$59,M224,L224)</f>
        <v>XRESOKE</v>
      </c>
      <c r="D224" s="515" t="str">
        <f ca="1">OFFSET(NameConv!$F$4,0,L224)&amp;OFFSET(NameConv!$AX$4,0,N224)</f>
        <v>RESSOXS</v>
      </c>
      <c r="E224" s="740" t="s">
        <v>334</v>
      </c>
      <c r="F224" s="740" t="s">
        <v>334</v>
      </c>
      <c r="G224" s="740" t="s">
        <v>334</v>
      </c>
      <c r="H224" s="740" t="s">
        <v>334</v>
      </c>
      <c r="I224" s="516">
        <f t="shared" si="14"/>
        <v>1</v>
      </c>
      <c r="J224" s="516"/>
      <c r="K224" s="516"/>
      <c r="L224" s="495">
        <f ca="1">IF(AND(O223&gt;=SUMIF(NameConv!$C$5:$C$45,RIGHT(C223,3),NameConv!$CG$5:$CG$45),M223=SUMIF(NameConv!$G$4:$M$4,MID(C223,2,3),NameConv!$G$45:$M$45)),L223+1,L223)</f>
        <v>5</v>
      </c>
      <c r="M224" s="495">
        <f ca="1">IF(L224&lt;&gt;L223,1,IF(O223&gt;=SUMIF(NameConv!$C$5:$C$45,RIGHT(C223,3),NameConv!$CG$5:$CG$45),M223+1,M223))</f>
        <v>5</v>
      </c>
      <c r="N224" s="495">
        <f ca="1">SUMIF(NameConv!$C$5:$C$45,RIGHT(C224,3),OFFSET(NameConv!$CG$5,0,O224,NameConv!$A$45,1))</f>
        <v>4</v>
      </c>
      <c r="O224" s="495">
        <f ca="1">IF(O223&gt;=SUMIF(NameConv!$C$5:$C$45,RIGHT(C223,3),NameConv!$CG$5:$CG$45),1,O223+1)</f>
        <v>4</v>
      </c>
    </row>
    <row r="225" spans="1:15">
      <c r="A225" s="422" t="str">
        <f t="shared" ca="1" si="16"/>
        <v/>
      </c>
      <c r="B225" s="515" t="str">
        <f t="shared" si="17"/>
        <v>TOP-OUT</v>
      </c>
      <c r="C225" s="518" t="str">
        <f ca="1">"X"&amp;OFFSET(NameConv!$F$4,0,L225)&amp;OFFSET(NameConv!$F$59,M225,L225)</f>
        <v>XRESOKE</v>
      </c>
      <c r="D225" s="515" t="str">
        <f ca="1">OFFSET(NameConv!$F$4,0,L225)&amp;OFFSET(NameConv!$AX$4,0,N225)</f>
        <v>RESNOXS</v>
      </c>
      <c r="E225" s="740" t="s">
        <v>334</v>
      </c>
      <c r="F225" s="740" t="s">
        <v>334</v>
      </c>
      <c r="G225" s="740" t="s">
        <v>334</v>
      </c>
      <c r="H225" s="740" t="s">
        <v>334</v>
      </c>
      <c r="I225" s="516">
        <f t="shared" si="14"/>
        <v>1</v>
      </c>
      <c r="J225" s="516"/>
      <c r="K225" s="516"/>
      <c r="L225" s="495">
        <f ca="1">IF(AND(O224&gt;=SUMIF(NameConv!$C$5:$C$45,RIGHT(C224,3),NameConv!$CG$5:$CG$45),M224=SUMIF(NameConv!$G$4:$M$4,MID(C224,2,3),NameConv!$G$45:$M$45)),L224+1,L224)</f>
        <v>5</v>
      </c>
      <c r="M225" s="495">
        <f ca="1">IF(L225&lt;&gt;L224,1,IF(O224&gt;=SUMIF(NameConv!$C$5:$C$45,RIGHT(C224,3),NameConv!$CG$5:$CG$45),M224+1,M224))</f>
        <v>5</v>
      </c>
      <c r="N225" s="495">
        <f ca="1">SUMIF(NameConv!$C$5:$C$45,RIGHT(C225,3),OFFSET(NameConv!$CG$5,0,O225,NameConv!$A$45,1))</f>
        <v>5</v>
      </c>
      <c r="O225" s="495">
        <f ca="1">IF(O224&gt;=SUMIF(NameConv!$C$5:$C$45,RIGHT(C224,3),NameConv!$CG$5:$CG$45),1,O224+1)</f>
        <v>5</v>
      </c>
    </row>
    <row r="226" spans="1:15">
      <c r="A226" s="422" t="str">
        <f t="shared" ca="1" si="16"/>
        <v/>
      </c>
      <c r="B226" s="515" t="str">
        <f t="shared" si="17"/>
        <v>TOP-OUT</v>
      </c>
      <c r="C226" s="518" t="str">
        <f ca="1">"X"&amp;OFFSET(NameConv!$F$4,0,L226)&amp;OFFSET(NameConv!$F$59,M226,L226)</f>
        <v>XRESOKE</v>
      </c>
      <c r="D226" s="515" t="str">
        <f ca="1">OFFSET(NameConv!$F$4,0,L226)&amp;OFFSET(NameConv!$AX$4,0,N226)</f>
        <v>RESCMOX</v>
      </c>
      <c r="E226" s="740" t="s">
        <v>334</v>
      </c>
      <c r="F226" s="740" t="s">
        <v>334</v>
      </c>
      <c r="G226" s="740" t="s">
        <v>334</v>
      </c>
      <c r="H226" s="740" t="s">
        <v>334</v>
      </c>
      <c r="I226" s="516">
        <f t="shared" si="14"/>
        <v>1</v>
      </c>
      <c r="J226" s="516"/>
      <c r="K226" s="516"/>
      <c r="L226" s="495">
        <f ca="1">IF(AND(O225&gt;=SUMIF(NameConv!$C$5:$C$45,RIGHT(C225,3),NameConv!$CG$5:$CG$45),M225=SUMIF(NameConv!$G$4:$M$4,MID(C225,2,3),NameConv!$G$45:$M$45)),L225+1,L225)</f>
        <v>5</v>
      </c>
      <c r="M226" s="495">
        <f ca="1">IF(L226&lt;&gt;L225,1,IF(O225&gt;=SUMIF(NameConv!$C$5:$C$45,RIGHT(C225,3),NameConv!$CG$5:$CG$45),M225+1,M225))</f>
        <v>5</v>
      </c>
      <c r="N226" s="495">
        <f ca="1">SUMIF(NameConv!$C$5:$C$45,RIGHT(C226,3),OFFSET(NameConv!$CG$5,0,O226,NameConv!$A$45,1))</f>
        <v>6</v>
      </c>
      <c r="O226" s="495">
        <f ca="1">IF(O225&gt;=SUMIF(NameConv!$C$5:$C$45,RIGHT(C225,3),NameConv!$CG$5:$CG$45),1,O225+1)</f>
        <v>6</v>
      </c>
    </row>
    <row r="227" spans="1:15">
      <c r="A227" s="422" t="str">
        <f t="shared" ca="1" si="16"/>
        <v/>
      </c>
      <c r="B227" s="515" t="str">
        <f t="shared" si="17"/>
        <v>TOP-OUT</v>
      </c>
      <c r="C227" s="518" t="str">
        <f ca="1">"X"&amp;OFFSET(NameConv!$F$4,0,L227)&amp;OFFSET(NameConv!$F$59,M227,L227)</f>
        <v>XRESOKE</v>
      </c>
      <c r="D227" s="515" t="str">
        <f ca="1">OFFSET(NameConv!$F$4,0,L227)&amp;OFFSET(NameConv!$AX$4,0,N227)</f>
        <v>RESNMVS</v>
      </c>
      <c r="E227" s="740" t="s">
        <v>334</v>
      </c>
      <c r="F227" s="740" t="s">
        <v>334</v>
      </c>
      <c r="G227" s="740" t="s">
        <v>334</v>
      </c>
      <c r="H227" s="740" t="s">
        <v>334</v>
      </c>
      <c r="I227" s="516">
        <f t="shared" si="14"/>
        <v>1</v>
      </c>
      <c r="J227" s="516"/>
      <c r="K227" s="516"/>
      <c r="L227" s="495">
        <f ca="1">IF(AND(O226&gt;=SUMIF(NameConv!$C$5:$C$45,RIGHT(C226,3),NameConv!$CG$5:$CG$45),M226=SUMIF(NameConv!$G$4:$M$4,MID(C226,2,3),NameConv!$G$45:$M$45)),L226+1,L226)</f>
        <v>5</v>
      </c>
      <c r="M227" s="495">
        <f ca="1">IF(L227&lt;&gt;L226,1,IF(O226&gt;=SUMIF(NameConv!$C$5:$C$45,RIGHT(C226,3),NameConv!$CG$5:$CG$45),M226+1,M226))</f>
        <v>5</v>
      </c>
      <c r="N227" s="495">
        <f ca="1">SUMIF(NameConv!$C$5:$C$45,RIGHT(C227,3),OFFSET(NameConv!$CG$5,0,O227,NameConv!$A$45,1))</f>
        <v>7</v>
      </c>
      <c r="O227" s="495">
        <f ca="1">IF(O226&gt;=SUMIF(NameConv!$C$5:$C$45,RIGHT(C226,3),NameConv!$CG$5:$CG$45),1,O226+1)</f>
        <v>7</v>
      </c>
    </row>
    <row r="228" spans="1:15">
      <c r="A228" s="422" t="str">
        <f t="shared" ca="1" si="16"/>
        <v/>
      </c>
      <c r="B228" s="515" t="str">
        <f t="shared" si="17"/>
        <v>TOP-OUT</v>
      </c>
      <c r="C228" s="518" t="str">
        <f ca="1">"X"&amp;OFFSET(NameConv!$F$4,0,L228)&amp;OFFSET(NameConv!$F$59,M228,L228)</f>
        <v>XRESOLP</v>
      </c>
      <c r="D228" s="515" t="str">
        <f ca="1">OFFSET(NameConv!$F$4,0,L228)&amp;OFFSET(NameConv!$AX$4,0,N228)</f>
        <v>RESCO2S</v>
      </c>
      <c r="E228" s="740" t="s">
        <v>334</v>
      </c>
      <c r="F228" s="740" t="s">
        <v>334</v>
      </c>
      <c r="G228" s="740" t="s">
        <v>334</v>
      </c>
      <c r="H228" s="740" t="s">
        <v>334</v>
      </c>
      <c r="I228" s="516">
        <f t="shared" si="14"/>
        <v>1</v>
      </c>
      <c r="J228" s="516"/>
      <c r="K228" s="516"/>
      <c r="L228" s="495">
        <f ca="1">IF(AND(O227&gt;=SUMIF(NameConv!$C$5:$C$45,RIGHT(C227,3),NameConv!$CG$5:$CG$45),M227=SUMIF(NameConv!$G$4:$M$4,MID(C227,2,3),NameConv!$G$45:$M$45)),L227+1,L227)</f>
        <v>5</v>
      </c>
      <c r="M228" s="495">
        <f ca="1">IF(L228&lt;&gt;L227,1,IF(O227&gt;=SUMIF(NameConv!$C$5:$C$45,RIGHT(C227,3),NameConv!$CG$5:$CG$45),M227+1,M227))</f>
        <v>6</v>
      </c>
      <c r="N228" s="495">
        <f ca="1">SUMIF(NameConv!$C$5:$C$45,RIGHT(C228,3),OFFSET(NameConv!$CG$5,0,O228,NameConv!$A$45,1))</f>
        <v>1</v>
      </c>
      <c r="O228" s="495">
        <f ca="1">IF(O227&gt;=SUMIF(NameConv!$C$5:$C$45,RIGHT(C227,3),NameConv!$CG$5:$CG$45),1,O227+1)</f>
        <v>1</v>
      </c>
    </row>
    <row r="229" spans="1:15">
      <c r="A229" s="422" t="str">
        <f t="shared" ca="1" si="16"/>
        <v/>
      </c>
      <c r="B229" s="515" t="str">
        <f t="shared" si="17"/>
        <v>TOP-OUT</v>
      </c>
      <c r="C229" s="518" t="str">
        <f ca="1">"X"&amp;OFFSET(NameConv!$F$4,0,L229)&amp;OFFSET(NameConv!$F$59,M229,L229)</f>
        <v>XRESOLP</v>
      </c>
      <c r="D229" s="515" t="str">
        <f ca="1">OFFSET(NameConv!$F$4,0,L229)&amp;OFFSET(NameConv!$AX$4,0,N229)</f>
        <v>RESCH4S</v>
      </c>
      <c r="E229" s="740" t="s">
        <v>334</v>
      </c>
      <c r="F229" s="740" t="s">
        <v>334</v>
      </c>
      <c r="G229" s="740" t="s">
        <v>334</v>
      </c>
      <c r="H229" s="740" t="s">
        <v>334</v>
      </c>
      <c r="I229" s="516">
        <f t="shared" si="14"/>
        <v>1</v>
      </c>
      <c r="J229" s="516"/>
      <c r="K229" s="516"/>
      <c r="L229" s="495">
        <f ca="1">IF(AND(O228&gt;=SUMIF(NameConv!$C$5:$C$45,RIGHT(C228,3),NameConv!$CG$5:$CG$45),M228=SUMIF(NameConv!$G$4:$M$4,MID(C228,2,3),NameConv!$G$45:$M$45)),L228+1,L228)</f>
        <v>5</v>
      </c>
      <c r="M229" s="495">
        <f ca="1">IF(L229&lt;&gt;L228,1,IF(O228&gt;=SUMIF(NameConv!$C$5:$C$45,RIGHT(C228,3),NameConv!$CG$5:$CG$45),M228+1,M228))</f>
        <v>6</v>
      </c>
      <c r="N229" s="495">
        <f ca="1">SUMIF(NameConv!$C$5:$C$45,RIGHT(C229,3),OFFSET(NameConv!$CG$5,0,O229,NameConv!$A$45,1))</f>
        <v>2</v>
      </c>
      <c r="O229" s="495">
        <f ca="1">IF(O228&gt;=SUMIF(NameConv!$C$5:$C$45,RIGHT(C228,3),NameConv!$CG$5:$CG$45),1,O228+1)</f>
        <v>2</v>
      </c>
    </row>
    <row r="230" spans="1:15">
      <c r="A230" s="422" t="str">
        <f t="shared" ca="1" si="16"/>
        <v/>
      </c>
      <c r="B230" s="515" t="str">
        <f t="shared" si="17"/>
        <v>TOP-OUT</v>
      </c>
      <c r="C230" s="518" t="str">
        <f ca="1">"X"&amp;OFFSET(NameConv!$F$4,0,L230)&amp;OFFSET(NameConv!$F$59,M230,L230)</f>
        <v>XRESOLP</v>
      </c>
      <c r="D230" s="515" t="str">
        <f ca="1">OFFSET(NameConv!$F$4,0,L230)&amp;OFFSET(NameConv!$AX$4,0,N230)</f>
        <v>RESN2OS</v>
      </c>
      <c r="E230" s="740" t="s">
        <v>334</v>
      </c>
      <c r="F230" s="740" t="s">
        <v>334</v>
      </c>
      <c r="G230" s="740" t="s">
        <v>334</v>
      </c>
      <c r="H230" s="740" t="s">
        <v>334</v>
      </c>
      <c r="I230" s="516">
        <f t="shared" si="14"/>
        <v>1</v>
      </c>
      <c r="J230" s="516"/>
      <c r="K230" s="516"/>
      <c r="L230" s="495">
        <f ca="1">IF(AND(O229&gt;=SUMIF(NameConv!$C$5:$C$45,RIGHT(C229,3),NameConv!$CG$5:$CG$45),M229=SUMIF(NameConv!$G$4:$M$4,MID(C229,2,3),NameConv!$G$45:$M$45)),L229+1,L229)</f>
        <v>5</v>
      </c>
      <c r="M230" s="495">
        <f ca="1">IF(L230&lt;&gt;L229,1,IF(O229&gt;=SUMIF(NameConv!$C$5:$C$45,RIGHT(C229,3),NameConv!$CG$5:$CG$45),M229+1,M229))</f>
        <v>6</v>
      </c>
      <c r="N230" s="495">
        <f ca="1">SUMIF(NameConv!$C$5:$C$45,RIGHT(C230,3),OFFSET(NameConv!$CG$5,0,O230,NameConv!$A$45,1))</f>
        <v>3</v>
      </c>
      <c r="O230" s="495">
        <f ca="1">IF(O229&gt;=SUMIF(NameConv!$C$5:$C$45,RIGHT(C229,3),NameConv!$CG$5:$CG$45),1,O229+1)</f>
        <v>3</v>
      </c>
    </row>
    <row r="231" spans="1:15">
      <c r="A231" s="422" t="str">
        <f t="shared" ca="1" si="16"/>
        <v/>
      </c>
      <c r="B231" s="515" t="str">
        <f t="shared" si="17"/>
        <v>TOP-OUT</v>
      </c>
      <c r="C231" s="518" t="str">
        <f ca="1">"X"&amp;OFFSET(NameConv!$F$4,0,L231)&amp;OFFSET(NameConv!$F$59,M231,L231)</f>
        <v>XRESOLP</v>
      </c>
      <c r="D231" s="515" t="str">
        <f ca="1">OFFSET(NameConv!$F$4,0,L231)&amp;OFFSET(NameConv!$AX$4,0,N231)</f>
        <v>RESSOXS</v>
      </c>
      <c r="E231" s="740" t="s">
        <v>334</v>
      </c>
      <c r="F231" s="740" t="s">
        <v>334</v>
      </c>
      <c r="G231" s="740" t="s">
        <v>334</v>
      </c>
      <c r="H231" s="740" t="s">
        <v>334</v>
      </c>
      <c r="I231" s="516">
        <f t="shared" si="14"/>
        <v>1</v>
      </c>
      <c r="J231" s="516"/>
      <c r="K231" s="516"/>
      <c r="L231" s="495">
        <f ca="1">IF(AND(O230&gt;=SUMIF(NameConv!$C$5:$C$45,RIGHT(C230,3),NameConv!$CG$5:$CG$45),M230=SUMIF(NameConv!$G$4:$M$4,MID(C230,2,3),NameConv!$G$45:$M$45)),L230+1,L230)</f>
        <v>5</v>
      </c>
      <c r="M231" s="495">
        <f ca="1">IF(L231&lt;&gt;L230,1,IF(O230&gt;=SUMIF(NameConv!$C$5:$C$45,RIGHT(C230,3),NameConv!$CG$5:$CG$45),M230+1,M230))</f>
        <v>6</v>
      </c>
      <c r="N231" s="495">
        <f ca="1">SUMIF(NameConv!$C$5:$C$45,RIGHT(C231,3),OFFSET(NameConv!$CG$5,0,O231,NameConv!$A$45,1))</f>
        <v>4</v>
      </c>
      <c r="O231" s="495">
        <f ca="1">IF(O230&gt;=SUMIF(NameConv!$C$5:$C$45,RIGHT(C230,3),NameConv!$CG$5:$CG$45),1,O230+1)</f>
        <v>4</v>
      </c>
    </row>
    <row r="232" spans="1:15">
      <c r="A232" s="422" t="str">
        <f t="shared" ca="1" si="16"/>
        <v/>
      </c>
      <c r="B232" s="515" t="str">
        <f t="shared" si="17"/>
        <v>TOP-OUT</v>
      </c>
      <c r="C232" s="518" t="str">
        <f ca="1">"X"&amp;OFFSET(NameConv!$F$4,0,L232)&amp;OFFSET(NameConv!$F$59,M232,L232)</f>
        <v>XRESOLP</v>
      </c>
      <c r="D232" s="515" t="str">
        <f ca="1">OFFSET(NameConv!$F$4,0,L232)&amp;OFFSET(NameConv!$AX$4,0,N232)</f>
        <v>RESNOXS</v>
      </c>
      <c r="E232" s="740" t="s">
        <v>334</v>
      </c>
      <c r="F232" s="740" t="s">
        <v>334</v>
      </c>
      <c r="G232" s="740" t="s">
        <v>334</v>
      </c>
      <c r="H232" s="740" t="s">
        <v>334</v>
      </c>
      <c r="I232" s="516">
        <f>I231</f>
        <v>1</v>
      </c>
      <c r="J232" s="516"/>
      <c r="K232" s="516"/>
      <c r="L232" s="495">
        <f ca="1">IF(AND(O231&gt;=SUMIF(NameConv!$C$5:$C$45,RIGHT(C231,3),NameConv!$CG$5:$CG$45),M231=SUMIF(NameConv!$G$4:$M$4,MID(C231,2,3),NameConv!$G$45:$M$45)),L231+1,L231)</f>
        <v>5</v>
      </c>
      <c r="M232" s="495">
        <f ca="1">IF(L232&lt;&gt;L231,1,IF(O231&gt;=SUMIF(NameConv!$C$5:$C$45,RIGHT(C231,3),NameConv!$CG$5:$CG$45),M231+1,M231))</f>
        <v>6</v>
      </c>
      <c r="N232" s="495">
        <f ca="1">SUMIF(NameConv!$C$5:$C$45,RIGHT(C232,3),OFFSET(NameConv!$CG$5,0,O232,NameConv!$A$45,1))</f>
        <v>5</v>
      </c>
      <c r="O232" s="495">
        <f ca="1">IF(O231&gt;=SUMIF(NameConv!$C$5:$C$45,RIGHT(C231,3),NameConv!$CG$5:$CG$45),1,O231+1)</f>
        <v>5</v>
      </c>
    </row>
    <row r="233" spans="1:15">
      <c r="A233" s="422" t="str">
        <f t="shared" ca="1" si="16"/>
        <v/>
      </c>
      <c r="B233" s="515" t="str">
        <f t="shared" si="17"/>
        <v>TOP-OUT</v>
      </c>
      <c r="C233" s="518" t="str">
        <f ca="1">"X"&amp;OFFSET(NameConv!$F$4,0,L233)&amp;OFFSET(NameConv!$F$59,M233,L233)</f>
        <v>XRESOLP</v>
      </c>
      <c r="D233" s="515" t="str">
        <f ca="1">OFFSET(NameConv!$F$4,0,L233)&amp;OFFSET(NameConv!$AX$4,0,N233)</f>
        <v>RESCMOX</v>
      </c>
      <c r="E233" s="740" t="s">
        <v>334</v>
      </c>
      <c r="F233" s="740" t="s">
        <v>334</v>
      </c>
      <c r="G233" s="740" t="s">
        <v>334</v>
      </c>
      <c r="H233" s="740" t="s">
        <v>334</v>
      </c>
      <c r="I233" s="516">
        <f>I232</f>
        <v>1</v>
      </c>
      <c r="J233" s="516"/>
      <c r="K233" s="516"/>
      <c r="L233" s="495">
        <f ca="1">IF(AND(O232&gt;=SUMIF(NameConv!$C$5:$C$45,RIGHT(C232,3),NameConv!$CG$5:$CG$45),M232=SUMIF(NameConv!$G$4:$M$4,MID(C232,2,3),NameConv!$G$45:$M$45)),L232+1,L232)</f>
        <v>5</v>
      </c>
      <c r="M233" s="495">
        <f ca="1">IF(L233&lt;&gt;L232,1,IF(O232&gt;=SUMIF(NameConv!$C$5:$C$45,RIGHT(C232,3),NameConv!$CG$5:$CG$45),M232+1,M232))</f>
        <v>6</v>
      </c>
      <c r="N233" s="495">
        <f ca="1">SUMIF(NameConv!$C$5:$C$45,RIGHT(C233,3),OFFSET(NameConv!$CG$5,0,O233,NameConv!$A$45,1))</f>
        <v>6</v>
      </c>
      <c r="O233" s="495">
        <f ca="1">IF(O232&gt;=SUMIF(NameConv!$C$5:$C$45,RIGHT(C232,3),NameConv!$CG$5:$CG$45),1,O232+1)</f>
        <v>6</v>
      </c>
    </row>
    <row r="234" spans="1:15">
      <c r="A234" s="422" t="str">
        <f t="shared" ca="1" si="16"/>
        <v/>
      </c>
      <c r="B234" s="515" t="str">
        <f t="shared" si="17"/>
        <v>TOP-OUT</v>
      </c>
      <c r="C234" s="518" t="str">
        <f ca="1">"X"&amp;OFFSET(NameConv!$F$4,0,L234)&amp;OFFSET(NameConv!$F$59,M234,L234)</f>
        <v>XRESOLP</v>
      </c>
      <c r="D234" s="515" t="str">
        <f ca="1">OFFSET(NameConv!$F$4,0,L234)&amp;OFFSET(NameConv!$AX$4,0,N234)</f>
        <v>RESNMVS</v>
      </c>
      <c r="E234" s="740" t="s">
        <v>334</v>
      </c>
      <c r="F234" s="740" t="s">
        <v>334</v>
      </c>
      <c r="G234" s="740" t="s">
        <v>334</v>
      </c>
      <c r="H234" s="740" t="s">
        <v>334</v>
      </c>
      <c r="I234" s="516">
        <f>I233</f>
        <v>1</v>
      </c>
      <c r="J234" s="516"/>
      <c r="K234" s="516"/>
      <c r="L234" s="495">
        <f ca="1">IF(AND(O233&gt;=SUMIF(NameConv!$C$5:$C$45,RIGHT(C233,3),NameConv!$CG$5:$CG$45),M233=SUMIF(NameConv!$G$4:$M$4,MID(C233,2,3),NameConv!$G$45:$M$45)),L233+1,L233)</f>
        <v>5</v>
      </c>
      <c r="M234" s="495">
        <f ca="1">IF(L234&lt;&gt;L233,1,IF(O233&gt;=SUMIF(NameConv!$C$5:$C$45,RIGHT(C233,3),NameConv!$CG$5:$CG$45),M233+1,M233))</f>
        <v>6</v>
      </c>
      <c r="N234" s="495">
        <f ca="1">SUMIF(NameConv!$C$5:$C$45,RIGHT(C234,3),OFFSET(NameConv!$CG$5,0,O234,NameConv!$A$45,1))</f>
        <v>7</v>
      </c>
      <c r="O234" s="495">
        <f ca="1">IF(O233&gt;=SUMIF(NameConv!$C$5:$C$45,RIGHT(C233,3),NameConv!$CG$5:$CG$45),1,O233+1)</f>
        <v>7</v>
      </c>
    </row>
    <row r="235" spans="1:15">
      <c r="A235" s="422" t="str">
        <f t="shared" ref="A235:A282" ca="1" si="18">IF(LEN(D235)=3,"*","")</f>
        <v>*</v>
      </c>
      <c r="B235" s="515" t="str">
        <f t="shared" si="17"/>
        <v>TOP-OUT</v>
      </c>
      <c r="C235" s="518" t="str">
        <f ca="1">"X"&amp;OFFSET(NameConv!$F$4,0,L235)&amp;OFFSET(NameConv!$F$59,M235,L235)</f>
        <v>XPWRBIG</v>
      </c>
      <c r="D235" s="515" t="str">
        <f ca="1">OFFSET(NameConv!$F$4,0,L235)&amp;OFFSET(NameConv!$AX$4,0,N235)</f>
        <v>PWR</v>
      </c>
      <c r="E235" s="740" t="s">
        <v>334</v>
      </c>
      <c r="F235" s="740" t="s">
        <v>334</v>
      </c>
      <c r="G235" s="740" t="s">
        <v>334</v>
      </c>
      <c r="H235" s="740" t="s">
        <v>334</v>
      </c>
      <c r="I235" s="516">
        <f t="shared" ref="I235:I282" si="19">I234</f>
        <v>1</v>
      </c>
      <c r="J235" s="516"/>
      <c r="K235" s="516"/>
      <c r="L235" s="495">
        <f ca="1">IF(AND(O234&gt;=SUMIF(NameConv!$C$5:$C$45,RIGHT(C234,3),NameConv!$CG$5:$CG$45),M234=SUMIF(NameConv!$G$4:$M$4,MID(C234,2,3),NameConv!$G$45:$M$45)),L234+1,L234)</f>
        <v>6</v>
      </c>
      <c r="M235" s="495">
        <f ca="1">IF(L235&lt;&gt;L234,1,IF(O234&gt;=SUMIF(NameConv!$C$5:$C$45,RIGHT(C234,3),NameConv!$CG$5:$CG$45),M234+1,M234))</f>
        <v>1</v>
      </c>
      <c r="N235" s="495">
        <f ca="1">SUMIF(NameConv!$C$5:$C$45,RIGHT(C235,3),OFFSET(NameConv!$CG$5,0,O235,NameConv!$A$45,1))</f>
        <v>0</v>
      </c>
      <c r="O235" s="495">
        <f ca="1">IF(O234&gt;=SUMIF(NameConv!$C$5:$C$45,RIGHT(C234,3),NameConv!$CG$5:$CG$45),1,O234+1)</f>
        <v>1</v>
      </c>
    </row>
    <row r="236" spans="1:15">
      <c r="A236" s="422" t="str">
        <f t="shared" ca="1" si="18"/>
        <v>*</v>
      </c>
      <c r="B236" s="515" t="str">
        <f t="shared" si="17"/>
        <v>TOP-OUT</v>
      </c>
      <c r="C236" s="518" t="str">
        <f ca="1">"X"&amp;OFFSET(NameConv!$F$4,0,L236)&amp;OFFSET(NameConv!$F$59,M236,L236)</f>
        <v>XPWRBIB</v>
      </c>
      <c r="D236" s="515" t="str">
        <f ca="1">OFFSET(NameConv!$F$4,0,L236)&amp;OFFSET(NameConv!$AX$4,0,N236)</f>
        <v>PWR</v>
      </c>
      <c r="E236" s="740" t="s">
        <v>334</v>
      </c>
      <c r="F236" s="740" t="s">
        <v>334</v>
      </c>
      <c r="G236" s="740" t="s">
        <v>334</v>
      </c>
      <c r="H236" s="740" t="s">
        <v>334</v>
      </c>
      <c r="I236" s="516">
        <f t="shared" si="19"/>
        <v>1</v>
      </c>
      <c r="J236" s="516"/>
      <c r="K236" s="516"/>
      <c r="L236" s="495">
        <f ca="1">IF(AND(O235&gt;=SUMIF(NameConv!$C$5:$C$45,RIGHT(C235,3),NameConv!$CG$5:$CG$45),M235=SUMIF(NameConv!$G$4:$M$4,MID(C235,2,3),NameConv!$G$45:$M$45)),L235+1,L235)</f>
        <v>6</v>
      </c>
      <c r="M236" s="495">
        <f ca="1">IF(L236&lt;&gt;L235,1,IF(O235&gt;=SUMIF(NameConv!$C$5:$C$45,RIGHT(C235,3),NameConv!$CG$5:$CG$45),M235+1,M235))</f>
        <v>2</v>
      </c>
      <c r="N236" s="495">
        <f ca="1">SUMIF(NameConv!$C$5:$C$45,RIGHT(C236,3),OFFSET(NameConv!$CG$5,0,O236,NameConv!$A$45,1))</f>
        <v>0</v>
      </c>
      <c r="O236" s="495">
        <f ca="1">IF(O235&gt;=SUMIF(NameConv!$C$5:$C$45,RIGHT(C235,3),NameConv!$CG$5:$CG$45),1,O235+1)</f>
        <v>1</v>
      </c>
    </row>
    <row r="237" spans="1:15">
      <c r="A237" s="422" t="str">
        <f t="shared" ca="1" si="18"/>
        <v>*</v>
      </c>
      <c r="B237" s="515" t="str">
        <f t="shared" si="17"/>
        <v>TOP-OUT</v>
      </c>
      <c r="C237" s="518" t="str">
        <f ca="1">"X"&amp;OFFSET(NameConv!$F$4,0,L237)&amp;OFFSET(NameConv!$F$59,M237,L237)</f>
        <v>XPWRBIO</v>
      </c>
      <c r="D237" s="515" t="str">
        <f ca="1">OFFSET(NameConv!$F$4,0,L237)&amp;OFFSET(NameConv!$AX$4,0,N237)</f>
        <v>PWR</v>
      </c>
      <c r="E237" s="740" t="s">
        <v>334</v>
      </c>
      <c r="F237" s="740" t="s">
        <v>334</v>
      </c>
      <c r="G237" s="740" t="s">
        <v>334</v>
      </c>
      <c r="H237" s="740" t="s">
        <v>334</v>
      </c>
      <c r="I237" s="516">
        <f t="shared" si="19"/>
        <v>1</v>
      </c>
      <c r="J237" s="516"/>
      <c r="K237" s="516"/>
      <c r="L237" s="495">
        <f ca="1">IF(AND(O236&gt;=SUMIF(NameConv!$C$5:$C$45,RIGHT(C236,3),NameConv!$CG$5:$CG$45),M236=SUMIF(NameConv!$G$4:$M$4,MID(C236,2,3),NameConv!$G$45:$M$45)),L236+1,L236)</f>
        <v>6</v>
      </c>
      <c r="M237" s="495">
        <f ca="1">IF(L237&lt;&gt;L236,1,IF(O236&gt;=SUMIF(NameConv!$C$5:$C$45,RIGHT(C236,3),NameConv!$CG$5:$CG$45),M236+1,M236))</f>
        <v>3</v>
      </c>
      <c r="N237" s="495">
        <f ca="1">SUMIF(NameConv!$C$5:$C$45,RIGHT(C237,3),OFFSET(NameConv!$CG$5,0,O237,NameConv!$A$45,1))</f>
        <v>0</v>
      </c>
      <c r="O237" s="495">
        <f ca="1">IF(O236&gt;=SUMIF(NameConv!$C$5:$C$45,RIGHT(C236,3),NameConv!$CG$5:$CG$45),1,O236+1)</f>
        <v>1</v>
      </c>
    </row>
    <row r="238" spans="1:15">
      <c r="A238" s="422" t="str">
        <f t="shared" ca="1" si="18"/>
        <v>*</v>
      </c>
      <c r="B238" s="515" t="str">
        <f t="shared" si="17"/>
        <v>TOP-OUT</v>
      </c>
      <c r="C238" s="518" t="str">
        <f ca="1">"X"&amp;OFFSET(NameConv!$F$4,0,L238)&amp;OFFSET(NameConv!$F$59,M238,L238)</f>
        <v>XPWRBIW</v>
      </c>
      <c r="D238" s="515" t="str">
        <f ca="1">OFFSET(NameConv!$F$4,0,L238)&amp;OFFSET(NameConv!$AX$4,0,N238)</f>
        <v>PWR</v>
      </c>
      <c r="E238" s="740" t="s">
        <v>334</v>
      </c>
      <c r="F238" s="740" t="s">
        <v>334</v>
      </c>
      <c r="G238" s="740" t="s">
        <v>334</v>
      </c>
      <c r="H238" s="740" t="s">
        <v>334</v>
      </c>
      <c r="I238" s="516">
        <f t="shared" si="19"/>
        <v>1</v>
      </c>
      <c r="J238" s="516"/>
      <c r="K238" s="516"/>
      <c r="L238" s="495">
        <f ca="1">IF(AND(O237&gt;=SUMIF(NameConv!$C$5:$C$45,RIGHT(C237,3),NameConv!$CG$5:$CG$45),M237=SUMIF(NameConv!$G$4:$M$4,MID(C237,2,3),NameConv!$G$45:$M$45)),L237+1,L237)</f>
        <v>6</v>
      </c>
      <c r="M238" s="495">
        <f ca="1">IF(L238&lt;&gt;L237,1,IF(O237&gt;=SUMIF(NameConv!$C$5:$C$45,RIGHT(C237,3),NameConv!$CG$5:$CG$45),M237+1,M237))</f>
        <v>4</v>
      </c>
      <c r="N238" s="495">
        <f ca="1">SUMIF(NameConv!$C$5:$C$45,RIGHT(C238,3),OFFSET(NameConv!$CG$5,0,O238,NameConv!$A$45,1))</f>
        <v>0</v>
      </c>
      <c r="O238" s="495">
        <f ca="1">IF(O237&gt;=SUMIF(NameConv!$C$5:$C$45,RIGHT(C237,3),NameConv!$CG$5:$CG$45),1,O237+1)</f>
        <v>1</v>
      </c>
    </row>
    <row r="239" spans="1:15">
      <c r="A239" s="422" t="str">
        <f t="shared" ca="1" si="18"/>
        <v/>
      </c>
      <c r="B239" s="515" t="str">
        <f t="shared" si="17"/>
        <v>TOP-OUT</v>
      </c>
      <c r="C239" s="518" t="str">
        <f ca="1">"X"&amp;OFFSET(NameConv!$F$4,0,L239)&amp;OFFSET(NameConv!$F$59,M239,L239)</f>
        <v>XPWRCLD</v>
      </c>
      <c r="D239" s="515" t="str">
        <f ca="1">OFFSET(NameConv!$F$4,0,L239)&amp;OFFSET(NameConv!$AX$4,0,N239)</f>
        <v>PWRCO2S</v>
      </c>
      <c r="E239" s="740" t="s">
        <v>334</v>
      </c>
      <c r="F239" s="740" t="s">
        <v>334</v>
      </c>
      <c r="G239" s="740" t="s">
        <v>334</v>
      </c>
      <c r="H239" s="740" t="s">
        <v>334</v>
      </c>
      <c r="I239" s="516">
        <f t="shared" si="19"/>
        <v>1</v>
      </c>
      <c r="J239" s="516"/>
      <c r="K239" s="516"/>
      <c r="L239" s="495">
        <f ca="1">IF(AND(O238&gt;=SUMIF(NameConv!$C$5:$C$45,RIGHT(C238,3),NameConv!$CG$5:$CG$45),M238=SUMIF(NameConv!$G$4:$M$4,MID(C238,2,3),NameConv!$G$45:$M$45)),L238+1,L238)</f>
        <v>6</v>
      </c>
      <c r="M239" s="495">
        <f ca="1">IF(L239&lt;&gt;L238,1,IF(O238&gt;=SUMIF(NameConv!$C$5:$C$45,RIGHT(C238,3),NameConv!$CG$5:$CG$45),M238+1,M238))</f>
        <v>5</v>
      </c>
      <c r="N239" s="495">
        <f ca="1">SUMIF(NameConv!$C$5:$C$45,RIGHT(C239,3),OFFSET(NameConv!$CG$5,0,O239,NameConv!$A$45,1))</f>
        <v>1</v>
      </c>
      <c r="O239" s="495">
        <f ca="1">IF(O238&gt;=SUMIF(NameConv!$C$5:$C$45,RIGHT(C238,3),NameConv!$CG$5:$CG$45),1,O238+1)</f>
        <v>1</v>
      </c>
    </row>
    <row r="240" spans="1:15">
      <c r="A240" s="422" t="str">
        <f t="shared" ca="1" si="18"/>
        <v/>
      </c>
      <c r="B240" s="515" t="str">
        <f t="shared" si="17"/>
        <v>TOP-OUT</v>
      </c>
      <c r="C240" s="518" t="str">
        <f ca="1">"X"&amp;OFFSET(NameConv!$F$4,0,L240)&amp;OFFSET(NameConv!$F$59,M240,L240)</f>
        <v>XPWRCLD</v>
      </c>
      <c r="D240" s="515" t="str">
        <f ca="1">OFFSET(NameConv!$F$4,0,L240)&amp;OFFSET(NameConv!$AX$4,0,N240)</f>
        <v>PWRCH4S</v>
      </c>
      <c r="E240" s="740" t="s">
        <v>334</v>
      </c>
      <c r="F240" s="740" t="s">
        <v>334</v>
      </c>
      <c r="G240" s="740" t="s">
        <v>334</v>
      </c>
      <c r="H240" s="740" t="s">
        <v>334</v>
      </c>
      <c r="I240" s="516">
        <f t="shared" si="19"/>
        <v>1</v>
      </c>
      <c r="J240" s="516"/>
      <c r="K240" s="516"/>
      <c r="L240" s="495">
        <f ca="1">IF(AND(O239&gt;=SUMIF(NameConv!$C$5:$C$45,RIGHT(C239,3),NameConv!$CG$5:$CG$45),M239=SUMIF(NameConv!$G$4:$M$4,MID(C239,2,3),NameConv!$G$45:$M$45)),L239+1,L239)</f>
        <v>6</v>
      </c>
      <c r="M240" s="495">
        <f ca="1">IF(L240&lt;&gt;L239,1,IF(O239&gt;=SUMIF(NameConv!$C$5:$C$45,RIGHT(C239,3),NameConv!$CG$5:$CG$45),M239+1,M239))</f>
        <v>5</v>
      </c>
      <c r="N240" s="495">
        <f ca="1">SUMIF(NameConv!$C$5:$C$45,RIGHT(C240,3),OFFSET(NameConv!$CG$5,0,O240,NameConv!$A$45,1))</f>
        <v>2</v>
      </c>
      <c r="O240" s="495">
        <f ca="1">IF(O239&gt;=SUMIF(NameConv!$C$5:$C$45,RIGHT(C239,3),NameConv!$CG$5:$CG$45),1,O239+1)</f>
        <v>2</v>
      </c>
    </row>
    <row r="241" spans="1:15">
      <c r="A241" s="422" t="str">
        <f t="shared" ca="1" si="18"/>
        <v/>
      </c>
      <c r="B241" s="515" t="str">
        <f t="shared" si="17"/>
        <v>TOP-OUT</v>
      </c>
      <c r="C241" s="518" t="str">
        <f ca="1">"X"&amp;OFFSET(NameConv!$F$4,0,L241)&amp;OFFSET(NameConv!$F$59,M241,L241)</f>
        <v>XPWRCLD</v>
      </c>
      <c r="D241" s="515" t="str">
        <f ca="1">OFFSET(NameConv!$F$4,0,L241)&amp;OFFSET(NameConv!$AX$4,0,N241)</f>
        <v>PWRN2OS</v>
      </c>
      <c r="E241" s="740" t="s">
        <v>334</v>
      </c>
      <c r="F241" s="740" t="s">
        <v>334</v>
      </c>
      <c r="G241" s="740" t="s">
        <v>334</v>
      </c>
      <c r="H241" s="740" t="s">
        <v>334</v>
      </c>
      <c r="I241" s="516">
        <f t="shared" si="19"/>
        <v>1</v>
      </c>
      <c r="J241" s="516"/>
      <c r="K241" s="516"/>
      <c r="L241" s="495">
        <f ca="1">IF(AND(O240&gt;=SUMIF(NameConv!$C$5:$C$45,RIGHT(C240,3),NameConv!$CG$5:$CG$45),M240=SUMIF(NameConv!$G$4:$M$4,MID(C240,2,3),NameConv!$G$45:$M$45)),L240+1,L240)</f>
        <v>6</v>
      </c>
      <c r="M241" s="495">
        <f ca="1">IF(L241&lt;&gt;L240,1,IF(O240&gt;=SUMIF(NameConv!$C$5:$C$45,RIGHT(C240,3),NameConv!$CG$5:$CG$45),M240+1,M240))</f>
        <v>5</v>
      </c>
      <c r="N241" s="495">
        <f ca="1">SUMIF(NameConv!$C$5:$C$45,RIGHT(C241,3),OFFSET(NameConv!$CG$5,0,O241,NameConv!$A$45,1))</f>
        <v>3</v>
      </c>
      <c r="O241" s="495">
        <f ca="1">IF(O240&gt;=SUMIF(NameConv!$C$5:$C$45,RIGHT(C240,3),NameConv!$CG$5:$CG$45),1,O240+1)</f>
        <v>3</v>
      </c>
    </row>
    <row r="242" spans="1:15">
      <c r="A242" s="422" t="str">
        <f t="shared" ca="1" si="18"/>
        <v/>
      </c>
      <c r="B242" s="515" t="str">
        <f t="shared" si="17"/>
        <v>TOP-OUT</v>
      </c>
      <c r="C242" s="518" t="str">
        <f ca="1">"X"&amp;OFFSET(NameConv!$F$4,0,L242)&amp;OFFSET(NameConv!$F$59,M242,L242)</f>
        <v>XPWRCLD</v>
      </c>
      <c r="D242" s="515" t="str">
        <f ca="1">OFFSET(NameConv!$F$4,0,L242)&amp;OFFSET(NameConv!$AX$4,0,N242)</f>
        <v>PWRSOXS</v>
      </c>
      <c r="E242" s="740" t="s">
        <v>334</v>
      </c>
      <c r="F242" s="740" t="s">
        <v>334</v>
      </c>
      <c r="G242" s="740" t="s">
        <v>334</v>
      </c>
      <c r="H242" s="740" t="s">
        <v>334</v>
      </c>
      <c r="I242" s="516">
        <f t="shared" si="19"/>
        <v>1</v>
      </c>
      <c r="J242" s="516"/>
      <c r="K242" s="516"/>
      <c r="L242" s="495">
        <f ca="1">IF(AND(O241&gt;=SUMIF(NameConv!$C$5:$C$45,RIGHT(C241,3),NameConv!$CG$5:$CG$45),M241=SUMIF(NameConv!$G$4:$M$4,MID(C241,2,3),NameConv!$G$45:$M$45)),L241+1,L241)</f>
        <v>6</v>
      </c>
      <c r="M242" s="495">
        <f ca="1">IF(L242&lt;&gt;L241,1,IF(O241&gt;=SUMIF(NameConv!$C$5:$C$45,RIGHT(C241,3),NameConv!$CG$5:$CG$45),M241+1,M241))</f>
        <v>5</v>
      </c>
      <c r="N242" s="495">
        <f ca="1">SUMIF(NameConv!$C$5:$C$45,RIGHT(C242,3),OFFSET(NameConv!$CG$5,0,O242,NameConv!$A$45,1))</f>
        <v>4</v>
      </c>
      <c r="O242" s="495">
        <f ca="1">IF(O241&gt;=SUMIF(NameConv!$C$5:$C$45,RIGHT(C241,3),NameConv!$CG$5:$CG$45),1,O241+1)</f>
        <v>4</v>
      </c>
    </row>
    <row r="243" spans="1:15">
      <c r="A243" s="422" t="str">
        <f t="shared" ca="1" si="18"/>
        <v/>
      </c>
      <c r="B243" s="515" t="str">
        <f t="shared" si="17"/>
        <v>TOP-OUT</v>
      </c>
      <c r="C243" s="518" t="str">
        <f ca="1">"X"&amp;OFFSET(NameConv!$F$4,0,L243)&amp;OFFSET(NameConv!$F$59,M243,L243)</f>
        <v>XPWRCLD</v>
      </c>
      <c r="D243" s="515" t="str">
        <f ca="1">OFFSET(NameConv!$F$4,0,L243)&amp;OFFSET(NameConv!$AX$4,0,N243)</f>
        <v>PWRNOXS</v>
      </c>
      <c r="E243" s="740" t="s">
        <v>334</v>
      </c>
      <c r="F243" s="740" t="s">
        <v>334</v>
      </c>
      <c r="G243" s="740" t="s">
        <v>334</v>
      </c>
      <c r="H243" s="740" t="s">
        <v>334</v>
      </c>
      <c r="I243" s="516">
        <f t="shared" si="19"/>
        <v>1</v>
      </c>
      <c r="J243" s="516"/>
      <c r="K243" s="516"/>
      <c r="L243" s="495">
        <f ca="1">IF(AND(O242&gt;=SUMIF(NameConv!$C$5:$C$45,RIGHT(C242,3),NameConv!$CG$5:$CG$45),M242=SUMIF(NameConv!$G$4:$M$4,MID(C242,2,3),NameConv!$G$45:$M$45)),L242+1,L242)</f>
        <v>6</v>
      </c>
      <c r="M243" s="495">
        <f ca="1">IF(L243&lt;&gt;L242,1,IF(O242&gt;=SUMIF(NameConv!$C$5:$C$45,RIGHT(C242,3),NameConv!$CG$5:$CG$45),M242+1,M242))</f>
        <v>5</v>
      </c>
      <c r="N243" s="495">
        <f ca="1">SUMIF(NameConv!$C$5:$C$45,RIGHT(C243,3),OFFSET(NameConv!$CG$5,0,O243,NameConv!$A$45,1))</f>
        <v>5</v>
      </c>
      <c r="O243" s="495">
        <f ca="1">IF(O242&gt;=SUMIF(NameConv!$C$5:$C$45,RIGHT(C242,3),NameConv!$CG$5:$CG$45),1,O242+1)</f>
        <v>5</v>
      </c>
    </row>
    <row r="244" spans="1:15">
      <c r="A244" s="422" t="str">
        <f t="shared" ca="1" si="18"/>
        <v/>
      </c>
      <c r="B244" s="515" t="str">
        <f t="shared" si="17"/>
        <v>TOP-OUT</v>
      </c>
      <c r="C244" s="518" t="str">
        <f ca="1">"X"&amp;OFFSET(NameConv!$F$4,0,L244)&amp;OFFSET(NameConv!$F$59,M244,L244)</f>
        <v>XPWRCLD</v>
      </c>
      <c r="D244" s="515" t="str">
        <f ca="1">OFFSET(NameConv!$F$4,0,L244)&amp;OFFSET(NameConv!$AX$4,0,N244)</f>
        <v>PWRCMOX</v>
      </c>
      <c r="E244" s="740" t="s">
        <v>334</v>
      </c>
      <c r="F244" s="740" t="s">
        <v>334</v>
      </c>
      <c r="G244" s="740" t="s">
        <v>334</v>
      </c>
      <c r="H244" s="740" t="s">
        <v>334</v>
      </c>
      <c r="I244" s="516">
        <f t="shared" si="19"/>
        <v>1</v>
      </c>
      <c r="J244" s="516"/>
      <c r="K244" s="516"/>
      <c r="L244" s="495">
        <f ca="1">IF(AND(O243&gt;=SUMIF(NameConv!$C$5:$C$45,RIGHT(C243,3),NameConv!$CG$5:$CG$45),M243=SUMIF(NameConv!$G$4:$M$4,MID(C243,2,3),NameConv!$G$45:$M$45)),L243+1,L243)</f>
        <v>6</v>
      </c>
      <c r="M244" s="495">
        <f ca="1">IF(L244&lt;&gt;L243,1,IF(O243&gt;=SUMIF(NameConv!$C$5:$C$45,RIGHT(C243,3),NameConv!$CG$5:$CG$45),M243+1,M243))</f>
        <v>5</v>
      </c>
      <c r="N244" s="495">
        <f ca="1">SUMIF(NameConv!$C$5:$C$45,RIGHT(C244,3),OFFSET(NameConv!$CG$5,0,O244,NameConv!$A$45,1))</f>
        <v>6</v>
      </c>
      <c r="O244" s="495">
        <f ca="1">IF(O243&gt;=SUMIF(NameConv!$C$5:$C$45,RIGHT(C243,3),NameConv!$CG$5:$CG$45),1,O243+1)</f>
        <v>6</v>
      </c>
    </row>
    <row r="245" spans="1:15">
      <c r="A245" s="422" t="str">
        <f t="shared" ca="1" si="18"/>
        <v/>
      </c>
      <c r="B245" s="515" t="str">
        <f t="shared" si="17"/>
        <v>TOP-OUT</v>
      </c>
      <c r="C245" s="518" t="str">
        <f ca="1">"X"&amp;OFFSET(NameConv!$F$4,0,L245)&amp;OFFSET(NameConv!$F$59,M245,L245)</f>
        <v>XPWRCLD</v>
      </c>
      <c r="D245" s="515" t="str">
        <f ca="1">OFFSET(NameConv!$F$4,0,L245)&amp;OFFSET(NameConv!$AX$4,0,N245)</f>
        <v>PWRNMVS</v>
      </c>
      <c r="E245" s="740" t="s">
        <v>334</v>
      </c>
      <c r="F245" s="740" t="s">
        <v>334</v>
      </c>
      <c r="G245" s="740" t="s">
        <v>334</v>
      </c>
      <c r="H245" s="740" t="s">
        <v>334</v>
      </c>
      <c r="I245" s="516">
        <f t="shared" si="19"/>
        <v>1</v>
      </c>
      <c r="J245" s="516"/>
      <c r="K245" s="516"/>
      <c r="L245" s="495">
        <f ca="1">IF(AND(O244&gt;=SUMIF(NameConv!$C$5:$C$45,RIGHT(C244,3),NameConv!$CG$5:$CG$45),M244=SUMIF(NameConv!$G$4:$M$4,MID(C244,2,3),NameConv!$G$45:$M$45)),L244+1,L244)</f>
        <v>6</v>
      </c>
      <c r="M245" s="495">
        <f ca="1">IF(L245&lt;&gt;L244,1,IF(O244&gt;=SUMIF(NameConv!$C$5:$C$45,RIGHT(C244,3),NameConv!$CG$5:$CG$45),M244+1,M244))</f>
        <v>5</v>
      </c>
      <c r="N245" s="495">
        <f ca="1">SUMIF(NameConv!$C$5:$C$45,RIGHT(C245,3),OFFSET(NameConv!$CG$5,0,O245,NameConv!$A$45,1))</f>
        <v>7</v>
      </c>
      <c r="O245" s="495">
        <f ca="1">IF(O244&gt;=SUMIF(NameConv!$C$5:$C$45,RIGHT(C244,3),NameConv!$CG$5:$CG$45),1,O244+1)</f>
        <v>7</v>
      </c>
    </row>
    <row r="246" spans="1:15">
      <c r="A246" s="422" t="str">
        <f t="shared" ca="1" si="18"/>
        <v/>
      </c>
      <c r="B246" s="515" t="str">
        <f t="shared" si="17"/>
        <v>TOP-OUT</v>
      </c>
      <c r="C246" s="518" t="str">
        <f ca="1">"X"&amp;OFFSET(NameConv!$F$4,0,L246)&amp;OFFSET(NameConv!$F$59,M246,L246)</f>
        <v>XPWRCLE</v>
      </c>
      <c r="D246" s="515" t="str">
        <f ca="1">OFFSET(NameConv!$F$4,0,L246)&amp;OFFSET(NameConv!$AX$4,0,N246)</f>
        <v>PWRCO2S</v>
      </c>
      <c r="E246" s="740" t="s">
        <v>334</v>
      </c>
      <c r="F246" s="740" t="s">
        <v>334</v>
      </c>
      <c r="G246" s="740" t="s">
        <v>334</v>
      </c>
      <c r="H246" s="740" t="s">
        <v>334</v>
      </c>
      <c r="I246" s="516">
        <f t="shared" si="19"/>
        <v>1</v>
      </c>
      <c r="J246" s="516"/>
      <c r="K246" s="516"/>
      <c r="L246" s="495">
        <f ca="1">IF(AND(O245&gt;=SUMIF(NameConv!$C$5:$C$45,RIGHT(C245,3),NameConv!$CG$5:$CG$45),M245=SUMIF(NameConv!$G$4:$M$4,MID(C245,2,3),NameConv!$G$45:$M$45)),L245+1,L245)</f>
        <v>6</v>
      </c>
      <c r="M246" s="495">
        <f ca="1">IF(L246&lt;&gt;L245,1,IF(O245&gt;=SUMIF(NameConv!$C$5:$C$45,RIGHT(C245,3),NameConv!$CG$5:$CG$45),M245+1,M245))</f>
        <v>6</v>
      </c>
      <c r="N246" s="495">
        <f ca="1">SUMIF(NameConv!$C$5:$C$45,RIGHT(C246,3),OFFSET(NameConv!$CG$5,0,O246,NameConv!$A$45,1))</f>
        <v>1</v>
      </c>
      <c r="O246" s="495">
        <f ca="1">IF(O245&gt;=SUMIF(NameConv!$C$5:$C$45,RIGHT(C245,3),NameConv!$CG$5:$CG$45),1,O245+1)</f>
        <v>1</v>
      </c>
    </row>
    <row r="247" spans="1:15">
      <c r="A247" s="422" t="str">
        <f t="shared" ca="1" si="18"/>
        <v/>
      </c>
      <c r="B247" s="515" t="str">
        <f t="shared" si="17"/>
        <v>TOP-OUT</v>
      </c>
      <c r="C247" s="518" t="str">
        <f ca="1">"X"&amp;OFFSET(NameConv!$F$4,0,L247)&amp;OFFSET(NameConv!$F$59,M247,L247)</f>
        <v>XPWRCLE</v>
      </c>
      <c r="D247" s="515" t="str">
        <f ca="1">OFFSET(NameConv!$F$4,0,L247)&amp;OFFSET(NameConv!$AX$4,0,N247)</f>
        <v>PWRCH4S</v>
      </c>
      <c r="E247" s="740" t="s">
        <v>334</v>
      </c>
      <c r="F247" s="740" t="s">
        <v>334</v>
      </c>
      <c r="G247" s="740" t="s">
        <v>334</v>
      </c>
      <c r="H247" s="740" t="s">
        <v>334</v>
      </c>
      <c r="I247" s="516">
        <f t="shared" si="19"/>
        <v>1</v>
      </c>
      <c r="J247" s="516"/>
      <c r="K247" s="516"/>
      <c r="L247" s="495">
        <f ca="1">IF(AND(O246&gt;=SUMIF(NameConv!$C$5:$C$45,RIGHT(C246,3),NameConv!$CG$5:$CG$45),M246=SUMIF(NameConv!$G$4:$M$4,MID(C246,2,3),NameConv!$G$45:$M$45)),L246+1,L246)</f>
        <v>6</v>
      </c>
      <c r="M247" s="495">
        <f ca="1">IF(L247&lt;&gt;L246,1,IF(O246&gt;=SUMIF(NameConv!$C$5:$C$45,RIGHT(C246,3),NameConv!$CG$5:$CG$45),M246+1,M246))</f>
        <v>6</v>
      </c>
      <c r="N247" s="495">
        <f ca="1">SUMIF(NameConv!$C$5:$C$45,RIGHT(C247,3),OFFSET(NameConv!$CG$5,0,O247,NameConv!$A$45,1))</f>
        <v>2</v>
      </c>
      <c r="O247" s="495">
        <f ca="1">IF(O246&gt;=SUMIF(NameConv!$C$5:$C$45,RIGHT(C246,3),NameConv!$CG$5:$CG$45),1,O246+1)</f>
        <v>2</v>
      </c>
    </row>
    <row r="248" spans="1:15">
      <c r="A248" s="422" t="str">
        <f t="shared" ca="1" si="18"/>
        <v/>
      </c>
      <c r="B248" s="515" t="str">
        <f t="shared" si="17"/>
        <v>TOP-OUT</v>
      </c>
      <c r="C248" s="518" t="str">
        <f ca="1">"X"&amp;OFFSET(NameConv!$F$4,0,L248)&amp;OFFSET(NameConv!$F$59,M248,L248)</f>
        <v>XPWRCLE</v>
      </c>
      <c r="D248" s="515" t="str">
        <f ca="1">OFFSET(NameConv!$F$4,0,L248)&amp;OFFSET(NameConv!$AX$4,0,N248)</f>
        <v>PWRN2OS</v>
      </c>
      <c r="E248" s="740" t="s">
        <v>334</v>
      </c>
      <c r="F248" s="740" t="s">
        <v>334</v>
      </c>
      <c r="G248" s="740" t="s">
        <v>334</v>
      </c>
      <c r="H248" s="740" t="s">
        <v>334</v>
      </c>
      <c r="I248" s="516">
        <f t="shared" si="19"/>
        <v>1</v>
      </c>
      <c r="J248" s="516"/>
      <c r="K248" s="516"/>
      <c r="L248" s="495">
        <f ca="1">IF(AND(O247&gt;=SUMIF(NameConv!$C$5:$C$45,RIGHT(C247,3),NameConv!$CG$5:$CG$45),M247=SUMIF(NameConv!$G$4:$M$4,MID(C247,2,3),NameConv!$G$45:$M$45)),L247+1,L247)</f>
        <v>6</v>
      </c>
      <c r="M248" s="495">
        <f ca="1">IF(L248&lt;&gt;L247,1,IF(O247&gt;=SUMIF(NameConv!$C$5:$C$45,RIGHT(C247,3),NameConv!$CG$5:$CG$45),M247+1,M247))</f>
        <v>6</v>
      </c>
      <c r="N248" s="495">
        <f ca="1">SUMIF(NameConv!$C$5:$C$45,RIGHT(C248,3),OFFSET(NameConv!$CG$5,0,O248,NameConv!$A$45,1))</f>
        <v>3</v>
      </c>
      <c r="O248" s="495">
        <f ca="1">IF(O247&gt;=SUMIF(NameConv!$C$5:$C$45,RIGHT(C247,3),NameConv!$CG$5:$CG$45),1,O247+1)</f>
        <v>3</v>
      </c>
    </row>
    <row r="249" spans="1:15">
      <c r="A249" s="422" t="str">
        <f t="shared" ca="1" si="18"/>
        <v/>
      </c>
      <c r="B249" s="515" t="str">
        <f t="shared" si="17"/>
        <v>TOP-OUT</v>
      </c>
      <c r="C249" s="518" t="str">
        <f ca="1">"X"&amp;OFFSET(NameConv!$F$4,0,L249)&amp;OFFSET(NameConv!$F$59,M249,L249)</f>
        <v>XPWRCLE</v>
      </c>
      <c r="D249" s="515" t="str">
        <f ca="1">OFFSET(NameConv!$F$4,0,L249)&amp;OFFSET(NameConv!$AX$4,0,N249)</f>
        <v>PWRSOXS</v>
      </c>
      <c r="E249" s="740" t="s">
        <v>334</v>
      </c>
      <c r="F249" s="740" t="s">
        <v>334</v>
      </c>
      <c r="G249" s="740" t="s">
        <v>334</v>
      </c>
      <c r="H249" s="740" t="s">
        <v>334</v>
      </c>
      <c r="I249" s="516">
        <f t="shared" si="19"/>
        <v>1</v>
      </c>
      <c r="J249" s="516"/>
      <c r="K249" s="516"/>
      <c r="L249" s="495">
        <f ca="1">IF(AND(O248&gt;=SUMIF(NameConv!$C$5:$C$45,RIGHT(C248,3),NameConv!$CG$5:$CG$45),M248=SUMIF(NameConv!$G$4:$M$4,MID(C248,2,3),NameConv!$G$45:$M$45)),L248+1,L248)</f>
        <v>6</v>
      </c>
      <c r="M249" s="495">
        <f ca="1">IF(L249&lt;&gt;L248,1,IF(O248&gt;=SUMIF(NameConv!$C$5:$C$45,RIGHT(C248,3),NameConv!$CG$5:$CG$45),M248+1,M248))</f>
        <v>6</v>
      </c>
      <c r="N249" s="495">
        <f ca="1">SUMIF(NameConv!$C$5:$C$45,RIGHT(C249,3),OFFSET(NameConv!$CG$5,0,O249,NameConv!$A$45,1))</f>
        <v>4</v>
      </c>
      <c r="O249" s="495">
        <f ca="1">IF(O248&gt;=SUMIF(NameConv!$C$5:$C$45,RIGHT(C248,3),NameConv!$CG$5:$CG$45),1,O248+1)</f>
        <v>4</v>
      </c>
    </row>
    <row r="250" spans="1:15">
      <c r="A250" s="422" t="str">
        <f t="shared" ca="1" si="18"/>
        <v/>
      </c>
      <c r="B250" s="515" t="str">
        <f t="shared" si="17"/>
        <v>TOP-OUT</v>
      </c>
      <c r="C250" s="518" t="str">
        <f ca="1">"X"&amp;OFFSET(NameConv!$F$4,0,L250)&amp;OFFSET(NameConv!$F$59,M250,L250)</f>
        <v>XPWRCLE</v>
      </c>
      <c r="D250" s="515" t="str">
        <f ca="1">OFFSET(NameConv!$F$4,0,L250)&amp;OFFSET(NameConv!$AX$4,0,N250)</f>
        <v>PWRNOXS</v>
      </c>
      <c r="E250" s="740" t="s">
        <v>334</v>
      </c>
      <c r="F250" s="740" t="s">
        <v>334</v>
      </c>
      <c r="G250" s="740" t="s">
        <v>334</v>
      </c>
      <c r="H250" s="740" t="s">
        <v>334</v>
      </c>
      <c r="I250" s="516">
        <f t="shared" si="19"/>
        <v>1</v>
      </c>
      <c r="J250" s="516"/>
      <c r="K250" s="516"/>
      <c r="L250" s="495">
        <f ca="1">IF(AND(O249&gt;=SUMIF(NameConv!$C$5:$C$45,RIGHT(C249,3),NameConv!$CG$5:$CG$45),M249=SUMIF(NameConv!$G$4:$M$4,MID(C249,2,3),NameConv!$G$45:$M$45)),L249+1,L249)</f>
        <v>6</v>
      </c>
      <c r="M250" s="495">
        <f ca="1">IF(L250&lt;&gt;L249,1,IF(O249&gt;=SUMIF(NameConv!$C$5:$C$45,RIGHT(C249,3),NameConv!$CG$5:$CG$45),M249+1,M249))</f>
        <v>6</v>
      </c>
      <c r="N250" s="495">
        <f ca="1">SUMIF(NameConv!$C$5:$C$45,RIGHT(C250,3),OFFSET(NameConv!$CG$5,0,O250,NameConv!$A$45,1))</f>
        <v>5</v>
      </c>
      <c r="O250" s="495">
        <f ca="1">IF(O249&gt;=SUMIF(NameConv!$C$5:$C$45,RIGHT(C249,3),NameConv!$CG$5:$CG$45),1,O249+1)</f>
        <v>5</v>
      </c>
    </row>
    <row r="251" spans="1:15">
      <c r="A251" s="422" t="str">
        <f t="shared" ca="1" si="18"/>
        <v/>
      </c>
      <c r="B251" s="515" t="str">
        <f t="shared" si="17"/>
        <v>TOP-OUT</v>
      </c>
      <c r="C251" s="518" t="str">
        <f ca="1">"X"&amp;OFFSET(NameConv!$F$4,0,L251)&amp;OFFSET(NameConv!$F$59,M251,L251)</f>
        <v>XPWRCLE</v>
      </c>
      <c r="D251" s="515" t="str">
        <f ca="1">OFFSET(NameConv!$F$4,0,L251)&amp;OFFSET(NameConv!$AX$4,0,N251)</f>
        <v>PWRCMOX</v>
      </c>
      <c r="E251" s="740" t="s">
        <v>334</v>
      </c>
      <c r="F251" s="740" t="s">
        <v>334</v>
      </c>
      <c r="G251" s="740" t="s">
        <v>334</v>
      </c>
      <c r="H251" s="740" t="s">
        <v>334</v>
      </c>
      <c r="I251" s="516">
        <f t="shared" si="19"/>
        <v>1</v>
      </c>
      <c r="J251" s="516"/>
      <c r="K251" s="516"/>
      <c r="L251" s="495">
        <f ca="1">IF(AND(O250&gt;=SUMIF(NameConv!$C$5:$C$45,RIGHT(C250,3),NameConv!$CG$5:$CG$45),M250=SUMIF(NameConv!$G$4:$M$4,MID(C250,2,3),NameConv!$G$45:$M$45)),L250+1,L250)</f>
        <v>6</v>
      </c>
      <c r="M251" s="495">
        <f ca="1">IF(L251&lt;&gt;L250,1,IF(O250&gt;=SUMIF(NameConv!$C$5:$C$45,RIGHT(C250,3),NameConv!$CG$5:$CG$45),M250+1,M250))</f>
        <v>6</v>
      </c>
      <c r="N251" s="495">
        <f ca="1">SUMIF(NameConv!$C$5:$C$45,RIGHT(C251,3),OFFSET(NameConv!$CG$5,0,O251,NameConv!$A$45,1))</f>
        <v>6</v>
      </c>
      <c r="O251" s="495">
        <f ca="1">IF(O250&gt;=SUMIF(NameConv!$C$5:$C$45,RIGHT(C250,3),NameConv!$CG$5:$CG$45),1,O250+1)</f>
        <v>6</v>
      </c>
    </row>
    <row r="252" spans="1:15">
      <c r="A252" s="422" t="str">
        <f t="shared" ca="1" si="18"/>
        <v/>
      </c>
      <c r="B252" s="515" t="str">
        <f t="shared" si="17"/>
        <v>TOP-OUT</v>
      </c>
      <c r="C252" s="518" t="str">
        <f ca="1">"X"&amp;OFFSET(NameConv!$F$4,0,L252)&amp;OFFSET(NameConv!$F$59,M252,L252)</f>
        <v>XPWRCLE</v>
      </c>
      <c r="D252" s="515" t="str">
        <f ca="1">OFFSET(NameConv!$F$4,0,L252)&amp;OFFSET(NameConv!$AX$4,0,N252)</f>
        <v>PWRNMVS</v>
      </c>
      <c r="E252" s="740" t="s">
        <v>334</v>
      </c>
      <c r="F252" s="740" t="s">
        <v>334</v>
      </c>
      <c r="G252" s="740" t="s">
        <v>334</v>
      </c>
      <c r="H252" s="740" t="s">
        <v>334</v>
      </c>
      <c r="I252" s="516">
        <f t="shared" si="19"/>
        <v>1</v>
      </c>
      <c r="J252" s="516"/>
      <c r="K252" s="516"/>
      <c r="L252" s="495">
        <f ca="1">IF(AND(O251&gt;=SUMIF(NameConv!$C$5:$C$45,RIGHT(C251,3),NameConv!$CG$5:$CG$45),M251=SUMIF(NameConv!$G$4:$M$4,MID(C251,2,3),NameConv!$G$45:$M$45)),L251+1,L251)</f>
        <v>6</v>
      </c>
      <c r="M252" s="495">
        <f ca="1">IF(L252&lt;&gt;L251,1,IF(O251&gt;=SUMIF(NameConv!$C$5:$C$45,RIGHT(C251,3),NameConv!$CG$5:$CG$45),M251+1,M251))</f>
        <v>6</v>
      </c>
      <c r="N252" s="495">
        <f ca="1">SUMIF(NameConv!$C$5:$C$45,RIGHT(C252,3),OFFSET(NameConv!$CG$5,0,O252,NameConv!$A$45,1))</f>
        <v>7</v>
      </c>
      <c r="O252" s="495">
        <f ca="1">IF(O251&gt;=SUMIF(NameConv!$C$5:$C$45,RIGHT(C251,3),NameConv!$CG$5:$CG$45),1,O251+1)</f>
        <v>7</v>
      </c>
    </row>
    <row r="253" spans="1:15">
      <c r="A253" s="422" t="str">
        <f t="shared" ca="1" si="18"/>
        <v/>
      </c>
      <c r="B253" s="515" t="str">
        <f t="shared" si="17"/>
        <v>TOP-OUT</v>
      </c>
      <c r="C253" s="518" t="str">
        <f ca="1">"X"&amp;OFFSET(NameConv!$F$4,0,L253)&amp;OFFSET(NameConv!$F$59,M253,L253)</f>
        <v>XPWRCRB</v>
      </c>
      <c r="D253" s="515" t="str">
        <f ca="1">OFFSET(NameConv!$F$4,0,L253)&amp;OFFSET(NameConv!$AX$4,0,N253)</f>
        <v>PWRCO2R</v>
      </c>
      <c r="E253" s="740" t="s">
        <v>334</v>
      </c>
      <c r="F253" s="740" t="s">
        <v>334</v>
      </c>
      <c r="G253" s="740" t="s">
        <v>334</v>
      </c>
      <c r="H253" s="740" t="s">
        <v>334</v>
      </c>
      <c r="I253" s="516">
        <f t="shared" si="19"/>
        <v>1</v>
      </c>
      <c r="J253" s="516"/>
      <c r="K253" s="516"/>
      <c r="L253" s="495">
        <f ca="1">IF(AND(O252&gt;=SUMIF(NameConv!$C$5:$C$45,RIGHT(C252,3),NameConv!$CG$5:$CG$45),M252=SUMIF(NameConv!$G$4:$M$4,MID(C252,2,3),NameConv!$G$45:$M$45)),L252+1,L252)</f>
        <v>6</v>
      </c>
      <c r="M253" s="495">
        <f ca="1">IF(L253&lt;&gt;L252,1,IF(O252&gt;=SUMIF(NameConv!$C$5:$C$45,RIGHT(C252,3),NameConv!$CG$5:$CG$45),M252+1,M252))</f>
        <v>7</v>
      </c>
      <c r="N253" s="495">
        <f ca="1">SUMIF(NameConv!$C$5:$C$45,RIGHT(C253,3),OFFSET(NameConv!$CG$5,0,O253,NameConv!$A$45,1))</f>
        <v>9</v>
      </c>
      <c r="O253" s="495">
        <f ca="1">IF(O252&gt;=SUMIF(NameConv!$C$5:$C$45,RIGHT(C252,3),NameConv!$CG$5:$CG$45),1,O252+1)</f>
        <v>1</v>
      </c>
    </row>
    <row r="254" spans="1:15">
      <c r="A254" s="422" t="str">
        <f t="shared" ca="1" si="18"/>
        <v/>
      </c>
      <c r="B254" s="515" t="str">
        <f t="shared" si="17"/>
        <v>TOP-OUT</v>
      </c>
      <c r="C254" s="518" t="str">
        <f ca="1">"X"&amp;OFFSET(NameConv!$F$4,0,L254)&amp;OFFSET(NameConv!$F$59,M254,L254)</f>
        <v>XPWRCRB</v>
      </c>
      <c r="D254" s="515" t="str">
        <f ca="1">OFFSET(NameConv!$F$4,0,L254)&amp;OFFSET(NameConv!$AX$4,0,N254)</f>
        <v>PWRCH4R</v>
      </c>
      <c r="E254" s="740" t="s">
        <v>334</v>
      </c>
      <c r="F254" s="740" t="s">
        <v>334</v>
      </c>
      <c r="G254" s="740" t="s">
        <v>334</v>
      </c>
      <c r="H254" s="740" t="s">
        <v>334</v>
      </c>
      <c r="I254" s="516">
        <f t="shared" si="19"/>
        <v>1</v>
      </c>
      <c r="J254" s="516"/>
      <c r="K254" s="516"/>
      <c r="L254" s="495">
        <f ca="1">IF(AND(O253&gt;=SUMIF(NameConv!$C$5:$C$45,RIGHT(C253,3),NameConv!$CG$5:$CG$45),M253=SUMIF(NameConv!$G$4:$M$4,MID(C253,2,3),NameConv!$G$45:$M$45)),L253+1,L253)</f>
        <v>6</v>
      </c>
      <c r="M254" s="495">
        <f ca="1">IF(L254&lt;&gt;L253,1,IF(O253&gt;=SUMIF(NameConv!$C$5:$C$45,RIGHT(C253,3),NameConv!$CG$5:$CG$45),M253+1,M253))</f>
        <v>7</v>
      </c>
      <c r="N254" s="495">
        <f ca="1">SUMIF(NameConv!$C$5:$C$45,RIGHT(C254,3),OFFSET(NameConv!$CG$5,0,O254,NameConv!$A$45,1))</f>
        <v>10</v>
      </c>
      <c r="O254" s="495">
        <f ca="1">IF(O253&gt;=SUMIF(NameConv!$C$5:$C$45,RIGHT(C253,3),NameConv!$CG$5:$CG$45),1,O253+1)</f>
        <v>2</v>
      </c>
    </row>
    <row r="255" spans="1:15">
      <c r="A255" s="422" t="str">
        <f t="shared" ca="1" si="18"/>
        <v/>
      </c>
      <c r="B255" s="515" t="str">
        <f t="shared" si="17"/>
        <v>TOP-OUT</v>
      </c>
      <c r="C255" s="518" t="str">
        <f ca="1">"X"&amp;OFFSET(NameConv!$F$4,0,L255)&amp;OFFSET(NameConv!$F$59,M255,L255)</f>
        <v>XPWRCRB</v>
      </c>
      <c r="D255" s="515" t="str">
        <f ca="1">OFFSET(NameConv!$F$4,0,L255)&amp;OFFSET(NameConv!$AX$4,0,N255)</f>
        <v>PWRN2OR</v>
      </c>
      <c r="E255" s="740" t="s">
        <v>334</v>
      </c>
      <c r="F255" s="740" t="s">
        <v>334</v>
      </c>
      <c r="G255" s="740" t="s">
        <v>334</v>
      </c>
      <c r="H255" s="740" t="s">
        <v>334</v>
      </c>
      <c r="I255" s="516">
        <f t="shared" si="19"/>
        <v>1</v>
      </c>
      <c r="J255" s="516"/>
      <c r="K255" s="516"/>
      <c r="L255" s="495">
        <f ca="1">IF(AND(O254&gt;=SUMIF(NameConv!$C$5:$C$45,RIGHT(C254,3),NameConv!$CG$5:$CG$45),M254=SUMIF(NameConv!$G$4:$M$4,MID(C254,2,3),NameConv!$G$45:$M$45)),L254+1,L254)</f>
        <v>6</v>
      </c>
      <c r="M255" s="495">
        <f ca="1">IF(L255&lt;&gt;L254,1,IF(O254&gt;=SUMIF(NameConv!$C$5:$C$45,RIGHT(C254,3),NameConv!$CG$5:$CG$45),M254+1,M254))</f>
        <v>7</v>
      </c>
      <c r="N255" s="495">
        <f ca="1">SUMIF(NameConv!$C$5:$C$45,RIGHT(C255,3),OFFSET(NameConv!$CG$5,0,O255,NameConv!$A$45,1))</f>
        <v>11</v>
      </c>
      <c r="O255" s="495">
        <f ca="1">IF(O254&gt;=SUMIF(NameConv!$C$5:$C$45,RIGHT(C254,3),NameConv!$CG$5:$CG$45),1,O254+1)</f>
        <v>3</v>
      </c>
    </row>
    <row r="256" spans="1:15">
      <c r="A256" s="422" t="str">
        <f t="shared" ca="1" si="18"/>
        <v/>
      </c>
      <c r="B256" s="515" t="str">
        <f t="shared" si="17"/>
        <v>TOP-OUT</v>
      </c>
      <c r="C256" s="518" t="str">
        <f ca="1">"X"&amp;OFFSET(NameConv!$F$4,0,L256)&amp;OFFSET(NameConv!$F$59,M256,L256)</f>
        <v>XPWRCRB</v>
      </c>
      <c r="D256" s="515" t="str">
        <f ca="1">OFFSET(NameConv!$F$4,0,L256)&amp;OFFSET(NameConv!$AX$4,0,N256)</f>
        <v>PWRSOXR</v>
      </c>
      <c r="E256" s="740" t="s">
        <v>334</v>
      </c>
      <c r="F256" s="740" t="s">
        <v>334</v>
      </c>
      <c r="G256" s="740" t="s">
        <v>334</v>
      </c>
      <c r="H256" s="740" t="s">
        <v>334</v>
      </c>
      <c r="I256" s="516">
        <f t="shared" si="19"/>
        <v>1</v>
      </c>
      <c r="J256" s="516"/>
      <c r="K256" s="516"/>
      <c r="L256" s="495">
        <f ca="1">IF(AND(O255&gt;=SUMIF(NameConv!$C$5:$C$45,RIGHT(C255,3),NameConv!$CG$5:$CG$45),M255=SUMIF(NameConv!$G$4:$M$4,MID(C255,2,3),NameConv!$G$45:$M$45)),L255+1,L255)</f>
        <v>6</v>
      </c>
      <c r="M256" s="495">
        <f ca="1">IF(L256&lt;&gt;L255,1,IF(O255&gt;=SUMIF(NameConv!$C$5:$C$45,RIGHT(C255,3),NameConv!$CG$5:$CG$45),M255+1,M255))</f>
        <v>7</v>
      </c>
      <c r="N256" s="495">
        <f ca="1">SUMIF(NameConv!$C$5:$C$45,RIGHT(C256,3),OFFSET(NameConv!$CG$5,0,O256,NameConv!$A$45,1))</f>
        <v>12</v>
      </c>
      <c r="O256" s="495">
        <f ca="1">IF(O255&gt;=SUMIF(NameConv!$C$5:$C$45,RIGHT(C255,3),NameConv!$CG$5:$CG$45),1,O255+1)</f>
        <v>4</v>
      </c>
    </row>
    <row r="257" spans="1:15">
      <c r="A257" s="422" t="str">
        <f t="shared" ca="1" si="18"/>
        <v/>
      </c>
      <c r="B257" s="515" t="str">
        <f t="shared" si="17"/>
        <v>TOP-OUT</v>
      </c>
      <c r="C257" s="518" t="str">
        <f ca="1">"X"&amp;OFFSET(NameConv!$F$4,0,L257)&amp;OFFSET(NameConv!$F$59,M257,L257)</f>
        <v>XPWRCRB</v>
      </c>
      <c r="D257" s="515" t="str">
        <f ca="1">OFFSET(NameConv!$F$4,0,L257)&amp;OFFSET(NameConv!$AX$4,0,N257)</f>
        <v>PWRNOXR</v>
      </c>
      <c r="E257" s="740" t="s">
        <v>334</v>
      </c>
      <c r="F257" s="740" t="s">
        <v>334</v>
      </c>
      <c r="G257" s="740" t="s">
        <v>334</v>
      </c>
      <c r="H257" s="740" t="s">
        <v>334</v>
      </c>
      <c r="I257" s="516">
        <f t="shared" si="19"/>
        <v>1</v>
      </c>
      <c r="J257" s="516"/>
      <c r="K257" s="516"/>
      <c r="L257" s="495">
        <f ca="1">IF(AND(O256&gt;=SUMIF(NameConv!$C$5:$C$45,RIGHT(C256,3),NameConv!$CG$5:$CG$45),M256=SUMIF(NameConv!$G$4:$M$4,MID(C256,2,3),NameConv!$G$45:$M$45)),L256+1,L256)</f>
        <v>6</v>
      </c>
      <c r="M257" s="495">
        <f ca="1">IF(L257&lt;&gt;L256,1,IF(O256&gt;=SUMIF(NameConv!$C$5:$C$45,RIGHT(C256,3),NameConv!$CG$5:$CG$45),M256+1,M256))</f>
        <v>7</v>
      </c>
      <c r="N257" s="495">
        <f ca="1">SUMIF(NameConv!$C$5:$C$45,RIGHT(C257,3),OFFSET(NameConv!$CG$5,0,O257,NameConv!$A$45,1))</f>
        <v>13</v>
      </c>
      <c r="O257" s="495">
        <f ca="1">IF(O256&gt;=SUMIF(NameConv!$C$5:$C$45,RIGHT(C256,3),NameConv!$CG$5:$CG$45),1,O256+1)</f>
        <v>5</v>
      </c>
    </row>
    <row r="258" spans="1:15">
      <c r="A258" s="422" t="str">
        <f t="shared" ca="1" si="18"/>
        <v/>
      </c>
      <c r="B258" s="515" t="str">
        <f t="shared" si="17"/>
        <v>TOP-OUT</v>
      </c>
      <c r="C258" s="518" t="str">
        <f ca="1">"X"&amp;OFFSET(NameConv!$F$4,0,L258)&amp;OFFSET(NameConv!$F$59,M258,L258)</f>
        <v>XPWRCRB</v>
      </c>
      <c r="D258" s="515" t="str">
        <f ca="1">OFFSET(NameConv!$F$4,0,L258)&amp;OFFSET(NameConv!$AX$4,0,N258)</f>
        <v>PWRCMOR</v>
      </c>
      <c r="E258" s="740" t="s">
        <v>334</v>
      </c>
      <c r="F258" s="740" t="s">
        <v>334</v>
      </c>
      <c r="G258" s="740" t="s">
        <v>334</v>
      </c>
      <c r="H258" s="740" t="s">
        <v>334</v>
      </c>
      <c r="I258" s="516">
        <f t="shared" si="19"/>
        <v>1</v>
      </c>
      <c r="J258" s="516"/>
      <c r="K258" s="516"/>
      <c r="L258" s="495">
        <f ca="1">IF(AND(O257&gt;=SUMIF(NameConv!$C$5:$C$45,RIGHT(C257,3),NameConv!$CG$5:$CG$45),M257=SUMIF(NameConv!$G$4:$M$4,MID(C257,2,3),NameConv!$G$45:$M$45)),L257+1,L257)</f>
        <v>6</v>
      </c>
      <c r="M258" s="495">
        <f ca="1">IF(L258&lt;&gt;L257,1,IF(O257&gt;=SUMIF(NameConv!$C$5:$C$45,RIGHT(C257,3),NameConv!$CG$5:$CG$45),M257+1,M257))</f>
        <v>7</v>
      </c>
      <c r="N258" s="495">
        <f ca="1">SUMIF(NameConv!$C$5:$C$45,RIGHT(C258,3),OFFSET(NameConv!$CG$5,0,O258,NameConv!$A$45,1))</f>
        <v>14</v>
      </c>
      <c r="O258" s="495">
        <f ca="1">IF(O257&gt;=SUMIF(NameConv!$C$5:$C$45,RIGHT(C257,3),NameConv!$CG$5:$CG$45),1,O257+1)</f>
        <v>6</v>
      </c>
    </row>
    <row r="259" spans="1:15">
      <c r="A259" s="422" t="str">
        <f t="shared" ca="1" si="18"/>
        <v/>
      </c>
      <c r="B259" s="515" t="str">
        <f t="shared" si="17"/>
        <v>TOP-OUT</v>
      </c>
      <c r="C259" s="518" t="str">
        <f ca="1">"X"&amp;OFFSET(NameConv!$F$4,0,L259)&amp;OFFSET(NameConv!$F$59,M259,L259)</f>
        <v>XPWRCRB</v>
      </c>
      <c r="D259" s="515" t="str">
        <f ca="1">OFFSET(NameConv!$F$4,0,L259)&amp;OFFSET(NameConv!$AX$4,0,N259)</f>
        <v>PWRNMVR</v>
      </c>
      <c r="E259" s="740" t="s">
        <v>334</v>
      </c>
      <c r="F259" s="740" t="s">
        <v>334</v>
      </c>
      <c r="G259" s="740" t="s">
        <v>334</v>
      </c>
      <c r="H259" s="740" t="s">
        <v>334</v>
      </c>
      <c r="I259" s="516">
        <f t="shared" si="19"/>
        <v>1</v>
      </c>
      <c r="J259" s="516"/>
      <c r="K259" s="516"/>
      <c r="L259" s="495">
        <f ca="1">IF(AND(O258&gt;=SUMIF(NameConv!$C$5:$C$45,RIGHT(C258,3),NameConv!$CG$5:$CG$45),M258=SUMIF(NameConv!$G$4:$M$4,MID(C258,2,3),NameConv!$G$45:$M$45)),L258+1,L258)</f>
        <v>6</v>
      </c>
      <c r="M259" s="495">
        <f ca="1">IF(L259&lt;&gt;L258,1,IF(O258&gt;=SUMIF(NameConv!$C$5:$C$45,RIGHT(C258,3),NameConv!$CG$5:$CG$45),M258+1,M258))</f>
        <v>7</v>
      </c>
      <c r="N259" s="495">
        <f ca="1">SUMIF(NameConv!$C$5:$C$45,RIGHT(C259,3),OFFSET(NameConv!$CG$5,0,O259,NameConv!$A$45,1))</f>
        <v>15</v>
      </c>
      <c r="O259" s="495">
        <f ca="1">IF(O258&gt;=SUMIF(NameConv!$C$5:$C$45,RIGHT(C258,3),NameConv!$CG$5:$CG$45),1,O258+1)</f>
        <v>7</v>
      </c>
    </row>
    <row r="260" spans="1:15">
      <c r="A260" s="422" t="str">
        <f t="shared" ca="1" si="18"/>
        <v/>
      </c>
      <c r="B260" s="515" t="str">
        <f t="shared" si="17"/>
        <v>TOP-OUT</v>
      </c>
      <c r="C260" s="518" t="str">
        <f ca="1">"X"&amp;OFFSET(NameConv!$F$4,0,L260)&amp;OFFSET(NameConv!$F$59,M260,L260)</f>
        <v>XPWRGAS</v>
      </c>
      <c r="D260" s="515" t="str">
        <f ca="1">OFFSET(NameConv!$F$4,0,L260)&amp;OFFSET(NameConv!$AX$4,0,N260)</f>
        <v>PWRCO2S</v>
      </c>
      <c r="E260" s="740" t="s">
        <v>334</v>
      </c>
      <c r="F260" s="740" t="s">
        <v>334</v>
      </c>
      <c r="G260" s="740" t="s">
        <v>334</v>
      </c>
      <c r="H260" s="740" t="s">
        <v>334</v>
      </c>
      <c r="I260" s="516">
        <f t="shared" si="19"/>
        <v>1</v>
      </c>
      <c r="J260" s="516"/>
      <c r="K260" s="516"/>
      <c r="L260" s="495">
        <f ca="1">IF(AND(O259&gt;=SUMIF(NameConv!$C$5:$C$45,RIGHT(C259,3),NameConv!$CG$5:$CG$45),M259=SUMIF(NameConv!$G$4:$M$4,MID(C259,2,3),NameConv!$G$45:$M$45)),L259+1,L259)</f>
        <v>6</v>
      </c>
      <c r="M260" s="495">
        <f ca="1">IF(L260&lt;&gt;L259,1,IF(O259&gt;=SUMIF(NameConv!$C$5:$C$45,RIGHT(C259,3),NameConv!$CG$5:$CG$45),M259+1,M259))</f>
        <v>8</v>
      </c>
      <c r="N260" s="495">
        <f ca="1">SUMIF(NameConv!$C$5:$C$45,RIGHT(C260,3),OFFSET(NameConv!$CG$5,0,O260,NameConv!$A$45,1))</f>
        <v>1</v>
      </c>
      <c r="O260" s="495">
        <f ca="1">IF(O259&gt;=SUMIF(NameConv!$C$5:$C$45,RIGHT(C259,3),NameConv!$CG$5:$CG$45),1,O259+1)</f>
        <v>1</v>
      </c>
    </row>
    <row r="261" spans="1:15">
      <c r="A261" s="422" t="str">
        <f t="shared" ca="1" si="18"/>
        <v/>
      </c>
      <c r="B261" s="515" t="str">
        <f t="shared" si="17"/>
        <v>TOP-OUT</v>
      </c>
      <c r="C261" s="518" t="str">
        <f ca="1">"X"&amp;OFFSET(NameConv!$F$4,0,L261)&amp;OFFSET(NameConv!$F$59,M261,L261)</f>
        <v>XPWRGAS</v>
      </c>
      <c r="D261" s="515" t="str">
        <f ca="1">OFFSET(NameConv!$F$4,0,L261)&amp;OFFSET(NameConv!$AX$4,0,N261)</f>
        <v>PWRCH4S</v>
      </c>
      <c r="E261" s="740" t="s">
        <v>334</v>
      </c>
      <c r="F261" s="740" t="s">
        <v>334</v>
      </c>
      <c r="G261" s="740" t="s">
        <v>334</v>
      </c>
      <c r="H261" s="740" t="s">
        <v>334</v>
      </c>
      <c r="I261" s="516">
        <f t="shared" si="19"/>
        <v>1</v>
      </c>
      <c r="J261" s="516"/>
      <c r="K261" s="516"/>
      <c r="L261" s="495">
        <f ca="1">IF(AND(O260&gt;=SUMIF(NameConv!$C$5:$C$45,RIGHT(C260,3),NameConv!$CG$5:$CG$45),M260=SUMIF(NameConv!$G$4:$M$4,MID(C260,2,3),NameConv!$G$45:$M$45)),L260+1,L260)</f>
        <v>6</v>
      </c>
      <c r="M261" s="495">
        <f ca="1">IF(L261&lt;&gt;L260,1,IF(O260&gt;=SUMIF(NameConv!$C$5:$C$45,RIGHT(C260,3),NameConv!$CG$5:$CG$45),M260+1,M260))</f>
        <v>8</v>
      </c>
      <c r="N261" s="495">
        <f ca="1">SUMIF(NameConv!$C$5:$C$45,RIGHT(C261,3),OFFSET(NameConv!$CG$5,0,O261,NameConv!$A$45,1))</f>
        <v>2</v>
      </c>
      <c r="O261" s="495">
        <f ca="1">IF(O260&gt;=SUMIF(NameConv!$C$5:$C$45,RIGHT(C260,3),NameConv!$CG$5:$CG$45),1,O260+1)</f>
        <v>2</v>
      </c>
    </row>
    <row r="262" spans="1:15">
      <c r="A262" s="422" t="str">
        <f t="shared" ca="1" si="18"/>
        <v/>
      </c>
      <c r="B262" s="515" t="str">
        <f t="shared" si="17"/>
        <v>TOP-OUT</v>
      </c>
      <c r="C262" s="518" t="str">
        <f ca="1">"X"&amp;OFFSET(NameConv!$F$4,0,L262)&amp;OFFSET(NameConv!$F$59,M262,L262)</f>
        <v>XPWRGAS</v>
      </c>
      <c r="D262" s="515" t="str">
        <f ca="1">OFFSET(NameConv!$F$4,0,L262)&amp;OFFSET(NameConv!$AX$4,0,N262)</f>
        <v>PWRN2OS</v>
      </c>
      <c r="E262" s="740" t="s">
        <v>334</v>
      </c>
      <c r="F262" s="740" t="s">
        <v>334</v>
      </c>
      <c r="G262" s="740" t="s">
        <v>334</v>
      </c>
      <c r="H262" s="740" t="s">
        <v>334</v>
      </c>
      <c r="I262" s="516">
        <f t="shared" si="19"/>
        <v>1</v>
      </c>
      <c r="J262" s="516"/>
      <c r="K262" s="516"/>
      <c r="L262" s="495">
        <f ca="1">IF(AND(O261&gt;=SUMIF(NameConv!$C$5:$C$45,RIGHT(C261,3),NameConv!$CG$5:$CG$45),M261=SUMIF(NameConv!$G$4:$M$4,MID(C261,2,3),NameConv!$G$45:$M$45)),L261+1,L261)</f>
        <v>6</v>
      </c>
      <c r="M262" s="495">
        <f ca="1">IF(L262&lt;&gt;L261,1,IF(O261&gt;=SUMIF(NameConv!$C$5:$C$45,RIGHT(C261,3),NameConv!$CG$5:$CG$45),M261+1,M261))</f>
        <v>8</v>
      </c>
      <c r="N262" s="495">
        <f ca="1">SUMIF(NameConv!$C$5:$C$45,RIGHT(C262,3),OFFSET(NameConv!$CG$5,0,O262,NameConv!$A$45,1))</f>
        <v>3</v>
      </c>
      <c r="O262" s="495">
        <f ca="1">IF(O261&gt;=SUMIF(NameConv!$C$5:$C$45,RIGHT(C261,3),NameConv!$CG$5:$CG$45),1,O261+1)</f>
        <v>3</v>
      </c>
    </row>
    <row r="263" spans="1:15">
      <c r="A263" s="422" t="str">
        <f t="shared" ca="1" si="18"/>
        <v/>
      </c>
      <c r="B263" s="515" t="str">
        <f t="shared" si="17"/>
        <v>TOP-OUT</v>
      </c>
      <c r="C263" s="518" t="str">
        <f ca="1">"X"&amp;OFFSET(NameConv!$F$4,0,L263)&amp;OFFSET(NameConv!$F$59,M263,L263)</f>
        <v>XPWRGAS</v>
      </c>
      <c r="D263" s="515" t="str">
        <f ca="1">OFFSET(NameConv!$F$4,0,L263)&amp;OFFSET(NameConv!$AX$4,0,N263)</f>
        <v>PWRNOXS</v>
      </c>
      <c r="E263" s="740" t="s">
        <v>334</v>
      </c>
      <c r="F263" s="740" t="s">
        <v>334</v>
      </c>
      <c r="G263" s="740" t="s">
        <v>334</v>
      </c>
      <c r="H263" s="740" t="s">
        <v>334</v>
      </c>
      <c r="I263" s="516">
        <f t="shared" si="19"/>
        <v>1</v>
      </c>
      <c r="J263" s="516"/>
      <c r="K263" s="516"/>
      <c r="L263" s="495">
        <f ca="1">IF(AND(O262&gt;=SUMIF(NameConv!$C$5:$C$45,RIGHT(C262,3),NameConv!$CG$5:$CG$45),M262=SUMIF(NameConv!$G$4:$M$4,MID(C262,2,3),NameConv!$G$45:$M$45)),L262+1,L262)</f>
        <v>6</v>
      </c>
      <c r="M263" s="495">
        <f ca="1">IF(L263&lt;&gt;L262,1,IF(O262&gt;=SUMIF(NameConv!$C$5:$C$45,RIGHT(C262,3),NameConv!$CG$5:$CG$45),M262+1,M262))</f>
        <v>8</v>
      </c>
      <c r="N263" s="495">
        <f ca="1">SUMIF(NameConv!$C$5:$C$45,RIGHT(C263,3),OFFSET(NameConv!$CG$5,0,O263,NameConv!$A$45,1))</f>
        <v>5</v>
      </c>
      <c r="O263" s="495">
        <f ca="1">IF(O262&gt;=SUMIF(NameConv!$C$5:$C$45,RIGHT(C262,3),NameConv!$CG$5:$CG$45),1,O262+1)</f>
        <v>4</v>
      </c>
    </row>
    <row r="264" spans="1:15">
      <c r="A264" s="422" t="str">
        <f t="shared" ca="1" si="18"/>
        <v/>
      </c>
      <c r="B264" s="515" t="str">
        <f t="shared" si="17"/>
        <v>TOP-OUT</v>
      </c>
      <c r="C264" s="518" t="str">
        <f ca="1">"X"&amp;OFFSET(NameConv!$F$4,0,L264)&amp;OFFSET(NameConv!$F$59,M264,L264)</f>
        <v>XPWRGAS</v>
      </c>
      <c r="D264" s="515" t="str">
        <f ca="1">OFFSET(NameConv!$F$4,0,L264)&amp;OFFSET(NameConv!$AX$4,0,N264)</f>
        <v>PWRCMOX</v>
      </c>
      <c r="E264" s="740" t="s">
        <v>334</v>
      </c>
      <c r="F264" s="740" t="s">
        <v>334</v>
      </c>
      <c r="G264" s="740" t="s">
        <v>334</v>
      </c>
      <c r="H264" s="740" t="s">
        <v>334</v>
      </c>
      <c r="I264" s="516">
        <f t="shared" si="19"/>
        <v>1</v>
      </c>
      <c r="J264" s="516"/>
      <c r="K264" s="516"/>
      <c r="L264" s="495">
        <f ca="1">IF(AND(O263&gt;=SUMIF(NameConv!$C$5:$C$45,RIGHT(C263,3),NameConv!$CG$5:$CG$45),M263=SUMIF(NameConv!$G$4:$M$4,MID(C263,2,3),NameConv!$G$45:$M$45)),L263+1,L263)</f>
        <v>6</v>
      </c>
      <c r="M264" s="495">
        <f ca="1">IF(L264&lt;&gt;L263,1,IF(O263&gt;=SUMIF(NameConv!$C$5:$C$45,RIGHT(C263,3),NameConv!$CG$5:$CG$45),M263+1,M263))</f>
        <v>8</v>
      </c>
      <c r="N264" s="495">
        <f ca="1">SUMIF(NameConv!$C$5:$C$45,RIGHT(C264,3),OFFSET(NameConv!$CG$5,0,O264,NameConv!$A$45,1))</f>
        <v>6</v>
      </c>
      <c r="O264" s="495">
        <f ca="1">IF(O263&gt;=SUMIF(NameConv!$C$5:$C$45,RIGHT(C263,3),NameConv!$CG$5:$CG$45),1,O263+1)</f>
        <v>5</v>
      </c>
    </row>
    <row r="265" spans="1:15">
      <c r="A265" s="422" t="str">
        <f t="shared" ca="1" si="18"/>
        <v/>
      </c>
      <c r="B265" s="515" t="str">
        <f t="shared" si="17"/>
        <v>TOP-OUT</v>
      </c>
      <c r="C265" s="518" t="str">
        <f ca="1">"X"&amp;OFFSET(NameConv!$F$4,0,L265)&amp;OFFSET(NameConv!$F$59,M265,L265)</f>
        <v>XPWRGAS</v>
      </c>
      <c r="D265" s="515" t="str">
        <f ca="1">OFFSET(NameConv!$F$4,0,L265)&amp;OFFSET(NameConv!$AX$4,0,N265)</f>
        <v>PWRNMVS</v>
      </c>
      <c r="E265" s="740" t="s">
        <v>334</v>
      </c>
      <c r="F265" s="740" t="s">
        <v>334</v>
      </c>
      <c r="G265" s="740" t="s">
        <v>334</v>
      </c>
      <c r="H265" s="740" t="s">
        <v>334</v>
      </c>
      <c r="I265" s="516">
        <f t="shared" si="19"/>
        <v>1</v>
      </c>
      <c r="J265" s="516"/>
      <c r="K265" s="516"/>
      <c r="L265" s="495">
        <f ca="1">IF(AND(O264&gt;=SUMIF(NameConv!$C$5:$C$45,RIGHT(C264,3),NameConv!$CG$5:$CG$45),M264=SUMIF(NameConv!$G$4:$M$4,MID(C264,2,3),NameConv!$G$45:$M$45)),L264+1,L264)</f>
        <v>6</v>
      </c>
      <c r="M265" s="495">
        <f ca="1">IF(L265&lt;&gt;L264,1,IF(O264&gt;=SUMIF(NameConv!$C$5:$C$45,RIGHT(C264,3),NameConv!$CG$5:$CG$45),M264+1,M264))</f>
        <v>8</v>
      </c>
      <c r="N265" s="495">
        <f ca="1">SUMIF(NameConv!$C$5:$C$45,RIGHT(C265,3),OFFSET(NameConv!$CG$5,0,O265,NameConv!$A$45,1))</f>
        <v>7</v>
      </c>
      <c r="O265" s="495">
        <f ca="1">IF(O264&gt;=SUMIF(NameConv!$C$5:$C$45,RIGHT(C264,3),NameConv!$CG$5:$CG$45),1,O264+1)</f>
        <v>6</v>
      </c>
    </row>
    <row r="266" spans="1:15">
      <c r="A266" s="422" t="str">
        <f t="shared" ca="1" si="18"/>
        <v/>
      </c>
      <c r="B266" s="515" t="str">
        <f t="shared" si="17"/>
        <v>TOP-OUT</v>
      </c>
      <c r="C266" s="518" t="str">
        <f ca="1">"X"&amp;OFFSET(NameConv!$F$4,0,L266)&amp;OFFSET(NameConv!$F$59,M266,L266)</f>
        <v>XPWRGRS</v>
      </c>
      <c r="D266" s="515" t="str">
        <f ca="1">OFFSET(NameConv!$F$4,0,L266)&amp;OFFSET(NameConv!$AX$4,0,N266)</f>
        <v>PWRCO2R</v>
      </c>
      <c r="E266" s="740" t="s">
        <v>334</v>
      </c>
      <c r="F266" s="740" t="s">
        <v>334</v>
      </c>
      <c r="G266" s="740" t="s">
        <v>334</v>
      </c>
      <c r="H266" s="740" t="s">
        <v>334</v>
      </c>
      <c r="I266" s="516">
        <f t="shared" si="19"/>
        <v>1</v>
      </c>
      <c r="J266" s="516"/>
      <c r="K266" s="516"/>
      <c r="L266" s="495">
        <f ca="1">IF(AND(O265&gt;=SUMIF(NameConv!$C$5:$C$45,RIGHT(C265,3),NameConv!$CG$5:$CG$45),M265=SUMIF(NameConv!$G$4:$M$4,MID(C265,2,3),NameConv!$G$45:$M$45)),L265+1,L265)</f>
        <v>6</v>
      </c>
      <c r="M266" s="495">
        <f ca="1">IF(L266&lt;&gt;L265,1,IF(O265&gt;=SUMIF(NameConv!$C$5:$C$45,RIGHT(C265,3),NameConv!$CG$5:$CG$45),M265+1,M265))</f>
        <v>9</v>
      </c>
      <c r="N266" s="495">
        <f ca="1">SUMIF(NameConv!$C$5:$C$45,RIGHT(C266,3),OFFSET(NameConv!$CG$5,0,O266,NameConv!$A$45,1))</f>
        <v>9</v>
      </c>
      <c r="O266" s="495">
        <f ca="1">IF(O265&gt;=SUMIF(NameConv!$C$5:$C$45,RIGHT(C265,3),NameConv!$CG$5:$CG$45),1,O265+1)</f>
        <v>1</v>
      </c>
    </row>
    <row r="267" spans="1:15">
      <c r="A267" s="422" t="str">
        <f t="shared" ca="1" si="18"/>
        <v/>
      </c>
      <c r="B267" s="515" t="str">
        <f t="shared" si="17"/>
        <v>TOP-OUT</v>
      </c>
      <c r="C267" s="518" t="str">
        <f ca="1">"X"&amp;OFFSET(NameConv!$F$4,0,L267)&amp;OFFSET(NameConv!$F$59,M267,L267)</f>
        <v>XPWRGRS</v>
      </c>
      <c r="D267" s="515" t="str">
        <f ca="1">OFFSET(NameConv!$F$4,0,L267)&amp;OFFSET(NameConv!$AX$4,0,N267)</f>
        <v>PWRCH4R</v>
      </c>
      <c r="E267" s="740" t="s">
        <v>334</v>
      </c>
      <c r="F267" s="740" t="s">
        <v>334</v>
      </c>
      <c r="G267" s="740" t="s">
        <v>334</v>
      </c>
      <c r="H267" s="740" t="s">
        <v>334</v>
      </c>
      <c r="I267" s="516">
        <f t="shared" si="19"/>
        <v>1</v>
      </c>
      <c r="J267" s="516"/>
      <c r="K267" s="516"/>
      <c r="L267" s="495">
        <f ca="1">IF(AND(O266&gt;=SUMIF(NameConv!$C$5:$C$45,RIGHT(C266,3),NameConv!$CG$5:$CG$45),M266=SUMIF(NameConv!$G$4:$M$4,MID(C266,2,3),NameConv!$G$45:$M$45)),L266+1,L266)</f>
        <v>6</v>
      </c>
      <c r="M267" s="495">
        <f ca="1">IF(L267&lt;&gt;L266,1,IF(O266&gt;=SUMIF(NameConv!$C$5:$C$45,RIGHT(C266,3),NameConv!$CG$5:$CG$45),M266+1,M266))</f>
        <v>9</v>
      </c>
      <c r="N267" s="495">
        <f ca="1">SUMIF(NameConv!$C$5:$C$45,RIGHT(C267,3),OFFSET(NameConv!$CG$5,0,O267,NameConv!$A$45,1))</f>
        <v>10</v>
      </c>
      <c r="O267" s="495">
        <f ca="1">IF(O266&gt;=SUMIF(NameConv!$C$5:$C$45,RIGHT(C266,3),NameConv!$CG$5:$CG$45),1,O266+1)</f>
        <v>2</v>
      </c>
    </row>
    <row r="268" spans="1:15">
      <c r="A268" s="422" t="str">
        <f t="shared" ca="1" si="18"/>
        <v/>
      </c>
      <c r="B268" s="515" t="str">
        <f t="shared" si="17"/>
        <v>TOP-OUT</v>
      </c>
      <c r="C268" s="518" t="str">
        <f ca="1">"X"&amp;OFFSET(NameConv!$F$4,0,L268)&amp;OFFSET(NameConv!$F$59,M268,L268)</f>
        <v>XPWRGRS</v>
      </c>
      <c r="D268" s="515" t="str">
        <f ca="1">OFFSET(NameConv!$F$4,0,L268)&amp;OFFSET(NameConv!$AX$4,0,N268)</f>
        <v>PWRN2OR</v>
      </c>
      <c r="E268" s="740" t="s">
        <v>334</v>
      </c>
      <c r="F268" s="740" t="s">
        <v>334</v>
      </c>
      <c r="G268" s="740" t="s">
        <v>334</v>
      </c>
      <c r="H268" s="740" t="s">
        <v>334</v>
      </c>
      <c r="I268" s="516">
        <f t="shared" si="19"/>
        <v>1</v>
      </c>
      <c r="J268" s="516"/>
      <c r="K268" s="516"/>
      <c r="L268" s="495">
        <f ca="1">IF(AND(O267&gt;=SUMIF(NameConv!$C$5:$C$45,RIGHT(C267,3),NameConv!$CG$5:$CG$45),M267=SUMIF(NameConv!$G$4:$M$4,MID(C267,2,3),NameConv!$G$45:$M$45)),L267+1,L267)</f>
        <v>6</v>
      </c>
      <c r="M268" s="495">
        <f ca="1">IF(L268&lt;&gt;L267,1,IF(O267&gt;=SUMIF(NameConv!$C$5:$C$45,RIGHT(C267,3),NameConv!$CG$5:$CG$45),M267+1,M267))</f>
        <v>9</v>
      </c>
      <c r="N268" s="495">
        <f ca="1">SUMIF(NameConv!$C$5:$C$45,RIGHT(C268,3),OFFSET(NameConv!$CG$5,0,O268,NameConv!$A$45,1))</f>
        <v>11</v>
      </c>
      <c r="O268" s="495">
        <f ca="1">IF(O267&gt;=SUMIF(NameConv!$C$5:$C$45,RIGHT(C267,3),NameConv!$CG$5:$CG$45),1,O267+1)</f>
        <v>3</v>
      </c>
    </row>
    <row r="269" spans="1:15">
      <c r="A269" s="422" t="str">
        <f t="shared" ca="1" si="18"/>
        <v/>
      </c>
      <c r="B269" s="515" t="str">
        <f t="shared" si="17"/>
        <v>TOP-OUT</v>
      </c>
      <c r="C269" s="518" t="str">
        <f ca="1">"X"&amp;OFFSET(NameConv!$F$4,0,L269)&amp;OFFSET(NameConv!$F$59,M269,L269)</f>
        <v>XPWRGRS</v>
      </c>
      <c r="D269" s="515" t="str">
        <f ca="1">OFFSET(NameConv!$F$4,0,L269)&amp;OFFSET(NameConv!$AX$4,0,N269)</f>
        <v>PWRNOXR</v>
      </c>
      <c r="E269" s="740" t="s">
        <v>334</v>
      </c>
      <c r="F269" s="740" t="s">
        <v>334</v>
      </c>
      <c r="G269" s="740" t="s">
        <v>334</v>
      </c>
      <c r="H269" s="740" t="s">
        <v>334</v>
      </c>
      <c r="I269" s="516">
        <f t="shared" si="19"/>
        <v>1</v>
      </c>
      <c r="J269" s="516"/>
      <c r="K269" s="516"/>
      <c r="L269" s="495">
        <f ca="1">IF(AND(O268&gt;=SUMIF(NameConv!$C$5:$C$45,RIGHT(C268,3),NameConv!$CG$5:$CG$45),M268=SUMIF(NameConv!$G$4:$M$4,MID(C268,2,3),NameConv!$G$45:$M$45)),L268+1,L268)</f>
        <v>6</v>
      </c>
      <c r="M269" s="495">
        <f ca="1">IF(L269&lt;&gt;L268,1,IF(O268&gt;=SUMIF(NameConv!$C$5:$C$45,RIGHT(C268,3),NameConv!$CG$5:$CG$45),M268+1,M268))</f>
        <v>9</v>
      </c>
      <c r="N269" s="495">
        <f ca="1">SUMIF(NameConv!$C$5:$C$45,RIGHT(C269,3),OFFSET(NameConv!$CG$5,0,O269,NameConv!$A$45,1))</f>
        <v>13</v>
      </c>
      <c r="O269" s="495">
        <f ca="1">IF(O268&gt;=SUMIF(NameConv!$C$5:$C$45,RIGHT(C268,3),NameConv!$CG$5:$CG$45),1,O268+1)</f>
        <v>4</v>
      </c>
    </row>
    <row r="270" spans="1:15">
      <c r="A270" s="422" t="str">
        <f t="shared" ca="1" si="18"/>
        <v/>
      </c>
      <c r="B270" s="515" t="str">
        <f t="shared" si="17"/>
        <v>TOP-OUT</v>
      </c>
      <c r="C270" s="518" t="str">
        <f ca="1">"X"&amp;OFFSET(NameConv!$F$4,0,L270)&amp;OFFSET(NameConv!$F$59,M270,L270)</f>
        <v>XPWRGRS</v>
      </c>
      <c r="D270" s="515" t="str">
        <f ca="1">OFFSET(NameConv!$F$4,0,L270)&amp;OFFSET(NameConv!$AX$4,0,N270)</f>
        <v>PWRCMOR</v>
      </c>
      <c r="E270" s="740" t="s">
        <v>334</v>
      </c>
      <c r="F270" s="740" t="s">
        <v>334</v>
      </c>
      <c r="G270" s="740" t="s">
        <v>334</v>
      </c>
      <c r="H270" s="740" t="s">
        <v>334</v>
      </c>
      <c r="I270" s="516">
        <f t="shared" si="19"/>
        <v>1</v>
      </c>
      <c r="J270" s="516"/>
      <c r="K270" s="516"/>
      <c r="L270" s="495">
        <f ca="1">IF(AND(O269&gt;=SUMIF(NameConv!$C$5:$C$45,RIGHT(C269,3),NameConv!$CG$5:$CG$45),M269=SUMIF(NameConv!$G$4:$M$4,MID(C269,2,3),NameConv!$G$45:$M$45)),L269+1,L269)</f>
        <v>6</v>
      </c>
      <c r="M270" s="495">
        <f ca="1">IF(L270&lt;&gt;L269,1,IF(O269&gt;=SUMIF(NameConv!$C$5:$C$45,RIGHT(C269,3),NameConv!$CG$5:$CG$45),M269+1,M269))</f>
        <v>9</v>
      </c>
      <c r="N270" s="495">
        <f ca="1">SUMIF(NameConv!$C$5:$C$45,RIGHT(C270,3),OFFSET(NameConv!$CG$5,0,O270,NameConv!$A$45,1))</f>
        <v>14</v>
      </c>
      <c r="O270" s="495">
        <f ca="1">IF(O269&gt;=SUMIF(NameConv!$C$5:$C$45,RIGHT(C269,3),NameConv!$CG$5:$CG$45),1,O269+1)</f>
        <v>5</v>
      </c>
    </row>
    <row r="271" spans="1:15">
      <c r="A271" s="422" t="str">
        <f t="shared" ca="1" si="18"/>
        <v/>
      </c>
      <c r="B271" s="515" t="str">
        <f t="shared" ref="B271:B293" si="20">$B$10</f>
        <v>TOP-OUT</v>
      </c>
      <c r="C271" s="518" t="str">
        <f ca="1">"X"&amp;OFFSET(NameConv!$F$4,0,L271)&amp;OFFSET(NameConv!$F$59,M271,L271)</f>
        <v>XPWRGRS</v>
      </c>
      <c r="D271" s="515" t="str">
        <f ca="1">OFFSET(NameConv!$F$4,0,L271)&amp;OFFSET(NameConv!$AX$4,0,N271)</f>
        <v>PWRNMVR</v>
      </c>
      <c r="E271" s="740" t="s">
        <v>334</v>
      </c>
      <c r="F271" s="740" t="s">
        <v>334</v>
      </c>
      <c r="G271" s="740" t="s">
        <v>334</v>
      </c>
      <c r="H271" s="740" t="s">
        <v>334</v>
      </c>
      <c r="I271" s="516">
        <f t="shared" si="19"/>
        <v>1</v>
      </c>
      <c r="J271" s="516"/>
      <c r="K271" s="516"/>
      <c r="L271" s="495">
        <f ca="1">IF(AND(O270&gt;=SUMIF(NameConv!$C$5:$C$45,RIGHT(C270,3),NameConv!$CG$5:$CG$45),M270=SUMIF(NameConv!$G$4:$M$4,MID(C270,2,3),NameConv!$G$45:$M$45)),L270+1,L270)</f>
        <v>6</v>
      </c>
      <c r="M271" s="495">
        <f ca="1">IF(L271&lt;&gt;L270,1,IF(O270&gt;=SUMIF(NameConv!$C$5:$C$45,RIGHT(C270,3),NameConv!$CG$5:$CG$45),M270+1,M270))</f>
        <v>9</v>
      </c>
      <c r="N271" s="495">
        <f ca="1">SUMIF(NameConv!$C$5:$C$45,RIGHT(C271,3),OFFSET(NameConv!$CG$5,0,O271,NameConv!$A$45,1))</f>
        <v>15</v>
      </c>
      <c r="O271" s="495">
        <f ca="1">IF(O270&gt;=SUMIF(NameConv!$C$5:$C$45,RIGHT(C270,3),NameConv!$CG$5:$CG$45),1,O270+1)</f>
        <v>6</v>
      </c>
    </row>
    <row r="272" spans="1:15">
      <c r="A272" s="422" t="str">
        <f t="shared" ca="1" si="18"/>
        <v/>
      </c>
      <c r="B272" s="515" t="str">
        <f t="shared" si="20"/>
        <v>TOP-OUT</v>
      </c>
      <c r="C272" s="518" t="str">
        <f ca="1">"X"&amp;OFFSET(NameConv!$F$4,0,L272)&amp;OFFSET(NameConv!$F$59,M272,L272)</f>
        <v>XPWRGRN</v>
      </c>
      <c r="D272" s="515" t="str">
        <f ca="1">OFFSET(NameConv!$F$4,0,L272)&amp;OFFSET(NameConv!$AX$4,0,N272)</f>
        <v>PWRCO2R</v>
      </c>
      <c r="E272" s="740" t="s">
        <v>334</v>
      </c>
      <c r="F272" s="740" t="s">
        <v>334</v>
      </c>
      <c r="G272" s="740" t="s">
        <v>334</v>
      </c>
      <c r="H272" s="740" t="s">
        <v>334</v>
      </c>
      <c r="I272" s="516">
        <f t="shared" si="19"/>
        <v>1</v>
      </c>
      <c r="J272" s="516"/>
      <c r="K272" s="516"/>
      <c r="L272" s="495">
        <f ca="1">IF(AND(O271&gt;=SUMIF(NameConv!$C$5:$C$45,RIGHT(C271,3),NameConv!$CG$5:$CG$45),M271=SUMIF(NameConv!$G$4:$M$4,MID(C271,2,3),NameConv!$G$45:$M$45)),L271+1,L271)</f>
        <v>6</v>
      </c>
      <c r="M272" s="495">
        <f ca="1">IF(L272&lt;&gt;L271,1,IF(O271&gt;=SUMIF(NameConv!$C$5:$C$45,RIGHT(C271,3),NameConv!$CG$5:$CG$45),M271+1,M271))</f>
        <v>10</v>
      </c>
      <c r="N272" s="495">
        <f ca="1">SUMIF(NameConv!$C$5:$C$45,RIGHT(C272,3),OFFSET(NameConv!$CG$5,0,O272,NameConv!$A$45,1))</f>
        <v>9</v>
      </c>
      <c r="O272" s="495">
        <f ca="1">IF(O271&gt;=SUMIF(NameConv!$C$5:$C$45,RIGHT(C271,3),NameConv!$CG$5:$CG$45),1,O271+1)</f>
        <v>1</v>
      </c>
    </row>
    <row r="273" spans="1:15">
      <c r="A273" s="422" t="str">
        <f t="shared" ca="1" si="18"/>
        <v/>
      </c>
      <c r="B273" s="515" t="str">
        <f t="shared" si="20"/>
        <v>TOP-OUT</v>
      </c>
      <c r="C273" s="518" t="str">
        <f ca="1">"X"&amp;OFFSET(NameConv!$F$4,0,L273)&amp;OFFSET(NameConv!$F$59,M273,L273)</f>
        <v>XPWRGRN</v>
      </c>
      <c r="D273" s="515" t="str">
        <f ca="1">OFFSET(NameConv!$F$4,0,L273)&amp;OFFSET(NameConv!$AX$4,0,N273)</f>
        <v>PWRCH4R</v>
      </c>
      <c r="E273" s="740" t="s">
        <v>334</v>
      </c>
      <c r="F273" s="740" t="s">
        <v>334</v>
      </c>
      <c r="G273" s="740" t="s">
        <v>334</v>
      </c>
      <c r="H273" s="740" t="s">
        <v>334</v>
      </c>
      <c r="I273" s="516">
        <f t="shared" si="19"/>
        <v>1</v>
      </c>
      <c r="J273" s="516"/>
      <c r="K273" s="516"/>
      <c r="L273" s="495">
        <f ca="1">IF(AND(O272&gt;=SUMIF(NameConv!$C$5:$C$45,RIGHT(C272,3),NameConv!$CG$5:$CG$45),M272=SUMIF(NameConv!$G$4:$M$4,MID(C272,2,3),NameConv!$G$45:$M$45)),L272+1,L272)</f>
        <v>6</v>
      </c>
      <c r="M273" s="495">
        <f ca="1">IF(L273&lt;&gt;L272,1,IF(O272&gt;=SUMIF(NameConv!$C$5:$C$45,RIGHT(C272,3),NameConv!$CG$5:$CG$45),M272+1,M272))</f>
        <v>10</v>
      </c>
      <c r="N273" s="495">
        <f ca="1">SUMIF(NameConv!$C$5:$C$45,RIGHT(C273,3),OFFSET(NameConv!$CG$5,0,O273,NameConv!$A$45,1))</f>
        <v>10</v>
      </c>
      <c r="O273" s="495">
        <f ca="1">IF(O272&gt;=SUMIF(NameConv!$C$5:$C$45,RIGHT(C272,3),NameConv!$CG$5:$CG$45),1,O272+1)</f>
        <v>2</v>
      </c>
    </row>
    <row r="274" spans="1:15">
      <c r="A274" s="422" t="str">
        <f t="shared" ca="1" si="18"/>
        <v/>
      </c>
      <c r="B274" s="515" t="str">
        <f t="shared" si="20"/>
        <v>TOP-OUT</v>
      </c>
      <c r="C274" s="518" t="str">
        <f ca="1">"X"&amp;OFFSET(NameConv!$F$4,0,L274)&amp;OFFSET(NameConv!$F$59,M274,L274)</f>
        <v>XPWRGRN</v>
      </c>
      <c r="D274" s="515" t="str">
        <f ca="1">OFFSET(NameConv!$F$4,0,L274)&amp;OFFSET(NameConv!$AX$4,0,N274)</f>
        <v>PWRN2OR</v>
      </c>
      <c r="E274" s="740" t="s">
        <v>334</v>
      </c>
      <c r="F274" s="740" t="s">
        <v>334</v>
      </c>
      <c r="G274" s="740" t="s">
        <v>334</v>
      </c>
      <c r="H274" s="740" t="s">
        <v>334</v>
      </c>
      <c r="I274" s="516">
        <f t="shared" si="19"/>
        <v>1</v>
      </c>
      <c r="J274" s="516"/>
      <c r="K274" s="516"/>
      <c r="L274" s="495">
        <f ca="1">IF(AND(O273&gt;=SUMIF(NameConv!$C$5:$C$45,RIGHT(C273,3),NameConv!$CG$5:$CG$45),M273=SUMIF(NameConv!$G$4:$M$4,MID(C273,2,3),NameConv!$G$45:$M$45)),L273+1,L273)</f>
        <v>6</v>
      </c>
      <c r="M274" s="495">
        <f ca="1">IF(L274&lt;&gt;L273,1,IF(O273&gt;=SUMIF(NameConv!$C$5:$C$45,RIGHT(C273,3),NameConv!$CG$5:$CG$45),M273+1,M273))</f>
        <v>10</v>
      </c>
      <c r="N274" s="495">
        <f ca="1">SUMIF(NameConv!$C$5:$C$45,RIGHT(C274,3),OFFSET(NameConv!$CG$5,0,O274,NameConv!$A$45,1))</f>
        <v>11</v>
      </c>
      <c r="O274" s="495">
        <f ca="1">IF(O273&gt;=SUMIF(NameConv!$C$5:$C$45,RIGHT(C273,3),NameConv!$CG$5:$CG$45),1,O273+1)</f>
        <v>3</v>
      </c>
    </row>
    <row r="275" spans="1:15">
      <c r="A275" s="422" t="str">
        <f t="shared" ca="1" si="18"/>
        <v/>
      </c>
      <c r="B275" s="515" t="str">
        <f t="shared" si="20"/>
        <v>TOP-OUT</v>
      </c>
      <c r="C275" s="518" t="str">
        <f ca="1">"X"&amp;OFFSET(NameConv!$F$4,0,L275)&amp;OFFSET(NameConv!$F$59,M275,L275)</f>
        <v>XPWRGRN</v>
      </c>
      <c r="D275" s="515" t="str">
        <f ca="1">OFFSET(NameConv!$F$4,0,L275)&amp;OFFSET(NameConv!$AX$4,0,N275)</f>
        <v>PWRNOXR</v>
      </c>
      <c r="E275" s="740" t="s">
        <v>334</v>
      </c>
      <c r="F275" s="740" t="s">
        <v>334</v>
      </c>
      <c r="G275" s="740" t="s">
        <v>334</v>
      </c>
      <c r="H275" s="740" t="s">
        <v>334</v>
      </c>
      <c r="I275" s="516">
        <f t="shared" si="19"/>
        <v>1</v>
      </c>
      <c r="J275" s="516"/>
      <c r="K275" s="516"/>
      <c r="L275" s="495">
        <f ca="1">IF(AND(O274&gt;=SUMIF(NameConv!$C$5:$C$45,RIGHT(C274,3),NameConv!$CG$5:$CG$45),M274=SUMIF(NameConv!$G$4:$M$4,MID(C274,2,3),NameConv!$G$45:$M$45)),L274+1,L274)</f>
        <v>6</v>
      </c>
      <c r="M275" s="495">
        <f ca="1">IF(L275&lt;&gt;L274,1,IF(O274&gt;=SUMIF(NameConv!$C$5:$C$45,RIGHT(C274,3),NameConv!$CG$5:$CG$45),M274+1,M274))</f>
        <v>10</v>
      </c>
      <c r="N275" s="495">
        <f ca="1">SUMIF(NameConv!$C$5:$C$45,RIGHT(C275,3),OFFSET(NameConv!$CG$5,0,O275,NameConv!$A$45,1))</f>
        <v>13</v>
      </c>
      <c r="O275" s="495">
        <f ca="1">IF(O274&gt;=SUMIF(NameConv!$C$5:$C$45,RIGHT(C274,3),NameConv!$CG$5:$CG$45),1,O274+1)</f>
        <v>4</v>
      </c>
    </row>
    <row r="276" spans="1:15">
      <c r="A276" s="422" t="str">
        <f t="shared" ca="1" si="18"/>
        <v/>
      </c>
      <c r="B276" s="515" t="str">
        <f t="shared" si="20"/>
        <v>TOP-OUT</v>
      </c>
      <c r="C276" s="518" t="str">
        <f ca="1">"X"&amp;OFFSET(NameConv!$F$4,0,L276)&amp;OFFSET(NameConv!$F$59,M276,L276)</f>
        <v>XPWRGRN</v>
      </c>
      <c r="D276" s="515" t="str">
        <f ca="1">OFFSET(NameConv!$F$4,0,L276)&amp;OFFSET(NameConv!$AX$4,0,N276)</f>
        <v>PWRCMOR</v>
      </c>
      <c r="E276" s="740" t="s">
        <v>334</v>
      </c>
      <c r="F276" s="740" t="s">
        <v>334</v>
      </c>
      <c r="G276" s="740" t="s">
        <v>334</v>
      </c>
      <c r="H276" s="740" t="s">
        <v>334</v>
      </c>
      <c r="I276" s="516">
        <f t="shared" si="19"/>
        <v>1</v>
      </c>
      <c r="J276" s="516"/>
      <c r="K276" s="516"/>
      <c r="L276" s="495">
        <f ca="1">IF(AND(O275&gt;=SUMIF(NameConv!$C$5:$C$45,RIGHT(C275,3),NameConv!$CG$5:$CG$45),M275=SUMIF(NameConv!$G$4:$M$4,MID(C275,2,3),NameConv!$G$45:$M$45)),L275+1,L275)</f>
        <v>6</v>
      </c>
      <c r="M276" s="495">
        <f ca="1">IF(L276&lt;&gt;L275,1,IF(O275&gt;=SUMIF(NameConv!$C$5:$C$45,RIGHT(C275,3),NameConv!$CG$5:$CG$45),M275+1,M275))</f>
        <v>10</v>
      </c>
      <c r="N276" s="495">
        <f ca="1">SUMIF(NameConv!$C$5:$C$45,RIGHT(C276,3),OFFSET(NameConv!$CG$5,0,O276,NameConv!$A$45,1))</f>
        <v>14</v>
      </c>
      <c r="O276" s="495">
        <f ca="1">IF(O275&gt;=SUMIF(NameConv!$C$5:$C$45,RIGHT(C275,3),NameConv!$CG$5:$CG$45),1,O275+1)</f>
        <v>5</v>
      </c>
    </row>
    <row r="277" spans="1:15">
      <c r="A277" s="422" t="str">
        <f t="shared" ca="1" si="18"/>
        <v/>
      </c>
      <c r="B277" s="515" t="str">
        <f t="shared" si="20"/>
        <v>TOP-OUT</v>
      </c>
      <c r="C277" s="518" t="str">
        <f ca="1">"X"&amp;OFFSET(NameConv!$F$4,0,L277)&amp;OFFSET(NameConv!$F$59,M277,L277)</f>
        <v>XPWRGRN</v>
      </c>
      <c r="D277" s="515" t="str">
        <f ca="1">OFFSET(NameConv!$F$4,0,L277)&amp;OFFSET(NameConv!$AX$4,0,N277)</f>
        <v>PWRNMVR</v>
      </c>
      <c r="E277" s="740" t="s">
        <v>334</v>
      </c>
      <c r="F277" s="740" t="s">
        <v>334</v>
      </c>
      <c r="G277" s="740" t="s">
        <v>334</v>
      </c>
      <c r="H277" s="740" t="s">
        <v>334</v>
      </c>
      <c r="I277" s="516">
        <f t="shared" si="19"/>
        <v>1</v>
      </c>
      <c r="J277" s="516"/>
      <c r="K277" s="516"/>
      <c r="L277" s="495">
        <f ca="1">IF(AND(O276&gt;=SUMIF(NameConv!$C$5:$C$45,RIGHT(C276,3),NameConv!$CG$5:$CG$45),M276=SUMIF(NameConv!$G$4:$M$4,MID(C276,2,3),NameConv!$G$45:$M$45)),L276+1,L276)</f>
        <v>6</v>
      </c>
      <c r="M277" s="495">
        <f ca="1">IF(L277&lt;&gt;L276,1,IF(O276&gt;=SUMIF(NameConv!$C$5:$C$45,RIGHT(C276,3),NameConv!$CG$5:$CG$45),M276+1,M276))</f>
        <v>10</v>
      </c>
      <c r="N277" s="495">
        <f ca="1">SUMIF(NameConv!$C$5:$C$45,RIGHT(C277,3),OFFSET(NameConv!$CG$5,0,O277,NameConv!$A$45,1))</f>
        <v>15</v>
      </c>
      <c r="O277" s="495">
        <f ca="1">IF(O276&gt;=SUMIF(NameConv!$C$5:$C$45,RIGHT(C276,3),NameConv!$CG$5:$CG$45),1,O276+1)</f>
        <v>6</v>
      </c>
    </row>
    <row r="278" spans="1:15">
      <c r="A278" s="422" t="str">
        <f t="shared" ca="1" si="18"/>
        <v/>
      </c>
      <c r="B278" s="515" t="str">
        <f t="shared" si="20"/>
        <v>TOP-OUT</v>
      </c>
      <c r="C278" s="518" t="str">
        <f ca="1">"X"&amp;OFFSET(NameConv!$F$4,0,L278)&amp;OFFSET(NameConv!$F$59,M278,L278)</f>
        <v>XPWRGRM</v>
      </c>
      <c r="D278" s="515" t="str">
        <f ca="1">OFFSET(NameConv!$F$4,0,L278)&amp;OFFSET(NameConv!$AX$4,0,N278)</f>
        <v>PWRCO2R</v>
      </c>
      <c r="E278" s="740" t="s">
        <v>334</v>
      </c>
      <c r="F278" s="740" t="s">
        <v>334</v>
      </c>
      <c r="G278" s="740" t="s">
        <v>334</v>
      </c>
      <c r="H278" s="740" t="s">
        <v>334</v>
      </c>
      <c r="I278" s="516">
        <f t="shared" si="19"/>
        <v>1</v>
      </c>
      <c r="J278" s="516"/>
      <c r="K278" s="516"/>
      <c r="L278" s="495">
        <f ca="1">IF(AND(O277&gt;=SUMIF(NameConv!$C$5:$C$45,RIGHT(C277,3),NameConv!$CG$5:$CG$45),M277=SUMIF(NameConv!$G$4:$M$4,MID(C277,2,3),NameConv!$G$45:$M$45)),L277+1,L277)</f>
        <v>6</v>
      </c>
      <c r="M278" s="495">
        <f ca="1">IF(L278&lt;&gt;L277,1,IF(O277&gt;=SUMIF(NameConv!$C$5:$C$45,RIGHT(C277,3),NameConv!$CG$5:$CG$45),M277+1,M277))</f>
        <v>11</v>
      </c>
      <c r="N278" s="495">
        <f ca="1">SUMIF(NameConv!$C$5:$C$45,RIGHT(C278,3),OFFSET(NameConv!$CG$5,0,O278,NameConv!$A$45,1))</f>
        <v>9</v>
      </c>
      <c r="O278" s="495">
        <f ca="1">IF(O277&gt;=SUMIF(NameConv!$C$5:$C$45,RIGHT(C277,3),NameConv!$CG$5:$CG$45),1,O277+1)</f>
        <v>1</v>
      </c>
    </row>
    <row r="279" spans="1:15">
      <c r="A279" s="422" t="str">
        <f t="shared" ca="1" si="18"/>
        <v/>
      </c>
      <c r="B279" s="515" t="str">
        <f t="shared" si="20"/>
        <v>TOP-OUT</v>
      </c>
      <c r="C279" s="518" t="str">
        <f ca="1">"X"&amp;OFFSET(NameConv!$F$4,0,L279)&amp;OFFSET(NameConv!$F$59,M279,L279)</f>
        <v>XPWRGRM</v>
      </c>
      <c r="D279" s="515" t="str">
        <f ca="1">OFFSET(NameConv!$F$4,0,L279)&amp;OFFSET(NameConv!$AX$4,0,N279)</f>
        <v>PWRCH4R</v>
      </c>
      <c r="E279" s="740" t="s">
        <v>334</v>
      </c>
      <c r="F279" s="740" t="s">
        <v>334</v>
      </c>
      <c r="G279" s="740" t="s">
        <v>334</v>
      </c>
      <c r="H279" s="740" t="s">
        <v>334</v>
      </c>
      <c r="I279" s="516">
        <f t="shared" si="19"/>
        <v>1</v>
      </c>
      <c r="J279" s="516"/>
      <c r="K279" s="516"/>
      <c r="L279" s="495">
        <f ca="1">IF(AND(O278&gt;=SUMIF(NameConv!$C$5:$C$45,RIGHT(C278,3),NameConv!$CG$5:$CG$45),M278=SUMIF(NameConv!$G$4:$M$4,MID(C278,2,3),NameConv!$G$45:$M$45)),L278+1,L278)</f>
        <v>6</v>
      </c>
      <c r="M279" s="495">
        <f ca="1">IF(L279&lt;&gt;L278,1,IF(O278&gt;=SUMIF(NameConv!$C$5:$C$45,RIGHT(C278,3),NameConv!$CG$5:$CG$45),M278+1,M278))</f>
        <v>11</v>
      </c>
      <c r="N279" s="495">
        <f ca="1">SUMIF(NameConv!$C$5:$C$45,RIGHT(C279,3),OFFSET(NameConv!$CG$5,0,O279,NameConv!$A$45,1))</f>
        <v>10</v>
      </c>
      <c r="O279" s="495">
        <f ca="1">IF(O278&gt;=SUMIF(NameConv!$C$5:$C$45,RIGHT(C278,3),NameConv!$CG$5:$CG$45),1,O278+1)</f>
        <v>2</v>
      </c>
    </row>
    <row r="280" spans="1:15">
      <c r="A280" s="422" t="str">
        <f t="shared" ca="1" si="18"/>
        <v/>
      </c>
      <c r="B280" s="515" t="str">
        <f t="shared" si="20"/>
        <v>TOP-OUT</v>
      </c>
      <c r="C280" s="518" t="str">
        <f ca="1">"X"&amp;OFFSET(NameConv!$F$4,0,L280)&amp;OFFSET(NameConv!$F$59,M280,L280)</f>
        <v>XPWRGRM</v>
      </c>
      <c r="D280" s="515" t="str">
        <f ca="1">OFFSET(NameConv!$F$4,0,L280)&amp;OFFSET(NameConv!$AX$4,0,N280)</f>
        <v>PWRN2OR</v>
      </c>
      <c r="E280" s="740" t="s">
        <v>334</v>
      </c>
      <c r="F280" s="740" t="s">
        <v>334</v>
      </c>
      <c r="G280" s="740" t="s">
        <v>334</v>
      </c>
      <c r="H280" s="740" t="s">
        <v>334</v>
      </c>
      <c r="I280" s="516">
        <f t="shared" si="19"/>
        <v>1</v>
      </c>
      <c r="J280" s="516"/>
      <c r="K280" s="516"/>
      <c r="L280" s="495">
        <f ca="1">IF(AND(O279&gt;=SUMIF(NameConv!$C$5:$C$45,RIGHT(C279,3),NameConv!$CG$5:$CG$45),M279=SUMIF(NameConv!$G$4:$M$4,MID(C279,2,3),NameConv!$G$45:$M$45)),L279+1,L279)</f>
        <v>6</v>
      </c>
      <c r="M280" s="495">
        <f ca="1">IF(L280&lt;&gt;L279,1,IF(O279&gt;=SUMIF(NameConv!$C$5:$C$45,RIGHT(C279,3),NameConv!$CG$5:$CG$45),M279+1,M279))</f>
        <v>11</v>
      </c>
      <c r="N280" s="495">
        <f ca="1">SUMIF(NameConv!$C$5:$C$45,RIGHT(C280,3),OFFSET(NameConv!$CG$5,0,O280,NameConv!$A$45,1))</f>
        <v>11</v>
      </c>
      <c r="O280" s="495">
        <f ca="1">IF(O279&gt;=SUMIF(NameConv!$C$5:$C$45,RIGHT(C279,3),NameConv!$CG$5:$CG$45),1,O279+1)</f>
        <v>3</v>
      </c>
    </row>
    <row r="281" spans="1:15">
      <c r="A281" s="422" t="str">
        <f t="shared" ca="1" si="18"/>
        <v/>
      </c>
      <c r="B281" s="515" t="str">
        <f t="shared" si="20"/>
        <v>TOP-OUT</v>
      </c>
      <c r="C281" s="518" t="str">
        <f ca="1">"X"&amp;OFFSET(NameConv!$F$4,0,L281)&amp;OFFSET(NameConv!$F$59,M281,L281)</f>
        <v>XPWRGRM</v>
      </c>
      <c r="D281" s="515" t="str">
        <f ca="1">OFFSET(NameConv!$F$4,0,L281)&amp;OFFSET(NameConv!$AX$4,0,N281)</f>
        <v>PWRNOXR</v>
      </c>
      <c r="E281" s="740" t="s">
        <v>334</v>
      </c>
      <c r="F281" s="740" t="s">
        <v>334</v>
      </c>
      <c r="G281" s="740" t="s">
        <v>334</v>
      </c>
      <c r="H281" s="740" t="s">
        <v>334</v>
      </c>
      <c r="I281" s="516">
        <f t="shared" si="19"/>
        <v>1</v>
      </c>
      <c r="J281" s="516"/>
      <c r="K281" s="516"/>
      <c r="L281" s="495">
        <f ca="1">IF(AND(O280&gt;=SUMIF(NameConv!$C$5:$C$45,RIGHT(C280,3),NameConv!$CG$5:$CG$45),M280=SUMIF(NameConv!$G$4:$M$4,MID(C280,2,3),NameConv!$G$45:$M$45)),L280+1,L280)</f>
        <v>6</v>
      </c>
      <c r="M281" s="495">
        <f ca="1">IF(L281&lt;&gt;L280,1,IF(O280&gt;=SUMIF(NameConv!$C$5:$C$45,RIGHT(C280,3),NameConv!$CG$5:$CG$45),M280+1,M280))</f>
        <v>11</v>
      </c>
      <c r="N281" s="495">
        <f ca="1">SUMIF(NameConv!$C$5:$C$45,RIGHT(C281,3),OFFSET(NameConv!$CG$5,0,O281,NameConv!$A$45,1))</f>
        <v>13</v>
      </c>
      <c r="O281" s="495">
        <f ca="1">IF(O280&gt;=SUMIF(NameConv!$C$5:$C$45,RIGHT(C280,3),NameConv!$CG$5:$CG$45),1,O280+1)</f>
        <v>4</v>
      </c>
    </row>
    <row r="282" spans="1:15">
      <c r="A282" s="422" t="str">
        <f t="shared" ca="1" si="18"/>
        <v/>
      </c>
      <c r="B282" s="515" t="str">
        <f t="shared" si="20"/>
        <v>TOP-OUT</v>
      </c>
      <c r="C282" s="518" t="str">
        <f ca="1">"X"&amp;OFFSET(NameConv!$F$4,0,L282)&amp;OFFSET(NameConv!$F$59,M282,L282)</f>
        <v>XPWRGRM</v>
      </c>
      <c r="D282" s="515" t="str">
        <f ca="1">OFFSET(NameConv!$F$4,0,L282)&amp;OFFSET(NameConv!$AX$4,0,N282)</f>
        <v>PWRCMOR</v>
      </c>
      <c r="E282" s="740" t="s">
        <v>334</v>
      </c>
      <c r="F282" s="740" t="s">
        <v>334</v>
      </c>
      <c r="G282" s="740" t="s">
        <v>334</v>
      </c>
      <c r="H282" s="740" t="s">
        <v>334</v>
      </c>
      <c r="I282" s="516">
        <f t="shared" si="19"/>
        <v>1</v>
      </c>
      <c r="J282" s="516"/>
      <c r="K282" s="516"/>
      <c r="L282" s="495">
        <f ca="1">IF(AND(O281&gt;=SUMIF(NameConv!$C$5:$C$45,RIGHT(C281,3),NameConv!$CG$5:$CG$45),M281=SUMIF(NameConv!$G$4:$M$4,MID(C281,2,3),NameConv!$G$45:$M$45)),L281+1,L281)</f>
        <v>6</v>
      </c>
      <c r="M282" s="495">
        <f ca="1">IF(L282&lt;&gt;L281,1,IF(O281&gt;=SUMIF(NameConv!$C$5:$C$45,RIGHT(C281,3),NameConv!$CG$5:$CG$45),M281+1,M281))</f>
        <v>11</v>
      </c>
      <c r="N282" s="495">
        <f ca="1">SUMIF(NameConv!$C$5:$C$45,RIGHT(C282,3),OFFSET(NameConv!$CG$5,0,O282,NameConv!$A$45,1))</f>
        <v>14</v>
      </c>
      <c r="O282" s="495">
        <f ca="1">IF(O281&gt;=SUMIF(NameConv!$C$5:$C$45,RIGHT(C281,3),NameConv!$CG$5:$CG$45),1,O281+1)</f>
        <v>5</v>
      </c>
    </row>
    <row r="283" spans="1:15">
      <c r="A283" s="422" t="str">
        <f t="shared" ref="A283:A293" ca="1" si="21">IF(LEN(D283)=3,"*","")</f>
        <v/>
      </c>
      <c r="B283" s="515" t="str">
        <f t="shared" si="20"/>
        <v>TOP-OUT</v>
      </c>
      <c r="C283" s="518" t="str">
        <f ca="1">"X"&amp;OFFSET(NameConv!$F$4,0,L283)&amp;OFFSET(NameConv!$F$59,M283,L283)</f>
        <v>XPWRGRM</v>
      </c>
      <c r="D283" s="515" t="str">
        <f ca="1">OFFSET(NameConv!$F$4,0,L283)&amp;OFFSET(NameConv!$AX$4,0,N283)</f>
        <v>PWRNMVR</v>
      </c>
      <c r="E283" s="740" t="s">
        <v>334</v>
      </c>
      <c r="F283" s="740" t="s">
        <v>334</v>
      </c>
      <c r="G283" s="740" t="s">
        <v>334</v>
      </c>
      <c r="H283" s="740" t="s">
        <v>334</v>
      </c>
      <c r="I283" s="516">
        <f t="shared" ref="I283:I293" si="22">I282</f>
        <v>1</v>
      </c>
      <c r="J283" s="516"/>
      <c r="K283" s="516"/>
      <c r="L283" s="495">
        <f ca="1">IF(AND(O282&gt;=SUMIF(NameConv!$C$5:$C$45,RIGHT(C282,3),NameConv!$CG$5:$CG$45),M282=SUMIF(NameConv!$G$4:$M$4,MID(C282,2,3),NameConv!$G$45:$M$45)),L282+1,L282)</f>
        <v>6</v>
      </c>
      <c r="M283" s="495">
        <f ca="1">IF(L283&lt;&gt;L282,1,IF(O282&gt;=SUMIF(NameConv!$C$5:$C$45,RIGHT(C282,3),NameConv!$CG$5:$CG$45),M282+1,M282))</f>
        <v>11</v>
      </c>
      <c r="N283" s="495">
        <f ca="1">SUMIF(NameConv!$C$5:$C$45,RIGHT(C283,3),OFFSET(NameConv!$CG$5,0,O283,NameConv!$A$45,1))</f>
        <v>15</v>
      </c>
      <c r="O283" s="495">
        <f ca="1">IF(O282&gt;=SUMIF(NameConv!$C$5:$C$45,RIGHT(C282,3),NameConv!$CG$5:$CG$45),1,O282+1)</f>
        <v>6</v>
      </c>
    </row>
    <row r="284" spans="1:15">
      <c r="A284" s="422" t="str">
        <f t="shared" ca="1" si="21"/>
        <v/>
      </c>
      <c r="B284" s="515" t="str">
        <f t="shared" si="20"/>
        <v>TOP-OUT</v>
      </c>
      <c r="C284" s="518" t="str">
        <f ca="1">"X"&amp;OFFSET(NameConv!$F$4,0,L284)&amp;OFFSET(NameConv!$F$59,M284,L284)</f>
        <v>XPWRGIH</v>
      </c>
      <c r="D284" s="515" t="str">
        <f ca="1">OFFSET(NameConv!$F$4,0,L284)&amp;OFFSET(NameConv!$AX$4,0,N284)</f>
        <v>PWRCO2S</v>
      </c>
      <c r="E284" s="740" t="s">
        <v>334</v>
      </c>
      <c r="F284" s="740" t="s">
        <v>334</v>
      </c>
      <c r="G284" s="740" t="s">
        <v>334</v>
      </c>
      <c r="H284" s="740" t="s">
        <v>334</v>
      </c>
      <c r="I284" s="516">
        <f t="shared" si="22"/>
        <v>1</v>
      </c>
      <c r="J284" s="516"/>
      <c r="K284" s="516"/>
      <c r="L284" s="495">
        <f ca="1">IF(AND(O283&gt;=SUMIF(NameConv!$C$5:$C$45,RIGHT(C283,3),NameConv!$CG$5:$CG$45),M283=SUMIF(NameConv!$G$4:$M$4,MID(C283,2,3),NameConv!$G$45:$M$45)),L283+1,L283)</f>
        <v>6</v>
      </c>
      <c r="M284" s="495">
        <f ca="1">IF(L284&lt;&gt;L283,1,IF(O283&gt;=SUMIF(NameConv!$C$5:$C$45,RIGHT(C283,3),NameConv!$CG$5:$CG$45),M283+1,M283))</f>
        <v>12</v>
      </c>
      <c r="N284" s="495">
        <f ca="1">SUMIF(NameConv!$C$5:$C$45,RIGHT(C284,3),OFFSET(NameConv!$CG$5,0,O284,NameConv!$A$45,1))</f>
        <v>1</v>
      </c>
      <c r="O284" s="495">
        <f ca="1">IF(O283&gt;=SUMIF(NameConv!$C$5:$C$45,RIGHT(C283,3),NameConv!$CG$5:$CG$45),1,O283+1)</f>
        <v>1</v>
      </c>
    </row>
    <row r="285" spans="1:15">
      <c r="A285" s="422" t="str">
        <f t="shared" ca="1" si="21"/>
        <v/>
      </c>
      <c r="B285" s="515" t="str">
        <f t="shared" si="20"/>
        <v>TOP-OUT</v>
      </c>
      <c r="C285" s="518" t="str">
        <f ca="1">"X"&amp;OFFSET(NameConv!$F$4,0,L285)&amp;OFFSET(NameConv!$F$59,M285,L285)</f>
        <v>XPWRGIH</v>
      </c>
      <c r="D285" s="515" t="str">
        <f ca="1">OFFSET(NameConv!$F$4,0,L285)&amp;OFFSET(NameConv!$AX$4,0,N285)</f>
        <v>PWRCH4S</v>
      </c>
      <c r="E285" s="740" t="s">
        <v>334</v>
      </c>
      <c r="F285" s="740" t="s">
        <v>334</v>
      </c>
      <c r="G285" s="740" t="s">
        <v>334</v>
      </c>
      <c r="H285" s="740" t="s">
        <v>334</v>
      </c>
      <c r="I285" s="516">
        <f t="shared" si="22"/>
        <v>1</v>
      </c>
      <c r="J285" s="516"/>
      <c r="K285" s="516"/>
      <c r="L285" s="495">
        <f ca="1">IF(AND(O284&gt;=SUMIF(NameConv!$C$5:$C$45,RIGHT(C284,3),NameConv!$CG$5:$CG$45),M284=SUMIF(NameConv!$G$4:$M$4,MID(C284,2,3),NameConv!$G$45:$M$45)),L284+1,L284)</f>
        <v>6</v>
      </c>
      <c r="M285" s="495">
        <f ca="1">IF(L285&lt;&gt;L284,1,IF(O284&gt;=SUMIF(NameConv!$C$5:$C$45,RIGHT(C284,3),NameConv!$CG$5:$CG$45),M284+1,M284))</f>
        <v>12</v>
      </c>
      <c r="N285" s="495">
        <f ca="1">SUMIF(NameConv!$C$5:$C$45,RIGHT(C285,3),OFFSET(NameConv!$CG$5,0,O285,NameConv!$A$45,1))</f>
        <v>2</v>
      </c>
      <c r="O285" s="495">
        <f ca="1">IF(O284&gt;=SUMIF(NameConv!$C$5:$C$45,RIGHT(C284,3),NameConv!$CG$5:$CG$45),1,O284+1)</f>
        <v>2</v>
      </c>
    </row>
    <row r="286" spans="1:15">
      <c r="A286" s="422" t="str">
        <f t="shared" ca="1" si="21"/>
        <v/>
      </c>
      <c r="B286" s="515" t="str">
        <f t="shared" si="20"/>
        <v>TOP-OUT</v>
      </c>
      <c r="C286" s="518" t="str">
        <f ca="1">"X"&amp;OFFSET(NameConv!$F$4,0,L286)&amp;OFFSET(NameConv!$F$59,M286,L286)</f>
        <v>XPWRGIH</v>
      </c>
      <c r="D286" s="515" t="str">
        <f ca="1">OFFSET(NameConv!$F$4,0,L286)&amp;OFFSET(NameConv!$AX$4,0,N286)</f>
        <v>PWRN2OS</v>
      </c>
      <c r="E286" s="740" t="s">
        <v>334</v>
      </c>
      <c r="F286" s="740" t="s">
        <v>334</v>
      </c>
      <c r="G286" s="740" t="s">
        <v>334</v>
      </c>
      <c r="H286" s="740" t="s">
        <v>334</v>
      </c>
      <c r="I286" s="516">
        <f t="shared" si="22"/>
        <v>1</v>
      </c>
      <c r="J286" s="516"/>
      <c r="K286" s="516"/>
      <c r="L286" s="495">
        <f ca="1">IF(AND(O285&gt;=SUMIF(NameConv!$C$5:$C$45,RIGHT(C285,3),NameConv!$CG$5:$CG$45),M285=SUMIF(NameConv!$G$4:$M$4,MID(C285,2,3),NameConv!$G$45:$M$45)),L285+1,L285)</f>
        <v>6</v>
      </c>
      <c r="M286" s="495">
        <f ca="1">IF(L286&lt;&gt;L285,1,IF(O285&gt;=SUMIF(NameConv!$C$5:$C$45,RIGHT(C285,3),NameConv!$CG$5:$CG$45),M285+1,M285))</f>
        <v>12</v>
      </c>
      <c r="N286" s="495">
        <f ca="1">SUMIF(NameConv!$C$5:$C$45,RIGHT(C286,3),OFFSET(NameConv!$CG$5,0,O286,NameConv!$A$45,1))</f>
        <v>3</v>
      </c>
      <c r="O286" s="495">
        <f ca="1">IF(O285&gt;=SUMIF(NameConv!$C$5:$C$45,RIGHT(C285,3),NameConv!$CG$5:$CG$45),1,O285+1)</f>
        <v>3</v>
      </c>
    </row>
    <row r="287" spans="1:15">
      <c r="A287" s="422" t="str">
        <f t="shared" ca="1" si="21"/>
        <v/>
      </c>
      <c r="B287" s="515" t="str">
        <f t="shared" si="20"/>
        <v>TOP-OUT</v>
      </c>
      <c r="C287" s="518" t="str">
        <f ca="1">"X"&amp;OFFSET(NameConv!$F$4,0,L287)&amp;OFFSET(NameConv!$F$59,M287,L287)</f>
        <v>XPWRGIH</v>
      </c>
      <c r="D287" s="515" t="str">
        <f ca="1">OFFSET(NameConv!$F$4,0,L287)&amp;OFFSET(NameConv!$AX$4,0,N287)</f>
        <v>PWRNOXS</v>
      </c>
      <c r="E287" s="740" t="s">
        <v>334</v>
      </c>
      <c r="F287" s="740" t="s">
        <v>334</v>
      </c>
      <c r="G287" s="740" t="s">
        <v>334</v>
      </c>
      <c r="H287" s="740" t="s">
        <v>334</v>
      </c>
      <c r="I287" s="516">
        <f t="shared" si="22"/>
        <v>1</v>
      </c>
      <c r="J287" s="516"/>
      <c r="K287" s="516"/>
      <c r="L287" s="495">
        <f ca="1">IF(AND(O286&gt;=SUMIF(NameConv!$C$5:$C$45,RIGHT(C286,3),NameConv!$CG$5:$CG$45),M286=SUMIF(NameConv!$G$4:$M$4,MID(C286,2,3),NameConv!$G$45:$M$45)),L286+1,L286)</f>
        <v>6</v>
      </c>
      <c r="M287" s="495">
        <f ca="1">IF(L287&lt;&gt;L286,1,IF(O286&gt;=SUMIF(NameConv!$C$5:$C$45,RIGHT(C286,3),NameConv!$CG$5:$CG$45),M286+1,M286))</f>
        <v>12</v>
      </c>
      <c r="N287" s="495">
        <f ca="1">SUMIF(NameConv!$C$5:$C$45,RIGHT(C287,3),OFFSET(NameConv!$CG$5,0,O287,NameConv!$A$45,1))</f>
        <v>5</v>
      </c>
      <c r="O287" s="495">
        <f ca="1">IF(O286&gt;=SUMIF(NameConv!$C$5:$C$45,RIGHT(C286,3),NameConv!$CG$5:$CG$45),1,O286+1)</f>
        <v>4</v>
      </c>
    </row>
    <row r="288" spans="1:15">
      <c r="A288" s="422" t="str">
        <f t="shared" ca="1" si="21"/>
        <v/>
      </c>
      <c r="B288" s="515" t="str">
        <f t="shared" si="20"/>
        <v>TOP-OUT</v>
      </c>
      <c r="C288" s="518" t="str">
        <f ca="1">"X"&amp;OFFSET(NameConv!$F$4,0,L288)&amp;OFFSET(NameConv!$F$59,M288,L288)</f>
        <v>XPWRGIH</v>
      </c>
      <c r="D288" s="515" t="str">
        <f ca="1">OFFSET(NameConv!$F$4,0,L288)&amp;OFFSET(NameConv!$AX$4,0,N288)</f>
        <v>PWRCMOX</v>
      </c>
      <c r="E288" s="740" t="s">
        <v>334</v>
      </c>
      <c r="F288" s="740" t="s">
        <v>334</v>
      </c>
      <c r="G288" s="740" t="s">
        <v>334</v>
      </c>
      <c r="H288" s="740" t="s">
        <v>334</v>
      </c>
      <c r="I288" s="516">
        <f t="shared" si="22"/>
        <v>1</v>
      </c>
      <c r="J288" s="516"/>
      <c r="K288" s="516"/>
      <c r="L288" s="495">
        <f ca="1">IF(AND(O287&gt;=SUMIF(NameConv!$C$5:$C$45,RIGHT(C287,3),NameConv!$CG$5:$CG$45),M287=SUMIF(NameConv!$G$4:$M$4,MID(C287,2,3),NameConv!$G$45:$M$45)),L287+1,L287)</f>
        <v>6</v>
      </c>
      <c r="M288" s="495">
        <f ca="1">IF(L288&lt;&gt;L287,1,IF(O287&gt;=SUMIF(NameConv!$C$5:$C$45,RIGHT(C287,3),NameConv!$CG$5:$CG$45),M287+1,M287))</f>
        <v>12</v>
      </c>
      <c r="N288" s="495">
        <f ca="1">SUMIF(NameConv!$C$5:$C$45,RIGHT(C288,3),OFFSET(NameConv!$CG$5,0,O288,NameConv!$A$45,1))</f>
        <v>6</v>
      </c>
      <c r="O288" s="495">
        <f ca="1">IF(O287&gt;=SUMIF(NameConv!$C$5:$C$45,RIGHT(C287,3),NameConv!$CG$5:$CG$45),1,O287+1)</f>
        <v>5</v>
      </c>
    </row>
    <row r="289" spans="1:15">
      <c r="A289" s="422" t="str">
        <f t="shared" ca="1" si="21"/>
        <v/>
      </c>
      <c r="B289" s="515" t="str">
        <f t="shared" si="20"/>
        <v>TOP-OUT</v>
      </c>
      <c r="C289" s="518" t="str">
        <f ca="1">"X"&amp;OFFSET(NameConv!$F$4,0,L289)&amp;OFFSET(NameConv!$F$59,M289,L289)</f>
        <v>XPWRGIH</v>
      </c>
      <c r="D289" s="515" t="str">
        <f ca="1">OFFSET(NameConv!$F$4,0,L289)&amp;OFFSET(NameConv!$AX$4,0,N289)</f>
        <v>PWRNMVS</v>
      </c>
      <c r="E289" s="740" t="s">
        <v>334</v>
      </c>
      <c r="F289" s="740" t="s">
        <v>334</v>
      </c>
      <c r="G289" s="740" t="s">
        <v>334</v>
      </c>
      <c r="H289" s="740" t="s">
        <v>334</v>
      </c>
      <c r="I289" s="516">
        <f t="shared" si="22"/>
        <v>1</v>
      </c>
      <c r="J289" s="516"/>
      <c r="K289" s="516"/>
      <c r="L289" s="495">
        <f ca="1">IF(AND(O288&gt;=SUMIF(NameConv!$C$5:$C$45,RIGHT(C288,3),NameConv!$CG$5:$CG$45),M288=SUMIF(NameConv!$G$4:$M$4,MID(C288,2,3),NameConv!$G$45:$M$45)),L288+1,L288)</f>
        <v>6</v>
      </c>
      <c r="M289" s="495">
        <f ca="1">IF(L289&lt;&gt;L288,1,IF(O288&gt;=SUMIF(NameConv!$C$5:$C$45,RIGHT(C288,3),NameConv!$CG$5:$CG$45),M288+1,M288))</f>
        <v>12</v>
      </c>
      <c r="N289" s="495">
        <f ca="1">SUMIF(NameConv!$C$5:$C$45,RIGHT(C289,3),OFFSET(NameConv!$CG$5,0,O289,NameConv!$A$45,1))</f>
        <v>7</v>
      </c>
      <c r="O289" s="495">
        <f ca="1">IF(O288&gt;=SUMIF(NameConv!$C$5:$C$45,RIGHT(C288,3),NameConv!$CG$5:$CG$45),1,O288+1)</f>
        <v>6</v>
      </c>
    </row>
    <row r="290" spans="1:15">
      <c r="A290" s="422" t="str">
        <f t="shared" ca="1" si="21"/>
        <v>*</v>
      </c>
      <c r="B290" s="515" t="str">
        <f t="shared" si="20"/>
        <v>TOP-OUT</v>
      </c>
      <c r="C290" s="518" t="str">
        <f ca="1">"X"&amp;OFFSET(NameConv!$F$4,0,L290)&amp;OFFSET(NameConv!$F$59,M290,L290)</f>
        <v>XPWRGIC</v>
      </c>
      <c r="D290" s="515" t="str">
        <f ca="1">OFFSET(NameConv!$F$4,0,L290)&amp;OFFSET(NameConv!$AX$4,0,N290)</f>
        <v>PWR</v>
      </c>
      <c r="E290" s="740" t="s">
        <v>334</v>
      </c>
      <c r="F290" s="740" t="s">
        <v>334</v>
      </c>
      <c r="G290" s="740" t="s">
        <v>334</v>
      </c>
      <c r="H290" s="740" t="s">
        <v>334</v>
      </c>
      <c r="I290" s="516">
        <f t="shared" si="22"/>
        <v>1</v>
      </c>
      <c r="J290" s="516"/>
      <c r="K290" s="516"/>
      <c r="L290" s="495">
        <f ca="1">IF(AND(O289&gt;=SUMIF(NameConv!$C$5:$C$45,RIGHT(C289,3),NameConv!$CG$5:$CG$45),M289=SUMIF(NameConv!$G$4:$M$4,MID(C289,2,3),NameConv!$G$45:$M$45)),L289+1,L289)</f>
        <v>6</v>
      </c>
      <c r="M290" s="495">
        <f ca="1">IF(L290&lt;&gt;L289,1,IF(O289&gt;=SUMIF(NameConv!$C$5:$C$45,RIGHT(C289,3),NameConv!$CG$5:$CG$45),M289+1,M289))</f>
        <v>13</v>
      </c>
      <c r="N290" s="495">
        <f ca="1">SUMIF(NameConv!$C$5:$C$45,RIGHT(C290,3),OFFSET(NameConv!$CG$5,0,O290,NameConv!$A$45,1))</f>
        <v>0</v>
      </c>
      <c r="O290" s="495">
        <f ca="1">IF(O289&gt;=SUMIF(NameConv!$C$5:$C$45,RIGHT(C289,3),NameConv!$CG$5:$CG$45),1,O289+1)</f>
        <v>1</v>
      </c>
    </row>
    <row r="291" spans="1:15">
      <c r="A291" s="422" t="str">
        <f t="shared" ca="1" si="21"/>
        <v>*</v>
      </c>
      <c r="B291" s="515" t="str">
        <f t="shared" si="20"/>
        <v>TOP-OUT</v>
      </c>
      <c r="C291" s="518" t="str">
        <f ca="1">"X"&amp;OFFSET(NameConv!$F$4,0,L291)&amp;OFFSET(NameConv!$F$59,M291,L291)</f>
        <v>XPWRHYD</v>
      </c>
      <c r="D291" s="515" t="str">
        <f ca="1">OFFSET(NameConv!$F$4,0,L291)&amp;OFFSET(NameConv!$AX$4,0,N291)</f>
        <v>PWR</v>
      </c>
      <c r="E291" s="740" t="s">
        <v>334</v>
      </c>
      <c r="F291" s="740" t="s">
        <v>334</v>
      </c>
      <c r="G291" s="740" t="s">
        <v>334</v>
      </c>
      <c r="H291" s="740" t="s">
        <v>334</v>
      </c>
      <c r="I291" s="516">
        <f t="shared" si="22"/>
        <v>1</v>
      </c>
      <c r="J291" s="516"/>
      <c r="K291" s="516"/>
      <c r="L291" s="495">
        <f ca="1">IF(AND(O290&gt;=SUMIF(NameConv!$C$5:$C$45,RIGHT(C290,3),NameConv!$CG$5:$CG$45),M290=SUMIF(NameConv!$G$4:$M$4,MID(C290,2,3),NameConv!$G$45:$M$45)),L290+1,L290)</f>
        <v>6</v>
      </c>
      <c r="M291" s="495">
        <f ca="1">IF(L291&lt;&gt;L290,1,IF(O290&gt;=SUMIF(NameConv!$C$5:$C$45,RIGHT(C290,3),NameConv!$CG$5:$CG$45),M290+1,M290))</f>
        <v>14</v>
      </c>
      <c r="N291" s="495">
        <f ca="1">SUMIF(NameConv!$C$5:$C$45,RIGHT(C291,3),OFFSET(NameConv!$CG$5,0,O291,NameConv!$A$45,1))</f>
        <v>0</v>
      </c>
      <c r="O291" s="495">
        <f ca="1">IF(O290&gt;=SUMIF(NameConv!$C$5:$C$45,RIGHT(C290,3),NameConv!$CG$5:$CG$45),1,O290+1)</f>
        <v>1</v>
      </c>
    </row>
    <row r="292" spans="1:15">
      <c r="A292" s="422" t="str">
        <f t="shared" ca="1" si="21"/>
        <v>*</v>
      </c>
      <c r="B292" s="515" t="str">
        <f t="shared" si="20"/>
        <v>TOP-OUT</v>
      </c>
      <c r="C292" s="518" t="str">
        <f ca="1">"X"&amp;OFFSET(NameConv!$F$4,0,L292)&amp;OFFSET(NameConv!$F$59,M292,L292)</f>
        <v>XPWRHGN</v>
      </c>
      <c r="D292" s="515" t="str">
        <f ca="1">OFFSET(NameConv!$F$4,0,L292)&amp;OFFSET(NameConv!$AX$4,0,N292)</f>
        <v>PWR</v>
      </c>
      <c r="E292" s="740" t="s">
        <v>334</v>
      </c>
      <c r="F292" s="740" t="s">
        <v>334</v>
      </c>
      <c r="G292" s="740" t="s">
        <v>334</v>
      </c>
      <c r="H292" s="740" t="s">
        <v>334</v>
      </c>
      <c r="I292" s="516">
        <f t="shared" si="22"/>
        <v>1</v>
      </c>
      <c r="J292" s="516"/>
      <c r="K292" s="516"/>
      <c r="L292" s="495">
        <f ca="1">IF(AND(O291&gt;=SUMIF(NameConv!$C$5:$C$45,RIGHT(C291,3),NameConv!$CG$5:$CG$45),M291=SUMIF(NameConv!$G$4:$M$4,MID(C291,2,3),NameConv!$G$45:$M$45)),L291+1,L291)</f>
        <v>6</v>
      </c>
      <c r="M292" s="495">
        <f ca="1">IF(L292&lt;&gt;L291,1,IF(O291&gt;=SUMIF(NameConv!$C$5:$C$45,RIGHT(C291,3),NameConv!$CG$5:$CG$45),M291+1,M291))</f>
        <v>15</v>
      </c>
      <c r="N292" s="495">
        <f ca="1">SUMIF(NameConv!$C$5:$C$45,RIGHT(C292,3),OFFSET(NameConv!$CG$5,0,O292,NameConv!$A$45,1))</f>
        <v>0</v>
      </c>
      <c r="O292" s="495">
        <f ca="1">IF(O291&gt;=SUMIF(NameConv!$C$5:$C$45,RIGHT(C291,3),NameConv!$CG$5:$CG$45),1,O291+1)</f>
        <v>1</v>
      </c>
    </row>
    <row r="293" spans="1:15">
      <c r="A293" s="422" t="str">
        <f t="shared" ca="1" si="21"/>
        <v>*</v>
      </c>
      <c r="B293" s="515" t="str">
        <f t="shared" si="20"/>
        <v>TOP-OUT</v>
      </c>
      <c r="C293" s="518" t="str">
        <f ca="1">"X"&amp;OFFSET(NameConv!$F$4,0,L293)&amp;OFFSET(NameConv!$F$59,M293,L293)</f>
        <v>XPWRNUC</v>
      </c>
      <c r="D293" s="515" t="str">
        <f ca="1">OFFSET(NameConv!$F$4,0,L293)&amp;OFFSET(NameConv!$AX$4,0,N293)</f>
        <v>PWR</v>
      </c>
      <c r="E293" s="740" t="s">
        <v>334</v>
      </c>
      <c r="F293" s="740" t="s">
        <v>334</v>
      </c>
      <c r="G293" s="740" t="s">
        <v>334</v>
      </c>
      <c r="H293" s="740" t="s">
        <v>334</v>
      </c>
      <c r="I293" s="516">
        <f t="shared" si="22"/>
        <v>1</v>
      </c>
      <c r="J293" s="516"/>
      <c r="K293" s="516"/>
      <c r="L293" s="495">
        <f ca="1">IF(AND(O292&gt;=SUMIF(NameConv!$C$5:$C$45,RIGHT(C292,3),NameConv!$CG$5:$CG$45),M292=SUMIF(NameConv!$G$4:$M$4,MID(C292,2,3),NameConv!$G$45:$M$45)),L292+1,L292)</f>
        <v>6</v>
      </c>
      <c r="M293" s="495">
        <f ca="1">IF(L293&lt;&gt;L292,1,IF(O292&gt;=SUMIF(NameConv!$C$5:$C$45,RIGHT(C292,3),NameConv!$CG$5:$CG$45),M292+1,M292))</f>
        <v>16</v>
      </c>
      <c r="N293" s="495">
        <f ca="1">SUMIF(NameConv!$C$5:$C$45,RIGHT(C293,3),OFFSET(NameConv!$CG$5,0,O293,NameConv!$A$45,1))</f>
        <v>0</v>
      </c>
      <c r="O293" s="495">
        <f ca="1">IF(O292&gt;=SUMIF(NameConv!$C$5:$C$45,RIGHT(C292,3),NameConv!$CG$5:$CG$45),1,O292+1)</f>
        <v>1</v>
      </c>
    </row>
  </sheetData>
  <conditionalFormatting sqref="L12:L293">
    <cfRule type="cellIs" dxfId="1" priority="2" operator="greaterThan">
      <formula>6</formula>
    </cfRule>
  </conditionalFormatting>
  <conditionalFormatting sqref="L7:R7">
    <cfRule type="cellIs" dxfId="0" priority="1" operator="greaterThan">
      <formula>6</formula>
    </cfRule>
  </conditionalFormatting>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0"/>
  <dimension ref="A1:AX6184"/>
  <sheetViews>
    <sheetView workbookViewId="0"/>
  </sheetViews>
  <sheetFormatPr defaultRowHeight="12.75"/>
  <cols>
    <col min="1" max="1" width="1.7109375" style="1317" customWidth="1"/>
    <col min="2" max="2" width="12.28515625" style="1317" customWidth="1"/>
    <col min="3" max="4" width="15.28515625" style="1317" customWidth="1"/>
    <col min="5" max="13" width="6.7109375" style="1317" customWidth="1"/>
    <col min="14" max="14" width="11.28515625" style="1317" customWidth="1"/>
    <col min="15" max="15" width="10.7109375" style="1317" customWidth="1"/>
    <col min="16" max="16" width="6.7109375" style="1317" customWidth="1"/>
    <col min="17" max="17" width="13.28515625" style="1317" customWidth="1"/>
    <col min="18" max="18" width="10.7109375" style="1305" customWidth="1"/>
    <col min="19" max="19" width="7.7109375" style="1305" customWidth="1"/>
    <col min="20" max="20" width="8.7109375" style="1305" customWidth="1"/>
    <col min="21" max="263" width="8.7109375" style="1305"/>
    <col min="264" max="264" width="1.7109375" style="1305" customWidth="1"/>
    <col min="265" max="265" width="12.28515625" style="1305" customWidth="1"/>
    <col min="266" max="267" width="15.28515625" style="1305" customWidth="1"/>
    <col min="268" max="276" width="6.7109375" style="1305" customWidth="1"/>
    <col min="277" max="277" width="0.7109375" style="1305" customWidth="1"/>
    <col min="278" max="278" width="65.28515625" style="1305" customWidth="1"/>
    <col min="279" max="279" width="2" style="1305" customWidth="1"/>
    <col min="280" max="519" width="8.7109375" style="1305"/>
    <col min="520" max="520" width="1.7109375" style="1305" customWidth="1"/>
    <col min="521" max="521" width="12.28515625" style="1305" customWidth="1"/>
    <col min="522" max="523" width="15.28515625" style="1305" customWidth="1"/>
    <col min="524" max="532" width="6.7109375" style="1305" customWidth="1"/>
    <col min="533" max="533" width="0.7109375" style="1305" customWidth="1"/>
    <col min="534" max="534" width="65.28515625" style="1305" customWidth="1"/>
    <col min="535" max="535" width="2" style="1305" customWidth="1"/>
    <col min="536" max="775" width="8.7109375" style="1305"/>
    <col min="776" max="776" width="1.7109375" style="1305" customWidth="1"/>
    <col min="777" max="777" width="12.28515625" style="1305" customWidth="1"/>
    <col min="778" max="779" width="15.28515625" style="1305" customWidth="1"/>
    <col min="780" max="788" width="6.7109375" style="1305" customWidth="1"/>
    <col min="789" max="789" width="0.7109375" style="1305" customWidth="1"/>
    <col min="790" max="790" width="65.28515625" style="1305" customWidth="1"/>
    <col min="791" max="791" width="2" style="1305" customWidth="1"/>
    <col min="792" max="1031" width="8.7109375" style="1305"/>
    <col min="1032" max="1032" width="1.7109375" style="1305" customWidth="1"/>
    <col min="1033" max="1033" width="12.28515625" style="1305" customWidth="1"/>
    <col min="1034" max="1035" width="15.28515625" style="1305" customWidth="1"/>
    <col min="1036" max="1044" width="6.7109375" style="1305" customWidth="1"/>
    <col min="1045" max="1045" width="0.7109375" style="1305" customWidth="1"/>
    <col min="1046" max="1046" width="65.28515625" style="1305" customWidth="1"/>
    <col min="1047" max="1047" width="2" style="1305" customWidth="1"/>
    <col min="1048" max="1287" width="8.7109375" style="1305"/>
    <col min="1288" max="1288" width="1.7109375" style="1305" customWidth="1"/>
    <col min="1289" max="1289" width="12.28515625" style="1305" customWidth="1"/>
    <col min="1290" max="1291" width="15.28515625" style="1305" customWidth="1"/>
    <col min="1292" max="1300" width="6.7109375" style="1305" customWidth="1"/>
    <col min="1301" max="1301" width="0.7109375" style="1305" customWidth="1"/>
    <col min="1302" max="1302" width="65.28515625" style="1305" customWidth="1"/>
    <col min="1303" max="1303" width="2" style="1305" customWidth="1"/>
    <col min="1304" max="1543" width="8.7109375" style="1305"/>
    <col min="1544" max="1544" width="1.7109375" style="1305" customWidth="1"/>
    <col min="1545" max="1545" width="12.28515625" style="1305" customWidth="1"/>
    <col min="1546" max="1547" width="15.28515625" style="1305" customWidth="1"/>
    <col min="1548" max="1556" width="6.7109375" style="1305" customWidth="1"/>
    <col min="1557" max="1557" width="0.7109375" style="1305" customWidth="1"/>
    <col min="1558" max="1558" width="65.28515625" style="1305" customWidth="1"/>
    <col min="1559" max="1559" width="2" style="1305" customWidth="1"/>
    <col min="1560" max="1799" width="8.7109375" style="1305"/>
    <col min="1800" max="1800" width="1.7109375" style="1305" customWidth="1"/>
    <col min="1801" max="1801" width="12.28515625" style="1305" customWidth="1"/>
    <col min="1802" max="1803" width="15.28515625" style="1305" customWidth="1"/>
    <col min="1804" max="1812" width="6.7109375" style="1305" customWidth="1"/>
    <col min="1813" max="1813" width="0.7109375" style="1305" customWidth="1"/>
    <col min="1814" max="1814" width="65.28515625" style="1305" customWidth="1"/>
    <col min="1815" max="1815" width="2" style="1305" customWidth="1"/>
    <col min="1816" max="2055" width="8.7109375" style="1305"/>
    <col min="2056" max="2056" width="1.7109375" style="1305" customWidth="1"/>
    <col min="2057" max="2057" width="12.28515625" style="1305" customWidth="1"/>
    <col min="2058" max="2059" width="15.28515625" style="1305" customWidth="1"/>
    <col min="2060" max="2068" width="6.7109375" style="1305" customWidth="1"/>
    <col min="2069" max="2069" width="0.7109375" style="1305" customWidth="1"/>
    <col min="2070" max="2070" width="65.28515625" style="1305" customWidth="1"/>
    <col min="2071" max="2071" width="2" style="1305" customWidth="1"/>
    <col min="2072" max="2311" width="8.7109375" style="1305"/>
    <col min="2312" max="2312" width="1.7109375" style="1305" customWidth="1"/>
    <col min="2313" max="2313" width="12.28515625" style="1305" customWidth="1"/>
    <col min="2314" max="2315" width="15.28515625" style="1305" customWidth="1"/>
    <col min="2316" max="2324" width="6.7109375" style="1305" customWidth="1"/>
    <col min="2325" max="2325" width="0.7109375" style="1305" customWidth="1"/>
    <col min="2326" max="2326" width="65.28515625" style="1305" customWidth="1"/>
    <col min="2327" max="2327" width="2" style="1305" customWidth="1"/>
    <col min="2328" max="2567" width="8.7109375" style="1305"/>
    <col min="2568" max="2568" width="1.7109375" style="1305" customWidth="1"/>
    <col min="2569" max="2569" width="12.28515625" style="1305" customWidth="1"/>
    <col min="2570" max="2571" width="15.28515625" style="1305" customWidth="1"/>
    <col min="2572" max="2580" width="6.7109375" style="1305" customWidth="1"/>
    <col min="2581" max="2581" width="0.7109375" style="1305" customWidth="1"/>
    <col min="2582" max="2582" width="65.28515625" style="1305" customWidth="1"/>
    <col min="2583" max="2583" width="2" style="1305" customWidth="1"/>
    <col min="2584" max="2823" width="8.7109375" style="1305"/>
    <col min="2824" max="2824" width="1.7109375" style="1305" customWidth="1"/>
    <col min="2825" max="2825" width="12.28515625" style="1305" customWidth="1"/>
    <col min="2826" max="2827" width="15.28515625" style="1305" customWidth="1"/>
    <col min="2828" max="2836" width="6.7109375" style="1305" customWidth="1"/>
    <col min="2837" max="2837" width="0.7109375" style="1305" customWidth="1"/>
    <col min="2838" max="2838" width="65.28515625" style="1305" customWidth="1"/>
    <col min="2839" max="2839" width="2" style="1305" customWidth="1"/>
    <col min="2840" max="3079" width="8.7109375" style="1305"/>
    <col min="3080" max="3080" width="1.7109375" style="1305" customWidth="1"/>
    <col min="3081" max="3081" width="12.28515625" style="1305" customWidth="1"/>
    <col min="3082" max="3083" width="15.28515625" style="1305" customWidth="1"/>
    <col min="3084" max="3092" width="6.7109375" style="1305" customWidth="1"/>
    <col min="3093" max="3093" width="0.7109375" style="1305" customWidth="1"/>
    <col min="3094" max="3094" width="65.28515625" style="1305" customWidth="1"/>
    <col min="3095" max="3095" width="2" style="1305" customWidth="1"/>
    <col min="3096" max="3335" width="8.7109375" style="1305"/>
    <col min="3336" max="3336" width="1.7109375" style="1305" customWidth="1"/>
    <col min="3337" max="3337" width="12.28515625" style="1305" customWidth="1"/>
    <col min="3338" max="3339" width="15.28515625" style="1305" customWidth="1"/>
    <col min="3340" max="3348" width="6.7109375" style="1305" customWidth="1"/>
    <col min="3349" max="3349" width="0.7109375" style="1305" customWidth="1"/>
    <col min="3350" max="3350" width="65.28515625" style="1305" customWidth="1"/>
    <col min="3351" max="3351" width="2" style="1305" customWidth="1"/>
    <col min="3352" max="3591" width="8.7109375" style="1305"/>
    <col min="3592" max="3592" width="1.7109375" style="1305" customWidth="1"/>
    <col min="3593" max="3593" width="12.28515625" style="1305" customWidth="1"/>
    <col min="3594" max="3595" width="15.28515625" style="1305" customWidth="1"/>
    <col min="3596" max="3604" width="6.7109375" style="1305" customWidth="1"/>
    <col min="3605" max="3605" width="0.7109375" style="1305" customWidth="1"/>
    <col min="3606" max="3606" width="65.28515625" style="1305" customWidth="1"/>
    <col min="3607" max="3607" width="2" style="1305" customWidth="1"/>
    <col min="3608" max="3847" width="8.7109375" style="1305"/>
    <col min="3848" max="3848" width="1.7109375" style="1305" customWidth="1"/>
    <col min="3849" max="3849" width="12.28515625" style="1305" customWidth="1"/>
    <col min="3850" max="3851" width="15.28515625" style="1305" customWidth="1"/>
    <col min="3852" max="3860" width="6.7109375" style="1305" customWidth="1"/>
    <col min="3861" max="3861" width="0.7109375" style="1305" customWidth="1"/>
    <col min="3862" max="3862" width="65.28515625" style="1305" customWidth="1"/>
    <col min="3863" max="3863" width="2" style="1305" customWidth="1"/>
    <col min="3864" max="4103" width="8.7109375" style="1305"/>
    <col min="4104" max="4104" width="1.7109375" style="1305" customWidth="1"/>
    <col min="4105" max="4105" width="12.28515625" style="1305" customWidth="1"/>
    <col min="4106" max="4107" width="15.28515625" style="1305" customWidth="1"/>
    <col min="4108" max="4116" width="6.7109375" style="1305" customWidth="1"/>
    <col min="4117" max="4117" width="0.7109375" style="1305" customWidth="1"/>
    <col min="4118" max="4118" width="65.28515625" style="1305" customWidth="1"/>
    <col min="4119" max="4119" width="2" style="1305" customWidth="1"/>
    <col min="4120" max="4359" width="8.7109375" style="1305"/>
    <col min="4360" max="4360" width="1.7109375" style="1305" customWidth="1"/>
    <col min="4361" max="4361" width="12.28515625" style="1305" customWidth="1"/>
    <col min="4362" max="4363" width="15.28515625" style="1305" customWidth="1"/>
    <col min="4364" max="4372" width="6.7109375" style="1305" customWidth="1"/>
    <col min="4373" max="4373" width="0.7109375" style="1305" customWidth="1"/>
    <col min="4374" max="4374" width="65.28515625" style="1305" customWidth="1"/>
    <col min="4375" max="4375" width="2" style="1305" customWidth="1"/>
    <col min="4376" max="4615" width="8.7109375" style="1305"/>
    <col min="4616" max="4616" width="1.7109375" style="1305" customWidth="1"/>
    <col min="4617" max="4617" width="12.28515625" style="1305" customWidth="1"/>
    <col min="4618" max="4619" width="15.28515625" style="1305" customWidth="1"/>
    <col min="4620" max="4628" width="6.7109375" style="1305" customWidth="1"/>
    <col min="4629" max="4629" width="0.7109375" style="1305" customWidth="1"/>
    <col min="4630" max="4630" width="65.28515625" style="1305" customWidth="1"/>
    <col min="4631" max="4631" width="2" style="1305" customWidth="1"/>
    <col min="4632" max="4871" width="8.7109375" style="1305"/>
    <col min="4872" max="4872" width="1.7109375" style="1305" customWidth="1"/>
    <col min="4873" max="4873" width="12.28515625" style="1305" customWidth="1"/>
    <col min="4874" max="4875" width="15.28515625" style="1305" customWidth="1"/>
    <col min="4876" max="4884" width="6.7109375" style="1305" customWidth="1"/>
    <col min="4885" max="4885" width="0.7109375" style="1305" customWidth="1"/>
    <col min="4886" max="4886" width="65.28515625" style="1305" customWidth="1"/>
    <col min="4887" max="4887" width="2" style="1305" customWidth="1"/>
    <col min="4888" max="5127" width="8.7109375" style="1305"/>
    <col min="5128" max="5128" width="1.7109375" style="1305" customWidth="1"/>
    <col min="5129" max="5129" width="12.28515625" style="1305" customWidth="1"/>
    <col min="5130" max="5131" width="15.28515625" style="1305" customWidth="1"/>
    <col min="5132" max="5140" width="6.7109375" style="1305" customWidth="1"/>
    <col min="5141" max="5141" width="0.7109375" style="1305" customWidth="1"/>
    <col min="5142" max="5142" width="65.28515625" style="1305" customWidth="1"/>
    <col min="5143" max="5143" width="2" style="1305" customWidth="1"/>
    <col min="5144" max="5383" width="8.7109375" style="1305"/>
    <col min="5384" max="5384" width="1.7109375" style="1305" customWidth="1"/>
    <col min="5385" max="5385" width="12.28515625" style="1305" customWidth="1"/>
    <col min="5386" max="5387" width="15.28515625" style="1305" customWidth="1"/>
    <col min="5388" max="5396" width="6.7109375" style="1305" customWidth="1"/>
    <col min="5397" max="5397" width="0.7109375" style="1305" customWidth="1"/>
    <col min="5398" max="5398" width="65.28515625" style="1305" customWidth="1"/>
    <col min="5399" max="5399" width="2" style="1305" customWidth="1"/>
    <col min="5400" max="5639" width="8.7109375" style="1305"/>
    <col min="5640" max="5640" width="1.7109375" style="1305" customWidth="1"/>
    <col min="5641" max="5641" width="12.28515625" style="1305" customWidth="1"/>
    <col min="5642" max="5643" width="15.28515625" style="1305" customWidth="1"/>
    <col min="5644" max="5652" width="6.7109375" style="1305" customWidth="1"/>
    <col min="5653" max="5653" width="0.7109375" style="1305" customWidth="1"/>
    <col min="5654" max="5654" width="65.28515625" style="1305" customWidth="1"/>
    <col min="5655" max="5655" width="2" style="1305" customWidth="1"/>
    <col min="5656" max="5895" width="8.7109375" style="1305"/>
    <col min="5896" max="5896" width="1.7109375" style="1305" customWidth="1"/>
    <col min="5897" max="5897" width="12.28515625" style="1305" customWidth="1"/>
    <col min="5898" max="5899" width="15.28515625" style="1305" customWidth="1"/>
    <col min="5900" max="5908" width="6.7109375" style="1305" customWidth="1"/>
    <col min="5909" max="5909" width="0.7109375" style="1305" customWidth="1"/>
    <col min="5910" max="5910" width="65.28515625" style="1305" customWidth="1"/>
    <col min="5911" max="5911" width="2" style="1305" customWidth="1"/>
    <col min="5912" max="6151" width="8.7109375" style="1305"/>
    <col min="6152" max="6152" width="1.7109375" style="1305" customWidth="1"/>
    <col min="6153" max="6153" width="12.28515625" style="1305" customWidth="1"/>
    <col min="6154" max="6155" width="15.28515625" style="1305" customWidth="1"/>
    <col min="6156" max="6164" width="6.7109375" style="1305" customWidth="1"/>
    <col min="6165" max="6165" width="0.7109375" style="1305" customWidth="1"/>
    <col min="6166" max="6166" width="65.28515625" style="1305" customWidth="1"/>
    <col min="6167" max="6167" width="2" style="1305" customWidth="1"/>
    <col min="6168" max="6407" width="8.7109375" style="1305"/>
    <col min="6408" max="6408" width="1.7109375" style="1305" customWidth="1"/>
    <col min="6409" max="6409" width="12.28515625" style="1305" customWidth="1"/>
    <col min="6410" max="6411" width="15.28515625" style="1305" customWidth="1"/>
    <col min="6412" max="6420" width="6.7109375" style="1305" customWidth="1"/>
    <col min="6421" max="6421" width="0.7109375" style="1305" customWidth="1"/>
    <col min="6422" max="6422" width="65.28515625" style="1305" customWidth="1"/>
    <col min="6423" max="6423" width="2" style="1305" customWidth="1"/>
    <col min="6424" max="6663" width="8.7109375" style="1305"/>
    <col min="6664" max="6664" width="1.7109375" style="1305" customWidth="1"/>
    <col min="6665" max="6665" width="12.28515625" style="1305" customWidth="1"/>
    <col min="6666" max="6667" width="15.28515625" style="1305" customWidth="1"/>
    <col min="6668" max="6676" width="6.7109375" style="1305" customWidth="1"/>
    <col min="6677" max="6677" width="0.7109375" style="1305" customWidth="1"/>
    <col min="6678" max="6678" width="65.28515625" style="1305" customWidth="1"/>
    <col min="6679" max="6679" width="2" style="1305" customWidth="1"/>
    <col min="6680" max="6919" width="8.7109375" style="1305"/>
    <col min="6920" max="6920" width="1.7109375" style="1305" customWidth="1"/>
    <col min="6921" max="6921" width="12.28515625" style="1305" customWidth="1"/>
    <col min="6922" max="6923" width="15.28515625" style="1305" customWidth="1"/>
    <col min="6924" max="6932" width="6.7109375" style="1305" customWidth="1"/>
    <col min="6933" max="6933" width="0.7109375" style="1305" customWidth="1"/>
    <col min="6934" max="6934" width="65.28515625" style="1305" customWidth="1"/>
    <col min="6935" max="6935" width="2" style="1305" customWidth="1"/>
    <col min="6936" max="7175" width="8.7109375" style="1305"/>
    <col min="7176" max="7176" width="1.7109375" style="1305" customWidth="1"/>
    <col min="7177" max="7177" width="12.28515625" style="1305" customWidth="1"/>
    <col min="7178" max="7179" width="15.28515625" style="1305" customWidth="1"/>
    <col min="7180" max="7188" width="6.7109375" style="1305" customWidth="1"/>
    <col min="7189" max="7189" width="0.7109375" style="1305" customWidth="1"/>
    <col min="7190" max="7190" width="65.28515625" style="1305" customWidth="1"/>
    <col min="7191" max="7191" width="2" style="1305" customWidth="1"/>
    <col min="7192" max="7431" width="8.7109375" style="1305"/>
    <col min="7432" max="7432" width="1.7109375" style="1305" customWidth="1"/>
    <col min="7433" max="7433" width="12.28515625" style="1305" customWidth="1"/>
    <col min="7434" max="7435" width="15.28515625" style="1305" customWidth="1"/>
    <col min="7436" max="7444" width="6.7109375" style="1305" customWidth="1"/>
    <col min="7445" max="7445" width="0.7109375" style="1305" customWidth="1"/>
    <col min="7446" max="7446" width="65.28515625" style="1305" customWidth="1"/>
    <col min="7447" max="7447" width="2" style="1305" customWidth="1"/>
    <col min="7448" max="7687" width="8.7109375" style="1305"/>
    <col min="7688" max="7688" width="1.7109375" style="1305" customWidth="1"/>
    <col min="7689" max="7689" width="12.28515625" style="1305" customWidth="1"/>
    <col min="7690" max="7691" width="15.28515625" style="1305" customWidth="1"/>
    <col min="7692" max="7700" width="6.7109375" style="1305" customWidth="1"/>
    <col min="7701" max="7701" width="0.7109375" style="1305" customWidth="1"/>
    <col min="7702" max="7702" width="65.28515625" style="1305" customWidth="1"/>
    <col min="7703" max="7703" width="2" style="1305" customWidth="1"/>
    <col min="7704" max="7943" width="8.7109375" style="1305"/>
    <col min="7944" max="7944" width="1.7109375" style="1305" customWidth="1"/>
    <col min="7945" max="7945" width="12.28515625" style="1305" customWidth="1"/>
    <col min="7946" max="7947" width="15.28515625" style="1305" customWidth="1"/>
    <col min="7948" max="7956" width="6.7109375" style="1305" customWidth="1"/>
    <col min="7957" max="7957" width="0.7109375" style="1305" customWidth="1"/>
    <col min="7958" max="7958" width="65.28515625" style="1305" customWidth="1"/>
    <col min="7959" max="7959" width="2" style="1305" customWidth="1"/>
    <col min="7960" max="8199" width="8.7109375" style="1305"/>
    <col min="8200" max="8200" width="1.7109375" style="1305" customWidth="1"/>
    <col min="8201" max="8201" width="12.28515625" style="1305" customWidth="1"/>
    <col min="8202" max="8203" width="15.28515625" style="1305" customWidth="1"/>
    <col min="8204" max="8212" width="6.7109375" style="1305" customWidth="1"/>
    <col min="8213" max="8213" width="0.7109375" style="1305" customWidth="1"/>
    <col min="8214" max="8214" width="65.28515625" style="1305" customWidth="1"/>
    <col min="8215" max="8215" width="2" style="1305" customWidth="1"/>
    <col min="8216" max="8455" width="8.7109375" style="1305"/>
    <col min="8456" max="8456" width="1.7109375" style="1305" customWidth="1"/>
    <col min="8457" max="8457" width="12.28515625" style="1305" customWidth="1"/>
    <col min="8458" max="8459" width="15.28515625" style="1305" customWidth="1"/>
    <col min="8460" max="8468" width="6.7109375" style="1305" customWidth="1"/>
    <col min="8469" max="8469" width="0.7109375" style="1305" customWidth="1"/>
    <col min="8470" max="8470" width="65.28515625" style="1305" customWidth="1"/>
    <col min="8471" max="8471" width="2" style="1305" customWidth="1"/>
    <col min="8472" max="8711" width="8.7109375" style="1305"/>
    <col min="8712" max="8712" width="1.7109375" style="1305" customWidth="1"/>
    <col min="8713" max="8713" width="12.28515625" style="1305" customWidth="1"/>
    <col min="8714" max="8715" width="15.28515625" style="1305" customWidth="1"/>
    <col min="8716" max="8724" width="6.7109375" style="1305" customWidth="1"/>
    <col min="8725" max="8725" width="0.7109375" style="1305" customWidth="1"/>
    <col min="8726" max="8726" width="65.28515625" style="1305" customWidth="1"/>
    <col min="8727" max="8727" width="2" style="1305" customWidth="1"/>
    <col min="8728" max="8967" width="8.7109375" style="1305"/>
    <col min="8968" max="8968" width="1.7109375" style="1305" customWidth="1"/>
    <col min="8969" max="8969" width="12.28515625" style="1305" customWidth="1"/>
    <col min="8970" max="8971" width="15.28515625" style="1305" customWidth="1"/>
    <col min="8972" max="8980" width="6.7109375" style="1305" customWidth="1"/>
    <col min="8981" max="8981" width="0.7109375" style="1305" customWidth="1"/>
    <col min="8982" max="8982" width="65.28515625" style="1305" customWidth="1"/>
    <col min="8983" max="8983" width="2" style="1305" customWidth="1"/>
    <col min="8984" max="9223" width="8.7109375" style="1305"/>
    <col min="9224" max="9224" width="1.7109375" style="1305" customWidth="1"/>
    <col min="9225" max="9225" width="12.28515625" style="1305" customWidth="1"/>
    <col min="9226" max="9227" width="15.28515625" style="1305" customWidth="1"/>
    <col min="9228" max="9236" width="6.7109375" style="1305" customWidth="1"/>
    <col min="9237" max="9237" width="0.7109375" style="1305" customWidth="1"/>
    <col min="9238" max="9238" width="65.28515625" style="1305" customWidth="1"/>
    <col min="9239" max="9239" width="2" style="1305" customWidth="1"/>
    <col min="9240" max="9479" width="8.7109375" style="1305"/>
    <col min="9480" max="9480" width="1.7109375" style="1305" customWidth="1"/>
    <col min="9481" max="9481" width="12.28515625" style="1305" customWidth="1"/>
    <col min="9482" max="9483" width="15.28515625" style="1305" customWidth="1"/>
    <col min="9484" max="9492" width="6.7109375" style="1305" customWidth="1"/>
    <col min="9493" max="9493" width="0.7109375" style="1305" customWidth="1"/>
    <col min="9494" max="9494" width="65.28515625" style="1305" customWidth="1"/>
    <col min="9495" max="9495" width="2" style="1305" customWidth="1"/>
    <col min="9496" max="9735" width="8.7109375" style="1305"/>
    <col min="9736" max="9736" width="1.7109375" style="1305" customWidth="1"/>
    <col min="9737" max="9737" width="12.28515625" style="1305" customWidth="1"/>
    <col min="9738" max="9739" width="15.28515625" style="1305" customWidth="1"/>
    <col min="9740" max="9748" width="6.7109375" style="1305" customWidth="1"/>
    <col min="9749" max="9749" width="0.7109375" style="1305" customWidth="1"/>
    <col min="9750" max="9750" width="65.28515625" style="1305" customWidth="1"/>
    <col min="9751" max="9751" width="2" style="1305" customWidth="1"/>
    <col min="9752" max="9991" width="8.7109375" style="1305"/>
    <col min="9992" max="9992" width="1.7109375" style="1305" customWidth="1"/>
    <col min="9993" max="9993" width="12.28515625" style="1305" customWidth="1"/>
    <col min="9994" max="9995" width="15.28515625" style="1305" customWidth="1"/>
    <col min="9996" max="10004" width="6.7109375" style="1305" customWidth="1"/>
    <col min="10005" max="10005" width="0.7109375" style="1305" customWidth="1"/>
    <col min="10006" max="10006" width="65.28515625" style="1305" customWidth="1"/>
    <col min="10007" max="10007" width="2" style="1305" customWidth="1"/>
    <col min="10008" max="10247" width="8.7109375" style="1305"/>
    <col min="10248" max="10248" width="1.7109375" style="1305" customWidth="1"/>
    <col min="10249" max="10249" width="12.28515625" style="1305" customWidth="1"/>
    <col min="10250" max="10251" width="15.28515625" style="1305" customWidth="1"/>
    <col min="10252" max="10260" width="6.7109375" style="1305" customWidth="1"/>
    <col min="10261" max="10261" width="0.7109375" style="1305" customWidth="1"/>
    <col min="10262" max="10262" width="65.28515625" style="1305" customWidth="1"/>
    <col min="10263" max="10263" width="2" style="1305" customWidth="1"/>
    <col min="10264" max="10503" width="8.7109375" style="1305"/>
    <col min="10504" max="10504" width="1.7109375" style="1305" customWidth="1"/>
    <col min="10505" max="10505" width="12.28515625" style="1305" customWidth="1"/>
    <col min="10506" max="10507" width="15.28515625" style="1305" customWidth="1"/>
    <col min="10508" max="10516" width="6.7109375" style="1305" customWidth="1"/>
    <col min="10517" max="10517" width="0.7109375" style="1305" customWidth="1"/>
    <col min="10518" max="10518" width="65.28515625" style="1305" customWidth="1"/>
    <col min="10519" max="10519" width="2" style="1305" customWidth="1"/>
    <col min="10520" max="10759" width="8.7109375" style="1305"/>
    <col min="10760" max="10760" width="1.7109375" style="1305" customWidth="1"/>
    <col min="10761" max="10761" width="12.28515625" style="1305" customWidth="1"/>
    <col min="10762" max="10763" width="15.28515625" style="1305" customWidth="1"/>
    <col min="10764" max="10772" width="6.7109375" style="1305" customWidth="1"/>
    <col min="10773" max="10773" width="0.7109375" style="1305" customWidth="1"/>
    <col min="10774" max="10774" width="65.28515625" style="1305" customWidth="1"/>
    <col min="10775" max="10775" width="2" style="1305" customWidth="1"/>
    <col min="10776" max="11015" width="8.7109375" style="1305"/>
    <col min="11016" max="11016" width="1.7109375" style="1305" customWidth="1"/>
    <col min="11017" max="11017" width="12.28515625" style="1305" customWidth="1"/>
    <col min="11018" max="11019" width="15.28515625" style="1305" customWidth="1"/>
    <col min="11020" max="11028" width="6.7109375" style="1305" customWidth="1"/>
    <col min="11029" max="11029" width="0.7109375" style="1305" customWidth="1"/>
    <col min="11030" max="11030" width="65.28515625" style="1305" customWidth="1"/>
    <col min="11031" max="11031" width="2" style="1305" customWidth="1"/>
    <col min="11032" max="11271" width="8.7109375" style="1305"/>
    <col min="11272" max="11272" width="1.7109375" style="1305" customWidth="1"/>
    <col min="11273" max="11273" width="12.28515625" style="1305" customWidth="1"/>
    <col min="11274" max="11275" width="15.28515625" style="1305" customWidth="1"/>
    <col min="11276" max="11284" width="6.7109375" style="1305" customWidth="1"/>
    <col min="11285" max="11285" width="0.7109375" style="1305" customWidth="1"/>
    <col min="11286" max="11286" width="65.28515625" style="1305" customWidth="1"/>
    <col min="11287" max="11287" width="2" style="1305" customWidth="1"/>
    <col min="11288" max="11527" width="8.7109375" style="1305"/>
    <col min="11528" max="11528" width="1.7109375" style="1305" customWidth="1"/>
    <col min="11529" max="11529" width="12.28515625" style="1305" customWidth="1"/>
    <col min="11530" max="11531" width="15.28515625" style="1305" customWidth="1"/>
    <col min="11532" max="11540" width="6.7109375" style="1305" customWidth="1"/>
    <col min="11541" max="11541" width="0.7109375" style="1305" customWidth="1"/>
    <col min="11542" max="11542" width="65.28515625" style="1305" customWidth="1"/>
    <col min="11543" max="11543" width="2" style="1305" customWidth="1"/>
    <col min="11544" max="11783" width="8.7109375" style="1305"/>
    <col min="11784" max="11784" width="1.7109375" style="1305" customWidth="1"/>
    <col min="11785" max="11785" width="12.28515625" style="1305" customWidth="1"/>
    <col min="11786" max="11787" width="15.28515625" style="1305" customWidth="1"/>
    <col min="11788" max="11796" width="6.7109375" style="1305" customWidth="1"/>
    <col min="11797" max="11797" width="0.7109375" style="1305" customWidth="1"/>
    <col min="11798" max="11798" width="65.28515625" style="1305" customWidth="1"/>
    <col min="11799" max="11799" width="2" style="1305" customWidth="1"/>
    <col min="11800" max="12039" width="8.7109375" style="1305"/>
    <col min="12040" max="12040" width="1.7109375" style="1305" customWidth="1"/>
    <col min="12041" max="12041" width="12.28515625" style="1305" customWidth="1"/>
    <col min="12042" max="12043" width="15.28515625" style="1305" customWidth="1"/>
    <col min="12044" max="12052" width="6.7109375" style="1305" customWidth="1"/>
    <col min="12053" max="12053" width="0.7109375" style="1305" customWidth="1"/>
    <col min="12054" max="12054" width="65.28515625" style="1305" customWidth="1"/>
    <col min="12055" max="12055" width="2" style="1305" customWidth="1"/>
    <col min="12056" max="12295" width="8.7109375" style="1305"/>
    <col min="12296" max="12296" width="1.7109375" style="1305" customWidth="1"/>
    <col min="12297" max="12297" width="12.28515625" style="1305" customWidth="1"/>
    <col min="12298" max="12299" width="15.28515625" style="1305" customWidth="1"/>
    <col min="12300" max="12308" width="6.7109375" style="1305" customWidth="1"/>
    <col min="12309" max="12309" width="0.7109375" style="1305" customWidth="1"/>
    <col min="12310" max="12310" width="65.28515625" style="1305" customWidth="1"/>
    <col min="12311" max="12311" width="2" style="1305" customWidth="1"/>
    <col min="12312" max="12551" width="8.7109375" style="1305"/>
    <col min="12552" max="12552" width="1.7109375" style="1305" customWidth="1"/>
    <col min="12553" max="12553" width="12.28515625" style="1305" customWidth="1"/>
    <col min="12554" max="12555" width="15.28515625" style="1305" customWidth="1"/>
    <col min="12556" max="12564" width="6.7109375" style="1305" customWidth="1"/>
    <col min="12565" max="12565" width="0.7109375" style="1305" customWidth="1"/>
    <col min="12566" max="12566" width="65.28515625" style="1305" customWidth="1"/>
    <col min="12567" max="12567" width="2" style="1305" customWidth="1"/>
    <col min="12568" max="12807" width="8.7109375" style="1305"/>
    <col min="12808" max="12808" width="1.7109375" style="1305" customWidth="1"/>
    <col min="12809" max="12809" width="12.28515625" style="1305" customWidth="1"/>
    <col min="12810" max="12811" width="15.28515625" style="1305" customWidth="1"/>
    <col min="12812" max="12820" width="6.7109375" style="1305" customWidth="1"/>
    <col min="12821" max="12821" width="0.7109375" style="1305" customWidth="1"/>
    <col min="12822" max="12822" width="65.28515625" style="1305" customWidth="1"/>
    <col min="12823" max="12823" width="2" style="1305" customWidth="1"/>
    <col min="12824" max="13063" width="8.7109375" style="1305"/>
    <col min="13064" max="13064" width="1.7109375" style="1305" customWidth="1"/>
    <col min="13065" max="13065" width="12.28515625" style="1305" customWidth="1"/>
    <col min="13066" max="13067" width="15.28515625" style="1305" customWidth="1"/>
    <col min="13068" max="13076" width="6.7109375" style="1305" customWidth="1"/>
    <col min="13077" max="13077" width="0.7109375" style="1305" customWidth="1"/>
    <col min="13078" max="13078" width="65.28515625" style="1305" customWidth="1"/>
    <col min="13079" max="13079" width="2" style="1305" customWidth="1"/>
    <col min="13080" max="13319" width="8.7109375" style="1305"/>
    <col min="13320" max="13320" width="1.7109375" style="1305" customWidth="1"/>
    <col min="13321" max="13321" width="12.28515625" style="1305" customWidth="1"/>
    <col min="13322" max="13323" width="15.28515625" style="1305" customWidth="1"/>
    <col min="13324" max="13332" width="6.7109375" style="1305" customWidth="1"/>
    <col min="13333" max="13333" width="0.7109375" style="1305" customWidth="1"/>
    <col min="13334" max="13334" width="65.28515625" style="1305" customWidth="1"/>
    <col min="13335" max="13335" width="2" style="1305" customWidth="1"/>
    <col min="13336" max="13575" width="8.7109375" style="1305"/>
    <col min="13576" max="13576" width="1.7109375" style="1305" customWidth="1"/>
    <col min="13577" max="13577" width="12.28515625" style="1305" customWidth="1"/>
    <col min="13578" max="13579" width="15.28515625" style="1305" customWidth="1"/>
    <col min="13580" max="13588" width="6.7109375" style="1305" customWidth="1"/>
    <col min="13589" max="13589" width="0.7109375" style="1305" customWidth="1"/>
    <col min="13590" max="13590" width="65.28515625" style="1305" customWidth="1"/>
    <col min="13591" max="13591" width="2" style="1305" customWidth="1"/>
    <col min="13592" max="13831" width="8.7109375" style="1305"/>
    <col min="13832" max="13832" width="1.7109375" style="1305" customWidth="1"/>
    <col min="13833" max="13833" width="12.28515625" style="1305" customWidth="1"/>
    <col min="13834" max="13835" width="15.28515625" style="1305" customWidth="1"/>
    <col min="13836" max="13844" width="6.7109375" style="1305" customWidth="1"/>
    <col min="13845" max="13845" width="0.7109375" style="1305" customWidth="1"/>
    <col min="13846" max="13846" width="65.28515625" style="1305" customWidth="1"/>
    <col min="13847" max="13847" width="2" style="1305" customWidth="1"/>
    <col min="13848" max="14087" width="8.7109375" style="1305"/>
    <col min="14088" max="14088" width="1.7109375" style="1305" customWidth="1"/>
    <col min="14089" max="14089" width="12.28515625" style="1305" customWidth="1"/>
    <col min="14090" max="14091" width="15.28515625" style="1305" customWidth="1"/>
    <col min="14092" max="14100" width="6.7109375" style="1305" customWidth="1"/>
    <col min="14101" max="14101" width="0.7109375" style="1305" customWidth="1"/>
    <col min="14102" max="14102" width="65.28515625" style="1305" customWidth="1"/>
    <col min="14103" max="14103" width="2" style="1305" customWidth="1"/>
    <col min="14104" max="14343" width="8.7109375" style="1305"/>
    <col min="14344" max="14344" width="1.7109375" style="1305" customWidth="1"/>
    <col min="14345" max="14345" width="12.28515625" style="1305" customWidth="1"/>
    <col min="14346" max="14347" width="15.28515625" style="1305" customWidth="1"/>
    <col min="14348" max="14356" width="6.7109375" style="1305" customWidth="1"/>
    <col min="14357" max="14357" width="0.7109375" style="1305" customWidth="1"/>
    <col min="14358" max="14358" width="65.28515625" style="1305" customWidth="1"/>
    <col min="14359" max="14359" width="2" style="1305" customWidth="1"/>
    <col min="14360" max="14599" width="8.7109375" style="1305"/>
    <col min="14600" max="14600" width="1.7109375" style="1305" customWidth="1"/>
    <col min="14601" max="14601" width="12.28515625" style="1305" customWidth="1"/>
    <col min="14602" max="14603" width="15.28515625" style="1305" customWidth="1"/>
    <col min="14604" max="14612" width="6.7109375" style="1305" customWidth="1"/>
    <col min="14613" max="14613" width="0.7109375" style="1305" customWidth="1"/>
    <col min="14614" max="14614" width="65.28515625" style="1305" customWidth="1"/>
    <col min="14615" max="14615" width="2" style="1305" customWidth="1"/>
    <col min="14616" max="14855" width="8.7109375" style="1305"/>
    <col min="14856" max="14856" width="1.7109375" style="1305" customWidth="1"/>
    <col min="14857" max="14857" width="12.28515625" style="1305" customWidth="1"/>
    <col min="14858" max="14859" width="15.28515625" style="1305" customWidth="1"/>
    <col min="14860" max="14868" width="6.7109375" style="1305" customWidth="1"/>
    <col min="14869" max="14869" width="0.7109375" style="1305" customWidth="1"/>
    <col min="14870" max="14870" width="65.28515625" style="1305" customWidth="1"/>
    <col min="14871" max="14871" width="2" style="1305" customWidth="1"/>
    <col min="14872" max="15111" width="8.7109375" style="1305"/>
    <col min="15112" max="15112" width="1.7109375" style="1305" customWidth="1"/>
    <col min="15113" max="15113" width="12.28515625" style="1305" customWidth="1"/>
    <col min="15114" max="15115" width="15.28515625" style="1305" customWidth="1"/>
    <col min="15116" max="15124" width="6.7109375" style="1305" customWidth="1"/>
    <col min="15125" max="15125" width="0.7109375" style="1305" customWidth="1"/>
    <col min="15126" max="15126" width="65.28515625" style="1305" customWidth="1"/>
    <col min="15127" max="15127" width="2" style="1305" customWidth="1"/>
    <col min="15128" max="15367" width="8.7109375" style="1305"/>
    <col min="15368" max="15368" width="1.7109375" style="1305" customWidth="1"/>
    <col min="15369" max="15369" width="12.28515625" style="1305" customWidth="1"/>
    <col min="15370" max="15371" width="15.28515625" style="1305" customWidth="1"/>
    <col min="15372" max="15380" width="6.7109375" style="1305" customWidth="1"/>
    <col min="15381" max="15381" width="0.7109375" style="1305" customWidth="1"/>
    <col min="15382" max="15382" width="65.28515625" style="1305" customWidth="1"/>
    <col min="15383" max="15383" width="2" style="1305" customWidth="1"/>
    <col min="15384" max="15623" width="8.7109375" style="1305"/>
    <col min="15624" max="15624" width="1.7109375" style="1305" customWidth="1"/>
    <col min="15625" max="15625" width="12.28515625" style="1305" customWidth="1"/>
    <col min="15626" max="15627" width="15.28515625" style="1305" customWidth="1"/>
    <col min="15628" max="15636" width="6.7109375" style="1305" customWidth="1"/>
    <col min="15637" max="15637" width="0.7109375" style="1305" customWidth="1"/>
    <col min="15638" max="15638" width="65.28515625" style="1305" customWidth="1"/>
    <col min="15639" max="15639" width="2" style="1305" customWidth="1"/>
    <col min="15640" max="15879" width="8.7109375" style="1305"/>
    <col min="15880" max="15880" width="1.7109375" style="1305" customWidth="1"/>
    <col min="15881" max="15881" width="12.28515625" style="1305" customWidth="1"/>
    <col min="15882" max="15883" width="15.28515625" style="1305" customWidth="1"/>
    <col min="15884" max="15892" width="6.7109375" style="1305" customWidth="1"/>
    <col min="15893" max="15893" width="0.7109375" style="1305" customWidth="1"/>
    <col min="15894" max="15894" width="65.28515625" style="1305" customWidth="1"/>
    <col min="15895" max="15895" width="2" style="1305" customWidth="1"/>
    <col min="15896" max="16135" width="8.7109375" style="1305"/>
    <col min="16136" max="16136" width="1.7109375" style="1305" customWidth="1"/>
    <col min="16137" max="16137" width="12.28515625" style="1305" customWidth="1"/>
    <col min="16138" max="16139" width="15.28515625" style="1305" customWidth="1"/>
    <col min="16140" max="16148" width="6.7109375" style="1305" customWidth="1"/>
    <col min="16149" max="16149" width="0.7109375" style="1305" customWidth="1"/>
    <col min="16150" max="16150" width="65.28515625" style="1305" customWidth="1"/>
    <col min="16151" max="16151" width="2" style="1305" customWidth="1"/>
    <col min="16152" max="16384" width="8.7109375" style="1305"/>
  </cols>
  <sheetData>
    <row r="1" spans="1:50" ht="9" customHeight="1">
      <c r="A1" s="1303"/>
      <c r="B1" s="1303"/>
      <c r="C1" s="1303"/>
      <c r="D1" s="1303"/>
      <c r="E1" s="1303"/>
      <c r="F1" s="1303"/>
      <c r="G1" s="1303"/>
      <c r="H1" s="1303"/>
      <c r="I1" s="1303"/>
      <c r="J1" s="1303"/>
      <c r="K1" s="1303"/>
      <c r="L1" s="1303"/>
      <c r="M1" s="1303"/>
      <c r="N1" s="1303"/>
      <c r="O1" s="1303"/>
      <c r="P1" s="1303"/>
      <c r="Q1" s="1303"/>
      <c r="R1" s="1304"/>
      <c r="S1" s="1304"/>
      <c r="T1" s="1304"/>
    </row>
    <row r="2" spans="1:50" ht="18.75" customHeight="1">
      <c r="A2" s="1303"/>
      <c r="B2" s="1929" t="s">
        <v>2199</v>
      </c>
      <c r="C2" s="1930"/>
      <c r="D2" s="1930"/>
      <c r="E2" s="1930"/>
      <c r="F2" s="1930"/>
      <c r="G2" s="1930"/>
      <c r="H2" s="1930"/>
      <c r="I2" s="1930"/>
      <c r="J2" s="1930"/>
      <c r="K2" s="1930"/>
      <c r="L2" s="1930"/>
      <c r="M2" s="1930"/>
      <c r="N2" s="1930"/>
      <c r="O2" s="1930"/>
      <c r="P2" s="1930"/>
      <c r="Q2" s="1930"/>
      <c r="R2" s="1930"/>
      <c r="S2" s="1930"/>
      <c r="T2" s="1306"/>
    </row>
    <row r="3" spans="1:50" ht="3.4" customHeight="1">
      <c r="A3" s="1303"/>
      <c r="B3" s="1307"/>
      <c r="C3" s="1307"/>
      <c r="D3" s="1307"/>
      <c r="E3" s="1307"/>
      <c r="F3" s="1307"/>
      <c r="G3" s="1307"/>
      <c r="H3" s="1307"/>
      <c r="I3" s="1307"/>
      <c r="J3" s="1307"/>
      <c r="K3" s="1307"/>
      <c r="L3" s="1307"/>
      <c r="M3" s="1307"/>
      <c r="N3" s="1307"/>
      <c r="O3" s="1307"/>
      <c r="P3" s="1307"/>
      <c r="Q3" s="1307"/>
      <c r="R3" s="1306"/>
      <c r="S3" s="1306"/>
      <c r="T3" s="1306"/>
    </row>
    <row r="4" spans="1:50" ht="18.75" customHeight="1">
      <c r="A4" s="1303"/>
      <c r="B4" s="1931" t="s">
        <v>2200</v>
      </c>
      <c r="C4" s="1930"/>
      <c r="D4" s="1930"/>
      <c r="E4" s="1930"/>
      <c r="F4" s="1930"/>
      <c r="G4" s="1930"/>
      <c r="H4" s="1930"/>
      <c r="I4" s="1930"/>
      <c r="J4" s="1930"/>
      <c r="K4" s="1930"/>
      <c r="L4" s="1930"/>
      <c r="M4" s="1930"/>
      <c r="N4" s="1930"/>
      <c r="O4" s="1930"/>
      <c r="P4" s="1930"/>
      <c r="Q4" s="1930"/>
      <c r="R4" s="1930"/>
      <c r="S4" s="1930"/>
      <c r="T4" s="1306"/>
    </row>
    <row r="5" spans="1:50" ht="3.4" customHeight="1">
      <c r="A5" s="1303"/>
      <c r="B5" s="1307"/>
      <c r="C5" s="1307"/>
      <c r="D5" s="1307"/>
      <c r="E5" s="1307"/>
      <c r="F5" s="1307"/>
      <c r="G5" s="1307"/>
      <c r="H5" s="1307"/>
      <c r="I5" s="1307"/>
      <c r="J5" s="1307"/>
      <c r="K5" s="1307"/>
      <c r="L5" s="1307"/>
      <c r="M5" s="1307"/>
      <c r="N5" s="1307"/>
      <c r="O5" s="1307"/>
      <c r="P5" s="1307"/>
      <c r="Q5" s="1307"/>
      <c r="R5" s="1306"/>
      <c r="S5" s="1306"/>
      <c r="T5" s="1306"/>
    </row>
    <row r="6" spans="1:50" ht="14.65" customHeight="1">
      <c r="A6" s="1303"/>
      <c r="B6" s="1307"/>
      <c r="C6" s="1307"/>
      <c r="D6" s="1307"/>
      <c r="E6" s="1307" t="s">
        <v>2201</v>
      </c>
      <c r="F6" s="1307" t="s">
        <v>2202</v>
      </c>
      <c r="G6" s="1307"/>
      <c r="H6" s="1307"/>
      <c r="I6" s="1307"/>
      <c r="J6" s="1307"/>
      <c r="K6" s="1307"/>
      <c r="L6" s="1307"/>
      <c r="M6" s="1307"/>
      <c r="N6" s="1307"/>
      <c r="O6" s="1307"/>
      <c r="P6" s="1307"/>
      <c r="Q6" s="1307"/>
      <c r="R6" s="1306"/>
      <c r="S6" s="1306"/>
      <c r="T6" s="1305" t="s">
        <v>2203</v>
      </c>
    </row>
    <row r="7" spans="1:50" ht="15">
      <c r="A7" s="1303"/>
      <c r="B7" s="1932" t="s">
        <v>943</v>
      </c>
      <c r="C7" s="1934" t="s">
        <v>339</v>
      </c>
      <c r="D7" s="1308"/>
      <c r="E7" s="1309">
        <v>3</v>
      </c>
      <c r="F7" s="1310">
        <v>7.0000000000000007E-2</v>
      </c>
      <c r="G7" s="1308"/>
      <c r="H7" s="1308"/>
      <c r="I7" s="1308"/>
      <c r="J7" s="1308"/>
      <c r="K7" s="1308"/>
      <c r="L7" s="1311" t="s">
        <v>2204</v>
      </c>
      <c r="M7" s="1308"/>
      <c r="N7" s="1308"/>
      <c r="O7" s="1308"/>
      <c r="P7" s="1308"/>
      <c r="Q7" s="1308"/>
      <c r="R7" s="1306"/>
      <c r="S7" s="1306"/>
      <c r="T7" s="1312">
        <v>2010</v>
      </c>
      <c r="U7" s="1305">
        <f>T7</f>
        <v>2010</v>
      </c>
      <c r="V7" s="1305">
        <f>U7</f>
        <v>2010</v>
      </c>
      <c r="W7" s="1305">
        <f>U7</f>
        <v>2010</v>
      </c>
      <c r="X7" s="1305">
        <f>W7</f>
        <v>2010</v>
      </c>
      <c r="Y7" s="1305">
        <f>X7</f>
        <v>2010</v>
      </c>
      <c r="AF7" s="1305" t="s">
        <v>2205</v>
      </c>
    </row>
    <row r="8" spans="1:50" ht="40.5" customHeight="1">
      <c r="A8" s="1303"/>
      <c r="B8" s="1933"/>
      <c r="C8" s="1933"/>
      <c r="D8" s="1307" t="s">
        <v>2206</v>
      </c>
      <c r="E8" s="1307" t="s">
        <v>2207</v>
      </c>
      <c r="F8" s="1307" t="s">
        <v>2208</v>
      </c>
      <c r="G8" s="1307"/>
      <c r="H8" s="1307"/>
      <c r="I8" s="1307"/>
      <c r="J8" s="1307"/>
      <c r="K8" s="1307"/>
      <c r="L8" s="1307" t="s">
        <v>2209</v>
      </c>
      <c r="M8" s="1307" t="s">
        <v>2208</v>
      </c>
      <c r="N8" s="1307" t="s">
        <v>2210</v>
      </c>
      <c r="O8" s="1307" t="s">
        <v>2211</v>
      </c>
      <c r="P8" s="1307" t="s">
        <v>2212</v>
      </c>
      <c r="Q8" s="1307" t="s">
        <v>2213</v>
      </c>
      <c r="R8" s="1307" t="s">
        <v>2214</v>
      </c>
      <c r="S8" s="1306"/>
      <c r="T8" s="1313" t="s">
        <v>2215</v>
      </c>
      <c r="U8" s="1313" t="s">
        <v>2216</v>
      </c>
      <c r="V8" s="1313" t="s">
        <v>2217</v>
      </c>
      <c r="W8" s="1313" t="s">
        <v>2218</v>
      </c>
      <c r="X8" s="1313" t="s">
        <v>2219</v>
      </c>
      <c r="Y8" s="1313" t="s">
        <v>2220</v>
      </c>
      <c r="AF8" s="430" t="s">
        <v>2221</v>
      </c>
      <c r="AG8" s="430" t="s">
        <v>2222</v>
      </c>
      <c r="AH8" s="430" t="s">
        <v>2223</v>
      </c>
      <c r="AI8" s="430"/>
      <c r="AL8" s="1305" t="s">
        <v>371</v>
      </c>
      <c r="AM8" s="1305" t="s">
        <v>382</v>
      </c>
      <c r="AN8" s="1305" t="s">
        <v>239</v>
      </c>
      <c r="AU8" s="1305" t="s">
        <v>371</v>
      </c>
      <c r="AV8" s="1305" t="s">
        <v>382</v>
      </c>
      <c r="AW8" s="1305" t="s">
        <v>239</v>
      </c>
    </row>
    <row r="9" spans="1:50" ht="18" customHeight="1">
      <c r="A9" s="1303"/>
      <c r="B9" s="1314" t="s">
        <v>2224</v>
      </c>
      <c r="C9" s="1315" t="s">
        <v>2225</v>
      </c>
      <c r="D9" s="1316">
        <f t="shared" ref="D9:D72" si="0">DATE(G9,H9,I9)</f>
        <v>41880</v>
      </c>
      <c r="E9" s="1315">
        <f t="shared" ref="E9:E21" si="1">VALUE(C9)</f>
        <v>10.6038</v>
      </c>
      <c r="F9" s="1315">
        <f t="shared" ref="F9:F72" si="2">F10*(1+$F$7/365)</f>
        <v>9.7979191679833217</v>
      </c>
      <c r="G9" s="1315">
        <f t="shared" ref="G9:G21" si="3">YEAR(B9)</f>
        <v>2014</v>
      </c>
      <c r="H9" s="1315">
        <f t="shared" ref="H9:H21" si="4">MONTH(B9)</f>
        <v>8</v>
      </c>
      <c r="I9" s="1315">
        <f t="shared" ref="I9:I21" si="5">DAY(B9)</f>
        <v>29</v>
      </c>
      <c r="J9" s="1315"/>
      <c r="K9" s="1317">
        <v>1990</v>
      </c>
      <c r="L9" s="1318">
        <f t="shared" ref="L9:L33" si="6">SUMIF($G$9:$G$6181,K9,$E$9:$E$6181)/COUNTIF($G$9:$G$6181,K9)</f>
        <v>2.5889442231075721</v>
      </c>
      <c r="M9" s="1318">
        <f t="shared" ref="M9:M33" si="7">SUMIF($G$9:$G$6181,K9,$F$9:$F$6181)/COUNTIF($G$9:$G$6181,K9)</f>
        <v>3.0730763239088108</v>
      </c>
      <c r="N9" s="1319">
        <v>2.2000000000000002</v>
      </c>
      <c r="O9" s="1319">
        <v>2</v>
      </c>
      <c r="P9" s="1318">
        <f>AO42</f>
        <v>11.808436192069152</v>
      </c>
      <c r="Q9" s="1318">
        <f t="shared" ref="Q9:Q14" si="8">R9</f>
        <v>10.990833333333301</v>
      </c>
      <c r="R9" s="1318">
        <f>AI41</f>
        <v>10.990833333333301</v>
      </c>
      <c r="S9" s="1306">
        <f>K9</f>
        <v>1990</v>
      </c>
      <c r="T9" s="1320">
        <f>IF($K9=T$7,L9,SUMIF($K$9:$K$33,T$7,T$9:T$33)/AP42)</f>
        <v>11.08786193480141</v>
      </c>
      <c r="U9" s="1320">
        <f>IF($K9=U$7,N9,SUMIF($K$9:$K$33,U$7,U$9:U$33)/AP42)</f>
        <v>12.278943417949787</v>
      </c>
      <c r="V9" s="1320">
        <f>IF($K9=V$7,O9,SUMIF($K$9:$K$33,V$7,V$9:V$33)/AP42)</f>
        <v>12.749665312562019</v>
      </c>
      <c r="W9" s="1320">
        <f t="shared" ref="W9:W33" si="9">L9/AQ41</f>
        <v>16.272352439573087</v>
      </c>
      <c r="X9" s="1320">
        <f t="shared" ref="X9:X33" si="10">N9/AQ41</f>
        <v>13.827712102692649</v>
      </c>
      <c r="Y9" s="1320">
        <f>O9/AQ41</f>
        <v>12.570647366084225</v>
      </c>
      <c r="AF9" s="430" t="s">
        <v>2226</v>
      </c>
      <c r="AG9" s="430" t="s">
        <v>2227</v>
      </c>
      <c r="AH9" s="430" t="s">
        <v>2227</v>
      </c>
      <c r="AI9" s="430"/>
      <c r="AL9" s="1305" t="s">
        <v>2221</v>
      </c>
      <c r="AM9" s="1305" t="s">
        <v>2222</v>
      </c>
      <c r="AN9" s="1305" t="s">
        <v>2223</v>
      </c>
      <c r="AU9" s="1305" t="s">
        <v>2221</v>
      </c>
      <c r="AV9" s="1305" t="s">
        <v>2222</v>
      </c>
      <c r="AW9" s="1305" t="s">
        <v>2223</v>
      </c>
    </row>
    <row r="10" spans="1:50" ht="18" customHeight="1">
      <c r="A10" s="1303"/>
      <c r="B10" s="1314" t="s">
        <v>2228</v>
      </c>
      <c r="C10" s="1315" t="s">
        <v>2229</v>
      </c>
      <c r="D10" s="1316">
        <f t="shared" si="0"/>
        <v>41879</v>
      </c>
      <c r="E10" s="1315">
        <f t="shared" si="1"/>
        <v>10.6435</v>
      </c>
      <c r="F10" s="1315">
        <f t="shared" si="2"/>
        <v>9.7960404752894306</v>
      </c>
      <c r="G10" s="1315">
        <f t="shared" si="3"/>
        <v>2014</v>
      </c>
      <c r="H10" s="1315">
        <f t="shared" si="4"/>
        <v>8</v>
      </c>
      <c r="I10" s="1315">
        <f t="shared" si="5"/>
        <v>28</v>
      </c>
      <c r="J10" s="1315"/>
      <c r="K10" s="1317">
        <f t="shared" ref="K10:K33" si="11">K9+1</f>
        <v>1991</v>
      </c>
      <c r="L10" s="1318">
        <f t="shared" si="6"/>
        <v>2.7628585657370519</v>
      </c>
      <c r="M10" s="1318">
        <f t="shared" si="7"/>
        <v>3.2246083170471329</v>
      </c>
      <c r="N10" s="1318">
        <f t="shared" ref="N10:O25" si="12">N9*(1+P10/100)</f>
        <v>2.4730569222625949</v>
      </c>
      <c r="O10" s="1318">
        <f t="shared" si="12"/>
        <v>2.2369833333333333</v>
      </c>
      <c r="P10" s="1318">
        <f t="shared" ref="P10:P32" si="13">AO43</f>
        <v>12.411678284663381</v>
      </c>
      <c r="Q10" s="1318">
        <f t="shared" si="8"/>
        <v>11.849166666666671</v>
      </c>
      <c r="R10" s="1318">
        <f t="shared" ref="R10:R32" si="14">AI42</f>
        <v>11.849166666666671</v>
      </c>
      <c r="S10" s="1306">
        <f t="shared" ref="S10:S33" si="15">K10</f>
        <v>1991</v>
      </c>
      <c r="T10" s="1320">
        <f t="shared" ref="T10:T33" si="16">IF($K10=T$7,L10,SUMIF($K$9:$K$33,T$7,T$9:T$33)/AP43)</f>
        <v>10.732058728066116</v>
      </c>
      <c r="U10" s="1320">
        <f t="shared" ref="U10:U33" si="17">IF($K10=U$7,N10,SUMIF($K$9:$K$33,U$7,U$9:U$33)/AP43)</f>
        <v>11.884919081326766</v>
      </c>
      <c r="V10" s="1320">
        <f t="shared" ref="V10:V33" si="18">IF($K10=V$7,O10,SUMIF($K$9:$K$33,V$7,V$9:V$33)/AP43)</f>
        <v>12.340535777067622</v>
      </c>
      <c r="W10" s="1320">
        <f t="shared" si="9"/>
        <v>15.032231484655695</v>
      </c>
      <c r="X10" s="1320">
        <f t="shared" si="10"/>
        <v>13.455471297447362</v>
      </c>
      <c r="Y10" s="1320">
        <f t="shared" ref="Y10:Y33" si="19">O10/AQ42</f>
        <v>12.1710360823384</v>
      </c>
      <c r="AF10" s="430" t="s">
        <v>2230</v>
      </c>
      <c r="AG10" s="430" t="s">
        <v>2231</v>
      </c>
      <c r="AH10" s="430" t="s">
        <v>2231</v>
      </c>
      <c r="AI10" s="430"/>
      <c r="AL10" s="1305" t="s">
        <v>2226</v>
      </c>
      <c r="AM10" s="1305" t="s">
        <v>2232</v>
      </c>
      <c r="AN10" s="1305" t="s">
        <v>2232</v>
      </c>
      <c r="AO10" s="1305" t="s">
        <v>2233</v>
      </c>
      <c r="AP10" s="1305" t="s">
        <v>2234</v>
      </c>
      <c r="AQ10" s="1305" t="s">
        <v>2234</v>
      </c>
      <c r="AU10" s="1305" t="s">
        <v>2226</v>
      </c>
      <c r="AV10" s="1305" t="s">
        <v>2235</v>
      </c>
      <c r="AW10" s="1305" t="s">
        <v>2235</v>
      </c>
      <c r="AX10" s="1305" t="s">
        <v>2233</v>
      </c>
    </row>
    <row r="11" spans="1:50" ht="18" customHeight="1">
      <c r="A11" s="1303"/>
      <c r="B11" s="1314" t="s">
        <v>2236</v>
      </c>
      <c r="C11" s="1315" t="s">
        <v>2237</v>
      </c>
      <c r="D11" s="1316">
        <f t="shared" si="0"/>
        <v>41878</v>
      </c>
      <c r="E11" s="1315">
        <f t="shared" si="1"/>
        <v>10.6418</v>
      </c>
      <c r="F11" s="1315">
        <f t="shared" si="2"/>
        <v>9.7941621428236836</v>
      </c>
      <c r="G11" s="1315">
        <f t="shared" si="3"/>
        <v>2014</v>
      </c>
      <c r="H11" s="1315">
        <f t="shared" si="4"/>
        <v>8</v>
      </c>
      <c r="I11" s="1315">
        <f t="shared" si="5"/>
        <v>27</v>
      </c>
      <c r="J11" s="1315"/>
      <c r="K11" s="1317">
        <f t="shared" si="11"/>
        <v>1992</v>
      </c>
      <c r="L11" s="1318">
        <f t="shared" si="6"/>
        <v>2.8506062992125973</v>
      </c>
      <c r="M11" s="1318">
        <f t="shared" si="7"/>
        <v>3.3845935545884442</v>
      </c>
      <c r="N11" s="1318">
        <f t="shared" si="12"/>
        <v>2.7770061801711114</v>
      </c>
      <c r="O11" s="1318">
        <f t="shared" si="12"/>
        <v>2.5200549326388879</v>
      </c>
      <c r="P11" s="1318">
        <f t="shared" si="13"/>
        <v>12.290427089338252</v>
      </c>
      <c r="Q11" s="1318">
        <f t="shared" si="8"/>
        <v>12.654166666666633</v>
      </c>
      <c r="R11" s="1318">
        <f t="shared" si="14"/>
        <v>12.654166666666633</v>
      </c>
      <c r="S11" s="1306">
        <f t="shared" si="15"/>
        <v>1992</v>
      </c>
      <c r="T11" s="1320">
        <f t="shared" si="16"/>
        <v>10.492748040322541</v>
      </c>
      <c r="U11" s="1320">
        <f t="shared" si="17"/>
        <v>11.619901135451105</v>
      </c>
      <c r="V11" s="1320">
        <f t="shared" si="18"/>
        <v>12.065358182650339</v>
      </c>
      <c r="W11" s="1320">
        <f t="shared" si="9"/>
        <v>13.4019290483738</v>
      </c>
      <c r="X11" s="1320">
        <f t="shared" si="10"/>
        <v>13.0559031613131</v>
      </c>
      <c r="Y11" s="1320">
        <f t="shared" si="19"/>
        <v>11.847864580443758</v>
      </c>
      <c r="AF11" s="430" t="s">
        <v>2238</v>
      </c>
      <c r="AG11" s="458">
        <v>4.8208333333333302</v>
      </c>
      <c r="AH11" s="458">
        <v>6.2083333333333304</v>
      </c>
      <c r="AI11" s="458"/>
      <c r="AL11" s="1305" t="s">
        <v>2230</v>
      </c>
      <c r="AM11" s="1305" t="s">
        <v>2239</v>
      </c>
      <c r="AN11" s="1305" t="s">
        <v>2239</v>
      </c>
      <c r="AP11" s="1305">
        <f>T7</f>
        <v>2010</v>
      </c>
      <c r="AQ11" s="1305">
        <f>AP11</f>
        <v>2010</v>
      </c>
      <c r="AU11" s="1305" t="s">
        <v>2230</v>
      </c>
      <c r="AV11" s="1305" t="s">
        <v>2240</v>
      </c>
      <c r="AW11" s="1305" t="s">
        <v>2240</v>
      </c>
    </row>
    <row r="12" spans="1:50" ht="18" customHeight="1">
      <c r="A12" s="1303"/>
      <c r="B12" s="1314" t="s">
        <v>2241</v>
      </c>
      <c r="C12" s="1315" t="s">
        <v>2242</v>
      </c>
      <c r="D12" s="1316">
        <f t="shared" si="0"/>
        <v>41877</v>
      </c>
      <c r="E12" s="1315">
        <f t="shared" si="1"/>
        <v>10.687900000000001</v>
      </c>
      <c r="F12" s="1315">
        <f t="shared" si="2"/>
        <v>9.7922841705170089</v>
      </c>
      <c r="G12" s="1315">
        <f t="shared" si="3"/>
        <v>2014</v>
      </c>
      <c r="H12" s="1315">
        <f t="shared" si="4"/>
        <v>8</v>
      </c>
      <c r="I12" s="1315">
        <f t="shared" si="5"/>
        <v>26</v>
      </c>
      <c r="J12" s="1315"/>
      <c r="K12" s="1317">
        <f t="shared" si="11"/>
        <v>1993</v>
      </c>
      <c r="L12" s="1318">
        <f t="shared" si="6"/>
        <v>3.2709692913385835</v>
      </c>
      <c r="M12" s="1318">
        <f t="shared" si="7"/>
        <v>3.5535300332054041</v>
      </c>
      <c r="N12" s="1318">
        <f t="shared" si="12"/>
        <v>3.0742790321337252</v>
      </c>
      <c r="O12" s="1318">
        <f t="shared" si="12"/>
        <v>2.7760505128794537</v>
      </c>
      <c r="P12" s="1318">
        <f t="shared" si="13"/>
        <v>10.704796196899238</v>
      </c>
      <c r="Q12" s="1318">
        <f t="shared" si="8"/>
        <v>10.158333333333299</v>
      </c>
      <c r="R12" s="1318">
        <f t="shared" si="14"/>
        <v>10.158333333333299</v>
      </c>
      <c r="S12" s="1306">
        <f t="shared" si="15"/>
        <v>1993</v>
      </c>
      <c r="T12" s="1320">
        <f t="shared" si="16"/>
        <v>10.248548428183103</v>
      </c>
      <c r="U12" s="1320">
        <f t="shared" si="17"/>
        <v>11.349469086623547</v>
      </c>
      <c r="V12" s="1320">
        <f t="shared" si="18"/>
        <v>11.784558931853116</v>
      </c>
      <c r="W12" s="1320">
        <f t="shared" si="9"/>
        <v>13.422433531159271</v>
      </c>
      <c r="X12" s="1320">
        <f t="shared" si="10"/>
        <v>12.615314388404096</v>
      </c>
      <c r="Y12" s="1320">
        <f t="shared" si="19"/>
        <v>11.3915326527008</v>
      </c>
      <c r="AF12" s="430" t="s">
        <v>2243</v>
      </c>
      <c r="AG12" s="458">
        <v>4.5</v>
      </c>
      <c r="AH12" s="458">
        <v>6.8333333333333304</v>
      </c>
      <c r="AI12" s="458"/>
      <c r="AL12" s="1305">
        <v>1960</v>
      </c>
      <c r="AU12" s="1305" t="s">
        <v>2238</v>
      </c>
    </row>
    <row r="13" spans="1:50" ht="18" customHeight="1">
      <c r="A13" s="1303"/>
      <c r="B13" s="1314" t="s">
        <v>2244</v>
      </c>
      <c r="C13" s="1315" t="s">
        <v>2245</v>
      </c>
      <c r="D13" s="1316">
        <f t="shared" si="0"/>
        <v>41876</v>
      </c>
      <c r="E13" s="1315">
        <f t="shared" si="1"/>
        <v>10.692</v>
      </c>
      <c r="F13" s="1315">
        <f t="shared" si="2"/>
        <v>9.790406558300349</v>
      </c>
      <c r="G13" s="1315">
        <f t="shared" si="3"/>
        <v>2014</v>
      </c>
      <c r="H13" s="1315">
        <f t="shared" si="4"/>
        <v>8</v>
      </c>
      <c r="I13" s="1315">
        <f t="shared" si="5"/>
        <v>25</v>
      </c>
      <c r="J13" s="1315"/>
      <c r="K13" s="1317">
        <f t="shared" si="11"/>
        <v>1994</v>
      </c>
      <c r="L13" s="1318">
        <f t="shared" si="6"/>
        <v>3.5487626506024079</v>
      </c>
      <c r="M13" s="1318">
        <f t="shared" si="7"/>
        <v>3.7290961448304842</v>
      </c>
      <c r="N13" s="1318">
        <f t="shared" si="12"/>
        <v>3.3039267382537445</v>
      </c>
      <c r="O13" s="1318">
        <f t="shared" si="12"/>
        <v>3.0104879786921228</v>
      </c>
      <c r="P13" s="1318">
        <f t="shared" si="13"/>
        <v>7.4699695024309705</v>
      </c>
      <c r="Q13" s="1318">
        <f t="shared" si="8"/>
        <v>8.4449999999999701</v>
      </c>
      <c r="R13" s="1318">
        <f t="shared" si="14"/>
        <v>8.4449999999999701</v>
      </c>
      <c r="S13" s="1306">
        <f t="shared" si="15"/>
        <v>1994</v>
      </c>
      <c r="T13" s="1320">
        <f t="shared" si="16"/>
        <v>10.03539260922752</v>
      </c>
      <c r="U13" s="1320">
        <f t="shared" si="17"/>
        <v>11.113415620630489</v>
      </c>
      <c r="V13" s="1320">
        <f t="shared" si="18"/>
        <v>11.539456190937949</v>
      </c>
      <c r="W13" s="1320">
        <f t="shared" si="9"/>
        <v>12.877064794429499</v>
      </c>
      <c r="X13" s="1320">
        <f t="shared" si="10"/>
        <v>11.988651502889189</v>
      </c>
      <c r="Y13" s="1320">
        <f t="shared" si="19"/>
        <v>10.923877582483271</v>
      </c>
      <c r="AF13" s="430" t="s">
        <v>2246</v>
      </c>
      <c r="AG13" s="458">
        <v>4.5</v>
      </c>
      <c r="AH13" s="458">
        <v>6.2083333333333304</v>
      </c>
      <c r="AI13" s="458"/>
      <c r="AL13" s="1305">
        <f>AL12+1</f>
        <v>1961</v>
      </c>
      <c r="AM13" s="1321">
        <v>1.1018497373831053</v>
      </c>
      <c r="AN13" s="1321">
        <v>1.2607240401421222</v>
      </c>
      <c r="AU13" s="1305" t="s">
        <v>2243</v>
      </c>
      <c r="AV13" s="1321">
        <v>1.0751818913553564</v>
      </c>
      <c r="AW13" s="1321">
        <v>2.1023513139696774</v>
      </c>
      <c r="AX13" s="1321"/>
    </row>
    <row r="14" spans="1:50" ht="18" customHeight="1">
      <c r="A14" s="1303"/>
      <c r="B14" s="1314" t="s">
        <v>2247</v>
      </c>
      <c r="C14" s="1315" t="s">
        <v>2248</v>
      </c>
      <c r="D14" s="1316">
        <f t="shared" si="0"/>
        <v>41873</v>
      </c>
      <c r="E14" s="1315">
        <f t="shared" si="1"/>
        <v>10.6905</v>
      </c>
      <c r="F14" s="1315">
        <f t="shared" si="2"/>
        <v>9.7885293061046568</v>
      </c>
      <c r="G14" s="1315">
        <f t="shared" si="3"/>
        <v>2014</v>
      </c>
      <c r="H14" s="1315">
        <f t="shared" si="4"/>
        <v>8</v>
      </c>
      <c r="I14" s="1315">
        <f t="shared" si="5"/>
        <v>22</v>
      </c>
      <c r="J14" s="1315"/>
      <c r="K14" s="1317">
        <f t="shared" si="11"/>
        <v>1995</v>
      </c>
      <c r="L14" s="1318">
        <f t="shared" si="6"/>
        <v>3.6274677419354808</v>
      </c>
      <c r="M14" s="1318">
        <f t="shared" si="7"/>
        <v>3.9110977431821694</v>
      </c>
      <c r="N14" s="1318">
        <f t="shared" si="12"/>
        <v>3.5736044051235236</v>
      </c>
      <c r="O14" s="1318">
        <f t="shared" si="12"/>
        <v>3.2834388887602075</v>
      </c>
      <c r="P14" s="1318">
        <f t="shared" si="13"/>
        <v>8.1623379764260164</v>
      </c>
      <c r="Q14" s="1318">
        <f t="shared" si="8"/>
        <v>9.0666666666666309</v>
      </c>
      <c r="R14" s="1318">
        <f t="shared" si="14"/>
        <v>9.0666666666666309</v>
      </c>
      <c r="S14" s="1306">
        <f t="shared" si="15"/>
        <v>1995</v>
      </c>
      <c r="T14" s="1320">
        <f t="shared" si="16"/>
        <v>9.8301404584518632</v>
      </c>
      <c r="U14" s="1320">
        <f t="shared" si="17"/>
        <v>10.886114851500563</v>
      </c>
      <c r="V14" s="1320">
        <f t="shared" si="18"/>
        <v>11.303441687649494</v>
      </c>
      <c r="W14" s="1320">
        <f t="shared" si="9"/>
        <v>12.010377771884693</v>
      </c>
      <c r="X14" s="1320">
        <f t="shared" si="10"/>
        <v>11.832038757125957</v>
      </c>
      <c r="Y14" s="1320">
        <f t="shared" si="19"/>
        <v>10.87131416470327</v>
      </c>
      <c r="AF14" s="430" t="s">
        <v>2249</v>
      </c>
      <c r="AG14" s="458">
        <v>4.5</v>
      </c>
      <c r="AH14" s="458">
        <v>5.5</v>
      </c>
      <c r="AI14" s="458"/>
      <c r="AL14" s="1305">
        <f t="shared" ref="AL14:AL66" si="20">AL13+1</f>
        <v>1962</v>
      </c>
      <c r="AM14" s="1321">
        <v>1.2310124795303921</v>
      </c>
      <c r="AN14" s="1321">
        <v>0.59335284925950305</v>
      </c>
      <c r="AU14" s="1305" t="s">
        <v>2246</v>
      </c>
      <c r="AV14" s="1321">
        <v>1.1160714285840072</v>
      </c>
      <c r="AW14" s="1321">
        <v>1.2462747222974997</v>
      </c>
      <c r="AX14" s="1321"/>
    </row>
    <row r="15" spans="1:50" ht="18" customHeight="1">
      <c r="A15" s="1303"/>
      <c r="B15" s="1314" t="s">
        <v>2250</v>
      </c>
      <c r="C15" s="1315" t="s">
        <v>2251</v>
      </c>
      <c r="D15" s="1316">
        <f t="shared" si="0"/>
        <v>41872</v>
      </c>
      <c r="E15" s="1315">
        <f t="shared" si="1"/>
        <v>10.7064</v>
      </c>
      <c r="F15" s="1315">
        <f t="shared" si="2"/>
        <v>9.786652413860903</v>
      </c>
      <c r="G15" s="1315">
        <f t="shared" si="3"/>
        <v>2014</v>
      </c>
      <c r="H15" s="1315">
        <f t="shared" si="4"/>
        <v>8</v>
      </c>
      <c r="I15" s="1315">
        <f t="shared" si="5"/>
        <v>21</v>
      </c>
      <c r="J15" s="1315"/>
      <c r="K15" s="1317">
        <f t="shared" si="11"/>
        <v>1996</v>
      </c>
      <c r="L15" s="1318">
        <f t="shared" si="6"/>
        <v>4.2953916334661351</v>
      </c>
      <c r="M15" s="1318">
        <f t="shared" si="7"/>
        <v>4.1027812947903053</v>
      </c>
      <c r="N15" s="1318">
        <f t="shared" si="12"/>
        <v>3.7975697387346945</v>
      </c>
      <c r="O15" s="1318">
        <f t="shared" si="12"/>
        <v>3.4892189367864392</v>
      </c>
      <c r="P15" s="1318">
        <f t="shared" si="13"/>
        <v>6.2672111465406886</v>
      </c>
      <c r="Q15" s="1319">
        <f>P15</f>
        <v>6.2672111465406886</v>
      </c>
      <c r="R15" s="1318">
        <f t="shared" si="14"/>
        <v>11.24999999999997</v>
      </c>
      <c r="S15" s="1306">
        <f t="shared" si="15"/>
        <v>1996</v>
      </c>
      <c r="T15" s="1320">
        <f t="shared" si="16"/>
        <v>9.654197501322983</v>
      </c>
      <c r="U15" s="1320">
        <f t="shared" si="17"/>
        <v>10.69127173133224</v>
      </c>
      <c r="V15" s="1320">
        <f t="shared" si="18"/>
        <v>11.101129120024989</v>
      </c>
      <c r="W15" s="1320">
        <f t="shared" si="9"/>
        <v>12.899592572244664</v>
      </c>
      <c r="X15" s="1320">
        <f t="shared" si="10"/>
        <v>11.404571823601888</v>
      </c>
      <c r="Y15" s="1320">
        <f t="shared" si="19"/>
        <v>10.478556211086552</v>
      </c>
      <c r="AF15" s="430" t="s">
        <v>2252</v>
      </c>
      <c r="AG15" s="458">
        <v>4.5</v>
      </c>
      <c r="AH15" s="458">
        <v>5.7916666666666696</v>
      </c>
      <c r="AI15" s="458"/>
      <c r="AL15" s="1305">
        <f t="shared" si="20"/>
        <v>1963</v>
      </c>
      <c r="AM15" s="1321">
        <v>1.1267919897361054</v>
      </c>
      <c r="AN15" s="1321">
        <v>3.3267652454602228</v>
      </c>
      <c r="AU15" s="1305" t="s">
        <v>2249</v>
      </c>
      <c r="AV15" s="1321">
        <v>1.2141280364371454</v>
      </c>
      <c r="AW15" s="1321">
        <v>1.3379716350014945</v>
      </c>
      <c r="AX15" s="1321"/>
    </row>
    <row r="16" spans="1:50" ht="18" customHeight="1">
      <c r="A16" s="1303"/>
      <c r="B16" s="1314" t="s">
        <v>2253</v>
      </c>
      <c r="C16" s="1315" t="s">
        <v>2254</v>
      </c>
      <c r="D16" s="1316">
        <f t="shared" si="0"/>
        <v>41871</v>
      </c>
      <c r="E16" s="1315">
        <f t="shared" si="1"/>
        <v>10.6652</v>
      </c>
      <c r="F16" s="1315">
        <f t="shared" si="2"/>
        <v>9.7847758815000674</v>
      </c>
      <c r="G16" s="1315">
        <f t="shared" si="3"/>
        <v>2014</v>
      </c>
      <c r="H16" s="1315">
        <f t="shared" si="4"/>
        <v>8</v>
      </c>
      <c r="I16" s="1315">
        <f t="shared" si="5"/>
        <v>20</v>
      </c>
      <c r="J16" s="1315"/>
      <c r="K16" s="1317">
        <f t="shared" si="11"/>
        <v>1997</v>
      </c>
      <c r="L16" s="1318">
        <f t="shared" si="6"/>
        <v>4.6092395999999995</v>
      </c>
      <c r="M16" s="1318">
        <f t="shared" si="7"/>
        <v>4.3046715092790704</v>
      </c>
      <c r="N16" s="1318">
        <f t="shared" si="12"/>
        <v>4.0400705402214427</v>
      </c>
      <c r="O16" s="1318">
        <f t="shared" si="12"/>
        <v>3.7120294305880286</v>
      </c>
      <c r="P16" s="1318">
        <f t="shared" si="13"/>
        <v>6.3856839550113591</v>
      </c>
      <c r="Q16" s="1319">
        <f>P16</f>
        <v>6.3856839550113591</v>
      </c>
      <c r="R16" s="1318">
        <f t="shared" si="14"/>
        <v>11.55833333333333</v>
      </c>
      <c r="S16" s="1306">
        <f t="shared" si="15"/>
        <v>1997</v>
      </c>
      <c r="T16" s="1320">
        <f t="shared" si="16"/>
        <v>9.4908792590931181</v>
      </c>
      <c r="U16" s="1320">
        <f t="shared" si="17"/>
        <v>10.510409499528535</v>
      </c>
      <c r="V16" s="1320">
        <f t="shared" si="18"/>
        <v>10.913333407911082</v>
      </c>
      <c r="W16" s="1320">
        <f t="shared" si="9"/>
        <v>12.806143212280011</v>
      </c>
      <c r="X16" s="1320">
        <f t="shared" si="10"/>
        <v>11.224784653370866</v>
      </c>
      <c r="Y16" s="1320">
        <f t="shared" si="19"/>
        <v>10.313367197554347</v>
      </c>
      <c r="AF16" s="430" t="s">
        <v>2255</v>
      </c>
      <c r="AG16" s="458">
        <v>4.5350000000000001</v>
      </c>
      <c r="AH16" s="458">
        <v>6.9166666666666696</v>
      </c>
      <c r="AI16" s="458"/>
      <c r="AL16" s="1305">
        <f t="shared" si="20"/>
        <v>1964</v>
      </c>
      <c r="AM16" s="1321">
        <v>1.5334546858622957</v>
      </c>
      <c r="AN16" s="1321">
        <v>1.6974708186466643</v>
      </c>
      <c r="AU16" s="1305" t="s">
        <v>2252</v>
      </c>
      <c r="AV16" s="1321">
        <v>1.3086150490727846</v>
      </c>
      <c r="AW16" s="1321">
        <v>2.5349881172427757</v>
      </c>
      <c r="AX16" s="1321"/>
    </row>
    <row r="17" spans="1:50" ht="18" customHeight="1">
      <c r="A17" s="1303"/>
      <c r="B17" s="1314" t="s">
        <v>2256</v>
      </c>
      <c r="C17" s="1315" t="s">
        <v>2257</v>
      </c>
      <c r="D17" s="1316">
        <f t="shared" si="0"/>
        <v>41870</v>
      </c>
      <c r="E17" s="1315">
        <f t="shared" si="1"/>
        <v>10.632</v>
      </c>
      <c r="F17" s="1315">
        <f t="shared" si="2"/>
        <v>9.7828997089531438</v>
      </c>
      <c r="G17" s="1315">
        <f t="shared" si="3"/>
        <v>2014</v>
      </c>
      <c r="H17" s="1315">
        <f t="shared" si="4"/>
        <v>8</v>
      </c>
      <c r="I17" s="1315">
        <f t="shared" si="5"/>
        <v>19</v>
      </c>
      <c r="J17" s="1315"/>
      <c r="K17" s="1317">
        <f t="shared" si="11"/>
        <v>1998</v>
      </c>
      <c r="L17" s="1318">
        <f t="shared" si="6"/>
        <v>5.5432832669322698</v>
      </c>
      <c r="M17" s="1318">
        <f t="shared" si="7"/>
        <v>4.5165032983922382</v>
      </c>
      <c r="N17" s="1318">
        <f t="shared" si="12"/>
        <v>4.3077550744459669</v>
      </c>
      <c r="O17" s="1318">
        <f t="shared" si="12"/>
        <v>3.957978816684693</v>
      </c>
      <c r="P17" s="1318">
        <f t="shared" si="13"/>
        <v>6.6257391191454786</v>
      </c>
      <c r="Q17" s="1319">
        <f>P17</f>
        <v>6.6257391191454786</v>
      </c>
      <c r="R17" s="1318">
        <f t="shared" si="14"/>
        <v>13.43750000000003</v>
      </c>
      <c r="S17" s="1306">
        <f t="shared" si="15"/>
        <v>1998</v>
      </c>
      <c r="T17" s="1320">
        <f t="shared" si="16"/>
        <v>9.3890388241471907</v>
      </c>
      <c r="U17" s="1320">
        <f t="shared" si="17"/>
        <v>10.39762915055652</v>
      </c>
      <c r="V17" s="1320">
        <f t="shared" si="18"/>
        <v>10.796229545283525</v>
      </c>
      <c r="W17" s="1320">
        <f t="shared" si="9"/>
        <v>14.246377018984125</v>
      </c>
      <c r="X17" s="1320">
        <f t="shared" si="10"/>
        <v>11.071038577821449</v>
      </c>
      <c r="Y17" s="1320">
        <f t="shared" si="19"/>
        <v>10.172104823148983</v>
      </c>
      <c r="AF17" s="430" t="s">
        <v>2258</v>
      </c>
      <c r="AG17" s="458">
        <v>5.625</v>
      </c>
      <c r="AH17" s="458">
        <v>7.5</v>
      </c>
      <c r="AI17" s="458"/>
      <c r="AL17" s="1305">
        <f t="shared" si="20"/>
        <v>1965</v>
      </c>
      <c r="AM17" s="1321">
        <v>1.8308252295321665</v>
      </c>
      <c r="AN17" s="1321">
        <v>0.31891507742417957</v>
      </c>
      <c r="AU17" s="1305" t="s">
        <v>2255</v>
      </c>
      <c r="AV17" s="1321">
        <v>1.6684607099028739</v>
      </c>
      <c r="AW17" s="1321">
        <v>4.0690187998970941</v>
      </c>
      <c r="AX17" s="1321"/>
    </row>
    <row r="18" spans="1:50" ht="18" customHeight="1">
      <c r="A18" s="1303"/>
      <c r="B18" s="1314" t="s">
        <v>2259</v>
      </c>
      <c r="C18" s="1315" t="s">
        <v>2260</v>
      </c>
      <c r="D18" s="1316">
        <f t="shared" si="0"/>
        <v>41869</v>
      </c>
      <c r="E18" s="1315">
        <f t="shared" si="1"/>
        <v>10.5909</v>
      </c>
      <c r="F18" s="1315">
        <f t="shared" si="2"/>
        <v>9.781023896151142</v>
      </c>
      <c r="G18" s="1315">
        <f t="shared" si="3"/>
        <v>2014</v>
      </c>
      <c r="H18" s="1315">
        <f t="shared" si="4"/>
        <v>8</v>
      </c>
      <c r="I18" s="1315">
        <f t="shared" si="5"/>
        <v>18</v>
      </c>
      <c r="J18" s="1315"/>
      <c r="K18" s="1317">
        <f t="shared" si="11"/>
        <v>1999</v>
      </c>
      <c r="L18" s="1318">
        <f t="shared" si="6"/>
        <v>6.1146855421686723</v>
      </c>
      <c r="M18" s="1318">
        <f t="shared" si="7"/>
        <v>4.7382940428100113</v>
      </c>
      <c r="N18" s="1318">
        <f t="shared" si="12"/>
        <v>4.5507844790950847</v>
      </c>
      <c r="O18" s="1318">
        <f t="shared" si="12"/>
        <v>4.1812749927228383</v>
      </c>
      <c r="P18" s="1318">
        <f t="shared" si="13"/>
        <v>5.6416718325234427</v>
      </c>
      <c r="Q18" s="1319">
        <f>P18</f>
        <v>5.6416718325234427</v>
      </c>
      <c r="R18" s="1318">
        <f t="shared" si="14"/>
        <v>10.00583333333333</v>
      </c>
      <c r="S18" s="1306">
        <f t="shared" si="15"/>
        <v>1999</v>
      </c>
      <c r="T18" s="1320">
        <f t="shared" si="16"/>
        <v>9.256526317168106</v>
      </c>
      <c r="U18" s="1320">
        <f t="shared" si="17"/>
        <v>10.250881870969655</v>
      </c>
      <c r="V18" s="1320">
        <f t="shared" si="18"/>
        <v>10.643856605969672</v>
      </c>
      <c r="W18" s="1320">
        <f t="shared" si="9"/>
        <v>14.589949834300548</v>
      </c>
      <c r="X18" s="1320">
        <f t="shared" si="10"/>
        <v>10.858402578321716</v>
      </c>
      <c r="Y18" s="1320">
        <f t="shared" si="19"/>
        <v>9.9767342026889132</v>
      </c>
      <c r="AF18" s="430" t="s">
        <v>2261</v>
      </c>
      <c r="AG18" s="458">
        <v>5.6333333333333302</v>
      </c>
      <c r="AH18" s="458">
        <v>8.25</v>
      </c>
      <c r="AI18" s="458"/>
      <c r="AL18" s="1305">
        <f t="shared" si="20"/>
        <v>1966</v>
      </c>
      <c r="AM18" s="1321">
        <v>2.8115663679046037</v>
      </c>
      <c r="AN18" s="1321">
        <v>4.3882899811012379</v>
      </c>
      <c r="AU18" s="1305" t="s">
        <v>2258</v>
      </c>
      <c r="AV18" s="1321">
        <v>2.9910005294848219</v>
      </c>
      <c r="AW18" s="1321">
        <v>3.4892353377879317</v>
      </c>
      <c r="AX18" s="1321"/>
    </row>
    <row r="19" spans="1:50" ht="18" customHeight="1">
      <c r="A19" s="1303"/>
      <c r="B19" s="1314" t="s">
        <v>2262</v>
      </c>
      <c r="C19" s="1315" t="s">
        <v>2263</v>
      </c>
      <c r="D19" s="1316">
        <f t="shared" si="0"/>
        <v>41866</v>
      </c>
      <c r="E19" s="1315">
        <f t="shared" si="1"/>
        <v>10.546900000000001</v>
      </c>
      <c r="F19" s="1315">
        <f t="shared" si="2"/>
        <v>9.7791484430250826</v>
      </c>
      <c r="G19" s="1315">
        <f t="shared" si="3"/>
        <v>2014</v>
      </c>
      <c r="H19" s="1315">
        <f t="shared" si="4"/>
        <v>8</v>
      </c>
      <c r="I19" s="1315">
        <f t="shared" si="5"/>
        <v>15</v>
      </c>
      <c r="J19" s="1315"/>
      <c r="K19" s="1317">
        <f t="shared" si="11"/>
        <v>2000</v>
      </c>
      <c r="L19" s="1318">
        <f t="shared" si="6"/>
        <v>6.939072580645159</v>
      </c>
      <c r="M19" s="1318">
        <f t="shared" si="7"/>
        <v>4.9695503729658217</v>
      </c>
      <c r="N19" s="1318">
        <f t="shared" si="12"/>
        <v>4.8479573862034879</v>
      </c>
      <c r="O19" s="1318">
        <f t="shared" si="12"/>
        <v>4.4279035984658064</v>
      </c>
      <c r="P19" s="1318">
        <f t="shared" si="13"/>
        <v>6.530146801579491</v>
      </c>
      <c r="Q19" s="1319">
        <f>(P19+R19)/2</f>
        <v>5.8984067341230801</v>
      </c>
      <c r="R19" s="1318">
        <f t="shared" si="14"/>
        <v>5.2666666666666693</v>
      </c>
      <c r="S19" s="1306">
        <f t="shared" si="15"/>
        <v>2000</v>
      </c>
      <c r="T19" s="1320">
        <f t="shared" si="16"/>
        <v>9.0502354327031629</v>
      </c>
      <c r="U19" s="1320">
        <f t="shared" si="17"/>
        <v>10.022430785189679</v>
      </c>
      <c r="V19" s="1320">
        <f t="shared" si="18"/>
        <v>10.406647687836843</v>
      </c>
      <c r="W19" s="1320">
        <f t="shared" si="9"/>
        <v>15.463229423714839</v>
      </c>
      <c r="X19" s="1320">
        <f t="shared" si="10"/>
        <v>10.803328028064465</v>
      </c>
      <c r="Y19" s="1320">
        <f t="shared" si="19"/>
        <v>9.8672680554096921</v>
      </c>
      <c r="AF19" s="430" t="s">
        <v>2264</v>
      </c>
      <c r="AG19" s="458">
        <v>6.3125</v>
      </c>
      <c r="AH19" s="458">
        <v>8.3333333333333304</v>
      </c>
      <c r="AI19" s="458"/>
      <c r="AL19" s="1305">
        <f t="shared" si="20"/>
        <v>1967</v>
      </c>
      <c r="AM19" s="1321">
        <v>2.9059208136577013</v>
      </c>
      <c r="AN19" s="1321">
        <v>4.076436599098912</v>
      </c>
      <c r="AU19" s="1305" t="s">
        <v>2261</v>
      </c>
      <c r="AV19" s="1321">
        <v>2.775636083366507</v>
      </c>
      <c r="AW19" s="1321">
        <v>3.5389765662357888</v>
      </c>
      <c r="AX19" s="1321"/>
    </row>
    <row r="20" spans="1:50" ht="18" customHeight="1">
      <c r="A20" s="1303"/>
      <c r="B20" s="1314" t="s">
        <v>2265</v>
      </c>
      <c r="C20" s="1315" t="s">
        <v>2266</v>
      </c>
      <c r="D20" s="1316">
        <f t="shared" si="0"/>
        <v>41865</v>
      </c>
      <c r="E20" s="1315">
        <f t="shared" si="1"/>
        <v>10.587300000000001</v>
      </c>
      <c r="F20" s="1315">
        <f t="shared" si="2"/>
        <v>9.7772733495059985</v>
      </c>
      <c r="G20" s="1315">
        <f t="shared" si="3"/>
        <v>2014</v>
      </c>
      <c r="H20" s="1315">
        <f t="shared" si="4"/>
        <v>8</v>
      </c>
      <c r="I20" s="1315">
        <f t="shared" si="5"/>
        <v>14</v>
      </c>
      <c r="J20" s="1315"/>
      <c r="K20" s="1315">
        <f t="shared" si="11"/>
        <v>2001</v>
      </c>
      <c r="L20" s="1318">
        <f t="shared" si="6"/>
        <v>8.5832743999999987</v>
      </c>
      <c r="M20" s="1318">
        <f t="shared" si="7"/>
        <v>5.2126050477208272</v>
      </c>
      <c r="N20" s="1318">
        <f t="shared" si="12"/>
        <v>5.109237108465023</v>
      </c>
      <c r="O20" s="1318">
        <f t="shared" si="12"/>
        <v>4.6988613495702971</v>
      </c>
      <c r="P20" s="1318">
        <f t="shared" si="13"/>
        <v>5.3894805883627441</v>
      </c>
      <c r="Q20" s="1319">
        <f>(P20+R20)/2</f>
        <v>6.1193236275146869</v>
      </c>
      <c r="R20" s="1318">
        <f t="shared" si="14"/>
        <v>6.8491666666666298</v>
      </c>
      <c r="S20" s="1306">
        <f t="shared" si="15"/>
        <v>2001</v>
      </c>
      <c r="T20" s="1320">
        <f t="shared" si="16"/>
        <v>8.84871087796623</v>
      </c>
      <c r="U20" s="1320">
        <f t="shared" si="17"/>
        <v>9.7992580383163066</v>
      </c>
      <c r="V20" s="1320">
        <f t="shared" si="18"/>
        <v>10.174919457428912</v>
      </c>
      <c r="W20" s="1320">
        <f t="shared" si="9"/>
        <v>17.578619784291213</v>
      </c>
      <c r="X20" s="1320">
        <f t="shared" si="10"/>
        <v>10.463761535748885</v>
      </c>
      <c r="Y20" s="1320">
        <f t="shared" si="19"/>
        <v>9.6233084524476755</v>
      </c>
      <c r="AF20" s="430" t="s">
        <v>2267</v>
      </c>
      <c r="AG20" s="458">
        <v>7.9516666666666698</v>
      </c>
      <c r="AH20" s="458">
        <v>8</v>
      </c>
      <c r="AI20" s="458"/>
      <c r="AL20" s="1305">
        <f t="shared" si="20"/>
        <v>1968</v>
      </c>
      <c r="AM20" s="1321">
        <v>4.2509202763351084</v>
      </c>
      <c r="AN20" s="1321">
        <v>3.8567568044172589</v>
      </c>
      <c r="AU20" s="1305" t="s">
        <v>2264</v>
      </c>
      <c r="AV20" s="1321">
        <v>4.2177210965389946</v>
      </c>
      <c r="AW20" s="1321">
        <v>1.9861431870670856</v>
      </c>
      <c r="AX20" s="1321"/>
    </row>
    <row r="21" spans="1:50" ht="14.65" customHeight="1">
      <c r="A21" s="1303"/>
      <c r="B21" s="1935" t="s">
        <v>2268</v>
      </c>
      <c r="C21" s="1936" t="s">
        <v>2269</v>
      </c>
      <c r="D21" s="1316">
        <f t="shared" si="0"/>
        <v>41864</v>
      </c>
      <c r="E21" s="1315">
        <f t="shared" si="1"/>
        <v>10.626799999999999</v>
      </c>
      <c r="F21" s="1315">
        <f t="shared" si="2"/>
        <v>9.7753986155249386</v>
      </c>
      <c r="G21" s="1315">
        <f t="shared" si="3"/>
        <v>2014</v>
      </c>
      <c r="H21" s="1315">
        <f t="shared" si="4"/>
        <v>8</v>
      </c>
      <c r="I21" s="1315">
        <f t="shared" si="5"/>
        <v>13</v>
      </c>
      <c r="J21" s="1315"/>
      <c r="K21" s="1315">
        <f t="shared" si="11"/>
        <v>2002</v>
      </c>
      <c r="L21" s="1318">
        <f t="shared" si="6"/>
        <v>10.521936</v>
      </c>
      <c r="M21" s="1318">
        <f t="shared" si="7"/>
        <v>5.4685874570548973</v>
      </c>
      <c r="N21" s="1318">
        <f t="shared" si="12"/>
        <v>5.5800643257444351</v>
      </c>
      <c r="O21" s="1318">
        <f t="shared" si="12"/>
        <v>5.1755658998771947</v>
      </c>
      <c r="P21" s="1318">
        <f t="shared" si="13"/>
        <v>9.2152156434341634</v>
      </c>
      <c r="Q21" s="1319">
        <f>(P21+R21)/2</f>
        <v>10.145107821717081</v>
      </c>
      <c r="R21" s="1318">
        <f t="shared" si="14"/>
        <v>11.074999999999999</v>
      </c>
      <c r="S21" s="1306">
        <f t="shared" si="15"/>
        <v>2002</v>
      </c>
      <c r="T21" s="1320">
        <f t="shared" si="16"/>
        <v>8.7150021117599099</v>
      </c>
      <c r="U21" s="1320">
        <f t="shared" si="17"/>
        <v>9.6511859948163643</v>
      </c>
      <c r="V21" s="1320">
        <f t="shared" si="18"/>
        <v>10.02117096844967</v>
      </c>
      <c r="W21" s="1320">
        <f t="shared" si="9"/>
        <v>20.014517201428369</v>
      </c>
      <c r="X21" s="1320">
        <f t="shared" si="10"/>
        <v>10.614234246690797</v>
      </c>
      <c r="Y21" s="1320">
        <f t="shared" si="19"/>
        <v>9.8448092375983087</v>
      </c>
      <c r="AF21" s="430" t="s">
        <v>2270</v>
      </c>
      <c r="AG21" s="458">
        <v>7.91</v>
      </c>
      <c r="AH21" s="458">
        <v>8.1666666666666696</v>
      </c>
      <c r="AI21" s="458"/>
      <c r="AL21" s="1305">
        <f t="shared" si="20"/>
        <v>1969</v>
      </c>
      <c r="AM21" s="1321">
        <v>4.9192222114732544</v>
      </c>
      <c r="AN21" s="1321">
        <v>7.6320302245189993</v>
      </c>
      <c r="AU21" s="1305" t="s">
        <v>2267</v>
      </c>
      <c r="AV21" s="1321">
        <v>5.4147004724046468</v>
      </c>
      <c r="AW21" s="1321">
        <v>3.2382246376812134</v>
      </c>
      <c r="AX21" s="1321"/>
    </row>
    <row r="22" spans="1:50" ht="15">
      <c r="A22" s="1303"/>
      <c r="B22" s="1933"/>
      <c r="C22" s="1933"/>
      <c r="D22" s="1316">
        <f t="shared" si="0"/>
        <v>41863</v>
      </c>
      <c r="E22" s="1315">
        <f t="shared" ref="E22:E85" si="21">VALUE(C23)</f>
        <v>10.6609</v>
      </c>
      <c r="F22" s="1315">
        <f t="shared" si="2"/>
        <v>9.7735242410129626</v>
      </c>
      <c r="G22" s="1315">
        <f t="shared" ref="G22:G85" si="22">YEAR(B23)</f>
        <v>2014</v>
      </c>
      <c r="H22" s="1315">
        <f t="shared" ref="H22:H85" si="23">MONTH(B23)</f>
        <v>8</v>
      </c>
      <c r="I22" s="1315">
        <f t="shared" ref="I22:I85" si="24">DAY(B23)</f>
        <v>12</v>
      </c>
      <c r="J22" s="1315"/>
      <c r="K22" s="1315">
        <f t="shared" si="11"/>
        <v>2003</v>
      </c>
      <c r="L22" s="1318">
        <f t="shared" si="6"/>
        <v>7.5688784</v>
      </c>
      <c r="M22" s="1318">
        <f t="shared" si="7"/>
        <v>5.7371407389735083</v>
      </c>
      <c r="N22" s="1318">
        <f t="shared" si="12"/>
        <v>5.7785500095577502</v>
      </c>
      <c r="O22" s="1318">
        <f t="shared" si="12"/>
        <v>5.5480224834318408</v>
      </c>
      <c r="P22" s="1318">
        <f t="shared" si="13"/>
        <v>3.5570501024078425</v>
      </c>
      <c r="Q22" s="1319">
        <f>(P22+R22)/2</f>
        <v>7.196441717870572</v>
      </c>
      <c r="R22" s="1318">
        <f t="shared" si="14"/>
        <v>10.835833333333301</v>
      </c>
      <c r="S22" s="1306">
        <f t="shared" si="15"/>
        <v>2003</v>
      </c>
      <c r="T22" s="1320">
        <f t="shared" si="16"/>
        <v>8.5446910657066031</v>
      </c>
      <c r="U22" s="1320">
        <f t="shared" si="17"/>
        <v>9.462579777473719</v>
      </c>
      <c r="V22" s="1320">
        <f t="shared" si="18"/>
        <v>9.8253343996882396</v>
      </c>
      <c r="W22" s="1320">
        <f t="shared" si="9"/>
        <v>12.999881781420441</v>
      </c>
      <c r="X22" s="1320">
        <f t="shared" si="10"/>
        <v>9.924913973023628</v>
      </c>
      <c r="Y22" s="1320">
        <f t="shared" si="19"/>
        <v>9.5289728006829364</v>
      </c>
      <c r="AF22" s="430" t="s">
        <v>2271</v>
      </c>
      <c r="AG22" s="458">
        <v>5.7233333333333301</v>
      </c>
      <c r="AH22" s="458">
        <v>8.8333333333333304</v>
      </c>
      <c r="AI22" s="458"/>
      <c r="AL22" s="1305">
        <f t="shared" si="20"/>
        <v>1970</v>
      </c>
      <c r="AM22" s="1321">
        <v>5.2786870130468344</v>
      </c>
      <c r="AN22" s="1321">
        <v>4.2829742437716192</v>
      </c>
      <c r="AU22" s="1305" t="s">
        <v>2270</v>
      </c>
      <c r="AV22" s="1321">
        <v>5.8952959026688205</v>
      </c>
      <c r="AW22" s="1321">
        <v>4.0579074358411589</v>
      </c>
      <c r="AX22" s="1321"/>
    </row>
    <row r="23" spans="1:50" ht="15">
      <c r="A23" s="1303"/>
      <c r="B23" s="1322" t="s">
        <v>2272</v>
      </c>
      <c r="C23" s="1323" t="s">
        <v>2273</v>
      </c>
      <c r="D23" s="1324">
        <f t="shared" si="0"/>
        <v>41862</v>
      </c>
      <c r="E23" s="1323">
        <f t="shared" si="21"/>
        <v>10.6983</v>
      </c>
      <c r="F23" s="1323">
        <f t="shared" si="2"/>
        <v>9.771650225901146</v>
      </c>
      <c r="G23" s="1323">
        <f t="shared" si="22"/>
        <v>2014</v>
      </c>
      <c r="H23" s="1323">
        <f t="shared" si="23"/>
        <v>8</v>
      </c>
      <c r="I23" s="1323">
        <f t="shared" si="24"/>
        <v>11</v>
      </c>
      <c r="J23" s="1323"/>
      <c r="K23" s="1315">
        <f t="shared" si="11"/>
        <v>2004</v>
      </c>
      <c r="L23" s="1318">
        <f t="shared" si="6"/>
        <v>6.4494872509960182</v>
      </c>
      <c r="M23" s="1318">
        <f t="shared" si="7"/>
        <v>6.0194639742101872</v>
      </c>
      <c r="N23" s="1318">
        <f t="shared" si="12"/>
        <v>5.9879903821747087</v>
      </c>
      <c r="O23" s="1318">
        <f t="shared" si="12"/>
        <v>5.841405012748969</v>
      </c>
      <c r="P23" s="1318">
        <f t="shared" si="13"/>
        <v>3.6244450990394199</v>
      </c>
      <c r="Q23" s="1319">
        <f>(P23+R23)/2</f>
        <v>5.2880558828530599</v>
      </c>
      <c r="R23" s="1318">
        <f t="shared" si="14"/>
        <v>6.9516666666667</v>
      </c>
      <c r="S23" s="1306">
        <f t="shared" si="15"/>
        <v>2004</v>
      </c>
      <c r="T23" s="1320">
        <f t="shared" si="16"/>
        <v>8.3162074955010361</v>
      </c>
      <c r="U23" s="1320">
        <f t="shared" si="17"/>
        <v>9.2095520209069104</v>
      </c>
      <c r="V23" s="1320">
        <f t="shared" si="18"/>
        <v>9.5626066468834399</v>
      </c>
      <c r="W23" s="1320">
        <f t="shared" si="9"/>
        <v>10.494793083831256</v>
      </c>
      <c r="X23" s="1320">
        <f t="shared" si="10"/>
        <v>9.7438319672916904</v>
      </c>
      <c r="Y23" s="1320">
        <f t="shared" si="19"/>
        <v>9.5053039942342163</v>
      </c>
      <c r="AF23" s="430" t="s">
        <v>2274</v>
      </c>
      <c r="AG23" s="458">
        <v>5.2483333333333304</v>
      </c>
      <c r="AH23" s="458">
        <v>8.7916666666666696</v>
      </c>
      <c r="AI23" s="458"/>
      <c r="AL23" s="1305">
        <f t="shared" si="20"/>
        <v>1971</v>
      </c>
      <c r="AM23" s="1321">
        <v>5.0796987213172855</v>
      </c>
      <c r="AN23" s="1321">
        <v>5.9803098669342063</v>
      </c>
      <c r="AU23" s="1305" t="s">
        <v>2271</v>
      </c>
      <c r="AV23" s="1321">
        <v>4.2559289244299805</v>
      </c>
      <c r="AW23" s="1321">
        <v>5.7124789207420719</v>
      </c>
      <c r="AX23" s="1321"/>
    </row>
    <row r="24" spans="1:50" ht="15">
      <c r="A24" s="1303"/>
      <c r="B24" s="1322" t="s">
        <v>2275</v>
      </c>
      <c r="C24" s="1323" t="s">
        <v>2276</v>
      </c>
      <c r="D24" s="1324">
        <f t="shared" si="0"/>
        <v>41859</v>
      </c>
      <c r="E24" s="1323">
        <f t="shared" si="21"/>
        <v>10.7889</v>
      </c>
      <c r="F24" s="1323">
        <f t="shared" si="2"/>
        <v>9.769776570120575</v>
      </c>
      <c r="G24" s="1323">
        <f t="shared" si="22"/>
        <v>2014</v>
      </c>
      <c r="H24" s="1323">
        <f t="shared" si="23"/>
        <v>8</v>
      </c>
      <c r="I24" s="1323">
        <f t="shared" si="24"/>
        <v>8</v>
      </c>
      <c r="J24" s="1323"/>
      <c r="K24" s="1315">
        <f t="shared" si="11"/>
        <v>2005</v>
      </c>
      <c r="L24" s="1318">
        <f t="shared" si="6"/>
        <v>6.3696482071713172</v>
      </c>
      <c r="M24" s="1318">
        <f t="shared" si="7"/>
        <v>6.3162809997229905</v>
      </c>
      <c r="N24" s="1318">
        <f t="shared" si="12"/>
        <v>6.1213783144013174</v>
      </c>
      <c r="O24" s="1318">
        <f t="shared" si="12"/>
        <v>6.1005200034394917</v>
      </c>
      <c r="P24" s="1318">
        <f t="shared" si="13"/>
        <v>2.2275909564531418</v>
      </c>
      <c r="Q24" s="1318">
        <f>R24</f>
        <v>4.4358333333333304</v>
      </c>
      <c r="R24" s="1318">
        <f t="shared" si="14"/>
        <v>4.4358333333333304</v>
      </c>
      <c r="S24" s="1306">
        <f t="shared" si="15"/>
        <v>2005</v>
      </c>
      <c r="T24" s="1320">
        <f t="shared" si="16"/>
        <v>8.0570068987776473</v>
      </c>
      <c r="U24" s="1320">
        <f t="shared" si="17"/>
        <v>8.9225075501351601</v>
      </c>
      <c r="V24" s="1320">
        <f t="shared" si="18"/>
        <v>9.2645581253134637</v>
      </c>
      <c r="W24" s="1320">
        <f t="shared" si="9"/>
        <v>9.7439993402019667</v>
      </c>
      <c r="X24" s="1320">
        <f t="shared" si="10"/>
        <v>9.3642073026104278</v>
      </c>
      <c r="Y24" s="1320">
        <f t="shared" si="19"/>
        <v>9.3322992031927967</v>
      </c>
      <c r="AF24" s="430" t="s">
        <v>2277</v>
      </c>
      <c r="AG24" s="458">
        <v>8.0216666666666701</v>
      </c>
      <c r="AH24" s="458">
        <v>8</v>
      </c>
      <c r="AI24" s="458"/>
      <c r="AL24" s="1305">
        <f t="shared" si="20"/>
        <v>1972</v>
      </c>
      <c r="AM24" s="1321">
        <v>4.3298883147192271</v>
      </c>
      <c r="AN24" s="1321">
        <v>11.016616477134761</v>
      </c>
      <c r="AU24" s="1305" t="s">
        <v>2274</v>
      </c>
      <c r="AV24" s="1321">
        <v>3.3056147346065785</v>
      </c>
      <c r="AW24" s="1321">
        <v>6.4606181455632168</v>
      </c>
      <c r="AX24" s="1321"/>
    </row>
    <row r="25" spans="1:50" ht="15">
      <c r="A25" s="1303"/>
      <c r="B25" s="1322" t="s">
        <v>2278</v>
      </c>
      <c r="C25" s="1323" t="s">
        <v>2279</v>
      </c>
      <c r="D25" s="1324">
        <f t="shared" si="0"/>
        <v>41858</v>
      </c>
      <c r="E25" s="1323">
        <f t="shared" si="21"/>
        <v>10.731199999999999</v>
      </c>
      <c r="F25" s="1323">
        <f t="shared" si="2"/>
        <v>9.7679032736023501</v>
      </c>
      <c r="G25" s="1323">
        <f t="shared" si="22"/>
        <v>2014</v>
      </c>
      <c r="H25" s="1323">
        <f t="shared" si="23"/>
        <v>8</v>
      </c>
      <c r="I25" s="1323">
        <f t="shared" si="24"/>
        <v>7</v>
      </c>
      <c r="J25" s="1323"/>
      <c r="K25" s="1315">
        <f t="shared" si="11"/>
        <v>2006</v>
      </c>
      <c r="L25" s="1318">
        <f t="shared" si="6"/>
        <v>6.783416935483868</v>
      </c>
      <c r="M25" s="1318">
        <f t="shared" si="7"/>
        <v>6.625812588974056</v>
      </c>
      <c r="N25" s="1318">
        <f t="shared" si="12"/>
        <v>6.3328282250158283</v>
      </c>
      <c r="O25" s="1318">
        <f t="shared" si="12"/>
        <v>6.2962958578832069</v>
      </c>
      <c r="P25" s="1318">
        <f t="shared" si="13"/>
        <v>3.4542859427107686</v>
      </c>
      <c r="Q25" s="1318">
        <f t="shared" ref="Q25:Q32" si="25">R25</f>
        <v>3.2091666666667003</v>
      </c>
      <c r="R25" s="1318">
        <f t="shared" si="14"/>
        <v>3.2091666666667003</v>
      </c>
      <c r="S25" s="1306">
        <f t="shared" si="15"/>
        <v>2006</v>
      </c>
      <c r="T25" s="1320">
        <f t="shared" si="16"/>
        <v>7.8167719232171056</v>
      </c>
      <c r="U25" s="1320">
        <f t="shared" si="17"/>
        <v>8.6564660274984266</v>
      </c>
      <c r="V25" s="1320">
        <f t="shared" si="18"/>
        <v>8.9883177146031841</v>
      </c>
      <c r="W25" s="1320">
        <f t="shared" si="9"/>
        <v>9.8411457065962633</v>
      </c>
      <c r="X25" s="1320">
        <f t="shared" si="10"/>
        <v>9.1874472540851784</v>
      </c>
      <c r="Y25" s="1320">
        <f t="shared" si="19"/>
        <v>9.1344473645931501</v>
      </c>
      <c r="AF25" s="430" t="s">
        <v>2280</v>
      </c>
      <c r="AG25" s="458">
        <v>10.7983333333333</v>
      </c>
      <c r="AH25" s="458">
        <v>10.1666666666667</v>
      </c>
      <c r="AI25" s="458"/>
      <c r="AL25" s="1305">
        <f t="shared" si="20"/>
        <v>1973</v>
      </c>
      <c r="AM25" s="1321">
        <v>5.4363890553224223</v>
      </c>
      <c r="AN25" s="1321">
        <v>18.328472402755565</v>
      </c>
      <c r="AU25" s="1305" t="s">
        <v>2277</v>
      </c>
      <c r="AV25" s="1321">
        <v>6.220063863710962</v>
      </c>
      <c r="AW25" s="1321">
        <v>9.5898108259974322</v>
      </c>
      <c r="AX25" s="1321"/>
    </row>
    <row r="26" spans="1:50" ht="15">
      <c r="A26" s="1303"/>
      <c r="B26" s="1322" t="s">
        <v>2281</v>
      </c>
      <c r="C26" s="1323" t="s">
        <v>2282</v>
      </c>
      <c r="D26" s="1324">
        <f t="shared" si="0"/>
        <v>41857</v>
      </c>
      <c r="E26" s="1323">
        <f t="shared" si="21"/>
        <v>10.771599999999999</v>
      </c>
      <c r="F26" s="1323">
        <f t="shared" si="2"/>
        <v>9.7660303362775842</v>
      </c>
      <c r="G26" s="1323">
        <f t="shared" si="22"/>
        <v>2014</v>
      </c>
      <c r="H26" s="1323">
        <f t="shared" si="23"/>
        <v>8</v>
      </c>
      <c r="I26" s="1323">
        <f t="shared" si="24"/>
        <v>6</v>
      </c>
      <c r="J26" s="1323"/>
      <c r="K26" s="1315">
        <f t="shared" si="11"/>
        <v>2007</v>
      </c>
      <c r="L26" s="1318">
        <f t="shared" si="6"/>
        <v>7.0540310756972087</v>
      </c>
      <c r="M26" s="1318">
        <f t="shared" si="7"/>
        <v>6.9505447671862921</v>
      </c>
      <c r="N26" s="1318">
        <f t="shared" ref="N26:O33" si="26">N25*(1+P26/100)</f>
        <v>6.675600170685267</v>
      </c>
      <c r="O26" s="1318">
        <f t="shared" si="26"/>
        <v>6.6184563292782332</v>
      </c>
      <c r="P26" s="1318">
        <f t="shared" si="13"/>
        <v>5.4126202936537453</v>
      </c>
      <c r="Q26" s="1318">
        <f t="shared" si="25"/>
        <v>5.1166666666666991</v>
      </c>
      <c r="R26" s="1318">
        <f t="shared" si="14"/>
        <v>5.1166666666666991</v>
      </c>
      <c r="S26" s="1306">
        <f t="shared" si="15"/>
        <v>2007</v>
      </c>
      <c r="T26" s="1320">
        <f t="shared" si="16"/>
        <v>7.6137639160063868</v>
      </c>
      <c r="U26" s="1320">
        <f t="shared" si="17"/>
        <v>8.431650472561973</v>
      </c>
      <c r="V26" s="1320">
        <f t="shared" si="18"/>
        <v>8.7548836979346483</v>
      </c>
      <c r="W26" s="1320">
        <f t="shared" si="9"/>
        <v>9.6066578454805569</v>
      </c>
      <c r="X26" s="1320">
        <f t="shared" si="10"/>
        <v>9.0912849780246319</v>
      </c>
      <c r="Y26" s="1320">
        <f t="shared" si="19"/>
        <v>9.0134626199313885</v>
      </c>
      <c r="AF26" s="430" t="s">
        <v>2283</v>
      </c>
      <c r="AG26" s="458">
        <v>7.8624999999999998</v>
      </c>
      <c r="AH26" s="458">
        <v>11.7916666666667</v>
      </c>
      <c r="AI26" s="458"/>
      <c r="AL26" s="1305">
        <f t="shared" si="20"/>
        <v>1974</v>
      </c>
      <c r="AM26" s="1321">
        <v>8.9559024094559447</v>
      </c>
      <c r="AN26" s="1321">
        <v>15.900996434272074</v>
      </c>
      <c r="AU26" s="1305" t="s">
        <v>2280</v>
      </c>
      <c r="AV26" s="1321">
        <v>11.035260224254628</v>
      </c>
      <c r="AW26" s="1321">
        <v>11.639036062211659</v>
      </c>
      <c r="AX26" s="1321"/>
    </row>
    <row r="27" spans="1:50" ht="15">
      <c r="A27" s="1303"/>
      <c r="B27" s="1322" t="s">
        <v>2284</v>
      </c>
      <c r="C27" s="1323" t="s">
        <v>2285</v>
      </c>
      <c r="D27" s="1324">
        <f t="shared" si="0"/>
        <v>41856</v>
      </c>
      <c r="E27" s="1323">
        <f t="shared" si="21"/>
        <v>10.6295</v>
      </c>
      <c r="F27" s="1323">
        <f t="shared" si="2"/>
        <v>9.7641577580774044</v>
      </c>
      <c r="G27" s="1323">
        <f t="shared" si="22"/>
        <v>2014</v>
      </c>
      <c r="H27" s="1323">
        <f t="shared" si="23"/>
        <v>8</v>
      </c>
      <c r="I27" s="1323">
        <f t="shared" si="24"/>
        <v>5</v>
      </c>
      <c r="J27" s="1323"/>
      <c r="K27" s="1315">
        <f t="shared" si="11"/>
        <v>2008</v>
      </c>
      <c r="L27" s="1318">
        <f t="shared" si="6"/>
        <v>8.2567474103585603</v>
      </c>
      <c r="M27" s="1318">
        <f t="shared" si="7"/>
        <v>7.2932729623094215</v>
      </c>
      <c r="N27" s="1318">
        <f t="shared" si="26"/>
        <v>7.0812847085816584</v>
      </c>
      <c r="O27" s="1318">
        <f t="shared" si="26"/>
        <v>7.2827838833295369</v>
      </c>
      <c r="P27" s="1318">
        <f t="shared" si="13"/>
        <v>6.0771245659361597</v>
      </c>
      <c r="Q27" s="1318">
        <f t="shared" si="25"/>
        <v>10.0375</v>
      </c>
      <c r="R27" s="1318">
        <f t="shared" si="14"/>
        <v>10.0375</v>
      </c>
      <c r="S27" s="1306">
        <f t="shared" si="15"/>
        <v>2008</v>
      </c>
      <c r="T27" s="1320">
        <f t="shared" si="16"/>
        <v>7.4696504624570439</v>
      </c>
      <c r="U27" s="1320">
        <f t="shared" si="17"/>
        <v>8.2720560482894623</v>
      </c>
      <c r="V27" s="1320">
        <f t="shared" si="18"/>
        <v>8.589171109647042</v>
      </c>
      <c r="W27" s="1320">
        <f t="shared" si="9"/>
        <v>10.404059774980967</v>
      </c>
      <c r="X27" s="1320">
        <f t="shared" si="10"/>
        <v>8.9228973262902382</v>
      </c>
      <c r="Y27" s="1320">
        <f t="shared" si="19"/>
        <v>9.1767999049323077</v>
      </c>
      <c r="AF27" s="430" t="s">
        <v>2286</v>
      </c>
      <c r="AG27" s="458">
        <v>6.84</v>
      </c>
      <c r="AH27" s="458">
        <v>12.25</v>
      </c>
      <c r="AI27" s="458"/>
      <c r="AL27" s="1305">
        <f t="shared" si="20"/>
        <v>1975</v>
      </c>
      <c r="AM27" s="1321">
        <v>9.2872044506260352</v>
      </c>
      <c r="AN27" s="1321">
        <v>10.670579162777344</v>
      </c>
      <c r="AU27" s="1305" t="s">
        <v>2283</v>
      </c>
      <c r="AV27" s="1321">
        <v>9.1319307347025784</v>
      </c>
      <c r="AW27" s="1321">
        <v>12.522963870177421</v>
      </c>
      <c r="AX27" s="1321"/>
    </row>
    <row r="28" spans="1:50" ht="15">
      <c r="A28" s="1303"/>
      <c r="B28" s="1322" t="s">
        <v>2287</v>
      </c>
      <c r="C28" s="1323" t="s">
        <v>2288</v>
      </c>
      <c r="D28" s="1324">
        <f t="shared" si="0"/>
        <v>41855</v>
      </c>
      <c r="E28" s="1323">
        <f t="shared" si="21"/>
        <v>10.665900000000001</v>
      </c>
      <c r="F28" s="1323">
        <f t="shared" si="2"/>
        <v>9.7622855389329519</v>
      </c>
      <c r="G28" s="1323">
        <f t="shared" si="22"/>
        <v>2014</v>
      </c>
      <c r="H28" s="1323">
        <f t="shared" si="23"/>
        <v>8</v>
      </c>
      <c r="I28" s="1323">
        <f t="shared" si="24"/>
        <v>4</v>
      </c>
      <c r="J28" s="1323"/>
      <c r="K28" s="1315">
        <f t="shared" si="11"/>
        <v>2009</v>
      </c>
      <c r="L28" s="1318">
        <f t="shared" si="6"/>
        <v>8.4290340000000015</v>
      </c>
      <c r="M28" s="1318">
        <f t="shared" si="7"/>
        <v>7.6521613204472363</v>
      </c>
      <c r="N28" s="1318">
        <f t="shared" si="26"/>
        <v>7.6183123156954515</v>
      </c>
      <c r="O28" s="1318">
        <f t="shared" si="26"/>
        <v>7.8987860201278242</v>
      </c>
      <c r="P28" s="1318">
        <f t="shared" si="13"/>
        <v>7.5837595749113405</v>
      </c>
      <c r="Q28" s="1318">
        <f t="shared" si="25"/>
        <v>8.4583333333333002</v>
      </c>
      <c r="R28" s="1318">
        <f t="shared" si="14"/>
        <v>8.4583333333333002</v>
      </c>
      <c r="S28" s="1306">
        <f t="shared" si="15"/>
        <v>2009</v>
      </c>
      <c r="T28" s="1320">
        <f t="shared" si="16"/>
        <v>7.4112377958406199</v>
      </c>
      <c r="U28" s="1320">
        <f t="shared" si="17"/>
        <v>8.2073685699918268</v>
      </c>
      <c r="V28" s="1320">
        <f t="shared" si="18"/>
        <v>8.5220037915695901</v>
      </c>
      <c r="W28" s="1320">
        <f t="shared" si="9"/>
        <v>9.8338136891845966</v>
      </c>
      <c r="X28" s="1320">
        <f t="shared" si="10"/>
        <v>8.8879774287978339</v>
      </c>
      <c r="Y28" s="1320">
        <f t="shared" si="19"/>
        <v>9.2151947770851219</v>
      </c>
      <c r="AF28" s="430" t="s">
        <v>2289</v>
      </c>
      <c r="AG28" s="458">
        <v>6.8241666666666703</v>
      </c>
      <c r="AH28" s="458">
        <v>12.5</v>
      </c>
      <c r="AI28" s="458"/>
      <c r="AL28" s="1305">
        <f t="shared" si="20"/>
        <v>1976</v>
      </c>
      <c r="AM28" s="1321">
        <v>5.4913938468389034</v>
      </c>
      <c r="AN28" s="1321">
        <v>10.416851072598533</v>
      </c>
      <c r="AU28" s="1305" t="s">
        <v>2286</v>
      </c>
      <c r="AV28" s="1321">
        <v>5.7370270830905667</v>
      </c>
      <c r="AW28" s="1321">
        <v>11.02040816326533</v>
      </c>
      <c r="AX28" s="1321"/>
    </row>
    <row r="29" spans="1:50" ht="15">
      <c r="A29" s="1303"/>
      <c r="B29" s="1322" t="s">
        <v>2290</v>
      </c>
      <c r="C29" s="1323" t="s">
        <v>2291</v>
      </c>
      <c r="D29" s="1324">
        <f t="shared" si="0"/>
        <v>41852</v>
      </c>
      <c r="E29" s="1323">
        <f t="shared" si="21"/>
        <v>10.729699999999999</v>
      </c>
      <c r="F29" s="1323">
        <f t="shared" si="2"/>
        <v>9.7604136787753788</v>
      </c>
      <c r="G29" s="1323">
        <f t="shared" si="22"/>
        <v>2014</v>
      </c>
      <c r="H29" s="1323">
        <f t="shared" si="23"/>
        <v>8</v>
      </c>
      <c r="I29" s="1323">
        <f t="shared" si="24"/>
        <v>1</v>
      </c>
      <c r="J29" s="1330">
        <f>AVERAGE(M29:O29)</f>
        <v>8.185158861391562</v>
      </c>
      <c r="K29" s="1315">
        <f t="shared" si="11"/>
        <v>2010</v>
      </c>
      <c r="L29" s="1318">
        <f t="shared" si="6"/>
        <v>7.3214764940239094</v>
      </c>
      <c r="M29" s="1325">
        <f t="shared" si="7"/>
        <v>8.0287222309833446</v>
      </c>
      <c r="N29" s="1325">
        <f t="shared" si="26"/>
        <v>8.1079649200717725</v>
      </c>
      <c r="O29" s="1325">
        <f t="shared" si="26"/>
        <v>8.4187894331195707</v>
      </c>
      <c r="P29" s="1318">
        <f t="shared" si="13"/>
        <v>6.427310722973715</v>
      </c>
      <c r="Q29" s="1318">
        <f t="shared" si="25"/>
        <v>6.5833333333333197</v>
      </c>
      <c r="R29" s="1318">
        <f t="shared" si="14"/>
        <v>6.5833333333333197</v>
      </c>
      <c r="S29" s="1306">
        <f t="shared" si="15"/>
        <v>2010</v>
      </c>
      <c r="T29" s="1320">
        <f t="shared" si="16"/>
        <v>7.3214764940239094</v>
      </c>
      <c r="U29" s="1320">
        <f t="shared" si="17"/>
        <v>8.1079649200717725</v>
      </c>
      <c r="V29" s="1320">
        <f t="shared" si="18"/>
        <v>8.4187894331195707</v>
      </c>
      <c r="W29" s="1320">
        <f t="shared" si="9"/>
        <v>7.8818118396210179</v>
      </c>
      <c r="X29" s="1320">
        <f t="shared" si="10"/>
        <v>8.7284926687145479</v>
      </c>
      <c r="Y29" s="1320">
        <f t="shared" si="19"/>
        <v>9.0631055475490623</v>
      </c>
      <c r="AF29" s="430" t="s">
        <v>2292</v>
      </c>
      <c r="AG29" s="458">
        <v>9.0566666666666702</v>
      </c>
      <c r="AH29" s="458">
        <v>12.125</v>
      </c>
      <c r="AI29" s="458"/>
      <c r="AL29" s="1305">
        <f t="shared" si="20"/>
        <v>1977</v>
      </c>
      <c r="AM29" s="1321">
        <v>6.18873842627508</v>
      </c>
      <c r="AN29" s="1321">
        <v>11.168531813287714</v>
      </c>
      <c r="AU29" s="1305" t="s">
        <v>2289</v>
      </c>
      <c r="AV29" s="1321">
        <v>6.4864600644987149</v>
      </c>
      <c r="AW29" s="1321">
        <v>11.151960784313886</v>
      </c>
      <c r="AX29" s="1321"/>
    </row>
    <row r="30" spans="1:50" ht="15">
      <c r="A30" s="1303"/>
      <c r="B30" s="1322" t="s">
        <v>2293</v>
      </c>
      <c r="C30" s="1323" t="s">
        <v>2294</v>
      </c>
      <c r="D30" s="1324">
        <f t="shared" si="0"/>
        <v>41851</v>
      </c>
      <c r="E30" s="1323">
        <f t="shared" si="21"/>
        <v>10.7058</v>
      </c>
      <c r="F30" s="1323">
        <f t="shared" si="2"/>
        <v>9.7585421775358512</v>
      </c>
      <c r="G30" s="1323">
        <f t="shared" si="22"/>
        <v>2014</v>
      </c>
      <c r="H30" s="1323">
        <f t="shared" si="23"/>
        <v>7</v>
      </c>
      <c r="I30" s="1323">
        <f t="shared" si="24"/>
        <v>31</v>
      </c>
      <c r="J30" s="1330">
        <f>AVERAGE(M30:O30)</f>
        <v>8.5809306471707796</v>
      </c>
      <c r="K30" s="1315">
        <f t="shared" si="11"/>
        <v>2011</v>
      </c>
      <c r="L30" s="1318">
        <f t="shared" si="6"/>
        <v>7.2601907630522087</v>
      </c>
      <c r="M30" s="1318">
        <f t="shared" si="7"/>
        <v>8.4229865905305026</v>
      </c>
      <c r="N30" s="1318">
        <f t="shared" si="26"/>
        <v>8.4169355254578893</v>
      </c>
      <c r="O30" s="1318">
        <f t="shared" si="26"/>
        <v>8.9028698255239469</v>
      </c>
      <c r="P30" s="1318">
        <f t="shared" si="13"/>
        <v>3.8107047629330566</v>
      </c>
      <c r="Q30" s="1318">
        <f t="shared" si="25"/>
        <v>5.75</v>
      </c>
      <c r="R30" s="1318">
        <f t="shared" si="14"/>
        <v>5.75</v>
      </c>
      <c r="S30" s="1306">
        <f t="shared" si="15"/>
        <v>2011</v>
      </c>
      <c r="T30" s="1320">
        <f t="shared" si="16"/>
        <v>7.173438315675944</v>
      </c>
      <c r="U30" s="1320">
        <f t="shared" si="17"/>
        <v>7.9440241687962123</v>
      </c>
      <c r="V30" s="1320">
        <f t="shared" si="18"/>
        <v>8.2485638983396115</v>
      </c>
      <c r="W30" s="1320">
        <f t="shared" si="9"/>
        <v>7.2601907630522087</v>
      </c>
      <c r="X30" s="1320">
        <f t="shared" si="10"/>
        <v>8.4169355254578893</v>
      </c>
      <c r="Y30" s="1320">
        <f t="shared" si="19"/>
        <v>8.9028698255239469</v>
      </c>
      <c r="AF30" s="430" t="s">
        <v>2295</v>
      </c>
      <c r="AG30" s="458">
        <v>12.6658333333333</v>
      </c>
      <c r="AH30" s="458">
        <v>10</v>
      </c>
      <c r="AI30" s="458"/>
      <c r="AL30" s="1305">
        <f t="shared" si="20"/>
        <v>1978</v>
      </c>
      <c r="AM30" s="1321">
        <v>7.0180919651225508</v>
      </c>
      <c r="AN30" s="1321">
        <v>11.679670912976349</v>
      </c>
      <c r="AU30" s="1305" t="s">
        <v>2292</v>
      </c>
      <c r="AV30" s="1321">
        <v>7.6474638513509774</v>
      </c>
      <c r="AW30" s="1321">
        <v>11.135611907386988</v>
      </c>
      <c r="AX30" s="1321"/>
    </row>
    <row r="31" spans="1:50" ht="15">
      <c r="A31" s="1303"/>
      <c r="B31" s="1322" t="s">
        <v>2296</v>
      </c>
      <c r="C31" s="1323" t="s">
        <v>2297</v>
      </c>
      <c r="D31" s="1324">
        <f t="shared" si="0"/>
        <v>41850</v>
      </c>
      <c r="E31" s="1323">
        <f t="shared" si="21"/>
        <v>10.600099999999999</v>
      </c>
      <c r="F31" s="1323">
        <f t="shared" si="2"/>
        <v>9.7566710351455495</v>
      </c>
      <c r="G31" s="1323">
        <f t="shared" si="22"/>
        <v>2014</v>
      </c>
      <c r="H31" s="1323">
        <f t="shared" si="23"/>
        <v>7</v>
      </c>
      <c r="I31" s="1323">
        <f t="shared" si="24"/>
        <v>30</v>
      </c>
      <c r="J31" s="1330">
        <f>AVERAGE(M31:O31)</f>
        <v>8.9562828982805769</v>
      </c>
      <c r="K31" s="1315">
        <f t="shared" si="11"/>
        <v>2012</v>
      </c>
      <c r="L31" s="1318">
        <f t="shared" si="6"/>
        <v>8.2166439999999987</v>
      </c>
      <c r="M31" s="1318">
        <f t="shared" si="7"/>
        <v>8.8357850551765083</v>
      </c>
      <c r="N31" s="1318">
        <f t="shared" si="26"/>
        <v>8.6405359737374585</v>
      </c>
      <c r="O31" s="1318">
        <f t="shared" si="26"/>
        <v>9.3925276659277639</v>
      </c>
      <c r="P31" s="1318">
        <f t="shared" si="13"/>
        <v>2.6565541295078958</v>
      </c>
      <c r="Q31" s="1318">
        <f t="shared" si="25"/>
        <v>5.5</v>
      </c>
      <c r="R31" s="1318">
        <f t="shared" si="14"/>
        <v>5.5</v>
      </c>
      <c r="S31" s="1306">
        <f t="shared" si="15"/>
        <v>2012</v>
      </c>
      <c r="T31" s="1320">
        <f t="shared" si="16"/>
        <v>7.0466444138671172</v>
      </c>
      <c r="U31" s="1320">
        <f t="shared" si="17"/>
        <v>7.8036097989919631</v>
      </c>
      <c r="V31" s="1320">
        <f t="shared" si="18"/>
        <v>8.1027666453396936</v>
      </c>
      <c r="W31" s="1320">
        <f t="shared" si="9"/>
        <v>7.7607464166171916</v>
      </c>
      <c r="X31" s="1320">
        <f t="shared" si="10"/>
        <v>8.1611188942632698</v>
      </c>
      <c r="Y31" s="1320">
        <f t="shared" si="19"/>
        <v>8.8713865936417289</v>
      </c>
      <c r="AF31" s="430" t="s">
        <v>2298</v>
      </c>
      <c r="AG31" s="458">
        <v>15.265833333333299</v>
      </c>
      <c r="AH31" s="458">
        <v>9.5</v>
      </c>
      <c r="AI31" s="458"/>
      <c r="AL31" s="1305">
        <f t="shared" si="20"/>
        <v>1979</v>
      </c>
      <c r="AM31" s="1321">
        <v>8.2537154989383907</v>
      </c>
      <c r="AN31" s="1321">
        <v>15.130540003511925</v>
      </c>
      <c r="AU31" s="1305" t="s">
        <v>2295</v>
      </c>
      <c r="AV31" s="1321">
        <v>11.266044091932741</v>
      </c>
      <c r="AW31" s="1321">
        <v>13.293650793650727</v>
      </c>
      <c r="AX31" s="1321"/>
    </row>
    <row r="32" spans="1:50" ht="15">
      <c r="A32" s="1303"/>
      <c r="B32" s="1322" t="s">
        <v>2299</v>
      </c>
      <c r="C32" s="1323" t="s">
        <v>2300</v>
      </c>
      <c r="D32" s="1324">
        <f t="shared" si="0"/>
        <v>41849</v>
      </c>
      <c r="E32" s="1323">
        <f t="shared" si="21"/>
        <v>10.614000000000001</v>
      </c>
      <c r="F32" s="1323">
        <f t="shared" si="2"/>
        <v>9.7548002515356664</v>
      </c>
      <c r="G32" s="1323">
        <f t="shared" si="22"/>
        <v>2014</v>
      </c>
      <c r="H32" s="1323">
        <f t="shared" si="23"/>
        <v>7</v>
      </c>
      <c r="I32" s="1323">
        <f t="shared" si="24"/>
        <v>29</v>
      </c>
      <c r="J32" s="1323"/>
      <c r="K32" s="1315">
        <f t="shared" si="11"/>
        <v>2013</v>
      </c>
      <c r="L32" s="1318">
        <f t="shared" si="6"/>
        <v>9.6492559999999976</v>
      </c>
      <c r="M32" s="1318">
        <f t="shared" si="7"/>
        <v>9.2696958399137763</v>
      </c>
      <c r="N32" s="1318">
        <f t="shared" si="26"/>
        <v>9.0172747888423537</v>
      </c>
      <c r="O32" s="1318">
        <f t="shared" si="26"/>
        <v>9.8856353683889715</v>
      </c>
      <c r="P32" s="1318">
        <f t="shared" si="13"/>
        <v>4.360132476156295</v>
      </c>
      <c r="Q32" s="1318">
        <f t="shared" si="25"/>
        <v>5.25</v>
      </c>
      <c r="R32" s="1318">
        <f t="shared" si="14"/>
        <v>5.25</v>
      </c>
      <c r="S32" s="1306">
        <f t="shared" si="15"/>
        <v>2013</v>
      </c>
      <c r="T32" s="1320">
        <f t="shared" si="16"/>
        <v>6.9433269899854766</v>
      </c>
      <c r="U32" s="1320">
        <f t="shared" si="17"/>
        <v>7.6891937998218109</v>
      </c>
      <c r="V32" s="1320">
        <f t="shared" si="18"/>
        <v>7.9839644287182425</v>
      </c>
      <c r="W32" s="1320">
        <f t="shared" si="9"/>
        <v>8.7250887273925422</v>
      </c>
      <c r="X32" s="1320">
        <f t="shared" si="10"/>
        <v>8.1536361572259466</v>
      </c>
      <c r="Y32" s="1320">
        <f t="shared" si="19"/>
        <v>8.9388286222112523</v>
      </c>
      <c r="AF32" s="430" t="s">
        <v>2301</v>
      </c>
      <c r="AG32" s="458">
        <v>18.87</v>
      </c>
      <c r="AH32" s="458">
        <v>14</v>
      </c>
      <c r="AI32" s="458"/>
      <c r="AL32" s="1305">
        <f t="shared" si="20"/>
        <v>1980</v>
      </c>
      <c r="AM32" s="1321">
        <v>9.0463348860016453</v>
      </c>
      <c r="AN32" s="1321">
        <v>24.914629576754649</v>
      </c>
      <c r="AU32" s="1305" t="s">
        <v>2298</v>
      </c>
      <c r="AV32" s="1321">
        <v>13.509370329291599</v>
      </c>
      <c r="AW32" s="1321">
        <v>13.660245183887881</v>
      </c>
      <c r="AX32" s="1321"/>
    </row>
    <row r="33" spans="1:50" ht="15">
      <c r="A33" s="1303"/>
      <c r="B33" s="1322" t="s">
        <v>2302</v>
      </c>
      <c r="C33" s="1323" t="s">
        <v>2303</v>
      </c>
      <c r="D33" s="1324">
        <f t="shared" si="0"/>
        <v>41848</v>
      </c>
      <c r="E33" s="1323">
        <f t="shared" si="21"/>
        <v>10.531700000000001</v>
      </c>
      <c r="F33" s="1323">
        <f t="shared" si="2"/>
        <v>9.7529298266374074</v>
      </c>
      <c r="G33" s="1323">
        <f t="shared" si="22"/>
        <v>2014</v>
      </c>
      <c r="H33" s="1323">
        <f t="shared" si="23"/>
        <v>7</v>
      </c>
      <c r="I33" s="1323">
        <f t="shared" si="24"/>
        <v>28</v>
      </c>
      <c r="J33" s="1323"/>
      <c r="K33" s="1323">
        <f t="shared" si="11"/>
        <v>2014</v>
      </c>
      <c r="L33" s="1326">
        <f t="shared" si="6"/>
        <v>10.69748484848485</v>
      </c>
      <c r="M33" s="1326">
        <f t="shared" si="7"/>
        <v>9.6454589167521352</v>
      </c>
      <c r="N33" s="1318">
        <f t="shared" si="26"/>
        <v>9.4104399153749227</v>
      </c>
      <c r="O33" s="1318">
        <f t="shared" si="26"/>
        <v>10.404631225229393</v>
      </c>
      <c r="P33" s="1318">
        <f>P32</f>
        <v>4.360132476156295</v>
      </c>
      <c r="Q33" s="1318">
        <f>R33</f>
        <v>5.25</v>
      </c>
      <c r="R33" s="1326">
        <f>R32</f>
        <v>5.25</v>
      </c>
      <c r="S33" s="1306">
        <f t="shared" si="15"/>
        <v>2014</v>
      </c>
      <c r="T33" s="1320">
        <f t="shared" si="16"/>
        <v>6.8415243991861656</v>
      </c>
      <c r="U33" s="1320">
        <f t="shared" si="17"/>
        <v>7.576455360294351</v>
      </c>
      <c r="V33" s="1320">
        <f t="shared" si="18"/>
        <v>7.8669040821631464</v>
      </c>
      <c r="W33" s="1320">
        <f t="shared" si="9"/>
        <v>9.1384904239021321</v>
      </c>
      <c r="X33" s="1320">
        <f t="shared" si="10"/>
        <v>8.0390125594373192</v>
      </c>
      <c r="Y33" s="1320">
        <f t="shared" si="19"/>
        <v>8.8883157267999362</v>
      </c>
      <c r="AF33" s="430" t="s">
        <v>2304</v>
      </c>
      <c r="AG33" s="458">
        <v>14.8608333333333</v>
      </c>
      <c r="AH33" s="458">
        <v>19.3333333333333</v>
      </c>
      <c r="AI33" s="458"/>
      <c r="AL33" s="1305">
        <f t="shared" si="20"/>
        <v>1981</v>
      </c>
      <c r="AM33" s="1321">
        <v>9.3929856115106247</v>
      </c>
      <c r="AN33" s="1321">
        <v>9.9272631138294116</v>
      </c>
      <c r="AU33" s="1305" t="s">
        <v>2301</v>
      </c>
      <c r="AV33" s="1321">
        <v>10.315533980582487</v>
      </c>
      <c r="AW33" s="1321">
        <v>15.25423728813557</v>
      </c>
      <c r="AX33" s="1321"/>
    </row>
    <row r="34" spans="1:50" ht="15">
      <c r="A34" s="1303"/>
      <c r="B34" s="1322" t="s">
        <v>2305</v>
      </c>
      <c r="C34" s="1323" t="s">
        <v>2306</v>
      </c>
      <c r="D34" s="1324">
        <f t="shared" si="0"/>
        <v>41845</v>
      </c>
      <c r="E34" s="1323">
        <f t="shared" si="21"/>
        <v>10.5406</v>
      </c>
      <c r="F34" s="1323">
        <f t="shared" si="2"/>
        <v>9.7510597603819917</v>
      </c>
      <c r="G34" s="1323">
        <f t="shared" si="22"/>
        <v>2014</v>
      </c>
      <c r="H34" s="1323">
        <f t="shared" si="23"/>
        <v>7</v>
      </c>
      <c r="I34" s="1323">
        <f t="shared" si="24"/>
        <v>25</v>
      </c>
      <c r="J34" s="1323"/>
      <c r="R34" s="1304"/>
      <c r="S34" s="1304"/>
      <c r="T34" s="1304"/>
      <c r="AF34" s="430" t="s">
        <v>2307</v>
      </c>
      <c r="AG34" s="458">
        <v>10.794166666666699</v>
      </c>
      <c r="AH34" s="458">
        <v>16.6666666666667</v>
      </c>
      <c r="AI34" s="458"/>
      <c r="AL34" s="1305">
        <f t="shared" si="20"/>
        <v>1982</v>
      </c>
      <c r="AM34" s="1321">
        <v>6.0956060668338523</v>
      </c>
      <c r="AN34" s="1321">
        <v>13.936385523068424</v>
      </c>
      <c r="AU34" s="1305" t="s">
        <v>2304</v>
      </c>
      <c r="AV34" s="1321">
        <v>6.1606160616062482</v>
      </c>
      <c r="AW34" s="1321">
        <v>14.639037433155096</v>
      </c>
      <c r="AX34" s="1321"/>
    </row>
    <row r="35" spans="1:50" ht="15">
      <c r="A35" s="1303"/>
      <c r="B35" s="1322" t="s">
        <v>2308</v>
      </c>
      <c r="C35" s="1323" t="s">
        <v>2309</v>
      </c>
      <c r="D35" s="1324">
        <f t="shared" si="0"/>
        <v>41844</v>
      </c>
      <c r="E35" s="1323">
        <f t="shared" si="21"/>
        <v>10.520200000000001</v>
      </c>
      <c r="F35" s="1323">
        <f t="shared" si="2"/>
        <v>9.7491900527006514</v>
      </c>
      <c r="G35" s="1323">
        <f t="shared" si="22"/>
        <v>2014</v>
      </c>
      <c r="H35" s="1323">
        <f t="shared" si="23"/>
        <v>7</v>
      </c>
      <c r="I35" s="1323">
        <f t="shared" si="24"/>
        <v>24</v>
      </c>
      <c r="J35" s="1323"/>
      <c r="R35" s="1304"/>
      <c r="S35" s="1304"/>
      <c r="T35" s="1304"/>
      <c r="AF35" s="430" t="s">
        <v>2310</v>
      </c>
      <c r="AG35" s="458">
        <v>12.0425</v>
      </c>
      <c r="AH35" s="458">
        <v>22.3333333333333</v>
      </c>
      <c r="AI35" s="458"/>
      <c r="AL35" s="1305">
        <f t="shared" si="20"/>
        <v>1983</v>
      </c>
      <c r="AM35" s="1321">
        <v>3.9400278940027391</v>
      </c>
      <c r="AN35" s="1321">
        <v>16.568839282144168</v>
      </c>
      <c r="AU35" s="1305" t="s">
        <v>2307</v>
      </c>
      <c r="AV35" s="1321">
        <v>3.2124352331607042</v>
      </c>
      <c r="AW35" s="1321">
        <v>12.303206997084601</v>
      </c>
      <c r="AX35" s="1321"/>
    </row>
    <row r="36" spans="1:50" ht="15">
      <c r="A36" s="1303"/>
      <c r="B36" s="1322" t="s">
        <v>2311</v>
      </c>
      <c r="C36" s="1323" t="s">
        <v>2312</v>
      </c>
      <c r="D36" s="1324">
        <f t="shared" si="0"/>
        <v>41843</v>
      </c>
      <c r="E36" s="1323">
        <f t="shared" si="21"/>
        <v>10.5214</v>
      </c>
      <c r="F36" s="1323">
        <f t="shared" si="2"/>
        <v>9.7473207035246325</v>
      </c>
      <c r="G36" s="1323">
        <f t="shared" si="22"/>
        <v>2014</v>
      </c>
      <c r="H36" s="1323">
        <f t="shared" si="23"/>
        <v>7</v>
      </c>
      <c r="I36" s="1323">
        <f t="shared" si="24"/>
        <v>23</v>
      </c>
      <c r="J36" s="1323"/>
      <c r="R36" s="1304"/>
      <c r="S36" s="1304"/>
      <c r="T36" s="1304"/>
      <c r="AF36" s="430" t="s">
        <v>2313</v>
      </c>
      <c r="AG36" s="458">
        <v>9.93333333333333</v>
      </c>
      <c r="AH36" s="458">
        <v>21.5</v>
      </c>
      <c r="AI36" s="458"/>
      <c r="AL36" s="1305">
        <f t="shared" si="20"/>
        <v>1984</v>
      </c>
      <c r="AM36" s="1321">
        <v>3.5521264303553579</v>
      </c>
      <c r="AN36" s="1321">
        <v>11.519671166036289</v>
      </c>
      <c r="AU36" s="1305" t="s">
        <v>2310</v>
      </c>
      <c r="AV36" s="1321">
        <v>4.3172690763051804</v>
      </c>
      <c r="AW36" s="1321">
        <v>11.526479750778947</v>
      </c>
      <c r="AX36" s="1321"/>
    </row>
    <row r="37" spans="1:50" ht="15">
      <c r="A37" s="1303"/>
      <c r="B37" s="1322" t="s">
        <v>2314</v>
      </c>
      <c r="C37" s="1323" t="s">
        <v>2315</v>
      </c>
      <c r="D37" s="1324">
        <f t="shared" si="0"/>
        <v>41842</v>
      </c>
      <c r="E37" s="1323">
        <f t="shared" si="21"/>
        <v>10.625400000000001</v>
      </c>
      <c r="F37" s="1323">
        <f t="shared" si="2"/>
        <v>9.7454517127851936</v>
      </c>
      <c r="G37" s="1323">
        <f t="shared" si="22"/>
        <v>2014</v>
      </c>
      <c r="H37" s="1323">
        <f t="shared" si="23"/>
        <v>7</v>
      </c>
      <c r="I37" s="1323">
        <f t="shared" si="24"/>
        <v>22</v>
      </c>
      <c r="J37" s="1323"/>
      <c r="R37" s="1304"/>
      <c r="S37" s="1304"/>
      <c r="T37" s="1304"/>
      <c r="AF37" s="430" t="s">
        <v>2316</v>
      </c>
      <c r="AG37" s="458">
        <v>8.3324999999999996</v>
      </c>
      <c r="AH37" s="458">
        <v>14.3333333333333</v>
      </c>
      <c r="AI37" s="458"/>
      <c r="AL37" s="1305">
        <f t="shared" si="20"/>
        <v>1985</v>
      </c>
      <c r="AM37" s="1321">
        <v>3.1981138866891996</v>
      </c>
      <c r="AN37" s="1321">
        <v>16.8005641703989</v>
      </c>
      <c r="AU37" s="1305" t="s">
        <v>2313</v>
      </c>
      <c r="AV37" s="1321">
        <v>3.5611164581327301</v>
      </c>
      <c r="AW37" s="1321">
        <v>16.294227188081663</v>
      </c>
      <c r="AX37" s="1321"/>
    </row>
    <row r="38" spans="1:50" ht="15">
      <c r="A38" s="1303"/>
      <c r="B38" s="1322" t="s">
        <v>2317</v>
      </c>
      <c r="C38" s="1323" t="s">
        <v>2318</v>
      </c>
      <c r="D38" s="1324">
        <f t="shared" si="0"/>
        <v>41841</v>
      </c>
      <c r="E38" s="1323">
        <f t="shared" si="21"/>
        <v>10.6326</v>
      </c>
      <c r="F38" s="1323">
        <f t="shared" si="2"/>
        <v>9.7435830804136074</v>
      </c>
      <c r="G38" s="1323">
        <f t="shared" si="22"/>
        <v>2014</v>
      </c>
      <c r="H38" s="1323">
        <f t="shared" si="23"/>
        <v>7</v>
      </c>
      <c r="I38" s="1323">
        <f t="shared" si="24"/>
        <v>21</v>
      </c>
      <c r="J38" s="1323"/>
      <c r="R38" s="1304"/>
      <c r="S38" s="1304"/>
      <c r="T38" s="1304"/>
      <c r="AF38" s="430" t="s">
        <v>2319</v>
      </c>
      <c r="AG38" s="458">
        <v>8.2033333333333296</v>
      </c>
      <c r="AH38" s="458">
        <v>12.5</v>
      </c>
      <c r="AI38" s="458"/>
      <c r="AL38" s="1305">
        <f t="shared" si="20"/>
        <v>1986</v>
      </c>
      <c r="AM38" s="1321">
        <v>2.0282171570079441</v>
      </c>
      <c r="AN38" s="1321">
        <v>17.0617302973872</v>
      </c>
      <c r="AU38" s="1305" t="s">
        <v>2316</v>
      </c>
      <c r="AV38" s="1321">
        <v>1.858736059479682</v>
      </c>
      <c r="AW38" s="1321">
        <v>18.654923939151445</v>
      </c>
      <c r="AX38" s="1321"/>
    </row>
    <row r="39" spans="1:50" ht="15">
      <c r="A39" s="1303"/>
      <c r="B39" s="1322" t="s">
        <v>2320</v>
      </c>
      <c r="C39" s="1323" t="s">
        <v>2321</v>
      </c>
      <c r="D39" s="1324">
        <f t="shared" si="0"/>
        <v>41838</v>
      </c>
      <c r="E39" s="1323">
        <f t="shared" si="21"/>
        <v>10.6972</v>
      </c>
      <c r="F39" s="1323">
        <f t="shared" si="2"/>
        <v>9.7417148063411574</v>
      </c>
      <c r="G39" s="1323">
        <f t="shared" si="22"/>
        <v>2014</v>
      </c>
      <c r="H39" s="1323">
        <f t="shared" si="23"/>
        <v>7</v>
      </c>
      <c r="I39" s="1323">
        <f t="shared" si="24"/>
        <v>18</v>
      </c>
      <c r="J39" s="1323"/>
      <c r="K39" s="1323"/>
      <c r="L39" s="1323"/>
      <c r="M39" s="1323"/>
      <c r="N39" s="1323"/>
      <c r="O39" s="1323"/>
      <c r="P39" s="1323"/>
      <c r="Q39" s="1323"/>
      <c r="R39" s="1304"/>
      <c r="S39" s="1304"/>
      <c r="T39" s="1304"/>
      <c r="AF39" s="430" t="s">
        <v>2322</v>
      </c>
      <c r="AG39" s="458">
        <v>9.3149999999999995</v>
      </c>
      <c r="AH39" s="458">
        <v>15.3333333333333</v>
      </c>
      <c r="AI39" s="458"/>
      <c r="AL39" s="1305">
        <f t="shared" si="20"/>
        <v>1987</v>
      </c>
      <c r="AM39" s="1321">
        <v>2.4459865992069894</v>
      </c>
      <c r="AN39" s="1321">
        <v>14.497506209255675</v>
      </c>
      <c r="AU39" s="1305" t="s">
        <v>2319</v>
      </c>
      <c r="AV39" s="1321">
        <v>3.7408759124087965</v>
      </c>
      <c r="AW39" s="1321">
        <v>16.160593792172449</v>
      </c>
      <c r="AX39" s="1321"/>
    </row>
    <row r="40" spans="1:50" ht="15">
      <c r="A40" s="1303"/>
      <c r="B40" s="1322" t="s">
        <v>2323</v>
      </c>
      <c r="C40" s="1323" t="s">
        <v>2324</v>
      </c>
      <c r="D40" s="1324">
        <f t="shared" si="0"/>
        <v>41837</v>
      </c>
      <c r="E40" s="1323">
        <f t="shared" si="21"/>
        <v>10.6684</v>
      </c>
      <c r="F40" s="1323">
        <f t="shared" si="2"/>
        <v>9.7398468904991429</v>
      </c>
      <c r="G40" s="1323">
        <f t="shared" si="22"/>
        <v>2014</v>
      </c>
      <c r="H40" s="1323">
        <f t="shared" si="23"/>
        <v>7</v>
      </c>
      <c r="I40" s="1323">
        <f t="shared" si="24"/>
        <v>17</v>
      </c>
      <c r="J40" s="1323"/>
      <c r="K40" s="1323"/>
      <c r="L40" s="1323"/>
      <c r="M40" s="1323"/>
      <c r="N40" s="1323"/>
      <c r="O40" s="1323"/>
      <c r="P40" s="1323"/>
      <c r="Q40" s="1323"/>
      <c r="R40" s="1304"/>
      <c r="S40" s="1304"/>
      <c r="T40" s="1304"/>
      <c r="AF40" s="430" t="s">
        <v>2325</v>
      </c>
      <c r="AG40" s="458">
        <v>10.873333333333299</v>
      </c>
      <c r="AH40" s="458">
        <v>19.8333333333333</v>
      </c>
      <c r="AI40" s="458"/>
      <c r="AL40" s="1305">
        <f t="shared" si="20"/>
        <v>1988</v>
      </c>
      <c r="AM40" s="1321">
        <v>3.505464252940655</v>
      </c>
      <c r="AN40" s="1321">
        <v>15.183209898027968</v>
      </c>
      <c r="AU40" s="1305" t="s">
        <v>2322</v>
      </c>
      <c r="AV40" s="1321">
        <v>4.0090882439163238</v>
      </c>
      <c r="AW40" s="1321">
        <v>12.7795527156551</v>
      </c>
      <c r="AX40" s="1321"/>
    </row>
    <row r="41" spans="1:50" ht="15">
      <c r="A41" s="1303"/>
      <c r="B41" s="1322" t="s">
        <v>2326</v>
      </c>
      <c r="C41" s="1323" t="s">
        <v>2327</v>
      </c>
      <c r="D41" s="1324">
        <f t="shared" si="0"/>
        <v>41836</v>
      </c>
      <c r="E41" s="1323">
        <f t="shared" si="21"/>
        <v>10.694000000000001</v>
      </c>
      <c r="F41" s="1323">
        <f t="shared" si="2"/>
        <v>9.7379793328188757</v>
      </c>
      <c r="G41" s="1323">
        <f t="shared" si="22"/>
        <v>2014</v>
      </c>
      <c r="H41" s="1323">
        <f t="shared" si="23"/>
        <v>7</v>
      </c>
      <c r="I41" s="1323">
        <f t="shared" si="24"/>
        <v>16</v>
      </c>
      <c r="J41" s="1323"/>
      <c r="K41" s="1323"/>
      <c r="L41" s="1323"/>
      <c r="M41" s="1323"/>
      <c r="N41" s="1323"/>
      <c r="O41" s="1323"/>
      <c r="P41" s="1323"/>
      <c r="Q41" s="1323"/>
      <c r="R41" s="1304"/>
      <c r="S41" s="1304"/>
      <c r="T41" s="1304"/>
      <c r="AF41" s="430" t="s">
        <v>2328</v>
      </c>
      <c r="AG41" s="458">
        <v>10.009166666666699</v>
      </c>
      <c r="AH41" s="458">
        <v>21</v>
      </c>
      <c r="AI41" s="458">
        <f>AH41-AG41</f>
        <v>10.990833333333301</v>
      </c>
      <c r="AL41" s="1305">
        <f t="shared" si="20"/>
        <v>1989</v>
      </c>
      <c r="AM41" s="1321">
        <v>3.8880649945192545</v>
      </c>
      <c r="AN41" s="1321">
        <v>17.258798818926579</v>
      </c>
      <c r="AO41" s="1321">
        <f>AN41-AM41</f>
        <v>13.370733824407324</v>
      </c>
      <c r="AP41" s="1321">
        <f t="shared" ref="AP41:AQ56" si="27">IF($AL41=AP$11,1,IF($AL41&lt;AP$11,AP42/(AM42/100+1),(AM41/100+1)*AP40))</f>
        <v>0.63667437219686862</v>
      </c>
      <c r="AQ41" s="1321">
        <f t="shared" si="27"/>
        <v>0.15910079582663553</v>
      </c>
      <c r="AU41" s="1305" t="s">
        <v>2325</v>
      </c>
      <c r="AV41" s="1321">
        <v>4.8270030300900544</v>
      </c>
      <c r="AW41" s="1321">
        <v>14.730878186969122</v>
      </c>
      <c r="AX41" s="1321"/>
    </row>
    <row r="42" spans="1:50" ht="15">
      <c r="A42" s="1303"/>
      <c r="B42" s="1322" t="s">
        <v>2329</v>
      </c>
      <c r="C42" s="1323" t="s">
        <v>2330</v>
      </c>
      <c r="D42" s="1324">
        <f t="shared" si="0"/>
        <v>41835</v>
      </c>
      <c r="E42" s="1323">
        <f t="shared" si="21"/>
        <v>10.7074</v>
      </c>
      <c r="F42" s="1323">
        <f t="shared" si="2"/>
        <v>9.7361121332316802</v>
      </c>
      <c r="G42" s="1323">
        <f t="shared" si="22"/>
        <v>2014</v>
      </c>
      <c r="H42" s="1323">
        <f t="shared" si="23"/>
        <v>7</v>
      </c>
      <c r="I42" s="1323">
        <f t="shared" si="24"/>
        <v>15</v>
      </c>
      <c r="J42" s="1323"/>
      <c r="K42" s="1323"/>
      <c r="L42" s="1323"/>
      <c r="M42" s="1323"/>
      <c r="N42" s="1323"/>
      <c r="O42" s="1323"/>
      <c r="P42" s="1323"/>
      <c r="Q42" s="1323"/>
      <c r="R42" s="1304"/>
      <c r="S42" s="1304"/>
      <c r="T42" s="1304"/>
      <c r="AF42" s="430" t="s">
        <v>2331</v>
      </c>
      <c r="AG42" s="458">
        <v>8.4633333333333294</v>
      </c>
      <c r="AH42" s="458">
        <v>20.3125</v>
      </c>
      <c r="AI42" s="458">
        <f t="shared" ref="AI42:AI64" si="28">AH42-AG42</f>
        <v>11.849166666666671</v>
      </c>
      <c r="AL42" s="1305">
        <f t="shared" si="20"/>
        <v>1990</v>
      </c>
      <c r="AM42" s="1321">
        <v>3.713071002979234</v>
      </c>
      <c r="AN42" s="1321">
        <v>15.521507195048386</v>
      </c>
      <c r="AO42" s="1321">
        <f t="shared" ref="AO42:AO66" si="29">AN42-AM42</f>
        <v>11.808436192069152</v>
      </c>
      <c r="AP42" s="1321">
        <f t="shared" si="27"/>
        <v>0.66031454369431064</v>
      </c>
      <c r="AQ42" s="1321">
        <f t="shared" si="27"/>
        <v>0.183795637298246</v>
      </c>
      <c r="AU42" s="1305" t="s">
        <v>2328</v>
      </c>
      <c r="AV42" s="1321">
        <v>5.397956439902714</v>
      </c>
      <c r="AW42" s="1321">
        <v>14.320987654320774</v>
      </c>
      <c r="AX42" s="1321">
        <f>AW42-AV42</f>
        <v>8.9230312144180601</v>
      </c>
    </row>
    <row r="43" spans="1:50" ht="15">
      <c r="A43" s="1303"/>
      <c r="B43" s="1322" t="s">
        <v>2332</v>
      </c>
      <c r="C43" s="1323" t="s">
        <v>2333</v>
      </c>
      <c r="D43" s="1324">
        <f t="shared" si="0"/>
        <v>41834</v>
      </c>
      <c r="E43" s="1323">
        <f t="shared" si="21"/>
        <v>10.726800000000001</v>
      </c>
      <c r="F43" s="1323">
        <f t="shared" si="2"/>
        <v>9.7342452916688949</v>
      </c>
      <c r="G43" s="1323">
        <f t="shared" si="22"/>
        <v>2014</v>
      </c>
      <c r="H43" s="1323">
        <f t="shared" si="23"/>
        <v>7</v>
      </c>
      <c r="I43" s="1323">
        <f t="shared" si="24"/>
        <v>14</v>
      </c>
      <c r="J43" s="1323"/>
      <c r="K43" s="1323"/>
      <c r="L43" s="1323"/>
      <c r="M43" s="1323"/>
      <c r="N43" s="1323"/>
      <c r="O43" s="1323"/>
      <c r="P43" s="1323"/>
      <c r="Q43" s="1323"/>
      <c r="R43" s="1304"/>
      <c r="S43" s="1304"/>
      <c r="T43" s="1304"/>
      <c r="AF43" s="430" t="s">
        <v>2334</v>
      </c>
      <c r="AG43" s="458">
        <v>6.2516666666666696</v>
      </c>
      <c r="AH43" s="458">
        <v>18.905833333333302</v>
      </c>
      <c r="AI43" s="458">
        <f t="shared" si="28"/>
        <v>12.654166666666633</v>
      </c>
      <c r="AL43" s="1305">
        <f t="shared" si="20"/>
        <v>1991</v>
      </c>
      <c r="AM43" s="1321">
        <v>3.3153304109752071</v>
      </c>
      <c r="AN43" s="1321">
        <v>15.727008695638588</v>
      </c>
      <c r="AO43" s="1321">
        <f t="shared" si="29"/>
        <v>12.411678284663381</v>
      </c>
      <c r="AP43" s="1321">
        <f t="shared" si="27"/>
        <v>0.68220615256950023</v>
      </c>
      <c r="AQ43" s="1321">
        <f t="shared" si="27"/>
        <v>0.21270119315834551</v>
      </c>
      <c r="AU43" s="1305" t="s">
        <v>2331</v>
      </c>
      <c r="AV43" s="1321">
        <v>4.2349639645391335</v>
      </c>
      <c r="AW43" s="1321">
        <v>15.334773218142431</v>
      </c>
      <c r="AX43" s="1321">
        <f t="shared" ref="AX43:AX66" si="30">AW43-AV43</f>
        <v>11.099809253603297</v>
      </c>
    </row>
    <row r="44" spans="1:50" ht="15">
      <c r="A44" s="1303"/>
      <c r="B44" s="1322" t="s">
        <v>2335</v>
      </c>
      <c r="C44" s="1323" t="s">
        <v>2336</v>
      </c>
      <c r="D44" s="1324">
        <f t="shared" si="0"/>
        <v>41831</v>
      </c>
      <c r="E44" s="1323">
        <f t="shared" si="21"/>
        <v>10.7156</v>
      </c>
      <c r="F44" s="1323">
        <f t="shared" si="2"/>
        <v>9.7323788080618687</v>
      </c>
      <c r="G44" s="1323">
        <f t="shared" si="22"/>
        <v>2014</v>
      </c>
      <c r="H44" s="1323">
        <f t="shared" si="23"/>
        <v>7</v>
      </c>
      <c r="I44" s="1323">
        <f t="shared" si="24"/>
        <v>11</v>
      </c>
      <c r="J44" s="1323"/>
      <c r="K44" s="1323"/>
      <c r="L44" s="1323"/>
      <c r="M44" s="1323"/>
      <c r="N44" s="1323"/>
      <c r="O44" s="1323"/>
      <c r="P44" s="1323"/>
      <c r="Q44" s="1323"/>
      <c r="R44" s="1304"/>
      <c r="S44" s="1304"/>
      <c r="T44" s="1304"/>
      <c r="AF44" s="430" t="s">
        <v>2337</v>
      </c>
      <c r="AG44" s="458">
        <v>6</v>
      </c>
      <c r="AH44" s="458">
        <v>16.158333333333299</v>
      </c>
      <c r="AI44" s="458">
        <f t="shared" si="28"/>
        <v>10.158333333333299</v>
      </c>
      <c r="AL44" s="1305">
        <f t="shared" si="20"/>
        <v>1992</v>
      </c>
      <c r="AM44" s="1321">
        <v>2.2807246187931867</v>
      </c>
      <c r="AN44" s="1321">
        <v>14.571151708131438</v>
      </c>
      <c r="AO44" s="1321">
        <f t="shared" si="29"/>
        <v>12.290427089338252</v>
      </c>
      <c r="AP44" s="1321">
        <f t="shared" si="27"/>
        <v>0.69776539624207456</v>
      </c>
      <c r="AQ44" s="1321">
        <f t="shared" si="27"/>
        <v>0.24369420669845374</v>
      </c>
      <c r="AU44" s="1305" t="s">
        <v>2334</v>
      </c>
      <c r="AV44" s="1321">
        <v>3.0288196781495458</v>
      </c>
      <c r="AW44" s="1321">
        <v>13.874702076949319</v>
      </c>
      <c r="AX44" s="1321">
        <f t="shared" si="30"/>
        <v>10.845882398799773</v>
      </c>
    </row>
    <row r="45" spans="1:50" ht="15">
      <c r="A45" s="1303"/>
      <c r="B45" s="1322" t="s">
        <v>2338</v>
      </c>
      <c r="C45" s="1323" t="s">
        <v>2339</v>
      </c>
      <c r="D45" s="1324">
        <f t="shared" si="0"/>
        <v>41830</v>
      </c>
      <c r="E45" s="1323">
        <f t="shared" si="21"/>
        <v>10.7058</v>
      </c>
      <c r="F45" s="1323">
        <f t="shared" si="2"/>
        <v>9.730512682341967</v>
      </c>
      <c r="G45" s="1323">
        <f t="shared" si="22"/>
        <v>2014</v>
      </c>
      <c r="H45" s="1323">
        <f t="shared" si="23"/>
        <v>7</v>
      </c>
      <c r="I45" s="1323">
        <f t="shared" si="24"/>
        <v>10</v>
      </c>
      <c r="J45" s="1323"/>
      <c r="K45" s="1323"/>
      <c r="L45" s="1323"/>
      <c r="M45" s="1323"/>
      <c r="N45" s="1323"/>
      <c r="O45" s="1323"/>
      <c r="P45" s="1323"/>
      <c r="Q45" s="1323"/>
      <c r="R45" s="1304"/>
      <c r="S45" s="1304"/>
      <c r="T45" s="1304"/>
      <c r="AF45" s="430" t="s">
        <v>2340</v>
      </c>
      <c r="AG45" s="458">
        <v>7.1383333333333301</v>
      </c>
      <c r="AH45" s="458">
        <v>15.5833333333333</v>
      </c>
      <c r="AI45" s="458">
        <f t="shared" si="28"/>
        <v>8.4449999999999701</v>
      </c>
      <c r="AL45" s="1305">
        <f t="shared" si="20"/>
        <v>1993</v>
      </c>
      <c r="AM45" s="1321">
        <v>2.3827726809378902</v>
      </c>
      <c r="AN45" s="1321">
        <v>13.087568877837128</v>
      </c>
      <c r="AO45" s="1321">
        <f t="shared" si="29"/>
        <v>10.704796196899238</v>
      </c>
      <c r="AP45" s="1321">
        <f t="shared" si="27"/>
        <v>0.71439155948076882</v>
      </c>
      <c r="AQ45" s="1321">
        <f t="shared" si="27"/>
        <v>0.27558785385141266</v>
      </c>
      <c r="AU45" s="1305" t="s">
        <v>2337</v>
      </c>
      <c r="AV45" s="1321">
        <v>2.9516569663852152</v>
      </c>
      <c r="AW45" s="1321">
        <v>9.7174465540440451</v>
      </c>
      <c r="AX45" s="1321">
        <f t="shared" si="30"/>
        <v>6.7657895876588299</v>
      </c>
    </row>
    <row r="46" spans="1:50" ht="15">
      <c r="A46" s="1303"/>
      <c r="B46" s="1322" t="s">
        <v>2341</v>
      </c>
      <c r="C46" s="1323" t="s">
        <v>2297</v>
      </c>
      <c r="D46" s="1324">
        <f t="shared" si="0"/>
        <v>41829</v>
      </c>
      <c r="E46" s="1323">
        <f t="shared" si="21"/>
        <v>10.6729</v>
      </c>
      <c r="F46" s="1323">
        <f t="shared" si="2"/>
        <v>9.7286469144405672</v>
      </c>
      <c r="G46" s="1323">
        <f t="shared" si="22"/>
        <v>2014</v>
      </c>
      <c r="H46" s="1323">
        <f t="shared" si="23"/>
        <v>7</v>
      </c>
      <c r="I46" s="1323">
        <f t="shared" si="24"/>
        <v>9</v>
      </c>
      <c r="J46" s="1323"/>
      <c r="K46" s="1323"/>
      <c r="L46" s="1323"/>
      <c r="M46" s="1323"/>
      <c r="N46" s="1323"/>
      <c r="O46" s="1323"/>
      <c r="P46" s="1323"/>
      <c r="Q46" s="1323"/>
      <c r="R46" s="1304"/>
      <c r="S46" s="1304"/>
      <c r="T46" s="1304"/>
      <c r="AF46" s="430" t="s">
        <v>2342</v>
      </c>
      <c r="AG46" s="458">
        <v>8.8291666666666693</v>
      </c>
      <c r="AH46" s="458">
        <v>17.8958333333333</v>
      </c>
      <c r="AI46" s="458">
        <f t="shared" si="28"/>
        <v>9.0666666666666309</v>
      </c>
      <c r="AL46" s="1305">
        <f t="shared" si="20"/>
        <v>1994</v>
      </c>
      <c r="AM46" s="1321">
        <v>2.1240406554656062</v>
      </c>
      <c r="AN46" s="1321">
        <v>9.5940101578965766</v>
      </c>
      <c r="AO46" s="1321">
        <f t="shared" si="29"/>
        <v>7.4699695024309705</v>
      </c>
      <c r="AP46" s="1321">
        <f t="shared" si="27"/>
        <v>0.72956552664335517</v>
      </c>
      <c r="AQ46" s="1321">
        <f t="shared" si="27"/>
        <v>0.30202778054384638</v>
      </c>
      <c r="AU46" s="1305" t="s">
        <v>2340</v>
      </c>
      <c r="AV46" s="1321">
        <v>2.6074415921546858</v>
      </c>
      <c r="AW46" s="1321">
        <v>8.9385474860335563</v>
      </c>
      <c r="AX46" s="1321">
        <f t="shared" si="30"/>
        <v>6.3311058938788705</v>
      </c>
    </row>
    <row r="47" spans="1:50" ht="15">
      <c r="A47" s="1303"/>
      <c r="B47" s="1322" t="s">
        <v>2343</v>
      </c>
      <c r="C47" s="1323" t="s">
        <v>2344</v>
      </c>
      <c r="D47" s="1324">
        <f t="shared" si="0"/>
        <v>41828</v>
      </c>
      <c r="E47" s="1323">
        <f t="shared" si="21"/>
        <v>10.7043</v>
      </c>
      <c r="F47" s="1323">
        <f t="shared" si="2"/>
        <v>9.7267815042890593</v>
      </c>
      <c r="G47" s="1323">
        <f t="shared" si="22"/>
        <v>2014</v>
      </c>
      <c r="H47" s="1323">
        <f t="shared" si="23"/>
        <v>7</v>
      </c>
      <c r="I47" s="1323">
        <f t="shared" si="24"/>
        <v>8</v>
      </c>
      <c r="J47" s="1323"/>
      <c r="K47" s="1323"/>
      <c r="L47" s="1323"/>
      <c r="M47" s="1323"/>
      <c r="N47" s="1323"/>
      <c r="O47" s="1323"/>
      <c r="P47" s="1323"/>
      <c r="Q47" s="1323"/>
      <c r="R47" s="1304"/>
      <c r="S47" s="1304"/>
      <c r="T47" s="1304"/>
      <c r="AF47" s="430" t="s">
        <v>2345</v>
      </c>
      <c r="AG47" s="458">
        <v>8.2708333333333304</v>
      </c>
      <c r="AH47" s="458">
        <v>19.5208333333333</v>
      </c>
      <c r="AI47" s="458">
        <f t="shared" si="28"/>
        <v>11.24999999999997</v>
      </c>
      <c r="AL47" s="1305">
        <f t="shared" si="20"/>
        <v>1995</v>
      </c>
      <c r="AM47" s="1321">
        <v>2.0879879757891331</v>
      </c>
      <c r="AN47" s="1321">
        <v>10.25032595221515</v>
      </c>
      <c r="AO47" s="1321">
        <f t="shared" si="29"/>
        <v>8.1623379764260164</v>
      </c>
      <c r="AP47" s="1321">
        <f t="shared" si="27"/>
        <v>0.74479876711517101</v>
      </c>
      <c r="AQ47" s="1321">
        <f t="shared" si="27"/>
        <v>0.33298661251583173</v>
      </c>
      <c r="AU47" s="1305" t="s">
        <v>2342</v>
      </c>
      <c r="AV47" s="1321">
        <v>2.8054196885364746</v>
      </c>
      <c r="AW47" s="1321">
        <v>8.6804252657910439</v>
      </c>
      <c r="AX47" s="1321">
        <f t="shared" si="30"/>
        <v>5.8750055772545693</v>
      </c>
    </row>
    <row r="48" spans="1:50" ht="15">
      <c r="A48" s="1303"/>
      <c r="B48" s="1322" t="s">
        <v>2346</v>
      </c>
      <c r="C48" s="1323" t="s">
        <v>2347</v>
      </c>
      <c r="D48" s="1324">
        <f t="shared" si="0"/>
        <v>41827</v>
      </c>
      <c r="E48" s="1323">
        <f t="shared" si="21"/>
        <v>10.8215</v>
      </c>
      <c r="F48" s="1323">
        <f t="shared" si="2"/>
        <v>9.7249164518188476</v>
      </c>
      <c r="G48" s="1323">
        <f t="shared" si="22"/>
        <v>2014</v>
      </c>
      <c r="H48" s="1323">
        <f t="shared" si="23"/>
        <v>7</v>
      </c>
      <c r="I48" s="1323">
        <f t="shared" si="24"/>
        <v>7</v>
      </c>
      <c r="J48" s="1323"/>
      <c r="K48" s="1323"/>
      <c r="L48" s="1323"/>
      <c r="M48" s="1323"/>
      <c r="N48" s="1323"/>
      <c r="O48" s="1323"/>
      <c r="P48" s="1323"/>
      <c r="Q48" s="1323"/>
      <c r="R48" s="1304"/>
      <c r="S48" s="1304"/>
      <c r="T48" s="1304"/>
      <c r="AF48" s="430" t="s">
        <v>2348</v>
      </c>
      <c r="AG48" s="458">
        <v>8.44166666666667</v>
      </c>
      <c r="AH48" s="458">
        <v>20</v>
      </c>
      <c r="AI48" s="458">
        <f t="shared" si="28"/>
        <v>11.55833333333333</v>
      </c>
      <c r="AL48" s="1305">
        <f t="shared" si="20"/>
        <v>1996</v>
      </c>
      <c r="AM48" s="1321">
        <v>1.8224503601129953</v>
      </c>
      <c r="AN48" s="1321">
        <v>8.0896615066536839</v>
      </c>
      <c r="AO48" s="1321">
        <f t="shared" si="29"/>
        <v>6.2672111465406886</v>
      </c>
      <c r="AP48" s="1321">
        <f t="shared" si="27"/>
        <v>0.75837235492857857</v>
      </c>
      <c r="AQ48" s="1321">
        <f t="shared" si="27"/>
        <v>0.35992410233083505</v>
      </c>
      <c r="AU48" s="1305" t="s">
        <v>2345</v>
      </c>
      <c r="AV48" s="1321">
        <v>2.9312041999344842</v>
      </c>
      <c r="AW48" s="1321">
        <v>7.3541259063184299</v>
      </c>
      <c r="AX48" s="1321">
        <f t="shared" si="30"/>
        <v>4.4229217063839457</v>
      </c>
    </row>
    <row r="49" spans="1:50" ht="15">
      <c r="A49" s="1303"/>
      <c r="B49" s="1322" t="s">
        <v>2349</v>
      </c>
      <c r="C49" s="1323" t="s">
        <v>2350</v>
      </c>
      <c r="D49" s="1324">
        <f t="shared" si="0"/>
        <v>41824</v>
      </c>
      <c r="E49" s="1323">
        <f t="shared" si="21"/>
        <v>10.7516</v>
      </c>
      <c r="F49" s="1323">
        <f t="shared" si="2"/>
        <v>9.7230517569613486</v>
      </c>
      <c r="G49" s="1323">
        <f t="shared" si="22"/>
        <v>2014</v>
      </c>
      <c r="H49" s="1323">
        <f t="shared" si="23"/>
        <v>7</v>
      </c>
      <c r="I49" s="1323">
        <f t="shared" si="24"/>
        <v>4</v>
      </c>
      <c r="J49" s="1323"/>
      <c r="K49" s="1323"/>
      <c r="L49" s="1323"/>
      <c r="M49" s="1323"/>
      <c r="N49" s="1323"/>
      <c r="O49" s="1323"/>
      <c r="P49" s="1323"/>
      <c r="Q49" s="1323"/>
      <c r="R49" s="1304"/>
      <c r="S49" s="1304"/>
      <c r="T49" s="1304"/>
      <c r="AF49" s="430" t="s">
        <v>2351</v>
      </c>
      <c r="AG49" s="458">
        <v>8.3541666666666696</v>
      </c>
      <c r="AH49" s="458">
        <v>21.7916666666667</v>
      </c>
      <c r="AI49" s="458">
        <f t="shared" si="28"/>
        <v>13.43750000000003</v>
      </c>
      <c r="AL49" s="1305">
        <f t="shared" si="20"/>
        <v>1997</v>
      </c>
      <c r="AM49" s="1321">
        <v>1.7207914859246785</v>
      </c>
      <c r="AN49" s="1321">
        <v>8.1064754409360376</v>
      </c>
      <c r="AO49" s="1321">
        <f t="shared" si="29"/>
        <v>6.3856839550113591</v>
      </c>
      <c r="AP49" s="1321">
        <f t="shared" si="27"/>
        <v>0.77142236184379598</v>
      </c>
      <c r="AQ49" s="1321">
        <f t="shared" si="27"/>
        <v>0.38910126129229367</v>
      </c>
      <c r="AU49" s="1305" t="s">
        <v>2348</v>
      </c>
      <c r="AV49" s="1321">
        <v>2.3376899373076299</v>
      </c>
      <c r="AW49" s="1321">
        <v>8.5977701543738476</v>
      </c>
      <c r="AX49" s="1321">
        <f t="shared" si="30"/>
        <v>6.2600802170662178</v>
      </c>
    </row>
    <row r="50" spans="1:50" ht="15">
      <c r="A50" s="1303"/>
      <c r="B50" s="1322" t="s">
        <v>2352</v>
      </c>
      <c r="C50" s="1323" t="s">
        <v>2353</v>
      </c>
      <c r="D50" s="1324">
        <f t="shared" si="0"/>
        <v>41823</v>
      </c>
      <c r="E50" s="1323">
        <f t="shared" si="21"/>
        <v>10.778700000000001</v>
      </c>
      <c r="F50" s="1323">
        <f t="shared" si="2"/>
        <v>9.7211874196479915</v>
      </c>
      <c r="G50" s="1323">
        <f t="shared" si="22"/>
        <v>2014</v>
      </c>
      <c r="H50" s="1323">
        <f t="shared" si="23"/>
        <v>7</v>
      </c>
      <c r="I50" s="1323">
        <f t="shared" si="24"/>
        <v>3</v>
      </c>
      <c r="J50" s="1323"/>
      <c r="K50" s="1323"/>
      <c r="L50" s="1323"/>
      <c r="M50" s="1323"/>
      <c r="N50" s="1323"/>
      <c r="O50" s="1323"/>
      <c r="P50" s="1323"/>
      <c r="Q50" s="1323"/>
      <c r="R50" s="1304"/>
      <c r="S50" s="1304"/>
      <c r="T50" s="1304"/>
      <c r="AF50" s="430" t="s">
        <v>2354</v>
      </c>
      <c r="AG50" s="458">
        <v>7.9941666666666702</v>
      </c>
      <c r="AH50" s="458">
        <v>18</v>
      </c>
      <c r="AI50" s="458">
        <f t="shared" si="28"/>
        <v>10.00583333333333</v>
      </c>
      <c r="AL50" s="1305">
        <f t="shared" si="20"/>
        <v>1998</v>
      </c>
      <c r="AM50" s="1321">
        <v>1.0846737014656753</v>
      </c>
      <c r="AN50" s="1321">
        <v>7.710412820611154</v>
      </c>
      <c r="AO50" s="1321">
        <f t="shared" si="29"/>
        <v>6.6257391191454786</v>
      </c>
      <c r="AP50" s="1321">
        <f t="shared" si="27"/>
        <v>0.77978977732994104</v>
      </c>
      <c r="AQ50" s="1321">
        <f t="shared" si="27"/>
        <v>0.4191025748281344</v>
      </c>
      <c r="AU50" s="1305" t="s">
        <v>2351</v>
      </c>
      <c r="AV50" s="1321">
        <v>1.55227909874327</v>
      </c>
      <c r="AW50" s="1321">
        <v>6.8805528134254814</v>
      </c>
      <c r="AX50" s="1321">
        <f t="shared" si="30"/>
        <v>5.3282737146822114</v>
      </c>
    </row>
    <row r="51" spans="1:50" ht="15">
      <c r="A51" s="1303"/>
      <c r="B51" s="1322" t="s">
        <v>2355</v>
      </c>
      <c r="C51" s="1323" t="s">
        <v>2356</v>
      </c>
      <c r="D51" s="1324">
        <f t="shared" si="0"/>
        <v>41822</v>
      </c>
      <c r="E51" s="1323">
        <f t="shared" si="21"/>
        <v>10.7059</v>
      </c>
      <c r="F51" s="1323">
        <f t="shared" si="2"/>
        <v>9.7193234398102195</v>
      </c>
      <c r="G51" s="1323">
        <f t="shared" si="22"/>
        <v>2014</v>
      </c>
      <c r="H51" s="1323">
        <f t="shared" si="23"/>
        <v>7</v>
      </c>
      <c r="I51" s="1323">
        <f t="shared" si="24"/>
        <v>2</v>
      </c>
      <c r="J51" s="1323"/>
      <c r="K51" s="1323"/>
      <c r="L51" s="1323"/>
      <c r="M51" s="1323"/>
      <c r="N51" s="1323"/>
      <c r="O51" s="1323"/>
      <c r="P51" s="1323"/>
      <c r="Q51" s="1323"/>
      <c r="R51" s="1304"/>
      <c r="S51" s="1304"/>
      <c r="T51" s="1304"/>
      <c r="AF51" s="430" t="s">
        <v>2357</v>
      </c>
      <c r="AG51" s="458">
        <v>9.2333333333333307</v>
      </c>
      <c r="AH51" s="458">
        <v>14.5</v>
      </c>
      <c r="AI51" s="458">
        <f t="shared" si="28"/>
        <v>5.2666666666666693</v>
      </c>
      <c r="AL51" s="1305">
        <f t="shared" si="20"/>
        <v>1999</v>
      </c>
      <c r="AM51" s="1321">
        <v>1.4315576106915415</v>
      </c>
      <c r="AN51" s="1321">
        <v>7.0732294432149843</v>
      </c>
      <c r="AO51" s="1321">
        <f t="shared" si="29"/>
        <v>5.6416718325234427</v>
      </c>
      <c r="AP51" s="1321">
        <f t="shared" si="27"/>
        <v>0.7909529172347024</v>
      </c>
      <c r="AQ51" s="1321">
        <f t="shared" si="27"/>
        <v>0.44874666154815007</v>
      </c>
      <c r="AU51" s="1305" t="s">
        <v>2354</v>
      </c>
      <c r="AV51" s="1321">
        <v>2.1880271969738203</v>
      </c>
      <c r="AW51" s="1321">
        <v>5.1814907176504335</v>
      </c>
      <c r="AX51" s="1321">
        <f t="shared" si="30"/>
        <v>2.9934635206766131</v>
      </c>
    </row>
    <row r="52" spans="1:50" ht="15">
      <c r="A52" s="1303"/>
      <c r="B52" s="1322" t="s">
        <v>2358</v>
      </c>
      <c r="C52" s="1323" t="s">
        <v>2359</v>
      </c>
      <c r="D52" s="1324">
        <f t="shared" si="0"/>
        <v>41821</v>
      </c>
      <c r="E52" s="1323">
        <f t="shared" si="21"/>
        <v>10.6172</v>
      </c>
      <c r="F52" s="1323">
        <f t="shared" si="2"/>
        <v>9.7174598173794884</v>
      </c>
      <c r="G52" s="1323">
        <f t="shared" si="22"/>
        <v>2014</v>
      </c>
      <c r="H52" s="1323">
        <f t="shared" si="23"/>
        <v>7</v>
      </c>
      <c r="I52" s="1323">
        <f t="shared" si="24"/>
        <v>1</v>
      </c>
      <c r="J52" s="1323"/>
      <c r="K52" s="1323"/>
      <c r="L52" s="1323"/>
      <c r="M52" s="1323"/>
      <c r="N52" s="1323"/>
      <c r="O52" s="1323"/>
      <c r="P52" s="1323"/>
      <c r="Q52" s="1323"/>
      <c r="R52" s="1304"/>
      <c r="S52" s="1304"/>
      <c r="T52" s="1304"/>
      <c r="AF52" s="430" t="s">
        <v>2360</v>
      </c>
      <c r="AG52" s="458">
        <v>6.9216666666666704</v>
      </c>
      <c r="AH52" s="458">
        <v>13.7708333333333</v>
      </c>
      <c r="AI52" s="458">
        <f t="shared" si="28"/>
        <v>6.8491666666666298</v>
      </c>
      <c r="AL52" s="1305">
        <f t="shared" si="20"/>
        <v>2000</v>
      </c>
      <c r="AM52" s="1321">
        <v>2.2793979891341678</v>
      </c>
      <c r="AN52" s="1321">
        <v>8.8095447907136588</v>
      </c>
      <c r="AO52" s="1321">
        <f t="shared" si="29"/>
        <v>6.530146801579491</v>
      </c>
      <c r="AP52" s="1321">
        <f t="shared" si="27"/>
        <v>0.80898188212514821</v>
      </c>
      <c r="AQ52" s="1321">
        <f t="shared" si="27"/>
        <v>0.48827919969406658</v>
      </c>
      <c r="AU52" s="1305" t="s">
        <v>2357</v>
      </c>
      <c r="AV52" s="1321">
        <v>3.3768572714992615</v>
      </c>
      <c r="AW52" s="1321">
        <v>5.3389532841586487</v>
      </c>
      <c r="AX52" s="1321">
        <f t="shared" si="30"/>
        <v>1.9620960126593872</v>
      </c>
    </row>
    <row r="53" spans="1:50" ht="15">
      <c r="A53" s="1303"/>
      <c r="B53" s="1322" t="s">
        <v>2361</v>
      </c>
      <c r="C53" s="1323" t="s">
        <v>2362</v>
      </c>
      <c r="D53" s="1324">
        <f t="shared" si="0"/>
        <v>41820</v>
      </c>
      <c r="E53" s="1323">
        <f t="shared" si="21"/>
        <v>10.6135</v>
      </c>
      <c r="F53" s="1323">
        <f t="shared" si="2"/>
        <v>9.715596552287268</v>
      </c>
      <c r="G53" s="1323">
        <f t="shared" si="22"/>
        <v>2014</v>
      </c>
      <c r="H53" s="1323">
        <f t="shared" si="23"/>
        <v>6</v>
      </c>
      <c r="I53" s="1323">
        <f t="shared" si="24"/>
        <v>30</v>
      </c>
      <c r="J53" s="1323"/>
      <c r="K53" s="1323"/>
      <c r="L53" s="1323"/>
      <c r="M53" s="1323"/>
      <c r="N53" s="1323"/>
      <c r="O53" s="1323"/>
      <c r="P53" s="1323"/>
      <c r="Q53" s="1323"/>
      <c r="R53" s="1304"/>
      <c r="S53" s="1304"/>
      <c r="T53" s="1304"/>
      <c r="AF53" s="430" t="s">
        <v>2363</v>
      </c>
      <c r="AG53" s="458">
        <v>4.6749999999999998</v>
      </c>
      <c r="AH53" s="458">
        <v>15.75</v>
      </c>
      <c r="AI53" s="458">
        <f t="shared" si="28"/>
        <v>11.074999999999999</v>
      </c>
      <c r="AL53" s="1305">
        <f t="shared" si="20"/>
        <v>2001</v>
      </c>
      <c r="AM53" s="1321">
        <v>2.2774453535230776</v>
      </c>
      <c r="AN53" s="1321">
        <v>7.6669259418858218</v>
      </c>
      <c r="AO53" s="1321">
        <f t="shared" si="29"/>
        <v>5.3894805883627441</v>
      </c>
      <c r="AP53" s="1321">
        <f t="shared" si="27"/>
        <v>0.82740600241045092</v>
      </c>
      <c r="AQ53" s="1321">
        <f t="shared" si="27"/>
        <v>0.52571520432424346</v>
      </c>
      <c r="AU53" s="1305" t="s">
        <v>2360</v>
      </c>
      <c r="AV53" s="1321">
        <v>2.8261711188543188</v>
      </c>
      <c r="AW53" s="1321">
        <v>5.701900633544625</v>
      </c>
      <c r="AX53" s="1321">
        <f t="shared" si="30"/>
        <v>2.8757295146903061</v>
      </c>
    </row>
    <row r="54" spans="1:50" ht="15">
      <c r="A54" s="1303"/>
      <c r="B54" s="1322" t="s">
        <v>2364</v>
      </c>
      <c r="C54" s="1323" t="s">
        <v>2365</v>
      </c>
      <c r="D54" s="1324">
        <f t="shared" si="0"/>
        <v>41817</v>
      </c>
      <c r="E54" s="1323">
        <f t="shared" si="21"/>
        <v>10.617699999999999</v>
      </c>
      <c r="F54" s="1323">
        <f t="shared" si="2"/>
        <v>9.7137336444650408</v>
      </c>
      <c r="G54" s="1323">
        <f t="shared" si="22"/>
        <v>2014</v>
      </c>
      <c r="H54" s="1323">
        <f t="shared" si="23"/>
        <v>6</v>
      </c>
      <c r="I54" s="1323">
        <f t="shared" si="24"/>
        <v>27</v>
      </c>
      <c r="J54" s="1323"/>
      <c r="K54" s="1323"/>
      <c r="L54" s="1323"/>
      <c r="M54" s="1323"/>
      <c r="N54" s="1323"/>
      <c r="O54" s="1323"/>
      <c r="P54" s="1323"/>
      <c r="Q54" s="1323"/>
      <c r="R54" s="1304"/>
      <c r="S54" s="1304"/>
      <c r="T54" s="1304"/>
      <c r="AF54" s="430" t="s">
        <v>2366</v>
      </c>
      <c r="AG54" s="458">
        <v>4.1224999999999996</v>
      </c>
      <c r="AH54" s="458">
        <v>14.9583333333333</v>
      </c>
      <c r="AI54" s="458">
        <f t="shared" si="28"/>
        <v>10.835833333333301</v>
      </c>
      <c r="AL54" s="1305">
        <f t="shared" si="20"/>
        <v>2002</v>
      </c>
      <c r="AM54" s="1321">
        <v>1.5342367619841895</v>
      </c>
      <c r="AN54" s="1321">
        <v>10.749452405418353</v>
      </c>
      <c r="AO54" s="1321">
        <f t="shared" si="29"/>
        <v>9.2152156434341634</v>
      </c>
      <c r="AP54" s="1321">
        <f t="shared" si="27"/>
        <v>0.84010036947029587</v>
      </c>
      <c r="AQ54" s="1321">
        <f t="shared" si="27"/>
        <v>0.58222671000112591</v>
      </c>
      <c r="AU54" s="1305" t="s">
        <v>2363</v>
      </c>
      <c r="AV54" s="1321">
        <v>1.5860316265058287</v>
      </c>
      <c r="AW54" s="1321">
        <v>9.1640378548894574</v>
      </c>
      <c r="AX54" s="1321">
        <f t="shared" si="30"/>
        <v>7.5780062283836287</v>
      </c>
    </row>
    <row r="55" spans="1:50" ht="15">
      <c r="A55" s="1303"/>
      <c r="B55" s="1322" t="s">
        <v>2367</v>
      </c>
      <c r="C55" s="1323" t="s">
        <v>2368</v>
      </c>
      <c r="D55" s="1324">
        <f t="shared" si="0"/>
        <v>41816</v>
      </c>
      <c r="E55" s="1323">
        <f t="shared" si="21"/>
        <v>10.6113</v>
      </c>
      <c r="F55" s="1323">
        <f t="shared" si="2"/>
        <v>9.7118710938443034</v>
      </c>
      <c r="G55" s="1323">
        <f t="shared" si="22"/>
        <v>2014</v>
      </c>
      <c r="H55" s="1323">
        <f t="shared" si="23"/>
        <v>6</v>
      </c>
      <c r="I55" s="1323">
        <f t="shared" si="24"/>
        <v>26</v>
      </c>
      <c r="J55" s="1323"/>
      <c r="K55" s="1323"/>
      <c r="L55" s="1323"/>
      <c r="M55" s="1323"/>
      <c r="N55" s="1323"/>
      <c r="O55" s="1323"/>
      <c r="P55" s="1323"/>
      <c r="Q55" s="1323"/>
      <c r="R55" s="1304"/>
      <c r="S55" s="1304"/>
      <c r="T55" s="1304"/>
      <c r="AF55" s="430" t="s">
        <v>2369</v>
      </c>
      <c r="AG55" s="458">
        <v>4.34</v>
      </c>
      <c r="AH55" s="458">
        <v>11.2916666666667</v>
      </c>
      <c r="AI55" s="458">
        <f t="shared" si="28"/>
        <v>6.9516666666667</v>
      </c>
      <c r="AL55" s="1305">
        <f t="shared" si="20"/>
        <v>2003</v>
      </c>
      <c r="AM55" s="1321">
        <v>1.9931796801505755</v>
      </c>
      <c r="AN55" s="1321">
        <v>5.5502297825584179</v>
      </c>
      <c r="AO55" s="1321">
        <f t="shared" si="29"/>
        <v>3.5570501024078425</v>
      </c>
      <c r="AP55" s="1321">
        <f t="shared" si="27"/>
        <v>0.8568450793274478</v>
      </c>
      <c r="AQ55" s="1321">
        <f t="shared" si="27"/>
        <v>0.61454163026161845</v>
      </c>
      <c r="AU55" s="1305" t="s">
        <v>2366</v>
      </c>
      <c r="AV55" s="1321">
        <v>2.2700949733610827</v>
      </c>
      <c r="AW55" s="1321">
        <v>5.8589799161970575</v>
      </c>
      <c r="AX55" s="1321">
        <f t="shared" si="30"/>
        <v>3.5888849428359748</v>
      </c>
    </row>
    <row r="56" spans="1:50" ht="15">
      <c r="A56" s="1303"/>
      <c r="B56" s="1322" t="s">
        <v>2370</v>
      </c>
      <c r="C56" s="1323" t="s">
        <v>2371</v>
      </c>
      <c r="D56" s="1324">
        <f t="shared" si="0"/>
        <v>41815</v>
      </c>
      <c r="E56" s="1323">
        <f t="shared" si="21"/>
        <v>10.6137</v>
      </c>
      <c r="F56" s="1323">
        <f t="shared" si="2"/>
        <v>9.7100089003565628</v>
      </c>
      <c r="G56" s="1323">
        <f t="shared" si="22"/>
        <v>2014</v>
      </c>
      <c r="H56" s="1323">
        <f t="shared" si="23"/>
        <v>6</v>
      </c>
      <c r="I56" s="1323">
        <f t="shared" si="24"/>
        <v>25</v>
      </c>
      <c r="J56" s="1323"/>
      <c r="K56" s="1323"/>
      <c r="L56" s="1323"/>
      <c r="M56" s="1323"/>
      <c r="N56" s="1323"/>
      <c r="O56" s="1323"/>
      <c r="P56" s="1323"/>
      <c r="Q56" s="1323"/>
      <c r="R56" s="1304"/>
      <c r="S56" s="1304"/>
      <c r="T56" s="1304"/>
      <c r="AF56" s="430" t="s">
        <v>2372</v>
      </c>
      <c r="AG56" s="458">
        <v>6.1891666666666696</v>
      </c>
      <c r="AH56" s="458">
        <v>10.625</v>
      </c>
      <c r="AI56" s="458">
        <f t="shared" si="28"/>
        <v>4.4358333333333304</v>
      </c>
      <c r="AL56" s="1305">
        <f t="shared" si="20"/>
        <v>2004</v>
      </c>
      <c r="AM56" s="1321">
        <v>2.7474491266502525</v>
      </c>
      <c r="AN56" s="1321">
        <v>6.3718942256896725</v>
      </c>
      <c r="AO56" s="1321">
        <f t="shared" si="29"/>
        <v>3.6244450990394199</v>
      </c>
      <c r="AP56" s="1321">
        <f t="shared" si="27"/>
        <v>0.88038646197617554</v>
      </c>
      <c r="AQ56" s="1321">
        <f t="shared" si="27"/>
        <v>0.6536995729147177</v>
      </c>
      <c r="AU56" s="1305" t="s">
        <v>2369</v>
      </c>
      <c r="AV56" s="1321">
        <v>2.6772366930917713</v>
      </c>
      <c r="AW56" s="1321">
        <v>1.3853818330717758</v>
      </c>
      <c r="AX56" s="1321">
        <f t="shared" si="30"/>
        <v>-1.2918548600199955</v>
      </c>
    </row>
    <row r="57" spans="1:50" ht="15">
      <c r="A57" s="1303"/>
      <c r="B57" s="1322" t="s">
        <v>2373</v>
      </c>
      <c r="C57" s="1323" t="s">
        <v>2374</v>
      </c>
      <c r="D57" s="1324">
        <f t="shared" si="0"/>
        <v>41814</v>
      </c>
      <c r="E57" s="1323">
        <f t="shared" si="21"/>
        <v>10.5625</v>
      </c>
      <c r="F57" s="1323">
        <f t="shared" si="2"/>
        <v>9.7081470639333425</v>
      </c>
      <c r="G57" s="1323">
        <f t="shared" si="22"/>
        <v>2014</v>
      </c>
      <c r="H57" s="1323">
        <f t="shared" si="23"/>
        <v>6</v>
      </c>
      <c r="I57" s="1323">
        <f t="shared" si="24"/>
        <v>24</v>
      </c>
      <c r="J57" s="1323"/>
      <c r="K57" s="1323"/>
      <c r="L57" s="1323"/>
      <c r="M57" s="1323"/>
      <c r="N57" s="1323"/>
      <c r="O57" s="1323"/>
      <c r="P57" s="1323"/>
      <c r="Q57" s="1323"/>
      <c r="R57" s="1304"/>
      <c r="S57" s="1304"/>
      <c r="T57" s="1304"/>
      <c r="AF57" s="430" t="s">
        <v>2375</v>
      </c>
      <c r="AG57" s="458">
        <v>7.9574999999999996</v>
      </c>
      <c r="AH57" s="458">
        <v>11.1666666666667</v>
      </c>
      <c r="AI57" s="458">
        <f t="shared" si="28"/>
        <v>3.2091666666667003</v>
      </c>
      <c r="AL57" s="1305">
        <f t="shared" si="20"/>
        <v>2005</v>
      </c>
      <c r="AM57" s="1321">
        <v>3.2170829686482278</v>
      </c>
      <c r="AN57" s="1321">
        <v>5.4446739251013696</v>
      </c>
      <c r="AO57" s="1321">
        <f t="shared" si="29"/>
        <v>2.2275909564531418</v>
      </c>
      <c r="AP57" s="1321">
        <f t="shared" ref="AP57:AQ61" si="31">IF($AL57=AP$11,1,IF($AL57&lt;AP$11,AP58/(AM58/100+1),(AM57/100+1)*AP56))</f>
        <v>0.90870922490269579</v>
      </c>
      <c r="AQ57" s="1321">
        <f t="shared" si="31"/>
        <v>0.68929138310970439</v>
      </c>
      <c r="AU57" s="1305" t="s">
        <v>2372</v>
      </c>
      <c r="AV57" s="1321">
        <v>3.3927468454954663</v>
      </c>
      <c r="AW57" s="1321">
        <v>3.3992999461496538</v>
      </c>
      <c r="AX57" s="1321">
        <f t="shared" si="30"/>
        <v>6.5531006541874603E-3</v>
      </c>
    </row>
    <row r="58" spans="1:50" ht="15">
      <c r="A58" s="1303"/>
      <c r="B58" s="1322" t="s">
        <v>2376</v>
      </c>
      <c r="C58" s="1323" t="s">
        <v>2377</v>
      </c>
      <c r="D58" s="1324">
        <f t="shared" si="0"/>
        <v>41813</v>
      </c>
      <c r="E58" s="1323">
        <f t="shared" si="21"/>
        <v>10.653700000000001</v>
      </c>
      <c r="F58" s="1323">
        <f t="shared" si="2"/>
        <v>9.7062855845061762</v>
      </c>
      <c r="G58" s="1323">
        <f t="shared" si="22"/>
        <v>2014</v>
      </c>
      <c r="H58" s="1323">
        <f t="shared" si="23"/>
        <v>6</v>
      </c>
      <c r="I58" s="1323">
        <f t="shared" si="24"/>
        <v>23</v>
      </c>
      <c r="J58" s="1323"/>
      <c r="K58" s="1323"/>
      <c r="L58" s="1323"/>
      <c r="M58" s="1323"/>
      <c r="N58" s="1323"/>
      <c r="O58" s="1323"/>
      <c r="P58" s="1323"/>
      <c r="Q58" s="1323"/>
      <c r="R58" s="1304"/>
      <c r="S58" s="1304"/>
      <c r="T58" s="1304"/>
      <c r="AF58" s="430" t="s">
        <v>2378</v>
      </c>
      <c r="AG58" s="458">
        <v>8.0500000000000007</v>
      </c>
      <c r="AH58" s="458">
        <v>13.1666666666667</v>
      </c>
      <c r="AI58" s="458">
        <f t="shared" si="28"/>
        <v>5.1166666666666991</v>
      </c>
      <c r="AL58" s="1305">
        <f t="shared" si="20"/>
        <v>2006</v>
      </c>
      <c r="AM58" s="1321">
        <v>3.0733271729088756</v>
      </c>
      <c r="AN58" s="1321">
        <v>6.5276131156196442</v>
      </c>
      <c r="AO58" s="1321">
        <f t="shared" si="29"/>
        <v>3.4542859427107686</v>
      </c>
      <c r="AP58" s="1321">
        <f t="shared" si="31"/>
        <v>0.93663683243435991</v>
      </c>
      <c r="AQ58" s="1321">
        <f t="shared" si="31"/>
        <v>0.73428565783840949</v>
      </c>
      <c r="AU58" s="1305" t="s">
        <v>2375</v>
      </c>
      <c r="AV58" s="1321">
        <v>3.2259441007040266</v>
      </c>
      <c r="AW58" s="1321">
        <v>4.6416248942127396</v>
      </c>
      <c r="AX58" s="1321">
        <f t="shared" si="30"/>
        <v>1.415680793508713</v>
      </c>
    </row>
    <row r="59" spans="1:50" ht="15">
      <c r="A59" s="1303"/>
      <c r="B59" s="1322" t="s">
        <v>2379</v>
      </c>
      <c r="C59" s="1323" t="s">
        <v>2380</v>
      </c>
      <c r="D59" s="1324">
        <f t="shared" si="0"/>
        <v>41810</v>
      </c>
      <c r="E59" s="1323">
        <f t="shared" si="21"/>
        <v>10.711499999999999</v>
      </c>
      <c r="F59" s="1323">
        <f t="shared" si="2"/>
        <v>9.7044244620066138</v>
      </c>
      <c r="G59" s="1323">
        <f t="shared" si="22"/>
        <v>2014</v>
      </c>
      <c r="H59" s="1323">
        <f t="shared" si="23"/>
        <v>6</v>
      </c>
      <c r="I59" s="1323">
        <f t="shared" si="24"/>
        <v>20</v>
      </c>
      <c r="J59" s="1323"/>
      <c r="K59" s="1323"/>
      <c r="L59" s="1323"/>
      <c r="M59" s="1323"/>
      <c r="N59" s="1323"/>
      <c r="O59" s="1323"/>
      <c r="P59" s="1323"/>
      <c r="Q59" s="1323"/>
      <c r="R59" s="1304"/>
      <c r="S59" s="1304"/>
      <c r="T59" s="1304"/>
      <c r="AF59" s="430" t="s">
        <v>2381</v>
      </c>
      <c r="AG59" s="458">
        <v>5.0875000000000004</v>
      </c>
      <c r="AH59" s="458">
        <v>15.125</v>
      </c>
      <c r="AI59" s="458">
        <f t="shared" si="28"/>
        <v>10.0375</v>
      </c>
      <c r="AL59" s="1305">
        <f t="shared" si="20"/>
        <v>2007</v>
      </c>
      <c r="AM59" s="1321">
        <v>2.6663291566466398</v>
      </c>
      <c r="AN59" s="1321">
        <v>8.0789494503003851</v>
      </c>
      <c r="AO59" s="1321">
        <f t="shared" si="29"/>
        <v>5.4126202936537453</v>
      </c>
      <c r="AP59" s="1321">
        <f t="shared" si="31"/>
        <v>0.96161065338944873</v>
      </c>
      <c r="AQ59" s="1321">
        <f t="shared" si="31"/>
        <v>0.79360822495598027</v>
      </c>
      <c r="AU59" s="1305" t="s">
        <v>2378</v>
      </c>
      <c r="AV59" s="1321">
        <v>2.852672481501429</v>
      </c>
      <c r="AW59" s="1321">
        <v>7.0984198083861543</v>
      </c>
      <c r="AX59" s="1321">
        <f t="shared" si="30"/>
        <v>4.2457473268847252</v>
      </c>
    </row>
    <row r="60" spans="1:50" ht="15">
      <c r="A60" s="1303"/>
      <c r="B60" s="1322" t="s">
        <v>2382</v>
      </c>
      <c r="C60" s="1323" t="s">
        <v>2383</v>
      </c>
      <c r="D60" s="1324">
        <f t="shared" si="0"/>
        <v>41809</v>
      </c>
      <c r="E60" s="1323">
        <f t="shared" si="21"/>
        <v>10.6188</v>
      </c>
      <c r="F60" s="1323">
        <f t="shared" si="2"/>
        <v>9.7025636963662141</v>
      </c>
      <c r="G60" s="1323">
        <f t="shared" si="22"/>
        <v>2014</v>
      </c>
      <c r="H60" s="1323">
        <f t="shared" si="23"/>
        <v>6</v>
      </c>
      <c r="I60" s="1323">
        <f t="shared" si="24"/>
        <v>19</v>
      </c>
      <c r="J60" s="1323"/>
      <c r="K60" s="1323"/>
      <c r="L60" s="1323"/>
      <c r="M60" s="1323"/>
      <c r="N60" s="1323"/>
      <c r="O60" s="1323"/>
      <c r="P60" s="1323"/>
      <c r="Q60" s="1323"/>
      <c r="R60" s="1304"/>
      <c r="S60" s="1304"/>
      <c r="T60" s="1304"/>
      <c r="AF60" s="430" t="s">
        <v>2384</v>
      </c>
      <c r="AG60" s="458">
        <v>3.25</v>
      </c>
      <c r="AH60" s="458">
        <v>11.7083333333333</v>
      </c>
      <c r="AI60" s="458">
        <f t="shared" si="28"/>
        <v>8.4583333333333002</v>
      </c>
      <c r="AL60" s="1305">
        <f t="shared" si="20"/>
        <v>2008</v>
      </c>
      <c r="AM60" s="1321">
        <v>1.9293199095950655</v>
      </c>
      <c r="AN60" s="1321">
        <v>8.0064444755312252</v>
      </c>
      <c r="AO60" s="1321">
        <f t="shared" si="29"/>
        <v>6.0771245659361597</v>
      </c>
      <c r="AP60" s="1321">
        <f t="shared" si="31"/>
        <v>0.98016319917807848</v>
      </c>
      <c r="AQ60" s="1321">
        <f t="shared" si="31"/>
        <v>0.85714802684032976</v>
      </c>
      <c r="AU60" s="1305" t="s">
        <v>2381</v>
      </c>
      <c r="AV60" s="1321">
        <v>3.8391002966508836</v>
      </c>
      <c r="AW60" s="1321">
        <v>11.536450769677714</v>
      </c>
      <c r="AX60" s="1321">
        <f t="shared" si="30"/>
        <v>7.6973504730268303</v>
      </c>
    </row>
    <row r="61" spans="1:50" ht="15">
      <c r="A61" s="1303"/>
      <c r="B61" s="1322" t="s">
        <v>2385</v>
      </c>
      <c r="C61" s="1323" t="s">
        <v>2386</v>
      </c>
      <c r="D61" s="1324">
        <f t="shared" si="0"/>
        <v>41808</v>
      </c>
      <c r="E61" s="1323">
        <f t="shared" si="21"/>
        <v>10.7996</v>
      </c>
      <c r="F61" s="1323">
        <f t="shared" si="2"/>
        <v>9.7007032875165535</v>
      </c>
      <c r="G61" s="1323">
        <f t="shared" si="22"/>
        <v>2014</v>
      </c>
      <c r="H61" s="1323">
        <f t="shared" si="23"/>
        <v>6</v>
      </c>
      <c r="I61" s="1323">
        <f t="shared" si="24"/>
        <v>18</v>
      </c>
      <c r="J61" s="1323"/>
      <c r="K61" s="1323"/>
      <c r="L61" s="1323"/>
      <c r="M61" s="1323"/>
      <c r="N61" s="1323"/>
      <c r="O61" s="1323"/>
      <c r="P61" s="1323"/>
      <c r="Q61" s="1323"/>
      <c r="R61" s="1304"/>
      <c r="S61" s="1304"/>
      <c r="T61" s="1304"/>
      <c r="AF61" s="430" t="s">
        <v>2387</v>
      </c>
      <c r="AG61" s="458">
        <v>3.25</v>
      </c>
      <c r="AH61" s="458">
        <v>9.8333333333333197</v>
      </c>
      <c r="AI61" s="458">
        <f t="shared" si="28"/>
        <v>6.5833333333333197</v>
      </c>
      <c r="AL61" s="1305">
        <f t="shared" si="20"/>
        <v>2009</v>
      </c>
      <c r="AM61" s="1321">
        <v>0.78816343808595946</v>
      </c>
      <c r="AN61" s="1321">
        <v>8.3719230129972999</v>
      </c>
      <c r="AO61" s="1321">
        <f t="shared" si="29"/>
        <v>7.5837595749113405</v>
      </c>
      <c r="AP61" s="1321">
        <f t="shared" si="31"/>
        <v>0.98788848714757382</v>
      </c>
      <c r="AQ61" s="1321">
        <f t="shared" si="31"/>
        <v>0.92890779975482751</v>
      </c>
      <c r="AU61" s="1305" t="s">
        <v>2384</v>
      </c>
      <c r="AV61" s="1321">
        <v>-0.35554626629971153</v>
      </c>
      <c r="AW61" s="1321">
        <v>7.1299999999999102</v>
      </c>
      <c r="AX61" s="1321">
        <f t="shared" si="30"/>
        <v>7.4855462662996217</v>
      </c>
    </row>
    <row r="62" spans="1:50" ht="15">
      <c r="A62" s="1303"/>
      <c r="B62" s="1322" t="s">
        <v>2388</v>
      </c>
      <c r="C62" s="1323" t="s">
        <v>2389</v>
      </c>
      <c r="D62" s="1324">
        <f t="shared" si="0"/>
        <v>41807</v>
      </c>
      <c r="E62" s="1323">
        <f t="shared" si="21"/>
        <v>10.7422</v>
      </c>
      <c r="F62" s="1323">
        <f t="shared" si="2"/>
        <v>9.6988432353892176</v>
      </c>
      <c r="G62" s="1323">
        <f t="shared" si="22"/>
        <v>2014</v>
      </c>
      <c r="H62" s="1323">
        <f t="shared" si="23"/>
        <v>6</v>
      </c>
      <c r="I62" s="1323">
        <f t="shared" si="24"/>
        <v>17</v>
      </c>
      <c r="J62" s="1323"/>
      <c r="K62" s="1323"/>
      <c r="L62" s="1323"/>
      <c r="M62" s="1323"/>
      <c r="N62" s="1323"/>
      <c r="O62" s="1323"/>
      <c r="P62" s="1323"/>
      <c r="Q62" s="1323"/>
      <c r="R62" s="1304"/>
      <c r="S62" s="1304"/>
      <c r="T62" s="1304"/>
      <c r="AF62" s="430" t="s">
        <v>2390</v>
      </c>
      <c r="AG62" s="458">
        <v>3.25</v>
      </c>
      <c r="AH62" s="458">
        <v>9</v>
      </c>
      <c r="AI62" s="458">
        <f t="shared" si="28"/>
        <v>5.75</v>
      </c>
      <c r="AL62" s="1305">
        <f t="shared" si="20"/>
        <v>2010</v>
      </c>
      <c r="AM62" s="1321">
        <v>1.2259999999996865</v>
      </c>
      <c r="AN62" s="1321">
        <v>7.6533107229734014</v>
      </c>
      <c r="AO62" s="1321">
        <f t="shared" si="29"/>
        <v>6.427310722973715</v>
      </c>
      <c r="AP62" s="1321">
        <f>IF($AL62=AP$11,1,IF($AL62&lt;AP$11,AP63/(AM63/100+1),(AM62/100+1)*AP61))</f>
        <v>1</v>
      </c>
      <c r="AQ62" s="1321">
        <f>IF($AL62=AQ$11,1,IF($AL62&lt;AQ$11,AQ63/(AN63/100+1),(AN62/100+1)*AQ61))</f>
        <v>1</v>
      </c>
      <c r="AU62" s="1305" t="s">
        <v>2387</v>
      </c>
      <c r="AV62" s="1321">
        <v>1.64004344238991</v>
      </c>
      <c r="AW62" s="1321">
        <v>4.2623435498177429</v>
      </c>
      <c r="AX62" s="1321">
        <f t="shared" si="30"/>
        <v>2.6223001074278329</v>
      </c>
    </row>
    <row r="63" spans="1:50" ht="15">
      <c r="A63" s="1303"/>
      <c r="B63" s="1322" t="s">
        <v>2391</v>
      </c>
      <c r="C63" s="1323" t="s">
        <v>2392</v>
      </c>
      <c r="D63" s="1324">
        <f t="shared" si="0"/>
        <v>41803</v>
      </c>
      <c r="E63" s="1323">
        <f t="shared" si="21"/>
        <v>10.7379</v>
      </c>
      <c r="F63" s="1323">
        <f t="shared" si="2"/>
        <v>9.6969835399158093</v>
      </c>
      <c r="G63" s="1323">
        <f t="shared" si="22"/>
        <v>2014</v>
      </c>
      <c r="H63" s="1323">
        <f t="shared" si="23"/>
        <v>6</v>
      </c>
      <c r="I63" s="1323">
        <f t="shared" si="24"/>
        <v>13</v>
      </c>
      <c r="J63" s="1323"/>
      <c r="K63" s="1323"/>
      <c r="L63" s="1323"/>
      <c r="M63" s="1323"/>
      <c r="N63" s="1323"/>
      <c r="O63" s="1323"/>
      <c r="P63" s="1323"/>
      <c r="Q63" s="1323"/>
      <c r="R63" s="1304"/>
      <c r="S63" s="1304"/>
      <c r="T63" s="1304"/>
      <c r="AF63" s="430" t="s">
        <v>2393</v>
      </c>
      <c r="AG63" s="458">
        <v>3.25</v>
      </c>
      <c r="AH63" s="458">
        <v>8.75</v>
      </c>
      <c r="AI63" s="458">
        <f t="shared" si="28"/>
        <v>5.5</v>
      </c>
      <c r="AL63" s="1305">
        <f t="shared" si="20"/>
        <v>2011</v>
      </c>
      <c r="AM63" s="1321">
        <v>2.063699049651845</v>
      </c>
      <c r="AN63" s="1321">
        <v>5.8744038125849016</v>
      </c>
      <c r="AO63" s="1321">
        <f t="shared" si="29"/>
        <v>3.8107047629330566</v>
      </c>
      <c r="AP63" s="1321">
        <f t="shared" ref="AP63:AQ66" si="32">IF($AL63=AP$11,1,IF($AL63&lt;AP$11,AP64/(AM64/100+1),(AM63/100+1)*AP62))</f>
        <v>1.0206369904965185</v>
      </c>
      <c r="AQ63" s="1321">
        <f t="shared" si="32"/>
        <v>1.0587440381258491</v>
      </c>
      <c r="AU63" s="1305" t="s">
        <v>2390</v>
      </c>
      <c r="AV63" s="1321">
        <v>3.1568415686219993</v>
      </c>
      <c r="AW63" s="1321">
        <v>10.932148652267998</v>
      </c>
      <c r="AX63" s="1321">
        <f t="shared" si="30"/>
        <v>7.7753070836459983</v>
      </c>
    </row>
    <row r="64" spans="1:50" ht="15">
      <c r="A64" s="1303"/>
      <c r="B64" s="1322" t="s">
        <v>2394</v>
      </c>
      <c r="C64" s="1323" t="s">
        <v>2395</v>
      </c>
      <c r="D64" s="1324">
        <f t="shared" si="0"/>
        <v>41802</v>
      </c>
      <c r="E64" s="1323">
        <f t="shared" si="21"/>
        <v>10.742900000000001</v>
      </c>
      <c r="F64" s="1323">
        <f t="shared" si="2"/>
        <v>9.6951242010279408</v>
      </c>
      <c r="G64" s="1323">
        <f t="shared" si="22"/>
        <v>2014</v>
      </c>
      <c r="H64" s="1323">
        <f t="shared" si="23"/>
        <v>6</v>
      </c>
      <c r="I64" s="1323">
        <f t="shared" si="24"/>
        <v>12</v>
      </c>
      <c r="J64" s="1323"/>
      <c r="K64" s="1323"/>
      <c r="L64" s="1323"/>
      <c r="M64" s="1323"/>
      <c r="N64" s="1323"/>
      <c r="O64" s="1323"/>
      <c r="P64" s="1323"/>
      <c r="Q64" s="1323"/>
      <c r="R64" s="1304"/>
      <c r="S64" s="1304"/>
      <c r="T64" s="1304"/>
      <c r="AF64" s="430" t="s">
        <v>2396</v>
      </c>
      <c r="AG64" s="458">
        <v>3.25</v>
      </c>
      <c r="AH64" s="458">
        <v>8.5</v>
      </c>
      <c r="AI64" s="458">
        <f t="shared" si="28"/>
        <v>5.25</v>
      </c>
      <c r="AL64" s="1305">
        <f t="shared" si="20"/>
        <v>2012</v>
      </c>
      <c r="AM64" s="1321">
        <v>1.7993514978463736</v>
      </c>
      <c r="AN64" s="1321">
        <v>4.4559056273542694</v>
      </c>
      <c r="AO64" s="1321">
        <f t="shared" si="29"/>
        <v>2.6565541295078958</v>
      </c>
      <c r="AP64" s="1321">
        <f t="shared" si="32"/>
        <v>1.0390018374725918</v>
      </c>
      <c r="AQ64" s="1321">
        <f t="shared" si="32"/>
        <v>1.1059206732999767</v>
      </c>
      <c r="AU64" s="1305" t="s">
        <v>2393</v>
      </c>
      <c r="AV64" s="1321">
        <v>2.069337265261268</v>
      </c>
      <c r="AW64" s="1321">
        <v>2.2065882379669972</v>
      </c>
      <c r="AX64" s="1321">
        <f t="shared" si="30"/>
        <v>0.13725097270572917</v>
      </c>
    </row>
    <row r="65" spans="1:50" ht="15">
      <c r="A65" s="1303"/>
      <c r="B65" s="1322" t="s">
        <v>2397</v>
      </c>
      <c r="C65" s="1323" t="s">
        <v>2398</v>
      </c>
      <c r="D65" s="1324">
        <f t="shared" si="0"/>
        <v>41801</v>
      </c>
      <c r="E65" s="1323">
        <f t="shared" si="21"/>
        <v>10.787599999999999</v>
      </c>
      <c r="F65" s="1323">
        <f t="shared" si="2"/>
        <v>9.6932652186572383</v>
      </c>
      <c r="G65" s="1323">
        <f t="shared" si="22"/>
        <v>2014</v>
      </c>
      <c r="H65" s="1323">
        <f t="shared" si="23"/>
        <v>6</v>
      </c>
      <c r="I65" s="1323">
        <f t="shared" si="24"/>
        <v>11</v>
      </c>
      <c r="J65" s="1323"/>
      <c r="K65" s="1323"/>
      <c r="L65" s="1323"/>
      <c r="M65" s="1323"/>
      <c r="N65" s="1323"/>
      <c r="O65" s="1323"/>
      <c r="P65" s="1323"/>
      <c r="Q65" s="1323"/>
      <c r="R65" s="1304"/>
      <c r="S65" s="1304"/>
      <c r="T65" s="1304"/>
      <c r="AF65" s="430" t="s">
        <v>2399</v>
      </c>
      <c r="AG65" s="430"/>
      <c r="AH65" s="430"/>
      <c r="AI65" s="430"/>
      <c r="AL65" s="1305">
        <f t="shared" si="20"/>
        <v>2013</v>
      </c>
      <c r="AM65" s="1321">
        <v>1.4880103447620741</v>
      </c>
      <c r="AN65" s="1321">
        <v>5.848142820918369</v>
      </c>
      <c r="AO65" s="1321">
        <f t="shared" si="29"/>
        <v>4.360132476156295</v>
      </c>
      <c r="AP65" s="1321">
        <f t="shared" si="32"/>
        <v>1.0544622922964519</v>
      </c>
      <c r="AQ65" s="1321">
        <f t="shared" si="32"/>
        <v>1.1705964937606212</v>
      </c>
      <c r="AU65" s="1305" t="s">
        <v>2396</v>
      </c>
      <c r="AV65" s="1321">
        <v>1.4648326556266085</v>
      </c>
      <c r="AW65" s="1321">
        <v>3.3110926466785315</v>
      </c>
      <c r="AX65" s="1321">
        <f t="shared" si="30"/>
        <v>1.8462599910519231</v>
      </c>
    </row>
    <row r="66" spans="1:50" ht="15">
      <c r="A66" s="1303"/>
      <c r="B66" s="1322" t="s">
        <v>2400</v>
      </c>
      <c r="C66" s="1323" t="s">
        <v>2401</v>
      </c>
      <c r="D66" s="1324">
        <f t="shared" si="0"/>
        <v>41800</v>
      </c>
      <c r="E66" s="1323">
        <f t="shared" si="21"/>
        <v>10.7058</v>
      </c>
      <c r="F66" s="1323">
        <f t="shared" si="2"/>
        <v>9.6914065927353441</v>
      </c>
      <c r="G66" s="1323">
        <f t="shared" si="22"/>
        <v>2014</v>
      </c>
      <c r="H66" s="1323">
        <f t="shared" si="23"/>
        <v>6</v>
      </c>
      <c r="I66" s="1323">
        <f t="shared" si="24"/>
        <v>10</v>
      </c>
      <c r="J66" s="1323"/>
      <c r="K66" s="1323"/>
      <c r="L66" s="1323"/>
      <c r="M66" s="1323"/>
      <c r="N66" s="1323"/>
      <c r="O66" s="1323"/>
      <c r="P66" s="1323"/>
      <c r="Q66" s="1323"/>
      <c r="R66" s="1304"/>
      <c r="S66" s="1304"/>
      <c r="T66" s="1304"/>
      <c r="AL66" s="1305">
        <f t="shared" si="20"/>
        <v>2014</v>
      </c>
      <c r="AM66" s="1327">
        <f>AM65</f>
        <v>1.4880103447620741</v>
      </c>
      <c r="AN66" s="1327">
        <f>AN65</f>
        <v>5.848142820918369</v>
      </c>
      <c r="AO66" s="1327">
        <f t="shared" si="29"/>
        <v>4.360132476156295</v>
      </c>
      <c r="AP66" s="1321">
        <f t="shared" si="32"/>
        <v>1.0701528002874383</v>
      </c>
      <c r="AQ66" s="1321">
        <f t="shared" si="32"/>
        <v>1.2390546485724052</v>
      </c>
      <c r="AU66" s="1305" t="s">
        <v>2399</v>
      </c>
      <c r="AV66" s="1327">
        <f>AV65</f>
        <v>1.4648326556266085</v>
      </c>
      <c r="AW66" s="1327">
        <f>AW65</f>
        <v>3.3110926466785315</v>
      </c>
      <c r="AX66" s="1328">
        <f t="shared" si="30"/>
        <v>1.8462599910519231</v>
      </c>
    </row>
    <row r="67" spans="1:50">
      <c r="A67" s="1303"/>
      <c r="B67" s="1322" t="s">
        <v>2402</v>
      </c>
      <c r="C67" s="1323" t="s">
        <v>2297</v>
      </c>
      <c r="D67" s="1324">
        <f t="shared" si="0"/>
        <v>41799</v>
      </c>
      <c r="E67" s="1323">
        <f t="shared" si="21"/>
        <v>10.569800000000001</v>
      </c>
      <c r="F67" s="1323">
        <f t="shared" si="2"/>
        <v>9.6895483231939092</v>
      </c>
      <c r="G67" s="1323">
        <f t="shared" si="22"/>
        <v>2014</v>
      </c>
      <c r="H67" s="1323">
        <f t="shared" si="23"/>
        <v>6</v>
      </c>
      <c r="I67" s="1323">
        <f t="shared" si="24"/>
        <v>9</v>
      </c>
      <c r="J67" s="1323"/>
      <c r="K67" s="1323"/>
      <c r="L67" s="1323"/>
      <c r="M67" s="1323"/>
      <c r="N67" s="1323"/>
      <c r="O67" s="1323"/>
      <c r="P67" s="1323"/>
      <c r="Q67" s="1323"/>
      <c r="R67" s="1304"/>
      <c r="S67" s="1304"/>
      <c r="T67" s="1304"/>
    </row>
    <row r="68" spans="1:50">
      <c r="A68" s="1303"/>
      <c r="B68" s="1322" t="s">
        <v>2403</v>
      </c>
      <c r="C68" s="1323" t="s">
        <v>2404</v>
      </c>
      <c r="D68" s="1324">
        <f t="shared" si="0"/>
        <v>41796</v>
      </c>
      <c r="E68" s="1323">
        <f t="shared" si="21"/>
        <v>10.650600000000001</v>
      </c>
      <c r="F68" s="1323">
        <f t="shared" si="2"/>
        <v>9.6876904099646008</v>
      </c>
      <c r="G68" s="1323">
        <f t="shared" si="22"/>
        <v>2014</v>
      </c>
      <c r="H68" s="1323">
        <f t="shared" si="23"/>
        <v>6</v>
      </c>
      <c r="I68" s="1323">
        <f t="shared" si="24"/>
        <v>6</v>
      </c>
      <c r="J68" s="1323"/>
      <c r="K68" s="1323"/>
      <c r="L68" s="1323"/>
      <c r="M68" s="1323"/>
      <c r="N68" s="1323"/>
      <c r="O68" s="1323"/>
      <c r="P68" s="1323"/>
      <c r="Q68" s="1323"/>
      <c r="R68" s="1304"/>
      <c r="S68" s="1304"/>
      <c r="T68" s="1304"/>
    </row>
    <row r="69" spans="1:50">
      <c r="A69" s="1303"/>
      <c r="B69" s="1322" t="s">
        <v>2405</v>
      </c>
      <c r="C69" s="1323" t="s">
        <v>2406</v>
      </c>
      <c r="D69" s="1324">
        <f t="shared" si="0"/>
        <v>41795</v>
      </c>
      <c r="E69" s="1323">
        <f t="shared" si="21"/>
        <v>10.743</v>
      </c>
      <c r="F69" s="1323">
        <f t="shared" si="2"/>
        <v>9.6858328529790985</v>
      </c>
      <c r="G69" s="1323">
        <f t="shared" si="22"/>
        <v>2014</v>
      </c>
      <c r="H69" s="1323">
        <f t="shared" si="23"/>
        <v>6</v>
      </c>
      <c r="I69" s="1323">
        <f t="shared" si="24"/>
        <v>5</v>
      </c>
      <c r="J69" s="1323"/>
      <c r="K69" s="1323"/>
      <c r="L69" s="1323"/>
      <c r="M69" s="1323"/>
      <c r="N69" s="1323"/>
      <c r="O69" s="1323"/>
      <c r="P69" s="1323"/>
      <c r="Q69" s="1323"/>
      <c r="R69" s="1304"/>
      <c r="S69" s="1304"/>
      <c r="T69" s="1304"/>
    </row>
    <row r="70" spans="1:50">
      <c r="A70" s="1303"/>
      <c r="B70" s="1322" t="s">
        <v>2407</v>
      </c>
      <c r="C70" s="1323" t="s">
        <v>2408</v>
      </c>
      <c r="D70" s="1324">
        <f t="shared" si="0"/>
        <v>41794</v>
      </c>
      <c r="E70" s="1323">
        <f t="shared" si="21"/>
        <v>10.7979</v>
      </c>
      <c r="F70" s="1323">
        <f t="shared" si="2"/>
        <v>9.6839756521690923</v>
      </c>
      <c r="G70" s="1323">
        <f t="shared" si="22"/>
        <v>2014</v>
      </c>
      <c r="H70" s="1323">
        <f t="shared" si="23"/>
        <v>6</v>
      </c>
      <c r="I70" s="1323">
        <f t="shared" si="24"/>
        <v>4</v>
      </c>
      <c r="J70" s="1323"/>
      <c r="K70" s="1323"/>
      <c r="L70" s="1323"/>
      <c r="M70" s="1323"/>
      <c r="N70" s="1323"/>
      <c r="O70" s="1323"/>
      <c r="P70" s="1323"/>
      <c r="Q70" s="1323"/>
      <c r="R70" s="1304"/>
      <c r="S70" s="1304"/>
      <c r="T70" s="1304"/>
    </row>
    <row r="71" spans="1:50">
      <c r="A71" s="1303"/>
      <c r="B71" s="1322" t="s">
        <v>2409</v>
      </c>
      <c r="C71" s="1323" t="s">
        <v>2410</v>
      </c>
      <c r="D71" s="1324">
        <f t="shared" si="0"/>
        <v>41793</v>
      </c>
      <c r="E71" s="1323">
        <f t="shared" si="21"/>
        <v>10.6638</v>
      </c>
      <c r="F71" s="1323">
        <f t="shared" si="2"/>
        <v>9.6821188074662903</v>
      </c>
      <c r="G71" s="1323">
        <f t="shared" si="22"/>
        <v>2014</v>
      </c>
      <c r="H71" s="1323">
        <f t="shared" si="23"/>
        <v>6</v>
      </c>
      <c r="I71" s="1323">
        <f t="shared" si="24"/>
        <v>3</v>
      </c>
      <c r="J71" s="1323"/>
      <c r="K71" s="1323"/>
      <c r="L71" s="1323"/>
      <c r="M71" s="1323"/>
      <c r="N71" s="1323"/>
      <c r="O71" s="1323"/>
      <c r="P71" s="1323"/>
      <c r="Q71" s="1323"/>
      <c r="R71" s="1304"/>
      <c r="S71" s="1304"/>
      <c r="T71" s="1304"/>
    </row>
    <row r="72" spans="1:50">
      <c r="A72" s="1303"/>
      <c r="B72" s="1322" t="s">
        <v>2411</v>
      </c>
      <c r="C72" s="1323" t="s">
        <v>2412</v>
      </c>
      <c r="D72" s="1324">
        <f t="shared" si="0"/>
        <v>41792</v>
      </c>
      <c r="E72" s="1323">
        <f t="shared" si="21"/>
        <v>10.5829</v>
      </c>
      <c r="F72" s="1323">
        <f t="shared" si="2"/>
        <v>9.6802623188024093</v>
      </c>
      <c r="G72" s="1323">
        <f t="shared" si="22"/>
        <v>2014</v>
      </c>
      <c r="H72" s="1323">
        <f t="shared" si="23"/>
        <v>6</v>
      </c>
      <c r="I72" s="1323">
        <f t="shared" si="24"/>
        <v>2</v>
      </c>
      <c r="J72" s="1323"/>
      <c r="K72" s="1323"/>
      <c r="L72" s="1323"/>
      <c r="M72" s="1323"/>
      <c r="N72" s="1323"/>
      <c r="O72" s="1323"/>
      <c r="P72" s="1323"/>
      <c r="Q72" s="1323"/>
      <c r="R72" s="1304"/>
      <c r="S72" s="1304"/>
      <c r="T72" s="1304"/>
    </row>
    <row r="73" spans="1:50">
      <c r="A73" s="1303"/>
      <c r="B73" s="1322" t="s">
        <v>2413</v>
      </c>
      <c r="C73" s="1323" t="s">
        <v>2414</v>
      </c>
      <c r="D73" s="1324">
        <f t="shared" ref="D73:D136" si="33">DATE(G73,H73,I73)</f>
        <v>41789</v>
      </c>
      <c r="E73" s="1323">
        <f t="shared" si="21"/>
        <v>10.4422</v>
      </c>
      <c r="F73" s="1323">
        <f t="shared" ref="F73:F136" si="34">F74*(1+$F$7/365)</f>
        <v>9.6784061861091821</v>
      </c>
      <c r="G73" s="1323">
        <f t="shared" si="22"/>
        <v>2014</v>
      </c>
      <c r="H73" s="1323">
        <f t="shared" si="23"/>
        <v>5</v>
      </c>
      <c r="I73" s="1323">
        <f t="shared" si="24"/>
        <v>30</v>
      </c>
      <c r="J73" s="1323"/>
      <c r="K73" s="1323"/>
      <c r="L73" s="1323"/>
      <c r="M73" s="1323"/>
      <c r="N73" s="1323"/>
      <c r="O73" s="1323"/>
      <c r="P73" s="1323"/>
      <c r="Q73" s="1323"/>
      <c r="R73" s="1304"/>
      <c r="S73" s="1304"/>
      <c r="T73" s="1304"/>
    </row>
    <row r="74" spans="1:50">
      <c r="A74" s="1303"/>
      <c r="B74" s="1322" t="s">
        <v>2415</v>
      </c>
      <c r="C74" s="1323" t="s">
        <v>2416</v>
      </c>
      <c r="D74" s="1324">
        <f t="shared" si="33"/>
        <v>41788</v>
      </c>
      <c r="E74" s="1323">
        <f t="shared" si="21"/>
        <v>10.4201</v>
      </c>
      <c r="F74" s="1323">
        <f t="shared" si="34"/>
        <v>9.6765504093183541</v>
      </c>
      <c r="G74" s="1323">
        <f t="shared" si="22"/>
        <v>2014</v>
      </c>
      <c r="H74" s="1323">
        <f t="shared" si="23"/>
        <v>5</v>
      </c>
      <c r="I74" s="1323">
        <f t="shared" si="24"/>
        <v>29</v>
      </c>
      <c r="J74" s="1323"/>
      <c r="K74" s="1323"/>
      <c r="L74" s="1323"/>
      <c r="M74" s="1323"/>
      <c r="N74" s="1323"/>
      <c r="O74" s="1323"/>
      <c r="P74" s="1323"/>
      <c r="Q74" s="1323"/>
      <c r="R74" s="1304"/>
      <c r="S74" s="1304"/>
      <c r="T74" s="1304"/>
    </row>
    <row r="75" spans="1:50">
      <c r="A75" s="1303"/>
      <c r="B75" s="1322" t="s">
        <v>2417</v>
      </c>
      <c r="C75" s="1323" t="s">
        <v>2418</v>
      </c>
      <c r="D75" s="1324">
        <f t="shared" si="33"/>
        <v>41787</v>
      </c>
      <c r="E75" s="1323">
        <f t="shared" si="21"/>
        <v>10.490600000000001</v>
      </c>
      <c r="F75" s="1323">
        <f t="shared" si="34"/>
        <v>9.6746949883616811</v>
      </c>
      <c r="G75" s="1323">
        <f t="shared" si="22"/>
        <v>2014</v>
      </c>
      <c r="H75" s="1323">
        <f t="shared" si="23"/>
        <v>5</v>
      </c>
      <c r="I75" s="1323">
        <f t="shared" si="24"/>
        <v>28</v>
      </c>
      <c r="J75" s="1323"/>
      <c r="K75" s="1323"/>
      <c r="L75" s="1323"/>
      <c r="M75" s="1323"/>
      <c r="N75" s="1323"/>
      <c r="O75" s="1323"/>
      <c r="P75" s="1323"/>
      <c r="Q75" s="1323"/>
      <c r="R75" s="1304"/>
      <c r="S75" s="1304"/>
      <c r="T75" s="1304"/>
    </row>
    <row r="76" spans="1:50">
      <c r="A76" s="1303"/>
      <c r="B76" s="1322" t="s">
        <v>2419</v>
      </c>
      <c r="C76" s="1323" t="s">
        <v>2420</v>
      </c>
      <c r="D76" s="1324">
        <f t="shared" si="33"/>
        <v>41786</v>
      </c>
      <c r="E76" s="1323">
        <f t="shared" si="21"/>
        <v>10.402200000000001</v>
      </c>
      <c r="F76" s="1323">
        <f t="shared" si="34"/>
        <v>9.672839923170935</v>
      </c>
      <c r="G76" s="1323">
        <f t="shared" si="22"/>
        <v>2014</v>
      </c>
      <c r="H76" s="1323">
        <f t="shared" si="23"/>
        <v>5</v>
      </c>
      <c r="I76" s="1323">
        <f t="shared" si="24"/>
        <v>27</v>
      </c>
      <c r="J76" s="1323"/>
      <c r="K76" s="1323"/>
      <c r="L76" s="1323"/>
      <c r="M76" s="1323"/>
      <c r="N76" s="1323"/>
      <c r="O76" s="1323"/>
      <c r="P76" s="1323"/>
      <c r="Q76" s="1323"/>
      <c r="R76" s="1304"/>
      <c r="S76" s="1304"/>
      <c r="T76" s="1304"/>
    </row>
    <row r="77" spans="1:50">
      <c r="A77" s="1303"/>
      <c r="B77" s="1322" t="s">
        <v>2421</v>
      </c>
      <c r="C77" s="1323" t="s">
        <v>2422</v>
      </c>
      <c r="D77" s="1324">
        <f t="shared" si="33"/>
        <v>41785</v>
      </c>
      <c r="E77" s="1323">
        <f t="shared" si="21"/>
        <v>10.336399999999999</v>
      </c>
      <c r="F77" s="1323">
        <f t="shared" si="34"/>
        <v>9.6709852136779002</v>
      </c>
      <c r="G77" s="1323">
        <f t="shared" si="22"/>
        <v>2014</v>
      </c>
      <c r="H77" s="1323">
        <f t="shared" si="23"/>
        <v>5</v>
      </c>
      <c r="I77" s="1323">
        <f t="shared" si="24"/>
        <v>26</v>
      </c>
      <c r="J77" s="1323"/>
      <c r="K77" s="1323"/>
      <c r="L77" s="1323"/>
      <c r="M77" s="1323"/>
      <c r="N77" s="1323"/>
      <c r="O77" s="1323"/>
      <c r="P77" s="1323"/>
      <c r="Q77" s="1323"/>
      <c r="R77" s="1304"/>
      <c r="S77" s="1304"/>
      <c r="T77" s="1304"/>
    </row>
    <row r="78" spans="1:50">
      <c r="A78" s="1303"/>
      <c r="B78" s="1322" t="s">
        <v>2423</v>
      </c>
      <c r="C78" s="1323" t="s">
        <v>2424</v>
      </c>
      <c r="D78" s="1324">
        <f t="shared" si="33"/>
        <v>41782</v>
      </c>
      <c r="E78" s="1323">
        <f t="shared" si="21"/>
        <v>10.3489</v>
      </c>
      <c r="F78" s="1323">
        <f t="shared" si="34"/>
        <v>9.6691308598143735</v>
      </c>
      <c r="G78" s="1323">
        <f t="shared" si="22"/>
        <v>2014</v>
      </c>
      <c r="H78" s="1323">
        <f t="shared" si="23"/>
        <v>5</v>
      </c>
      <c r="I78" s="1323">
        <f t="shared" si="24"/>
        <v>23</v>
      </c>
      <c r="J78" s="1323"/>
      <c r="K78" s="1323"/>
      <c r="L78" s="1323"/>
      <c r="M78" s="1323"/>
      <c r="N78" s="1323"/>
      <c r="O78" s="1323"/>
      <c r="P78" s="1323"/>
      <c r="Q78" s="1323"/>
      <c r="R78" s="1304"/>
      <c r="S78" s="1304"/>
      <c r="T78" s="1304"/>
    </row>
    <row r="79" spans="1:50">
      <c r="A79" s="1303"/>
      <c r="B79" s="1322" t="s">
        <v>2425</v>
      </c>
      <c r="C79" s="1323" t="s">
        <v>2426</v>
      </c>
      <c r="D79" s="1324">
        <f t="shared" si="33"/>
        <v>41781</v>
      </c>
      <c r="E79" s="1323">
        <f t="shared" si="21"/>
        <v>10.380800000000001</v>
      </c>
      <c r="F79" s="1323">
        <f t="shared" si="34"/>
        <v>9.6672768615121658</v>
      </c>
      <c r="G79" s="1323">
        <f t="shared" si="22"/>
        <v>2014</v>
      </c>
      <c r="H79" s="1323">
        <f t="shared" si="23"/>
        <v>5</v>
      </c>
      <c r="I79" s="1323">
        <f t="shared" si="24"/>
        <v>22</v>
      </c>
      <c r="J79" s="1323"/>
      <c r="K79" s="1323"/>
      <c r="L79" s="1323"/>
      <c r="M79" s="1323"/>
      <c r="N79" s="1323"/>
      <c r="O79" s="1323"/>
      <c r="P79" s="1323"/>
      <c r="Q79" s="1323"/>
      <c r="R79" s="1304"/>
      <c r="S79" s="1304"/>
      <c r="T79" s="1304"/>
    </row>
    <row r="80" spans="1:50">
      <c r="A80" s="1303"/>
      <c r="B80" s="1322" t="s">
        <v>2427</v>
      </c>
      <c r="C80" s="1323" t="s">
        <v>2428</v>
      </c>
      <c r="D80" s="1324">
        <f t="shared" si="33"/>
        <v>41780</v>
      </c>
      <c r="E80" s="1323">
        <f t="shared" si="21"/>
        <v>10.4435</v>
      </c>
      <c r="F80" s="1323">
        <f t="shared" si="34"/>
        <v>9.6654232187030988</v>
      </c>
      <c r="G80" s="1323">
        <f t="shared" si="22"/>
        <v>2014</v>
      </c>
      <c r="H80" s="1323">
        <f t="shared" si="23"/>
        <v>5</v>
      </c>
      <c r="I80" s="1323">
        <f t="shared" si="24"/>
        <v>21</v>
      </c>
      <c r="J80" s="1323"/>
      <c r="K80" s="1323"/>
      <c r="L80" s="1323"/>
      <c r="M80" s="1323"/>
      <c r="N80" s="1323"/>
      <c r="O80" s="1323"/>
      <c r="P80" s="1323"/>
      <c r="Q80" s="1323"/>
      <c r="R80" s="1304"/>
      <c r="S80" s="1304"/>
      <c r="T80" s="1304"/>
    </row>
    <row r="81" spans="1:25">
      <c r="A81" s="1303"/>
      <c r="B81" s="1322" t="s">
        <v>2429</v>
      </c>
      <c r="C81" s="1323" t="s">
        <v>2430</v>
      </c>
      <c r="D81" s="1324">
        <f t="shared" si="33"/>
        <v>41779</v>
      </c>
      <c r="E81" s="1323">
        <f t="shared" si="21"/>
        <v>10.4459</v>
      </c>
      <c r="F81" s="1323">
        <f t="shared" si="34"/>
        <v>9.6635699313190102</v>
      </c>
      <c r="G81" s="1323">
        <f t="shared" si="22"/>
        <v>2014</v>
      </c>
      <c r="H81" s="1323">
        <f t="shared" si="23"/>
        <v>5</v>
      </c>
      <c r="I81" s="1323">
        <f t="shared" si="24"/>
        <v>20</v>
      </c>
      <c r="J81" s="1323"/>
      <c r="K81" s="1323"/>
      <c r="L81" s="1323"/>
      <c r="M81" s="1323"/>
      <c r="N81" s="1323"/>
      <c r="O81" s="1323"/>
      <c r="P81" s="1323"/>
      <c r="Q81" s="1323"/>
      <c r="R81" s="1304"/>
      <c r="S81" s="1304"/>
      <c r="T81" s="1304"/>
    </row>
    <row r="82" spans="1:25">
      <c r="A82" s="1303"/>
      <c r="B82" s="1322" t="s">
        <v>2431</v>
      </c>
      <c r="C82" s="1323" t="s">
        <v>2432</v>
      </c>
      <c r="D82" s="1324">
        <f t="shared" si="33"/>
        <v>41778</v>
      </c>
      <c r="E82" s="1323">
        <f t="shared" si="21"/>
        <v>10.3439</v>
      </c>
      <c r="F82" s="1323">
        <f t="shared" si="34"/>
        <v>9.6617169992917482</v>
      </c>
      <c r="G82" s="1323">
        <f t="shared" si="22"/>
        <v>2014</v>
      </c>
      <c r="H82" s="1323">
        <f t="shared" si="23"/>
        <v>5</v>
      </c>
      <c r="I82" s="1323">
        <f t="shared" si="24"/>
        <v>19</v>
      </c>
      <c r="J82" s="1323"/>
      <c r="K82" s="1323"/>
      <c r="L82" s="1323"/>
      <c r="M82" s="1323"/>
      <c r="N82" s="1323"/>
      <c r="O82" s="1323"/>
      <c r="P82" s="1323"/>
      <c r="Q82" s="1323"/>
      <c r="R82" s="1304"/>
      <c r="S82" s="1304"/>
      <c r="T82" s="1304"/>
    </row>
    <row r="83" spans="1:25">
      <c r="A83" s="1303"/>
      <c r="B83" s="1322" t="s">
        <v>2433</v>
      </c>
      <c r="C83" s="1323" t="s">
        <v>2434</v>
      </c>
      <c r="D83" s="1324">
        <f t="shared" si="33"/>
        <v>41775</v>
      </c>
      <c r="E83" s="1323">
        <f t="shared" si="21"/>
        <v>10.3988</v>
      </c>
      <c r="F83" s="1323">
        <f t="shared" si="34"/>
        <v>9.6598644225531753</v>
      </c>
      <c r="G83" s="1323">
        <f t="shared" si="22"/>
        <v>2014</v>
      </c>
      <c r="H83" s="1323">
        <f t="shared" si="23"/>
        <v>5</v>
      </c>
      <c r="I83" s="1323">
        <f t="shared" si="24"/>
        <v>16</v>
      </c>
      <c r="J83" s="1323"/>
      <c r="K83" s="1323"/>
      <c r="L83" s="1323"/>
      <c r="M83" s="1323"/>
      <c r="N83" s="1323"/>
      <c r="O83" s="1323"/>
      <c r="P83" s="1323"/>
      <c r="Q83" s="1323"/>
      <c r="R83" s="1304"/>
      <c r="S83" s="1304"/>
      <c r="T83" s="1304"/>
    </row>
    <row r="84" spans="1:25">
      <c r="A84" s="1303"/>
      <c r="B84" s="1322" t="s">
        <v>2435</v>
      </c>
      <c r="C84" s="1323" t="s">
        <v>2436</v>
      </c>
      <c r="D84" s="1324">
        <f t="shared" si="33"/>
        <v>41774</v>
      </c>
      <c r="E84" s="1323">
        <f t="shared" si="21"/>
        <v>10.3248</v>
      </c>
      <c r="F84" s="1323">
        <f t="shared" si="34"/>
        <v>9.6580122010351683</v>
      </c>
      <c r="G84" s="1323">
        <f t="shared" si="22"/>
        <v>2014</v>
      </c>
      <c r="H84" s="1323">
        <f t="shared" si="23"/>
        <v>5</v>
      </c>
      <c r="I84" s="1323">
        <f t="shared" si="24"/>
        <v>15</v>
      </c>
      <c r="J84" s="1323"/>
      <c r="K84" s="1323"/>
      <c r="L84" s="1323"/>
      <c r="M84" s="1323"/>
      <c r="N84" s="1323"/>
      <c r="O84" s="1323"/>
      <c r="P84" s="1323"/>
      <c r="Q84" s="1323"/>
      <c r="R84" s="1304"/>
      <c r="S84" s="1304"/>
      <c r="T84" s="1304"/>
    </row>
    <row r="85" spans="1:25">
      <c r="A85" s="1303"/>
      <c r="B85" s="1322" t="s">
        <v>2437</v>
      </c>
      <c r="C85" s="1323" t="s">
        <v>2438</v>
      </c>
      <c r="D85" s="1324">
        <f t="shared" si="33"/>
        <v>41773</v>
      </c>
      <c r="E85" s="1323">
        <f t="shared" si="21"/>
        <v>10.281499999999999</v>
      </c>
      <c r="F85" s="1323">
        <f t="shared" si="34"/>
        <v>9.6561603346696145</v>
      </c>
      <c r="G85" s="1323">
        <f t="shared" si="22"/>
        <v>2014</v>
      </c>
      <c r="H85" s="1323">
        <f t="shared" si="23"/>
        <v>5</v>
      </c>
      <c r="I85" s="1323">
        <f t="shared" si="24"/>
        <v>14</v>
      </c>
      <c r="J85" s="1323"/>
      <c r="K85" s="1323"/>
      <c r="L85" s="1323"/>
      <c r="M85" s="1323"/>
      <c r="N85" s="1323"/>
      <c r="O85" s="1323"/>
      <c r="P85" s="1323"/>
      <c r="Q85" s="1323"/>
      <c r="R85" s="1304"/>
      <c r="S85" s="1304"/>
      <c r="T85" s="1304"/>
    </row>
    <row r="86" spans="1:25">
      <c r="A86" s="1303"/>
      <c r="B86" s="1322" t="s">
        <v>2439</v>
      </c>
      <c r="C86" s="1323" t="s">
        <v>2440</v>
      </c>
      <c r="D86" s="1324">
        <f t="shared" si="33"/>
        <v>41772</v>
      </c>
      <c r="E86" s="1323">
        <f t="shared" ref="E86:E149" si="35">VALUE(C87)</f>
        <v>10.333399999999999</v>
      </c>
      <c r="F86" s="1323">
        <f t="shared" si="34"/>
        <v>9.6543088233884156</v>
      </c>
      <c r="G86" s="1323">
        <f t="shared" ref="G86:G149" si="36">YEAR(B87)</f>
        <v>2014</v>
      </c>
      <c r="H86" s="1323">
        <f t="shared" ref="H86:H149" si="37">MONTH(B87)</f>
        <v>5</v>
      </c>
      <c r="I86" s="1323">
        <f t="shared" ref="I86:I149" si="38">DAY(B87)</f>
        <v>13</v>
      </c>
      <c r="J86" s="1323"/>
      <c r="K86" s="1323"/>
      <c r="L86" s="1323"/>
      <c r="M86" s="1323"/>
      <c r="N86" s="1323"/>
      <c r="O86" s="1323"/>
      <c r="P86" s="1323"/>
      <c r="Q86" s="1323"/>
      <c r="R86" s="1304"/>
      <c r="S86" s="1304"/>
      <c r="T86" s="1304"/>
    </row>
    <row r="87" spans="1:25">
      <c r="A87" s="1303"/>
      <c r="B87" s="1322" t="s">
        <v>2441</v>
      </c>
      <c r="C87" s="1323" t="s">
        <v>2442</v>
      </c>
      <c r="D87" s="1324">
        <f t="shared" si="33"/>
        <v>41771</v>
      </c>
      <c r="E87" s="1323">
        <f t="shared" si="35"/>
        <v>10.3528</v>
      </c>
      <c r="F87" s="1323">
        <f t="shared" si="34"/>
        <v>9.6524576671234872</v>
      </c>
      <c r="G87" s="1323">
        <f t="shared" si="36"/>
        <v>2014</v>
      </c>
      <c r="H87" s="1323">
        <f t="shared" si="37"/>
        <v>5</v>
      </c>
      <c r="I87" s="1323">
        <f t="shared" si="38"/>
        <v>12</v>
      </c>
      <c r="J87" s="1323"/>
      <c r="K87" s="1323"/>
      <c r="L87" s="1323"/>
      <c r="M87" s="1323"/>
      <c r="N87" s="1323"/>
      <c r="O87" s="1323"/>
      <c r="P87" s="1323"/>
      <c r="Q87" s="1323"/>
      <c r="R87" s="1304"/>
      <c r="S87" s="1304"/>
      <c r="T87" s="1304"/>
      <c r="V87" s="1305" t="s">
        <v>13412</v>
      </c>
    </row>
    <row r="88" spans="1:25">
      <c r="A88" s="1303"/>
      <c r="B88" s="1322" t="s">
        <v>2443</v>
      </c>
      <c r="C88" s="1323" t="s">
        <v>2444</v>
      </c>
      <c r="D88" s="1324">
        <f t="shared" si="33"/>
        <v>41768</v>
      </c>
      <c r="E88" s="1323">
        <f t="shared" si="35"/>
        <v>10.336600000000001</v>
      </c>
      <c r="F88" s="1323">
        <f t="shared" si="34"/>
        <v>9.6506068658067576</v>
      </c>
      <c r="G88" s="1323">
        <f t="shared" si="36"/>
        <v>2014</v>
      </c>
      <c r="H88" s="1323">
        <f t="shared" si="37"/>
        <v>5</v>
      </c>
      <c r="I88" s="1323">
        <f t="shared" si="38"/>
        <v>9</v>
      </c>
      <c r="J88" s="1323"/>
      <c r="K88" s="1323"/>
      <c r="L88" s="1323"/>
      <c r="M88" s="1323"/>
      <c r="N88" s="1323"/>
      <c r="O88" s="1323"/>
      <c r="P88" s="1323"/>
      <c r="Q88" s="1323"/>
      <c r="R88" s="1304"/>
      <c r="S88" s="1304"/>
      <c r="T88" s="1304"/>
      <c r="V88" s="1331" t="s">
        <v>13413</v>
      </c>
    </row>
    <row r="89" spans="1:25">
      <c r="A89" s="1303"/>
      <c r="B89" s="1322" t="s">
        <v>2445</v>
      </c>
      <c r="C89" s="1323" t="s">
        <v>2446</v>
      </c>
      <c r="D89" s="1324">
        <f t="shared" si="33"/>
        <v>41767</v>
      </c>
      <c r="E89" s="1323">
        <f t="shared" si="35"/>
        <v>10.372999999999999</v>
      </c>
      <c r="F89" s="1323">
        <f t="shared" si="34"/>
        <v>9.6487564193701658</v>
      </c>
      <c r="G89" s="1323">
        <f t="shared" si="36"/>
        <v>2014</v>
      </c>
      <c r="H89" s="1323">
        <f t="shared" si="37"/>
        <v>5</v>
      </c>
      <c r="I89" s="1323">
        <f t="shared" si="38"/>
        <v>8</v>
      </c>
      <c r="J89" s="1323"/>
      <c r="K89" s="1323"/>
      <c r="L89" s="1323"/>
      <c r="M89" s="1323"/>
      <c r="N89" s="1323"/>
      <c r="O89" s="1323"/>
      <c r="P89" s="1323"/>
      <c r="Q89" s="1323"/>
      <c r="R89" s="1304"/>
      <c r="S89" s="1304"/>
      <c r="T89" s="1304"/>
    </row>
    <row r="90" spans="1:25">
      <c r="A90" s="1303"/>
      <c r="B90" s="1322" t="s">
        <v>2447</v>
      </c>
      <c r="C90" s="1323" t="s">
        <v>2448</v>
      </c>
      <c r="D90" s="1324">
        <f t="shared" si="33"/>
        <v>41765</v>
      </c>
      <c r="E90" s="1323">
        <f t="shared" si="35"/>
        <v>10.5228</v>
      </c>
      <c r="F90" s="1323">
        <f t="shared" si="34"/>
        <v>9.6469063277456666</v>
      </c>
      <c r="G90" s="1323">
        <f t="shared" si="36"/>
        <v>2014</v>
      </c>
      <c r="H90" s="1323">
        <f t="shared" si="37"/>
        <v>5</v>
      </c>
      <c r="I90" s="1323">
        <f t="shared" si="38"/>
        <v>6</v>
      </c>
      <c r="J90" s="1323"/>
      <c r="K90" s="1323"/>
      <c r="L90" s="1323"/>
      <c r="M90" s="1323"/>
      <c r="N90" s="1323"/>
      <c r="O90" s="1323"/>
      <c r="P90" s="1323"/>
      <c r="Q90" s="1323"/>
      <c r="R90" s="1304"/>
      <c r="S90" s="1304"/>
      <c r="T90" s="1304"/>
    </row>
    <row r="91" spans="1:25">
      <c r="A91" s="1303"/>
      <c r="B91" s="1322" t="s">
        <v>2449</v>
      </c>
      <c r="C91" s="1323" t="s">
        <v>2450</v>
      </c>
      <c r="D91" s="1324">
        <f t="shared" si="33"/>
        <v>41764</v>
      </c>
      <c r="E91" s="1323">
        <f t="shared" si="35"/>
        <v>10.477600000000001</v>
      </c>
      <c r="F91" s="1323">
        <f t="shared" si="34"/>
        <v>9.6450565908652255</v>
      </c>
      <c r="G91" s="1323">
        <f t="shared" si="36"/>
        <v>2014</v>
      </c>
      <c r="H91" s="1323">
        <f t="shared" si="37"/>
        <v>5</v>
      </c>
      <c r="I91" s="1323">
        <f t="shared" si="38"/>
        <v>5</v>
      </c>
      <c r="J91" s="1323"/>
      <c r="K91" s="1323"/>
      <c r="L91" s="1323"/>
      <c r="M91" s="1323"/>
      <c r="N91" s="1323"/>
      <c r="O91" s="1323"/>
      <c r="P91" s="1323"/>
      <c r="Q91" s="1323"/>
      <c r="R91" s="1304"/>
      <c r="S91" s="1304"/>
      <c r="T91" s="1304"/>
    </row>
    <row r="92" spans="1:25">
      <c r="A92" s="1303"/>
      <c r="B92" s="1322" t="s">
        <v>2451</v>
      </c>
      <c r="C92" s="1323" t="s">
        <v>2452</v>
      </c>
      <c r="D92" s="1324">
        <f t="shared" si="33"/>
        <v>41761</v>
      </c>
      <c r="E92" s="1323">
        <f t="shared" si="35"/>
        <v>10.5145</v>
      </c>
      <c r="F92" s="1323">
        <f t="shared" si="34"/>
        <v>9.643207208660824</v>
      </c>
      <c r="G92" s="1323">
        <f t="shared" si="36"/>
        <v>2014</v>
      </c>
      <c r="H92" s="1323">
        <f t="shared" si="37"/>
        <v>5</v>
      </c>
      <c r="I92" s="1323">
        <f t="shared" si="38"/>
        <v>2</v>
      </c>
      <c r="J92" s="1323"/>
      <c r="K92" s="1323"/>
      <c r="L92" s="1323"/>
      <c r="M92" s="1323"/>
      <c r="N92" s="1323"/>
      <c r="O92" s="1323"/>
      <c r="P92" s="1323"/>
      <c r="Q92" s="1323"/>
      <c r="R92" s="1304"/>
      <c r="S92" s="1304"/>
      <c r="T92" s="1304"/>
      <c r="W92" s="1305" t="s">
        <v>13409</v>
      </c>
      <c r="X92" s="1305" t="s">
        <v>13410</v>
      </c>
      <c r="Y92" s="1305" t="s">
        <v>13411</v>
      </c>
    </row>
    <row r="93" spans="1:25">
      <c r="A93" s="1303"/>
      <c r="B93" s="1322" t="s">
        <v>2453</v>
      </c>
      <c r="C93" s="1323" t="s">
        <v>2454</v>
      </c>
      <c r="D93" s="1324">
        <f t="shared" si="33"/>
        <v>41759</v>
      </c>
      <c r="E93" s="1323">
        <f t="shared" si="35"/>
        <v>10.5525</v>
      </c>
      <c r="F93" s="1323">
        <f t="shared" si="34"/>
        <v>9.6413581810644544</v>
      </c>
      <c r="G93" s="1323">
        <f t="shared" si="36"/>
        <v>2014</v>
      </c>
      <c r="H93" s="1323">
        <f t="shared" si="37"/>
        <v>4</v>
      </c>
      <c r="I93" s="1323">
        <f t="shared" si="38"/>
        <v>30</v>
      </c>
      <c r="J93" s="1323"/>
      <c r="K93" s="1323"/>
      <c r="L93" s="1323"/>
      <c r="M93" s="1323"/>
      <c r="N93" s="1323"/>
      <c r="O93" s="1323"/>
      <c r="P93" s="1323"/>
      <c r="Q93" s="1323"/>
      <c r="R93" s="1304"/>
      <c r="S93" s="1304"/>
      <c r="T93" s="1304"/>
      <c r="V93" s="1305">
        <v>1994</v>
      </c>
      <c r="W93" s="1305">
        <v>8</v>
      </c>
      <c r="X93" s="1305">
        <v>8</v>
      </c>
      <c r="Y93" s="1305">
        <v>8.1999999999999993</v>
      </c>
    </row>
    <row r="94" spans="1:25">
      <c r="A94" s="1303"/>
      <c r="B94" s="1322" t="s">
        <v>2455</v>
      </c>
      <c r="C94" s="1323" t="s">
        <v>2456</v>
      </c>
      <c r="D94" s="1324">
        <f t="shared" si="33"/>
        <v>41758</v>
      </c>
      <c r="E94" s="1323">
        <f t="shared" si="35"/>
        <v>10.5793</v>
      </c>
      <c r="F94" s="1323">
        <f t="shared" si="34"/>
        <v>9.639509508008123</v>
      </c>
      <c r="G94" s="1323">
        <f t="shared" si="36"/>
        <v>2014</v>
      </c>
      <c r="H94" s="1323">
        <f t="shared" si="37"/>
        <v>4</v>
      </c>
      <c r="I94" s="1323">
        <f t="shared" si="38"/>
        <v>29</v>
      </c>
      <c r="J94" s="1323"/>
      <c r="K94" s="1323"/>
      <c r="L94" s="1323"/>
      <c r="M94" s="1323"/>
      <c r="N94" s="1323"/>
      <c r="O94" s="1323"/>
      <c r="P94" s="1323"/>
      <c r="Q94" s="1323"/>
      <c r="R94" s="1304"/>
      <c r="S94" s="1304"/>
      <c r="T94" s="1304"/>
      <c r="V94" s="1305">
        <f>V93+1</f>
        <v>1995</v>
      </c>
      <c r="X94" s="1305">
        <f>X93</f>
        <v>8</v>
      </c>
      <c r="Y94" s="1305">
        <f>Y93</f>
        <v>8.1999999999999993</v>
      </c>
    </row>
    <row r="95" spans="1:25">
      <c r="A95" s="1303"/>
      <c r="B95" s="1322" t="s">
        <v>2457</v>
      </c>
      <c r="C95" s="1323" t="s">
        <v>2458</v>
      </c>
      <c r="D95" s="1324">
        <f t="shared" si="33"/>
        <v>41754</v>
      </c>
      <c r="E95" s="1323">
        <f t="shared" si="35"/>
        <v>10.6279</v>
      </c>
      <c r="F95" s="1323">
        <f t="shared" si="34"/>
        <v>9.6376611894238504</v>
      </c>
      <c r="G95" s="1323">
        <f t="shared" si="36"/>
        <v>2014</v>
      </c>
      <c r="H95" s="1323">
        <f t="shared" si="37"/>
        <v>4</v>
      </c>
      <c r="I95" s="1323">
        <f t="shared" si="38"/>
        <v>25</v>
      </c>
      <c r="J95" s="1323"/>
      <c r="K95" s="1323"/>
      <c r="L95" s="1323"/>
      <c r="M95" s="1323"/>
      <c r="N95" s="1323"/>
      <c r="O95" s="1323"/>
      <c r="P95" s="1323"/>
      <c r="Q95" s="1323"/>
      <c r="R95" s="1304"/>
      <c r="S95" s="1304"/>
      <c r="T95" s="1304"/>
      <c r="V95" s="1305">
        <f t="shared" ref="V95:V110" si="39">V94+1</f>
        <v>1996</v>
      </c>
      <c r="X95" s="1305">
        <f t="shared" ref="X95:X110" si="40">X94</f>
        <v>8</v>
      </c>
      <c r="Y95" s="1305">
        <f t="shared" ref="Y95:Y110" si="41">Y94</f>
        <v>8.1999999999999993</v>
      </c>
    </row>
    <row r="96" spans="1:25">
      <c r="A96" s="1303"/>
      <c r="B96" s="1322" t="s">
        <v>2459</v>
      </c>
      <c r="C96" s="1323" t="s">
        <v>2460</v>
      </c>
      <c r="D96" s="1324">
        <f t="shared" si="33"/>
        <v>41753</v>
      </c>
      <c r="E96" s="1323">
        <f t="shared" si="35"/>
        <v>10.593299999999999</v>
      </c>
      <c r="F96" s="1323">
        <f t="shared" si="34"/>
        <v>9.6358132252436661</v>
      </c>
      <c r="G96" s="1323">
        <f t="shared" si="36"/>
        <v>2014</v>
      </c>
      <c r="H96" s="1323">
        <f t="shared" si="37"/>
        <v>4</v>
      </c>
      <c r="I96" s="1323">
        <f t="shared" si="38"/>
        <v>24</v>
      </c>
      <c r="J96" s="1323"/>
      <c r="K96" s="1323"/>
      <c r="L96" s="1323"/>
      <c r="M96" s="1323"/>
      <c r="N96" s="1323"/>
      <c r="O96" s="1323"/>
      <c r="P96" s="1323"/>
      <c r="Q96" s="1323"/>
      <c r="R96" s="1304"/>
      <c r="S96" s="1304"/>
      <c r="T96" s="1304"/>
      <c r="V96" s="1305">
        <f t="shared" si="39"/>
        <v>1997</v>
      </c>
      <c r="X96" s="1305">
        <f t="shared" si="40"/>
        <v>8</v>
      </c>
      <c r="Y96" s="1305">
        <f t="shared" si="41"/>
        <v>8.1999999999999993</v>
      </c>
    </row>
    <row r="97" spans="1:25">
      <c r="A97" s="1303"/>
      <c r="B97" s="1322" t="s">
        <v>2461</v>
      </c>
      <c r="C97" s="1323" t="s">
        <v>2462</v>
      </c>
      <c r="D97" s="1324">
        <f t="shared" si="33"/>
        <v>41752</v>
      </c>
      <c r="E97" s="1323">
        <f t="shared" si="35"/>
        <v>10.5916</v>
      </c>
      <c r="F97" s="1323">
        <f t="shared" si="34"/>
        <v>9.6339656153996174</v>
      </c>
      <c r="G97" s="1323">
        <f t="shared" si="36"/>
        <v>2014</v>
      </c>
      <c r="H97" s="1323">
        <f t="shared" si="37"/>
        <v>4</v>
      </c>
      <c r="I97" s="1323">
        <f t="shared" si="38"/>
        <v>23</v>
      </c>
      <c r="J97" s="1323"/>
      <c r="K97" s="1323"/>
      <c r="L97" s="1323"/>
      <c r="M97" s="1323"/>
      <c r="N97" s="1323"/>
      <c r="O97" s="1323"/>
      <c r="P97" s="1323"/>
      <c r="Q97" s="1323"/>
      <c r="R97" s="1304"/>
      <c r="S97" s="1304"/>
      <c r="T97" s="1304"/>
      <c r="V97" s="1305">
        <f t="shared" si="39"/>
        <v>1998</v>
      </c>
      <c r="X97" s="1305">
        <f t="shared" si="40"/>
        <v>8</v>
      </c>
      <c r="Y97" s="1305">
        <f t="shared" si="41"/>
        <v>8.1999999999999993</v>
      </c>
    </row>
    <row r="98" spans="1:25">
      <c r="A98" s="1303"/>
      <c r="B98" s="1322" t="s">
        <v>2463</v>
      </c>
      <c r="C98" s="1323" t="s">
        <v>2464</v>
      </c>
      <c r="D98" s="1324">
        <f t="shared" si="33"/>
        <v>41751</v>
      </c>
      <c r="E98" s="1323">
        <f t="shared" si="35"/>
        <v>10.539400000000001</v>
      </c>
      <c r="F98" s="1323">
        <f t="shared" si="34"/>
        <v>9.6321183598237603</v>
      </c>
      <c r="G98" s="1323">
        <f t="shared" si="36"/>
        <v>2014</v>
      </c>
      <c r="H98" s="1323">
        <f t="shared" si="37"/>
        <v>4</v>
      </c>
      <c r="I98" s="1323">
        <f t="shared" si="38"/>
        <v>22</v>
      </c>
      <c r="J98" s="1323"/>
      <c r="K98" s="1323"/>
      <c r="L98" s="1323"/>
      <c r="M98" s="1323"/>
      <c r="N98" s="1323"/>
      <c r="O98" s="1323"/>
      <c r="P98" s="1323"/>
      <c r="Q98" s="1323"/>
      <c r="R98" s="1304"/>
      <c r="S98" s="1304"/>
      <c r="T98" s="1304"/>
      <c r="V98" s="1305">
        <f t="shared" si="39"/>
        <v>1999</v>
      </c>
      <c r="X98" s="1305">
        <f t="shared" si="40"/>
        <v>8</v>
      </c>
      <c r="Y98" s="1305">
        <f t="shared" si="41"/>
        <v>8.1999999999999993</v>
      </c>
    </row>
    <row r="99" spans="1:25">
      <c r="A99" s="1303"/>
      <c r="B99" s="1322" t="s">
        <v>2465</v>
      </c>
      <c r="C99" s="1323" t="s">
        <v>2466</v>
      </c>
      <c r="D99" s="1324">
        <f t="shared" si="33"/>
        <v>41746</v>
      </c>
      <c r="E99" s="1323">
        <f t="shared" si="35"/>
        <v>10.525700000000001</v>
      </c>
      <c r="F99" s="1323">
        <f t="shared" si="34"/>
        <v>9.630271458448167</v>
      </c>
      <c r="G99" s="1323">
        <f t="shared" si="36"/>
        <v>2014</v>
      </c>
      <c r="H99" s="1323">
        <f t="shared" si="37"/>
        <v>4</v>
      </c>
      <c r="I99" s="1323">
        <f t="shared" si="38"/>
        <v>17</v>
      </c>
      <c r="J99" s="1323"/>
      <c r="K99" s="1323"/>
      <c r="L99" s="1323"/>
      <c r="M99" s="1323"/>
      <c r="N99" s="1323"/>
      <c r="O99" s="1323"/>
      <c r="P99" s="1323"/>
      <c r="Q99" s="1323"/>
      <c r="R99" s="1304"/>
      <c r="S99" s="1304"/>
      <c r="T99" s="1304"/>
      <c r="V99" s="1305">
        <f t="shared" si="39"/>
        <v>2000</v>
      </c>
      <c r="X99" s="1305">
        <f t="shared" si="40"/>
        <v>8</v>
      </c>
      <c r="Y99" s="1305">
        <f t="shared" si="41"/>
        <v>8.1999999999999993</v>
      </c>
    </row>
    <row r="100" spans="1:25">
      <c r="A100" s="1303"/>
      <c r="B100" s="1322" t="s">
        <v>2467</v>
      </c>
      <c r="C100" s="1323" t="s">
        <v>2468</v>
      </c>
      <c r="D100" s="1324">
        <f t="shared" si="33"/>
        <v>41745</v>
      </c>
      <c r="E100" s="1323">
        <f t="shared" si="35"/>
        <v>10.5459</v>
      </c>
      <c r="F100" s="1323">
        <f t="shared" si="34"/>
        <v>9.6284249112049221</v>
      </c>
      <c r="G100" s="1323">
        <f t="shared" si="36"/>
        <v>2014</v>
      </c>
      <c r="H100" s="1323">
        <f t="shared" si="37"/>
        <v>4</v>
      </c>
      <c r="I100" s="1323">
        <f t="shared" si="38"/>
        <v>16</v>
      </c>
      <c r="J100" s="1323"/>
      <c r="K100" s="1323"/>
      <c r="L100" s="1323"/>
      <c r="M100" s="1323"/>
      <c r="N100" s="1323"/>
      <c r="O100" s="1323"/>
      <c r="P100" s="1323"/>
      <c r="Q100" s="1323"/>
      <c r="R100" s="1304"/>
      <c r="S100" s="1304"/>
      <c r="T100" s="1304"/>
      <c r="V100" s="1305">
        <f t="shared" si="39"/>
        <v>2001</v>
      </c>
      <c r="X100" s="1305">
        <f t="shared" si="40"/>
        <v>8</v>
      </c>
      <c r="Y100" s="1305">
        <f t="shared" si="41"/>
        <v>8.1999999999999993</v>
      </c>
    </row>
    <row r="101" spans="1:25">
      <c r="A101" s="1303"/>
      <c r="B101" s="1322" t="s">
        <v>2469</v>
      </c>
      <c r="C101" s="1323" t="s">
        <v>2470</v>
      </c>
      <c r="D101" s="1324">
        <f t="shared" si="33"/>
        <v>41744</v>
      </c>
      <c r="E101" s="1323">
        <f t="shared" si="35"/>
        <v>10.5219</v>
      </c>
      <c r="F101" s="1323">
        <f t="shared" si="34"/>
        <v>9.6265787180261224</v>
      </c>
      <c r="G101" s="1323">
        <f t="shared" si="36"/>
        <v>2014</v>
      </c>
      <c r="H101" s="1323">
        <f t="shared" si="37"/>
        <v>4</v>
      </c>
      <c r="I101" s="1323">
        <f t="shared" si="38"/>
        <v>15</v>
      </c>
      <c r="J101" s="1323"/>
      <c r="K101" s="1323"/>
      <c r="L101" s="1323"/>
      <c r="M101" s="1323"/>
      <c r="N101" s="1323"/>
      <c r="O101" s="1323"/>
      <c r="P101" s="1323"/>
      <c r="Q101" s="1323"/>
      <c r="R101" s="1304"/>
      <c r="S101" s="1304"/>
      <c r="T101" s="1304"/>
      <c r="V101" s="1305">
        <f t="shared" si="39"/>
        <v>2002</v>
      </c>
      <c r="X101" s="1305">
        <f t="shared" si="40"/>
        <v>8</v>
      </c>
      <c r="Y101" s="1305">
        <f t="shared" si="41"/>
        <v>8.1999999999999993</v>
      </c>
    </row>
    <row r="102" spans="1:25">
      <c r="A102" s="1303"/>
      <c r="B102" s="1322" t="s">
        <v>2471</v>
      </c>
      <c r="C102" s="1323" t="s">
        <v>2472</v>
      </c>
      <c r="D102" s="1324">
        <f t="shared" si="33"/>
        <v>41743</v>
      </c>
      <c r="E102" s="1323">
        <f t="shared" si="35"/>
        <v>10.562200000000001</v>
      </c>
      <c r="F102" s="1323">
        <f t="shared" si="34"/>
        <v>9.6247328788438775</v>
      </c>
      <c r="G102" s="1323">
        <f t="shared" si="36"/>
        <v>2014</v>
      </c>
      <c r="H102" s="1323">
        <f t="shared" si="37"/>
        <v>4</v>
      </c>
      <c r="I102" s="1323">
        <f t="shared" si="38"/>
        <v>14</v>
      </c>
      <c r="J102" s="1323"/>
      <c r="K102" s="1323"/>
      <c r="L102" s="1323"/>
      <c r="M102" s="1323"/>
      <c r="N102" s="1323"/>
      <c r="O102" s="1323"/>
      <c r="P102" s="1323"/>
      <c r="Q102" s="1323"/>
      <c r="R102" s="1304"/>
      <c r="S102" s="1304"/>
      <c r="T102" s="1304"/>
      <c r="V102" s="1305">
        <f t="shared" si="39"/>
        <v>2003</v>
      </c>
      <c r="X102" s="1305">
        <f t="shared" si="40"/>
        <v>8</v>
      </c>
      <c r="Y102" s="1305">
        <f t="shared" si="41"/>
        <v>8.1999999999999993</v>
      </c>
    </row>
    <row r="103" spans="1:25">
      <c r="A103" s="1303"/>
      <c r="B103" s="1322" t="s">
        <v>2473</v>
      </c>
      <c r="C103" s="1323" t="s">
        <v>2474</v>
      </c>
      <c r="D103" s="1324">
        <f t="shared" si="33"/>
        <v>41740</v>
      </c>
      <c r="E103" s="1323">
        <f t="shared" si="35"/>
        <v>10.4505</v>
      </c>
      <c r="F103" s="1323">
        <f t="shared" si="34"/>
        <v>9.6228873935903128</v>
      </c>
      <c r="G103" s="1323">
        <f t="shared" si="36"/>
        <v>2014</v>
      </c>
      <c r="H103" s="1323">
        <f t="shared" si="37"/>
        <v>4</v>
      </c>
      <c r="I103" s="1323">
        <f t="shared" si="38"/>
        <v>11</v>
      </c>
      <c r="J103" s="1323"/>
      <c r="K103" s="1323"/>
      <c r="L103" s="1323"/>
      <c r="M103" s="1323"/>
      <c r="N103" s="1323"/>
      <c r="O103" s="1323"/>
      <c r="P103" s="1323"/>
      <c r="Q103" s="1323"/>
      <c r="R103" s="1304"/>
      <c r="S103" s="1304"/>
      <c r="T103" s="1304"/>
      <c r="V103" s="1305">
        <f t="shared" si="39"/>
        <v>2004</v>
      </c>
      <c r="X103" s="1305">
        <f t="shared" si="40"/>
        <v>8</v>
      </c>
      <c r="Y103" s="1305">
        <f t="shared" si="41"/>
        <v>8.1999999999999993</v>
      </c>
    </row>
    <row r="104" spans="1:25">
      <c r="A104" s="1303"/>
      <c r="B104" s="1322" t="s">
        <v>2475</v>
      </c>
      <c r="C104" s="1323" t="s">
        <v>2476</v>
      </c>
      <c r="D104" s="1324">
        <f t="shared" si="33"/>
        <v>41739</v>
      </c>
      <c r="E104" s="1323">
        <f t="shared" si="35"/>
        <v>10.3964</v>
      </c>
      <c r="F104" s="1323">
        <f t="shared" si="34"/>
        <v>9.6210422621975624</v>
      </c>
      <c r="G104" s="1323">
        <f t="shared" si="36"/>
        <v>2014</v>
      </c>
      <c r="H104" s="1323">
        <f t="shared" si="37"/>
        <v>4</v>
      </c>
      <c r="I104" s="1323">
        <f t="shared" si="38"/>
        <v>10</v>
      </c>
      <c r="J104" s="1323"/>
      <c r="K104" s="1323"/>
      <c r="L104" s="1323"/>
      <c r="M104" s="1323"/>
      <c r="N104" s="1323"/>
      <c r="O104" s="1323"/>
      <c r="P104" s="1323"/>
      <c r="Q104" s="1323"/>
      <c r="R104" s="1304"/>
      <c r="S104" s="1304"/>
      <c r="T104" s="1304"/>
      <c r="V104" s="1305">
        <f t="shared" si="39"/>
        <v>2005</v>
      </c>
      <c r="X104" s="1305">
        <f t="shared" si="40"/>
        <v>8</v>
      </c>
      <c r="Y104" s="1305">
        <f t="shared" si="41"/>
        <v>8.1999999999999993</v>
      </c>
    </row>
    <row r="105" spans="1:25">
      <c r="A105" s="1303"/>
      <c r="B105" s="1322" t="s">
        <v>2477</v>
      </c>
      <c r="C105" s="1323" t="s">
        <v>2478</v>
      </c>
      <c r="D105" s="1324">
        <f t="shared" si="33"/>
        <v>41738</v>
      </c>
      <c r="E105" s="1323">
        <f t="shared" si="35"/>
        <v>10.4359</v>
      </c>
      <c r="F105" s="1323">
        <f t="shared" si="34"/>
        <v>9.6191974845977768</v>
      </c>
      <c r="G105" s="1323">
        <f t="shared" si="36"/>
        <v>2014</v>
      </c>
      <c r="H105" s="1323">
        <f t="shared" si="37"/>
        <v>4</v>
      </c>
      <c r="I105" s="1323">
        <f t="shared" si="38"/>
        <v>9</v>
      </c>
      <c r="J105" s="1323"/>
      <c r="K105" s="1323"/>
      <c r="L105" s="1323"/>
      <c r="M105" s="1323"/>
      <c r="N105" s="1323"/>
      <c r="O105" s="1323"/>
      <c r="P105" s="1323"/>
      <c r="Q105" s="1323"/>
      <c r="R105" s="1304"/>
      <c r="S105" s="1304"/>
      <c r="T105" s="1304"/>
      <c r="V105" s="1305">
        <f t="shared" si="39"/>
        <v>2006</v>
      </c>
      <c r="X105" s="1305">
        <f t="shared" si="40"/>
        <v>8</v>
      </c>
      <c r="Y105" s="1305">
        <f t="shared" si="41"/>
        <v>8.1999999999999993</v>
      </c>
    </row>
    <row r="106" spans="1:25">
      <c r="A106" s="1303"/>
      <c r="B106" s="1322" t="s">
        <v>2479</v>
      </c>
      <c r="C106" s="1323" t="s">
        <v>2480</v>
      </c>
      <c r="D106" s="1324">
        <f t="shared" si="33"/>
        <v>41737</v>
      </c>
      <c r="E106" s="1323">
        <f t="shared" si="35"/>
        <v>10.4282</v>
      </c>
      <c r="F106" s="1323">
        <f t="shared" si="34"/>
        <v>9.6173530607231168</v>
      </c>
      <c r="G106" s="1323">
        <f t="shared" si="36"/>
        <v>2014</v>
      </c>
      <c r="H106" s="1323">
        <f t="shared" si="37"/>
        <v>4</v>
      </c>
      <c r="I106" s="1323">
        <f t="shared" si="38"/>
        <v>8</v>
      </c>
      <c r="J106" s="1323"/>
      <c r="K106" s="1323"/>
      <c r="L106" s="1323"/>
      <c r="M106" s="1323"/>
      <c r="N106" s="1323"/>
      <c r="O106" s="1323"/>
      <c r="P106" s="1323"/>
      <c r="Q106" s="1323"/>
      <c r="R106" s="1304"/>
      <c r="S106" s="1304"/>
      <c r="T106" s="1304"/>
      <c r="V106" s="1305">
        <f t="shared" si="39"/>
        <v>2007</v>
      </c>
      <c r="X106" s="1305">
        <f t="shared" si="40"/>
        <v>8</v>
      </c>
      <c r="Y106" s="1305">
        <f t="shared" si="41"/>
        <v>8.1999999999999993</v>
      </c>
    </row>
    <row r="107" spans="1:25">
      <c r="A107" s="1303"/>
      <c r="B107" s="1322" t="s">
        <v>2481</v>
      </c>
      <c r="C107" s="1323" t="s">
        <v>2482</v>
      </c>
      <c r="D107" s="1324">
        <f t="shared" si="33"/>
        <v>41736</v>
      </c>
      <c r="E107" s="1323">
        <f t="shared" si="35"/>
        <v>10.562200000000001</v>
      </c>
      <c r="F107" s="1323">
        <f t="shared" si="34"/>
        <v>9.6155089905057594</v>
      </c>
      <c r="G107" s="1323">
        <f t="shared" si="36"/>
        <v>2014</v>
      </c>
      <c r="H107" s="1323">
        <f t="shared" si="37"/>
        <v>4</v>
      </c>
      <c r="I107" s="1323">
        <f t="shared" si="38"/>
        <v>7</v>
      </c>
      <c r="J107" s="1323"/>
      <c r="K107" s="1323"/>
      <c r="L107" s="1323"/>
      <c r="M107" s="1323"/>
      <c r="N107" s="1323"/>
      <c r="O107" s="1323"/>
      <c r="P107" s="1323"/>
      <c r="Q107" s="1323"/>
      <c r="R107" s="1304"/>
      <c r="S107" s="1304"/>
      <c r="T107" s="1304"/>
      <c r="V107" s="1305">
        <f t="shared" si="39"/>
        <v>2008</v>
      </c>
      <c r="X107" s="1305">
        <f t="shared" si="40"/>
        <v>8</v>
      </c>
      <c r="Y107" s="1305">
        <f t="shared" si="41"/>
        <v>8.1999999999999993</v>
      </c>
    </row>
    <row r="108" spans="1:25">
      <c r="A108" s="1303"/>
      <c r="B108" s="1322" t="s">
        <v>2483</v>
      </c>
      <c r="C108" s="1323" t="s">
        <v>2474</v>
      </c>
      <c r="D108" s="1324">
        <f t="shared" si="33"/>
        <v>41733</v>
      </c>
      <c r="E108" s="1323">
        <f t="shared" si="35"/>
        <v>10.6495</v>
      </c>
      <c r="F108" s="1323">
        <f t="shared" si="34"/>
        <v>9.613665273877892</v>
      </c>
      <c r="G108" s="1323">
        <f t="shared" si="36"/>
        <v>2014</v>
      </c>
      <c r="H108" s="1323">
        <f t="shared" si="37"/>
        <v>4</v>
      </c>
      <c r="I108" s="1323">
        <f t="shared" si="38"/>
        <v>4</v>
      </c>
      <c r="J108" s="1323"/>
      <c r="K108" s="1323"/>
      <c r="L108" s="1323"/>
      <c r="M108" s="1323"/>
      <c r="N108" s="1323"/>
      <c r="O108" s="1323"/>
      <c r="P108" s="1323"/>
      <c r="Q108" s="1323"/>
      <c r="R108" s="1304"/>
      <c r="S108" s="1304"/>
      <c r="T108" s="1304"/>
      <c r="V108" s="1305">
        <f>V107+1</f>
        <v>2009</v>
      </c>
      <c r="X108" s="1305">
        <f t="shared" si="40"/>
        <v>8</v>
      </c>
      <c r="Y108" s="1305">
        <f t="shared" si="41"/>
        <v>8.1999999999999993</v>
      </c>
    </row>
    <row r="109" spans="1:25">
      <c r="A109" s="1303"/>
      <c r="B109" s="1322" t="s">
        <v>2484</v>
      </c>
      <c r="C109" s="1323" t="s">
        <v>2485</v>
      </c>
      <c r="D109" s="1324">
        <f t="shared" si="33"/>
        <v>41732</v>
      </c>
      <c r="E109" s="1323">
        <f t="shared" si="35"/>
        <v>10.6541</v>
      </c>
      <c r="F109" s="1323">
        <f t="shared" si="34"/>
        <v>9.6118219107717167</v>
      </c>
      <c r="G109" s="1323">
        <f t="shared" si="36"/>
        <v>2014</v>
      </c>
      <c r="H109" s="1323">
        <f t="shared" si="37"/>
        <v>4</v>
      </c>
      <c r="I109" s="1323">
        <f t="shared" si="38"/>
        <v>3</v>
      </c>
      <c r="J109" s="1323"/>
      <c r="K109" s="1323"/>
      <c r="L109" s="1323"/>
      <c r="M109" s="1323"/>
      <c r="N109" s="1323"/>
      <c r="O109" s="1323"/>
      <c r="P109" s="1323"/>
      <c r="Q109" s="1323"/>
      <c r="R109" s="1304"/>
      <c r="S109" s="1304"/>
      <c r="T109" s="1304"/>
      <c r="V109" s="1305">
        <f t="shared" si="39"/>
        <v>2010</v>
      </c>
      <c r="X109" s="1305">
        <f t="shared" si="40"/>
        <v>8</v>
      </c>
      <c r="Y109" s="1305">
        <f t="shared" si="41"/>
        <v>8.1999999999999993</v>
      </c>
    </row>
    <row r="110" spans="1:25">
      <c r="A110" s="1303"/>
      <c r="B110" s="1322" t="s">
        <v>2486</v>
      </c>
      <c r="C110" s="1323" t="s">
        <v>2487</v>
      </c>
      <c r="D110" s="1324">
        <f t="shared" si="33"/>
        <v>41731</v>
      </c>
      <c r="E110" s="1323">
        <f t="shared" si="35"/>
        <v>10.5997</v>
      </c>
      <c r="F110" s="1323">
        <f t="shared" si="34"/>
        <v>9.6099789011194474</v>
      </c>
      <c r="G110" s="1323">
        <f t="shared" si="36"/>
        <v>2014</v>
      </c>
      <c r="H110" s="1323">
        <f t="shared" si="37"/>
        <v>4</v>
      </c>
      <c r="I110" s="1323">
        <f t="shared" si="38"/>
        <v>2</v>
      </c>
      <c r="J110" s="1323"/>
      <c r="K110" s="1323"/>
      <c r="L110" s="1323"/>
      <c r="M110" s="1323"/>
      <c r="N110" s="1323"/>
      <c r="O110" s="1323"/>
      <c r="P110" s="1323"/>
      <c r="Q110" s="1323"/>
      <c r="R110" s="1304"/>
      <c r="S110" s="1304"/>
      <c r="T110" s="1304"/>
      <c r="V110" s="1305">
        <f t="shared" si="39"/>
        <v>2011</v>
      </c>
      <c r="W110" s="1305">
        <v>8</v>
      </c>
      <c r="X110" s="1305">
        <f t="shared" si="40"/>
        <v>8</v>
      </c>
      <c r="Y110" s="1305">
        <f t="shared" si="41"/>
        <v>8.1999999999999993</v>
      </c>
    </row>
    <row r="111" spans="1:25">
      <c r="A111" s="1303"/>
      <c r="B111" s="1322" t="s">
        <v>2488</v>
      </c>
      <c r="C111" s="1323" t="s">
        <v>2489</v>
      </c>
      <c r="D111" s="1324">
        <f t="shared" si="33"/>
        <v>41730</v>
      </c>
      <c r="E111" s="1323">
        <f t="shared" si="35"/>
        <v>10.5794</v>
      </c>
      <c r="F111" s="1323">
        <f t="shared" si="34"/>
        <v>9.608136244853311</v>
      </c>
      <c r="G111" s="1323">
        <f t="shared" si="36"/>
        <v>2014</v>
      </c>
      <c r="H111" s="1323">
        <f t="shared" si="37"/>
        <v>4</v>
      </c>
      <c r="I111" s="1323">
        <f t="shared" si="38"/>
        <v>1</v>
      </c>
      <c r="J111" s="1323"/>
      <c r="K111" s="1323"/>
      <c r="L111" s="1323"/>
      <c r="M111" s="1323"/>
      <c r="N111" s="1323"/>
      <c r="O111" s="1323"/>
      <c r="P111" s="1323"/>
      <c r="Q111" s="1323"/>
      <c r="R111" s="1304"/>
      <c r="S111" s="1304"/>
      <c r="T111" s="1304"/>
    </row>
    <row r="112" spans="1:25">
      <c r="A112" s="1303"/>
      <c r="B112" s="1322" t="s">
        <v>2490</v>
      </c>
      <c r="C112" s="1323" t="s">
        <v>2491</v>
      </c>
      <c r="D112" s="1324">
        <f t="shared" si="33"/>
        <v>41729</v>
      </c>
      <c r="E112" s="1323">
        <f t="shared" si="35"/>
        <v>10.5953</v>
      </c>
      <c r="F112" s="1323">
        <f t="shared" si="34"/>
        <v>9.6062939419055482</v>
      </c>
      <c r="G112" s="1323">
        <f t="shared" si="36"/>
        <v>2014</v>
      </c>
      <c r="H112" s="1323">
        <f t="shared" si="37"/>
        <v>3</v>
      </c>
      <c r="I112" s="1323">
        <f t="shared" si="38"/>
        <v>31</v>
      </c>
      <c r="J112" s="1323"/>
      <c r="K112" s="1323"/>
      <c r="L112" s="1323"/>
      <c r="M112" s="1323"/>
      <c r="N112" s="1323"/>
      <c r="O112" s="1323"/>
      <c r="P112" s="1323"/>
      <c r="Q112" s="1323"/>
      <c r="R112" s="1304"/>
      <c r="S112" s="1304"/>
      <c r="T112" s="1304"/>
    </row>
    <row r="113" spans="1:20">
      <c r="A113" s="1303"/>
      <c r="B113" s="1322" t="s">
        <v>2492</v>
      </c>
      <c r="C113" s="1323" t="s">
        <v>2493</v>
      </c>
      <c r="D113" s="1324">
        <f t="shared" si="33"/>
        <v>41726</v>
      </c>
      <c r="E113" s="1323">
        <f t="shared" si="35"/>
        <v>10.613899999999999</v>
      </c>
      <c r="F113" s="1323">
        <f t="shared" si="34"/>
        <v>9.6044519922084124</v>
      </c>
      <c r="G113" s="1323">
        <f t="shared" si="36"/>
        <v>2014</v>
      </c>
      <c r="H113" s="1323">
        <f t="shared" si="37"/>
        <v>3</v>
      </c>
      <c r="I113" s="1323">
        <f t="shared" si="38"/>
        <v>28</v>
      </c>
      <c r="J113" s="1323"/>
      <c r="K113" s="1323"/>
      <c r="L113" s="1323"/>
      <c r="M113" s="1323"/>
      <c r="N113" s="1323"/>
      <c r="O113" s="1323"/>
      <c r="P113" s="1323"/>
      <c r="Q113" s="1323"/>
      <c r="R113" s="1304"/>
      <c r="S113" s="1304"/>
      <c r="T113" s="1304"/>
    </row>
    <row r="114" spans="1:20">
      <c r="A114" s="1303"/>
      <c r="B114" s="1322" t="s">
        <v>2494</v>
      </c>
      <c r="C114" s="1323" t="s">
        <v>2495</v>
      </c>
      <c r="D114" s="1324">
        <f t="shared" si="33"/>
        <v>41725</v>
      </c>
      <c r="E114" s="1323">
        <f t="shared" si="35"/>
        <v>10.7219</v>
      </c>
      <c r="F114" s="1323">
        <f t="shared" si="34"/>
        <v>9.6026103956941693</v>
      </c>
      <c r="G114" s="1323">
        <f t="shared" si="36"/>
        <v>2014</v>
      </c>
      <c r="H114" s="1323">
        <f t="shared" si="37"/>
        <v>3</v>
      </c>
      <c r="I114" s="1323">
        <f t="shared" si="38"/>
        <v>27</v>
      </c>
      <c r="J114" s="1323"/>
      <c r="K114" s="1323"/>
      <c r="L114" s="1323"/>
      <c r="M114" s="1323"/>
      <c r="N114" s="1323"/>
      <c r="O114" s="1323"/>
      <c r="P114" s="1323"/>
      <c r="Q114" s="1323"/>
      <c r="R114" s="1304"/>
      <c r="S114" s="1304"/>
      <c r="T114" s="1304"/>
    </row>
    <row r="115" spans="1:20">
      <c r="A115" s="1303"/>
      <c r="B115" s="1322" t="s">
        <v>2496</v>
      </c>
      <c r="C115" s="1323" t="s">
        <v>2497</v>
      </c>
      <c r="D115" s="1324">
        <f t="shared" si="33"/>
        <v>41724</v>
      </c>
      <c r="E115" s="1323">
        <f t="shared" si="35"/>
        <v>10.741300000000001</v>
      </c>
      <c r="F115" s="1323">
        <f t="shared" si="34"/>
        <v>9.6007691522950989</v>
      </c>
      <c r="G115" s="1323">
        <f t="shared" si="36"/>
        <v>2014</v>
      </c>
      <c r="H115" s="1323">
        <f t="shared" si="37"/>
        <v>3</v>
      </c>
      <c r="I115" s="1323">
        <f t="shared" si="38"/>
        <v>26</v>
      </c>
      <c r="J115" s="1323"/>
      <c r="K115" s="1323"/>
      <c r="L115" s="1323"/>
      <c r="M115" s="1323"/>
      <c r="N115" s="1323"/>
      <c r="O115" s="1323"/>
      <c r="P115" s="1323"/>
      <c r="Q115" s="1323"/>
      <c r="R115" s="1304"/>
      <c r="S115" s="1304"/>
      <c r="T115" s="1304"/>
    </row>
    <row r="116" spans="1:20">
      <c r="A116" s="1303"/>
      <c r="B116" s="1322" t="s">
        <v>2498</v>
      </c>
      <c r="C116" s="1323" t="s">
        <v>2499</v>
      </c>
      <c r="D116" s="1324">
        <f t="shared" si="33"/>
        <v>41723</v>
      </c>
      <c r="E116" s="1323">
        <f t="shared" si="35"/>
        <v>10.820499999999999</v>
      </c>
      <c r="F116" s="1323">
        <f t="shared" si="34"/>
        <v>9.5989282619434935</v>
      </c>
      <c r="G116" s="1323">
        <f t="shared" si="36"/>
        <v>2014</v>
      </c>
      <c r="H116" s="1323">
        <f t="shared" si="37"/>
        <v>3</v>
      </c>
      <c r="I116" s="1323">
        <f t="shared" si="38"/>
        <v>25</v>
      </c>
      <c r="J116" s="1323"/>
      <c r="K116" s="1323"/>
      <c r="L116" s="1323"/>
      <c r="M116" s="1323"/>
      <c r="N116" s="1323"/>
      <c r="O116" s="1323"/>
      <c r="P116" s="1323"/>
      <c r="Q116" s="1323"/>
      <c r="R116" s="1304"/>
      <c r="S116" s="1304"/>
      <c r="T116" s="1304"/>
    </row>
    <row r="117" spans="1:20">
      <c r="A117" s="1303"/>
      <c r="B117" s="1322" t="s">
        <v>2500</v>
      </c>
      <c r="C117" s="1323" t="s">
        <v>2501</v>
      </c>
      <c r="D117" s="1324">
        <f t="shared" si="33"/>
        <v>41722</v>
      </c>
      <c r="E117" s="1323">
        <f t="shared" si="35"/>
        <v>10.851599999999999</v>
      </c>
      <c r="F117" s="1323">
        <f t="shared" si="34"/>
        <v>9.5970877245716579</v>
      </c>
      <c r="G117" s="1323">
        <f t="shared" si="36"/>
        <v>2014</v>
      </c>
      <c r="H117" s="1323">
        <f t="shared" si="37"/>
        <v>3</v>
      </c>
      <c r="I117" s="1323">
        <f t="shared" si="38"/>
        <v>24</v>
      </c>
      <c r="J117" s="1323"/>
      <c r="K117" s="1323"/>
      <c r="L117" s="1323"/>
      <c r="M117" s="1323"/>
      <c r="N117" s="1323"/>
      <c r="O117" s="1323"/>
      <c r="P117" s="1323"/>
      <c r="Q117" s="1323"/>
      <c r="R117" s="1304"/>
      <c r="S117" s="1304"/>
      <c r="T117" s="1304"/>
    </row>
    <row r="118" spans="1:20">
      <c r="A118" s="1303"/>
      <c r="B118" s="1322" t="s">
        <v>2502</v>
      </c>
      <c r="C118" s="1323" t="s">
        <v>2503</v>
      </c>
      <c r="D118" s="1324">
        <f t="shared" si="33"/>
        <v>41718</v>
      </c>
      <c r="E118" s="1323">
        <f t="shared" si="35"/>
        <v>10.8729</v>
      </c>
      <c r="F118" s="1323">
        <f t="shared" si="34"/>
        <v>9.5952475401119095</v>
      </c>
      <c r="G118" s="1323">
        <f t="shared" si="36"/>
        <v>2014</v>
      </c>
      <c r="H118" s="1323">
        <f t="shared" si="37"/>
        <v>3</v>
      </c>
      <c r="I118" s="1323">
        <f t="shared" si="38"/>
        <v>20</v>
      </c>
      <c r="J118" s="1323"/>
      <c r="K118" s="1323"/>
      <c r="L118" s="1323"/>
      <c r="M118" s="1323"/>
      <c r="N118" s="1323"/>
      <c r="O118" s="1323"/>
      <c r="P118" s="1323"/>
      <c r="Q118" s="1323"/>
      <c r="R118" s="1304"/>
      <c r="S118" s="1304"/>
      <c r="T118" s="1304"/>
    </row>
    <row r="119" spans="1:20">
      <c r="A119" s="1303"/>
      <c r="B119" s="1322" t="s">
        <v>2504</v>
      </c>
      <c r="C119" s="1323" t="s">
        <v>2505</v>
      </c>
      <c r="D119" s="1324">
        <f t="shared" si="33"/>
        <v>41717</v>
      </c>
      <c r="E119" s="1323">
        <f t="shared" si="35"/>
        <v>10.6952</v>
      </c>
      <c r="F119" s="1323">
        <f t="shared" si="34"/>
        <v>9.5934077084965814</v>
      </c>
      <c r="G119" s="1323">
        <f t="shared" si="36"/>
        <v>2014</v>
      </c>
      <c r="H119" s="1323">
        <f t="shared" si="37"/>
        <v>3</v>
      </c>
      <c r="I119" s="1323">
        <f t="shared" si="38"/>
        <v>19</v>
      </c>
      <c r="J119" s="1323"/>
      <c r="K119" s="1323"/>
      <c r="L119" s="1323"/>
      <c r="M119" s="1323"/>
      <c r="N119" s="1323"/>
      <c r="O119" s="1323"/>
      <c r="P119" s="1323"/>
      <c r="Q119" s="1323"/>
      <c r="R119" s="1304"/>
      <c r="S119" s="1304"/>
      <c r="T119" s="1304"/>
    </row>
    <row r="120" spans="1:20">
      <c r="A120" s="1303"/>
      <c r="B120" s="1322" t="s">
        <v>2506</v>
      </c>
      <c r="C120" s="1323" t="s">
        <v>2507</v>
      </c>
      <c r="D120" s="1324">
        <f t="shared" si="33"/>
        <v>41716</v>
      </c>
      <c r="E120" s="1323">
        <f t="shared" si="35"/>
        <v>10.7722</v>
      </c>
      <c r="F120" s="1323">
        <f t="shared" si="34"/>
        <v>9.5915682296580158</v>
      </c>
      <c r="G120" s="1323">
        <f t="shared" si="36"/>
        <v>2014</v>
      </c>
      <c r="H120" s="1323">
        <f t="shared" si="37"/>
        <v>3</v>
      </c>
      <c r="I120" s="1323">
        <f t="shared" si="38"/>
        <v>18</v>
      </c>
      <c r="J120" s="1323"/>
      <c r="K120" s="1323"/>
      <c r="L120" s="1323"/>
      <c r="M120" s="1323"/>
      <c r="N120" s="1323"/>
      <c r="O120" s="1323"/>
      <c r="P120" s="1323"/>
      <c r="Q120" s="1323"/>
      <c r="R120" s="1304"/>
      <c r="S120" s="1304"/>
      <c r="T120" s="1304"/>
    </row>
    <row r="121" spans="1:20">
      <c r="A121" s="1303"/>
      <c r="B121" s="1322" t="s">
        <v>2508</v>
      </c>
      <c r="C121" s="1323" t="s">
        <v>2509</v>
      </c>
      <c r="D121" s="1324">
        <f t="shared" si="33"/>
        <v>41715</v>
      </c>
      <c r="E121" s="1323">
        <f t="shared" si="35"/>
        <v>10.694900000000001</v>
      </c>
      <c r="F121" s="1323">
        <f t="shared" si="34"/>
        <v>9.5897291035285708</v>
      </c>
      <c r="G121" s="1323">
        <f t="shared" si="36"/>
        <v>2014</v>
      </c>
      <c r="H121" s="1323">
        <f t="shared" si="37"/>
        <v>3</v>
      </c>
      <c r="I121" s="1323">
        <f t="shared" si="38"/>
        <v>17</v>
      </c>
      <c r="J121" s="1323"/>
      <c r="K121" s="1323"/>
      <c r="L121" s="1323"/>
      <c r="M121" s="1323"/>
      <c r="N121" s="1323"/>
      <c r="O121" s="1323"/>
      <c r="P121" s="1323"/>
      <c r="Q121" s="1323"/>
      <c r="R121" s="1304"/>
      <c r="S121" s="1304"/>
      <c r="T121" s="1304"/>
    </row>
    <row r="122" spans="1:20">
      <c r="A122" s="1303"/>
      <c r="B122" s="1322" t="s">
        <v>2510</v>
      </c>
      <c r="C122" s="1323" t="s">
        <v>2511</v>
      </c>
      <c r="D122" s="1324">
        <f t="shared" si="33"/>
        <v>41712</v>
      </c>
      <c r="E122" s="1323">
        <f t="shared" si="35"/>
        <v>10.7768</v>
      </c>
      <c r="F122" s="1323">
        <f t="shared" si="34"/>
        <v>9.5878903300406169</v>
      </c>
      <c r="G122" s="1323">
        <f t="shared" si="36"/>
        <v>2014</v>
      </c>
      <c r="H122" s="1323">
        <f t="shared" si="37"/>
        <v>3</v>
      </c>
      <c r="I122" s="1323">
        <f t="shared" si="38"/>
        <v>14</v>
      </c>
      <c r="J122" s="1323"/>
      <c r="K122" s="1323"/>
      <c r="L122" s="1323"/>
      <c r="M122" s="1323"/>
      <c r="N122" s="1323"/>
      <c r="O122" s="1323"/>
      <c r="P122" s="1323"/>
      <c r="Q122" s="1323"/>
      <c r="R122" s="1304"/>
      <c r="S122" s="1304"/>
      <c r="T122" s="1304"/>
    </row>
    <row r="123" spans="1:20">
      <c r="A123" s="1303"/>
      <c r="B123" s="1322" t="s">
        <v>2512</v>
      </c>
      <c r="C123" s="1323" t="s">
        <v>2513</v>
      </c>
      <c r="D123" s="1324">
        <f t="shared" si="33"/>
        <v>41711</v>
      </c>
      <c r="E123" s="1323">
        <f t="shared" si="35"/>
        <v>10.777100000000001</v>
      </c>
      <c r="F123" s="1323">
        <f t="shared" si="34"/>
        <v>9.586051909126537</v>
      </c>
      <c r="G123" s="1323">
        <f t="shared" si="36"/>
        <v>2014</v>
      </c>
      <c r="H123" s="1323">
        <f t="shared" si="37"/>
        <v>3</v>
      </c>
      <c r="I123" s="1323">
        <f t="shared" si="38"/>
        <v>13</v>
      </c>
      <c r="J123" s="1323"/>
      <c r="K123" s="1323"/>
      <c r="L123" s="1323"/>
      <c r="M123" s="1323"/>
      <c r="N123" s="1323"/>
      <c r="O123" s="1323"/>
      <c r="P123" s="1323"/>
      <c r="Q123" s="1323"/>
      <c r="R123" s="1304"/>
      <c r="S123" s="1304"/>
      <c r="T123" s="1304"/>
    </row>
    <row r="124" spans="1:20">
      <c r="A124" s="1303"/>
      <c r="B124" s="1322" t="s">
        <v>2514</v>
      </c>
      <c r="C124" s="1323" t="s">
        <v>2515</v>
      </c>
      <c r="D124" s="1324">
        <f t="shared" si="33"/>
        <v>41710</v>
      </c>
      <c r="E124" s="1323">
        <f t="shared" si="35"/>
        <v>10.9062</v>
      </c>
      <c r="F124" s="1323">
        <f t="shared" si="34"/>
        <v>9.5842138407187285</v>
      </c>
      <c r="G124" s="1323">
        <f t="shared" si="36"/>
        <v>2014</v>
      </c>
      <c r="H124" s="1323">
        <f t="shared" si="37"/>
        <v>3</v>
      </c>
      <c r="I124" s="1323">
        <f t="shared" si="38"/>
        <v>12</v>
      </c>
      <c r="J124" s="1323"/>
      <c r="K124" s="1323"/>
      <c r="L124" s="1323"/>
      <c r="M124" s="1323"/>
      <c r="N124" s="1323"/>
      <c r="O124" s="1323"/>
      <c r="P124" s="1323"/>
      <c r="Q124" s="1323"/>
      <c r="R124" s="1304"/>
      <c r="S124" s="1304"/>
      <c r="T124" s="1304"/>
    </row>
    <row r="125" spans="1:20">
      <c r="A125" s="1303"/>
      <c r="B125" s="1322" t="s">
        <v>2516</v>
      </c>
      <c r="C125" s="1323" t="s">
        <v>2517</v>
      </c>
      <c r="D125" s="1324">
        <f t="shared" si="33"/>
        <v>41709</v>
      </c>
      <c r="E125" s="1323">
        <f t="shared" si="35"/>
        <v>10.7272</v>
      </c>
      <c r="F125" s="1323">
        <f t="shared" si="34"/>
        <v>9.5823761247495973</v>
      </c>
      <c r="G125" s="1323">
        <f t="shared" si="36"/>
        <v>2014</v>
      </c>
      <c r="H125" s="1323">
        <f t="shared" si="37"/>
        <v>3</v>
      </c>
      <c r="I125" s="1323">
        <f t="shared" si="38"/>
        <v>11</v>
      </c>
      <c r="J125" s="1323"/>
      <c r="K125" s="1323"/>
      <c r="L125" s="1323"/>
      <c r="M125" s="1323"/>
      <c r="N125" s="1323"/>
      <c r="O125" s="1323"/>
      <c r="P125" s="1323"/>
      <c r="Q125" s="1323"/>
      <c r="R125" s="1304"/>
      <c r="S125" s="1304"/>
      <c r="T125" s="1304"/>
    </row>
    <row r="126" spans="1:20">
      <c r="A126" s="1303"/>
      <c r="B126" s="1322" t="s">
        <v>2518</v>
      </c>
      <c r="C126" s="1323" t="s">
        <v>2519</v>
      </c>
      <c r="D126" s="1324">
        <f t="shared" si="33"/>
        <v>41708</v>
      </c>
      <c r="E126" s="1323">
        <f t="shared" si="35"/>
        <v>10.7354</v>
      </c>
      <c r="F126" s="1323">
        <f t="shared" si="34"/>
        <v>9.5805387611515673</v>
      </c>
      <c r="G126" s="1323">
        <f t="shared" si="36"/>
        <v>2014</v>
      </c>
      <c r="H126" s="1323">
        <f t="shared" si="37"/>
        <v>3</v>
      </c>
      <c r="I126" s="1323">
        <f t="shared" si="38"/>
        <v>10</v>
      </c>
      <c r="J126" s="1323"/>
      <c r="K126" s="1323"/>
      <c r="L126" s="1323"/>
      <c r="M126" s="1323"/>
      <c r="N126" s="1323"/>
      <c r="O126" s="1323"/>
      <c r="P126" s="1323"/>
      <c r="Q126" s="1323"/>
      <c r="R126" s="1304"/>
      <c r="S126" s="1304"/>
      <c r="T126" s="1304"/>
    </row>
    <row r="127" spans="1:20">
      <c r="A127" s="1303"/>
      <c r="B127" s="1322" t="s">
        <v>2520</v>
      </c>
      <c r="C127" s="1323" t="s">
        <v>2521</v>
      </c>
      <c r="D127" s="1324">
        <f t="shared" si="33"/>
        <v>41705</v>
      </c>
      <c r="E127" s="1323">
        <f t="shared" si="35"/>
        <v>10.6126</v>
      </c>
      <c r="F127" s="1323">
        <f t="shared" si="34"/>
        <v>9.578701749857073</v>
      </c>
      <c r="G127" s="1323">
        <f t="shared" si="36"/>
        <v>2014</v>
      </c>
      <c r="H127" s="1323">
        <f t="shared" si="37"/>
        <v>3</v>
      </c>
      <c r="I127" s="1323">
        <f t="shared" si="38"/>
        <v>7</v>
      </c>
      <c r="J127" s="1323"/>
      <c r="K127" s="1323"/>
      <c r="L127" s="1323"/>
      <c r="M127" s="1323"/>
      <c r="N127" s="1323"/>
      <c r="O127" s="1323"/>
      <c r="P127" s="1323"/>
      <c r="Q127" s="1323"/>
      <c r="R127" s="1304"/>
      <c r="S127" s="1304"/>
      <c r="T127" s="1304"/>
    </row>
    <row r="128" spans="1:20">
      <c r="A128" s="1303"/>
      <c r="B128" s="1322" t="s">
        <v>2522</v>
      </c>
      <c r="C128" s="1323" t="s">
        <v>2523</v>
      </c>
      <c r="D128" s="1324">
        <f t="shared" si="33"/>
        <v>41704</v>
      </c>
      <c r="E128" s="1323">
        <f t="shared" si="35"/>
        <v>10.667999999999999</v>
      </c>
      <c r="F128" s="1323">
        <f t="shared" si="34"/>
        <v>9.5768650907985631</v>
      </c>
      <c r="G128" s="1323">
        <f t="shared" si="36"/>
        <v>2014</v>
      </c>
      <c r="H128" s="1323">
        <f t="shared" si="37"/>
        <v>3</v>
      </c>
      <c r="I128" s="1323">
        <f t="shared" si="38"/>
        <v>6</v>
      </c>
      <c r="J128" s="1323"/>
      <c r="K128" s="1323"/>
      <c r="L128" s="1323"/>
      <c r="M128" s="1323"/>
      <c r="N128" s="1323"/>
      <c r="O128" s="1323"/>
      <c r="P128" s="1323"/>
      <c r="Q128" s="1323"/>
      <c r="R128" s="1304"/>
      <c r="S128" s="1304"/>
      <c r="T128" s="1304"/>
    </row>
    <row r="129" spans="1:20">
      <c r="A129" s="1303"/>
      <c r="B129" s="1322" t="s">
        <v>2524</v>
      </c>
      <c r="C129" s="1323" t="s">
        <v>2525</v>
      </c>
      <c r="D129" s="1324">
        <f t="shared" si="33"/>
        <v>41703</v>
      </c>
      <c r="E129" s="1323">
        <f t="shared" si="35"/>
        <v>10.7554</v>
      </c>
      <c r="F129" s="1323">
        <f t="shared" si="34"/>
        <v>9.5750287839084987</v>
      </c>
      <c r="G129" s="1323">
        <f t="shared" si="36"/>
        <v>2014</v>
      </c>
      <c r="H129" s="1323">
        <f t="shared" si="37"/>
        <v>3</v>
      </c>
      <c r="I129" s="1323">
        <f t="shared" si="38"/>
        <v>5</v>
      </c>
      <c r="J129" s="1323"/>
      <c r="K129" s="1323"/>
      <c r="L129" s="1323"/>
      <c r="M129" s="1323"/>
      <c r="N129" s="1323"/>
      <c r="O129" s="1323"/>
      <c r="P129" s="1323"/>
      <c r="Q129" s="1323"/>
      <c r="R129" s="1304"/>
      <c r="S129" s="1304"/>
      <c r="T129" s="1304"/>
    </row>
    <row r="130" spans="1:20">
      <c r="A130" s="1303"/>
      <c r="B130" s="1322" t="s">
        <v>2526</v>
      </c>
      <c r="C130" s="1323" t="s">
        <v>2527</v>
      </c>
      <c r="D130" s="1324">
        <f t="shared" si="33"/>
        <v>41702</v>
      </c>
      <c r="E130" s="1323">
        <f t="shared" si="35"/>
        <v>10.8299</v>
      </c>
      <c r="F130" s="1323">
        <f t="shared" si="34"/>
        <v>9.5731928291193515</v>
      </c>
      <c r="G130" s="1323">
        <f t="shared" si="36"/>
        <v>2014</v>
      </c>
      <c r="H130" s="1323">
        <f t="shared" si="37"/>
        <v>3</v>
      </c>
      <c r="I130" s="1323">
        <f t="shared" si="38"/>
        <v>4</v>
      </c>
      <c r="J130" s="1323"/>
      <c r="K130" s="1323"/>
      <c r="L130" s="1323"/>
      <c r="M130" s="1323"/>
      <c r="N130" s="1323"/>
      <c r="O130" s="1323"/>
      <c r="P130" s="1323"/>
      <c r="Q130" s="1323"/>
      <c r="R130" s="1304"/>
      <c r="S130" s="1304"/>
      <c r="T130" s="1304"/>
    </row>
    <row r="131" spans="1:20">
      <c r="A131" s="1303"/>
      <c r="B131" s="1322" t="s">
        <v>2528</v>
      </c>
      <c r="C131" s="1323" t="s">
        <v>2529</v>
      </c>
      <c r="D131" s="1324">
        <f t="shared" si="33"/>
        <v>41701</v>
      </c>
      <c r="E131" s="1323">
        <f t="shared" si="35"/>
        <v>10.7799</v>
      </c>
      <c r="F131" s="1323">
        <f t="shared" si="34"/>
        <v>9.5713572263636095</v>
      </c>
      <c r="G131" s="1323">
        <f t="shared" si="36"/>
        <v>2014</v>
      </c>
      <c r="H131" s="1323">
        <f t="shared" si="37"/>
        <v>3</v>
      </c>
      <c r="I131" s="1323">
        <f t="shared" si="38"/>
        <v>3</v>
      </c>
      <c r="J131" s="1323"/>
      <c r="K131" s="1323"/>
      <c r="L131" s="1323"/>
      <c r="M131" s="1323"/>
      <c r="N131" s="1323"/>
      <c r="O131" s="1323"/>
      <c r="P131" s="1323"/>
      <c r="Q131" s="1323"/>
      <c r="R131" s="1304"/>
      <c r="S131" s="1304"/>
      <c r="T131" s="1304"/>
    </row>
    <row r="132" spans="1:20">
      <c r="A132" s="1303"/>
      <c r="B132" s="1322" t="s">
        <v>2530</v>
      </c>
      <c r="C132" s="1323" t="s">
        <v>2531</v>
      </c>
      <c r="D132" s="1324">
        <f t="shared" si="33"/>
        <v>41698</v>
      </c>
      <c r="E132" s="1323">
        <f t="shared" si="35"/>
        <v>10.717499999999999</v>
      </c>
      <c r="F132" s="1323">
        <f t="shared" si="34"/>
        <v>9.5695219755737728</v>
      </c>
      <c r="G132" s="1323">
        <f t="shared" si="36"/>
        <v>2014</v>
      </c>
      <c r="H132" s="1323">
        <f t="shared" si="37"/>
        <v>2</v>
      </c>
      <c r="I132" s="1323">
        <f t="shared" si="38"/>
        <v>28</v>
      </c>
      <c r="J132" s="1323"/>
      <c r="K132" s="1323"/>
      <c r="L132" s="1323"/>
      <c r="M132" s="1323"/>
      <c r="N132" s="1323"/>
      <c r="O132" s="1323"/>
      <c r="P132" s="1323"/>
      <c r="Q132" s="1323"/>
      <c r="R132" s="1304"/>
      <c r="S132" s="1304"/>
      <c r="T132" s="1304"/>
    </row>
    <row r="133" spans="1:20">
      <c r="A133" s="1303"/>
      <c r="B133" s="1322" t="s">
        <v>2532</v>
      </c>
      <c r="C133" s="1323" t="s">
        <v>2533</v>
      </c>
      <c r="D133" s="1324">
        <f t="shared" si="33"/>
        <v>41697</v>
      </c>
      <c r="E133" s="1323">
        <f t="shared" si="35"/>
        <v>10.8085</v>
      </c>
      <c r="F133" s="1323">
        <f t="shared" si="34"/>
        <v>9.5676870766823541</v>
      </c>
      <c r="G133" s="1323">
        <f t="shared" si="36"/>
        <v>2014</v>
      </c>
      <c r="H133" s="1323">
        <f t="shared" si="37"/>
        <v>2</v>
      </c>
      <c r="I133" s="1323">
        <f t="shared" si="38"/>
        <v>27</v>
      </c>
      <c r="J133" s="1323"/>
      <c r="K133" s="1323"/>
      <c r="L133" s="1323"/>
      <c r="M133" s="1323"/>
      <c r="N133" s="1323"/>
      <c r="O133" s="1323"/>
      <c r="P133" s="1323"/>
      <c r="Q133" s="1323"/>
      <c r="R133" s="1304"/>
      <c r="S133" s="1304"/>
      <c r="T133" s="1304"/>
    </row>
    <row r="134" spans="1:20">
      <c r="A134" s="1303"/>
      <c r="B134" s="1322" t="s">
        <v>2534</v>
      </c>
      <c r="C134" s="1323" t="s">
        <v>2535</v>
      </c>
      <c r="D134" s="1324">
        <f t="shared" si="33"/>
        <v>41696</v>
      </c>
      <c r="E134" s="1323">
        <f t="shared" si="35"/>
        <v>10.7483</v>
      </c>
      <c r="F134" s="1323">
        <f t="shared" si="34"/>
        <v>9.5658525296218784</v>
      </c>
      <c r="G134" s="1323">
        <f t="shared" si="36"/>
        <v>2014</v>
      </c>
      <c r="H134" s="1323">
        <f t="shared" si="37"/>
        <v>2</v>
      </c>
      <c r="I134" s="1323">
        <f t="shared" si="38"/>
        <v>26</v>
      </c>
      <c r="J134" s="1323"/>
      <c r="K134" s="1323"/>
      <c r="L134" s="1323"/>
      <c r="M134" s="1323"/>
      <c r="N134" s="1323"/>
      <c r="O134" s="1323"/>
      <c r="P134" s="1323"/>
      <c r="Q134" s="1323"/>
      <c r="R134" s="1304"/>
      <c r="S134" s="1304"/>
      <c r="T134" s="1304"/>
    </row>
    <row r="135" spans="1:20">
      <c r="A135" s="1303"/>
      <c r="B135" s="1322" t="s">
        <v>2536</v>
      </c>
      <c r="C135" s="1323" t="s">
        <v>2537</v>
      </c>
      <c r="D135" s="1324">
        <f t="shared" si="33"/>
        <v>41695</v>
      </c>
      <c r="E135" s="1323">
        <f t="shared" si="35"/>
        <v>10.8308</v>
      </c>
      <c r="F135" s="1323">
        <f t="shared" si="34"/>
        <v>9.564018334324885</v>
      </c>
      <c r="G135" s="1323">
        <f t="shared" si="36"/>
        <v>2014</v>
      </c>
      <c r="H135" s="1323">
        <f t="shared" si="37"/>
        <v>2</v>
      </c>
      <c r="I135" s="1323">
        <f t="shared" si="38"/>
        <v>25</v>
      </c>
      <c r="J135" s="1323"/>
      <c r="K135" s="1323"/>
      <c r="L135" s="1323"/>
      <c r="M135" s="1323"/>
      <c r="N135" s="1323"/>
      <c r="O135" s="1323"/>
      <c r="P135" s="1323"/>
      <c r="Q135" s="1323"/>
      <c r="R135" s="1304"/>
      <c r="S135" s="1304"/>
      <c r="T135" s="1304"/>
    </row>
    <row r="136" spans="1:20">
      <c r="A136" s="1303"/>
      <c r="B136" s="1322" t="s">
        <v>2538</v>
      </c>
      <c r="C136" s="1323" t="s">
        <v>2539</v>
      </c>
      <c r="D136" s="1324">
        <f t="shared" si="33"/>
        <v>41694</v>
      </c>
      <c r="E136" s="1323">
        <f t="shared" si="35"/>
        <v>10.9475</v>
      </c>
      <c r="F136" s="1323">
        <f t="shared" si="34"/>
        <v>9.562184490723924</v>
      </c>
      <c r="G136" s="1323">
        <f t="shared" si="36"/>
        <v>2014</v>
      </c>
      <c r="H136" s="1323">
        <f t="shared" si="37"/>
        <v>2</v>
      </c>
      <c r="I136" s="1323">
        <f t="shared" si="38"/>
        <v>24</v>
      </c>
      <c r="J136" s="1323"/>
      <c r="K136" s="1323"/>
      <c r="L136" s="1323"/>
      <c r="M136" s="1323"/>
      <c r="N136" s="1323"/>
      <c r="O136" s="1323"/>
      <c r="P136" s="1323"/>
      <c r="Q136" s="1323"/>
      <c r="R136" s="1304"/>
      <c r="S136" s="1304"/>
      <c r="T136" s="1304"/>
    </row>
    <row r="137" spans="1:20">
      <c r="A137" s="1303"/>
      <c r="B137" s="1322" t="s">
        <v>2540</v>
      </c>
      <c r="C137" s="1323" t="s">
        <v>2541</v>
      </c>
      <c r="D137" s="1324">
        <f t="shared" ref="D137:D200" si="42">DATE(G137,H137,I137)</f>
        <v>41691</v>
      </c>
      <c r="E137" s="1323">
        <f t="shared" si="35"/>
        <v>11.027200000000001</v>
      </c>
      <c r="F137" s="1323">
        <f t="shared" ref="F137:F200" si="43">F138*(1+$F$7/365)</f>
        <v>9.5603509987515611</v>
      </c>
      <c r="G137" s="1323">
        <f t="shared" si="36"/>
        <v>2014</v>
      </c>
      <c r="H137" s="1323">
        <f t="shared" si="37"/>
        <v>2</v>
      </c>
      <c r="I137" s="1323">
        <f t="shared" si="38"/>
        <v>21</v>
      </c>
      <c r="J137" s="1323"/>
      <c r="K137" s="1323"/>
      <c r="L137" s="1323"/>
      <c r="M137" s="1323"/>
      <c r="N137" s="1323"/>
      <c r="O137" s="1323"/>
      <c r="P137" s="1323"/>
      <c r="Q137" s="1323"/>
      <c r="R137" s="1304"/>
      <c r="S137" s="1304"/>
      <c r="T137" s="1304"/>
    </row>
    <row r="138" spans="1:20">
      <c r="A138" s="1303"/>
      <c r="B138" s="1322" t="s">
        <v>2542</v>
      </c>
      <c r="C138" s="1323" t="s">
        <v>2543</v>
      </c>
      <c r="D138" s="1324">
        <f t="shared" si="42"/>
        <v>41690</v>
      </c>
      <c r="E138" s="1323">
        <f t="shared" si="35"/>
        <v>11.0848</v>
      </c>
      <c r="F138" s="1323">
        <f t="shared" si="43"/>
        <v>9.5585178583403714</v>
      </c>
      <c r="G138" s="1323">
        <f t="shared" si="36"/>
        <v>2014</v>
      </c>
      <c r="H138" s="1323">
        <f t="shared" si="37"/>
        <v>2</v>
      </c>
      <c r="I138" s="1323">
        <f t="shared" si="38"/>
        <v>20</v>
      </c>
      <c r="J138" s="1323"/>
      <c r="K138" s="1323"/>
      <c r="L138" s="1323"/>
      <c r="M138" s="1323"/>
      <c r="N138" s="1323"/>
      <c r="O138" s="1323"/>
      <c r="P138" s="1323"/>
      <c r="Q138" s="1323"/>
      <c r="R138" s="1304"/>
      <c r="S138" s="1304"/>
      <c r="T138" s="1304"/>
    </row>
    <row r="139" spans="1:20">
      <c r="A139" s="1303"/>
      <c r="B139" s="1322" t="s">
        <v>2544</v>
      </c>
      <c r="C139" s="1323" t="s">
        <v>2545</v>
      </c>
      <c r="D139" s="1324">
        <f t="shared" si="42"/>
        <v>41689</v>
      </c>
      <c r="E139" s="1323">
        <f t="shared" si="35"/>
        <v>10.9376</v>
      </c>
      <c r="F139" s="1323">
        <f t="shared" si="43"/>
        <v>9.5566850694229473</v>
      </c>
      <c r="G139" s="1323">
        <f t="shared" si="36"/>
        <v>2014</v>
      </c>
      <c r="H139" s="1323">
        <f t="shared" si="37"/>
        <v>2</v>
      </c>
      <c r="I139" s="1323">
        <f t="shared" si="38"/>
        <v>19</v>
      </c>
      <c r="J139" s="1323"/>
      <c r="K139" s="1323"/>
      <c r="L139" s="1323"/>
      <c r="M139" s="1323"/>
      <c r="N139" s="1323"/>
      <c r="O139" s="1323"/>
      <c r="P139" s="1323"/>
      <c r="Q139" s="1323"/>
      <c r="R139" s="1304"/>
      <c r="S139" s="1304"/>
      <c r="T139" s="1304"/>
    </row>
    <row r="140" spans="1:20">
      <c r="A140" s="1303"/>
      <c r="B140" s="1322" t="s">
        <v>2546</v>
      </c>
      <c r="C140" s="1323" t="s">
        <v>2547</v>
      </c>
      <c r="D140" s="1324">
        <f t="shared" si="42"/>
        <v>41688</v>
      </c>
      <c r="E140" s="1323">
        <f t="shared" si="35"/>
        <v>10.876099999999999</v>
      </c>
      <c r="F140" s="1323">
        <f t="shared" si="43"/>
        <v>9.554852631931892</v>
      </c>
      <c r="G140" s="1323">
        <f t="shared" si="36"/>
        <v>2014</v>
      </c>
      <c r="H140" s="1323">
        <f t="shared" si="37"/>
        <v>2</v>
      </c>
      <c r="I140" s="1323">
        <f t="shared" si="38"/>
        <v>18</v>
      </c>
      <c r="J140" s="1323"/>
      <c r="K140" s="1323"/>
      <c r="L140" s="1323"/>
      <c r="M140" s="1323"/>
      <c r="N140" s="1323"/>
      <c r="O140" s="1323"/>
      <c r="P140" s="1323"/>
      <c r="Q140" s="1323"/>
      <c r="R140" s="1304"/>
      <c r="S140" s="1304"/>
      <c r="T140" s="1304"/>
    </row>
    <row r="141" spans="1:20">
      <c r="A141" s="1303"/>
      <c r="B141" s="1322" t="s">
        <v>2548</v>
      </c>
      <c r="C141" s="1323" t="s">
        <v>2549</v>
      </c>
      <c r="D141" s="1324">
        <f t="shared" si="42"/>
        <v>41687</v>
      </c>
      <c r="E141" s="1323">
        <f t="shared" si="35"/>
        <v>10.852399999999999</v>
      </c>
      <c r="F141" s="1323">
        <f t="shared" si="43"/>
        <v>9.5530205457998214</v>
      </c>
      <c r="G141" s="1323">
        <f t="shared" si="36"/>
        <v>2014</v>
      </c>
      <c r="H141" s="1323">
        <f t="shared" si="37"/>
        <v>2</v>
      </c>
      <c r="I141" s="1323">
        <f t="shared" si="38"/>
        <v>17</v>
      </c>
      <c r="J141" s="1323"/>
      <c r="K141" s="1323"/>
      <c r="L141" s="1323"/>
      <c r="M141" s="1323"/>
      <c r="N141" s="1323"/>
      <c r="O141" s="1323"/>
      <c r="P141" s="1323"/>
      <c r="Q141" s="1323"/>
      <c r="R141" s="1304"/>
      <c r="S141" s="1304"/>
      <c r="T141" s="1304"/>
    </row>
    <row r="142" spans="1:20">
      <c r="A142" s="1303"/>
      <c r="B142" s="1322" t="s">
        <v>2550</v>
      </c>
      <c r="C142" s="1323" t="s">
        <v>2551</v>
      </c>
      <c r="D142" s="1324">
        <f t="shared" si="42"/>
        <v>41684</v>
      </c>
      <c r="E142" s="1323">
        <f t="shared" si="35"/>
        <v>10.9946</v>
      </c>
      <c r="F142" s="1323">
        <f t="shared" si="43"/>
        <v>9.5511888109593635</v>
      </c>
      <c r="G142" s="1323">
        <f t="shared" si="36"/>
        <v>2014</v>
      </c>
      <c r="H142" s="1323">
        <f t="shared" si="37"/>
        <v>2</v>
      </c>
      <c r="I142" s="1323">
        <f t="shared" si="38"/>
        <v>14</v>
      </c>
      <c r="J142" s="1323"/>
      <c r="K142" s="1323"/>
      <c r="L142" s="1323"/>
      <c r="M142" s="1323"/>
      <c r="N142" s="1323"/>
      <c r="O142" s="1323"/>
      <c r="P142" s="1323"/>
      <c r="Q142" s="1323"/>
      <c r="R142" s="1304"/>
      <c r="S142" s="1304"/>
      <c r="T142" s="1304"/>
    </row>
    <row r="143" spans="1:20">
      <c r="A143" s="1303"/>
      <c r="B143" s="1322" t="s">
        <v>2552</v>
      </c>
      <c r="C143" s="1323" t="s">
        <v>2553</v>
      </c>
      <c r="D143" s="1324">
        <f t="shared" si="42"/>
        <v>41683</v>
      </c>
      <c r="E143" s="1323">
        <f t="shared" si="35"/>
        <v>11.0495</v>
      </c>
      <c r="F143" s="1323">
        <f t="shared" si="43"/>
        <v>9.5493574273431605</v>
      </c>
      <c r="G143" s="1323">
        <f t="shared" si="36"/>
        <v>2014</v>
      </c>
      <c r="H143" s="1323">
        <f t="shared" si="37"/>
        <v>2</v>
      </c>
      <c r="I143" s="1323">
        <f t="shared" si="38"/>
        <v>13</v>
      </c>
      <c r="J143" s="1323"/>
      <c r="K143" s="1323"/>
      <c r="L143" s="1323"/>
      <c r="M143" s="1323"/>
      <c r="N143" s="1323"/>
      <c r="O143" s="1323"/>
      <c r="P143" s="1323"/>
      <c r="Q143" s="1323"/>
      <c r="R143" s="1304"/>
      <c r="S143" s="1304"/>
      <c r="T143" s="1304"/>
    </row>
    <row r="144" spans="1:20">
      <c r="A144" s="1303"/>
      <c r="B144" s="1322" t="s">
        <v>2554</v>
      </c>
      <c r="C144" s="1323" t="s">
        <v>2555</v>
      </c>
      <c r="D144" s="1324">
        <f t="shared" si="42"/>
        <v>41682</v>
      </c>
      <c r="E144" s="1323">
        <f t="shared" si="35"/>
        <v>10.949199999999999</v>
      </c>
      <c r="F144" s="1323">
        <f t="shared" si="43"/>
        <v>9.5475263948838673</v>
      </c>
      <c r="G144" s="1323">
        <f t="shared" si="36"/>
        <v>2014</v>
      </c>
      <c r="H144" s="1323">
        <f t="shared" si="37"/>
        <v>2</v>
      </c>
      <c r="I144" s="1323">
        <f t="shared" si="38"/>
        <v>12</v>
      </c>
      <c r="J144" s="1323"/>
      <c r="K144" s="1323"/>
      <c r="L144" s="1323"/>
      <c r="M144" s="1323"/>
      <c r="N144" s="1323"/>
      <c r="O144" s="1323"/>
      <c r="P144" s="1323"/>
      <c r="Q144" s="1323"/>
      <c r="R144" s="1304"/>
      <c r="S144" s="1304"/>
      <c r="T144" s="1304"/>
    </row>
    <row r="145" spans="1:20">
      <c r="A145" s="1303"/>
      <c r="B145" s="1322" t="s">
        <v>2556</v>
      </c>
      <c r="C145" s="1323" t="s">
        <v>2557</v>
      </c>
      <c r="D145" s="1324">
        <f t="shared" si="42"/>
        <v>41681</v>
      </c>
      <c r="E145" s="1323">
        <f t="shared" si="35"/>
        <v>11.125299999999999</v>
      </c>
      <c r="F145" s="1323">
        <f t="shared" si="43"/>
        <v>9.5456957135141511</v>
      </c>
      <c r="G145" s="1323">
        <f t="shared" si="36"/>
        <v>2014</v>
      </c>
      <c r="H145" s="1323">
        <f t="shared" si="37"/>
        <v>2</v>
      </c>
      <c r="I145" s="1323">
        <f t="shared" si="38"/>
        <v>11</v>
      </c>
      <c r="J145" s="1323"/>
      <c r="K145" s="1323"/>
      <c r="L145" s="1323"/>
      <c r="M145" s="1323"/>
      <c r="N145" s="1323"/>
      <c r="O145" s="1323"/>
      <c r="P145" s="1323"/>
      <c r="Q145" s="1323"/>
      <c r="R145" s="1304"/>
      <c r="S145" s="1304"/>
      <c r="T145" s="1304"/>
    </row>
    <row r="146" spans="1:20">
      <c r="A146" s="1303"/>
      <c r="B146" s="1322" t="s">
        <v>2558</v>
      </c>
      <c r="C146" s="1323" t="s">
        <v>2559</v>
      </c>
      <c r="D146" s="1324">
        <f t="shared" si="42"/>
        <v>41680</v>
      </c>
      <c r="E146" s="1323">
        <f t="shared" si="35"/>
        <v>11.1395</v>
      </c>
      <c r="F146" s="1323">
        <f t="shared" si="43"/>
        <v>9.5438653831666933</v>
      </c>
      <c r="G146" s="1323">
        <f t="shared" si="36"/>
        <v>2014</v>
      </c>
      <c r="H146" s="1323">
        <f t="shared" si="37"/>
        <v>2</v>
      </c>
      <c r="I146" s="1323">
        <f t="shared" si="38"/>
        <v>10</v>
      </c>
      <c r="J146" s="1323"/>
      <c r="K146" s="1323"/>
      <c r="L146" s="1323"/>
      <c r="M146" s="1323"/>
      <c r="N146" s="1323"/>
      <c r="O146" s="1323"/>
      <c r="P146" s="1323"/>
      <c r="Q146" s="1323"/>
      <c r="R146" s="1304"/>
      <c r="S146" s="1304"/>
      <c r="T146" s="1304"/>
    </row>
    <row r="147" spans="1:20">
      <c r="A147" s="1303"/>
      <c r="B147" s="1322" t="s">
        <v>2560</v>
      </c>
      <c r="C147" s="1323" t="s">
        <v>2561</v>
      </c>
      <c r="D147" s="1324">
        <f t="shared" si="42"/>
        <v>41677</v>
      </c>
      <c r="E147" s="1323">
        <f t="shared" si="35"/>
        <v>11.041</v>
      </c>
      <c r="F147" s="1323">
        <f t="shared" si="43"/>
        <v>9.5420354037741877</v>
      </c>
      <c r="G147" s="1323">
        <f t="shared" si="36"/>
        <v>2014</v>
      </c>
      <c r="H147" s="1323">
        <f t="shared" si="37"/>
        <v>2</v>
      </c>
      <c r="I147" s="1323">
        <f t="shared" si="38"/>
        <v>7</v>
      </c>
      <c r="J147" s="1323"/>
      <c r="K147" s="1323"/>
      <c r="L147" s="1323"/>
      <c r="M147" s="1323"/>
      <c r="N147" s="1323"/>
      <c r="O147" s="1323"/>
      <c r="P147" s="1323"/>
      <c r="Q147" s="1323"/>
      <c r="R147" s="1304"/>
      <c r="S147" s="1304"/>
      <c r="T147" s="1304"/>
    </row>
    <row r="148" spans="1:20">
      <c r="A148" s="1303"/>
      <c r="B148" s="1322" t="s">
        <v>2562</v>
      </c>
      <c r="C148" s="1323" t="s">
        <v>2563</v>
      </c>
      <c r="D148" s="1324">
        <f t="shared" si="42"/>
        <v>41676</v>
      </c>
      <c r="E148" s="1323">
        <f t="shared" si="35"/>
        <v>11.142799999999999</v>
      </c>
      <c r="F148" s="1323">
        <f t="shared" si="43"/>
        <v>9.5402057752693405</v>
      </c>
      <c r="G148" s="1323">
        <f t="shared" si="36"/>
        <v>2014</v>
      </c>
      <c r="H148" s="1323">
        <f t="shared" si="37"/>
        <v>2</v>
      </c>
      <c r="I148" s="1323">
        <f t="shared" si="38"/>
        <v>6</v>
      </c>
      <c r="J148" s="1323"/>
      <c r="K148" s="1323"/>
      <c r="L148" s="1323"/>
      <c r="M148" s="1323"/>
      <c r="N148" s="1323"/>
      <c r="O148" s="1323"/>
      <c r="P148" s="1323"/>
      <c r="Q148" s="1323"/>
      <c r="R148" s="1304"/>
      <c r="S148" s="1304"/>
      <c r="T148" s="1304"/>
    </row>
    <row r="149" spans="1:20">
      <c r="A149" s="1303"/>
      <c r="B149" s="1322" t="s">
        <v>2564</v>
      </c>
      <c r="C149" s="1323" t="s">
        <v>2565</v>
      </c>
      <c r="D149" s="1324">
        <f t="shared" si="42"/>
        <v>41675</v>
      </c>
      <c r="E149" s="1323">
        <f t="shared" si="35"/>
        <v>11.123799999999999</v>
      </c>
      <c r="F149" s="1323">
        <f t="shared" si="43"/>
        <v>9.5383764975848724</v>
      </c>
      <c r="G149" s="1323">
        <f t="shared" si="36"/>
        <v>2014</v>
      </c>
      <c r="H149" s="1323">
        <f t="shared" si="37"/>
        <v>2</v>
      </c>
      <c r="I149" s="1323">
        <f t="shared" si="38"/>
        <v>5</v>
      </c>
      <c r="J149" s="1323"/>
      <c r="K149" s="1323"/>
      <c r="L149" s="1323"/>
      <c r="M149" s="1323"/>
      <c r="N149" s="1323"/>
      <c r="O149" s="1323"/>
      <c r="P149" s="1323"/>
      <c r="Q149" s="1323"/>
      <c r="R149" s="1304"/>
      <c r="S149" s="1304"/>
      <c r="T149" s="1304"/>
    </row>
    <row r="150" spans="1:20">
      <c r="A150" s="1303"/>
      <c r="B150" s="1322" t="s">
        <v>2566</v>
      </c>
      <c r="C150" s="1323" t="s">
        <v>2567</v>
      </c>
      <c r="D150" s="1324">
        <f t="shared" si="42"/>
        <v>41674</v>
      </c>
      <c r="E150" s="1323">
        <f t="shared" ref="E150:E213" si="44">VALUE(C151)</f>
        <v>11.180400000000001</v>
      </c>
      <c r="F150" s="1323">
        <f t="shared" si="43"/>
        <v>9.5365475706535143</v>
      </c>
      <c r="G150" s="1323">
        <f t="shared" ref="G150:G213" si="45">YEAR(B151)</f>
        <v>2014</v>
      </c>
      <c r="H150" s="1323">
        <f t="shared" ref="H150:H213" si="46">MONTH(B151)</f>
        <v>2</v>
      </c>
      <c r="I150" s="1323">
        <f t="shared" ref="I150:I213" si="47">DAY(B151)</f>
        <v>4</v>
      </c>
      <c r="J150" s="1323"/>
      <c r="K150" s="1323"/>
      <c r="L150" s="1323"/>
      <c r="M150" s="1323"/>
      <c r="N150" s="1323"/>
      <c r="O150" s="1323"/>
      <c r="P150" s="1323"/>
      <c r="Q150" s="1323"/>
      <c r="R150" s="1304"/>
      <c r="S150" s="1304"/>
      <c r="T150" s="1304"/>
    </row>
    <row r="151" spans="1:20">
      <c r="A151" s="1303"/>
      <c r="B151" s="1322" t="s">
        <v>2568</v>
      </c>
      <c r="C151" s="1323" t="s">
        <v>2569</v>
      </c>
      <c r="D151" s="1324">
        <f t="shared" si="42"/>
        <v>41673</v>
      </c>
      <c r="E151" s="1323">
        <f t="shared" si="44"/>
        <v>11.155799999999999</v>
      </c>
      <c r="F151" s="1323">
        <f t="shared" si="43"/>
        <v>9.5347189944080117</v>
      </c>
      <c r="G151" s="1323">
        <f t="shared" si="45"/>
        <v>2014</v>
      </c>
      <c r="H151" s="1323">
        <f t="shared" si="46"/>
        <v>2</v>
      </c>
      <c r="I151" s="1323">
        <f t="shared" si="47"/>
        <v>3</v>
      </c>
      <c r="J151" s="1323"/>
      <c r="K151" s="1323"/>
      <c r="L151" s="1323"/>
      <c r="M151" s="1323"/>
      <c r="N151" s="1323"/>
      <c r="O151" s="1323"/>
      <c r="P151" s="1323"/>
      <c r="Q151" s="1323"/>
      <c r="R151" s="1304"/>
      <c r="S151" s="1304"/>
      <c r="T151" s="1304"/>
    </row>
    <row r="152" spans="1:20">
      <c r="A152" s="1303"/>
      <c r="B152" s="1322" t="s">
        <v>2570</v>
      </c>
      <c r="C152" s="1323" t="s">
        <v>2571</v>
      </c>
      <c r="D152" s="1324">
        <f t="shared" si="42"/>
        <v>41670</v>
      </c>
      <c r="E152" s="1323">
        <f t="shared" si="44"/>
        <v>11.1715</v>
      </c>
      <c r="F152" s="1323">
        <f t="shared" si="43"/>
        <v>9.5328907687811224</v>
      </c>
      <c r="G152" s="1323">
        <f t="shared" si="45"/>
        <v>2014</v>
      </c>
      <c r="H152" s="1323">
        <f t="shared" si="46"/>
        <v>1</v>
      </c>
      <c r="I152" s="1323">
        <f t="shared" si="47"/>
        <v>31</v>
      </c>
      <c r="J152" s="1323"/>
      <c r="K152" s="1323"/>
      <c r="L152" s="1323"/>
      <c r="M152" s="1323"/>
      <c r="N152" s="1323"/>
      <c r="O152" s="1323"/>
      <c r="P152" s="1323"/>
      <c r="Q152" s="1323"/>
      <c r="R152" s="1304"/>
      <c r="S152" s="1304"/>
      <c r="T152" s="1304"/>
    </row>
    <row r="153" spans="1:20">
      <c r="A153" s="1303"/>
      <c r="B153" s="1322" t="s">
        <v>2572</v>
      </c>
      <c r="C153" s="1323" t="s">
        <v>2573</v>
      </c>
      <c r="D153" s="1324">
        <f t="shared" si="42"/>
        <v>41669</v>
      </c>
      <c r="E153" s="1323">
        <f t="shared" si="44"/>
        <v>11.3573</v>
      </c>
      <c r="F153" s="1323">
        <f t="shared" si="43"/>
        <v>9.5310628937056165</v>
      </c>
      <c r="G153" s="1323">
        <f t="shared" si="45"/>
        <v>2014</v>
      </c>
      <c r="H153" s="1323">
        <f t="shared" si="46"/>
        <v>1</v>
      </c>
      <c r="I153" s="1323">
        <f t="shared" si="47"/>
        <v>30</v>
      </c>
      <c r="J153" s="1323"/>
      <c r="K153" s="1323"/>
      <c r="L153" s="1323"/>
      <c r="M153" s="1323"/>
      <c r="N153" s="1323"/>
      <c r="O153" s="1323"/>
      <c r="P153" s="1323"/>
      <c r="Q153" s="1323"/>
      <c r="R153" s="1304"/>
      <c r="S153" s="1304"/>
      <c r="T153" s="1304"/>
    </row>
    <row r="154" spans="1:20">
      <c r="A154" s="1303"/>
      <c r="B154" s="1322" t="s">
        <v>2574</v>
      </c>
      <c r="C154" s="1323" t="s">
        <v>2575</v>
      </c>
      <c r="D154" s="1324">
        <f t="shared" si="42"/>
        <v>41668</v>
      </c>
      <c r="E154" s="1323">
        <f t="shared" si="44"/>
        <v>10.9749</v>
      </c>
      <c r="F154" s="1323">
        <f t="shared" si="43"/>
        <v>9.5292353691142786</v>
      </c>
      <c r="G154" s="1323">
        <f t="shared" si="45"/>
        <v>2014</v>
      </c>
      <c r="H154" s="1323">
        <f t="shared" si="46"/>
        <v>1</v>
      </c>
      <c r="I154" s="1323">
        <f t="shared" si="47"/>
        <v>29</v>
      </c>
      <c r="J154" s="1323"/>
      <c r="K154" s="1323"/>
      <c r="L154" s="1323"/>
      <c r="M154" s="1323"/>
      <c r="N154" s="1323"/>
      <c r="O154" s="1323"/>
      <c r="P154" s="1323"/>
      <c r="Q154" s="1323"/>
      <c r="R154" s="1304"/>
      <c r="S154" s="1304"/>
      <c r="T154" s="1304"/>
    </row>
    <row r="155" spans="1:20">
      <c r="A155" s="1303"/>
      <c r="B155" s="1322" t="s">
        <v>2576</v>
      </c>
      <c r="C155" s="1323" t="s">
        <v>2577</v>
      </c>
      <c r="D155" s="1324">
        <f t="shared" si="42"/>
        <v>41667</v>
      </c>
      <c r="E155" s="1323">
        <f t="shared" si="44"/>
        <v>11.0593</v>
      </c>
      <c r="F155" s="1323">
        <f t="shared" si="43"/>
        <v>9.5274081949399054</v>
      </c>
      <c r="G155" s="1323">
        <f t="shared" si="45"/>
        <v>2014</v>
      </c>
      <c r="H155" s="1323">
        <f t="shared" si="46"/>
        <v>1</v>
      </c>
      <c r="I155" s="1323">
        <f t="shared" si="47"/>
        <v>28</v>
      </c>
      <c r="J155" s="1323"/>
      <c r="K155" s="1323"/>
      <c r="L155" s="1323"/>
      <c r="M155" s="1323"/>
      <c r="N155" s="1323"/>
      <c r="O155" s="1323"/>
      <c r="P155" s="1323"/>
      <c r="Q155" s="1323"/>
      <c r="R155" s="1304"/>
      <c r="S155" s="1304"/>
      <c r="T155" s="1304"/>
    </row>
    <row r="156" spans="1:20">
      <c r="A156" s="1303"/>
      <c r="B156" s="1322" t="s">
        <v>2578</v>
      </c>
      <c r="C156" s="1323" t="s">
        <v>2579</v>
      </c>
      <c r="D156" s="1324">
        <f t="shared" si="42"/>
        <v>41666</v>
      </c>
      <c r="E156" s="1323">
        <f t="shared" si="44"/>
        <v>11.193899999999999</v>
      </c>
      <c r="F156" s="1323">
        <f t="shared" si="43"/>
        <v>9.5255813711153081</v>
      </c>
      <c r="G156" s="1323">
        <f t="shared" si="45"/>
        <v>2014</v>
      </c>
      <c r="H156" s="1323">
        <f t="shared" si="46"/>
        <v>1</v>
      </c>
      <c r="I156" s="1323">
        <f t="shared" si="47"/>
        <v>27</v>
      </c>
      <c r="J156" s="1323"/>
      <c r="K156" s="1323"/>
      <c r="L156" s="1323"/>
      <c r="M156" s="1323"/>
      <c r="N156" s="1323"/>
      <c r="O156" s="1323"/>
      <c r="P156" s="1323"/>
      <c r="Q156" s="1323"/>
      <c r="R156" s="1304"/>
      <c r="S156" s="1304"/>
      <c r="T156" s="1304"/>
    </row>
    <row r="157" spans="1:20">
      <c r="A157" s="1303"/>
      <c r="B157" s="1322" t="s">
        <v>2580</v>
      </c>
      <c r="C157" s="1323" t="s">
        <v>2581</v>
      </c>
      <c r="D157" s="1324">
        <f t="shared" si="42"/>
        <v>41663</v>
      </c>
      <c r="E157" s="1323">
        <f t="shared" si="44"/>
        <v>11.011799999999999</v>
      </c>
      <c r="F157" s="1323">
        <f t="shared" si="43"/>
        <v>9.5237548975733066</v>
      </c>
      <c r="G157" s="1323">
        <f t="shared" si="45"/>
        <v>2014</v>
      </c>
      <c r="H157" s="1323">
        <f t="shared" si="46"/>
        <v>1</v>
      </c>
      <c r="I157" s="1323">
        <f t="shared" si="47"/>
        <v>24</v>
      </c>
      <c r="J157" s="1323"/>
      <c r="K157" s="1323"/>
      <c r="L157" s="1323"/>
      <c r="M157" s="1323"/>
      <c r="N157" s="1323"/>
      <c r="O157" s="1323"/>
      <c r="P157" s="1323"/>
      <c r="Q157" s="1323"/>
      <c r="R157" s="1304"/>
      <c r="S157" s="1304"/>
      <c r="T157" s="1304"/>
    </row>
    <row r="158" spans="1:20">
      <c r="A158" s="1303"/>
      <c r="B158" s="1322" t="s">
        <v>2582</v>
      </c>
      <c r="C158" s="1323" t="s">
        <v>2583</v>
      </c>
      <c r="D158" s="1324">
        <f t="shared" si="42"/>
        <v>41662</v>
      </c>
      <c r="E158" s="1323">
        <f t="shared" si="44"/>
        <v>10.9175</v>
      </c>
      <c r="F158" s="1323">
        <f t="shared" si="43"/>
        <v>9.5219287742467387</v>
      </c>
      <c r="G158" s="1323">
        <f t="shared" si="45"/>
        <v>2014</v>
      </c>
      <c r="H158" s="1323">
        <f t="shared" si="46"/>
        <v>1</v>
      </c>
      <c r="I158" s="1323">
        <f t="shared" si="47"/>
        <v>23</v>
      </c>
      <c r="J158" s="1323"/>
      <c r="K158" s="1323"/>
      <c r="L158" s="1323"/>
      <c r="M158" s="1323"/>
      <c r="N158" s="1323"/>
      <c r="O158" s="1323"/>
      <c r="P158" s="1323"/>
      <c r="Q158" s="1323"/>
      <c r="R158" s="1304"/>
      <c r="S158" s="1304"/>
      <c r="T158" s="1304"/>
    </row>
    <row r="159" spans="1:20">
      <c r="A159" s="1303"/>
      <c r="B159" s="1322" t="s">
        <v>2584</v>
      </c>
      <c r="C159" s="1323" t="s">
        <v>2585</v>
      </c>
      <c r="D159" s="1324">
        <f t="shared" si="42"/>
        <v>41661</v>
      </c>
      <c r="E159" s="1323">
        <f t="shared" si="44"/>
        <v>10.8085</v>
      </c>
      <c r="F159" s="1323">
        <f t="shared" si="43"/>
        <v>9.5201030010684509</v>
      </c>
      <c r="G159" s="1323">
        <f t="shared" si="45"/>
        <v>2014</v>
      </c>
      <c r="H159" s="1323">
        <f t="shared" si="46"/>
        <v>1</v>
      </c>
      <c r="I159" s="1323">
        <f t="shared" si="47"/>
        <v>22</v>
      </c>
      <c r="J159" s="1323"/>
      <c r="K159" s="1323"/>
      <c r="L159" s="1323"/>
      <c r="M159" s="1323"/>
      <c r="N159" s="1323"/>
      <c r="O159" s="1323"/>
      <c r="P159" s="1323"/>
      <c r="Q159" s="1323"/>
      <c r="R159" s="1304"/>
      <c r="S159" s="1304"/>
      <c r="T159" s="1304"/>
    </row>
    <row r="160" spans="1:20">
      <c r="A160" s="1303"/>
      <c r="B160" s="1322" t="s">
        <v>2586</v>
      </c>
      <c r="C160" s="1323" t="s">
        <v>2535</v>
      </c>
      <c r="D160" s="1324">
        <f t="shared" si="42"/>
        <v>41660</v>
      </c>
      <c r="E160" s="1323">
        <f t="shared" si="44"/>
        <v>10.842499999999999</v>
      </c>
      <c r="F160" s="1323">
        <f t="shared" si="43"/>
        <v>9.5182775779713058</v>
      </c>
      <c r="G160" s="1323">
        <f t="shared" si="45"/>
        <v>2014</v>
      </c>
      <c r="H160" s="1323">
        <f t="shared" si="46"/>
        <v>1</v>
      </c>
      <c r="I160" s="1323">
        <f t="shared" si="47"/>
        <v>21</v>
      </c>
      <c r="J160" s="1323"/>
      <c r="K160" s="1323"/>
      <c r="L160" s="1323"/>
      <c r="M160" s="1323"/>
      <c r="N160" s="1323"/>
      <c r="O160" s="1323"/>
      <c r="P160" s="1323"/>
      <c r="Q160" s="1323"/>
      <c r="R160" s="1304"/>
      <c r="S160" s="1304"/>
      <c r="T160" s="1304"/>
    </row>
    <row r="161" spans="1:20">
      <c r="A161" s="1303"/>
      <c r="B161" s="1322" t="s">
        <v>2587</v>
      </c>
      <c r="C161" s="1323" t="s">
        <v>2588</v>
      </c>
      <c r="D161" s="1324">
        <f t="shared" si="42"/>
        <v>41659</v>
      </c>
      <c r="E161" s="1323">
        <f t="shared" si="44"/>
        <v>10.8811</v>
      </c>
      <c r="F161" s="1323">
        <f t="shared" si="43"/>
        <v>9.5164525048881767</v>
      </c>
      <c r="G161" s="1323">
        <f t="shared" si="45"/>
        <v>2014</v>
      </c>
      <c r="H161" s="1323">
        <f t="shared" si="46"/>
        <v>1</v>
      </c>
      <c r="I161" s="1323">
        <f t="shared" si="47"/>
        <v>20</v>
      </c>
      <c r="J161" s="1323"/>
      <c r="K161" s="1323"/>
      <c r="L161" s="1323"/>
      <c r="M161" s="1323"/>
      <c r="N161" s="1323"/>
      <c r="O161" s="1323"/>
      <c r="P161" s="1323"/>
      <c r="Q161" s="1323"/>
      <c r="R161" s="1304"/>
      <c r="S161" s="1304"/>
      <c r="T161" s="1304"/>
    </row>
    <row r="162" spans="1:20">
      <c r="A162" s="1303"/>
      <c r="B162" s="1322" t="s">
        <v>2589</v>
      </c>
      <c r="C162" s="1323" t="s">
        <v>2590</v>
      </c>
      <c r="D162" s="1324">
        <f t="shared" si="42"/>
        <v>41656</v>
      </c>
      <c r="E162" s="1323">
        <f t="shared" si="44"/>
        <v>10.866199999999999</v>
      </c>
      <c r="F162" s="1323">
        <f t="shared" si="43"/>
        <v>9.5146277817519493</v>
      </c>
      <c r="G162" s="1323">
        <f t="shared" si="45"/>
        <v>2014</v>
      </c>
      <c r="H162" s="1323">
        <f t="shared" si="46"/>
        <v>1</v>
      </c>
      <c r="I162" s="1323">
        <f t="shared" si="47"/>
        <v>17</v>
      </c>
      <c r="J162" s="1323"/>
      <c r="K162" s="1323"/>
      <c r="L162" s="1323"/>
      <c r="M162" s="1323"/>
      <c r="N162" s="1323"/>
      <c r="O162" s="1323"/>
      <c r="P162" s="1323"/>
      <c r="Q162" s="1323"/>
      <c r="R162" s="1304"/>
      <c r="S162" s="1304"/>
      <c r="T162" s="1304"/>
    </row>
    <row r="163" spans="1:20">
      <c r="A163" s="1303"/>
      <c r="B163" s="1322" t="s">
        <v>2591</v>
      </c>
      <c r="C163" s="1323" t="s">
        <v>2592</v>
      </c>
      <c r="D163" s="1324">
        <f t="shared" si="42"/>
        <v>41655</v>
      </c>
      <c r="E163" s="1323">
        <f t="shared" si="44"/>
        <v>10.9422</v>
      </c>
      <c r="F163" s="1323">
        <f t="shared" si="43"/>
        <v>9.5128034084955253</v>
      </c>
      <c r="G163" s="1323">
        <f t="shared" si="45"/>
        <v>2014</v>
      </c>
      <c r="H163" s="1323">
        <f t="shared" si="46"/>
        <v>1</v>
      </c>
      <c r="I163" s="1323">
        <f t="shared" si="47"/>
        <v>16</v>
      </c>
      <c r="J163" s="1323"/>
      <c r="K163" s="1323"/>
      <c r="L163" s="1323"/>
      <c r="M163" s="1323"/>
      <c r="N163" s="1323"/>
      <c r="O163" s="1323"/>
      <c r="P163" s="1323"/>
      <c r="Q163" s="1323"/>
      <c r="R163" s="1304"/>
      <c r="S163" s="1304"/>
      <c r="T163" s="1304"/>
    </row>
    <row r="164" spans="1:20">
      <c r="A164" s="1303"/>
      <c r="B164" s="1322" t="s">
        <v>2593</v>
      </c>
      <c r="C164" s="1323" t="s">
        <v>2594</v>
      </c>
      <c r="D164" s="1324">
        <f t="shared" si="42"/>
        <v>41654</v>
      </c>
      <c r="E164" s="1323">
        <f t="shared" si="44"/>
        <v>10.864800000000001</v>
      </c>
      <c r="F164" s="1323">
        <f t="shared" si="43"/>
        <v>9.5109793850518169</v>
      </c>
      <c r="G164" s="1323">
        <f t="shared" si="45"/>
        <v>2014</v>
      </c>
      <c r="H164" s="1323">
        <f t="shared" si="46"/>
        <v>1</v>
      </c>
      <c r="I164" s="1323">
        <f t="shared" si="47"/>
        <v>15</v>
      </c>
      <c r="J164" s="1323"/>
      <c r="K164" s="1323"/>
      <c r="L164" s="1323"/>
      <c r="M164" s="1323"/>
      <c r="N164" s="1323"/>
      <c r="O164" s="1323"/>
      <c r="P164" s="1323"/>
      <c r="Q164" s="1323"/>
      <c r="R164" s="1304"/>
      <c r="S164" s="1304"/>
      <c r="T164" s="1304"/>
    </row>
    <row r="165" spans="1:20">
      <c r="A165" s="1303"/>
      <c r="B165" s="1322" t="s">
        <v>2595</v>
      </c>
      <c r="C165" s="1323" t="s">
        <v>2596</v>
      </c>
      <c r="D165" s="1324">
        <f t="shared" si="42"/>
        <v>41653</v>
      </c>
      <c r="E165" s="1323">
        <f t="shared" si="44"/>
        <v>10.8629</v>
      </c>
      <c r="F165" s="1323">
        <f t="shared" si="43"/>
        <v>9.509155711353749</v>
      </c>
      <c r="G165" s="1323">
        <f t="shared" si="45"/>
        <v>2014</v>
      </c>
      <c r="H165" s="1323">
        <f t="shared" si="46"/>
        <v>1</v>
      </c>
      <c r="I165" s="1323">
        <f t="shared" si="47"/>
        <v>14</v>
      </c>
      <c r="J165" s="1323"/>
      <c r="K165" s="1323"/>
      <c r="L165" s="1323"/>
      <c r="M165" s="1323"/>
      <c r="N165" s="1323"/>
      <c r="O165" s="1323"/>
      <c r="P165" s="1323"/>
      <c r="Q165" s="1323"/>
      <c r="R165" s="1304"/>
      <c r="S165" s="1304"/>
      <c r="T165" s="1304"/>
    </row>
    <row r="166" spans="1:20">
      <c r="A166" s="1303"/>
      <c r="B166" s="1322" t="s">
        <v>2597</v>
      </c>
      <c r="C166" s="1323" t="s">
        <v>2598</v>
      </c>
      <c r="D166" s="1324">
        <f t="shared" si="42"/>
        <v>41652</v>
      </c>
      <c r="E166" s="1323">
        <f t="shared" si="44"/>
        <v>10.708399999999999</v>
      </c>
      <c r="F166" s="1323">
        <f t="shared" si="43"/>
        <v>9.5073323873342606</v>
      </c>
      <c r="G166" s="1323">
        <f t="shared" si="45"/>
        <v>2014</v>
      </c>
      <c r="H166" s="1323">
        <f t="shared" si="46"/>
        <v>1</v>
      </c>
      <c r="I166" s="1323">
        <f t="shared" si="47"/>
        <v>13</v>
      </c>
      <c r="J166" s="1323"/>
      <c r="K166" s="1323"/>
      <c r="L166" s="1323"/>
      <c r="M166" s="1323"/>
      <c r="N166" s="1323"/>
      <c r="O166" s="1323"/>
      <c r="P166" s="1323"/>
      <c r="Q166" s="1323"/>
      <c r="R166" s="1304"/>
      <c r="S166" s="1304"/>
      <c r="T166" s="1304"/>
    </row>
    <row r="167" spans="1:20">
      <c r="A167" s="1303"/>
      <c r="B167" s="1322" t="s">
        <v>2599</v>
      </c>
      <c r="C167" s="1323" t="s">
        <v>2600</v>
      </c>
      <c r="D167" s="1324">
        <f t="shared" si="42"/>
        <v>41649</v>
      </c>
      <c r="E167" s="1323">
        <f t="shared" si="44"/>
        <v>10.764699999999999</v>
      </c>
      <c r="F167" s="1323">
        <f t="shared" si="43"/>
        <v>9.5055094129263011</v>
      </c>
      <c r="G167" s="1323">
        <f t="shared" si="45"/>
        <v>2014</v>
      </c>
      <c r="H167" s="1323">
        <f t="shared" si="46"/>
        <v>1</v>
      </c>
      <c r="I167" s="1323">
        <f t="shared" si="47"/>
        <v>10</v>
      </c>
      <c r="J167" s="1323"/>
      <c r="K167" s="1323"/>
      <c r="L167" s="1323"/>
      <c r="M167" s="1323"/>
      <c r="N167" s="1323"/>
      <c r="O167" s="1323"/>
      <c r="P167" s="1323"/>
      <c r="Q167" s="1323"/>
      <c r="R167" s="1304"/>
      <c r="S167" s="1304"/>
      <c r="T167" s="1304"/>
    </row>
    <row r="168" spans="1:20">
      <c r="A168" s="1303"/>
      <c r="B168" s="1322" t="s">
        <v>2601</v>
      </c>
      <c r="C168" s="1323" t="s">
        <v>2602</v>
      </c>
      <c r="D168" s="1324">
        <f t="shared" si="42"/>
        <v>41648</v>
      </c>
      <c r="E168" s="1323">
        <f t="shared" si="44"/>
        <v>10.8024</v>
      </c>
      <c r="F168" s="1323">
        <f t="shared" si="43"/>
        <v>9.5036867880628364</v>
      </c>
      <c r="G168" s="1323">
        <f t="shared" si="45"/>
        <v>2014</v>
      </c>
      <c r="H168" s="1323">
        <f t="shared" si="46"/>
        <v>1</v>
      </c>
      <c r="I168" s="1323">
        <f t="shared" si="47"/>
        <v>9</v>
      </c>
      <c r="J168" s="1323"/>
      <c r="K168" s="1323"/>
      <c r="L168" s="1323"/>
      <c r="M168" s="1323"/>
      <c r="N168" s="1323"/>
      <c r="O168" s="1323"/>
      <c r="P168" s="1323"/>
      <c r="Q168" s="1323"/>
      <c r="R168" s="1304"/>
      <c r="S168" s="1304"/>
      <c r="T168" s="1304"/>
    </row>
    <row r="169" spans="1:20">
      <c r="A169" s="1303"/>
      <c r="B169" s="1322" t="s">
        <v>2603</v>
      </c>
      <c r="C169" s="1323" t="s">
        <v>2604</v>
      </c>
      <c r="D169" s="1324">
        <f t="shared" si="42"/>
        <v>41647</v>
      </c>
      <c r="E169" s="1323">
        <f t="shared" si="44"/>
        <v>10.6668</v>
      </c>
      <c r="F169" s="1323">
        <f t="shared" si="43"/>
        <v>9.5018645126768426</v>
      </c>
      <c r="G169" s="1323">
        <f t="shared" si="45"/>
        <v>2014</v>
      </c>
      <c r="H169" s="1323">
        <f t="shared" si="46"/>
        <v>1</v>
      </c>
      <c r="I169" s="1323">
        <f t="shared" si="47"/>
        <v>8</v>
      </c>
      <c r="J169" s="1323"/>
      <c r="K169" s="1323"/>
      <c r="L169" s="1323"/>
      <c r="M169" s="1323"/>
      <c r="N169" s="1323"/>
      <c r="O169" s="1323"/>
      <c r="P169" s="1323"/>
      <c r="Q169" s="1323"/>
      <c r="R169" s="1304"/>
      <c r="S169" s="1304"/>
      <c r="T169" s="1304"/>
    </row>
    <row r="170" spans="1:20">
      <c r="A170" s="1303"/>
      <c r="B170" s="1322" t="s">
        <v>2605</v>
      </c>
      <c r="C170" s="1323" t="s">
        <v>2606</v>
      </c>
      <c r="D170" s="1324">
        <f t="shared" si="42"/>
        <v>41646</v>
      </c>
      <c r="E170" s="1323">
        <f t="shared" si="44"/>
        <v>10.665900000000001</v>
      </c>
      <c r="F170" s="1323">
        <f t="shared" si="43"/>
        <v>9.5000425867013103</v>
      </c>
      <c r="G170" s="1323">
        <f t="shared" si="45"/>
        <v>2014</v>
      </c>
      <c r="H170" s="1323">
        <f t="shared" si="46"/>
        <v>1</v>
      </c>
      <c r="I170" s="1323">
        <f t="shared" si="47"/>
        <v>7</v>
      </c>
      <c r="J170" s="1323"/>
      <c r="K170" s="1323"/>
      <c r="L170" s="1323"/>
      <c r="M170" s="1323"/>
      <c r="N170" s="1323"/>
      <c r="O170" s="1323"/>
      <c r="P170" s="1323"/>
      <c r="Q170" s="1323"/>
      <c r="R170" s="1304"/>
      <c r="S170" s="1304"/>
      <c r="T170" s="1304"/>
    </row>
    <row r="171" spans="1:20">
      <c r="A171" s="1303"/>
      <c r="B171" s="1322" t="s">
        <v>2607</v>
      </c>
      <c r="C171" s="1323" t="s">
        <v>2291</v>
      </c>
      <c r="D171" s="1324">
        <f t="shared" si="42"/>
        <v>41645</v>
      </c>
      <c r="E171" s="1323">
        <f t="shared" si="44"/>
        <v>10.692500000000001</v>
      </c>
      <c r="F171" s="1323">
        <f t="shared" si="43"/>
        <v>9.4982210100692424</v>
      </c>
      <c r="G171" s="1323">
        <f t="shared" si="45"/>
        <v>2014</v>
      </c>
      <c r="H171" s="1323">
        <f t="shared" si="46"/>
        <v>1</v>
      </c>
      <c r="I171" s="1323">
        <f t="shared" si="47"/>
        <v>6</v>
      </c>
      <c r="J171" s="1323"/>
      <c r="K171" s="1323"/>
      <c r="L171" s="1323"/>
      <c r="M171" s="1323"/>
      <c r="N171" s="1323"/>
      <c r="O171" s="1323"/>
      <c r="P171" s="1323"/>
      <c r="Q171" s="1323"/>
      <c r="R171" s="1304"/>
      <c r="S171" s="1304"/>
      <c r="T171" s="1304"/>
    </row>
    <row r="172" spans="1:20">
      <c r="A172" s="1303"/>
      <c r="B172" s="1322" t="s">
        <v>2608</v>
      </c>
      <c r="C172" s="1323" t="s">
        <v>2609</v>
      </c>
      <c r="D172" s="1324">
        <f t="shared" si="42"/>
        <v>41642</v>
      </c>
      <c r="E172" s="1323">
        <f t="shared" si="44"/>
        <v>10.614800000000001</v>
      </c>
      <c r="F172" s="1323">
        <f t="shared" si="43"/>
        <v>9.4963997827136524</v>
      </c>
      <c r="G172" s="1323">
        <f t="shared" si="45"/>
        <v>2014</v>
      </c>
      <c r="H172" s="1323">
        <f t="shared" si="46"/>
        <v>1</v>
      </c>
      <c r="I172" s="1323">
        <f t="shared" si="47"/>
        <v>3</v>
      </c>
      <c r="J172" s="1323"/>
      <c r="K172" s="1323"/>
      <c r="L172" s="1323"/>
      <c r="M172" s="1323"/>
      <c r="N172" s="1323"/>
      <c r="O172" s="1323"/>
      <c r="P172" s="1323"/>
      <c r="Q172" s="1323"/>
      <c r="R172" s="1304"/>
      <c r="S172" s="1304"/>
      <c r="T172" s="1304"/>
    </row>
    <row r="173" spans="1:20">
      <c r="A173" s="1303"/>
      <c r="B173" s="1322" t="s">
        <v>2610</v>
      </c>
      <c r="C173" s="1323" t="s">
        <v>2611</v>
      </c>
      <c r="D173" s="1324">
        <f t="shared" si="42"/>
        <v>41641</v>
      </c>
      <c r="E173" s="1323">
        <f t="shared" si="44"/>
        <v>10.5916</v>
      </c>
      <c r="F173" s="1323">
        <f t="shared" si="43"/>
        <v>9.4945789045675699</v>
      </c>
      <c r="G173" s="1323">
        <f t="shared" si="45"/>
        <v>2014</v>
      </c>
      <c r="H173" s="1323">
        <f t="shared" si="46"/>
        <v>1</v>
      </c>
      <c r="I173" s="1323">
        <f t="shared" si="47"/>
        <v>2</v>
      </c>
      <c r="J173" s="1323"/>
      <c r="K173" s="1323"/>
      <c r="L173" s="1323"/>
      <c r="M173" s="1323"/>
      <c r="N173" s="1323"/>
      <c r="O173" s="1323"/>
      <c r="P173" s="1323"/>
      <c r="Q173" s="1323"/>
      <c r="R173" s="1304"/>
      <c r="S173" s="1304"/>
      <c r="T173" s="1304"/>
    </row>
    <row r="174" spans="1:20">
      <c r="A174" s="1303"/>
      <c r="B174" s="1322" t="s">
        <v>2612</v>
      </c>
      <c r="C174" s="1323" t="s">
        <v>2464</v>
      </c>
      <c r="D174" s="1324">
        <f t="shared" si="42"/>
        <v>41639</v>
      </c>
      <c r="E174" s="1323">
        <f t="shared" si="44"/>
        <v>10.467499999999999</v>
      </c>
      <c r="F174" s="1323">
        <f t="shared" si="43"/>
        <v>9.492758375564037</v>
      </c>
      <c r="G174" s="1323">
        <f t="shared" si="45"/>
        <v>2013</v>
      </c>
      <c r="H174" s="1323">
        <f t="shared" si="46"/>
        <v>12</v>
      </c>
      <c r="I174" s="1323">
        <f t="shared" si="47"/>
        <v>31</v>
      </c>
      <c r="J174" s="1323"/>
      <c r="K174" s="1323"/>
      <c r="L174" s="1323"/>
      <c r="M174" s="1323"/>
      <c r="N174" s="1323"/>
      <c r="O174" s="1323"/>
      <c r="P174" s="1323"/>
      <c r="Q174" s="1323"/>
      <c r="R174" s="1304"/>
      <c r="S174" s="1304"/>
      <c r="T174" s="1304"/>
    </row>
    <row r="175" spans="1:20">
      <c r="A175" s="1303"/>
      <c r="B175" s="1322" t="s">
        <v>2613</v>
      </c>
      <c r="C175" s="1323" t="s">
        <v>2614</v>
      </c>
      <c r="D175" s="1324">
        <f t="shared" si="42"/>
        <v>41638</v>
      </c>
      <c r="E175" s="1323">
        <f t="shared" si="44"/>
        <v>10.462300000000001</v>
      </c>
      <c r="F175" s="1323">
        <f t="shared" si="43"/>
        <v>9.4909381956361063</v>
      </c>
      <c r="G175" s="1323">
        <f t="shared" si="45"/>
        <v>2013</v>
      </c>
      <c r="H175" s="1323">
        <f t="shared" si="46"/>
        <v>12</v>
      </c>
      <c r="I175" s="1323">
        <f t="shared" si="47"/>
        <v>30</v>
      </c>
      <c r="J175" s="1323"/>
      <c r="K175" s="1323"/>
      <c r="L175" s="1323"/>
      <c r="M175" s="1323"/>
      <c r="N175" s="1323"/>
      <c r="O175" s="1323"/>
      <c r="P175" s="1323"/>
      <c r="Q175" s="1323"/>
      <c r="R175" s="1304"/>
      <c r="S175" s="1304"/>
      <c r="T175" s="1304"/>
    </row>
    <row r="176" spans="1:20">
      <c r="A176" s="1303"/>
      <c r="B176" s="1322" t="s">
        <v>2615</v>
      </c>
      <c r="C176" s="1323" t="s">
        <v>2616</v>
      </c>
      <c r="D176" s="1324">
        <f t="shared" si="42"/>
        <v>41635</v>
      </c>
      <c r="E176" s="1323">
        <f t="shared" si="44"/>
        <v>10.3505</v>
      </c>
      <c r="F176" s="1323">
        <f t="shared" si="43"/>
        <v>9.4891183647168447</v>
      </c>
      <c r="G176" s="1323">
        <f t="shared" si="45"/>
        <v>2013</v>
      </c>
      <c r="H176" s="1323">
        <f t="shared" si="46"/>
        <v>12</v>
      </c>
      <c r="I176" s="1323">
        <f t="shared" si="47"/>
        <v>27</v>
      </c>
      <c r="J176" s="1323"/>
      <c r="K176" s="1323"/>
      <c r="L176" s="1323"/>
      <c r="M176" s="1323"/>
      <c r="N176" s="1323"/>
      <c r="O176" s="1323"/>
      <c r="P176" s="1323"/>
      <c r="Q176" s="1323"/>
      <c r="R176" s="1304"/>
      <c r="S176" s="1304"/>
      <c r="T176" s="1304"/>
    </row>
    <row r="177" spans="1:20">
      <c r="A177" s="1303"/>
      <c r="B177" s="1322" t="s">
        <v>2617</v>
      </c>
      <c r="C177" s="1323" t="s">
        <v>2618</v>
      </c>
      <c r="D177" s="1324">
        <f t="shared" si="42"/>
        <v>41632</v>
      </c>
      <c r="E177" s="1323">
        <f t="shared" si="44"/>
        <v>10.3439</v>
      </c>
      <c r="F177" s="1323">
        <f t="shared" si="43"/>
        <v>9.4872988827393332</v>
      </c>
      <c r="G177" s="1323">
        <f t="shared" si="45"/>
        <v>2013</v>
      </c>
      <c r="H177" s="1323">
        <f t="shared" si="46"/>
        <v>12</v>
      </c>
      <c r="I177" s="1323">
        <f t="shared" si="47"/>
        <v>24</v>
      </c>
      <c r="J177" s="1323"/>
      <c r="K177" s="1323"/>
      <c r="L177" s="1323"/>
      <c r="M177" s="1323"/>
      <c r="N177" s="1323"/>
      <c r="O177" s="1323"/>
      <c r="P177" s="1323"/>
      <c r="Q177" s="1323"/>
      <c r="R177" s="1304"/>
      <c r="S177" s="1304"/>
      <c r="T177" s="1304"/>
    </row>
    <row r="178" spans="1:20">
      <c r="A178" s="1303"/>
      <c r="B178" s="1322" t="s">
        <v>2619</v>
      </c>
      <c r="C178" s="1323" t="s">
        <v>2434</v>
      </c>
      <c r="D178" s="1324">
        <f t="shared" si="42"/>
        <v>41631</v>
      </c>
      <c r="E178" s="1323">
        <f t="shared" si="44"/>
        <v>10.344200000000001</v>
      </c>
      <c r="F178" s="1323">
        <f t="shared" si="43"/>
        <v>9.4854797496366636</v>
      </c>
      <c r="G178" s="1323">
        <f t="shared" si="45"/>
        <v>2013</v>
      </c>
      <c r="H178" s="1323">
        <f t="shared" si="46"/>
        <v>12</v>
      </c>
      <c r="I178" s="1323">
        <f t="shared" si="47"/>
        <v>23</v>
      </c>
      <c r="J178" s="1323"/>
      <c r="K178" s="1323"/>
      <c r="L178" s="1323"/>
      <c r="M178" s="1323"/>
      <c r="N178" s="1323"/>
      <c r="O178" s="1323"/>
      <c r="P178" s="1323"/>
      <c r="Q178" s="1323"/>
      <c r="R178" s="1304"/>
      <c r="S178" s="1304"/>
      <c r="T178" s="1304"/>
    </row>
    <row r="179" spans="1:20">
      <c r="A179" s="1303"/>
      <c r="B179" s="1322" t="s">
        <v>2620</v>
      </c>
      <c r="C179" s="1323" t="s">
        <v>2621</v>
      </c>
      <c r="D179" s="1324">
        <f t="shared" si="42"/>
        <v>41628</v>
      </c>
      <c r="E179" s="1323">
        <f t="shared" si="44"/>
        <v>10.4429</v>
      </c>
      <c r="F179" s="1323">
        <f t="shared" si="43"/>
        <v>9.4836609653419401</v>
      </c>
      <c r="G179" s="1323">
        <f t="shared" si="45"/>
        <v>2013</v>
      </c>
      <c r="H179" s="1323">
        <f t="shared" si="46"/>
        <v>12</v>
      </c>
      <c r="I179" s="1323">
        <f t="shared" si="47"/>
        <v>20</v>
      </c>
      <c r="J179" s="1323"/>
      <c r="K179" s="1323"/>
      <c r="L179" s="1323"/>
      <c r="M179" s="1323"/>
      <c r="N179" s="1323"/>
      <c r="O179" s="1323"/>
      <c r="P179" s="1323"/>
      <c r="Q179" s="1323"/>
      <c r="R179" s="1304"/>
      <c r="S179" s="1304"/>
      <c r="T179" s="1304"/>
    </row>
    <row r="180" spans="1:20">
      <c r="A180" s="1303"/>
      <c r="B180" s="1322" t="s">
        <v>2622</v>
      </c>
      <c r="C180" s="1323" t="s">
        <v>2623</v>
      </c>
      <c r="D180" s="1324">
        <f t="shared" si="42"/>
        <v>41627</v>
      </c>
      <c r="E180" s="1323">
        <f t="shared" si="44"/>
        <v>10.331300000000001</v>
      </c>
      <c r="F180" s="1323">
        <f t="shared" si="43"/>
        <v>9.4818425297882811</v>
      </c>
      <c r="G180" s="1323">
        <f t="shared" si="45"/>
        <v>2013</v>
      </c>
      <c r="H180" s="1323">
        <f t="shared" si="46"/>
        <v>12</v>
      </c>
      <c r="I180" s="1323">
        <f t="shared" si="47"/>
        <v>19</v>
      </c>
      <c r="J180" s="1323"/>
      <c r="K180" s="1323"/>
      <c r="L180" s="1323"/>
      <c r="M180" s="1323"/>
      <c r="N180" s="1323"/>
      <c r="O180" s="1323"/>
      <c r="P180" s="1323"/>
      <c r="Q180" s="1323"/>
      <c r="R180" s="1304"/>
      <c r="S180" s="1304"/>
      <c r="T180" s="1304"/>
    </row>
    <row r="181" spans="1:20">
      <c r="A181" s="1303"/>
      <c r="B181" s="1322" t="s">
        <v>2624</v>
      </c>
      <c r="C181" s="1323" t="s">
        <v>2625</v>
      </c>
      <c r="D181" s="1324">
        <f t="shared" si="42"/>
        <v>41626</v>
      </c>
      <c r="E181" s="1323">
        <f t="shared" si="44"/>
        <v>10.3329</v>
      </c>
      <c r="F181" s="1323">
        <f t="shared" si="43"/>
        <v>9.4800244429088192</v>
      </c>
      <c r="G181" s="1323">
        <f t="shared" si="45"/>
        <v>2013</v>
      </c>
      <c r="H181" s="1323">
        <f t="shared" si="46"/>
        <v>12</v>
      </c>
      <c r="I181" s="1323">
        <f t="shared" si="47"/>
        <v>18</v>
      </c>
      <c r="J181" s="1323"/>
      <c r="K181" s="1323"/>
      <c r="L181" s="1323"/>
      <c r="M181" s="1323"/>
      <c r="N181" s="1323"/>
      <c r="O181" s="1323"/>
      <c r="P181" s="1323"/>
      <c r="Q181" s="1323"/>
      <c r="R181" s="1304"/>
      <c r="S181" s="1304"/>
      <c r="T181" s="1304"/>
    </row>
    <row r="182" spans="1:20">
      <c r="A182" s="1303"/>
      <c r="B182" s="1322" t="s">
        <v>2626</v>
      </c>
      <c r="C182" s="1323" t="s">
        <v>2627</v>
      </c>
      <c r="D182" s="1324">
        <f t="shared" si="42"/>
        <v>41625</v>
      </c>
      <c r="E182" s="1323">
        <f t="shared" si="44"/>
        <v>10.2982</v>
      </c>
      <c r="F182" s="1323">
        <f t="shared" si="43"/>
        <v>9.4782067046366976</v>
      </c>
      <c r="G182" s="1323">
        <f t="shared" si="45"/>
        <v>2013</v>
      </c>
      <c r="H182" s="1323">
        <f t="shared" si="46"/>
        <v>12</v>
      </c>
      <c r="I182" s="1323">
        <f t="shared" si="47"/>
        <v>17</v>
      </c>
      <c r="J182" s="1323"/>
      <c r="K182" s="1323"/>
      <c r="L182" s="1323"/>
      <c r="M182" s="1323"/>
      <c r="N182" s="1323"/>
      <c r="O182" s="1323"/>
      <c r="P182" s="1323"/>
      <c r="Q182" s="1323"/>
      <c r="R182" s="1304"/>
      <c r="S182" s="1304"/>
      <c r="T182" s="1304"/>
    </row>
    <row r="183" spans="1:20">
      <c r="A183" s="1303"/>
      <c r="B183" s="1322" t="s">
        <v>2628</v>
      </c>
      <c r="C183" s="1323" t="s">
        <v>2629</v>
      </c>
      <c r="D183" s="1324">
        <f t="shared" si="42"/>
        <v>41621</v>
      </c>
      <c r="E183" s="1323">
        <f t="shared" si="44"/>
        <v>10.403600000000001</v>
      </c>
      <c r="F183" s="1323">
        <f t="shared" si="43"/>
        <v>9.476389314905072</v>
      </c>
      <c r="G183" s="1323">
        <f t="shared" si="45"/>
        <v>2013</v>
      </c>
      <c r="H183" s="1323">
        <f t="shared" si="46"/>
        <v>12</v>
      </c>
      <c r="I183" s="1323">
        <f t="shared" si="47"/>
        <v>13</v>
      </c>
      <c r="J183" s="1323"/>
      <c r="K183" s="1323"/>
      <c r="L183" s="1323"/>
      <c r="M183" s="1323"/>
      <c r="N183" s="1323"/>
      <c r="O183" s="1323"/>
      <c r="P183" s="1323"/>
      <c r="Q183" s="1323"/>
      <c r="R183" s="1304"/>
      <c r="S183" s="1304"/>
      <c r="T183" s="1304"/>
    </row>
    <row r="184" spans="1:20">
      <c r="A184" s="1303"/>
      <c r="B184" s="1322" t="s">
        <v>2630</v>
      </c>
      <c r="C184" s="1323" t="s">
        <v>2631</v>
      </c>
      <c r="D184" s="1324">
        <f t="shared" si="42"/>
        <v>41620</v>
      </c>
      <c r="E184" s="1323">
        <f t="shared" si="44"/>
        <v>10.388500000000001</v>
      </c>
      <c r="F184" s="1323">
        <f t="shared" si="43"/>
        <v>9.4745722736471123</v>
      </c>
      <c r="G184" s="1323">
        <f t="shared" si="45"/>
        <v>2013</v>
      </c>
      <c r="H184" s="1323">
        <f t="shared" si="46"/>
        <v>12</v>
      </c>
      <c r="I184" s="1323">
        <f t="shared" si="47"/>
        <v>12</v>
      </c>
      <c r="J184" s="1323"/>
      <c r="K184" s="1323"/>
      <c r="L184" s="1323"/>
      <c r="M184" s="1323"/>
      <c r="N184" s="1323"/>
      <c r="O184" s="1323"/>
      <c r="P184" s="1323"/>
      <c r="Q184" s="1323"/>
      <c r="R184" s="1304"/>
      <c r="S184" s="1304"/>
      <c r="T184" s="1304"/>
    </row>
    <row r="185" spans="1:20">
      <c r="A185" s="1303"/>
      <c r="B185" s="1322" t="s">
        <v>2632</v>
      </c>
      <c r="C185" s="1323" t="s">
        <v>2633</v>
      </c>
      <c r="D185" s="1324">
        <f t="shared" si="42"/>
        <v>41619</v>
      </c>
      <c r="E185" s="1323">
        <f t="shared" si="44"/>
        <v>10.351599999999999</v>
      </c>
      <c r="F185" s="1323">
        <f t="shared" si="43"/>
        <v>9.4727555807960009</v>
      </c>
      <c r="G185" s="1323">
        <f t="shared" si="45"/>
        <v>2013</v>
      </c>
      <c r="H185" s="1323">
        <f t="shared" si="46"/>
        <v>12</v>
      </c>
      <c r="I185" s="1323">
        <f t="shared" si="47"/>
        <v>11</v>
      </c>
      <c r="J185" s="1323"/>
      <c r="K185" s="1323"/>
      <c r="L185" s="1323"/>
      <c r="M185" s="1323"/>
      <c r="N185" s="1323"/>
      <c r="O185" s="1323"/>
      <c r="P185" s="1323"/>
      <c r="Q185" s="1323"/>
      <c r="R185" s="1304"/>
      <c r="S185" s="1304"/>
      <c r="T185" s="1304"/>
    </row>
    <row r="186" spans="1:20">
      <c r="A186" s="1303"/>
      <c r="B186" s="1322" t="s">
        <v>2634</v>
      </c>
      <c r="C186" s="1323" t="s">
        <v>2635</v>
      </c>
      <c r="D186" s="1324">
        <f t="shared" si="42"/>
        <v>41618</v>
      </c>
      <c r="E186" s="1323">
        <f t="shared" si="44"/>
        <v>10.3528</v>
      </c>
      <c r="F186" s="1323">
        <f t="shared" si="43"/>
        <v>9.4709392362849325</v>
      </c>
      <c r="G186" s="1323">
        <f t="shared" si="45"/>
        <v>2013</v>
      </c>
      <c r="H186" s="1323">
        <f t="shared" si="46"/>
        <v>12</v>
      </c>
      <c r="I186" s="1323">
        <f t="shared" si="47"/>
        <v>10</v>
      </c>
      <c r="J186" s="1323"/>
      <c r="K186" s="1323"/>
      <c r="L186" s="1323"/>
      <c r="M186" s="1323"/>
      <c r="N186" s="1323"/>
      <c r="O186" s="1323"/>
      <c r="P186" s="1323"/>
      <c r="Q186" s="1323"/>
      <c r="R186" s="1304"/>
      <c r="S186" s="1304"/>
      <c r="T186" s="1304"/>
    </row>
    <row r="187" spans="1:20">
      <c r="A187" s="1303"/>
      <c r="B187" s="1322" t="s">
        <v>2636</v>
      </c>
      <c r="C187" s="1323" t="s">
        <v>2444</v>
      </c>
      <c r="D187" s="1324">
        <f t="shared" si="42"/>
        <v>41617</v>
      </c>
      <c r="E187" s="1323">
        <f t="shared" si="44"/>
        <v>10.331099999999999</v>
      </c>
      <c r="F187" s="1323">
        <f t="shared" si="43"/>
        <v>9.4691232400471144</v>
      </c>
      <c r="G187" s="1323">
        <f t="shared" si="45"/>
        <v>2013</v>
      </c>
      <c r="H187" s="1323">
        <f t="shared" si="46"/>
        <v>12</v>
      </c>
      <c r="I187" s="1323">
        <f t="shared" si="47"/>
        <v>9</v>
      </c>
      <c r="J187" s="1323"/>
      <c r="K187" s="1323"/>
      <c r="L187" s="1323"/>
      <c r="M187" s="1323"/>
      <c r="N187" s="1323"/>
      <c r="O187" s="1323"/>
      <c r="P187" s="1323"/>
      <c r="Q187" s="1323"/>
      <c r="R187" s="1304"/>
      <c r="S187" s="1304"/>
      <c r="T187" s="1304"/>
    </row>
    <row r="188" spans="1:20">
      <c r="A188" s="1303"/>
      <c r="B188" s="1322" t="s">
        <v>2637</v>
      </c>
      <c r="C188" s="1323" t="s">
        <v>2638</v>
      </c>
      <c r="D188" s="1324">
        <f t="shared" si="42"/>
        <v>41614</v>
      </c>
      <c r="E188" s="1323">
        <f t="shared" si="44"/>
        <v>10.473000000000001</v>
      </c>
      <c r="F188" s="1323">
        <f t="shared" si="43"/>
        <v>9.4673075920157679</v>
      </c>
      <c r="G188" s="1323">
        <f t="shared" si="45"/>
        <v>2013</v>
      </c>
      <c r="H188" s="1323">
        <f t="shared" si="46"/>
        <v>12</v>
      </c>
      <c r="I188" s="1323">
        <f t="shared" si="47"/>
        <v>6</v>
      </c>
      <c r="J188" s="1323"/>
      <c r="K188" s="1323"/>
      <c r="L188" s="1323"/>
      <c r="M188" s="1323"/>
      <c r="N188" s="1323"/>
      <c r="O188" s="1323"/>
      <c r="P188" s="1323"/>
      <c r="Q188" s="1323"/>
      <c r="R188" s="1304"/>
      <c r="S188" s="1304"/>
      <c r="T188" s="1304"/>
    </row>
    <row r="189" spans="1:20">
      <c r="A189" s="1303"/>
      <c r="B189" s="1322" t="s">
        <v>2639</v>
      </c>
      <c r="C189" s="1323" t="s">
        <v>2640</v>
      </c>
      <c r="D189" s="1324">
        <f t="shared" si="42"/>
        <v>41613</v>
      </c>
      <c r="E189" s="1323">
        <f t="shared" si="44"/>
        <v>10.4849</v>
      </c>
      <c r="F189" s="1323">
        <f t="shared" si="43"/>
        <v>9.4654922921241269</v>
      </c>
      <c r="G189" s="1323">
        <f t="shared" si="45"/>
        <v>2013</v>
      </c>
      <c r="H189" s="1323">
        <f t="shared" si="46"/>
        <v>12</v>
      </c>
      <c r="I189" s="1323">
        <f t="shared" si="47"/>
        <v>5</v>
      </c>
      <c r="J189" s="1323"/>
      <c r="K189" s="1323"/>
      <c r="L189" s="1323"/>
      <c r="M189" s="1323"/>
      <c r="N189" s="1323"/>
      <c r="O189" s="1323"/>
      <c r="P189" s="1323"/>
      <c r="Q189" s="1323"/>
      <c r="R189" s="1304"/>
      <c r="S189" s="1304"/>
      <c r="T189" s="1304"/>
    </row>
    <row r="190" spans="1:20">
      <c r="A190" s="1303"/>
      <c r="B190" s="1322" t="s">
        <v>2641</v>
      </c>
      <c r="C190" s="1323" t="s">
        <v>2642</v>
      </c>
      <c r="D190" s="1324">
        <f t="shared" si="42"/>
        <v>41612</v>
      </c>
      <c r="E190" s="1323">
        <f t="shared" si="44"/>
        <v>10.376099999999999</v>
      </c>
      <c r="F190" s="1323">
        <f t="shared" si="43"/>
        <v>9.4636773403054377</v>
      </c>
      <c r="G190" s="1323">
        <f t="shared" si="45"/>
        <v>2013</v>
      </c>
      <c r="H190" s="1323">
        <f t="shared" si="46"/>
        <v>12</v>
      </c>
      <c r="I190" s="1323">
        <f t="shared" si="47"/>
        <v>4</v>
      </c>
      <c r="J190" s="1323"/>
      <c r="K190" s="1323"/>
      <c r="L190" s="1323"/>
      <c r="M190" s="1323"/>
      <c r="N190" s="1323"/>
      <c r="O190" s="1323"/>
      <c r="P190" s="1323"/>
      <c r="Q190" s="1323"/>
      <c r="R190" s="1304"/>
      <c r="S190" s="1304"/>
      <c r="T190" s="1304"/>
    </row>
    <row r="191" spans="1:20">
      <c r="A191" s="1303"/>
      <c r="B191" s="1322" t="s">
        <v>2643</v>
      </c>
      <c r="C191" s="1323" t="s">
        <v>2644</v>
      </c>
      <c r="D191" s="1324">
        <f t="shared" si="42"/>
        <v>41611</v>
      </c>
      <c r="E191" s="1323">
        <f t="shared" si="44"/>
        <v>10.2942</v>
      </c>
      <c r="F191" s="1323">
        <f t="shared" si="43"/>
        <v>9.4618627364929591</v>
      </c>
      <c r="G191" s="1323">
        <f t="shared" si="45"/>
        <v>2013</v>
      </c>
      <c r="H191" s="1323">
        <f t="shared" si="46"/>
        <v>12</v>
      </c>
      <c r="I191" s="1323">
        <f t="shared" si="47"/>
        <v>3</v>
      </c>
      <c r="J191" s="1323"/>
      <c r="K191" s="1323"/>
      <c r="L191" s="1323"/>
      <c r="M191" s="1323"/>
      <c r="N191" s="1323"/>
      <c r="O191" s="1323"/>
      <c r="P191" s="1323"/>
      <c r="Q191" s="1323"/>
      <c r="R191" s="1304"/>
      <c r="S191" s="1304"/>
      <c r="T191" s="1304"/>
    </row>
    <row r="192" spans="1:20">
      <c r="A192" s="1303"/>
      <c r="B192" s="1322" t="s">
        <v>2645</v>
      </c>
      <c r="C192" s="1323" t="s">
        <v>2646</v>
      </c>
      <c r="D192" s="1324">
        <f t="shared" si="42"/>
        <v>41610</v>
      </c>
      <c r="E192" s="1323">
        <f t="shared" si="44"/>
        <v>10.162699999999999</v>
      </c>
      <c r="F192" s="1323">
        <f t="shared" si="43"/>
        <v>9.4600484806199638</v>
      </c>
      <c r="G192" s="1323">
        <f t="shared" si="45"/>
        <v>2013</v>
      </c>
      <c r="H192" s="1323">
        <f t="shared" si="46"/>
        <v>12</v>
      </c>
      <c r="I192" s="1323">
        <f t="shared" si="47"/>
        <v>2</v>
      </c>
      <c r="J192" s="1323"/>
      <c r="K192" s="1323"/>
      <c r="L192" s="1323"/>
      <c r="M192" s="1323"/>
      <c r="N192" s="1323"/>
      <c r="O192" s="1323"/>
      <c r="P192" s="1323"/>
      <c r="Q192" s="1323"/>
      <c r="R192" s="1304"/>
      <c r="S192" s="1304"/>
      <c r="T192" s="1304"/>
    </row>
    <row r="193" spans="1:20">
      <c r="A193" s="1303"/>
      <c r="B193" s="1322" t="s">
        <v>2647</v>
      </c>
      <c r="C193" s="1323" t="s">
        <v>2648</v>
      </c>
      <c r="D193" s="1324">
        <f t="shared" si="42"/>
        <v>41607</v>
      </c>
      <c r="E193" s="1323">
        <f t="shared" si="44"/>
        <v>10.1911</v>
      </c>
      <c r="F193" s="1323">
        <f t="shared" si="43"/>
        <v>9.4582345726197357</v>
      </c>
      <c r="G193" s="1323">
        <f t="shared" si="45"/>
        <v>2013</v>
      </c>
      <c r="H193" s="1323">
        <f t="shared" si="46"/>
        <v>11</v>
      </c>
      <c r="I193" s="1323">
        <f t="shared" si="47"/>
        <v>29</v>
      </c>
      <c r="J193" s="1323"/>
      <c r="K193" s="1323"/>
      <c r="L193" s="1323"/>
      <c r="M193" s="1323"/>
      <c r="N193" s="1323"/>
      <c r="O193" s="1323"/>
      <c r="P193" s="1323"/>
      <c r="Q193" s="1323"/>
      <c r="R193" s="1304"/>
      <c r="S193" s="1304"/>
      <c r="T193" s="1304"/>
    </row>
    <row r="194" spans="1:20">
      <c r="A194" s="1303"/>
      <c r="B194" s="1322" t="s">
        <v>2649</v>
      </c>
      <c r="C194" s="1323" t="s">
        <v>2650</v>
      </c>
      <c r="D194" s="1324">
        <f t="shared" si="42"/>
        <v>41606</v>
      </c>
      <c r="E194" s="1323">
        <f t="shared" si="44"/>
        <v>10.226699999999999</v>
      </c>
      <c r="F194" s="1323">
        <f t="shared" si="43"/>
        <v>9.4564210124255723</v>
      </c>
      <c r="G194" s="1323">
        <f t="shared" si="45"/>
        <v>2013</v>
      </c>
      <c r="H194" s="1323">
        <f t="shared" si="46"/>
        <v>11</v>
      </c>
      <c r="I194" s="1323">
        <f t="shared" si="47"/>
        <v>28</v>
      </c>
      <c r="J194" s="1323"/>
      <c r="K194" s="1323"/>
      <c r="L194" s="1323"/>
      <c r="M194" s="1323"/>
      <c r="N194" s="1323"/>
      <c r="O194" s="1323"/>
      <c r="P194" s="1323"/>
      <c r="Q194" s="1323"/>
      <c r="R194" s="1304"/>
      <c r="S194" s="1304"/>
      <c r="T194" s="1304"/>
    </row>
    <row r="195" spans="1:20">
      <c r="A195" s="1303"/>
      <c r="B195" s="1322" t="s">
        <v>2651</v>
      </c>
      <c r="C195" s="1323" t="s">
        <v>2652</v>
      </c>
      <c r="D195" s="1324">
        <f t="shared" si="42"/>
        <v>41605</v>
      </c>
      <c r="E195" s="1323">
        <f t="shared" si="44"/>
        <v>10.1488</v>
      </c>
      <c r="F195" s="1323">
        <f t="shared" si="43"/>
        <v>9.4546077999707823</v>
      </c>
      <c r="G195" s="1323">
        <f t="shared" si="45"/>
        <v>2013</v>
      </c>
      <c r="H195" s="1323">
        <f t="shared" si="46"/>
        <v>11</v>
      </c>
      <c r="I195" s="1323">
        <f t="shared" si="47"/>
        <v>27</v>
      </c>
      <c r="J195" s="1323"/>
      <c r="K195" s="1323"/>
      <c r="L195" s="1323"/>
      <c r="M195" s="1323"/>
      <c r="N195" s="1323"/>
      <c r="O195" s="1323"/>
      <c r="P195" s="1323"/>
      <c r="Q195" s="1323"/>
      <c r="R195" s="1304"/>
      <c r="S195" s="1304"/>
      <c r="T195" s="1304"/>
    </row>
    <row r="196" spans="1:20">
      <c r="A196" s="1303"/>
      <c r="B196" s="1322" t="s">
        <v>2653</v>
      </c>
      <c r="C196" s="1323" t="s">
        <v>2654</v>
      </c>
      <c r="D196" s="1324">
        <f t="shared" si="42"/>
        <v>41604</v>
      </c>
      <c r="E196" s="1323">
        <f t="shared" si="44"/>
        <v>10.0959</v>
      </c>
      <c r="F196" s="1323">
        <f t="shared" si="43"/>
        <v>9.4527949351886917</v>
      </c>
      <c r="G196" s="1323">
        <f t="shared" si="45"/>
        <v>2013</v>
      </c>
      <c r="H196" s="1323">
        <f t="shared" si="46"/>
        <v>11</v>
      </c>
      <c r="I196" s="1323">
        <f t="shared" si="47"/>
        <v>26</v>
      </c>
      <c r="J196" s="1323"/>
      <c r="K196" s="1323"/>
      <c r="L196" s="1323"/>
      <c r="M196" s="1323"/>
      <c r="N196" s="1323"/>
      <c r="O196" s="1323"/>
      <c r="P196" s="1323"/>
      <c r="Q196" s="1323"/>
      <c r="R196" s="1304"/>
      <c r="S196" s="1304"/>
      <c r="T196" s="1304"/>
    </row>
    <row r="197" spans="1:20">
      <c r="A197" s="1303"/>
      <c r="B197" s="1322" t="s">
        <v>2655</v>
      </c>
      <c r="C197" s="1323" t="s">
        <v>2656</v>
      </c>
      <c r="D197" s="1324">
        <f t="shared" si="42"/>
        <v>41603</v>
      </c>
      <c r="E197" s="1323">
        <f t="shared" si="44"/>
        <v>10.0708</v>
      </c>
      <c r="F197" s="1323">
        <f t="shared" si="43"/>
        <v>9.4509824180126341</v>
      </c>
      <c r="G197" s="1323">
        <f t="shared" si="45"/>
        <v>2013</v>
      </c>
      <c r="H197" s="1323">
        <f t="shared" si="46"/>
        <v>11</v>
      </c>
      <c r="I197" s="1323">
        <f t="shared" si="47"/>
        <v>25</v>
      </c>
      <c r="J197" s="1323"/>
      <c r="K197" s="1323"/>
      <c r="L197" s="1323"/>
      <c r="M197" s="1323"/>
      <c r="N197" s="1323"/>
      <c r="O197" s="1323"/>
      <c r="P197" s="1323"/>
      <c r="Q197" s="1323"/>
      <c r="R197" s="1304"/>
      <c r="S197" s="1304"/>
      <c r="T197" s="1304"/>
    </row>
    <row r="198" spans="1:20">
      <c r="A198" s="1303"/>
      <c r="B198" s="1322" t="s">
        <v>2657</v>
      </c>
      <c r="C198" s="1323" t="s">
        <v>2658</v>
      </c>
      <c r="D198" s="1324">
        <f t="shared" si="42"/>
        <v>41600</v>
      </c>
      <c r="E198" s="1323">
        <f t="shared" si="44"/>
        <v>10.121700000000001</v>
      </c>
      <c r="F198" s="1323">
        <f t="shared" si="43"/>
        <v>9.4491702483759585</v>
      </c>
      <c r="G198" s="1323">
        <f t="shared" si="45"/>
        <v>2013</v>
      </c>
      <c r="H198" s="1323">
        <f t="shared" si="46"/>
        <v>11</v>
      </c>
      <c r="I198" s="1323">
        <f t="shared" si="47"/>
        <v>22</v>
      </c>
      <c r="J198" s="1323"/>
      <c r="K198" s="1323"/>
      <c r="L198" s="1323"/>
      <c r="M198" s="1323"/>
      <c r="N198" s="1323"/>
      <c r="O198" s="1323"/>
      <c r="P198" s="1323"/>
      <c r="Q198" s="1323"/>
      <c r="R198" s="1304"/>
      <c r="S198" s="1304"/>
      <c r="T198" s="1304"/>
    </row>
    <row r="199" spans="1:20">
      <c r="A199" s="1303"/>
      <c r="B199" s="1322" t="s">
        <v>2659</v>
      </c>
      <c r="C199" s="1323" t="s">
        <v>2660</v>
      </c>
      <c r="D199" s="1324">
        <f t="shared" si="42"/>
        <v>41599</v>
      </c>
      <c r="E199" s="1323">
        <f t="shared" si="44"/>
        <v>10.165800000000001</v>
      </c>
      <c r="F199" s="1323">
        <f t="shared" si="43"/>
        <v>9.4473584262120269</v>
      </c>
      <c r="G199" s="1323">
        <f t="shared" si="45"/>
        <v>2013</v>
      </c>
      <c r="H199" s="1323">
        <f t="shared" si="46"/>
        <v>11</v>
      </c>
      <c r="I199" s="1323">
        <f t="shared" si="47"/>
        <v>21</v>
      </c>
      <c r="J199" s="1323"/>
      <c r="K199" s="1323"/>
      <c r="L199" s="1323"/>
      <c r="M199" s="1323"/>
      <c r="N199" s="1323"/>
      <c r="O199" s="1323"/>
      <c r="P199" s="1323"/>
      <c r="Q199" s="1323"/>
      <c r="R199" s="1304"/>
      <c r="S199" s="1304"/>
      <c r="T199" s="1304"/>
    </row>
    <row r="200" spans="1:20">
      <c r="A200" s="1303"/>
      <c r="B200" s="1322" t="s">
        <v>2661</v>
      </c>
      <c r="C200" s="1323" t="s">
        <v>2662</v>
      </c>
      <c r="D200" s="1324">
        <f t="shared" si="42"/>
        <v>41598</v>
      </c>
      <c r="E200" s="1323">
        <f t="shared" si="44"/>
        <v>10.168900000000001</v>
      </c>
      <c r="F200" s="1323">
        <f t="shared" si="43"/>
        <v>9.4455469514542134</v>
      </c>
      <c r="G200" s="1323">
        <f t="shared" si="45"/>
        <v>2013</v>
      </c>
      <c r="H200" s="1323">
        <f t="shared" si="46"/>
        <v>11</v>
      </c>
      <c r="I200" s="1323">
        <f t="shared" si="47"/>
        <v>20</v>
      </c>
      <c r="J200" s="1323"/>
      <c r="K200" s="1323"/>
      <c r="L200" s="1323"/>
      <c r="M200" s="1323"/>
      <c r="N200" s="1323"/>
      <c r="O200" s="1323"/>
      <c r="P200" s="1323"/>
      <c r="Q200" s="1323"/>
      <c r="R200" s="1304"/>
      <c r="S200" s="1304"/>
      <c r="T200" s="1304"/>
    </row>
    <row r="201" spans="1:20">
      <c r="A201" s="1303"/>
      <c r="B201" s="1322" t="s">
        <v>2663</v>
      </c>
      <c r="C201" s="1323" t="s">
        <v>2664</v>
      </c>
      <c r="D201" s="1324">
        <f t="shared" ref="D201:D264" si="48">DATE(G201,H201,I201)</f>
        <v>41597</v>
      </c>
      <c r="E201" s="1323">
        <f t="shared" si="44"/>
        <v>10.1004</v>
      </c>
      <c r="F201" s="1323">
        <f t="shared" ref="F201:F264" si="49">F202*(1+$F$7/365)</f>
        <v>9.4437358240359046</v>
      </c>
      <c r="G201" s="1323">
        <f t="shared" si="45"/>
        <v>2013</v>
      </c>
      <c r="H201" s="1323">
        <f t="shared" si="46"/>
        <v>11</v>
      </c>
      <c r="I201" s="1323">
        <f t="shared" si="47"/>
        <v>19</v>
      </c>
      <c r="J201" s="1323"/>
      <c r="K201" s="1323"/>
      <c r="L201" s="1323"/>
      <c r="M201" s="1323"/>
      <c r="N201" s="1323"/>
      <c r="O201" s="1323"/>
      <c r="P201" s="1323"/>
      <c r="Q201" s="1323"/>
      <c r="R201" s="1304"/>
      <c r="S201" s="1304"/>
      <c r="T201" s="1304"/>
    </row>
    <row r="202" spans="1:20">
      <c r="A202" s="1303"/>
      <c r="B202" s="1322" t="s">
        <v>2665</v>
      </c>
      <c r="C202" s="1323" t="s">
        <v>2666</v>
      </c>
      <c r="D202" s="1324">
        <f t="shared" si="48"/>
        <v>41596</v>
      </c>
      <c r="E202" s="1323">
        <f t="shared" si="44"/>
        <v>10.1485</v>
      </c>
      <c r="F202" s="1323">
        <f t="shared" si="49"/>
        <v>9.4419250438905014</v>
      </c>
      <c r="G202" s="1323">
        <f t="shared" si="45"/>
        <v>2013</v>
      </c>
      <c r="H202" s="1323">
        <f t="shared" si="46"/>
        <v>11</v>
      </c>
      <c r="I202" s="1323">
        <f t="shared" si="47"/>
        <v>18</v>
      </c>
      <c r="J202" s="1323"/>
      <c r="K202" s="1323"/>
      <c r="L202" s="1323"/>
      <c r="M202" s="1323"/>
      <c r="N202" s="1323"/>
      <c r="O202" s="1323"/>
      <c r="P202" s="1323"/>
      <c r="Q202" s="1323"/>
      <c r="R202" s="1304"/>
      <c r="S202" s="1304"/>
      <c r="T202" s="1304"/>
    </row>
    <row r="203" spans="1:20">
      <c r="A203" s="1303"/>
      <c r="B203" s="1322" t="s">
        <v>2667</v>
      </c>
      <c r="C203" s="1323" t="s">
        <v>2668</v>
      </c>
      <c r="D203" s="1324">
        <f t="shared" si="48"/>
        <v>41593</v>
      </c>
      <c r="E203" s="1323">
        <f t="shared" si="44"/>
        <v>10.2163</v>
      </c>
      <c r="F203" s="1323">
        <f t="shared" si="49"/>
        <v>9.4401146109514151</v>
      </c>
      <c r="G203" s="1323">
        <f t="shared" si="45"/>
        <v>2013</v>
      </c>
      <c r="H203" s="1323">
        <f t="shared" si="46"/>
        <v>11</v>
      </c>
      <c r="I203" s="1323">
        <f t="shared" si="47"/>
        <v>15</v>
      </c>
      <c r="J203" s="1323"/>
      <c r="K203" s="1323"/>
      <c r="L203" s="1323"/>
      <c r="M203" s="1323"/>
      <c r="N203" s="1323"/>
      <c r="O203" s="1323"/>
      <c r="P203" s="1323"/>
      <c r="Q203" s="1323"/>
      <c r="R203" s="1304"/>
      <c r="S203" s="1304"/>
      <c r="T203" s="1304"/>
    </row>
    <row r="204" spans="1:20">
      <c r="A204" s="1303"/>
      <c r="B204" s="1322" t="s">
        <v>2669</v>
      </c>
      <c r="C204" s="1323" t="s">
        <v>2670</v>
      </c>
      <c r="D204" s="1324">
        <f t="shared" si="48"/>
        <v>41592</v>
      </c>
      <c r="E204" s="1323">
        <f t="shared" si="44"/>
        <v>10.295999999999999</v>
      </c>
      <c r="F204" s="1323">
        <f t="shared" si="49"/>
        <v>9.4383045251520699</v>
      </c>
      <c r="G204" s="1323">
        <f t="shared" si="45"/>
        <v>2013</v>
      </c>
      <c r="H204" s="1323">
        <f t="shared" si="46"/>
        <v>11</v>
      </c>
      <c r="I204" s="1323">
        <f t="shared" si="47"/>
        <v>14</v>
      </c>
      <c r="J204" s="1323"/>
      <c r="K204" s="1323"/>
      <c r="L204" s="1323"/>
      <c r="M204" s="1323"/>
      <c r="N204" s="1323"/>
      <c r="O204" s="1323"/>
      <c r="P204" s="1323"/>
      <c r="Q204" s="1323"/>
      <c r="R204" s="1304"/>
      <c r="S204" s="1304"/>
      <c r="T204" s="1304"/>
    </row>
    <row r="205" spans="1:20">
      <c r="A205" s="1303"/>
      <c r="B205" s="1322" t="s">
        <v>2671</v>
      </c>
      <c r="C205" s="1323" t="s">
        <v>2672</v>
      </c>
      <c r="D205" s="1324">
        <f t="shared" si="48"/>
        <v>41591</v>
      </c>
      <c r="E205" s="1323">
        <f t="shared" si="44"/>
        <v>10.3584</v>
      </c>
      <c r="F205" s="1323">
        <f t="shared" si="49"/>
        <v>9.4364947864259054</v>
      </c>
      <c r="G205" s="1323">
        <f t="shared" si="45"/>
        <v>2013</v>
      </c>
      <c r="H205" s="1323">
        <f t="shared" si="46"/>
        <v>11</v>
      </c>
      <c r="I205" s="1323">
        <f t="shared" si="47"/>
        <v>13</v>
      </c>
      <c r="J205" s="1323"/>
      <c r="K205" s="1323"/>
      <c r="L205" s="1323"/>
      <c r="M205" s="1323"/>
      <c r="N205" s="1323"/>
      <c r="O205" s="1323"/>
      <c r="P205" s="1323"/>
      <c r="Q205" s="1323"/>
      <c r="R205" s="1304"/>
      <c r="S205" s="1304"/>
      <c r="T205" s="1304"/>
    </row>
    <row r="206" spans="1:20">
      <c r="A206" s="1303"/>
      <c r="B206" s="1322" t="s">
        <v>2673</v>
      </c>
      <c r="C206" s="1323" t="s">
        <v>2674</v>
      </c>
      <c r="D206" s="1324">
        <f t="shared" si="48"/>
        <v>41590</v>
      </c>
      <c r="E206" s="1323">
        <f t="shared" si="44"/>
        <v>10.4147</v>
      </c>
      <c r="F206" s="1323">
        <f t="shared" si="49"/>
        <v>9.4346853947063725</v>
      </c>
      <c r="G206" s="1323">
        <f t="shared" si="45"/>
        <v>2013</v>
      </c>
      <c r="H206" s="1323">
        <f t="shared" si="46"/>
        <v>11</v>
      </c>
      <c r="I206" s="1323">
        <f t="shared" si="47"/>
        <v>12</v>
      </c>
      <c r="J206" s="1323"/>
      <c r="K206" s="1323"/>
      <c r="L206" s="1323"/>
      <c r="M206" s="1323"/>
      <c r="N206" s="1323"/>
      <c r="O206" s="1323"/>
      <c r="P206" s="1323"/>
      <c r="Q206" s="1323"/>
      <c r="R206" s="1304"/>
      <c r="S206" s="1304"/>
      <c r="T206" s="1304"/>
    </row>
    <row r="207" spans="1:20">
      <c r="A207" s="1303"/>
      <c r="B207" s="1322" t="s">
        <v>2675</v>
      </c>
      <c r="C207" s="1323" t="s">
        <v>2676</v>
      </c>
      <c r="D207" s="1324">
        <f t="shared" si="48"/>
        <v>41589</v>
      </c>
      <c r="E207" s="1323">
        <f t="shared" si="44"/>
        <v>10.328799999999999</v>
      </c>
      <c r="F207" s="1323">
        <f t="shared" si="49"/>
        <v>9.4328763499269339</v>
      </c>
      <c r="G207" s="1323">
        <f t="shared" si="45"/>
        <v>2013</v>
      </c>
      <c r="H207" s="1323">
        <f t="shared" si="46"/>
        <v>11</v>
      </c>
      <c r="I207" s="1323">
        <f t="shared" si="47"/>
        <v>11</v>
      </c>
      <c r="J207" s="1323"/>
      <c r="K207" s="1323"/>
      <c r="L207" s="1323"/>
      <c r="M207" s="1323"/>
      <c r="N207" s="1323"/>
      <c r="O207" s="1323"/>
      <c r="P207" s="1323"/>
      <c r="Q207" s="1323"/>
      <c r="R207" s="1304"/>
      <c r="S207" s="1304"/>
      <c r="T207" s="1304"/>
    </row>
    <row r="208" spans="1:20">
      <c r="A208" s="1303"/>
      <c r="B208" s="1322" t="s">
        <v>2677</v>
      </c>
      <c r="C208" s="1323" t="s">
        <v>2678</v>
      </c>
      <c r="D208" s="1324">
        <f t="shared" si="48"/>
        <v>41586</v>
      </c>
      <c r="E208" s="1323">
        <f t="shared" si="44"/>
        <v>10.2768</v>
      </c>
      <c r="F208" s="1323">
        <f t="shared" si="49"/>
        <v>9.431067652021067</v>
      </c>
      <c r="G208" s="1323">
        <f t="shared" si="45"/>
        <v>2013</v>
      </c>
      <c r="H208" s="1323">
        <f t="shared" si="46"/>
        <v>11</v>
      </c>
      <c r="I208" s="1323">
        <f t="shared" si="47"/>
        <v>8</v>
      </c>
      <c r="J208" s="1323"/>
      <c r="K208" s="1323"/>
      <c r="L208" s="1323"/>
      <c r="M208" s="1323"/>
      <c r="N208" s="1323"/>
      <c r="O208" s="1323"/>
      <c r="P208" s="1323"/>
      <c r="Q208" s="1323"/>
      <c r="R208" s="1304"/>
      <c r="S208" s="1304"/>
      <c r="T208" s="1304"/>
    </row>
    <row r="209" spans="1:20">
      <c r="A209" s="1303"/>
      <c r="B209" s="1322" t="s">
        <v>2679</v>
      </c>
      <c r="C209" s="1323" t="s">
        <v>2680</v>
      </c>
      <c r="D209" s="1324">
        <f t="shared" si="48"/>
        <v>41585</v>
      </c>
      <c r="E209" s="1323">
        <f t="shared" si="44"/>
        <v>10.2698</v>
      </c>
      <c r="F209" s="1323">
        <f t="shared" si="49"/>
        <v>9.4292593009222596</v>
      </c>
      <c r="G209" s="1323">
        <f t="shared" si="45"/>
        <v>2013</v>
      </c>
      <c r="H209" s="1323">
        <f t="shared" si="46"/>
        <v>11</v>
      </c>
      <c r="I209" s="1323">
        <f t="shared" si="47"/>
        <v>7</v>
      </c>
      <c r="J209" s="1323"/>
      <c r="K209" s="1323"/>
      <c r="L209" s="1323"/>
      <c r="M209" s="1323"/>
      <c r="N209" s="1323"/>
      <c r="O209" s="1323"/>
      <c r="P209" s="1323"/>
      <c r="Q209" s="1323"/>
      <c r="R209" s="1304"/>
      <c r="S209" s="1304"/>
      <c r="T209" s="1304"/>
    </row>
    <row r="210" spans="1:20">
      <c r="A210" s="1303"/>
      <c r="B210" s="1322" t="s">
        <v>2681</v>
      </c>
      <c r="C210" s="1323" t="s">
        <v>2682</v>
      </c>
      <c r="D210" s="1324">
        <f t="shared" si="48"/>
        <v>41584</v>
      </c>
      <c r="E210" s="1323">
        <f t="shared" si="44"/>
        <v>10.226100000000001</v>
      </c>
      <c r="F210" s="1323">
        <f t="shared" si="49"/>
        <v>9.4274512965640138</v>
      </c>
      <c r="G210" s="1323">
        <f t="shared" si="45"/>
        <v>2013</v>
      </c>
      <c r="H210" s="1323">
        <f t="shared" si="46"/>
        <v>11</v>
      </c>
      <c r="I210" s="1323">
        <f t="shared" si="47"/>
        <v>6</v>
      </c>
      <c r="J210" s="1323"/>
      <c r="K210" s="1323"/>
      <c r="L210" s="1323"/>
      <c r="M210" s="1323"/>
      <c r="N210" s="1323"/>
      <c r="O210" s="1323"/>
      <c r="P210" s="1323"/>
      <c r="Q210" s="1323"/>
      <c r="R210" s="1304"/>
      <c r="S210" s="1304"/>
      <c r="T210" s="1304"/>
    </row>
    <row r="211" spans="1:20">
      <c r="A211" s="1303"/>
      <c r="B211" s="1322" t="s">
        <v>2683</v>
      </c>
      <c r="C211" s="1323" t="s">
        <v>2684</v>
      </c>
      <c r="D211" s="1324">
        <f t="shared" si="48"/>
        <v>41583</v>
      </c>
      <c r="E211" s="1323">
        <f t="shared" si="44"/>
        <v>10.165800000000001</v>
      </c>
      <c r="F211" s="1323">
        <f t="shared" si="49"/>
        <v>9.4256436388798441</v>
      </c>
      <c r="G211" s="1323">
        <f t="shared" si="45"/>
        <v>2013</v>
      </c>
      <c r="H211" s="1323">
        <f t="shared" si="46"/>
        <v>11</v>
      </c>
      <c r="I211" s="1323">
        <f t="shared" si="47"/>
        <v>5</v>
      </c>
      <c r="J211" s="1323"/>
      <c r="K211" s="1323"/>
      <c r="L211" s="1323"/>
      <c r="M211" s="1323"/>
      <c r="N211" s="1323"/>
      <c r="O211" s="1323"/>
      <c r="P211" s="1323"/>
      <c r="Q211" s="1323"/>
      <c r="R211" s="1304"/>
      <c r="S211" s="1304"/>
      <c r="T211" s="1304"/>
    </row>
    <row r="212" spans="1:20">
      <c r="A212" s="1303"/>
      <c r="B212" s="1322" t="s">
        <v>2685</v>
      </c>
      <c r="C212" s="1323" t="s">
        <v>2662</v>
      </c>
      <c r="D212" s="1324">
        <f t="shared" si="48"/>
        <v>41582</v>
      </c>
      <c r="E212" s="1323">
        <f t="shared" si="44"/>
        <v>10.1638</v>
      </c>
      <c r="F212" s="1323">
        <f t="shared" si="49"/>
        <v>9.4238363278032793</v>
      </c>
      <c r="G212" s="1323">
        <f t="shared" si="45"/>
        <v>2013</v>
      </c>
      <c r="H212" s="1323">
        <f t="shared" si="46"/>
        <v>11</v>
      </c>
      <c r="I212" s="1323">
        <f t="shared" si="47"/>
        <v>4</v>
      </c>
      <c r="J212" s="1323"/>
      <c r="K212" s="1323"/>
      <c r="L212" s="1323"/>
      <c r="M212" s="1323"/>
      <c r="N212" s="1323"/>
      <c r="O212" s="1323"/>
      <c r="P212" s="1323"/>
      <c r="Q212" s="1323"/>
      <c r="R212" s="1304"/>
      <c r="S212" s="1304"/>
      <c r="T212" s="1304"/>
    </row>
    <row r="213" spans="1:20">
      <c r="A213" s="1303"/>
      <c r="B213" s="1322" t="s">
        <v>2686</v>
      </c>
      <c r="C213" s="1323" t="s">
        <v>2687</v>
      </c>
      <c r="D213" s="1324">
        <f t="shared" si="48"/>
        <v>41579</v>
      </c>
      <c r="E213" s="1323">
        <f t="shared" si="44"/>
        <v>10.0631</v>
      </c>
      <c r="F213" s="1323">
        <f t="shared" si="49"/>
        <v>9.4220293632678569</v>
      </c>
      <c r="G213" s="1323">
        <f t="shared" si="45"/>
        <v>2013</v>
      </c>
      <c r="H213" s="1323">
        <f t="shared" si="46"/>
        <v>11</v>
      </c>
      <c r="I213" s="1323">
        <f t="shared" si="47"/>
        <v>1</v>
      </c>
      <c r="J213" s="1323"/>
      <c r="K213" s="1323"/>
      <c r="L213" s="1323"/>
      <c r="M213" s="1323"/>
      <c r="N213" s="1323"/>
      <c r="O213" s="1323"/>
      <c r="P213" s="1323"/>
      <c r="Q213" s="1323"/>
      <c r="R213" s="1304"/>
      <c r="S213" s="1304"/>
      <c r="T213" s="1304"/>
    </row>
    <row r="214" spans="1:20">
      <c r="A214" s="1303"/>
      <c r="B214" s="1322" t="s">
        <v>2688</v>
      </c>
      <c r="C214" s="1323" t="s">
        <v>2689</v>
      </c>
      <c r="D214" s="1324">
        <f t="shared" si="48"/>
        <v>41578</v>
      </c>
      <c r="E214" s="1323">
        <f t="shared" ref="E214:E277" si="50">VALUE(C215)</f>
        <v>9.9559999999999995</v>
      </c>
      <c r="F214" s="1323">
        <f t="shared" si="49"/>
        <v>9.4202227452071323</v>
      </c>
      <c r="G214" s="1323">
        <f t="shared" ref="G214:G277" si="51">YEAR(B215)</f>
        <v>2013</v>
      </c>
      <c r="H214" s="1323">
        <f t="shared" ref="H214:H277" si="52">MONTH(B215)</f>
        <v>10</v>
      </c>
      <c r="I214" s="1323">
        <f t="shared" ref="I214:I277" si="53">DAY(B215)</f>
        <v>31</v>
      </c>
      <c r="J214" s="1323"/>
      <c r="K214" s="1323"/>
      <c r="L214" s="1323"/>
      <c r="M214" s="1323"/>
      <c r="N214" s="1323"/>
      <c r="O214" s="1323"/>
      <c r="P214" s="1323"/>
      <c r="Q214" s="1323"/>
      <c r="R214" s="1304"/>
      <c r="S214" s="1304"/>
      <c r="T214" s="1304"/>
    </row>
    <row r="215" spans="1:20">
      <c r="A215" s="1303"/>
      <c r="B215" s="1322" t="s">
        <v>2690</v>
      </c>
      <c r="C215" s="1323" t="s">
        <v>2691</v>
      </c>
      <c r="D215" s="1324">
        <f t="shared" si="48"/>
        <v>41577</v>
      </c>
      <c r="E215" s="1323">
        <f t="shared" si="50"/>
        <v>9.8816000000000006</v>
      </c>
      <c r="F215" s="1323">
        <f t="shared" si="49"/>
        <v>9.4184164735546698</v>
      </c>
      <c r="G215" s="1323">
        <f t="shared" si="51"/>
        <v>2013</v>
      </c>
      <c r="H215" s="1323">
        <f t="shared" si="52"/>
        <v>10</v>
      </c>
      <c r="I215" s="1323">
        <f t="shared" si="53"/>
        <v>30</v>
      </c>
      <c r="J215" s="1323"/>
      <c r="K215" s="1323"/>
      <c r="L215" s="1323"/>
      <c r="M215" s="1323"/>
      <c r="N215" s="1323"/>
      <c r="O215" s="1323"/>
      <c r="P215" s="1323"/>
      <c r="Q215" s="1323"/>
      <c r="R215" s="1304"/>
      <c r="S215" s="1304"/>
      <c r="T215" s="1304"/>
    </row>
    <row r="216" spans="1:20">
      <c r="A216" s="1303"/>
      <c r="B216" s="1322" t="s">
        <v>2692</v>
      </c>
      <c r="C216" s="1323" t="s">
        <v>2693</v>
      </c>
      <c r="D216" s="1324">
        <f t="shared" si="48"/>
        <v>41576</v>
      </c>
      <c r="E216" s="1323">
        <f t="shared" si="50"/>
        <v>9.8552999999999997</v>
      </c>
      <c r="F216" s="1323">
        <f t="shared" si="49"/>
        <v>9.4166105482440479</v>
      </c>
      <c r="G216" s="1323">
        <f t="shared" si="51"/>
        <v>2013</v>
      </c>
      <c r="H216" s="1323">
        <f t="shared" si="52"/>
        <v>10</v>
      </c>
      <c r="I216" s="1323">
        <f t="shared" si="53"/>
        <v>29</v>
      </c>
      <c r="J216" s="1323"/>
      <c r="K216" s="1323"/>
      <c r="L216" s="1323"/>
      <c r="M216" s="1323"/>
      <c r="N216" s="1323"/>
      <c r="O216" s="1323"/>
      <c r="P216" s="1323"/>
      <c r="Q216" s="1323"/>
      <c r="R216" s="1304"/>
      <c r="S216" s="1304"/>
      <c r="T216" s="1304"/>
    </row>
    <row r="217" spans="1:20">
      <c r="A217" s="1303"/>
      <c r="B217" s="1322" t="s">
        <v>2694</v>
      </c>
      <c r="C217" s="1323" t="s">
        <v>2695</v>
      </c>
      <c r="D217" s="1324">
        <f t="shared" si="48"/>
        <v>41575</v>
      </c>
      <c r="E217" s="1323">
        <f t="shared" si="50"/>
        <v>9.7929999999999993</v>
      </c>
      <c r="F217" s="1323">
        <f t="shared" si="49"/>
        <v>9.4148049692088573</v>
      </c>
      <c r="G217" s="1323">
        <f t="shared" si="51"/>
        <v>2013</v>
      </c>
      <c r="H217" s="1323">
        <f t="shared" si="52"/>
        <v>10</v>
      </c>
      <c r="I217" s="1323">
        <f t="shared" si="53"/>
        <v>28</v>
      </c>
      <c r="J217" s="1323"/>
      <c r="K217" s="1323"/>
      <c r="L217" s="1323"/>
      <c r="M217" s="1323"/>
      <c r="N217" s="1323"/>
      <c r="O217" s="1323"/>
      <c r="P217" s="1323"/>
      <c r="Q217" s="1323"/>
      <c r="R217" s="1304"/>
      <c r="S217" s="1304"/>
      <c r="T217" s="1304"/>
    </row>
    <row r="218" spans="1:20">
      <c r="A218" s="1303"/>
      <c r="B218" s="1322" t="s">
        <v>2696</v>
      </c>
      <c r="C218" s="1323" t="s">
        <v>2697</v>
      </c>
      <c r="D218" s="1324">
        <f t="shared" si="48"/>
        <v>41572</v>
      </c>
      <c r="E218" s="1323">
        <f t="shared" si="50"/>
        <v>9.8168000000000006</v>
      </c>
      <c r="F218" s="1323">
        <f t="shared" si="49"/>
        <v>9.4129997363827016</v>
      </c>
      <c r="G218" s="1323">
        <f t="shared" si="51"/>
        <v>2013</v>
      </c>
      <c r="H218" s="1323">
        <f t="shared" si="52"/>
        <v>10</v>
      </c>
      <c r="I218" s="1323">
        <f t="shared" si="53"/>
        <v>25</v>
      </c>
      <c r="J218" s="1323"/>
      <c r="K218" s="1323"/>
      <c r="L218" s="1323"/>
      <c r="M218" s="1323"/>
      <c r="N218" s="1323"/>
      <c r="O218" s="1323"/>
      <c r="P218" s="1323"/>
      <c r="Q218" s="1323"/>
      <c r="R218" s="1304"/>
      <c r="S218" s="1304"/>
      <c r="T218" s="1304"/>
    </row>
    <row r="219" spans="1:20">
      <c r="A219" s="1303"/>
      <c r="B219" s="1322" t="s">
        <v>2698</v>
      </c>
      <c r="C219" s="1323" t="s">
        <v>2699</v>
      </c>
      <c r="D219" s="1324">
        <f t="shared" si="48"/>
        <v>41571</v>
      </c>
      <c r="E219" s="1323">
        <f t="shared" si="50"/>
        <v>9.7743000000000002</v>
      </c>
      <c r="F219" s="1323">
        <f t="shared" si="49"/>
        <v>9.4111948496991982</v>
      </c>
      <c r="G219" s="1323">
        <f t="shared" si="51"/>
        <v>2013</v>
      </c>
      <c r="H219" s="1323">
        <f t="shared" si="52"/>
        <v>10</v>
      </c>
      <c r="I219" s="1323">
        <f t="shared" si="53"/>
        <v>24</v>
      </c>
      <c r="J219" s="1323"/>
      <c r="K219" s="1323"/>
      <c r="L219" s="1323"/>
      <c r="M219" s="1323"/>
      <c r="N219" s="1323"/>
      <c r="O219" s="1323"/>
      <c r="P219" s="1323"/>
      <c r="Q219" s="1323"/>
      <c r="R219" s="1304"/>
      <c r="S219" s="1304"/>
      <c r="T219" s="1304"/>
    </row>
    <row r="220" spans="1:20">
      <c r="A220" s="1303"/>
      <c r="B220" s="1322" t="s">
        <v>2700</v>
      </c>
      <c r="C220" s="1323" t="s">
        <v>2701</v>
      </c>
      <c r="D220" s="1324">
        <f t="shared" si="48"/>
        <v>41570</v>
      </c>
      <c r="E220" s="1323">
        <f t="shared" si="50"/>
        <v>9.8018000000000001</v>
      </c>
      <c r="F220" s="1323">
        <f t="shared" si="49"/>
        <v>9.4093903090919753</v>
      </c>
      <c r="G220" s="1323">
        <f t="shared" si="51"/>
        <v>2013</v>
      </c>
      <c r="H220" s="1323">
        <f t="shared" si="52"/>
        <v>10</v>
      </c>
      <c r="I220" s="1323">
        <f t="shared" si="53"/>
        <v>23</v>
      </c>
      <c r="J220" s="1323"/>
      <c r="K220" s="1323"/>
      <c r="L220" s="1323"/>
      <c r="M220" s="1323"/>
      <c r="N220" s="1323"/>
      <c r="O220" s="1323"/>
      <c r="P220" s="1323"/>
      <c r="Q220" s="1323"/>
      <c r="R220" s="1304"/>
      <c r="S220" s="1304"/>
      <c r="T220" s="1304"/>
    </row>
    <row r="221" spans="1:20">
      <c r="A221" s="1303"/>
      <c r="B221" s="1322" t="s">
        <v>2702</v>
      </c>
      <c r="C221" s="1323" t="s">
        <v>2703</v>
      </c>
      <c r="D221" s="1324">
        <f t="shared" si="48"/>
        <v>41569</v>
      </c>
      <c r="E221" s="1323">
        <f t="shared" si="50"/>
        <v>9.85</v>
      </c>
      <c r="F221" s="1323">
        <f t="shared" si="49"/>
        <v>9.4075861144946753</v>
      </c>
      <c r="G221" s="1323">
        <f t="shared" si="51"/>
        <v>2013</v>
      </c>
      <c r="H221" s="1323">
        <f t="shared" si="52"/>
        <v>10</v>
      </c>
      <c r="I221" s="1323">
        <f t="shared" si="53"/>
        <v>22</v>
      </c>
      <c r="J221" s="1323"/>
      <c r="K221" s="1323"/>
      <c r="L221" s="1323"/>
      <c r="M221" s="1323"/>
      <c r="N221" s="1323"/>
      <c r="O221" s="1323"/>
      <c r="P221" s="1323"/>
      <c r="Q221" s="1323"/>
      <c r="R221" s="1304"/>
      <c r="S221" s="1304"/>
      <c r="T221" s="1304"/>
    </row>
    <row r="222" spans="1:20">
      <c r="A222" s="1303"/>
      <c r="B222" s="1322" t="s">
        <v>2704</v>
      </c>
      <c r="C222" s="1323" t="s">
        <v>2705</v>
      </c>
      <c r="D222" s="1324">
        <f t="shared" si="48"/>
        <v>41568</v>
      </c>
      <c r="E222" s="1323">
        <f t="shared" si="50"/>
        <v>9.8315000000000001</v>
      </c>
      <c r="F222" s="1323">
        <f t="shared" si="49"/>
        <v>9.4057822658409513</v>
      </c>
      <c r="G222" s="1323">
        <f t="shared" si="51"/>
        <v>2013</v>
      </c>
      <c r="H222" s="1323">
        <f t="shared" si="52"/>
        <v>10</v>
      </c>
      <c r="I222" s="1323">
        <f t="shared" si="53"/>
        <v>21</v>
      </c>
      <c r="J222" s="1323"/>
      <c r="K222" s="1323"/>
      <c r="L222" s="1323"/>
      <c r="M222" s="1323"/>
      <c r="N222" s="1323"/>
      <c r="O222" s="1323"/>
      <c r="P222" s="1323"/>
      <c r="Q222" s="1323"/>
      <c r="R222" s="1304"/>
      <c r="S222" s="1304"/>
      <c r="T222" s="1304"/>
    </row>
    <row r="223" spans="1:20">
      <c r="A223" s="1303"/>
      <c r="B223" s="1322" t="s">
        <v>2706</v>
      </c>
      <c r="C223" s="1323" t="s">
        <v>2707</v>
      </c>
      <c r="D223" s="1324">
        <f t="shared" si="48"/>
        <v>41565</v>
      </c>
      <c r="E223" s="1323">
        <f t="shared" si="50"/>
        <v>9.8423999999999996</v>
      </c>
      <c r="F223" s="1323">
        <f t="shared" si="49"/>
        <v>9.4039787630644724</v>
      </c>
      <c r="G223" s="1323">
        <f t="shared" si="51"/>
        <v>2013</v>
      </c>
      <c r="H223" s="1323">
        <f t="shared" si="52"/>
        <v>10</v>
      </c>
      <c r="I223" s="1323">
        <f t="shared" si="53"/>
        <v>18</v>
      </c>
      <c r="J223" s="1323"/>
      <c r="K223" s="1323"/>
      <c r="L223" s="1323"/>
      <c r="M223" s="1323"/>
      <c r="N223" s="1323"/>
      <c r="O223" s="1323"/>
      <c r="P223" s="1323"/>
      <c r="Q223" s="1323"/>
      <c r="R223" s="1304"/>
      <c r="S223" s="1304"/>
      <c r="T223" s="1304"/>
    </row>
    <row r="224" spans="1:20">
      <c r="A224" s="1303"/>
      <c r="B224" s="1322" t="s">
        <v>2708</v>
      </c>
      <c r="C224" s="1323" t="s">
        <v>2709</v>
      </c>
      <c r="D224" s="1324">
        <f t="shared" si="48"/>
        <v>41564</v>
      </c>
      <c r="E224" s="1323">
        <f t="shared" si="50"/>
        <v>9.8591999999999995</v>
      </c>
      <c r="F224" s="1323">
        <f t="shared" si="49"/>
        <v>9.4021756060989183</v>
      </c>
      <c r="G224" s="1323">
        <f t="shared" si="51"/>
        <v>2013</v>
      </c>
      <c r="H224" s="1323">
        <f t="shared" si="52"/>
        <v>10</v>
      </c>
      <c r="I224" s="1323">
        <f t="shared" si="53"/>
        <v>17</v>
      </c>
      <c r="J224" s="1323"/>
      <c r="K224" s="1323"/>
      <c r="L224" s="1323"/>
      <c r="M224" s="1323"/>
      <c r="N224" s="1323"/>
      <c r="O224" s="1323"/>
      <c r="P224" s="1323"/>
      <c r="Q224" s="1323"/>
      <c r="R224" s="1304"/>
      <c r="S224" s="1304"/>
      <c r="T224" s="1304"/>
    </row>
    <row r="225" spans="1:20">
      <c r="A225" s="1303"/>
      <c r="B225" s="1322" t="s">
        <v>2710</v>
      </c>
      <c r="C225" s="1323" t="s">
        <v>2711</v>
      </c>
      <c r="D225" s="1324">
        <f t="shared" si="48"/>
        <v>41563</v>
      </c>
      <c r="E225" s="1323">
        <f t="shared" si="50"/>
        <v>9.9662000000000006</v>
      </c>
      <c r="F225" s="1323">
        <f t="shared" si="49"/>
        <v>9.4003727948779829</v>
      </c>
      <c r="G225" s="1323">
        <f t="shared" si="51"/>
        <v>2013</v>
      </c>
      <c r="H225" s="1323">
        <f t="shared" si="52"/>
        <v>10</v>
      </c>
      <c r="I225" s="1323">
        <f t="shared" si="53"/>
        <v>16</v>
      </c>
      <c r="J225" s="1323"/>
      <c r="K225" s="1323"/>
      <c r="L225" s="1323"/>
      <c r="M225" s="1323"/>
      <c r="N225" s="1323"/>
      <c r="O225" s="1323"/>
      <c r="P225" s="1323"/>
      <c r="Q225" s="1323"/>
      <c r="R225" s="1304"/>
      <c r="S225" s="1304"/>
      <c r="T225" s="1304"/>
    </row>
    <row r="226" spans="1:20">
      <c r="A226" s="1303"/>
      <c r="B226" s="1322" t="s">
        <v>2712</v>
      </c>
      <c r="C226" s="1323" t="s">
        <v>2713</v>
      </c>
      <c r="D226" s="1324">
        <f t="shared" si="48"/>
        <v>41562</v>
      </c>
      <c r="E226" s="1323">
        <f t="shared" si="50"/>
        <v>9.8960000000000008</v>
      </c>
      <c r="F226" s="1323">
        <f t="shared" si="49"/>
        <v>9.3985703293353708</v>
      </c>
      <c r="G226" s="1323">
        <f t="shared" si="51"/>
        <v>2013</v>
      </c>
      <c r="H226" s="1323">
        <f t="shared" si="52"/>
        <v>10</v>
      </c>
      <c r="I226" s="1323">
        <f t="shared" si="53"/>
        <v>15</v>
      </c>
      <c r="J226" s="1323"/>
      <c r="K226" s="1323"/>
      <c r="L226" s="1323"/>
      <c r="M226" s="1323"/>
      <c r="N226" s="1323"/>
      <c r="O226" s="1323"/>
      <c r="P226" s="1323"/>
      <c r="Q226" s="1323"/>
      <c r="R226" s="1304"/>
      <c r="S226" s="1304"/>
      <c r="T226" s="1304"/>
    </row>
    <row r="227" spans="1:20">
      <c r="A227" s="1303"/>
      <c r="B227" s="1322" t="s">
        <v>2714</v>
      </c>
      <c r="C227" s="1323" t="s">
        <v>2715</v>
      </c>
      <c r="D227" s="1324">
        <f t="shared" si="48"/>
        <v>41561</v>
      </c>
      <c r="E227" s="1323">
        <f t="shared" si="50"/>
        <v>9.9189000000000007</v>
      </c>
      <c r="F227" s="1323">
        <f t="shared" si="49"/>
        <v>9.3967682094047991</v>
      </c>
      <c r="G227" s="1323">
        <f t="shared" si="51"/>
        <v>2013</v>
      </c>
      <c r="H227" s="1323">
        <f t="shared" si="52"/>
        <v>10</v>
      </c>
      <c r="I227" s="1323">
        <f t="shared" si="53"/>
        <v>14</v>
      </c>
      <c r="J227" s="1323"/>
      <c r="K227" s="1323"/>
      <c r="L227" s="1323"/>
      <c r="M227" s="1323"/>
      <c r="N227" s="1323"/>
      <c r="O227" s="1323"/>
      <c r="P227" s="1323"/>
      <c r="Q227" s="1323"/>
      <c r="R227" s="1304"/>
      <c r="S227" s="1304"/>
      <c r="T227" s="1304"/>
    </row>
    <row r="228" spans="1:20">
      <c r="A228" s="1303"/>
      <c r="B228" s="1322" t="s">
        <v>2716</v>
      </c>
      <c r="C228" s="1323" t="s">
        <v>2717</v>
      </c>
      <c r="D228" s="1324">
        <f t="shared" si="48"/>
        <v>41558</v>
      </c>
      <c r="E228" s="1323">
        <f t="shared" si="50"/>
        <v>9.8931000000000004</v>
      </c>
      <c r="F228" s="1323">
        <f t="shared" si="49"/>
        <v>9.3949664350200006</v>
      </c>
      <c r="G228" s="1323">
        <f t="shared" si="51"/>
        <v>2013</v>
      </c>
      <c r="H228" s="1323">
        <f t="shared" si="52"/>
        <v>10</v>
      </c>
      <c r="I228" s="1323">
        <f t="shared" si="53"/>
        <v>11</v>
      </c>
      <c r="J228" s="1323"/>
      <c r="K228" s="1323"/>
      <c r="L228" s="1323"/>
      <c r="M228" s="1323"/>
      <c r="N228" s="1323"/>
      <c r="O228" s="1323"/>
      <c r="P228" s="1323"/>
      <c r="Q228" s="1323"/>
      <c r="R228" s="1304"/>
      <c r="S228" s="1304"/>
      <c r="T228" s="1304"/>
    </row>
    <row r="229" spans="1:20">
      <c r="A229" s="1303"/>
      <c r="B229" s="1322" t="s">
        <v>2718</v>
      </c>
      <c r="C229" s="1323" t="s">
        <v>2719</v>
      </c>
      <c r="D229" s="1324">
        <f t="shared" si="48"/>
        <v>41557</v>
      </c>
      <c r="E229" s="1323">
        <f t="shared" si="50"/>
        <v>9.9720999999999993</v>
      </c>
      <c r="F229" s="1323">
        <f t="shared" si="49"/>
        <v>9.3931650061147174</v>
      </c>
      <c r="G229" s="1323">
        <f t="shared" si="51"/>
        <v>2013</v>
      </c>
      <c r="H229" s="1323">
        <f t="shared" si="52"/>
        <v>10</v>
      </c>
      <c r="I229" s="1323">
        <f t="shared" si="53"/>
        <v>10</v>
      </c>
      <c r="J229" s="1323"/>
      <c r="K229" s="1323"/>
      <c r="L229" s="1323"/>
      <c r="M229" s="1323"/>
      <c r="N229" s="1323"/>
      <c r="O229" s="1323"/>
      <c r="P229" s="1323"/>
      <c r="Q229" s="1323"/>
      <c r="R229" s="1304"/>
      <c r="S229" s="1304"/>
      <c r="T229" s="1304"/>
    </row>
    <row r="230" spans="1:20">
      <c r="A230" s="1303"/>
      <c r="B230" s="1322" t="s">
        <v>2720</v>
      </c>
      <c r="C230" s="1323" t="s">
        <v>2721</v>
      </c>
      <c r="D230" s="1324">
        <f t="shared" si="48"/>
        <v>41556</v>
      </c>
      <c r="E230" s="1323">
        <f t="shared" si="50"/>
        <v>10.0001</v>
      </c>
      <c r="F230" s="1323">
        <f t="shared" si="49"/>
        <v>9.3913639226227072</v>
      </c>
      <c r="G230" s="1323">
        <f t="shared" si="51"/>
        <v>2013</v>
      </c>
      <c r="H230" s="1323">
        <f t="shared" si="52"/>
        <v>10</v>
      </c>
      <c r="I230" s="1323">
        <f t="shared" si="53"/>
        <v>9</v>
      </c>
      <c r="J230" s="1323"/>
      <c r="K230" s="1323"/>
      <c r="L230" s="1323"/>
      <c r="M230" s="1323"/>
      <c r="N230" s="1323"/>
      <c r="O230" s="1323"/>
      <c r="P230" s="1323"/>
      <c r="Q230" s="1323"/>
      <c r="R230" s="1304"/>
      <c r="S230" s="1304"/>
      <c r="T230" s="1304"/>
    </row>
    <row r="231" spans="1:20">
      <c r="A231" s="1303"/>
      <c r="B231" s="1322" t="s">
        <v>2722</v>
      </c>
      <c r="C231" s="1323" t="s">
        <v>2723</v>
      </c>
      <c r="D231" s="1324">
        <f t="shared" si="48"/>
        <v>41555</v>
      </c>
      <c r="E231" s="1323">
        <f t="shared" si="50"/>
        <v>9.9886999999999997</v>
      </c>
      <c r="F231" s="1323">
        <f t="shared" si="49"/>
        <v>9.3895631844777387</v>
      </c>
      <c r="G231" s="1323">
        <f t="shared" si="51"/>
        <v>2013</v>
      </c>
      <c r="H231" s="1323">
        <f t="shared" si="52"/>
        <v>10</v>
      </c>
      <c r="I231" s="1323">
        <f t="shared" si="53"/>
        <v>8</v>
      </c>
      <c r="J231" s="1323"/>
      <c r="K231" s="1323"/>
      <c r="L231" s="1323"/>
      <c r="M231" s="1323"/>
      <c r="N231" s="1323"/>
      <c r="O231" s="1323"/>
      <c r="P231" s="1323"/>
      <c r="Q231" s="1323"/>
      <c r="R231" s="1304"/>
      <c r="S231" s="1304"/>
      <c r="T231" s="1304"/>
    </row>
    <row r="232" spans="1:20">
      <c r="A232" s="1303"/>
      <c r="B232" s="1322" t="s">
        <v>2724</v>
      </c>
      <c r="C232" s="1323" t="s">
        <v>2725</v>
      </c>
      <c r="D232" s="1324">
        <f t="shared" si="48"/>
        <v>41554</v>
      </c>
      <c r="E232" s="1323">
        <f t="shared" si="50"/>
        <v>10.038399999999999</v>
      </c>
      <c r="F232" s="1323">
        <f t="shared" si="49"/>
        <v>9.3877627916135928</v>
      </c>
      <c r="G232" s="1323">
        <f t="shared" si="51"/>
        <v>2013</v>
      </c>
      <c r="H232" s="1323">
        <f t="shared" si="52"/>
        <v>10</v>
      </c>
      <c r="I232" s="1323">
        <f t="shared" si="53"/>
        <v>7</v>
      </c>
      <c r="J232" s="1323"/>
      <c r="K232" s="1323"/>
      <c r="L232" s="1323"/>
      <c r="M232" s="1323"/>
      <c r="N232" s="1323"/>
      <c r="O232" s="1323"/>
      <c r="P232" s="1323"/>
      <c r="Q232" s="1323"/>
      <c r="R232" s="1304"/>
      <c r="S232" s="1304"/>
      <c r="T232" s="1304"/>
    </row>
    <row r="233" spans="1:20">
      <c r="A233" s="1303"/>
      <c r="B233" s="1322" t="s">
        <v>2726</v>
      </c>
      <c r="C233" s="1323" t="s">
        <v>2727</v>
      </c>
      <c r="D233" s="1324">
        <f t="shared" si="48"/>
        <v>41551</v>
      </c>
      <c r="E233" s="1323">
        <f t="shared" si="50"/>
        <v>10.0136</v>
      </c>
      <c r="F233" s="1323">
        <f t="shared" si="49"/>
        <v>9.3859627439640647</v>
      </c>
      <c r="G233" s="1323">
        <f t="shared" si="51"/>
        <v>2013</v>
      </c>
      <c r="H233" s="1323">
        <f t="shared" si="52"/>
        <v>10</v>
      </c>
      <c r="I233" s="1323">
        <f t="shared" si="53"/>
        <v>4</v>
      </c>
      <c r="J233" s="1323"/>
      <c r="K233" s="1323"/>
      <c r="L233" s="1323"/>
      <c r="M233" s="1323"/>
      <c r="N233" s="1323"/>
      <c r="O233" s="1323"/>
      <c r="P233" s="1323"/>
      <c r="Q233" s="1323"/>
      <c r="R233" s="1304"/>
      <c r="S233" s="1304"/>
      <c r="T233" s="1304"/>
    </row>
    <row r="234" spans="1:20">
      <c r="A234" s="1303"/>
      <c r="B234" s="1322" t="s">
        <v>2728</v>
      </c>
      <c r="C234" s="1323" t="s">
        <v>2729</v>
      </c>
      <c r="D234" s="1324">
        <f t="shared" si="48"/>
        <v>41550</v>
      </c>
      <c r="E234" s="1323">
        <f t="shared" si="50"/>
        <v>10.0572</v>
      </c>
      <c r="F234" s="1323">
        <f t="shared" si="49"/>
        <v>9.384163041462962</v>
      </c>
      <c r="G234" s="1323">
        <f t="shared" si="51"/>
        <v>2013</v>
      </c>
      <c r="H234" s="1323">
        <f t="shared" si="52"/>
        <v>10</v>
      </c>
      <c r="I234" s="1323">
        <f t="shared" si="53"/>
        <v>3</v>
      </c>
      <c r="J234" s="1323"/>
      <c r="K234" s="1323"/>
      <c r="L234" s="1323"/>
      <c r="M234" s="1323"/>
      <c r="N234" s="1323"/>
      <c r="O234" s="1323"/>
      <c r="P234" s="1323"/>
      <c r="Q234" s="1323"/>
      <c r="R234" s="1304"/>
      <c r="S234" s="1304"/>
      <c r="T234" s="1304"/>
    </row>
    <row r="235" spans="1:20">
      <c r="A235" s="1303"/>
      <c r="B235" s="1322" t="s">
        <v>2730</v>
      </c>
      <c r="C235" s="1323" t="s">
        <v>2731</v>
      </c>
      <c r="D235" s="1324">
        <f t="shared" si="48"/>
        <v>41549</v>
      </c>
      <c r="E235" s="1323">
        <f t="shared" si="50"/>
        <v>10.1287</v>
      </c>
      <c r="F235" s="1323">
        <f t="shared" si="49"/>
        <v>9.3823636840441047</v>
      </c>
      <c r="G235" s="1323">
        <f t="shared" si="51"/>
        <v>2013</v>
      </c>
      <c r="H235" s="1323">
        <f t="shared" si="52"/>
        <v>10</v>
      </c>
      <c r="I235" s="1323">
        <f t="shared" si="53"/>
        <v>2</v>
      </c>
      <c r="J235" s="1323"/>
      <c r="K235" s="1323"/>
      <c r="L235" s="1323"/>
      <c r="M235" s="1323"/>
      <c r="N235" s="1323"/>
      <c r="O235" s="1323"/>
      <c r="P235" s="1323"/>
      <c r="Q235" s="1323"/>
      <c r="R235" s="1304"/>
      <c r="S235" s="1304"/>
      <c r="T235" s="1304"/>
    </row>
    <row r="236" spans="1:20">
      <c r="A236" s="1303"/>
      <c r="B236" s="1322" t="s">
        <v>2732</v>
      </c>
      <c r="C236" s="1323" t="s">
        <v>2733</v>
      </c>
      <c r="D236" s="1324">
        <f t="shared" si="48"/>
        <v>41548</v>
      </c>
      <c r="E236" s="1323">
        <f t="shared" si="50"/>
        <v>9.9807000000000006</v>
      </c>
      <c r="F236" s="1323">
        <f t="shared" si="49"/>
        <v>9.3805646716413236</v>
      </c>
      <c r="G236" s="1323">
        <f t="shared" si="51"/>
        <v>2013</v>
      </c>
      <c r="H236" s="1323">
        <f t="shared" si="52"/>
        <v>10</v>
      </c>
      <c r="I236" s="1323">
        <f t="shared" si="53"/>
        <v>1</v>
      </c>
      <c r="J236" s="1323"/>
      <c r="K236" s="1323"/>
      <c r="L236" s="1323"/>
      <c r="M236" s="1323"/>
      <c r="N236" s="1323"/>
      <c r="O236" s="1323"/>
      <c r="P236" s="1323"/>
      <c r="Q236" s="1323"/>
      <c r="R236" s="1304"/>
      <c r="S236" s="1304"/>
      <c r="T236" s="1304"/>
    </row>
    <row r="237" spans="1:20">
      <c r="A237" s="1303"/>
      <c r="B237" s="1322" t="s">
        <v>2734</v>
      </c>
      <c r="C237" s="1323" t="s">
        <v>2735</v>
      </c>
      <c r="D237" s="1324">
        <f t="shared" si="48"/>
        <v>41547</v>
      </c>
      <c r="E237" s="1323">
        <f t="shared" si="50"/>
        <v>10.1012</v>
      </c>
      <c r="F237" s="1323">
        <f t="shared" si="49"/>
        <v>9.3787660041884653</v>
      </c>
      <c r="G237" s="1323">
        <f t="shared" si="51"/>
        <v>2013</v>
      </c>
      <c r="H237" s="1323">
        <f t="shared" si="52"/>
        <v>9</v>
      </c>
      <c r="I237" s="1323">
        <f t="shared" si="53"/>
        <v>30</v>
      </c>
      <c r="J237" s="1323"/>
      <c r="K237" s="1323"/>
      <c r="L237" s="1323"/>
      <c r="M237" s="1323"/>
      <c r="N237" s="1323"/>
      <c r="O237" s="1323"/>
      <c r="P237" s="1323"/>
      <c r="Q237" s="1323"/>
      <c r="R237" s="1304"/>
      <c r="S237" s="1304"/>
      <c r="T237" s="1304"/>
    </row>
    <row r="238" spans="1:20">
      <c r="A238" s="1303"/>
      <c r="B238" s="1322" t="s">
        <v>2736</v>
      </c>
      <c r="C238" s="1323" t="s">
        <v>2737</v>
      </c>
      <c r="D238" s="1324">
        <f t="shared" si="48"/>
        <v>41544</v>
      </c>
      <c r="E238" s="1323">
        <f t="shared" si="50"/>
        <v>10.1036</v>
      </c>
      <c r="F238" s="1323">
        <f t="shared" si="49"/>
        <v>9.3769676816193872</v>
      </c>
      <c r="G238" s="1323">
        <f t="shared" si="51"/>
        <v>2013</v>
      </c>
      <c r="H238" s="1323">
        <f t="shared" si="52"/>
        <v>9</v>
      </c>
      <c r="I238" s="1323">
        <f t="shared" si="53"/>
        <v>27</v>
      </c>
      <c r="J238" s="1323"/>
      <c r="K238" s="1323"/>
      <c r="L238" s="1323"/>
      <c r="M238" s="1323"/>
      <c r="N238" s="1323"/>
      <c r="O238" s="1323"/>
      <c r="P238" s="1323"/>
      <c r="Q238" s="1323"/>
      <c r="R238" s="1304"/>
      <c r="S238" s="1304"/>
      <c r="T238" s="1304"/>
    </row>
    <row r="239" spans="1:20">
      <c r="A239" s="1303"/>
      <c r="B239" s="1322" t="s">
        <v>2738</v>
      </c>
      <c r="C239" s="1323" t="s">
        <v>2739</v>
      </c>
      <c r="D239" s="1324">
        <f t="shared" si="48"/>
        <v>41543</v>
      </c>
      <c r="E239" s="1323">
        <f t="shared" si="50"/>
        <v>9.9777000000000005</v>
      </c>
      <c r="F239" s="1323">
        <f t="shared" si="49"/>
        <v>9.3751697038679609</v>
      </c>
      <c r="G239" s="1323">
        <f t="shared" si="51"/>
        <v>2013</v>
      </c>
      <c r="H239" s="1323">
        <f t="shared" si="52"/>
        <v>9</v>
      </c>
      <c r="I239" s="1323">
        <f t="shared" si="53"/>
        <v>26</v>
      </c>
      <c r="J239" s="1323"/>
      <c r="K239" s="1323"/>
      <c r="L239" s="1323"/>
      <c r="M239" s="1323"/>
      <c r="N239" s="1323"/>
      <c r="O239" s="1323"/>
      <c r="P239" s="1323"/>
      <c r="Q239" s="1323"/>
      <c r="R239" s="1304"/>
      <c r="S239" s="1304"/>
      <c r="T239" s="1304"/>
    </row>
    <row r="240" spans="1:20">
      <c r="A240" s="1303"/>
      <c r="B240" s="1322" t="s">
        <v>2740</v>
      </c>
      <c r="C240" s="1323" t="s">
        <v>2741</v>
      </c>
      <c r="D240" s="1324">
        <f t="shared" si="48"/>
        <v>41542</v>
      </c>
      <c r="E240" s="1323">
        <f t="shared" si="50"/>
        <v>9.8539999999999992</v>
      </c>
      <c r="F240" s="1323">
        <f t="shared" si="49"/>
        <v>9.3733720708680686</v>
      </c>
      <c r="G240" s="1323">
        <f t="shared" si="51"/>
        <v>2013</v>
      </c>
      <c r="H240" s="1323">
        <f t="shared" si="52"/>
        <v>9</v>
      </c>
      <c r="I240" s="1323">
        <f t="shared" si="53"/>
        <v>25</v>
      </c>
      <c r="J240" s="1323"/>
      <c r="K240" s="1323"/>
      <c r="L240" s="1323"/>
      <c r="M240" s="1323"/>
      <c r="N240" s="1323"/>
      <c r="O240" s="1323"/>
      <c r="P240" s="1323"/>
      <c r="Q240" s="1323"/>
      <c r="R240" s="1304"/>
      <c r="S240" s="1304"/>
      <c r="T240" s="1304"/>
    </row>
    <row r="241" spans="1:20">
      <c r="A241" s="1303"/>
      <c r="B241" s="1322" t="s">
        <v>2742</v>
      </c>
      <c r="C241" s="1323" t="s">
        <v>2743</v>
      </c>
      <c r="D241" s="1324">
        <f t="shared" si="48"/>
        <v>41540</v>
      </c>
      <c r="E241" s="1323">
        <f t="shared" si="50"/>
        <v>9.8666999999999998</v>
      </c>
      <c r="F241" s="1323">
        <f t="shared" si="49"/>
        <v>9.3715747825536067</v>
      </c>
      <c r="G241" s="1323">
        <f t="shared" si="51"/>
        <v>2013</v>
      </c>
      <c r="H241" s="1323">
        <f t="shared" si="52"/>
        <v>9</v>
      </c>
      <c r="I241" s="1323">
        <f t="shared" si="53"/>
        <v>23</v>
      </c>
      <c r="J241" s="1323"/>
      <c r="K241" s="1323"/>
      <c r="L241" s="1323"/>
      <c r="M241" s="1323"/>
      <c r="N241" s="1323"/>
      <c r="O241" s="1323"/>
      <c r="P241" s="1323"/>
      <c r="Q241" s="1323"/>
      <c r="R241" s="1304"/>
      <c r="S241" s="1304"/>
      <c r="T241" s="1304"/>
    </row>
    <row r="242" spans="1:20">
      <c r="A242" s="1303"/>
      <c r="B242" s="1322" t="s">
        <v>2744</v>
      </c>
      <c r="C242" s="1323" t="s">
        <v>2745</v>
      </c>
      <c r="D242" s="1324">
        <f t="shared" si="48"/>
        <v>41537</v>
      </c>
      <c r="E242" s="1323">
        <f t="shared" si="50"/>
        <v>9.7323000000000004</v>
      </c>
      <c r="F242" s="1323">
        <f t="shared" si="49"/>
        <v>9.3697778388584823</v>
      </c>
      <c r="G242" s="1323">
        <f t="shared" si="51"/>
        <v>2013</v>
      </c>
      <c r="H242" s="1323">
        <f t="shared" si="52"/>
        <v>9</v>
      </c>
      <c r="I242" s="1323">
        <f t="shared" si="53"/>
        <v>20</v>
      </c>
      <c r="J242" s="1323"/>
      <c r="K242" s="1323"/>
      <c r="L242" s="1323"/>
      <c r="M242" s="1323"/>
      <c r="N242" s="1323"/>
      <c r="O242" s="1323"/>
      <c r="P242" s="1323"/>
      <c r="Q242" s="1323"/>
      <c r="R242" s="1304"/>
      <c r="S242" s="1304"/>
      <c r="T242" s="1304"/>
    </row>
    <row r="243" spans="1:20">
      <c r="A243" s="1303"/>
      <c r="B243" s="1322" t="s">
        <v>2746</v>
      </c>
      <c r="C243" s="1323" t="s">
        <v>2747</v>
      </c>
      <c r="D243" s="1324">
        <f t="shared" si="48"/>
        <v>41536</v>
      </c>
      <c r="E243" s="1323">
        <f t="shared" si="50"/>
        <v>9.6221999999999994</v>
      </c>
      <c r="F243" s="1323">
        <f t="shared" si="49"/>
        <v>9.3679812397166184</v>
      </c>
      <c r="G243" s="1323">
        <f t="shared" si="51"/>
        <v>2013</v>
      </c>
      <c r="H243" s="1323">
        <f t="shared" si="52"/>
        <v>9</v>
      </c>
      <c r="I243" s="1323">
        <f t="shared" si="53"/>
        <v>19</v>
      </c>
      <c r="J243" s="1323"/>
      <c r="K243" s="1323"/>
      <c r="L243" s="1323"/>
      <c r="M243" s="1323"/>
      <c r="N243" s="1323"/>
      <c r="O243" s="1323"/>
      <c r="P243" s="1323"/>
      <c r="Q243" s="1323"/>
      <c r="R243" s="1304"/>
      <c r="S243" s="1304"/>
      <c r="T243" s="1304"/>
    </row>
    <row r="244" spans="1:20">
      <c r="A244" s="1303"/>
      <c r="B244" s="1322" t="s">
        <v>2748</v>
      </c>
      <c r="C244" s="1323" t="s">
        <v>2749</v>
      </c>
      <c r="D244" s="1324">
        <f t="shared" si="48"/>
        <v>41535</v>
      </c>
      <c r="E244" s="1323">
        <f t="shared" si="50"/>
        <v>9.8340999999999994</v>
      </c>
      <c r="F244" s="1323">
        <f t="shared" si="49"/>
        <v>9.366184985061949</v>
      </c>
      <c r="G244" s="1323">
        <f t="shared" si="51"/>
        <v>2013</v>
      </c>
      <c r="H244" s="1323">
        <f t="shared" si="52"/>
        <v>9</v>
      </c>
      <c r="I244" s="1323">
        <f t="shared" si="53"/>
        <v>18</v>
      </c>
      <c r="J244" s="1323"/>
      <c r="K244" s="1323"/>
      <c r="L244" s="1323"/>
      <c r="M244" s="1323"/>
      <c r="N244" s="1323"/>
      <c r="O244" s="1323"/>
      <c r="P244" s="1323"/>
      <c r="Q244" s="1323"/>
      <c r="R244" s="1304"/>
      <c r="S244" s="1304"/>
      <c r="T244" s="1304"/>
    </row>
    <row r="245" spans="1:20">
      <c r="A245" s="1303"/>
      <c r="B245" s="1322" t="s">
        <v>2750</v>
      </c>
      <c r="C245" s="1323" t="s">
        <v>2751</v>
      </c>
      <c r="D245" s="1324">
        <f t="shared" si="48"/>
        <v>41534</v>
      </c>
      <c r="E245" s="1323">
        <f t="shared" si="50"/>
        <v>9.8282000000000007</v>
      </c>
      <c r="F245" s="1323">
        <f t="shared" si="49"/>
        <v>9.36438907482842</v>
      </c>
      <c r="G245" s="1323">
        <f t="shared" si="51"/>
        <v>2013</v>
      </c>
      <c r="H245" s="1323">
        <f t="shared" si="52"/>
        <v>9</v>
      </c>
      <c r="I245" s="1323">
        <f t="shared" si="53"/>
        <v>17</v>
      </c>
      <c r="J245" s="1323"/>
      <c r="K245" s="1323"/>
      <c r="L245" s="1323"/>
      <c r="M245" s="1323"/>
      <c r="N245" s="1323"/>
      <c r="O245" s="1323"/>
      <c r="P245" s="1323"/>
      <c r="Q245" s="1323"/>
      <c r="R245" s="1304"/>
      <c r="S245" s="1304"/>
      <c r="T245" s="1304"/>
    </row>
    <row r="246" spans="1:20">
      <c r="A246" s="1303"/>
      <c r="B246" s="1322" t="s">
        <v>2752</v>
      </c>
      <c r="C246" s="1323" t="s">
        <v>2753</v>
      </c>
      <c r="D246" s="1324">
        <f t="shared" si="48"/>
        <v>41533</v>
      </c>
      <c r="E246" s="1323">
        <f t="shared" si="50"/>
        <v>9.7614000000000001</v>
      </c>
      <c r="F246" s="1323">
        <f t="shared" si="49"/>
        <v>9.3625935089499901</v>
      </c>
      <c r="G246" s="1323">
        <f t="shared" si="51"/>
        <v>2013</v>
      </c>
      <c r="H246" s="1323">
        <f t="shared" si="52"/>
        <v>9</v>
      </c>
      <c r="I246" s="1323">
        <f t="shared" si="53"/>
        <v>16</v>
      </c>
      <c r="J246" s="1323"/>
      <c r="K246" s="1323"/>
      <c r="L246" s="1323"/>
      <c r="M246" s="1323"/>
      <c r="N246" s="1323"/>
      <c r="O246" s="1323"/>
      <c r="P246" s="1323"/>
      <c r="Q246" s="1323"/>
      <c r="R246" s="1304"/>
      <c r="S246" s="1304"/>
      <c r="T246" s="1304"/>
    </row>
    <row r="247" spans="1:20">
      <c r="A247" s="1303"/>
      <c r="B247" s="1322" t="s">
        <v>2754</v>
      </c>
      <c r="C247" s="1323" t="s">
        <v>2755</v>
      </c>
      <c r="D247" s="1324">
        <f t="shared" si="48"/>
        <v>41530</v>
      </c>
      <c r="E247" s="1323">
        <f t="shared" si="50"/>
        <v>9.9674999999999994</v>
      </c>
      <c r="F247" s="1323">
        <f t="shared" si="49"/>
        <v>9.3607982873606321</v>
      </c>
      <c r="G247" s="1323">
        <f t="shared" si="51"/>
        <v>2013</v>
      </c>
      <c r="H247" s="1323">
        <f t="shared" si="52"/>
        <v>9</v>
      </c>
      <c r="I247" s="1323">
        <f t="shared" si="53"/>
        <v>13</v>
      </c>
      <c r="J247" s="1323"/>
      <c r="K247" s="1323"/>
      <c r="L247" s="1323"/>
      <c r="M247" s="1323"/>
      <c r="N247" s="1323"/>
      <c r="O247" s="1323"/>
      <c r="P247" s="1323"/>
      <c r="Q247" s="1323"/>
      <c r="R247" s="1304"/>
      <c r="S247" s="1304"/>
      <c r="T247" s="1304"/>
    </row>
    <row r="248" spans="1:20">
      <c r="A248" s="1303"/>
      <c r="B248" s="1322" t="s">
        <v>2756</v>
      </c>
      <c r="C248" s="1323" t="s">
        <v>2757</v>
      </c>
      <c r="D248" s="1324">
        <f t="shared" si="48"/>
        <v>41529</v>
      </c>
      <c r="E248" s="1323">
        <f t="shared" si="50"/>
        <v>9.9332999999999991</v>
      </c>
      <c r="F248" s="1323">
        <f t="shared" si="49"/>
        <v>9.3590034099943313</v>
      </c>
      <c r="G248" s="1323">
        <f t="shared" si="51"/>
        <v>2013</v>
      </c>
      <c r="H248" s="1323">
        <f t="shared" si="52"/>
        <v>9</v>
      </c>
      <c r="I248" s="1323">
        <f t="shared" si="53"/>
        <v>12</v>
      </c>
      <c r="J248" s="1323"/>
      <c r="K248" s="1323"/>
      <c r="L248" s="1323"/>
      <c r="M248" s="1323"/>
      <c r="N248" s="1323"/>
      <c r="O248" s="1323"/>
      <c r="P248" s="1323"/>
      <c r="Q248" s="1323"/>
      <c r="R248" s="1304"/>
      <c r="S248" s="1304"/>
      <c r="T248" s="1304"/>
    </row>
    <row r="249" spans="1:20">
      <c r="A249" s="1303"/>
      <c r="B249" s="1322" t="s">
        <v>2758</v>
      </c>
      <c r="C249" s="1323" t="s">
        <v>2759</v>
      </c>
      <c r="D249" s="1324">
        <f t="shared" si="48"/>
        <v>41528</v>
      </c>
      <c r="E249" s="1323">
        <f t="shared" si="50"/>
        <v>9.9367000000000001</v>
      </c>
      <c r="F249" s="1323">
        <f t="shared" si="49"/>
        <v>9.3572088767850854</v>
      </c>
      <c r="G249" s="1323">
        <f t="shared" si="51"/>
        <v>2013</v>
      </c>
      <c r="H249" s="1323">
        <f t="shared" si="52"/>
        <v>9</v>
      </c>
      <c r="I249" s="1323">
        <f t="shared" si="53"/>
        <v>11</v>
      </c>
      <c r="J249" s="1323"/>
      <c r="K249" s="1323"/>
      <c r="L249" s="1323"/>
      <c r="M249" s="1323"/>
      <c r="N249" s="1323"/>
      <c r="O249" s="1323"/>
      <c r="P249" s="1323"/>
      <c r="Q249" s="1323"/>
      <c r="R249" s="1304"/>
      <c r="S249" s="1304"/>
      <c r="T249" s="1304"/>
    </row>
    <row r="250" spans="1:20">
      <c r="A250" s="1303"/>
      <c r="B250" s="1322" t="s">
        <v>2760</v>
      </c>
      <c r="C250" s="1323" t="s">
        <v>2761</v>
      </c>
      <c r="D250" s="1324">
        <f t="shared" si="48"/>
        <v>41527</v>
      </c>
      <c r="E250" s="1323">
        <f t="shared" si="50"/>
        <v>10.014900000000001</v>
      </c>
      <c r="F250" s="1323">
        <f t="shared" si="49"/>
        <v>9.3554146876669027</v>
      </c>
      <c r="G250" s="1323">
        <f t="shared" si="51"/>
        <v>2013</v>
      </c>
      <c r="H250" s="1323">
        <f t="shared" si="52"/>
        <v>9</v>
      </c>
      <c r="I250" s="1323">
        <f t="shared" si="53"/>
        <v>10</v>
      </c>
      <c r="J250" s="1323"/>
      <c r="K250" s="1323"/>
      <c r="L250" s="1323"/>
      <c r="M250" s="1323"/>
      <c r="N250" s="1323"/>
      <c r="O250" s="1323"/>
      <c r="P250" s="1323"/>
      <c r="Q250" s="1323"/>
      <c r="R250" s="1304"/>
      <c r="S250" s="1304"/>
      <c r="T250" s="1304"/>
    </row>
    <row r="251" spans="1:20">
      <c r="A251" s="1303"/>
      <c r="B251" s="1322" t="s">
        <v>2762</v>
      </c>
      <c r="C251" s="1323" t="s">
        <v>2763</v>
      </c>
      <c r="D251" s="1324">
        <f t="shared" si="48"/>
        <v>41526</v>
      </c>
      <c r="E251" s="1323">
        <f t="shared" si="50"/>
        <v>9.9773999999999994</v>
      </c>
      <c r="F251" s="1323">
        <f t="shared" si="49"/>
        <v>9.3536208425738057</v>
      </c>
      <c r="G251" s="1323">
        <f t="shared" si="51"/>
        <v>2013</v>
      </c>
      <c r="H251" s="1323">
        <f t="shared" si="52"/>
        <v>9</v>
      </c>
      <c r="I251" s="1323">
        <f t="shared" si="53"/>
        <v>9</v>
      </c>
      <c r="J251" s="1323"/>
      <c r="K251" s="1323"/>
      <c r="L251" s="1323"/>
      <c r="M251" s="1323"/>
      <c r="N251" s="1323"/>
      <c r="O251" s="1323"/>
      <c r="P251" s="1323"/>
      <c r="Q251" s="1323"/>
      <c r="R251" s="1304"/>
      <c r="S251" s="1304"/>
      <c r="T251" s="1304"/>
    </row>
    <row r="252" spans="1:20">
      <c r="A252" s="1303"/>
      <c r="B252" s="1322" t="s">
        <v>2764</v>
      </c>
      <c r="C252" s="1323" t="s">
        <v>2765</v>
      </c>
      <c r="D252" s="1324">
        <f t="shared" si="48"/>
        <v>41523</v>
      </c>
      <c r="E252" s="1323">
        <f t="shared" si="50"/>
        <v>10.1845</v>
      </c>
      <c r="F252" s="1323">
        <f t="shared" si="49"/>
        <v>9.3518273414398312</v>
      </c>
      <c r="G252" s="1323">
        <f t="shared" si="51"/>
        <v>2013</v>
      </c>
      <c r="H252" s="1323">
        <f t="shared" si="52"/>
        <v>9</v>
      </c>
      <c r="I252" s="1323">
        <f t="shared" si="53"/>
        <v>6</v>
      </c>
      <c r="J252" s="1323"/>
      <c r="K252" s="1323"/>
      <c r="L252" s="1323"/>
      <c r="M252" s="1323"/>
      <c r="N252" s="1323"/>
      <c r="O252" s="1323"/>
      <c r="P252" s="1323"/>
      <c r="Q252" s="1323"/>
      <c r="R252" s="1304"/>
      <c r="S252" s="1304"/>
      <c r="T252" s="1304"/>
    </row>
    <row r="253" spans="1:20">
      <c r="A253" s="1303"/>
      <c r="B253" s="1322" t="s">
        <v>2766</v>
      </c>
      <c r="C253" s="1323" t="s">
        <v>2767</v>
      </c>
      <c r="D253" s="1324">
        <f t="shared" si="48"/>
        <v>41522</v>
      </c>
      <c r="E253" s="1323">
        <f t="shared" si="50"/>
        <v>10.297700000000001</v>
      </c>
      <c r="F253" s="1323">
        <f t="shared" si="49"/>
        <v>9.3500341841990249</v>
      </c>
      <c r="G253" s="1323">
        <f t="shared" si="51"/>
        <v>2013</v>
      </c>
      <c r="H253" s="1323">
        <f t="shared" si="52"/>
        <v>9</v>
      </c>
      <c r="I253" s="1323">
        <f t="shared" si="53"/>
        <v>5</v>
      </c>
      <c r="J253" s="1323"/>
      <c r="K253" s="1323"/>
      <c r="L253" s="1323"/>
      <c r="M253" s="1323"/>
      <c r="N253" s="1323"/>
      <c r="O253" s="1323"/>
      <c r="P253" s="1323"/>
      <c r="Q253" s="1323"/>
      <c r="R253" s="1304"/>
      <c r="S253" s="1304"/>
      <c r="T253" s="1304"/>
    </row>
    <row r="254" spans="1:20">
      <c r="A254" s="1303"/>
      <c r="B254" s="1322" t="s">
        <v>2768</v>
      </c>
      <c r="C254" s="1323" t="s">
        <v>2769</v>
      </c>
      <c r="D254" s="1324">
        <f t="shared" si="48"/>
        <v>41521</v>
      </c>
      <c r="E254" s="1323">
        <f t="shared" si="50"/>
        <v>10.255699999999999</v>
      </c>
      <c r="F254" s="1323">
        <f t="shared" si="49"/>
        <v>9.3482413707854501</v>
      </c>
      <c r="G254" s="1323">
        <f t="shared" si="51"/>
        <v>2013</v>
      </c>
      <c r="H254" s="1323">
        <f t="shared" si="52"/>
        <v>9</v>
      </c>
      <c r="I254" s="1323">
        <f t="shared" si="53"/>
        <v>4</v>
      </c>
      <c r="J254" s="1323"/>
      <c r="K254" s="1323"/>
      <c r="L254" s="1323"/>
      <c r="M254" s="1323"/>
      <c r="N254" s="1323"/>
      <c r="O254" s="1323"/>
      <c r="P254" s="1323"/>
      <c r="Q254" s="1323"/>
      <c r="R254" s="1304"/>
      <c r="S254" s="1304"/>
      <c r="T254" s="1304"/>
    </row>
    <row r="255" spans="1:20">
      <c r="A255" s="1303"/>
      <c r="B255" s="1322" t="s">
        <v>2770</v>
      </c>
      <c r="C255" s="1323" t="s">
        <v>2771</v>
      </c>
      <c r="D255" s="1324">
        <f t="shared" si="48"/>
        <v>41520</v>
      </c>
      <c r="E255" s="1323">
        <f t="shared" si="50"/>
        <v>10.2758</v>
      </c>
      <c r="F255" s="1323">
        <f t="shared" si="49"/>
        <v>9.3464489011331775</v>
      </c>
      <c r="G255" s="1323">
        <f t="shared" si="51"/>
        <v>2013</v>
      </c>
      <c r="H255" s="1323">
        <f t="shared" si="52"/>
        <v>9</v>
      </c>
      <c r="I255" s="1323">
        <f t="shared" si="53"/>
        <v>3</v>
      </c>
      <c r="J255" s="1323"/>
      <c r="K255" s="1323"/>
      <c r="L255" s="1323"/>
      <c r="M255" s="1323"/>
      <c r="N255" s="1323"/>
      <c r="O255" s="1323"/>
      <c r="P255" s="1323"/>
      <c r="Q255" s="1323"/>
      <c r="R255" s="1304"/>
      <c r="S255" s="1304"/>
      <c r="T255" s="1304"/>
    </row>
    <row r="256" spans="1:20">
      <c r="A256" s="1303"/>
      <c r="B256" s="1322" t="s">
        <v>2772</v>
      </c>
      <c r="C256" s="1323" t="s">
        <v>2773</v>
      </c>
      <c r="D256" s="1324">
        <f t="shared" si="48"/>
        <v>41519</v>
      </c>
      <c r="E256" s="1323">
        <f t="shared" si="50"/>
        <v>10.2059</v>
      </c>
      <c r="F256" s="1323">
        <f t="shared" si="49"/>
        <v>9.3446567751762935</v>
      </c>
      <c r="G256" s="1323">
        <f t="shared" si="51"/>
        <v>2013</v>
      </c>
      <c r="H256" s="1323">
        <f t="shared" si="52"/>
        <v>9</v>
      </c>
      <c r="I256" s="1323">
        <f t="shared" si="53"/>
        <v>2</v>
      </c>
      <c r="J256" s="1323"/>
      <c r="K256" s="1323"/>
      <c r="L256" s="1323"/>
      <c r="M256" s="1323"/>
      <c r="N256" s="1323"/>
      <c r="O256" s="1323"/>
      <c r="P256" s="1323"/>
      <c r="Q256" s="1323"/>
      <c r="R256" s="1304"/>
      <c r="S256" s="1304"/>
      <c r="T256" s="1304"/>
    </row>
    <row r="257" spans="1:20">
      <c r="A257" s="1303"/>
      <c r="B257" s="1322" t="s">
        <v>2774</v>
      </c>
      <c r="C257" s="1323" t="s">
        <v>2775</v>
      </c>
      <c r="D257" s="1324">
        <f t="shared" si="48"/>
        <v>41516</v>
      </c>
      <c r="E257" s="1323">
        <f t="shared" si="50"/>
        <v>10.3348</v>
      </c>
      <c r="F257" s="1323">
        <f t="shared" si="49"/>
        <v>9.3428649928488969</v>
      </c>
      <c r="G257" s="1323">
        <f t="shared" si="51"/>
        <v>2013</v>
      </c>
      <c r="H257" s="1323">
        <f t="shared" si="52"/>
        <v>8</v>
      </c>
      <c r="I257" s="1323">
        <f t="shared" si="53"/>
        <v>30</v>
      </c>
      <c r="J257" s="1323"/>
      <c r="K257" s="1323"/>
      <c r="L257" s="1323"/>
      <c r="M257" s="1323"/>
      <c r="N257" s="1323"/>
      <c r="O257" s="1323"/>
      <c r="P257" s="1323"/>
      <c r="Q257" s="1323"/>
      <c r="R257" s="1304"/>
      <c r="S257" s="1304"/>
      <c r="T257" s="1304"/>
    </row>
    <row r="258" spans="1:20">
      <c r="A258" s="1303"/>
      <c r="B258" s="1322" t="s">
        <v>2776</v>
      </c>
      <c r="C258" s="1323" t="s">
        <v>2777</v>
      </c>
      <c r="D258" s="1324">
        <f t="shared" si="48"/>
        <v>41515</v>
      </c>
      <c r="E258" s="1323">
        <f t="shared" si="50"/>
        <v>10.320399999999999</v>
      </c>
      <c r="F258" s="1323">
        <f t="shared" si="49"/>
        <v>9.3410735540850993</v>
      </c>
      <c r="G258" s="1323">
        <f t="shared" si="51"/>
        <v>2013</v>
      </c>
      <c r="H258" s="1323">
        <f t="shared" si="52"/>
        <v>8</v>
      </c>
      <c r="I258" s="1323">
        <f t="shared" si="53"/>
        <v>29</v>
      </c>
      <c r="J258" s="1323"/>
      <c r="K258" s="1323"/>
      <c r="L258" s="1323"/>
      <c r="M258" s="1323"/>
      <c r="N258" s="1323"/>
      <c r="O258" s="1323"/>
      <c r="P258" s="1323"/>
      <c r="Q258" s="1323"/>
      <c r="R258" s="1304"/>
      <c r="S258" s="1304"/>
      <c r="T258" s="1304"/>
    </row>
    <row r="259" spans="1:20">
      <c r="A259" s="1303"/>
      <c r="B259" s="1322" t="s">
        <v>2778</v>
      </c>
      <c r="C259" s="1323" t="s">
        <v>2779</v>
      </c>
      <c r="D259" s="1324">
        <f t="shared" si="48"/>
        <v>41514</v>
      </c>
      <c r="E259" s="1323">
        <f t="shared" si="50"/>
        <v>10.3969</v>
      </c>
      <c r="F259" s="1323">
        <f t="shared" si="49"/>
        <v>9.3392824588190244</v>
      </c>
      <c r="G259" s="1323">
        <f t="shared" si="51"/>
        <v>2013</v>
      </c>
      <c r="H259" s="1323">
        <f t="shared" si="52"/>
        <v>8</v>
      </c>
      <c r="I259" s="1323">
        <f t="shared" si="53"/>
        <v>28</v>
      </c>
      <c r="J259" s="1323"/>
      <c r="K259" s="1323"/>
      <c r="L259" s="1323"/>
      <c r="M259" s="1323"/>
      <c r="N259" s="1323"/>
      <c r="O259" s="1323"/>
      <c r="P259" s="1323"/>
      <c r="Q259" s="1323"/>
      <c r="R259" s="1304"/>
      <c r="S259" s="1304"/>
      <c r="T259" s="1304"/>
    </row>
    <row r="260" spans="1:20">
      <c r="A260" s="1303"/>
      <c r="B260" s="1322" t="s">
        <v>2780</v>
      </c>
      <c r="C260" s="1323" t="s">
        <v>2781</v>
      </c>
      <c r="D260" s="1324">
        <f t="shared" si="48"/>
        <v>41513</v>
      </c>
      <c r="E260" s="1323">
        <f t="shared" si="50"/>
        <v>10.436299999999999</v>
      </c>
      <c r="F260" s="1323">
        <f t="shared" si="49"/>
        <v>9.3374917069848085</v>
      </c>
      <c r="G260" s="1323">
        <f t="shared" si="51"/>
        <v>2013</v>
      </c>
      <c r="H260" s="1323">
        <f t="shared" si="52"/>
        <v>8</v>
      </c>
      <c r="I260" s="1323">
        <f t="shared" si="53"/>
        <v>27</v>
      </c>
      <c r="J260" s="1323"/>
      <c r="K260" s="1323"/>
      <c r="L260" s="1323"/>
      <c r="M260" s="1323"/>
      <c r="N260" s="1323"/>
      <c r="O260" s="1323"/>
      <c r="P260" s="1323"/>
      <c r="Q260" s="1323"/>
      <c r="R260" s="1304"/>
      <c r="S260" s="1304"/>
      <c r="T260" s="1304"/>
    </row>
    <row r="261" spans="1:20">
      <c r="A261" s="1303"/>
      <c r="B261" s="1322" t="s">
        <v>2782</v>
      </c>
      <c r="C261" s="1323" t="s">
        <v>2783</v>
      </c>
      <c r="D261" s="1324">
        <f t="shared" si="48"/>
        <v>41512</v>
      </c>
      <c r="E261" s="1323">
        <f t="shared" si="50"/>
        <v>10.2417</v>
      </c>
      <c r="F261" s="1323">
        <f t="shared" si="49"/>
        <v>9.3357012985166001</v>
      </c>
      <c r="G261" s="1323">
        <f t="shared" si="51"/>
        <v>2013</v>
      </c>
      <c r="H261" s="1323">
        <f t="shared" si="52"/>
        <v>8</v>
      </c>
      <c r="I261" s="1323">
        <f t="shared" si="53"/>
        <v>26</v>
      </c>
      <c r="J261" s="1323"/>
      <c r="K261" s="1323"/>
      <c r="L261" s="1323"/>
      <c r="M261" s="1323"/>
      <c r="N261" s="1323"/>
      <c r="O261" s="1323"/>
      <c r="P261" s="1323"/>
      <c r="Q261" s="1323"/>
      <c r="R261" s="1304"/>
      <c r="S261" s="1304"/>
      <c r="T261" s="1304"/>
    </row>
    <row r="262" spans="1:20">
      <c r="A262" s="1303"/>
      <c r="B262" s="1322" t="s">
        <v>2784</v>
      </c>
      <c r="C262" s="1323" t="s">
        <v>2785</v>
      </c>
      <c r="D262" s="1324">
        <f t="shared" si="48"/>
        <v>41509</v>
      </c>
      <c r="E262" s="1323">
        <f t="shared" si="50"/>
        <v>10.1922</v>
      </c>
      <c r="F262" s="1323">
        <f t="shared" si="49"/>
        <v>9.3339112333485605</v>
      </c>
      <c r="G262" s="1323">
        <f t="shared" si="51"/>
        <v>2013</v>
      </c>
      <c r="H262" s="1323">
        <f t="shared" si="52"/>
        <v>8</v>
      </c>
      <c r="I262" s="1323">
        <f t="shared" si="53"/>
        <v>23</v>
      </c>
      <c r="J262" s="1323"/>
      <c r="K262" s="1323"/>
      <c r="L262" s="1323"/>
      <c r="M262" s="1323"/>
      <c r="N262" s="1323"/>
      <c r="O262" s="1323"/>
      <c r="P262" s="1323"/>
      <c r="Q262" s="1323"/>
      <c r="R262" s="1304"/>
      <c r="S262" s="1304"/>
      <c r="T262" s="1304"/>
    </row>
    <row r="263" spans="1:20">
      <c r="A263" s="1303"/>
      <c r="B263" s="1322" t="s">
        <v>2786</v>
      </c>
      <c r="C263" s="1323" t="s">
        <v>2787</v>
      </c>
      <c r="D263" s="1324">
        <f t="shared" si="48"/>
        <v>41508</v>
      </c>
      <c r="E263" s="1323">
        <f t="shared" si="50"/>
        <v>10.3141</v>
      </c>
      <c r="F263" s="1323">
        <f t="shared" si="49"/>
        <v>9.332121511414865</v>
      </c>
      <c r="G263" s="1323">
        <f t="shared" si="51"/>
        <v>2013</v>
      </c>
      <c r="H263" s="1323">
        <f t="shared" si="52"/>
        <v>8</v>
      </c>
      <c r="I263" s="1323">
        <f t="shared" si="53"/>
        <v>22</v>
      </c>
      <c r="J263" s="1323"/>
      <c r="K263" s="1323"/>
      <c r="L263" s="1323"/>
      <c r="M263" s="1323"/>
      <c r="N263" s="1323"/>
      <c r="O263" s="1323"/>
      <c r="P263" s="1323"/>
      <c r="Q263" s="1323"/>
      <c r="R263" s="1304"/>
      <c r="S263" s="1304"/>
      <c r="T263" s="1304"/>
    </row>
    <row r="264" spans="1:20">
      <c r="A264" s="1303"/>
      <c r="B264" s="1322" t="s">
        <v>2788</v>
      </c>
      <c r="C264" s="1323" t="s">
        <v>2789</v>
      </c>
      <c r="D264" s="1324">
        <f t="shared" si="48"/>
        <v>41507</v>
      </c>
      <c r="E264" s="1323">
        <f t="shared" si="50"/>
        <v>10.2277</v>
      </c>
      <c r="F264" s="1323">
        <f t="shared" si="49"/>
        <v>9.3303321326496995</v>
      </c>
      <c r="G264" s="1323">
        <f t="shared" si="51"/>
        <v>2013</v>
      </c>
      <c r="H264" s="1323">
        <f t="shared" si="52"/>
        <v>8</v>
      </c>
      <c r="I264" s="1323">
        <f t="shared" si="53"/>
        <v>21</v>
      </c>
      <c r="J264" s="1323"/>
      <c r="K264" s="1323"/>
      <c r="L264" s="1323"/>
      <c r="M264" s="1323"/>
      <c r="N264" s="1323"/>
      <c r="O264" s="1323"/>
      <c r="P264" s="1323"/>
      <c r="Q264" s="1323"/>
      <c r="R264" s="1304"/>
      <c r="S264" s="1304"/>
      <c r="T264" s="1304"/>
    </row>
    <row r="265" spans="1:20">
      <c r="A265" s="1303"/>
      <c r="B265" s="1322" t="s">
        <v>2790</v>
      </c>
      <c r="C265" s="1323" t="s">
        <v>2791</v>
      </c>
      <c r="D265" s="1324">
        <f t="shared" ref="D265:D328" si="54">DATE(G265,H265,I265)</f>
        <v>41506</v>
      </c>
      <c r="E265" s="1323">
        <f t="shared" si="50"/>
        <v>10.182499999999999</v>
      </c>
      <c r="F265" s="1323">
        <f t="shared" ref="F265:F328" si="55">F266*(1+$F$7/365)</f>
        <v>9.3285430969872625</v>
      </c>
      <c r="G265" s="1323">
        <f t="shared" si="51"/>
        <v>2013</v>
      </c>
      <c r="H265" s="1323">
        <f t="shared" si="52"/>
        <v>8</v>
      </c>
      <c r="I265" s="1323">
        <f t="shared" si="53"/>
        <v>20</v>
      </c>
      <c r="J265" s="1323"/>
      <c r="K265" s="1323"/>
      <c r="L265" s="1323"/>
      <c r="M265" s="1323"/>
      <c r="N265" s="1323"/>
      <c r="O265" s="1323"/>
      <c r="P265" s="1323"/>
      <c r="Q265" s="1323"/>
      <c r="R265" s="1304"/>
      <c r="S265" s="1304"/>
      <c r="T265" s="1304"/>
    </row>
    <row r="266" spans="1:20">
      <c r="A266" s="1303"/>
      <c r="B266" s="1322" t="s">
        <v>2792</v>
      </c>
      <c r="C266" s="1323" t="s">
        <v>2793</v>
      </c>
      <c r="D266" s="1324">
        <f t="shared" si="54"/>
        <v>41505</v>
      </c>
      <c r="E266" s="1323">
        <f t="shared" si="50"/>
        <v>10.1187</v>
      </c>
      <c r="F266" s="1323">
        <f t="shared" si="55"/>
        <v>9.3267544043617683</v>
      </c>
      <c r="G266" s="1323">
        <f t="shared" si="51"/>
        <v>2013</v>
      </c>
      <c r="H266" s="1323">
        <f t="shared" si="52"/>
        <v>8</v>
      </c>
      <c r="I266" s="1323">
        <f t="shared" si="53"/>
        <v>19</v>
      </c>
      <c r="J266" s="1323"/>
      <c r="K266" s="1323"/>
      <c r="L266" s="1323"/>
      <c r="M266" s="1323"/>
      <c r="N266" s="1323"/>
      <c r="O266" s="1323"/>
      <c r="P266" s="1323"/>
      <c r="Q266" s="1323"/>
      <c r="R266" s="1304"/>
      <c r="S266" s="1304"/>
      <c r="T266" s="1304"/>
    </row>
    <row r="267" spans="1:20">
      <c r="A267" s="1303"/>
      <c r="B267" s="1322" t="s">
        <v>2794</v>
      </c>
      <c r="C267" s="1323" t="s">
        <v>2795</v>
      </c>
      <c r="D267" s="1324">
        <f t="shared" si="54"/>
        <v>41502</v>
      </c>
      <c r="E267" s="1323">
        <f t="shared" si="50"/>
        <v>9.984</v>
      </c>
      <c r="F267" s="1323">
        <f t="shared" si="55"/>
        <v>9.3249660547074402</v>
      </c>
      <c r="G267" s="1323">
        <f t="shared" si="51"/>
        <v>2013</v>
      </c>
      <c r="H267" s="1323">
        <f t="shared" si="52"/>
        <v>8</v>
      </c>
      <c r="I267" s="1323">
        <f t="shared" si="53"/>
        <v>16</v>
      </c>
      <c r="J267" s="1323"/>
      <c r="K267" s="1323"/>
      <c r="L267" s="1323"/>
      <c r="M267" s="1323"/>
      <c r="N267" s="1323"/>
      <c r="O267" s="1323"/>
      <c r="P267" s="1323"/>
      <c r="Q267" s="1323"/>
      <c r="R267" s="1304"/>
      <c r="S267" s="1304"/>
      <c r="T267" s="1304"/>
    </row>
    <row r="268" spans="1:20">
      <c r="A268" s="1303"/>
      <c r="B268" s="1322" t="s">
        <v>2796</v>
      </c>
      <c r="C268" s="1323" t="s">
        <v>2797</v>
      </c>
      <c r="D268" s="1324">
        <f t="shared" si="54"/>
        <v>41501</v>
      </c>
      <c r="E268" s="1323">
        <f t="shared" si="50"/>
        <v>9.9162999999999997</v>
      </c>
      <c r="F268" s="1323">
        <f t="shared" si="55"/>
        <v>9.3231780479585158</v>
      </c>
      <c r="G268" s="1323">
        <f t="shared" si="51"/>
        <v>2013</v>
      </c>
      <c r="H268" s="1323">
        <f t="shared" si="52"/>
        <v>8</v>
      </c>
      <c r="I268" s="1323">
        <f t="shared" si="53"/>
        <v>15</v>
      </c>
      <c r="J268" s="1323"/>
      <c r="K268" s="1323"/>
      <c r="L268" s="1323"/>
      <c r="M268" s="1323"/>
      <c r="N268" s="1323"/>
      <c r="O268" s="1323"/>
      <c r="P268" s="1323"/>
      <c r="Q268" s="1323"/>
      <c r="R268" s="1304"/>
      <c r="S268" s="1304"/>
      <c r="T268" s="1304"/>
    </row>
    <row r="269" spans="1:20">
      <c r="A269" s="1303"/>
      <c r="B269" s="1322" t="s">
        <v>2798</v>
      </c>
      <c r="C269" s="1323" t="s">
        <v>2799</v>
      </c>
      <c r="D269" s="1324">
        <f t="shared" si="54"/>
        <v>41500</v>
      </c>
      <c r="E269" s="1323">
        <f t="shared" si="50"/>
        <v>9.9920000000000009</v>
      </c>
      <c r="F269" s="1323">
        <f t="shared" si="55"/>
        <v>9.3213903840492449</v>
      </c>
      <c r="G269" s="1323">
        <f t="shared" si="51"/>
        <v>2013</v>
      </c>
      <c r="H269" s="1323">
        <f t="shared" si="52"/>
        <v>8</v>
      </c>
      <c r="I269" s="1323">
        <f t="shared" si="53"/>
        <v>14</v>
      </c>
      <c r="J269" s="1323"/>
      <c r="K269" s="1323"/>
      <c r="L269" s="1323"/>
      <c r="M269" s="1323"/>
      <c r="N269" s="1323"/>
      <c r="O269" s="1323"/>
      <c r="P269" s="1323"/>
      <c r="Q269" s="1323"/>
      <c r="R269" s="1304"/>
      <c r="S269" s="1304"/>
      <c r="T269" s="1304"/>
    </row>
    <row r="270" spans="1:20">
      <c r="A270" s="1303"/>
      <c r="B270" s="1322" t="s">
        <v>2800</v>
      </c>
      <c r="C270" s="1323" t="s">
        <v>2801</v>
      </c>
      <c r="D270" s="1324">
        <f t="shared" si="54"/>
        <v>41499</v>
      </c>
      <c r="E270" s="1323">
        <f t="shared" si="50"/>
        <v>9.9172999999999991</v>
      </c>
      <c r="F270" s="1323">
        <f t="shared" si="55"/>
        <v>9.3196030629138917</v>
      </c>
      <c r="G270" s="1323">
        <f t="shared" si="51"/>
        <v>2013</v>
      </c>
      <c r="H270" s="1323">
        <f t="shared" si="52"/>
        <v>8</v>
      </c>
      <c r="I270" s="1323">
        <f t="shared" si="53"/>
        <v>13</v>
      </c>
      <c r="J270" s="1323"/>
      <c r="K270" s="1323"/>
      <c r="L270" s="1323"/>
      <c r="M270" s="1323"/>
      <c r="N270" s="1323"/>
      <c r="O270" s="1323"/>
      <c r="P270" s="1323"/>
      <c r="Q270" s="1323"/>
      <c r="R270" s="1304"/>
      <c r="S270" s="1304"/>
      <c r="T270" s="1304"/>
    </row>
    <row r="271" spans="1:20">
      <c r="A271" s="1303"/>
      <c r="B271" s="1322" t="s">
        <v>2802</v>
      </c>
      <c r="C271" s="1323" t="s">
        <v>2803</v>
      </c>
      <c r="D271" s="1324">
        <f t="shared" si="54"/>
        <v>41498</v>
      </c>
      <c r="E271" s="1323">
        <f t="shared" si="50"/>
        <v>9.8574999999999999</v>
      </c>
      <c r="F271" s="1323">
        <f t="shared" si="55"/>
        <v>9.3178160844867293</v>
      </c>
      <c r="G271" s="1323">
        <f t="shared" si="51"/>
        <v>2013</v>
      </c>
      <c r="H271" s="1323">
        <f t="shared" si="52"/>
        <v>8</v>
      </c>
      <c r="I271" s="1323">
        <f t="shared" si="53"/>
        <v>12</v>
      </c>
      <c r="J271" s="1323"/>
      <c r="K271" s="1323"/>
      <c r="L271" s="1323"/>
      <c r="M271" s="1323"/>
      <c r="N271" s="1323"/>
      <c r="O271" s="1323"/>
      <c r="P271" s="1323"/>
      <c r="Q271" s="1323"/>
      <c r="R271" s="1304"/>
      <c r="S271" s="1304"/>
      <c r="T271" s="1304"/>
    </row>
    <row r="272" spans="1:20">
      <c r="A272" s="1303"/>
      <c r="B272" s="1322" t="s">
        <v>2804</v>
      </c>
      <c r="C272" s="1323" t="s">
        <v>2805</v>
      </c>
      <c r="D272" s="1324">
        <f t="shared" si="54"/>
        <v>41494</v>
      </c>
      <c r="E272" s="1323">
        <f t="shared" si="50"/>
        <v>9.8878000000000004</v>
      </c>
      <c r="F272" s="1323">
        <f t="shared" si="55"/>
        <v>9.3160294487020465</v>
      </c>
      <c r="G272" s="1323">
        <f t="shared" si="51"/>
        <v>2013</v>
      </c>
      <c r="H272" s="1323">
        <f t="shared" si="52"/>
        <v>8</v>
      </c>
      <c r="I272" s="1323">
        <f t="shared" si="53"/>
        <v>8</v>
      </c>
      <c r="J272" s="1323"/>
      <c r="K272" s="1323"/>
      <c r="L272" s="1323"/>
      <c r="M272" s="1323"/>
      <c r="N272" s="1323"/>
      <c r="O272" s="1323"/>
      <c r="P272" s="1323"/>
      <c r="Q272" s="1323"/>
      <c r="R272" s="1304"/>
      <c r="S272" s="1304"/>
      <c r="T272" s="1304"/>
    </row>
    <row r="273" spans="1:20">
      <c r="A273" s="1303"/>
      <c r="B273" s="1322" t="s">
        <v>2806</v>
      </c>
      <c r="C273" s="1323" t="s">
        <v>2807</v>
      </c>
      <c r="D273" s="1324">
        <f t="shared" si="54"/>
        <v>41493</v>
      </c>
      <c r="E273" s="1323">
        <f t="shared" si="50"/>
        <v>9.9346999999999994</v>
      </c>
      <c r="F273" s="1323">
        <f t="shared" si="55"/>
        <v>9.3142431554941432</v>
      </c>
      <c r="G273" s="1323">
        <f t="shared" si="51"/>
        <v>2013</v>
      </c>
      <c r="H273" s="1323">
        <f t="shared" si="52"/>
        <v>8</v>
      </c>
      <c r="I273" s="1323">
        <f t="shared" si="53"/>
        <v>7</v>
      </c>
      <c r="J273" s="1323"/>
      <c r="K273" s="1323"/>
      <c r="L273" s="1323"/>
      <c r="M273" s="1323"/>
      <c r="N273" s="1323"/>
      <c r="O273" s="1323"/>
      <c r="P273" s="1323"/>
      <c r="Q273" s="1323"/>
      <c r="R273" s="1304"/>
      <c r="S273" s="1304"/>
      <c r="T273" s="1304"/>
    </row>
    <row r="274" spans="1:20">
      <c r="A274" s="1303"/>
      <c r="B274" s="1322" t="s">
        <v>2808</v>
      </c>
      <c r="C274" s="1323" t="s">
        <v>2809</v>
      </c>
      <c r="D274" s="1324">
        <f t="shared" si="54"/>
        <v>41492</v>
      </c>
      <c r="E274" s="1323">
        <f t="shared" si="50"/>
        <v>9.8392999999999997</v>
      </c>
      <c r="F274" s="1323">
        <f t="shared" si="55"/>
        <v>9.3124572047973331</v>
      </c>
      <c r="G274" s="1323">
        <f t="shared" si="51"/>
        <v>2013</v>
      </c>
      <c r="H274" s="1323">
        <f t="shared" si="52"/>
        <v>8</v>
      </c>
      <c r="I274" s="1323">
        <f t="shared" si="53"/>
        <v>6</v>
      </c>
      <c r="J274" s="1323"/>
      <c r="K274" s="1323"/>
      <c r="L274" s="1323"/>
      <c r="M274" s="1323"/>
      <c r="N274" s="1323"/>
      <c r="O274" s="1323"/>
      <c r="P274" s="1323"/>
      <c r="Q274" s="1323"/>
      <c r="R274" s="1304"/>
      <c r="S274" s="1304"/>
      <c r="T274" s="1304"/>
    </row>
    <row r="275" spans="1:20">
      <c r="A275" s="1303"/>
      <c r="B275" s="1322" t="s">
        <v>2810</v>
      </c>
      <c r="C275" s="1323" t="s">
        <v>2811</v>
      </c>
      <c r="D275" s="1324">
        <f t="shared" si="54"/>
        <v>41491</v>
      </c>
      <c r="E275" s="1323">
        <f t="shared" si="50"/>
        <v>9.8097999999999992</v>
      </c>
      <c r="F275" s="1323">
        <f t="shared" si="55"/>
        <v>9.3106715965459408</v>
      </c>
      <c r="G275" s="1323">
        <f t="shared" si="51"/>
        <v>2013</v>
      </c>
      <c r="H275" s="1323">
        <f t="shared" si="52"/>
        <v>8</v>
      </c>
      <c r="I275" s="1323">
        <f t="shared" si="53"/>
        <v>5</v>
      </c>
      <c r="J275" s="1323"/>
      <c r="K275" s="1323"/>
      <c r="L275" s="1323"/>
      <c r="M275" s="1323"/>
      <c r="N275" s="1323"/>
      <c r="O275" s="1323"/>
      <c r="P275" s="1323"/>
      <c r="Q275" s="1323"/>
      <c r="R275" s="1304"/>
      <c r="S275" s="1304"/>
      <c r="T275" s="1304"/>
    </row>
    <row r="276" spans="1:20">
      <c r="A276" s="1303"/>
      <c r="B276" s="1322" t="s">
        <v>2812</v>
      </c>
      <c r="C276" s="1323" t="s">
        <v>2813</v>
      </c>
      <c r="D276" s="1324">
        <f t="shared" si="54"/>
        <v>41488</v>
      </c>
      <c r="E276" s="1323">
        <f t="shared" si="50"/>
        <v>10.020300000000001</v>
      </c>
      <c r="F276" s="1323">
        <f t="shared" si="55"/>
        <v>9.308886330674305</v>
      </c>
      <c r="G276" s="1323">
        <f t="shared" si="51"/>
        <v>2013</v>
      </c>
      <c r="H276" s="1323">
        <f t="shared" si="52"/>
        <v>8</v>
      </c>
      <c r="I276" s="1323">
        <f t="shared" si="53"/>
        <v>2</v>
      </c>
      <c r="J276" s="1323"/>
      <c r="K276" s="1323"/>
      <c r="L276" s="1323"/>
      <c r="M276" s="1323"/>
      <c r="N276" s="1323"/>
      <c r="O276" s="1323"/>
      <c r="P276" s="1323"/>
      <c r="Q276" s="1323"/>
      <c r="R276" s="1304"/>
      <c r="S276" s="1304"/>
      <c r="T276" s="1304"/>
    </row>
    <row r="277" spans="1:20">
      <c r="A277" s="1303"/>
      <c r="B277" s="1322" t="s">
        <v>2814</v>
      </c>
      <c r="C277" s="1323" t="s">
        <v>2815</v>
      </c>
      <c r="D277" s="1324">
        <f t="shared" si="54"/>
        <v>41487</v>
      </c>
      <c r="E277" s="1323">
        <f t="shared" si="50"/>
        <v>9.8915000000000006</v>
      </c>
      <c r="F277" s="1323">
        <f t="shared" si="55"/>
        <v>9.3071014071167752</v>
      </c>
      <c r="G277" s="1323">
        <f t="shared" si="51"/>
        <v>2013</v>
      </c>
      <c r="H277" s="1323">
        <f t="shared" si="52"/>
        <v>8</v>
      </c>
      <c r="I277" s="1323">
        <f t="shared" si="53"/>
        <v>1</v>
      </c>
      <c r="J277" s="1323"/>
      <c r="K277" s="1323"/>
      <c r="L277" s="1323"/>
      <c r="M277" s="1323"/>
      <c r="N277" s="1323"/>
      <c r="O277" s="1323"/>
      <c r="P277" s="1323"/>
      <c r="Q277" s="1323"/>
      <c r="R277" s="1304"/>
      <c r="S277" s="1304"/>
      <c r="T277" s="1304"/>
    </row>
    <row r="278" spans="1:20">
      <c r="A278" s="1303"/>
      <c r="B278" s="1322" t="s">
        <v>2816</v>
      </c>
      <c r="C278" s="1323" t="s">
        <v>2817</v>
      </c>
      <c r="D278" s="1324">
        <f t="shared" si="54"/>
        <v>41486</v>
      </c>
      <c r="E278" s="1323">
        <f t="shared" ref="E278:E341" si="56">VALUE(C279)</f>
        <v>9.8551000000000002</v>
      </c>
      <c r="F278" s="1323">
        <f t="shared" si="55"/>
        <v>9.3053168258077168</v>
      </c>
      <c r="G278" s="1323">
        <f t="shared" ref="G278:G341" si="57">YEAR(B279)</f>
        <v>2013</v>
      </c>
      <c r="H278" s="1323">
        <f t="shared" ref="H278:H341" si="58">MONTH(B279)</f>
        <v>7</v>
      </c>
      <c r="I278" s="1323">
        <f t="shared" ref="I278:I341" si="59">DAY(B279)</f>
        <v>31</v>
      </c>
      <c r="J278" s="1323"/>
      <c r="K278" s="1323"/>
      <c r="L278" s="1323"/>
      <c r="M278" s="1323"/>
      <c r="N278" s="1323"/>
      <c r="O278" s="1323"/>
      <c r="P278" s="1323"/>
      <c r="Q278" s="1323"/>
      <c r="R278" s="1304"/>
      <c r="S278" s="1304"/>
      <c r="T278" s="1304"/>
    </row>
    <row r="279" spans="1:20">
      <c r="A279" s="1303"/>
      <c r="B279" s="1322" t="s">
        <v>2818</v>
      </c>
      <c r="C279" s="1323" t="s">
        <v>2819</v>
      </c>
      <c r="D279" s="1324">
        <f t="shared" si="54"/>
        <v>41485</v>
      </c>
      <c r="E279" s="1323">
        <f t="shared" si="56"/>
        <v>9.8168000000000006</v>
      </c>
      <c r="F279" s="1323">
        <f t="shared" si="55"/>
        <v>9.303532586681504</v>
      </c>
      <c r="G279" s="1323">
        <f t="shared" si="57"/>
        <v>2013</v>
      </c>
      <c r="H279" s="1323">
        <f t="shared" si="58"/>
        <v>7</v>
      </c>
      <c r="I279" s="1323">
        <f t="shared" si="59"/>
        <v>30</v>
      </c>
      <c r="J279" s="1323"/>
      <c r="K279" s="1323"/>
      <c r="L279" s="1323"/>
      <c r="M279" s="1323"/>
      <c r="N279" s="1323"/>
      <c r="O279" s="1323"/>
      <c r="P279" s="1323"/>
      <c r="Q279" s="1323"/>
      <c r="R279" s="1304"/>
      <c r="S279" s="1304"/>
      <c r="T279" s="1304"/>
    </row>
    <row r="280" spans="1:20">
      <c r="A280" s="1303"/>
      <c r="B280" s="1322" t="s">
        <v>2820</v>
      </c>
      <c r="C280" s="1323" t="s">
        <v>2699</v>
      </c>
      <c r="D280" s="1324">
        <f t="shared" si="54"/>
        <v>41484</v>
      </c>
      <c r="E280" s="1323">
        <f t="shared" si="56"/>
        <v>9.8185000000000002</v>
      </c>
      <c r="F280" s="1323">
        <f t="shared" si="55"/>
        <v>9.3017486896725252</v>
      </c>
      <c r="G280" s="1323">
        <f t="shared" si="57"/>
        <v>2013</v>
      </c>
      <c r="H280" s="1323">
        <f t="shared" si="58"/>
        <v>7</v>
      </c>
      <c r="I280" s="1323">
        <f t="shared" si="59"/>
        <v>29</v>
      </c>
      <c r="J280" s="1323"/>
      <c r="K280" s="1323"/>
      <c r="L280" s="1323"/>
      <c r="M280" s="1323"/>
      <c r="N280" s="1323"/>
      <c r="O280" s="1323"/>
      <c r="P280" s="1323"/>
      <c r="Q280" s="1323"/>
      <c r="R280" s="1304"/>
      <c r="S280" s="1304"/>
      <c r="T280" s="1304"/>
    </row>
    <row r="281" spans="1:20">
      <c r="A281" s="1303"/>
      <c r="B281" s="1322" t="s">
        <v>2821</v>
      </c>
      <c r="C281" s="1323" t="s">
        <v>2822</v>
      </c>
      <c r="D281" s="1324">
        <f t="shared" si="54"/>
        <v>41481</v>
      </c>
      <c r="E281" s="1323">
        <f t="shared" si="56"/>
        <v>9.6992999999999991</v>
      </c>
      <c r="F281" s="1323">
        <f t="shared" si="55"/>
        <v>9.2999651347151815</v>
      </c>
      <c r="G281" s="1323">
        <f t="shared" si="57"/>
        <v>2013</v>
      </c>
      <c r="H281" s="1323">
        <f t="shared" si="58"/>
        <v>7</v>
      </c>
      <c r="I281" s="1323">
        <f t="shared" si="59"/>
        <v>26</v>
      </c>
      <c r="J281" s="1323"/>
      <c r="K281" s="1323"/>
      <c r="L281" s="1323"/>
      <c r="M281" s="1323"/>
      <c r="N281" s="1323"/>
      <c r="O281" s="1323"/>
      <c r="P281" s="1323"/>
      <c r="Q281" s="1323"/>
      <c r="R281" s="1304"/>
      <c r="S281" s="1304"/>
      <c r="T281" s="1304"/>
    </row>
    <row r="282" spans="1:20">
      <c r="A282" s="1303"/>
      <c r="B282" s="1322" t="s">
        <v>2823</v>
      </c>
      <c r="C282" s="1323" t="s">
        <v>2824</v>
      </c>
      <c r="D282" s="1324">
        <f t="shared" si="54"/>
        <v>41480</v>
      </c>
      <c r="E282" s="1323">
        <f t="shared" si="56"/>
        <v>9.7847000000000008</v>
      </c>
      <c r="F282" s="1323">
        <f t="shared" si="55"/>
        <v>9.2981819217438879</v>
      </c>
      <c r="G282" s="1323">
        <f t="shared" si="57"/>
        <v>2013</v>
      </c>
      <c r="H282" s="1323">
        <f t="shared" si="58"/>
        <v>7</v>
      </c>
      <c r="I282" s="1323">
        <f t="shared" si="59"/>
        <v>25</v>
      </c>
      <c r="J282" s="1323"/>
      <c r="K282" s="1323"/>
      <c r="L282" s="1323"/>
      <c r="M282" s="1323"/>
      <c r="N282" s="1323"/>
      <c r="O282" s="1323"/>
      <c r="P282" s="1323"/>
      <c r="Q282" s="1323"/>
      <c r="R282" s="1304"/>
      <c r="S282" s="1304"/>
      <c r="T282" s="1304"/>
    </row>
    <row r="283" spans="1:20">
      <c r="A283" s="1303"/>
      <c r="B283" s="1322" t="s">
        <v>2825</v>
      </c>
      <c r="C283" s="1323" t="s">
        <v>2826</v>
      </c>
      <c r="D283" s="1324">
        <f t="shared" si="54"/>
        <v>41479</v>
      </c>
      <c r="E283" s="1323">
        <f t="shared" si="56"/>
        <v>9.6933000000000007</v>
      </c>
      <c r="F283" s="1323">
        <f t="shared" si="55"/>
        <v>9.2963990506930703</v>
      </c>
      <c r="G283" s="1323">
        <f t="shared" si="57"/>
        <v>2013</v>
      </c>
      <c r="H283" s="1323">
        <f t="shared" si="58"/>
        <v>7</v>
      </c>
      <c r="I283" s="1323">
        <f t="shared" si="59"/>
        <v>24</v>
      </c>
      <c r="J283" s="1323"/>
      <c r="K283" s="1323"/>
      <c r="L283" s="1323"/>
      <c r="M283" s="1323"/>
      <c r="N283" s="1323"/>
      <c r="O283" s="1323"/>
      <c r="P283" s="1323"/>
      <c r="Q283" s="1323"/>
      <c r="R283" s="1304"/>
      <c r="S283" s="1304"/>
      <c r="T283" s="1304"/>
    </row>
    <row r="284" spans="1:20">
      <c r="A284" s="1303"/>
      <c r="B284" s="1322" t="s">
        <v>2827</v>
      </c>
      <c r="C284" s="1323" t="s">
        <v>2828</v>
      </c>
      <c r="D284" s="1324">
        <f t="shared" si="54"/>
        <v>41478</v>
      </c>
      <c r="E284" s="1323">
        <f t="shared" si="56"/>
        <v>9.8170000000000002</v>
      </c>
      <c r="F284" s="1323">
        <f t="shared" si="55"/>
        <v>9.2946165214971668</v>
      </c>
      <c r="G284" s="1323">
        <f t="shared" si="57"/>
        <v>2013</v>
      </c>
      <c r="H284" s="1323">
        <f t="shared" si="58"/>
        <v>7</v>
      </c>
      <c r="I284" s="1323">
        <f t="shared" si="59"/>
        <v>23</v>
      </c>
      <c r="J284" s="1323"/>
      <c r="K284" s="1323"/>
      <c r="L284" s="1323"/>
      <c r="M284" s="1323"/>
      <c r="N284" s="1323"/>
      <c r="O284" s="1323"/>
      <c r="P284" s="1323"/>
      <c r="Q284" s="1323"/>
      <c r="R284" s="1304"/>
      <c r="S284" s="1304"/>
      <c r="T284" s="1304"/>
    </row>
    <row r="285" spans="1:20">
      <c r="A285" s="1303"/>
      <c r="B285" s="1322" t="s">
        <v>2829</v>
      </c>
      <c r="C285" s="1323" t="s">
        <v>2830</v>
      </c>
      <c r="D285" s="1324">
        <f t="shared" si="54"/>
        <v>41477</v>
      </c>
      <c r="E285" s="1323">
        <f t="shared" si="56"/>
        <v>9.8125999999999998</v>
      </c>
      <c r="F285" s="1323">
        <f t="shared" si="55"/>
        <v>9.2928343340906281</v>
      </c>
      <c r="G285" s="1323">
        <f t="shared" si="57"/>
        <v>2013</v>
      </c>
      <c r="H285" s="1323">
        <f t="shared" si="58"/>
        <v>7</v>
      </c>
      <c r="I285" s="1323">
        <f t="shared" si="59"/>
        <v>22</v>
      </c>
      <c r="J285" s="1323"/>
      <c r="K285" s="1323"/>
      <c r="L285" s="1323"/>
      <c r="M285" s="1323"/>
      <c r="N285" s="1323"/>
      <c r="O285" s="1323"/>
      <c r="P285" s="1323"/>
      <c r="Q285" s="1323"/>
      <c r="R285" s="1304"/>
      <c r="S285" s="1304"/>
      <c r="T285" s="1304"/>
    </row>
    <row r="286" spans="1:20">
      <c r="A286" s="1303"/>
      <c r="B286" s="1322" t="s">
        <v>2831</v>
      </c>
      <c r="C286" s="1323" t="s">
        <v>2832</v>
      </c>
      <c r="D286" s="1324">
        <f t="shared" si="54"/>
        <v>41474</v>
      </c>
      <c r="E286" s="1323">
        <f t="shared" si="56"/>
        <v>9.9103999999999992</v>
      </c>
      <c r="F286" s="1323">
        <f t="shared" si="55"/>
        <v>9.2910524884079191</v>
      </c>
      <c r="G286" s="1323">
        <f t="shared" si="57"/>
        <v>2013</v>
      </c>
      <c r="H286" s="1323">
        <f t="shared" si="58"/>
        <v>7</v>
      </c>
      <c r="I286" s="1323">
        <f t="shared" si="59"/>
        <v>19</v>
      </c>
      <c r="J286" s="1323"/>
      <c r="K286" s="1323"/>
      <c r="L286" s="1323"/>
      <c r="M286" s="1323"/>
      <c r="N286" s="1323"/>
      <c r="O286" s="1323"/>
      <c r="P286" s="1323"/>
      <c r="Q286" s="1323"/>
      <c r="R286" s="1304"/>
      <c r="S286" s="1304"/>
      <c r="T286" s="1304"/>
    </row>
    <row r="287" spans="1:20">
      <c r="A287" s="1303"/>
      <c r="B287" s="1322" t="s">
        <v>2833</v>
      </c>
      <c r="C287" s="1323" t="s">
        <v>2834</v>
      </c>
      <c r="D287" s="1324">
        <f t="shared" si="54"/>
        <v>41473</v>
      </c>
      <c r="E287" s="1323">
        <f t="shared" si="56"/>
        <v>9.8414999999999999</v>
      </c>
      <c r="F287" s="1323">
        <f t="shared" si="55"/>
        <v>9.2892709843835171</v>
      </c>
      <c r="G287" s="1323">
        <f t="shared" si="57"/>
        <v>2013</v>
      </c>
      <c r="H287" s="1323">
        <f t="shared" si="58"/>
        <v>7</v>
      </c>
      <c r="I287" s="1323">
        <f t="shared" si="59"/>
        <v>18</v>
      </c>
      <c r="J287" s="1323"/>
      <c r="K287" s="1323"/>
      <c r="L287" s="1323"/>
      <c r="M287" s="1323"/>
      <c r="N287" s="1323"/>
      <c r="O287" s="1323"/>
      <c r="P287" s="1323"/>
      <c r="Q287" s="1323"/>
      <c r="R287" s="1304"/>
      <c r="S287" s="1304"/>
      <c r="T287" s="1304"/>
    </row>
    <row r="288" spans="1:20">
      <c r="A288" s="1303"/>
      <c r="B288" s="1322" t="s">
        <v>2835</v>
      </c>
      <c r="C288" s="1323" t="s">
        <v>2836</v>
      </c>
      <c r="D288" s="1324">
        <f t="shared" si="54"/>
        <v>41472</v>
      </c>
      <c r="E288" s="1323">
        <f t="shared" si="56"/>
        <v>9.8604000000000003</v>
      </c>
      <c r="F288" s="1323">
        <f t="shared" si="55"/>
        <v>9.28748982195191</v>
      </c>
      <c r="G288" s="1323">
        <f t="shared" si="57"/>
        <v>2013</v>
      </c>
      <c r="H288" s="1323">
        <f t="shared" si="58"/>
        <v>7</v>
      </c>
      <c r="I288" s="1323">
        <f t="shared" si="59"/>
        <v>17</v>
      </c>
      <c r="J288" s="1323"/>
      <c r="K288" s="1323"/>
      <c r="L288" s="1323"/>
      <c r="M288" s="1323"/>
      <c r="N288" s="1323"/>
      <c r="O288" s="1323"/>
      <c r="P288" s="1323"/>
      <c r="Q288" s="1323"/>
      <c r="R288" s="1304"/>
      <c r="S288" s="1304"/>
      <c r="T288" s="1304"/>
    </row>
    <row r="289" spans="1:20">
      <c r="A289" s="1303"/>
      <c r="B289" s="1322" t="s">
        <v>2837</v>
      </c>
      <c r="C289" s="1323" t="s">
        <v>2838</v>
      </c>
      <c r="D289" s="1324">
        <f t="shared" si="54"/>
        <v>41471</v>
      </c>
      <c r="E289" s="1323">
        <f t="shared" si="56"/>
        <v>9.9080999999999992</v>
      </c>
      <c r="F289" s="1323">
        <f t="shared" si="55"/>
        <v>9.2857090010476</v>
      </c>
      <c r="G289" s="1323">
        <f t="shared" si="57"/>
        <v>2013</v>
      </c>
      <c r="H289" s="1323">
        <f t="shared" si="58"/>
        <v>7</v>
      </c>
      <c r="I289" s="1323">
        <f t="shared" si="59"/>
        <v>16</v>
      </c>
      <c r="J289" s="1323"/>
      <c r="K289" s="1323"/>
      <c r="L289" s="1323"/>
      <c r="M289" s="1323"/>
      <c r="N289" s="1323"/>
      <c r="O289" s="1323"/>
      <c r="P289" s="1323"/>
      <c r="Q289" s="1323"/>
      <c r="R289" s="1304"/>
      <c r="S289" s="1304"/>
      <c r="T289" s="1304"/>
    </row>
    <row r="290" spans="1:20">
      <c r="A290" s="1303"/>
      <c r="B290" s="1322" t="s">
        <v>2839</v>
      </c>
      <c r="C290" s="1323" t="s">
        <v>2840</v>
      </c>
      <c r="D290" s="1324">
        <f t="shared" si="54"/>
        <v>41470</v>
      </c>
      <c r="E290" s="1323">
        <f t="shared" si="56"/>
        <v>9.9116</v>
      </c>
      <c r="F290" s="1323">
        <f t="shared" si="55"/>
        <v>9.2839285216051</v>
      </c>
      <c r="G290" s="1323">
        <f t="shared" si="57"/>
        <v>2013</v>
      </c>
      <c r="H290" s="1323">
        <f t="shared" si="58"/>
        <v>7</v>
      </c>
      <c r="I290" s="1323">
        <f t="shared" si="59"/>
        <v>15</v>
      </c>
      <c r="J290" s="1323"/>
      <c r="K290" s="1323"/>
      <c r="L290" s="1323"/>
      <c r="M290" s="1323"/>
      <c r="N290" s="1323"/>
      <c r="O290" s="1323"/>
      <c r="P290" s="1323"/>
      <c r="Q290" s="1323"/>
      <c r="R290" s="1304"/>
      <c r="S290" s="1304"/>
      <c r="T290" s="1304"/>
    </row>
    <row r="291" spans="1:20">
      <c r="A291" s="1303"/>
      <c r="B291" s="1322" t="s">
        <v>2841</v>
      </c>
      <c r="C291" s="1323" t="s">
        <v>2842</v>
      </c>
      <c r="D291" s="1324">
        <f t="shared" si="54"/>
        <v>41467</v>
      </c>
      <c r="E291" s="1323">
        <f t="shared" si="56"/>
        <v>10.034000000000001</v>
      </c>
      <c r="F291" s="1323">
        <f t="shared" si="55"/>
        <v>9.2821483835589369</v>
      </c>
      <c r="G291" s="1323">
        <f t="shared" si="57"/>
        <v>2013</v>
      </c>
      <c r="H291" s="1323">
        <f t="shared" si="58"/>
        <v>7</v>
      </c>
      <c r="I291" s="1323">
        <f t="shared" si="59"/>
        <v>12</v>
      </c>
      <c r="J291" s="1323"/>
      <c r="K291" s="1323"/>
      <c r="L291" s="1323"/>
      <c r="M291" s="1323"/>
      <c r="N291" s="1323"/>
      <c r="O291" s="1323"/>
      <c r="P291" s="1323"/>
      <c r="Q291" s="1323"/>
      <c r="R291" s="1304"/>
      <c r="S291" s="1304"/>
      <c r="T291" s="1304"/>
    </row>
    <row r="292" spans="1:20">
      <c r="A292" s="1303"/>
      <c r="B292" s="1322" t="s">
        <v>2843</v>
      </c>
      <c r="C292" s="1323" t="s">
        <v>2844</v>
      </c>
      <c r="D292" s="1324">
        <f t="shared" si="54"/>
        <v>41466</v>
      </c>
      <c r="E292" s="1323">
        <f t="shared" si="56"/>
        <v>9.9380000000000006</v>
      </c>
      <c r="F292" s="1323">
        <f t="shared" si="55"/>
        <v>9.2803685868436521</v>
      </c>
      <c r="G292" s="1323">
        <f t="shared" si="57"/>
        <v>2013</v>
      </c>
      <c r="H292" s="1323">
        <f t="shared" si="58"/>
        <v>7</v>
      </c>
      <c r="I292" s="1323">
        <f t="shared" si="59"/>
        <v>11</v>
      </c>
      <c r="J292" s="1323"/>
      <c r="K292" s="1323"/>
      <c r="L292" s="1323"/>
      <c r="M292" s="1323"/>
      <c r="N292" s="1323"/>
      <c r="O292" s="1323"/>
      <c r="P292" s="1323"/>
      <c r="Q292" s="1323"/>
      <c r="R292" s="1304"/>
      <c r="S292" s="1304"/>
      <c r="T292" s="1304"/>
    </row>
    <row r="293" spans="1:20">
      <c r="A293" s="1303"/>
      <c r="B293" s="1322" t="s">
        <v>2845</v>
      </c>
      <c r="C293" s="1323" t="s">
        <v>2846</v>
      </c>
      <c r="D293" s="1324">
        <f t="shared" si="54"/>
        <v>41465</v>
      </c>
      <c r="E293" s="1323">
        <f t="shared" si="56"/>
        <v>10.002800000000001</v>
      </c>
      <c r="F293" s="1323">
        <f t="shared" si="55"/>
        <v>9.2785891313937956</v>
      </c>
      <c r="G293" s="1323">
        <f t="shared" si="57"/>
        <v>2013</v>
      </c>
      <c r="H293" s="1323">
        <f t="shared" si="58"/>
        <v>7</v>
      </c>
      <c r="I293" s="1323">
        <f t="shared" si="59"/>
        <v>10</v>
      </c>
      <c r="J293" s="1323"/>
      <c r="K293" s="1323"/>
      <c r="L293" s="1323"/>
      <c r="M293" s="1323"/>
      <c r="N293" s="1323"/>
      <c r="O293" s="1323"/>
      <c r="P293" s="1323"/>
      <c r="Q293" s="1323"/>
      <c r="R293" s="1304"/>
      <c r="S293" s="1304"/>
      <c r="T293" s="1304"/>
    </row>
    <row r="294" spans="1:20">
      <c r="A294" s="1303"/>
      <c r="B294" s="1322" t="s">
        <v>2847</v>
      </c>
      <c r="C294" s="1323" t="s">
        <v>2848</v>
      </c>
      <c r="D294" s="1324">
        <f t="shared" si="54"/>
        <v>41464</v>
      </c>
      <c r="E294" s="1323">
        <f t="shared" si="56"/>
        <v>10.061999999999999</v>
      </c>
      <c r="F294" s="1323">
        <f t="shared" si="55"/>
        <v>9.2768100171439318</v>
      </c>
      <c r="G294" s="1323">
        <f t="shared" si="57"/>
        <v>2013</v>
      </c>
      <c r="H294" s="1323">
        <f t="shared" si="58"/>
        <v>7</v>
      </c>
      <c r="I294" s="1323">
        <f t="shared" si="59"/>
        <v>9</v>
      </c>
      <c r="J294" s="1323"/>
      <c r="K294" s="1323"/>
      <c r="L294" s="1323"/>
      <c r="M294" s="1323"/>
      <c r="N294" s="1323"/>
      <c r="O294" s="1323"/>
      <c r="P294" s="1323"/>
      <c r="Q294" s="1323"/>
      <c r="R294" s="1304"/>
      <c r="S294" s="1304"/>
      <c r="T294" s="1304"/>
    </row>
    <row r="295" spans="1:20">
      <c r="A295" s="1303"/>
      <c r="B295" s="1322" t="s">
        <v>2849</v>
      </c>
      <c r="C295" s="1323" t="s">
        <v>2850</v>
      </c>
      <c r="D295" s="1324">
        <f t="shared" si="54"/>
        <v>41463</v>
      </c>
      <c r="E295" s="1323">
        <f t="shared" si="56"/>
        <v>10.2698</v>
      </c>
      <c r="F295" s="1323">
        <f t="shared" si="55"/>
        <v>9.2750312440286375</v>
      </c>
      <c r="G295" s="1323">
        <f t="shared" si="57"/>
        <v>2013</v>
      </c>
      <c r="H295" s="1323">
        <f t="shared" si="58"/>
        <v>7</v>
      </c>
      <c r="I295" s="1323">
        <f t="shared" si="59"/>
        <v>8</v>
      </c>
      <c r="J295" s="1323"/>
      <c r="K295" s="1323"/>
      <c r="L295" s="1323"/>
      <c r="M295" s="1323"/>
      <c r="N295" s="1323"/>
      <c r="O295" s="1323"/>
      <c r="P295" s="1323"/>
      <c r="Q295" s="1323"/>
      <c r="R295" s="1304"/>
      <c r="S295" s="1304"/>
      <c r="T295" s="1304"/>
    </row>
    <row r="296" spans="1:20">
      <c r="A296" s="1303"/>
      <c r="B296" s="1322" t="s">
        <v>2851</v>
      </c>
      <c r="C296" s="1323" t="s">
        <v>2682</v>
      </c>
      <c r="D296" s="1324">
        <f t="shared" si="54"/>
        <v>41460</v>
      </c>
      <c r="E296" s="1323">
        <f t="shared" si="56"/>
        <v>10.0284</v>
      </c>
      <c r="F296" s="1323">
        <f t="shared" si="55"/>
        <v>9.2732528119825037</v>
      </c>
      <c r="G296" s="1323">
        <f t="shared" si="57"/>
        <v>2013</v>
      </c>
      <c r="H296" s="1323">
        <f t="shared" si="58"/>
        <v>7</v>
      </c>
      <c r="I296" s="1323">
        <f t="shared" si="59"/>
        <v>5</v>
      </c>
      <c r="J296" s="1323"/>
      <c r="K296" s="1323"/>
      <c r="L296" s="1323"/>
      <c r="M296" s="1323"/>
      <c r="N296" s="1323"/>
      <c r="O296" s="1323"/>
      <c r="P296" s="1323"/>
      <c r="Q296" s="1323"/>
      <c r="R296" s="1304"/>
      <c r="S296" s="1304"/>
      <c r="T296" s="1304"/>
    </row>
    <row r="297" spans="1:20">
      <c r="A297" s="1303"/>
      <c r="B297" s="1322" t="s">
        <v>2852</v>
      </c>
      <c r="C297" s="1323" t="s">
        <v>2853</v>
      </c>
      <c r="D297" s="1324">
        <f t="shared" si="54"/>
        <v>41459</v>
      </c>
      <c r="E297" s="1323">
        <f t="shared" si="56"/>
        <v>10.0562</v>
      </c>
      <c r="F297" s="1323">
        <f t="shared" si="55"/>
        <v>9.271474720940132</v>
      </c>
      <c r="G297" s="1323">
        <f t="shared" si="57"/>
        <v>2013</v>
      </c>
      <c r="H297" s="1323">
        <f t="shared" si="58"/>
        <v>7</v>
      </c>
      <c r="I297" s="1323">
        <f t="shared" si="59"/>
        <v>4</v>
      </c>
      <c r="J297" s="1323"/>
      <c r="K297" s="1323"/>
      <c r="L297" s="1323"/>
      <c r="M297" s="1323"/>
      <c r="N297" s="1323"/>
      <c r="O297" s="1323"/>
      <c r="P297" s="1323"/>
      <c r="Q297" s="1323"/>
      <c r="R297" s="1304"/>
      <c r="S297" s="1304"/>
      <c r="T297" s="1304"/>
    </row>
    <row r="298" spans="1:20">
      <c r="A298" s="1303"/>
      <c r="B298" s="1322" t="s">
        <v>2854</v>
      </c>
      <c r="C298" s="1323" t="s">
        <v>2855</v>
      </c>
      <c r="D298" s="1324">
        <f t="shared" si="54"/>
        <v>41458</v>
      </c>
      <c r="E298" s="1323">
        <f t="shared" si="56"/>
        <v>10.0616</v>
      </c>
      <c r="F298" s="1323">
        <f t="shared" si="55"/>
        <v>9.2696969708361365</v>
      </c>
      <c r="G298" s="1323">
        <f t="shared" si="57"/>
        <v>2013</v>
      </c>
      <c r="H298" s="1323">
        <f t="shared" si="58"/>
        <v>7</v>
      </c>
      <c r="I298" s="1323">
        <f t="shared" si="59"/>
        <v>3</v>
      </c>
      <c r="J298" s="1323"/>
      <c r="K298" s="1323"/>
      <c r="L298" s="1323"/>
      <c r="M298" s="1323"/>
      <c r="N298" s="1323"/>
      <c r="O298" s="1323"/>
      <c r="P298" s="1323"/>
      <c r="Q298" s="1323"/>
      <c r="R298" s="1304"/>
      <c r="S298" s="1304"/>
      <c r="T298" s="1304"/>
    </row>
    <row r="299" spans="1:20">
      <c r="A299" s="1303"/>
      <c r="B299" s="1322" t="s">
        <v>2856</v>
      </c>
      <c r="C299" s="1323" t="s">
        <v>2857</v>
      </c>
      <c r="D299" s="1324">
        <f t="shared" si="54"/>
        <v>41457</v>
      </c>
      <c r="E299" s="1323">
        <f t="shared" si="56"/>
        <v>9.8979999999999997</v>
      </c>
      <c r="F299" s="1323">
        <f t="shared" si="55"/>
        <v>9.2679195616051437</v>
      </c>
      <c r="G299" s="1323">
        <f t="shared" si="57"/>
        <v>2013</v>
      </c>
      <c r="H299" s="1323">
        <f t="shared" si="58"/>
        <v>7</v>
      </c>
      <c r="I299" s="1323">
        <f t="shared" si="59"/>
        <v>2</v>
      </c>
      <c r="J299" s="1323"/>
      <c r="K299" s="1323"/>
      <c r="L299" s="1323"/>
      <c r="M299" s="1323"/>
      <c r="N299" s="1323"/>
      <c r="O299" s="1323"/>
      <c r="P299" s="1323"/>
      <c r="Q299" s="1323"/>
      <c r="R299" s="1304"/>
      <c r="S299" s="1304"/>
      <c r="T299" s="1304"/>
    </row>
    <row r="300" spans="1:20">
      <c r="A300" s="1303"/>
      <c r="B300" s="1322" t="s">
        <v>2858</v>
      </c>
      <c r="C300" s="1323" t="s">
        <v>2859</v>
      </c>
      <c r="D300" s="1324">
        <f t="shared" si="54"/>
        <v>41456</v>
      </c>
      <c r="E300" s="1323">
        <f t="shared" si="56"/>
        <v>9.8917999999999999</v>
      </c>
      <c r="F300" s="1323">
        <f t="shared" si="55"/>
        <v>9.2661424931817926</v>
      </c>
      <c r="G300" s="1323">
        <f t="shared" si="57"/>
        <v>2013</v>
      </c>
      <c r="H300" s="1323">
        <f t="shared" si="58"/>
        <v>7</v>
      </c>
      <c r="I300" s="1323">
        <f t="shared" si="59"/>
        <v>1</v>
      </c>
      <c r="J300" s="1323"/>
      <c r="K300" s="1323"/>
      <c r="L300" s="1323"/>
      <c r="M300" s="1323"/>
      <c r="N300" s="1323"/>
      <c r="O300" s="1323"/>
      <c r="P300" s="1323"/>
      <c r="Q300" s="1323"/>
      <c r="R300" s="1304"/>
      <c r="S300" s="1304"/>
      <c r="T300" s="1304"/>
    </row>
    <row r="301" spans="1:20">
      <c r="A301" s="1303"/>
      <c r="B301" s="1322" t="s">
        <v>2860</v>
      </c>
      <c r="C301" s="1323" t="s">
        <v>2861</v>
      </c>
      <c r="D301" s="1324">
        <f t="shared" si="54"/>
        <v>41453</v>
      </c>
      <c r="E301" s="1323">
        <f t="shared" si="56"/>
        <v>9.9655000000000005</v>
      </c>
      <c r="F301" s="1323">
        <f t="shared" si="55"/>
        <v>9.2643657655007381</v>
      </c>
      <c r="G301" s="1323">
        <f t="shared" si="57"/>
        <v>2013</v>
      </c>
      <c r="H301" s="1323">
        <f t="shared" si="58"/>
        <v>6</v>
      </c>
      <c r="I301" s="1323">
        <f t="shared" si="59"/>
        <v>28</v>
      </c>
      <c r="J301" s="1323"/>
      <c r="K301" s="1323"/>
      <c r="L301" s="1323"/>
      <c r="M301" s="1323"/>
      <c r="N301" s="1323"/>
      <c r="O301" s="1323"/>
      <c r="P301" s="1323"/>
      <c r="Q301" s="1323"/>
      <c r="R301" s="1304"/>
      <c r="S301" s="1304"/>
      <c r="T301" s="1304"/>
    </row>
    <row r="302" spans="1:20">
      <c r="A302" s="1303"/>
      <c r="B302" s="1322" t="s">
        <v>2862</v>
      </c>
      <c r="C302" s="1323" t="s">
        <v>2863</v>
      </c>
      <c r="D302" s="1324">
        <f t="shared" si="54"/>
        <v>41452</v>
      </c>
      <c r="E302" s="1323">
        <f t="shared" si="56"/>
        <v>10.044499999999999</v>
      </c>
      <c r="F302" s="1323">
        <f t="shared" si="55"/>
        <v>9.2625893784966422</v>
      </c>
      <c r="G302" s="1323">
        <f t="shared" si="57"/>
        <v>2013</v>
      </c>
      <c r="H302" s="1323">
        <f t="shared" si="58"/>
        <v>6</v>
      </c>
      <c r="I302" s="1323">
        <f t="shared" si="59"/>
        <v>27</v>
      </c>
      <c r="J302" s="1323"/>
      <c r="K302" s="1323"/>
      <c r="L302" s="1323"/>
      <c r="M302" s="1323"/>
      <c r="N302" s="1323"/>
      <c r="O302" s="1323"/>
      <c r="P302" s="1323"/>
      <c r="Q302" s="1323"/>
      <c r="R302" s="1304"/>
      <c r="S302" s="1304"/>
      <c r="T302" s="1304"/>
    </row>
    <row r="303" spans="1:20">
      <c r="A303" s="1303"/>
      <c r="B303" s="1322" t="s">
        <v>2864</v>
      </c>
      <c r="C303" s="1323" t="s">
        <v>2865</v>
      </c>
      <c r="D303" s="1324">
        <f t="shared" si="54"/>
        <v>41451</v>
      </c>
      <c r="E303" s="1323">
        <f t="shared" si="56"/>
        <v>10.0604</v>
      </c>
      <c r="F303" s="1323">
        <f t="shared" si="55"/>
        <v>9.260813332104183</v>
      </c>
      <c r="G303" s="1323">
        <f t="shared" si="57"/>
        <v>2013</v>
      </c>
      <c r="H303" s="1323">
        <f t="shared" si="58"/>
        <v>6</v>
      </c>
      <c r="I303" s="1323">
        <f t="shared" si="59"/>
        <v>26</v>
      </c>
      <c r="J303" s="1323"/>
      <c r="K303" s="1323"/>
      <c r="L303" s="1323"/>
      <c r="M303" s="1323"/>
      <c r="N303" s="1323"/>
      <c r="O303" s="1323"/>
      <c r="P303" s="1323"/>
      <c r="Q303" s="1323"/>
      <c r="R303" s="1304"/>
      <c r="S303" s="1304"/>
      <c r="T303" s="1304"/>
    </row>
    <row r="304" spans="1:20">
      <c r="A304" s="1303"/>
      <c r="B304" s="1322" t="s">
        <v>2866</v>
      </c>
      <c r="C304" s="1323" t="s">
        <v>2867</v>
      </c>
      <c r="D304" s="1324">
        <f t="shared" si="54"/>
        <v>41450</v>
      </c>
      <c r="E304" s="1323">
        <f t="shared" si="56"/>
        <v>9.9695999999999998</v>
      </c>
      <c r="F304" s="1323">
        <f t="shared" si="55"/>
        <v>9.2590376262580509</v>
      </c>
      <c r="G304" s="1323">
        <f t="shared" si="57"/>
        <v>2013</v>
      </c>
      <c r="H304" s="1323">
        <f t="shared" si="58"/>
        <v>6</v>
      </c>
      <c r="I304" s="1323">
        <f t="shared" si="59"/>
        <v>25</v>
      </c>
      <c r="J304" s="1323"/>
      <c r="K304" s="1323"/>
      <c r="L304" s="1323"/>
      <c r="M304" s="1323"/>
      <c r="N304" s="1323"/>
      <c r="O304" s="1323"/>
      <c r="P304" s="1323"/>
      <c r="Q304" s="1323"/>
      <c r="R304" s="1304"/>
      <c r="S304" s="1304"/>
      <c r="T304" s="1304"/>
    </row>
    <row r="305" spans="1:20">
      <c r="A305" s="1303"/>
      <c r="B305" s="1322" t="s">
        <v>2868</v>
      </c>
      <c r="C305" s="1323" t="s">
        <v>2869</v>
      </c>
      <c r="D305" s="1324">
        <f t="shared" si="54"/>
        <v>41449</v>
      </c>
      <c r="E305" s="1323">
        <f t="shared" si="56"/>
        <v>10.2195</v>
      </c>
      <c r="F305" s="1323">
        <f t="shared" si="55"/>
        <v>9.2572622608929471</v>
      </c>
      <c r="G305" s="1323">
        <f t="shared" si="57"/>
        <v>2013</v>
      </c>
      <c r="H305" s="1323">
        <f t="shared" si="58"/>
        <v>6</v>
      </c>
      <c r="I305" s="1323">
        <f t="shared" si="59"/>
        <v>24</v>
      </c>
      <c r="J305" s="1323"/>
      <c r="K305" s="1323"/>
      <c r="L305" s="1323"/>
      <c r="M305" s="1323"/>
      <c r="N305" s="1323"/>
      <c r="O305" s="1323"/>
      <c r="P305" s="1323"/>
      <c r="Q305" s="1323"/>
      <c r="R305" s="1304"/>
      <c r="S305" s="1304"/>
      <c r="T305" s="1304"/>
    </row>
    <row r="306" spans="1:20">
      <c r="A306" s="1303"/>
      <c r="B306" s="1322" t="s">
        <v>2870</v>
      </c>
      <c r="C306" s="1323" t="s">
        <v>2871</v>
      </c>
      <c r="D306" s="1324">
        <f t="shared" si="54"/>
        <v>41446</v>
      </c>
      <c r="E306" s="1323">
        <f t="shared" si="56"/>
        <v>10.2354</v>
      </c>
      <c r="F306" s="1323">
        <f t="shared" si="55"/>
        <v>9.2554872359435869</v>
      </c>
      <c r="G306" s="1323">
        <f t="shared" si="57"/>
        <v>2013</v>
      </c>
      <c r="H306" s="1323">
        <f t="shared" si="58"/>
        <v>6</v>
      </c>
      <c r="I306" s="1323">
        <f t="shared" si="59"/>
        <v>21</v>
      </c>
      <c r="J306" s="1323"/>
      <c r="K306" s="1323"/>
      <c r="L306" s="1323"/>
      <c r="M306" s="1323"/>
      <c r="N306" s="1323"/>
      <c r="O306" s="1323"/>
      <c r="P306" s="1323"/>
      <c r="Q306" s="1323"/>
      <c r="R306" s="1304"/>
      <c r="S306" s="1304"/>
      <c r="T306" s="1304"/>
    </row>
    <row r="307" spans="1:20">
      <c r="A307" s="1303"/>
      <c r="B307" s="1322" t="s">
        <v>2872</v>
      </c>
      <c r="C307" s="1323" t="s">
        <v>2873</v>
      </c>
      <c r="D307" s="1324">
        <f t="shared" si="54"/>
        <v>41445</v>
      </c>
      <c r="E307" s="1323">
        <f t="shared" si="56"/>
        <v>10.283200000000001</v>
      </c>
      <c r="F307" s="1323">
        <f t="shared" si="55"/>
        <v>9.2537125513446981</v>
      </c>
      <c r="G307" s="1323">
        <f t="shared" si="57"/>
        <v>2013</v>
      </c>
      <c r="H307" s="1323">
        <f t="shared" si="58"/>
        <v>6</v>
      </c>
      <c r="I307" s="1323">
        <f t="shared" si="59"/>
        <v>20</v>
      </c>
      <c r="J307" s="1323"/>
      <c r="K307" s="1323"/>
      <c r="L307" s="1323"/>
      <c r="M307" s="1323"/>
      <c r="N307" s="1323"/>
      <c r="O307" s="1323"/>
      <c r="P307" s="1323"/>
      <c r="Q307" s="1323"/>
      <c r="R307" s="1304"/>
      <c r="S307" s="1304"/>
      <c r="T307" s="1304"/>
    </row>
    <row r="308" spans="1:20">
      <c r="A308" s="1303"/>
      <c r="B308" s="1322" t="s">
        <v>2874</v>
      </c>
      <c r="C308" s="1323" t="s">
        <v>2875</v>
      </c>
      <c r="D308" s="1324">
        <f t="shared" si="54"/>
        <v>41444</v>
      </c>
      <c r="E308" s="1323">
        <f t="shared" si="56"/>
        <v>9.9222999999999999</v>
      </c>
      <c r="F308" s="1323">
        <f t="shared" si="55"/>
        <v>9.2519382070310208</v>
      </c>
      <c r="G308" s="1323">
        <f t="shared" si="57"/>
        <v>2013</v>
      </c>
      <c r="H308" s="1323">
        <f t="shared" si="58"/>
        <v>6</v>
      </c>
      <c r="I308" s="1323">
        <f t="shared" si="59"/>
        <v>19</v>
      </c>
      <c r="J308" s="1323"/>
      <c r="K308" s="1323"/>
      <c r="L308" s="1323"/>
      <c r="M308" s="1323"/>
      <c r="N308" s="1323"/>
      <c r="O308" s="1323"/>
      <c r="P308" s="1323"/>
      <c r="Q308" s="1323"/>
      <c r="R308" s="1304"/>
      <c r="S308" s="1304"/>
      <c r="T308" s="1304"/>
    </row>
    <row r="309" spans="1:20">
      <c r="A309" s="1303"/>
      <c r="B309" s="1322" t="s">
        <v>2876</v>
      </c>
      <c r="C309" s="1323" t="s">
        <v>2877</v>
      </c>
      <c r="D309" s="1324">
        <f t="shared" si="54"/>
        <v>41443</v>
      </c>
      <c r="E309" s="1323">
        <f t="shared" si="56"/>
        <v>10.0265</v>
      </c>
      <c r="F309" s="1323">
        <f t="shared" si="55"/>
        <v>9.2501642029373059</v>
      </c>
      <c r="G309" s="1323">
        <f t="shared" si="57"/>
        <v>2013</v>
      </c>
      <c r="H309" s="1323">
        <f t="shared" si="58"/>
        <v>6</v>
      </c>
      <c r="I309" s="1323">
        <f t="shared" si="59"/>
        <v>18</v>
      </c>
      <c r="J309" s="1323"/>
      <c r="K309" s="1323"/>
      <c r="L309" s="1323"/>
      <c r="M309" s="1323"/>
      <c r="N309" s="1323"/>
      <c r="O309" s="1323"/>
      <c r="P309" s="1323"/>
      <c r="Q309" s="1323"/>
      <c r="R309" s="1304"/>
      <c r="S309" s="1304"/>
      <c r="T309" s="1304"/>
    </row>
    <row r="310" spans="1:20">
      <c r="A310" s="1303"/>
      <c r="B310" s="1322" t="s">
        <v>2878</v>
      </c>
      <c r="C310" s="1323" t="s">
        <v>2879</v>
      </c>
      <c r="D310" s="1324">
        <f t="shared" si="54"/>
        <v>41439</v>
      </c>
      <c r="E310" s="1323">
        <f t="shared" si="56"/>
        <v>9.8734999999999999</v>
      </c>
      <c r="F310" s="1323">
        <f t="shared" si="55"/>
        <v>9.2483905389983203</v>
      </c>
      <c r="G310" s="1323">
        <f t="shared" si="57"/>
        <v>2013</v>
      </c>
      <c r="H310" s="1323">
        <f t="shared" si="58"/>
        <v>6</v>
      </c>
      <c r="I310" s="1323">
        <f t="shared" si="59"/>
        <v>14</v>
      </c>
      <c r="J310" s="1323"/>
      <c r="K310" s="1323"/>
      <c r="L310" s="1323"/>
      <c r="M310" s="1323"/>
      <c r="N310" s="1323"/>
      <c r="O310" s="1323"/>
      <c r="P310" s="1323"/>
      <c r="Q310" s="1323"/>
      <c r="R310" s="1304"/>
      <c r="S310" s="1304"/>
      <c r="T310" s="1304"/>
    </row>
    <row r="311" spans="1:20">
      <c r="A311" s="1303"/>
      <c r="B311" s="1322" t="s">
        <v>2880</v>
      </c>
      <c r="C311" s="1323" t="s">
        <v>2881</v>
      </c>
      <c r="D311" s="1324">
        <f t="shared" si="54"/>
        <v>41438</v>
      </c>
      <c r="E311" s="1323">
        <f t="shared" si="56"/>
        <v>10.0322</v>
      </c>
      <c r="F311" s="1323">
        <f t="shared" si="55"/>
        <v>9.2466172151488397</v>
      </c>
      <c r="G311" s="1323">
        <f t="shared" si="57"/>
        <v>2013</v>
      </c>
      <c r="H311" s="1323">
        <f t="shared" si="58"/>
        <v>6</v>
      </c>
      <c r="I311" s="1323">
        <f t="shared" si="59"/>
        <v>13</v>
      </c>
      <c r="J311" s="1323"/>
      <c r="K311" s="1323"/>
      <c r="L311" s="1323"/>
      <c r="M311" s="1323"/>
      <c r="N311" s="1323"/>
      <c r="O311" s="1323"/>
      <c r="P311" s="1323"/>
      <c r="Q311" s="1323"/>
      <c r="R311" s="1304"/>
      <c r="S311" s="1304"/>
      <c r="T311" s="1304"/>
    </row>
    <row r="312" spans="1:20">
      <c r="A312" s="1303"/>
      <c r="B312" s="1322" t="s">
        <v>2882</v>
      </c>
      <c r="C312" s="1323" t="s">
        <v>2883</v>
      </c>
      <c r="D312" s="1324">
        <f t="shared" si="54"/>
        <v>41437</v>
      </c>
      <c r="E312" s="1323">
        <f t="shared" si="56"/>
        <v>9.9853000000000005</v>
      </c>
      <c r="F312" s="1323">
        <f t="shared" si="55"/>
        <v>9.2448442313236541</v>
      </c>
      <c r="G312" s="1323">
        <f t="shared" si="57"/>
        <v>2013</v>
      </c>
      <c r="H312" s="1323">
        <f t="shared" si="58"/>
        <v>6</v>
      </c>
      <c r="I312" s="1323">
        <f t="shared" si="59"/>
        <v>12</v>
      </c>
      <c r="J312" s="1323"/>
      <c r="K312" s="1323"/>
      <c r="L312" s="1323"/>
      <c r="M312" s="1323"/>
      <c r="N312" s="1323"/>
      <c r="O312" s="1323"/>
      <c r="P312" s="1323"/>
      <c r="Q312" s="1323"/>
      <c r="R312" s="1304"/>
      <c r="S312" s="1304"/>
      <c r="T312" s="1304"/>
    </row>
    <row r="313" spans="1:20">
      <c r="A313" s="1303"/>
      <c r="B313" s="1322" t="s">
        <v>2884</v>
      </c>
      <c r="C313" s="1323" t="s">
        <v>2885</v>
      </c>
      <c r="D313" s="1324">
        <f t="shared" si="54"/>
        <v>41436</v>
      </c>
      <c r="E313" s="1323">
        <f t="shared" si="56"/>
        <v>10.251099999999999</v>
      </c>
      <c r="F313" s="1323">
        <f t="shared" si="55"/>
        <v>9.2430715874575657</v>
      </c>
      <c r="G313" s="1323">
        <f t="shared" si="57"/>
        <v>2013</v>
      </c>
      <c r="H313" s="1323">
        <f t="shared" si="58"/>
        <v>6</v>
      </c>
      <c r="I313" s="1323">
        <f t="shared" si="59"/>
        <v>11</v>
      </c>
      <c r="J313" s="1323"/>
      <c r="K313" s="1323"/>
      <c r="L313" s="1323"/>
      <c r="M313" s="1323"/>
      <c r="N313" s="1323"/>
      <c r="O313" s="1323"/>
      <c r="P313" s="1323"/>
      <c r="Q313" s="1323"/>
      <c r="R313" s="1304"/>
      <c r="S313" s="1304"/>
      <c r="T313" s="1304"/>
    </row>
    <row r="314" spans="1:20">
      <c r="A314" s="1303"/>
      <c r="B314" s="1322" t="s">
        <v>2886</v>
      </c>
      <c r="C314" s="1323" t="s">
        <v>2887</v>
      </c>
      <c r="D314" s="1324">
        <f t="shared" si="54"/>
        <v>41435</v>
      </c>
      <c r="E314" s="1323">
        <f t="shared" si="56"/>
        <v>10.1561</v>
      </c>
      <c r="F314" s="1323">
        <f t="shared" si="55"/>
        <v>9.2412992834853895</v>
      </c>
      <c r="G314" s="1323">
        <f t="shared" si="57"/>
        <v>2013</v>
      </c>
      <c r="H314" s="1323">
        <f t="shared" si="58"/>
        <v>6</v>
      </c>
      <c r="I314" s="1323">
        <f t="shared" si="59"/>
        <v>10</v>
      </c>
      <c r="J314" s="1323"/>
      <c r="K314" s="1323"/>
      <c r="L314" s="1323"/>
      <c r="M314" s="1323"/>
      <c r="N314" s="1323"/>
      <c r="O314" s="1323"/>
      <c r="P314" s="1323"/>
      <c r="Q314" s="1323"/>
      <c r="R314" s="1304"/>
      <c r="S314" s="1304"/>
      <c r="T314" s="1304"/>
    </row>
    <row r="315" spans="1:20">
      <c r="A315" s="1303"/>
      <c r="B315" s="1322" t="s">
        <v>2888</v>
      </c>
      <c r="C315" s="1323" t="s">
        <v>2889</v>
      </c>
      <c r="D315" s="1324">
        <f t="shared" si="54"/>
        <v>41432</v>
      </c>
      <c r="E315" s="1323">
        <f t="shared" si="56"/>
        <v>9.9307999999999996</v>
      </c>
      <c r="F315" s="1323">
        <f t="shared" si="55"/>
        <v>9.2395273193419545</v>
      </c>
      <c r="G315" s="1323">
        <f t="shared" si="57"/>
        <v>2013</v>
      </c>
      <c r="H315" s="1323">
        <f t="shared" si="58"/>
        <v>6</v>
      </c>
      <c r="I315" s="1323">
        <f t="shared" si="59"/>
        <v>7</v>
      </c>
      <c r="J315" s="1323"/>
      <c r="K315" s="1323"/>
      <c r="L315" s="1323"/>
      <c r="M315" s="1323"/>
      <c r="N315" s="1323"/>
      <c r="O315" s="1323"/>
      <c r="P315" s="1323"/>
      <c r="Q315" s="1323"/>
      <c r="R315" s="1304"/>
      <c r="S315" s="1304"/>
      <c r="T315" s="1304"/>
    </row>
    <row r="316" spans="1:20">
      <c r="A316" s="1303"/>
      <c r="B316" s="1322" t="s">
        <v>2890</v>
      </c>
      <c r="C316" s="1323" t="s">
        <v>2891</v>
      </c>
      <c r="D316" s="1324">
        <f t="shared" si="54"/>
        <v>41431</v>
      </c>
      <c r="E316" s="1323">
        <f t="shared" si="56"/>
        <v>9.9986999999999995</v>
      </c>
      <c r="F316" s="1323">
        <f t="shared" si="55"/>
        <v>9.2377556949620985</v>
      </c>
      <c r="G316" s="1323">
        <f t="shared" si="57"/>
        <v>2013</v>
      </c>
      <c r="H316" s="1323">
        <f t="shared" si="58"/>
        <v>6</v>
      </c>
      <c r="I316" s="1323">
        <f t="shared" si="59"/>
        <v>6</v>
      </c>
      <c r="J316" s="1323"/>
      <c r="K316" s="1323"/>
      <c r="L316" s="1323"/>
      <c r="M316" s="1323"/>
      <c r="N316" s="1323"/>
      <c r="O316" s="1323"/>
      <c r="P316" s="1323"/>
      <c r="Q316" s="1323"/>
      <c r="R316" s="1304"/>
      <c r="S316" s="1304"/>
      <c r="T316" s="1304"/>
    </row>
    <row r="317" spans="1:20">
      <c r="A317" s="1303"/>
      <c r="B317" s="1322" t="s">
        <v>2892</v>
      </c>
      <c r="C317" s="1323" t="s">
        <v>2893</v>
      </c>
      <c r="D317" s="1324">
        <f t="shared" si="54"/>
        <v>41430</v>
      </c>
      <c r="E317" s="1323">
        <f t="shared" si="56"/>
        <v>9.8587000000000007</v>
      </c>
      <c r="F317" s="1323">
        <f t="shared" si="55"/>
        <v>9.2359844102806736</v>
      </c>
      <c r="G317" s="1323">
        <f t="shared" si="57"/>
        <v>2013</v>
      </c>
      <c r="H317" s="1323">
        <f t="shared" si="58"/>
        <v>6</v>
      </c>
      <c r="I317" s="1323">
        <f t="shared" si="59"/>
        <v>5</v>
      </c>
      <c r="J317" s="1323"/>
      <c r="K317" s="1323"/>
      <c r="L317" s="1323"/>
      <c r="M317" s="1323"/>
      <c r="N317" s="1323"/>
      <c r="O317" s="1323"/>
      <c r="P317" s="1323"/>
      <c r="Q317" s="1323"/>
      <c r="R317" s="1304"/>
      <c r="S317" s="1304"/>
      <c r="T317" s="1304"/>
    </row>
    <row r="318" spans="1:20">
      <c r="A318" s="1303"/>
      <c r="B318" s="1322" t="s">
        <v>2894</v>
      </c>
      <c r="C318" s="1323" t="s">
        <v>2895</v>
      </c>
      <c r="D318" s="1324">
        <f t="shared" si="54"/>
        <v>41429</v>
      </c>
      <c r="E318" s="1323">
        <f t="shared" si="56"/>
        <v>9.766</v>
      </c>
      <c r="F318" s="1323">
        <f t="shared" si="55"/>
        <v>9.2342134652325463</v>
      </c>
      <c r="G318" s="1323">
        <f t="shared" si="57"/>
        <v>2013</v>
      </c>
      <c r="H318" s="1323">
        <f t="shared" si="58"/>
        <v>6</v>
      </c>
      <c r="I318" s="1323">
        <f t="shared" si="59"/>
        <v>4</v>
      </c>
      <c r="J318" s="1323"/>
      <c r="K318" s="1323"/>
      <c r="L318" s="1323"/>
      <c r="M318" s="1323"/>
      <c r="N318" s="1323"/>
      <c r="O318" s="1323"/>
      <c r="P318" s="1323"/>
      <c r="Q318" s="1323"/>
      <c r="R318" s="1304"/>
      <c r="S318" s="1304"/>
      <c r="T318" s="1304"/>
    </row>
    <row r="319" spans="1:20">
      <c r="A319" s="1303"/>
      <c r="B319" s="1322" t="s">
        <v>2896</v>
      </c>
      <c r="C319" s="1323" t="s">
        <v>2897</v>
      </c>
      <c r="D319" s="1324">
        <f t="shared" si="54"/>
        <v>41428</v>
      </c>
      <c r="E319" s="1323">
        <f t="shared" si="56"/>
        <v>10.0406</v>
      </c>
      <c r="F319" s="1323">
        <f t="shared" si="55"/>
        <v>9.2324428597525934</v>
      </c>
      <c r="G319" s="1323">
        <f t="shared" si="57"/>
        <v>2013</v>
      </c>
      <c r="H319" s="1323">
        <f t="shared" si="58"/>
        <v>6</v>
      </c>
      <c r="I319" s="1323">
        <f t="shared" si="59"/>
        <v>3</v>
      </c>
      <c r="J319" s="1323"/>
      <c r="K319" s="1323"/>
      <c r="L319" s="1323"/>
      <c r="M319" s="1323"/>
      <c r="N319" s="1323"/>
      <c r="O319" s="1323"/>
      <c r="P319" s="1323"/>
      <c r="Q319" s="1323"/>
      <c r="R319" s="1304"/>
      <c r="S319" s="1304"/>
      <c r="T319" s="1304"/>
    </row>
    <row r="320" spans="1:20">
      <c r="A320" s="1303"/>
      <c r="B320" s="1322" t="s">
        <v>2898</v>
      </c>
      <c r="C320" s="1323" t="s">
        <v>2899</v>
      </c>
      <c r="D320" s="1324">
        <f t="shared" si="54"/>
        <v>41425</v>
      </c>
      <c r="E320" s="1323">
        <f t="shared" si="56"/>
        <v>10.198499999999999</v>
      </c>
      <c r="F320" s="1323">
        <f t="shared" si="55"/>
        <v>9.2306725937757044</v>
      </c>
      <c r="G320" s="1323">
        <f t="shared" si="57"/>
        <v>2013</v>
      </c>
      <c r="H320" s="1323">
        <f t="shared" si="58"/>
        <v>5</v>
      </c>
      <c r="I320" s="1323">
        <f t="shared" si="59"/>
        <v>31</v>
      </c>
      <c r="J320" s="1323"/>
      <c r="K320" s="1323"/>
      <c r="L320" s="1323"/>
      <c r="M320" s="1323"/>
      <c r="N320" s="1323"/>
      <c r="O320" s="1323"/>
      <c r="P320" s="1323"/>
      <c r="Q320" s="1323"/>
      <c r="R320" s="1304"/>
      <c r="S320" s="1304"/>
      <c r="T320" s="1304"/>
    </row>
    <row r="321" spans="1:20">
      <c r="A321" s="1303"/>
      <c r="B321" s="1322" t="s">
        <v>2900</v>
      </c>
      <c r="C321" s="1323" t="s">
        <v>2901</v>
      </c>
      <c r="D321" s="1324">
        <f t="shared" si="54"/>
        <v>41424</v>
      </c>
      <c r="E321" s="1323">
        <f t="shared" si="56"/>
        <v>9.7868999999999993</v>
      </c>
      <c r="F321" s="1323">
        <f t="shared" si="55"/>
        <v>9.2289026672367811</v>
      </c>
      <c r="G321" s="1323">
        <f t="shared" si="57"/>
        <v>2013</v>
      </c>
      <c r="H321" s="1323">
        <f t="shared" si="58"/>
        <v>5</v>
      </c>
      <c r="I321" s="1323">
        <f t="shared" si="59"/>
        <v>30</v>
      </c>
      <c r="J321" s="1323"/>
      <c r="K321" s="1323"/>
      <c r="L321" s="1323"/>
      <c r="M321" s="1323"/>
      <c r="N321" s="1323"/>
      <c r="O321" s="1323"/>
      <c r="P321" s="1323"/>
      <c r="Q321" s="1323"/>
      <c r="R321" s="1304"/>
      <c r="S321" s="1304"/>
      <c r="T321" s="1304"/>
    </row>
    <row r="322" spans="1:20">
      <c r="A322" s="1303"/>
      <c r="B322" s="1322" t="s">
        <v>2902</v>
      </c>
      <c r="C322" s="1323" t="s">
        <v>2903</v>
      </c>
      <c r="D322" s="1324">
        <f t="shared" si="54"/>
        <v>41423</v>
      </c>
      <c r="E322" s="1323">
        <f t="shared" si="56"/>
        <v>9.8324999999999996</v>
      </c>
      <c r="F322" s="1323">
        <f t="shared" si="55"/>
        <v>9.2271330800707396</v>
      </c>
      <c r="G322" s="1323">
        <f t="shared" si="57"/>
        <v>2013</v>
      </c>
      <c r="H322" s="1323">
        <f t="shared" si="58"/>
        <v>5</v>
      </c>
      <c r="I322" s="1323">
        <f t="shared" si="59"/>
        <v>29</v>
      </c>
      <c r="J322" s="1323"/>
      <c r="K322" s="1323"/>
      <c r="L322" s="1323"/>
      <c r="M322" s="1323"/>
      <c r="N322" s="1323"/>
      <c r="O322" s="1323"/>
      <c r="P322" s="1323"/>
      <c r="Q322" s="1323"/>
      <c r="R322" s="1304"/>
      <c r="S322" s="1304"/>
      <c r="T322" s="1304"/>
    </row>
    <row r="323" spans="1:20">
      <c r="A323" s="1303"/>
      <c r="B323" s="1322" t="s">
        <v>2904</v>
      </c>
      <c r="C323" s="1323" t="s">
        <v>2905</v>
      </c>
      <c r="D323" s="1324">
        <f t="shared" si="54"/>
        <v>41422</v>
      </c>
      <c r="E323" s="1323">
        <f t="shared" si="56"/>
        <v>9.6862999999999992</v>
      </c>
      <c r="F323" s="1323">
        <f t="shared" si="55"/>
        <v>9.2253638322125067</v>
      </c>
      <c r="G323" s="1323">
        <f t="shared" si="57"/>
        <v>2013</v>
      </c>
      <c r="H323" s="1323">
        <f t="shared" si="58"/>
        <v>5</v>
      </c>
      <c r="I323" s="1323">
        <f t="shared" si="59"/>
        <v>28</v>
      </c>
      <c r="J323" s="1323"/>
      <c r="K323" s="1323"/>
      <c r="L323" s="1323"/>
      <c r="M323" s="1323"/>
      <c r="N323" s="1323"/>
      <c r="O323" s="1323"/>
      <c r="P323" s="1323"/>
      <c r="Q323" s="1323"/>
      <c r="R323" s="1304"/>
      <c r="S323" s="1304"/>
      <c r="T323" s="1304"/>
    </row>
    <row r="324" spans="1:20">
      <c r="A324" s="1303"/>
      <c r="B324" s="1322" t="s">
        <v>2906</v>
      </c>
      <c r="C324" s="1323" t="s">
        <v>2907</v>
      </c>
      <c r="D324" s="1324">
        <f t="shared" si="54"/>
        <v>41421</v>
      </c>
      <c r="E324" s="1323">
        <f t="shared" si="56"/>
        <v>9.6031999999999993</v>
      </c>
      <c r="F324" s="1323">
        <f t="shared" si="55"/>
        <v>9.2235949235970214</v>
      </c>
      <c r="G324" s="1323">
        <f t="shared" si="57"/>
        <v>2013</v>
      </c>
      <c r="H324" s="1323">
        <f t="shared" si="58"/>
        <v>5</v>
      </c>
      <c r="I324" s="1323">
        <f t="shared" si="59"/>
        <v>27</v>
      </c>
      <c r="J324" s="1323"/>
      <c r="K324" s="1323"/>
      <c r="L324" s="1323"/>
      <c r="M324" s="1323"/>
      <c r="N324" s="1323"/>
      <c r="O324" s="1323"/>
      <c r="P324" s="1323"/>
      <c r="Q324" s="1323"/>
      <c r="R324" s="1304"/>
      <c r="S324" s="1304"/>
      <c r="T324" s="1304"/>
    </row>
    <row r="325" spans="1:20">
      <c r="A325" s="1303"/>
      <c r="B325" s="1322" t="s">
        <v>2908</v>
      </c>
      <c r="C325" s="1323" t="s">
        <v>2909</v>
      </c>
      <c r="D325" s="1324">
        <f t="shared" si="54"/>
        <v>41418</v>
      </c>
      <c r="E325" s="1323">
        <f t="shared" si="56"/>
        <v>9.5356000000000005</v>
      </c>
      <c r="F325" s="1323">
        <f t="shared" si="55"/>
        <v>9.2218263541592371</v>
      </c>
      <c r="G325" s="1323">
        <f t="shared" si="57"/>
        <v>2013</v>
      </c>
      <c r="H325" s="1323">
        <f t="shared" si="58"/>
        <v>5</v>
      </c>
      <c r="I325" s="1323">
        <f t="shared" si="59"/>
        <v>24</v>
      </c>
      <c r="J325" s="1323"/>
      <c r="K325" s="1323"/>
      <c r="L325" s="1323"/>
      <c r="M325" s="1323"/>
      <c r="N325" s="1323"/>
      <c r="O325" s="1323"/>
      <c r="P325" s="1323"/>
      <c r="Q325" s="1323"/>
      <c r="R325" s="1304"/>
      <c r="S325" s="1304"/>
      <c r="T325" s="1304"/>
    </row>
    <row r="326" spans="1:20">
      <c r="A326" s="1303"/>
      <c r="B326" s="1322" t="s">
        <v>2910</v>
      </c>
      <c r="C326" s="1323" t="s">
        <v>2911</v>
      </c>
      <c r="D326" s="1324">
        <f t="shared" si="54"/>
        <v>41417</v>
      </c>
      <c r="E326" s="1323">
        <f t="shared" si="56"/>
        <v>9.6623000000000001</v>
      </c>
      <c r="F326" s="1323">
        <f t="shared" si="55"/>
        <v>9.2200581238341179</v>
      </c>
      <c r="G326" s="1323">
        <f t="shared" si="57"/>
        <v>2013</v>
      </c>
      <c r="H326" s="1323">
        <f t="shared" si="58"/>
        <v>5</v>
      </c>
      <c r="I326" s="1323">
        <f t="shared" si="59"/>
        <v>23</v>
      </c>
      <c r="J326" s="1323"/>
      <c r="K326" s="1323"/>
      <c r="L326" s="1323"/>
      <c r="M326" s="1323"/>
      <c r="N326" s="1323"/>
      <c r="O326" s="1323"/>
      <c r="P326" s="1323"/>
      <c r="Q326" s="1323"/>
      <c r="R326" s="1304"/>
      <c r="S326" s="1304"/>
      <c r="T326" s="1304"/>
    </row>
    <row r="327" spans="1:20">
      <c r="A327" s="1303"/>
      <c r="B327" s="1322" t="s">
        <v>2912</v>
      </c>
      <c r="C327" s="1323" t="s">
        <v>2913</v>
      </c>
      <c r="D327" s="1324">
        <f t="shared" si="54"/>
        <v>41416</v>
      </c>
      <c r="E327" s="1323">
        <f t="shared" si="56"/>
        <v>9.5214999999999996</v>
      </c>
      <c r="F327" s="1323">
        <f t="shared" si="55"/>
        <v>9.2182902325566403</v>
      </c>
      <c r="G327" s="1323">
        <f t="shared" si="57"/>
        <v>2013</v>
      </c>
      <c r="H327" s="1323">
        <f t="shared" si="58"/>
        <v>5</v>
      </c>
      <c r="I327" s="1323">
        <f t="shared" si="59"/>
        <v>22</v>
      </c>
      <c r="J327" s="1323"/>
      <c r="K327" s="1323"/>
      <c r="L327" s="1323"/>
      <c r="M327" s="1323"/>
      <c r="N327" s="1323"/>
      <c r="O327" s="1323"/>
      <c r="P327" s="1323"/>
      <c r="Q327" s="1323"/>
      <c r="R327" s="1304"/>
      <c r="S327" s="1304"/>
      <c r="T327" s="1304"/>
    </row>
    <row r="328" spans="1:20">
      <c r="A328" s="1303"/>
      <c r="B328" s="1322" t="s">
        <v>2914</v>
      </c>
      <c r="C328" s="1323" t="s">
        <v>2915</v>
      </c>
      <c r="D328" s="1324">
        <f t="shared" si="54"/>
        <v>41415</v>
      </c>
      <c r="E328" s="1323">
        <f t="shared" si="56"/>
        <v>9.4978999999999996</v>
      </c>
      <c r="F328" s="1323">
        <f t="shared" si="55"/>
        <v>9.2165226802617948</v>
      </c>
      <c r="G328" s="1323">
        <f t="shared" si="57"/>
        <v>2013</v>
      </c>
      <c r="H328" s="1323">
        <f t="shared" si="58"/>
        <v>5</v>
      </c>
      <c r="I328" s="1323">
        <f t="shared" si="59"/>
        <v>21</v>
      </c>
      <c r="J328" s="1323"/>
      <c r="K328" s="1323"/>
      <c r="L328" s="1323"/>
      <c r="M328" s="1323"/>
      <c r="N328" s="1323"/>
      <c r="O328" s="1323"/>
      <c r="P328" s="1323"/>
      <c r="Q328" s="1323"/>
      <c r="R328" s="1304"/>
      <c r="S328" s="1304"/>
      <c r="T328" s="1304"/>
    </row>
    <row r="329" spans="1:20">
      <c r="A329" s="1303"/>
      <c r="B329" s="1322" t="s">
        <v>2916</v>
      </c>
      <c r="C329" s="1323" t="s">
        <v>2917</v>
      </c>
      <c r="D329" s="1324">
        <f t="shared" ref="D329:D392" si="60">DATE(G329,H329,I329)</f>
        <v>41414</v>
      </c>
      <c r="E329" s="1323">
        <f t="shared" si="56"/>
        <v>9.3931000000000004</v>
      </c>
      <c r="F329" s="1323">
        <f t="shared" ref="F329:F392" si="61">F330*(1+$F$7/365)</f>
        <v>9.2147554668845846</v>
      </c>
      <c r="G329" s="1323">
        <f t="shared" si="57"/>
        <v>2013</v>
      </c>
      <c r="H329" s="1323">
        <f t="shared" si="58"/>
        <v>5</v>
      </c>
      <c r="I329" s="1323">
        <f t="shared" si="59"/>
        <v>20</v>
      </c>
      <c r="J329" s="1323"/>
      <c r="K329" s="1323"/>
      <c r="L329" s="1323"/>
      <c r="M329" s="1323"/>
      <c r="N329" s="1323"/>
      <c r="O329" s="1323"/>
      <c r="P329" s="1323"/>
      <c r="Q329" s="1323"/>
      <c r="R329" s="1304"/>
      <c r="S329" s="1304"/>
      <c r="T329" s="1304"/>
    </row>
    <row r="330" spans="1:20">
      <c r="A330" s="1303"/>
      <c r="B330" s="1322" t="s">
        <v>2918</v>
      </c>
      <c r="C330" s="1323" t="s">
        <v>2919</v>
      </c>
      <c r="D330" s="1324">
        <f t="shared" si="60"/>
        <v>41411</v>
      </c>
      <c r="E330" s="1323">
        <f t="shared" si="56"/>
        <v>9.4113000000000007</v>
      </c>
      <c r="F330" s="1323">
        <f t="shared" si="61"/>
        <v>9.2129885923600217</v>
      </c>
      <c r="G330" s="1323">
        <f t="shared" si="57"/>
        <v>2013</v>
      </c>
      <c r="H330" s="1323">
        <f t="shared" si="58"/>
        <v>5</v>
      </c>
      <c r="I330" s="1323">
        <f t="shared" si="59"/>
        <v>17</v>
      </c>
      <c r="J330" s="1323"/>
      <c r="K330" s="1323"/>
      <c r="L330" s="1323"/>
      <c r="M330" s="1323"/>
      <c r="N330" s="1323"/>
      <c r="O330" s="1323"/>
      <c r="P330" s="1323"/>
      <c r="Q330" s="1323"/>
      <c r="R330" s="1304"/>
      <c r="S330" s="1304"/>
      <c r="T330" s="1304"/>
    </row>
    <row r="331" spans="1:20">
      <c r="A331" s="1303"/>
      <c r="B331" s="1322" t="s">
        <v>2920</v>
      </c>
      <c r="C331" s="1323" t="s">
        <v>2921</v>
      </c>
      <c r="D331" s="1324">
        <f t="shared" si="60"/>
        <v>41410</v>
      </c>
      <c r="E331" s="1323">
        <f t="shared" si="56"/>
        <v>9.3094000000000001</v>
      </c>
      <c r="F331" s="1323">
        <f t="shared" si="61"/>
        <v>9.211222056623134</v>
      </c>
      <c r="G331" s="1323">
        <f t="shared" si="57"/>
        <v>2013</v>
      </c>
      <c r="H331" s="1323">
        <f t="shared" si="58"/>
        <v>5</v>
      </c>
      <c r="I331" s="1323">
        <f t="shared" si="59"/>
        <v>16</v>
      </c>
      <c r="J331" s="1323"/>
      <c r="K331" s="1323"/>
      <c r="L331" s="1323"/>
      <c r="M331" s="1323"/>
      <c r="N331" s="1323"/>
      <c r="O331" s="1323"/>
      <c r="P331" s="1323"/>
      <c r="Q331" s="1323"/>
      <c r="R331" s="1304"/>
      <c r="S331" s="1304"/>
      <c r="T331" s="1304"/>
    </row>
    <row r="332" spans="1:20">
      <c r="A332" s="1303"/>
      <c r="B332" s="1322" t="s">
        <v>2922</v>
      </c>
      <c r="C332" s="1323" t="s">
        <v>2923</v>
      </c>
      <c r="D332" s="1324">
        <f t="shared" si="60"/>
        <v>41409</v>
      </c>
      <c r="E332" s="1323">
        <f t="shared" si="56"/>
        <v>9.2575000000000003</v>
      </c>
      <c r="F332" s="1323">
        <f t="shared" si="61"/>
        <v>9.209455859608962</v>
      </c>
      <c r="G332" s="1323">
        <f t="shared" si="57"/>
        <v>2013</v>
      </c>
      <c r="H332" s="1323">
        <f t="shared" si="58"/>
        <v>5</v>
      </c>
      <c r="I332" s="1323">
        <f t="shared" si="59"/>
        <v>15</v>
      </c>
      <c r="J332" s="1323"/>
      <c r="K332" s="1323"/>
      <c r="L332" s="1323"/>
      <c r="M332" s="1323"/>
      <c r="N332" s="1323"/>
      <c r="O332" s="1323"/>
      <c r="P332" s="1323"/>
      <c r="Q332" s="1323"/>
      <c r="R332" s="1304"/>
      <c r="S332" s="1304"/>
      <c r="T332" s="1304"/>
    </row>
    <row r="333" spans="1:20">
      <c r="A333" s="1303"/>
      <c r="B333" s="1322" t="s">
        <v>2924</v>
      </c>
      <c r="C333" s="1323" t="s">
        <v>2925</v>
      </c>
      <c r="D333" s="1324">
        <f t="shared" si="60"/>
        <v>41408</v>
      </c>
      <c r="E333" s="1323">
        <f t="shared" si="56"/>
        <v>9.1961999999999993</v>
      </c>
      <c r="F333" s="1323">
        <f t="shared" si="61"/>
        <v>9.2076900012525567</v>
      </c>
      <c r="G333" s="1323">
        <f t="shared" si="57"/>
        <v>2013</v>
      </c>
      <c r="H333" s="1323">
        <f t="shared" si="58"/>
        <v>5</v>
      </c>
      <c r="I333" s="1323">
        <f t="shared" si="59"/>
        <v>14</v>
      </c>
      <c r="J333" s="1323"/>
      <c r="K333" s="1323"/>
      <c r="L333" s="1323"/>
      <c r="M333" s="1323"/>
      <c r="N333" s="1323"/>
      <c r="O333" s="1323"/>
      <c r="P333" s="1323"/>
      <c r="Q333" s="1323"/>
      <c r="R333" s="1304"/>
      <c r="S333" s="1304"/>
      <c r="T333" s="1304"/>
    </row>
    <row r="334" spans="1:20">
      <c r="A334" s="1303"/>
      <c r="B334" s="1322" t="s">
        <v>2926</v>
      </c>
      <c r="C334" s="1323" t="s">
        <v>2927</v>
      </c>
      <c r="D334" s="1324">
        <f t="shared" si="60"/>
        <v>41407</v>
      </c>
      <c r="E334" s="1323">
        <f t="shared" si="56"/>
        <v>9.0973000000000006</v>
      </c>
      <c r="F334" s="1323">
        <f t="shared" si="61"/>
        <v>9.2059244814889833</v>
      </c>
      <c r="G334" s="1323">
        <f t="shared" si="57"/>
        <v>2013</v>
      </c>
      <c r="H334" s="1323">
        <f t="shared" si="58"/>
        <v>5</v>
      </c>
      <c r="I334" s="1323">
        <f t="shared" si="59"/>
        <v>13</v>
      </c>
      <c r="J334" s="1323"/>
      <c r="K334" s="1323"/>
      <c r="L334" s="1323"/>
      <c r="M334" s="1323"/>
      <c r="N334" s="1323"/>
      <c r="O334" s="1323"/>
      <c r="P334" s="1323"/>
      <c r="Q334" s="1323"/>
      <c r="R334" s="1304"/>
      <c r="S334" s="1304"/>
      <c r="T334" s="1304"/>
    </row>
    <row r="335" spans="1:20">
      <c r="A335" s="1303"/>
      <c r="B335" s="1322" t="s">
        <v>2928</v>
      </c>
      <c r="C335" s="1323" t="s">
        <v>2929</v>
      </c>
      <c r="D335" s="1324">
        <f t="shared" si="60"/>
        <v>41404</v>
      </c>
      <c r="E335" s="1323">
        <f t="shared" si="56"/>
        <v>9.0547000000000004</v>
      </c>
      <c r="F335" s="1323">
        <f t="shared" si="61"/>
        <v>9.204159300253318</v>
      </c>
      <c r="G335" s="1323">
        <f t="shared" si="57"/>
        <v>2013</v>
      </c>
      <c r="H335" s="1323">
        <f t="shared" si="58"/>
        <v>5</v>
      </c>
      <c r="I335" s="1323">
        <f t="shared" si="59"/>
        <v>10</v>
      </c>
      <c r="J335" s="1323"/>
      <c r="K335" s="1323"/>
      <c r="L335" s="1323"/>
      <c r="M335" s="1323"/>
      <c r="N335" s="1323"/>
      <c r="O335" s="1323"/>
      <c r="P335" s="1323"/>
      <c r="Q335" s="1323"/>
      <c r="R335" s="1304"/>
      <c r="S335" s="1304"/>
      <c r="T335" s="1304"/>
    </row>
    <row r="336" spans="1:20">
      <c r="A336" s="1303"/>
      <c r="B336" s="1322" t="s">
        <v>2930</v>
      </c>
      <c r="C336" s="1323" t="s">
        <v>2931</v>
      </c>
      <c r="D336" s="1324">
        <f t="shared" si="60"/>
        <v>41403</v>
      </c>
      <c r="E336" s="1323">
        <f t="shared" si="56"/>
        <v>8.9974000000000007</v>
      </c>
      <c r="F336" s="1323">
        <f t="shared" si="61"/>
        <v>9.2023944574806507</v>
      </c>
      <c r="G336" s="1323">
        <f t="shared" si="57"/>
        <v>2013</v>
      </c>
      <c r="H336" s="1323">
        <f t="shared" si="58"/>
        <v>5</v>
      </c>
      <c r="I336" s="1323">
        <f t="shared" si="59"/>
        <v>9</v>
      </c>
      <c r="J336" s="1323"/>
      <c r="K336" s="1323"/>
      <c r="L336" s="1323"/>
      <c r="M336" s="1323"/>
      <c r="N336" s="1323"/>
      <c r="O336" s="1323"/>
      <c r="P336" s="1323"/>
      <c r="Q336" s="1323"/>
      <c r="R336" s="1304"/>
      <c r="S336" s="1304"/>
      <c r="T336" s="1304"/>
    </row>
    <row r="337" spans="1:20">
      <c r="A337" s="1303"/>
      <c r="B337" s="1322" t="s">
        <v>2932</v>
      </c>
      <c r="C337" s="1323" t="s">
        <v>2933</v>
      </c>
      <c r="D337" s="1324">
        <f t="shared" si="60"/>
        <v>41402</v>
      </c>
      <c r="E337" s="1323">
        <f t="shared" si="56"/>
        <v>9.0482999999999993</v>
      </c>
      <c r="F337" s="1323">
        <f t="shared" si="61"/>
        <v>9.2006299531060822</v>
      </c>
      <c r="G337" s="1323">
        <f t="shared" si="57"/>
        <v>2013</v>
      </c>
      <c r="H337" s="1323">
        <f t="shared" si="58"/>
        <v>5</v>
      </c>
      <c r="I337" s="1323">
        <f t="shared" si="59"/>
        <v>8</v>
      </c>
      <c r="J337" s="1323"/>
      <c r="K337" s="1323"/>
      <c r="L337" s="1323"/>
      <c r="M337" s="1323"/>
      <c r="N337" s="1323"/>
      <c r="O337" s="1323"/>
      <c r="P337" s="1323"/>
      <c r="Q337" s="1323"/>
      <c r="R337" s="1304"/>
      <c r="S337" s="1304"/>
      <c r="T337" s="1304"/>
    </row>
    <row r="338" spans="1:20">
      <c r="A338" s="1303"/>
      <c r="B338" s="1322" t="s">
        <v>2934</v>
      </c>
      <c r="C338" s="1323" t="s">
        <v>2935</v>
      </c>
      <c r="D338" s="1324">
        <f t="shared" si="60"/>
        <v>41401</v>
      </c>
      <c r="E338" s="1323">
        <f t="shared" si="56"/>
        <v>9.0356000000000005</v>
      </c>
      <c r="F338" s="1323">
        <f t="shared" si="61"/>
        <v>9.1988657870647277</v>
      </c>
      <c r="G338" s="1323">
        <f t="shared" si="57"/>
        <v>2013</v>
      </c>
      <c r="H338" s="1323">
        <f t="shared" si="58"/>
        <v>5</v>
      </c>
      <c r="I338" s="1323">
        <f t="shared" si="59"/>
        <v>7</v>
      </c>
      <c r="J338" s="1323"/>
      <c r="K338" s="1323"/>
      <c r="L338" s="1323"/>
      <c r="M338" s="1323"/>
      <c r="N338" s="1323"/>
      <c r="O338" s="1323"/>
      <c r="P338" s="1323"/>
      <c r="Q338" s="1323"/>
      <c r="R338" s="1304"/>
      <c r="S338" s="1304"/>
      <c r="T338" s="1304"/>
    </row>
    <row r="339" spans="1:20">
      <c r="A339" s="1303"/>
      <c r="B339" s="1322" t="s">
        <v>2936</v>
      </c>
      <c r="C339" s="1323" t="s">
        <v>2937</v>
      </c>
      <c r="D339" s="1324">
        <f t="shared" si="60"/>
        <v>41400</v>
      </c>
      <c r="E339" s="1323">
        <f t="shared" si="56"/>
        <v>8.9623000000000008</v>
      </c>
      <c r="F339" s="1323">
        <f t="shared" si="61"/>
        <v>9.1971019592917127</v>
      </c>
      <c r="G339" s="1323">
        <f t="shared" si="57"/>
        <v>2013</v>
      </c>
      <c r="H339" s="1323">
        <f t="shared" si="58"/>
        <v>5</v>
      </c>
      <c r="I339" s="1323">
        <f t="shared" si="59"/>
        <v>6</v>
      </c>
      <c r="J339" s="1323"/>
      <c r="K339" s="1323"/>
      <c r="L339" s="1323"/>
      <c r="M339" s="1323"/>
      <c r="N339" s="1323"/>
      <c r="O339" s="1323"/>
      <c r="P339" s="1323"/>
      <c r="Q339" s="1323"/>
      <c r="R339" s="1304"/>
      <c r="S339" s="1304"/>
      <c r="T339" s="1304"/>
    </row>
    <row r="340" spans="1:20">
      <c r="A340" s="1303"/>
      <c r="B340" s="1322" t="s">
        <v>2938</v>
      </c>
      <c r="C340" s="1323" t="s">
        <v>2939</v>
      </c>
      <c r="D340" s="1324">
        <f t="shared" si="60"/>
        <v>41397</v>
      </c>
      <c r="E340" s="1323">
        <f t="shared" si="56"/>
        <v>8.9527000000000001</v>
      </c>
      <c r="F340" s="1323">
        <f t="shared" si="61"/>
        <v>9.1953384697221772</v>
      </c>
      <c r="G340" s="1323">
        <f t="shared" si="57"/>
        <v>2013</v>
      </c>
      <c r="H340" s="1323">
        <f t="shared" si="58"/>
        <v>5</v>
      </c>
      <c r="I340" s="1323">
        <f t="shared" si="59"/>
        <v>3</v>
      </c>
      <c r="J340" s="1323"/>
      <c r="K340" s="1323"/>
      <c r="L340" s="1323"/>
      <c r="M340" s="1323"/>
      <c r="N340" s="1323"/>
      <c r="O340" s="1323"/>
      <c r="P340" s="1323"/>
      <c r="Q340" s="1323"/>
      <c r="R340" s="1304"/>
      <c r="S340" s="1304"/>
      <c r="T340" s="1304"/>
    </row>
    <row r="341" spans="1:20">
      <c r="A341" s="1303"/>
      <c r="B341" s="1322" t="s">
        <v>2940</v>
      </c>
      <c r="C341" s="1323" t="s">
        <v>2941</v>
      </c>
      <c r="D341" s="1324">
        <f t="shared" si="60"/>
        <v>41396</v>
      </c>
      <c r="E341" s="1323">
        <f t="shared" si="56"/>
        <v>9.0441000000000003</v>
      </c>
      <c r="F341" s="1323">
        <f t="shared" si="61"/>
        <v>9.1935753182912716</v>
      </c>
      <c r="G341" s="1323">
        <f t="shared" si="57"/>
        <v>2013</v>
      </c>
      <c r="H341" s="1323">
        <f t="shared" si="58"/>
        <v>5</v>
      </c>
      <c r="I341" s="1323">
        <f t="shared" si="59"/>
        <v>2</v>
      </c>
      <c r="J341" s="1323"/>
      <c r="K341" s="1323"/>
      <c r="L341" s="1323"/>
      <c r="M341" s="1323"/>
      <c r="N341" s="1323"/>
      <c r="O341" s="1323"/>
      <c r="P341" s="1323"/>
      <c r="Q341" s="1323"/>
      <c r="R341" s="1304"/>
      <c r="S341" s="1304"/>
      <c r="T341" s="1304"/>
    </row>
    <row r="342" spans="1:20">
      <c r="A342" s="1303"/>
      <c r="B342" s="1322" t="s">
        <v>2942</v>
      </c>
      <c r="C342" s="1323" t="s">
        <v>2943</v>
      </c>
      <c r="D342" s="1324">
        <f t="shared" si="60"/>
        <v>41394</v>
      </c>
      <c r="E342" s="1323">
        <f t="shared" ref="E342:E405" si="62">VALUE(C343)</f>
        <v>8.9686000000000003</v>
      </c>
      <c r="F342" s="1323">
        <f t="shared" si="61"/>
        <v>9.1918125049341608</v>
      </c>
      <c r="G342" s="1323">
        <f t="shared" ref="G342:G405" si="63">YEAR(B343)</f>
        <v>2013</v>
      </c>
      <c r="H342" s="1323">
        <f t="shared" ref="H342:H405" si="64">MONTH(B343)</f>
        <v>4</v>
      </c>
      <c r="I342" s="1323">
        <f t="shared" ref="I342:I405" si="65">DAY(B343)</f>
        <v>30</v>
      </c>
      <c r="J342" s="1323"/>
      <c r="K342" s="1323"/>
      <c r="L342" s="1323"/>
      <c r="M342" s="1323"/>
      <c r="N342" s="1323"/>
      <c r="O342" s="1323"/>
      <c r="P342" s="1323"/>
      <c r="Q342" s="1323"/>
      <c r="R342" s="1304"/>
      <c r="S342" s="1304"/>
      <c r="T342" s="1304"/>
    </row>
    <row r="343" spans="1:20">
      <c r="A343" s="1303"/>
      <c r="B343" s="1322" t="s">
        <v>2944</v>
      </c>
      <c r="C343" s="1323" t="s">
        <v>2945</v>
      </c>
      <c r="D343" s="1324">
        <f t="shared" si="60"/>
        <v>41393</v>
      </c>
      <c r="E343" s="1323">
        <f t="shared" si="62"/>
        <v>9.0640999999999998</v>
      </c>
      <c r="F343" s="1323">
        <f t="shared" si="61"/>
        <v>9.1900500295860201</v>
      </c>
      <c r="G343" s="1323">
        <f t="shared" si="63"/>
        <v>2013</v>
      </c>
      <c r="H343" s="1323">
        <f t="shared" si="64"/>
        <v>4</v>
      </c>
      <c r="I343" s="1323">
        <f t="shared" si="65"/>
        <v>29</v>
      </c>
      <c r="J343" s="1323"/>
      <c r="K343" s="1323"/>
      <c r="L343" s="1323"/>
      <c r="M343" s="1323"/>
      <c r="N343" s="1323"/>
      <c r="O343" s="1323"/>
      <c r="P343" s="1323"/>
      <c r="Q343" s="1323"/>
      <c r="R343" s="1304"/>
      <c r="S343" s="1304"/>
      <c r="T343" s="1304"/>
    </row>
    <row r="344" spans="1:20">
      <c r="A344" s="1303"/>
      <c r="B344" s="1322" t="s">
        <v>2946</v>
      </c>
      <c r="C344" s="1323" t="s">
        <v>2947</v>
      </c>
      <c r="D344" s="1324">
        <f t="shared" si="60"/>
        <v>41390</v>
      </c>
      <c r="E344" s="1323">
        <f t="shared" si="62"/>
        <v>9.1508000000000003</v>
      </c>
      <c r="F344" s="1323">
        <f t="shared" si="61"/>
        <v>9.1882878921820392</v>
      </c>
      <c r="G344" s="1323">
        <f t="shared" si="63"/>
        <v>2013</v>
      </c>
      <c r="H344" s="1323">
        <f t="shared" si="64"/>
        <v>4</v>
      </c>
      <c r="I344" s="1323">
        <f t="shared" si="65"/>
        <v>26</v>
      </c>
      <c r="J344" s="1323"/>
      <c r="K344" s="1323"/>
      <c r="L344" s="1323"/>
      <c r="M344" s="1323"/>
      <c r="N344" s="1323"/>
      <c r="O344" s="1323"/>
      <c r="P344" s="1323"/>
      <c r="Q344" s="1323"/>
      <c r="R344" s="1304"/>
      <c r="S344" s="1304"/>
      <c r="T344" s="1304"/>
    </row>
    <row r="345" spans="1:20">
      <c r="A345" s="1303"/>
      <c r="B345" s="1322" t="s">
        <v>2948</v>
      </c>
      <c r="C345" s="1323" t="s">
        <v>2949</v>
      </c>
      <c r="D345" s="1324">
        <f t="shared" si="60"/>
        <v>41389</v>
      </c>
      <c r="E345" s="1323">
        <f t="shared" si="62"/>
        <v>9.0875000000000004</v>
      </c>
      <c r="F345" s="1323">
        <f t="shared" si="61"/>
        <v>9.1865260926574202</v>
      </c>
      <c r="G345" s="1323">
        <f t="shared" si="63"/>
        <v>2013</v>
      </c>
      <c r="H345" s="1323">
        <f t="shared" si="64"/>
        <v>4</v>
      </c>
      <c r="I345" s="1323">
        <f t="shared" si="65"/>
        <v>25</v>
      </c>
      <c r="J345" s="1323"/>
      <c r="K345" s="1323"/>
      <c r="L345" s="1323"/>
      <c r="M345" s="1323"/>
      <c r="N345" s="1323"/>
      <c r="O345" s="1323"/>
      <c r="P345" s="1323"/>
      <c r="Q345" s="1323"/>
      <c r="R345" s="1304"/>
      <c r="S345" s="1304"/>
      <c r="T345" s="1304"/>
    </row>
    <row r="346" spans="1:20">
      <c r="A346" s="1303"/>
      <c r="B346" s="1322" t="s">
        <v>2950</v>
      </c>
      <c r="C346" s="1323" t="s">
        <v>2951</v>
      </c>
      <c r="D346" s="1324">
        <f t="shared" si="60"/>
        <v>41388</v>
      </c>
      <c r="E346" s="1323">
        <f t="shared" si="62"/>
        <v>9.2177000000000007</v>
      </c>
      <c r="F346" s="1323">
        <f t="shared" si="61"/>
        <v>9.1847646309473756</v>
      </c>
      <c r="G346" s="1323">
        <f t="shared" si="63"/>
        <v>2013</v>
      </c>
      <c r="H346" s="1323">
        <f t="shared" si="64"/>
        <v>4</v>
      </c>
      <c r="I346" s="1323">
        <f t="shared" si="65"/>
        <v>24</v>
      </c>
      <c r="J346" s="1323"/>
      <c r="K346" s="1323"/>
      <c r="L346" s="1323"/>
      <c r="M346" s="1323"/>
      <c r="N346" s="1323"/>
      <c r="O346" s="1323"/>
      <c r="P346" s="1323"/>
      <c r="Q346" s="1323"/>
      <c r="R346" s="1304"/>
      <c r="S346" s="1304"/>
      <c r="T346" s="1304"/>
    </row>
    <row r="347" spans="1:20">
      <c r="A347" s="1303"/>
      <c r="B347" s="1322" t="s">
        <v>2952</v>
      </c>
      <c r="C347" s="1323" t="s">
        <v>2953</v>
      </c>
      <c r="D347" s="1324">
        <f t="shared" si="60"/>
        <v>41387</v>
      </c>
      <c r="E347" s="1323">
        <f t="shared" si="62"/>
        <v>9.3003999999999998</v>
      </c>
      <c r="F347" s="1323">
        <f t="shared" si="61"/>
        <v>9.1830035069871307</v>
      </c>
      <c r="G347" s="1323">
        <f t="shared" si="63"/>
        <v>2013</v>
      </c>
      <c r="H347" s="1323">
        <f t="shared" si="64"/>
        <v>4</v>
      </c>
      <c r="I347" s="1323">
        <f t="shared" si="65"/>
        <v>23</v>
      </c>
      <c r="J347" s="1323"/>
      <c r="K347" s="1323"/>
      <c r="L347" s="1323"/>
      <c r="M347" s="1323"/>
      <c r="N347" s="1323"/>
      <c r="O347" s="1323"/>
      <c r="P347" s="1323"/>
      <c r="Q347" s="1323"/>
      <c r="R347" s="1304"/>
      <c r="S347" s="1304"/>
      <c r="T347" s="1304"/>
    </row>
    <row r="348" spans="1:20">
      <c r="A348" s="1303"/>
      <c r="B348" s="1322" t="s">
        <v>2954</v>
      </c>
      <c r="C348" s="1323" t="s">
        <v>2955</v>
      </c>
      <c r="D348" s="1324">
        <f t="shared" si="60"/>
        <v>41386</v>
      </c>
      <c r="E348" s="1323">
        <f t="shared" si="62"/>
        <v>9.2977000000000007</v>
      </c>
      <c r="F348" s="1323">
        <f t="shared" si="61"/>
        <v>9.1812427207119249</v>
      </c>
      <c r="G348" s="1323">
        <f t="shared" si="63"/>
        <v>2013</v>
      </c>
      <c r="H348" s="1323">
        <f t="shared" si="64"/>
        <v>4</v>
      </c>
      <c r="I348" s="1323">
        <f t="shared" si="65"/>
        <v>22</v>
      </c>
      <c r="J348" s="1323"/>
      <c r="K348" s="1323"/>
      <c r="L348" s="1323"/>
      <c r="M348" s="1323"/>
      <c r="N348" s="1323"/>
      <c r="O348" s="1323"/>
      <c r="P348" s="1323"/>
      <c r="Q348" s="1323"/>
      <c r="R348" s="1304"/>
      <c r="S348" s="1304"/>
      <c r="T348" s="1304"/>
    </row>
    <row r="349" spans="1:20">
      <c r="A349" s="1303"/>
      <c r="B349" s="1322" t="s">
        <v>2956</v>
      </c>
      <c r="C349" s="1323" t="s">
        <v>2957</v>
      </c>
      <c r="D349" s="1324">
        <f t="shared" si="60"/>
        <v>41383</v>
      </c>
      <c r="E349" s="1323">
        <f t="shared" si="62"/>
        <v>9.1532999999999998</v>
      </c>
      <c r="F349" s="1323">
        <f t="shared" si="61"/>
        <v>9.17948227205701</v>
      </c>
      <c r="G349" s="1323">
        <f t="shared" si="63"/>
        <v>2013</v>
      </c>
      <c r="H349" s="1323">
        <f t="shared" si="64"/>
        <v>4</v>
      </c>
      <c r="I349" s="1323">
        <f t="shared" si="65"/>
        <v>19</v>
      </c>
      <c r="J349" s="1323"/>
      <c r="K349" s="1323"/>
      <c r="L349" s="1323"/>
      <c r="M349" s="1323"/>
      <c r="N349" s="1323"/>
      <c r="O349" s="1323"/>
      <c r="P349" s="1323"/>
      <c r="Q349" s="1323"/>
      <c r="R349" s="1304"/>
      <c r="S349" s="1304"/>
      <c r="T349" s="1304"/>
    </row>
    <row r="350" spans="1:20">
      <c r="A350" s="1303"/>
      <c r="B350" s="1322" t="s">
        <v>2958</v>
      </c>
      <c r="C350" s="1323" t="s">
        <v>2959</v>
      </c>
      <c r="D350" s="1324">
        <f t="shared" si="60"/>
        <v>41382</v>
      </c>
      <c r="E350" s="1323">
        <f t="shared" si="62"/>
        <v>9.1754999999999995</v>
      </c>
      <c r="F350" s="1323">
        <f t="shared" si="61"/>
        <v>9.1777221609576483</v>
      </c>
      <c r="G350" s="1323">
        <f t="shared" si="63"/>
        <v>2013</v>
      </c>
      <c r="H350" s="1323">
        <f t="shared" si="64"/>
        <v>4</v>
      </c>
      <c r="I350" s="1323">
        <f t="shared" si="65"/>
        <v>18</v>
      </c>
      <c r="J350" s="1323"/>
      <c r="K350" s="1323"/>
      <c r="L350" s="1323"/>
      <c r="M350" s="1323"/>
      <c r="N350" s="1323"/>
      <c r="O350" s="1323"/>
      <c r="P350" s="1323"/>
      <c r="Q350" s="1323"/>
      <c r="R350" s="1304"/>
      <c r="S350" s="1304"/>
      <c r="T350" s="1304"/>
    </row>
    <row r="351" spans="1:20">
      <c r="A351" s="1303"/>
      <c r="B351" s="1322" t="s">
        <v>2960</v>
      </c>
      <c r="C351" s="1323" t="s">
        <v>2961</v>
      </c>
      <c r="D351" s="1324">
        <f t="shared" si="60"/>
        <v>41381</v>
      </c>
      <c r="E351" s="1323">
        <f t="shared" si="62"/>
        <v>9.1410999999999998</v>
      </c>
      <c r="F351" s="1323">
        <f t="shared" si="61"/>
        <v>9.1759623873491147</v>
      </c>
      <c r="G351" s="1323">
        <f t="shared" si="63"/>
        <v>2013</v>
      </c>
      <c r="H351" s="1323">
        <f t="shared" si="64"/>
        <v>4</v>
      </c>
      <c r="I351" s="1323">
        <f t="shared" si="65"/>
        <v>17</v>
      </c>
      <c r="J351" s="1323"/>
      <c r="K351" s="1323"/>
      <c r="L351" s="1323"/>
      <c r="M351" s="1323"/>
      <c r="N351" s="1323"/>
      <c r="O351" s="1323"/>
      <c r="P351" s="1323"/>
      <c r="Q351" s="1323"/>
      <c r="R351" s="1304"/>
      <c r="S351" s="1304"/>
      <c r="T351" s="1304"/>
    </row>
    <row r="352" spans="1:20">
      <c r="A352" s="1303"/>
      <c r="B352" s="1322" t="s">
        <v>2962</v>
      </c>
      <c r="C352" s="1323" t="s">
        <v>2963</v>
      </c>
      <c r="D352" s="1324">
        <f t="shared" si="60"/>
        <v>41380</v>
      </c>
      <c r="E352" s="1323">
        <f t="shared" si="62"/>
        <v>9.2136999999999993</v>
      </c>
      <c r="F352" s="1323">
        <f t="shared" si="61"/>
        <v>9.1742029511666985</v>
      </c>
      <c r="G352" s="1323">
        <f t="shared" si="63"/>
        <v>2013</v>
      </c>
      <c r="H352" s="1323">
        <f t="shared" si="64"/>
        <v>4</v>
      </c>
      <c r="I352" s="1323">
        <f t="shared" si="65"/>
        <v>16</v>
      </c>
      <c r="J352" s="1323"/>
      <c r="K352" s="1323"/>
      <c r="L352" s="1323"/>
      <c r="M352" s="1323"/>
      <c r="N352" s="1323"/>
      <c r="O352" s="1323"/>
      <c r="P352" s="1323"/>
      <c r="Q352" s="1323"/>
      <c r="R352" s="1304"/>
      <c r="S352" s="1304"/>
      <c r="T352" s="1304"/>
    </row>
    <row r="353" spans="1:20">
      <c r="A353" s="1303"/>
      <c r="B353" s="1322" t="s">
        <v>2964</v>
      </c>
      <c r="C353" s="1323" t="s">
        <v>2965</v>
      </c>
      <c r="D353" s="1324">
        <f t="shared" si="60"/>
        <v>41379</v>
      </c>
      <c r="E353" s="1323">
        <f t="shared" si="62"/>
        <v>9.0169999999999995</v>
      </c>
      <c r="F353" s="1323">
        <f t="shared" si="61"/>
        <v>9.172443852345701</v>
      </c>
      <c r="G353" s="1323">
        <f t="shared" si="63"/>
        <v>2013</v>
      </c>
      <c r="H353" s="1323">
        <f t="shared" si="64"/>
        <v>4</v>
      </c>
      <c r="I353" s="1323">
        <f t="shared" si="65"/>
        <v>15</v>
      </c>
      <c r="J353" s="1323"/>
      <c r="K353" s="1323"/>
      <c r="L353" s="1323"/>
      <c r="M353" s="1323"/>
      <c r="N353" s="1323"/>
      <c r="O353" s="1323"/>
      <c r="P353" s="1323"/>
      <c r="Q353" s="1323"/>
      <c r="R353" s="1304"/>
      <c r="S353" s="1304"/>
      <c r="T353" s="1304"/>
    </row>
    <row r="354" spans="1:20">
      <c r="A354" s="1303"/>
      <c r="B354" s="1322" t="s">
        <v>2966</v>
      </c>
      <c r="C354" s="1323" t="s">
        <v>2967</v>
      </c>
      <c r="D354" s="1324">
        <f t="shared" si="60"/>
        <v>41376</v>
      </c>
      <c r="E354" s="1323">
        <f t="shared" si="62"/>
        <v>8.9338999999999995</v>
      </c>
      <c r="F354" s="1323">
        <f t="shared" si="61"/>
        <v>9.1706850908214328</v>
      </c>
      <c r="G354" s="1323">
        <f t="shared" si="63"/>
        <v>2013</v>
      </c>
      <c r="H354" s="1323">
        <f t="shared" si="64"/>
        <v>4</v>
      </c>
      <c r="I354" s="1323">
        <f t="shared" si="65"/>
        <v>12</v>
      </c>
      <c r="J354" s="1323"/>
      <c r="K354" s="1323"/>
      <c r="L354" s="1323"/>
      <c r="M354" s="1323"/>
      <c r="N354" s="1323"/>
      <c r="O354" s="1323"/>
      <c r="P354" s="1323"/>
      <c r="Q354" s="1323"/>
      <c r="R354" s="1304"/>
      <c r="S354" s="1304"/>
      <c r="T354" s="1304"/>
    </row>
    <row r="355" spans="1:20">
      <c r="A355" s="1303"/>
      <c r="B355" s="1322" t="s">
        <v>2968</v>
      </c>
      <c r="C355" s="1323" t="s">
        <v>2969</v>
      </c>
      <c r="D355" s="1324">
        <f t="shared" si="60"/>
        <v>41375</v>
      </c>
      <c r="E355" s="1323">
        <f t="shared" si="62"/>
        <v>8.8762000000000008</v>
      </c>
      <c r="F355" s="1323">
        <f t="shared" si="61"/>
        <v>9.1689266665292219</v>
      </c>
      <c r="G355" s="1323">
        <f t="shared" si="63"/>
        <v>2013</v>
      </c>
      <c r="H355" s="1323">
        <f t="shared" si="64"/>
        <v>4</v>
      </c>
      <c r="I355" s="1323">
        <f t="shared" si="65"/>
        <v>11</v>
      </c>
      <c r="J355" s="1323"/>
      <c r="K355" s="1323"/>
      <c r="L355" s="1323"/>
      <c r="M355" s="1323"/>
      <c r="N355" s="1323"/>
      <c r="O355" s="1323"/>
      <c r="P355" s="1323"/>
      <c r="Q355" s="1323"/>
      <c r="R355" s="1304"/>
      <c r="S355" s="1304"/>
      <c r="T355" s="1304"/>
    </row>
    <row r="356" spans="1:20">
      <c r="A356" s="1303"/>
      <c r="B356" s="1322" t="s">
        <v>2970</v>
      </c>
      <c r="C356" s="1323" t="s">
        <v>2971</v>
      </c>
      <c r="D356" s="1324">
        <f t="shared" si="60"/>
        <v>41374</v>
      </c>
      <c r="E356" s="1323">
        <f t="shared" si="62"/>
        <v>8.9074000000000009</v>
      </c>
      <c r="F356" s="1323">
        <f t="shared" si="61"/>
        <v>9.1671685794044038</v>
      </c>
      <c r="G356" s="1323">
        <f t="shared" si="63"/>
        <v>2013</v>
      </c>
      <c r="H356" s="1323">
        <f t="shared" si="64"/>
        <v>4</v>
      </c>
      <c r="I356" s="1323">
        <f t="shared" si="65"/>
        <v>10</v>
      </c>
      <c r="J356" s="1323"/>
      <c r="K356" s="1323"/>
      <c r="L356" s="1323"/>
      <c r="M356" s="1323"/>
      <c r="N356" s="1323"/>
      <c r="O356" s="1323"/>
      <c r="P356" s="1323"/>
      <c r="Q356" s="1323"/>
      <c r="R356" s="1304"/>
      <c r="S356" s="1304"/>
      <c r="T356" s="1304"/>
    </row>
    <row r="357" spans="1:20">
      <c r="A357" s="1303"/>
      <c r="B357" s="1322" t="s">
        <v>2972</v>
      </c>
      <c r="C357" s="1323" t="s">
        <v>2973</v>
      </c>
      <c r="D357" s="1324">
        <f t="shared" si="60"/>
        <v>41373</v>
      </c>
      <c r="E357" s="1323">
        <f t="shared" si="62"/>
        <v>8.9786000000000001</v>
      </c>
      <c r="F357" s="1323">
        <f t="shared" si="61"/>
        <v>9.1654108293823295</v>
      </c>
      <c r="G357" s="1323">
        <f t="shared" si="63"/>
        <v>2013</v>
      </c>
      <c r="H357" s="1323">
        <f t="shared" si="64"/>
        <v>4</v>
      </c>
      <c r="I357" s="1323">
        <f t="shared" si="65"/>
        <v>9</v>
      </c>
      <c r="J357" s="1323"/>
      <c r="K357" s="1323"/>
      <c r="L357" s="1323"/>
      <c r="M357" s="1323"/>
      <c r="N357" s="1323"/>
      <c r="O357" s="1323"/>
      <c r="P357" s="1323"/>
      <c r="Q357" s="1323"/>
      <c r="R357" s="1304"/>
      <c r="S357" s="1304"/>
      <c r="T357" s="1304"/>
    </row>
    <row r="358" spans="1:20">
      <c r="A358" s="1303"/>
      <c r="B358" s="1322" t="s">
        <v>2974</v>
      </c>
      <c r="C358" s="1323" t="s">
        <v>2975</v>
      </c>
      <c r="D358" s="1324">
        <f t="shared" si="60"/>
        <v>41372</v>
      </c>
      <c r="E358" s="1323">
        <f t="shared" si="62"/>
        <v>9.0625</v>
      </c>
      <c r="F358" s="1323">
        <f t="shared" si="61"/>
        <v>9.1636534163983629</v>
      </c>
      <c r="G358" s="1323">
        <f t="shared" si="63"/>
        <v>2013</v>
      </c>
      <c r="H358" s="1323">
        <f t="shared" si="64"/>
        <v>4</v>
      </c>
      <c r="I358" s="1323">
        <f t="shared" si="65"/>
        <v>8</v>
      </c>
      <c r="J358" s="1323"/>
      <c r="K358" s="1323"/>
      <c r="L358" s="1323"/>
      <c r="M358" s="1323"/>
      <c r="N358" s="1323"/>
      <c r="O358" s="1323"/>
      <c r="P358" s="1323"/>
      <c r="Q358" s="1323"/>
      <c r="R358" s="1304"/>
      <c r="S358" s="1304"/>
      <c r="T358" s="1304"/>
    </row>
    <row r="359" spans="1:20">
      <c r="A359" s="1303"/>
      <c r="B359" s="1322" t="s">
        <v>2976</v>
      </c>
      <c r="C359" s="1323" t="s">
        <v>2977</v>
      </c>
      <c r="D359" s="1324">
        <f t="shared" si="60"/>
        <v>41369</v>
      </c>
      <c r="E359" s="1323">
        <f t="shared" si="62"/>
        <v>9.1574000000000009</v>
      </c>
      <c r="F359" s="1323">
        <f t="shared" si="61"/>
        <v>9.1618963403878766</v>
      </c>
      <c r="G359" s="1323">
        <f t="shared" si="63"/>
        <v>2013</v>
      </c>
      <c r="H359" s="1323">
        <f t="shared" si="64"/>
        <v>4</v>
      </c>
      <c r="I359" s="1323">
        <f t="shared" si="65"/>
        <v>5</v>
      </c>
      <c r="J359" s="1323"/>
      <c r="K359" s="1323"/>
      <c r="L359" s="1323"/>
      <c r="M359" s="1323"/>
      <c r="N359" s="1323"/>
      <c r="O359" s="1323"/>
      <c r="P359" s="1323"/>
      <c r="Q359" s="1323"/>
      <c r="R359" s="1304"/>
      <c r="S359" s="1304"/>
      <c r="T359" s="1304"/>
    </row>
    <row r="360" spans="1:20">
      <c r="A360" s="1303"/>
      <c r="B360" s="1322" t="s">
        <v>2978</v>
      </c>
      <c r="C360" s="1323" t="s">
        <v>2979</v>
      </c>
      <c r="D360" s="1324">
        <f t="shared" si="60"/>
        <v>41368</v>
      </c>
      <c r="E360" s="1323">
        <f t="shared" si="62"/>
        <v>9.2698999999999998</v>
      </c>
      <c r="F360" s="1323">
        <f t="shared" si="61"/>
        <v>9.160139601286259</v>
      </c>
      <c r="G360" s="1323">
        <f t="shared" si="63"/>
        <v>2013</v>
      </c>
      <c r="H360" s="1323">
        <f t="shared" si="64"/>
        <v>4</v>
      </c>
      <c r="I360" s="1323">
        <f t="shared" si="65"/>
        <v>4</v>
      </c>
      <c r="J360" s="1323"/>
      <c r="K360" s="1323"/>
      <c r="L360" s="1323"/>
      <c r="M360" s="1323"/>
      <c r="N360" s="1323"/>
      <c r="O360" s="1323"/>
      <c r="P360" s="1323"/>
      <c r="Q360" s="1323"/>
      <c r="R360" s="1304"/>
      <c r="S360" s="1304"/>
      <c r="T360" s="1304"/>
    </row>
    <row r="361" spans="1:20">
      <c r="A361" s="1303"/>
      <c r="B361" s="1322" t="s">
        <v>2980</v>
      </c>
      <c r="C361" s="1323" t="s">
        <v>2981</v>
      </c>
      <c r="D361" s="1324">
        <f t="shared" si="60"/>
        <v>41367</v>
      </c>
      <c r="E361" s="1323">
        <f t="shared" si="62"/>
        <v>9.2332000000000001</v>
      </c>
      <c r="F361" s="1323">
        <f t="shared" si="61"/>
        <v>9.1583831990289113</v>
      </c>
      <c r="G361" s="1323">
        <f t="shared" si="63"/>
        <v>2013</v>
      </c>
      <c r="H361" s="1323">
        <f t="shared" si="64"/>
        <v>4</v>
      </c>
      <c r="I361" s="1323">
        <f t="shared" si="65"/>
        <v>3</v>
      </c>
      <c r="J361" s="1323"/>
      <c r="K361" s="1323"/>
      <c r="L361" s="1323"/>
      <c r="M361" s="1323"/>
      <c r="N361" s="1323"/>
      <c r="O361" s="1323"/>
      <c r="P361" s="1323"/>
      <c r="Q361" s="1323"/>
      <c r="R361" s="1304"/>
      <c r="S361" s="1304"/>
      <c r="T361" s="1304"/>
    </row>
    <row r="362" spans="1:20">
      <c r="A362" s="1303"/>
      <c r="B362" s="1322" t="s">
        <v>2982</v>
      </c>
      <c r="C362" s="1323" t="s">
        <v>2983</v>
      </c>
      <c r="D362" s="1324">
        <f t="shared" si="60"/>
        <v>41366</v>
      </c>
      <c r="E362" s="1323">
        <f t="shared" si="62"/>
        <v>9.1912000000000003</v>
      </c>
      <c r="F362" s="1323">
        <f t="shared" si="61"/>
        <v>9.1566271335512432</v>
      </c>
      <c r="G362" s="1323">
        <f t="shared" si="63"/>
        <v>2013</v>
      </c>
      <c r="H362" s="1323">
        <f t="shared" si="64"/>
        <v>4</v>
      </c>
      <c r="I362" s="1323">
        <f t="shared" si="65"/>
        <v>2</v>
      </c>
      <c r="J362" s="1323"/>
      <c r="K362" s="1323"/>
      <c r="L362" s="1323"/>
      <c r="M362" s="1323"/>
      <c r="N362" s="1323"/>
      <c r="O362" s="1323"/>
      <c r="P362" s="1323"/>
      <c r="Q362" s="1323"/>
      <c r="R362" s="1304"/>
      <c r="S362" s="1304"/>
      <c r="T362" s="1304"/>
    </row>
    <row r="363" spans="1:20">
      <c r="A363" s="1303"/>
      <c r="B363" s="1322" t="s">
        <v>2984</v>
      </c>
      <c r="C363" s="1323" t="s">
        <v>2985</v>
      </c>
      <c r="D363" s="1324">
        <f t="shared" si="60"/>
        <v>41361</v>
      </c>
      <c r="E363" s="1323">
        <f t="shared" si="62"/>
        <v>9.2521000000000004</v>
      </c>
      <c r="F363" s="1323">
        <f t="shared" si="61"/>
        <v>9.1548714047886808</v>
      </c>
      <c r="G363" s="1323">
        <f t="shared" si="63"/>
        <v>2013</v>
      </c>
      <c r="H363" s="1323">
        <f t="shared" si="64"/>
        <v>3</v>
      </c>
      <c r="I363" s="1323">
        <f t="shared" si="65"/>
        <v>28</v>
      </c>
      <c r="J363" s="1323"/>
      <c r="K363" s="1323"/>
      <c r="L363" s="1323"/>
      <c r="M363" s="1323"/>
      <c r="N363" s="1323"/>
      <c r="O363" s="1323"/>
      <c r="P363" s="1323"/>
      <c r="Q363" s="1323"/>
      <c r="R363" s="1304"/>
      <c r="S363" s="1304"/>
      <c r="T363" s="1304"/>
    </row>
    <row r="364" spans="1:20">
      <c r="A364" s="1303"/>
      <c r="B364" s="1322" t="s">
        <v>2986</v>
      </c>
      <c r="C364" s="1323" t="s">
        <v>2987</v>
      </c>
      <c r="D364" s="1324">
        <f t="shared" si="60"/>
        <v>41360</v>
      </c>
      <c r="E364" s="1323">
        <f t="shared" si="62"/>
        <v>9.2860999999999994</v>
      </c>
      <c r="F364" s="1323">
        <f t="shared" si="61"/>
        <v>9.1531160126766604</v>
      </c>
      <c r="G364" s="1323">
        <f t="shared" si="63"/>
        <v>2013</v>
      </c>
      <c r="H364" s="1323">
        <f t="shared" si="64"/>
        <v>3</v>
      </c>
      <c r="I364" s="1323">
        <f t="shared" si="65"/>
        <v>27</v>
      </c>
      <c r="J364" s="1323"/>
      <c r="K364" s="1323"/>
      <c r="L364" s="1323"/>
      <c r="M364" s="1323"/>
      <c r="N364" s="1323"/>
      <c r="O364" s="1323"/>
      <c r="P364" s="1323"/>
      <c r="Q364" s="1323"/>
      <c r="R364" s="1304"/>
      <c r="S364" s="1304"/>
      <c r="T364" s="1304"/>
    </row>
    <row r="365" spans="1:20">
      <c r="A365" s="1303"/>
      <c r="B365" s="1322" t="s">
        <v>2988</v>
      </c>
      <c r="C365" s="1323" t="s">
        <v>2989</v>
      </c>
      <c r="D365" s="1324">
        <f t="shared" si="60"/>
        <v>41359</v>
      </c>
      <c r="E365" s="1323">
        <f t="shared" si="62"/>
        <v>9.2576000000000001</v>
      </c>
      <c r="F365" s="1323">
        <f t="shared" si="61"/>
        <v>9.1513609571506311</v>
      </c>
      <c r="G365" s="1323">
        <f t="shared" si="63"/>
        <v>2013</v>
      </c>
      <c r="H365" s="1323">
        <f t="shared" si="64"/>
        <v>3</v>
      </c>
      <c r="I365" s="1323">
        <f t="shared" si="65"/>
        <v>26</v>
      </c>
      <c r="J365" s="1323"/>
      <c r="K365" s="1323"/>
      <c r="L365" s="1323"/>
      <c r="M365" s="1323"/>
      <c r="N365" s="1323"/>
      <c r="O365" s="1323"/>
      <c r="P365" s="1323"/>
      <c r="Q365" s="1323"/>
      <c r="R365" s="1304"/>
      <c r="S365" s="1304"/>
      <c r="T365" s="1304"/>
    </row>
    <row r="366" spans="1:20">
      <c r="A366" s="1303"/>
      <c r="B366" s="1322" t="s">
        <v>2990</v>
      </c>
      <c r="C366" s="1323" t="s">
        <v>2991</v>
      </c>
      <c r="D366" s="1324">
        <f t="shared" si="60"/>
        <v>41358</v>
      </c>
      <c r="E366" s="1323">
        <f t="shared" si="62"/>
        <v>9.2371999999999996</v>
      </c>
      <c r="F366" s="1323">
        <f t="shared" si="61"/>
        <v>9.1496062381460543</v>
      </c>
      <c r="G366" s="1323">
        <f t="shared" si="63"/>
        <v>2013</v>
      </c>
      <c r="H366" s="1323">
        <f t="shared" si="64"/>
        <v>3</v>
      </c>
      <c r="I366" s="1323">
        <f t="shared" si="65"/>
        <v>25</v>
      </c>
      <c r="J366" s="1323"/>
      <c r="K366" s="1323"/>
      <c r="L366" s="1323"/>
      <c r="M366" s="1323"/>
      <c r="N366" s="1323"/>
      <c r="O366" s="1323"/>
      <c r="P366" s="1323"/>
      <c r="Q366" s="1323"/>
      <c r="R366" s="1304"/>
      <c r="S366" s="1304"/>
      <c r="T366" s="1304"/>
    </row>
    <row r="367" spans="1:20">
      <c r="A367" s="1303"/>
      <c r="B367" s="1322" t="s">
        <v>2992</v>
      </c>
      <c r="C367" s="1323" t="s">
        <v>2993</v>
      </c>
      <c r="D367" s="1324">
        <f t="shared" si="60"/>
        <v>41355</v>
      </c>
      <c r="E367" s="1323">
        <f t="shared" si="62"/>
        <v>9.3247</v>
      </c>
      <c r="F367" s="1323">
        <f t="shared" si="61"/>
        <v>9.1478518555984056</v>
      </c>
      <c r="G367" s="1323">
        <f t="shared" si="63"/>
        <v>2013</v>
      </c>
      <c r="H367" s="1323">
        <f t="shared" si="64"/>
        <v>3</v>
      </c>
      <c r="I367" s="1323">
        <f t="shared" si="65"/>
        <v>22</v>
      </c>
      <c r="J367" s="1323"/>
      <c r="K367" s="1323"/>
      <c r="L367" s="1323"/>
      <c r="M367" s="1323"/>
      <c r="N367" s="1323"/>
      <c r="O367" s="1323"/>
      <c r="P367" s="1323"/>
      <c r="Q367" s="1323"/>
      <c r="R367" s="1304"/>
      <c r="S367" s="1304"/>
      <c r="T367" s="1304"/>
    </row>
    <row r="368" spans="1:20">
      <c r="A368" s="1303"/>
      <c r="B368" s="1322" t="s">
        <v>2994</v>
      </c>
      <c r="C368" s="1323" t="s">
        <v>2995</v>
      </c>
      <c r="D368" s="1324">
        <f t="shared" si="60"/>
        <v>41353</v>
      </c>
      <c r="E368" s="1323">
        <f t="shared" si="62"/>
        <v>9.2178000000000004</v>
      </c>
      <c r="F368" s="1323">
        <f t="shared" si="61"/>
        <v>9.1460978094431695</v>
      </c>
      <c r="G368" s="1323">
        <f t="shared" si="63"/>
        <v>2013</v>
      </c>
      <c r="H368" s="1323">
        <f t="shared" si="64"/>
        <v>3</v>
      </c>
      <c r="I368" s="1323">
        <f t="shared" si="65"/>
        <v>20</v>
      </c>
      <c r="J368" s="1323"/>
      <c r="K368" s="1323"/>
      <c r="L368" s="1323"/>
      <c r="M368" s="1323"/>
      <c r="N368" s="1323"/>
      <c r="O368" s="1323"/>
      <c r="P368" s="1323"/>
      <c r="Q368" s="1323"/>
      <c r="R368" s="1304"/>
      <c r="S368" s="1304"/>
      <c r="T368" s="1304"/>
    </row>
    <row r="369" spans="1:20">
      <c r="A369" s="1303"/>
      <c r="B369" s="1322" t="s">
        <v>2996</v>
      </c>
      <c r="C369" s="1323" t="s">
        <v>2997</v>
      </c>
      <c r="D369" s="1324">
        <f t="shared" si="60"/>
        <v>41352</v>
      </c>
      <c r="E369" s="1323">
        <f t="shared" si="62"/>
        <v>9.2022999999999993</v>
      </c>
      <c r="F369" s="1323">
        <f t="shared" si="61"/>
        <v>9.1443440996158465</v>
      </c>
      <c r="G369" s="1323">
        <f t="shared" si="63"/>
        <v>2013</v>
      </c>
      <c r="H369" s="1323">
        <f t="shared" si="64"/>
        <v>3</v>
      </c>
      <c r="I369" s="1323">
        <f t="shared" si="65"/>
        <v>19</v>
      </c>
      <c r="J369" s="1323"/>
      <c r="K369" s="1323"/>
      <c r="L369" s="1323"/>
      <c r="M369" s="1323"/>
      <c r="N369" s="1323"/>
      <c r="O369" s="1323"/>
      <c r="P369" s="1323"/>
      <c r="Q369" s="1323"/>
      <c r="R369" s="1304"/>
      <c r="S369" s="1304"/>
      <c r="T369" s="1304"/>
    </row>
    <row r="370" spans="1:20">
      <c r="A370" s="1303"/>
      <c r="B370" s="1322" t="s">
        <v>2998</v>
      </c>
      <c r="C370" s="1323" t="s">
        <v>2999</v>
      </c>
      <c r="D370" s="1324">
        <f t="shared" si="60"/>
        <v>41351</v>
      </c>
      <c r="E370" s="1323">
        <f t="shared" si="62"/>
        <v>9.2195999999999998</v>
      </c>
      <c r="F370" s="1323">
        <f t="shared" si="61"/>
        <v>9.1425907260519459</v>
      </c>
      <c r="G370" s="1323">
        <f t="shared" si="63"/>
        <v>2013</v>
      </c>
      <c r="H370" s="1323">
        <f t="shared" si="64"/>
        <v>3</v>
      </c>
      <c r="I370" s="1323">
        <f t="shared" si="65"/>
        <v>18</v>
      </c>
      <c r="J370" s="1323"/>
      <c r="K370" s="1323"/>
      <c r="L370" s="1323"/>
      <c r="M370" s="1323"/>
      <c r="N370" s="1323"/>
      <c r="O370" s="1323"/>
      <c r="P370" s="1323"/>
      <c r="Q370" s="1323"/>
      <c r="R370" s="1304"/>
      <c r="S370" s="1304"/>
      <c r="T370" s="1304"/>
    </row>
    <row r="371" spans="1:20">
      <c r="A371" s="1303"/>
      <c r="B371" s="1322" t="s">
        <v>3000</v>
      </c>
      <c r="C371" s="1323" t="s">
        <v>3001</v>
      </c>
      <c r="D371" s="1324">
        <f t="shared" si="60"/>
        <v>41348</v>
      </c>
      <c r="E371" s="1323">
        <f t="shared" si="62"/>
        <v>9.1910000000000007</v>
      </c>
      <c r="F371" s="1323">
        <f t="shared" si="61"/>
        <v>9.1408376886869913</v>
      </c>
      <c r="G371" s="1323">
        <f t="shared" si="63"/>
        <v>2013</v>
      </c>
      <c r="H371" s="1323">
        <f t="shared" si="64"/>
        <v>3</v>
      </c>
      <c r="I371" s="1323">
        <f t="shared" si="65"/>
        <v>15</v>
      </c>
      <c r="J371" s="1323"/>
      <c r="K371" s="1323"/>
      <c r="L371" s="1323"/>
      <c r="M371" s="1323"/>
      <c r="N371" s="1323"/>
      <c r="O371" s="1323"/>
      <c r="P371" s="1323"/>
      <c r="Q371" s="1323"/>
      <c r="R371" s="1304"/>
      <c r="S371" s="1304"/>
      <c r="T371" s="1304"/>
    </row>
    <row r="372" spans="1:20">
      <c r="A372" s="1303"/>
      <c r="B372" s="1322" t="s">
        <v>3002</v>
      </c>
      <c r="C372" s="1323" t="s">
        <v>3003</v>
      </c>
      <c r="D372" s="1324">
        <f t="shared" si="60"/>
        <v>41347</v>
      </c>
      <c r="E372" s="1323">
        <f t="shared" si="62"/>
        <v>9.2441999999999993</v>
      </c>
      <c r="F372" s="1323">
        <f t="shared" si="61"/>
        <v>9.1390849874565205</v>
      </c>
      <c r="G372" s="1323">
        <f t="shared" si="63"/>
        <v>2013</v>
      </c>
      <c r="H372" s="1323">
        <f t="shared" si="64"/>
        <v>3</v>
      </c>
      <c r="I372" s="1323">
        <f t="shared" si="65"/>
        <v>14</v>
      </c>
      <c r="J372" s="1323"/>
      <c r="K372" s="1323"/>
      <c r="L372" s="1323"/>
      <c r="M372" s="1323"/>
      <c r="N372" s="1323"/>
      <c r="O372" s="1323"/>
      <c r="P372" s="1323"/>
      <c r="Q372" s="1323"/>
      <c r="R372" s="1304"/>
      <c r="S372" s="1304"/>
      <c r="T372" s="1304"/>
    </row>
    <row r="373" spans="1:20">
      <c r="A373" s="1303"/>
      <c r="B373" s="1322" t="s">
        <v>3004</v>
      </c>
      <c r="C373" s="1323" t="s">
        <v>3005</v>
      </c>
      <c r="D373" s="1324">
        <f t="shared" si="60"/>
        <v>41346</v>
      </c>
      <c r="E373" s="1323">
        <f t="shared" si="62"/>
        <v>9.1463999999999999</v>
      </c>
      <c r="F373" s="1323">
        <f t="shared" si="61"/>
        <v>9.1373326222960802</v>
      </c>
      <c r="G373" s="1323">
        <f t="shared" si="63"/>
        <v>2013</v>
      </c>
      <c r="H373" s="1323">
        <f t="shared" si="64"/>
        <v>3</v>
      </c>
      <c r="I373" s="1323">
        <f t="shared" si="65"/>
        <v>13</v>
      </c>
      <c r="J373" s="1323"/>
      <c r="K373" s="1323"/>
      <c r="L373" s="1323"/>
      <c r="M373" s="1323"/>
      <c r="N373" s="1323"/>
      <c r="O373" s="1323"/>
      <c r="P373" s="1323"/>
      <c r="Q373" s="1323"/>
      <c r="R373" s="1304"/>
      <c r="S373" s="1304"/>
      <c r="T373" s="1304"/>
    </row>
    <row r="374" spans="1:20">
      <c r="A374" s="1303"/>
      <c r="B374" s="1322" t="s">
        <v>3006</v>
      </c>
      <c r="C374" s="1323" t="s">
        <v>3007</v>
      </c>
      <c r="D374" s="1324">
        <f t="shared" si="60"/>
        <v>41345</v>
      </c>
      <c r="E374" s="1323">
        <f t="shared" si="62"/>
        <v>9.2004999999999999</v>
      </c>
      <c r="F374" s="1323">
        <f t="shared" si="61"/>
        <v>9.1355805931412313</v>
      </c>
      <c r="G374" s="1323">
        <f t="shared" si="63"/>
        <v>2013</v>
      </c>
      <c r="H374" s="1323">
        <f t="shared" si="64"/>
        <v>3</v>
      </c>
      <c r="I374" s="1323">
        <f t="shared" si="65"/>
        <v>12</v>
      </c>
      <c r="J374" s="1323"/>
      <c r="K374" s="1323"/>
      <c r="L374" s="1323"/>
      <c r="M374" s="1323"/>
      <c r="N374" s="1323"/>
      <c r="O374" s="1323"/>
      <c r="P374" s="1323"/>
      <c r="Q374" s="1323"/>
      <c r="R374" s="1304"/>
      <c r="S374" s="1304"/>
      <c r="T374" s="1304"/>
    </row>
    <row r="375" spans="1:20">
      <c r="A375" s="1303"/>
      <c r="B375" s="1322" t="s">
        <v>3008</v>
      </c>
      <c r="C375" s="1323" t="s">
        <v>3009</v>
      </c>
      <c r="D375" s="1324">
        <f t="shared" si="60"/>
        <v>41344</v>
      </c>
      <c r="E375" s="1323">
        <f t="shared" si="62"/>
        <v>9.1115999999999993</v>
      </c>
      <c r="F375" s="1323">
        <f t="shared" si="61"/>
        <v>9.133828899927547</v>
      </c>
      <c r="G375" s="1323">
        <f t="shared" si="63"/>
        <v>2013</v>
      </c>
      <c r="H375" s="1323">
        <f t="shared" si="64"/>
        <v>3</v>
      </c>
      <c r="I375" s="1323">
        <f t="shared" si="65"/>
        <v>11</v>
      </c>
      <c r="J375" s="1323"/>
      <c r="K375" s="1323"/>
      <c r="L375" s="1323"/>
      <c r="M375" s="1323"/>
      <c r="N375" s="1323"/>
      <c r="O375" s="1323"/>
      <c r="P375" s="1323"/>
      <c r="Q375" s="1323"/>
      <c r="R375" s="1304"/>
      <c r="S375" s="1304"/>
      <c r="T375" s="1304"/>
    </row>
    <row r="376" spans="1:20">
      <c r="A376" s="1303"/>
      <c r="B376" s="1322" t="s">
        <v>3010</v>
      </c>
      <c r="C376" s="1323" t="s">
        <v>3011</v>
      </c>
      <c r="D376" s="1324">
        <f t="shared" si="60"/>
        <v>41341</v>
      </c>
      <c r="E376" s="1323">
        <f t="shared" si="62"/>
        <v>9.1335999999999995</v>
      </c>
      <c r="F376" s="1323">
        <f t="shared" si="61"/>
        <v>9.1320775425906113</v>
      </c>
      <c r="G376" s="1323">
        <f t="shared" si="63"/>
        <v>2013</v>
      </c>
      <c r="H376" s="1323">
        <f t="shared" si="64"/>
        <v>3</v>
      </c>
      <c r="I376" s="1323">
        <f t="shared" si="65"/>
        <v>8</v>
      </c>
      <c r="J376" s="1323"/>
      <c r="K376" s="1323"/>
      <c r="L376" s="1323"/>
      <c r="M376" s="1323"/>
      <c r="N376" s="1323"/>
      <c r="O376" s="1323"/>
      <c r="P376" s="1323"/>
      <c r="Q376" s="1323"/>
      <c r="R376" s="1304"/>
      <c r="S376" s="1304"/>
      <c r="T376" s="1304"/>
    </row>
    <row r="377" spans="1:20">
      <c r="A377" s="1303"/>
      <c r="B377" s="1322" t="s">
        <v>3012</v>
      </c>
      <c r="C377" s="1323" t="s">
        <v>3013</v>
      </c>
      <c r="D377" s="1324">
        <f t="shared" si="60"/>
        <v>41340</v>
      </c>
      <c r="E377" s="1323">
        <f t="shared" si="62"/>
        <v>9.1013999999999999</v>
      </c>
      <c r="F377" s="1323">
        <f t="shared" si="61"/>
        <v>9.1303265210660225</v>
      </c>
      <c r="G377" s="1323">
        <f t="shared" si="63"/>
        <v>2013</v>
      </c>
      <c r="H377" s="1323">
        <f t="shared" si="64"/>
        <v>3</v>
      </c>
      <c r="I377" s="1323">
        <f t="shared" si="65"/>
        <v>7</v>
      </c>
      <c r="J377" s="1323"/>
      <c r="K377" s="1323"/>
      <c r="L377" s="1323"/>
      <c r="M377" s="1323"/>
      <c r="N377" s="1323"/>
      <c r="O377" s="1323"/>
      <c r="P377" s="1323"/>
      <c r="Q377" s="1323"/>
      <c r="R377" s="1304"/>
      <c r="S377" s="1304"/>
      <c r="T377" s="1304"/>
    </row>
    <row r="378" spans="1:20">
      <c r="A378" s="1303"/>
      <c r="B378" s="1322" t="s">
        <v>3014</v>
      </c>
      <c r="C378" s="1323" t="s">
        <v>3015</v>
      </c>
      <c r="D378" s="1324">
        <f t="shared" si="60"/>
        <v>41339</v>
      </c>
      <c r="E378" s="1323">
        <f t="shared" si="62"/>
        <v>9.0333000000000006</v>
      </c>
      <c r="F378" s="1323">
        <f t="shared" si="61"/>
        <v>9.1285758352893911</v>
      </c>
      <c r="G378" s="1323">
        <f t="shared" si="63"/>
        <v>2013</v>
      </c>
      <c r="H378" s="1323">
        <f t="shared" si="64"/>
        <v>3</v>
      </c>
      <c r="I378" s="1323">
        <f t="shared" si="65"/>
        <v>6</v>
      </c>
      <c r="J378" s="1323"/>
      <c r="K378" s="1323"/>
      <c r="L378" s="1323"/>
      <c r="M378" s="1323"/>
      <c r="N378" s="1323"/>
      <c r="O378" s="1323"/>
      <c r="P378" s="1323"/>
      <c r="Q378" s="1323"/>
      <c r="R378" s="1304"/>
      <c r="S378" s="1304"/>
      <c r="T378" s="1304"/>
    </row>
    <row r="379" spans="1:20">
      <c r="A379" s="1303"/>
      <c r="B379" s="1322" t="s">
        <v>3016</v>
      </c>
      <c r="C379" s="1323" t="s">
        <v>3017</v>
      </c>
      <c r="D379" s="1324">
        <f t="shared" si="60"/>
        <v>41338</v>
      </c>
      <c r="E379" s="1323">
        <f t="shared" si="62"/>
        <v>9.0591000000000008</v>
      </c>
      <c r="F379" s="1323">
        <f t="shared" si="61"/>
        <v>9.1268254851963402</v>
      </c>
      <c r="G379" s="1323">
        <f t="shared" si="63"/>
        <v>2013</v>
      </c>
      <c r="H379" s="1323">
        <f t="shared" si="64"/>
        <v>3</v>
      </c>
      <c r="I379" s="1323">
        <f t="shared" si="65"/>
        <v>5</v>
      </c>
      <c r="J379" s="1323"/>
      <c r="K379" s="1323"/>
      <c r="L379" s="1323"/>
      <c r="M379" s="1323"/>
      <c r="N379" s="1323"/>
      <c r="O379" s="1323"/>
      <c r="P379" s="1323"/>
      <c r="Q379" s="1323"/>
      <c r="R379" s="1304"/>
      <c r="S379" s="1304"/>
      <c r="T379" s="1304"/>
    </row>
    <row r="380" spans="1:20">
      <c r="A380" s="1303"/>
      <c r="B380" s="1322" t="s">
        <v>3018</v>
      </c>
      <c r="C380" s="1323" t="s">
        <v>3019</v>
      </c>
      <c r="D380" s="1324">
        <f t="shared" si="60"/>
        <v>41337</v>
      </c>
      <c r="E380" s="1323">
        <f t="shared" si="62"/>
        <v>9.0863999999999994</v>
      </c>
      <c r="F380" s="1323">
        <f t="shared" si="61"/>
        <v>9.1250754707225035</v>
      </c>
      <c r="G380" s="1323">
        <f t="shared" si="63"/>
        <v>2013</v>
      </c>
      <c r="H380" s="1323">
        <f t="shared" si="64"/>
        <v>3</v>
      </c>
      <c r="I380" s="1323">
        <f t="shared" si="65"/>
        <v>4</v>
      </c>
      <c r="J380" s="1323"/>
      <c r="K380" s="1323"/>
      <c r="L380" s="1323"/>
      <c r="M380" s="1323"/>
      <c r="N380" s="1323"/>
      <c r="O380" s="1323"/>
      <c r="P380" s="1323"/>
      <c r="Q380" s="1323"/>
      <c r="R380" s="1304"/>
      <c r="S380" s="1304"/>
      <c r="T380" s="1304"/>
    </row>
    <row r="381" spans="1:20">
      <c r="A381" s="1303"/>
      <c r="B381" s="1322" t="s">
        <v>3020</v>
      </c>
      <c r="C381" s="1323" t="s">
        <v>3021</v>
      </c>
      <c r="D381" s="1324">
        <f t="shared" si="60"/>
        <v>41334</v>
      </c>
      <c r="E381" s="1323">
        <f t="shared" si="62"/>
        <v>9.0296000000000003</v>
      </c>
      <c r="F381" s="1323">
        <f t="shared" si="61"/>
        <v>9.1233257918035271</v>
      </c>
      <c r="G381" s="1323">
        <f t="shared" si="63"/>
        <v>2013</v>
      </c>
      <c r="H381" s="1323">
        <f t="shared" si="64"/>
        <v>3</v>
      </c>
      <c r="I381" s="1323">
        <f t="shared" si="65"/>
        <v>1</v>
      </c>
      <c r="J381" s="1323"/>
      <c r="K381" s="1323"/>
      <c r="L381" s="1323"/>
      <c r="M381" s="1323"/>
      <c r="N381" s="1323"/>
      <c r="O381" s="1323"/>
      <c r="P381" s="1323"/>
      <c r="Q381" s="1323"/>
      <c r="R381" s="1304"/>
      <c r="S381" s="1304"/>
      <c r="T381" s="1304"/>
    </row>
    <row r="382" spans="1:20">
      <c r="A382" s="1303"/>
      <c r="B382" s="1322" t="s">
        <v>3022</v>
      </c>
      <c r="C382" s="1323" t="s">
        <v>3023</v>
      </c>
      <c r="D382" s="1324">
        <f t="shared" si="60"/>
        <v>41333</v>
      </c>
      <c r="E382" s="1323">
        <f t="shared" si="62"/>
        <v>8.8409999999999993</v>
      </c>
      <c r="F382" s="1323">
        <f t="shared" si="61"/>
        <v>9.1215764483750714</v>
      </c>
      <c r="G382" s="1323">
        <f t="shared" si="63"/>
        <v>2013</v>
      </c>
      <c r="H382" s="1323">
        <f t="shared" si="64"/>
        <v>2</v>
      </c>
      <c r="I382" s="1323">
        <f t="shared" si="65"/>
        <v>28</v>
      </c>
      <c r="J382" s="1323"/>
      <c r="K382" s="1323"/>
      <c r="L382" s="1323"/>
      <c r="M382" s="1323"/>
      <c r="N382" s="1323"/>
      <c r="O382" s="1323"/>
      <c r="P382" s="1323"/>
      <c r="Q382" s="1323"/>
      <c r="R382" s="1304"/>
      <c r="S382" s="1304"/>
      <c r="T382" s="1304"/>
    </row>
    <row r="383" spans="1:20">
      <c r="A383" s="1303"/>
      <c r="B383" s="1322" t="s">
        <v>3024</v>
      </c>
      <c r="C383" s="1323" t="s">
        <v>3025</v>
      </c>
      <c r="D383" s="1324">
        <f t="shared" si="60"/>
        <v>41332</v>
      </c>
      <c r="E383" s="1323">
        <f t="shared" si="62"/>
        <v>8.8386999999999993</v>
      </c>
      <c r="F383" s="1323">
        <f t="shared" si="61"/>
        <v>9.1198274403728075</v>
      </c>
      <c r="G383" s="1323">
        <f t="shared" si="63"/>
        <v>2013</v>
      </c>
      <c r="H383" s="1323">
        <f t="shared" si="64"/>
        <v>2</v>
      </c>
      <c r="I383" s="1323">
        <f t="shared" si="65"/>
        <v>27</v>
      </c>
      <c r="J383" s="1323"/>
      <c r="K383" s="1323"/>
      <c r="L383" s="1323"/>
      <c r="M383" s="1323"/>
      <c r="N383" s="1323"/>
      <c r="O383" s="1323"/>
      <c r="P383" s="1323"/>
      <c r="Q383" s="1323"/>
      <c r="R383" s="1304"/>
      <c r="S383" s="1304"/>
      <c r="T383" s="1304"/>
    </row>
    <row r="384" spans="1:20">
      <c r="A384" s="1303"/>
      <c r="B384" s="1322" t="s">
        <v>3026</v>
      </c>
      <c r="C384" s="1323" t="s">
        <v>3027</v>
      </c>
      <c r="D384" s="1324">
        <f t="shared" si="60"/>
        <v>41331</v>
      </c>
      <c r="E384" s="1323">
        <f t="shared" si="62"/>
        <v>8.8343000000000007</v>
      </c>
      <c r="F384" s="1323">
        <f t="shared" si="61"/>
        <v>9.1180787677324204</v>
      </c>
      <c r="G384" s="1323">
        <f t="shared" si="63"/>
        <v>2013</v>
      </c>
      <c r="H384" s="1323">
        <f t="shared" si="64"/>
        <v>2</v>
      </c>
      <c r="I384" s="1323">
        <f t="shared" si="65"/>
        <v>26</v>
      </c>
      <c r="J384" s="1323"/>
      <c r="K384" s="1323"/>
      <c r="L384" s="1323"/>
      <c r="M384" s="1323"/>
      <c r="N384" s="1323"/>
      <c r="O384" s="1323"/>
      <c r="P384" s="1323"/>
      <c r="Q384" s="1323"/>
      <c r="R384" s="1304"/>
      <c r="S384" s="1304"/>
      <c r="T384" s="1304"/>
    </row>
    <row r="385" spans="1:20">
      <c r="A385" s="1303"/>
      <c r="B385" s="1322" t="s">
        <v>3028</v>
      </c>
      <c r="C385" s="1323" t="s">
        <v>3029</v>
      </c>
      <c r="D385" s="1324">
        <f t="shared" si="60"/>
        <v>41330</v>
      </c>
      <c r="E385" s="1323">
        <f t="shared" si="62"/>
        <v>8.8673000000000002</v>
      </c>
      <c r="F385" s="1323">
        <f t="shared" si="61"/>
        <v>9.1163304303896062</v>
      </c>
      <c r="G385" s="1323">
        <f t="shared" si="63"/>
        <v>2013</v>
      </c>
      <c r="H385" s="1323">
        <f t="shared" si="64"/>
        <v>2</v>
      </c>
      <c r="I385" s="1323">
        <f t="shared" si="65"/>
        <v>25</v>
      </c>
      <c r="J385" s="1323"/>
      <c r="K385" s="1323"/>
      <c r="L385" s="1323"/>
      <c r="M385" s="1323"/>
      <c r="N385" s="1323"/>
      <c r="O385" s="1323"/>
      <c r="P385" s="1323"/>
      <c r="Q385" s="1323"/>
      <c r="R385" s="1304"/>
      <c r="S385" s="1304"/>
      <c r="T385" s="1304"/>
    </row>
    <row r="386" spans="1:20">
      <c r="A386" s="1303"/>
      <c r="B386" s="1322" t="s">
        <v>3030</v>
      </c>
      <c r="C386" s="1323" t="s">
        <v>3031</v>
      </c>
      <c r="D386" s="1324">
        <f t="shared" si="60"/>
        <v>41327</v>
      </c>
      <c r="E386" s="1323">
        <f t="shared" si="62"/>
        <v>8.8681000000000001</v>
      </c>
      <c r="F386" s="1323">
        <f t="shared" si="61"/>
        <v>9.1145824282800731</v>
      </c>
      <c r="G386" s="1323">
        <f t="shared" si="63"/>
        <v>2013</v>
      </c>
      <c r="H386" s="1323">
        <f t="shared" si="64"/>
        <v>2</v>
      </c>
      <c r="I386" s="1323">
        <f t="shared" si="65"/>
        <v>22</v>
      </c>
      <c r="J386" s="1323"/>
      <c r="K386" s="1323"/>
      <c r="L386" s="1323"/>
      <c r="M386" s="1323"/>
      <c r="N386" s="1323"/>
      <c r="O386" s="1323"/>
      <c r="P386" s="1323"/>
      <c r="Q386" s="1323"/>
      <c r="R386" s="1304"/>
      <c r="S386" s="1304"/>
      <c r="T386" s="1304"/>
    </row>
    <row r="387" spans="1:20">
      <c r="A387" s="1303"/>
      <c r="B387" s="1322" t="s">
        <v>3032</v>
      </c>
      <c r="C387" s="1323" t="s">
        <v>3033</v>
      </c>
      <c r="D387" s="1324">
        <f t="shared" si="60"/>
        <v>41326</v>
      </c>
      <c r="E387" s="1323">
        <f t="shared" si="62"/>
        <v>8.9016000000000002</v>
      </c>
      <c r="F387" s="1323">
        <f t="shared" si="61"/>
        <v>9.112834761339542</v>
      </c>
      <c r="G387" s="1323">
        <f t="shared" si="63"/>
        <v>2013</v>
      </c>
      <c r="H387" s="1323">
        <f t="shared" si="64"/>
        <v>2</v>
      </c>
      <c r="I387" s="1323">
        <f t="shared" si="65"/>
        <v>21</v>
      </c>
      <c r="J387" s="1323"/>
      <c r="K387" s="1323"/>
      <c r="L387" s="1323"/>
      <c r="M387" s="1323"/>
      <c r="N387" s="1323"/>
      <c r="O387" s="1323"/>
      <c r="P387" s="1323"/>
      <c r="Q387" s="1323"/>
      <c r="R387" s="1304"/>
      <c r="S387" s="1304"/>
      <c r="T387" s="1304"/>
    </row>
    <row r="388" spans="1:20">
      <c r="A388" s="1303"/>
      <c r="B388" s="1322" t="s">
        <v>3034</v>
      </c>
      <c r="C388" s="1323" t="s">
        <v>3035</v>
      </c>
      <c r="D388" s="1324">
        <f t="shared" si="60"/>
        <v>41325</v>
      </c>
      <c r="E388" s="1323">
        <f t="shared" si="62"/>
        <v>8.8460999999999999</v>
      </c>
      <c r="F388" s="1323">
        <f t="shared" si="61"/>
        <v>9.1110874295037458</v>
      </c>
      <c r="G388" s="1323">
        <f t="shared" si="63"/>
        <v>2013</v>
      </c>
      <c r="H388" s="1323">
        <f t="shared" si="64"/>
        <v>2</v>
      </c>
      <c r="I388" s="1323">
        <f t="shared" si="65"/>
        <v>20</v>
      </c>
      <c r="J388" s="1323"/>
      <c r="K388" s="1323"/>
      <c r="L388" s="1323"/>
      <c r="M388" s="1323"/>
      <c r="N388" s="1323"/>
      <c r="O388" s="1323"/>
      <c r="P388" s="1323"/>
      <c r="Q388" s="1323"/>
      <c r="R388" s="1304"/>
      <c r="S388" s="1304"/>
      <c r="T388" s="1304"/>
    </row>
    <row r="389" spans="1:20">
      <c r="A389" s="1303"/>
      <c r="B389" s="1322" t="s">
        <v>3036</v>
      </c>
      <c r="C389" s="1323" t="s">
        <v>3037</v>
      </c>
      <c r="D389" s="1324">
        <f t="shared" si="60"/>
        <v>41324</v>
      </c>
      <c r="E389" s="1323">
        <f t="shared" si="62"/>
        <v>8.9228000000000005</v>
      </c>
      <c r="F389" s="1323">
        <f t="shared" si="61"/>
        <v>9.1093404327084322</v>
      </c>
      <c r="G389" s="1323">
        <f t="shared" si="63"/>
        <v>2013</v>
      </c>
      <c r="H389" s="1323">
        <f t="shared" si="64"/>
        <v>2</v>
      </c>
      <c r="I389" s="1323">
        <f t="shared" si="65"/>
        <v>19</v>
      </c>
      <c r="J389" s="1323"/>
      <c r="K389" s="1323"/>
      <c r="L389" s="1323"/>
      <c r="M389" s="1323"/>
      <c r="N389" s="1323"/>
      <c r="O389" s="1323"/>
      <c r="P389" s="1323"/>
      <c r="Q389" s="1323"/>
      <c r="R389" s="1304"/>
      <c r="S389" s="1304"/>
      <c r="T389" s="1304"/>
    </row>
    <row r="390" spans="1:20">
      <c r="A390" s="1303"/>
      <c r="B390" s="1322" t="s">
        <v>3038</v>
      </c>
      <c r="C390" s="1323" t="s">
        <v>3039</v>
      </c>
      <c r="D390" s="1324">
        <f t="shared" si="60"/>
        <v>41323</v>
      </c>
      <c r="E390" s="1323">
        <f t="shared" si="62"/>
        <v>8.8401999999999994</v>
      </c>
      <c r="F390" s="1323">
        <f t="shared" si="61"/>
        <v>9.1075937708893573</v>
      </c>
      <c r="G390" s="1323">
        <f t="shared" si="63"/>
        <v>2013</v>
      </c>
      <c r="H390" s="1323">
        <f t="shared" si="64"/>
        <v>2</v>
      </c>
      <c r="I390" s="1323">
        <f t="shared" si="65"/>
        <v>18</v>
      </c>
      <c r="J390" s="1323"/>
      <c r="K390" s="1323"/>
      <c r="L390" s="1323"/>
      <c r="M390" s="1323"/>
      <c r="N390" s="1323"/>
      <c r="O390" s="1323"/>
      <c r="P390" s="1323"/>
      <c r="Q390" s="1323"/>
      <c r="R390" s="1304"/>
      <c r="S390" s="1304"/>
      <c r="T390" s="1304"/>
    </row>
    <row r="391" spans="1:20">
      <c r="A391" s="1303"/>
      <c r="B391" s="1322" t="s">
        <v>3040</v>
      </c>
      <c r="C391" s="1323" t="s">
        <v>3041</v>
      </c>
      <c r="D391" s="1324">
        <f t="shared" si="60"/>
        <v>41320</v>
      </c>
      <c r="E391" s="1323">
        <f t="shared" si="62"/>
        <v>8.8109000000000002</v>
      </c>
      <c r="F391" s="1323">
        <f t="shared" si="61"/>
        <v>9.1058474439822916</v>
      </c>
      <c r="G391" s="1323">
        <f t="shared" si="63"/>
        <v>2013</v>
      </c>
      <c r="H391" s="1323">
        <f t="shared" si="64"/>
        <v>2</v>
      </c>
      <c r="I391" s="1323">
        <f t="shared" si="65"/>
        <v>15</v>
      </c>
      <c r="J391" s="1323"/>
      <c r="K391" s="1323"/>
      <c r="L391" s="1323"/>
      <c r="M391" s="1323"/>
      <c r="N391" s="1323"/>
      <c r="O391" s="1323"/>
      <c r="P391" s="1323"/>
      <c r="Q391" s="1323"/>
      <c r="R391" s="1304"/>
      <c r="S391" s="1304"/>
      <c r="T391" s="1304"/>
    </row>
    <row r="392" spans="1:20">
      <c r="A392" s="1303"/>
      <c r="B392" s="1322" t="s">
        <v>3042</v>
      </c>
      <c r="C392" s="1323" t="s">
        <v>3043</v>
      </c>
      <c r="D392" s="1324">
        <f t="shared" si="60"/>
        <v>41319</v>
      </c>
      <c r="E392" s="1323">
        <f t="shared" si="62"/>
        <v>8.8742000000000001</v>
      </c>
      <c r="F392" s="1323">
        <f t="shared" si="61"/>
        <v>9.1041014519230181</v>
      </c>
      <c r="G392" s="1323">
        <f t="shared" si="63"/>
        <v>2013</v>
      </c>
      <c r="H392" s="1323">
        <f t="shared" si="64"/>
        <v>2</v>
      </c>
      <c r="I392" s="1323">
        <f t="shared" si="65"/>
        <v>14</v>
      </c>
      <c r="J392" s="1323"/>
      <c r="K392" s="1323"/>
      <c r="L392" s="1323"/>
      <c r="M392" s="1323"/>
      <c r="N392" s="1323"/>
      <c r="O392" s="1323"/>
      <c r="P392" s="1323"/>
      <c r="Q392" s="1323"/>
      <c r="R392" s="1304"/>
      <c r="S392" s="1304"/>
      <c r="T392" s="1304"/>
    </row>
    <row r="393" spans="1:20">
      <c r="A393" s="1303"/>
      <c r="B393" s="1322" t="s">
        <v>3044</v>
      </c>
      <c r="C393" s="1323" t="s">
        <v>3045</v>
      </c>
      <c r="D393" s="1324">
        <f t="shared" ref="D393:D456" si="66">DATE(G393,H393,I393)</f>
        <v>41318</v>
      </c>
      <c r="E393" s="1323">
        <f t="shared" si="62"/>
        <v>8.907</v>
      </c>
      <c r="F393" s="1323">
        <f t="shared" ref="F393:F456" si="67">F394*(1+$F$7/365)</f>
        <v>9.1023557946473321</v>
      </c>
      <c r="G393" s="1323">
        <f t="shared" si="63"/>
        <v>2013</v>
      </c>
      <c r="H393" s="1323">
        <f t="shared" si="64"/>
        <v>2</v>
      </c>
      <c r="I393" s="1323">
        <f t="shared" si="65"/>
        <v>13</v>
      </c>
      <c r="J393" s="1323"/>
      <c r="K393" s="1323"/>
      <c r="L393" s="1323"/>
      <c r="M393" s="1323"/>
      <c r="N393" s="1323"/>
      <c r="O393" s="1323"/>
      <c r="P393" s="1323"/>
      <c r="Q393" s="1323"/>
      <c r="R393" s="1304"/>
      <c r="S393" s="1304"/>
      <c r="T393" s="1304"/>
    </row>
    <row r="394" spans="1:20">
      <c r="A394" s="1303"/>
      <c r="B394" s="1322" t="s">
        <v>3046</v>
      </c>
      <c r="C394" s="1323" t="s">
        <v>3047</v>
      </c>
      <c r="D394" s="1324">
        <f t="shared" si="66"/>
        <v>41317</v>
      </c>
      <c r="E394" s="1323">
        <f t="shared" si="62"/>
        <v>8.9689999999999994</v>
      </c>
      <c r="F394" s="1323">
        <f t="shared" si="67"/>
        <v>9.1006104720910397</v>
      </c>
      <c r="G394" s="1323">
        <f t="shared" si="63"/>
        <v>2013</v>
      </c>
      <c r="H394" s="1323">
        <f t="shared" si="64"/>
        <v>2</v>
      </c>
      <c r="I394" s="1323">
        <f t="shared" si="65"/>
        <v>12</v>
      </c>
      <c r="J394" s="1323"/>
      <c r="K394" s="1323"/>
      <c r="L394" s="1323"/>
      <c r="M394" s="1323"/>
      <c r="N394" s="1323"/>
      <c r="O394" s="1323"/>
      <c r="P394" s="1323"/>
      <c r="Q394" s="1323"/>
      <c r="R394" s="1304"/>
      <c r="S394" s="1304"/>
      <c r="T394" s="1304"/>
    </row>
    <row r="395" spans="1:20">
      <c r="A395" s="1303"/>
      <c r="B395" s="1322" t="s">
        <v>3048</v>
      </c>
      <c r="C395" s="1323" t="s">
        <v>3049</v>
      </c>
      <c r="D395" s="1324">
        <f t="shared" si="66"/>
        <v>41316</v>
      </c>
      <c r="E395" s="1323">
        <f t="shared" si="62"/>
        <v>8.8811</v>
      </c>
      <c r="F395" s="1323">
        <f t="shared" si="67"/>
        <v>9.098865484189961</v>
      </c>
      <c r="G395" s="1323">
        <f t="shared" si="63"/>
        <v>2013</v>
      </c>
      <c r="H395" s="1323">
        <f t="shared" si="64"/>
        <v>2</v>
      </c>
      <c r="I395" s="1323">
        <f t="shared" si="65"/>
        <v>11</v>
      </c>
      <c r="J395" s="1323"/>
      <c r="K395" s="1323"/>
      <c r="L395" s="1323"/>
      <c r="M395" s="1323"/>
      <c r="N395" s="1323"/>
      <c r="O395" s="1323"/>
      <c r="P395" s="1323"/>
      <c r="Q395" s="1323"/>
      <c r="R395" s="1304"/>
      <c r="S395" s="1304"/>
      <c r="T395" s="1304"/>
    </row>
    <row r="396" spans="1:20">
      <c r="A396" s="1303"/>
      <c r="B396" s="1322" t="s">
        <v>3050</v>
      </c>
      <c r="C396" s="1323" t="s">
        <v>3051</v>
      </c>
      <c r="D396" s="1324">
        <f t="shared" si="66"/>
        <v>41313</v>
      </c>
      <c r="E396" s="1323">
        <f t="shared" si="62"/>
        <v>8.9400999999999993</v>
      </c>
      <c r="F396" s="1323">
        <f t="shared" si="67"/>
        <v>9.0971208308799287</v>
      </c>
      <c r="G396" s="1323">
        <f t="shared" si="63"/>
        <v>2013</v>
      </c>
      <c r="H396" s="1323">
        <f t="shared" si="64"/>
        <v>2</v>
      </c>
      <c r="I396" s="1323">
        <f t="shared" si="65"/>
        <v>8</v>
      </c>
      <c r="J396" s="1323"/>
      <c r="K396" s="1323"/>
      <c r="L396" s="1323"/>
      <c r="M396" s="1323"/>
      <c r="N396" s="1323"/>
      <c r="O396" s="1323"/>
      <c r="P396" s="1323"/>
      <c r="Q396" s="1323"/>
      <c r="R396" s="1304"/>
      <c r="S396" s="1304"/>
      <c r="T396" s="1304"/>
    </row>
    <row r="397" spans="1:20">
      <c r="A397" s="1303"/>
      <c r="B397" s="1322" t="s">
        <v>3052</v>
      </c>
      <c r="C397" s="1323" t="s">
        <v>3053</v>
      </c>
      <c r="D397" s="1324">
        <f t="shared" si="66"/>
        <v>41312</v>
      </c>
      <c r="E397" s="1323">
        <f t="shared" si="62"/>
        <v>8.8887999999999998</v>
      </c>
      <c r="F397" s="1323">
        <f t="shared" si="67"/>
        <v>9.0953765120967862</v>
      </c>
      <c r="G397" s="1323">
        <f t="shared" si="63"/>
        <v>2013</v>
      </c>
      <c r="H397" s="1323">
        <f t="shared" si="64"/>
        <v>2</v>
      </c>
      <c r="I397" s="1323">
        <f t="shared" si="65"/>
        <v>7</v>
      </c>
      <c r="J397" s="1323"/>
      <c r="K397" s="1323"/>
      <c r="L397" s="1323"/>
      <c r="M397" s="1323"/>
      <c r="N397" s="1323"/>
      <c r="O397" s="1323"/>
      <c r="P397" s="1323"/>
      <c r="Q397" s="1323"/>
      <c r="R397" s="1304"/>
      <c r="S397" s="1304"/>
      <c r="T397" s="1304"/>
    </row>
    <row r="398" spans="1:20">
      <c r="A398" s="1303"/>
      <c r="B398" s="1322" t="s">
        <v>3054</v>
      </c>
      <c r="C398" s="1323" t="s">
        <v>3055</v>
      </c>
      <c r="D398" s="1324">
        <f t="shared" si="66"/>
        <v>41311</v>
      </c>
      <c r="E398" s="1323">
        <f t="shared" si="62"/>
        <v>8.8542000000000005</v>
      </c>
      <c r="F398" s="1323">
        <f t="shared" si="67"/>
        <v>9.093632527776391</v>
      </c>
      <c r="G398" s="1323">
        <f t="shared" si="63"/>
        <v>2013</v>
      </c>
      <c r="H398" s="1323">
        <f t="shared" si="64"/>
        <v>2</v>
      </c>
      <c r="I398" s="1323">
        <f t="shared" si="65"/>
        <v>6</v>
      </c>
      <c r="J398" s="1323"/>
      <c r="K398" s="1323"/>
      <c r="L398" s="1323"/>
      <c r="M398" s="1323"/>
      <c r="N398" s="1323"/>
      <c r="O398" s="1323"/>
      <c r="P398" s="1323"/>
      <c r="Q398" s="1323"/>
      <c r="R398" s="1304"/>
      <c r="S398" s="1304"/>
      <c r="T398" s="1304"/>
    </row>
    <row r="399" spans="1:20">
      <c r="A399" s="1303"/>
      <c r="B399" s="1322" t="s">
        <v>3056</v>
      </c>
      <c r="C399" s="1323" t="s">
        <v>3057</v>
      </c>
      <c r="D399" s="1324">
        <f t="shared" si="66"/>
        <v>41310</v>
      </c>
      <c r="E399" s="1323">
        <f t="shared" si="62"/>
        <v>8.9181000000000008</v>
      </c>
      <c r="F399" s="1323">
        <f t="shared" si="67"/>
        <v>9.0918888778546112</v>
      </c>
      <c r="G399" s="1323">
        <f t="shared" si="63"/>
        <v>2013</v>
      </c>
      <c r="H399" s="1323">
        <f t="shared" si="64"/>
        <v>2</v>
      </c>
      <c r="I399" s="1323">
        <f t="shared" si="65"/>
        <v>5</v>
      </c>
      <c r="J399" s="1323"/>
      <c r="K399" s="1323"/>
      <c r="L399" s="1323"/>
      <c r="M399" s="1323"/>
      <c r="N399" s="1323"/>
      <c r="O399" s="1323"/>
      <c r="P399" s="1323"/>
      <c r="Q399" s="1323"/>
      <c r="R399" s="1304"/>
      <c r="S399" s="1304"/>
      <c r="T399" s="1304"/>
    </row>
    <row r="400" spans="1:20">
      <c r="A400" s="1303"/>
      <c r="B400" s="1322" t="s">
        <v>3058</v>
      </c>
      <c r="C400" s="1323" t="s">
        <v>3059</v>
      </c>
      <c r="D400" s="1324">
        <f t="shared" si="66"/>
        <v>41309</v>
      </c>
      <c r="E400" s="1323">
        <f t="shared" si="62"/>
        <v>8.8862000000000005</v>
      </c>
      <c r="F400" s="1323">
        <f t="shared" si="67"/>
        <v>9.0901455622673275</v>
      </c>
      <c r="G400" s="1323">
        <f t="shared" si="63"/>
        <v>2013</v>
      </c>
      <c r="H400" s="1323">
        <f t="shared" si="64"/>
        <v>2</v>
      </c>
      <c r="I400" s="1323">
        <f t="shared" si="65"/>
        <v>4</v>
      </c>
      <c r="J400" s="1323"/>
      <c r="K400" s="1323"/>
      <c r="L400" s="1323"/>
      <c r="M400" s="1323"/>
      <c r="N400" s="1323"/>
      <c r="O400" s="1323"/>
      <c r="P400" s="1323"/>
      <c r="Q400" s="1323"/>
      <c r="R400" s="1304"/>
      <c r="S400" s="1304"/>
      <c r="T400" s="1304"/>
    </row>
    <row r="401" spans="1:20">
      <c r="A401" s="1303"/>
      <c r="B401" s="1322" t="s">
        <v>3060</v>
      </c>
      <c r="C401" s="1323" t="s">
        <v>3061</v>
      </c>
      <c r="D401" s="1324">
        <f t="shared" si="66"/>
        <v>41306</v>
      </c>
      <c r="E401" s="1323">
        <f t="shared" si="62"/>
        <v>8.9681999999999995</v>
      </c>
      <c r="F401" s="1323">
        <f t="shared" si="67"/>
        <v>9.088402580950433</v>
      </c>
      <c r="G401" s="1323">
        <f t="shared" si="63"/>
        <v>2013</v>
      </c>
      <c r="H401" s="1323">
        <f t="shared" si="64"/>
        <v>2</v>
      </c>
      <c r="I401" s="1323">
        <f t="shared" si="65"/>
        <v>1</v>
      </c>
      <c r="J401" s="1323"/>
      <c r="K401" s="1323"/>
      <c r="L401" s="1323"/>
      <c r="M401" s="1323"/>
      <c r="N401" s="1323"/>
      <c r="O401" s="1323"/>
      <c r="P401" s="1323"/>
      <c r="Q401" s="1323"/>
      <c r="R401" s="1304"/>
      <c r="S401" s="1304"/>
      <c r="T401" s="1304"/>
    </row>
    <row r="402" spans="1:20">
      <c r="A402" s="1303"/>
      <c r="B402" s="1322" t="s">
        <v>3062</v>
      </c>
      <c r="C402" s="1323" t="s">
        <v>3063</v>
      </c>
      <c r="D402" s="1324">
        <f t="shared" si="66"/>
        <v>41305</v>
      </c>
      <c r="E402" s="1323">
        <f t="shared" si="62"/>
        <v>9.0581999999999994</v>
      </c>
      <c r="F402" s="1323">
        <f t="shared" si="67"/>
        <v>9.0866599338398331</v>
      </c>
      <c r="G402" s="1323">
        <f t="shared" si="63"/>
        <v>2013</v>
      </c>
      <c r="H402" s="1323">
        <f t="shared" si="64"/>
        <v>1</v>
      </c>
      <c r="I402" s="1323">
        <f t="shared" si="65"/>
        <v>31</v>
      </c>
      <c r="J402" s="1323"/>
      <c r="K402" s="1323"/>
      <c r="L402" s="1323"/>
      <c r="M402" s="1323"/>
      <c r="N402" s="1323"/>
      <c r="O402" s="1323"/>
      <c r="P402" s="1323"/>
      <c r="Q402" s="1323"/>
      <c r="R402" s="1304"/>
      <c r="S402" s="1304"/>
      <c r="T402" s="1304"/>
    </row>
    <row r="403" spans="1:20">
      <c r="A403" s="1303"/>
      <c r="B403" s="1322" t="s">
        <v>3064</v>
      </c>
      <c r="C403" s="1323" t="s">
        <v>3065</v>
      </c>
      <c r="D403" s="1324">
        <f t="shared" si="66"/>
        <v>41304</v>
      </c>
      <c r="E403" s="1323">
        <f t="shared" si="62"/>
        <v>9.0366</v>
      </c>
      <c r="F403" s="1323">
        <f t="shared" si="67"/>
        <v>9.0849176208714457</v>
      </c>
      <c r="G403" s="1323">
        <f t="shared" si="63"/>
        <v>2013</v>
      </c>
      <c r="H403" s="1323">
        <f t="shared" si="64"/>
        <v>1</v>
      </c>
      <c r="I403" s="1323">
        <f t="shared" si="65"/>
        <v>30</v>
      </c>
      <c r="J403" s="1323"/>
      <c r="K403" s="1323"/>
      <c r="L403" s="1323"/>
      <c r="M403" s="1323"/>
      <c r="N403" s="1323"/>
      <c r="O403" s="1323"/>
      <c r="P403" s="1323"/>
      <c r="Q403" s="1323"/>
      <c r="R403" s="1304"/>
      <c r="S403" s="1304"/>
      <c r="T403" s="1304"/>
    </row>
    <row r="404" spans="1:20">
      <c r="A404" s="1303"/>
      <c r="B404" s="1322" t="s">
        <v>3066</v>
      </c>
      <c r="C404" s="1323" t="s">
        <v>3067</v>
      </c>
      <c r="D404" s="1324">
        <f t="shared" si="66"/>
        <v>41303</v>
      </c>
      <c r="E404" s="1323">
        <f t="shared" si="62"/>
        <v>9.0907999999999998</v>
      </c>
      <c r="F404" s="1323">
        <f t="shared" si="67"/>
        <v>9.0831756419812031</v>
      </c>
      <c r="G404" s="1323">
        <f t="shared" si="63"/>
        <v>2013</v>
      </c>
      <c r="H404" s="1323">
        <f t="shared" si="64"/>
        <v>1</v>
      </c>
      <c r="I404" s="1323">
        <f t="shared" si="65"/>
        <v>29</v>
      </c>
      <c r="J404" s="1323"/>
      <c r="K404" s="1323"/>
      <c r="L404" s="1323"/>
      <c r="M404" s="1323"/>
      <c r="N404" s="1323"/>
      <c r="O404" s="1323"/>
      <c r="P404" s="1323"/>
      <c r="Q404" s="1323"/>
      <c r="R404" s="1304"/>
      <c r="S404" s="1304"/>
      <c r="T404" s="1304"/>
    </row>
    <row r="405" spans="1:20">
      <c r="A405" s="1303"/>
      <c r="B405" s="1322" t="s">
        <v>3068</v>
      </c>
      <c r="C405" s="1323" t="s">
        <v>3069</v>
      </c>
      <c r="D405" s="1324">
        <f t="shared" si="66"/>
        <v>41302</v>
      </c>
      <c r="E405" s="1323">
        <f t="shared" si="62"/>
        <v>8.9655000000000005</v>
      </c>
      <c r="F405" s="1323">
        <f t="shared" si="67"/>
        <v>9.0814339971050462</v>
      </c>
      <c r="G405" s="1323">
        <f t="shared" si="63"/>
        <v>2013</v>
      </c>
      <c r="H405" s="1323">
        <f t="shared" si="64"/>
        <v>1</v>
      </c>
      <c r="I405" s="1323">
        <f t="shared" si="65"/>
        <v>28</v>
      </c>
      <c r="J405" s="1323"/>
      <c r="K405" s="1323"/>
      <c r="L405" s="1323"/>
      <c r="M405" s="1323"/>
      <c r="N405" s="1323"/>
      <c r="O405" s="1323"/>
      <c r="P405" s="1323"/>
      <c r="Q405" s="1323"/>
      <c r="R405" s="1304"/>
      <c r="S405" s="1304"/>
      <c r="T405" s="1304"/>
    </row>
    <row r="406" spans="1:20">
      <c r="A406" s="1303"/>
      <c r="B406" s="1322" t="s">
        <v>3070</v>
      </c>
      <c r="C406" s="1323" t="s">
        <v>3071</v>
      </c>
      <c r="D406" s="1324">
        <f t="shared" si="66"/>
        <v>41299</v>
      </c>
      <c r="E406" s="1323">
        <f t="shared" ref="E406:E469" si="68">VALUE(C407)</f>
        <v>8.9901999999999997</v>
      </c>
      <c r="F406" s="1323">
        <f t="shared" si="67"/>
        <v>9.0796926861789302</v>
      </c>
      <c r="G406" s="1323">
        <f t="shared" ref="G406:G469" si="69">YEAR(B407)</f>
        <v>2013</v>
      </c>
      <c r="H406" s="1323">
        <f t="shared" ref="H406:H469" si="70">MONTH(B407)</f>
        <v>1</v>
      </c>
      <c r="I406" s="1323">
        <f t="shared" ref="I406:I469" si="71">DAY(B407)</f>
        <v>25</v>
      </c>
      <c r="J406" s="1323"/>
      <c r="K406" s="1323"/>
      <c r="L406" s="1323"/>
      <c r="M406" s="1323"/>
      <c r="N406" s="1323"/>
      <c r="O406" s="1323"/>
      <c r="P406" s="1323"/>
      <c r="Q406" s="1323"/>
      <c r="R406" s="1304"/>
      <c r="S406" s="1304"/>
      <c r="T406" s="1304"/>
    </row>
    <row r="407" spans="1:20">
      <c r="A407" s="1303"/>
      <c r="B407" s="1322" t="s">
        <v>3072</v>
      </c>
      <c r="C407" s="1323" t="s">
        <v>3073</v>
      </c>
      <c r="D407" s="1324">
        <f t="shared" si="66"/>
        <v>41298</v>
      </c>
      <c r="E407" s="1323">
        <f t="shared" si="68"/>
        <v>9.0413999999999994</v>
      </c>
      <c r="F407" s="1323">
        <f t="shared" si="67"/>
        <v>9.0779517091388211</v>
      </c>
      <c r="G407" s="1323">
        <f t="shared" si="69"/>
        <v>2013</v>
      </c>
      <c r="H407" s="1323">
        <f t="shared" si="70"/>
        <v>1</v>
      </c>
      <c r="I407" s="1323">
        <f t="shared" si="71"/>
        <v>24</v>
      </c>
      <c r="J407" s="1323"/>
      <c r="K407" s="1323"/>
      <c r="L407" s="1323"/>
      <c r="M407" s="1323"/>
      <c r="N407" s="1323"/>
      <c r="O407" s="1323"/>
      <c r="P407" s="1323"/>
      <c r="Q407" s="1323"/>
      <c r="R407" s="1304"/>
      <c r="S407" s="1304"/>
      <c r="T407" s="1304"/>
    </row>
    <row r="408" spans="1:20">
      <c r="A408" s="1303"/>
      <c r="B408" s="1322" t="s">
        <v>3074</v>
      </c>
      <c r="C408" s="1323" t="s">
        <v>3075</v>
      </c>
      <c r="D408" s="1324">
        <f t="shared" si="66"/>
        <v>41297</v>
      </c>
      <c r="E408" s="1323">
        <f t="shared" si="68"/>
        <v>8.8940999999999999</v>
      </c>
      <c r="F408" s="1323">
        <f t="shared" si="67"/>
        <v>9.0762110659206989</v>
      </c>
      <c r="G408" s="1323">
        <f t="shared" si="69"/>
        <v>2013</v>
      </c>
      <c r="H408" s="1323">
        <f t="shared" si="70"/>
        <v>1</v>
      </c>
      <c r="I408" s="1323">
        <f t="shared" si="71"/>
        <v>23</v>
      </c>
      <c r="J408" s="1323"/>
      <c r="K408" s="1323"/>
      <c r="L408" s="1323"/>
      <c r="M408" s="1323"/>
      <c r="N408" s="1323"/>
      <c r="O408" s="1323"/>
      <c r="P408" s="1323"/>
      <c r="Q408" s="1323"/>
      <c r="R408" s="1304"/>
      <c r="S408" s="1304"/>
      <c r="T408" s="1304"/>
    </row>
    <row r="409" spans="1:20">
      <c r="A409" s="1303"/>
      <c r="B409" s="1322" t="s">
        <v>3076</v>
      </c>
      <c r="C409" s="1323" t="s">
        <v>3077</v>
      </c>
      <c r="D409" s="1324">
        <f t="shared" si="66"/>
        <v>41296</v>
      </c>
      <c r="E409" s="1323">
        <f t="shared" si="68"/>
        <v>8.8375000000000004</v>
      </c>
      <c r="F409" s="1323">
        <f t="shared" si="67"/>
        <v>9.0744707564605562</v>
      </c>
      <c r="G409" s="1323">
        <f t="shared" si="69"/>
        <v>2013</v>
      </c>
      <c r="H409" s="1323">
        <f t="shared" si="70"/>
        <v>1</v>
      </c>
      <c r="I409" s="1323">
        <f t="shared" si="71"/>
        <v>22</v>
      </c>
      <c r="J409" s="1323"/>
      <c r="K409" s="1323"/>
      <c r="L409" s="1323"/>
      <c r="M409" s="1323"/>
      <c r="N409" s="1323"/>
      <c r="O409" s="1323"/>
      <c r="P409" s="1323"/>
      <c r="Q409" s="1323"/>
      <c r="R409" s="1304"/>
      <c r="S409" s="1304"/>
      <c r="T409" s="1304"/>
    </row>
    <row r="410" spans="1:20">
      <c r="A410" s="1303"/>
      <c r="B410" s="1322" t="s">
        <v>3078</v>
      </c>
      <c r="C410" s="1323" t="s">
        <v>3079</v>
      </c>
      <c r="D410" s="1324">
        <f t="shared" si="66"/>
        <v>41295</v>
      </c>
      <c r="E410" s="1323">
        <f t="shared" si="68"/>
        <v>8.8749000000000002</v>
      </c>
      <c r="F410" s="1323">
        <f t="shared" si="67"/>
        <v>9.0727307806943962</v>
      </c>
      <c r="G410" s="1323">
        <f t="shared" si="69"/>
        <v>2013</v>
      </c>
      <c r="H410" s="1323">
        <f t="shared" si="70"/>
        <v>1</v>
      </c>
      <c r="I410" s="1323">
        <f t="shared" si="71"/>
        <v>21</v>
      </c>
      <c r="J410" s="1323"/>
      <c r="K410" s="1323"/>
      <c r="L410" s="1323"/>
      <c r="M410" s="1323"/>
      <c r="N410" s="1323"/>
      <c r="O410" s="1323"/>
      <c r="P410" s="1323"/>
      <c r="Q410" s="1323"/>
      <c r="R410" s="1304"/>
      <c r="S410" s="1304"/>
      <c r="T410" s="1304"/>
    </row>
    <row r="411" spans="1:20">
      <c r="A411" s="1303"/>
      <c r="B411" s="1322" t="s">
        <v>3080</v>
      </c>
      <c r="C411" s="1323" t="s">
        <v>3081</v>
      </c>
      <c r="D411" s="1324">
        <f t="shared" si="66"/>
        <v>41292</v>
      </c>
      <c r="E411" s="1323">
        <f t="shared" si="68"/>
        <v>8.8528000000000002</v>
      </c>
      <c r="F411" s="1323">
        <f t="shared" si="67"/>
        <v>9.0709911385582345</v>
      </c>
      <c r="G411" s="1323">
        <f t="shared" si="69"/>
        <v>2013</v>
      </c>
      <c r="H411" s="1323">
        <f t="shared" si="70"/>
        <v>1</v>
      </c>
      <c r="I411" s="1323">
        <f t="shared" si="71"/>
        <v>18</v>
      </c>
      <c r="J411" s="1323"/>
      <c r="K411" s="1323"/>
      <c r="L411" s="1323"/>
      <c r="M411" s="1323"/>
      <c r="N411" s="1323"/>
      <c r="O411" s="1323"/>
      <c r="P411" s="1323"/>
      <c r="Q411" s="1323"/>
      <c r="R411" s="1304"/>
      <c r="S411" s="1304"/>
      <c r="T411" s="1304"/>
    </row>
    <row r="412" spans="1:20">
      <c r="A412" s="1303"/>
      <c r="B412" s="1322" t="s">
        <v>3082</v>
      </c>
      <c r="C412" s="1323" t="s">
        <v>3083</v>
      </c>
      <c r="D412" s="1324">
        <f t="shared" si="66"/>
        <v>41291</v>
      </c>
      <c r="E412" s="1323">
        <f t="shared" si="68"/>
        <v>8.7783999999999995</v>
      </c>
      <c r="F412" s="1323">
        <f t="shared" si="67"/>
        <v>9.0692518299880991</v>
      </c>
      <c r="G412" s="1323">
        <f t="shared" si="69"/>
        <v>2013</v>
      </c>
      <c r="H412" s="1323">
        <f t="shared" si="70"/>
        <v>1</v>
      </c>
      <c r="I412" s="1323">
        <f t="shared" si="71"/>
        <v>17</v>
      </c>
      <c r="J412" s="1323"/>
      <c r="K412" s="1323"/>
      <c r="L412" s="1323"/>
      <c r="M412" s="1323"/>
      <c r="N412" s="1323"/>
      <c r="O412" s="1323"/>
      <c r="P412" s="1323"/>
      <c r="Q412" s="1323"/>
      <c r="R412" s="1304"/>
      <c r="S412" s="1304"/>
      <c r="T412" s="1304"/>
    </row>
    <row r="413" spans="1:20">
      <c r="A413" s="1303"/>
      <c r="B413" s="1322" t="s">
        <v>3084</v>
      </c>
      <c r="C413" s="1323" t="s">
        <v>3085</v>
      </c>
      <c r="D413" s="1324">
        <f t="shared" si="66"/>
        <v>41290</v>
      </c>
      <c r="E413" s="1323">
        <f t="shared" si="68"/>
        <v>8.8642000000000003</v>
      </c>
      <c r="F413" s="1323">
        <f t="shared" si="67"/>
        <v>9.0675128549200323</v>
      </c>
      <c r="G413" s="1323">
        <f t="shared" si="69"/>
        <v>2013</v>
      </c>
      <c r="H413" s="1323">
        <f t="shared" si="70"/>
        <v>1</v>
      </c>
      <c r="I413" s="1323">
        <f t="shared" si="71"/>
        <v>16</v>
      </c>
      <c r="J413" s="1323"/>
      <c r="K413" s="1323"/>
      <c r="L413" s="1323"/>
      <c r="M413" s="1323"/>
      <c r="N413" s="1323"/>
      <c r="O413" s="1323"/>
      <c r="P413" s="1323"/>
      <c r="Q413" s="1323"/>
      <c r="R413" s="1304"/>
      <c r="S413" s="1304"/>
      <c r="T413" s="1304"/>
    </row>
    <row r="414" spans="1:20">
      <c r="A414" s="1303"/>
      <c r="B414" s="1322" t="s">
        <v>3086</v>
      </c>
      <c r="C414" s="1323" t="s">
        <v>3087</v>
      </c>
      <c r="D414" s="1324">
        <f t="shared" si="66"/>
        <v>41289</v>
      </c>
      <c r="E414" s="1323">
        <f t="shared" si="68"/>
        <v>8.7310999999999996</v>
      </c>
      <c r="F414" s="1323">
        <f t="shared" si="67"/>
        <v>9.0657742132900854</v>
      </c>
      <c r="G414" s="1323">
        <f t="shared" si="69"/>
        <v>2013</v>
      </c>
      <c r="H414" s="1323">
        <f t="shared" si="70"/>
        <v>1</v>
      </c>
      <c r="I414" s="1323">
        <f t="shared" si="71"/>
        <v>15</v>
      </c>
      <c r="J414" s="1323"/>
      <c r="K414" s="1323"/>
      <c r="L414" s="1323"/>
      <c r="M414" s="1323"/>
      <c r="N414" s="1323"/>
      <c r="O414" s="1323"/>
      <c r="P414" s="1323"/>
      <c r="Q414" s="1323"/>
      <c r="R414" s="1304"/>
      <c r="S414" s="1304"/>
      <c r="T414" s="1304"/>
    </row>
    <row r="415" spans="1:20">
      <c r="A415" s="1303"/>
      <c r="B415" s="1322" t="s">
        <v>3088</v>
      </c>
      <c r="C415" s="1323" t="s">
        <v>3089</v>
      </c>
      <c r="D415" s="1324">
        <f t="shared" si="66"/>
        <v>41288</v>
      </c>
      <c r="E415" s="1323">
        <f t="shared" si="68"/>
        <v>8.7209000000000003</v>
      </c>
      <c r="F415" s="1323">
        <f t="shared" si="67"/>
        <v>9.0640359050343253</v>
      </c>
      <c r="G415" s="1323">
        <f t="shared" si="69"/>
        <v>2013</v>
      </c>
      <c r="H415" s="1323">
        <f t="shared" si="70"/>
        <v>1</v>
      </c>
      <c r="I415" s="1323">
        <f t="shared" si="71"/>
        <v>14</v>
      </c>
      <c r="J415" s="1323"/>
      <c r="K415" s="1323"/>
      <c r="L415" s="1323"/>
      <c r="M415" s="1323"/>
      <c r="N415" s="1323"/>
      <c r="O415" s="1323"/>
      <c r="P415" s="1323"/>
      <c r="Q415" s="1323"/>
      <c r="R415" s="1304"/>
      <c r="S415" s="1304"/>
      <c r="T415" s="1304"/>
    </row>
    <row r="416" spans="1:20">
      <c r="A416" s="1303"/>
      <c r="B416" s="1322" t="s">
        <v>3090</v>
      </c>
      <c r="C416" s="1323" t="s">
        <v>3091</v>
      </c>
      <c r="D416" s="1324">
        <f t="shared" si="66"/>
        <v>41285</v>
      </c>
      <c r="E416" s="1323">
        <f t="shared" si="68"/>
        <v>8.6734000000000009</v>
      </c>
      <c r="F416" s="1323">
        <f t="shared" si="67"/>
        <v>9.0622979300888282</v>
      </c>
      <c r="G416" s="1323">
        <f t="shared" si="69"/>
        <v>2013</v>
      </c>
      <c r="H416" s="1323">
        <f t="shared" si="70"/>
        <v>1</v>
      </c>
      <c r="I416" s="1323">
        <f t="shared" si="71"/>
        <v>11</v>
      </c>
      <c r="J416" s="1323"/>
      <c r="K416" s="1323"/>
      <c r="L416" s="1323"/>
      <c r="M416" s="1323"/>
      <c r="N416" s="1323"/>
      <c r="O416" s="1323"/>
      <c r="P416" s="1323"/>
      <c r="Q416" s="1323"/>
      <c r="R416" s="1304"/>
      <c r="S416" s="1304"/>
      <c r="T416" s="1304"/>
    </row>
    <row r="417" spans="1:20">
      <c r="A417" s="1303"/>
      <c r="B417" s="1322" t="s">
        <v>3092</v>
      </c>
      <c r="C417" s="1323" t="s">
        <v>3093</v>
      </c>
      <c r="D417" s="1324">
        <f t="shared" si="66"/>
        <v>41284</v>
      </c>
      <c r="E417" s="1323">
        <f t="shared" si="68"/>
        <v>8.5965000000000007</v>
      </c>
      <c r="F417" s="1323">
        <f t="shared" si="67"/>
        <v>9.0605602883896843</v>
      </c>
      <c r="G417" s="1323">
        <f t="shared" si="69"/>
        <v>2013</v>
      </c>
      <c r="H417" s="1323">
        <f t="shared" si="70"/>
        <v>1</v>
      </c>
      <c r="I417" s="1323">
        <f t="shared" si="71"/>
        <v>10</v>
      </c>
      <c r="J417" s="1323"/>
      <c r="K417" s="1323"/>
      <c r="L417" s="1323"/>
      <c r="M417" s="1323"/>
      <c r="N417" s="1323"/>
      <c r="O417" s="1323"/>
      <c r="P417" s="1323"/>
      <c r="Q417" s="1323"/>
      <c r="R417" s="1304"/>
      <c r="S417" s="1304"/>
      <c r="T417" s="1304"/>
    </row>
    <row r="418" spans="1:20">
      <c r="A418" s="1303"/>
      <c r="B418" s="1322" t="s">
        <v>3094</v>
      </c>
      <c r="C418" s="1323" t="s">
        <v>3095</v>
      </c>
      <c r="D418" s="1324">
        <f t="shared" si="66"/>
        <v>41283</v>
      </c>
      <c r="E418" s="1323">
        <f t="shared" si="68"/>
        <v>8.5716000000000001</v>
      </c>
      <c r="F418" s="1323">
        <f t="shared" si="67"/>
        <v>9.0588229798729962</v>
      </c>
      <c r="G418" s="1323">
        <f t="shared" si="69"/>
        <v>2013</v>
      </c>
      <c r="H418" s="1323">
        <f t="shared" si="70"/>
        <v>1</v>
      </c>
      <c r="I418" s="1323">
        <f t="shared" si="71"/>
        <v>9</v>
      </c>
      <c r="J418" s="1323"/>
      <c r="K418" s="1323"/>
      <c r="L418" s="1323"/>
      <c r="M418" s="1323"/>
      <c r="N418" s="1323"/>
      <c r="O418" s="1323"/>
      <c r="P418" s="1323"/>
      <c r="Q418" s="1323"/>
      <c r="R418" s="1304"/>
      <c r="S418" s="1304"/>
      <c r="T418" s="1304"/>
    </row>
    <row r="419" spans="1:20">
      <c r="A419" s="1303"/>
      <c r="B419" s="1322" t="s">
        <v>3096</v>
      </c>
      <c r="C419" s="1323" t="s">
        <v>3097</v>
      </c>
      <c r="D419" s="1324">
        <f t="shared" si="66"/>
        <v>41282</v>
      </c>
      <c r="E419" s="1323">
        <f t="shared" si="68"/>
        <v>8.5882000000000005</v>
      </c>
      <c r="F419" s="1323">
        <f t="shared" si="67"/>
        <v>9.0570860044748773</v>
      </c>
      <c r="G419" s="1323">
        <f t="shared" si="69"/>
        <v>2013</v>
      </c>
      <c r="H419" s="1323">
        <f t="shared" si="70"/>
        <v>1</v>
      </c>
      <c r="I419" s="1323">
        <f t="shared" si="71"/>
        <v>8</v>
      </c>
      <c r="J419" s="1323"/>
      <c r="K419" s="1323"/>
      <c r="L419" s="1323"/>
      <c r="M419" s="1323"/>
      <c r="N419" s="1323"/>
      <c r="O419" s="1323"/>
      <c r="P419" s="1323"/>
      <c r="Q419" s="1323"/>
      <c r="R419" s="1304"/>
      <c r="S419" s="1304"/>
      <c r="T419" s="1304"/>
    </row>
    <row r="420" spans="1:20">
      <c r="A420" s="1303"/>
      <c r="B420" s="1322" t="s">
        <v>3098</v>
      </c>
      <c r="C420" s="1323" t="s">
        <v>3099</v>
      </c>
      <c r="D420" s="1324">
        <f t="shared" si="66"/>
        <v>41281</v>
      </c>
      <c r="E420" s="1323">
        <f t="shared" si="68"/>
        <v>8.6089000000000002</v>
      </c>
      <c r="F420" s="1323">
        <f t="shared" si="67"/>
        <v>9.0553493621314551</v>
      </c>
      <c r="G420" s="1323">
        <f t="shared" si="69"/>
        <v>2013</v>
      </c>
      <c r="H420" s="1323">
        <f t="shared" si="70"/>
        <v>1</v>
      </c>
      <c r="I420" s="1323">
        <f t="shared" si="71"/>
        <v>7</v>
      </c>
      <c r="J420" s="1323"/>
      <c r="K420" s="1323"/>
      <c r="L420" s="1323"/>
      <c r="M420" s="1323"/>
      <c r="N420" s="1323"/>
      <c r="O420" s="1323"/>
      <c r="P420" s="1323"/>
      <c r="Q420" s="1323"/>
      <c r="R420" s="1304"/>
      <c r="S420" s="1304"/>
      <c r="T420" s="1304"/>
    </row>
    <row r="421" spans="1:20">
      <c r="A421" s="1303"/>
      <c r="B421" s="1322" t="s">
        <v>3100</v>
      </c>
      <c r="C421" s="1323" t="s">
        <v>3101</v>
      </c>
      <c r="D421" s="1324">
        <f t="shared" si="66"/>
        <v>41278</v>
      </c>
      <c r="E421" s="1323">
        <f t="shared" si="68"/>
        <v>8.6295000000000002</v>
      </c>
      <c r="F421" s="1323">
        <f t="shared" si="67"/>
        <v>9.0536130527788679</v>
      </c>
      <c r="G421" s="1323">
        <f t="shared" si="69"/>
        <v>2013</v>
      </c>
      <c r="H421" s="1323">
        <f t="shared" si="70"/>
        <v>1</v>
      </c>
      <c r="I421" s="1323">
        <f t="shared" si="71"/>
        <v>4</v>
      </c>
      <c r="J421" s="1323"/>
      <c r="K421" s="1323"/>
      <c r="L421" s="1323"/>
      <c r="M421" s="1323"/>
      <c r="N421" s="1323"/>
      <c r="O421" s="1323"/>
      <c r="P421" s="1323"/>
      <c r="Q421" s="1323"/>
      <c r="R421" s="1304"/>
      <c r="S421" s="1304"/>
      <c r="T421" s="1304"/>
    </row>
    <row r="422" spans="1:20">
      <c r="A422" s="1303"/>
      <c r="B422" s="1322" t="s">
        <v>3102</v>
      </c>
      <c r="C422" s="1323" t="s">
        <v>3103</v>
      </c>
      <c r="D422" s="1324">
        <f t="shared" si="66"/>
        <v>41277</v>
      </c>
      <c r="E422" s="1323">
        <f t="shared" si="68"/>
        <v>8.5223999999999993</v>
      </c>
      <c r="F422" s="1323">
        <f t="shared" si="67"/>
        <v>9.0518770763532661</v>
      </c>
      <c r="G422" s="1323">
        <f t="shared" si="69"/>
        <v>2013</v>
      </c>
      <c r="H422" s="1323">
        <f t="shared" si="70"/>
        <v>1</v>
      </c>
      <c r="I422" s="1323">
        <f t="shared" si="71"/>
        <v>3</v>
      </c>
      <c r="J422" s="1323"/>
      <c r="K422" s="1323"/>
      <c r="L422" s="1323"/>
      <c r="M422" s="1323"/>
      <c r="N422" s="1323"/>
      <c r="O422" s="1323"/>
      <c r="P422" s="1323"/>
      <c r="Q422" s="1323"/>
      <c r="R422" s="1304"/>
      <c r="S422" s="1304"/>
      <c r="T422" s="1304"/>
    </row>
    <row r="423" spans="1:20">
      <c r="A423" s="1303"/>
      <c r="B423" s="1322" t="s">
        <v>3104</v>
      </c>
      <c r="C423" s="1323" t="s">
        <v>3105</v>
      </c>
      <c r="D423" s="1324">
        <f t="shared" si="66"/>
        <v>41276</v>
      </c>
      <c r="E423" s="1323">
        <f t="shared" si="68"/>
        <v>8.4478000000000009</v>
      </c>
      <c r="F423" s="1323">
        <f t="shared" si="67"/>
        <v>9.050141432790813</v>
      </c>
      <c r="G423" s="1323">
        <f t="shared" si="69"/>
        <v>2013</v>
      </c>
      <c r="H423" s="1323">
        <f t="shared" si="70"/>
        <v>1</v>
      </c>
      <c r="I423" s="1323">
        <f t="shared" si="71"/>
        <v>2</v>
      </c>
      <c r="J423" s="1323"/>
      <c r="K423" s="1323"/>
      <c r="L423" s="1323"/>
      <c r="M423" s="1323"/>
      <c r="N423" s="1323"/>
      <c r="O423" s="1323"/>
      <c r="P423" s="1323"/>
      <c r="Q423" s="1323"/>
      <c r="R423" s="1304"/>
      <c r="S423" s="1304"/>
      <c r="T423" s="1304"/>
    </row>
    <row r="424" spans="1:20">
      <c r="A424" s="1303"/>
      <c r="B424" s="1322" t="s">
        <v>3106</v>
      </c>
      <c r="C424" s="1323" t="s">
        <v>3107</v>
      </c>
      <c r="D424" s="1324">
        <f t="shared" si="66"/>
        <v>41274</v>
      </c>
      <c r="E424" s="1323">
        <f t="shared" si="68"/>
        <v>8.4838000000000005</v>
      </c>
      <c r="F424" s="1323">
        <f t="shared" si="67"/>
        <v>9.0484061220276839</v>
      </c>
      <c r="G424" s="1323">
        <f t="shared" si="69"/>
        <v>2012</v>
      </c>
      <c r="H424" s="1323">
        <f t="shared" si="70"/>
        <v>12</v>
      </c>
      <c r="I424" s="1323">
        <f t="shared" si="71"/>
        <v>31</v>
      </c>
      <c r="J424" s="1323"/>
      <c r="K424" s="1323"/>
      <c r="L424" s="1323"/>
      <c r="M424" s="1323"/>
      <c r="N424" s="1323"/>
      <c r="O424" s="1323"/>
      <c r="P424" s="1323"/>
      <c r="Q424" s="1323"/>
      <c r="R424" s="1304"/>
      <c r="S424" s="1304"/>
      <c r="T424" s="1304"/>
    </row>
    <row r="425" spans="1:20">
      <c r="A425" s="1303"/>
      <c r="B425" s="1322" t="s">
        <v>3108</v>
      </c>
      <c r="C425" s="1323" t="s">
        <v>3109</v>
      </c>
      <c r="D425" s="1324">
        <f t="shared" si="66"/>
        <v>41271</v>
      </c>
      <c r="E425" s="1323">
        <f t="shared" si="68"/>
        <v>8.5030999999999999</v>
      </c>
      <c r="F425" s="1323">
        <f t="shared" si="67"/>
        <v>9.0466711440000669</v>
      </c>
      <c r="G425" s="1323">
        <f t="shared" si="69"/>
        <v>2012</v>
      </c>
      <c r="H425" s="1323">
        <f t="shared" si="70"/>
        <v>12</v>
      </c>
      <c r="I425" s="1323">
        <f t="shared" si="71"/>
        <v>28</v>
      </c>
      <c r="J425" s="1323"/>
      <c r="K425" s="1323"/>
      <c r="L425" s="1323"/>
      <c r="M425" s="1323"/>
      <c r="N425" s="1323"/>
      <c r="O425" s="1323"/>
      <c r="P425" s="1323"/>
      <c r="Q425" s="1323"/>
      <c r="R425" s="1304"/>
      <c r="S425" s="1304"/>
      <c r="T425" s="1304"/>
    </row>
    <row r="426" spans="1:20">
      <c r="A426" s="1303"/>
      <c r="B426" s="1322" t="s">
        <v>3110</v>
      </c>
      <c r="C426" s="1323" t="s">
        <v>3111</v>
      </c>
      <c r="D426" s="1324">
        <f t="shared" si="66"/>
        <v>41270</v>
      </c>
      <c r="E426" s="1323">
        <f t="shared" si="68"/>
        <v>8.5694999999999997</v>
      </c>
      <c r="F426" s="1323">
        <f t="shared" si="67"/>
        <v>9.0449364986441623</v>
      </c>
      <c r="G426" s="1323">
        <f t="shared" si="69"/>
        <v>2012</v>
      </c>
      <c r="H426" s="1323">
        <f t="shared" si="70"/>
        <v>12</v>
      </c>
      <c r="I426" s="1323">
        <f t="shared" si="71"/>
        <v>27</v>
      </c>
      <c r="J426" s="1323"/>
      <c r="K426" s="1323"/>
      <c r="L426" s="1323"/>
      <c r="M426" s="1323"/>
      <c r="N426" s="1323"/>
      <c r="O426" s="1323"/>
      <c r="P426" s="1323"/>
      <c r="Q426" s="1323"/>
      <c r="R426" s="1304"/>
      <c r="S426" s="1304"/>
      <c r="T426" s="1304"/>
    </row>
    <row r="427" spans="1:20">
      <c r="A427" s="1303"/>
      <c r="B427" s="1322" t="s">
        <v>3112</v>
      </c>
      <c r="C427" s="1323" t="s">
        <v>3113</v>
      </c>
      <c r="D427" s="1324">
        <f t="shared" si="66"/>
        <v>41267</v>
      </c>
      <c r="E427" s="1323">
        <f t="shared" si="68"/>
        <v>8.5660000000000007</v>
      </c>
      <c r="F427" s="1323">
        <f t="shared" si="67"/>
        <v>9.0432021858961811</v>
      </c>
      <c r="G427" s="1323">
        <f t="shared" si="69"/>
        <v>2012</v>
      </c>
      <c r="H427" s="1323">
        <f t="shared" si="70"/>
        <v>12</v>
      </c>
      <c r="I427" s="1323">
        <f t="shared" si="71"/>
        <v>24</v>
      </c>
      <c r="J427" s="1323"/>
      <c r="K427" s="1323"/>
      <c r="L427" s="1323"/>
      <c r="M427" s="1323"/>
      <c r="N427" s="1323"/>
      <c r="O427" s="1323"/>
      <c r="P427" s="1323"/>
      <c r="Q427" s="1323"/>
      <c r="R427" s="1304"/>
      <c r="S427" s="1304"/>
      <c r="T427" s="1304"/>
    </row>
    <row r="428" spans="1:20">
      <c r="A428" s="1303"/>
      <c r="B428" s="1322" t="s">
        <v>3114</v>
      </c>
      <c r="C428" s="1323" t="s">
        <v>3115</v>
      </c>
      <c r="D428" s="1324">
        <f t="shared" si="66"/>
        <v>41264</v>
      </c>
      <c r="E428" s="1323">
        <f t="shared" si="68"/>
        <v>8.5460999999999991</v>
      </c>
      <c r="F428" s="1323">
        <f t="shared" si="67"/>
        <v>9.0414682056923485</v>
      </c>
      <c r="G428" s="1323">
        <f t="shared" si="69"/>
        <v>2012</v>
      </c>
      <c r="H428" s="1323">
        <f t="shared" si="70"/>
        <v>12</v>
      </c>
      <c r="I428" s="1323">
        <f t="shared" si="71"/>
        <v>21</v>
      </c>
      <c r="J428" s="1323"/>
      <c r="K428" s="1323"/>
      <c r="L428" s="1323"/>
      <c r="M428" s="1323"/>
      <c r="N428" s="1323"/>
      <c r="O428" s="1323"/>
      <c r="P428" s="1323"/>
      <c r="Q428" s="1323"/>
      <c r="R428" s="1304"/>
      <c r="S428" s="1304"/>
      <c r="T428" s="1304"/>
    </row>
    <row r="429" spans="1:20">
      <c r="A429" s="1303"/>
      <c r="B429" s="1322" t="s">
        <v>3116</v>
      </c>
      <c r="C429" s="1323" t="s">
        <v>3117</v>
      </c>
      <c r="D429" s="1324">
        <f t="shared" si="66"/>
        <v>41263</v>
      </c>
      <c r="E429" s="1323">
        <f t="shared" si="68"/>
        <v>8.5083000000000002</v>
      </c>
      <c r="F429" s="1323">
        <f t="shared" si="67"/>
        <v>9.0397345579689024</v>
      </c>
      <c r="G429" s="1323">
        <f t="shared" si="69"/>
        <v>2012</v>
      </c>
      <c r="H429" s="1323">
        <f t="shared" si="70"/>
        <v>12</v>
      </c>
      <c r="I429" s="1323">
        <f t="shared" si="71"/>
        <v>20</v>
      </c>
      <c r="J429" s="1323"/>
      <c r="K429" s="1323"/>
      <c r="L429" s="1323"/>
      <c r="M429" s="1323"/>
      <c r="N429" s="1323"/>
      <c r="O429" s="1323"/>
      <c r="P429" s="1323"/>
      <c r="Q429" s="1323"/>
      <c r="R429" s="1304"/>
      <c r="S429" s="1304"/>
      <c r="T429" s="1304"/>
    </row>
    <row r="430" spans="1:20">
      <c r="A430" s="1303"/>
      <c r="B430" s="1322" t="s">
        <v>3118</v>
      </c>
      <c r="C430" s="1323" t="s">
        <v>3119</v>
      </c>
      <c r="D430" s="1324">
        <f t="shared" si="66"/>
        <v>41262</v>
      </c>
      <c r="E430" s="1323">
        <f t="shared" si="68"/>
        <v>8.4822000000000006</v>
      </c>
      <c r="F430" s="1323">
        <f t="shared" si="67"/>
        <v>9.0380012426620908</v>
      </c>
      <c r="G430" s="1323">
        <f t="shared" si="69"/>
        <v>2012</v>
      </c>
      <c r="H430" s="1323">
        <f t="shared" si="70"/>
        <v>12</v>
      </c>
      <c r="I430" s="1323">
        <f t="shared" si="71"/>
        <v>19</v>
      </c>
      <c r="J430" s="1323"/>
      <c r="K430" s="1323"/>
      <c r="L430" s="1323"/>
      <c r="M430" s="1323"/>
      <c r="N430" s="1323"/>
      <c r="O430" s="1323"/>
      <c r="P430" s="1323"/>
      <c r="Q430" s="1323"/>
      <c r="R430" s="1304"/>
      <c r="S430" s="1304"/>
      <c r="T430" s="1304"/>
    </row>
    <row r="431" spans="1:20">
      <c r="A431" s="1303"/>
      <c r="B431" s="1322" t="s">
        <v>3120</v>
      </c>
      <c r="C431" s="1323" t="s">
        <v>3121</v>
      </c>
      <c r="D431" s="1324">
        <f t="shared" si="66"/>
        <v>41261</v>
      </c>
      <c r="E431" s="1323">
        <f t="shared" si="68"/>
        <v>8.5607000000000006</v>
      </c>
      <c r="F431" s="1323">
        <f t="shared" si="67"/>
        <v>9.0362682597081747</v>
      </c>
      <c r="G431" s="1323">
        <f t="shared" si="69"/>
        <v>2012</v>
      </c>
      <c r="H431" s="1323">
        <f t="shared" si="70"/>
        <v>12</v>
      </c>
      <c r="I431" s="1323">
        <f t="shared" si="71"/>
        <v>18</v>
      </c>
      <c r="J431" s="1323"/>
      <c r="K431" s="1323"/>
      <c r="L431" s="1323"/>
      <c r="M431" s="1323"/>
      <c r="N431" s="1323"/>
      <c r="O431" s="1323"/>
      <c r="P431" s="1323"/>
      <c r="Q431" s="1323"/>
      <c r="R431" s="1304"/>
      <c r="S431" s="1304"/>
      <c r="T431" s="1304"/>
    </row>
    <row r="432" spans="1:20">
      <c r="A432" s="1303"/>
      <c r="B432" s="1322" t="s">
        <v>3122</v>
      </c>
      <c r="C432" s="1323" t="s">
        <v>3123</v>
      </c>
      <c r="D432" s="1324">
        <f t="shared" si="66"/>
        <v>41257</v>
      </c>
      <c r="E432" s="1323">
        <f t="shared" si="68"/>
        <v>8.6507000000000005</v>
      </c>
      <c r="F432" s="1323">
        <f t="shared" si="67"/>
        <v>9.0345356090434272</v>
      </c>
      <c r="G432" s="1323">
        <f t="shared" si="69"/>
        <v>2012</v>
      </c>
      <c r="H432" s="1323">
        <f t="shared" si="70"/>
        <v>12</v>
      </c>
      <c r="I432" s="1323">
        <f t="shared" si="71"/>
        <v>14</v>
      </c>
      <c r="J432" s="1323"/>
      <c r="K432" s="1323"/>
      <c r="L432" s="1323"/>
      <c r="M432" s="1323"/>
      <c r="N432" s="1323"/>
      <c r="O432" s="1323"/>
      <c r="P432" s="1323"/>
      <c r="Q432" s="1323"/>
      <c r="R432" s="1304"/>
      <c r="S432" s="1304"/>
      <c r="T432" s="1304"/>
    </row>
    <row r="433" spans="1:20">
      <c r="A433" s="1303"/>
      <c r="B433" s="1322" t="s">
        <v>3124</v>
      </c>
      <c r="C433" s="1323" t="s">
        <v>3125</v>
      </c>
      <c r="D433" s="1324">
        <f t="shared" si="66"/>
        <v>41256</v>
      </c>
      <c r="E433" s="1323">
        <f t="shared" si="68"/>
        <v>8.6417999999999999</v>
      </c>
      <c r="F433" s="1323">
        <f t="shared" si="67"/>
        <v>9.0328032906041322</v>
      </c>
      <c r="G433" s="1323">
        <f t="shared" si="69"/>
        <v>2012</v>
      </c>
      <c r="H433" s="1323">
        <f t="shared" si="70"/>
        <v>12</v>
      </c>
      <c r="I433" s="1323">
        <f t="shared" si="71"/>
        <v>13</v>
      </c>
      <c r="J433" s="1323"/>
      <c r="K433" s="1323"/>
      <c r="L433" s="1323"/>
      <c r="M433" s="1323"/>
      <c r="N433" s="1323"/>
      <c r="O433" s="1323"/>
      <c r="P433" s="1323"/>
      <c r="Q433" s="1323"/>
      <c r="R433" s="1304"/>
      <c r="S433" s="1304"/>
      <c r="T433" s="1304"/>
    </row>
    <row r="434" spans="1:20">
      <c r="A434" s="1303"/>
      <c r="B434" s="1322" t="s">
        <v>3126</v>
      </c>
      <c r="C434" s="1323" t="s">
        <v>3127</v>
      </c>
      <c r="D434" s="1324">
        <f t="shared" si="66"/>
        <v>41255</v>
      </c>
      <c r="E434" s="1323">
        <f t="shared" si="68"/>
        <v>8.6762999999999995</v>
      </c>
      <c r="F434" s="1323">
        <f t="shared" si="67"/>
        <v>9.0310713043265896</v>
      </c>
      <c r="G434" s="1323">
        <f t="shared" si="69"/>
        <v>2012</v>
      </c>
      <c r="H434" s="1323">
        <f t="shared" si="70"/>
        <v>12</v>
      </c>
      <c r="I434" s="1323">
        <f t="shared" si="71"/>
        <v>12</v>
      </c>
      <c r="J434" s="1323"/>
      <c r="K434" s="1323"/>
      <c r="L434" s="1323"/>
      <c r="M434" s="1323"/>
      <c r="N434" s="1323"/>
      <c r="O434" s="1323"/>
      <c r="P434" s="1323"/>
      <c r="Q434" s="1323"/>
      <c r="R434" s="1304"/>
      <c r="S434" s="1304"/>
      <c r="T434" s="1304"/>
    </row>
    <row r="435" spans="1:20">
      <c r="A435" s="1303"/>
      <c r="B435" s="1322" t="s">
        <v>3128</v>
      </c>
      <c r="C435" s="1323" t="s">
        <v>3129</v>
      </c>
      <c r="D435" s="1324">
        <f t="shared" si="66"/>
        <v>41254</v>
      </c>
      <c r="E435" s="1323">
        <f t="shared" si="68"/>
        <v>8.6635000000000009</v>
      </c>
      <c r="F435" s="1323">
        <f t="shared" si="67"/>
        <v>9.0293396501471097</v>
      </c>
      <c r="G435" s="1323">
        <f t="shared" si="69"/>
        <v>2012</v>
      </c>
      <c r="H435" s="1323">
        <f t="shared" si="70"/>
        <v>12</v>
      </c>
      <c r="I435" s="1323">
        <f t="shared" si="71"/>
        <v>11</v>
      </c>
      <c r="J435" s="1323"/>
      <c r="K435" s="1323"/>
      <c r="L435" s="1323"/>
      <c r="M435" s="1323"/>
      <c r="N435" s="1323"/>
      <c r="O435" s="1323"/>
      <c r="P435" s="1323"/>
      <c r="Q435" s="1323"/>
      <c r="R435" s="1304"/>
      <c r="S435" s="1304"/>
      <c r="T435" s="1304"/>
    </row>
    <row r="436" spans="1:20">
      <c r="A436" s="1303"/>
      <c r="B436" s="1322" t="s">
        <v>3130</v>
      </c>
      <c r="C436" s="1323" t="s">
        <v>3131</v>
      </c>
      <c r="D436" s="1324">
        <f t="shared" si="66"/>
        <v>41253</v>
      </c>
      <c r="E436" s="1323">
        <f t="shared" si="68"/>
        <v>8.6755999999999993</v>
      </c>
      <c r="F436" s="1323">
        <f t="shared" si="67"/>
        <v>9.0276083280020138</v>
      </c>
      <c r="G436" s="1323">
        <f t="shared" si="69"/>
        <v>2012</v>
      </c>
      <c r="H436" s="1323">
        <f t="shared" si="70"/>
        <v>12</v>
      </c>
      <c r="I436" s="1323">
        <f t="shared" si="71"/>
        <v>10</v>
      </c>
      <c r="J436" s="1323"/>
      <c r="K436" s="1323"/>
      <c r="L436" s="1323"/>
      <c r="M436" s="1323"/>
      <c r="N436" s="1323"/>
      <c r="O436" s="1323"/>
      <c r="P436" s="1323"/>
      <c r="Q436" s="1323"/>
      <c r="R436" s="1304"/>
      <c r="S436" s="1304"/>
      <c r="T436" s="1304"/>
    </row>
    <row r="437" spans="1:20">
      <c r="A437" s="1303"/>
      <c r="B437" s="1322" t="s">
        <v>3132</v>
      </c>
      <c r="C437" s="1323" t="s">
        <v>3133</v>
      </c>
      <c r="D437" s="1324">
        <f t="shared" si="66"/>
        <v>41250</v>
      </c>
      <c r="E437" s="1323">
        <f t="shared" si="68"/>
        <v>8.7030999999999992</v>
      </c>
      <c r="F437" s="1323">
        <f t="shared" si="67"/>
        <v>9.0258773378276356</v>
      </c>
      <c r="G437" s="1323">
        <f t="shared" si="69"/>
        <v>2012</v>
      </c>
      <c r="H437" s="1323">
        <f t="shared" si="70"/>
        <v>12</v>
      </c>
      <c r="I437" s="1323">
        <f t="shared" si="71"/>
        <v>7</v>
      </c>
      <c r="J437" s="1323"/>
      <c r="K437" s="1323"/>
      <c r="L437" s="1323"/>
      <c r="M437" s="1323"/>
      <c r="N437" s="1323"/>
      <c r="O437" s="1323"/>
      <c r="P437" s="1323"/>
      <c r="Q437" s="1323"/>
      <c r="R437" s="1304"/>
      <c r="S437" s="1304"/>
      <c r="T437" s="1304"/>
    </row>
    <row r="438" spans="1:20">
      <c r="A438" s="1303"/>
      <c r="B438" s="1322" t="s">
        <v>3134</v>
      </c>
      <c r="C438" s="1323" t="s">
        <v>3135</v>
      </c>
      <c r="D438" s="1324">
        <f t="shared" si="66"/>
        <v>41249</v>
      </c>
      <c r="E438" s="1323">
        <f t="shared" si="68"/>
        <v>8.7550000000000008</v>
      </c>
      <c r="F438" s="1323">
        <f t="shared" si="67"/>
        <v>9.0241466795603227</v>
      </c>
      <c r="G438" s="1323">
        <f t="shared" si="69"/>
        <v>2012</v>
      </c>
      <c r="H438" s="1323">
        <f t="shared" si="70"/>
        <v>12</v>
      </c>
      <c r="I438" s="1323">
        <f t="shared" si="71"/>
        <v>6</v>
      </c>
      <c r="J438" s="1323"/>
      <c r="K438" s="1323"/>
      <c r="L438" s="1323"/>
      <c r="M438" s="1323"/>
      <c r="N438" s="1323"/>
      <c r="O438" s="1323"/>
      <c r="P438" s="1323"/>
      <c r="Q438" s="1323"/>
      <c r="R438" s="1304"/>
      <c r="S438" s="1304"/>
      <c r="T438" s="1304"/>
    </row>
    <row r="439" spans="1:20">
      <c r="A439" s="1303"/>
      <c r="B439" s="1322" t="s">
        <v>3136</v>
      </c>
      <c r="C439" s="1323" t="s">
        <v>3137</v>
      </c>
      <c r="D439" s="1324">
        <f t="shared" si="66"/>
        <v>41248</v>
      </c>
      <c r="E439" s="1323">
        <f t="shared" si="68"/>
        <v>8.7957000000000001</v>
      </c>
      <c r="F439" s="1323">
        <f t="shared" si="67"/>
        <v>9.0224163531364336</v>
      </c>
      <c r="G439" s="1323">
        <f t="shared" si="69"/>
        <v>2012</v>
      </c>
      <c r="H439" s="1323">
        <f t="shared" si="70"/>
        <v>12</v>
      </c>
      <c r="I439" s="1323">
        <f t="shared" si="71"/>
        <v>5</v>
      </c>
      <c r="J439" s="1323"/>
      <c r="K439" s="1323"/>
      <c r="L439" s="1323"/>
      <c r="M439" s="1323"/>
      <c r="N439" s="1323"/>
      <c r="O439" s="1323"/>
      <c r="P439" s="1323"/>
      <c r="Q439" s="1323"/>
      <c r="R439" s="1304"/>
      <c r="S439" s="1304"/>
      <c r="T439" s="1304"/>
    </row>
    <row r="440" spans="1:20">
      <c r="A440" s="1303"/>
      <c r="B440" s="1322" t="s">
        <v>3138</v>
      </c>
      <c r="C440" s="1323" t="s">
        <v>3139</v>
      </c>
      <c r="D440" s="1324">
        <f t="shared" si="66"/>
        <v>41247</v>
      </c>
      <c r="E440" s="1323">
        <f t="shared" si="68"/>
        <v>8.8522999999999996</v>
      </c>
      <c r="F440" s="1323">
        <f t="shared" si="67"/>
        <v>9.0206863584923394</v>
      </c>
      <c r="G440" s="1323">
        <f t="shared" si="69"/>
        <v>2012</v>
      </c>
      <c r="H440" s="1323">
        <f t="shared" si="70"/>
        <v>12</v>
      </c>
      <c r="I440" s="1323">
        <f t="shared" si="71"/>
        <v>4</v>
      </c>
      <c r="J440" s="1323"/>
      <c r="K440" s="1323"/>
      <c r="L440" s="1323"/>
      <c r="M440" s="1323"/>
      <c r="N440" s="1323"/>
      <c r="O440" s="1323"/>
      <c r="P440" s="1323"/>
      <c r="Q440" s="1323"/>
      <c r="R440" s="1304"/>
      <c r="S440" s="1304"/>
      <c r="T440" s="1304"/>
    </row>
    <row r="441" spans="1:20">
      <c r="A441" s="1303"/>
      <c r="B441" s="1322" t="s">
        <v>3140</v>
      </c>
      <c r="C441" s="1323" t="s">
        <v>3141</v>
      </c>
      <c r="D441" s="1324">
        <f t="shared" si="66"/>
        <v>41246</v>
      </c>
      <c r="E441" s="1323">
        <f t="shared" si="68"/>
        <v>8.8895</v>
      </c>
      <c r="F441" s="1323">
        <f t="shared" si="67"/>
        <v>9.0189566955644231</v>
      </c>
      <c r="G441" s="1323">
        <f t="shared" si="69"/>
        <v>2012</v>
      </c>
      <c r="H441" s="1323">
        <f t="shared" si="70"/>
        <v>12</v>
      </c>
      <c r="I441" s="1323">
        <f t="shared" si="71"/>
        <v>3</v>
      </c>
      <c r="J441" s="1323"/>
      <c r="K441" s="1323"/>
      <c r="L441" s="1323"/>
      <c r="M441" s="1323"/>
      <c r="N441" s="1323"/>
      <c r="O441" s="1323"/>
      <c r="P441" s="1323"/>
      <c r="Q441" s="1323"/>
      <c r="R441" s="1304"/>
      <c r="S441" s="1304"/>
      <c r="T441" s="1304"/>
    </row>
    <row r="442" spans="1:20">
      <c r="A442" s="1303"/>
      <c r="B442" s="1322" t="s">
        <v>3142</v>
      </c>
      <c r="C442" s="1323" t="s">
        <v>3143</v>
      </c>
      <c r="D442" s="1324">
        <f t="shared" si="66"/>
        <v>41243</v>
      </c>
      <c r="E442" s="1323">
        <f t="shared" si="68"/>
        <v>8.7731999999999992</v>
      </c>
      <c r="F442" s="1323">
        <f t="shared" si="67"/>
        <v>9.017227364289079</v>
      </c>
      <c r="G442" s="1323">
        <f t="shared" si="69"/>
        <v>2012</v>
      </c>
      <c r="H442" s="1323">
        <f t="shared" si="70"/>
        <v>11</v>
      </c>
      <c r="I442" s="1323">
        <f t="shared" si="71"/>
        <v>30</v>
      </c>
      <c r="J442" s="1323"/>
      <c r="K442" s="1323"/>
      <c r="L442" s="1323"/>
      <c r="M442" s="1323"/>
      <c r="N442" s="1323"/>
      <c r="O442" s="1323"/>
      <c r="P442" s="1323"/>
      <c r="Q442" s="1323"/>
      <c r="R442" s="1304"/>
      <c r="S442" s="1304"/>
      <c r="T442" s="1304"/>
    </row>
    <row r="443" spans="1:20">
      <c r="A443" s="1303"/>
      <c r="B443" s="1322" t="s">
        <v>3144</v>
      </c>
      <c r="C443" s="1323" t="s">
        <v>3145</v>
      </c>
      <c r="D443" s="1324">
        <f t="shared" si="66"/>
        <v>41242</v>
      </c>
      <c r="E443" s="1323">
        <f t="shared" si="68"/>
        <v>8.7818000000000005</v>
      </c>
      <c r="F443" s="1323">
        <f t="shared" si="67"/>
        <v>9.0154983646027169</v>
      </c>
      <c r="G443" s="1323">
        <f t="shared" si="69"/>
        <v>2012</v>
      </c>
      <c r="H443" s="1323">
        <f t="shared" si="70"/>
        <v>11</v>
      </c>
      <c r="I443" s="1323">
        <f t="shared" si="71"/>
        <v>29</v>
      </c>
      <c r="J443" s="1323"/>
      <c r="K443" s="1323"/>
      <c r="L443" s="1323"/>
      <c r="M443" s="1323"/>
      <c r="N443" s="1323"/>
      <c r="O443" s="1323"/>
      <c r="P443" s="1323"/>
      <c r="Q443" s="1323"/>
      <c r="R443" s="1304"/>
      <c r="S443" s="1304"/>
      <c r="T443" s="1304"/>
    </row>
    <row r="444" spans="1:20">
      <c r="A444" s="1303"/>
      <c r="B444" s="1322" t="s">
        <v>3146</v>
      </c>
      <c r="C444" s="1323" t="s">
        <v>3147</v>
      </c>
      <c r="D444" s="1324">
        <f t="shared" si="66"/>
        <v>41241</v>
      </c>
      <c r="E444" s="1323">
        <f t="shared" si="68"/>
        <v>8.8407</v>
      </c>
      <c r="F444" s="1323">
        <f t="shared" si="67"/>
        <v>9.0137696964417557</v>
      </c>
      <c r="G444" s="1323">
        <f t="shared" si="69"/>
        <v>2012</v>
      </c>
      <c r="H444" s="1323">
        <f t="shared" si="70"/>
        <v>11</v>
      </c>
      <c r="I444" s="1323">
        <f t="shared" si="71"/>
        <v>28</v>
      </c>
      <c r="J444" s="1323"/>
      <c r="K444" s="1323"/>
      <c r="L444" s="1323"/>
      <c r="M444" s="1323"/>
      <c r="N444" s="1323"/>
      <c r="O444" s="1323"/>
      <c r="P444" s="1323"/>
      <c r="Q444" s="1323"/>
      <c r="R444" s="1304"/>
      <c r="S444" s="1304"/>
      <c r="T444" s="1304"/>
    </row>
    <row r="445" spans="1:20">
      <c r="A445" s="1303"/>
      <c r="B445" s="1322" t="s">
        <v>3148</v>
      </c>
      <c r="C445" s="1323" t="s">
        <v>3149</v>
      </c>
      <c r="D445" s="1324">
        <f t="shared" si="66"/>
        <v>41240</v>
      </c>
      <c r="E445" s="1323">
        <f t="shared" si="68"/>
        <v>8.8384</v>
      </c>
      <c r="F445" s="1323">
        <f t="shared" si="67"/>
        <v>9.0120413597426268</v>
      </c>
      <c r="G445" s="1323">
        <f t="shared" si="69"/>
        <v>2012</v>
      </c>
      <c r="H445" s="1323">
        <f t="shared" si="70"/>
        <v>11</v>
      </c>
      <c r="I445" s="1323">
        <f t="shared" si="71"/>
        <v>27</v>
      </c>
      <c r="J445" s="1323"/>
      <c r="K445" s="1323"/>
      <c r="L445" s="1323"/>
      <c r="M445" s="1323"/>
      <c r="N445" s="1323"/>
      <c r="O445" s="1323"/>
      <c r="P445" s="1323"/>
      <c r="Q445" s="1323"/>
      <c r="R445" s="1304"/>
      <c r="S445" s="1304"/>
      <c r="T445" s="1304"/>
    </row>
    <row r="446" spans="1:20">
      <c r="A446" s="1303"/>
      <c r="B446" s="1322" t="s">
        <v>3150</v>
      </c>
      <c r="C446" s="1323" t="s">
        <v>3151</v>
      </c>
      <c r="D446" s="1324">
        <f t="shared" si="66"/>
        <v>41239</v>
      </c>
      <c r="E446" s="1323">
        <f t="shared" si="68"/>
        <v>8.8582000000000001</v>
      </c>
      <c r="F446" s="1323">
        <f t="shared" si="67"/>
        <v>9.0103133544417755</v>
      </c>
      <c r="G446" s="1323">
        <f t="shared" si="69"/>
        <v>2012</v>
      </c>
      <c r="H446" s="1323">
        <f t="shared" si="70"/>
        <v>11</v>
      </c>
      <c r="I446" s="1323">
        <f t="shared" si="71"/>
        <v>26</v>
      </c>
      <c r="J446" s="1323"/>
      <c r="K446" s="1323"/>
      <c r="L446" s="1323"/>
      <c r="M446" s="1323"/>
      <c r="N446" s="1323"/>
      <c r="O446" s="1323"/>
      <c r="P446" s="1323"/>
      <c r="Q446" s="1323"/>
      <c r="R446" s="1304"/>
      <c r="S446" s="1304"/>
      <c r="T446" s="1304"/>
    </row>
    <row r="447" spans="1:20">
      <c r="A447" s="1303"/>
      <c r="B447" s="1322" t="s">
        <v>3152</v>
      </c>
      <c r="C447" s="1323" t="s">
        <v>3153</v>
      </c>
      <c r="D447" s="1324">
        <f t="shared" si="66"/>
        <v>41236</v>
      </c>
      <c r="E447" s="1323">
        <f t="shared" si="68"/>
        <v>8.9431999999999992</v>
      </c>
      <c r="F447" s="1323">
        <f t="shared" si="67"/>
        <v>9.0085856804756563</v>
      </c>
      <c r="G447" s="1323">
        <f t="shared" si="69"/>
        <v>2012</v>
      </c>
      <c r="H447" s="1323">
        <f t="shared" si="70"/>
        <v>11</v>
      </c>
      <c r="I447" s="1323">
        <f t="shared" si="71"/>
        <v>23</v>
      </c>
      <c r="J447" s="1323"/>
      <c r="K447" s="1323"/>
      <c r="L447" s="1323"/>
      <c r="M447" s="1323"/>
      <c r="N447" s="1323"/>
      <c r="O447" s="1323"/>
      <c r="P447" s="1323"/>
      <c r="Q447" s="1323"/>
      <c r="R447" s="1304"/>
      <c r="S447" s="1304"/>
      <c r="T447" s="1304"/>
    </row>
    <row r="448" spans="1:20">
      <c r="A448" s="1303"/>
      <c r="B448" s="1322" t="s">
        <v>3154</v>
      </c>
      <c r="C448" s="1323" t="s">
        <v>3155</v>
      </c>
      <c r="D448" s="1324">
        <f t="shared" si="66"/>
        <v>41235</v>
      </c>
      <c r="E448" s="1323">
        <f t="shared" si="68"/>
        <v>8.9418000000000006</v>
      </c>
      <c r="F448" s="1323">
        <f t="shared" si="67"/>
        <v>9.0068583377807396</v>
      </c>
      <c r="G448" s="1323">
        <f t="shared" si="69"/>
        <v>2012</v>
      </c>
      <c r="H448" s="1323">
        <f t="shared" si="70"/>
        <v>11</v>
      </c>
      <c r="I448" s="1323">
        <f t="shared" si="71"/>
        <v>22</v>
      </c>
      <c r="J448" s="1323"/>
      <c r="K448" s="1323"/>
      <c r="L448" s="1323"/>
      <c r="M448" s="1323"/>
      <c r="N448" s="1323"/>
      <c r="O448" s="1323"/>
      <c r="P448" s="1323"/>
      <c r="Q448" s="1323"/>
      <c r="R448" s="1304"/>
      <c r="S448" s="1304"/>
      <c r="T448" s="1304"/>
    </row>
    <row r="449" spans="1:20">
      <c r="A449" s="1303"/>
      <c r="B449" s="1322" t="s">
        <v>3156</v>
      </c>
      <c r="C449" s="1323" t="s">
        <v>3157</v>
      </c>
      <c r="D449" s="1324">
        <f t="shared" si="66"/>
        <v>41234</v>
      </c>
      <c r="E449" s="1323">
        <f t="shared" si="68"/>
        <v>8.9105000000000008</v>
      </c>
      <c r="F449" s="1323">
        <f t="shared" si="67"/>
        <v>9.0051313262935047</v>
      </c>
      <c r="G449" s="1323">
        <f t="shared" si="69"/>
        <v>2012</v>
      </c>
      <c r="H449" s="1323">
        <f t="shared" si="70"/>
        <v>11</v>
      </c>
      <c r="I449" s="1323">
        <f t="shared" si="71"/>
        <v>21</v>
      </c>
      <c r="J449" s="1323"/>
      <c r="K449" s="1323"/>
      <c r="L449" s="1323"/>
      <c r="M449" s="1323"/>
      <c r="N449" s="1323"/>
      <c r="O449" s="1323"/>
      <c r="P449" s="1323"/>
      <c r="Q449" s="1323"/>
      <c r="R449" s="1304"/>
      <c r="S449" s="1304"/>
      <c r="T449" s="1304"/>
    </row>
    <row r="450" spans="1:20">
      <c r="A450" s="1303"/>
      <c r="B450" s="1322" t="s">
        <v>3158</v>
      </c>
      <c r="C450" s="1323" t="s">
        <v>3159</v>
      </c>
      <c r="D450" s="1324">
        <f t="shared" si="66"/>
        <v>41233</v>
      </c>
      <c r="E450" s="1323">
        <f t="shared" si="68"/>
        <v>8.8607999999999993</v>
      </c>
      <c r="F450" s="1323">
        <f t="shared" si="67"/>
        <v>9.0034046459504449</v>
      </c>
      <c r="G450" s="1323">
        <f t="shared" si="69"/>
        <v>2012</v>
      </c>
      <c r="H450" s="1323">
        <f t="shared" si="70"/>
        <v>11</v>
      </c>
      <c r="I450" s="1323">
        <f t="shared" si="71"/>
        <v>20</v>
      </c>
      <c r="J450" s="1323"/>
      <c r="K450" s="1323"/>
      <c r="L450" s="1323"/>
      <c r="M450" s="1323"/>
      <c r="N450" s="1323"/>
      <c r="O450" s="1323"/>
      <c r="P450" s="1323"/>
      <c r="Q450" s="1323"/>
      <c r="R450" s="1304"/>
      <c r="S450" s="1304"/>
      <c r="T450" s="1304"/>
    </row>
    <row r="451" spans="1:20">
      <c r="A451" s="1303"/>
      <c r="B451" s="1322" t="s">
        <v>3160</v>
      </c>
      <c r="C451" s="1323" t="s">
        <v>3161</v>
      </c>
      <c r="D451" s="1324">
        <f t="shared" si="66"/>
        <v>41232</v>
      </c>
      <c r="E451" s="1323">
        <f t="shared" si="68"/>
        <v>8.8478999999999992</v>
      </c>
      <c r="F451" s="1323">
        <f t="shared" si="67"/>
        <v>9.0016782966880662</v>
      </c>
      <c r="G451" s="1323">
        <f t="shared" si="69"/>
        <v>2012</v>
      </c>
      <c r="H451" s="1323">
        <f t="shared" si="70"/>
        <v>11</v>
      </c>
      <c r="I451" s="1323">
        <f t="shared" si="71"/>
        <v>19</v>
      </c>
      <c r="J451" s="1323"/>
      <c r="K451" s="1323"/>
      <c r="L451" s="1323"/>
      <c r="M451" s="1323"/>
      <c r="N451" s="1323"/>
      <c r="O451" s="1323"/>
      <c r="P451" s="1323"/>
      <c r="Q451" s="1323"/>
      <c r="R451" s="1304"/>
      <c r="S451" s="1304"/>
      <c r="T451" s="1304"/>
    </row>
    <row r="452" spans="1:20">
      <c r="A452" s="1303"/>
      <c r="B452" s="1322" t="s">
        <v>3162</v>
      </c>
      <c r="C452" s="1323" t="s">
        <v>3163</v>
      </c>
      <c r="D452" s="1324">
        <f t="shared" si="66"/>
        <v>41229</v>
      </c>
      <c r="E452" s="1323">
        <f t="shared" si="68"/>
        <v>8.8887</v>
      </c>
      <c r="F452" s="1323">
        <f t="shared" si="67"/>
        <v>8.9999522784428851</v>
      </c>
      <c r="G452" s="1323">
        <f t="shared" si="69"/>
        <v>2012</v>
      </c>
      <c r="H452" s="1323">
        <f t="shared" si="70"/>
        <v>11</v>
      </c>
      <c r="I452" s="1323">
        <f t="shared" si="71"/>
        <v>16</v>
      </c>
      <c r="J452" s="1323"/>
      <c r="K452" s="1323"/>
      <c r="L452" s="1323"/>
      <c r="M452" s="1323"/>
      <c r="N452" s="1323"/>
      <c r="O452" s="1323"/>
      <c r="P452" s="1323"/>
      <c r="Q452" s="1323"/>
      <c r="R452" s="1304"/>
      <c r="S452" s="1304"/>
      <c r="T452" s="1304"/>
    </row>
    <row r="453" spans="1:20">
      <c r="A453" s="1303"/>
      <c r="B453" s="1322" t="s">
        <v>3164</v>
      </c>
      <c r="C453" s="1323" t="s">
        <v>3165</v>
      </c>
      <c r="D453" s="1324">
        <f t="shared" si="66"/>
        <v>41228</v>
      </c>
      <c r="E453" s="1323">
        <f t="shared" si="68"/>
        <v>8.9171999999999993</v>
      </c>
      <c r="F453" s="1323">
        <f t="shared" si="67"/>
        <v>8.9982265911514308</v>
      </c>
      <c r="G453" s="1323">
        <f t="shared" si="69"/>
        <v>2012</v>
      </c>
      <c r="H453" s="1323">
        <f t="shared" si="70"/>
        <v>11</v>
      </c>
      <c r="I453" s="1323">
        <f t="shared" si="71"/>
        <v>15</v>
      </c>
      <c r="J453" s="1323"/>
      <c r="K453" s="1323"/>
      <c r="L453" s="1323"/>
      <c r="M453" s="1323"/>
      <c r="N453" s="1323"/>
      <c r="O453" s="1323"/>
      <c r="P453" s="1323"/>
      <c r="Q453" s="1323"/>
      <c r="R453" s="1304"/>
      <c r="S453" s="1304"/>
      <c r="T453" s="1304"/>
    </row>
    <row r="454" spans="1:20">
      <c r="A454" s="1303"/>
      <c r="B454" s="1322" t="s">
        <v>3166</v>
      </c>
      <c r="C454" s="1323" t="s">
        <v>3167</v>
      </c>
      <c r="D454" s="1324">
        <f t="shared" si="66"/>
        <v>41227</v>
      </c>
      <c r="E454" s="1323">
        <f t="shared" si="68"/>
        <v>8.8008000000000006</v>
      </c>
      <c r="F454" s="1323">
        <f t="shared" si="67"/>
        <v>8.9965012347502462</v>
      </c>
      <c r="G454" s="1323">
        <f t="shared" si="69"/>
        <v>2012</v>
      </c>
      <c r="H454" s="1323">
        <f t="shared" si="70"/>
        <v>11</v>
      </c>
      <c r="I454" s="1323">
        <f t="shared" si="71"/>
        <v>14</v>
      </c>
      <c r="J454" s="1323"/>
      <c r="K454" s="1323"/>
      <c r="L454" s="1323"/>
      <c r="M454" s="1323"/>
      <c r="N454" s="1323"/>
      <c r="O454" s="1323"/>
      <c r="P454" s="1323"/>
      <c r="Q454" s="1323"/>
      <c r="R454" s="1304"/>
      <c r="S454" s="1304"/>
      <c r="T454" s="1304"/>
    </row>
    <row r="455" spans="1:20">
      <c r="A455" s="1303"/>
      <c r="B455" s="1322" t="s">
        <v>3168</v>
      </c>
      <c r="C455" s="1323" t="s">
        <v>3169</v>
      </c>
      <c r="D455" s="1324">
        <f t="shared" si="66"/>
        <v>41226</v>
      </c>
      <c r="E455" s="1323">
        <f t="shared" si="68"/>
        <v>8.8000000000000007</v>
      </c>
      <c r="F455" s="1323">
        <f t="shared" si="67"/>
        <v>8.9947762091758836</v>
      </c>
      <c r="G455" s="1323">
        <f t="shared" si="69"/>
        <v>2012</v>
      </c>
      <c r="H455" s="1323">
        <f t="shared" si="70"/>
        <v>11</v>
      </c>
      <c r="I455" s="1323">
        <f t="shared" si="71"/>
        <v>13</v>
      </c>
      <c r="J455" s="1323"/>
      <c r="K455" s="1323"/>
      <c r="L455" s="1323"/>
      <c r="M455" s="1323"/>
      <c r="N455" s="1323"/>
      <c r="O455" s="1323"/>
      <c r="P455" s="1323"/>
      <c r="Q455" s="1323"/>
      <c r="R455" s="1304"/>
      <c r="S455" s="1304"/>
      <c r="T455" s="1304"/>
    </row>
    <row r="456" spans="1:20">
      <c r="A456" s="1303"/>
      <c r="B456" s="1322" t="s">
        <v>3170</v>
      </c>
      <c r="C456" s="1323" t="s">
        <v>3171</v>
      </c>
      <c r="D456" s="1324">
        <f t="shared" si="66"/>
        <v>41225</v>
      </c>
      <c r="E456" s="1323">
        <f t="shared" si="68"/>
        <v>8.7014999999999993</v>
      </c>
      <c r="F456" s="1323">
        <f t="shared" si="67"/>
        <v>8.9930515143649092</v>
      </c>
      <c r="G456" s="1323">
        <f t="shared" si="69"/>
        <v>2012</v>
      </c>
      <c r="H456" s="1323">
        <f t="shared" si="70"/>
        <v>11</v>
      </c>
      <c r="I456" s="1323">
        <f t="shared" si="71"/>
        <v>12</v>
      </c>
      <c r="J456" s="1323"/>
      <c r="K456" s="1323"/>
      <c r="L456" s="1323"/>
      <c r="M456" s="1323"/>
      <c r="N456" s="1323"/>
      <c r="O456" s="1323"/>
      <c r="P456" s="1323"/>
      <c r="Q456" s="1323"/>
      <c r="R456" s="1304"/>
      <c r="S456" s="1304"/>
      <c r="T456" s="1304"/>
    </row>
    <row r="457" spans="1:20">
      <c r="A457" s="1303"/>
      <c r="B457" s="1322" t="s">
        <v>3172</v>
      </c>
      <c r="C457" s="1323" t="s">
        <v>3173</v>
      </c>
      <c r="D457" s="1324">
        <f t="shared" ref="D457:D520" si="72">DATE(G457,H457,I457)</f>
        <v>41222</v>
      </c>
      <c r="E457" s="1323">
        <f t="shared" si="68"/>
        <v>8.6960999999999995</v>
      </c>
      <c r="F457" s="1323">
        <f t="shared" ref="F457:F520" si="73">F458*(1+$F$7/365)</f>
        <v>8.9913271502539018</v>
      </c>
      <c r="G457" s="1323">
        <f t="shared" si="69"/>
        <v>2012</v>
      </c>
      <c r="H457" s="1323">
        <f t="shared" si="70"/>
        <v>11</v>
      </c>
      <c r="I457" s="1323">
        <f t="shared" si="71"/>
        <v>9</v>
      </c>
      <c r="J457" s="1323"/>
      <c r="K457" s="1323"/>
      <c r="L457" s="1323"/>
      <c r="M457" s="1323"/>
      <c r="N457" s="1323"/>
      <c r="O457" s="1323"/>
      <c r="P457" s="1323"/>
      <c r="Q457" s="1323"/>
      <c r="R457" s="1304"/>
      <c r="S457" s="1304"/>
      <c r="T457" s="1304"/>
    </row>
    <row r="458" spans="1:20">
      <c r="A458" s="1303"/>
      <c r="B458" s="1322" t="s">
        <v>3174</v>
      </c>
      <c r="C458" s="1323" t="s">
        <v>3175</v>
      </c>
      <c r="D458" s="1324">
        <f t="shared" si="72"/>
        <v>41221</v>
      </c>
      <c r="E458" s="1323">
        <f t="shared" si="68"/>
        <v>8.6526999999999994</v>
      </c>
      <c r="F458" s="1323">
        <f t="shared" si="73"/>
        <v>8.9896031167794508</v>
      </c>
      <c r="G458" s="1323">
        <f t="shared" si="69"/>
        <v>2012</v>
      </c>
      <c r="H458" s="1323">
        <f t="shared" si="70"/>
        <v>11</v>
      </c>
      <c r="I458" s="1323">
        <f t="shared" si="71"/>
        <v>8</v>
      </c>
      <c r="J458" s="1323"/>
      <c r="K458" s="1323"/>
      <c r="L458" s="1323"/>
      <c r="M458" s="1323"/>
      <c r="N458" s="1323"/>
      <c r="O458" s="1323"/>
      <c r="P458" s="1323"/>
      <c r="Q458" s="1323"/>
      <c r="R458" s="1304"/>
      <c r="S458" s="1304"/>
      <c r="T458" s="1304"/>
    </row>
    <row r="459" spans="1:20">
      <c r="A459" s="1303"/>
      <c r="B459" s="1322" t="s">
        <v>3176</v>
      </c>
      <c r="C459" s="1323" t="s">
        <v>3177</v>
      </c>
      <c r="D459" s="1324">
        <f t="shared" si="72"/>
        <v>41220</v>
      </c>
      <c r="E459" s="1323">
        <f t="shared" si="68"/>
        <v>8.6028000000000002</v>
      </c>
      <c r="F459" s="1323">
        <f t="shared" si="73"/>
        <v>8.9878794138781579</v>
      </c>
      <c r="G459" s="1323">
        <f t="shared" si="69"/>
        <v>2012</v>
      </c>
      <c r="H459" s="1323">
        <f t="shared" si="70"/>
        <v>11</v>
      </c>
      <c r="I459" s="1323">
        <f t="shared" si="71"/>
        <v>7</v>
      </c>
      <c r="J459" s="1323"/>
      <c r="K459" s="1323"/>
      <c r="L459" s="1323"/>
      <c r="M459" s="1323"/>
      <c r="N459" s="1323"/>
      <c r="O459" s="1323"/>
      <c r="P459" s="1323"/>
      <c r="Q459" s="1323"/>
      <c r="R459" s="1304"/>
      <c r="S459" s="1304"/>
      <c r="T459" s="1304"/>
    </row>
    <row r="460" spans="1:20">
      <c r="A460" s="1303"/>
      <c r="B460" s="1322" t="s">
        <v>3178</v>
      </c>
      <c r="C460" s="1323" t="s">
        <v>3179</v>
      </c>
      <c r="D460" s="1324">
        <f t="shared" si="72"/>
        <v>41219</v>
      </c>
      <c r="E460" s="1323">
        <f t="shared" si="68"/>
        <v>8.7370999999999999</v>
      </c>
      <c r="F460" s="1323">
        <f t="shared" si="73"/>
        <v>8.9861560414866393</v>
      </c>
      <c r="G460" s="1323">
        <f t="shared" si="69"/>
        <v>2012</v>
      </c>
      <c r="H460" s="1323">
        <f t="shared" si="70"/>
        <v>11</v>
      </c>
      <c r="I460" s="1323">
        <f t="shared" si="71"/>
        <v>6</v>
      </c>
      <c r="J460" s="1323"/>
      <c r="K460" s="1323"/>
      <c r="L460" s="1323"/>
      <c r="M460" s="1323"/>
      <c r="N460" s="1323"/>
      <c r="O460" s="1323"/>
      <c r="P460" s="1323"/>
      <c r="Q460" s="1323"/>
      <c r="R460" s="1304"/>
      <c r="S460" s="1304"/>
      <c r="T460" s="1304"/>
    </row>
    <row r="461" spans="1:20">
      <c r="A461" s="1303"/>
      <c r="B461" s="1322" t="s">
        <v>3180</v>
      </c>
      <c r="C461" s="1323" t="s">
        <v>3181</v>
      </c>
      <c r="D461" s="1324">
        <f t="shared" si="72"/>
        <v>41218</v>
      </c>
      <c r="E461" s="1323">
        <f t="shared" si="68"/>
        <v>8.7925000000000004</v>
      </c>
      <c r="F461" s="1323">
        <f t="shared" si="73"/>
        <v>8.9844329995415215</v>
      </c>
      <c r="G461" s="1323">
        <f t="shared" si="69"/>
        <v>2012</v>
      </c>
      <c r="H461" s="1323">
        <f t="shared" si="70"/>
        <v>11</v>
      </c>
      <c r="I461" s="1323">
        <f t="shared" si="71"/>
        <v>5</v>
      </c>
      <c r="J461" s="1323"/>
      <c r="K461" s="1323"/>
      <c r="L461" s="1323"/>
      <c r="M461" s="1323"/>
      <c r="N461" s="1323"/>
      <c r="O461" s="1323"/>
      <c r="P461" s="1323"/>
      <c r="Q461" s="1323"/>
      <c r="R461" s="1304"/>
      <c r="S461" s="1304"/>
      <c r="T461" s="1304"/>
    </row>
    <row r="462" spans="1:20">
      <c r="A462" s="1303"/>
      <c r="B462" s="1322" t="s">
        <v>3182</v>
      </c>
      <c r="C462" s="1323" t="s">
        <v>3183</v>
      </c>
      <c r="D462" s="1324">
        <f t="shared" si="72"/>
        <v>41215</v>
      </c>
      <c r="E462" s="1323">
        <f t="shared" si="68"/>
        <v>8.6582000000000008</v>
      </c>
      <c r="F462" s="1323">
        <f t="shared" si="73"/>
        <v>8.9827102879794438</v>
      </c>
      <c r="G462" s="1323">
        <f t="shared" si="69"/>
        <v>2012</v>
      </c>
      <c r="H462" s="1323">
        <f t="shared" si="70"/>
        <v>11</v>
      </c>
      <c r="I462" s="1323">
        <f t="shared" si="71"/>
        <v>2</v>
      </c>
      <c r="J462" s="1323"/>
      <c r="K462" s="1323"/>
      <c r="L462" s="1323"/>
      <c r="M462" s="1323"/>
      <c r="N462" s="1323"/>
      <c r="O462" s="1323"/>
      <c r="P462" s="1323"/>
      <c r="Q462" s="1323"/>
      <c r="R462" s="1304"/>
      <c r="S462" s="1304"/>
      <c r="T462" s="1304"/>
    </row>
    <row r="463" spans="1:20">
      <c r="A463" s="1303"/>
      <c r="B463" s="1322" t="s">
        <v>3184</v>
      </c>
      <c r="C463" s="1323" t="s">
        <v>3185</v>
      </c>
      <c r="D463" s="1324">
        <f t="shared" si="72"/>
        <v>41214</v>
      </c>
      <c r="E463" s="1323">
        <f t="shared" si="68"/>
        <v>8.6578999999999997</v>
      </c>
      <c r="F463" s="1323">
        <f t="shared" si="73"/>
        <v>8.9809879067370559</v>
      </c>
      <c r="G463" s="1323">
        <f t="shared" si="69"/>
        <v>2012</v>
      </c>
      <c r="H463" s="1323">
        <f t="shared" si="70"/>
        <v>11</v>
      </c>
      <c r="I463" s="1323">
        <f t="shared" si="71"/>
        <v>1</v>
      </c>
      <c r="J463" s="1323"/>
      <c r="K463" s="1323"/>
      <c r="L463" s="1323"/>
      <c r="M463" s="1323"/>
      <c r="N463" s="1323"/>
      <c r="O463" s="1323"/>
      <c r="P463" s="1323"/>
      <c r="Q463" s="1323"/>
      <c r="R463" s="1304"/>
      <c r="S463" s="1304"/>
      <c r="T463" s="1304"/>
    </row>
    <row r="464" spans="1:20">
      <c r="A464" s="1303"/>
      <c r="B464" s="1322" t="s">
        <v>3186</v>
      </c>
      <c r="C464" s="1323" t="s">
        <v>3187</v>
      </c>
      <c r="D464" s="1324">
        <f t="shared" si="72"/>
        <v>41213</v>
      </c>
      <c r="E464" s="1323">
        <f t="shared" si="68"/>
        <v>8.6234999999999999</v>
      </c>
      <c r="F464" s="1323">
        <f t="shared" si="73"/>
        <v>8.9792658557510219</v>
      </c>
      <c r="G464" s="1323">
        <f t="shared" si="69"/>
        <v>2012</v>
      </c>
      <c r="H464" s="1323">
        <f t="shared" si="70"/>
        <v>10</v>
      </c>
      <c r="I464" s="1323">
        <f t="shared" si="71"/>
        <v>31</v>
      </c>
      <c r="J464" s="1323"/>
      <c r="K464" s="1323"/>
      <c r="L464" s="1323"/>
      <c r="M464" s="1323"/>
      <c r="N464" s="1323"/>
      <c r="O464" s="1323"/>
      <c r="P464" s="1323"/>
      <c r="Q464" s="1323"/>
      <c r="R464" s="1304"/>
      <c r="S464" s="1304"/>
      <c r="T464" s="1304"/>
    </row>
    <row r="465" spans="1:20">
      <c r="A465" s="1303"/>
      <c r="B465" s="1322" t="s">
        <v>3188</v>
      </c>
      <c r="C465" s="1323" t="s">
        <v>3189</v>
      </c>
      <c r="D465" s="1324">
        <f t="shared" si="72"/>
        <v>41212</v>
      </c>
      <c r="E465" s="1323">
        <f t="shared" si="68"/>
        <v>8.6631999999999998</v>
      </c>
      <c r="F465" s="1323">
        <f t="shared" si="73"/>
        <v>8.9775441349580163</v>
      </c>
      <c r="G465" s="1323">
        <f t="shared" si="69"/>
        <v>2012</v>
      </c>
      <c r="H465" s="1323">
        <f t="shared" si="70"/>
        <v>10</v>
      </c>
      <c r="I465" s="1323">
        <f t="shared" si="71"/>
        <v>30</v>
      </c>
      <c r="J465" s="1323"/>
      <c r="K465" s="1323"/>
      <c r="L465" s="1323"/>
      <c r="M465" s="1323"/>
      <c r="N465" s="1323"/>
      <c r="O465" s="1323"/>
      <c r="P465" s="1323"/>
      <c r="Q465" s="1323"/>
      <c r="R465" s="1304"/>
      <c r="S465" s="1304"/>
      <c r="T465" s="1304"/>
    </row>
    <row r="466" spans="1:20">
      <c r="A466" s="1303"/>
      <c r="B466" s="1322" t="s">
        <v>3190</v>
      </c>
      <c r="C466" s="1323" t="s">
        <v>3191</v>
      </c>
      <c r="D466" s="1324">
        <f t="shared" si="72"/>
        <v>41211</v>
      </c>
      <c r="E466" s="1323">
        <f t="shared" si="68"/>
        <v>8.6788000000000007</v>
      </c>
      <c r="F466" s="1323">
        <f t="shared" si="73"/>
        <v>8.9758227442947263</v>
      </c>
      <c r="G466" s="1323">
        <f t="shared" si="69"/>
        <v>2012</v>
      </c>
      <c r="H466" s="1323">
        <f t="shared" si="70"/>
        <v>10</v>
      </c>
      <c r="I466" s="1323">
        <f t="shared" si="71"/>
        <v>29</v>
      </c>
      <c r="J466" s="1323"/>
      <c r="K466" s="1323"/>
      <c r="L466" s="1323"/>
      <c r="M466" s="1323"/>
      <c r="N466" s="1323"/>
      <c r="O466" s="1323"/>
      <c r="P466" s="1323"/>
      <c r="Q466" s="1323"/>
      <c r="R466" s="1304"/>
      <c r="S466" s="1304"/>
      <c r="T466" s="1304"/>
    </row>
    <row r="467" spans="1:20">
      <c r="A467" s="1303"/>
      <c r="B467" s="1322" t="s">
        <v>3192</v>
      </c>
      <c r="C467" s="1323" t="s">
        <v>3193</v>
      </c>
      <c r="D467" s="1324">
        <f t="shared" si="72"/>
        <v>41208</v>
      </c>
      <c r="E467" s="1323">
        <f t="shared" si="68"/>
        <v>8.7507999999999999</v>
      </c>
      <c r="F467" s="1323">
        <f t="shared" si="73"/>
        <v>8.9741016836978531</v>
      </c>
      <c r="G467" s="1323">
        <f t="shared" si="69"/>
        <v>2012</v>
      </c>
      <c r="H467" s="1323">
        <f t="shared" si="70"/>
        <v>10</v>
      </c>
      <c r="I467" s="1323">
        <f t="shared" si="71"/>
        <v>26</v>
      </c>
      <c r="J467" s="1323"/>
      <c r="K467" s="1323"/>
      <c r="L467" s="1323"/>
      <c r="M467" s="1323"/>
      <c r="N467" s="1323"/>
      <c r="O467" s="1323"/>
      <c r="P467" s="1323"/>
      <c r="Q467" s="1323"/>
      <c r="R467" s="1304"/>
      <c r="S467" s="1304"/>
      <c r="T467" s="1304"/>
    </row>
    <row r="468" spans="1:20">
      <c r="A468" s="1303"/>
      <c r="B468" s="1322" t="s">
        <v>3194</v>
      </c>
      <c r="C468" s="1323" t="s">
        <v>3195</v>
      </c>
      <c r="D468" s="1324">
        <f t="shared" si="72"/>
        <v>41207</v>
      </c>
      <c r="E468" s="1323">
        <f t="shared" si="68"/>
        <v>8.7025000000000006</v>
      </c>
      <c r="F468" s="1323">
        <f t="shared" si="73"/>
        <v>8.972380953104107</v>
      </c>
      <c r="G468" s="1323">
        <f t="shared" si="69"/>
        <v>2012</v>
      </c>
      <c r="H468" s="1323">
        <f t="shared" si="70"/>
        <v>10</v>
      </c>
      <c r="I468" s="1323">
        <f t="shared" si="71"/>
        <v>25</v>
      </c>
      <c r="J468" s="1323"/>
      <c r="K468" s="1323"/>
      <c r="L468" s="1323"/>
      <c r="M468" s="1323"/>
      <c r="N468" s="1323"/>
      <c r="O468" s="1323"/>
      <c r="P468" s="1323"/>
      <c r="Q468" s="1323"/>
      <c r="R468" s="1304"/>
      <c r="S468" s="1304"/>
      <c r="T468" s="1304"/>
    </row>
    <row r="469" spans="1:20">
      <c r="A469" s="1303"/>
      <c r="B469" s="1322" t="s">
        <v>3196</v>
      </c>
      <c r="C469" s="1323" t="s">
        <v>3197</v>
      </c>
      <c r="D469" s="1324">
        <f t="shared" si="72"/>
        <v>41206</v>
      </c>
      <c r="E469" s="1323">
        <f t="shared" si="68"/>
        <v>8.7888999999999999</v>
      </c>
      <c r="F469" s="1323">
        <f t="shared" si="73"/>
        <v>8.9706605524502123</v>
      </c>
      <c r="G469" s="1323">
        <f t="shared" si="69"/>
        <v>2012</v>
      </c>
      <c r="H469" s="1323">
        <f t="shared" si="70"/>
        <v>10</v>
      </c>
      <c r="I469" s="1323">
        <f t="shared" si="71"/>
        <v>24</v>
      </c>
      <c r="J469" s="1323"/>
      <c r="K469" s="1323"/>
      <c r="L469" s="1323"/>
      <c r="M469" s="1323"/>
      <c r="N469" s="1323"/>
      <c r="O469" s="1323"/>
      <c r="P469" s="1323"/>
      <c r="Q469" s="1323"/>
      <c r="R469" s="1304"/>
      <c r="S469" s="1304"/>
      <c r="T469" s="1304"/>
    </row>
    <row r="470" spans="1:20">
      <c r="A470" s="1303"/>
      <c r="B470" s="1322" t="s">
        <v>3198</v>
      </c>
      <c r="C470" s="1323" t="s">
        <v>3199</v>
      </c>
      <c r="D470" s="1324">
        <f t="shared" si="72"/>
        <v>41205</v>
      </c>
      <c r="E470" s="1323">
        <f t="shared" ref="E470:E533" si="74">VALUE(C471)</f>
        <v>8.7068999999999992</v>
      </c>
      <c r="F470" s="1323">
        <f t="shared" si="73"/>
        <v>8.9689404816729041</v>
      </c>
      <c r="G470" s="1323">
        <f t="shared" ref="G470:G533" si="75">YEAR(B471)</f>
        <v>2012</v>
      </c>
      <c r="H470" s="1323">
        <f t="shared" ref="H470:H533" si="76">MONTH(B471)</f>
        <v>10</v>
      </c>
      <c r="I470" s="1323">
        <f t="shared" ref="I470:I533" si="77">DAY(B471)</f>
        <v>23</v>
      </c>
      <c r="J470" s="1323"/>
      <c r="K470" s="1323"/>
      <c r="L470" s="1323"/>
      <c r="M470" s="1323"/>
      <c r="N470" s="1323"/>
      <c r="O470" s="1323"/>
      <c r="P470" s="1323"/>
      <c r="Q470" s="1323"/>
      <c r="R470" s="1304"/>
      <c r="S470" s="1304"/>
      <c r="T470" s="1304"/>
    </row>
    <row r="471" spans="1:20">
      <c r="A471" s="1303"/>
      <c r="B471" s="1322" t="s">
        <v>3200</v>
      </c>
      <c r="C471" s="1323" t="s">
        <v>3201</v>
      </c>
      <c r="D471" s="1324">
        <f t="shared" si="72"/>
        <v>41204</v>
      </c>
      <c r="E471" s="1323">
        <f t="shared" si="74"/>
        <v>8.6278000000000006</v>
      </c>
      <c r="F471" s="1323">
        <f t="shared" si="73"/>
        <v>8.9672207407089317</v>
      </c>
      <c r="G471" s="1323">
        <f t="shared" si="75"/>
        <v>2012</v>
      </c>
      <c r="H471" s="1323">
        <f t="shared" si="76"/>
        <v>10</v>
      </c>
      <c r="I471" s="1323">
        <f t="shared" si="77"/>
        <v>22</v>
      </c>
      <c r="J471" s="1323"/>
      <c r="K471" s="1323"/>
      <c r="L471" s="1323"/>
      <c r="M471" s="1323"/>
      <c r="N471" s="1323"/>
      <c r="O471" s="1323"/>
      <c r="P471" s="1323"/>
      <c r="Q471" s="1323"/>
      <c r="R471" s="1304"/>
      <c r="S471" s="1304"/>
      <c r="T471" s="1304"/>
    </row>
    <row r="472" spans="1:20">
      <c r="A472" s="1303"/>
      <c r="B472" s="1322" t="s">
        <v>3202</v>
      </c>
      <c r="C472" s="1323" t="s">
        <v>3203</v>
      </c>
      <c r="D472" s="1324">
        <f t="shared" si="72"/>
        <v>41201</v>
      </c>
      <c r="E472" s="1323">
        <f t="shared" si="74"/>
        <v>8.6530000000000005</v>
      </c>
      <c r="F472" s="1323">
        <f t="shared" si="73"/>
        <v>8.965501329495055</v>
      </c>
      <c r="G472" s="1323">
        <f t="shared" si="75"/>
        <v>2012</v>
      </c>
      <c r="H472" s="1323">
        <f t="shared" si="76"/>
        <v>10</v>
      </c>
      <c r="I472" s="1323">
        <f t="shared" si="77"/>
        <v>19</v>
      </c>
      <c r="J472" s="1323"/>
      <c r="K472" s="1323"/>
      <c r="L472" s="1323"/>
      <c r="M472" s="1323"/>
      <c r="N472" s="1323"/>
      <c r="O472" s="1323"/>
      <c r="P472" s="1323"/>
      <c r="Q472" s="1323"/>
      <c r="R472" s="1304"/>
      <c r="S472" s="1304"/>
      <c r="T472" s="1304"/>
    </row>
    <row r="473" spans="1:20">
      <c r="A473" s="1303"/>
      <c r="B473" s="1322" t="s">
        <v>3204</v>
      </c>
      <c r="C473" s="1323" t="s">
        <v>3205</v>
      </c>
      <c r="D473" s="1324">
        <f t="shared" si="72"/>
        <v>41200</v>
      </c>
      <c r="E473" s="1323">
        <f t="shared" si="74"/>
        <v>8.6213999999999995</v>
      </c>
      <c r="F473" s="1323">
        <f t="shared" si="73"/>
        <v>8.9637822479680462</v>
      </c>
      <c r="G473" s="1323">
        <f t="shared" si="75"/>
        <v>2012</v>
      </c>
      <c r="H473" s="1323">
        <f t="shared" si="76"/>
        <v>10</v>
      </c>
      <c r="I473" s="1323">
        <f t="shared" si="77"/>
        <v>18</v>
      </c>
      <c r="J473" s="1323"/>
      <c r="K473" s="1323"/>
      <c r="L473" s="1323"/>
      <c r="M473" s="1323"/>
      <c r="N473" s="1323"/>
      <c r="O473" s="1323"/>
      <c r="P473" s="1323"/>
      <c r="Q473" s="1323"/>
      <c r="R473" s="1304"/>
      <c r="S473" s="1304"/>
      <c r="T473" s="1304"/>
    </row>
    <row r="474" spans="1:20">
      <c r="A474" s="1303"/>
      <c r="B474" s="1322" t="s">
        <v>3206</v>
      </c>
      <c r="C474" s="1323" t="s">
        <v>3207</v>
      </c>
      <c r="D474" s="1324">
        <f t="shared" si="72"/>
        <v>41199</v>
      </c>
      <c r="E474" s="1323">
        <f t="shared" si="74"/>
        <v>8.7111999999999998</v>
      </c>
      <c r="F474" s="1323">
        <f t="shared" si="73"/>
        <v>8.9620634960646903</v>
      </c>
      <c r="G474" s="1323">
        <f t="shared" si="75"/>
        <v>2012</v>
      </c>
      <c r="H474" s="1323">
        <f t="shared" si="76"/>
        <v>10</v>
      </c>
      <c r="I474" s="1323">
        <f t="shared" si="77"/>
        <v>17</v>
      </c>
      <c r="J474" s="1323"/>
      <c r="K474" s="1323"/>
      <c r="L474" s="1323"/>
      <c r="M474" s="1323"/>
      <c r="N474" s="1323"/>
      <c r="O474" s="1323"/>
      <c r="P474" s="1323"/>
      <c r="Q474" s="1323"/>
      <c r="R474" s="1304"/>
      <c r="S474" s="1304"/>
      <c r="T474" s="1304"/>
    </row>
    <row r="475" spans="1:20">
      <c r="A475" s="1303"/>
      <c r="B475" s="1322" t="s">
        <v>3208</v>
      </c>
      <c r="C475" s="1323" t="s">
        <v>3209</v>
      </c>
      <c r="D475" s="1324">
        <f t="shared" si="72"/>
        <v>41198</v>
      </c>
      <c r="E475" s="1323">
        <f t="shared" si="74"/>
        <v>8.7675999999999998</v>
      </c>
      <c r="F475" s="1323">
        <f t="shared" si="73"/>
        <v>8.9603450737217845</v>
      </c>
      <c r="G475" s="1323">
        <f t="shared" si="75"/>
        <v>2012</v>
      </c>
      <c r="H475" s="1323">
        <f t="shared" si="76"/>
        <v>10</v>
      </c>
      <c r="I475" s="1323">
        <f t="shared" si="77"/>
        <v>16</v>
      </c>
      <c r="J475" s="1323"/>
      <c r="K475" s="1323"/>
      <c r="L475" s="1323"/>
      <c r="M475" s="1323"/>
      <c r="N475" s="1323"/>
      <c r="O475" s="1323"/>
      <c r="P475" s="1323"/>
      <c r="Q475" s="1323"/>
      <c r="R475" s="1304"/>
      <c r="S475" s="1304"/>
      <c r="T475" s="1304"/>
    </row>
    <row r="476" spans="1:20">
      <c r="A476" s="1303"/>
      <c r="B476" s="1322" t="s">
        <v>3210</v>
      </c>
      <c r="C476" s="1323" t="s">
        <v>3211</v>
      </c>
      <c r="D476" s="1324">
        <f t="shared" si="72"/>
        <v>41197</v>
      </c>
      <c r="E476" s="1323">
        <f t="shared" si="74"/>
        <v>8.7425999999999995</v>
      </c>
      <c r="F476" s="1323">
        <f t="shared" si="73"/>
        <v>8.9586269808761365</v>
      </c>
      <c r="G476" s="1323">
        <f t="shared" si="75"/>
        <v>2012</v>
      </c>
      <c r="H476" s="1323">
        <f t="shared" si="76"/>
        <v>10</v>
      </c>
      <c r="I476" s="1323">
        <f t="shared" si="77"/>
        <v>15</v>
      </c>
      <c r="J476" s="1323"/>
      <c r="K476" s="1323"/>
      <c r="L476" s="1323"/>
      <c r="M476" s="1323"/>
      <c r="N476" s="1323"/>
      <c r="O476" s="1323"/>
      <c r="P476" s="1323"/>
      <c r="Q476" s="1323"/>
      <c r="R476" s="1304"/>
      <c r="S476" s="1304"/>
      <c r="T476" s="1304"/>
    </row>
    <row r="477" spans="1:20">
      <c r="A477" s="1303"/>
      <c r="B477" s="1322" t="s">
        <v>3212</v>
      </c>
      <c r="C477" s="1323" t="s">
        <v>3213</v>
      </c>
      <c r="D477" s="1324">
        <f t="shared" si="72"/>
        <v>41194</v>
      </c>
      <c r="E477" s="1323">
        <f t="shared" si="74"/>
        <v>8.6288</v>
      </c>
      <c r="F477" s="1323">
        <f t="shared" si="73"/>
        <v>8.9569092174645668</v>
      </c>
      <c r="G477" s="1323">
        <f t="shared" si="75"/>
        <v>2012</v>
      </c>
      <c r="H477" s="1323">
        <f t="shared" si="76"/>
        <v>10</v>
      </c>
      <c r="I477" s="1323">
        <f t="shared" si="77"/>
        <v>12</v>
      </c>
      <c r="J477" s="1323"/>
      <c r="K477" s="1323"/>
      <c r="L477" s="1323"/>
      <c r="M477" s="1323"/>
      <c r="N477" s="1323"/>
      <c r="O477" s="1323"/>
      <c r="P477" s="1323"/>
      <c r="Q477" s="1323"/>
      <c r="R477" s="1304"/>
      <c r="S477" s="1304"/>
      <c r="T477" s="1304"/>
    </row>
    <row r="478" spans="1:20">
      <c r="A478" s="1303"/>
      <c r="B478" s="1322" t="s">
        <v>3214</v>
      </c>
      <c r="C478" s="1323" t="s">
        <v>3215</v>
      </c>
      <c r="D478" s="1324">
        <f t="shared" si="72"/>
        <v>41193</v>
      </c>
      <c r="E478" s="1323">
        <f t="shared" si="74"/>
        <v>8.6658000000000008</v>
      </c>
      <c r="F478" s="1323">
        <f t="shared" si="73"/>
        <v>8.9551917834239099</v>
      </c>
      <c r="G478" s="1323">
        <f t="shared" si="75"/>
        <v>2012</v>
      </c>
      <c r="H478" s="1323">
        <f t="shared" si="76"/>
        <v>10</v>
      </c>
      <c r="I478" s="1323">
        <f t="shared" si="77"/>
        <v>11</v>
      </c>
      <c r="J478" s="1323"/>
      <c r="K478" s="1323"/>
      <c r="L478" s="1323"/>
      <c r="M478" s="1323"/>
      <c r="N478" s="1323"/>
      <c r="O478" s="1323"/>
      <c r="P478" s="1323"/>
      <c r="Q478" s="1323"/>
      <c r="R478" s="1304"/>
      <c r="S478" s="1304"/>
      <c r="T478" s="1304"/>
    </row>
    <row r="479" spans="1:20">
      <c r="A479" s="1303"/>
      <c r="B479" s="1322" t="s">
        <v>3216</v>
      </c>
      <c r="C479" s="1323" t="s">
        <v>3217</v>
      </c>
      <c r="D479" s="1324">
        <f t="shared" si="72"/>
        <v>41192</v>
      </c>
      <c r="E479" s="1323">
        <f t="shared" si="74"/>
        <v>8.67</v>
      </c>
      <c r="F479" s="1323">
        <f t="shared" si="73"/>
        <v>8.9534746786910091</v>
      </c>
      <c r="G479" s="1323">
        <f t="shared" si="75"/>
        <v>2012</v>
      </c>
      <c r="H479" s="1323">
        <f t="shared" si="76"/>
        <v>10</v>
      </c>
      <c r="I479" s="1323">
        <f t="shared" si="77"/>
        <v>10</v>
      </c>
      <c r="J479" s="1323"/>
      <c r="K479" s="1323"/>
      <c r="L479" s="1323"/>
      <c r="M479" s="1323"/>
      <c r="N479" s="1323"/>
      <c r="O479" s="1323"/>
      <c r="P479" s="1323"/>
      <c r="Q479" s="1323"/>
      <c r="R479" s="1304"/>
      <c r="S479" s="1304"/>
      <c r="T479" s="1304"/>
    </row>
    <row r="480" spans="1:20">
      <c r="A480" s="1303"/>
      <c r="B480" s="1322" t="s">
        <v>3218</v>
      </c>
      <c r="C480" s="1323" t="s">
        <v>3219</v>
      </c>
      <c r="D480" s="1324">
        <f t="shared" si="72"/>
        <v>41191</v>
      </c>
      <c r="E480" s="1323">
        <f t="shared" si="74"/>
        <v>8.8389000000000006</v>
      </c>
      <c r="F480" s="1323">
        <f t="shared" si="73"/>
        <v>8.9517579032027239</v>
      </c>
      <c r="G480" s="1323">
        <f t="shared" si="75"/>
        <v>2012</v>
      </c>
      <c r="H480" s="1323">
        <f t="shared" si="76"/>
        <v>10</v>
      </c>
      <c r="I480" s="1323">
        <f t="shared" si="77"/>
        <v>9</v>
      </c>
      <c r="J480" s="1323"/>
      <c r="K480" s="1323"/>
      <c r="L480" s="1323"/>
      <c r="M480" s="1323"/>
      <c r="N480" s="1323"/>
      <c r="O480" s="1323"/>
      <c r="P480" s="1323"/>
      <c r="Q480" s="1323"/>
      <c r="R480" s="1304"/>
      <c r="S480" s="1304"/>
      <c r="T480" s="1304"/>
    </row>
    <row r="481" spans="1:20">
      <c r="A481" s="1303"/>
      <c r="B481" s="1322" t="s">
        <v>3220</v>
      </c>
      <c r="C481" s="1323" t="s">
        <v>3221</v>
      </c>
      <c r="D481" s="1324">
        <f t="shared" si="72"/>
        <v>41190</v>
      </c>
      <c r="E481" s="1323">
        <f t="shared" si="74"/>
        <v>8.8590999999999998</v>
      </c>
      <c r="F481" s="1323">
        <f t="shared" si="73"/>
        <v>8.9500414568959208</v>
      </c>
      <c r="G481" s="1323">
        <f t="shared" si="75"/>
        <v>2012</v>
      </c>
      <c r="H481" s="1323">
        <f t="shared" si="76"/>
        <v>10</v>
      </c>
      <c r="I481" s="1323">
        <f t="shared" si="77"/>
        <v>8</v>
      </c>
      <c r="J481" s="1323"/>
      <c r="K481" s="1323"/>
      <c r="L481" s="1323"/>
      <c r="M481" s="1323"/>
      <c r="N481" s="1323"/>
      <c r="O481" s="1323"/>
      <c r="P481" s="1323"/>
      <c r="Q481" s="1323"/>
      <c r="R481" s="1304"/>
      <c r="S481" s="1304"/>
      <c r="T481" s="1304"/>
    </row>
    <row r="482" spans="1:20">
      <c r="A482" s="1303"/>
      <c r="B482" s="1322" t="s">
        <v>3222</v>
      </c>
      <c r="C482" s="1323" t="s">
        <v>3223</v>
      </c>
      <c r="D482" s="1324">
        <f t="shared" si="72"/>
        <v>41187</v>
      </c>
      <c r="E482" s="1323">
        <f t="shared" si="74"/>
        <v>8.6496999999999993</v>
      </c>
      <c r="F482" s="1323">
        <f t="shared" si="73"/>
        <v>8.948325339707484</v>
      </c>
      <c r="G482" s="1323">
        <f t="shared" si="75"/>
        <v>2012</v>
      </c>
      <c r="H482" s="1323">
        <f t="shared" si="76"/>
        <v>10</v>
      </c>
      <c r="I482" s="1323">
        <f t="shared" si="77"/>
        <v>5</v>
      </c>
      <c r="J482" s="1323"/>
      <c r="K482" s="1323"/>
      <c r="L482" s="1323"/>
      <c r="M482" s="1323"/>
      <c r="N482" s="1323"/>
      <c r="O482" s="1323"/>
      <c r="P482" s="1323"/>
      <c r="Q482" s="1323"/>
      <c r="R482" s="1304"/>
      <c r="S482" s="1304"/>
      <c r="T482" s="1304"/>
    </row>
    <row r="483" spans="1:20">
      <c r="A483" s="1303"/>
      <c r="B483" s="1322" t="s">
        <v>3224</v>
      </c>
      <c r="C483" s="1323" t="s">
        <v>3225</v>
      </c>
      <c r="D483" s="1324">
        <f t="shared" si="72"/>
        <v>41186</v>
      </c>
      <c r="E483" s="1323">
        <f t="shared" si="74"/>
        <v>8.4760000000000009</v>
      </c>
      <c r="F483" s="1323">
        <f t="shared" si="73"/>
        <v>8.9466095515743049</v>
      </c>
      <c r="G483" s="1323">
        <f t="shared" si="75"/>
        <v>2012</v>
      </c>
      <c r="H483" s="1323">
        <f t="shared" si="76"/>
        <v>10</v>
      </c>
      <c r="I483" s="1323">
        <f t="shared" si="77"/>
        <v>4</v>
      </c>
      <c r="J483" s="1323"/>
      <c r="K483" s="1323"/>
      <c r="L483" s="1323"/>
      <c r="M483" s="1323"/>
      <c r="N483" s="1323"/>
      <c r="O483" s="1323"/>
      <c r="P483" s="1323"/>
      <c r="Q483" s="1323"/>
      <c r="R483" s="1304"/>
      <c r="S483" s="1304"/>
      <c r="T483" s="1304"/>
    </row>
    <row r="484" spans="1:20">
      <c r="A484" s="1303"/>
      <c r="B484" s="1322" t="s">
        <v>3226</v>
      </c>
      <c r="C484" s="1323" t="s">
        <v>3227</v>
      </c>
      <c r="D484" s="1324">
        <f t="shared" si="72"/>
        <v>41185</v>
      </c>
      <c r="E484" s="1323">
        <f t="shared" si="74"/>
        <v>8.4275000000000002</v>
      </c>
      <c r="F484" s="1323">
        <f t="shared" si="73"/>
        <v>8.9448940924332891</v>
      </c>
      <c r="G484" s="1323">
        <f t="shared" si="75"/>
        <v>2012</v>
      </c>
      <c r="H484" s="1323">
        <f t="shared" si="76"/>
        <v>10</v>
      </c>
      <c r="I484" s="1323">
        <f t="shared" si="77"/>
        <v>3</v>
      </c>
      <c r="J484" s="1323"/>
      <c r="K484" s="1323"/>
      <c r="L484" s="1323"/>
      <c r="M484" s="1323"/>
      <c r="N484" s="1323"/>
      <c r="O484" s="1323"/>
      <c r="P484" s="1323"/>
      <c r="Q484" s="1323"/>
      <c r="R484" s="1304"/>
      <c r="S484" s="1304"/>
      <c r="T484" s="1304"/>
    </row>
    <row r="485" spans="1:20">
      <c r="A485" s="1303"/>
      <c r="B485" s="1322" t="s">
        <v>3228</v>
      </c>
      <c r="C485" s="1323" t="s">
        <v>3229</v>
      </c>
      <c r="D485" s="1324">
        <f t="shared" si="72"/>
        <v>41184</v>
      </c>
      <c r="E485" s="1323">
        <f t="shared" si="74"/>
        <v>8.3413000000000004</v>
      </c>
      <c r="F485" s="1323">
        <f t="shared" si="73"/>
        <v>8.9431789622213564</v>
      </c>
      <c r="G485" s="1323">
        <f t="shared" si="75"/>
        <v>2012</v>
      </c>
      <c r="H485" s="1323">
        <f t="shared" si="76"/>
        <v>10</v>
      </c>
      <c r="I485" s="1323">
        <f t="shared" si="77"/>
        <v>2</v>
      </c>
      <c r="J485" s="1323"/>
      <c r="K485" s="1323"/>
      <c r="L485" s="1323"/>
      <c r="M485" s="1323"/>
      <c r="N485" s="1323"/>
      <c r="O485" s="1323"/>
      <c r="P485" s="1323"/>
      <c r="Q485" s="1323"/>
      <c r="R485" s="1304"/>
      <c r="S485" s="1304"/>
      <c r="T485" s="1304"/>
    </row>
    <row r="486" spans="1:20">
      <c r="A486" s="1303"/>
      <c r="B486" s="1322" t="s">
        <v>3230</v>
      </c>
      <c r="C486" s="1323" t="s">
        <v>3231</v>
      </c>
      <c r="D486" s="1324">
        <f t="shared" si="72"/>
        <v>41183</v>
      </c>
      <c r="E486" s="1323">
        <f t="shared" si="74"/>
        <v>8.2804000000000002</v>
      </c>
      <c r="F486" s="1323">
        <f t="shared" si="73"/>
        <v>8.9414641608754355</v>
      </c>
      <c r="G486" s="1323">
        <f t="shared" si="75"/>
        <v>2012</v>
      </c>
      <c r="H486" s="1323">
        <f t="shared" si="76"/>
        <v>10</v>
      </c>
      <c r="I486" s="1323">
        <f t="shared" si="77"/>
        <v>1</v>
      </c>
      <c r="J486" s="1323"/>
      <c r="K486" s="1323"/>
      <c r="L486" s="1323"/>
      <c r="M486" s="1323"/>
      <c r="N486" s="1323"/>
      <c r="O486" s="1323"/>
      <c r="P486" s="1323"/>
      <c r="Q486" s="1323"/>
      <c r="R486" s="1304"/>
      <c r="S486" s="1304"/>
      <c r="T486" s="1304"/>
    </row>
    <row r="487" spans="1:20">
      <c r="A487" s="1303"/>
      <c r="B487" s="1322" t="s">
        <v>3232</v>
      </c>
      <c r="C487" s="1323" t="s">
        <v>3233</v>
      </c>
      <c r="D487" s="1324">
        <f t="shared" si="72"/>
        <v>41180</v>
      </c>
      <c r="E487" s="1323">
        <f t="shared" si="74"/>
        <v>8.2222000000000008</v>
      </c>
      <c r="F487" s="1323">
        <f t="shared" si="73"/>
        <v>8.9397496883324674</v>
      </c>
      <c r="G487" s="1323">
        <f t="shared" si="75"/>
        <v>2012</v>
      </c>
      <c r="H487" s="1323">
        <f t="shared" si="76"/>
        <v>9</v>
      </c>
      <c r="I487" s="1323">
        <f t="shared" si="77"/>
        <v>28</v>
      </c>
      <c r="J487" s="1323"/>
      <c r="K487" s="1323"/>
      <c r="L487" s="1323"/>
      <c r="M487" s="1323"/>
      <c r="N487" s="1323"/>
      <c r="O487" s="1323"/>
      <c r="P487" s="1323"/>
      <c r="Q487" s="1323"/>
      <c r="R487" s="1304"/>
      <c r="S487" s="1304"/>
      <c r="T487" s="1304"/>
    </row>
    <row r="488" spans="1:20">
      <c r="A488" s="1303"/>
      <c r="B488" s="1322" t="s">
        <v>3234</v>
      </c>
      <c r="C488" s="1323" t="s">
        <v>3235</v>
      </c>
      <c r="D488" s="1324">
        <f t="shared" si="72"/>
        <v>41179</v>
      </c>
      <c r="E488" s="1323">
        <f t="shared" si="74"/>
        <v>8.2042000000000002</v>
      </c>
      <c r="F488" s="1323">
        <f t="shared" si="73"/>
        <v>8.9380355445294075</v>
      </c>
      <c r="G488" s="1323">
        <f t="shared" si="75"/>
        <v>2012</v>
      </c>
      <c r="H488" s="1323">
        <f t="shared" si="76"/>
        <v>9</v>
      </c>
      <c r="I488" s="1323">
        <f t="shared" si="77"/>
        <v>27</v>
      </c>
      <c r="J488" s="1323"/>
      <c r="K488" s="1323"/>
      <c r="L488" s="1323"/>
      <c r="M488" s="1323"/>
      <c r="N488" s="1323"/>
      <c r="O488" s="1323"/>
      <c r="P488" s="1323"/>
      <c r="Q488" s="1323"/>
      <c r="R488" s="1304"/>
      <c r="S488" s="1304"/>
      <c r="T488" s="1304"/>
    </row>
    <row r="489" spans="1:20">
      <c r="A489" s="1303"/>
      <c r="B489" s="1322" t="s">
        <v>3236</v>
      </c>
      <c r="C489" s="1323" t="s">
        <v>3237</v>
      </c>
      <c r="D489" s="1324">
        <f t="shared" si="72"/>
        <v>41178</v>
      </c>
      <c r="E489" s="1323">
        <f t="shared" si="74"/>
        <v>8.2196999999999996</v>
      </c>
      <c r="F489" s="1323">
        <f t="shared" si="73"/>
        <v>8.93632172940322</v>
      </c>
      <c r="G489" s="1323">
        <f t="shared" si="75"/>
        <v>2012</v>
      </c>
      <c r="H489" s="1323">
        <f t="shared" si="76"/>
        <v>9</v>
      </c>
      <c r="I489" s="1323">
        <f t="shared" si="77"/>
        <v>26</v>
      </c>
      <c r="J489" s="1323"/>
      <c r="K489" s="1323"/>
      <c r="L489" s="1323"/>
      <c r="M489" s="1323"/>
      <c r="N489" s="1323"/>
      <c r="O489" s="1323"/>
      <c r="P489" s="1323"/>
      <c r="Q489" s="1323"/>
      <c r="R489" s="1304"/>
      <c r="S489" s="1304"/>
      <c r="T489" s="1304"/>
    </row>
    <row r="490" spans="1:20">
      <c r="A490" s="1303"/>
      <c r="B490" s="1322" t="s">
        <v>3238</v>
      </c>
      <c r="C490" s="1323" t="s">
        <v>3239</v>
      </c>
      <c r="D490" s="1324">
        <f t="shared" si="72"/>
        <v>41177</v>
      </c>
      <c r="E490" s="1323">
        <f t="shared" si="74"/>
        <v>8.1989999999999998</v>
      </c>
      <c r="F490" s="1323">
        <f t="shared" si="73"/>
        <v>8.9346082428908851</v>
      </c>
      <c r="G490" s="1323">
        <f t="shared" si="75"/>
        <v>2012</v>
      </c>
      <c r="H490" s="1323">
        <f t="shared" si="76"/>
        <v>9</v>
      </c>
      <c r="I490" s="1323">
        <f t="shared" si="77"/>
        <v>25</v>
      </c>
      <c r="J490" s="1323"/>
      <c r="K490" s="1323"/>
      <c r="L490" s="1323"/>
      <c r="M490" s="1323"/>
      <c r="N490" s="1323"/>
      <c r="O490" s="1323"/>
      <c r="P490" s="1323"/>
      <c r="Q490" s="1323"/>
      <c r="R490" s="1304"/>
      <c r="S490" s="1304"/>
      <c r="T490" s="1304"/>
    </row>
    <row r="491" spans="1:20">
      <c r="A491" s="1303"/>
      <c r="B491" s="1322" t="s">
        <v>3240</v>
      </c>
      <c r="C491" s="1323" t="s">
        <v>3241</v>
      </c>
      <c r="D491" s="1324">
        <f t="shared" si="72"/>
        <v>41173</v>
      </c>
      <c r="E491" s="1323">
        <f t="shared" si="74"/>
        <v>8.2786000000000008</v>
      </c>
      <c r="F491" s="1323">
        <f t="shared" si="73"/>
        <v>8.9328950849293918</v>
      </c>
      <c r="G491" s="1323">
        <f t="shared" si="75"/>
        <v>2012</v>
      </c>
      <c r="H491" s="1323">
        <f t="shared" si="76"/>
        <v>9</v>
      </c>
      <c r="I491" s="1323">
        <f t="shared" si="77"/>
        <v>21</v>
      </c>
      <c r="J491" s="1323"/>
      <c r="K491" s="1323"/>
      <c r="L491" s="1323"/>
      <c r="M491" s="1323"/>
      <c r="N491" s="1323"/>
      <c r="O491" s="1323"/>
      <c r="P491" s="1323"/>
      <c r="Q491" s="1323"/>
      <c r="R491" s="1304"/>
      <c r="S491" s="1304"/>
      <c r="T491" s="1304"/>
    </row>
    <row r="492" spans="1:20">
      <c r="A492" s="1303"/>
      <c r="B492" s="1322" t="s">
        <v>3242</v>
      </c>
      <c r="C492" s="1323" t="s">
        <v>3243</v>
      </c>
      <c r="D492" s="1324">
        <f t="shared" si="72"/>
        <v>41172</v>
      </c>
      <c r="E492" s="1323">
        <f t="shared" si="74"/>
        <v>8.3399000000000001</v>
      </c>
      <c r="F492" s="1323">
        <f t="shared" si="73"/>
        <v>8.9311822554557416</v>
      </c>
      <c r="G492" s="1323">
        <f t="shared" si="75"/>
        <v>2012</v>
      </c>
      <c r="H492" s="1323">
        <f t="shared" si="76"/>
        <v>9</v>
      </c>
      <c r="I492" s="1323">
        <f t="shared" si="77"/>
        <v>20</v>
      </c>
      <c r="J492" s="1323"/>
      <c r="K492" s="1323"/>
      <c r="L492" s="1323"/>
      <c r="M492" s="1323"/>
      <c r="N492" s="1323"/>
      <c r="O492" s="1323"/>
      <c r="P492" s="1323"/>
      <c r="Q492" s="1323"/>
      <c r="R492" s="1304"/>
      <c r="S492" s="1304"/>
      <c r="T492" s="1304"/>
    </row>
    <row r="493" spans="1:20">
      <c r="A493" s="1303"/>
      <c r="B493" s="1322" t="s">
        <v>3244</v>
      </c>
      <c r="C493" s="1323" t="s">
        <v>3245</v>
      </c>
      <c r="D493" s="1324">
        <f t="shared" si="72"/>
        <v>41171</v>
      </c>
      <c r="E493" s="1323">
        <f t="shared" si="74"/>
        <v>8.1969999999999992</v>
      </c>
      <c r="F493" s="1323">
        <f t="shared" si="73"/>
        <v>8.9294697544069503</v>
      </c>
      <c r="G493" s="1323">
        <f t="shared" si="75"/>
        <v>2012</v>
      </c>
      <c r="H493" s="1323">
        <f t="shared" si="76"/>
        <v>9</v>
      </c>
      <c r="I493" s="1323">
        <f t="shared" si="77"/>
        <v>19</v>
      </c>
      <c r="J493" s="1323"/>
      <c r="K493" s="1323"/>
      <c r="L493" s="1323"/>
      <c r="M493" s="1323"/>
      <c r="N493" s="1323"/>
      <c r="O493" s="1323"/>
      <c r="P493" s="1323"/>
      <c r="Q493" s="1323"/>
      <c r="R493" s="1304"/>
      <c r="S493" s="1304"/>
      <c r="T493" s="1304"/>
    </row>
    <row r="494" spans="1:20">
      <c r="A494" s="1303"/>
      <c r="B494" s="1322" t="s">
        <v>3246</v>
      </c>
      <c r="C494" s="1323" t="s">
        <v>3247</v>
      </c>
      <c r="D494" s="1324">
        <f t="shared" si="72"/>
        <v>41170</v>
      </c>
      <c r="E494" s="1323">
        <f t="shared" si="74"/>
        <v>8.2666000000000004</v>
      </c>
      <c r="F494" s="1323">
        <f t="shared" si="73"/>
        <v>8.9277575817200443</v>
      </c>
      <c r="G494" s="1323">
        <f t="shared" si="75"/>
        <v>2012</v>
      </c>
      <c r="H494" s="1323">
        <f t="shared" si="76"/>
        <v>9</v>
      </c>
      <c r="I494" s="1323">
        <f t="shared" si="77"/>
        <v>18</v>
      </c>
      <c r="J494" s="1323"/>
      <c r="K494" s="1323"/>
      <c r="L494" s="1323"/>
      <c r="M494" s="1323"/>
      <c r="N494" s="1323"/>
      <c r="O494" s="1323"/>
      <c r="P494" s="1323"/>
      <c r="Q494" s="1323"/>
      <c r="R494" s="1304"/>
      <c r="S494" s="1304"/>
      <c r="T494" s="1304"/>
    </row>
    <row r="495" spans="1:20">
      <c r="A495" s="1303"/>
      <c r="B495" s="1322" t="s">
        <v>3248</v>
      </c>
      <c r="C495" s="1323" t="s">
        <v>3249</v>
      </c>
      <c r="D495" s="1324">
        <f t="shared" si="72"/>
        <v>41169</v>
      </c>
      <c r="E495" s="1323">
        <f t="shared" si="74"/>
        <v>8.2728000000000002</v>
      </c>
      <c r="F495" s="1323">
        <f t="shared" si="73"/>
        <v>8.9260457373320623</v>
      </c>
      <c r="G495" s="1323">
        <f t="shared" si="75"/>
        <v>2012</v>
      </c>
      <c r="H495" s="1323">
        <f t="shared" si="76"/>
        <v>9</v>
      </c>
      <c r="I495" s="1323">
        <f t="shared" si="77"/>
        <v>17</v>
      </c>
      <c r="J495" s="1323"/>
      <c r="K495" s="1323"/>
      <c r="L495" s="1323"/>
      <c r="M495" s="1323"/>
      <c r="N495" s="1323"/>
      <c r="O495" s="1323"/>
      <c r="P495" s="1323"/>
      <c r="Q495" s="1323"/>
      <c r="R495" s="1304"/>
      <c r="S495" s="1304"/>
      <c r="T495" s="1304"/>
    </row>
    <row r="496" spans="1:20">
      <c r="A496" s="1303"/>
      <c r="B496" s="1322" t="s">
        <v>3250</v>
      </c>
      <c r="C496" s="1323" t="s">
        <v>3251</v>
      </c>
      <c r="D496" s="1324">
        <f t="shared" si="72"/>
        <v>41166</v>
      </c>
      <c r="E496" s="1323">
        <f t="shared" si="74"/>
        <v>8.2598000000000003</v>
      </c>
      <c r="F496" s="1323">
        <f t="shared" si="73"/>
        <v>8.9243342211800556</v>
      </c>
      <c r="G496" s="1323">
        <f t="shared" si="75"/>
        <v>2012</v>
      </c>
      <c r="H496" s="1323">
        <f t="shared" si="76"/>
        <v>9</v>
      </c>
      <c r="I496" s="1323">
        <f t="shared" si="77"/>
        <v>14</v>
      </c>
      <c r="J496" s="1323"/>
      <c r="K496" s="1323"/>
      <c r="L496" s="1323"/>
      <c r="M496" s="1323"/>
      <c r="N496" s="1323"/>
      <c r="O496" s="1323"/>
      <c r="P496" s="1323"/>
      <c r="Q496" s="1323"/>
      <c r="R496" s="1304"/>
      <c r="S496" s="1304"/>
      <c r="T496" s="1304"/>
    </row>
    <row r="497" spans="1:20">
      <c r="A497" s="1303"/>
      <c r="B497" s="1322" t="s">
        <v>3252</v>
      </c>
      <c r="C497" s="1323" t="s">
        <v>3253</v>
      </c>
      <c r="D497" s="1324">
        <f t="shared" si="72"/>
        <v>41165</v>
      </c>
      <c r="E497" s="1323">
        <f t="shared" si="74"/>
        <v>8.3826000000000001</v>
      </c>
      <c r="F497" s="1323">
        <f t="shared" si="73"/>
        <v>8.9226230332010861</v>
      </c>
      <c r="G497" s="1323">
        <f t="shared" si="75"/>
        <v>2012</v>
      </c>
      <c r="H497" s="1323">
        <f t="shared" si="76"/>
        <v>9</v>
      </c>
      <c r="I497" s="1323">
        <f t="shared" si="77"/>
        <v>13</v>
      </c>
      <c r="J497" s="1323"/>
      <c r="K497" s="1323"/>
      <c r="L497" s="1323"/>
      <c r="M497" s="1323"/>
      <c r="N497" s="1323"/>
      <c r="O497" s="1323"/>
      <c r="P497" s="1323"/>
      <c r="Q497" s="1323"/>
      <c r="R497" s="1304"/>
      <c r="S497" s="1304"/>
      <c r="T497" s="1304"/>
    </row>
    <row r="498" spans="1:20">
      <c r="A498" s="1303"/>
      <c r="B498" s="1322" t="s">
        <v>3254</v>
      </c>
      <c r="C498" s="1323" t="s">
        <v>3255</v>
      </c>
      <c r="D498" s="1324">
        <f t="shared" si="72"/>
        <v>41164</v>
      </c>
      <c r="E498" s="1323">
        <f t="shared" si="74"/>
        <v>8.1890000000000001</v>
      </c>
      <c r="F498" s="1323">
        <f t="shared" si="73"/>
        <v>8.9209121733322281</v>
      </c>
      <c r="G498" s="1323">
        <f t="shared" si="75"/>
        <v>2012</v>
      </c>
      <c r="H498" s="1323">
        <f t="shared" si="76"/>
        <v>9</v>
      </c>
      <c r="I498" s="1323">
        <f t="shared" si="77"/>
        <v>12</v>
      </c>
      <c r="J498" s="1323"/>
      <c r="K498" s="1323"/>
      <c r="L498" s="1323"/>
      <c r="M498" s="1323"/>
      <c r="N498" s="1323"/>
      <c r="O498" s="1323"/>
      <c r="P498" s="1323"/>
      <c r="Q498" s="1323"/>
      <c r="R498" s="1304"/>
      <c r="S498" s="1304"/>
      <c r="T498" s="1304"/>
    </row>
    <row r="499" spans="1:20">
      <c r="A499" s="1303"/>
      <c r="B499" s="1322" t="s">
        <v>3256</v>
      </c>
      <c r="C499" s="1323" t="s">
        <v>3257</v>
      </c>
      <c r="D499" s="1324">
        <f t="shared" si="72"/>
        <v>41163</v>
      </c>
      <c r="E499" s="1323">
        <f t="shared" si="74"/>
        <v>8.2213999999999992</v>
      </c>
      <c r="F499" s="1323">
        <f t="shared" si="73"/>
        <v>8.9192016415105684</v>
      </c>
      <c r="G499" s="1323">
        <f t="shared" si="75"/>
        <v>2012</v>
      </c>
      <c r="H499" s="1323">
        <f t="shared" si="76"/>
        <v>9</v>
      </c>
      <c r="I499" s="1323">
        <f t="shared" si="77"/>
        <v>11</v>
      </c>
      <c r="J499" s="1323"/>
      <c r="K499" s="1323"/>
      <c r="L499" s="1323"/>
      <c r="M499" s="1323"/>
      <c r="N499" s="1323"/>
      <c r="O499" s="1323"/>
      <c r="P499" s="1323"/>
      <c r="Q499" s="1323"/>
      <c r="R499" s="1304"/>
      <c r="S499" s="1304"/>
      <c r="T499" s="1304"/>
    </row>
    <row r="500" spans="1:20">
      <c r="A500" s="1303"/>
      <c r="B500" s="1322" t="s">
        <v>3258</v>
      </c>
      <c r="C500" s="1323" t="s">
        <v>3259</v>
      </c>
      <c r="D500" s="1324">
        <f t="shared" si="72"/>
        <v>41162</v>
      </c>
      <c r="E500" s="1323">
        <f t="shared" si="74"/>
        <v>8.2093000000000007</v>
      </c>
      <c r="F500" s="1323">
        <f t="shared" si="73"/>
        <v>8.9174914376732062</v>
      </c>
      <c r="G500" s="1323">
        <f t="shared" si="75"/>
        <v>2012</v>
      </c>
      <c r="H500" s="1323">
        <f t="shared" si="76"/>
        <v>9</v>
      </c>
      <c r="I500" s="1323">
        <f t="shared" si="77"/>
        <v>10</v>
      </c>
      <c r="J500" s="1323"/>
      <c r="K500" s="1323"/>
      <c r="L500" s="1323"/>
      <c r="M500" s="1323"/>
      <c r="N500" s="1323"/>
      <c r="O500" s="1323"/>
      <c r="P500" s="1323"/>
      <c r="Q500" s="1323"/>
      <c r="R500" s="1304"/>
      <c r="S500" s="1304"/>
      <c r="T500" s="1304"/>
    </row>
    <row r="501" spans="1:20">
      <c r="A501" s="1303"/>
      <c r="B501" s="1322" t="s">
        <v>3260</v>
      </c>
      <c r="C501" s="1323" t="s">
        <v>3261</v>
      </c>
      <c r="D501" s="1324">
        <f t="shared" si="72"/>
        <v>41159</v>
      </c>
      <c r="E501" s="1323">
        <f t="shared" si="74"/>
        <v>8.2401</v>
      </c>
      <c r="F501" s="1323">
        <f t="shared" si="73"/>
        <v>8.9157815617572531</v>
      </c>
      <c r="G501" s="1323">
        <f t="shared" si="75"/>
        <v>2012</v>
      </c>
      <c r="H501" s="1323">
        <f t="shared" si="76"/>
        <v>9</v>
      </c>
      <c r="I501" s="1323">
        <f t="shared" si="77"/>
        <v>7</v>
      </c>
      <c r="J501" s="1323"/>
      <c r="K501" s="1323"/>
      <c r="L501" s="1323"/>
      <c r="M501" s="1323"/>
      <c r="N501" s="1323"/>
      <c r="O501" s="1323"/>
      <c r="P501" s="1323"/>
      <c r="Q501" s="1323"/>
      <c r="R501" s="1304"/>
      <c r="S501" s="1304"/>
      <c r="T501" s="1304"/>
    </row>
    <row r="502" spans="1:20">
      <c r="A502" s="1303"/>
      <c r="B502" s="1322" t="s">
        <v>3262</v>
      </c>
      <c r="C502" s="1323" t="s">
        <v>3263</v>
      </c>
      <c r="D502" s="1324">
        <f t="shared" si="72"/>
        <v>41158</v>
      </c>
      <c r="E502" s="1323">
        <f t="shared" si="74"/>
        <v>8.3689999999999998</v>
      </c>
      <c r="F502" s="1323">
        <f t="shared" si="73"/>
        <v>8.9140720136998315</v>
      </c>
      <c r="G502" s="1323">
        <f t="shared" si="75"/>
        <v>2012</v>
      </c>
      <c r="H502" s="1323">
        <f t="shared" si="76"/>
        <v>9</v>
      </c>
      <c r="I502" s="1323">
        <f t="shared" si="77"/>
        <v>6</v>
      </c>
      <c r="J502" s="1323"/>
      <c r="K502" s="1323"/>
      <c r="L502" s="1323"/>
      <c r="M502" s="1323"/>
      <c r="N502" s="1323"/>
      <c r="O502" s="1323"/>
      <c r="P502" s="1323"/>
      <c r="Q502" s="1323"/>
      <c r="R502" s="1304"/>
      <c r="S502" s="1304"/>
      <c r="T502" s="1304"/>
    </row>
    <row r="503" spans="1:20">
      <c r="A503" s="1303"/>
      <c r="B503" s="1322" t="s">
        <v>3264</v>
      </c>
      <c r="C503" s="1323" t="s">
        <v>3265</v>
      </c>
      <c r="D503" s="1324">
        <f t="shared" si="72"/>
        <v>41157</v>
      </c>
      <c r="E503" s="1323">
        <f t="shared" si="74"/>
        <v>8.4597999999999995</v>
      </c>
      <c r="F503" s="1323">
        <f t="shared" si="73"/>
        <v>8.912362793438076</v>
      </c>
      <c r="G503" s="1323">
        <f t="shared" si="75"/>
        <v>2012</v>
      </c>
      <c r="H503" s="1323">
        <f t="shared" si="76"/>
        <v>9</v>
      </c>
      <c r="I503" s="1323">
        <f t="shared" si="77"/>
        <v>5</v>
      </c>
      <c r="J503" s="1323"/>
      <c r="K503" s="1323"/>
      <c r="L503" s="1323"/>
      <c r="M503" s="1323"/>
      <c r="N503" s="1323"/>
      <c r="O503" s="1323"/>
      <c r="P503" s="1323"/>
      <c r="Q503" s="1323"/>
      <c r="R503" s="1304"/>
      <c r="S503" s="1304"/>
      <c r="T503" s="1304"/>
    </row>
    <row r="504" spans="1:20">
      <c r="A504" s="1303"/>
      <c r="B504" s="1322" t="s">
        <v>3266</v>
      </c>
      <c r="C504" s="1323" t="s">
        <v>3267</v>
      </c>
      <c r="D504" s="1324">
        <f t="shared" si="72"/>
        <v>41156</v>
      </c>
      <c r="E504" s="1323">
        <f t="shared" si="74"/>
        <v>8.3611000000000004</v>
      </c>
      <c r="F504" s="1323">
        <f t="shared" si="73"/>
        <v>8.9106539009091339</v>
      </c>
      <c r="G504" s="1323">
        <f t="shared" si="75"/>
        <v>2012</v>
      </c>
      <c r="H504" s="1323">
        <f t="shared" si="76"/>
        <v>9</v>
      </c>
      <c r="I504" s="1323">
        <f t="shared" si="77"/>
        <v>4</v>
      </c>
      <c r="J504" s="1323"/>
      <c r="K504" s="1323"/>
      <c r="L504" s="1323"/>
      <c r="M504" s="1323"/>
      <c r="N504" s="1323"/>
      <c r="O504" s="1323"/>
      <c r="P504" s="1323"/>
      <c r="Q504" s="1323"/>
      <c r="R504" s="1304"/>
      <c r="S504" s="1304"/>
      <c r="T504" s="1304"/>
    </row>
    <row r="505" spans="1:20">
      <c r="A505" s="1303"/>
      <c r="B505" s="1322" t="s">
        <v>3268</v>
      </c>
      <c r="C505" s="1323" t="s">
        <v>3269</v>
      </c>
      <c r="D505" s="1324">
        <f t="shared" si="72"/>
        <v>41155</v>
      </c>
      <c r="E505" s="1323">
        <f t="shared" si="74"/>
        <v>8.4118999999999993</v>
      </c>
      <c r="F505" s="1323">
        <f t="shared" si="73"/>
        <v>8.9089453360501647</v>
      </c>
      <c r="G505" s="1323">
        <f t="shared" si="75"/>
        <v>2012</v>
      </c>
      <c r="H505" s="1323">
        <f t="shared" si="76"/>
        <v>9</v>
      </c>
      <c r="I505" s="1323">
        <f t="shared" si="77"/>
        <v>3</v>
      </c>
      <c r="J505" s="1323"/>
      <c r="K505" s="1323"/>
      <c r="L505" s="1323"/>
      <c r="M505" s="1323"/>
      <c r="N505" s="1323"/>
      <c r="O505" s="1323"/>
      <c r="P505" s="1323"/>
      <c r="Q505" s="1323"/>
      <c r="R505" s="1304"/>
      <c r="S505" s="1304"/>
      <c r="T505" s="1304"/>
    </row>
    <row r="506" spans="1:20">
      <c r="A506" s="1303"/>
      <c r="B506" s="1322" t="s">
        <v>3270</v>
      </c>
      <c r="C506" s="1323" t="s">
        <v>3271</v>
      </c>
      <c r="D506" s="1324">
        <f t="shared" si="72"/>
        <v>41152</v>
      </c>
      <c r="E506" s="1323">
        <f t="shared" si="74"/>
        <v>8.4314</v>
      </c>
      <c r="F506" s="1323">
        <f t="shared" si="73"/>
        <v>8.9072370987983405</v>
      </c>
      <c r="G506" s="1323">
        <f t="shared" si="75"/>
        <v>2012</v>
      </c>
      <c r="H506" s="1323">
        <f t="shared" si="76"/>
        <v>8</v>
      </c>
      <c r="I506" s="1323">
        <f t="shared" si="77"/>
        <v>31</v>
      </c>
      <c r="J506" s="1323"/>
      <c r="K506" s="1323"/>
      <c r="L506" s="1323"/>
      <c r="M506" s="1323"/>
      <c r="N506" s="1323"/>
      <c r="O506" s="1323"/>
      <c r="P506" s="1323"/>
      <c r="Q506" s="1323"/>
      <c r="R506" s="1304"/>
      <c r="S506" s="1304"/>
      <c r="T506" s="1304"/>
    </row>
    <row r="507" spans="1:20">
      <c r="A507" s="1303"/>
      <c r="B507" s="1322" t="s">
        <v>3272</v>
      </c>
      <c r="C507" s="1323" t="s">
        <v>3273</v>
      </c>
      <c r="D507" s="1324">
        <f t="shared" si="72"/>
        <v>41151</v>
      </c>
      <c r="E507" s="1323">
        <f t="shared" si="74"/>
        <v>8.4360999999999997</v>
      </c>
      <c r="F507" s="1323">
        <f t="shared" si="73"/>
        <v>8.9055291890908439</v>
      </c>
      <c r="G507" s="1323">
        <f t="shared" si="75"/>
        <v>2012</v>
      </c>
      <c r="H507" s="1323">
        <f t="shared" si="76"/>
        <v>8</v>
      </c>
      <c r="I507" s="1323">
        <f t="shared" si="77"/>
        <v>30</v>
      </c>
      <c r="J507" s="1323"/>
      <c r="K507" s="1323"/>
      <c r="L507" s="1323"/>
      <c r="M507" s="1323"/>
      <c r="N507" s="1323"/>
      <c r="O507" s="1323"/>
      <c r="P507" s="1323"/>
      <c r="Q507" s="1323"/>
      <c r="R507" s="1304"/>
      <c r="S507" s="1304"/>
      <c r="T507" s="1304"/>
    </row>
    <row r="508" spans="1:20">
      <c r="A508" s="1303"/>
      <c r="B508" s="1322" t="s">
        <v>3274</v>
      </c>
      <c r="C508" s="1323" t="s">
        <v>3275</v>
      </c>
      <c r="D508" s="1324">
        <f t="shared" si="72"/>
        <v>41150</v>
      </c>
      <c r="E508" s="1323">
        <f t="shared" si="74"/>
        <v>8.4197000000000006</v>
      </c>
      <c r="F508" s="1323">
        <f t="shared" si="73"/>
        <v>8.9038216068648701</v>
      </c>
      <c r="G508" s="1323">
        <f t="shared" si="75"/>
        <v>2012</v>
      </c>
      <c r="H508" s="1323">
        <f t="shared" si="76"/>
        <v>8</v>
      </c>
      <c r="I508" s="1323">
        <f t="shared" si="77"/>
        <v>29</v>
      </c>
      <c r="J508" s="1323"/>
      <c r="K508" s="1323"/>
      <c r="L508" s="1323"/>
      <c r="M508" s="1323"/>
      <c r="N508" s="1323"/>
      <c r="O508" s="1323"/>
      <c r="P508" s="1323"/>
      <c r="Q508" s="1323"/>
      <c r="R508" s="1304"/>
      <c r="S508" s="1304"/>
      <c r="T508" s="1304"/>
    </row>
    <row r="509" spans="1:20">
      <c r="A509" s="1303"/>
      <c r="B509" s="1322" t="s">
        <v>3276</v>
      </c>
      <c r="C509" s="1323" t="s">
        <v>3277</v>
      </c>
      <c r="D509" s="1324">
        <f t="shared" si="72"/>
        <v>41149</v>
      </c>
      <c r="E509" s="1323">
        <f t="shared" si="74"/>
        <v>8.4111999999999991</v>
      </c>
      <c r="F509" s="1323">
        <f t="shared" si="73"/>
        <v>8.9021143520576267</v>
      </c>
      <c r="G509" s="1323">
        <f t="shared" si="75"/>
        <v>2012</v>
      </c>
      <c r="H509" s="1323">
        <f t="shared" si="76"/>
        <v>8</v>
      </c>
      <c r="I509" s="1323">
        <f t="shared" si="77"/>
        <v>28</v>
      </c>
      <c r="J509" s="1323"/>
      <c r="K509" s="1323"/>
      <c r="L509" s="1323"/>
      <c r="M509" s="1323"/>
      <c r="N509" s="1323"/>
      <c r="O509" s="1323"/>
      <c r="P509" s="1323"/>
      <c r="Q509" s="1323"/>
      <c r="R509" s="1304"/>
      <c r="S509" s="1304"/>
      <c r="T509" s="1304"/>
    </row>
    <row r="510" spans="1:20">
      <c r="A510" s="1303"/>
      <c r="B510" s="1322" t="s">
        <v>3278</v>
      </c>
      <c r="C510" s="1323" t="s">
        <v>3279</v>
      </c>
      <c r="D510" s="1324">
        <f t="shared" si="72"/>
        <v>41148</v>
      </c>
      <c r="E510" s="1323">
        <f t="shared" si="74"/>
        <v>8.3999000000000006</v>
      </c>
      <c r="F510" s="1323">
        <f t="shared" si="73"/>
        <v>8.9004074246063318</v>
      </c>
      <c r="G510" s="1323">
        <f t="shared" si="75"/>
        <v>2012</v>
      </c>
      <c r="H510" s="1323">
        <f t="shared" si="76"/>
        <v>8</v>
      </c>
      <c r="I510" s="1323">
        <f t="shared" si="77"/>
        <v>27</v>
      </c>
      <c r="J510" s="1323"/>
      <c r="K510" s="1323"/>
      <c r="L510" s="1323"/>
      <c r="M510" s="1323"/>
      <c r="N510" s="1323"/>
      <c r="O510" s="1323"/>
      <c r="P510" s="1323"/>
      <c r="Q510" s="1323"/>
      <c r="R510" s="1304"/>
      <c r="S510" s="1304"/>
      <c r="T510" s="1304"/>
    </row>
    <row r="511" spans="1:20">
      <c r="A511" s="1303"/>
      <c r="B511" s="1322" t="s">
        <v>3280</v>
      </c>
      <c r="C511" s="1323" t="s">
        <v>3281</v>
      </c>
      <c r="D511" s="1324">
        <f t="shared" si="72"/>
        <v>41145</v>
      </c>
      <c r="E511" s="1323">
        <f t="shared" si="74"/>
        <v>8.3736999999999995</v>
      </c>
      <c r="F511" s="1323">
        <f t="shared" si="73"/>
        <v>8.898700824448218</v>
      </c>
      <c r="G511" s="1323">
        <f t="shared" si="75"/>
        <v>2012</v>
      </c>
      <c r="H511" s="1323">
        <f t="shared" si="76"/>
        <v>8</v>
      </c>
      <c r="I511" s="1323">
        <f t="shared" si="77"/>
        <v>24</v>
      </c>
      <c r="J511" s="1323"/>
      <c r="K511" s="1323"/>
      <c r="L511" s="1323"/>
      <c r="M511" s="1323"/>
      <c r="N511" s="1323"/>
      <c r="O511" s="1323"/>
      <c r="P511" s="1323"/>
      <c r="Q511" s="1323"/>
      <c r="R511" s="1304"/>
      <c r="S511" s="1304"/>
      <c r="T511" s="1304"/>
    </row>
    <row r="512" spans="1:20">
      <c r="A512" s="1303"/>
      <c r="B512" s="1322" t="s">
        <v>3282</v>
      </c>
      <c r="C512" s="1323" t="s">
        <v>3283</v>
      </c>
      <c r="D512" s="1324">
        <f t="shared" si="72"/>
        <v>41144</v>
      </c>
      <c r="E512" s="1323">
        <f t="shared" si="74"/>
        <v>8.2622999999999998</v>
      </c>
      <c r="F512" s="1323">
        <f t="shared" si="73"/>
        <v>8.8969945515205282</v>
      </c>
      <c r="G512" s="1323">
        <f t="shared" si="75"/>
        <v>2012</v>
      </c>
      <c r="H512" s="1323">
        <f t="shared" si="76"/>
        <v>8</v>
      </c>
      <c r="I512" s="1323">
        <f t="shared" si="77"/>
        <v>23</v>
      </c>
      <c r="J512" s="1323"/>
      <c r="K512" s="1323"/>
      <c r="L512" s="1323"/>
      <c r="M512" s="1323"/>
      <c r="N512" s="1323"/>
      <c r="O512" s="1323"/>
      <c r="P512" s="1323"/>
      <c r="Q512" s="1323"/>
      <c r="R512" s="1304"/>
      <c r="S512" s="1304"/>
      <c r="T512" s="1304"/>
    </row>
    <row r="513" spans="1:20">
      <c r="A513" s="1303"/>
      <c r="B513" s="1322" t="s">
        <v>3284</v>
      </c>
      <c r="C513" s="1323" t="s">
        <v>3285</v>
      </c>
      <c r="D513" s="1324">
        <f t="shared" si="72"/>
        <v>41143</v>
      </c>
      <c r="E513" s="1323">
        <f t="shared" si="74"/>
        <v>8.2914999999999992</v>
      </c>
      <c r="F513" s="1323">
        <f t="shared" si="73"/>
        <v>8.8952886057605198</v>
      </c>
      <c r="G513" s="1323">
        <f t="shared" si="75"/>
        <v>2012</v>
      </c>
      <c r="H513" s="1323">
        <f t="shared" si="76"/>
        <v>8</v>
      </c>
      <c r="I513" s="1323">
        <f t="shared" si="77"/>
        <v>22</v>
      </c>
      <c r="J513" s="1323"/>
      <c r="K513" s="1323"/>
      <c r="L513" s="1323"/>
      <c r="M513" s="1323"/>
      <c r="N513" s="1323"/>
      <c r="O513" s="1323"/>
      <c r="P513" s="1323"/>
      <c r="Q513" s="1323"/>
      <c r="R513" s="1304"/>
      <c r="S513" s="1304"/>
      <c r="T513" s="1304"/>
    </row>
    <row r="514" spans="1:20">
      <c r="A514" s="1303"/>
      <c r="B514" s="1322" t="s">
        <v>3286</v>
      </c>
      <c r="C514" s="1323" t="s">
        <v>3287</v>
      </c>
      <c r="D514" s="1324">
        <f t="shared" si="72"/>
        <v>41142</v>
      </c>
      <c r="E514" s="1323">
        <f t="shared" si="74"/>
        <v>8.2629999999999999</v>
      </c>
      <c r="F514" s="1323">
        <f t="shared" si="73"/>
        <v>8.893582987105459</v>
      </c>
      <c r="G514" s="1323">
        <f t="shared" si="75"/>
        <v>2012</v>
      </c>
      <c r="H514" s="1323">
        <f t="shared" si="76"/>
        <v>8</v>
      </c>
      <c r="I514" s="1323">
        <f t="shared" si="77"/>
        <v>21</v>
      </c>
      <c r="J514" s="1323"/>
      <c r="K514" s="1323"/>
      <c r="L514" s="1323"/>
      <c r="M514" s="1323"/>
      <c r="N514" s="1323"/>
      <c r="O514" s="1323"/>
      <c r="P514" s="1323"/>
      <c r="Q514" s="1323"/>
      <c r="R514" s="1304"/>
      <c r="S514" s="1304"/>
      <c r="T514" s="1304"/>
    </row>
    <row r="515" spans="1:20">
      <c r="A515" s="1303"/>
      <c r="B515" s="1322" t="s">
        <v>3288</v>
      </c>
      <c r="C515" s="1323" t="s">
        <v>3289</v>
      </c>
      <c r="D515" s="1324">
        <f t="shared" si="72"/>
        <v>41141</v>
      </c>
      <c r="E515" s="1323">
        <f t="shared" si="74"/>
        <v>8.3086000000000002</v>
      </c>
      <c r="F515" s="1323">
        <f t="shared" si="73"/>
        <v>8.8918776954926244</v>
      </c>
      <c r="G515" s="1323">
        <f t="shared" si="75"/>
        <v>2012</v>
      </c>
      <c r="H515" s="1323">
        <f t="shared" si="76"/>
        <v>8</v>
      </c>
      <c r="I515" s="1323">
        <f t="shared" si="77"/>
        <v>20</v>
      </c>
      <c r="J515" s="1323"/>
      <c r="K515" s="1323"/>
      <c r="L515" s="1323"/>
      <c r="M515" s="1323"/>
      <c r="N515" s="1323"/>
      <c r="O515" s="1323"/>
      <c r="P515" s="1323"/>
      <c r="Q515" s="1323"/>
      <c r="R515" s="1304"/>
      <c r="S515" s="1304"/>
      <c r="T515" s="1304"/>
    </row>
    <row r="516" spans="1:20">
      <c r="A516" s="1303"/>
      <c r="B516" s="1322" t="s">
        <v>3290</v>
      </c>
      <c r="C516" s="1323" t="s">
        <v>3291</v>
      </c>
      <c r="D516" s="1324">
        <f t="shared" si="72"/>
        <v>41138</v>
      </c>
      <c r="E516" s="1323">
        <f t="shared" si="74"/>
        <v>8.2673000000000005</v>
      </c>
      <c r="F516" s="1323">
        <f t="shared" si="73"/>
        <v>8.8901727308593088</v>
      </c>
      <c r="G516" s="1323">
        <f t="shared" si="75"/>
        <v>2012</v>
      </c>
      <c r="H516" s="1323">
        <f t="shared" si="76"/>
        <v>8</v>
      </c>
      <c r="I516" s="1323">
        <f t="shared" si="77"/>
        <v>17</v>
      </c>
      <c r="J516" s="1323"/>
      <c r="K516" s="1323"/>
      <c r="L516" s="1323"/>
      <c r="M516" s="1323"/>
      <c r="N516" s="1323"/>
      <c r="O516" s="1323"/>
      <c r="P516" s="1323"/>
      <c r="Q516" s="1323"/>
      <c r="R516" s="1304"/>
      <c r="S516" s="1304"/>
      <c r="T516" s="1304"/>
    </row>
    <row r="517" spans="1:20">
      <c r="A517" s="1303"/>
      <c r="B517" s="1322" t="s">
        <v>3292</v>
      </c>
      <c r="C517" s="1323" t="s">
        <v>3293</v>
      </c>
      <c r="D517" s="1324">
        <f t="shared" si="72"/>
        <v>41137</v>
      </c>
      <c r="E517" s="1323">
        <f t="shared" si="74"/>
        <v>8.2555999999999994</v>
      </c>
      <c r="F517" s="1323">
        <f t="shared" si="73"/>
        <v>8.8884680931428157</v>
      </c>
      <c r="G517" s="1323">
        <f t="shared" si="75"/>
        <v>2012</v>
      </c>
      <c r="H517" s="1323">
        <f t="shared" si="76"/>
        <v>8</v>
      </c>
      <c r="I517" s="1323">
        <f t="shared" si="77"/>
        <v>16</v>
      </c>
      <c r="J517" s="1323"/>
      <c r="K517" s="1323"/>
      <c r="L517" s="1323"/>
      <c r="M517" s="1323"/>
      <c r="N517" s="1323"/>
      <c r="O517" s="1323"/>
      <c r="P517" s="1323"/>
      <c r="Q517" s="1323"/>
      <c r="R517" s="1304"/>
      <c r="S517" s="1304"/>
      <c r="T517" s="1304"/>
    </row>
    <row r="518" spans="1:20">
      <c r="A518" s="1303"/>
      <c r="B518" s="1322" t="s">
        <v>3294</v>
      </c>
      <c r="C518" s="1323" t="s">
        <v>3295</v>
      </c>
      <c r="D518" s="1324">
        <f t="shared" si="72"/>
        <v>41136</v>
      </c>
      <c r="E518" s="1323">
        <f t="shared" si="74"/>
        <v>8.1999999999999993</v>
      </c>
      <c r="F518" s="1323">
        <f t="shared" si="73"/>
        <v>8.886763782280461</v>
      </c>
      <c r="G518" s="1323">
        <f t="shared" si="75"/>
        <v>2012</v>
      </c>
      <c r="H518" s="1323">
        <f t="shared" si="76"/>
        <v>8</v>
      </c>
      <c r="I518" s="1323">
        <f t="shared" si="77"/>
        <v>15</v>
      </c>
      <c r="J518" s="1323"/>
      <c r="K518" s="1323"/>
      <c r="L518" s="1323"/>
      <c r="M518" s="1323"/>
      <c r="N518" s="1323"/>
      <c r="O518" s="1323"/>
      <c r="P518" s="1323"/>
      <c r="Q518" s="1323"/>
      <c r="R518" s="1304"/>
      <c r="S518" s="1304"/>
      <c r="T518" s="1304"/>
    </row>
    <row r="519" spans="1:20">
      <c r="A519" s="1303"/>
      <c r="B519" s="1322" t="s">
        <v>3296</v>
      </c>
      <c r="C519" s="1323" t="s">
        <v>3297</v>
      </c>
      <c r="D519" s="1324">
        <f t="shared" si="72"/>
        <v>41135</v>
      </c>
      <c r="E519" s="1323">
        <f t="shared" si="74"/>
        <v>8.11</v>
      </c>
      <c r="F519" s="1323">
        <f t="shared" si="73"/>
        <v>8.8850597982095714</v>
      </c>
      <c r="G519" s="1323">
        <f t="shared" si="75"/>
        <v>2012</v>
      </c>
      <c r="H519" s="1323">
        <f t="shared" si="76"/>
        <v>8</v>
      </c>
      <c r="I519" s="1323">
        <f t="shared" si="77"/>
        <v>14</v>
      </c>
      <c r="J519" s="1323"/>
      <c r="K519" s="1323"/>
      <c r="L519" s="1323"/>
      <c r="M519" s="1323"/>
      <c r="N519" s="1323"/>
      <c r="O519" s="1323"/>
      <c r="P519" s="1323"/>
      <c r="Q519" s="1323"/>
      <c r="R519" s="1304"/>
      <c r="S519" s="1304"/>
      <c r="T519" s="1304"/>
    </row>
    <row r="520" spans="1:20">
      <c r="A520" s="1303"/>
      <c r="B520" s="1322" t="s">
        <v>3298</v>
      </c>
      <c r="C520" s="1323" t="s">
        <v>3299</v>
      </c>
      <c r="D520" s="1324">
        <f t="shared" si="72"/>
        <v>41134</v>
      </c>
      <c r="E520" s="1323">
        <f t="shared" si="74"/>
        <v>8.1323000000000008</v>
      </c>
      <c r="F520" s="1323">
        <f t="shared" si="73"/>
        <v>8.8833561408674875</v>
      </c>
      <c r="G520" s="1323">
        <f t="shared" si="75"/>
        <v>2012</v>
      </c>
      <c r="H520" s="1323">
        <f t="shared" si="76"/>
        <v>8</v>
      </c>
      <c r="I520" s="1323">
        <f t="shared" si="77"/>
        <v>13</v>
      </c>
      <c r="J520" s="1323"/>
      <c r="K520" s="1323"/>
      <c r="L520" s="1323"/>
      <c r="M520" s="1323"/>
      <c r="N520" s="1323"/>
      <c r="O520" s="1323"/>
      <c r="P520" s="1323"/>
      <c r="Q520" s="1323"/>
      <c r="R520" s="1304"/>
      <c r="S520" s="1304"/>
      <c r="T520" s="1304"/>
    </row>
    <row r="521" spans="1:20">
      <c r="A521" s="1303"/>
      <c r="B521" s="1322" t="s">
        <v>3300</v>
      </c>
      <c r="C521" s="1323" t="s">
        <v>3301</v>
      </c>
      <c r="D521" s="1324">
        <f t="shared" ref="D521:D584" si="78">DATE(G521,H521,I521)</f>
        <v>41131</v>
      </c>
      <c r="E521" s="1323">
        <f t="shared" si="74"/>
        <v>8.1377000000000006</v>
      </c>
      <c r="F521" s="1323">
        <f t="shared" ref="F521:F584" si="79">F522*(1+$F$7/365)</f>
        <v>8.8816528101915608</v>
      </c>
      <c r="G521" s="1323">
        <f t="shared" si="75"/>
        <v>2012</v>
      </c>
      <c r="H521" s="1323">
        <f t="shared" si="76"/>
        <v>8</v>
      </c>
      <c r="I521" s="1323">
        <f t="shared" si="77"/>
        <v>10</v>
      </c>
      <c r="J521" s="1323"/>
      <c r="K521" s="1323"/>
      <c r="L521" s="1323"/>
      <c r="M521" s="1323"/>
      <c r="N521" s="1323"/>
      <c r="O521" s="1323"/>
      <c r="P521" s="1323"/>
      <c r="Q521" s="1323"/>
      <c r="R521" s="1304"/>
      <c r="S521" s="1304"/>
      <c r="T521" s="1304"/>
    </row>
    <row r="522" spans="1:20">
      <c r="A522" s="1303"/>
      <c r="B522" s="1322" t="s">
        <v>3302</v>
      </c>
      <c r="C522" s="1323" t="s">
        <v>3303</v>
      </c>
      <c r="D522" s="1324">
        <f t="shared" si="78"/>
        <v>41129</v>
      </c>
      <c r="E522" s="1323">
        <f t="shared" si="74"/>
        <v>8.1853999999999996</v>
      </c>
      <c r="F522" s="1323">
        <f t="shared" si="79"/>
        <v>8.8799498061191535</v>
      </c>
      <c r="G522" s="1323">
        <f t="shared" si="75"/>
        <v>2012</v>
      </c>
      <c r="H522" s="1323">
        <f t="shared" si="76"/>
        <v>8</v>
      </c>
      <c r="I522" s="1323">
        <f t="shared" si="77"/>
        <v>8</v>
      </c>
      <c r="J522" s="1323"/>
      <c r="K522" s="1323"/>
      <c r="L522" s="1323"/>
      <c r="M522" s="1323"/>
      <c r="N522" s="1323"/>
      <c r="O522" s="1323"/>
      <c r="P522" s="1323"/>
      <c r="Q522" s="1323"/>
      <c r="R522" s="1304"/>
      <c r="S522" s="1304"/>
      <c r="T522" s="1304"/>
    </row>
    <row r="523" spans="1:20">
      <c r="A523" s="1303"/>
      <c r="B523" s="1322" t="s">
        <v>3304</v>
      </c>
      <c r="C523" s="1323" t="s">
        <v>3305</v>
      </c>
      <c r="D523" s="1324">
        <f t="shared" si="78"/>
        <v>41128</v>
      </c>
      <c r="E523" s="1323">
        <f t="shared" si="74"/>
        <v>8.1675000000000004</v>
      </c>
      <c r="F523" s="1323">
        <f t="shared" si="79"/>
        <v>8.8782471285876436</v>
      </c>
      <c r="G523" s="1323">
        <f t="shared" si="75"/>
        <v>2012</v>
      </c>
      <c r="H523" s="1323">
        <f t="shared" si="76"/>
        <v>8</v>
      </c>
      <c r="I523" s="1323">
        <f t="shared" si="77"/>
        <v>7</v>
      </c>
      <c r="J523" s="1323"/>
      <c r="K523" s="1323"/>
      <c r="L523" s="1323"/>
      <c r="M523" s="1323"/>
      <c r="N523" s="1323"/>
      <c r="O523" s="1323"/>
      <c r="P523" s="1323"/>
      <c r="Q523" s="1323"/>
      <c r="R523" s="1304"/>
      <c r="S523" s="1304"/>
      <c r="T523" s="1304"/>
    </row>
    <row r="524" spans="1:20">
      <c r="A524" s="1303"/>
      <c r="B524" s="1322" t="s">
        <v>3306</v>
      </c>
      <c r="C524" s="1323" t="s">
        <v>3307</v>
      </c>
      <c r="D524" s="1324">
        <f t="shared" si="78"/>
        <v>41127</v>
      </c>
      <c r="E524" s="1323">
        <f t="shared" si="74"/>
        <v>8.1675000000000004</v>
      </c>
      <c r="F524" s="1323">
        <f t="shared" si="79"/>
        <v>8.8765447775344182</v>
      </c>
      <c r="G524" s="1323">
        <f t="shared" si="75"/>
        <v>2012</v>
      </c>
      <c r="H524" s="1323">
        <f t="shared" si="76"/>
        <v>8</v>
      </c>
      <c r="I524" s="1323">
        <f t="shared" si="77"/>
        <v>6</v>
      </c>
      <c r="J524" s="1323"/>
      <c r="K524" s="1323"/>
      <c r="L524" s="1323"/>
      <c r="M524" s="1323"/>
      <c r="N524" s="1323"/>
      <c r="O524" s="1323"/>
      <c r="P524" s="1323"/>
      <c r="Q524" s="1323"/>
      <c r="R524" s="1304"/>
      <c r="S524" s="1304"/>
      <c r="T524" s="1304"/>
    </row>
    <row r="525" spans="1:20">
      <c r="A525" s="1303"/>
      <c r="B525" s="1322" t="s">
        <v>3308</v>
      </c>
      <c r="C525" s="1323" t="s">
        <v>3307</v>
      </c>
      <c r="D525" s="1324">
        <f t="shared" si="78"/>
        <v>41124</v>
      </c>
      <c r="E525" s="1323">
        <f t="shared" si="74"/>
        <v>8.3026</v>
      </c>
      <c r="F525" s="1323">
        <f t="shared" si="79"/>
        <v>8.8748427528968765</v>
      </c>
      <c r="G525" s="1323">
        <f t="shared" si="75"/>
        <v>2012</v>
      </c>
      <c r="H525" s="1323">
        <f t="shared" si="76"/>
        <v>8</v>
      </c>
      <c r="I525" s="1323">
        <f t="shared" si="77"/>
        <v>3</v>
      </c>
      <c r="J525" s="1323"/>
      <c r="K525" s="1323"/>
      <c r="L525" s="1323"/>
      <c r="M525" s="1323"/>
      <c r="N525" s="1323"/>
      <c r="O525" s="1323"/>
      <c r="P525" s="1323"/>
      <c r="Q525" s="1323"/>
      <c r="R525" s="1304"/>
      <c r="S525" s="1304"/>
      <c r="T525" s="1304"/>
    </row>
    <row r="526" spans="1:20">
      <c r="A526" s="1303"/>
      <c r="B526" s="1322" t="s">
        <v>3309</v>
      </c>
      <c r="C526" s="1323" t="s">
        <v>3310</v>
      </c>
      <c r="D526" s="1324">
        <f t="shared" si="78"/>
        <v>41123</v>
      </c>
      <c r="E526" s="1323">
        <f t="shared" si="74"/>
        <v>8.3259000000000007</v>
      </c>
      <c r="F526" s="1323">
        <f t="shared" si="79"/>
        <v>8.8731410546124305</v>
      </c>
      <c r="G526" s="1323">
        <f t="shared" si="75"/>
        <v>2012</v>
      </c>
      <c r="H526" s="1323">
        <f t="shared" si="76"/>
        <v>8</v>
      </c>
      <c r="I526" s="1323">
        <f t="shared" si="77"/>
        <v>2</v>
      </c>
      <c r="J526" s="1323"/>
      <c r="K526" s="1323"/>
      <c r="L526" s="1323"/>
      <c r="M526" s="1323"/>
      <c r="N526" s="1323"/>
      <c r="O526" s="1323"/>
      <c r="P526" s="1323"/>
      <c r="Q526" s="1323"/>
      <c r="R526" s="1304"/>
      <c r="S526" s="1304"/>
      <c r="T526" s="1304"/>
    </row>
    <row r="527" spans="1:20">
      <c r="A527" s="1303"/>
      <c r="B527" s="1322" t="s">
        <v>3311</v>
      </c>
      <c r="C527" s="1323" t="s">
        <v>3312</v>
      </c>
      <c r="D527" s="1324">
        <f t="shared" si="78"/>
        <v>41122</v>
      </c>
      <c r="E527" s="1323">
        <f t="shared" si="74"/>
        <v>8.2324000000000002</v>
      </c>
      <c r="F527" s="1323">
        <f t="shared" si="79"/>
        <v>8.8714396826185027</v>
      </c>
      <c r="G527" s="1323">
        <f t="shared" si="75"/>
        <v>2012</v>
      </c>
      <c r="H527" s="1323">
        <f t="shared" si="76"/>
        <v>8</v>
      </c>
      <c r="I527" s="1323">
        <f t="shared" si="77"/>
        <v>1</v>
      </c>
      <c r="J527" s="1323"/>
      <c r="K527" s="1323"/>
      <c r="L527" s="1323"/>
      <c r="M527" s="1323"/>
      <c r="N527" s="1323"/>
      <c r="O527" s="1323"/>
      <c r="P527" s="1323"/>
      <c r="Q527" s="1323"/>
      <c r="R527" s="1304"/>
      <c r="S527" s="1304"/>
      <c r="T527" s="1304"/>
    </row>
    <row r="528" spans="1:20">
      <c r="A528" s="1303"/>
      <c r="B528" s="1322" t="s">
        <v>3313</v>
      </c>
      <c r="C528" s="1323" t="s">
        <v>3314</v>
      </c>
      <c r="D528" s="1324">
        <f t="shared" si="78"/>
        <v>41121</v>
      </c>
      <c r="E528" s="1323">
        <f t="shared" si="74"/>
        <v>8.2073999999999998</v>
      </c>
      <c r="F528" s="1323">
        <f t="shared" si="79"/>
        <v>8.8697386368525315</v>
      </c>
      <c r="G528" s="1323">
        <f t="shared" si="75"/>
        <v>2012</v>
      </c>
      <c r="H528" s="1323">
        <f t="shared" si="76"/>
        <v>7</v>
      </c>
      <c r="I528" s="1323">
        <f t="shared" si="77"/>
        <v>31</v>
      </c>
      <c r="J528" s="1323"/>
      <c r="K528" s="1323"/>
      <c r="L528" s="1323"/>
      <c r="M528" s="1323"/>
      <c r="N528" s="1323"/>
      <c r="O528" s="1323"/>
      <c r="P528" s="1323"/>
      <c r="Q528" s="1323"/>
      <c r="R528" s="1304"/>
      <c r="S528" s="1304"/>
      <c r="T528" s="1304"/>
    </row>
    <row r="529" spans="1:20">
      <c r="A529" s="1303"/>
      <c r="B529" s="1322" t="s">
        <v>3315</v>
      </c>
      <c r="C529" s="1323" t="s">
        <v>3316</v>
      </c>
      <c r="D529" s="1324">
        <f t="shared" si="78"/>
        <v>41120</v>
      </c>
      <c r="E529" s="1323">
        <f t="shared" si="74"/>
        <v>8.2104999999999997</v>
      </c>
      <c r="F529" s="1323">
        <f t="shared" si="79"/>
        <v>8.8680379172519626</v>
      </c>
      <c r="G529" s="1323">
        <f t="shared" si="75"/>
        <v>2012</v>
      </c>
      <c r="H529" s="1323">
        <f t="shared" si="76"/>
        <v>7</v>
      </c>
      <c r="I529" s="1323">
        <f t="shared" si="77"/>
        <v>30</v>
      </c>
      <c r="J529" s="1323"/>
      <c r="K529" s="1323"/>
      <c r="L529" s="1323"/>
      <c r="M529" s="1323"/>
      <c r="N529" s="1323"/>
      <c r="O529" s="1323"/>
      <c r="P529" s="1323"/>
      <c r="Q529" s="1323"/>
      <c r="R529" s="1304"/>
      <c r="S529" s="1304"/>
      <c r="T529" s="1304"/>
    </row>
    <row r="530" spans="1:20">
      <c r="A530" s="1303"/>
      <c r="B530" s="1322" t="s">
        <v>3317</v>
      </c>
      <c r="C530" s="1323" t="s">
        <v>3318</v>
      </c>
      <c r="D530" s="1324">
        <f t="shared" si="78"/>
        <v>41117</v>
      </c>
      <c r="E530" s="1323">
        <f t="shared" si="74"/>
        <v>8.2424999999999997</v>
      </c>
      <c r="F530" s="1323">
        <f t="shared" si="79"/>
        <v>8.8663375237542557</v>
      </c>
      <c r="G530" s="1323">
        <f t="shared" si="75"/>
        <v>2012</v>
      </c>
      <c r="H530" s="1323">
        <f t="shared" si="76"/>
        <v>7</v>
      </c>
      <c r="I530" s="1323">
        <f t="shared" si="77"/>
        <v>27</v>
      </c>
      <c r="J530" s="1323"/>
      <c r="K530" s="1323"/>
      <c r="L530" s="1323"/>
      <c r="M530" s="1323"/>
      <c r="N530" s="1323"/>
      <c r="O530" s="1323"/>
      <c r="P530" s="1323"/>
      <c r="Q530" s="1323"/>
      <c r="R530" s="1304"/>
      <c r="S530" s="1304"/>
      <c r="T530" s="1304"/>
    </row>
    <row r="531" spans="1:20">
      <c r="A531" s="1303"/>
      <c r="B531" s="1322" t="s">
        <v>3319</v>
      </c>
      <c r="C531" s="1323" t="s">
        <v>3320</v>
      </c>
      <c r="D531" s="1324">
        <f t="shared" si="78"/>
        <v>41116</v>
      </c>
      <c r="E531" s="1323">
        <f t="shared" si="74"/>
        <v>8.4238</v>
      </c>
      <c r="F531" s="1323">
        <f t="shared" si="79"/>
        <v>8.864637456296883</v>
      </c>
      <c r="G531" s="1323">
        <f t="shared" si="75"/>
        <v>2012</v>
      </c>
      <c r="H531" s="1323">
        <f t="shared" si="76"/>
        <v>7</v>
      </c>
      <c r="I531" s="1323">
        <f t="shared" si="77"/>
        <v>26</v>
      </c>
      <c r="J531" s="1323"/>
      <c r="K531" s="1323"/>
      <c r="L531" s="1323"/>
      <c r="M531" s="1323"/>
      <c r="N531" s="1323"/>
      <c r="O531" s="1323"/>
      <c r="P531" s="1323"/>
      <c r="Q531" s="1323"/>
      <c r="R531" s="1304"/>
      <c r="S531" s="1304"/>
      <c r="T531" s="1304"/>
    </row>
    <row r="532" spans="1:20">
      <c r="A532" s="1303"/>
      <c r="B532" s="1322" t="s">
        <v>3321</v>
      </c>
      <c r="C532" s="1323" t="s">
        <v>3322</v>
      </c>
      <c r="D532" s="1324">
        <f t="shared" si="78"/>
        <v>41115</v>
      </c>
      <c r="E532" s="1323">
        <f t="shared" si="74"/>
        <v>8.4835999999999991</v>
      </c>
      <c r="F532" s="1323">
        <f t="shared" si="79"/>
        <v>8.8629377148173294</v>
      </c>
      <c r="G532" s="1323">
        <f t="shared" si="75"/>
        <v>2012</v>
      </c>
      <c r="H532" s="1323">
        <f t="shared" si="76"/>
        <v>7</v>
      </c>
      <c r="I532" s="1323">
        <f t="shared" si="77"/>
        <v>25</v>
      </c>
      <c r="J532" s="1323"/>
      <c r="K532" s="1323"/>
      <c r="L532" s="1323"/>
      <c r="M532" s="1323"/>
      <c r="N532" s="1323"/>
      <c r="O532" s="1323"/>
      <c r="P532" s="1323"/>
      <c r="Q532" s="1323"/>
      <c r="R532" s="1304"/>
      <c r="S532" s="1304"/>
      <c r="T532" s="1304"/>
    </row>
    <row r="533" spans="1:20">
      <c r="A533" s="1303"/>
      <c r="B533" s="1322" t="s">
        <v>3323</v>
      </c>
      <c r="C533" s="1323" t="s">
        <v>3324</v>
      </c>
      <c r="D533" s="1324">
        <f t="shared" si="78"/>
        <v>41114</v>
      </c>
      <c r="E533" s="1323">
        <f t="shared" si="74"/>
        <v>8.4519000000000002</v>
      </c>
      <c r="F533" s="1323">
        <f t="shared" si="79"/>
        <v>8.8612382992530883</v>
      </c>
      <c r="G533" s="1323">
        <f t="shared" si="75"/>
        <v>2012</v>
      </c>
      <c r="H533" s="1323">
        <f t="shared" si="76"/>
        <v>7</v>
      </c>
      <c r="I533" s="1323">
        <f t="shared" si="77"/>
        <v>24</v>
      </c>
      <c r="J533" s="1323"/>
      <c r="K533" s="1323"/>
      <c r="L533" s="1323"/>
      <c r="M533" s="1323"/>
      <c r="N533" s="1323"/>
      <c r="O533" s="1323"/>
      <c r="P533" s="1323"/>
      <c r="Q533" s="1323"/>
      <c r="R533" s="1304"/>
      <c r="S533" s="1304"/>
      <c r="T533" s="1304"/>
    </row>
    <row r="534" spans="1:20">
      <c r="A534" s="1303"/>
      <c r="B534" s="1322" t="s">
        <v>3325</v>
      </c>
      <c r="C534" s="1323" t="s">
        <v>3326</v>
      </c>
      <c r="D534" s="1324">
        <f t="shared" si="78"/>
        <v>41113</v>
      </c>
      <c r="E534" s="1323">
        <f t="shared" ref="E534:E597" si="80">VALUE(C535)</f>
        <v>8.4059000000000008</v>
      </c>
      <c r="F534" s="1323">
        <f t="shared" si="79"/>
        <v>8.8595392095416692</v>
      </c>
      <c r="G534" s="1323">
        <f t="shared" ref="G534:G597" si="81">YEAR(B535)</f>
        <v>2012</v>
      </c>
      <c r="H534" s="1323">
        <f t="shared" ref="H534:H597" si="82">MONTH(B535)</f>
        <v>7</v>
      </c>
      <c r="I534" s="1323">
        <f t="shared" ref="I534:I597" si="83">DAY(B535)</f>
        <v>23</v>
      </c>
      <c r="J534" s="1323"/>
      <c r="K534" s="1323"/>
      <c r="L534" s="1323"/>
      <c r="M534" s="1323"/>
      <c r="N534" s="1323"/>
      <c r="O534" s="1323"/>
      <c r="P534" s="1323"/>
      <c r="Q534" s="1323"/>
      <c r="R534" s="1304"/>
      <c r="S534" s="1304"/>
      <c r="T534" s="1304"/>
    </row>
    <row r="535" spans="1:20">
      <c r="A535" s="1303"/>
      <c r="B535" s="1322" t="s">
        <v>3327</v>
      </c>
      <c r="C535" s="1323" t="s">
        <v>3328</v>
      </c>
      <c r="D535" s="1324">
        <f t="shared" si="78"/>
        <v>41110</v>
      </c>
      <c r="E535" s="1323">
        <f t="shared" si="80"/>
        <v>8.1902000000000008</v>
      </c>
      <c r="F535" s="1323">
        <f t="shared" si="79"/>
        <v>8.8578404456205906</v>
      </c>
      <c r="G535" s="1323">
        <f t="shared" si="81"/>
        <v>2012</v>
      </c>
      <c r="H535" s="1323">
        <f t="shared" si="82"/>
        <v>7</v>
      </c>
      <c r="I535" s="1323">
        <f t="shared" si="83"/>
        <v>20</v>
      </c>
      <c r="J535" s="1323"/>
      <c r="K535" s="1323"/>
      <c r="L535" s="1323"/>
      <c r="M535" s="1323"/>
      <c r="N535" s="1323"/>
      <c r="O535" s="1323"/>
      <c r="P535" s="1323"/>
      <c r="Q535" s="1323"/>
      <c r="R535" s="1304"/>
      <c r="S535" s="1304"/>
      <c r="T535" s="1304"/>
    </row>
    <row r="536" spans="1:20">
      <c r="A536" s="1303"/>
      <c r="B536" s="1322" t="s">
        <v>3329</v>
      </c>
      <c r="C536" s="1323" t="s">
        <v>3330</v>
      </c>
      <c r="D536" s="1324">
        <f t="shared" si="78"/>
        <v>41109</v>
      </c>
      <c r="E536" s="1323">
        <f t="shared" si="80"/>
        <v>8.1372</v>
      </c>
      <c r="F536" s="1323">
        <f t="shared" si="79"/>
        <v>8.8561420074273851</v>
      </c>
      <c r="G536" s="1323">
        <f t="shared" si="81"/>
        <v>2012</v>
      </c>
      <c r="H536" s="1323">
        <f t="shared" si="82"/>
        <v>7</v>
      </c>
      <c r="I536" s="1323">
        <f t="shared" si="83"/>
        <v>19</v>
      </c>
      <c r="J536" s="1323"/>
      <c r="K536" s="1323"/>
      <c r="L536" s="1323"/>
      <c r="M536" s="1323"/>
      <c r="N536" s="1323"/>
      <c r="O536" s="1323"/>
      <c r="P536" s="1323"/>
      <c r="Q536" s="1323"/>
      <c r="R536" s="1304"/>
      <c r="S536" s="1304"/>
      <c r="T536" s="1304"/>
    </row>
    <row r="537" spans="1:20">
      <c r="A537" s="1303"/>
      <c r="B537" s="1322" t="s">
        <v>3331</v>
      </c>
      <c r="C537" s="1323" t="s">
        <v>3332</v>
      </c>
      <c r="D537" s="1324">
        <f t="shared" si="78"/>
        <v>41108</v>
      </c>
      <c r="E537" s="1323">
        <f t="shared" si="80"/>
        <v>8.1907999999999994</v>
      </c>
      <c r="F537" s="1323">
        <f t="shared" si="79"/>
        <v>8.854443894899596</v>
      </c>
      <c r="G537" s="1323">
        <f t="shared" si="81"/>
        <v>2012</v>
      </c>
      <c r="H537" s="1323">
        <f t="shared" si="82"/>
        <v>7</v>
      </c>
      <c r="I537" s="1323">
        <f t="shared" si="83"/>
        <v>18</v>
      </c>
      <c r="J537" s="1323"/>
      <c r="K537" s="1323"/>
      <c r="L537" s="1323"/>
      <c r="M537" s="1323"/>
      <c r="N537" s="1323"/>
      <c r="O537" s="1323"/>
      <c r="P537" s="1323"/>
      <c r="Q537" s="1323"/>
      <c r="R537" s="1304"/>
      <c r="S537" s="1304"/>
      <c r="T537" s="1304"/>
    </row>
    <row r="538" spans="1:20">
      <c r="A538" s="1303"/>
      <c r="B538" s="1322" t="s">
        <v>3333</v>
      </c>
      <c r="C538" s="1323" t="s">
        <v>3334</v>
      </c>
      <c r="D538" s="1324">
        <f t="shared" si="78"/>
        <v>41107</v>
      </c>
      <c r="E538" s="1323">
        <f t="shared" si="80"/>
        <v>8.1829000000000001</v>
      </c>
      <c r="F538" s="1323">
        <f t="shared" si="79"/>
        <v>8.8527461079747791</v>
      </c>
      <c r="G538" s="1323">
        <f t="shared" si="81"/>
        <v>2012</v>
      </c>
      <c r="H538" s="1323">
        <f t="shared" si="82"/>
        <v>7</v>
      </c>
      <c r="I538" s="1323">
        <f t="shared" si="83"/>
        <v>17</v>
      </c>
      <c r="J538" s="1323"/>
      <c r="K538" s="1323"/>
      <c r="L538" s="1323"/>
      <c r="M538" s="1323"/>
      <c r="N538" s="1323"/>
      <c r="O538" s="1323"/>
      <c r="P538" s="1323"/>
      <c r="Q538" s="1323"/>
      <c r="R538" s="1304"/>
      <c r="S538" s="1304"/>
      <c r="T538" s="1304"/>
    </row>
    <row r="539" spans="1:20">
      <c r="A539" s="1303"/>
      <c r="B539" s="1322" t="s">
        <v>3335</v>
      </c>
      <c r="C539" s="1323" t="s">
        <v>3336</v>
      </c>
      <c r="D539" s="1324">
        <f t="shared" si="78"/>
        <v>41106</v>
      </c>
      <c r="E539" s="1323">
        <f t="shared" si="80"/>
        <v>8.2584</v>
      </c>
      <c r="F539" s="1323">
        <f t="shared" si="79"/>
        <v>8.8510486465905007</v>
      </c>
      <c r="G539" s="1323">
        <f t="shared" si="81"/>
        <v>2012</v>
      </c>
      <c r="H539" s="1323">
        <f t="shared" si="82"/>
        <v>7</v>
      </c>
      <c r="I539" s="1323">
        <f t="shared" si="83"/>
        <v>16</v>
      </c>
      <c r="J539" s="1323"/>
      <c r="K539" s="1323"/>
      <c r="L539" s="1323"/>
      <c r="M539" s="1323"/>
      <c r="N539" s="1323"/>
      <c r="O539" s="1323"/>
      <c r="P539" s="1323"/>
      <c r="Q539" s="1323"/>
      <c r="R539" s="1304"/>
      <c r="S539" s="1304"/>
      <c r="T539" s="1304"/>
    </row>
    <row r="540" spans="1:20">
      <c r="A540" s="1303"/>
      <c r="B540" s="1322" t="s">
        <v>3337</v>
      </c>
      <c r="C540" s="1323" t="s">
        <v>3338</v>
      </c>
      <c r="D540" s="1324">
        <f t="shared" si="78"/>
        <v>41103</v>
      </c>
      <c r="E540" s="1323">
        <f t="shared" si="80"/>
        <v>8.3332999999999995</v>
      </c>
      <c r="F540" s="1323">
        <f t="shared" si="79"/>
        <v>8.8493515106843414</v>
      </c>
      <c r="G540" s="1323">
        <f t="shared" si="81"/>
        <v>2012</v>
      </c>
      <c r="H540" s="1323">
        <f t="shared" si="82"/>
        <v>7</v>
      </c>
      <c r="I540" s="1323">
        <f t="shared" si="83"/>
        <v>13</v>
      </c>
      <c r="J540" s="1323"/>
      <c r="K540" s="1323"/>
      <c r="L540" s="1323"/>
      <c r="M540" s="1323"/>
      <c r="N540" s="1323"/>
      <c r="O540" s="1323"/>
      <c r="P540" s="1323"/>
      <c r="Q540" s="1323"/>
      <c r="R540" s="1304"/>
      <c r="S540" s="1304"/>
      <c r="T540" s="1304"/>
    </row>
    <row r="541" spans="1:20">
      <c r="A541" s="1303"/>
      <c r="B541" s="1322" t="s">
        <v>3339</v>
      </c>
      <c r="C541" s="1323" t="s">
        <v>3340</v>
      </c>
      <c r="D541" s="1324">
        <f t="shared" si="78"/>
        <v>41102</v>
      </c>
      <c r="E541" s="1323">
        <f t="shared" si="80"/>
        <v>8.3112999999999992</v>
      </c>
      <c r="F541" s="1323">
        <f t="shared" si="79"/>
        <v>8.8476547001938926</v>
      </c>
      <c r="G541" s="1323">
        <f t="shared" si="81"/>
        <v>2012</v>
      </c>
      <c r="H541" s="1323">
        <f t="shared" si="82"/>
        <v>7</v>
      </c>
      <c r="I541" s="1323">
        <f t="shared" si="83"/>
        <v>12</v>
      </c>
      <c r="J541" s="1323"/>
      <c r="K541" s="1323"/>
      <c r="L541" s="1323"/>
      <c r="M541" s="1323"/>
      <c r="N541" s="1323"/>
      <c r="O541" s="1323"/>
      <c r="P541" s="1323"/>
      <c r="Q541" s="1323"/>
      <c r="R541" s="1304"/>
      <c r="S541" s="1304"/>
      <c r="T541" s="1304"/>
    </row>
    <row r="542" spans="1:20">
      <c r="A542" s="1303"/>
      <c r="B542" s="1322" t="s">
        <v>3341</v>
      </c>
      <c r="C542" s="1323" t="s">
        <v>3342</v>
      </c>
      <c r="D542" s="1324">
        <f t="shared" si="78"/>
        <v>41101</v>
      </c>
      <c r="E542" s="1323">
        <f t="shared" si="80"/>
        <v>8.1897000000000002</v>
      </c>
      <c r="F542" s="1323">
        <f t="shared" si="79"/>
        <v>8.8459582150567577</v>
      </c>
      <c r="G542" s="1323">
        <f t="shared" si="81"/>
        <v>2012</v>
      </c>
      <c r="H542" s="1323">
        <f t="shared" si="82"/>
        <v>7</v>
      </c>
      <c r="I542" s="1323">
        <f t="shared" si="83"/>
        <v>11</v>
      </c>
      <c r="J542" s="1323"/>
      <c r="K542" s="1323"/>
      <c r="L542" s="1323"/>
      <c r="M542" s="1323"/>
      <c r="N542" s="1323"/>
      <c r="O542" s="1323"/>
      <c r="P542" s="1323"/>
      <c r="Q542" s="1323"/>
      <c r="R542" s="1304"/>
      <c r="S542" s="1304"/>
      <c r="T542" s="1304"/>
    </row>
    <row r="543" spans="1:20">
      <c r="A543" s="1303"/>
      <c r="B543" s="1322" t="s">
        <v>3343</v>
      </c>
      <c r="C543" s="1323" t="s">
        <v>3344</v>
      </c>
      <c r="D543" s="1324">
        <f t="shared" si="78"/>
        <v>41100</v>
      </c>
      <c r="E543" s="1323">
        <f t="shared" si="80"/>
        <v>8.2276000000000007</v>
      </c>
      <c r="F543" s="1323">
        <f t="shared" si="79"/>
        <v>8.8442620552105531</v>
      </c>
      <c r="G543" s="1323">
        <f t="shared" si="81"/>
        <v>2012</v>
      </c>
      <c r="H543" s="1323">
        <f t="shared" si="82"/>
        <v>7</v>
      </c>
      <c r="I543" s="1323">
        <f t="shared" si="83"/>
        <v>10</v>
      </c>
      <c r="J543" s="1323"/>
      <c r="K543" s="1323"/>
      <c r="L543" s="1323"/>
      <c r="M543" s="1323"/>
      <c r="N543" s="1323"/>
      <c r="O543" s="1323"/>
      <c r="P543" s="1323"/>
      <c r="Q543" s="1323"/>
      <c r="R543" s="1304"/>
      <c r="S543" s="1304"/>
      <c r="T543" s="1304"/>
    </row>
    <row r="544" spans="1:20">
      <c r="A544" s="1303"/>
      <c r="B544" s="1322" t="s">
        <v>3345</v>
      </c>
      <c r="C544" s="1323" t="s">
        <v>3346</v>
      </c>
      <c r="D544" s="1324">
        <f t="shared" si="78"/>
        <v>41099</v>
      </c>
      <c r="E544" s="1323">
        <f t="shared" si="80"/>
        <v>8.2748000000000008</v>
      </c>
      <c r="F544" s="1323">
        <f t="shared" si="79"/>
        <v>8.8425662205929054</v>
      </c>
      <c r="G544" s="1323">
        <f t="shared" si="81"/>
        <v>2012</v>
      </c>
      <c r="H544" s="1323">
        <f t="shared" si="82"/>
        <v>7</v>
      </c>
      <c r="I544" s="1323">
        <f t="shared" si="83"/>
        <v>9</v>
      </c>
      <c r="J544" s="1323"/>
      <c r="K544" s="1323"/>
      <c r="L544" s="1323"/>
      <c r="M544" s="1323"/>
      <c r="N544" s="1323"/>
      <c r="O544" s="1323"/>
      <c r="P544" s="1323"/>
      <c r="Q544" s="1323"/>
      <c r="R544" s="1304"/>
      <c r="S544" s="1304"/>
      <c r="T544" s="1304"/>
    </row>
    <row r="545" spans="1:20">
      <c r="A545" s="1303"/>
      <c r="B545" s="1322" t="s">
        <v>3347</v>
      </c>
      <c r="C545" s="1323" t="s">
        <v>3348</v>
      </c>
      <c r="D545" s="1324">
        <f t="shared" si="78"/>
        <v>41096</v>
      </c>
      <c r="E545" s="1323">
        <f t="shared" si="80"/>
        <v>8.1595999999999993</v>
      </c>
      <c r="F545" s="1323">
        <f t="shared" si="79"/>
        <v>8.840870711141454</v>
      </c>
      <c r="G545" s="1323">
        <f t="shared" si="81"/>
        <v>2012</v>
      </c>
      <c r="H545" s="1323">
        <f t="shared" si="82"/>
        <v>7</v>
      </c>
      <c r="I545" s="1323">
        <f t="shared" si="83"/>
        <v>6</v>
      </c>
      <c r="J545" s="1323"/>
      <c r="K545" s="1323"/>
      <c r="L545" s="1323"/>
      <c r="M545" s="1323"/>
      <c r="N545" s="1323"/>
      <c r="O545" s="1323"/>
      <c r="P545" s="1323"/>
      <c r="Q545" s="1323"/>
      <c r="R545" s="1304"/>
      <c r="S545" s="1304"/>
      <c r="T545" s="1304"/>
    </row>
    <row r="546" spans="1:20">
      <c r="A546" s="1303"/>
      <c r="B546" s="1322" t="s">
        <v>3349</v>
      </c>
      <c r="C546" s="1323" t="s">
        <v>3350</v>
      </c>
      <c r="D546" s="1324">
        <f t="shared" si="78"/>
        <v>41095</v>
      </c>
      <c r="E546" s="1323">
        <f t="shared" si="80"/>
        <v>8.1574000000000009</v>
      </c>
      <c r="F546" s="1323">
        <f t="shared" si="79"/>
        <v>8.8391755267938485</v>
      </c>
      <c r="G546" s="1323">
        <f t="shared" si="81"/>
        <v>2012</v>
      </c>
      <c r="H546" s="1323">
        <f t="shared" si="82"/>
        <v>7</v>
      </c>
      <c r="I546" s="1323">
        <f t="shared" si="83"/>
        <v>5</v>
      </c>
      <c r="J546" s="1323"/>
      <c r="K546" s="1323"/>
      <c r="L546" s="1323"/>
      <c r="M546" s="1323"/>
      <c r="N546" s="1323"/>
      <c r="O546" s="1323"/>
      <c r="P546" s="1323"/>
      <c r="Q546" s="1323"/>
      <c r="R546" s="1304"/>
      <c r="S546" s="1304"/>
      <c r="T546" s="1304"/>
    </row>
    <row r="547" spans="1:20">
      <c r="A547" s="1303"/>
      <c r="B547" s="1322" t="s">
        <v>3351</v>
      </c>
      <c r="C547" s="1323" t="s">
        <v>3352</v>
      </c>
      <c r="D547" s="1324">
        <f t="shared" si="78"/>
        <v>41094</v>
      </c>
      <c r="E547" s="1323">
        <f t="shared" si="80"/>
        <v>8.1115999999999993</v>
      </c>
      <c r="F547" s="1323">
        <f t="shared" si="79"/>
        <v>8.8374806674877551</v>
      </c>
      <c r="G547" s="1323">
        <f t="shared" si="81"/>
        <v>2012</v>
      </c>
      <c r="H547" s="1323">
        <f t="shared" si="82"/>
        <v>7</v>
      </c>
      <c r="I547" s="1323">
        <f t="shared" si="83"/>
        <v>4</v>
      </c>
      <c r="J547" s="1323"/>
      <c r="K547" s="1323"/>
      <c r="L547" s="1323"/>
      <c r="M547" s="1323"/>
      <c r="N547" s="1323"/>
      <c r="O547" s="1323"/>
      <c r="P547" s="1323"/>
      <c r="Q547" s="1323"/>
      <c r="R547" s="1304"/>
      <c r="S547" s="1304"/>
      <c r="T547" s="1304"/>
    </row>
    <row r="548" spans="1:20">
      <c r="A548" s="1303"/>
      <c r="B548" s="1322" t="s">
        <v>3353</v>
      </c>
      <c r="C548" s="1323" t="s">
        <v>3354</v>
      </c>
      <c r="D548" s="1324">
        <f t="shared" si="78"/>
        <v>41093</v>
      </c>
      <c r="E548" s="1323">
        <f t="shared" si="80"/>
        <v>8.1297999999999995</v>
      </c>
      <c r="F548" s="1323">
        <f t="shared" si="79"/>
        <v>8.8357861331608465</v>
      </c>
      <c r="G548" s="1323">
        <f t="shared" si="81"/>
        <v>2012</v>
      </c>
      <c r="H548" s="1323">
        <f t="shared" si="82"/>
        <v>7</v>
      </c>
      <c r="I548" s="1323">
        <f t="shared" si="83"/>
        <v>3</v>
      </c>
      <c r="J548" s="1323"/>
      <c r="K548" s="1323"/>
      <c r="L548" s="1323"/>
      <c r="M548" s="1323"/>
      <c r="N548" s="1323"/>
      <c r="O548" s="1323"/>
      <c r="P548" s="1323"/>
      <c r="Q548" s="1323"/>
      <c r="R548" s="1304"/>
      <c r="S548" s="1304"/>
      <c r="T548" s="1304"/>
    </row>
    <row r="549" spans="1:20">
      <c r="A549" s="1303"/>
      <c r="B549" s="1322" t="s">
        <v>3355</v>
      </c>
      <c r="C549" s="1323" t="s">
        <v>3356</v>
      </c>
      <c r="D549" s="1324">
        <f t="shared" si="78"/>
        <v>41092</v>
      </c>
      <c r="E549" s="1323">
        <f t="shared" si="80"/>
        <v>8.1737000000000002</v>
      </c>
      <c r="F549" s="1323">
        <f t="shared" si="79"/>
        <v>8.8340919237508118</v>
      </c>
      <c r="G549" s="1323">
        <f t="shared" si="81"/>
        <v>2012</v>
      </c>
      <c r="H549" s="1323">
        <f t="shared" si="82"/>
        <v>7</v>
      </c>
      <c r="I549" s="1323">
        <f t="shared" si="83"/>
        <v>2</v>
      </c>
      <c r="J549" s="1323"/>
      <c r="K549" s="1323"/>
      <c r="L549" s="1323"/>
      <c r="M549" s="1323"/>
      <c r="N549" s="1323"/>
      <c r="O549" s="1323"/>
      <c r="P549" s="1323"/>
      <c r="Q549" s="1323"/>
      <c r="R549" s="1304"/>
      <c r="S549" s="1304"/>
      <c r="T549" s="1304"/>
    </row>
    <row r="550" spans="1:20">
      <c r="A550" s="1303"/>
      <c r="B550" s="1322" t="s">
        <v>3357</v>
      </c>
      <c r="C550" s="1323" t="s">
        <v>3358</v>
      </c>
      <c r="D550" s="1324">
        <f t="shared" si="78"/>
        <v>41089</v>
      </c>
      <c r="E550" s="1323">
        <f t="shared" si="80"/>
        <v>8.3074999999999992</v>
      </c>
      <c r="F550" s="1323">
        <f t="shared" si="79"/>
        <v>8.8323980391953487</v>
      </c>
      <c r="G550" s="1323">
        <f t="shared" si="81"/>
        <v>2012</v>
      </c>
      <c r="H550" s="1323">
        <f t="shared" si="82"/>
        <v>6</v>
      </c>
      <c r="I550" s="1323">
        <f t="shared" si="83"/>
        <v>29</v>
      </c>
      <c r="J550" s="1323"/>
      <c r="K550" s="1323"/>
      <c r="L550" s="1323"/>
      <c r="M550" s="1323"/>
      <c r="N550" s="1323"/>
      <c r="O550" s="1323"/>
      <c r="P550" s="1323"/>
      <c r="Q550" s="1323"/>
      <c r="R550" s="1304"/>
      <c r="S550" s="1304"/>
      <c r="T550" s="1304"/>
    </row>
    <row r="551" spans="1:20">
      <c r="A551" s="1303"/>
      <c r="B551" s="1322" t="s">
        <v>3359</v>
      </c>
      <c r="C551" s="1323" t="s">
        <v>3360</v>
      </c>
      <c r="D551" s="1324">
        <f t="shared" si="78"/>
        <v>41088</v>
      </c>
      <c r="E551" s="1323">
        <f t="shared" si="80"/>
        <v>8.4405000000000001</v>
      </c>
      <c r="F551" s="1323">
        <f t="shared" si="79"/>
        <v>8.8307044794321694</v>
      </c>
      <c r="G551" s="1323">
        <f t="shared" si="81"/>
        <v>2012</v>
      </c>
      <c r="H551" s="1323">
        <f t="shared" si="82"/>
        <v>6</v>
      </c>
      <c r="I551" s="1323">
        <f t="shared" si="83"/>
        <v>28</v>
      </c>
      <c r="J551" s="1323"/>
      <c r="K551" s="1323"/>
      <c r="L551" s="1323"/>
      <c r="M551" s="1323"/>
      <c r="N551" s="1323"/>
      <c r="O551" s="1323"/>
      <c r="P551" s="1323"/>
      <c r="Q551" s="1323"/>
      <c r="R551" s="1304"/>
      <c r="S551" s="1304"/>
      <c r="T551" s="1304"/>
    </row>
    <row r="552" spans="1:20">
      <c r="A552" s="1303"/>
      <c r="B552" s="1322" t="s">
        <v>3361</v>
      </c>
      <c r="C552" s="1323" t="s">
        <v>3362</v>
      </c>
      <c r="D552" s="1324">
        <f t="shared" si="78"/>
        <v>41087</v>
      </c>
      <c r="E552" s="1323">
        <f t="shared" si="80"/>
        <v>8.4261999999999997</v>
      </c>
      <c r="F552" s="1323">
        <f t="shared" si="79"/>
        <v>8.8290112443989965</v>
      </c>
      <c r="G552" s="1323">
        <f t="shared" si="81"/>
        <v>2012</v>
      </c>
      <c r="H552" s="1323">
        <f t="shared" si="82"/>
        <v>6</v>
      </c>
      <c r="I552" s="1323">
        <f t="shared" si="83"/>
        <v>27</v>
      </c>
      <c r="J552" s="1323"/>
      <c r="K552" s="1323"/>
      <c r="L552" s="1323"/>
      <c r="M552" s="1323"/>
      <c r="N552" s="1323"/>
      <c r="O552" s="1323"/>
      <c r="P552" s="1323"/>
      <c r="Q552" s="1323"/>
      <c r="R552" s="1304"/>
      <c r="S552" s="1304"/>
      <c r="T552" s="1304"/>
    </row>
    <row r="553" spans="1:20">
      <c r="A553" s="1303"/>
      <c r="B553" s="1322" t="s">
        <v>3363</v>
      </c>
      <c r="C553" s="1323" t="s">
        <v>3364</v>
      </c>
      <c r="D553" s="1324">
        <f t="shared" si="78"/>
        <v>41086</v>
      </c>
      <c r="E553" s="1323">
        <f t="shared" si="80"/>
        <v>8.4573999999999998</v>
      </c>
      <c r="F553" s="1323">
        <f t="shared" si="79"/>
        <v>8.8273183340335653</v>
      </c>
      <c r="G553" s="1323">
        <f t="shared" si="81"/>
        <v>2012</v>
      </c>
      <c r="H553" s="1323">
        <f t="shared" si="82"/>
        <v>6</v>
      </c>
      <c r="I553" s="1323">
        <f t="shared" si="83"/>
        <v>26</v>
      </c>
      <c r="J553" s="1323"/>
      <c r="K553" s="1323"/>
      <c r="L553" s="1323"/>
      <c r="M553" s="1323"/>
      <c r="N553" s="1323"/>
      <c r="O553" s="1323"/>
      <c r="P553" s="1323"/>
      <c r="Q553" s="1323"/>
      <c r="R553" s="1304"/>
      <c r="S553" s="1304"/>
      <c r="T553" s="1304"/>
    </row>
    <row r="554" spans="1:20">
      <c r="A554" s="1303"/>
      <c r="B554" s="1322" t="s">
        <v>3365</v>
      </c>
      <c r="C554" s="1323" t="s">
        <v>3366</v>
      </c>
      <c r="D554" s="1324">
        <f t="shared" si="78"/>
        <v>41085</v>
      </c>
      <c r="E554" s="1323">
        <f t="shared" si="80"/>
        <v>8.4484999999999992</v>
      </c>
      <c r="F554" s="1323">
        <f t="shared" si="79"/>
        <v>8.8256257482736213</v>
      </c>
      <c r="G554" s="1323">
        <f t="shared" si="81"/>
        <v>2012</v>
      </c>
      <c r="H554" s="1323">
        <f t="shared" si="82"/>
        <v>6</v>
      </c>
      <c r="I554" s="1323">
        <f t="shared" si="83"/>
        <v>25</v>
      </c>
      <c r="J554" s="1323"/>
      <c r="K554" s="1323"/>
      <c r="L554" s="1323"/>
      <c r="M554" s="1323"/>
      <c r="N554" s="1323"/>
      <c r="O554" s="1323"/>
      <c r="P554" s="1323"/>
      <c r="Q554" s="1323"/>
      <c r="R554" s="1304"/>
      <c r="S554" s="1304"/>
      <c r="T554" s="1304"/>
    </row>
    <row r="555" spans="1:20">
      <c r="A555" s="1303"/>
      <c r="B555" s="1322" t="s">
        <v>3367</v>
      </c>
      <c r="C555" s="1323" t="s">
        <v>3368</v>
      </c>
      <c r="D555" s="1324">
        <f t="shared" si="78"/>
        <v>41082</v>
      </c>
      <c r="E555" s="1323">
        <f t="shared" si="80"/>
        <v>8.3833000000000002</v>
      </c>
      <c r="F555" s="1323">
        <f t="shared" si="79"/>
        <v>8.8239334870569248</v>
      </c>
      <c r="G555" s="1323">
        <f t="shared" si="81"/>
        <v>2012</v>
      </c>
      <c r="H555" s="1323">
        <f t="shared" si="82"/>
        <v>6</v>
      </c>
      <c r="I555" s="1323">
        <f t="shared" si="83"/>
        <v>22</v>
      </c>
      <c r="J555" s="1323"/>
      <c r="K555" s="1323"/>
      <c r="L555" s="1323"/>
      <c r="M555" s="1323"/>
      <c r="N555" s="1323"/>
      <c r="O555" s="1323"/>
      <c r="P555" s="1323"/>
      <c r="Q555" s="1323"/>
      <c r="R555" s="1304"/>
      <c r="S555" s="1304"/>
      <c r="T555" s="1304"/>
    </row>
    <row r="556" spans="1:20">
      <c r="A556" s="1303"/>
      <c r="B556" s="1322" t="s">
        <v>3369</v>
      </c>
      <c r="C556" s="1323" t="s">
        <v>3370</v>
      </c>
      <c r="D556" s="1324">
        <f t="shared" si="78"/>
        <v>41081</v>
      </c>
      <c r="E556" s="1323">
        <f t="shared" si="80"/>
        <v>8.2615999999999996</v>
      </c>
      <c r="F556" s="1323">
        <f t="shared" si="79"/>
        <v>8.8222415503212464</v>
      </c>
      <c r="G556" s="1323">
        <f t="shared" si="81"/>
        <v>2012</v>
      </c>
      <c r="H556" s="1323">
        <f t="shared" si="82"/>
        <v>6</v>
      </c>
      <c r="I556" s="1323">
        <f t="shared" si="83"/>
        <v>21</v>
      </c>
      <c r="J556" s="1323"/>
      <c r="K556" s="1323"/>
      <c r="L556" s="1323"/>
      <c r="M556" s="1323"/>
      <c r="N556" s="1323"/>
      <c r="O556" s="1323"/>
      <c r="P556" s="1323"/>
      <c r="Q556" s="1323"/>
      <c r="R556" s="1304"/>
      <c r="S556" s="1304"/>
      <c r="T556" s="1304"/>
    </row>
    <row r="557" spans="1:20">
      <c r="A557" s="1303"/>
      <c r="B557" s="1322" t="s">
        <v>3371</v>
      </c>
      <c r="C557" s="1323" t="s">
        <v>3372</v>
      </c>
      <c r="D557" s="1324">
        <f t="shared" si="78"/>
        <v>41080</v>
      </c>
      <c r="E557" s="1323">
        <f t="shared" si="80"/>
        <v>8.2201000000000004</v>
      </c>
      <c r="F557" s="1323">
        <f t="shared" si="79"/>
        <v>8.820549938004369</v>
      </c>
      <c r="G557" s="1323">
        <f t="shared" si="81"/>
        <v>2012</v>
      </c>
      <c r="H557" s="1323">
        <f t="shared" si="82"/>
        <v>6</v>
      </c>
      <c r="I557" s="1323">
        <f t="shared" si="83"/>
        <v>20</v>
      </c>
      <c r="J557" s="1323"/>
      <c r="K557" s="1323"/>
      <c r="L557" s="1323"/>
      <c r="M557" s="1323"/>
      <c r="N557" s="1323"/>
      <c r="O557" s="1323"/>
      <c r="P557" s="1323"/>
      <c r="Q557" s="1323"/>
      <c r="R557" s="1304"/>
      <c r="S557" s="1304"/>
      <c r="T557" s="1304"/>
    </row>
    <row r="558" spans="1:20">
      <c r="A558" s="1303"/>
      <c r="B558" s="1322" t="s">
        <v>3373</v>
      </c>
      <c r="C558" s="1323" t="s">
        <v>3374</v>
      </c>
      <c r="D558" s="1324">
        <f t="shared" si="78"/>
        <v>41079</v>
      </c>
      <c r="E558" s="1323">
        <f t="shared" si="80"/>
        <v>8.3133999999999997</v>
      </c>
      <c r="F558" s="1323">
        <f t="shared" si="79"/>
        <v>8.8188586500440866</v>
      </c>
      <c r="G558" s="1323">
        <f t="shared" si="81"/>
        <v>2012</v>
      </c>
      <c r="H558" s="1323">
        <f t="shared" si="82"/>
        <v>6</v>
      </c>
      <c r="I558" s="1323">
        <f t="shared" si="83"/>
        <v>19</v>
      </c>
      <c r="J558" s="1323"/>
      <c r="K558" s="1323"/>
      <c r="L558" s="1323"/>
      <c r="M558" s="1323"/>
      <c r="N558" s="1323"/>
      <c r="O558" s="1323"/>
      <c r="P558" s="1323"/>
      <c r="Q558" s="1323"/>
      <c r="R558" s="1304"/>
      <c r="S558" s="1304"/>
      <c r="T558" s="1304"/>
    </row>
    <row r="559" spans="1:20">
      <c r="A559" s="1303"/>
      <c r="B559" s="1322" t="s">
        <v>3375</v>
      </c>
      <c r="C559" s="1323" t="s">
        <v>3376</v>
      </c>
      <c r="D559" s="1324">
        <f t="shared" si="78"/>
        <v>41078</v>
      </c>
      <c r="E559" s="1323">
        <f t="shared" si="80"/>
        <v>8.3218999999999994</v>
      </c>
      <c r="F559" s="1323">
        <f t="shared" si="79"/>
        <v>8.8171676863782054</v>
      </c>
      <c r="G559" s="1323">
        <f t="shared" si="81"/>
        <v>2012</v>
      </c>
      <c r="H559" s="1323">
        <f t="shared" si="82"/>
        <v>6</v>
      </c>
      <c r="I559" s="1323">
        <f t="shared" si="83"/>
        <v>18</v>
      </c>
      <c r="J559" s="1323"/>
      <c r="K559" s="1323"/>
      <c r="L559" s="1323"/>
      <c r="M559" s="1323"/>
      <c r="N559" s="1323"/>
      <c r="O559" s="1323"/>
      <c r="P559" s="1323"/>
      <c r="Q559" s="1323"/>
      <c r="R559" s="1304"/>
      <c r="S559" s="1304"/>
      <c r="T559" s="1304"/>
    </row>
    <row r="560" spans="1:20">
      <c r="A560" s="1303"/>
      <c r="B560" s="1322" t="s">
        <v>3377</v>
      </c>
      <c r="C560" s="1323" t="s">
        <v>3378</v>
      </c>
      <c r="D560" s="1324">
        <f t="shared" si="78"/>
        <v>41075</v>
      </c>
      <c r="E560" s="1323">
        <f t="shared" si="80"/>
        <v>8.3724000000000007</v>
      </c>
      <c r="F560" s="1323">
        <f t="shared" si="79"/>
        <v>8.8154770469445438</v>
      </c>
      <c r="G560" s="1323">
        <f t="shared" si="81"/>
        <v>2012</v>
      </c>
      <c r="H560" s="1323">
        <f t="shared" si="82"/>
        <v>6</v>
      </c>
      <c r="I560" s="1323">
        <f t="shared" si="83"/>
        <v>15</v>
      </c>
      <c r="J560" s="1323"/>
      <c r="K560" s="1323"/>
      <c r="L560" s="1323"/>
      <c r="M560" s="1323"/>
      <c r="N560" s="1323"/>
      <c r="O560" s="1323"/>
      <c r="P560" s="1323"/>
      <c r="Q560" s="1323"/>
      <c r="R560" s="1304"/>
      <c r="S560" s="1304"/>
      <c r="T560" s="1304"/>
    </row>
    <row r="561" spans="1:20">
      <c r="A561" s="1303"/>
      <c r="B561" s="1322" t="s">
        <v>3379</v>
      </c>
      <c r="C561" s="1323" t="s">
        <v>3380</v>
      </c>
      <c r="D561" s="1324">
        <f t="shared" si="78"/>
        <v>41074</v>
      </c>
      <c r="E561" s="1323">
        <f t="shared" si="80"/>
        <v>8.4151000000000007</v>
      </c>
      <c r="F561" s="1323">
        <f t="shared" si="79"/>
        <v>8.8137867316809331</v>
      </c>
      <c r="G561" s="1323">
        <f t="shared" si="81"/>
        <v>2012</v>
      </c>
      <c r="H561" s="1323">
        <f t="shared" si="82"/>
        <v>6</v>
      </c>
      <c r="I561" s="1323">
        <f t="shared" si="83"/>
        <v>14</v>
      </c>
      <c r="J561" s="1323"/>
      <c r="K561" s="1323"/>
      <c r="L561" s="1323"/>
      <c r="M561" s="1323"/>
      <c r="N561" s="1323"/>
      <c r="O561" s="1323"/>
      <c r="P561" s="1323"/>
      <c r="Q561" s="1323"/>
      <c r="R561" s="1304"/>
      <c r="S561" s="1304"/>
      <c r="T561" s="1304"/>
    </row>
    <row r="562" spans="1:20">
      <c r="A562" s="1303"/>
      <c r="B562" s="1322" t="s">
        <v>3381</v>
      </c>
      <c r="C562" s="1323" t="s">
        <v>3382</v>
      </c>
      <c r="D562" s="1324">
        <f t="shared" si="78"/>
        <v>41073</v>
      </c>
      <c r="E562" s="1323">
        <f t="shared" si="80"/>
        <v>8.3787000000000003</v>
      </c>
      <c r="F562" s="1323">
        <f t="shared" si="79"/>
        <v>8.8120967405252149</v>
      </c>
      <c r="G562" s="1323">
        <f t="shared" si="81"/>
        <v>2012</v>
      </c>
      <c r="H562" s="1323">
        <f t="shared" si="82"/>
        <v>6</v>
      </c>
      <c r="I562" s="1323">
        <f t="shared" si="83"/>
        <v>13</v>
      </c>
      <c r="J562" s="1323"/>
      <c r="K562" s="1323"/>
      <c r="L562" s="1323"/>
      <c r="M562" s="1323"/>
      <c r="N562" s="1323"/>
      <c r="O562" s="1323"/>
      <c r="P562" s="1323"/>
      <c r="Q562" s="1323"/>
      <c r="R562" s="1304"/>
      <c r="S562" s="1304"/>
      <c r="T562" s="1304"/>
    </row>
    <row r="563" spans="1:20">
      <c r="A563" s="1303"/>
      <c r="B563" s="1322" t="s">
        <v>3383</v>
      </c>
      <c r="C563" s="1323" t="s">
        <v>3384</v>
      </c>
      <c r="D563" s="1324">
        <f t="shared" si="78"/>
        <v>41072</v>
      </c>
      <c r="E563" s="1323">
        <f t="shared" si="80"/>
        <v>8.4367999999999999</v>
      </c>
      <c r="F563" s="1323">
        <f t="shared" si="79"/>
        <v>8.8104070734152451</v>
      </c>
      <c r="G563" s="1323">
        <f t="shared" si="81"/>
        <v>2012</v>
      </c>
      <c r="H563" s="1323">
        <f t="shared" si="82"/>
        <v>6</v>
      </c>
      <c r="I563" s="1323">
        <f t="shared" si="83"/>
        <v>12</v>
      </c>
      <c r="J563" s="1323"/>
      <c r="K563" s="1323"/>
      <c r="L563" s="1323"/>
      <c r="M563" s="1323"/>
      <c r="N563" s="1323"/>
      <c r="O563" s="1323"/>
      <c r="P563" s="1323"/>
      <c r="Q563" s="1323"/>
      <c r="R563" s="1304"/>
      <c r="S563" s="1304"/>
      <c r="T563" s="1304"/>
    </row>
    <row r="564" spans="1:20">
      <c r="A564" s="1303"/>
      <c r="B564" s="1322" t="s">
        <v>3385</v>
      </c>
      <c r="C564" s="1323" t="s">
        <v>3386</v>
      </c>
      <c r="D564" s="1324">
        <f t="shared" si="78"/>
        <v>41071</v>
      </c>
      <c r="E564" s="1323">
        <f t="shared" si="80"/>
        <v>8.2912999999999997</v>
      </c>
      <c r="F564" s="1323">
        <f t="shared" si="79"/>
        <v>8.8087177302888886</v>
      </c>
      <c r="G564" s="1323">
        <f t="shared" si="81"/>
        <v>2012</v>
      </c>
      <c r="H564" s="1323">
        <f t="shared" si="82"/>
        <v>6</v>
      </c>
      <c r="I564" s="1323">
        <f t="shared" si="83"/>
        <v>11</v>
      </c>
      <c r="J564" s="1323"/>
      <c r="K564" s="1323"/>
      <c r="L564" s="1323"/>
      <c r="M564" s="1323"/>
      <c r="N564" s="1323"/>
      <c r="O564" s="1323"/>
      <c r="P564" s="1323"/>
      <c r="Q564" s="1323"/>
      <c r="R564" s="1304"/>
      <c r="S564" s="1304"/>
      <c r="T564" s="1304"/>
    </row>
    <row r="565" spans="1:20">
      <c r="A565" s="1303"/>
      <c r="B565" s="1322" t="s">
        <v>3387</v>
      </c>
      <c r="C565" s="1323" t="s">
        <v>3388</v>
      </c>
      <c r="D565" s="1324">
        <f t="shared" si="78"/>
        <v>41068</v>
      </c>
      <c r="E565" s="1323">
        <f t="shared" si="80"/>
        <v>8.4913000000000007</v>
      </c>
      <c r="F565" s="1323">
        <f t="shared" si="79"/>
        <v>8.8070287110840226</v>
      </c>
      <c r="G565" s="1323">
        <f t="shared" si="81"/>
        <v>2012</v>
      </c>
      <c r="H565" s="1323">
        <f t="shared" si="82"/>
        <v>6</v>
      </c>
      <c r="I565" s="1323">
        <f t="shared" si="83"/>
        <v>8</v>
      </c>
      <c r="J565" s="1323"/>
      <c r="K565" s="1323"/>
      <c r="L565" s="1323"/>
      <c r="M565" s="1323"/>
      <c r="N565" s="1323"/>
      <c r="O565" s="1323"/>
      <c r="P565" s="1323"/>
      <c r="Q565" s="1323"/>
      <c r="R565" s="1304"/>
      <c r="S565" s="1304"/>
      <c r="T565" s="1304"/>
    </row>
    <row r="566" spans="1:20">
      <c r="A566" s="1303"/>
      <c r="B566" s="1322" t="s">
        <v>3389</v>
      </c>
      <c r="C566" s="1323" t="s">
        <v>3390</v>
      </c>
      <c r="D566" s="1324">
        <f t="shared" si="78"/>
        <v>41067</v>
      </c>
      <c r="E566" s="1323">
        <f t="shared" si="80"/>
        <v>8.3191000000000006</v>
      </c>
      <c r="F566" s="1323">
        <f t="shared" si="79"/>
        <v>8.8053400157385386</v>
      </c>
      <c r="G566" s="1323">
        <f t="shared" si="81"/>
        <v>2012</v>
      </c>
      <c r="H566" s="1323">
        <f t="shared" si="82"/>
        <v>6</v>
      </c>
      <c r="I566" s="1323">
        <f t="shared" si="83"/>
        <v>7</v>
      </c>
      <c r="J566" s="1323"/>
      <c r="K566" s="1323"/>
      <c r="L566" s="1323"/>
      <c r="M566" s="1323"/>
      <c r="N566" s="1323"/>
      <c r="O566" s="1323"/>
      <c r="P566" s="1323"/>
      <c r="Q566" s="1323"/>
      <c r="R566" s="1304"/>
      <c r="S566" s="1304"/>
      <c r="T566" s="1304"/>
    </row>
    <row r="567" spans="1:20">
      <c r="A567" s="1303"/>
      <c r="B567" s="1322" t="s">
        <v>3391</v>
      </c>
      <c r="C567" s="1323" t="s">
        <v>3392</v>
      </c>
      <c r="D567" s="1324">
        <f t="shared" si="78"/>
        <v>41066</v>
      </c>
      <c r="E567" s="1323">
        <f t="shared" si="80"/>
        <v>8.3968000000000007</v>
      </c>
      <c r="F567" s="1323">
        <f t="shared" si="79"/>
        <v>8.803651644190337</v>
      </c>
      <c r="G567" s="1323">
        <f t="shared" si="81"/>
        <v>2012</v>
      </c>
      <c r="H567" s="1323">
        <f t="shared" si="82"/>
        <v>6</v>
      </c>
      <c r="I567" s="1323">
        <f t="shared" si="83"/>
        <v>6</v>
      </c>
      <c r="J567" s="1323"/>
      <c r="K567" s="1323"/>
      <c r="L567" s="1323"/>
      <c r="M567" s="1323"/>
      <c r="N567" s="1323"/>
      <c r="O567" s="1323"/>
      <c r="P567" s="1323"/>
      <c r="Q567" s="1323"/>
      <c r="R567" s="1304"/>
      <c r="S567" s="1304"/>
      <c r="T567" s="1304"/>
    </row>
    <row r="568" spans="1:20">
      <c r="A568" s="1303"/>
      <c r="B568" s="1322" t="s">
        <v>3393</v>
      </c>
      <c r="C568" s="1323" t="s">
        <v>3394</v>
      </c>
      <c r="D568" s="1324">
        <f t="shared" si="78"/>
        <v>41065</v>
      </c>
      <c r="E568" s="1323">
        <f t="shared" si="80"/>
        <v>8.5024999999999995</v>
      </c>
      <c r="F568" s="1323">
        <f t="shared" si="79"/>
        <v>8.8019635963773322</v>
      </c>
      <c r="G568" s="1323">
        <f t="shared" si="81"/>
        <v>2012</v>
      </c>
      <c r="H568" s="1323">
        <f t="shared" si="82"/>
        <v>6</v>
      </c>
      <c r="I568" s="1323">
        <f t="shared" si="83"/>
        <v>5</v>
      </c>
      <c r="J568" s="1323"/>
      <c r="K568" s="1323"/>
      <c r="L568" s="1323"/>
      <c r="M568" s="1323"/>
      <c r="N568" s="1323"/>
      <c r="O568" s="1323"/>
      <c r="P568" s="1323"/>
      <c r="Q568" s="1323"/>
      <c r="R568" s="1304"/>
      <c r="S568" s="1304"/>
      <c r="T568" s="1304"/>
    </row>
    <row r="569" spans="1:20">
      <c r="A569" s="1303"/>
      <c r="B569" s="1322" t="s">
        <v>3395</v>
      </c>
      <c r="C569" s="1323" t="s">
        <v>3396</v>
      </c>
      <c r="D569" s="1324">
        <f t="shared" si="78"/>
        <v>41064</v>
      </c>
      <c r="E569" s="1323">
        <f t="shared" si="80"/>
        <v>8.5908999999999995</v>
      </c>
      <c r="F569" s="1323">
        <f t="shared" si="79"/>
        <v>8.8002758722374512</v>
      </c>
      <c r="G569" s="1323">
        <f t="shared" si="81"/>
        <v>2012</v>
      </c>
      <c r="H569" s="1323">
        <f t="shared" si="82"/>
        <v>6</v>
      </c>
      <c r="I569" s="1323">
        <f t="shared" si="83"/>
        <v>4</v>
      </c>
      <c r="J569" s="1323"/>
      <c r="K569" s="1323"/>
      <c r="L569" s="1323"/>
      <c r="M569" s="1323"/>
      <c r="N569" s="1323"/>
      <c r="O569" s="1323"/>
      <c r="P569" s="1323"/>
      <c r="Q569" s="1323"/>
      <c r="R569" s="1304"/>
      <c r="S569" s="1304"/>
      <c r="T569" s="1304"/>
    </row>
    <row r="570" spans="1:20">
      <c r="A570" s="1303"/>
      <c r="B570" s="1322" t="s">
        <v>3397</v>
      </c>
      <c r="C570" s="1323" t="s">
        <v>3398</v>
      </c>
      <c r="D570" s="1324">
        <f t="shared" si="78"/>
        <v>41061</v>
      </c>
      <c r="E570" s="1323">
        <f t="shared" si="80"/>
        <v>8.5670999999999999</v>
      </c>
      <c r="F570" s="1323">
        <f t="shared" si="79"/>
        <v>8.79858847170863</v>
      </c>
      <c r="G570" s="1323">
        <f t="shared" si="81"/>
        <v>2012</v>
      </c>
      <c r="H570" s="1323">
        <f t="shared" si="82"/>
        <v>6</v>
      </c>
      <c r="I570" s="1323">
        <f t="shared" si="83"/>
        <v>1</v>
      </c>
      <c r="J570" s="1323"/>
      <c r="K570" s="1323"/>
      <c r="L570" s="1323"/>
      <c r="M570" s="1323"/>
      <c r="N570" s="1323"/>
      <c r="O570" s="1323"/>
      <c r="P570" s="1323"/>
      <c r="Q570" s="1323"/>
      <c r="R570" s="1304"/>
      <c r="S570" s="1304"/>
      <c r="T570" s="1304"/>
    </row>
    <row r="571" spans="1:20">
      <c r="A571" s="1303"/>
      <c r="B571" s="1322" t="s">
        <v>3399</v>
      </c>
      <c r="C571" s="1323" t="s">
        <v>3400</v>
      </c>
      <c r="D571" s="1324">
        <f t="shared" si="78"/>
        <v>41060</v>
      </c>
      <c r="E571" s="1323">
        <f t="shared" si="80"/>
        <v>8.5206</v>
      </c>
      <c r="F571" s="1323">
        <f t="shared" si="79"/>
        <v>8.7969013947288186</v>
      </c>
      <c r="G571" s="1323">
        <f t="shared" si="81"/>
        <v>2012</v>
      </c>
      <c r="H571" s="1323">
        <f t="shared" si="82"/>
        <v>5</v>
      </c>
      <c r="I571" s="1323">
        <f t="shared" si="83"/>
        <v>31</v>
      </c>
      <c r="J571" s="1323"/>
      <c r="K571" s="1323"/>
      <c r="L571" s="1323"/>
      <c r="M571" s="1323"/>
      <c r="N571" s="1323"/>
      <c r="O571" s="1323"/>
      <c r="P571" s="1323"/>
      <c r="Q571" s="1323"/>
      <c r="R571" s="1304"/>
      <c r="S571" s="1304"/>
      <c r="T571" s="1304"/>
    </row>
    <row r="572" spans="1:20">
      <c r="A572" s="1303"/>
      <c r="B572" s="1322" t="s">
        <v>3401</v>
      </c>
      <c r="C572" s="1323" t="s">
        <v>3402</v>
      </c>
      <c r="D572" s="1324">
        <f t="shared" si="78"/>
        <v>41059</v>
      </c>
      <c r="E572" s="1323">
        <f t="shared" si="80"/>
        <v>8.4055</v>
      </c>
      <c r="F572" s="1323">
        <f t="shared" si="79"/>
        <v>8.7952146412359777</v>
      </c>
      <c r="G572" s="1323">
        <f t="shared" si="81"/>
        <v>2012</v>
      </c>
      <c r="H572" s="1323">
        <f t="shared" si="82"/>
        <v>5</v>
      </c>
      <c r="I572" s="1323">
        <f t="shared" si="83"/>
        <v>30</v>
      </c>
      <c r="J572" s="1323"/>
      <c r="K572" s="1323"/>
      <c r="L572" s="1323"/>
      <c r="M572" s="1323"/>
      <c r="N572" s="1323"/>
      <c r="O572" s="1323"/>
      <c r="P572" s="1323"/>
      <c r="Q572" s="1323"/>
      <c r="R572" s="1304"/>
      <c r="S572" s="1304"/>
      <c r="T572" s="1304"/>
    </row>
    <row r="573" spans="1:20">
      <c r="A573" s="1303"/>
      <c r="B573" s="1322" t="s">
        <v>3403</v>
      </c>
      <c r="C573" s="1323" t="s">
        <v>3404</v>
      </c>
      <c r="D573" s="1324">
        <f t="shared" si="78"/>
        <v>41058</v>
      </c>
      <c r="E573" s="1323">
        <f t="shared" si="80"/>
        <v>8.3155999999999999</v>
      </c>
      <c r="F573" s="1323">
        <f t="shared" si="79"/>
        <v>8.7935282111680824</v>
      </c>
      <c r="G573" s="1323">
        <f t="shared" si="81"/>
        <v>2012</v>
      </c>
      <c r="H573" s="1323">
        <f t="shared" si="82"/>
        <v>5</v>
      </c>
      <c r="I573" s="1323">
        <f t="shared" si="83"/>
        <v>29</v>
      </c>
      <c r="J573" s="1323"/>
      <c r="K573" s="1323"/>
      <c r="L573" s="1323"/>
      <c r="M573" s="1323"/>
      <c r="N573" s="1323"/>
      <c r="O573" s="1323"/>
      <c r="P573" s="1323"/>
      <c r="Q573" s="1323"/>
      <c r="R573" s="1304"/>
      <c r="S573" s="1304"/>
      <c r="T573" s="1304"/>
    </row>
    <row r="574" spans="1:20">
      <c r="A574" s="1303"/>
      <c r="B574" s="1322" t="s">
        <v>3405</v>
      </c>
      <c r="C574" s="1323" t="s">
        <v>3406</v>
      </c>
      <c r="D574" s="1324">
        <f t="shared" si="78"/>
        <v>41057</v>
      </c>
      <c r="E574" s="1323">
        <f t="shared" si="80"/>
        <v>8.3209999999999997</v>
      </c>
      <c r="F574" s="1323">
        <f t="shared" si="79"/>
        <v>8.7918421044631163</v>
      </c>
      <c r="G574" s="1323">
        <f t="shared" si="81"/>
        <v>2012</v>
      </c>
      <c r="H574" s="1323">
        <f t="shared" si="82"/>
        <v>5</v>
      </c>
      <c r="I574" s="1323">
        <f t="shared" si="83"/>
        <v>28</v>
      </c>
      <c r="J574" s="1323"/>
      <c r="K574" s="1323"/>
      <c r="L574" s="1323"/>
      <c r="M574" s="1323"/>
      <c r="N574" s="1323"/>
      <c r="O574" s="1323"/>
      <c r="P574" s="1323"/>
      <c r="Q574" s="1323"/>
      <c r="R574" s="1304"/>
      <c r="S574" s="1304"/>
      <c r="T574" s="1304"/>
    </row>
    <row r="575" spans="1:20">
      <c r="A575" s="1303"/>
      <c r="B575" s="1322" t="s">
        <v>3407</v>
      </c>
      <c r="C575" s="1323" t="s">
        <v>3408</v>
      </c>
      <c r="D575" s="1324">
        <f t="shared" si="78"/>
        <v>41054</v>
      </c>
      <c r="E575" s="1323">
        <f t="shared" si="80"/>
        <v>8.3224999999999998</v>
      </c>
      <c r="F575" s="1323">
        <f t="shared" si="79"/>
        <v>8.7901563210590776</v>
      </c>
      <c r="G575" s="1323">
        <f t="shared" si="81"/>
        <v>2012</v>
      </c>
      <c r="H575" s="1323">
        <f t="shared" si="82"/>
        <v>5</v>
      </c>
      <c r="I575" s="1323">
        <f t="shared" si="83"/>
        <v>25</v>
      </c>
      <c r="J575" s="1323"/>
      <c r="K575" s="1323"/>
      <c r="L575" s="1323"/>
      <c r="M575" s="1323"/>
      <c r="N575" s="1323"/>
      <c r="O575" s="1323"/>
      <c r="P575" s="1323"/>
      <c r="Q575" s="1323"/>
      <c r="R575" s="1304"/>
      <c r="S575" s="1304"/>
      <c r="T575" s="1304"/>
    </row>
    <row r="576" spans="1:20">
      <c r="A576" s="1303"/>
      <c r="B576" s="1322" t="s">
        <v>3409</v>
      </c>
      <c r="C576" s="1323" t="s">
        <v>3410</v>
      </c>
      <c r="D576" s="1324">
        <f t="shared" si="78"/>
        <v>41053</v>
      </c>
      <c r="E576" s="1323">
        <f t="shared" si="80"/>
        <v>8.4100999999999999</v>
      </c>
      <c r="F576" s="1323">
        <f t="shared" si="79"/>
        <v>8.788470860893975</v>
      </c>
      <c r="G576" s="1323">
        <f t="shared" si="81"/>
        <v>2012</v>
      </c>
      <c r="H576" s="1323">
        <f t="shared" si="82"/>
        <v>5</v>
      </c>
      <c r="I576" s="1323">
        <f t="shared" si="83"/>
        <v>24</v>
      </c>
      <c r="J576" s="1323"/>
      <c r="K576" s="1323"/>
      <c r="L576" s="1323"/>
      <c r="M576" s="1323"/>
      <c r="N576" s="1323"/>
      <c r="O576" s="1323"/>
      <c r="P576" s="1323"/>
      <c r="Q576" s="1323"/>
      <c r="R576" s="1304"/>
      <c r="S576" s="1304"/>
      <c r="T576" s="1304"/>
    </row>
    <row r="577" spans="1:20">
      <c r="A577" s="1303"/>
      <c r="B577" s="1322" t="s">
        <v>3411</v>
      </c>
      <c r="C577" s="1323" t="s">
        <v>3412</v>
      </c>
      <c r="D577" s="1324">
        <f t="shared" si="78"/>
        <v>41052</v>
      </c>
      <c r="E577" s="1323">
        <f t="shared" si="80"/>
        <v>8.4099000000000004</v>
      </c>
      <c r="F577" s="1323">
        <f t="shared" si="79"/>
        <v>8.7867857239058278</v>
      </c>
      <c r="G577" s="1323">
        <f t="shared" si="81"/>
        <v>2012</v>
      </c>
      <c r="H577" s="1323">
        <f t="shared" si="82"/>
        <v>5</v>
      </c>
      <c r="I577" s="1323">
        <f t="shared" si="83"/>
        <v>23</v>
      </c>
      <c r="J577" s="1323"/>
      <c r="K577" s="1323"/>
      <c r="L577" s="1323"/>
      <c r="M577" s="1323"/>
      <c r="N577" s="1323"/>
      <c r="O577" s="1323"/>
      <c r="P577" s="1323"/>
      <c r="Q577" s="1323"/>
      <c r="R577" s="1304"/>
      <c r="S577" s="1304"/>
      <c r="T577" s="1304"/>
    </row>
    <row r="578" spans="1:20">
      <c r="A578" s="1303"/>
      <c r="B578" s="1322" t="s">
        <v>3413</v>
      </c>
      <c r="C578" s="1323" t="s">
        <v>3414</v>
      </c>
      <c r="D578" s="1324">
        <f t="shared" si="78"/>
        <v>41051</v>
      </c>
      <c r="E578" s="1323">
        <f t="shared" si="80"/>
        <v>8.2393000000000001</v>
      </c>
      <c r="F578" s="1323">
        <f t="shared" si="79"/>
        <v>8.7851009100326714</v>
      </c>
      <c r="G578" s="1323">
        <f t="shared" si="81"/>
        <v>2012</v>
      </c>
      <c r="H578" s="1323">
        <f t="shared" si="82"/>
        <v>5</v>
      </c>
      <c r="I578" s="1323">
        <f t="shared" si="83"/>
        <v>22</v>
      </c>
      <c r="J578" s="1323"/>
      <c r="K578" s="1323"/>
      <c r="L578" s="1323"/>
      <c r="M578" s="1323"/>
      <c r="N578" s="1323"/>
      <c r="O578" s="1323"/>
      <c r="P578" s="1323"/>
      <c r="Q578" s="1323"/>
      <c r="R578" s="1304"/>
      <c r="S578" s="1304"/>
      <c r="T578" s="1304"/>
    </row>
    <row r="579" spans="1:20">
      <c r="A579" s="1303"/>
      <c r="B579" s="1322" t="s">
        <v>3415</v>
      </c>
      <c r="C579" s="1323" t="s">
        <v>3416</v>
      </c>
      <c r="D579" s="1324">
        <f t="shared" si="78"/>
        <v>41050</v>
      </c>
      <c r="E579" s="1323">
        <f t="shared" si="80"/>
        <v>8.2707999999999995</v>
      </c>
      <c r="F579" s="1323">
        <f t="shared" si="79"/>
        <v>8.7834164192125481</v>
      </c>
      <c r="G579" s="1323">
        <f t="shared" si="81"/>
        <v>2012</v>
      </c>
      <c r="H579" s="1323">
        <f t="shared" si="82"/>
        <v>5</v>
      </c>
      <c r="I579" s="1323">
        <f t="shared" si="83"/>
        <v>21</v>
      </c>
      <c r="J579" s="1323"/>
      <c r="K579" s="1323"/>
      <c r="L579" s="1323"/>
      <c r="M579" s="1323"/>
      <c r="N579" s="1323"/>
      <c r="O579" s="1323"/>
      <c r="P579" s="1323"/>
      <c r="Q579" s="1323"/>
      <c r="R579" s="1304"/>
      <c r="S579" s="1304"/>
      <c r="T579" s="1304"/>
    </row>
    <row r="580" spans="1:20">
      <c r="A580" s="1303"/>
      <c r="B580" s="1322" t="s">
        <v>3417</v>
      </c>
      <c r="C580" s="1323" t="s">
        <v>3418</v>
      </c>
      <c r="D580" s="1324">
        <f t="shared" si="78"/>
        <v>41047</v>
      </c>
      <c r="E580" s="1323">
        <f t="shared" si="80"/>
        <v>8.3523999999999994</v>
      </c>
      <c r="F580" s="1323">
        <f t="shared" si="79"/>
        <v>8.7817322513835148</v>
      </c>
      <c r="G580" s="1323">
        <f t="shared" si="81"/>
        <v>2012</v>
      </c>
      <c r="H580" s="1323">
        <f t="shared" si="82"/>
        <v>5</v>
      </c>
      <c r="I580" s="1323">
        <f t="shared" si="83"/>
        <v>18</v>
      </c>
      <c r="J580" s="1323"/>
      <c r="K580" s="1323"/>
      <c r="L580" s="1323"/>
      <c r="M580" s="1323"/>
      <c r="N580" s="1323"/>
      <c r="O580" s="1323"/>
      <c r="P580" s="1323"/>
      <c r="Q580" s="1323"/>
      <c r="R580" s="1304"/>
      <c r="S580" s="1304"/>
      <c r="T580" s="1304"/>
    </row>
    <row r="581" spans="1:20">
      <c r="A581" s="1303"/>
      <c r="B581" s="1322" t="s">
        <v>3419</v>
      </c>
      <c r="C581" s="1323" t="s">
        <v>3420</v>
      </c>
      <c r="D581" s="1324">
        <f t="shared" si="78"/>
        <v>41046</v>
      </c>
      <c r="E581" s="1323">
        <f t="shared" si="80"/>
        <v>8.2855000000000008</v>
      </c>
      <c r="F581" s="1323">
        <f t="shared" si="79"/>
        <v>8.7800484064836404</v>
      </c>
      <c r="G581" s="1323">
        <f t="shared" si="81"/>
        <v>2012</v>
      </c>
      <c r="H581" s="1323">
        <f t="shared" si="82"/>
        <v>5</v>
      </c>
      <c r="I581" s="1323">
        <f t="shared" si="83"/>
        <v>17</v>
      </c>
      <c r="J581" s="1323"/>
      <c r="K581" s="1323"/>
      <c r="L581" s="1323"/>
      <c r="M581" s="1323"/>
      <c r="N581" s="1323"/>
      <c r="O581" s="1323"/>
      <c r="P581" s="1323"/>
      <c r="Q581" s="1323"/>
      <c r="R581" s="1304"/>
      <c r="S581" s="1304"/>
      <c r="T581" s="1304"/>
    </row>
    <row r="582" spans="1:20">
      <c r="A582" s="1303"/>
      <c r="B582" s="1322" t="s">
        <v>3421</v>
      </c>
      <c r="C582" s="1323" t="s">
        <v>3422</v>
      </c>
      <c r="D582" s="1324">
        <f t="shared" si="78"/>
        <v>41045</v>
      </c>
      <c r="E582" s="1323">
        <f t="shared" si="80"/>
        <v>8.3335000000000008</v>
      </c>
      <c r="F582" s="1323">
        <f t="shared" si="79"/>
        <v>8.7783648844510065</v>
      </c>
      <c r="G582" s="1323">
        <f t="shared" si="81"/>
        <v>2012</v>
      </c>
      <c r="H582" s="1323">
        <f t="shared" si="82"/>
        <v>5</v>
      </c>
      <c r="I582" s="1323">
        <f t="shared" si="83"/>
        <v>16</v>
      </c>
      <c r="J582" s="1323"/>
      <c r="K582" s="1323"/>
      <c r="L582" s="1323"/>
      <c r="M582" s="1323"/>
      <c r="N582" s="1323"/>
      <c r="O582" s="1323"/>
      <c r="P582" s="1323"/>
      <c r="Q582" s="1323"/>
      <c r="R582" s="1304"/>
      <c r="S582" s="1304"/>
      <c r="T582" s="1304"/>
    </row>
    <row r="583" spans="1:20">
      <c r="A583" s="1303"/>
      <c r="B583" s="1322" t="s">
        <v>3423</v>
      </c>
      <c r="C583" s="1323" t="s">
        <v>3424</v>
      </c>
      <c r="D583" s="1324">
        <f t="shared" si="78"/>
        <v>41044</v>
      </c>
      <c r="E583" s="1323">
        <f t="shared" si="80"/>
        <v>8.1687999999999992</v>
      </c>
      <c r="F583" s="1323">
        <f t="shared" si="79"/>
        <v>8.7766816852237035</v>
      </c>
      <c r="G583" s="1323">
        <f t="shared" si="81"/>
        <v>2012</v>
      </c>
      <c r="H583" s="1323">
        <f t="shared" si="82"/>
        <v>5</v>
      </c>
      <c r="I583" s="1323">
        <f t="shared" si="83"/>
        <v>15</v>
      </c>
      <c r="J583" s="1323"/>
      <c r="K583" s="1323"/>
      <c r="L583" s="1323"/>
      <c r="M583" s="1323"/>
      <c r="N583" s="1323"/>
      <c r="O583" s="1323"/>
      <c r="P583" s="1323"/>
      <c r="Q583" s="1323"/>
      <c r="R583" s="1304"/>
      <c r="S583" s="1304"/>
      <c r="T583" s="1304"/>
    </row>
    <row r="584" spans="1:20">
      <c r="A584" s="1303"/>
      <c r="B584" s="1322" t="s">
        <v>3425</v>
      </c>
      <c r="C584" s="1323" t="s">
        <v>3426</v>
      </c>
      <c r="D584" s="1324">
        <f t="shared" si="78"/>
        <v>41043</v>
      </c>
      <c r="E584" s="1323">
        <f t="shared" si="80"/>
        <v>8.1913999999999998</v>
      </c>
      <c r="F584" s="1323">
        <f t="shared" si="79"/>
        <v>8.7749988087398361</v>
      </c>
      <c r="G584" s="1323">
        <f t="shared" si="81"/>
        <v>2012</v>
      </c>
      <c r="H584" s="1323">
        <f t="shared" si="82"/>
        <v>5</v>
      </c>
      <c r="I584" s="1323">
        <f t="shared" si="83"/>
        <v>14</v>
      </c>
      <c r="J584" s="1323"/>
      <c r="K584" s="1323"/>
      <c r="L584" s="1323"/>
      <c r="M584" s="1323"/>
      <c r="N584" s="1323"/>
      <c r="O584" s="1323"/>
      <c r="P584" s="1323"/>
      <c r="Q584" s="1323"/>
      <c r="R584" s="1304"/>
      <c r="S584" s="1304"/>
      <c r="T584" s="1304"/>
    </row>
    <row r="585" spans="1:20">
      <c r="A585" s="1303"/>
      <c r="B585" s="1322" t="s">
        <v>3427</v>
      </c>
      <c r="C585" s="1323" t="s">
        <v>3428</v>
      </c>
      <c r="D585" s="1324">
        <f t="shared" ref="D585:D648" si="84">DATE(G585,H585,I585)</f>
        <v>41040</v>
      </c>
      <c r="E585" s="1323">
        <f t="shared" si="80"/>
        <v>8.0866000000000007</v>
      </c>
      <c r="F585" s="1323">
        <f t="shared" ref="F585:F648" si="85">F586*(1+$F$7/365)</f>
        <v>8.7733162549375194</v>
      </c>
      <c r="G585" s="1323">
        <f t="shared" si="81"/>
        <v>2012</v>
      </c>
      <c r="H585" s="1323">
        <f t="shared" si="82"/>
        <v>5</v>
      </c>
      <c r="I585" s="1323">
        <f t="shared" si="83"/>
        <v>11</v>
      </c>
      <c r="J585" s="1323"/>
      <c r="K585" s="1323"/>
      <c r="L585" s="1323"/>
      <c r="M585" s="1323"/>
      <c r="N585" s="1323"/>
      <c r="O585" s="1323"/>
      <c r="P585" s="1323"/>
      <c r="Q585" s="1323"/>
      <c r="R585" s="1304"/>
      <c r="S585" s="1304"/>
      <c r="T585" s="1304"/>
    </row>
    <row r="586" spans="1:20">
      <c r="A586" s="1303"/>
      <c r="B586" s="1322" t="s">
        <v>3429</v>
      </c>
      <c r="C586" s="1323" t="s">
        <v>3430</v>
      </c>
      <c r="D586" s="1324">
        <f t="shared" si="84"/>
        <v>41039</v>
      </c>
      <c r="E586" s="1323">
        <f t="shared" si="80"/>
        <v>8.0286000000000008</v>
      </c>
      <c r="F586" s="1323">
        <f t="shared" si="85"/>
        <v>8.7716340237548813</v>
      </c>
      <c r="G586" s="1323">
        <f t="shared" si="81"/>
        <v>2012</v>
      </c>
      <c r="H586" s="1323">
        <f t="shared" si="82"/>
        <v>5</v>
      </c>
      <c r="I586" s="1323">
        <f t="shared" si="83"/>
        <v>10</v>
      </c>
      <c r="J586" s="1323"/>
      <c r="K586" s="1323"/>
      <c r="L586" s="1323"/>
      <c r="M586" s="1323"/>
      <c r="N586" s="1323"/>
      <c r="O586" s="1323"/>
      <c r="P586" s="1323"/>
      <c r="Q586" s="1323"/>
      <c r="R586" s="1304"/>
      <c r="S586" s="1304"/>
      <c r="T586" s="1304"/>
    </row>
    <row r="587" spans="1:20">
      <c r="A587" s="1303"/>
      <c r="B587" s="1322" t="s">
        <v>3431</v>
      </c>
      <c r="C587" s="1323" t="s">
        <v>3432</v>
      </c>
      <c r="D587" s="1324">
        <f t="shared" si="84"/>
        <v>41038</v>
      </c>
      <c r="E587" s="1323">
        <f t="shared" si="80"/>
        <v>7.9423000000000004</v>
      </c>
      <c r="F587" s="1323">
        <f t="shared" si="85"/>
        <v>8.7699521151300619</v>
      </c>
      <c r="G587" s="1323">
        <f t="shared" si="81"/>
        <v>2012</v>
      </c>
      <c r="H587" s="1323">
        <f t="shared" si="82"/>
        <v>5</v>
      </c>
      <c r="I587" s="1323">
        <f t="shared" si="83"/>
        <v>9</v>
      </c>
      <c r="J587" s="1323"/>
      <c r="K587" s="1323"/>
      <c r="L587" s="1323"/>
      <c r="M587" s="1323"/>
      <c r="N587" s="1323"/>
      <c r="O587" s="1323"/>
      <c r="P587" s="1323"/>
      <c r="Q587" s="1323"/>
      <c r="R587" s="1304"/>
      <c r="S587" s="1304"/>
      <c r="T587" s="1304"/>
    </row>
    <row r="588" spans="1:20">
      <c r="A588" s="1303"/>
      <c r="B588" s="1322" t="s">
        <v>3433</v>
      </c>
      <c r="C588" s="1323" t="s">
        <v>3434</v>
      </c>
      <c r="D588" s="1324">
        <f t="shared" si="84"/>
        <v>41037</v>
      </c>
      <c r="E588" s="1323">
        <f t="shared" si="80"/>
        <v>7.8505000000000003</v>
      </c>
      <c r="F588" s="1323">
        <f t="shared" si="85"/>
        <v>8.768270529001212</v>
      </c>
      <c r="G588" s="1323">
        <f t="shared" si="81"/>
        <v>2012</v>
      </c>
      <c r="H588" s="1323">
        <f t="shared" si="82"/>
        <v>5</v>
      </c>
      <c r="I588" s="1323">
        <f t="shared" si="83"/>
        <v>8</v>
      </c>
      <c r="J588" s="1323"/>
      <c r="K588" s="1323"/>
      <c r="L588" s="1323"/>
      <c r="M588" s="1323"/>
      <c r="N588" s="1323"/>
      <c r="O588" s="1323"/>
      <c r="P588" s="1323"/>
      <c r="Q588" s="1323"/>
      <c r="R588" s="1304"/>
      <c r="S588" s="1304"/>
      <c r="T588" s="1304"/>
    </row>
    <row r="589" spans="1:20">
      <c r="A589" s="1303"/>
      <c r="B589" s="1322" t="s">
        <v>3435</v>
      </c>
      <c r="C589" s="1323" t="s">
        <v>3436</v>
      </c>
      <c r="D589" s="1324">
        <f t="shared" si="84"/>
        <v>41036</v>
      </c>
      <c r="E589" s="1323">
        <f t="shared" si="80"/>
        <v>7.8375000000000004</v>
      </c>
      <c r="F589" s="1323">
        <f t="shared" si="85"/>
        <v>8.7665892653064947</v>
      </c>
      <c r="G589" s="1323">
        <f t="shared" si="81"/>
        <v>2012</v>
      </c>
      <c r="H589" s="1323">
        <f t="shared" si="82"/>
        <v>5</v>
      </c>
      <c r="I589" s="1323">
        <f t="shared" si="83"/>
        <v>7</v>
      </c>
      <c r="J589" s="1323"/>
      <c r="K589" s="1323"/>
      <c r="L589" s="1323"/>
      <c r="M589" s="1323"/>
      <c r="N589" s="1323"/>
      <c r="O589" s="1323"/>
      <c r="P589" s="1323"/>
      <c r="Q589" s="1323"/>
      <c r="R589" s="1304"/>
      <c r="S589" s="1304"/>
      <c r="T589" s="1304"/>
    </row>
    <row r="590" spans="1:20">
      <c r="A590" s="1303"/>
      <c r="B590" s="1322" t="s">
        <v>3437</v>
      </c>
      <c r="C590" s="1323" t="s">
        <v>3438</v>
      </c>
      <c r="D590" s="1324">
        <f t="shared" si="84"/>
        <v>41033</v>
      </c>
      <c r="E590" s="1323">
        <f t="shared" si="80"/>
        <v>7.7470999999999997</v>
      </c>
      <c r="F590" s="1323">
        <f t="shared" si="85"/>
        <v>8.7649083239840859</v>
      </c>
      <c r="G590" s="1323">
        <f t="shared" si="81"/>
        <v>2012</v>
      </c>
      <c r="H590" s="1323">
        <f t="shared" si="82"/>
        <v>5</v>
      </c>
      <c r="I590" s="1323">
        <f t="shared" si="83"/>
        <v>4</v>
      </c>
      <c r="J590" s="1323"/>
      <c r="K590" s="1323"/>
      <c r="L590" s="1323"/>
      <c r="M590" s="1323"/>
      <c r="N590" s="1323"/>
      <c r="O590" s="1323"/>
      <c r="P590" s="1323"/>
      <c r="Q590" s="1323"/>
      <c r="R590" s="1304"/>
      <c r="S590" s="1304"/>
      <c r="T590" s="1304"/>
    </row>
    <row r="591" spans="1:20">
      <c r="A591" s="1303"/>
      <c r="B591" s="1322" t="s">
        <v>3439</v>
      </c>
      <c r="C591" s="1323" t="s">
        <v>3440</v>
      </c>
      <c r="D591" s="1324">
        <f t="shared" si="84"/>
        <v>41032</v>
      </c>
      <c r="E591" s="1323">
        <f t="shared" si="80"/>
        <v>7.7313999999999998</v>
      </c>
      <c r="F591" s="1323">
        <f t="shared" si="85"/>
        <v>8.7632277049721736</v>
      </c>
      <c r="G591" s="1323">
        <f t="shared" si="81"/>
        <v>2012</v>
      </c>
      <c r="H591" s="1323">
        <f t="shared" si="82"/>
        <v>5</v>
      </c>
      <c r="I591" s="1323">
        <f t="shared" si="83"/>
        <v>3</v>
      </c>
      <c r="J591" s="1323"/>
      <c r="K591" s="1323"/>
      <c r="L591" s="1323"/>
      <c r="M591" s="1323"/>
      <c r="N591" s="1323"/>
      <c r="O591" s="1323"/>
      <c r="P591" s="1323"/>
      <c r="Q591" s="1323"/>
      <c r="R591" s="1304"/>
      <c r="S591" s="1304"/>
      <c r="T591" s="1304"/>
    </row>
    <row r="592" spans="1:20">
      <c r="A592" s="1303"/>
      <c r="B592" s="1322" t="s">
        <v>3441</v>
      </c>
      <c r="C592" s="1323" t="s">
        <v>3442</v>
      </c>
      <c r="D592" s="1324">
        <f t="shared" si="84"/>
        <v>41031</v>
      </c>
      <c r="E592" s="1323">
        <f t="shared" si="80"/>
        <v>7.7423000000000002</v>
      </c>
      <c r="F592" s="1323">
        <f t="shared" si="85"/>
        <v>8.7615474082089548</v>
      </c>
      <c r="G592" s="1323">
        <f t="shared" si="81"/>
        <v>2012</v>
      </c>
      <c r="H592" s="1323">
        <f t="shared" si="82"/>
        <v>5</v>
      </c>
      <c r="I592" s="1323">
        <f t="shared" si="83"/>
        <v>2</v>
      </c>
      <c r="J592" s="1323"/>
      <c r="K592" s="1323"/>
      <c r="L592" s="1323"/>
      <c r="M592" s="1323"/>
      <c r="N592" s="1323"/>
      <c r="O592" s="1323"/>
      <c r="P592" s="1323"/>
      <c r="Q592" s="1323"/>
      <c r="R592" s="1304"/>
      <c r="S592" s="1304"/>
      <c r="T592" s="1304"/>
    </row>
    <row r="593" spans="1:20">
      <c r="A593" s="1303"/>
      <c r="B593" s="1322" t="s">
        <v>3443</v>
      </c>
      <c r="C593" s="1323" t="s">
        <v>3444</v>
      </c>
      <c r="D593" s="1324">
        <f t="shared" si="84"/>
        <v>41029</v>
      </c>
      <c r="E593" s="1323">
        <f t="shared" si="80"/>
        <v>7.7422000000000004</v>
      </c>
      <c r="F593" s="1323">
        <f t="shared" si="85"/>
        <v>8.7598674336326408</v>
      </c>
      <c r="G593" s="1323">
        <f t="shared" si="81"/>
        <v>2012</v>
      </c>
      <c r="H593" s="1323">
        <f t="shared" si="82"/>
        <v>4</v>
      </c>
      <c r="I593" s="1323">
        <f t="shared" si="83"/>
        <v>30</v>
      </c>
      <c r="J593" s="1323"/>
      <c r="K593" s="1323"/>
      <c r="L593" s="1323"/>
      <c r="M593" s="1323"/>
      <c r="N593" s="1323"/>
      <c r="O593" s="1323"/>
      <c r="P593" s="1323"/>
      <c r="Q593" s="1323"/>
      <c r="R593" s="1304"/>
      <c r="S593" s="1304"/>
      <c r="T593" s="1304"/>
    </row>
    <row r="594" spans="1:20">
      <c r="A594" s="1303"/>
      <c r="B594" s="1322" t="s">
        <v>3445</v>
      </c>
      <c r="C594" s="1323" t="s">
        <v>3446</v>
      </c>
      <c r="D594" s="1324">
        <f t="shared" si="84"/>
        <v>41025</v>
      </c>
      <c r="E594" s="1323">
        <f t="shared" si="80"/>
        <v>7.7412999999999998</v>
      </c>
      <c r="F594" s="1323">
        <f t="shared" si="85"/>
        <v>8.758187781181455</v>
      </c>
      <c r="G594" s="1323">
        <f t="shared" si="81"/>
        <v>2012</v>
      </c>
      <c r="H594" s="1323">
        <f t="shared" si="82"/>
        <v>4</v>
      </c>
      <c r="I594" s="1323">
        <f t="shared" si="83"/>
        <v>26</v>
      </c>
      <c r="J594" s="1323"/>
      <c r="K594" s="1323"/>
      <c r="L594" s="1323"/>
      <c r="M594" s="1323"/>
      <c r="N594" s="1323"/>
      <c r="O594" s="1323"/>
      <c r="P594" s="1323"/>
      <c r="Q594" s="1323"/>
      <c r="R594" s="1304"/>
      <c r="S594" s="1304"/>
      <c r="T594" s="1304"/>
    </row>
    <row r="595" spans="1:20">
      <c r="A595" s="1303"/>
      <c r="B595" s="1322" t="s">
        <v>3447</v>
      </c>
      <c r="C595" s="1323" t="s">
        <v>3448</v>
      </c>
      <c r="D595" s="1324">
        <f t="shared" si="84"/>
        <v>41024</v>
      </c>
      <c r="E595" s="1323">
        <f t="shared" si="80"/>
        <v>7.7624000000000004</v>
      </c>
      <c r="F595" s="1323">
        <f t="shared" si="85"/>
        <v>8.7565084507936319</v>
      </c>
      <c r="G595" s="1323">
        <f t="shared" si="81"/>
        <v>2012</v>
      </c>
      <c r="H595" s="1323">
        <f t="shared" si="82"/>
        <v>4</v>
      </c>
      <c r="I595" s="1323">
        <f t="shared" si="83"/>
        <v>25</v>
      </c>
      <c r="J595" s="1323"/>
      <c r="K595" s="1323"/>
      <c r="L595" s="1323"/>
      <c r="M595" s="1323"/>
      <c r="N595" s="1323"/>
      <c r="O595" s="1323"/>
      <c r="P595" s="1323"/>
      <c r="Q595" s="1323"/>
      <c r="R595" s="1304"/>
      <c r="S595" s="1304"/>
      <c r="T595" s="1304"/>
    </row>
    <row r="596" spans="1:20">
      <c r="A596" s="1303"/>
      <c r="B596" s="1322" t="s">
        <v>3449</v>
      </c>
      <c r="C596" s="1323" t="s">
        <v>3450</v>
      </c>
      <c r="D596" s="1324">
        <f t="shared" si="84"/>
        <v>41023</v>
      </c>
      <c r="E596" s="1323">
        <f t="shared" si="80"/>
        <v>7.8224999999999998</v>
      </c>
      <c r="F596" s="1323">
        <f t="shared" si="85"/>
        <v>8.7548294424074165</v>
      </c>
      <c r="G596" s="1323">
        <f t="shared" si="81"/>
        <v>2012</v>
      </c>
      <c r="H596" s="1323">
        <f t="shared" si="82"/>
        <v>4</v>
      </c>
      <c r="I596" s="1323">
        <f t="shared" si="83"/>
        <v>24</v>
      </c>
      <c r="J596" s="1323"/>
      <c r="K596" s="1323"/>
      <c r="L596" s="1323"/>
      <c r="M596" s="1323"/>
      <c r="N596" s="1323"/>
      <c r="O596" s="1323"/>
      <c r="P596" s="1323"/>
      <c r="Q596" s="1323"/>
      <c r="R596" s="1304"/>
      <c r="S596" s="1304"/>
      <c r="T596" s="1304"/>
    </row>
    <row r="597" spans="1:20">
      <c r="A597" s="1303"/>
      <c r="B597" s="1322" t="s">
        <v>3451</v>
      </c>
      <c r="C597" s="1323" t="s">
        <v>3452</v>
      </c>
      <c r="D597" s="1324">
        <f t="shared" si="84"/>
        <v>41022</v>
      </c>
      <c r="E597" s="1323">
        <f t="shared" si="80"/>
        <v>7.8398000000000003</v>
      </c>
      <c r="F597" s="1323">
        <f t="shared" si="85"/>
        <v>8.7531507559610677</v>
      </c>
      <c r="G597" s="1323">
        <f t="shared" si="81"/>
        <v>2012</v>
      </c>
      <c r="H597" s="1323">
        <f t="shared" si="82"/>
        <v>4</v>
      </c>
      <c r="I597" s="1323">
        <f t="shared" si="83"/>
        <v>23</v>
      </c>
      <c r="J597" s="1323"/>
      <c r="K597" s="1323"/>
      <c r="L597" s="1323"/>
      <c r="M597" s="1323"/>
      <c r="N597" s="1323"/>
      <c r="O597" s="1323"/>
      <c r="P597" s="1323"/>
      <c r="Q597" s="1323"/>
      <c r="R597" s="1304"/>
      <c r="S597" s="1304"/>
      <c r="T597" s="1304"/>
    </row>
    <row r="598" spans="1:20">
      <c r="A598" s="1303"/>
      <c r="B598" s="1322" t="s">
        <v>3453</v>
      </c>
      <c r="C598" s="1323" t="s">
        <v>3454</v>
      </c>
      <c r="D598" s="1324">
        <f t="shared" si="84"/>
        <v>41019</v>
      </c>
      <c r="E598" s="1323">
        <f t="shared" ref="E598:E661" si="86">VALUE(C599)</f>
        <v>7.8072999999999997</v>
      </c>
      <c r="F598" s="1323">
        <f t="shared" si="85"/>
        <v>8.7514723913928556</v>
      </c>
      <c r="G598" s="1323">
        <f t="shared" ref="G598:G661" si="87">YEAR(B599)</f>
        <v>2012</v>
      </c>
      <c r="H598" s="1323">
        <f t="shared" ref="H598:H661" si="88">MONTH(B599)</f>
        <v>4</v>
      </c>
      <c r="I598" s="1323">
        <f t="shared" ref="I598:I661" si="89">DAY(B599)</f>
        <v>20</v>
      </c>
      <c r="J598" s="1323"/>
      <c r="K598" s="1323"/>
      <c r="L598" s="1323"/>
      <c r="M598" s="1323"/>
      <c r="N598" s="1323"/>
      <c r="O598" s="1323"/>
      <c r="P598" s="1323"/>
      <c r="Q598" s="1323"/>
      <c r="R598" s="1304"/>
      <c r="S598" s="1304"/>
      <c r="T598" s="1304"/>
    </row>
    <row r="599" spans="1:20">
      <c r="A599" s="1303"/>
      <c r="B599" s="1322" t="s">
        <v>3455</v>
      </c>
      <c r="C599" s="1323" t="s">
        <v>3456</v>
      </c>
      <c r="D599" s="1324">
        <f t="shared" si="84"/>
        <v>41018</v>
      </c>
      <c r="E599" s="1323">
        <f t="shared" si="86"/>
        <v>7.8108000000000004</v>
      </c>
      <c r="F599" s="1323">
        <f t="shared" si="85"/>
        <v>8.7497943486410605</v>
      </c>
      <c r="G599" s="1323">
        <f t="shared" si="87"/>
        <v>2012</v>
      </c>
      <c r="H599" s="1323">
        <f t="shared" si="88"/>
        <v>4</v>
      </c>
      <c r="I599" s="1323">
        <f t="shared" si="89"/>
        <v>19</v>
      </c>
      <c r="J599" s="1323"/>
      <c r="K599" s="1323"/>
      <c r="L599" s="1323"/>
      <c r="M599" s="1323"/>
      <c r="N599" s="1323"/>
      <c r="O599" s="1323"/>
      <c r="P599" s="1323"/>
      <c r="Q599" s="1323"/>
      <c r="R599" s="1304"/>
      <c r="S599" s="1304"/>
      <c r="T599" s="1304"/>
    </row>
    <row r="600" spans="1:20">
      <c r="A600" s="1303"/>
      <c r="B600" s="1322" t="s">
        <v>3457</v>
      </c>
      <c r="C600" s="1323" t="s">
        <v>3458</v>
      </c>
      <c r="D600" s="1324">
        <f t="shared" si="84"/>
        <v>41017</v>
      </c>
      <c r="E600" s="1323">
        <f t="shared" si="86"/>
        <v>7.8002000000000002</v>
      </c>
      <c r="F600" s="1323">
        <f t="shared" si="85"/>
        <v>8.7481166276439772</v>
      </c>
      <c r="G600" s="1323">
        <f t="shared" si="87"/>
        <v>2012</v>
      </c>
      <c r="H600" s="1323">
        <f t="shared" si="88"/>
        <v>4</v>
      </c>
      <c r="I600" s="1323">
        <f t="shared" si="89"/>
        <v>18</v>
      </c>
      <c r="J600" s="1323"/>
      <c r="K600" s="1323"/>
      <c r="L600" s="1323"/>
      <c r="M600" s="1323"/>
      <c r="N600" s="1323"/>
      <c r="O600" s="1323"/>
      <c r="P600" s="1323"/>
      <c r="Q600" s="1323"/>
      <c r="R600" s="1304"/>
      <c r="S600" s="1304"/>
      <c r="T600" s="1304"/>
    </row>
    <row r="601" spans="1:20">
      <c r="A601" s="1303"/>
      <c r="B601" s="1322" t="s">
        <v>3459</v>
      </c>
      <c r="C601" s="1323" t="s">
        <v>3460</v>
      </c>
      <c r="D601" s="1324">
        <f t="shared" si="84"/>
        <v>41016</v>
      </c>
      <c r="E601" s="1323">
        <f t="shared" si="86"/>
        <v>7.9101999999999997</v>
      </c>
      <c r="F601" s="1323">
        <f t="shared" si="85"/>
        <v>8.7464392283399111</v>
      </c>
      <c r="G601" s="1323">
        <f t="shared" si="87"/>
        <v>2012</v>
      </c>
      <c r="H601" s="1323">
        <f t="shared" si="88"/>
        <v>4</v>
      </c>
      <c r="I601" s="1323">
        <f t="shared" si="89"/>
        <v>17</v>
      </c>
      <c r="J601" s="1323"/>
      <c r="K601" s="1323"/>
      <c r="L601" s="1323"/>
      <c r="M601" s="1323"/>
      <c r="N601" s="1323"/>
      <c r="O601" s="1323"/>
      <c r="P601" s="1323"/>
      <c r="Q601" s="1323"/>
      <c r="R601" s="1304"/>
      <c r="S601" s="1304"/>
      <c r="T601" s="1304"/>
    </row>
    <row r="602" spans="1:20">
      <c r="A602" s="1303"/>
      <c r="B602" s="1322" t="s">
        <v>3461</v>
      </c>
      <c r="C602" s="1323" t="s">
        <v>3462</v>
      </c>
      <c r="D602" s="1324">
        <f t="shared" si="84"/>
        <v>41015</v>
      </c>
      <c r="E602" s="1323">
        <f t="shared" si="86"/>
        <v>8.0039999999999996</v>
      </c>
      <c r="F602" s="1323">
        <f t="shared" si="85"/>
        <v>8.7447621506671798</v>
      </c>
      <c r="G602" s="1323">
        <f t="shared" si="87"/>
        <v>2012</v>
      </c>
      <c r="H602" s="1323">
        <f t="shared" si="88"/>
        <v>4</v>
      </c>
      <c r="I602" s="1323">
        <f t="shared" si="89"/>
        <v>16</v>
      </c>
      <c r="J602" s="1323"/>
      <c r="K602" s="1323"/>
      <c r="L602" s="1323"/>
      <c r="M602" s="1323"/>
      <c r="N602" s="1323"/>
      <c r="O602" s="1323"/>
      <c r="P602" s="1323"/>
      <c r="Q602" s="1323"/>
      <c r="R602" s="1304"/>
      <c r="S602" s="1304"/>
      <c r="T602" s="1304"/>
    </row>
    <row r="603" spans="1:20">
      <c r="A603" s="1303"/>
      <c r="B603" s="1322" t="s">
        <v>3463</v>
      </c>
      <c r="C603" s="1323" t="s">
        <v>3464</v>
      </c>
      <c r="D603" s="1324">
        <f t="shared" si="84"/>
        <v>41012</v>
      </c>
      <c r="E603" s="1323">
        <f t="shared" si="86"/>
        <v>7.9269999999999996</v>
      </c>
      <c r="F603" s="1323">
        <f t="shared" si="85"/>
        <v>8.7430853945641118</v>
      </c>
      <c r="G603" s="1323">
        <f t="shared" si="87"/>
        <v>2012</v>
      </c>
      <c r="H603" s="1323">
        <f t="shared" si="88"/>
        <v>4</v>
      </c>
      <c r="I603" s="1323">
        <f t="shared" si="89"/>
        <v>13</v>
      </c>
      <c r="J603" s="1323"/>
      <c r="K603" s="1323"/>
      <c r="L603" s="1323"/>
      <c r="M603" s="1323"/>
      <c r="N603" s="1323"/>
      <c r="O603" s="1323"/>
      <c r="P603" s="1323"/>
      <c r="Q603" s="1323"/>
      <c r="R603" s="1304"/>
      <c r="S603" s="1304"/>
      <c r="T603" s="1304"/>
    </row>
    <row r="604" spans="1:20">
      <c r="A604" s="1303"/>
      <c r="B604" s="1322" t="s">
        <v>3465</v>
      </c>
      <c r="C604" s="1323" t="s">
        <v>3466</v>
      </c>
      <c r="D604" s="1324">
        <f t="shared" si="84"/>
        <v>41011</v>
      </c>
      <c r="E604" s="1323">
        <f t="shared" si="86"/>
        <v>7.9424000000000001</v>
      </c>
      <c r="F604" s="1323">
        <f t="shared" si="85"/>
        <v>8.7414089599690481</v>
      </c>
      <c r="G604" s="1323">
        <f t="shared" si="87"/>
        <v>2012</v>
      </c>
      <c r="H604" s="1323">
        <f t="shared" si="88"/>
        <v>4</v>
      </c>
      <c r="I604" s="1323">
        <f t="shared" si="89"/>
        <v>12</v>
      </c>
      <c r="J604" s="1323"/>
      <c r="K604" s="1323"/>
      <c r="L604" s="1323"/>
      <c r="M604" s="1323"/>
      <c r="N604" s="1323"/>
      <c r="O604" s="1323"/>
      <c r="P604" s="1323"/>
      <c r="Q604" s="1323"/>
      <c r="R604" s="1304"/>
      <c r="S604" s="1304"/>
      <c r="T604" s="1304"/>
    </row>
    <row r="605" spans="1:20">
      <c r="A605" s="1303"/>
      <c r="B605" s="1322" t="s">
        <v>3467</v>
      </c>
      <c r="C605" s="1323" t="s">
        <v>3468</v>
      </c>
      <c r="D605" s="1324">
        <f t="shared" si="84"/>
        <v>41010</v>
      </c>
      <c r="E605" s="1323">
        <f t="shared" si="86"/>
        <v>8.0295000000000005</v>
      </c>
      <c r="F605" s="1323">
        <f t="shared" si="85"/>
        <v>8.7397328468203419</v>
      </c>
      <c r="G605" s="1323">
        <f t="shared" si="87"/>
        <v>2012</v>
      </c>
      <c r="H605" s="1323">
        <f t="shared" si="88"/>
        <v>4</v>
      </c>
      <c r="I605" s="1323">
        <f t="shared" si="89"/>
        <v>11</v>
      </c>
      <c r="J605" s="1323"/>
      <c r="K605" s="1323"/>
      <c r="L605" s="1323"/>
      <c r="M605" s="1323"/>
      <c r="N605" s="1323"/>
      <c r="O605" s="1323"/>
      <c r="P605" s="1323"/>
      <c r="Q605" s="1323"/>
      <c r="R605" s="1304"/>
      <c r="S605" s="1304"/>
      <c r="T605" s="1304"/>
    </row>
    <row r="606" spans="1:20">
      <c r="A606" s="1303"/>
      <c r="B606" s="1322" t="s">
        <v>3469</v>
      </c>
      <c r="C606" s="1323" t="s">
        <v>3470</v>
      </c>
      <c r="D606" s="1324">
        <f t="shared" si="84"/>
        <v>41009</v>
      </c>
      <c r="E606" s="1323">
        <f t="shared" si="86"/>
        <v>7.9108999999999998</v>
      </c>
      <c r="F606" s="1323">
        <f t="shared" si="85"/>
        <v>8.738057055056359</v>
      </c>
      <c r="G606" s="1323">
        <f t="shared" si="87"/>
        <v>2012</v>
      </c>
      <c r="H606" s="1323">
        <f t="shared" si="88"/>
        <v>4</v>
      </c>
      <c r="I606" s="1323">
        <f t="shared" si="89"/>
        <v>10</v>
      </c>
      <c r="J606" s="1323"/>
      <c r="K606" s="1323"/>
      <c r="L606" s="1323"/>
      <c r="M606" s="1323"/>
      <c r="N606" s="1323"/>
      <c r="O606" s="1323"/>
      <c r="P606" s="1323"/>
      <c r="Q606" s="1323"/>
      <c r="R606" s="1304"/>
      <c r="S606" s="1304"/>
      <c r="T606" s="1304"/>
    </row>
    <row r="607" spans="1:20">
      <c r="A607" s="1303"/>
      <c r="B607" s="1322" t="s">
        <v>3471</v>
      </c>
      <c r="C607" s="1323" t="s">
        <v>3472</v>
      </c>
      <c r="D607" s="1324">
        <f t="shared" si="84"/>
        <v>41004</v>
      </c>
      <c r="E607" s="1323">
        <f t="shared" si="86"/>
        <v>7.8232999999999997</v>
      </c>
      <c r="F607" s="1323">
        <f t="shared" si="85"/>
        <v>8.736381584615474</v>
      </c>
      <c r="G607" s="1323">
        <f t="shared" si="87"/>
        <v>2012</v>
      </c>
      <c r="H607" s="1323">
        <f t="shared" si="88"/>
        <v>4</v>
      </c>
      <c r="I607" s="1323">
        <f t="shared" si="89"/>
        <v>5</v>
      </c>
      <c r="J607" s="1323"/>
      <c r="K607" s="1323"/>
      <c r="L607" s="1323"/>
      <c r="M607" s="1323"/>
      <c r="N607" s="1323"/>
      <c r="O607" s="1323"/>
      <c r="P607" s="1323"/>
      <c r="Q607" s="1323"/>
      <c r="R607" s="1304"/>
      <c r="S607" s="1304"/>
      <c r="T607" s="1304"/>
    </row>
    <row r="608" spans="1:20">
      <c r="A608" s="1303"/>
      <c r="B608" s="1322" t="s">
        <v>3473</v>
      </c>
      <c r="C608" s="1323" t="s">
        <v>3474</v>
      </c>
      <c r="D608" s="1324">
        <f t="shared" si="84"/>
        <v>41003</v>
      </c>
      <c r="E608" s="1323">
        <f t="shared" si="86"/>
        <v>7.7705000000000002</v>
      </c>
      <c r="F608" s="1323">
        <f t="shared" si="85"/>
        <v>8.7347064354360757</v>
      </c>
      <c r="G608" s="1323">
        <f t="shared" si="87"/>
        <v>2012</v>
      </c>
      <c r="H608" s="1323">
        <f t="shared" si="88"/>
        <v>4</v>
      </c>
      <c r="I608" s="1323">
        <f t="shared" si="89"/>
        <v>4</v>
      </c>
      <c r="J608" s="1323"/>
      <c r="K608" s="1323"/>
      <c r="L608" s="1323"/>
      <c r="M608" s="1323"/>
      <c r="N608" s="1323"/>
      <c r="O608" s="1323"/>
      <c r="P608" s="1323"/>
      <c r="Q608" s="1323"/>
      <c r="R608" s="1304"/>
      <c r="S608" s="1304"/>
      <c r="T608" s="1304"/>
    </row>
    <row r="609" spans="1:20">
      <c r="A609" s="1303"/>
      <c r="B609" s="1322" t="s">
        <v>3475</v>
      </c>
      <c r="C609" s="1323" t="s">
        <v>3476</v>
      </c>
      <c r="D609" s="1324">
        <f t="shared" si="84"/>
        <v>41002</v>
      </c>
      <c r="E609" s="1323">
        <f t="shared" si="86"/>
        <v>7.649</v>
      </c>
      <c r="F609" s="1323">
        <f t="shared" si="85"/>
        <v>8.7330316074565637</v>
      </c>
      <c r="G609" s="1323">
        <f t="shared" si="87"/>
        <v>2012</v>
      </c>
      <c r="H609" s="1323">
        <f t="shared" si="88"/>
        <v>4</v>
      </c>
      <c r="I609" s="1323">
        <f t="shared" si="89"/>
        <v>3</v>
      </c>
      <c r="J609" s="1323"/>
      <c r="K609" s="1323"/>
      <c r="L609" s="1323"/>
      <c r="M609" s="1323"/>
      <c r="N609" s="1323"/>
      <c r="O609" s="1323"/>
      <c r="P609" s="1323"/>
      <c r="Q609" s="1323"/>
      <c r="R609" s="1304"/>
      <c r="S609" s="1304"/>
      <c r="T609" s="1304"/>
    </row>
    <row r="610" spans="1:20">
      <c r="A610" s="1303"/>
      <c r="B610" s="1322" t="s">
        <v>3477</v>
      </c>
      <c r="C610" s="1323" t="s">
        <v>3478</v>
      </c>
      <c r="D610" s="1324">
        <f t="shared" si="84"/>
        <v>41001</v>
      </c>
      <c r="E610" s="1323">
        <f t="shared" si="86"/>
        <v>7.6268000000000002</v>
      </c>
      <c r="F610" s="1323">
        <f t="shared" si="85"/>
        <v>8.7313571006153499</v>
      </c>
      <c r="G610" s="1323">
        <f t="shared" si="87"/>
        <v>2012</v>
      </c>
      <c r="H610" s="1323">
        <f t="shared" si="88"/>
        <v>4</v>
      </c>
      <c r="I610" s="1323">
        <f t="shared" si="89"/>
        <v>2</v>
      </c>
      <c r="J610" s="1323"/>
      <c r="K610" s="1323"/>
      <c r="L610" s="1323"/>
      <c r="M610" s="1323"/>
      <c r="N610" s="1323"/>
      <c r="O610" s="1323"/>
      <c r="P610" s="1323"/>
      <c r="Q610" s="1323"/>
      <c r="R610" s="1304"/>
      <c r="S610" s="1304"/>
      <c r="T610" s="1304"/>
    </row>
    <row r="611" spans="1:20">
      <c r="A611" s="1303"/>
      <c r="B611" s="1322" t="s">
        <v>3479</v>
      </c>
      <c r="C611" s="1323" t="s">
        <v>3480</v>
      </c>
      <c r="D611" s="1324">
        <f t="shared" si="84"/>
        <v>40998</v>
      </c>
      <c r="E611" s="1323">
        <f t="shared" si="86"/>
        <v>7.6820000000000004</v>
      </c>
      <c r="F611" s="1323">
        <f t="shared" si="85"/>
        <v>8.7296829148508568</v>
      </c>
      <c r="G611" s="1323">
        <f t="shared" si="87"/>
        <v>2012</v>
      </c>
      <c r="H611" s="1323">
        <f t="shared" si="88"/>
        <v>3</v>
      </c>
      <c r="I611" s="1323">
        <f t="shared" si="89"/>
        <v>30</v>
      </c>
      <c r="J611" s="1323"/>
      <c r="K611" s="1323"/>
      <c r="L611" s="1323"/>
      <c r="M611" s="1323"/>
      <c r="N611" s="1323"/>
      <c r="O611" s="1323"/>
      <c r="P611" s="1323"/>
      <c r="Q611" s="1323"/>
      <c r="R611" s="1304"/>
      <c r="S611" s="1304"/>
      <c r="T611" s="1304"/>
    </row>
    <row r="612" spans="1:20">
      <c r="A612" s="1303"/>
      <c r="B612" s="1322" t="s">
        <v>3481</v>
      </c>
      <c r="C612" s="1323" t="s">
        <v>3482</v>
      </c>
      <c r="D612" s="1324">
        <f t="shared" si="84"/>
        <v>40997</v>
      </c>
      <c r="E612" s="1323">
        <f t="shared" si="86"/>
        <v>7.6616999999999997</v>
      </c>
      <c r="F612" s="1323">
        <f t="shared" si="85"/>
        <v>8.7280090501015213</v>
      </c>
      <c r="G612" s="1323">
        <f t="shared" si="87"/>
        <v>2012</v>
      </c>
      <c r="H612" s="1323">
        <f t="shared" si="88"/>
        <v>3</v>
      </c>
      <c r="I612" s="1323">
        <f t="shared" si="89"/>
        <v>29</v>
      </c>
      <c r="J612" s="1323"/>
      <c r="K612" s="1323"/>
      <c r="L612" s="1323"/>
      <c r="M612" s="1323"/>
      <c r="N612" s="1323"/>
      <c r="O612" s="1323"/>
      <c r="P612" s="1323"/>
      <c r="Q612" s="1323"/>
      <c r="R612" s="1304"/>
      <c r="S612" s="1304"/>
      <c r="T612" s="1304"/>
    </row>
    <row r="613" spans="1:20">
      <c r="A613" s="1303"/>
      <c r="B613" s="1322" t="s">
        <v>3483</v>
      </c>
      <c r="C613" s="1323" t="s">
        <v>3484</v>
      </c>
      <c r="D613" s="1324">
        <f t="shared" si="84"/>
        <v>40996</v>
      </c>
      <c r="E613" s="1323">
        <f t="shared" si="86"/>
        <v>7.6070000000000002</v>
      </c>
      <c r="F613" s="1323">
        <f t="shared" si="85"/>
        <v>8.7263355063057908</v>
      </c>
      <c r="G613" s="1323">
        <f t="shared" si="87"/>
        <v>2012</v>
      </c>
      <c r="H613" s="1323">
        <f t="shared" si="88"/>
        <v>3</v>
      </c>
      <c r="I613" s="1323">
        <f t="shared" si="89"/>
        <v>28</v>
      </c>
      <c r="J613" s="1323"/>
      <c r="K613" s="1323"/>
      <c r="L613" s="1323"/>
      <c r="M613" s="1323"/>
      <c r="N613" s="1323"/>
      <c r="O613" s="1323"/>
      <c r="P613" s="1323"/>
      <c r="Q613" s="1323"/>
      <c r="R613" s="1304"/>
      <c r="S613" s="1304"/>
      <c r="T613" s="1304"/>
    </row>
    <row r="614" spans="1:20">
      <c r="A614" s="1303"/>
      <c r="B614" s="1322" t="s">
        <v>3485</v>
      </c>
      <c r="C614" s="1323" t="s">
        <v>3486</v>
      </c>
      <c r="D614" s="1324">
        <f t="shared" si="84"/>
        <v>40995</v>
      </c>
      <c r="E614" s="1323">
        <f t="shared" si="86"/>
        <v>7.5789</v>
      </c>
      <c r="F614" s="1323">
        <f t="shared" si="85"/>
        <v>8.7246622834021235</v>
      </c>
      <c r="G614" s="1323">
        <f t="shared" si="87"/>
        <v>2012</v>
      </c>
      <c r="H614" s="1323">
        <f t="shared" si="88"/>
        <v>3</v>
      </c>
      <c r="I614" s="1323">
        <f t="shared" si="89"/>
        <v>27</v>
      </c>
      <c r="J614" s="1323"/>
      <c r="K614" s="1323"/>
      <c r="L614" s="1323"/>
      <c r="M614" s="1323"/>
      <c r="N614" s="1323"/>
      <c r="O614" s="1323"/>
      <c r="P614" s="1323"/>
      <c r="Q614" s="1323"/>
      <c r="R614" s="1304"/>
      <c r="S614" s="1304"/>
      <c r="T614" s="1304"/>
    </row>
    <row r="615" spans="1:20">
      <c r="A615" s="1303"/>
      <c r="B615" s="1322" t="s">
        <v>3487</v>
      </c>
      <c r="C615" s="1323" t="s">
        <v>3488</v>
      </c>
      <c r="D615" s="1324">
        <f t="shared" si="84"/>
        <v>40994</v>
      </c>
      <c r="E615" s="1323">
        <f t="shared" si="86"/>
        <v>7.6898</v>
      </c>
      <c r="F615" s="1323">
        <f t="shared" si="85"/>
        <v>8.7229893813289916</v>
      </c>
      <c r="G615" s="1323">
        <f t="shared" si="87"/>
        <v>2012</v>
      </c>
      <c r="H615" s="1323">
        <f t="shared" si="88"/>
        <v>3</v>
      </c>
      <c r="I615" s="1323">
        <f t="shared" si="89"/>
        <v>26</v>
      </c>
      <c r="J615" s="1323"/>
      <c r="K615" s="1323"/>
      <c r="L615" s="1323"/>
      <c r="M615" s="1323"/>
      <c r="N615" s="1323"/>
      <c r="O615" s="1323"/>
      <c r="P615" s="1323"/>
      <c r="Q615" s="1323"/>
      <c r="R615" s="1304"/>
      <c r="S615" s="1304"/>
      <c r="T615" s="1304"/>
    </row>
    <row r="616" spans="1:20">
      <c r="A616" s="1303"/>
      <c r="B616" s="1322" t="s">
        <v>3489</v>
      </c>
      <c r="C616" s="1323" t="s">
        <v>3490</v>
      </c>
      <c r="D616" s="1324">
        <f t="shared" si="84"/>
        <v>40991</v>
      </c>
      <c r="E616" s="1323">
        <f t="shared" si="86"/>
        <v>7.6825999999999999</v>
      </c>
      <c r="F616" s="1323">
        <f t="shared" si="85"/>
        <v>8.7213168000248764</v>
      </c>
      <c r="G616" s="1323">
        <f t="shared" si="87"/>
        <v>2012</v>
      </c>
      <c r="H616" s="1323">
        <f t="shared" si="88"/>
        <v>3</v>
      </c>
      <c r="I616" s="1323">
        <f t="shared" si="89"/>
        <v>23</v>
      </c>
      <c r="J616" s="1323"/>
      <c r="K616" s="1323"/>
      <c r="L616" s="1323"/>
      <c r="M616" s="1323"/>
      <c r="N616" s="1323"/>
      <c r="O616" s="1323"/>
      <c r="P616" s="1323"/>
      <c r="Q616" s="1323"/>
      <c r="R616" s="1304"/>
      <c r="S616" s="1304"/>
      <c r="T616" s="1304"/>
    </row>
    <row r="617" spans="1:20">
      <c r="A617" s="1303"/>
      <c r="B617" s="1322" t="s">
        <v>3491</v>
      </c>
      <c r="C617" s="1323" t="s">
        <v>3492</v>
      </c>
      <c r="D617" s="1324">
        <f t="shared" si="84"/>
        <v>40990</v>
      </c>
      <c r="E617" s="1323">
        <f t="shared" si="86"/>
        <v>7.6862000000000004</v>
      </c>
      <c r="F617" s="1323">
        <f t="shared" si="85"/>
        <v>8.7196445394282733</v>
      </c>
      <c r="G617" s="1323">
        <f t="shared" si="87"/>
        <v>2012</v>
      </c>
      <c r="H617" s="1323">
        <f t="shared" si="88"/>
        <v>3</v>
      </c>
      <c r="I617" s="1323">
        <f t="shared" si="89"/>
        <v>22</v>
      </c>
      <c r="J617" s="1323"/>
      <c r="K617" s="1323"/>
      <c r="L617" s="1323"/>
      <c r="M617" s="1323"/>
      <c r="N617" s="1323"/>
      <c r="O617" s="1323"/>
      <c r="P617" s="1323"/>
      <c r="Q617" s="1323"/>
      <c r="R617" s="1304"/>
      <c r="S617" s="1304"/>
      <c r="T617" s="1304"/>
    </row>
    <row r="618" spans="1:20">
      <c r="A618" s="1303"/>
      <c r="B618" s="1322" t="s">
        <v>3493</v>
      </c>
      <c r="C618" s="1323" t="s">
        <v>3494</v>
      </c>
      <c r="D618" s="1324">
        <f t="shared" si="84"/>
        <v>40988</v>
      </c>
      <c r="E618" s="1323">
        <f t="shared" si="86"/>
        <v>7.5898000000000003</v>
      </c>
      <c r="F618" s="1323">
        <f t="shared" si="85"/>
        <v>8.7179725994776884</v>
      </c>
      <c r="G618" s="1323">
        <f t="shared" si="87"/>
        <v>2012</v>
      </c>
      <c r="H618" s="1323">
        <f t="shared" si="88"/>
        <v>3</v>
      </c>
      <c r="I618" s="1323">
        <f t="shared" si="89"/>
        <v>20</v>
      </c>
      <c r="J618" s="1323"/>
      <c r="K618" s="1323"/>
      <c r="L618" s="1323"/>
      <c r="M618" s="1323"/>
      <c r="N618" s="1323"/>
      <c r="O618" s="1323"/>
      <c r="P618" s="1323"/>
      <c r="Q618" s="1323"/>
      <c r="R618" s="1304"/>
      <c r="S618" s="1304"/>
      <c r="T618" s="1304"/>
    </row>
    <row r="619" spans="1:20">
      <c r="A619" s="1303"/>
      <c r="B619" s="1322" t="s">
        <v>3495</v>
      </c>
      <c r="C619" s="1323" t="s">
        <v>3496</v>
      </c>
      <c r="D619" s="1324">
        <f t="shared" si="84"/>
        <v>40987</v>
      </c>
      <c r="E619" s="1323">
        <f t="shared" si="86"/>
        <v>7.5822000000000003</v>
      </c>
      <c r="F619" s="1323">
        <f t="shared" si="85"/>
        <v>8.7163009801116385</v>
      </c>
      <c r="G619" s="1323">
        <f t="shared" si="87"/>
        <v>2012</v>
      </c>
      <c r="H619" s="1323">
        <f t="shared" si="88"/>
        <v>3</v>
      </c>
      <c r="I619" s="1323">
        <f t="shared" si="89"/>
        <v>19</v>
      </c>
      <c r="J619" s="1323"/>
      <c r="K619" s="1323"/>
      <c r="L619" s="1323"/>
      <c r="M619" s="1323"/>
      <c r="N619" s="1323"/>
      <c r="O619" s="1323"/>
      <c r="P619" s="1323"/>
      <c r="Q619" s="1323"/>
      <c r="R619" s="1304"/>
      <c r="S619" s="1304"/>
      <c r="T619" s="1304"/>
    </row>
    <row r="620" spans="1:20">
      <c r="A620" s="1303"/>
      <c r="B620" s="1322" t="s">
        <v>3497</v>
      </c>
      <c r="C620" s="1323" t="s">
        <v>3498</v>
      </c>
      <c r="D620" s="1324">
        <f t="shared" si="84"/>
        <v>40984</v>
      </c>
      <c r="E620" s="1323">
        <f t="shared" si="86"/>
        <v>7.6368999999999998</v>
      </c>
      <c r="F620" s="1323">
        <f t="shared" si="85"/>
        <v>8.7146296812686543</v>
      </c>
      <c r="G620" s="1323">
        <f t="shared" si="87"/>
        <v>2012</v>
      </c>
      <c r="H620" s="1323">
        <f t="shared" si="88"/>
        <v>3</v>
      </c>
      <c r="I620" s="1323">
        <f t="shared" si="89"/>
        <v>16</v>
      </c>
      <c r="J620" s="1323"/>
      <c r="K620" s="1323"/>
      <c r="L620" s="1323"/>
      <c r="M620" s="1323"/>
      <c r="N620" s="1323"/>
      <c r="O620" s="1323"/>
      <c r="P620" s="1323"/>
      <c r="Q620" s="1323"/>
      <c r="R620" s="1304"/>
      <c r="S620" s="1304"/>
      <c r="T620" s="1304"/>
    </row>
    <row r="621" spans="1:20">
      <c r="A621" s="1303"/>
      <c r="B621" s="1322" t="s">
        <v>3499</v>
      </c>
      <c r="C621" s="1323" t="s">
        <v>3500</v>
      </c>
      <c r="D621" s="1324">
        <f t="shared" si="84"/>
        <v>40983</v>
      </c>
      <c r="E621" s="1323">
        <f t="shared" si="86"/>
        <v>7.6718000000000002</v>
      </c>
      <c r="F621" s="1323">
        <f t="shared" si="85"/>
        <v>8.7129587028872777</v>
      </c>
      <c r="G621" s="1323">
        <f t="shared" si="87"/>
        <v>2012</v>
      </c>
      <c r="H621" s="1323">
        <f t="shared" si="88"/>
        <v>3</v>
      </c>
      <c r="I621" s="1323">
        <f t="shared" si="89"/>
        <v>15</v>
      </c>
      <c r="J621" s="1323"/>
      <c r="K621" s="1323"/>
      <c r="L621" s="1323"/>
      <c r="M621" s="1323"/>
      <c r="N621" s="1323"/>
      <c r="O621" s="1323"/>
      <c r="P621" s="1323"/>
      <c r="Q621" s="1323"/>
      <c r="R621" s="1304"/>
      <c r="S621" s="1304"/>
      <c r="T621" s="1304"/>
    </row>
    <row r="622" spans="1:20">
      <c r="A622" s="1303"/>
      <c r="B622" s="1322" t="s">
        <v>3501</v>
      </c>
      <c r="C622" s="1323" t="s">
        <v>3502</v>
      </c>
      <c r="D622" s="1324">
        <f t="shared" si="84"/>
        <v>40982</v>
      </c>
      <c r="E622" s="1323">
        <f t="shared" si="86"/>
        <v>7.5579999999999998</v>
      </c>
      <c r="F622" s="1323">
        <f t="shared" si="85"/>
        <v>8.7112880449060626</v>
      </c>
      <c r="G622" s="1323">
        <f t="shared" si="87"/>
        <v>2012</v>
      </c>
      <c r="H622" s="1323">
        <f t="shared" si="88"/>
        <v>3</v>
      </c>
      <c r="I622" s="1323">
        <f t="shared" si="89"/>
        <v>14</v>
      </c>
      <c r="J622" s="1323"/>
      <c r="K622" s="1323"/>
      <c r="L622" s="1323"/>
      <c r="M622" s="1323"/>
      <c r="N622" s="1323"/>
      <c r="O622" s="1323"/>
      <c r="P622" s="1323"/>
      <c r="Q622" s="1323"/>
      <c r="R622" s="1304"/>
      <c r="S622" s="1304"/>
      <c r="T622" s="1304"/>
    </row>
    <row r="623" spans="1:20">
      <c r="A623" s="1303"/>
      <c r="B623" s="1322" t="s">
        <v>3503</v>
      </c>
      <c r="C623" s="1323" t="s">
        <v>3504</v>
      </c>
      <c r="D623" s="1324">
        <f t="shared" si="84"/>
        <v>40981</v>
      </c>
      <c r="E623" s="1323">
        <f t="shared" si="86"/>
        <v>7.5444000000000004</v>
      </c>
      <c r="F623" s="1323">
        <f t="shared" si="85"/>
        <v>8.7096177072635736</v>
      </c>
      <c r="G623" s="1323">
        <f t="shared" si="87"/>
        <v>2012</v>
      </c>
      <c r="H623" s="1323">
        <f t="shared" si="88"/>
        <v>3</v>
      </c>
      <c r="I623" s="1323">
        <f t="shared" si="89"/>
        <v>13</v>
      </c>
      <c r="J623" s="1323"/>
      <c r="K623" s="1323"/>
      <c r="L623" s="1323"/>
      <c r="M623" s="1323"/>
      <c r="N623" s="1323"/>
      <c r="O623" s="1323"/>
      <c r="P623" s="1323"/>
      <c r="Q623" s="1323"/>
      <c r="R623" s="1304"/>
      <c r="S623" s="1304"/>
      <c r="T623" s="1304"/>
    </row>
    <row r="624" spans="1:20">
      <c r="A624" s="1303"/>
      <c r="B624" s="1322" t="s">
        <v>3505</v>
      </c>
      <c r="C624" s="1323" t="s">
        <v>3506</v>
      </c>
      <c r="D624" s="1324">
        <f t="shared" si="84"/>
        <v>40980</v>
      </c>
      <c r="E624" s="1323">
        <f t="shared" si="86"/>
        <v>7.5884999999999998</v>
      </c>
      <c r="F624" s="1323">
        <f t="shared" si="85"/>
        <v>8.7079476898983881</v>
      </c>
      <c r="G624" s="1323">
        <f t="shared" si="87"/>
        <v>2012</v>
      </c>
      <c r="H624" s="1323">
        <f t="shared" si="88"/>
        <v>3</v>
      </c>
      <c r="I624" s="1323">
        <f t="shared" si="89"/>
        <v>12</v>
      </c>
      <c r="J624" s="1323"/>
      <c r="K624" s="1323"/>
      <c r="L624" s="1323"/>
      <c r="M624" s="1323"/>
      <c r="N624" s="1323"/>
      <c r="O624" s="1323"/>
      <c r="P624" s="1323"/>
      <c r="Q624" s="1323"/>
      <c r="R624" s="1304"/>
      <c r="S624" s="1304"/>
      <c r="T624" s="1304"/>
    </row>
    <row r="625" spans="1:20">
      <c r="A625" s="1303"/>
      <c r="B625" s="1322" t="s">
        <v>3507</v>
      </c>
      <c r="C625" s="1323" t="s">
        <v>3508</v>
      </c>
      <c r="D625" s="1324">
        <f t="shared" si="84"/>
        <v>40977</v>
      </c>
      <c r="E625" s="1323">
        <f t="shared" si="86"/>
        <v>7.5076999999999998</v>
      </c>
      <c r="F625" s="1323">
        <f t="shared" si="85"/>
        <v>8.7062779927490936</v>
      </c>
      <c r="G625" s="1323">
        <f t="shared" si="87"/>
        <v>2012</v>
      </c>
      <c r="H625" s="1323">
        <f t="shared" si="88"/>
        <v>3</v>
      </c>
      <c r="I625" s="1323">
        <f t="shared" si="89"/>
        <v>9</v>
      </c>
      <c r="J625" s="1323"/>
      <c r="K625" s="1323"/>
      <c r="L625" s="1323"/>
      <c r="M625" s="1323"/>
      <c r="N625" s="1323"/>
      <c r="O625" s="1323"/>
      <c r="P625" s="1323"/>
      <c r="Q625" s="1323"/>
      <c r="R625" s="1304"/>
      <c r="S625" s="1304"/>
      <c r="T625" s="1304"/>
    </row>
    <row r="626" spans="1:20">
      <c r="A626" s="1303"/>
      <c r="B626" s="1322" t="s">
        <v>3509</v>
      </c>
      <c r="C626" s="1323" t="s">
        <v>3510</v>
      </c>
      <c r="D626" s="1324">
        <f t="shared" si="84"/>
        <v>40976</v>
      </c>
      <c r="E626" s="1323">
        <f t="shared" si="86"/>
        <v>7.5621999999999998</v>
      </c>
      <c r="F626" s="1323">
        <f t="shared" si="85"/>
        <v>8.7046086157542906</v>
      </c>
      <c r="G626" s="1323">
        <f t="shared" si="87"/>
        <v>2012</v>
      </c>
      <c r="H626" s="1323">
        <f t="shared" si="88"/>
        <v>3</v>
      </c>
      <c r="I626" s="1323">
        <f t="shared" si="89"/>
        <v>8</v>
      </c>
      <c r="J626" s="1323"/>
      <c r="K626" s="1323"/>
      <c r="L626" s="1323"/>
      <c r="M626" s="1323"/>
      <c r="N626" s="1323"/>
      <c r="O626" s="1323"/>
      <c r="P626" s="1323"/>
      <c r="Q626" s="1323"/>
      <c r="R626" s="1304"/>
      <c r="S626" s="1304"/>
      <c r="T626" s="1304"/>
    </row>
    <row r="627" spans="1:20">
      <c r="A627" s="1303"/>
      <c r="B627" s="1322" t="s">
        <v>3511</v>
      </c>
      <c r="C627" s="1323" t="s">
        <v>3512</v>
      </c>
      <c r="D627" s="1324">
        <f t="shared" si="84"/>
        <v>40975</v>
      </c>
      <c r="E627" s="1323">
        <f t="shared" si="86"/>
        <v>7.6380999999999997</v>
      </c>
      <c r="F627" s="1323">
        <f t="shared" si="85"/>
        <v>8.7029395588525933</v>
      </c>
      <c r="G627" s="1323">
        <f t="shared" si="87"/>
        <v>2012</v>
      </c>
      <c r="H627" s="1323">
        <f t="shared" si="88"/>
        <v>3</v>
      </c>
      <c r="I627" s="1323">
        <f t="shared" si="89"/>
        <v>7</v>
      </c>
      <c r="J627" s="1323"/>
      <c r="K627" s="1323"/>
      <c r="L627" s="1323"/>
      <c r="M627" s="1323"/>
      <c r="N627" s="1323"/>
      <c r="O627" s="1323"/>
      <c r="P627" s="1323"/>
      <c r="Q627" s="1323"/>
      <c r="R627" s="1304"/>
      <c r="S627" s="1304"/>
      <c r="T627" s="1304"/>
    </row>
    <row r="628" spans="1:20">
      <c r="A628" s="1303"/>
      <c r="B628" s="1322" t="s">
        <v>3513</v>
      </c>
      <c r="C628" s="1323" t="s">
        <v>3514</v>
      </c>
      <c r="D628" s="1324">
        <f t="shared" si="84"/>
        <v>40974</v>
      </c>
      <c r="E628" s="1323">
        <f t="shared" si="86"/>
        <v>7.6069000000000004</v>
      </c>
      <c r="F628" s="1323">
        <f t="shared" si="85"/>
        <v>8.7012708219826234</v>
      </c>
      <c r="G628" s="1323">
        <f t="shared" si="87"/>
        <v>2012</v>
      </c>
      <c r="H628" s="1323">
        <f t="shared" si="88"/>
        <v>3</v>
      </c>
      <c r="I628" s="1323">
        <f t="shared" si="89"/>
        <v>6</v>
      </c>
      <c r="J628" s="1323"/>
      <c r="K628" s="1323"/>
      <c r="L628" s="1323"/>
      <c r="M628" s="1323"/>
      <c r="N628" s="1323"/>
      <c r="O628" s="1323"/>
      <c r="P628" s="1323"/>
      <c r="Q628" s="1323"/>
      <c r="R628" s="1304"/>
      <c r="S628" s="1304"/>
      <c r="T628" s="1304"/>
    </row>
    <row r="629" spans="1:20">
      <c r="A629" s="1303"/>
      <c r="B629" s="1322" t="s">
        <v>3515</v>
      </c>
      <c r="C629" s="1323" t="s">
        <v>3516</v>
      </c>
      <c r="D629" s="1324">
        <f t="shared" si="84"/>
        <v>40973</v>
      </c>
      <c r="E629" s="1323">
        <f t="shared" si="86"/>
        <v>7.5536000000000003</v>
      </c>
      <c r="F629" s="1323">
        <f t="shared" si="85"/>
        <v>8.6996024050830183</v>
      </c>
      <c r="G629" s="1323">
        <f t="shared" si="87"/>
        <v>2012</v>
      </c>
      <c r="H629" s="1323">
        <f t="shared" si="88"/>
        <v>3</v>
      </c>
      <c r="I629" s="1323">
        <f t="shared" si="89"/>
        <v>5</v>
      </c>
      <c r="J629" s="1323"/>
      <c r="K629" s="1323"/>
      <c r="L629" s="1323"/>
      <c r="M629" s="1323"/>
      <c r="N629" s="1323"/>
      <c r="O629" s="1323"/>
      <c r="P629" s="1323"/>
      <c r="Q629" s="1323"/>
      <c r="R629" s="1304"/>
      <c r="S629" s="1304"/>
      <c r="T629" s="1304"/>
    </row>
    <row r="630" spans="1:20">
      <c r="A630" s="1303"/>
      <c r="B630" s="1322" t="s">
        <v>3517</v>
      </c>
      <c r="C630" s="1323" t="s">
        <v>3518</v>
      </c>
      <c r="D630" s="1324">
        <f t="shared" si="84"/>
        <v>40970</v>
      </c>
      <c r="E630" s="1323">
        <f t="shared" si="86"/>
        <v>7.4877000000000002</v>
      </c>
      <c r="F630" s="1323">
        <f t="shared" si="85"/>
        <v>8.6979343080924245</v>
      </c>
      <c r="G630" s="1323">
        <f t="shared" si="87"/>
        <v>2012</v>
      </c>
      <c r="H630" s="1323">
        <f t="shared" si="88"/>
        <v>3</v>
      </c>
      <c r="I630" s="1323">
        <f t="shared" si="89"/>
        <v>2</v>
      </c>
      <c r="J630" s="1323"/>
      <c r="K630" s="1323"/>
      <c r="L630" s="1323"/>
      <c r="M630" s="1323"/>
      <c r="N630" s="1323"/>
      <c r="O630" s="1323"/>
      <c r="P630" s="1323"/>
      <c r="Q630" s="1323"/>
      <c r="R630" s="1304"/>
      <c r="S630" s="1304"/>
      <c r="T630" s="1304"/>
    </row>
    <row r="631" spans="1:20">
      <c r="A631" s="1303"/>
      <c r="B631" s="1322" t="s">
        <v>3519</v>
      </c>
      <c r="C631" s="1323" t="s">
        <v>3520</v>
      </c>
      <c r="D631" s="1324">
        <f t="shared" si="84"/>
        <v>40969</v>
      </c>
      <c r="E631" s="1323">
        <f t="shared" si="86"/>
        <v>7.4913999999999996</v>
      </c>
      <c r="F631" s="1323">
        <f t="shared" si="85"/>
        <v>8.6962665309495026</v>
      </c>
      <c r="G631" s="1323">
        <f t="shared" si="87"/>
        <v>2012</v>
      </c>
      <c r="H631" s="1323">
        <f t="shared" si="88"/>
        <v>3</v>
      </c>
      <c r="I631" s="1323">
        <f t="shared" si="89"/>
        <v>1</v>
      </c>
      <c r="J631" s="1323"/>
      <c r="K631" s="1323"/>
      <c r="L631" s="1323"/>
      <c r="M631" s="1323"/>
      <c r="N631" s="1323"/>
      <c r="O631" s="1323"/>
      <c r="P631" s="1323"/>
      <c r="Q631" s="1323"/>
      <c r="R631" s="1304"/>
      <c r="S631" s="1304"/>
      <c r="T631" s="1304"/>
    </row>
    <row r="632" spans="1:20">
      <c r="A632" s="1303"/>
      <c r="B632" s="1322" t="s">
        <v>3521</v>
      </c>
      <c r="C632" s="1323" t="s">
        <v>3522</v>
      </c>
      <c r="D632" s="1324">
        <f t="shared" si="84"/>
        <v>40968</v>
      </c>
      <c r="E632" s="1323">
        <f t="shared" si="86"/>
        <v>7.4776999999999996</v>
      </c>
      <c r="F632" s="1323">
        <f t="shared" si="85"/>
        <v>8.6945990735929222</v>
      </c>
      <c r="G632" s="1323">
        <f t="shared" si="87"/>
        <v>2012</v>
      </c>
      <c r="H632" s="1323">
        <f t="shared" si="88"/>
        <v>2</v>
      </c>
      <c r="I632" s="1323">
        <f t="shared" si="89"/>
        <v>29</v>
      </c>
      <c r="J632" s="1323"/>
      <c r="K632" s="1323"/>
      <c r="L632" s="1323"/>
      <c r="M632" s="1323"/>
      <c r="N632" s="1323"/>
      <c r="O632" s="1323"/>
      <c r="P632" s="1323"/>
      <c r="Q632" s="1323"/>
      <c r="R632" s="1304"/>
      <c r="S632" s="1304"/>
      <c r="T632" s="1304"/>
    </row>
    <row r="633" spans="1:20">
      <c r="A633" s="1303"/>
      <c r="B633" s="1322" t="s">
        <v>3523</v>
      </c>
      <c r="C633" s="1323" t="s">
        <v>3524</v>
      </c>
      <c r="D633" s="1324">
        <f t="shared" si="84"/>
        <v>40967</v>
      </c>
      <c r="E633" s="1323">
        <f t="shared" si="86"/>
        <v>7.5171999999999999</v>
      </c>
      <c r="F633" s="1323">
        <f t="shared" si="85"/>
        <v>8.6929319359613668</v>
      </c>
      <c r="G633" s="1323">
        <f t="shared" si="87"/>
        <v>2012</v>
      </c>
      <c r="H633" s="1323">
        <f t="shared" si="88"/>
        <v>2</v>
      </c>
      <c r="I633" s="1323">
        <f t="shared" si="89"/>
        <v>28</v>
      </c>
      <c r="J633" s="1323"/>
      <c r="K633" s="1323"/>
      <c r="L633" s="1323"/>
      <c r="M633" s="1323"/>
      <c r="N633" s="1323"/>
      <c r="O633" s="1323"/>
      <c r="P633" s="1323"/>
      <c r="Q633" s="1323"/>
      <c r="R633" s="1304"/>
      <c r="S633" s="1304"/>
      <c r="T633" s="1304"/>
    </row>
    <row r="634" spans="1:20">
      <c r="A634" s="1303"/>
      <c r="B634" s="1322" t="s">
        <v>3525</v>
      </c>
      <c r="C634" s="1323" t="s">
        <v>3526</v>
      </c>
      <c r="D634" s="1324">
        <f t="shared" si="84"/>
        <v>40966</v>
      </c>
      <c r="E634" s="1323">
        <f t="shared" si="86"/>
        <v>7.6376999999999997</v>
      </c>
      <c r="F634" s="1323">
        <f t="shared" si="85"/>
        <v>8.6912651179935327</v>
      </c>
      <c r="G634" s="1323">
        <f t="shared" si="87"/>
        <v>2012</v>
      </c>
      <c r="H634" s="1323">
        <f t="shared" si="88"/>
        <v>2</v>
      </c>
      <c r="I634" s="1323">
        <f t="shared" si="89"/>
        <v>27</v>
      </c>
      <c r="J634" s="1323"/>
      <c r="K634" s="1323"/>
      <c r="L634" s="1323"/>
      <c r="M634" s="1323"/>
      <c r="N634" s="1323"/>
      <c r="O634" s="1323"/>
      <c r="P634" s="1323"/>
      <c r="Q634" s="1323"/>
      <c r="R634" s="1304"/>
      <c r="S634" s="1304"/>
      <c r="T634" s="1304"/>
    </row>
    <row r="635" spans="1:20">
      <c r="A635" s="1303"/>
      <c r="B635" s="1322" t="s">
        <v>3527</v>
      </c>
      <c r="C635" s="1323" t="s">
        <v>3528</v>
      </c>
      <c r="D635" s="1324">
        <f t="shared" si="84"/>
        <v>40963</v>
      </c>
      <c r="E635" s="1323">
        <f t="shared" si="86"/>
        <v>7.6304999999999996</v>
      </c>
      <c r="F635" s="1323">
        <f t="shared" si="85"/>
        <v>8.689598619628125</v>
      </c>
      <c r="G635" s="1323">
        <f t="shared" si="87"/>
        <v>2012</v>
      </c>
      <c r="H635" s="1323">
        <f t="shared" si="88"/>
        <v>2</v>
      </c>
      <c r="I635" s="1323">
        <f t="shared" si="89"/>
        <v>24</v>
      </c>
      <c r="J635" s="1323"/>
      <c r="K635" s="1323"/>
      <c r="L635" s="1323"/>
      <c r="M635" s="1323"/>
      <c r="N635" s="1323"/>
      <c r="O635" s="1323"/>
      <c r="P635" s="1323"/>
      <c r="Q635" s="1323"/>
      <c r="R635" s="1304"/>
      <c r="S635" s="1304"/>
      <c r="T635" s="1304"/>
    </row>
    <row r="636" spans="1:20">
      <c r="A636" s="1303"/>
      <c r="B636" s="1322" t="s">
        <v>3529</v>
      </c>
      <c r="C636" s="1323" t="s">
        <v>3530</v>
      </c>
      <c r="D636" s="1324">
        <f t="shared" si="84"/>
        <v>40962</v>
      </c>
      <c r="E636" s="1323">
        <f t="shared" si="86"/>
        <v>7.6858000000000004</v>
      </c>
      <c r="F636" s="1323">
        <f t="shared" si="85"/>
        <v>8.687932440803861</v>
      </c>
      <c r="G636" s="1323">
        <f t="shared" si="87"/>
        <v>2012</v>
      </c>
      <c r="H636" s="1323">
        <f t="shared" si="88"/>
        <v>2</v>
      </c>
      <c r="I636" s="1323">
        <f t="shared" si="89"/>
        <v>23</v>
      </c>
      <c r="J636" s="1323"/>
      <c r="K636" s="1323"/>
      <c r="L636" s="1323"/>
      <c r="M636" s="1323"/>
      <c r="N636" s="1323"/>
      <c r="O636" s="1323"/>
      <c r="P636" s="1323"/>
      <c r="Q636" s="1323"/>
      <c r="R636" s="1304"/>
      <c r="S636" s="1304"/>
      <c r="T636" s="1304"/>
    </row>
    <row r="637" spans="1:20">
      <c r="A637" s="1303"/>
      <c r="B637" s="1322" t="s">
        <v>3531</v>
      </c>
      <c r="C637" s="1323" t="s">
        <v>3532</v>
      </c>
      <c r="D637" s="1324">
        <f t="shared" si="84"/>
        <v>40961</v>
      </c>
      <c r="E637" s="1323">
        <f t="shared" si="86"/>
        <v>7.7313000000000001</v>
      </c>
      <c r="F637" s="1323">
        <f t="shared" si="85"/>
        <v>8.6862665814594706</v>
      </c>
      <c r="G637" s="1323">
        <f t="shared" si="87"/>
        <v>2012</v>
      </c>
      <c r="H637" s="1323">
        <f t="shared" si="88"/>
        <v>2</v>
      </c>
      <c r="I637" s="1323">
        <f t="shared" si="89"/>
        <v>22</v>
      </c>
      <c r="J637" s="1323"/>
      <c r="K637" s="1323"/>
      <c r="L637" s="1323"/>
      <c r="M637" s="1323"/>
      <c r="N637" s="1323"/>
      <c r="O637" s="1323"/>
      <c r="P637" s="1323"/>
      <c r="Q637" s="1323"/>
      <c r="R637" s="1304"/>
      <c r="S637" s="1304"/>
      <c r="T637" s="1304"/>
    </row>
    <row r="638" spans="1:20">
      <c r="A638" s="1303"/>
      <c r="B638" s="1322" t="s">
        <v>3533</v>
      </c>
      <c r="C638" s="1323" t="s">
        <v>3534</v>
      </c>
      <c r="D638" s="1324">
        <f t="shared" si="84"/>
        <v>40960</v>
      </c>
      <c r="E638" s="1323">
        <f t="shared" si="86"/>
        <v>7.6940999999999997</v>
      </c>
      <c r="F638" s="1323">
        <f t="shared" si="85"/>
        <v>8.6846010415336963</v>
      </c>
      <c r="G638" s="1323">
        <f t="shared" si="87"/>
        <v>2012</v>
      </c>
      <c r="H638" s="1323">
        <f t="shared" si="88"/>
        <v>2</v>
      </c>
      <c r="I638" s="1323">
        <f t="shared" si="89"/>
        <v>21</v>
      </c>
      <c r="J638" s="1323"/>
      <c r="K638" s="1323"/>
      <c r="L638" s="1323"/>
      <c r="M638" s="1323"/>
      <c r="N638" s="1323"/>
      <c r="O638" s="1323"/>
      <c r="P638" s="1323"/>
      <c r="Q638" s="1323"/>
      <c r="R638" s="1304"/>
      <c r="S638" s="1304"/>
      <c r="T638" s="1304"/>
    </row>
    <row r="639" spans="1:20">
      <c r="A639" s="1303"/>
      <c r="B639" s="1322" t="s">
        <v>3535</v>
      </c>
      <c r="C639" s="1323" t="s">
        <v>3536</v>
      </c>
      <c r="D639" s="1324">
        <f t="shared" si="84"/>
        <v>40959</v>
      </c>
      <c r="E639" s="1323">
        <f t="shared" si="86"/>
        <v>7.6904000000000003</v>
      </c>
      <c r="F639" s="1323">
        <f t="shared" si="85"/>
        <v>8.6829358209652909</v>
      </c>
      <c r="G639" s="1323">
        <f t="shared" si="87"/>
        <v>2012</v>
      </c>
      <c r="H639" s="1323">
        <f t="shared" si="88"/>
        <v>2</v>
      </c>
      <c r="I639" s="1323">
        <f t="shared" si="89"/>
        <v>20</v>
      </c>
      <c r="J639" s="1323"/>
      <c r="K639" s="1323"/>
      <c r="L639" s="1323"/>
      <c r="M639" s="1323"/>
      <c r="N639" s="1323"/>
      <c r="O639" s="1323"/>
      <c r="P639" s="1323"/>
      <c r="Q639" s="1323"/>
      <c r="R639" s="1304"/>
      <c r="S639" s="1304"/>
      <c r="T639" s="1304"/>
    </row>
    <row r="640" spans="1:20">
      <c r="A640" s="1303"/>
      <c r="B640" s="1322" t="s">
        <v>3537</v>
      </c>
      <c r="C640" s="1323" t="s">
        <v>3538</v>
      </c>
      <c r="D640" s="1324">
        <f t="shared" si="84"/>
        <v>40956</v>
      </c>
      <c r="E640" s="1323">
        <f t="shared" si="86"/>
        <v>7.7709000000000001</v>
      </c>
      <c r="F640" s="1323">
        <f t="shared" si="85"/>
        <v>8.68127091969302</v>
      </c>
      <c r="G640" s="1323">
        <f t="shared" si="87"/>
        <v>2012</v>
      </c>
      <c r="H640" s="1323">
        <f t="shared" si="88"/>
        <v>2</v>
      </c>
      <c r="I640" s="1323">
        <f t="shared" si="89"/>
        <v>17</v>
      </c>
      <c r="J640" s="1323"/>
      <c r="K640" s="1323"/>
      <c r="L640" s="1323"/>
      <c r="M640" s="1323"/>
      <c r="N640" s="1323"/>
      <c r="O640" s="1323"/>
      <c r="P640" s="1323"/>
      <c r="Q640" s="1323"/>
      <c r="R640" s="1304"/>
      <c r="S640" s="1304"/>
      <c r="T640" s="1304"/>
    </row>
    <row r="641" spans="1:20">
      <c r="A641" s="1303"/>
      <c r="B641" s="1322" t="s">
        <v>3539</v>
      </c>
      <c r="C641" s="1323" t="s">
        <v>3540</v>
      </c>
      <c r="D641" s="1324">
        <f t="shared" si="84"/>
        <v>40955</v>
      </c>
      <c r="E641" s="1323">
        <f t="shared" si="86"/>
        <v>7.8105000000000002</v>
      </c>
      <c r="F641" s="1323">
        <f t="shared" si="85"/>
        <v>8.6796063376556614</v>
      </c>
      <c r="G641" s="1323">
        <f t="shared" si="87"/>
        <v>2012</v>
      </c>
      <c r="H641" s="1323">
        <f t="shared" si="88"/>
        <v>2</v>
      </c>
      <c r="I641" s="1323">
        <f t="shared" si="89"/>
        <v>16</v>
      </c>
      <c r="J641" s="1323"/>
      <c r="K641" s="1323"/>
      <c r="L641" s="1323"/>
      <c r="M641" s="1323"/>
      <c r="N641" s="1323"/>
      <c r="O641" s="1323"/>
      <c r="P641" s="1323"/>
      <c r="Q641" s="1323"/>
      <c r="R641" s="1304"/>
      <c r="S641" s="1304"/>
      <c r="T641" s="1304"/>
    </row>
    <row r="642" spans="1:20">
      <c r="A642" s="1303"/>
      <c r="B642" s="1322" t="s">
        <v>3541</v>
      </c>
      <c r="C642" s="1323" t="s">
        <v>3542</v>
      </c>
      <c r="D642" s="1324">
        <f t="shared" si="84"/>
        <v>40954</v>
      </c>
      <c r="E642" s="1323">
        <f t="shared" si="86"/>
        <v>7.6928999999999998</v>
      </c>
      <c r="F642" s="1323">
        <f t="shared" si="85"/>
        <v>8.6779420747920017</v>
      </c>
      <c r="G642" s="1323">
        <f t="shared" si="87"/>
        <v>2012</v>
      </c>
      <c r="H642" s="1323">
        <f t="shared" si="88"/>
        <v>2</v>
      </c>
      <c r="I642" s="1323">
        <f t="shared" si="89"/>
        <v>15</v>
      </c>
      <c r="J642" s="1323"/>
      <c r="K642" s="1323"/>
      <c r="L642" s="1323"/>
      <c r="M642" s="1323"/>
      <c r="N642" s="1323"/>
      <c r="O642" s="1323"/>
      <c r="P642" s="1323"/>
      <c r="Q642" s="1323"/>
      <c r="R642" s="1304"/>
      <c r="S642" s="1304"/>
      <c r="T642" s="1304"/>
    </row>
    <row r="643" spans="1:20">
      <c r="A643" s="1303"/>
      <c r="B643" s="1322" t="s">
        <v>3543</v>
      </c>
      <c r="C643" s="1323" t="s">
        <v>3544</v>
      </c>
      <c r="D643" s="1324">
        <f t="shared" si="84"/>
        <v>40953</v>
      </c>
      <c r="E643" s="1323">
        <f t="shared" si="86"/>
        <v>7.7270000000000003</v>
      </c>
      <c r="F643" s="1323">
        <f t="shared" si="85"/>
        <v>8.6762781310408421</v>
      </c>
      <c r="G643" s="1323">
        <f t="shared" si="87"/>
        <v>2012</v>
      </c>
      <c r="H643" s="1323">
        <f t="shared" si="88"/>
        <v>2</v>
      </c>
      <c r="I643" s="1323">
        <f t="shared" si="89"/>
        <v>14</v>
      </c>
      <c r="J643" s="1323"/>
      <c r="K643" s="1323"/>
      <c r="L643" s="1323"/>
      <c r="M643" s="1323"/>
      <c r="N643" s="1323"/>
      <c r="O643" s="1323"/>
      <c r="P643" s="1323"/>
      <c r="Q643" s="1323"/>
      <c r="R643" s="1304"/>
      <c r="S643" s="1304"/>
      <c r="T643" s="1304"/>
    </row>
    <row r="644" spans="1:20">
      <c r="A644" s="1303"/>
      <c r="B644" s="1322" t="s">
        <v>3545</v>
      </c>
      <c r="C644" s="1323" t="s">
        <v>3546</v>
      </c>
      <c r="D644" s="1324">
        <f t="shared" si="84"/>
        <v>40952</v>
      </c>
      <c r="E644" s="1323">
        <f t="shared" si="86"/>
        <v>7.6489000000000003</v>
      </c>
      <c r="F644" s="1323">
        <f t="shared" si="85"/>
        <v>8.6746145063409958</v>
      </c>
      <c r="G644" s="1323">
        <f t="shared" si="87"/>
        <v>2012</v>
      </c>
      <c r="H644" s="1323">
        <f t="shared" si="88"/>
        <v>2</v>
      </c>
      <c r="I644" s="1323">
        <f t="shared" si="89"/>
        <v>13</v>
      </c>
      <c r="J644" s="1323"/>
      <c r="K644" s="1323"/>
      <c r="L644" s="1323"/>
      <c r="M644" s="1323"/>
      <c r="N644" s="1323"/>
      <c r="O644" s="1323"/>
      <c r="P644" s="1323"/>
      <c r="Q644" s="1323"/>
      <c r="R644" s="1304"/>
      <c r="S644" s="1304"/>
      <c r="T644" s="1304"/>
    </row>
    <row r="645" spans="1:20">
      <c r="A645" s="1303"/>
      <c r="B645" s="1322" t="s">
        <v>3547</v>
      </c>
      <c r="C645" s="1323" t="s">
        <v>3548</v>
      </c>
      <c r="D645" s="1324">
        <f t="shared" si="84"/>
        <v>40949</v>
      </c>
      <c r="E645" s="1323">
        <f t="shared" si="86"/>
        <v>7.6641000000000004</v>
      </c>
      <c r="F645" s="1323">
        <f t="shared" si="85"/>
        <v>8.6729512006312852</v>
      </c>
      <c r="G645" s="1323">
        <f t="shared" si="87"/>
        <v>2012</v>
      </c>
      <c r="H645" s="1323">
        <f t="shared" si="88"/>
        <v>2</v>
      </c>
      <c r="I645" s="1323">
        <f t="shared" si="89"/>
        <v>10</v>
      </c>
      <c r="J645" s="1323"/>
      <c r="K645" s="1323"/>
      <c r="L645" s="1323"/>
      <c r="M645" s="1323"/>
      <c r="N645" s="1323"/>
      <c r="O645" s="1323"/>
      <c r="P645" s="1323"/>
      <c r="Q645" s="1323"/>
      <c r="R645" s="1304"/>
      <c r="S645" s="1304"/>
      <c r="T645" s="1304"/>
    </row>
    <row r="646" spans="1:20">
      <c r="A646" s="1303"/>
      <c r="B646" s="1322" t="s">
        <v>3549</v>
      </c>
      <c r="C646" s="1323" t="s">
        <v>3550</v>
      </c>
      <c r="D646" s="1324">
        <f t="shared" si="84"/>
        <v>40948</v>
      </c>
      <c r="E646" s="1323">
        <f t="shared" si="86"/>
        <v>7.5777999999999999</v>
      </c>
      <c r="F646" s="1323">
        <f t="shared" si="85"/>
        <v>8.6712882138505467</v>
      </c>
      <c r="G646" s="1323">
        <f t="shared" si="87"/>
        <v>2012</v>
      </c>
      <c r="H646" s="1323">
        <f t="shared" si="88"/>
        <v>2</v>
      </c>
      <c r="I646" s="1323">
        <f t="shared" si="89"/>
        <v>9</v>
      </c>
      <c r="J646" s="1323"/>
      <c r="K646" s="1323"/>
      <c r="L646" s="1323"/>
      <c r="M646" s="1323"/>
      <c r="N646" s="1323"/>
      <c r="O646" s="1323"/>
      <c r="P646" s="1323"/>
      <c r="Q646" s="1323"/>
      <c r="R646" s="1304"/>
      <c r="S646" s="1304"/>
      <c r="T646" s="1304"/>
    </row>
    <row r="647" spans="1:20">
      <c r="A647" s="1303"/>
      <c r="B647" s="1322" t="s">
        <v>3551</v>
      </c>
      <c r="C647" s="1323" t="s">
        <v>3552</v>
      </c>
      <c r="D647" s="1324">
        <f t="shared" si="84"/>
        <v>40947</v>
      </c>
      <c r="E647" s="1323">
        <f t="shared" si="86"/>
        <v>7.53</v>
      </c>
      <c r="F647" s="1323">
        <f t="shared" si="85"/>
        <v>8.6696255459376275</v>
      </c>
      <c r="G647" s="1323">
        <f t="shared" si="87"/>
        <v>2012</v>
      </c>
      <c r="H647" s="1323">
        <f t="shared" si="88"/>
        <v>2</v>
      </c>
      <c r="I647" s="1323">
        <f t="shared" si="89"/>
        <v>8</v>
      </c>
      <c r="J647" s="1323"/>
      <c r="K647" s="1323"/>
      <c r="L647" s="1323"/>
      <c r="M647" s="1323"/>
      <c r="N647" s="1323"/>
      <c r="O647" s="1323"/>
      <c r="P647" s="1323"/>
      <c r="Q647" s="1323"/>
      <c r="R647" s="1304"/>
      <c r="S647" s="1304"/>
      <c r="T647" s="1304"/>
    </row>
    <row r="648" spans="1:20">
      <c r="A648" s="1303"/>
      <c r="B648" s="1322" t="s">
        <v>3553</v>
      </c>
      <c r="C648" s="1323" t="s">
        <v>3554</v>
      </c>
      <c r="D648" s="1324">
        <f t="shared" si="84"/>
        <v>40946</v>
      </c>
      <c r="E648" s="1323">
        <f t="shared" si="86"/>
        <v>7.5480999999999998</v>
      </c>
      <c r="F648" s="1323">
        <f t="shared" si="85"/>
        <v>8.6679631968313853</v>
      </c>
      <c r="G648" s="1323">
        <f t="shared" si="87"/>
        <v>2012</v>
      </c>
      <c r="H648" s="1323">
        <f t="shared" si="88"/>
        <v>2</v>
      </c>
      <c r="I648" s="1323">
        <f t="shared" si="89"/>
        <v>7</v>
      </c>
      <c r="J648" s="1323"/>
      <c r="K648" s="1323"/>
      <c r="L648" s="1323"/>
      <c r="M648" s="1323"/>
      <c r="N648" s="1323"/>
      <c r="O648" s="1323"/>
      <c r="P648" s="1323"/>
      <c r="Q648" s="1323"/>
      <c r="R648" s="1304"/>
      <c r="S648" s="1304"/>
      <c r="T648" s="1304"/>
    </row>
    <row r="649" spans="1:20">
      <c r="A649" s="1303"/>
      <c r="B649" s="1322" t="s">
        <v>3555</v>
      </c>
      <c r="C649" s="1323" t="s">
        <v>3556</v>
      </c>
      <c r="D649" s="1324">
        <f t="shared" ref="D649:D712" si="90">DATE(G649,H649,I649)</f>
        <v>40945</v>
      </c>
      <c r="E649" s="1323">
        <f t="shared" si="86"/>
        <v>7.5876999999999999</v>
      </c>
      <c r="F649" s="1323">
        <f t="shared" ref="F649:F712" si="91">F650*(1+$F$7/365)</f>
        <v>8.6663011664706922</v>
      </c>
      <c r="G649" s="1323">
        <f t="shared" si="87"/>
        <v>2012</v>
      </c>
      <c r="H649" s="1323">
        <f t="shared" si="88"/>
        <v>2</v>
      </c>
      <c r="I649" s="1323">
        <f t="shared" si="89"/>
        <v>6</v>
      </c>
      <c r="J649" s="1323"/>
      <c r="K649" s="1323"/>
      <c r="L649" s="1323"/>
      <c r="M649" s="1323"/>
      <c r="N649" s="1323"/>
      <c r="O649" s="1323"/>
      <c r="P649" s="1323"/>
      <c r="Q649" s="1323"/>
      <c r="R649" s="1304"/>
      <c r="S649" s="1304"/>
      <c r="T649" s="1304"/>
    </row>
    <row r="650" spans="1:20">
      <c r="A650" s="1303"/>
      <c r="B650" s="1322" t="s">
        <v>3557</v>
      </c>
      <c r="C650" s="1323" t="s">
        <v>3558</v>
      </c>
      <c r="D650" s="1324">
        <f t="shared" si="90"/>
        <v>40942</v>
      </c>
      <c r="E650" s="1323">
        <f t="shared" si="86"/>
        <v>7.6605999999999996</v>
      </c>
      <c r="F650" s="1323">
        <f t="shared" si="91"/>
        <v>8.6646394547944308</v>
      </c>
      <c r="G650" s="1323">
        <f t="shared" si="87"/>
        <v>2012</v>
      </c>
      <c r="H650" s="1323">
        <f t="shared" si="88"/>
        <v>2</v>
      </c>
      <c r="I650" s="1323">
        <f t="shared" si="89"/>
        <v>3</v>
      </c>
      <c r="J650" s="1323"/>
      <c r="K650" s="1323"/>
      <c r="L650" s="1323"/>
      <c r="M650" s="1323"/>
      <c r="N650" s="1323"/>
      <c r="O650" s="1323"/>
      <c r="P650" s="1323"/>
      <c r="Q650" s="1323"/>
      <c r="R650" s="1304"/>
      <c r="S650" s="1304"/>
      <c r="T650" s="1304"/>
    </row>
    <row r="651" spans="1:20">
      <c r="A651" s="1303"/>
      <c r="B651" s="1322" t="s">
        <v>3559</v>
      </c>
      <c r="C651" s="1323" t="s">
        <v>3560</v>
      </c>
      <c r="D651" s="1324">
        <f t="shared" si="90"/>
        <v>40941</v>
      </c>
      <c r="E651" s="1323">
        <f t="shared" si="86"/>
        <v>7.6942000000000004</v>
      </c>
      <c r="F651" s="1323">
        <f t="shared" si="91"/>
        <v>8.6629780617414944</v>
      </c>
      <c r="G651" s="1323">
        <f t="shared" si="87"/>
        <v>2012</v>
      </c>
      <c r="H651" s="1323">
        <f t="shared" si="88"/>
        <v>2</v>
      </c>
      <c r="I651" s="1323">
        <f t="shared" si="89"/>
        <v>2</v>
      </c>
      <c r="J651" s="1323"/>
      <c r="K651" s="1323"/>
      <c r="L651" s="1323"/>
      <c r="M651" s="1323"/>
      <c r="N651" s="1323"/>
      <c r="O651" s="1323"/>
      <c r="P651" s="1323"/>
      <c r="Q651" s="1323"/>
      <c r="R651" s="1304"/>
      <c r="S651" s="1304"/>
      <c r="T651" s="1304"/>
    </row>
    <row r="652" spans="1:20">
      <c r="A652" s="1303"/>
      <c r="B652" s="1322" t="s">
        <v>3561</v>
      </c>
      <c r="C652" s="1323" t="s">
        <v>3562</v>
      </c>
      <c r="D652" s="1324">
        <f t="shared" si="90"/>
        <v>40940</v>
      </c>
      <c r="E652" s="1323">
        <f t="shared" si="86"/>
        <v>7.8029999999999999</v>
      </c>
      <c r="F652" s="1323">
        <f t="shared" si="91"/>
        <v>8.6613169872507889</v>
      </c>
      <c r="G652" s="1323">
        <f t="shared" si="87"/>
        <v>2012</v>
      </c>
      <c r="H652" s="1323">
        <f t="shared" si="88"/>
        <v>2</v>
      </c>
      <c r="I652" s="1323">
        <f t="shared" si="89"/>
        <v>1</v>
      </c>
      <c r="J652" s="1323"/>
      <c r="K652" s="1323"/>
      <c r="L652" s="1323"/>
      <c r="M652" s="1323"/>
      <c r="N652" s="1323"/>
      <c r="O652" s="1323"/>
      <c r="P652" s="1323"/>
      <c r="Q652" s="1323"/>
      <c r="R652" s="1304"/>
      <c r="S652" s="1304"/>
      <c r="T652" s="1304"/>
    </row>
    <row r="653" spans="1:20">
      <c r="A653" s="1303"/>
      <c r="B653" s="1322" t="s">
        <v>3563</v>
      </c>
      <c r="C653" s="1323" t="s">
        <v>3564</v>
      </c>
      <c r="D653" s="1324">
        <f t="shared" si="90"/>
        <v>40939</v>
      </c>
      <c r="E653" s="1323">
        <f t="shared" si="86"/>
        <v>7.8033999999999999</v>
      </c>
      <c r="F653" s="1323">
        <f t="shared" si="91"/>
        <v>8.6596562312612324</v>
      </c>
      <c r="G653" s="1323">
        <f t="shared" si="87"/>
        <v>2012</v>
      </c>
      <c r="H653" s="1323">
        <f t="shared" si="88"/>
        <v>1</v>
      </c>
      <c r="I653" s="1323">
        <f t="shared" si="89"/>
        <v>31</v>
      </c>
      <c r="J653" s="1323"/>
      <c r="K653" s="1323"/>
      <c r="L653" s="1323"/>
      <c r="M653" s="1323"/>
      <c r="N653" s="1323"/>
      <c r="O653" s="1323"/>
      <c r="P653" s="1323"/>
      <c r="Q653" s="1323"/>
      <c r="R653" s="1304"/>
      <c r="S653" s="1304"/>
      <c r="T653" s="1304"/>
    </row>
    <row r="654" spans="1:20">
      <c r="A654" s="1303"/>
      <c r="B654" s="1322" t="s">
        <v>3565</v>
      </c>
      <c r="C654" s="1323" t="s">
        <v>3566</v>
      </c>
      <c r="D654" s="1324">
        <f t="shared" si="90"/>
        <v>40938</v>
      </c>
      <c r="E654" s="1323">
        <f t="shared" si="86"/>
        <v>7.8251999999999997</v>
      </c>
      <c r="F654" s="1323">
        <f t="shared" si="91"/>
        <v>8.6579957937117538</v>
      </c>
      <c r="G654" s="1323">
        <f t="shared" si="87"/>
        <v>2012</v>
      </c>
      <c r="H654" s="1323">
        <f t="shared" si="88"/>
        <v>1</v>
      </c>
      <c r="I654" s="1323">
        <f t="shared" si="89"/>
        <v>30</v>
      </c>
      <c r="J654" s="1323"/>
      <c r="K654" s="1323"/>
      <c r="L654" s="1323"/>
      <c r="M654" s="1323"/>
      <c r="N654" s="1323"/>
      <c r="O654" s="1323"/>
      <c r="P654" s="1323"/>
      <c r="Q654" s="1323"/>
      <c r="R654" s="1304"/>
      <c r="S654" s="1304"/>
      <c r="T654" s="1304"/>
    </row>
    <row r="655" spans="1:20">
      <c r="A655" s="1303"/>
      <c r="B655" s="1322" t="s">
        <v>3567</v>
      </c>
      <c r="C655" s="1323" t="s">
        <v>3568</v>
      </c>
      <c r="D655" s="1324">
        <f t="shared" si="90"/>
        <v>40935</v>
      </c>
      <c r="E655" s="1323">
        <f t="shared" si="86"/>
        <v>7.8113000000000001</v>
      </c>
      <c r="F655" s="1323">
        <f t="shared" si="91"/>
        <v>8.6563356745412943</v>
      </c>
      <c r="G655" s="1323">
        <f t="shared" si="87"/>
        <v>2012</v>
      </c>
      <c r="H655" s="1323">
        <f t="shared" si="88"/>
        <v>1</v>
      </c>
      <c r="I655" s="1323">
        <f t="shared" si="89"/>
        <v>27</v>
      </c>
      <c r="J655" s="1323"/>
      <c r="K655" s="1323"/>
      <c r="L655" s="1323"/>
      <c r="M655" s="1323"/>
      <c r="N655" s="1323"/>
      <c r="O655" s="1323"/>
      <c r="P655" s="1323"/>
      <c r="Q655" s="1323"/>
      <c r="R655" s="1304"/>
      <c r="S655" s="1304"/>
      <c r="T655" s="1304"/>
    </row>
    <row r="656" spans="1:20">
      <c r="A656" s="1303"/>
      <c r="B656" s="1322" t="s">
        <v>3569</v>
      </c>
      <c r="C656" s="1323" t="s">
        <v>3570</v>
      </c>
      <c r="D656" s="1324">
        <f t="shared" si="90"/>
        <v>40934</v>
      </c>
      <c r="E656" s="1323">
        <f t="shared" si="86"/>
        <v>7.8639000000000001</v>
      </c>
      <c r="F656" s="1323">
        <f t="shared" si="91"/>
        <v>8.6546758736888059</v>
      </c>
      <c r="G656" s="1323">
        <f t="shared" si="87"/>
        <v>2012</v>
      </c>
      <c r="H656" s="1323">
        <f t="shared" si="88"/>
        <v>1</v>
      </c>
      <c r="I656" s="1323">
        <f t="shared" si="89"/>
        <v>26</v>
      </c>
      <c r="J656" s="1323"/>
      <c r="K656" s="1323"/>
      <c r="L656" s="1323"/>
      <c r="M656" s="1323"/>
      <c r="N656" s="1323"/>
      <c r="O656" s="1323"/>
      <c r="P656" s="1323"/>
      <c r="Q656" s="1323"/>
      <c r="R656" s="1304"/>
      <c r="S656" s="1304"/>
      <c r="T656" s="1304"/>
    </row>
    <row r="657" spans="1:20">
      <c r="A657" s="1303"/>
      <c r="B657" s="1322" t="s">
        <v>3571</v>
      </c>
      <c r="C657" s="1323" t="s">
        <v>3572</v>
      </c>
      <c r="D657" s="1324">
        <f t="shared" si="90"/>
        <v>40933</v>
      </c>
      <c r="E657" s="1323">
        <f t="shared" si="86"/>
        <v>7.9382999999999999</v>
      </c>
      <c r="F657" s="1323">
        <f t="shared" si="91"/>
        <v>8.6530163910932529</v>
      </c>
      <c r="G657" s="1323">
        <f t="shared" si="87"/>
        <v>2012</v>
      </c>
      <c r="H657" s="1323">
        <f t="shared" si="88"/>
        <v>1</v>
      </c>
      <c r="I657" s="1323">
        <f t="shared" si="89"/>
        <v>25</v>
      </c>
      <c r="J657" s="1323"/>
      <c r="K657" s="1323"/>
      <c r="L657" s="1323"/>
      <c r="M657" s="1323"/>
      <c r="N657" s="1323"/>
      <c r="O657" s="1323"/>
      <c r="P657" s="1323"/>
      <c r="Q657" s="1323"/>
      <c r="R657" s="1304"/>
      <c r="S657" s="1304"/>
      <c r="T657" s="1304"/>
    </row>
    <row r="658" spans="1:20">
      <c r="A658" s="1303"/>
      <c r="B658" s="1322" t="s">
        <v>3573</v>
      </c>
      <c r="C658" s="1323" t="s">
        <v>3574</v>
      </c>
      <c r="D658" s="1324">
        <f t="shared" si="90"/>
        <v>40932</v>
      </c>
      <c r="E658" s="1323">
        <f t="shared" si="86"/>
        <v>7.9825999999999997</v>
      </c>
      <c r="F658" s="1323">
        <f t="shared" si="91"/>
        <v>8.6513572266936123</v>
      </c>
      <c r="G658" s="1323">
        <f t="shared" si="87"/>
        <v>2012</v>
      </c>
      <c r="H658" s="1323">
        <f t="shared" si="88"/>
        <v>1</v>
      </c>
      <c r="I658" s="1323">
        <f t="shared" si="89"/>
        <v>24</v>
      </c>
      <c r="J658" s="1323"/>
      <c r="K658" s="1323"/>
      <c r="L658" s="1323"/>
      <c r="M658" s="1323"/>
      <c r="N658" s="1323"/>
      <c r="O658" s="1323"/>
      <c r="P658" s="1323"/>
      <c r="Q658" s="1323"/>
      <c r="R658" s="1304"/>
      <c r="S658" s="1304"/>
      <c r="T658" s="1304"/>
    </row>
    <row r="659" spans="1:20">
      <c r="A659" s="1303"/>
      <c r="B659" s="1322" t="s">
        <v>3575</v>
      </c>
      <c r="C659" s="1323" t="s">
        <v>3576</v>
      </c>
      <c r="D659" s="1324">
        <f t="shared" si="90"/>
        <v>40931</v>
      </c>
      <c r="E659" s="1323">
        <f t="shared" si="86"/>
        <v>7.9409000000000001</v>
      </c>
      <c r="F659" s="1323">
        <f t="shared" si="91"/>
        <v>8.6496983804288714</v>
      </c>
      <c r="G659" s="1323">
        <f t="shared" si="87"/>
        <v>2012</v>
      </c>
      <c r="H659" s="1323">
        <f t="shared" si="88"/>
        <v>1</v>
      </c>
      <c r="I659" s="1323">
        <f t="shared" si="89"/>
        <v>23</v>
      </c>
      <c r="J659" s="1323"/>
      <c r="K659" s="1323"/>
      <c r="L659" s="1323"/>
      <c r="M659" s="1323"/>
      <c r="N659" s="1323"/>
      <c r="O659" s="1323"/>
      <c r="P659" s="1323"/>
      <c r="Q659" s="1323"/>
      <c r="R659" s="1304"/>
      <c r="S659" s="1304"/>
      <c r="T659" s="1304"/>
    </row>
    <row r="660" spans="1:20">
      <c r="A660" s="1303"/>
      <c r="B660" s="1322" t="s">
        <v>3577</v>
      </c>
      <c r="C660" s="1323" t="s">
        <v>3578</v>
      </c>
      <c r="D660" s="1324">
        <f t="shared" si="90"/>
        <v>40928</v>
      </c>
      <c r="E660" s="1323">
        <f t="shared" si="86"/>
        <v>7.9553000000000003</v>
      </c>
      <c r="F660" s="1323">
        <f t="shared" si="91"/>
        <v>8.6480398522380302</v>
      </c>
      <c r="G660" s="1323">
        <f t="shared" si="87"/>
        <v>2012</v>
      </c>
      <c r="H660" s="1323">
        <f t="shared" si="88"/>
        <v>1</v>
      </c>
      <c r="I660" s="1323">
        <f t="shared" si="89"/>
        <v>20</v>
      </c>
      <c r="J660" s="1323"/>
      <c r="K660" s="1323"/>
      <c r="L660" s="1323"/>
      <c r="M660" s="1323"/>
      <c r="N660" s="1323"/>
      <c r="O660" s="1323"/>
      <c r="P660" s="1323"/>
      <c r="Q660" s="1323"/>
      <c r="R660" s="1304"/>
      <c r="S660" s="1304"/>
      <c r="T660" s="1304"/>
    </row>
    <row r="661" spans="1:20">
      <c r="A661" s="1303"/>
      <c r="B661" s="1322" t="s">
        <v>3579</v>
      </c>
      <c r="C661" s="1323" t="s">
        <v>3580</v>
      </c>
      <c r="D661" s="1324">
        <f t="shared" si="90"/>
        <v>40927</v>
      </c>
      <c r="E661" s="1323">
        <f t="shared" si="86"/>
        <v>7.9819000000000004</v>
      </c>
      <c r="F661" s="1323">
        <f t="shared" si="91"/>
        <v>8.646381642060101</v>
      </c>
      <c r="G661" s="1323">
        <f t="shared" si="87"/>
        <v>2012</v>
      </c>
      <c r="H661" s="1323">
        <f t="shared" si="88"/>
        <v>1</v>
      </c>
      <c r="I661" s="1323">
        <f t="shared" si="89"/>
        <v>19</v>
      </c>
      <c r="J661" s="1323"/>
      <c r="K661" s="1323"/>
      <c r="L661" s="1323"/>
      <c r="M661" s="1323"/>
      <c r="N661" s="1323"/>
      <c r="O661" s="1323"/>
      <c r="P661" s="1323"/>
      <c r="Q661" s="1323"/>
      <c r="R661" s="1304"/>
      <c r="S661" s="1304"/>
      <c r="T661" s="1304"/>
    </row>
    <row r="662" spans="1:20">
      <c r="A662" s="1303"/>
      <c r="B662" s="1322" t="s">
        <v>3581</v>
      </c>
      <c r="C662" s="1323" t="s">
        <v>3582</v>
      </c>
      <c r="D662" s="1324">
        <f t="shared" si="90"/>
        <v>40926</v>
      </c>
      <c r="E662" s="1323">
        <f t="shared" ref="E662:E725" si="92">VALUE(C663)</f>
        <v>8.0267999999999997</v>
      </c>
      <c r="F662" s="1323">
        <f t="shared" si="91"/>
        <v>8.644723749834105</v>
      </c>
      <c r="G662" s="1323">
        <f t="shared" ref="G662:G725" si="93">YEAR(B663)</f>
        <v>2012</v>
      </c>
      <c r="H662" s="1323">
        <f t="shared" ref="H662:H725" si="94">MONTH(B663)</f>
        <v>1</v>
      </c>
      <c r="I662" s="1323">
        <f t="shared" ref="I662:I725" si="95">DAY(B663)</f>
        <v>18</v>
      </c>
      <c r="J662" s="1323"/>
      <c r="K662" s="1323"/>
      <c r="L662" s="1323"/>
      <c r="M662" s="1323"/>
      <c r="N662" s="1323"/>
      <c r="O662" s="1323"/>
      <c r="P662" s="1323"/>
      <c r="Q662" s="1323"/>
      <c r="R662" s="1304"/>
      <c r="S662" s="1304"/>
      <c r="T662" s="1304"/>
    </row>
    <row r="663" spans="1:20">
      <c r="A663" s="1303"/>
      <c r="B663" s="1322" t="s">
        <v>3583</v>
      </c>
      <c r="C663" s="1323" t="s">
        <v>3584</v>
      </c>
      <c r="D663" s="1324">
        <f t="shared" si="90"/>
        <v>40925</v>
      </c>
      <c r="E663" s="1323">
        <f t="shared" si="92"/>
        <v>8.0193999999999992</v>
      </c>
      <c r="F663" s="1323">
        <f t="shared" si="91"/>
        <v>8.6430661754990776</v>
      </c>
      <c r="G663" s="1323">
        <f t="shared" si="93"/>
        <v>2012</v>
      </c>
      <c r="H663" s="1323">
        <f t="shared" si="94"/>
        <v>1</v>
      </c>
      <c r="I663" s="1323">
        <f t="shared" si="95"/>
        <v>17</v>
      </c>
      <c r="J663" s="1323"/>
      <c r="K663" s="1323"/>
      <c r="L663" s="1323"/>
      <c r="M663" s="1323"/>
      <c r="N663" s="1323"/>
      <c r="O663" s="1323"/>
      <c r="P663" s="1323"/>
      <c r="Q663" s="1323"/>
      <c r="R663" s="1304"/>
      <c r="S663" s="1304"/>
      <c r="T663" s="1304"/>
    </row>
    <row r="664" spans="1:20">
      <c r="A664" s="1303"/>
      <c r="B664" s="1322" t="s">
        <v>3585</v>
      </c>
      <c r="C664" s="1323" t="s">
        <v>3586</v>
      </c>
      <c r="D664" s="1324">
        <f t="shared" si="90"/>
        <v>40924</v>
      </c>
      <c r="E664" s="1323">
        <f t="shared" si="92"/>
        <v>8.1425999999999998</v>
      </c>
      <c r="F664" s="1323">
        <f t="shared" si="91"/>
        <v>8.641408918994065</v>
      </c>
      <c r="G664" s="1323">
        <f t="shared" si="93"/>
        <v>2012</v>
      </c>
      <c r="H664" s="1323">
        <f t="shared" si="94"/>
        <v>1</v>
      </c>
      <c r="I664" s="1323">
        <f t="shared" si="95"/>
        <v>16</v>
      </c>
      <c r="J664" s="1323"/>
      <c r="K664" s="1323"/>
      <c r="L664" s="1323"/>
      <c r="M664" s="1323"/>
      <c r="N664" s="1323"/>
      <c r="O664" s="1323"/>
      <c r="P664" s="1323"/>
      <c r="Q664" s="1323"/>
      <c r="R664" s="1304"/>
      <c r="S664" s="1304"/>
      <c r="T664" s="1304"/>
    </row>
    <row r="665" spans="1:20">
      <c r="A665" s="1303"/>
      <c r="B665" s="1322" t="s">
        <v>3587</v>
      </c>
      <c r="C665" s="1323" t="s">
        <v>3588</v>
      </c>
      <c r="D665" s="1324">
        <f t="shared" si="90"/>
        <v>40921</v>
      </c>
      <c r="E665" s="1323">
        <f t="shared" si="92"/>
        <v>8.0373000000000001</v>
      </c>
      <c r="F665" s="1323">
        <f t="shared" si="91"/>
        <v>8.639751980258124</v>
      </c>
      <c r="G665" s="1323">
        <f t="shared" si="93"/>
        <v>2012</v>
      </c>
      <c r="H665" s="1323">
        <f t="shared" si="94"/>
        <v>1</v>
      </c>
      <c r="I665" s="1323">
        <f t="shared" si="95"/>
        <v>13</v>
      </c>
      <c r="J665" s="1323"/>
      <c r="K665" s="1323"/>
      <c r="L665" s="1323"/>
      <c r="M665" s="1323"/>
      <c r="N665" s="1323"/>
      <c r="O665" s="1323"/>
      <c r="P665" s="1323"/>
      <c r="Q665" s="1323"/>
      <c r="R665" s="1304"/>
      <c r="S665" s="1304"/>
      <c r="T665" s="1304"/>
    </row>
    <row r="666" spans="1:20">
      <c r="A666" s="1303"/>
      <c r="B666" s="1322" t="s">
        <v>3589</v>
      </c>
      <c r="C666" s="1323" t="s">
        <v>3590</v>
      </c>
      <c r="D666" s="1324">
        <f t="shared" si="90"/>
        <v>40920</v>
      </c>
      <c r="E666" s="1323">
        <f t="shared" si="92"/>
        <v>8.0869</v>
      </c>
      <c r="F666" s="1323">
        <f t="shared" si="91"/>
        <v>8.6380953592303253</v>
      </c>
      <c r="G666" s="1323">
        <f t="shared" si="93"/>
        <v>2012</v>
      </c>
      <c r="H666" s="1323">
        <f t="shared" si="94"/>
        <v>1</v>
      </c>
      <c r="I666" s="1323">
        <f t="shared" si="95"/>
        <v>12</v>
      </c>
      <c r="J666" s="1323"/>
      <c r="K666" s="1323"/>
      <c r="L666" s="1323"/>
      <c r="M666" s="1323"/>
      <c r="N666" s="1323"/>
      <c r="O666" s="1323"/>
      <c r="P666" s="1323"/>
      <c r="Q666" s="1323"/>
      <c r="R666" s="1304"/>
      <c r="S666" s="1304"/>
      <c r="T666" s="1304"/>
    </row>
    <row r="667" spans="1:20">
      <c r="A667" s="1303"/>
      <c r="B667" s="1322" t="s">
        <v>3591</v>
      </c>
      <c r="C667" s="1323" t="s">
        <v>3592</v>
      </c>
      <c r="D667" s="1324">
        <f t="shared" si="90"/>
        <v>40919</v>
      </c>
      <c r="E667" s="1323">
        <f t="shared" si="92"/>
        <v>8.0978999999999992</v>
      </c>
      <c r="F667" s="1323">
        <f t="shared" si="91"/>
        <v>8.6364390558497508</v>
      </c>
      <c r="G667" s="1323">
        <f t="shared" si="93"/>
        <v>2012</v>
      </c>
      <c r="H667" s="1323">
        <f t="shared" si="94"/>
        <v>1</v>
      </c>
      <c r="I667" s="1323">
        <f t="shared" si="95"/>
        <v>11</v>
      </c>
      <c r="J667" s="1323"/>
      <c r="K667" s="1323"/>
      <c r="L667" s="1323"/>
      <c r="M667" s="1323"/>
      <c r="N667" s="1323"/>
      <c r="O667" s="1323"/>
      <c r="P667" s="1323"/>
      <c r="Q667" s="1323"/>
      <c r="R667" s="1304"/>
      <c r="S667" s="1304"/>
      <c r="T667" s="1304"/>
    </row>
    <row r="668" spans="1:20">
      <c r="A668" s="1303"/>
      <c r="B668" s="1322" t="s">
        <v>3593</v>
      </c>
      <c r="C668" s="1323" t="s">
        <v>3594</v>
      </c>
      <c r="D668" s="1324">
        <f t="shared" si="90"/>
        <v>40918</v>
      </c>
      <c r="E668" s="1323">
        <f t="shared" si="92"/>
        <v>8.1295999999999999</v>
      </c>
      <c r="F668" s="1323">
        <f t="shared" si="91"/>
        <v>8.6347830700554926</v>
      </c>
      <c r="G668" s="1323">
        <f t="shared" si="93"/>
        <v>2012</v>
      </c>
      <c r="H668" s="1323">
        <f t="shared" si="94"/>
        <v>1</v>
      </c>
      <c r="I668" s="1323">
        <f t="shared" si="95"/>
        <v>10</v>
      </c>
      <c r="J668" s="1323"/>
      <c r="K668" s="1323"/>
      <c r="L668" s="1323"/>
      <c r="M668" s="1323"/>
      <c r="N668" s="1323"/>
      <c r="O668" s="1323"/>
      <c r="P668" s="1323"/>
      <c r="Q668" s="1323"/>
      <c r="R668" s="1304"/>
      <c r="S668" s="1304"/>
      <c r="T668" s="1304"/>
    </row>
    <row r="669" spans="1:20">
      <c r="A669" s="1303"/>
      <c r="B669" s="1322" t="s">
        <v>3595</v>
      </c>
      <c r="C669" s="1323" t="s">
        <v>3596</v>
      </c>
      <c r="D669" s="1324">
        <f t="shared" si="90"/>
        <v>40917</v>
      </c>
      <c r="E669" s="1323">
        <f t="shared" si="92"/>
        <v>8.1593999999999998</v>
      </c>
      <c r="F669" s="1323">
        <f t="shared" si="91"/>
        <v>8.6331274017866573</v>
      </c>
      <c r="G669" s="1323">
        <f t="shared" si="93"/>
        <v>2012</v>
      </c>
      <c r="H669" s="1323">
        <f t="shared" si="94"/>
        <v>1</v>
      </c>
      <c r="I669" s="1323">
        <f t="shared" si="95"/>
        <v>9</v>
      </c>
      <c r="J669" s="1323"/>
      <c r="K669" s="1323"/>
      <c r="L669" s="1323"/>
      <c r="M669" s="1323"/>
      <c r="N669" s="1323"/>
      <c r="O669" s="1323"/>
      <c r="P669" s="1323"/>
      <c r="Q669" s="1323"/>
      <c r="R669" s="1304"/>
      <c r="S669" s="1304"/>
      <c r="T669" s="1304"/>
    </row>
    <row r="670" spans="1:20">
      <c r="A670" s="1303"/>
      <c r="B670" s="1322" t="s">
        <v>3597</v>
      </c>
      <c r="C670" s="1323" t="s">
        <v>3598</v>
      </c>
      <c r="D670" s="1324">
        <f t="shared" si="90"/>
        <v>40914</v>
      </c>
      <c r="E670" s="1323">
        <f t="shared" si="92"/>
        <v>8.1569000000000003</v>
      </c>
      <c r="F670" s="1323">
        <f t="shared" si="91"/>
        <v>8.6314720509823584</v>
      </c>
      <c r="G670" s="1323">
        <f t="shared" si="93"/>
        <v>2012</v>
      </c>
      <c r="H670" s="1323">
        <f t="shared" si="94"/>
        <v>1</v>
      </c>
      <c r="I670" s="1323">
        <f t="shared" si="95"/>
        <v>6</v>
      </c>
      <c r="J670" s="1323"/>
      <c r="K670" s="1323"/>
      <c r="L670" s="1323"/>
      <c r="M670" s="1323"/>
      <c r="N670" s="1323"/>
      <c r="O670" s="1323"/>
      <c r="P670" s="1323"/>
      <c r="Q670" s="1323"/>
      <c r="R670" s="1304"/>
      <c r="S670" s="1304"/>
      <c r="T670" s="1304"/>
    </row>
    <row r="671" spans="1:20">
      <c r="A671" s="1303"/>
      <c r="B671" s="1322" t="s">
        <v>3599</v>
      </c>
      <c r="C671" s="1323" t="s">
        <v>3600</v>
      </c>
      <c r="D671" s="1324">
        <f t="shared" si="90"/>
        <v>40913</v>
      </c>
      <c r="E671" s="1323">
        <f t="shared" si="92"/>
        <v>8.18</v>
      </c>
      <c r="F671" s="1323">
        <f t="shared" si="91"/>
        <v>8.6298170175817255</v>
      </c>
      <c r="G671" s="1323">
        <f t="shared" si="93"/>
        <v>2012</v>
      </c>
      <c r="H671" s="1323">
        <f t="shared" si="94"/>
        <v>1</v>
      </c>
      <c r="I671" s="1323">
        <f t="shared" si="95"/>
        <v>5</v>
      </c>
      <c r="J671" s="1323"/>
      <c r="K671" s="1323"/>
      <c r="L671" s="1323"/>
      <c r="M671" s="1323"/>
      <c r="N671" s="1323"/>
      <c r="O671" s="1323"/>
      <c r="P671" s="1323"/>
      <c r="Q671" s="1323"/>
      <c r="R671" s="1304"/>
      <c r="S671" s="1304"/>
      <c r="T671" s="1304"/>
    </row>
    <row r="672" spans="1:20">
      <c r="A672" s="1303"/>
      <c r="B672" s="1322" t="s">
        <v>3601</v>
      </c>
      <c r="C672" s="1323" t="s">
        <v>3602</v>
      </c>
      <c r="D672" s="1324">
        <f t="shared" si="90"/>
        <v>40912</v>
      </c>
      <c r="E672" s="1323">
        <f t="shared" si="92"/>
        <v>8.0612999999999992</v>
      </c>
      <c r="F672" s="1323">
        <f t="shared" si="91"/>
        <v>8.6281623015238988</v>
      </c>
      <c r="G672" s="1323">
        <f t="shared" si="93"/>
        <v>2012</v>
      </c>
      <c r="H672" s="1323">
        <f t="shared" si="94"/>
        <v>1</v>
      </c>
      <c r="I672" s="1323">
        <f t="shared" si="95"/>
        <v>4</v>
      </c>
      <c r="J672" s="1323"/>
      <c r="K672" s="1323"/>
      <c r="L672" s="1323"/>
      <c r="M672" s="1323"/>
      <c r="N672" s="1323"/>
      <c r="O672" s="1323"/>
      <c r="P672" s="1323"/>
      <c r="Q672" s="1323"/>
      <c r="R672" s="1304"/>
      <c r="S672" s="1304"/>
      <c r="T672" s="1304"/>
    </row>
    <row r="673" spans="1:20">
      <c r="A673" s="1303"/>
      <c r="B673" s="1322" t="s">
        <v>3603</v>
      </c>
      <c r="C673" s="1323" t="s">
        <v>3604</v>
      </c>
      <c r="D673" s="1324">
        <f t="shared" si="90"/>
        <v>40911</v>
      </c>
      <c r="E673" s="1323">
        <f t="shared" si="92"/>
        <v>8.0562000000000005</v>
      </c>
      <c r="F673" s="1323">
        <f t="shared" si="91"/>
        <v>8.6265079027480294</v>
      </c>
      <c r="G673" s="1323">
        <f t="shared" si="93"/>
        <v>2012</v>
      </c>
      <c r="H673" s="1323">
        <f t="shared" si="94"/>
        <v>1</v>
      </c>
      <c r="I673" s="1323">
        <f t="shared" si="95"/>
        <v>3</v>
      </c>
      <c r="J673" s="1323"/>
      <c r="K673" s="1323"/>
      <c r="L673" s="1323"/>
      <c r="M673" s="1323"/>
      <c r="N673" s="1323"/>
      <c r="O673" s="1323"/>
      <c r="P673" s="1323"/>
      <c r="Q673" s="1323"/>
      <c r="R673" s="1304"/>
      <c r="S673" s="1304"/>
      <c r="T673" s="1304"/>
    </row>
    <row r="674" spans="1:20">
      <c r="A674" s="1303"/>
      <c r="B674" s="1322" t="s">
        <v>3605</v>
      </c>
      <c r="C674" s="1323" t="s">
        <v>3606</v>
      </c>
      <c r="D674" s="1324">
        <f t="shared" si="90"/>
        <v>40907</v>
      </c>
      <c r="E674" s="1323">
        <f t="shared" si="92"/>
        <v>8.1318999999999999</v>
      </c>
      <c r="F674" s="1323">
        <f t="shared" si="91"/>
        <v>8.6248538211932804</v>
      </c>
      <c r="G674" s="1323">
        <f t="shared" si="93"/>
        <v>2011</v>
      </c>
      <c r="H674" s="1323">
        <f t="shared" si="94"/>
        <v>12</v>
      </c>
      <c r="I674" s="1323">
        <f t="shared" si="95"/>
        <v>30</v>
      </c>
      <c r="J674" s="1323"/>
      <c r="K674" s="1323"/>
      <c r="L674" s="1323"/>
      <c r="M674" s="1323"/>
      <c r="N674" s="1323"/>
      <c r="O674" s="1323"/>
      <c r="P674" s="1323"/>
      <c r="Q674" s="1323"/>
      <c r="R674" s="1304"/>
      <c r="S674" s="1304"/>
      <c r="T674" s="1304"/>
    </row>
    <row r="675" spans="1:20">
      <c r="A675" s="1303"/>
      <c r="B675" s="1322" t="s">
        <v>3607</v>
      </c>
      <c r="C675" s="1323" t="s">
        <v>3608</v>
      </c>
      <c r="D675" s="1324">
        <f t="shared" si="90"/>
        <v>40906</v>
      </c>
      <c r="E675" s="1323">
        <f t="shared" si="92"/>
        <v>8.1577999999999999</v>
      </c>
      <c r="F675" s="1323">
        <f t="shared" si="91"/>
        <v>8.6232000567988258</v>
      </c>
      <c r="G675" s="1323">
        <f t="shared" si="93"/>
        <v>2011</v>
      </c>
      <c r="H675" s="1323">
        <f t="shared" si="94"/>
        <v>12</v>
      </c>
      <c r="I675" s="1323">
        <f t="shared" si="95"/>
        <v>29</v>
      </c>
      <c r="J675" s="1323"/>
      <c r="K675" s="1323"/>
      <c r="L675" s="1323"/>
      <c r="M675" s="1323"/>
      <c r="N675" s="1323"/>
      <c r="O675" s="1323"/>
      <c r="P675" s="1323"/>
      <c r="Q675" s="1323"/>
      <c r="R675" s="1304"/>
      <c r="S675" s="1304"/>
      <c r="T675" s="1304"/>
    </row>
    <row r="676" spans="1:20">
      <c r="A676" s="1303"/>
      <c r="B676" s="1322" t="s">
        <v>3609</v>
      </c>
      <c r="C676" s="1323" t="s">
        <v>3610</v>
      </c>
      <c r="D676" s="1324">
        <f t="shared" si="90"/>
        <v>40905</v>
      </c>
      <c r="E676" s="1323">
        <f t="shared" si="92"/>
        <v>8.1478000000000002</v>
      </c>
      <c r="F676" s="1323">
        <f t="shared" si="91"/>
        <v>8.6215466095038522</v>
      </c>
      <c r="G676" s="1323">
        <f t="shared" si="93"/>
        <v>2011</v>
      </c>
      <c r="H676" s="1323">
        <f t="shared" si="94"/>
        <v>12</v>
      </c>
      <c r="I676" s="1323">
        <f t="shared" si="95"/>
        <v>28</v>
      </c>
      <c r="J676" s="1323"/>
      <c r="K676" s="1323"/>
      <c r="L676" s="1323"/>
      <c r="M676" s="1323"/>
      <c r="N676" s="1323"/>
      <c r="O676" s="1323"/>
      <c r="P676" s="1323"/>
      <c r="Q676" s="1323"/>
      <c r="R676" s="1304"/>
      <c r="S676" s="1304"/>
      <c r="T676" s="1304"/>
    </row>
    <row r="677" spans="1:20">
      <c r="A677" s="1303"/>
      <c r="B677" s="1322" t="s">
        <v>3611</v>
      </c>
      <c r="C677" s="1323" t="s">
        <v>3612</v>
      </c>
      <c r="D677" s="1324">
        <f t="shared" si="90"/>
        <v>40900</v>
      </c>
      <c r="E677" s="1323">
        <f t="shared" si="92"/>
        <v>8.173</v>
      </c>
      <c r="F677" s="1323">
        <f t="shared" si="91"/>
        <v>8.6198934792475583</v>
      </c>
      <c r="G677" s="1323">
        <f t="shared" si="93"/>
        <v>2011</v>
      </c>
      <c r="H677" s="1323">
        <f t="shared" si="94"/>
        <v>12</v>
      </c>
      <c r="I677" s="1323">
        <f t="shared" si="95"/>
        <v>23</v>
      </c>
      <c r="J677" s="1323"/>
      <c r="K677" s="1323"/>
      <c r="L677" s="1323"/>
      <c r="M677" s="1323"/>
      <c r="N677" s="1323"/>
      <c r="O677" s="1323"/>
      <c r="P677" s="1323"/>
      <c r="Q677" s="1323"/>
      <c r="R677" s="1304"/>
      <c r="S677" s="1304"/>
      <c r="T677" s="1304"/>
    </row>
    <row r="678" spans="1:20">
      <c r="A678" s="1303"/>
      <c r="B678" s="1322" t="s">
        <v>3613</v>
      </c>
      <c r="C678" s="1323" t="s">
        <v>3614</v>
      </c>
      <c r="D678" s="1324">
        <f t="shared" si="90"/>
        <v>40899</v>
      </c>
      <c r="E678" s="1323">
        <f t="shared" si="92"/>
        <v>8.1875999999999998</v>
      </c>
      <c r="F678" s="1323">
        <f t="shared" si="91"/>
        <v>8.6182406659691537</v>
      </c>
      <c r="G678" s="1323">
        <f t="shared" si="93"/>
        <v>2011</v>
      </c>
      <c r="H678" s="1323">
        <f t="shared" si="94"/>
        <v>12</v>
      </c>
      <c r="I678" s="1323">
        <f t="shared" si="95"/>
        <v>22</v>
      </c>
      <c r="J678" s="1323"/>
      <c r="K678" s="1323"/>
      <c r="L678" s="1323"/>
      <c r="M678" s="1323"/>
      <c r="N678" s="1323"/>
      <c r="O678" s="1323"/>
      <c r="P678" s="1323"/>
      <c r="Q678" s="1323"/>
      <c r="R678" s="1304"/>
      <c r="S678" s="1304"/>
      <c r="T678" s="1304"/>
    </row>
    <row r="679" spans="1:20">
      <c r="A679" s="1303"/>
      <c r="B679" s="1322" t="s">
        <v>3615</v>
      </c>
      <c r="C679" s="1323" t="s">
        <v>3616</v>
      </c>
      <c r="D679" s="1324">
        <f t="shared" si="90"/>
        <v>40898</v>
      </c>
      <c r="E679" s="1323">
        <f t="shared" si="92"/>
        <v>8.1128</v>
      </c>
      <c r="F679" s="1323">
        <f t="shared" si="91"/>
        <v>8.6165881696078586</v>
      </c>
      <c r="G679" s="1323">
        <f t="shared" si="93"/>
        <v>2011</v>
      </c>
      <c r="H679" s="1323">
        <f t="shared" si="94"/>
        <v>12</v>
      </c>
      <c r="I679" s="1323">
        <f t="shared" si="95"/>
        <v>21</v>
      </c>
      <c r="J679" s="1323"/>
      <c r="K679" s="1323"/>
      <c r="L679" s="1323"/>
      <c r="M679" s="1323"/>
      <c r="N679" s="1323"/>
      <c r="O679" s="1323"/>
      <c r="P679" s="1323"/>
      <c r="Q679" s="1323"/>
      <c r="R679" s="1304"/>
      <c r="S679" s="1304"/>
      <c r="T679" s="1304"/>
    </row>
    <row r="680" spans="1:20">
      <c r="A680" s="1303"/>
      <c r="B680" s="1322" t="s">
        <v>3617</v>
      </c>
      <c r="C680" s="1323" t="s">
        <v>3618</v>
      </c>
      <c r="D680" s="1324">
        <f t="shared" si="90"/>
        <v>40897</v>
      </c>
      <c r="E680" s="1323">
        <f t="shared" si="92"/>
        <v>8.3381000000000007</v>
      </c>
      <c r="F680" s="1323">
        <f t="shared" si="91"/>
        <v>8.6149359901029072</v>
      </c>
      <c r="G680" s="1323">
        <f t="shared" si="93"/>
        <v>2011</v>
      </c>
      <c r="H680" s="1323">
        <f t="shared" si="94"/>
        <v>12</v>
      </c>
      <c r="I680" s="1323">
        <f t="shared" si="95"/>
        <v>20</v>
      </c>
      <c r="J680" s="1323"/>
      <c r="K680" s="1323"/>
      <c r="L680" s="1323"/>
      <c r="M680" s="1323"/>
      <c r="N680" s="1323"/>
      <c r="O680" s="1323"/>
      <c r="P680" s="1323"/>
      <c r="Q680" s="1323"/>
      <c r="R680" s="1304"/>
      <c r="S680" s="1304"/>
      <c r="T680" s="1304"/>
    </row>
    <row r="681" spans="1:20">
      <c r="A681" s="1303"/>
      <c r="B681" s="1322" t="s">
        <v>3619</v>
      </c>
      <c r="C681" s="1323" t="s">
        <v>3620</v>
      </c>
      <c r="D681" s="1324">
        <f t="shared" si="90"/>
        <v>40896</v>
      </c>
      <c r="E681" s="1323">
        <f t="shared" si="92"/>
        <v>8.3672000000000004</v>
      </c>
      <c r="F681" s="1323">
        <f t="shared" si="91"/>
        <v>8.613284127393543</v>
      </c>
      <c r="G681" s="1323">
        <f t="shared" si="93"/>
        <v>2011</v>
      </c>
      <c r="H681" s="1323">
        <f t="shared" si="94"/>
        <v>12</v>
      </c>
      <c r="I681" s="1323">
        <f t="shared" si="95"/>
        <v>19</v>
      </c>
      <c r="J681" s="1323"/>
      <c r="K681" s="1323"/>
      <c r="L681" s="1323"/>
      <c r="M681" s="1323"/>
      <c r="N681" s="1323"/>
      <c r="O681" s="1323"/>
      <c r="P681" s="1323"/>
      <c r="Q681" s="1323"/>
      <c r="R681" s="1304"/>
      <c r="S681" s="1304"/>
      <c r="T681" s="1304"/>
    </row>
    <row r="682" spans="1:20">
      <c r="A682" s="1303"/>
      <c r="B682" s="1322" t="s">
        <v>3621</v>
      </c>
      <c r="C682" s="1323" t="s">
        <v>3622</v>
      </c>
      <c r="D682" s="1324">
        <f t="shared" si="90"/>
        <v>40892</v>
      </c>
      <c r="E682" s="1323">
        <f t="shared" si="92"/>
        <v>8.3658999999999999</v>
      </c>
      <c r="F682" s="1323">
        <f t="shared" si="91"/>
        <v>8.6116325814190233</v>
      </c>
      <c r="G682" s="1323">
        <f t="shared" si="93"/>
        <v>2011</v>
      </c>
      <c r="H682" s="1323">
        <f t="shared" si="94"/>
        <v>12</v>
      </c>
      <c r="I682" s="1323">
        <f t="shared" si="95"/>
        <v>15</v>
      </c>
      <c r="J682" s="1323"/>
      <c r="K682" s="1323"/>
      <c r="L682" s="1323"/>
      <c r="M682" s="1323"/>
      <c r="N682" s="1323"/>
      <c r="O682" s="1323"/>
      <c r="P682" s="1323"/>
      <c r="Q682" s="1323"/>
      <c r="R682" s="1304"/>
      <c r="S682" s="1304"/>
      <c r="T682" s="1304"/>
    </row>
    <row r="683" spans="1:20">
      <c r="A683" s="1303"/>
      <c r="B683" s="1322" t="s">
        <v>3623</v>
      </c>
      <c r="C683" s="1323" t="s">
        <v>3624</v>
      </c>
      <c r="D683" s="1324">
        <f t="shared" si="90"/>
        <v>40891</v>
      </c>
      <c r="E683" s="1323">
        <f t="shared" si="92"/>
        <v>8.3293999999999997</v>
      </c>
      <c r="F683" s="1323">
        <f t="shared" si="91"/>
        <v>8.6099813521186164</v>
      </c>
      <c r="G683" s="1323">
        <f t="shared" si="93"/>
        <v>2011</v>
      </c>
      <c r="H683" s="1323">
        <f t="shared" si="94"/>
        <v>12</v>
      </c>
      <c r="I683" s="1323">
        <f t="shared" si="95"/>
        <v>14</v>
      </c>
      <c r="J683" s="1323"/>
      <c r="K683" s="1323"/>
      <c r="L683" s="1323"/>
      <c r="M683" s="1323"/>
      <c r="N683" s="1323"/>
      <c r="O683" s="1323"/>
      <c r="P683" s="1323"/>
      <c r="Q683" s="1323"/>
      <c r="R683" s="1304"/>
      <c r="S683" s="1304"/>
      <c r="T683" s="1304"/>
    </row>
    <row r="684" spans="1:20">
      <c r="A684" s="1303"/>
      <c r="B684" s="1322" t="s">
        <v>3625</v>
      </c>
      <c r="C684" s="1323" t="s">
        <v>3626</v>
      </c>
      <c r="D684" s="1324">
        <f t="shared" si="90"/>
        <v>40890</v>
      </c>
      <c r="E684" s="1323">
        <f t="shared" si="92"/>
        <v>8.2528000000000006</v>
      </c>
      <c r="F684" s="1323">
        <f t="shared" si="91"/>
        <v>8.6083304394316009</v>
      </c>
      <c r="G684" s="1323">
        <f t="shared" si="93"/>
        <v>2011</v>
      </c>
      <c r="H684" s="1323">
        <f t="shared" si="94"/>
        <v>12</v>
      </c>
      <c r="I684" s="1323">
        <f t="shared" si="95"/>
        <v>13</v>
      </c>
      <c r="J684" s="1323"/>
      <c r="K684" s="1323"/>
      <c r="L684" s="1323"/>
      <c r="M684" s="1323"/>
      <c r="N684" s="1323"/>
      <c r="O684" s="1323"/>
      <c r="P684" s="1323"/>
      <c r="Q684" s="1323"/>
      <c r="R684" s="1304"/>
      <c r="S684" s="1304"/>
      <c r="T684" s="1304"/>
    </row>
    <row r="685" spans="1:20">
      <c r="A685" s="1303"/>
      <c r="B685" s="1322" t="s">
        <v>3627</v>
      </c>
      <c r="C685" s="1323" t="s">
        <v>3628</v>
      </c>
      <c r="D685" s="1324">
        <f t="shared" si="90"/>
        <v>40889</v>
      </c>
      <c r="E685" s="1323">
        <f t="shared" si="92"/>
        <v>8.1606000000000005</v>
      </c>
      <c r="F685" s="1323">
        <f t="shared" si="91"/>
        <v>8.60667984329727</v>
      </c>
      <c r="G685" s="1323">
        <f t="shared" si="93"/>
        <v>2011</v>
      </c>
      <c r="H685" s="1323">
        <f t="shared" si="94"/>
        <v>12</v>
      </c>
      <c r="I685" s="1323">
        <f t="shared" si="95"/>
        <v>12</v>
      </c>
      <c r="J685" s="1323"/>
      <c r="K685" s="1323"/>
      <c r="L685" s="1323"/>
      <c r="M685" s="1323"/>
      <c r="N685" s="1323"/>
      <c r="O685" s="1323"/>
      <c r="P685" s="1323"/>
      <c r="Q685" s="1323"/>
      <c r="R685" s="1304"/>
      <c r="S685" s="1304"/>
      <c r="T685" s="1304"/>
    </row>
    <row r="686" spans="1:20">
      <c r="A686" s="1303"/>
      <c r="B686" s="1322" t="s">
        <v>3629</v>
      </c>
      <c r="C686" s="1323" t="s">
        <v>3630</v>
      </c>
      <c r="D686" s="1324">
        <f t="shared" si="90"/>
        <v>40886</v>
      </c>
      <c r="E686" s="1323">
        <f t="shared" si="92"/>
        <v>8.2529000000000003</v>
      </c>
      <c r="F686" s="1323">
        <f t="shared" si="91"/>
        <v>8.6050295636549254</v>
      </c>
      <c r="G686" s="1323">
        <f t="shared" si="93"/>
        <v>2011</v>
      </c>
      <c r="H686" s="1323">
        <f t="shared" si="94"/>
        <v>12</v>
      </c>
      <c r="I686" s="1323">
        <f t="shared" si="95"/>
        <v>9</v>
      </c>
      <c r="J686" s="1323"/>
      <c r="K686" s="1323"/>
      <c r="L686" s="1323"/>
      <c r="M686" s="1323"/>
      <c r="N686" s="1323"/>
      <c r="O686" s="1323"/>
      <c r="P686" s="1323"/>
      <c r="Q686" s="1323"/>
      <c r="R686" s="1304"/>
      <c r="S686" s="1304"/>
      <c r="T686" s="1304"/>
    </row>
    <row r="687" spans="1:20">
      <c r="A687" s="1303"/>
      <c r="B687" s="1322" t="s">
        <v>3631</v>
      </c>
      <c r="C687" s="1323" t="s">
        <v>3632</v>
      </c>
      <c r="D687" s="1324">
        <f t="shared" si="90"/>
        <v>40885</v>
      </c>
      <c r="E687" s="1323">
        <f t="shared" si="92"/>
        <v>8.0632999999999999</v>
      </c>
      <c r="F687" s="1323">
        <f t="shared" si="91"/>
        <v>8.6033796004438816</v>
      </c>
      <c r="G687" s="1323">
        <f t="shared" si="93"/>
        <v>2011</v>
      </c>
      <c r="H687" s="1323">
        <f t="shared" si="94"/>
        <v>12</v>
      </c>
      <c r="I687" s="1323">
        <f t="shared" si="95"/>
        <v>8</v>
      </c>
      <c r="J687" s="1323"/>
      <c r="K687" s="1323"/>
      <c r="L687" s="1323"/>
      <c r="M687" s="1323"/>
      <c r="N687" s="1323"/>
      <c r="O687" s="1323"/>
      <c r="P687" s="1323"/>
      <c r="Q687" s="1323"/>
      <c r="R687" s="1304"/>
      <c r="S687" s="1304"/>
      <c r="T687" s="1304"/>
    </row>
    <row r="688" spans="1:20">
      <c r="A688" s="1303"/>
      <c r="B688" s="1322" t="s">
        <v>3633</v>
      </c>
      <c r="C688" s="1323" t="s">
        <v>3634</v>
      </c>
      <c r="D688" s="1324">
        <f t="shared" si="90"/>
        <v>40884</v>
      </c>
      <c r="E688" s="1323">
        <f t="shared" si="92"/>
        <v>7.9702000000000002</v>
      </c>
      <c r="F688" s="1323">
        <f t="shared" si="91"/>
        <v>8.6017299536034635</v>
      </c>
      <c r="G688" s="1323">
        <f t="shared" si="93"/>
        <v>2011</v>
      </c>
      <c r="H688" s="1323">
        <f t="shared" si="94"/>
        <v>12</v>
      </c>
      <c r="I688" s="1323">
        <f t="shared" si="95"/>
        <v>7</v>
      </c>
      <c r="J688" s="1323"/>
      <c r="K688" s="1323"/>
      <c r="L688" s="1323"/>
      <c r="M688" s="1323"/>
      <c r="N688" s="1323"/>
      <c r="O688" s="1323"/>
      <c r="P688" s="1323"/>
      <c r="Q688" s="1323"/>
      <c r="R688" s="1304"/>
      <c r="S688" s="1304"/>
      <c r="T688" s="1304"/>
    </row>
    <row r="689" spans="1:20">
      <c r="A689" s="1303"/>
      <c r="B689" s="1322" t="s">
        <v>3635</v>
      </c>
      <c r="C689" s="1323" t="s">
        <v>3636</v>
      </c>
      <c r="D689" s="1324">
        <f t="shared" si="90"/>
        <v>40883</v>
      </c>
      <c r="E689" s="1323">
        <f t="shared" si="92"/>
        <v>8.0702999999999996</v>
      </c>
      <c r="F689" s="1323">
        <f t="shared" si="91"/>
        <v>8.6000806230730102</v>
      </c>
      <c r="G689" s="1323">
        <f t="shared" si="93"/>
        <v>2011</v>
      </c>
      <c r="H689" s="1323">
        <f t="shared" si="94"/>
        <v>12</v>
      </c>
      <c r="I689" s="1323">
        <f t="shared" si="95"/>
        <v>6</v>
      </c>
      <c r="J689" s="1323"/>
      <c r="K689" s="1323"/>
      <c r="L689" s="1323"/>
      <c r="M689" s="1323"/>
      <c r="N689" s="1323"/>
      <c r="O689" s="1323"/>
      <c r="P689" s="1323"/>
      <c r="Q689" s="1323"/>
      <c r="R689" s="1304"/>
      <c r="S689" s="1304"/>
      <c r="T689" s="1304"/>
    </row>
    <row r="690" spans="1:20">
      <c r="A690" s="1303"/>
      <c r="B690" s="1322" t="s">
        <v>3637</v>
      </c>
      <c r="C690" s="1323" t="s">
        <v>3638</v>
      </c>
      <c r="D690" s="1324">
        <f t="shared" si="90"/>
        <v>40882</v>
      </c>
      <c r="E690" s="1323">
        <f t="shared" si="92"/>
        <v>8.0065000000000008</v>
      </c>
      <c r="F690" s="1323">
        <f t="shared" si="91"/>
        <v>8.5984316087918717</v>
      </c>
      <c r="G690" s="1323">
        <f t="shared" si="93"/>
        <v>2011</v>
      </c>
      <c r="H690" s="1323">
        <f t="shared" si="94"/>
        <v>12</v>
      </c>
      <c r="I690" s="1323">
        <f t="shared" si="95"/>
        <v>5</v>
      </c>
      <c r="J690" s="1323"/>
      <c r="K690" s="1323"/>
      <c r="L690" s="1323"/>
      <c r="M690" s="1323"/>
      <c r="N690" s="1323"/>
      <c r="O690" s="1323"/>
      <c r="P690" s="1323"/>
      <c r="Q690" s="1323"/>
      <c r="R690" s="1304"/>
      <c r="S690" s="1304"/>
      <c r="T690" s="1304"/>
    </row>
    <row r="691" spans="1:20">
      <c r="A691" s="1303"/>
      <c r="B691" s="1322" t="s">
        <v>3639</v>
      </c>
      <c r="C691" s="1323" t="s">
        <v>3640</v>
      </c>
      <c r="D691" s="1324">
        <f t="shared" si="90"/>
        <v>40879</v>
      </c>
      <c r="E691" s="1323">
        <f t="shared" si="92"/>
        <v>8.0871999999999993</v>
      </c>
      <c r="F691" s="1323">
        <f t="shared" si="91"/>
        <v>8.5967829106994085</v>
      </c>
      <c r="G691" s="1323">
        <f t="shared" si="93"/>
        <v>2011</v>
      </c>
      <c r="H691" s="1323">
        <f t="shared" si="94"/>
        <v>12</v>
      </c>
      <c r="I691" s="1323">
        <f t="shared" si="95"/>
        <v>2</v>
      </c>
      <c r="J691" s="1323"/>
      <c r="K691" s="1323"/>
      <c r="L691" s="1323"/>
      <c r="M691" s="1323"/>
      <c r="N691" s="1323"/>
      <c r="O691" s="1323"/>
      <c r="P691" s="1323"/>
      <c r="Q691" s="1323"/>
      <c r="R691" s="1304"/>
      <c r="S691" s="1304"/>
      <c r="T691" s="1304"/>
    </row>
    <row r="692" spans="1:20">
      <c r="A692" s="1303"/>
      <c r="B692" s="1322" t="s">
        <v>3641</v>
      </c>
      <c r="C692" s="1323" t="s">
        <v>3642</v>
      </c>
      <c r="D692" s="1324">
        <f t="shared" si="90"/>
        <v>40878</v>
      </c>
      <c r="E692" s="1323">
        <f t="shared" si="92"/>
        <v>8.1707999999999998</v>
      </c>
      <c r="F692" s="1323">
        <f t="shared" si="91"/>
        <v>8.5951345287349934</v>
      </c>
      <c r="G692" s="1323">
        <f t="shared" si="93"/>
        <v>2011</v>
      </c>
      <c r="H692" s="1323">
        <f t="shared" si="94"/>
        <v>12</v>
      </c>
      <c r="I692" s="1323">
        <f t="shared" si="95"/>
        <v>1</v>
      </c>
      <c r="J692" s="1323"/>
      <c r="K692" s="1323"/>
      <c r="L692" s="1323"/>
      <c r="M692" s="1323"/>
      <c r="N692" s="1323"/>
      <c r="O692" s="1323"/>
      <c r="P692" s="1323"/>
      <c r="Q692" s="1323"/>
      <c r="R692" s="1304"/>
      <c r="S692" s="1304"/>
      <c r="T692" s="1304"/>
    </row>
    <row r="693" spans="1:20">
      <c r="A693" s="1303"/>
      <c r="B693" s="1322" t="s">
        <v>3643</v>
      </c>
      <c r="C693" s="1323" t="s">
        <v>3644</v>
      </c>
      <c r="D693" s="1324">
        <f t="shared" si="90"/>
        <v>40877</v>
      </c>
      <c r="E693" s="1323">
        <f t="shared" si="92"/>
        <v>8.4277999999999995</v>
      </c>
      <c r="F693" s="1323">
        <f t="shared" si="91"/>
        <v>8.5934864628380101</v>
      </c>
      <c r="G693" s="1323">
        <f t="shared" si="93"/>
        <v>2011</v>
      </c>
      <c r="H693" s="1323">
        <f t="shared" si="94"/>
        <v>11</v>
      </c>
      <c r="I693" s="1323">
        <f t="shared" si="95"/>
        <v>30</v>
      </c>
      <c r="J693" s="1323"/>
      <c r="K693" s="1323"/>
      <c r="L693" s="1323"/>
      <c r="M693" s="1323"/>
      <c r="N693" s="1323"/>
      <c r="O693" s="1323"/>
      <c r="P693" s="1323"/>
      <c r="Q693" s="1323"/>
      <c r="R693" s="1304"/>
      <c r="S693" s="1304"/>
      <c r="T693" s="1304"/>
    </row>
    <row r="694" spans="1:20">
      <c r="A694" s="1303"/>
      <c r="B694" s="1322" t="s">
        <v>3645</v>
      </c>
      <c r="C694" s="1323" t="s">
        <v>3646</v>
      </c>
      <c r="D694" s="1324">
        <f t="shared" si="90"/>
        <v>40876</v>
      </c>
      <c r="E694" s="1323">
        <f t="shared" si="92"/>
        <v>8.3477999999999994</v>
      </c>
      <c r="F694" s="1323">
        <f t="shared" si="91"/>
        <v>8.5918387129478546</v>
      </c>
      <c r="G694" s="1323">
        <f t="shared" si="93"/>
        <v>2011</v>
      </c>
      <c r="H694" s="1323">
        <f t="shared" si="94"/>
        <v>11</v>
      </c>
      <c r="I694" s="1323">
        <f t="shared" si="95"/>
        <v>29</v>
      </c>
      <c r="J694" s="1323"/>
      <c r="K694" s="1323"/>
      <c r="L694" s="1323"/>
      <c r="M694" s="1323"/>
      <c r="N694" s="1323"/>
      <c r="O694" s="1323"/>
      <c r="P694" s="1323"/>
      <c r="Q694" s="1323"/>
      <c r="R694" s="1304"/>
      <c r="S694" s="1304"/>
      <c r="T694" s="1304"/>
    </row>
    <row r="695" spans="1:20">
      <c r="A695" s="1303"/>
      <c r="B695" s="1322" t="s">
        <v>3647</v>
      </c>
      <c r="C695" s="1323" t="s">
        <v>3648</v>
      </c>
      <c r="D695" s="1324">
        <f t="shared" si="90"/>
        <v>40875</v>
      </c>
      <c r="E695" s="1323">
        <f t="shared" si="92"/>
        <v>8.3998000000000008</v>
      </c>
      <c r="F695" s="1323">
        <f t="shared" si="91"/>
        <v>8.5901912790039354</v>
      </c>
      <c r="G695" s="1323">
        <f t="shared" si="93"/>
        <v>2011</v>
      </c>
      <c r="H695" s="1323">
        <f t="shared" si="94"/>
        <v>11</v>
      </c>
      <c r="I695" s="1323">
        <f t="shared" si="95"/>
        <v>28</v>
      </c>
      <c r="J695" s="1323"/>
      <c r="K695" s="1323"/>
      <c r="L695" s="1323"/>
      <c r="M695" s="1323"/>
      <c r="N695" s="1323"/>
      <c r="O695" s="1323"/>
      <c r="P695" s="1323"/>
      <c r="Q695" s="1323"/>
      <c r="R695" s="1304"/>
      <c r="S695" s="1304"/>
      <c r="T695" s="1304"/>
    </row>
    <row r="696" spans="1:20">
      <c r="A696" s="1303"/>
      <c r="B696" s="1322" t="s">
        <v>3649</v>
      </c>
      <c r="C696" s="1323" t="s">
        <v>3650</v>
      </c>
      <c r="D696" s="1324">
        <f t="shared" si="90"/>
        <v>40872</v>
      </c>
      <c r="E696" s="1323">
        <f t="shared" si="92"/>
        <v>8.5187000000000008</v>
      </c>
      <c r="F696" s="1323">
        <f t="shared" si="91"/>
        <v>8.5885441609456716</v>
      </c>
      <c r="G696" s="1323">
        <f t="shared" si="93"/>
        <v>2011</v>
      </c>
      <c r="H696" s="1323">
        <f t="shared" si="94"/>
        <v>11</v>
      </c>
      <c r="I696" s="1323">
        <f t="shared" si="95"/>
        <v>25</v>
      </c>
      <c r="J696" s="1323"/>
      <c r="K696" s="1323"/>
      <c r="L696" s="1323"/>
      <c r="M696" s="1323"/>
      <c r="N696" s="1323"/>
      <c r="O696" s="1323"/>
      <c r="P696" s="1323"/>
      <c r="Q696" s="1323"/>
      <c r="R696" s="1304"/>
      <c r="S696" s="1304"/>
      <c r="T696" s="1304"/>
    </row>
    <row r="697" spans="1:20">
      <c r="A697" s="1303"/>
      <c r="B697" s="1322" t="s">
        <v>3651</v>
      </c>
      <c r="C697" s="1323" t="s">
        <v>3652</v>
      </c>
      <c r="D697" s="1324">
        <f t="shared" si="90"/>
        <v>40871</v>
      </c>
      <c r="E697" s="1323">
        <f t="shared" si="92"/>
        <v>8.5422999999999991</v>
      </c>
      <c r="F697" s="1323">
        <f t="shared" si="91"/>
        <v>8.586897358712493</v>
      </c>
      <c r="G697" s="1323">
        <f t="shared" si="93"/>
        <v>2011</v>
      </c>
      <c r="H697" s="1323">
        <f t="shared" si="94"/>
        <v>11</v>
      </c>
      <c r="I697" s="1323">
        <f t="shared" si="95"/>
        <v>24</v>
      </c>
      <c r="J697" s="1323"/>
      <c r="K697" s="1323"/>
      <c r="L697" s="1323"/>
      <c r="M697" s="1323"/>
      <c r="N697" s="1323"/>
      <c r="O697" s="1323"/>
      <c r="P697" s="1323"/>
      <c r="Q697" s="1323"/>
      <c r="R697" s="1304"/>
      <c r="S697" s="1304"/>
      <c r="T697" s="1304"/>
    </row>
    <row r="698" spans="1:20">
      <c r="A698" s="1303"/>
      <c r="B698" s="1322" t="s">
        <v>3653</v>
      </c>
      <c r="C698" s="1323" t="s">
        <v>3654</v>
      </c>
      <c r="D698" s="1324">
        <f t="shared" si="90"/>
        <v>40870</v>
      </c>
      <c r="E698" s="1323">
        <f t="shared" si="92"/>
        <v>8.4388000000000005</v>
      </c>
      <c r="F698" s="1323">
        <f t="shared" si="91"/>
        <v>8.5852508722438436</v>
      </c>
      <c r="G698" s="1323">
        <f t="shared" si="93"/>
        <v>2011</v>
      </c>
      <c r="H698" s="1323">
        <f t="shared" si="94"/>
        <v>11</v>
      </c>
      <c r="I698" s="1323">
        <f t="shared" si="95"/>
        <v>23</v>
      </c>
      <c r="J698" s="1323"/>
      <c r="K698" s="1323"/>
      <c r="L698" s="1323"/>
      <c r="M698" s="1323"/>
      <c r="N698" s="1323"/>
      <c r="O698" s="1323"/>
      <c r="P698" s="1323"/>
      <c r="Q698" s="1323"/>
      <c r="R698" s="1304"/>
      <c r="S698" s="1304"/>
      <c r="T698" s="1304"/>
    </row>
    <row r="699" spans="1:20">
      <c r="A699" s="1303"/>
      <c r="B699" s="1322" t="s">
        <v>3655</v>
      </c>
      <c r="C699" s="1323" t="s">
        <v>3656</v>
      </c>
      <c r="D699" s="1324">
        <f t="shared" si="90"/>
        <v>40869</v>
      </c>
      <c r="E699" s="1323">
        <f t="shared" si="92"/>
        <v>8.2782999999999998</v>
      </c>
      <c r="F699" s="1323">
        <f t="shared" si="91"/>
        <v>8.5836047014791763</v>
      </c>
      <c r="G699" s="1323">
        <f t="shared" si="93"/>
        <v>2011</v>
      </c>
      <c r="H699" s="1323">
        <f t="shared" si="94"/>
        <v>11</v>
      </c>
      <c r="I699" s="1323">
        <f t="shared" si="95"/>
        <v>22</v>
      </c>
      <c r="J699" s="1323"/>
      <c r="K699" s="1323"/>
      <c r="L699" s="1323"/>
      <c r="M699" s="1323"/>
      <c r="N699" s="1323"/>
      <c r="O699" s="1323"/>
      <c r="P699" s="1323"/>
      <c r="Q699" s="1323"/>
      <c r="R699" s="1304"/>
      <c r="S699" s="1304"/>
      <c r="T699" s="1304"/>
    </row>
    <row r="700" spans="1:20">
      <c r="A700" s="1303"/>
      <c r="B700" s="1322" t="s">
        <v>3657</v>
      </c>
      <c r="C700" s="1323" t="s">
        <v>3658</v>
      </c>
      <c r="D700" s="1324">
        <f t="shared" si="90"/>
        <v>40868</v>
      </c>
      <c r="E700" s="1323">
        <f t="shared" si="92"/>
        <v>8.2593999999999994</v>
      </c>
      <c r="F700" s="1323">
        <f t="shared" si="91"/>
        <v>8.5819588463579564</v>
      </c>
      <c r="G700" s="1323">
        <f t="shared" si="93"/>
        <v>2011</v>
      </c>
      <c r="H700" s="1323">
        <f t="shared" si="94"/>
        <v>11</v>
      </c>
      <c r="I700" s="1323">
        <f t="shared" si="95"/>
        <v>21</v>
      </c>
      <c r="J700" s="1323"/>
      <c r="K700" s="1323"/>
      <c r="L700" s="1323"/>
      <c r="M700" s="1323"/>
      <c r="N700" s="1323"/>
      <c r="O700" s="1323"/>
      <c r="P700" s="1323"/>
      <c r="Q700" s="1323"/>
      <c r="R700" s="1304"/>
      <c r="S700" s="1304"/>
      <c r="T700" s="1304"/>
    </row>
    <row r="701" spans="1:20">
      <c r="A701" s="1303"/>
      <c r="B701" s="1322" t="s">
        <v>3659</v>
      </c>
      <c r="C701" s="1323" t="s">
        <v>3660</v>
      </c>
      <c r="D701" s="1324">
        <f t="shared" si="90"/>
        <v>40865</v>
      </c>
      <c r="E701" s="1323">
        <f t="shared" si="92"/>
        <v>8.2204999999999995</v>
      </c>
      <c r="F701" s="1323">
        <f t="shared" si="91"/>
        <v>8.5803133068196615</v>
      </c>
      <c r="G701" s="1323">
        <f t="shared" si="93"/>
        <v>2011</v>
      </c>
      <c r="H701" s="1323">
        <f t="shared" si="94"/>
        <v>11</v>
      </c>
      <c r="I701" s="1323">
        <f t="shared" si="95"/>
        <v>18</v>
      </c>
      <c r="J701" s="1323"/>
      <c r="K701" s="1323"/>
      <c r="L701" s="1323"/>
      <c r="M701" s="1323"/>
      <c r="N701" s="1323"/>
      <c r="O701" s="1323"/>
      <c r="P701" s="1323"/>
      <c r="Q701" s="1323"/>
      <c r="R701" s="1304"/>
      <c r="S701" s="1304"/>
      <c r="T701" s="1304"/>
    </row>
    <row r="702" spans="1:20">
      <c r="A702" s="1303"/>
      <c r="B702" s="1322" t="s">
        <v>3661</v>
      </c>
      <c r="C702" s="1323" t="s">
        <v>3662</v>
      </c>
      <c r="D702" s="1324">
        <f t="shared" si="90"/>
        <v>40864</v>
      </c>
      <c r="E702" s="1323">
        <f t="shared" si="92"/>
        <v>8.1491000000000007</v>
      </c>
      <c r="F702" s="1323">
        <f t="shared" si="91"/>
        <v>8.5786680828037802</v>
      </c>
      <c r="G702" s="1323">
        <f t="shared" si="93"/>
        <v>2011</v>
      </c>
      <c r="H702" s="1323">
        <f t="shared" si="94"/>
        <v>11</v>
      </c>
      <c r="I702" s="1323">
        <f t="shared" si="95"/>
        <v>17</v>
      </c>
      <c r="J702" s="1323"/>
      <c r="K702" s="1323"/>
      <c r="L702" s="1323"/>
      <c r="M702" s="1323"/>
      <c r="N702" s="1323"/>
      <c r="O702" s="1323"/>
      <c r="P702" s="1323"/>
      <c r="Q702" s="1323"/>
      <c r="R702" s="1304"/>
      <c r="S702" s="1304"/>
      <c r="T702" s="1304"/>
    </row>
    <row r="703" spans="1:20">
      <c r="A703" s="1303"/>
      <c r="B703" s="1322" t="s">
        <v>3663</v>
      </c>
      <c r="C703" s="1323" t="s">
        <v>3664</v>
      </c>
      <c r="D703" s="1324">
        <f t="shared" si="90"/>
        <v>40863</v>
      </c>
      <c r="E703" s="1323">
        <f t="shared" si="92"/>
        <v>8.1689000000000007</v>
      </c>
      <c r="F703" s="1323">
        <f t="shared" si="91"/>
        <v>8.5770231742498151</v>
      </c>
      <c r="G703" s="1323">
        <f t="shared" si="93"/>
        <v>2011</v>
      </c>
      <c r="H703" s="1323">
        <f t="shared" si="94"/>
        <v>11</v>
      </c>
      <c r="I703" s="1323">
        <f t="shared" si="95"/>
        <v>16</v>
      </c>
      <c r="J703" s="1323"/>
      <c r="K703" s="1323"/>
      <c r="L703" s="1323"/>
      <c r="M703" s="1323"/>
      <c r="N703" s="1323"/>
      <c r="O703" s="1323"/>
      <c r="P703" s="1323"/>
      <c r="Q703" s="1323"/>
      <c r="R703" s="1304"/>
      <c r="S703" s="1304"/>
      <c r="T703" s="1304"/>
    </row>
    <row r="704" spans="1:20">
      <c r="A704" s="1303"/>
      <c r="B704" s="1322" t="s">
        <v>3665</v>
      </c>
      <c r="C704" s="1323" t="s">
        <v>3666</v>
      </c>
      <c r="D704" s="1324">
        <f t="shared" si="90"/>
        <v>40862</v>
      </c>
      <c r="E704" s="1323">
        <f t="shared" si="92"/>
        <v>8.0467999999999993</v>
      </c>
      <c r="F704" s="1323">
        <f t="shared" si="91"/>
        <v>8.5753785810972758</v>
      </c>
      <c r="G704" s="1323">
        <f t="shared" si="93"/>
        <v>2011</v>
      </c>
      <c r="H704" s="1323">
        <f t="shared" si="94"/>
        <v>11</v>
      </c>
      <c r="I704" s="1323">
        <f t="shared" si="95"/>
        <v>15</v>
      </c>
      <c r="J704" s="1323"/>
      <c r="K704" s="1323"/>
      <c r="L704" s="1323"/>
      <c r="M704" s="1323"/>
      <c r="N704" s="1323"/>
      <c r="O704" s="1323"/>
      <c r="P704" s="1323"/>
      <c r="Q704" s="1323"/>
      <c r="R704" s="1304"/>
      <c r="S704" s="1304"/>
      <c r="T704" s="1304"/>
    </row>
    <row r="705" spans="1:20">
      <c r="A705" s="1303"/>
      <c r="B705" s="1322" t="s">
        <v>3667</v>
      </c>
      <c r="C705" s="1323" t="s">
        <v>3668</v>
      </c>
      <c r="D705" s="1324">
        <f t="shared" si="90"/>
        <v>40861</v>
      </c>
      <c r="E705" s="1323">
        <f t="shared" si="92"/>
        <v>7.91</v>
      </c>
      <c r="F705" s="1323">
        <f t="shared" si="91"/>
        <v>8.5737343032856863</v>
      </c>
      <c r="G705" s="1323">
        <f t="shared" si="93"/>
        <v>2011</v>
      </c>
      <c r="H705" s="1323">
        <f t="shared" si="94"/>
        <v>11</v>
      </c>
      <c r="I705" s="1323">
        <f t="shared" si="95"/>
        <v>14</v>
      </c>
      <c r="J705" s="1323"/>
      <c r="K705" s="1323"/>
      <c r="L705" s="1323"/>
      <c r="M705" s="1323"/>
      <c r="N705" s="1323"/>
      <c r="O705" s="1323"/>
      <c r="P705" s="1323"/>
      <c r="Q705" s="1323"/>
      <c r="R705" s="1304"/>
      <c r="S705" s="1304"/>
      <c r="T705" s="1304"/>
    </row>
    <row r="706" spans="1:20">
      <c r="A706" s="1303"/>
      <c r="B706" s="1322" t="s">
        <v>3669</v>
      </c>
      <c r="C706" s="1323" t="s">
        <v>3670</v>
      </c>
      <c r="D706" s="1324">
        <f t="shared" si="90"/>
        <v>40858</v>
      </c>
      <c r="E706" s="1323">
        <f t="shared" si="92"/>
        <v>7.9640000000000004</v>
      </c>
      <c r="F706" s="1323">
        <f t="shared" si="91"/>
        <v>8.572090340754583</v>
      </c>
      <c r="G706" s="1323">
        <f t="shared" si="93"/>
        <v>2011</v>
      </c>
      <c r="H706" s="1323">
        <f t="shared" si="94"/>
        <v>11</v>
      </c>
      <c r="I706" s="1323">
        <f t="shared" si="95"/>
        <v>11</v>
      </c>
      <c r="J706" s="1323"/>
      <c r="K706" s="1323"/>
      <c r="L706" s="1323"/>
      <c r="M706" s="1323"/>
      <c r="N706" s="1323"/>
      <c r="O706" s="1323"/>
      <c r="P706" s="1323"/>
      <c r="Q706" s="1323"/>
      <c r="R706" s="1304"/>
      <c r="S706" s="1304"/>
      <c r="T706" s="1304"/>
    </row>
    <row r="707" spans="1:20">
      <c r="A707" s="1303"/>
      <c r="B707" s="1322" t="s">
        <v>3671</v>
      </c>
      <c r="C707" s="1323" t="s">
        <v>3672</v>
      </c>
      <c r="D707" s="1324">
        <f t="shared" si="90"/>
        <v>40857</v>
      </c>
      <c r="E707" s="1323">
        <f t="shared" si="92"/>
        <v>8.0327000000000002</v>
      </c>
      <c r="F707" s="1323">
        <f t="shared" si="91"/>
        <v>8.5704466934435111</v>
      </c>
      <c r="G707" s="1323">
        <f t="shared" si="93"/>
        <v>2011</v>
      </c>
      <c r="H707" s="1323">
        <f t="shared" si="94"/>
        <v>11</v>
      </c>
      <c r="I707" s="1323">
        <f t="shared" si="95"/>
        <v>10</v>
      </c>
      <c r="J707" s="1323"/>
      <c r="K707" s="1323"/>
      <c r="L707" s="1323"/>
      <c r="M707" s="1323"/>
      <c r="N707" s="1323"/>
      <c r="O707" s="1323"/>
      <c r="P707" s="1323"/>
      <c r="Q707" s="1323"/>
      <c r="R707" s="1304"/>
      <c r="S707" s="1304"/>
      <c r="T707" s="1304"/>
    </row>
    <row r="708" spans="1:20">
      <c r="A708" s="1303"/>
      <c r="B708" s="1322" t="s">
        <v>3673</v>
      </c>
      <c r="C708" s="1323" t="s">
        <v>3674</v>
      </c>
      <c r="D708" s="1324">
        <f t="shared" si="90"/>
        <v>40856</v>
      </c>
      <c r="E708" s="1323">
        <f t="shared" si="92"/>
        <v>7.9062000000000001</v>
      </c>
      <c r="F708" s="1323">
        <f t="shared" si="91"/>
        <v>8.56880336129203</v>
      </c>
      <c r="G708" s="1323">
        <f t="shared" si="93"/>
        <v>2011</v>
      </c>
      <c r="H708" s="1323">
        <f t="shared" si="94"/>
        <v>11</v>
      </c>
      <c r="I708" s="1323">
        <f t="shared" si="95"/>
        <v>9</v>
      </c>
      <c r="J708" s="1323"/>
      <c r="K708" s="1323"/>
      <c r="L708" s="1323"/>
      <c r="M708" s="1323"/>
      <c r="N708" s="1323"/>
      <c r="O708" s="1323"/>
      <c r="P708" s="1323"/>
      <c r="Q708" s="1323"/>
      <c r="R708" s="1304"/>
      <c r="S708" s="1304"/>
      <c r="T708" s="1304"/>
    </row>
    <row r="709" spans="1:20">
      <c r="A709" s="1303"/>
      <c r="B709" s="1322" t="s">
        <v>3675</v>
      </c>
      <c r="C709" s="1323" t="s">
        <v>3676</v>
      </c>
      <c r="D709" s="1324">
        <f t="shared" si="90"/>
        <v>40855</v>
      </c>
      <c r="E709" s="1323">
        <f t="shared" si="92"/>
        <v>7.9401000000000002</v>
      </c>
      <c r="F709" s="1323">
        <f t="shared" si="91"/>
        <v>8.56716034423971</v>
      </c>
      <c r="G709" s="1323">
        <f t="shared" si="93"/>
        <v>2011</v>
      </c>
      <c r="H709" s="1323">
        <f t="shared" si="94"/>
        <v>11</v>
      </c>
      <c r="I709" s="1323">
        <f t="shared" si="95"/>
        <v>8</v>
      </c>
      <c r="J709" s="1323"/>
      <c r="K709" s="1323"/>
      <c r="L709" s="1323"/>
      <c r="M709" s="1323"/>
      <c r="N709" s="1323"/>
      <c r="O709" s="1323"/>
      <c r="P709" s="1323"/>
      <c r="Q709" s="1323"/>
      <c r="R709" s="1304"/>
      <c r="S709" s="1304"/>
      <c r="T709" s="1304"/>
    </row>
    <row r="710" spans="1:20">
      <c r="A710" s="1303"/>
      <c r="B710" s="1322" t="s">
        <v>3677</v>
      </c>
      <c r="C710" s="1323" t="s">
        <v>3678</v>
      </c>
      <c r="D710" s="1324">
        <f t="shared" si="90"/>
        <v>40854</v>
      </c>
      <c r="E710" s="1323">
        <f t="shared" si="92"/>
        <v>7.9827000000000004</v>
      </c>
      <c r="F710" s="1323">
        <f t="shared" si="91"/>
        <v>8.5655176422261317</v>
      </c>
      <c r="G710" s="1323">
        <f t="shared" si="93"/>
        <v>2011</v>
      </c>
      <c r="H710" s="1323">
        <f t="shared" si="94"/>
        <v>11</v>
      </c>
      <c r="I710" s="1323">
        <f t="shared" si="95"/>
        <v>7</v>
      </c>
      <c r="J710" s="1323"/>
      <c r="K710" s="1323"/>
      <c r="L710" s="1323"/>
      <c r="M710" s="1323"/>
      <c r="N710" s="1323"/>
      <c r="O710" s="1323"/>
      <c r="P710" s="1323"/>
      <c r="Q710" s="1323"/>
      <c r="R710" s="1304"/>
      <c r="S710" s="1304"/>
      <c r="T710" s="1304"/>
    </row>
    <row r="711" spans="1:20">
      <c r="A711" s="1303"/>
      <c r="B711" s="1322" t="s">
        <v>3679</v>
      </c>
      <c r="C711" s="1323" t="s">
        <v>3680</v>
      </c>
      <c r="D711" s="1324">
        <f t="shared" si="90"/>
        <v>40851</v>
      </c>
      <c r="E711" s="1323">
        <f t="shared" si="92"/>
        <v>7.8701999999999996</v>
      </c>
      <c r="F711" s="1323">
        <f t="shared" si="91"/>
        <v>8.5638752551908901</v>
      </c>
      <c r="G711" s="1323">
        <f t="shared" si="93"/>
        <v>2011</v>
      </c>
      <c r="H711" s="1323">
        <f t="shared" si="94"/>
        <v>11</v>
      </c>
      <c r="I711" s="1323">
        <f t="shared" si="95"/>
        <v>4</v>
      </c>
      <c r="J711" s="1323"/>
      <c r="K711" s="1323"/>
      <c r="L711" s="1323"/>
      <c r="M711" s="1323"/>
      <c r="N711" s="1323"/>
      <c r="O711" s="1323"/>
      <c r="P711" s="1323"/>
      <c r="Q711" s="1323"/>
      <c r="R711" s="1304"/>
      <c r="S711" s="1304"/>
      <c r="T711" s="1304"/>
    </row>
    <row r="712" spans="1:20">
      <c r="A712" s="1303"/>
      <c r="B712" s="1322" t="s">
        <v>3681</v>
      </c>
      <c r="C712" s="1323" t="s">
        <v>3682</v>
      </c>
      <c r="D712" s="1324">
        <f t="shared" si="90"/>
        <v>40850</v>
      </c>
      <c r="E712" s="1323">
        <f t="shared" si="92"/>
        <v>8.0475999999999992</v>
      </c>
      <c r="F712" s="1323">
        <f t="shared" si="91"/>
        <v>8.5622331830735874</v>
      </c>
      <c r="G712" s="1323">
        <f t="shared" si="93"/>
        <v>2011</v>
      </c>
      <c r="H712" s="1323">
        <f t="shared" si="94"/>
        <v>11</v>
      </c>
      <c r="I712" s="1323">
        <f t="shared" si="95"/>
        <v>3</v>
      </c>
      <c r="J712" s="1323"/>
      <c r="K712" s="1323"/>
      <c r="L712" s="1323"/>
      <c r="M712" s="1323"/>
      <c r="N712" s="1323"/>
      <c r="O712" s="1323"/>
      <c r="P712" s="1323"/>
      <c r="Q712" s="1323"/>
      <c r="R712" s="1304"/>
      <c r="S712" s="1304"/>
      <c r="T712" s="1304"/>
    </row>
    <row r="713" spans="1:20">
      <c r="A713" s="1303"/>
      <c r="B713" s="1322" t="s">
        <v>3683</v>
      </c>
      <c r="C713" s="1323" t="s">
        <v>3684</v>
      </c>
      <c r="D713" s="1324">
        <f t="shared" ref="D713:D776" si="96">DATE(G713,H713,I713)</f>
        <v>40849</v>
      </c>
      <c r="E713" s="1323">
        <f t="shared" si="92"/>
        <v>8.0053000000000001</v>
      </c>
      <c r="F713" s="1323">
        <f t="shared" ref="F713:F776" si="97">F714*(1+$F$7/365)</f>
        <v>8.5605914258138416</v>
      </c>
      <c r="G713" s="1323">
        <f t="shared" si="93"/>
        <v>2011</v>
      </c>
      <c r="H713" s="1323">
        <f t="shared" si="94"/>
        <v>11</v>
      </c>
      <c r="I713" s="1323">
        <f t="shared" si="95"/>
        <v>2</v>
      </c>
      <c r="J713" s="1323"/>
      <c r="K713" s="1323"/>
      <c r="L713" s="1323"/>
      <c r="M713" s="1323"/>
      <c r="N713" s="1323"/>
      <c r="O713" s="1323"/>
      <c r="P713" s="1323"/>
      <c r="Q713" s="1323"/>
      <c r="R713" s="1304"/>
      <c r="S713" s="1304"/>
      <c r="T713" s="1304"/>
    </row>
    <row r="714" spans="1:20">
      <c r="A714" s="1303"/>
      <c r="B714" s="1322" t="s">
        <v>3685</v>
      </c>
      <c r="C714" s="1323" t="s">
        <v>3686</v>
      </c>
      <c r="D714" s="1324">
        <f t="shared" si="96"/>
        <v>40848</v>
      </c>
      <c r="E714" s="1323">
        <f t="shared" si="92"/>
        <v>8.0746000000000002</v>
      </c>
      <c r="F714" s="1323">
        <f t="shared" si="97"/>
        <v>8.5589499833512814</v>
      </c>
      <c r="G714" s="1323">
        <f t="shared" si="93"/>
        <v>2011</v>
      </c>
      <c r="H714" s="1323">
        <f t="shared" si="94"/>
        <v>11</v>
      </c>
      <c r="I714" s="1323">
        <f t="shared" si="95"/>
        <v>1</v>
      </c>
      <c r="J714" s="1323"/>
      <c r="K714" s="1323"/>
      <c r="L714" s="1323"/>
      <c r="M714" s="1323"/>
      <c r="N714" s="1323"/>
      <c r="O714" s="1323"/>
      <c r="P714" s="1323"/>
      <c r="Q714" s="1323"/>
      <c r="R714" s="1304"/>
      <c r="S714" s="1304"/>
      <c r="T714" s="1304"/>
    </row>
    <row r="715" spans="1:20">
      <c r="A715" s="1303"/>
      <c r="B715" s="1322" t="s">
        <v>3687</v>
      </c>
      <c r="C715" s="1323" t="s">
        <v>3688</v>
      </c>
      <c r="D715" s="1324">
        <f t="shared" si="96"/>
        <v>40847</v>
      </c>
      <c r="E715" s="1323">
        <f t="shared" si="92"/>
        <v>7.8179999999999996</v>
      </c>
      <c r="F715" s="1323">
        <f t="shared" si="97"/>
        <v>8.5573088556255446</v>
      </c>
      <c r="G715" s="1323">
        <f t="shared" si="93"/>
        <v>2011</v>
      </c>
      <c r="H715" s="1323">
        <f t="shared" si="94"/>
        <v>10</v>
      </c>
      <c r="I715" s="1323">
        <f t="shared" si="95"/>
        <v>31</v>
      </c>
      <c r="J715" s="1323"/>
      <c r="K715" s="1323"/>
      <c r="L715" s="1323"/>
      <c r="M715" s="1323"/>
      <c r="N715" s="1323"/>
      <c r="O715" s="1323"/>
      <c r="P715" s="1323"/>
      <c r="Q715" s="1323"/>
      <c r="R715" s="1304"/>
      <c r="S715" s="1304"/>
      <c r="T715" s="1304"/>
    </row>
    <row r="716" spans="1:20">
      <c r="A716" s="1303"/>
      <c r="B716" s="1322" t="s">
        <v>3689</v>
      </c>
      <c r="C716" s="1323" t="s">
        <v>3690</v>
      </c>
      <c r="D716" s="1324">
        <f t="shared" si="96"/>
        <v>40844</v>
      </c>
      <c r="E716" s="1323">
        <f t="shared" si="92"/>
        <v>7.6993</v>
      </c>
      <c r="F716" s="1323">
        <f t="shared" si="97"/>
        <v>8.5556680425762828</v>
      </c>
      <c r="G716" s="1323">
        <f t="shared" si="93"/>
        <v>2011</v>
      </c>
      <c r="H716" s="1323">
        <f t="shared" si="94"/>
        <v>10</v>
      </c>
      <c r="I716" s="1323">
        <f t="shared" si="95"/>
        <v>28</v>
      </c>
      <c r="J716" s="1323"/>
      <c r="K716" s="1323"/>
      <c r="L716" s="1323"/>
      <c r="M716" s="1323"/>
      <c r="N716" s="1323"/>
      <c r="O716" s="1323"/>
      <c r="P716" s="1323"/>
      <c r="Q716" s="1323"/>
      <c r="R716" s="1304"/>
      <c r="S716" s="1304"/>
      <c r="T716" s="1304"/>
    </row>
    <row r="717" spans="1:20">
      <c r="A717" s="1303"/>
      <c r="B717" s="1322" t="s">
        <v>3691</v>
      </c>
      <c r="C717" s="1323" t="s">
        <v>3692</v>
      </c>
      <c r="D717" s="1324">
        <f t="shared" si="96"/>
        <v>40843</v>
      </c>
      <c r="E717" s="1323">
        <f t="shared" si="92"/>
        <v>7.8407999999999998</v>
      </c>
      <c r="F717" s="1323">
        <f t="shared" si="97"/>
        <v>8.5540275441431586</v>
      </c>
      <c r="G717" s="1323">
        <f t="shared" si="93"/>
        <v>2011</v>
      </c>
      <c r="H717" s="1323">
        <f t="shared" si="94"/>
        <v>10</v>
      </c>
      <c r="I717" s="1323">
        <f t="shared" si="95"/>
        <v>27</v>
      </c>
      <c r="J717" s="1323"/>
      <c r="K717" s="1323"/>
      <c r="L717" s="1323"/>
      <c r="M717" s="1323"/>
      <c r="N717" s="1323"/>
      <c r="O717" s="1323"/>
      <c r="P717" s="1323"/>
      <c r="Q717" s="1323"/>
      <c r="R717" s="1304"/>
      <c r="S717" s="1304"/>
      <c r="T717" s="1304"/>
    </row>
    <row r="718" spans="1:20">
      <c r="A718" s="1303"/>
      <c r="B718" s="1322" t="s">
        <v>3693</v>
      </c>
      <c r="C718" s="1323" t="s">
        <v>3694</v>
      </c>
      <c r="D718" s="1324">
        <f t="shared" si="96"/>
        <v>40842</v>
      </c>
      <c r="E718" s="1323">
        <f t="shared" si="92"/>
        <v>7.97</v>
      </c>
      <c r="F718" s="1323">
        <f t="shared" si="97"/>
        <v>8.5523873602658469</v>
      </c>
      <c r="G718" s="1323">
        <f t="shared" si="93"/>
        <v>2011</v>
      </c>
      <c r="H718" s="1323">
        <f t="shared" si="94"/>
        <v>10</v>
      </c>
      <c r="I718" s="1323">
        <f t="shared" si="95"/>
        <v>26</v>
      </c>
      <c r="J718" s="1323"/>
      <c r="K718" s="1323"/>
      <c r="L718" s="1323"/>
      <c r="M718" s="1323"/>
      <c r="N718" s="1323"/>
      <c r="O718" s="1323"/>
      <c r="P718" s="1323"/>
      <c r="Q718" s="1323"/>
      <c r="R718" s="1304"/>
      <c r="S718" s="1304"/>
      <c r="T718" s="1304"/>
    </row>
    <row r="719" spans="1:20">
      <c r="A719" s="1303"/>
      <c r="B719" s="1322" t="s">
        <v>3695</v>
      </c>
      <c r="C719" s="1323" t="s">
        <v>3696</v>
      </c>
      <c r="D719" s="1324">
        <f t="shared" si="96"/>
        <v>40841</v>
      </c>
      <c r="E719" s="1323">
        <f t="shared" si="92"/>
        <v>7.9142999999999999</v>
      </c>
      <c r="F719" s="1323">
        <f t="shared" si="97"/>
        <v>8.5507474908840333</v>
      </c>
      <c r="G719" s="1323">
        <f t="shared" si="93"/>
        <v>2011</v>
      </c>
      <c r="H719" s="1323">
        <f t="shared" si="94"/>
        <v>10</v>
      </c>
      <c r="I719" s="1323">
        <f t="shared" si="95"/>
        <v>25</v>
      </c>
      <c r="J719" s="1323"/>
      <c r="K719" s="1323"/>
      <c r="L719" s="1323"/>
      <c r="M719" s="1323"/>
      <c r="N719" s="1323"/>
      <c r="O719" s="1323"/>
      <c r="P719" s="1323"/>
      <c r="Q719" s="1323"/>
      <c r="R719" s="1304"/>
      <c r="S719" s="1304"/>
      <c r="T719" s="1304"/>
    </row>
    <row r="720" spans="1:20">
      <c r="A720" s="1303"/>
      <c r="B720" s="1322" t="s">
        <v>3697</v>
      </c>
      <c r="C720" s="1323" t="s">
        <v>3698</v>
      </c>
      <c r="D720" s="1324">
        <f t="shared" si="96"/>
        <v>40840</v>
      </c>
      <c r="E720" s="1323">
        <f t="shared" si="92"/>
        <v>8.0185999999999993</v>
      </c>
      <c r="F720" s="1323">
        <f t="shared" si="97"/>
        <v>8.549107935937414</v>
      </c>
      <c r="G720" s="1323">
        <f t="shared" si="93"/>
        <v>2011</v>
      </c>
      <c r="H720" s="1323">
        <f t="shared" si="94"/>
        <v>10</v>
      </c>
      <c r="I720" s="1323">
        <f t="shared" si="95"/>
        <v>24</v>
      </c>
      <c r="J720" s="1323"/>
      <c r="K720" s="1323"/>
      <c r="L720" s="1323"/>
      <c r="M720" s="1323"/>
      <c r="N720" s="1323"/>
      <c r="O720" s="1323"/>
      <c r="P720" s="1323"/>
      <c r="Q720" s="1323"/>
      <c r="R720" s="1304"/>
      <c r="S720" s="1304"/>
      <c r="T720" s="1304"/>
    </row>
    <row r="721" spans="1:20">
      <c r="A721" s="1303"/>
      <c r="B721" s="1322" t="s">
        <v>3699</v>
      </c>
      <c r="C721" s="1323" t="s">
        <v>3700</v>
      </c>
      <c r="D721" s="1324">
        <f t="shared" si="96"/>
        <v>40837</v>
      </c>
      <c r="E721" s="1323">
        <f t="shared" si="92"/>
        <v>8.1913</v>
      </c>
      <c r="F721" s="1323">
        <f t="shared" si="97"/>
        <v>8.5474686953656995</v>
      </c>
      <c r="G721" s="1323">
        <f t="shared" si="93"/>
        <v>2011</v>
      </c>
      <c r="H721" s="1323">
        <f t="shared" si="94"/>
        <v>10</v>
      </c>
      <c r="I721" s="1323">
        <f t="shared" si="95"/>
        <v>21</v>
      </c>
      <c r="J721" s="1323"/>
      <c r="K721" s="1323"/>
      <c r="L721" s="1323"/>
      <c r="M721" s="1323"/>
      <c r="N721" s="1323"/>
      <c r="O721" s="1323"/>
      <c r="P721" s="1323"/>
      <c r="Q721" s="1323"/>
      <c r="R721" s="1304"/>
      <c r="S721" s="1304"/>
      <c r="T721" s="1304"/>
    </row>
    <row r="722" spans="1:20">
      <c r="A722" s="1303"/>
      <c r="B722" s="1322" t="s">
        <v>3701</v>
      </c>
      <c r="C722" s="1323" t="s">
        <v>3702</v>
      </c>
      <c r="D722" s="1324">
        <f t="shared" si="96"/>
        <v>40836</v>
      </c>
      <c r="E722" s="1323">
        <f t="shared" si="92"/>
        <v>8.0721000000000007</v>
      </c>
      <c r="F722" s="1323">
        <f t="shared" si="97"/>
        <v>8.5458297691086091</v>
      </c>
      <c r="G722" s="1323">
        <f t="shared" si="93"/>
        <v>2011</v>
      </c>
      <c r="H722" s="1323">
        <f t="shared" si="94"/>
        <v>10</v>
      </c>
      <c r="I722" s="1323">
        <f t="shared" si="95"/>
        <v>20</v>
      </c>
      <c r="J722" s="1323"/>
      <c r="K722" s="1323"/>
      <c r="L722" s="1323"/>
      <c r="M722" s="1323"/>
      <c r="N722" s="1323"/>
      <c r="O722" s="1323"/>
      <c r="P722" s="1323"/>
      <c r="Q722" s="1323"/>
      <c r="R722" s="1304"/>
      <c r="S722" s="1304"/>
      <c r="T722" s="1304"/>
    </row>
    <row r="723" spans="1:20">
      <c r="A723" s="1303"/>
      <c r="B723" s="1322" t="s">
        <v>3703</v>
      </c>
      <c r="C723" s="1323" t="s">
        <v>3704</v>
      </c>
      <c r="D723" s="1324">
        <f t="shared" si="96"/>
        <v>40835</v>
      </c>
      <c r="E723" s="1323">
        <f t="shared" si="92"/>
        <v>7.9980000000000002</v>
      </c>
      <c r="F723" s="1323">
        <f t="shared" si="97"/>
        <v>8.5441911571058764</v>
      </c>
      <c r="G723" s="1323">
        <f t="shared" si="93"/>
        <v>2011</v>
      </c>
      <c r="H723" s="1323">
        <f t="shared" si="94"/>
        <v>10</v>
      </c>
      <c r="I723" s="1323">
        <f t="shared" si="95"/>
        <v>19</v>
      </c>
      <c r="J723" s="1323"/>
      <c r="K723" s="1323"/>
      <c r="L723" s="1323"/>
      <c r="M723" s="1323"/>
      <c r="N723" s="1323"/>
      <c r="O723" s="1323"/>
      <c r="P723" s="1323"/>
      <c r="Q723" s="1323"/>
      <c r="R723" s="1304"/>
      <c r="S723" s="1304"/>
      <c r="T723" s="1304"/>
    </row>
    <row r="724" spans="1:20">
      <c r="A724" s="1303"/>
      <c r="B724" s="1322" t="s">
        <v>3705</v>
      </c>
      <c r="C724" s="1323" t="s">
        <v>3706</v>
      </c>
      <c r="D724" s="1324">
        <f t="shared" si="96"/>
        <v>40834</v>
      </c>
      <c r="E724" s="1323">
        <f t="shared" si="92"/>
        <v>8.0359999999999996</v>
      </c>
      <c r="F724" s="1323">
        <f t="shared" si="97"/>
        <v>8.5425528592972437</v>
      </c>
      <c r="G724" s="1323">
        <f t="shared" si="93"/>
        <v>2011</v>
      </c>
      <c r="H724" s="1323">
        <f t="shared" si="94"/>
        <v>10</v>
      </c>
      <c r="I724" s="1323">
        <f t="shared" si="95"/>
        <v>18</v>
      </c>
      <c r="J724" s="1323"/>
      <c r="K724" s="1323"/>
      <c r="L724" s="1323"/>
      <c r="M724" s="1323"/>
      <c r="N724" s="1323"/>
      <c r="O724" s="1323"/>
      <c r="P724" s="1323"/>
      <c r="Q724" s="1323"/>
      <c r="R724" s="1304"/>
      <c r="S724" s="1304"/>
      <c r="T724" s="1304"/>
    </row>
    <row r="725" spans="1:20">
      <c r="A725" s="1303"/>
      <c r="B725" s="1322" t="s">
        <v>3707</v>
      </c>
      <c r="C725" s="1323" t="s">
        <v>3708</v>
      </c>
      <c r="D725" s="1324">
        <f t="shared" si="96"/>
        <v>40833</v>
      </c>
      <c r="E725" s="1323">
        <f t="shared" si="92"/>
        <v>7.8026</v>
      </c>
      <c r="F725" s="1323">
        <f t="shared" si="97"/>
        <v>8.540914875622466</v>
      </c>
      <c r="G725" s="1323">
        <f t="shared" si="93"/>
        <v>2011</v>
      </c>
      <c r="H725" s="1323">
        <f t="shared" si="94"/>
        <v>10</v>
      </c>
      <c r="I725" s="1323">
        <f t="shared" si="95"/>
        <v>17</v>
      </c>
      <c r="J725" s="1323"/>
      <c r="K725" s="1323"/>
      <c r="L725" s="1323"/>
      <c r="M725" s="1323"/>
      <c r="N725" s="1323"/>
      <c r="O725" s="1323"/>
      <c r="P725" s="1323"/>
      <c r="Q725" s="1323"/>
      <c r="R725" s="1304"/>
      <c r="S725" s="1304"/>
      <c r="T725" s="1304"/>
    </row>
    <row r="726" spans="1:20">
      <c r="A726" s="1303"/>
      <c r="B726" s="1322" t="s">
        <v>3709</v>
      </c>
      <c r="C726" s="1323" t="s">
        <v>3710</v>
      </c>
      <c r="D726" s="1324">
        <f t="shared" si="96"/>
        <v>40830</v>
      </c>
      <c r="E726" s="1323">
        <f t="shared" ref="E726:E789" si="98">VALUE(C727)</f>
        <v>7.8464999999999998</v>
      </c>
      <c r="F726" s="1323">
        <f t="shared" si="97"/>
        <v>8.5392772060213105</v>
      </c>
      <c r="G726" s="1323">
        <f t="shared" ref="G726:G789" si="99">YEAR(B727)</f>
        <v>2011</v>
      </c>
      <c r="H726" s="1323">
        <f t="shared" ref="H726:H789" si="100">MONTH(B727)</f>
        <v>10</v>
      </c>
      <c r="I726" s="1323">
        <f t="shared" ref="I726:I789" si="101">DAY(B727)</f>
        <v>14</v>
      </c>
      <c r="J726" s="1323"/>
      <c r="K726" s="1323"/>
      <c r="L726" s="1323"/>
      <c r="M726" s="1323"/>
      <c r="N726" s="1323"/>
      <c r="O726" s="1323"/>
      <c r="P726" s="1323"/>
      <c r="Q726" s="1323"/>
      <c r="R726" s="1304"/>
      <c r="S726" s="1304"/>
      <c r="T726" s="1304"/>
    </row>
    <row r="727" spans="1:20">
      <c r="A727" s="1303"/>
      <c r="B727" s="1322" t="s">
        <v>3711</v>
      </c>
      <c r="C727" s="1323" t="s">
        <v>3712</v>
      </c>
      <c r="D727" s="1324">
        <f t="shared" si="96"/>
        <v>40829</v>
      </c>
      <c r="E727" s="1323">
        <f t="shared" si="98"/>
        <v>7.8589000000000002</v>
      </c>
      <c r="F727" s="1323">
        <f t="shared" si="97"/>
        <v>8.5376398504335551</v>
      </c>
      <c r="G727" s="1323">
        <f t="shared" si="99"/>
        <v>2011</v>
      </c>
      <c r="H727" s="1323">
        <f t="shared" si="100"/>
        <v>10</v>
      </c>
      <c r="I727" s="1323">
        <f t="shared" si="101"/>
        <v>13</v>
      </c>
      <c r="J727" s="1323"/>
      <c r="K727" s="1323"/>
      <c r="L727" s="1323"/>
      <c r="M727" s="1323"/>
      <c r="N727" s="1323"/>
      <c r="O727" s="1323"/>
      <c r="P727" s="1323"/>
      <c r="Q727" s="1323"/>
      <c r="R727" s="1304"/>
      <c r="S727" s="1304"/>
      <c r="T727" s="1304"/>
    </row>
    <row r="728" spans="1:20">
      <c r="A728" s="1303"/>
      <c r="B728" s="1322" t="s">
        <v>3713</v>
      </c>
      <c r="C728" s="1323" t="s">
        <v>3714</v>
      </c>
      <c r="D728" s="1324">
        <f t="shared" si="96"/>
        <v>40828</v>
      </c>
      <c r="E728" s="1323">
        <f t="shared" si="98"/>
        <v>7.8063000000000002</v>
      </c>
      <c r="F728" s="1323">
        <f t="shared" si="97"/>
        <v>8.5360028087989903</v>
      </c>
      <c r="G728" s="1323">
        <f t="shared" si="99"/>
        <v>2011</v>
      </c>
      <c r="H728" s="1323">
        <f t="shared" si="100"/>
        <v>10</v>
      </c>
      <c r="I728" s="1323">
        <f t="shared" si="101"/>
        <v>12</v>
      </c>
      <c r="J728" s="1323"/>
      <c r="K728" s="1323"/>
      <c r="L728" s="1323"/>
      <c r="M728" s="1323"/>
      <c r="N728" s="1323"/>
      <c r="O728" s="1323"/>
      <c r="P728" s="1323"/>
      <c r="Q728" s="1323"/>
      <c r="R728" s="1304"/>
      <c r="S728" s="1304"/>
      <c r="T728" s="1304"/>
    </row>
    <row r="729" spans="1:20">
      <c r="A729" s="1303"/>
      <c r="B729" s="1322" t="s">
        <v>3715</v>
      </c>
      <c r="C729" s="1323" t="s">
        <v>3716</v>
      </c>
      <c r="D729" s="1324">
        <f t="shared" si="96"/>
        <v>40827</v>
      </c>
      <c r="E729" s="1323">
        <f t="shared" si="98"/>
        <v>7.9217000000000004</v>
      </c>
      <c r="F729" s="1323">
        <f t="shared" si="97"/>
        <v>8.5343660810574171</v>
      </c>
      <c r="G729" s="1323">
        <f t="shared" si="99"/>
        <v>2011</v>
      </c>
      <c r="H729" s="1323">
        <f t="shared" si="100"/>
        <v>10</v>
      </c>
      <c r="I729" s="1323">
        <f t="shared" si="101"/>
        <v>11</v>
      </c>
      <c r="J729" s="1323"/>
      <c r="K729" s="1323"/>
      <c r="L729" s="1323"/>
      <c r="M729" s="1323"/>
      <c r="N729" s="1323"/>
      <c r="O729" s="1323"/>
      <c r="P729" s="1323"/>
      <c r="Q729" s="1323"/>
      <c r="R729" s="1304"/>
      <c r="S729" s="1304"/>
      <c r="T729" s="1304"/>
    </row>
    <row r="730" spans="1:20">
      <c r="A730" s="1303"/>
      <c r="B730" s="1322" t="s">
        <v>3717</v>
      </c>
      <c r="C730" s="1323" t="s">
        <v>3718</v>
      </c>
      <c r="D730" s="1324">
        <f t="shared" si="96"/>
        <v>40826</v>
      </c>
      <c r="E730" s="1323">
        <f t="shared" si="98"/>
        <v>7.8571999999999997</v>
      </c>
      <c r="F730" s="1323">
        <f t="shared" si="97"/>
        <v>8.532729667148649</v>
      </c>
      <c r="G730" s="1323">
        <f t="shared" si="99"/>
        <v>2011</v>
      </c>
      <c r="H730" s="1323">
        <f t="shared" si="100"/>
        <v>10</v>
      </c>
      <c r="I730" s="1323">
        <f t="shared" si="101"/>
        <v>10</v>
      </c>
      <c r="J730" s="1323"/>
      <c r="K730" s="1323"/>
      <c r="L730" s="1323"/>
      <c r="M730" s="1323"/>
      <c r="N730" s="1323"/>
      <c r="O730" s="1323"/>
      <c r="P730" s="1323"/>
      <c r="Q730" s="1323"/>
      <c r="R730" s="1304"/>
      <c r="S730" s="1304"/>
      <c r="T730" s="1304"/>
    </row>
    <row r="731" spans="1:20">
      <c r="A731" s="1303"/>
      <c r="B731" s="1322" t="s">
        <v>3719</v>
      </c>
      <c r="C731" s="1323" t="s">
        <v>3720</v>
      </c>
      <c r="D731" s="1324">
        <f t="shared" si="96"/>
        <v>40823</v>
      </c>
      <c r="E731" s="1323">
        <f t="shared" si="98"/>
        <v>7.9463999999999997</v>
      </c>
      <c r="F731" s="1323">
        <f t="shared" si="97"/>
        <v>8.5310935670125101</v>
      </c>
      <c r="G731" s="1323">
        <f t="shared" si="99"/>
        <v>2011</v>
      </c>
      <c r="H731" s="1323">
        <f t="shared" si="100"/>
        <v>10</v>
      </c>
      <c r="I731" s="1323">
        <f t="shared" si="101"/>
        <v>7</v>
      </c>
      <c r="J731" s="1323"/>
      <c r="K731" s="1323"/>
      <c r="L731" s="1323"/>
      <c r="M731" s="1323"/>
      <c r="N731" s="1323"/>
      <c r="O731" s="1323"/>
      <c r="P731" s="1323"/>
      <c r="Q731" s="1323"/>
      <c r="R731" s="1304"/>
      <c r="S731" s="1304"/>
      <c r="T731" s="1304"/>
    </row>
    <row r="732" spans="1:20">
      <c r="A732" s="1303"/>
      <c r="B732" s="1322" t="s">
        <v>3721</v>
      </c>
      <c r="C732" s="1323" t="s">
        <v>3722</v>
      </c>
      <c r="D732" s="1324">
        <f t="shared" si="96"/>
        <v>40822</v>
      </c>
      <c r="E732" s="1323">
        <f t="shared" si="98"/>
        <v>7.9269999999999996</v>
      </c>
      <c r="F732" s="1323">
        <f t="shared" si="97"/>
        <v>8.5294577805888352</v>
      </c>
      <c r="G732" s="1323">
        <f t="shared" si="99"/>
        <v>2011</v>
      </c>
      <c r="H732" s="1323">
        <f t="shared" si="100"/>
        <v>10</v>
      </c>
      <c r="I732" s="1323">
        <f t="shared" si="101"/>
        <v>6</v>
      </c>
      <c r="J732" s="1323"/>
      <c r="K732" s="1323"/>
      <c r="L732" s="1323"/>
      <c r="M732" s="1323"/>
      <c r="N732" s="1323"/>
      <c r="O732" s="1323"/>
      <c r="P732" s="1323"/>
      <c r="Q732" s="1323"/>
      <c r="R732" s="1304"/>
      <c r="S732" s="1304"/>
      <c r="T732" s="1304"/>
    </row>
    <row r="733" spans="1:20">
      <c r="A733" s="1303"/>
      <c r="B733" s="1322" t="s">
        <v>3723</v>
      </c>
      <c r="C733" s="1323" t="s">
        <v>3466</v>
      </c>
      <c r="D733" s="1324">
        <f t="shared" si="96"/>
        <v>40821</v>
      </c>
      <c r="E733" s="1323">
        <f t="shared" si="98"/>
        <v>8.1358999999999995</v>
      </c>
      <c r="F733" s="1323">
        <f t="shared" si="97"/>
        <v>8.5278223078174733</v>
      </c>
      <c r="G733" s="1323">
        <f t="shared" si="99"/>
        <v>2011</v>
      </c>
      <c r="H733" s="1323">
        <f t="shared" si="100"/>
        <v>10</v>
      </c>
      <c r="I733" s="1323">
        <f t="shared" si="101"/>
        <v>5</v>
      </c>
      <c r="J733" s="1323"/>
      <c r="K733" s="1323"/>
      <c r="L733" s="1323"/>
      <c r="M733" s="1323"/>
      <c r="N733" s="1323"/>
      <c r="O733" s="1323"/>
      <c r="P733" s="1323"/>
      <c r="Q733" s="1323"/>
      <c r="R733" s="1304"/>
      <c r="S733" s="1304"/>
      <c r="T733" s="1304"/>
    </row>
    <row r="734" spans="1:20">
      <c r="A734" s="1303"/>
      <c r="B734" s="1322" t="s">
        <v>3724</v>
      </c>
      <c r="C734" s="1323" t="s">
        <v>3725</v>
      </c>
      <c r="D734" s="1324">
        <f t="shared" si="96"/>
        <v>40820</v>
      </c>
      <c r="E734" s="1323">
        <f t="shared" si="98"/>
        <v>8.2608999999999995</v>
      </c>
      <c r="F734" s="1323">
        <f t="shared" si="97"/>
        <v>8.5261871486382823</v>
      </c>
      <c r="G734" s="1323">
        <f t="shared" si="99"/>
        <v>2011</v>
      </c>
      <c r="H734" s="1323">
        <f t="shared" si="100"/>
        <v>10</v>
      </c>
      <c r="I734" s="1323">
        <f t="shared" si="101"/>
        <v>4</v>
      </c>
      <c r="J734" s="1323"/>
      <c r="K734" s="1323"/>
      <c r="L734" s="1323"/>
      <c r="M734" s="1323"/>
      <c r="N734" s="1323"/>
      <c r="O734" s="1323"/>
      <c r="P734" s="1323"/>
      <c r="Q734" s="1323"/>
      <c r="R734" s="1304"/>
      <c r="S734" s="1304"/>
      <c r="T734" s="1304"/>
    </row>
    <row r="735" spans="1:20">
      <c r="A735" s="1303"/>
      <c r="B735" s="1322" t="s">
        <v>3726</v>
      </c>
      <c r="C735" s="1323" t="s">
        <v>3727</v>
      </c>
      <c r="D735" s="1324">
        <f t="shared" si="96"/>
        <v>40819</v>
      </c>
      <c r="E735" s="1323">
        <f t="shared" si="98"/>
        <v>8.0783000000000005</v>
      </c>
      <c r="F735" s="1323">
        <f t="shared" si="97"/>
        <v>8.5245523029911325</v>
      </c>
      <c r="G735" s="1323">
        <f t="shared" si="99"/>
        <v>2011</v>
      </c>
      <c r="H735" s="1323">
        <f t="shared" si="100"/>
        <v>10</v>
      </c>
      <c r="I735" s="1323">
        <f t="shared" si="101"/>
        <v>3</v>
      </c>
      <c r="J735" s="1323"/>
      <c r="K735" s="1323"/>
      <c r="L735" s="1323"/>
      <c r="M735" s="1323"/>
      <c r="N735" s="1323"/>
      <c r="O735" s="1323"/>
      <c r="P735" s="1323"/>
      <c r="Q735" s="1323"/>
      <c r="R735" s="1304"/>
      <c r="S735" s="1304"/>
      <c r="T735" s="1304"/>
    </row>
    <row r="736" spans="1:20">
      <c r="A736" s="1303"/>
      <c r="B736" s="1322" t="s">
        <v>3728</v>
      </c>
      <c r="C736" s="1323" t="s">
        <v>3729</v>
      </c>
      <c r="D736" s="1324">
        <f t="shared" si="96"/>
        <v>40816</v>
      </c>
      <c r="E736" s="1323">
        <f t="shared" si="98"/>
        <v>8.0267999999999997</v>
      </c>
      <c r="F736" s="1323">
        <f t="shared" si="97"/>
        <v>8.5229177708159067</v>
      </c>
      <c r="G736" s="1323">
        <f t="shared" si="99"/>
        <v>2011</v>
      </c>
      <c r="H736" s="1323">
        <f t="shared" si="100"/>
        <v>9</v>
      </c>
      <c r="I736" s="1323">
        <f t="shared" si="101"/>
        <v>30</v>
      </c>
      <c r="J736" s="1323"/>
      <c r="K736" s="1323"/>
      <c r="L736" s="1323"/>
      <c r="M736" s="1323"/>
      <c r="N736" s="1323"/>
      <c r="O736" s="1323"/>
      <c r="P736" s="1323"/>
      <c r="Q736" s="1323"/>
      <c r="R736" s="1304"/>
      <c r="S736" s="1304"/>
      <c r="T736" s="1304"/>
    </row>
    <row r="737" spans="1:20">
      <c r="A737" s="1303"/>
      <c r="B737" s="1322" t="s">
        <v>3730</v>
      </c>
      <c r="C737" s="1323" t="s">
        <v>3584</v>
      </c>
      <c r="D737" s="1324">
        <f t="shared" si="96"/>
        <v>40815</v>
      </c>
      <c r="E737" s="1323">
        <f t="shared" si="98"/>
        <v>7.8727999999999998</v>
      </c>
      <c r="F737" s="1323">
        <f t="shared" si="97"/>
        <v>8.5212835520524983</v>
      </c>
      <c r="G737" s="1323">
        <f t="shared" si="99"/>
        <v>2011</v>
      </c>
      <c r="H737" s="1323">
        <f t="shared" si="100"/>
        <v>9</v>
      </c>
      <c r="I737" s="1323">
        <f t="shared" si="101"/>
        <v>29</v>
      </c>
      <c r="J737" s="1323"/>
      <c r="K737" s="1323"/>
      <c r="L737" s="1323"/>
      <c r="M737" s="1323"/>
      <c r="N737" s="1323"/>
      <c r="O737" s="1323"/>
      <c r="P737" s="1323"/>
      <c r="Q737" s="1323"/>
      <c r="R737" s="1304"/>
      <c r="S737" s="1304"/>
      <c r="T737" s="1304"/>
    </row>
    <row r="738" spans="1:20">
      <c r="A738" s="1303"/>
      <c r="B738" s="1322" t="s">
        <v>3731</v>
      </c>
      <c r="C738" s="1323" t="s">
        <v>3732</v>
      </c>
      <c r="D738" s="1324">
        <f t="shared" si="96"/>
        <v>40814</v>
      </c>
      <c r="E738" s="1323">
        <f t="shared" si="98"/>
        <v>7.8612000000000002</v>
      </c>
      <c r="F738" s="1323">
        <f t="shared" si="97"/>
        <v>8.5196496466408131</v>
      </c>
      <c r="G738" s="1323">
        <f t="shared" si="99"/>
        <v>2011</v>
      </c>
      <c r="H738" s="1323">
        <f t="shared" si="100"/>
        <v>9</v>
      </c>
      <c r="I738" s="1323">
        <f t="shared" si="101"/>
        <v>28</v>
      </c>
      <c r="J738" s="1323"/>
      <c r="K738" s="1323"/>
      <c r="L738" s="1323"/>
      <c r="M738" s="1323"/>
      <c r="N738" s="1323"/>
      <c r="O738" s="1323"/>
      <c r="P738" s="1323"/>
      <c r="Q738" s="1323"/>
      <c r="R738" s="1304"/>
      <c r="S738" s="1304"/>
      <c r="T738" s="1304"/>
    </row>
    <row r="739" spans="1:20">
      <c r="A739" s="1303"/>
      <c r="B739" s="1322" t="s">
        <v>3733</v>
      </c>
      <c r="C739" s="1323" t="s">
        <v>3734</v>
      </c>
      <c r="D739" s="1324">
        <f t="shared" si="96"/>
        <v>40813</v>
      </c>
      <c r="E739" s="1323">
        <f t="shared" si="98"/>
        <v>7.9481000000000002</v>
      </c>
      <c r="F739" s="1323">
        <f t="shared" si="97"/>
        <v>8.5180160545207677</v>
      </c>
      <c r="G739" s="1323">
        <f t="shared" si="99"/>
        <v>2011</v>
      </c>
      <c r="H739" s="1323">
        <f t="shared" si="100"/>
        <v>9</v>
      </c>
      <c r="I739" s="1323">
        <f t="shared" si="101"/>
        <v>27</v>
      </c>
      <c r="J739" s="1323"/>
      <c r="K739" s="1323"/>
      <c r="L739" s="1323"/>
      <c r="M739" s="1323"/>
      <c r="N739" s="1323"/>
      <c r="O739" s="1323"/>
      <c r="P739" s="1323"/>
      <c r="Q739" s="1323"/>
      <c r="R739" s="1304"/>
      <c r="S739" s="1304"/>
      <c r="T739" s="1304"/>
    </row>
    <row r="740" spans="1:20">
      <c r="A740" s="1303"/>
      <c r="B740" s="1322" t="s">
        <v>3735</v>
      </c>
      <c r="C740" s="1323" t="s">
        <v>3736</v>
      </c>
      <c r="D740" s="1324">
        <f t="shared" si="96"/>
        <v>40812</v>
      </c>
      <c r="E740" s="1323">
        <f t="shared" si="98"/>
        <v>8.1599000000000004</v>
      </c>
      <c r="F740" s="1323">
        <f t="shared" si="97"/>
        <v>8.5163827756322892</v>
      </c>
      <c r="G740" s="1323">
        <f t="shared" si="99"/>
        <v>2011</v>
      </c>
      <c r="H740" s="1323">
        <f t="shared" si="100"/>
        <v>9</v>
      </c>
      <c r="I740" s="1323">
        <f t="shared" si="101"/>
        <v>26</v>
      </c>
      <c r="J740" s="1323"/>
      <c r="K740" s="1323"/>
      <c r="L740" s="1323"/>
      <c r="M740" s="1323"/>
      <c r="N740" s="1323"/>
      <c r="O740" s="1323"/>
      <c r="P740" s="1323"/>
      <c r="Q740" s="1323"/>
      <c r="R740" s="1304"/>
      <c r="S740" s="1304"/>
      <c r="T740" s="1304"/>
    </row>
    <row r="741" spans="1:20">
      <c r="A741" s="1303"/>
      <c r="B741" s="1322" t="s">
        <v>3737</v>
      </c>
      <c r="C741" s="1323" t="s">
        <v>3738</v>
      </c>
      <c r="D741" s="1324">
        <f t="shared" si="96"/>
        <v>40809</v>
      </c>
      <c r="E741" s="1323">
        <f t="shared" si="98"/>
        <v>8.2825000000000006</v>
      </c>
      <c r="F741" s="1323">
        <f t="shared" si="97"/>
        <v>8.5147498099153189</v>
      </c>
      <c r="G741" s="1323">
        <f t="shared" si="99"/>
        <v>2011</v>
      </c>
      <c r="H741" s="1323">
        <f t="shared" si="100"/>
        <v>9</v>
      </c>
      <c r="I741" s="1323">
        <f t="shared" si="101"/>
        <v>23</v>
      </c>
      <c r="J741" s="1323"/>
      <c r="K741" s="1323"/>
      <c r="L741" s="1323"/>
      <c r="M741" s="1323"/>
      <c r="N741" s="1323"/>
      <c r="O741" s="1323"/>
      <c r="P741" s="1323"/>
      <c r="Q741" s="1323"/>
      <c r="R741" s="1304"/>
      <c r="S741" s="1304"/>
      <c r="T741" s="1304"/>
    </row>
    <row r="742" spans="1:20">
      <c r="A742" s="1303"/>
      <c r="B742" s="1322" t="s">
        <v>3739</v>
      </c>
      <c r="C742" s="1323" t="s">
        <v>3740</v>
      </c>
      <c r="D742" s="1324">
        <f t="shared" si="96"/>
        <v>40808</v>
      </c>
      <c r="E742" s="1323">
        <f t="shared" si="98"/>
        <v>8.1411999999999995</v>
      </c>
      <c r="F742" s="1323">
        <f t="shared" si="97"/>
        <v>8.5131171573098072</v>
      </c>
      <c r="G742" s="1323">
        <f t="shared" si="99"/>
        <v>2011</v>
      </c>
      <c r="H742" s="1323">
        <f t="shared" si="100"/>
        <v>9</v>
      </c>
      <c r="I742" s="1323">
        <f t="shared" si="101"/>
        <v>22</v>
      </c>
      <c r="J742" s="1323"/>
      <c r="K742" s="1323"/>
      <c r="L742" s="1323"/>
      <c r="M742" s="1323"/>
      <c r="N742" s="1323"/>
      <c r="O742" s="1323"/>
      <c r="P742" s="1323"/>
      <c r="Q742" s="1323"/>
      <c r="R742" s="1304"/>
      <c r="S742" s="1304"/>
      <c r="T742" s="1304"/>
    </row>
    <row r="743" spans="1:20">
      <c r="A743" s="1303"/>
      <c r="B743" s="1322" t="s">
        <v>3741</v>
      </c>
      <c r="C743" s="1323" t="s">
        <v>3742</v>
      </c>
      <c r="D743" s="1324">
        <f t="shared" si="96"/>
        <v>40807</v>
      </c>
      <c r="E743" s="1323">
        <f t="shared" si="98"/>
        <v>7.7976999999999999</v>
      </c>
      <c r="F743" s="1323">
        <f t="shared" si="97"/>
        <v>8.5114848177557167</v>
      </c>
      <c r="G743" s="1323">
        <f t="shared" si="99"/>
        <v>2011</v>
      </c>
      <c r="H743" s="1323">
        <f t="shared" si="100"/>
        <v>9</v>
      </c>
      <c r="I743" s="1323">
        <f t="shared" si="101"/>
        <v>21</v>
      </c>
      <c r="J743" s="1323"/>
      <c r="K743" s="1323"/>
      <c r="L743" s="1323"/>
      <c r="M743" s="1323"/>
      <c r="N743" s="1323"/>
      <c r="O743" s="1323"/>
      <c r="P743" s="1323"/>
      <c r="Q743" s="1323"/>
      <c r="R743" s="1304"/>
      <c r="S743" s="1304"/>
      <c r="T743" s="1304"/>
    </row>
    <row r="744" spans="1:20">
      <c r="A744" s="1303"/>
      <c r="B744" s="1322" t="s">
        <v>3743</v>
      </c>
      <c r="C744" s="1323" t="s">
        <v>3744</v>
      </c>
      <c r="D744" s="1324">
        <f t="shared" si="96"/>
        <v>40806</v>
      </c>
      <c r="E744" s="1323">
        <f t="shared" si="98"/>
        <v>7.6658999999999997</v>
      </c>
      <c r="F744" s="1323">
        <f t="shared" si="97"/>
        <v>8.5098527911930226</v>
      </c>
      <c r="G744" s="1323">
        <f t="shared" si="99"/>
        <v>2011</v>
      </c>
      <c r="H744" s="1323">
        <f t="shared" si="100"/>
        <v>9</v>
      </c>
      <c r="I744" s="1323">
        <f t="shared" si="101"/>
        <v>20</v>
      </c>
      <c r="J744" s="1323"/>
      <c r="K744" s="1323"/>
      <c r="L744" s="1323"/>
      <c r="M744" s="1323"/>
      <c r="N744" s="1323"/>
      <c r="O744" s="1323"/>
      <c r="P744" s="1323"/>
      <c r="Q744" s="1323"/>
      <c r="R744" s="1304"/>
      <c r="S744" s="1304"/>
      <c r="T744" s="1304"/>
    </row>
    <row r="745" spans="1:20">
      <c r="A745" s="1303"/>
      <c r="B745" s="1322" t="s">
        <v>3745</v>
      </c>
      <c r="C745" s="1323" t="s">
        <v>3746</v>
      </c>
      <c r="D745" s="1324">
        <f t="shared" si="96"/>
        <v>40805</v>
      </c>
      <c r="E745" s="1323">
        <f t="shared" si="98"/>
        <v>7.5486000000000004</v>
      </c>
      <c r="F745" s="1323">
        <f t="shared" si="97"/>
        <v>8.5082210775617089</v>
      </c>
      <c r="G745" s="1323">
        <f t="shared" si="99"/>
        <v>2011</v>
      </c>
      <c r="H745" s="1323">
        <f t="shared" si="100"/>
        <v>9</v>
      </c>
      <c r="I745" s="1323">
        <f t="shared" si="101"/>
        <v>19</v>
      </c>
      <c r="J745" s="1323"/>
      <c r="K745" s="1323"/>
      <c r="L745" s="1323"/>
      <c r="M745" s="1323"/>
      <c r="N745" s="1323"/>
      <c r="O745" s="1323"/>
      <c r="P745" s="1323"/>
      <c r="Q745" s="1323"/>
      <c r="R745" s="1304"/>
      <c r="S745" s="1304"/>
      <c r="T745" s="1304"/>
    </row>
    <row r="746" spans="1:20">
      <c r="A746" s="1303"/>
      <c r="B746" s="1322" t="s">
        <v>3747</v>
      </c>
      <c r="C746" s="1323" t="s">
        <v>3748</v>
      </c>
      <c r="D746" s="1324">
        <f t="shared" si="96"/>
        <v>40802</v>
      </c>
      <c r="E746" s="1323">
        <f t="shared" si="98"/>
        <v>7.4260999999999999</v>
      </c>
      <c r="F746" s="1323">
        <f t="shared" si="97"/>
        <v>8.5065896768017737</v>
      </c>
      <c r="G746" s="1323">
        <f t="shared" si="99"/>
        <v>2011</v>
      </c>
      <c r="H746" s="1323">
        <f t="shared" si="100"/>
        <v>9</v>
      </c>
      <c r="I746" s="1323">
        <f t="shared" si="101"/>
        <v>16</v>
      </c>
      <c r="J746" s="1323"/>
      <c r="K746" s="1323"/>
      <c r="L746" s="1323"/>
      <c r="M746" s="1323"/>
      <c r="N746" s="1323"/>
      <c r="O746" s="1323"/>
      <c r="P746" s="1323"/>
      <c r="Q746" s="1323"/>
      <c r="R746" s="1304"/>
      <c r="S746" s="1304"/>
      <c r="T746" s="1304"/>
    </row>
    <row r="747" spans="1:20">
      <c r="A747" s="1303"/>
      <c r="B747" s="1322" t="s">
        <v>3749</v>
      </c>
      <c r="C747" s="1323" t="s">
        <v>3750</v>
      </c>
      <c r="D747" s="1324">
        <f t="shared" si="96"/>
        <v>40801</v>
      </c>
      <c r="E747" s="1323">
        <f t="shared" si="98"/>
        <v>7.4081000000000001</v>
      </c>
      <c r="F747" s="1323">
        <f t="shared" si="97"/>
        <v>8.504958588853226</v>
      </c>
      <c r="G747" s="1323">
        <f t="shared" si="99"/>
        <v>2011</v>
      </c>
      <c r="H747" s="1323">
        <f t="shared" si="100"/>
        <v>9</v>
      </c>
      <c r="I747" s="1323">
        <f t="shared" si="101"/>
        <v>15</v>
      </c>
      <c r="J747" s="1323"/>
      <c r="K747" s="1323"/>
      <c r="L747" s="1323"/>
      <c r="M747" s="1323"/>
      <c r="N747" s="1323"/>
      <c r="O747" s="1323"/>
      <c r="P747" s="1323"/>
      <c r="Q747" s="1323"/>
      <c r="R747" s="1304"/>
      <c r="S747" s="1304"/>
      <c r="T747" s="1304"/>
    </row>
    <row r="748" spans="1:20">
      <c r="A748" s="1303"/>
      <c r="B748" s="1322" t="s">
        <v>3751</v>
      </c>
      <c r="C748" s="1323" t="s">
        <v>3752</v>
      </c>
      <c r="D748" s="1324">
        <f t="shared" si="96"/>
        <v>40800</v>
      </c>
      <c r="E748" s="1323">
        <f t="shared" si="98"/>
        <v>7.3989000000000003</v>
      </c>
      <c r="F748" s="1323">
        <f t="shared" si="97"/>
        <v>8.503327813656087</v>
      </c>
      <c r="G748" s="1323">
        <f t="shared" si="99"/>
        <v>2011</v>
      </c>
      <c r="H748" s="1323">
        <f t="shared" si="100"/>
        <v>9</v>
      </c>
      <c r="I748" s="1323">
        <f t="shared" si="101"/>
        <v>14</v>
      </c>
      <c r="J748" s="1323"/>
      <c r="K748" s="1323"/>
      <c r="L748" s="1323"/>
      <c r="M748" s="1323"/>
      <c r="N748" s="1323"/>
      <c r="O748" s="1323"/>
      <c r="P748" s="1323"/>
      <c r="Q748" s="1323"/>
      <c r="R748" s="1304"/>
      <c r="S748" s="1304"/>
      <c r="T748" s="1304"/>
    </row>
    <row r="749" spans="1:20">
      <c r="A749" s="1303"/>
      <c r="B749" s="1322" t="s">
        <v>3753</v>
      </c>
      <c r="C749" s="1323" t="s">
        <v>3754</v>
      </c>
      <c r="D749" s="1324">
        <f t="shared" si="96"/>
        <v>40799</v>
      </c>
      <c r="E749" s="1323">
        <f t="shared" si="98"/>
        <v>7.4272</v>
      </c>
      <c r="F749" s="1323">
        <f t="shared" si="97"/>
        <v>8.501697351150387</v>
      </c>
      <c r="G749" s="1323">
        <f t="shared" si="99"/>
        <v>2011</v>
      </c>
      <c r="H749" s="1323">
        <f t="shared" si="100"/>
        <v>9</v>
      </c>
      <c r="I749" s="1323">
        <f t="shared" si="101"/>
        <v>13</v>
      </c>
      <c r="J749" s="1323"/>
      <c r="K749" s="1323"/>
      <c r="L749" s="1323"/>
      <c r="M749" s="1323"/>
      <c r="N749" s="1323"/>
      <c r="O749" s="1323"/>
      <c r="P749" s="1323"/>
      <c r="Q749" s="1323"/>
      <c r="R749" s="1304"/>
      <c r="S749" s="1304"/>
      <c r="T749" s="1304"/>
    </row>
    <row r="750" spans="1:20">
      <c r="A750" s="1303"/>
      <c r="B750" s="1322" t="s">
        <v>3755</v>
      </c>
      <c r="C750" s="1323" t="s">
        <v>3756</v>
      </c>
      <c r="D750" s="1324">
        <f t="shared" si="96"/>
        <v>40798</v>
      </c>
      <c r="E750" s="1323">
        <f t="shared" si="98"/>
        <v>7.3320999999999996</v>
      </c>
      <c r="F750" s="1323">
        <f t="shared" si="97"/>
        <v>8.5000672012761687</v>
      </c>
      <c r="G750" s="1323">
        <f t="shared" si="99"/>
        <v>2011</v>
      </c>
      <c r="H750" s="1323">
        <f t="shared" si="100"/>
        <v>9</v>
      </c>
      <c r="I750" s="1323">
        <f t="shared" si="101"/>
        <v>12</v>
      </c>
      <c r="J750" s="1323"/>
      <c r="K750" s="1323"/>
      <c r="L750" s="1323"/>
      <c r="M750" s="1323"/>
      <c r="N750" s="1323"/>
      <c r="O750" s="1323"/>
      <c r="P750" s="1323"/>
      <c r="Q750" s="1323"/>
      <c r="R750" s="1304"/>
      <c r="S750" s="1304"/>
      <c r="T750" s="1304"/>
    </row>
    <row r="751" spans="1:20">
      <c r="A751" s="1303"/>
      <c r="B751" s="1322" t="s">
        <v>3757</v>
      </c>
      <c r="C751" s="1323" t="s">
        <v>3758</v>
      </c>
      <c r="D751" s="1324">
        <f t="shared" si="96"/>
        <v>40795</v>
      </c>
      <c r="E751" s="1323">
        <f t="shared" si="98"/>
        <v>7.2443999999999997</v>
      </c>
      <c r="F751" s="1323">
        <f t="shared" si="97"/>
        <v>8.4984373639734887</v>
      </c>
      <c r="G751" s="1323">
        <f t="shared" si="99"/>
        <v>2011</v>
      </c>
      <c r="H751" s="1323">
        <f t="shared" si="100"/>
        <v>9</v>
      </c>
      <c r="I751" s="1323">
        <f t="shared" si="101"/>
        <v>9</v>
      </c>
      <c r="J751" s="1323"/>
      <c r="K751" s="1323"/>
      <c r="L751" s="1323"/>
      <c r="M751" s="1323"/>
      <c r="N751" s="1323"/>
      <c r="O751" s="1323"/>
      <c r="P751" s="1323"/>
      <c r="Q751" s="1323"/>
      <c r="R751" s="1304"/>
      <c r="S751" s="1304"/>
      <c r="T751" s="1304"/>
    </row>
    <row r="752" spans="1:20">
      <c r="A752" s="1303"/>
      <c r="B752" s="1322" t="s">
        <v>3759</v>
      </c>
      <c r="C752" s="1323" t="s">
        <v>3760</v>
      </c>
      <c r="D752" s="1324">
        <f t="shared" si="96"/>
        <v>40794</v>
      </c>
      <c r="E752" s="1323">
        <f t="shared" si="98"/>
        <v>7.1315</v>
      </c>
      <c r="F752" s="1323">
        <f t="shared" si="97"/>
        <v>8.4968078391824129</v>
      </c>
      <c r="G752" s="1323">
        <f t="shared" si="99"/>
        <v>2011</v>
      </c>
      <c r="H752" s="1323">
        <f t="shared" si="100"/>
        <v>9</v>
      </c>
      <c r="I752" s="1323">
        <f t="shared" si="101"/>
        <v>8</v>
      </c>
      <c r="J752" s="1323"/>
      <c r="K752" s="1323"/>
      <c r="L752" s="1323"/>
      <c r="M752" s="1323"/>
      <c r="N752" s="1323"/>
      <c r="O752" s="1323"/>
      <c r="P752" s="1323"/>
      <c r="Q752" s="1323"/>
      <c r="R752" s="1304"/>
      <c r="S752" s="1304"/>
      <c r="T752" s="1304"/>
    </row>
    <row r="753" spans="1:20">
      <c r="A753" s="1303"/>
      <c r="B753" s="1322" t="s">
        <v>3761</v>
      </c>
      <c r="C753" s="1323" t="s">
        <v>3762</v>
      </c>
      <c r="D753" s="1324">
        <f t="shared" si="96"/>
        <v>40793</v>
      </c>
      <c r="E753" s="1323">
        <f t="shared" si="98"/>
        <v>7.093</v>
      </c>
      <c r="F753" s="1323">
        <f t="shared" si="97"/>
        <v>8.4951786268430176</v>
      </c>
      <c r="G753" s="1323">
        <f t="shared" si="99"/>
        <v>2011</v>
      </c>
      <c r="H753" s="1323">
        <f t="shared" si="100"/>
        <v>9</v>
      </c>
      <c r="I753" s="1323">
        <f t="shared" si="101"/>
        <v>7</v>
      </c>
      <c r="J753" s="1323"/>
      <c r="K753" s="1323"/>
      <c r="L753" s="1323"/>
      <c r="M753" s="1323"/>
      <c r="N753" s="1323"/>
      <c r="O753" s="1323"/>
      <c r="P753" s="1323"/>
      <c r="Q753" s="1323"/>
      <c r="R753" s="1304"/>
      <c r="S753" s="1304"/>
      <c r="T753" s="1304"/>
    </row>
    <row r="754" spans="1:20">
      <c r="A754" s="1303"/>
      <c r="B754" s="1322" t="s">
        <v>3763</v>
      </c>
      <c r="C754" s="1323" t="s">
        <v>3764</v>
      </c>
      <c r="D754" s="1324">
        <f t="shared" si="96"/>
        <v>40792</v>
      </c>
      <c r="E754" s="1323">
        <f t="shared" si="98"/>
        <v>7.0810000000000004</v>
      </c>
      <c r="F754" s="1323">
        <f t="shared" si="97"/>
        <v>8.4935497268953934</v>
      </c>
      <c r="G754" s="1323">
        <f t="shared" si="99"/>
        <v>2011</v>
      </c>
      <c r="H754" s="1323">
        <f t="shared" si="100"/>
        <v>9</v>
      </c>
      <c r="I754" s="1323">
        <f t="shared" si="101"/>
        <v>6</v>
      </c>
      <c r="J754" s="1323"/>
      <c r="K754" s="1323"/>
      <c r="L754" s="1323"/>
      <c r="M754" s="1323"/>
      <c r="N754" s="1323"/>
      <c r="O754" s="1323"/>
      <c r="P754" s="1323"/>
      <c r="Q754" s="1323"/>
      <c r="R754" s="1304"/>
      <c r="S754" s="1304"/>
      <c r="T754" s="1304"/>
    </row>
    <row r="755" spans="1:20">
      <c r="A755" s="1303"/>
      <c r="B755" s="1322" t="s">
        <v>3765</v>
      </c>
      <c r="C755" s="1323" t="s">
        <v>3766</v>
      </c>
      <c r="D755" s="1324">
        <f t="shared" si="96"/>
        <v>40791</v>
      </c>
      <c r="E755" s="1323">
        <f t="shared" si="98"/>
        <v>7.0804999999999998</v>
      </c>
      <c r="F755" s="1323">
        <f t="shared" si="97"/>
        <v>8.4919211392796417</v>
      </c>
      <c r="G755" s="1323">
        <f t="shared" si="99"/>
        <v>2011</v>
      </c>
      <c r="H755" s="1323">
        <f t="shared" si="100"/>
        <v>9</v>
      </c>
      <c r="I755" s="1323">
        <f t="shared" si="101"/>
        <v>5</v>
      </c>
      <c r="J755" s="1323"/>
      <c r="K755" s="1323"/>
      <c r="L755" s="1323"/>
      <c r="M755" s="1323"/>
      <c r="N755" s="1323"/>
      <c r="O755" s="1323"/>
      <c r="P755" s="1323"/>
      <c r="Q755" s="1323"/>
      <c r="R755" s="1304"/>
      <c r="S755" s="1304"/>
      <c r="T755" s="1304"/>
    </row>
    <row r="756" spans="1:20">
      <c r="A756" s="1303"/>
      <c r="B756" s="1322" t="s">
        <v>3767</v>
      </c>
      <c r="C756" s="1323" t="s">
        <v>3768</v>
      </c>
      <c r="D756" s="1324">
        <f t="shared" si="96"/>
        <v>40788</v>
      </c>
      <c r="E756" s="1323">
        <f t="shared" si="98"/>
        <v>7.0015999999999998</v>
      </c>
      <c r="F756" s="1323">
        <f t="shared" si="97"/>
        <v>8.4902928639358723</v>
      </c>
      <c r="G756" s="1323">
        <f t="shared" si="99"/>
        <v>2011</v>
      </c>
      <c r="H756" s="1323">
        <f t="shared" si="100"/>
        <v>9</v>
      </c>
      <c r="I756" s="1323">
        <f t="shared" si="101"/>
        <v>2</v>
      </c>
      <c r="J756" s="1323"/>
      <c r="K756" s="1323"/>
      <c r="L756" s="1323"/>
      <c r="M756" s="1323"/>
      <c r="N756" s="1323"/>
      <c r="O756" s="1323"/>
      <c r="P756" s="1323"/>
      <c r="Q756" s="1323"/>
      <c r="R756" s="1304"/>
      <c r="S756" s="1304"/>
      <c r="T756" s="1304"/>
    </row>
    <row r="757" spans="1:20">
      <c r="A757" s="1303"/>
      <c r="B757" s="1322" t="s">
        <v>3769</v>
      </c>
      <c r="C757" s="1323" t="s">
        <v>3770</v>
      </c>
      <c r="D757" s="1324">
        <f t="shared" si="96"/>
        <v>40787</v>
      </c>
      <c r="E757" s="1323">
        <f t="shared" si="98"/>
        <v>7.0067000000000004</v>
      </c>
      <c r="F757" s="1323">
        <f t="shared" si="97"/>
        <v>8.4886649008042117</v>
      </c>
      <c r="G757" s="1323">
        <f t="shared" si="99"/>
        <v>2011</v>
      </c>
      <c r="H757" s="1323">
        <f t="shared" si="100"/>
        <v>9</v>
      </c>
      <c r="I757" s="1323">
        <f t="shared" si="101"/>
        <v>1</v>
      </c>
      <c r="J757" s="1323"/>
      <c r="K757" s="1323"/>
      <c r="L757" s="1323"/>
      <c r="M757" s="1323"/>
      <c r="N757" s="1323"/>
      <c r="O757" s="1323"/>
      <c r="P757" s="1323"/>
      <c r="Q757" s="1323"/>
      <c r="R757" s="1304"/>
      <c r="S757" s="1304"/>
      <c r="T757" s="1304"/>
    </row>
    <row r="758" spans="1:20">
      <c r="A758" s="1303"/>
      <c r="B758" s="1322" t="s">
        <v>3771</v>
      </c>
      <c r="C758" s="1323" t="s">
        <v>3772</v>
      </c>
      <c r="D758" s="1324">
        <f t="shared" si="96"/>
        <v>40786</v>
      </c>
      <c r="E758" s="1323">
        <f t="shared" si="98"/>
        <v>7.0220000000000002</v>
      </c>
      <c r="F758" s="1323">
        <f t="shared" si="97"/>
        <v>8.4870372498247928</v>
      </c>
      <c r="G758" s="1323">
        <f t="shared" si="99"/>
        <v>2011</v>
      </c>
      <c r="H758" s="1323">
        <f t="shared" si="100"/>
        <v>8</v>
      </c>
      <c r="I758" s="1323">
        <f t="shared" si="101"/>
        <v>31</v>
      </c>
      <c r="J758" s="1323"/>
      <c r="K758" s="1323"/>
      <c r="L758" s="1323"/>
      <c r="M758" s="1323"/>
      <c r="N758" s="1323"/>
      <c r="O758" s="1323"/>
      <c r="P758" s="1323"/>
      <c r="Q758" s="1323"/>
      <c r="R758" s="1304"/>
      <c r="S758" s="1304"/>
      <c r="T758" s="1304"/>
    </row>
    <row r="759" spans="1:20">
      <c r="A759" s="1303"/>
      <c r="B759" s="1322" t="s">
        <v>3773</v>
      </c>
      <c r="C759" s="1323" t="s">
        <v>3774</v>
      </c>
      <c r="D759" s="1324">
        <f t="shared" si="96"/>
        <v>40785</v>
      </c>
      <c r="E759" s="1323">
        <f t="shared" si="98"/>
        <v>7.0575000000000001</v>
      </c>
      <c r="F759" s="1323">
        <f t="shared" si="97"/>
        <v>8.4854099109377632</v>
      </c>
      <c r="G759" s="1323">
        <f t="shared" si="99"/>
        <v>2011</v>
      </c>
      <c r="H759" s="1323">
        <f t="shared" si="100"/>
        <v>8</v>
      </c>
      <c r="I759" s="1323">
        <f t="shared" si="101"/>
        <v>30</v>
      </c>
      <c r="J759" s="1323"/>
      <c r="K759" s="1323"/>
      <c r="L759" s="1323"/>
      <c r="M759" s="1323"/>
      <c r="N759" s="1323"/>
      <c r="O759" s="1323"/>
      <c r="P759" s="1323"/>
      <c r="Q759" s="1323"/>
      <c r="R759" s="1304"/>
      <c r="S759" s="1304"/>
      <c r="T759" s="1304"/>
    </row>
    <row r="760" spans="1:20">
      <c r="A760" s="1303"/>
      <c r="B760" s="1322" t="s">
        <v>3775</v>
      </c>
      <c r="C760" s="1323" t="s">
        <v>3776</v>
      </c>
      <c r="D760" s="1324">
        <f t="shared" si="96"/>
        <v>40784</v>
      </c>
      <c r="E760" s="1323">
        <f t="shared" si="98"/>
        <v>7.0911999999999997</v>
      </c>
      <c r="F760" s="1323">
        <f t="shared" si="97"/>
        <v>8.483782884083281</v>
      </c>
      <c r="G760" s="1323">
        <f t="shared" si="99"/>
        <v>2011</v>
      </c>
      <c r="H760" s="1323">
        <f t="shared" si="100"/>
        <v>8</v>
      </c>
      <c r="I760" s="1323">
        <f t="shared" si="101"/>
        <v>29</v>
      </c>
      <c r="J760" s="1323"/>
      <c r="K760" s="1323"/>
      <c r="L760" s="1323"/>
      <c r="M760" s="1323"/>
      <c r="N760" s="1323"/>
      <c r="O760" s="1323"/>
      <c r="P760" s="1323"/>
      <c r="Q760" s="1323"/>
      <c r="R760" s="1304"/>
      <c r="S760" s="1304"/>
      <c r="T760" s="1304"/>
    </row>
    <row r="761" spans="1:20">
      <c r="A761" s="1303"/>
      <c r="B761" s="1322" t="s">
        <v>3777</v>
      </c>
      <c r="C761" s="1323" t="s">
        <v>3778</v>
      </c>
      <c r="D761" s="1324">
        <f t="shared" si="96"/>
        <v>40781</v>
      </c>
      <c r="E761" s="1323">
        <f t="shared" si="98"/>
        <v>7.2104999999999997</v>
      </c>
      <c r="F761" s="1323">
        <f t="shared" si="97"/>
        <v>8.4821561692015166</v>
      </c>
      <c r="G761" s="1323">
        <f t="shared" si="99"/>
        <v>2011</v>
      </c>
      <c r="H761" s="1323">
        <f t="shared" si="100"/>
        <v>8</v>
      </c>
      <c r="I761" s="1323">
        <f t="shared" si="101"/>
        <v>26</v>
      </c>
      <c r="J761" s="1323"/>
      <c r="K761" s="1323"/>
      <c r="L761" s="1323"/>
      <c r="M761" s="1323"/>
      <c r="N761" s="1323"/>
      <c r="O761" s="1323"/>
      <c r="P761" s="1323"/>
      <c r="Q761" s="1323"/>
      <c r="R761" s="1304"/>
      <c r="S761" s="1304"/>
      <c r="T761" s="1304"/>
    </row>
    <row r="762" spans="1:20">
      <c r="A762" s="1303"/>
      <c r="B762" s="1322" t="s">
        <v>3779</v>
      </c>
      <c r="C762" s="1323" t="s">
        <v>3780</v>
      </c>
      <c r="D762" s="1324">
        <f t="shared" si="96"/>
        <v>40780</v>
      </c>
      <c r="E762" s="1323">
        <f t="shared" si="98"/>
        <v>7.2464000000000004</v>
      </c>
      <c r="F762" s="1323">
        <f t="shared" si="97"/>
        <v>8.4805297662326495</v>
      </c>
      <c r="G762" s="1323">
        <f t="shared" si="99"/>
        <v>2011</v>
      </c>
      <c r="H762" s="1323">
        <f t="shared" si="100"/>
        <v>8</v>
      </c>
      <c r="I762" s="1323">
        <f t="shared" si="101"/>
        <v>25</v>
      </c>
      <c r="J762" s="1323"/>
      <c r="K762" s="1323"/>
      <c r="L762" s="1323"/>
      <c r="M762" s="1323"/>
      <c r="N762" s="1323"/>
      <c r="O762" s="1323"/>
      <c r="P762" s="1323"/>
      <c r="Q762" s="1323"/>
      <c r="R762" s="1304"/>
      <c r="S762" s="1304"/>
      <c r="T762" s="1304"/>
    </row>
    <row r="763" spans="1:20">
      <c r="A763" s="1303"/>
      <c r="B763" s="1322" t="s">
        <v>3781</v>
      </c>
      <c r="C763" s="1323" t="s">
        <v>3782</v>
      </c>
      <c r="D763" s="1324">
        <f t="shared" si="96"/>
        <v>40779</v>
      </c>
      <c r="E763" s="1323">
        <f t="shared" si="98"/>
        <v>7.2108999999999996</v>
      </c>
      <c r="F763" s="1323">
        <f t="shared" si="97"/>
        <v>8.4789036751168734</v>
      </c>
      <c r="G763" s="1323">
        <f t="shared" si="99"/>
        <v>2011</v>
      </c>
      <c r="H763" s="1323">
        <f t="shared" si="100"/>
        <v>8</v>
      </c>
      <c r="I763" s="1323">
        <f t="shared" si="101"/>
        <v>24</v>
      </c>
      <c r="J763" s="1323"/>
      <c r="K763" s="1323"/>
      <c r="L763" s="1323"/>
      <c r="M763" s="1323"/>
      <c r="N763" s="1323"/>
      <c r="O763" s="1323"/>
      <c r="P763" s="1323"/>
      <c r="Q763" s="1323"/>
      <c r="R763" s="1304"/>
      <c r="S763" s="1304"/>
      <c r="T763" s="1304"/>
    </row>
    <row r="764" spans="1:20">
      <c r="A764" s="1303"/>
      <c r="B764" s="1322" t="s">
        <v>3783</v>
      </c>
      <c r="C764" s="1323" t="s">
        <v>3784</v>
      </c>
      <c r="D764" s="1324">
        <f t="shared" si="96"/>
        <v>40778</v>
      </c>
      <c r="E764" s="1323">
        <f t="shared" si="98"/>
        <v>7.1684999999999999</v>
      </c>
      <c r="F764" s="1323">
        <f t="shared" si="97"/>
        <v>8.4772778957943924</v>
      </c>
      <c r="G764" s="1323">
        <f t="shared" si="99"/>
        <v>2011</v>
      </c>
      <c r="H764" s="1323">
        <f t="shared" si="100"/>
        <v>8</v>
      </c>
      <c r="I764" s="1323">
        <f t="shared" si="101"/>
        <v>23</v>
      </c>
      <c r="J764" s="1323"/>
      <c r="K764" s="1323"/>
      <c r="L764" s="1323"/>
      <c r="M764" s="1323"/>
      <c r="N764" s="1323"/>
      <c r="O764" s="1323"/>
      <c r="P764" s="1323"/>
      <c r="Q764" s="1323"/>
      <c r="R764" s="1304"/>
      <c r="S764" s="1304"/>
      <c r="T764" s="1304"/>
    </row>
    <row r="765" spans="1:20">
      <c r="A765" s="1303"/>
      <c r="B765" s="1322" t="s">
        <v>3785</v>
      </c>
      <c r="C765" s="1323" t="s">
        <v>3786</v>
      </c>
      <c r="D765" s="1324">
        <f t="shared" si="96"/>
        <v>40777</v>
      </c>
      <c r="E765" s="1323">
        <f t="shared" si="98"/>
        <v>7.1970999999999998</v>
      </c>
      <c r="F765" s="1323">
        <f t="shared" si="97"/>
        <v>8.4756524282054215</v>
      </c>
      <c r="G765" s="1323">
        <f t="shared" si="99"/>
        <v>2011</v>
      </c>
      <c r="H765" s="1323">
        <f t="shared" si="100"/>
        <v>8</v>
      </c>
      <c r="I765" s="1323">
        <f t="shared" si="101"/>
        <v>22</v>
      </c>
      <c r="J765" s="1323"/>
      <c r="K765" s="1323"/>
      <c r="L765" s="1323"/>
      <c r="M765" s="1323"/>
      <c r="N765" s="1323"/>
      <c r="O765" s="1323"/>
      <c r="P765" s="1323"/>
      <c r="Q765" s="1323"/>
      <c r="R765" s="1304"/>
      <c r="S765" s="1304"/>
      <c r="T765" s="1304"/>
    </row>
    <row r="766" spans="1:20">
      <c r="A766" s="1303"/>
      <c r="B766" s="1322" t="s">
        <v>3787</v>
      </c>
      <c r="C766" s="1323" t="s">
        <v>3788</v>
      </c>
      <c r="D766" s="1324">
        <f t="shared" si="96"/>
        <v>40774</v>
      </c>
      <c r="E766" s="1323">
        <f t="shared" si="98"/>
        <v>7.2206999999999999</v>
      </c>
      <c r="F766" s="1323">
        <f t="shared" si="97"/>
        <v>8.4740272722901882</v>
      </c>
      <c r="G766" s="1323">
        <f t="shared" si="99"/>
        <v>2011</v>
      </c>
      <c r="H766" s="1323">
        <f t="shared" si="100"/>
        <v>8</v>
      </c>
      <c r="I766" s="1323">
        <f t="shared" si="101"/>
        <v>19</v>
      </c>
      <c r="J766" s="1323"/>
      <c r="K766" s="1323"/>
      <c r="L766" s="1323"/>
      <c r="M766" s="1323"/>
      <c r="N766" s="1323"/>
      <c r="O766" s="1323"/>
      <c r="P766" s="1323"/>
      <c r="Q766" s="1323"/>
      <c r="R766" s="1304"/>
      <c r="S766" s="1304"/>
      <c r="T766" s="1304"/>
    </row>
    <row r="767" spans="1:20">
      <c r="A767" s="1303"/>
      <c r="B767" s="1322" t="s">
        <v>3789</v>
      </c>
      <c r="C767" s="1323" t="s">
        <v>3790</v>
      </c>
      <c r="D767" s="1324">
        <f t="shared" si="96"/>
        <v>40773</v>
      </c>
      <c r="E767" s="1323">
        <f t="shared" si="98"/>
        <v>7.1260000000000003</v>
      </c>
      <c r="F767" s="1323">
        <f t="shared" si="97"/>
        <v>8.4724024279889303</v>
      </c>
      <c r="G767" s="1323">
        <f t="shared" si="99"/>
        <v>2011</v>
      </c>
      <c r="H767" s="1323">
        <f t="shared" si="100"/>
        <v>8</v>
      </c>
      <c r="I767" s="1323">
        <f t="shared" si="101"/>
        <v>18</v>
      </c>
      <c r="J767" s="1323"/>
      <c r="K767" s="1323"/>
      <c r="L767" s="1323"/>
      <c r="M767" s="1323"/>
      <c r="N767" s="1323"/>
      <c r="O767" s="1323"/>
      <c r="P767" s="1323"/>
      <c r="Q767" s="1323"/>
      <c r="R767" s="1304"/>
      <c r="S767" s="1304"/>
      <c r="T767" s="1304"/>
    </row>
    <row r="768" spans="1:20">
      <c r="A768" s="1303"/>
      <c r="B768" s="1322" t="s">
        <v>3791</v>
      </c>
      <c r="C768" s="1323" t="s">
        <v>3792</v>
      </c>
      <c r="D768" s="1324">
        <f t="shared" si="96"/>
        <v>40772</v>
      </c>
      <c r="E768" s="1323">
        <f t="shared" si="98"/>
        <v>7.1295000000000002</v>
      </c>
      <c r="F768" s="1323">
        <f t="shared" si="97"/>
        <v>8.4707778952418966</v>
      </c>
      <c r="G768" s="1323">
        <f t="shared" si="99"/>
        <v>2011</v>
      </c>
      <c r="H768" s="1323">
        <f t="shared" si="100"/>
        <v>8</v>
      </c>
      <c r="I768" s="1323">
        <f t="shared" si="101"/>
        <v>17</v>
      </c>
      <c r="J768" s="1323"/>
      <c r="K768" s="1323"/>
      <c r="L768" s="1323"/>
      <c r="M768" s="1323"/>
      <c r="N768" s="1323"/>
      <c r="O768" s="1323"/>
      <c r="P768" s="1323"/>
      <c r="Q768" s="1323"/>
      <c r="R768" s="1304"/>
      <c r="S768" s="1304"/>
      <c r="T768" s="1304"/>
    </row>
    <row r="769" spans="1:20">
      <c r="A769" s="1303"/>
      <c r="B769" s="1322" t="s">
        <v>3793</v>
      </c>
      <c r="C769" s="1323" t="s">
        <v>3794</v>
      </c>
      <c r="D769" s="1324">
        <f t="shared" si="96"/>
        <v>40771</v>
      </c>
      <c r="E769" s="1323">
        <f t="shared" si="98"/>
        <v>7.1646000000000001</v>
      </c>
      <c r="F769" s="1323">
        <f t="shared" si="97"/>
        <v>8.46915367398935</v>
      </c>
      <c r="G769" s="1323">
        <f t="shared" si="99"/>
        <v>2011</v>
      </c>
      <c r="H769" s="1323">
        <f t="shared" si="100"/>
        <v>8</v>
      </c>
      <c r="I769" s="1323">
        <f t="shared" si="101"/>
        <v>16</v>
      </c>
      <c r="J769" s="1323"/>
      <c r="K769" s="1323"/>
      <c r="L769" s="1323"/>
      <c r="M769" s="1323"/>
      <c r="N769" s="1323"/>
      <c r="O769" s="1323"/>
      <c r="P769" s="1323"/>
      <c r="Q769" s="1323"/>
      <c r="R769" s="1304"/>
      <c r="S769" s="1304"/>
      <c r="T769" s="1304"/>
    </row>
    <row r="770" spans="1:20">
      <c r="A770" s="1303"/>
      <c r="B770" s="1322" t="s">
        <v>3795</v>
      </c>
      <c r="C770" s="1323" t="s">
        <v>3796</v>
      </c>
      <c r="D770" s="1324">
        <f t="shared" si="96"/>
        <v>40770</v>
      </c>
      <c r="E770" s="1323">
        <f t="shared" si="98"/>
        <v>7.1369999999999996</v>
      </c>
      <c r="F770" s="1323">
        <f t="shared" si="97"/>
        <v>8.4675297641715641</v>
      </c>
      <c r="G770" s="1323">
        <f t="shared" si="99"/>
        <v>2011</v>
      </c>
      <c r="H770" s="1323">
        <f t="shared" si="100"/>
        <v>8</v>
      </c>
      <c r="I770" s="1323">
        <f t="shared" si="101"/>
        <v>15</v>
      </c>
      <c r="J770" s="1323"/>
      <c r="K770" s="1323"/>
      <c r="L770" s="1323"/>
      <c r="M770" s="1323"/>
      <c r="N770" s="1323"/>
      <c r="O770" s="1323"/>
      <c r="P770" s="1323"/>
      <c r="Q770" s="1323"/>
      <c r="R770" s="1304"/>
      <c r="S770" s="1304"/>
      <c r="T770" s="1304"/>
    </row>
    <row r="771" spans="1:20">
      <c r="A771" s="1303"/>
      <c r="B771" s="1322" t="s">
        <v>3797</v>
      </c>
      <c r="C771" s="1323" t="s">
        <v>3798</v>
      </c>
      <c r="D771" s="1324">
        <f t="shared" si="96"/>
        <v>40767</v>
      </c>
      <c r="E771" s="1323">
        <f t="shared" si="98"/>
        <v>7.2317999999999998</v>
      </c>
      <c r="F771" s="1323">
        <f t="shared" si="97"/>
        <v>8.4659061657288213</v>
      </c>
      <c r="G771" s="1323">
        <f t="shared" si="99"/>
        <v>2011</v>
      </c>
      <c r="H771" s="1323">
        <f t="shared" si="100"/>
        <v>8</v>
      </c>
      <c r="I771" s="1323">
        <f t="shared" si="101"/>
        <v>12</v>
      </c>
      <c r="J771" s="1323"/>
      <c r="K771" s="1323"/>
      <c r="L771" s="1323"/>
      <c r="M771" s="1323"/>
      <c r="N771" s="1323"/>
      <c r="O771" s="1323"/>
      <c r="P771" s="1323"/>
      <c r="Q771" s="1323"/>
      <c r="R771" s="1304"/>
      <c r="S771" s="1304"/>
      <c r="T771" s="1304"/>
    </row>
    <row r="772" spans="1:20">
      <c r="A772" s="1303"/>
      <c r="B772" s="1322" t="s">
        <v>3799</v>
      </c>
      <c r="C772" s="1323" t="s">
        <v>3800</v>
      </c>
      <c r="D772" s="1324">
        <f t="shared" si="96"/>
        <v>40766</v>
      </c>
      <c r="E772" s="1323">
        <f t="shared" si="98"/>
        <v>7.1814999999999998</v>
      </c>
      <c r="F772" s="1323">
        <f t="shared" si="97"/>
        <v>8.4642828786014181</v>
      </c>
      <c r="G772" s="1323">
        <f t="shared" si="99"/>
        <v>2011</v>
      </c>
      <c r="H772" s="1323">
        <f t="shared" si="100"/>
        <v>8</v>
      </c>
      <c r="I772" s="1323">
        <f t="shared" si="101"/>
        <v>11</v>
      </c>
      <c r="J772" s="1323"/>
      <c r="K772" s="1323"/>
      <c r="L772" s="1323"/>
      <c r="M772" s="1323"/>
      <c r="N772" s="1323"/>
      <c r="O772" s="1323"/>
      <c r="P772" s="1323"/>
      <c r="Q772" s="1323"/>
      <c r="R772" s="1304"/>
      <c r="S772" s="1304"/>
      <c r="T772" s="1304"/>
    </row>
    <row r="773" spans="1:20">
      <c r="A773" s="1303"/>
      <c r="B773" s="1322" t="s">
        <v>3801</v>
      </c>
      <c r="C773" s="1323" t="s">
        <v>3802</v>
      </c>
      <c r="D773" s="1324">
        <f t="shared" si="96"/>
        <v>40765</v>
      </c>
      <c r="E773" s="1323">
        <f t="shared" si="98"/>
        <v>7.1558000000000002</v>
      </c>
      <c r="F773" s="1323">
        <f t="shared" si="97"/>
        <v>8.4626599027296621</v>
      </c>
      <c r="G773" s="1323">
        <f t="shared" si="99"/>
        <v>2011</v>
      </c>
      <c r="H773" s="1323">
        <f t="shared" si="100"/>
        <v>8</v>
      </c>
      <c r="I773" s="1323">
        <f t="shared" si="101"/>
        <v>10</v>
      </c>
      <c r="J773" s="1323"/>
      <c r="K773" s="1323"/>
      <c r="L773" s="1323"/>
      <c r="M773" s="1323"/>
      <c r="N773" s="1323"/>
      <c r="O773" s="1323"/>
      <c r="P773" s="1323"/>
      <c r="Q773" s="1323"/>
      <c r="R773" s="1304"/>
      <c r="S773" s="1304"/>
      <c r="T773" s="1304"/>
    </row>
    <row r="774" spans="1:20">
      <c r="A774" s="1303"/>
      <c r="B774" s="1322" t="s">
        <v>3803</v>
      </c>
      <c r="C774" s="1323" t="s">
        <v>3804</v>
      </c>
      <c r="D774" s="1324">
        <f t="shared" si="96"/>
        <v>40763</v>
      </c>
      <c r="E774" s="1323">
        <f t="shared" si="98"/>
        <v>6.9306999999999999</v>
      </c>
      <c r="F774" s="1323">
        <f t="shared" si="97"/>
        <v>8.461037238053871</v>
      </c>
      <c r="G774" s="1323">
        <f t="shared" si="99"/>
        <v>2011</v>
      </c>
      <c r="H774" s="1323">
        <f t="shared" si="100"/>
        <v>8</v>
      </c>
      <c r="I774" s="1323">
        <f t="shared" si="101"/>
        <v>8</v>
      </c>
      <c r="J774" s="1323"/>
      <c r="K774" s="1323"/>
      <c r="L774" s="1323"/>
      <c r="M774" s="1323"/>
      <c r="N774" s="1323"/>
      <c r="O774" s="1323"/>
      <c r="P774" s="1323"/>
      <c r="Q774" s="1323"/>
      <c r="R774" s="1304"/>
      <c r="S774" s="1304"/>
      <c r="T774" s="1304"/>
    </row>
    <row r="775" spans="1:20">
      <c r="A775" s="1303"/>
      <c r="B775" s="1322" t="s">
        <v>3805</v>
      </c>
      <c r="C775" s="1323" t="s">
        <v>3806</v>
      </c>
      <c r="D775" s="1324">
        <f t="shared" si="96"/>
        <v>40760</v>
      </c>
      <c r="E775" s="1323">
        <f t="shared" si="98"/>
        <v>6.9480000000000004</v>
      </c>
      <c r="F775" s="1323">
        <f t="shared" si="97"/>
        <v>8.4594148845143753</v>
      </c>
      <c r="G775" s="1323">
        <f t="shared" si="99"/>
        <v>2011</v>
      </c>
      <c r="H775" s="1323">
        <f t="shared" si="100"/>
        <v>8</v>
      </c>
      <c r="I775" s="1323">
        <f t="shared" si="101"/>
        <v>5</v>
      </c>
      <c r="J775" s="1323"/>
      <c r="K775" s="1323"/>
      <c r="L775" s="1323"/>
      <c r="M775" s="1323"/>
      <c r="N775" s="1323"/>
      <c r="O775" s="1323"/>
      <c r="P775" s="1323"/>
      <c r="Q775" s="1323"/>
      <c r="R775" s="1304"/>
      <c r="S775" s="1304"/>
      <c r="T775" s="1304"/>
    </row>
    <row r="776" spans="1:20">
      <c r="A776" s="1303"/>
      <c r="B776" s="1322" t="s">
        <v>3807</v>
      </c>
      <c r="C776" s="1323" t="s">
        <v>3808</v>
      </c>
      <c r="D776" s="1324">
        <f t="shared" si="96"/>
        <v>40759</v>
      </c>
      <c r="E776" s="1323">
        <f t="shared" si="98"/>
        <v>6.7998000000000003</v>
      </c>
      <c r="F776" s="1323">
        <f t="shared" si="97"/>
        <v>8.457792842051516</v>
      </c>
      <c r="G776" s="1323">
        <f t="shared" si="99"/>
        <v>2011</v>
      </c>
      <c r="H776" s="1323">
        <f t="shared" si="100"/>
        <v>8</v>
      </c>
      <c r="I776" s="1323">
        <f t="shared" si="101"/>
        <v>4</v>
      </c>
      <c r="J776" s="1323"/>
      <c r="K776" s="1323"/>
      <c r="L776" s="1323"/>
      <c r="M776" s="1323"/>
      <c r="N776" s="1323"/>
      <c r="O776" s="1323"/>
      <c r="P776" s="1323"/>
      <c r="Q776" s="1323"/>
      <c r="R776" s="1304"/>
      <c r="S776" s="1304"/>
      <c r="T776" s="1304"/>
    </row>
    <row r="777" spans="1:20">
      <c r="A777" s="1303"/>
      <c r="B777" s="1322" t="s">
        <v>3809</v>
      </c>
      <c r="C777" s="1323" t="s">
        <v>3810</v>
      </c>
      <c r="D777" s="1324">
        <f t="shared" ref="D777:D840" si="102">DATE(G777,H777,I777)</f>
        <v>40758</v>
      </c>
      <c r="E777" s="1323">
        <f t="shared" si="98"/>
        <v>6.7808000000000002</v>
      </c>
      <c r="F777" s="1323">
        <f t="shared" ref="F777:F840" si="103">F778*(1+$F$7/365)</f>
        <v>8.4561711106056467</v>
      </c>
      <c r="G777" s="1323">
        <f t="shared" si="99"/>
        <v>2011</v>
      </c>
      <c r="H777" s="1323">
        <f t="shared" si="100"/>
        <v>8</v>
      </c>
      <c r="I777" s="1323">
        <f t="shared" si="101"/>
        <v>3</v>
      </c>
      <c r="J777" s="1323"/>
      <c r="K777" s="1323"/>
      <c r="L777" s="1323"/>
      <c r="M777" s="1323"/>
      <c r="N777" s="1323"/>
      <c r="O777" s="1323"/>
      <c r="P777" s="1323"/>
      <c r="Q777" s="1323"/>
      <c r="R777" s="1304"/>
      <c r="S777" s="1304"/>
      <c r="T777" s="1304"/>
    </row>
    <row r="778" spans="1:20">
      <c r="A778" s="1303"/>
      <c r="B778" s="1322" t="s">
        <v>3811</v>
      </c>
      <c r="C778" s="1323" t="s">
        <v>3812</v>
      </c>
      <c r="D778" s="1324">
        <f t="shared" si="102"/>
        <v>40757</v>
      </c>
      <c r="E778" s="1323">
        <f t="shared" si="98"/>
        <v>6.7228000000000003</v>
      </c>
      <c r="F778" s="1323">
        <f t="shared" si="103"/>
        <v>8.4545496901171315</v>
      </c>
      <c r="G778" s="1323">
        <f t="shared" si="99"/>
        <v>2011</v>
      </c>
      <c r="H778" s="1323">
        <f t="shared" si="100"/>
        <v>8</v>
      </c>
      <c r="I778" s="1323">
        <f t="shared" si="101"/>
        <v>2</v>
      </c>
      <c r="J778" s="1323"/>
      <c r="K778" s="1323"/>
      <c r="L778" s="1323"/>
      <c r="M778" s="1323"/>
      <c r="N778" s="1323"/>
      <c r="O778" s="1323"/>
      <c r="P778" s="1323"/>
      <c r="Q778" s="1323"/>
      <c r="R778" s="1304"/>
      <c r="S778" s="1304"/>
      <c r="T778" s="1304"/>
    </row>
    <row r="779" spans="1:20">
      <c r="A779" s="1303"/>
      <c r="B779" s="1322" t="s">
        <v>3813</v>
      </c>
      <c r="C779" s="1323" t="s">
        <v>3814</v>
      </c>
      <c r="D779" s="1324">
        <f t="shared" si="102"/>
        <v>40756</v>
      </c>
      <c r="E779" s="1323">
        <f t="shared" si="98"/>
        <v>6.6771000000000003</v>
      </c>
      <c r="F779" s="1323">
        <f t="shared" si="103"/>
        <v>8.4529285805263452</v>
      </c>
      <c r="G779" s="1323">
        <f t="shared" si="99"/>
        <v>2011</v>
      </c>
      <c r="H779" s="1323">
        <f t="shared" si="100"/>
        <v>8</v>
      </c>
      <c r="I779" s="1323">
        <f t="shared" si="101"/>
        <v>1</v>
      </c>
      <c r="J779" s="1323"/>
      <c r="K779" s="1323"/>
      <c r="L779" s="1323"/>
      <c r="M779" s="1323"/>
      <c r="N779" s="1323"/>
      <c r="O779" s="1323"/>
      <c r="P779" s="1323"/>
      <c r="Q779" s="1323"/>
      <c r="R779" s="1304"/>
      <c r="S779" s="1304"/>
      <c r="T779" s="1304"/>
    </row>
    <row r="780" spans="1:20">
      <c r="A780" s="1303"/>
      <c r="B780" s="1322" t="s">
        <v>3815</v>
      </c>
      <c r="C780" s="1323" t="s">
        <v>3816</v>
      </c>
      <c r="D780" s="1324">
        <f t="shared" si="102"/>
        <v>40753</v>
      </c>
      <c r="E780" s="1323">
        <f t="shared" si="98"/>
        <v>6.7708000000000004</v>
      </c>
      <c r="F780" s="1323">
        <f t="shared" si="103"/>
        <v>8.4513077817736768</v>
      </c>
      <c r="G780" s="1323">
        <f t="shared" si="99"/>
        <v>2011</v>
      </c>
      <c r="H780" s="1323">
        <f t="shared" si="100"/>
        <v>7</v>
      </c>
      <c r="I780" s="1323">
        <f t="shared" si="101"/>
        <v>29</v>
      </c>
      <c r="J780" s="1323"/>
      <c r="K780" s="1323"/>
      <c r="L780" s="1323"/>
      <c r="M780" s="1323"/>
      <c r="N780" s="1323"/>
      <c r="O780" s="1323"/>
      <c r="P780" s="1323"/>
      <c r="Q780" s="1323"/>
      <c r="R780" s="1304"/>
      <c r="S780" s="1304"/>
      <c r="T780" s="1304"/>
    </row>
    <row r="781" spans="1:20">
      <c r="A781" s="1303"/>
      <c r="B781" s="1322" t="s">
        <v>3817</v>
      </c>
      <c r="C781" s="1323" t="s">
        <v>3818</v>
      </c>
      <c r="D781" s="1324">
        <f t="shared" si="102"/>
        <v>40752</v>
      </c>
      <c r="E781" s="1323">
        <f t="shared" si="98"/>
        <v>6.6425000000000001</v>
      </c>
      <c r="F781" s="1323">
        <f t="shared" si="103"/>
        <v>8.4496872937995224</v>
      </c>
      <c r="G781" s="1323">
        <f t="shared" si="99"/>
        <v>2011</v>
      </c>
      <c r="H781" s="1323">
        <f t="shared" si="100"/>
        <v>7</v>
      </c>
      <c r="I781" s="1323">
        <f t="shared" si="101"/>
        <v>28</v>
      </c>
      <c r="J781" s="1323"/>
      <c r="K781" s="1323"/>
      <c r="L781" s="1323"/>
      <c r="M781" s="1323"/>
      <c r="N781" s="1323"/>
      <c r="O781" s="1323"/>
      <c r="P781" s="1323"/>
      <c r="Q781" s="1323"/>
      <c r="R781" s="1304"/>
      <c r="S781" s="1304"/>
      <c r="T781" s="1304"/>
    </row>
    <row r="782" spans="1:20">
      <c r="A782" s="1303"/>
      <c r="B782" s="1322" t="s">
        <v>3819</v>
      </c>
      <c r="C782" s="1323" t="s">
        <v>3820</v>
      </c>
      <c r="D782" s="1324">
        <f t="shared" si="102"/>
        <v>40751</v>
      </c>
      <c r="E782" s="1323">
        <f t="shared" si="98"/>
        <v>6.6466000000000003</v>
      </c>
      <c r="F782" s="1323">
        <f t="shared" si="103"/>
        <v>8.4480671165442942</v>
      </c>
      <c r="G782" s="1323">
        <f t="shared" si="99"/>
        <v>2011</v>
      </c>
      <c r="H782" s="1323">
        <f t="shared" si="100"/>
        <v>7</v>
      </c>
      <c r="I782" s="1323">
        <f t="shared" si="101"/>
        <v>27</v>
      </c>
      <c r="J782" s="1323"/>
      <c r="K782" s="1323"/>
      <c r="L782" s="1323"/>
      <c r="M782" s="1323"/>
      <c r="N782" s="1323"/>
      <c r="O782" s="1323"/>
      <c r="P782" s="1323"/>
      <c r="Q782" s="1323"/>
      <c r="R782" s="1304"/>
      <c r="S782" s="1304"/>
      <c r="T782" s="1304"/>
    </row>
    <row r="783" spans="1:20">
      <c r="A783" s="1303"/>
      <c r="B783" s="1322" t="s">
        <v>3821</v>
      </c>
      <c r="C783" s="1323" t="s">
        <v>3822</v>
      </c>
      <c r="D783" s="1324">
        <f t="shared" si="102"/>
        <v>40750</v>
      </c>
      <c r="E783" s="1323">
        <f t="shared" si="98"/>
        <v>6.7080000000000002</v>
      </c>
      <c r="F783" s="1323">
        <f t="shared" si="103"/>
        <v>8.4464472499484131</v>
      </c>
      <c r="G783" s="1323">
        <f t="shared" si="99"/>
        <v>2011</v>
      </c>
      <c r="H783" s="1323">
        <f t="shared" si="100"/>
        <v>7</v>
      </c>
      <c r="I783" s="1323">
        <f t="shared" si="101"/>
        <v>26</v>
      </c>
      <c r="J783" s="1323"/>
      <c r="K783" s="1323"/>
      <c r="L783" s="1323"/>
      <c r="M783" s="1323"/>
      <c r="N783" s="1323"/>
      <c r="O783" s="1323"/>
      <c r="P783" s="1323"/>
      <c r="Q783" s="1323"/>
      <c r="R783" s="1304"/>
      <c r="S783" s="1304"/>
      <c r="T783" s="1304"/>
    </row>
    <row r="784" spans="1:20">
      <c r="A784" s="1303"/>
      <c r="B784" s="1322" t="s">
        <v>3823</v>
      </c>
      <c r="C784" s="1323" t="s">
        <v>3824</v>
      </c>
      <c r="D784" s="1324">
        <f t="shared" si="102"/>
        <v>40749</v>
      </c>
      <c r="E784" s="1323">
        <f t="shared" si="98"/>
        <v>6.8129</v>
      </c>
      <c r="F784" s="1323">
        <f t="shared" si="103"/>
        <v>8.4448276939523126</v>
      </c>
      <c r="G784" s="1323">
        <f t="shared" si="99"/>
        <v>2011</v>
      </c>
      <c r="H784" s="1323">
        <f t="shared" si="100"/>
        <v>7</v>
      </c>
      <c r="I784" s="1323">
        <f t="shared" si="101"/>
        <v>25</v>
      </c>
      <c r="J784" s="1323"/>
      <c r="K784" s="1323"/>
      <c r="L784" s="1323"/>
      <c r="M784" s="1323"/>
      <c r="N784" s="1323"/>
      <c r="O784" s="1323"/>
      <c r="P784" s="1323"/>
      <c r="Q784" s="1323"/>
      <c r="R784" s="1304"/>
      <c r="S784" s="1304"/>
      <c r="T784" s="1304"/>
    </row>
    <row r="785" spans="1:20">
      <c r="A785" s="1303"/>
      <c r="B785" s="1322" t="s">
        <v>3825</v>
      </c>
      <c r="C785" s="1323" t="s">
        <v>3826</v>
      </c>
      <c r="D785" s="1324">
        <f t="shared" si="102"/>
        <v>40746</v>
      </c>
      <c r="E785" s="1323">
        <f t="shared" si="98"/>
        <v>6.7558999999999996</v>
      </c>
      <c r="F785" s="1323">
        <f t="shared" si="103"/>
        <v>8.4432084484964367</v>
      </c>
      <c r="G785" s="1323">
        <f t="shared" si="99"/>
        <v>2011</v>
      </c>
      <c r="H785" s="1323">
        <f t="shared" si="100"/>
        <v>7</v>
      </c>
      <c r="I785" s="1323">
        <f t="shared" si="101"/>
        <v>22</v>
      </c>
      <c r="J785" s="1323"/>
      <c r="K785" s="1323"/>
      <c r="L785" s="1323"/>
      <c r="M785" s="1323"/>
      <c r="N785" s="1323"/>
      <c r="O785" s="1323"/>
      <c r="P785" s="1323"/>
      <c r="Q785" s="1323"/>
      <c r="R785" s="1304"/>
      <c r="S785" s="1304"/>
      <c r="T785" s="1304"/>
    </row>
    <row r="786" spans="1:20">
      <c r="A786" s="1303"/>
      <c r="B786" s="1322" t="s">
        <v>3827</v>
      </c>
      <c r="C786" s="1323" t="s">
        <v>3828</v>
      </c>
      <c r="D786" s="1324">
        <f t="shared" si="102"/>
        <v>40745</v>
      </c>
      <c r="E786" s="1323">
        <f t="shared" si="98"/>
        <v>6.8728999999999996</v>
      </c>
      <c r="F786" s="1323">
        <f t="shared" si="103"/>
        <v>8.4415895135212402</v>
      </c>
      <c r="G786" s="1323">
        <f t="shared" si="99"/>
        <v>2011</v>
      </c>
      <c r="H786" s="1323">
        <f t="shared" si="100"/>
        <v>7</v>
      </c>
      <c r="I786" s="1323">
        <f t="shared" si="101"/>
        <v>21</v>
      </c>
      <c r="J786" s="1323"/>
      <c r="K786" s="1323"/>
      <c r="L786" s="1323"/>
      <c r="M786" s="1323"/>
      <c r="N786" s="1323"/>
      <c r="O786" s="1323"/>
      <c r="P786" s="1323"/>
      <c r="Q786" s="1323"/>
      <c r="R786" s="1304"/>
      <c r="S786" s="1304"/>
      <c r="T786" s="1304"/>
    </row>
    <row r="787" spans="1:20">
      <c r="A787" s="1303"/>
      <c r="B787" s="1322" t="s">
        <v>3829</v>
      </c>
      <c r="C787" s="1323" t="s">
        <v>3830</v>
      </c>
      <c r="D787" s="1324">
        <f t="shared" si="102"/>
        <v>40744</v>
      </c>
      <c r="E787" s="1323">
        <f t="shared" si="98"/>
        <v>6.9114000000000004</v>
      </c>
      <c r="F787" s="1323">
        <f t="shared" si="103"/>
        <v>8.4399708889671921</v>
      </c>
      <c r="G787" s="1323">
        <f t="shared" si="99"/>
        <v>2011</v>
      </c>
      <c r="H787" s="1323">
        <f t="shared" si="100"/>
        <v>7</v>
      </c>
      <c r="I787" s="1323">
        <f t="shared" si="101"/>
        <v>20</v>
      </c>
      <c r="J787" s="1323"/>
      <c r="K787" s="1323"/>
      <c r="L787" s="1323"/>
      <c r="M787" s="1323"/>
      <c r="N787" s="1323"/>
      <c r="O787" s="1323"/>
      <c r="P787" s="1323"/>
      <c r="Q787" s="1323"/>
      <c r="R787" s="1304"/>
      <c r="S787" s="1304"/>
      <c r="T787" s="1304"/>
    </row>
    <row r="788" spans="1:20">
      <c r="A788" s="1303"/>
      <c r="B788" s="1322" t="s">
        <v>3831</v>
      </c>
      <c r="C788" s="1323" t="s">
        <v>3832</v>
      </c>
      <c r="D788" s="1324">
        <f t="shared" si="102"/>
        <v>40743</v>
      </c>
      <c r="E788" s="1323">
        <f t="shared" si="98"/>
        <v>6.9606000000000003</v>
      </c>
      <c r="F788" s="1323">
        <f t="shared" si="103"/>
        <v>8.4383525747747701</v>
      </c>
      <c r="G788" s="1323">
        <f t="shared" si="99"/>
        <v>2011</v>
      </c>
      <c r="H788" s="1323">
        <f t="shared" si="100"/>
        <v>7</v>
      </c>
      <c r="I788" s="1323">
        <f t="shared" si="101"/>
        <v>19</v>
      </c>
      <c r="J788" s="1323"/>
      <c r="K788" s="1323"/>
      <c r="L788" s="1323"/>
      <c r="M788" s="1323"/>
      <c r="N788" s="1323"/>
      <c r="O788" s="1323"/>
      <c r="P788" s="1323"/>
      <c r="Q788" s="1323"/>
      <c r="R788" s="1304"/>
      <c r="S788" s="1304"/>
      <c r="T788" s="1304"/>
    </row>
    <row r="789" spans="1:20">
      <c r="A789" s="1303"/>
      <c r="B789" s="1322" t="s">
        <v>3833</v>
      </c>
      <c r="C789" s="1323" t="s">
        <v>3834</v>
      </c>
      <c r="D789" s="1324">
        <f t="shared" si="102"/>
        <v>40742</v>
      </c>
      <c r="E789" s="1323">
        <f t="shared" si="98"/>
        <v>6.9459999999999997</v>
      </c>
      <c r="F789" s="1323">
        <f t="shared" si="103"/>
        <v>8.4367345708844628</v>
      </c>
      <c r="G789" s="1323">
        <f t="shared" si="99"/>
        <v>2011</v>
      </c>
      <c r="H789" s="1323">
        <f t="shared" si="100"/>
        <v>7</v>
      </c>
      <c r="I789" s="1323">
        <f t="shared" si="101"/>
        <v>18</v>
      </c>
      <c r="J789" s="1323"/>
      <c r="K789" s="1323"/>
      <c r="L789" s="1323"/>
      <c r="M789" s="1323"/>
      <c r="N789" s="1323"/>
      <c r="O789" s="1323"/>
      <c r="P789" s="1323"/>
      <c r="Q789" s="1323"/>
      <c r="R789" s="1304"/>
      <c r="S789" s="1304"/>
      <c r="T789" s="1304"/>
    </row>
    <row r="790" spans="1:20">
      <c r="A790" s="1303"/>
      <c r="B790" s="1322" t="s">
        <v>3835</v>
      </c>
      <c r="C790" s="1323" t="s">
        <v>3836</v>
      </c>
      <c r="D790" s="1324">
        <f t="shared" si="102"/>
        <v>40739</v>
      </c>
      <c r="E790" s="1323">
        <f t="shared" ref="E790:E853" si="104">VALUE(C791)</f>
        <v>6.9019000000000004</v>
      </c>
      <c r="F790" s="1323">
        <f t="shared" si="103"/>
        <v>8.4351168772367728</v>
      </c>
      <c r="G790" s="1323">
        <f t="shared" ref="G790:G853" si="105">YEAR(B791)</f>
        <v>2011</v>
      </c>
      <c r="H790" s="1323">
        <f t="shared" ref="H790:H853" si="106">MONTH(B791)</f>
        <v>7</v>
      </c>
      <c r="I790" s="1323">
        <f t="shared" ref="I790:I853" si="107">DAY(B791)</f>
        <v>15</v>
      </c>
      <c r="J790" s="1323"/>
      <c r="K790" s="1323"/>
      <c r="L790" s="1323"/>
      <c r="M790" s="1323"/>
      <c r="N790" s="1323"/>
      <c r="O790" s="1323"/>
      <c r="P790" s="1323"/>
      <c r="Q790" s="1323"/>
      <c r="R790" s="1304"/>
      <c r="S790" s="1304"/>
      <c r="T790" s="1304"/>
    </row>
    <row r="791" spans="1:20">
      <c r="A791" s="1303"/>
      <c r="B791" s="1322" t="s">
        <v>3837</v>
      </c>
      <c r="C791" s="1323" t="s">
        <v>3838</v>
      </c>
      <c r="D791" s="1324">
        <f t="shared" si="102"/>
        <v>40738</v>
      </c>
      <c r="E791" s="1323">
        <f t="shared" si="104"/>
        <v>6.8604000000000003</v>
      </c>
      <c r="F791" s="1323">
        <f t="shared" si="103"/>
        <v>8.4334994937722136</v>
      </c>
      <c r="G791" s="1323">
        <f t="shared" si="105"/>
        <v>2011</v>
      </c>
      <c r="H791" s="1323">
        <f t="shared" si="106"/>
        <v>7</v>
      </c>
      <c r="I791" s="1323">
        <f t="shared" si="107"/>
        <v>14</v>
      </c>
      <c r="J791" s="1323"/>
      <c r="K791" s="1323"/>
      <c r="L791" s="1323"/>
      <c r="M791" s="1323"/>
      <c r="N791" s="1323"/>
      <c r="O791" s="1323"/>
      <c r="P791" s="1323"/>
      <c r="Q791" s="1323"/>
      <c r="R791" s="1304"/>
      <c r="S791" s="1304"/>
      <c r="T791" s="1304"/>
    </row>
    <row r="792" spans="1:20">
      <c r="A792" s="1303"/>
      <c r="B792" s="1322" t="s">
        <v>3839</v>
      </c>
      <c r="C792" s="1323" t="s">
        <v>3840</v>
      </c>
      <c r="D792" s="1324">
        <f t="shared" si="102"/>
        <v>40737</v>
      </c>
      <c r="E792" s="1323">
        <f t="shared" si="104"/>
        <v>6.8422999999999998</v>
      </c>
      <c r="F792" s="1323">
        <f t="shared" si="103"/>
        <v>8.4318824204313092</v>
      </c>
      <c r="G792" s="1323">
        <f t="shared" si="105"/>
        <v>2011</v>
      </c>
      <c r="H792" s="1323">
        <f t="shared" si="106"/>
        <v>7</v>
      </c>
      <c r="I792" s="1323">
        <f t="shared" si="107"/>
        <v>13</v>
      </c>
      <c r="J792" s="1323"/>
      <c r="K792" s="1323"/>
      <c r="L792" s="1323"/>
      <c r="M792" s="1323"/>
      <c r="N792" s="1323"/>
      <c r="O792" s="1323"/>
      <c r="P792" s="1323"/>
      <c r="Q792" s="1323"/>
      <c r="R792" s="1304"/>
      <c r="S792" s="1304"/>
      <c r="T792" s="1304"/>
    </row>
    <row r="793" spans="1:20">
      <c r="A793" s="1303"/>
      <c r="B793" s="1322" t="s">
        <v>3841</v>
      </c>
      <c r="C793" s="1323" t="s">
        <v>3842</v>
      </c>
      <c r="D793" s="1324">
        <f t="shared" si="102"/>
        <v>40736</v>
      </c>
      <c r="E793" s="1323">
        <f t="shared" si="104"/>
        <v>6.8990999999999998</v>
      </c>
      <c r="F793" s="1323">
        <f t="shared" si="103"/>
        <v>8.4302656571545942</v>
      </c>
      <c r="G793" s="1323">
        <f t="shared" si="105"/>
        <v>2011</v>
      </c>
      <c r="H793" s="1323">
        <f t="shared" si="106"/>
        <v>7</v>
      </c>
      <c r="I793" s="1323">
        <f t="shared" si="107"/>
        <v>12</v>
      </c>
      <c r="J793" s="1323"/>
      <c r="K793" s="1323"/>
      <c r="L793" s="1323"/>
      <c r="M793" s="1323"/>
      <c r="N793" s="1323"/>
      <c r="O793" s="1323"/>
      <c r="P793" s="1323"/>
      <c r="Q793" s="1323"/>
      <c r="R793" s="1304"/>
      <c r="S793" s="1304"/>
      <c r="T793" s="1304"/>
    </row>
    <row r="794" spans="1:20">
      <c r="A794" s="1303"/>
      <c r="B794" s="1322" t="s">
        <v>3843</v>
      </c>
      <c r="C794" s="1323" t="s">
        <v>3844</v>
      </c>
      <c r="D794" s="1324">
        <f t="shared" si="102"/>
        <v>40735</v>
      </c>
      <c r="E794" s="1323">
        <f t="shared" si="104"/>
        <v>6.7487000000000004</v>
      </c>
      <c r="F794" s="1323">
        <f t="shared" si="103"/>
        <v>8.4286492038826157</v>
      </c>
      <c r="G794" s="1323">
        <f t="shared" si="105"/>
        <v>2011</v>
      </c>
      <c r="H794" s="1323">
        <f t="shared" si="106"/>
        <v>7</v>
      </c>
      <c r="I794" s="1323">
        <f t="shared" si="107"/>
        <v>11</v>
      </c>
      <c r="J794" s="1323"/>
      <c r="K794" s="1323"/>
      <c r="L794" s="1323"/>
      <c r="M794" s="1323"/>
      <c r="N794" s="1323"/>
      <c r="O794" s="1323"/>
      <c r="P794" s="1323"/>
      <c r="Q794" s="1323"/>
      <c r="R794" s="1304"/>
      <c r="S794" s="1304"/>
      <c r="T794" s="1304"/>
    </row>
    <row r="795" spans="1:20">
      <c r="A795" s="1303"/>
      <c r="B795" s="1322" t="s">
        <v>3845</v>
      </c>
      <c r="C795" s="1323" t="s">
        <v>3846</v>
      </c>
      <c r="D795" s="1324">
        <f t="shared" si="102"/>
        <v>40732</v>
      </c>
      <c r="E795" s="1323">
        <f t="shared" si="104"/>
        <v>6.6917</v>
      </c>
      <c r="F795" s="1323">
        <f t="shared" si="103"/>
        <v>8.4270330605559334</v>
      </c>
      <c r="G795" s="1323">
        <f t="shared" si="105"/>
        <v>2011</v>
      </c>
      <c r="H795" s="1323">
        <f t="shared" si="106"/>
        <v>7</v>
      </c>
      <c r="I795" s="1323">
        <f t="shared" si="107"/>
        <v>8</v>
      </c>
      <c r="J795" s="1323"/>
      <c r="K795" s="1323"/>
      <c r="L795" s="1323"/>
      <c r="M795" s="1323"/>
      <c r="N795" s="1323"/>
      <c r="O795" s="1323"/>
      <c r="P795" s="1323"/>
      <c r="Q795" s="1323"/>
      <c r="R795" s="1304"/>
      <c r="S795" s="1304"/>
      <c r="T795" s="1304"/>
    </row>
    <row r="796" spans="1:20">
      <c r="A796" s="1303"/>
      <c r="B796" s="1322" t="s">
        <v>3847</v>
      </c>
      <c r="C796" s="1323" t="s">
        <v>3848</v>
      </c>
      <c r="D796" s="1324">
        <f t="shared" si="102"/>
        <v>40731</v>
      </c>
      <c r="E796" s="1323">
        <f t="shared" si="104"/>
        <v>6.7237</v>
      </c>
      <c r="F796" s="1323">
        <f t="shared" si="103"/>
        <v>8.4254172271151173</v>
      </c>
      <c r="G796" s="1323">
        <f t="shared" si="105"/>
        <v>2011</v>
      </c>
      <c r="H796" s="1323">
        <f t="shared" si="106"/>
        <v>7</v>
      </c>
      <c r="I796" s="1323">
        <f t="shared" si="107"/>
        <v>7</v>
      </c>
      <c r="J796" s="1323"/>
      <c r="K796" s="1323"/>
      <c r="L796" s="1323"/>
      <c r="M796" s="1323"/>
      <c r="N796" s="1323"/>
      <c r="O796" s="1323"/>
      <c r="P796" s="1323"/>
      <c r="Q796" s="1323"/>
      <c r="R796" s="1304"/>
      <c r="S796" s="1304"/>
      <c r="T796" s="1304"/>
    </row>
    <row r="797" spans="1:20">
      <c r="A797" s="1303"/>
      <c r="B797" s="1322" t="s">
        <v>3849</v>
      </c>
      <c r="C797" s="1323" t="s">
        <v>3850</v>
      </c>
      <c r="D797" s="1324">
        <f t="shared" si="102"/>
        <v>40730</v>
      </c>
      <c r="E797" s="1323">
        <f t="shared" si="104"/>
        <v>6.7537000000000003</v>
      </c>
      <c r="F797" s="1323">
        <f t="shared" si="103"/>
        <v>8.4238017035007466</v>
      </c>
      <c r="G797" s="1323">
        <f t="shared" si="105"/>
        <v>2011</v>
      </c>
      <c r="H797" s="1323">
        <f t="shared" si="106"/>
        <v>7</v>
      </c>
      <c r="I797" s="1323">
        <f t="shared" si="107"/>
        <v>6</v>
      </c>
      <c r="J797" s="1323"/>
      <c r="K797" s="1323"/>
      <c r="L797" s="1323"/>
      <c r="M797" s="1323"/>
      <c r="N797" s="1323"/>
      <c r="O797" s="1323"/>
      <c r="P797" s="1323"/>
      <c r="Q797" s="1323"/>
      <c r="R797" s="1304"/>
      <c r="S797" s="1304"/>
      <c r="T797" s="1304"/>
    </row>
    <row r="798" spans="1:20">
      <c r="A798" s="1303"/>
      <c r="B798" s="1322" t="s">
        <v>3851</v>
      </c>
      <c r="C798" s="1323" t="s">
        <v>3852</v>
      </c>
      <c r="D798" s="1324">
        <f t="shared" si="102"/>
        <v>40729</v>
      </c>
      <c r="E798" s="1323">
        <f t="shared" si="104"/>
        <v>6.7527999999999997</v>
      </c>
      <c r="F798" s="1323">
        <f t="shared" si="103"/>
        <v>8.4221864896534164</v>
      </c>
      <c r="G798" s="1323">
        <f t="shared" si="105"/>
        <v>2011</v>
      </c>
      <c r="H798" s="1323">
        <f t="shared" si="106"/>
        <v>7</v>
      </c>
      <c r="I798" s="1323">
        <f t="shared" si="107"/>
        <v>5</v>
      </c>
      <c r="J798" s="1323"/>
      <c r="K798" s="1323"/>
      <c r="L798" s="1323"/>
      <c r="M798" s="1323"/>
      <c r="N798" s="1323"/>
      <c r="O798" s="1323"/>
      <c r="P798" s="1323"/>
      <c r="Q798" s="1323"/>
      <c r="R798" s="1304"/>
      <c r="S798" s="1304"/>
      <c r="T798" s="1304"/>
    </row>
    <row r="799" spans="1:20">
      <c r="A799" s="1303"/>
      <c r="B799" s="1322" t="s">
        <v>3853</v>
      </c>
      <c r="C799" s="1323" t="s">
        <v>3854</v>
      </c>
      <c r="D799" s="1324">
        <f t="shared" si="102"/>
        <v>40728</v>
      </c>
      <c r="E799" s="1323">
        <f t="shared" si="104"/>
        <v>6.7173999999999996</v>
      </c>
      <c r="F799" s="1323">
        <f t="shared" si="103"/>
        <v>8.4205715855137289</v>
      </c>
      <c r="G799" s="1323">
        <f t="shared" si="105"/>
        <v>2011</v>
      </c>
      <c r="H799" s="1323">
        <f t="shared" si="106"/>
        <v>7</v>
      </c>
      <c r="I799" s="1323">
        <f t="shared" si="107"/>
        <v>4</v>
      </c>
      <c r="J799" s="1323"/>
      <c r="K799" s="1323"/>
      <c r="L799" s="1323"/>
      <c r="M799" s="1323"/>
      <c r="N799" s="1323"/>
      <c r="O799" s="1323"/>
      <c r="P799" s="1323"/>
      <c r="Q799" s="1323"/>
      <c r="R799" s="1304"/>
      <c r="S799" s="1304"/>
      <c r="T799" s="1304"/>
    </row>
    <row r="800" spans="1:20">
      <c r="A800" s="1303"/>
      <c r="B800" s="1322" t="s">
        <v>3855</v>
      </c>
      <c r="C800" s="1323" t="s">
        <v>3856</v>
      </c>
      <c r="D800" s="1324">
        <f t="shared" si="102"/>
        <v>40725</v>
      </c>
      <c r="E800" s="1323">
        <f t="shared" si="104"/>
        <v>6.7630999999999997</v>
      </c>
      <c r="F800" s="1323">
        <f t="shared" si="103"/>
        <v>8.4189569910223003</v>
      </c>
      <c r="G800" s="1323">
        <f t="shared" si="105"/>
        <v>2011</v>
      </c>
      <c r="H800" s="1323">
        <f t="shared" si="106"/>
        <v>7</v>
      </c>
      <c r="I800" s="1323">
        <f t="shared" si="107"/>
        <v>1</v>
      </c>
      <c r="J800" s="1323"/>
      <c r="K800" s="1323"/>
      <c r="L800" s="1323"/>
      <c r="M800" s="1323"/>
      <c r="N800" s="1323"/>
      <c r="O800" s="1323"/>
      <c r="P800" s="1323"/>
      <c r="Q800" s="1323"/>
      <c r="R800" s="1304"/>
      <c r="S800" s="1304"/>
      <c r="T800" s="1304"/>
    </row>
    <row r="801" spans="1:20">
      <c r="A801" s="1303"/>
      <c r="B801" s="1322" t="s">
        <v>3857</v>
      </c>
      <c r="C801" s="1323" t="s">
        <v>3858</v>
      </c>
      <c r="D801" s="1324">
        <f t="shared" si="102"/>
        <v>40724</v>
      </c>
      <c r="E801" s="1323">
        <f t="shared" si="104"/>
        <v>6.7790999999999997</v>
      </c>
      <c r="F801" s="1323">
        <f t="shared" si="103"/>
        <v>8.4173427061197561</v>
      </c>
      <c r="G801" s="1323">
        <f t="shared" si="105"/>
        <v>2011</v>
      </c>
      <c r="H801" s="1323">
        <f t="shared" si="106"/>
        <v>6</v>
      </c>
      <c r="I801" s="1323">
        <f t="shared" si="107"/>
        <v>30</v>
      </c>
      <c r="J801" s="1323"/>
      <c r="K801" s="1323"/>
      <c r="L801" s="1323"/>
      <c r="M801" s="1323"/>
      <c r="N801" s="1323"/>
      <c r="O801" s="1323"/>
      <c r="P801" s="1323"/>
      <c r="Q801" s="1323"/>
      <c r="R801" s="1304"/>
      <c r="S801" s="1304"/>
      <c r="T801" s="1304"/>
    </row>
    <row r="802" spans="1:20">
      <c r="A802" s="1303"/>
      <c r="B802" s="1322" t="s">
        <v>3859</v>
      </c>
      <c r="C802" s="1323" t="s">
        <v>3860</v>
      </c>
      <c r="D802" s="1324">
        <f t="shared" si="102"/>
        <v>40723</v>
      </c>
      <c r="E802" s="1323">
        <f t="shared" si="104"/>
        <v>6.827</v>
      </c>
      <c r="F802" s="1323">
        <f t="shared" si="103"/>
        <v>8.4157287307467357</v>
      </c>
      <c r="G802" s="1323">
        <f t="shared" si="105"/>
        <v>2011</v>
      </c>
      <c r="H802" s="1323">
        <f t="shared" si="106"/>
        <v>6</v>
      </c>
      <c r="I802" s="1323">
        <f t="shared" si="107"/>
        <v>29</v>
      </c>
      <c r="J802" s="1323"/>
      <c r="K802" s="1323"/>
      <c r="L802" s="1323"/>
      <c r="M802" s="1323"/>
      <c r="N802" s="1323"/>
      <c r="O802" s="1323"/>
      <c r="P802" s="1323"/>
      <c r="Q802" s="1323"/>
      <c r="R802" s="1304"/>
      <c r="S802" s="1304"/>
      <c r="T802" s="1304"/>
    </row>
    <row r="803" spans="1:20">
      <c r="A803" s="1303"/>
      <c r="B803" s="1322" t="s">
        <v>3861</v>
      </c>
      <c r="C803" s="1323" t="s">
        <v>3862</v>
      </c>
      <c r="D803" s="1324">
        <f t="shared" si="102"/>
        <v>40722</v>
      </c>
      <c r="E803" s="1323">
        <f t="shared" si="104"/>
        <v>6.8596000000000004</v>
      </c>
      <c r="F803" s="1323">
        <f t="shared" si="103"/>
        <v>8.4141150648438892</v>
      </c>
      <c r="G803" s="1323">
        <f t="shared" si="105"/>
        <v>2011</v>
      </c>
      <c r="H803" s="1323">
        <f t="shared" si="106"/>
        <v>6</v>
      </c>
      <c r="I803" s="1323">
        <f t="shared" si="107"/>
        <v>28</v>
      </c>
      <c r="J803" s="1323"/>
      <c r="K803" s="1323"/>
      <c r="L803" s="1323"/>
      <c r="M803" s="1323"/>
      <c r="N803" s="1323"/>
      <c r="O803" s="1323"/>
      <c r="P803" s="1323"/>
      <c r="Q803" s="1323"/>
      <c r="R803" s="1304"/>
      <c r="S803" s="1304"/>
      <c r="T803" s="1304"/>
    </row>
    <row r="804" spans="1:20">
      <c r="A804" s="1303"/>
      <c r="B804" s="1322" t="s">
        <v>3863</v>
      </c>
      <c r="C804" s="1323" t="s">
        <v>3864</v>
      </c>
      <c r="D804" s="1324">
        <f t="shared" si="102"/>
        <v>40721</v>
      </c>
      <c r="E804" s="1323">
        <f t="shared" si="104"/>
        <v>6.9267000000000003</v>
      </c>
      <c r="F804" s="1323">
        <f t="shared" si="103"/>
        <v>8.4125017083518756</v>
      </c>
      <c r="G804" s="1323">
        <f t="shared" si="105"/>
        <v>2011</v>
      </c>
      <c r="H804" s="1323">
        <f t="shared" si="106"/>
        <v>6</v>
      </c>
      <c r="I804" s="1323">
        <f t="shared" si="107"/>
        <v>27</v>
      </c>
      <c r="J804" s="1323"/>
      <c r="K804" s="1323"/>
      <c r="L804" s="1323"/>
      <c r="M804" s="1323"/>
      <c r="N804" s="1323"/>
      <c r="O804" s="1323"/>
      <c r="P804" s="1323"/>
      <c r="Q804" s="1323"/>
      <c r="R804" s="1304"/>
      <c r="S804" s="1304"/>
      <c r="T804" s="1304"/>
    </row>
    <row r="805" spans="1:20">
      <c r="A805" s="1303"/>
      <c r="B805" s="1322" t="s">
        <v>3865</v>
      </c>
      <c r="C805" s="1323" t="s">
        <v>3866</v>
      </c>
      <c r="D805" s="1324">
        <f t="shared" si="102"/>
        <v>40718</v>
      </c>
      <c r="E805" s="1323">
        <f t="shared" si="104"/>
        <v>6.8913000000000002</v>
      </c>
      <c r="F805" s="1323">
        <f t="shared" si="103"/>
        <v>8.4108886612113682</v>
      </c>
      <c r="G805" s="1323">
        <f t="shared" si="105"/>
        <v>2011</v>
      </c>
      <c r="H805" s="1323">
        <f t="shared" si="106"/>
        <v>6</v>
      </c>
      <c r="I805" s="1323">
        <f t="shared" si="107"/>
        <v>24</v>
      </c>
      <c r="J805" s="1323"/>
      <c r="K805" s="1323"/>
      <c r="L805" s="1323"/>
      <c r="M805" s="1323"/>
      <c r="N805" s="1323"/>
      <c r="O805" s="1323"/>
      <c r="P805" s="1323"/>
      <c r="Q805" s="1323"/>
      <c r="R805" s="1304"/>
      <c r="S805" s="1304"/>
      <c r="T805" s="1304"/>
    </row>
    <row r="806" spans="1:20">
      <c r="A806" s="1303"/>
      <c r="B806" s="1322" t="s">
        <v>3867</v>
      </c>
      <c r="C806" s="1323" t="s">
        <v>3868</v>
      </c>
      <c r="D806" s="1324">
        <f t="shared" si="102"/>
        <v>40717</v>
      </c>
      <c r="E806" s="1323">
        <f t="shared" si="104"/>
        <v>6.8066000000000004</v>
      </c>
      <c r="F806" s="1323">
        <f t="shared" si="103"/>
        <v>8.409275923363051</v>
      </c>
      <c r="G806" s="1323">
        <f t="shared" si="105"/>
        <v>2011</v>
      </c>
      <c r="H806" s="1323">
        <f t="shared" si="106"/>
        <v>6</v>
      </c>
      <c r="I806" s="1323">
        <f t="shared" si="107"/>
        <v>23</v>
      </c>
      <c r="J806" s="1323"/>
      <c r="K806" s="1323"/>
      <c r="L806" s="1323"/>
      <c r="M806" s="1323"/>
      <c r="N806" s="1323"/>
      <c r="O806" s="1323"/>
      <c r="P806" s="1323"/>
      <c r="Q806" s="1323"/>
      <c r="R806" s="1304"/>
      <c r="S806" s="1304"/>
      <c r="T806" s="1304"/>
    </row>
    <row r="807" spans="1:20">
      <c r="A807" s="1303"/>
      <c r="B807" s="1322" t="s">
        <v>3869</v>
      </c>
      <c r="C807" s="1323" t="s">
        <v>3870</v>
      </c>
      <c r="D807" s="1324">
        <f t="shared" si="102"/>
        <v>40716</v>
      </c>
      <c r="E807" s="1323">
        <f t="shared" si="104"/>
        <v>6.7286999999999999</v>
      </c>
      <c r="F807" s="1323">
        <f t="shared" si="103"/>
        <v>8.4076634947476201</v>
      </c>
      <c r="G807" s="1323">
        <f t="shared" si="105"/>
        <v>2011</v>
      </c>
      <c r="H807" s="1323">
        <f t="shared" si="106"/>
        <v>6</v>
      </c>
      <c r="I807" s="1323">
        <f t="shared" si="107"/>
        <v>22</v>
      </c>
      <c r="J807" s="1323"/>
      <c r="K807" s="1323"/>
      <c r="L807" s="1323"/>
      <c r="M807" s="1323"/>
      <c r="N807" s="1323"/>
      <c r="O807" s="1323"/>
      <c r="P807" s="1323"/>
      <c r="Q807" s="1323"/>
      <c r="R807" s="1304"/>
      <c r="S807" s="1304"/>
      <c r="T807" s="1304"/>
    </row>
    <row r="808" spans="1:20">
      <c r="A808" s="1303"/>
      <c r="B808" s="1322" t="s">
        <v>3871</v>
      </c>
      <c r="C808" s="1323" t="s">
        <v>3872</v>
      </c>
      <c r="D808" s="1324">
        <f t="shared" si="102"/>
        <v>40715</v>
      </c>
      <c r="E808" s="1323">
        <f t="shared" si="104"/>
        <v>6.7590000000000003</v>
      </c>
      <c r="F808" s="1323">
        <f t="shared" si="103"/>
        <v>8.4060513753057808</v>
      </c>
      <c r="G808" s="1323">
        <f t="shared" si="105"/>
        <v>2011</v>
      </c>
      <c r="H808" s="1323">
        <f t="shared" si="106"/>
        <v>6</v>
      </c>
      <c r="I808" s="1323">
        <f t="shared" si="107"/>
        <v>21</v>
      </c>
      <c r="J808" s="1323"/>
      <c r="K808" s="1323"/>
      <c r="L808" s="1323"/>
      <c r="M808" s="1323"/>
      <c r="N808" s="1323"/>
      <c r="O808" s="1323"/>
      <c r="P808" s="1323"/>
      <c r="Q808" s="1323"/>
      <c r="R808" s="1304"/>
      <c r="S808" s="1304"/>
      <c r="T808" s="1304"/>
    </row>
    <row r="809" spans="1:20">
      <c r="A809" s="1303"/>
      <c r="B809" s="1322" t="s">
        <v>3873</v>
      </c>
      <c r="C809" s="1323" t="s">
        <v>3874</v>
      </c>
      <c r="D809" s="1324">
        <f t="shared" si="102"/>
        <v>40714</v>
      </c>
      <c r="E809" s="1323">
        <f t="shared" si="104"/>
        <v>6.8219000000000003</v>
      </c>
      <c r="F809" s="1323">
        <f t="shared" si="103"/>
        <v>8.4044395649782508</v>
      </c>
      <c r="G809" s="1323">
        <f t="shared" si="105"/>
        <v>2011</v>
      </c>
      <c r="H809" s="1323">
        <f t="shared" si="106"/>
        <v>6</v>
      </c>
      <c r="I809" s="1323">
        <f t="shared" si="107"/>
        <v>20</v>
      </c>
      <c r="J809" s="1323"/>
      <c r="K809" s="1323"/>
      <c r="L809" s="1323"/>
      <c r="M809" s="1323"/>
      <c r="N809" s="1323"/>
      <c r="O809" s="1323"/>
      <c r="P809" s="1323"/>
      <c r="Q809" s="1323"/>
      <c r="R809" s="1304"/>
      <c r="S809" s="1304"/>
      <c r="T809" s="1304"/>
    </row>
    <row r="810" spans="1:20">
      <c r="A810" s="1303"/>
      <c r="B810" s="1322" t="s">
        <v>3875</v>
      </c>
      <c r="C810" s="1323" t="s">
        <v>3876</v>
      </c>
      <c r="D810" s="1324">
        <f t="shared" si="102"/>
        <v>40711</v>
      </c>
      <c r="E810" s="1323">
        <f t="shared" si="104"/>
        <v>6.8672000000000004</v>
      </c>
      <c r="F810" s="1323">
        <f t="shared" si="103"/>
        <v>8.4028280637057584</v>
      </c>
      <c r="G810" s="1323">
        <f t="shared" si="105"/>
        <v>2011</v>
      </c>
      <c r="H810" s="1323">
        <f t="shared" si="106"/>
        <v>6</v>
      </c>
      <c r="I810" s="1323">
        <f t="shared" si="107"/>
        <v>17</v>
      </c>
      <c r="J810" s="1323"/>
      <c r="K810" s="1323"/>
      <c r="L810" s="1323"/>
      <c r="M810" s="1323"/>
      <c r="N810" s="1323"/>
      <c r="O810" s="1323"/>
      <c r="P810" s="1323"/>
      <c r="Q810" s="1323"/>
      <c r="R810" s="1304"/>
      <c r="S810" s="1304"/>
      <c r="T810" s="1304"/>
    </row>
    <row r="811" spans="1:20">
      <c r="A811" s="1303"/>
      <c r="B811" s="1322" t="s">
        <v>3877</v>
      </c>
      <c r="C811" s="1323" t="s">
        <v>3878</v>
      </c>
      <c r="D811" s="1324">
        <f t="shared" si="102"/>
        <v>40709</v>
      </c>
      <c r="E811" s="1323">
        <f t="shared" si="104"/>
        <v>6.7877999999999998</v>
      </c>
      <c r="F811" s="1323">
        <f t="shared" si="103"/>
        <v>8.4012168714290461</v>
      </c>
      <c r="G811" s="1323">
        <f t="shared" si="105"/>
        <v>2011</v>
      </c>
      <c r="H811" s="1323">
        <f t="shared" si="106"/>
        <v>6</v>
      </c>
      <c r="I811" s="1323">
        <f t="shared" si="107"/>
        <v>15</v>
      </c>
      <c r="J811" s="1323"/>
      <c r="K811" s="1323"/>
      <c r="L811" s="1323"/>
      <c r="M811" s="1323"/>
      <c r="N811" s="1323"/>
      <c r="O811" s="1323"/>
      <c r="P811" s="1323"/>
      <c r="Q811" s="1323"/>
      <c r="R811" s="1304"/>
      <c r="S811" s="1304"/>
      <c r="T811" s="1304"/>
    </row>
    <row r="812" spans="1:20">
      <c r="A812" s="1303"/>
      <c r="B812" s="1322" t="s">
        <v>3879</v>
      </c>
      <c r="C812" s="1323" t="s">
        <v>3880</v>
      </c>
      <c r="D812" s="1324">
        <f t="shared" si="102"/>
        <v>40708</v>
      </c>
      <c r="E812" s="1323">
        <f t="shared" si="104"/>
        <v>6.7523999999999997</v>
      </c>
      <c r="F812" s="1323">
        <f t="shared" si="103"/>
        <v>8.3996059880888652</v>
      </c>
      <c r="G812" s="1323">
        <f t="shared" si="105"/>
        <v>2011</v>
      </c>
      <c r="H812" s="1323">
        <f t="shared" si="106"/>
        <v>6</v>
      </c>
      <c r="I812" s="1323">
        <f t="shared" si="107"/>
        <v>14</v>
      </c>
      <c r="J812" s="1323"/>
      <c r="K812" s="1323"/>
      <c r="L812" s="1323"/>
      <c r="M812" s="1323"/>
      <c r="N812" s="1323"/>
      <c r="O812" s="1323"/>
      <c r="P812" s="1323"/>
      <c r="Q812" s="1323"/>
      <c r="R812" s="1304"/>
      <c r="S812" s="1304"/>
      <c r="T812" s="1304"/>
    </row>
    <row r="813" spans="1:20">
      <c r="A813" s="1303"/>
      <c r="B813" s="1322" t="s">
        <v>3881</v>
      </c>
      <c r="C813" s="1323" t="s">
        <v>3882</v>
      </c>
      <c r="D813" s="1324">
        <f t="shared" si="102"/>
        <v>40707</v>
      </c>
      <c r="E813" s="1323">
        <f t="shared" si="104"/>
        <v>6.7759</v>
      </c>
      <c r="F813" s="1323">
        <f t="shared" si="103"/>
        <v>8.3979954136259778</v>
      </c>
      <c r="G813" s="1323">
        <f t="shared" si="105"/>
        <v>2011</v>
      </c>
      <c r="H813" s="1323">
        <f t="shared" si="106"/>
        <v>6</v>
      </c>
      <c r="I813" s="1323">
        <f t="shared" si="107"/>
        <v>13</v>
      </c>
      <c r="J813" s="1323"/>
      <c r="K813" s="1323"/>
      <c r="L813" s="1323"/>
      <c r="M813" s="1323"/>
      <c r="N813" s="1323"/>
      <c r="O813" s="1323"/>
      <c r="P813" s="1323"/>
      <c r="Q813" s="1323"/>
      <c r="R813" s="1304"/>
      <c r="S813" s="1304"/>
      <c r="T813" s="1304"/>
    </row>
    <row r="814" spans="1:20">
      <c r="A814" s="1303"/>
      <c r="B814" s="1322" t="s">
        <v>3883</v>
      </c>
      <c r="C814" s="1323" t="s">
        <v>3884</v>
      </c>
      <c r="D814" s="1324">
        <f t="shared" si="102"/>
        <v>40704</v>
      </c>
      <c r="E814" s="1323">
        <f t="shared" si="104"/>
        <v>6.7625000000000002</v>
      </c>
      <c r="F814" s="1323">
        <f t="shared" si="103"/>
        <v>8.3963851479811584</v>
      </c>
      <c r="G814" s="1323">
        <f t="shared" si="105"/>
        <v>2011</v>
      </c>
      <c r="H814" s="1323">
        <f t="shared" si="106"/>
        <v>6</v>
      </c>
      <c r="I814" s="1323">
        <f t="shared" si="107"/>
        <v>10</v>
      </c>
      <c r="J814" s="1323"/>
      <c r="K814" s="1323"/>
      <c r="L814" s="1323"/>
      <c r="M814" s="1323"/>
      <c r="N814" s="1323"/>
      <c r="O814" s="1323"/>
      <c r="P814" s="1323"/>
      <c r="Q814" s="1323"/>
      <c r="R814" s="1304"/>
      <c r="S814" s="1304"/>
      <c r="T814" s="1304"/>
    </row>
    <row r="815" spans="1:20">
      <c r="A815" s="1303"/>
      <c r="B815" s="1322" t="s">
        <v>3885</v>
      </c>
      <c r="C815" s="1323" t="s">
        <v>3886</v>
      </c>
      <c r="D815" s="1324">
        <f t="shared" si="102"/>
        <v>40703</v>
      </c>
      <c r="E815" s="1323">
        <f t="shared" si="104"/>
        <v>6.7112999999999996</v>
      </c>
      <c r="F815" s="1323">
        <f t="shared" si="103"/>
        <v>8.394775191095194</v>
      </c>
      <c r="G815" s="1323">
        <f t="shared" si="105"/>
        <v>2011</v>
      </c>
      <c r="H815" s="1323">
        <f t="shared" si="106"/>
        <v>6</v>
      </c>
      <c r="I815" s="1323">
        <f t="shared" si="107"/>
        <v>9</v>
      </c>
      <c r="J815" s="1323"/>
      <c r="K815" s="1323"/>
      <c r="L815" s="1323"/>
      <c r="M815" s="1323"/>
      <c r="N815" s="1323"/>
      <c r="O815" s="1323"/>
      <c r="P815" s="1323"/>
      <c r="Q815" s="1323"/>
      <c r="R815" s="1304"/>
      <c r="S815" s="1304"/>
      <c r="T815" s="1304"/>
    </row>
    <row r="816" spans="1:20">
      <c r="A816" s="1303"/>
      <c r="B816" s="1322" t="s">
        <v>3887</v>
      </c>
      <c r="C816" s="1323" t="s">
        <v>3888</v>
      </c>
      <c r="D816" s="1324">
        <f t="shared" si="102"/>
        <v>40702</v>
      </c>
      <c r="E816" s="1323">
        <f t="shared" si="104"/>
        <v>6.7485999999999997</v>
      </c>
      <c r="F816" s="1323">
        <f t="shared" si="103"/>
        <v>8.3931655429088821</v>
      </c>
      <c r="G816" s="1323">
        <f t="shared" si="105"/>
        <v>2011</v>
      </c>
      <c r="H816" s="1323">
        <f t="shared" si="106"/>
        <v>6</v>
      </c>
      <c r="I816" s="1323">
        <f t="shared" si="107"/>
        <v>8</v>
      </c>
      <c r="J816" s="1323"/>
      <c r="K816" s="1323"/>
      <c r="L816" s="1323"/>
      <c r="M816" s="1323"/>
      <c r="N816" s="1323"/>
      <c r="O816" s="1323"/>
      <c r="P816" s="1323"/>
      <c r="Q816" s="1323"/>
      <c r="R816" s="1304"/>
      <c r="S816" s="1304"/>
      <c r="T816" s="1304"/>
    </row>
    <row r="817" spans="1:20">
      <c r="A817" s="1303"/>
      <c r="B817" s="1322" t="s">
        <v>3889</v>
      </c>
      <c r="C817" s="1323" t="s">
        <v>3890</v>
      </c>
      <c r="D817" s="1324">
        <f t="shared" si="102"/>
        <v>40701</v>
      </c>
      <c r="E817" s="1323">
        <f t="shared" si="104"/>
        <v>6.7434000000000003</v>
      </c>
      <c r="F817" s="1323">
        <f t="shared" si="103"/>
        <v>8.3915562033630309</v>
      </c>
      <c r="G817" s="1323">
        <f t="shared" si="105"/>
        <v>2011</v>
      </c>
      <c r="H817" s="1323">
        <f t="shared" si="106"/>
        <v>6</v>
      </c>
      <c r="I817" s="1323">
        <f t="shared" si="107"/>
        <v>7</v>
      </c>
      <c r="J817" s="1323"/>
      <c r="K817" s="1323"/>
      <c r="L817" s="1323"/>
      <c r="M817" s="1323"/>
      <c r="N817" s="1323"/>
      <c r="O817" s="1323"/>
      <c r="P817" s="1323"/>
      <c r="Q817" s="1323"/>
      <c r="R817" s="1304"/>
      <c r="S817" s="1304"/>
      <c r="T817" s="1304"/>
    </row>
    <row r="818" spans="1:20">
      <c r="A818" s="1303"/>
      <c r="B818" s="1322" t="s">
        <v>3891</v>
      </c>
      <c r="C818" s="1323" t="s">
        <v>3892</v>
      </c>
      <c r="D818" s="1324">
        <f t="shared" si="102"/>
        <v>40700</v>
      </c>
      <c r="E818" s="1323">
        <f t="shared" si="104"/>
        <v>6.7019000000000002</v>
      </c>
      <c r="F818" s="1323">
        <f t="shared" si="103"/>
        <v>8.3899471723984611</v>
      </c>
      <c r="G818" s="1323">
        <f t="shared" si="105"/>
        <v>2011</v>
      </c>
      <c r="H818" s="1323">
        <f t="shared" si="106"/>
        <v>6</v>
      </c>
      <c r="I818" s="1323">
        <f t="shared" si="107"/>
        <v>6</v>
      </c>
      <c r="J818" s="1323"/>
      <c r="K818" s="1323"/>
      <c r="L818" s="1323"/>
      <c r="M818" s="1323"/>
      <c r="N818" s="1323"/>
      <c r="O818" s="1323"/>
      <c r="P818" s="1323"/>
      <c r="Q818" s="1323"/>
      <c r="R818" s="1304"/>
      <c r="S818" s="1304"/>
      <c r="T818" s="1304"/>
    </row>
    <row r="819" spans="1:20">
      <c r="A819" s="1303"/>
      <c r="B819" s="1322" t="s">
        <v>3893</v>
      </c>
      <c r="C819" s="1323" t="s">
        <v>3894</v>
      </c>
      <c r="D819" s="1324">
        <f t="shared" si="102"/>
        <v>40697</v>
      </c>
      <c r="E819" s="1323">
        <f t="shared" si="104"/>
        <v>6.7183000000000002</v>
      </c>
      <c r="F819" s="1323">
        <f t="shared" si="103"/>
        <v>8.3883384499560041</v>
      </c>
      <c r="G819" s="1323">
        <f t="shared" si="105"/>
        <v>2011</v>
      </c>
      <c r="H819" s="1323">
        <f t="shared" si="106"/>
        <v>6</v>
      </c>
      <c r="I819" s="1323">
        <f t="shared" si="107"/>
        <v>3</v>
      </c>
      <c r="J819" s="1323"/>
      <c r="K819" s="1323"/>
      <c r="L819" s="1323"/>
      <c r="M819" s="1323"/>
      <c r="N819" s="1323"/>
      <c r="O819" s="1323"/>
      <c r="P819" s="1323"/>
      <c r="Q819" s="1323"/>
      <c r="R819" s="1304"/>
      <c r="S819" s="1304"/>
      <c r="T819" s="1304"/>
    </row>
    <row r="820" spans="1:20">
      <c r="A820" s="1303"/>
      <c r="B820" s="1322" t="s">
        <v>3895</v>
      </c>
      <c r="C820" s="1323" t="s">
        <v>3896</v>
      </c>
      <c r="D820" s="1324">
        <f t="shared" si="102"/>
        <v>40696</v>
      </c>
      <c r="E820" s="1323">
        <f t="shared" si="104"/>
        <v>6.7965</v>
      </c>
      <c r="F820" s="1323">
        <f t="shared" si="103"/>
        <v>8.3867300359765018</v>
      </c>
      <c r="G820" s="1323">
        <f t="shared" si="105"/>
        <v>2011</v>
      </c>
      <c r="H820" s="1323">
        <f t="shared" si="106"/>
        <v>6</v>
      </c>
      <c r="I820" s="1323">
        <f t="shared" si="107"/>
        <v>2</v>
      </c>
      <c r="J820" s="1323"/>
      <c r="K820" s="1323"/>
      <c r="L820" s="1323"/>
      <c r="M820" s="1323"/>
      <c r="N820" s="1323"/>
      <c r="O820" s="1323"/>
      <c r="P820" s="1323"/>
      <c r="Q820" s="1323"/>
      <c r="R820" s="1304"/>
      <c r="S820" s="1304"/>
      <c r="T820" s="1304"/>
    </row>
    <row r="821" spans="1:20">
      <c r="A821" s="1303"/>
      <c r="B821" s="1322" t="s">
        <v>3897</v>
      </c>
      <c r="C821" s="1323" t="s">
        <v>3898</v>
      </c>
      <c r="D821" s="1324">
        <f t="shared" si="102"/>
        <v>40695</v>
      </c>
      <c r="E821" s="1323">
        <f t="shared" si="104"/>
        <v>6.7820999999999998</v>
      </c>
      <c r="F821" s="1323">
        <f t="shared" si="103"/>
        <v>8.3851219304008087</v>
      </c>
      <c r="G821" s="1323">
        <f t="shared" si="105"/>
        <v>2011</v>
      </c>
      <c r="H821" s="1323">
        <f t="shared" si="106"/>
        <v>6</v>
      </c>
      <c r="I821" s="1323">
        <f t="shared" si="107"/>
        <v>1</v>
      </c>
      <c r="J821" s="1323"/>
      <c r="K821" s="1323"/>
      <c r="L821" s="1323"/>
      <c r="M821" s="1323"/>
      <c r="N821" s="1323"/>
      <c r="O821" s="1323"/>
      <c r="P821" s="1323"/>
      <c r="Q821" s="1323"/>
      <c r="R821" s="1304"/>
      <c r="S821" s="1304"/>
      <c r="T821" s="1304"/>
    </row>
    <row r="822" spans="1:20">
      <c r="A822" s="1303"/>
      <c r="B822" s="1322" t="s">
        <v>3899</v>
      </c>
      <c r="C822" s="1323" t="s">
        <v>3900</v>
      </c>
      <c r="D822" s="1324">
        <f t="shared" si="102"/>
        <v>40694</v>
      </c>
      <c r="E822" s="1323">
        <f t="shared" si="104"/>
        <v>6.8906999999999998</v>
      </c>
      <c r="F822" s="1323">
        <f t="shared" si="103"/>
        <v>8.3835141331697898</v>
      </c>
      <c r="G822" s="1323">
        <f t="shared" si="105"/>
        <v>2011</v>
      </c>
      <c r="H822" s="1323">
        <f t="shared" si="106"/>
        <v>5</v>
      </c>
      <c r="I822" s="1323">
        <f t="shared" si="107"/>
        <v>31</v>
      </c>
      <c r="J822" s="1323"/>
      <c r="K822" s="1323"/>
      <c r="L822" s="1323"/>
      <c r="M822" s="1323"/>
      <c r="N822" s="1323"/>
      <c r="O822" s="1323"/>
      <c r="P822" s="1323"/>
      <c r="Q822" s="1323"/>
      <c r="R822" s="1304"/>
      <c r="S822" s="1304"/>
      <c r="T822" s="1304"/>
    </row>
    <row r="823" spans="1:20">
      <c r="A823" s="1303"/>
      <c r="B823" s="1322" t="s">
        <v>3901</v>
      </c>
      <c r="C823" s="1323" t="s">
        <v>3902</v>
      </c>
      <c r="D823" s="1324">
        <f t="shared" si="102"/>
        <v>40693</v>
      </c>
      <c r="E823" s="1323">
        <f t="shared" si="104"/>
        <v>6.9016000000000002</v>
      </c>
      <c r="F823" s="1323">
        <f t="shared" si="103"/>
        <v>8.3819066442243226</v>
      </c>
      <c r="G823" s="1323">
        <f t="shared" si="105"/>
        <v>2011</v>
      </c>
      <c r="H823" s="1323">
        <f t="shared" si="106"/>
        <v>5</v>
      </c>
      <c r="I823" s="1323">
        <f t="shared" si="107"/>
        <v>30</v>
      </c>
      <c r="J823" s="1323"/>
      <c r="K823" s="1323"/>
      <c r="L823" s="1323"/>
      <c r="M823" s="1323"/>
      <c r="N823" s="1323"/>
      <c r="O823" s="1323"/>
      <c r="P823" s="1323"/>
      <c r="Q823" s="1323"/>
      <c r="R823" s="1304"/>
      <c r="S823" s="1304"/>
      <c r="T823" s="1304"/>
    </row>
    <row r="824" spans="1:20">
      <c r="A824" s="1303"/>
      <c r="B824" s="1322" t="s">
        <v>3903</v>
      </c>
      <c r="C824" s="1323" t="s">
        <v>3904</v>
      </c>
      <c r="D824" s="1324">
        <f t="shared" si="102"/>
        <v>40690</v>
      </c>
      <c r="E824" s="1323">
        <f t="shared" si="104"/>
        <v>6.9311999999999996</v>
      </c>
      <c r="F824" s="1323">
        <f t="shared" si="103"/>
        <v>8.3802994635052936</v>
      </c>
      <c r="G824" s="1323">
        <f t="shared" si="105"/>
        <v>2011</v>
      </c>
      <c r="H824" s="1323">
        <f t="shared" si="106"/>
        <v>5</v>
      </c>
      <c r="I824" s="1323">
        <f t="shared" si="107"/>
        <v>27</v>
      </c>
      <c r="J824" s="1323"/>
      <c r="K824" s="1323"/>
      <c r="L824" s="1323"/>
      <c r="M824" s="1323"/>
      <c r="N824" s="1323"/>
      <c r="O824" s="1323"/>
      <c r="P824" s="1323"/>
      <c r="Q824" s="1323"/>
      <c r="R824" s="1304"/>
      <c r="S824" s="1304"/>
      <c r="T824" s="1304"/>
    </row>
    <row r="825" spans="1:20">
      <c r="A825" s="1303"/>
      <c r="B825" s="1322" t="s">
        <v>3905</v>
      </c>
      <c r="C825" s="1323" t="s">
        <v>3906</v>
      </c>
      <c r="D825" s="1324">
        <f t="shared" si="102"/>
        <v>40689</v>
      </c>
      <c r="E825" s="1323">
        <f t="shared" si="104"/>
        <v>6.9718999999999998</v>
      </c>
      <c r="F825" s="1323">
        <f t="shared" si="103"/>
        <v>8.3786925909536034</v>
      </c>
      <c r="G825" s="1323">
        <f t="shared" si="105"/>
        <v>2011</v>
      </c>
      <c r="H825" s="1323">
        <f t="shared" si="106"/>
        <v>5</v>
      </c>
      <c r="I825" s="1323">
        <f t="shared" si="107"/>
        <v>26</v>
      </c>
      <c r="J825" s="1323"/>
      <c r="K825" s="1323"/>
      <c r="L825" s="1323"/>
      <c r="M825" s="1323"/>
      <c r="N825" s="1323"/>
      <c r="O825" s="1323"/>
      <c r="P825" s="1323"/>
      <c r="Q825" s="1323"/>
      <c r="R825" s="1304"/>
      <c r="S825" s="1304"/>
      <c r="T825" s="1304"/>
    </row>
    <row r="826" spans="1:20">
      <c r="A826" s="1303"/>
      <c r="B826" s="1322" t="s">
        <v>3907</v>
      </c>
      <c r="C826" s="1323" t="s">
        <v>3908</v>
      </c>
      <c r="D826" s="1324">
        <f t="shared" si="102"/>
        <v>40688</v>
      </c>
      <c r="E826" s="1323">
        <f t="shared" si="104"/>
        <v>7.0404</v>
      </c>
      <c r="F826" s="1323">
        <f t="shared" si="103"/>
        <v>8.3770860265101632</v>
      </c>
      <c r="G826" s="1323">
        <f t="shared" si="105"/>
        <v>2011</v>
      </c>
      <c r="H826" s="1323">
        <f t="shared" si="106"/>
        <v>5</v>
      </c>
      <c r="I826" s="1323">
        <f t="shared" si="107"/>
        <v>25</v>
      </c>
      <c r="J826" s="1323"/>
      <c r="K826" s="1323"/>
      <c r="L826" s="1323"/>
      <c r="M826" s="1323"/>
      <c r="N826" s="1323"/>
      <c r="O826" s="1323"/>
      <c r="P826" s="1323"/>
      <c r="Q826" s="1323"/>
      <c r="R826" s="1304"/>
      <c r="S826" s="1304"/>
      <c r="T826" s="1304"/>
    </row>
    <row r="827" spans="1:20">
      <c r="A827" s="1303"/>
      <c r="B827" s="1322" t="s">
        <v>3909</v>
      </c>
      <c r="C827" s="1323" t="s">
        <v>3910</v>
      </c>
      <c r="D827" s="1324">
        <f t="shared" si="102"/>
        <v>40687</v>
      </c>
      <c r="E827" s="1323">
        <f t="shared" si="104"/>
        <v>7.0007999999999999</v>
      </c>
      <c r="F827" s="1323">
        <f t="shared" si="103"/>
        <v>8.375479770115895</v>
      </c>
      <c r="G827" s="1323">
        <f t="shared" si="105"/>
        <v>2011</v>
      </c>
      <c r="H827" s="1323">
        <f t="shared" si="106"/>
        <v>5</v>
      </c>
      <c r="I827" s="1323">
        <f t="shared" si="107"/>
        <v>24</v>
      </c>
      <c r="J827" s="1323"/>
      <c r="K827" s="1323"/>
      <c r="L827" s="1323"/>
      <c r="M827" s="1323"/>
      <c r="N827" s="1323"/>
      <c r="O827" s="1323"/>
      <c r="P827" s="1323"/>
      <c r="Q827" s="1323"/>
      <c r="R827" s="1304"/>
      <c r="S827" s="1304"/>
      <c r="T827" s="1304"/>
    </row>
    <row r="828" spans="1:20">
      <c r="A828" s="1303"/>
      <c r="B828" s="1322" t="s">
        <v>3911</v>
      </c>
      <c r="C828" s="1323" t="s">
        <v>3912</v>
      </c>
      <c r="D828" s="1324">
        <f t="shared" si="102"/>
        <v>40686</v>
      </c>
      <c r="E828" s="1323">
        <f t="shared" si="104"/>
        <v>7.0015999999999998</v>
      </c>
      <c r="F828" s="1323">
        <f t="shared" si="103"/>
        <v>8.3738738217117312</v>
      </c>
      <c r="G828" s="1323">
        <f t="shared" si="105"/>
        <v>2011</v>
      </c>
      <c r="H828" s="1323">
        <f t="shared" si="106"/>
        <v>5</v>
      </c>
      <c r="I828" s="1323">
        <f t="shared" si="107"/>
        <v>23</v>
      </c>
      <c r="J828" s="1323"/>
      <c r="K828" s="1323"/>
      <c r="L828" s="1323"/>
      <c r="M828" s="1323"/>
      <c r="N828" s="1323"/>
      <c r="O828" s="1323"/>
      <c r="P828" s="1323"/>
      <c r="Q828" s="1323"/>
      <c r="R828" s="1304"/>
      <c r="S828" s="1304"/>
      <c r="T828" s="1304"/>
    </row>
    <row r="829" spans="1:20">
      <c r="A829" s="1303"/>
      <c r="B829" s="1322" t="s">
        <v>3913</v>
      </c>
      <c r="C829" s="1323" t="s">
        <v>3770</v>
      </c>
      <c r="D829" s="1324">
        <f t="shared" si="102"/>
        <v>40683</v>
      </c>
      <c r="E829" s="1323">
        <f t="shared" si="104"/>
        <v>6.8817000000000004</v>
      </c>
      <c r="F829" s="1323">
        <f t="shared" si="103"/>
        <v>8.372268181238617</v>
      </c>
      <c r="G829" s="1323">
        <f t="shared" si="105"/>
        <v>2011</v>
      </c>
      <c r="H829" s="1323">
        <f t="shared" si="106"/>
        <v>5</v>
      </c>
      <c r="I829" s="1323">
        <f t="shared" si="107"/>
        <v>20</v>
      </c>
      <c r="J829" s="1323"/>
      <c r="K829" s="1323"/>
      <c r="L829" s="1323"/>
      <c r="M829" s="1323"/>
      <c r="N829" s="1323"/>
      <c r="O829" s="1323"/>
      <c r="P829" s="1323"/>
      <c r="Q829" s="1323"/>
      <c r="R829" s="1304"/>
      <c r="S829" s="1304"/>
      <c r="T829" s="1304"/>
    </row>
    <row r="830" spans="1:20">
      <c r="A830" s="1303"/>
      <c r="B830" s="1322" t="s">
        <v>3914</v>
      </c>
      <c r="C830" s="1323" t="s">
        <v>3915</v>
      </c>
      <c r="D830" s="1324">
        <f t="shared" si="102"/>
        <v>40682</v>
      </c>
      <c r="E830" s="1323">
        <f t="shared" si="104"/>
        <v>6.9279999999999999</v>
      </c>
      <c r="F830" s="1323">
        <f t="shared" si="103"/>
        <v>8.3706628486375081</v>
      </c>
      <c r="G830" s="1323">
        <f t="shared" si="105"/>
        <v>2011</v>
      </c>
      <c r="H830" s="1323">
        <f t="shared" si="106"/>
        <v>5</v>
      </c>
      <c r="I830" s="1323">
        <f t="shared" si="107"/>
        <v>19</v>
      </c>
      <c r="J830" s="1323"/>
      <c r="K830" s="1323"/>
      <c r="L830" s="1323"/>
      <c r="M830" s="1323"/>
      <c r="N830" s="1323"/>
      <c r="O830" s="1323"/>
      <c r="P830" s="1323"/>
      <c r="Q830" s="1323"/>
      <c r="R830" s="1304"/>
      <c r="S830" s="1304"/>
      <c r="T830" s="1304"/>
    </row>
    <row r="831" spans="1:20">
      <c r="A831" s="1303"/>
      <c r="B831" s="1322" t="s">
        <v>3916</v>
      </c>
      <c r="C831" s="1323" t="s">
        <v>3917</v>
      </c>
      <c r="D831" s="1324">
        <f t="shared" si="102"/>
        <v>40680</v>
      </c>
      <c r="E831" s="1323">
        <f t="shared" si="104"/>
        <v>6.9962999999999997</v>
      </c>
      <c r="F831" s="1323">
        <f t="shared" si="103"/>
        <v>8.3690578238493725</v>
      </c>
      <c r="G831" s="1323">
        <f t="shared" si="105"/>
        <v>2011</v>
      </c>
      <c r="H831" s="1323">
        <f t="shared" si="106"/>
        <v>5</v>
      </c>
      <c r="I831" s="1323">
        <f t="shared" si="107"/>
        <v>17</v>
      </c>
      <c r="J831" s="1323"/>
      <c r="K831" s="1323"/>
      <c r="L831" s="1323"/>
      <c r="M831" s="1323"/>
      <c r="N831" s="1323"/>
      <c r="O831" s="1323"/>
      <c r="P831" s="1323"/>
      <c r="Q831" s="1323"/>
      <c r="R831" s="1304"/>
      <c r="S831" s="1304"/>
      <c r="T831" s="1304"/>
    </row>
    <row r="832" spans="1:20">
      <c r="A832" s="1303"/>
      <c r="B832" s="1322" t="s">
        <v>3918</v>
      </c>
      <c r="C832" s="1323" t="s">
        <v>3919</v>
      </c>
      <c r="D832" s="1324">
        <f t="shared" si="102"/>
        <v>40679</v>
      </c>
      <c r="E832" s="1323">
        <f t="shared" si="104"/>
        <v>7.0256999999999996</v>
      </c>
      <c r="F832" s="1323">
        <f t="shared" si="103"/>
        <v>8.3674531068151889</v>
      </c>
      <c r="G832" s="1323">
        <f t="shared" si="105"/>
        <v>2011</v>
      </c>
      <c r="H832" s="1323">
        <f t="shared" si="106"/>
        <v>5</v>
      </c>
      <c r="I832" s="1323">
        <f t="shared" si="107"/>
        <v>16</v>
      </c>
      <c r="J832" s="1323"/>
      <c r="K832" s="1323"/>
      <c r="L832" s="1323"/>
      <c r="M832" s="1323"/>
      <c r="N832" s="1323"/>
      <c r="O832" s="1323"/>
      <c r="P832" s="1323"/>
      <c r="Q832" s="1323"/>
      <c r="R832" s="1304"/>
      <c r="S832" s="1304"/>
      <c r="T832" s="1304"/>
    </row>
    <row r="833" spans="1:20">
      <c r="A833" s="1303"/>
      <c r="B833" s="1322" t="s">
        <v>3920</v>
      </c>
      <c r="C833" s="1323" t="s">
        <v>3921</v>
      </c>
      <c r="D833" s="1324">
        <f t="shared" si="102"/>
        <v>40676</v>
      </c>
      <c r="E833" s="1323">
        <f t="shared" si="104"/>
        <v>6.8971</v>
      </c>
      <c r="F833" s="1323">
        <f t="shared" si="103"/>
        <v>8.3658486974759469</v>
      </c>
      <c r="G833" s="1323">
        <f t="shared" si="105"/>
        <v>2011</v>
      </c>
      <c r="H833" s="1323">
        <f t="shared" si="106"/>
        <v>5</v>
      </c>
      <c r="I833" s="1323">
        <f t="shared" si="107"/>
        <v>13</v>
      </c>
      <c r="J833" s="1323"/>
      <c r="K833" s="1323"/>
      <c r="L833" s="1323"/>
      <c r="M833" s="1323"/>
      <c r="N833" s="1323"/>
      <c r="O833" s="1323"/>
      <c r="P833" s="1323"/>
      <c r="Q833" s="1323"/>
      <c r="R833" s="1304"/>
      <c r="S833" s="1304"/>
      <c r="T833" s="1304"/>
    </row>
    <row r="834" spans="1:20">
      <c r="A834" s="1303"/>
      <c r="B834" s="1322" t="s">
        <v>3922</v>
      </c>
      <c r="C834" s="1323" t="s">
        <v>3923</v>
      </c>
      <c r="D834" s="1324">
        <f t="shared" si="102"/>
        <v>40675</v>
      </c>
      <c r="E834" s="1323">
        <f t="shared" si="104"/>
        <v>6.9396000000000004</v>
      </c>
      <c r="F834" s="1323">
        <f t="shared" si="103"/>
        <v>8.3642445957726483</v>
      </c>
      <c r="G834" s="1323">
        <f t="shared" si="105"/>
        <v>2011</v>
      </c>
      <c r="H834" s="1323">
        <f t="shared" si="106"/>
        <v>5</v>
      </c>
      <c r="I834" s="1323">
        <f t="shared" si="107"/>
        <v>12</v>
      </c>
      <c r="J834" s="1323"/>
      <c r="K834" s="1323"/>
      <c r="L834" s="1323"/>
      <c r="M834" s="1323"/>
      <c r="N834" s="1323"/>
      <c r="O834" s="1323"/>
      <c r="P834" s="1323"/>
      <c r="Q834" s="1323"/>
      <c r="R834" s="1304"/>
      <c r="S834" s="1304"/>
      <c r="T834" s="1304"/>
    </row>
    <row r="835" spans="1:20">
      <c r="A835" s="1303"/>
      <c r="B835" s="1322" t="s">
        <v>3924</v>
      </c>
      <c r="C835" s="1323" t="s">
        <v>3925</v>
      </c>
      <c r="D835" s="1324">
        <f t="shared" si="102"/>
        <v>40674</v>
      </c>
      <c r="E835" s="1323">
        <f t="shared" si="104"/>
        <v>6.7679999999999998</v>
      </c>
      <c r="F835" s="1323">
        <f t="shared" si="103"/>
        <v>8.3626408016463056</v>
      </c>
      <c r="G835" s="1323">
        <f t="shared" si="105"/>
        <v>2011</v>
      </c>
      <c r="H835" s="1323">
        <f t="shared" si="106"/>
        <v>5</v>
      </c>
      <c r="I835" s="1323">
        <f t="shared" si="107"/>
        <v>11</v>
      </c>
      <c r="J835" s="1323"/>
      <c r="K835" s="1323"/>
      <c r="L835" s="1323"/>
      <c r="M835" s="1323"/>
      <c r="N835" s="1323"/>
      <c r="O835" s="1323"/>
      <c r="P835" s="1323"/>
      <c r="Q835" s="1323"/>
      <c r="R835" s="1304"/>
      <c r="S835" s="1304"/>
      <c r="T835" s="1304"/>
    </row>
    <row r="836" spans="1:20">
      <c r="A836" s="1303"/>
      <c r="B836" s="1322" t="s">
        <v>3926</v>
      </c>
      <c r="C836" s="1323" t="s">
        <v>3927</v>
      </c>
      <c r="D836" s="1324">
        <f t="shared" si="102"/>
        <v>40673</v>
      </c>
      <c r="E836" s="1323">
        <f t="shared" si="104"/>
        <v>6.7388000000000003</v>
      </c>
      <c r="F836" s="1323">
        <f t="shared" si="103"/>
        <v>8.361037315037942</v>
      </c>
      <c r="G836" s="1323">
        <f t="shared" si="105"/>
        <v>2011</v>
      </c>
      <c r="H836" s="1323">
        <f t="shared" si="106"/>
        <v>5</v>
      </c>
      <c r="I836" s="1323">
        <f t="shared" si="107"/>
        <v>10</v>
      </c>
      <c r="J836" s="1323"/>
      <c r="K836" s="1323"/>
      <c r="L836" s="1323"/>
      <c r="M836" s="1323"/>
      <c r="N836" s="1323"/>
      <c r="O836" s="1323"/>
      <c r="P836" s="1323"/>
      <c r="Q836" s="1323"/>
      <c r="R836" s="1304"/>
      <c r="S836" s="1304"/>
      <c r="T836" s="1304"/>
    </row>
    <row r="837" spans="1:20">
      <c r="A837" s="1303"/>
      <c r="B837" s="1322" t="s">
        <v>3928</v>
      </c>
      <c r="C837" s="1323" t="s">
        <v>3929</v>
      </c>
      <c r="D837" s="1324">
        <f t="shared" si="102"/>
        <v>40672</v>
      </c>
      <c r="E837" s="1323">
        <f t="shared" si="104"/>
        <v>6.6627999999999998</v>
      </c>
      <c r="F837" s="1323">
        <f t="shared" si="103"/>
        <v>8.3594341358885931</v>
      </c>
      <c r="G837" s="1323">
        <f t="shared" si="105"/>
        <v>2011</v>
      </c>
      <c r="H837" s="1323">
        <f t="shared" si="106"/>
        <v>5</v>
      </c>
      <c r="I837" s="1323">
        <f t="shared" si="107"/>
        <v>9</v>
      </c>
      <c r="J837" s="1323"/>
      <c r="K837" s="1323"/>
      <c r="L837" s="1323"/>
      <c r="M837" s="1323"/>
      <c r="N837" s="1323"/>
      <c r="O837" s="1323"/>
      <c r="P837" s="1323"/>
      <c r="Q837" s="1323"/>
      <c r="R837" s="1304"/>
      <c r="S837" s="1304"/>
      <c r="T837" s="1304"/>
    </row>
    <row r="838" spans="1:20">
      <c r="A838" s="1303"/>
      <c r="B838" s="1322" t="s">
        <v>3930</v>
      </c>
      <c r="C838" s="1323" t="s">
        <v>3931</v>
      </c>
      <c r="D838" s="1324">
        <f t="shared" si="102"/>
        <v>40669</v>
      </c>
      <c r="E838" s="1323">
        <f t="shared" si="104"/>
        <v>6.7568000000000001</v>
      </c>
      <c r="F838" s="1323">
        <f t="shared" si="103"/>
        <v>8.3578312641393051</v>
      </c>
      <c r="G838" s="1323">
        <f t="shared" si="105"/>
        <v>2011</v>
      </c>
      <c r="H838" s="1323">
        <f t="shared" si="106"/>
        <v>5</v>
      </c>
      <c r="I838" s="1323">
        <f t="shared" si="107"/>
        <v>6</v>
      </c>
      <c r="J838" s="1323"/>
      <c r="K838" s="1323"/>
      <c r="L838" s="1323"/>
      <c r="M838" s="1323"/>
      <c r="N838" s="1323"/>
      <c r="O838" s="1323"/>
      <c r="P838" s="1323"/>
      <c r="Q838" s="1323"/>
      <c r="R838" s="1304"/>
      <c r="S838" s="1304"/>
      <c r="T838" s="1304"/>
    </row>
    <row r="839" spans="1:20">
      <c r="A839" s="1303"/>
      <c r="B839" s="1322" t="s">
        <v>3932</v>
      </c>
      <c r="C839" s="1323" t="s">
        <v>3933</v>
      </c>
      <c r="D839" s="1324">
        <f t="shared" si="102"/>
        <v>40668</v>
      </c>
      <c r="E839" s="1323">
        <f t="shared" si="104"/>
        <v>6.6576000000000004</v>
      </c>
      <c r="F839" s="1323">
        <f t="shared" si="103"/>
        <v>8.3562286997311368</v>
      </c>
      <c r="G839" s="1323">
        <f t="shared" si="105"/>
        <v>2011</v>
      </c>
      <c r="H839" s="1323">
        <f t="shared" si="106"/>
        <v>5</v>
      </c>
      <c r="I839" s="1323">
        <f t="shared" si="107"/>
        <v>5</v>
      </c>
      <c r="J839" s="1323"/>
      <c r="K839" s="1323"/>
      <c r="L839" s="1323"/>
      <c r="M839" s="1323"/>
      <c r="N839" s="1323"/>
      <c r="O839" s="1323"/>
      <c r="P839" s="1323"/>
      <c r="Q839" s="1323"/>
      <c r="R839" s="1304"/>
      <c r="S839" s="1304"/>
      <c r="T839" s="1304"/>
    </row>
    <row r="840" spans="1:20">
      <c r="A840" s="1303"/>
      <c r="B840" s="1322" t="s">
        <v>3934</v>
      </c>
      <c r="C840" s="1323" t="s">
        <v>3935</v>
      </c>
      <c r="D840" s="1324">
        <f t="shared" si="102"/>
        <v>40667</v>
      </c>
      <c r="E840" s="1323">
        <f t="shared" si="104"/>
        <v>6.6288</v>
      </c>
      <c r="F840" s="1323">
        <f t="shared" si="103"/>
        <v>8.3546264426051575</v>
      </c>
      <c r="G840" s="1323">
        <f t="shared" si="105"/>
        <v>2011</v>
      </c>
      <c r="H840" s="1323">
        <f t="shared" si="106"/>
        <v>5</v>
      </c>
      <c r="I840" s="1323">
        <f t="shared" si="107"/>
        <v>4</v>
      </c>
      <c r="J840" s="1323"/>
      <c r="K840" s="1323"/>
      <c r="L840" s="1323"/>
      <c r="M840" s="1323"/>
      <c r="N840" s="1323"/>
      <c r="O840" s="1323"/>
      <c r="P840" s="1323"/>
      <c r="Q840" s="1323"/>
      <c r="R840" s="1304"/>
      <c r="S840" s="1304"/>
      <c r="T840" s="1304"/>
    </row>
    <row r="841" spans="1:20">
      <c r="A841" s="1303"/>
      <c r="B841" s="1322" t="s">
        <v>3936</v>
      </c>
      <c r="C841" s="1323" t="s">
        <v>3937</v>
      </c>
      <c r="D841" s="1324">
        <f t="shared" ref="D841:D904" si="108">DATE(G841,H841,I841)</f>
        <v>40666</v>
      </c>
      <c r="E841" s="1323">
        <f t="shared" si="104"/>
        <v>6.6532</v>
      </c>
      <c r="F841" s="1323">
        <f t="shared" ref="F841:F904" si="109">F842*(1+$F$7/365)</f>
        <v>8.3530244927024473</v>
      </c>
      <c r="G841" s="1323">
        <f t="shared" si="105"/>
        <v>2011</v>
      </c>
      <c r="H841" s="1323">
        <f t="shared" si="106"/>
        <v>5</v>
      </c>
      <c r="I841" s="1323">
        <f t="shared" si="107"/>
        <v>3</v>
      </c>
      <c r="J841" s="1323"/>
      <c r="K841" s="1323"/>
      <c r="L841" s="1323"/>
      <c r="M841" s="1323"/>
      <c r="N841" s="1323"/>
      <c r="O841" s="1323"/>
      <c r="P841" s="1323"/>
      <c r="Q841" s="1323"/>
      <c r="R841" s="1304"/>
      <c r="S841" s="1304"/>
      <c r="T841" s="1304"/>
    </row>
    <row r="842" spans="1:20">
      <c r="A842" s="1303"/>
      <c r="B842" s="1322" t="s">
        <v>3938</v>
      </c>
      <c r="C842" s="1323" t="s">
        <v>3939</v>
      </c>
      <c r="D842" s="1324">
        <f t="shared" si="108"/>
        <v>40662</v>
      </c>
      <c r="E842" s="1323">
        <f t="shared" si="104"/>
        <v>6.6227</v>
      </c>
      <c r="F842" s="1323">
        <f t="shared" si="109"/>
        <v>8.3514228499640986</v>
      </c>
      <c r="G842" s="1323">
        <f t="shared" si="105"/>
        <v>2011</v>
      </c>
      <c r="H842" s="1323">
        <f t="shared" si="106"/>
        <v>4</v>
      </c>
      <c r="I842" s="1323">
        <f t="shared" si="107"/>
        <v>29</v>
      </c>
      <c r="J842" s="1323"/>
      <c r="K842" s="1323"/>
      <c r="L842" s="1323"/>
      <c r="M842" s="1323"/>
      <c r="N842" s="1323"/>
      <c r="O842" s="1323"/>
      <c r="P842" s="1323"/>
      <c r="Q842" s="1323"/>
      <c r="R842" s="1304"/>
      <c r="S842" s="1304"/>
      <c r="T842" s="1304"/>
    </row>
    <row r="843" spans="1:20">
      <c r="A843" s="1303"/>
      <c r="B843" s="1322" t="s">
        <v>3940</v>
      </c>
      <c r="C843" s="1323" t="s">
        <v>3941</v>
      </c>
      <c r="D843" s="1324">
        <f t="shared" si="108"/>
        <v>40661</v>
      </c>
      <c r="E843" s="1323">
        <f t="shared" si="104"/>
        <v>6.5961999999999996</v>
      </c>
      <c r="F843" s="1323">
        <f t="shared" si="109"/>
        <v>8.3498215143312127</v>
      </c>
      <c r="G843" s="1323">
        <f t="shared" si="105"/>
        <v>2011</v>
      </c>
      <c r="H843" s="1323">
        <f t="shared" si="106"/>
        <v>4</v>
      </c>
      <c r="I843" s="1323">
        <f t="shared" si="107"/>
        <v>28</v>
      </c>
      <c r="J843" s="1323"/>
      <c r="K843" s="1323"/>
      <c r="L843" s="1323"/>
      <c r="M843" s="1323"/>
      <c r="N843" s="1323"/>
      <c r="O843" s="1323"/>
      <c r="P843" s="1323"/>
      <c r="Q843" s="1323"/>
      <c r="R843" s="1304"/>
      <c r="S843" s="1304"/>
      <c r="T843" s="1304"/>
    </row>
    <row r="844" spans="1:20">
      <c r="A844" s="1303"/>
      <c r="B844" s="1322" t="s">
        <v>3942</v>
      </c>
      <c r="C844" s="1323" t="s">
        <v>3943</v>
      </c>
      <c r="D844" s="1324">
        <f t="shared" si="108"/>
        <v>40659</v>
      </c>
      <c r="E844" s="1323">
        <f t="shared" si="104"/>
        <v>6.7385000000000002</v>
      </c>
      <c r="F844" s="1323">
        <f t="shared" si="109"/>
        <v>8.3482204857449052</v>
      </c>
      <c r="G844" s="1323">
        <f t="shared" si="105"/>
        <v>2011</v>
      </c>
      <c r="H844" s="1323">
        <f t="shared" si="106"/>
        <v>4</v>
      </c>
      <c r="I844" s="1323">
        <f t="shared" si="107"/>
        <v>26</v>
      </c>
      <c r="J844" s="1323"/>
      <c r="K844" s="1323"/>
      <c r="L844" s="1323"/>
      <c r="M844" s="1323"/>
      <c r="N844" s="1323"/>
      <c r="O844" s="1323"/>
      <c r="P844" s="1323"/>
      <c r="Q844" s="1323"/>
      <c r="R844" s="1304"/>
      <c r="S844" s="1304"/>
      <c r="T844" s="1304"/>
    </row>
    <row r="845" spans="1:20">
      <c r="A845" s="1303"/>
      <c r="B845" s="1322" t="s">
        <v>3944</v>
      </c>
      <c r="C845" s="1323" t="s">
        <v>3945</v>
      </c>
      <c r="D845" s="1324">
        <f t="shared" si="108"/>
        <v>40654</v>
      </c>
      <c r="E845" s="1323">
        <f t="shared" si="104"/>
        <v>6.7663000000000002</v>
      </c>
      <c r="F845" s="1323">
        <f t="shared" si="109"/>
        <v>8.3466197641463022</v>
      </c>
      <c r="G845" s="1323">
        <f t="shared" si="105"/>
        <v>2011</v>
      </c>
      <c r="H845" s="1323">
        <f t="shared" si="106"/>
        <v>4</v>
      </c>
      <c r="I845" s="1323">
        <f t="shared" si="107"/>
        <v>21</v>
      </c>
      <c r="J845" s="1323"/>
      <c r="K845" s="1323"/>
      <c r="L845" s="1323"/>
      <c r="M845" s="1323"/>
      <c r="N845" s="1323"/>
      <c r="O845" s="1323"/>
      <c r="P845" s="1323"/>
      <c r="Q845" s="1323"/>
      <c r="R845" s="1304"/>
      <c r="S845" s="1304"/>
      <c r="T845" s="1304"/>
    </row>
    <row r="846" spans="1:20">
      <c r="A846" s="1303"/>
      <c r="B846" s="1322" t="s">
        <v>3946</v>
      </c>
      <c r="C846" s="1323" t="s">
        <v>3947</v>
      </c>
      <c r="D846" s="1324">
        <f t="shared" si="108"/>
        <v>40653</v>
      </c>
      <c r="E846" s="1323">
        <f t="shared" si="104"/>
        <v>6.7923999999999998</v>
      </c>
      <c r="F846" s="1323">
        <f t="shared" si="109"/>
        <v>8.345019349476539</v>
      </c>
      <c r="G846" s="1323">
        <f t="shared" si="105"/>
        <v>2011</v>
      </c>
      <c r="H846" s="1323">
        <f t="shared" si="106"/>
        <v>4</v>
      </c>
      <c r="I846" s="1323">
        <f t="shared" si="107"/>
        <v>20</v>
      </c>
      <c r="J846" s="1323"/>
      <c r="K846" s="1323"/>
      <c r="L846" s="1323"/>
      <c r="M846" s="1323"/>
      <c r="N846" s="1323"/>
      <c r="O846" s="1323"/>
      <c r="P846" s="1323"/>
      <c r="Q846" s="1323"/>
      <c r="R846" s="1304"/>
      <c r="S846" s="1304"/>
      <c r="T846" s="1304"/>
    </row>
    <row r="847" spans="1:20">
      <c r="A847" s="1303"/>
      <c r="B847" s="1322" t="s">
        <v>3948</v>
      </c>
      <c r="C847" s="1323" t="s">
        <v>3949</v>
      </c>
      <c r="D847" s="1324">
        <f t="shared" si="108"/>
        <v>40652</v>
      </c>
      <c r="E847" s="1323">
        <f t="shared" si="104"/>
        <v>6.8464</v>
      </c>
      <c r="F847" s="1323">
        <f t="shared" si="109"/>
        <v>8.3434192416767647</v>
      </c>
      <c r="G847" s="1323">
        <f t="shared" si="105"/>
        <v>2011</v>
      </c>
      <c r="H847" s="1323">
        <f t="shared" si="106"/>
        <v>4</v>
      </c>
      <c r="I847" s="1323">
        <f t="shared" si="107"/>
        <v>19</v>
      </c>
      <c r="J847" s="1323"/>
      <c r="K847" s="1323"/>
      <c r="L847" s="1323"/>
      <c r="M847" s="1323"/>
      <c r="N847" s="1323"/>
      <c r="O847" s="1323"/>
      <c r="P847" s="1323"/>
      <c r="Q847" s="1323"/>
      <c r="R847" s="1304"/>
      <c r="S847" s="1304"/>
      <c r="T847" s="1304"/>
    </row>
    <row r="848" spans="1:20">
      <c r="A848" s="1303"/>
      <c r="B848" s="1322" t="s">
        <v>3950</v>
      </c>
      <c r="C848" s="1323" t="s">
        <v>3951</v>
      </c>
      <c r="D848" s="1324">
        <f t="shared" si="108"/>
        <v>40651</v>
      </c>
      <c r="E848" s="1323">
        <f t="shared" si="104"/>
        <v>6.8555999999999999</v>
      </c>
      <c r="F848" s="1323">
        <f t="shared" si="109"/>
        <v>8.3418194406881394</v>
      </c>
      <c r="G848" s="1323">
        <f t="shared" si="105"/>
        <v>2011</v>
      </c>
      <c r="H848" s="1323">
        <f t="shared" si="106"/>
        <v>4</v>
      </c>
      <c r="I848" s="1323">
        <f t="shared" si="107"/>
        <v>18</v>
      </c>
      <c r="J848" s="1323"/>
      <c r="K848" s="1323"/>
      <c r="L848" s="1323"/>
      <c r="M848" s="1323"/>
      <c r="N848" s="1323"/>
      <c r="O848" s="1323"/>
      <c r="P848" s="1323"/>
      <c r="Q848" s="1323"/>
      <c r="R848" s="1304"/>
      <c r="S848" s="1304"/>
      <c r="T848" s="1304"/>
    </row>
    <row r="849" spans="1:20">
      <c r="A849" s="1303"/>
      <c r="B849" s="1322" t="s">
        <v>3952</v>
      </c>
      <c r="C849" s="1323" t="s">
        <v>3953</v>
      </c>
      <c r="D849" s="1324">
        <f t="shared" si="108"/>
        <v>40648</v>
      </c>
      <c r="E849" s="1323">
        <f t="shared" si="104"/>
        <v>6.8468</v>
      </c>
      <c r="F849" s="1323">
        <f t="shared" si="109"/>
        <v>8.3402199464518336</v>
      </c>
      <c r="G849" s="1323">
        <f t="shared" si="105"/>
        <v>2011</v>
      </c>
      <c r="H849" s="1323">
        <f t="shared" si="106"/>
        <v>4</v>
      </c>
      <c r="I849" s="1323">
        <f t="shared" si="107"/>
        <v>15</v>
      </c>
      <c r="J849" s="1323"/>
      <c r="K849" s="1323"/>
      <c r="L849" s="1323"/>
      <c r="M849" s="1323"/>
      <c r="N849" s="1323"/>
      <c r="O849" s="1323"/>
      <c r="P849" s="1323"/>
      <c r="Q849" s="1323"/>
      <c r="R849" s="1304"/>
      <c r="S849" s="1304"/>
      <c r="T849" s="1304"/>
    </row>
    <row r="850" spans="1:20">
      <c r="A850" s="1303"/>
      <c r="B850" s="1322" t="s">
        <v>3954</v>
      </c>
      <c r="C850" s="1323" t="s">
        <v>3955</v>
      </c>
      <c r="D850" s="1324">
        <f t="shared" si="108"/>
        <v>40647</v>
      </c>
      <c r="E850" s="1323">
        <f t="shared" si="104"/>
        <v>6.7903000000000002</v>
      </c>
      <c r="F850" s="1323">
        <f t="shared" si="109"/>
        <v>8.3386207589090287</v>
      </c>
      <c r="G850" s="1323">
        <f t="shared" si="105"/>
        <v>2011</v>
      </c>
      <c r="H850" s="1323">
        <f t="shared" si="106"/>
        <v>4</v>
      </c>
      <c r="I850" s="1323">
        <f t="shared" si="107"/>
        <v>14</v>
      </c>
      <c r="J850" s="1323"/>
      <c r="K850" s="1323"/>
      <c r="L850" s="1323"/>
      <c r="M850" s="1323"/>
      <c r="N850" s="1323"/>
      <c r="O850" s="1323"/>
      <c r="P850" s="1323"/>
      <c r="Q850" s="1323"/>
      <c r="R850" s="1304"/>
      <c r="S850" s="1304"/>
      <c r="T850" s="1304"/>
    </row>
    <row r="851" spans="1:20">
      <c r="A851" s="1303"/>
      <c r="B851" s="1322" t="s">
        <v>3956</v>
      </c>
      <c r="C851" s="1323" t="s">
        <v>3957</v>
      </c>
      <c r="D851" s="1324">
        <f t="shared" si="108"/>
        <v>40646</v>
      </c>
      <c r="E851" s="1323">
        <f t="shared" si="104"/>
        <v>6.7404000000000002</v>
      </c>
      <c r="F851" s="1323">
        <f t="shared" si="109"/>
        <v>8.3370218780009182</v>
      </c>
      <c r="G851" s="1323">
        <f t="shared" si="105"/>
        <v>2011</v>
      </c>
      <c r="H851" s="1323">
        <f t="shared" si="106"/>
        <v>4</v>
      </c>
      <c r="I851" s="1323">
        <f t="shared" si="107"/>
        <v>13</v>
      </c>
      <c r="J851" s="1323"/>
      <c r="K851" s="1323"/>
      <c r="L851" s="1323"/>
      <c r="M851" s="1323"/>
      <c r="N851" s="1323"/>
      <c r="O851" s="1323"/>
      <c r="P851" s="1323"/>
      <c r="Q851" s="1323"/>
      <c r="R851" s="1304"/>
      <c r="S851" s="1304"/>
      <c r="T851" s="1304"/>
    </row>
    <row r="852" spans="1:20">
      <c r="A852" s="1303"/>
      <c r="B852" s="1322" t="s">
        <v>3958</v>
      </c>
      <c r="C852" s="1323" t="s">
        <v>3959</v>
      </c>
      <c r="D852" s="1324">
        <f t="shared" si="108"/>
        <v>40645</v>
      </c>
      <c r="E852" s="1323">
        <f t="shared" si="104"/>
        <v>6.6978</v>
      </c>
      <c r="F852" s="1323">
        <f t="shared" si="109"/>
        <v>8.3354233036687067</v>
      </c>
      <c r="G852" s="1323">
        <f t="shared" si="105"/>
        <v>2011</v>
      </c>
      <c r="H852" s="1323">
        <f t="shared" si="106"/>
        <v>4</v>
      </c>
      <c r="I852" s="1323">
        <f t="shared" si="107"/>
        <v>12</v>
      </c>
      <c r="J852" s="1323"/>
      <c r="K852" s="1323"/>
      <c r="L852" s="1323"/>
      <c r="M852" s="1323"/>
      <c r="N852" s="1323"/>
      <c r="O852" s="1323"/>
      <c r="P852" s="1323"/>
      <c r="Q852" s="1323"/>
      <c r="R852" s="1304"/>
      <c r="S852" s="1304"/>
      <c r="T852" s="1304"/>
    </row>
    <row r="853" spans="1:20">
      <c r="A853" s="1303"/>
      <c r="B853" s="1322" t="s">
        <v>3960</v>
      </c>
      <c r="C853" s="1323" t="s">
        <v>3961</v>
      </c>
      <c r="D853" s="1324">
        <f t="shared" si="108"/>
        <v>40644</v>
      </c>
      <c r="E853" s="1323">
        <f t="shared" si="104"/>
        <v>6.6516999999999999</v>
      </c>
      <c r="F853" s="1323">
        <f t="shared" si="109"/>
        <v>8.3338250358536108</v>
      </c>
      <c r="G853" s="1323">
        <f t="shared" si="105"/>
        <v>2011</v>
      </c>
      <c r="H853" s="1323">
        <f t="shared" si="106"/>
        <v>4</v>
      </c>
      <c r="I853" s="1323">
        <f t="shared" si="107"/>
        <v>11</v>
      </c>
      <c r="J853" s="1323"/>
      <c r="K853" s="1323"/>
      <c r="L853" s="1323"/>
      <c r="M853" s="1323"/>
      <c r="N853" s="1323"/>
      <c r="O853" s="1323"/>
      <c r="P853" s="1323"/>
      <c r="Q853" s="1323"/>
      <c r="R853" s="1304"/>
      <c r="S853" s="1304"/>
      <c r="T853" s="1304"/>
    </row>
    <row r="854" spans="1:20">
      <c r="A854" s="1303"/>
      <c r="B854" s="1322" t="s">
        <v>3962</v>
      </c>
      <c r="C854" s="1323" t="s">
        <v>3963</v>
      </c>
      <c r="D854" s="1324">
        <f t="shared" si="108"/>
        <v>40641</v>
      </c>
      <c r="E854" s="1323">
        <f t="shared" ref="E854:E917" si="110">VALUE(C855)</f>
        <v>6.6478999999999999</v>
      </c>
      <c r="F854" s="1323">
        <f t="shared" si="109"/>
        <v>8.3322270744968581</v>
      </c>
      <c r="G854" s="1323">
        <f t="shared" ref="G854:G917" si="111">YEAR(B855)</f>
        <v>2011</v>
      </c>
      <c r="H854" s="1323">
        <f t="shared" ref="H854:H917" si="112">MONTH(B855)</f>
        <v>4</v>
      </c>
      <c r="I854" s="1323">
        <f t="shared" ref="I854:I917" si="113">DAY(B855)</f>
        <v>8</v>
      </c>
      <c r="J854" s="1323"/>
      <c r="K854" s="1323"/>
      <c r="L854" s="1323"/>
      <c r="M854" s="1323"/>
      <c r="N854" s="1323"/>
      <c r="O854" s="1323"/>
      <c r="P854" s="1323"/>
      <c r="Q854" s="1323"/>
      <c r="R854" s="1304"/>
      <c r="S854" s="1304"/>
      <c r="T854" s="1304"/>
    </row>
    <row r="855" spans="1:20">
      <c r="A855" s="1303"/>
      <c r="B855" s="1322" t="s">
        <v>3964</v>
      </c>
      <c r="C855" s="1323" t="s">
        <v>3965</v>
      </c>
      <c r="D855" s="1324">
        <f t="shared" si="108"/>
        <v>40640</v>
      </c>
      <c r="E855" s="1323">
        <f t="shared" si="110"/>
        <v>6.6871999999999998</v>
      </c>
      <c r="F855" s="1323">
        <f t="shared" si="109"/>
        <v>8.3306294195396866</v>
      </c>
      <c r="G855" s="1323">
        <f t="shared" si="111"/>
        <v>2011</v>
      </c>
      <c r="H855" s="1323">
        <f t="shared" si="112"/>
        <v>4</v>
      </c>
      <c r="I855" s="1323">
        <f t="shared" si="113"/>
        <v>7</v>
      </c>
      <c r="J855" s="1323"/>
      <c r="K855" s="1323"/>
      <c r="L855" s="1323"/>
      <c r="M855" s="1323"/>
      <c r="N855" s="1323"/>
      <c r="O855" s="1323"/>
      <c r="P855" s="1323"/>
      <c r="Q855" s="1323"/>
      <c r="R855" s="1304"/>
      <c r="S855" s="1304"/>
      <c r="T855" s="1304"/>
    </row>
    <row r="856" spans="1:20">
      <c r="A856" s="1303"/>
      <c r="B856" s="1322" t="s">
        <v>3966</v>
      </c>
      <c r="C856" s="1323" t="s">
        <v>3967</v>
      </c>
      <c r="D856" s="1324">
        <f t="shared" si="108"/>
        <v>40639</v>
      </c>
      <c r="E856" s="1323">
        <f t="shared" si="110"/>
        <v>6.6924999999999999</v>
      </c>
      <c r="F856" s="1323">
        <f t="shared" si="109"/>
        <v>8.3290320709233452</v>
      </c>
      <c r="G856" s="1323">
        <f t="shared" si="111"/>
        <v>2011</v>
      </c>
      <c r="H856" s="1323">
        <f t="shared" si="112"/>
        <v>4</v>
      </c>
      <c r="I856" s="1323">
        <f t="shared" si="113"/>
        <v>6</v>
      </c>
      <c r="J856" s="1323"/>
      <c r="K856" s="1323"/>
      <c r="L856" s="1323"/>
      <c r="M856" s="1323"/>
      <c r="N856" s="1323"/>
      <c r="O856" s="1323"/>
      <c r="P856" s="1323"/>
      <c r="Q856" s="1323"/>
      <c r="R856" s="1304"/>
      <c r="S856" s="1304"/>
      <c r="T856" s="1304"/>
    </row>
    <row r="857" spans="1:20">
      <c r="A857" s="1303"/>
      <c r="B857" s="1322" t="s">
        <v>3968</v>
      </c>
      <c r="C857" s="1323" t="s">
        <v>3969</v>
      </c>
      <c r="D857" s="1324">
        <f t="shared" si="108"/>
        <v>40638</v>
      </c>
      <c r="E857" s="1323">
        <f t="shared" si="110"/>
        <v>6.7378</v>
      </c>
      <c r="F857" s="1323">
        <f t="shared" si="109"/>
        <v>8.327435028589095</v>
      </c>
      <c r="G857" s="1323">
        <f t="shared" si="111"/>
        <v>2011</v>
      </c>
      <c r="H857" s="1323">
        <f t="shared" si="112"/>
        <v>4</v>
      </c>
      <c r="I857" s="1323">
        <f t="shared" si="113"/>
        <v>5</v>
      </c>
      <c r="J857" s="1323"/>
      <c r="K857" s="1323"/>
      <c r="L857" s="1323"/>
      <c r="M857" s="1323"/>
      <c r="N857" s="1323"/>
      <c r="O857" s="1323"/>
      <c r="P857" s="1323"/>
      <c r="Q857" s="1323"/>
      <c r="R857" s="1304"/>
      <c r="S857" s="1304"/>
      <c r="T857" s="1304"/>
    </row>
    <row r="858" spans="1:20">
      <c r="A858" s="1303"/>
      <c r="B858" s="1322" t="s">
        <v>3970</v>
      </c>
      <c r="C858" s="1323" t="s">
        <v>3971</v>
      </c>
      <c r="D858" s="1324">
        <f t="shared" si="108"/>
        <v>40637</v>
      </c>
      <c r="E858" s="1323">
        <f t="shared" si="110"/>
        <v>6.7202999999999999</v>
      </c>
      <c r="F858" s="1323">
        <f t="shared" si="109"/>
        <v>8.3258382924782079</v>
      </c>
      <c r="G858" s="1323">
        <f t="shared" si="111"/>
        <v>2011</v>
      </c>
      <c r="H858" s="1323">
        <f t="shared" si="112"/>
        <v>4</v>
      </c>
      <c r="I858" s="1323">
        <f t="shared" si="113"/>
        <v>4</v>
      </c>
      <c r="J858" s="1323"/>
      <c r="K858" s="1323"/>
      <c r="L858" s="1323"/>
      <c r="M858" s="1323"/>
      <c r="N858" s="1323"/>
      <c r="O858" s="1323"/>
      <c r="P858" s="1323"/>
      <c r="Q858" s="1323"/>
      <c r="R858" s="1304"/>
      <c r="S858" s="1304"/>
      <c r="T858" s="1304"/>
    </row>
    <row r="859" spans="1:20">
      <c r="A859" s="1303"/>
      <c r="B859" s="1322" t="s">
        <v>3972</v>
      </c>
      <c r="C859" s="1323" t="s">
        <v>3973</v>
      </c>
      <c r="D859" s="1324">
        <f t="shared" si="108"/>
        <v>40634</v>
      </c>
      <c r="E859" s="1323">
        <f t="shared" si="110"/>
        <v>6.7664999999999997</v>
      </c>
      <c r="F859" s="1323">
        <f t="shared" si="109"/>
        <v>8.3242418625319683</v>
      </c>
      <c r="G859" s="1323">
        <f t="shared" si="111"/>
        <v>2011</v>
      </c>
      <c r="H859" s="1323">
        <f t="shared" si="112"/>
        <v>4</v>
      </c>
      <c r="I859" s="1323">
        <f t="shared" si="113"/>
        <v>1</v>
      </c>
      <c r="J859" s="1323"/>
      <c r="K859" s="1323"/>
      <c r="L859" s="1323"/>
      <c r="M859" s="1323"/>
      <c r="N859" s="1323"/>
      <c r="O859" s="1323"/>
      <c r="P859" s="1323"/>
      <c r="Q859" s="1323"/>
      <c r="R859" s="1304"/>
      <c r="S859" s="1304"/>
      <c r="T859" s="1304"/>
    </row>
    <row r="860" spans="1:20">
      <c r="A860" s="1303"/>
      <c r="B860" s="1322" t="s">
        <v>3974</v>
      </c>
      <c r="C860" s="1323" t="s">
        <v>3975</v>
      </c>
      <c r="D860" s="1324">
        <f t="shared" si="108"/>
        <v>40633</v>
      </c>
      <c r="E860" s="1323">
        <f t="shared" si="110"/>
        <v>6.782</v>
      </c>
      <c r="F860" s="1323">
        <f t="shared" si="109"/>
        <v>8.322645738691671</v>
      </c>
      <c r="G860" s="1323">
        <f t="shared" si="111"/>
        <v>2011</v>
      </c>
      <c r="H860" s="1323">
        <f t="shared" si="112"/>
        <v>3</v>
      </c>
      <c r="I860" s="1323">
        <f t="shared" si="113"/>
        <v>31</v>
      </c>
      <c r="J860" s="1323"/>
      <c r="K860" s="1323"/>
      <c r="L860" s="1323"/>
      <c r="M860" s="1323"/>
      <c r="N860" s="1323"/>
      <c r="O860" s="1323"/>
      <c r="P860" s="1323"/>
      <c r="Q860" s="1323"/>
      <c r="R860" s="1304"/>
      <c r="S860" s="1304"/>
      <c r="T860" s="1304"/>
    </row>
    <row r="861" spans="1:20">
      <c r="A861" s="1303"/>
      <c r="B861" s="1322" t="s">
        <v>3976</v>
      </c>
      <c r="C861" s="1323" t="s">
        <v>3977</v>
      </c>
      <c r="D861" s="1324">
        <f t="shared" si="108"/>
        <v>40632</v>
      </c>
      <c r="E861" s="1323">
        <f t="shared" si="110"/>
        <v>6.8346999999999998</v>
      </c>
      <c r="F861" s="1323">
        <f t="shared" si="109"/>
        <v>8.3210499208986217</v>
      </c>
      <c r="G861" s="1323">
        <f t="shared" si="111"/>
        <v>2011</v>
      </c>
      <c r="H861" s="1323">
        <f t="shared" si="112"/>
        <v>3</v>
      </c>
      <c r="I861" s="1323">
        <f t="shared" si="113"/>
        <v>30</v>
      </c>
      <c r="J861" s="1323"/>
      <c r="K861" s="1323"/>
      <c r="L861" s="1323"/>
      <c r="M861" s="1323"/>
      <c r="N861" s="1323"/>
      <c r="O861" s="1323"/>
      <c r="P861" s="1323"/>
      <c r="Q861" s="1323"/>
      <c r="R861" s="1304"/>
      <c r="S861" s="1304"/>
      <c r="T861" s="1304"/>
    </row>
    <row r="862" spans="1:20">
      <c r="A862" s="1303"/>
      <c r="B862" s="1322" t="s">
        <v>3978</v>
      </c>
      <c r="C862" s="1323" t="s">
        <v>3979</v>
      </c>
      <c r="D862" s="1324">
        <f t="shared" si="108"/>
        <v>40631</v>
      </c>
      <c r="E862" s="1323">
        <f t="shared" si="110"/>
        <v>6.8628999999999998</v>
      </c>
      <c r="F862" s="1323">
        <f t="shared" si="109"/>
        <v>8.3194544090941385</v>
      </c>
      <c r="G862" s="1323">
        <f t="shared" si="111"/>
        <v>2011</v>
      </c>
      <c r="H862" s="1323">
        <f t="shared" si="112"/>
        <v>3</v>
      </c>
      <c r="I862" s="1323">
        <f t="shared" si="113"/>
        <v>29</v>
      </c>
      <c r="J862" s="1323"/>
      <c r="K862" s="1323"/>
      <c r="L862" s="1323"/>
      <c r="M862" s="1323"/>
      <c r="N862" s="1323"/>
      <c r="O862" s="1323"/>
      <c r="P862" s="1323"/>
      <c r="Q862" s="1323"/>
      <c r="R862" s="1304"/>
      <c r="S862" s="1304"/>
      <c r="T862" s="1304"/>
    </row>
    <row r="863" spans="1:20">
      <c r="A863" s="1303"/>
      <c r="B863" s="1322" t="s">
        <v>3980</v>
      </c>
      <c r="C863" s="1323" t="s">
        <v>3981</v>
      </c>
      <c r="D863" s="1324">
        <f t="shared" si="108"/>
        <v>40630</v>
      </c>
      <c r="E863" s="1323">
        <f t="shared" si="110"/>
        <v>6.8772000000000002</v>
      </c>
      <c r="F863" s="1323">
        <f t="shared" si="109"/>
        <v>8.3178592032195482</v>
      </c>
      <c r="G863" s="1323">
        <f t="shared" si="111"/>
        <v>2011</v>
      </c>
      <c r="H863" s="1323">
        <f t="shared" si="112"/>
        <v>3</v>
      </c>
      <c r="I863" s="1323">
        <f t="shared" si="113"/>
        <v>28</v>
      </c>
      <c r="J863" s="1323"/>
      <c r="K863" s="1323"/>
      <c r="L863" s="1323"/>
      <c r="M863" s="1323"/>
      <c r="N863" s="1323"/>
      <c r="O863" s="1323"/>
      <c r="P863" s="1323"/>
      <c r="Q863" s="1323"/>
      <c r="R863" s="1304"/>
      <c r="S863" s="1304"/>
      <c r="T863" s="1304"/>
    </row>
    <row r="864" spans="1:20">
      <c r="A864" s="1303"/>
      <c r="B864" s="1322" t="s">
        <v>3982</v>
      </c>
      <c r="C864" s="1323" t="s">
        <v>3983</v>
      </c>
      <c r="D864" s="1324">
        <f t="shared" si="108"/>
        <v>40627</v>
      </c>
      <c r="E864" s="1323">
        <f t="shared" si="110"/>
        <v>6.8768000000000002</v>
      </c>
      <c r="F864" s="1323">
        <f t="shared" si="109"/>
        <v>8.316264303216192</v>
      </c>
      <c r="G864" s="1323">
        <f t="shared" si="111"/>
        <v>2011</v>
      </c>
      <c r="H864" s="1323">
        <f t="shared" si="112"/>
        <v>3</v>
      </c>
      <c r="I864" s="1323">
        <f t="shared" si="113"/>
        <v>25</v>
      </c>
      <c r="J864" s="1323"/>
      <c r="K864" s="1323"/>
      <c r="L864" s="1323"/>
      <c r="M864" s="1323"/>
      <c r="N864" s="1323"/>
      <c r="O864" s="1323"/>
      <c r="P864" s="1323"/>
      <c r="Q864" s="1323"/>
      <c r="R864" s="1304"/>
      <c r="S864" s="1304"/>
      <c r="T864" s="1304"/>
    </row>
    <row r="865" spans="1:20">
      <c r="A865" s="1303"/>
      <c r="B865" s="1322" t="s">
        <v>3984</v>
      </c>
      <c r="C865" s="1323" t="s">
        <v>3985</v>
      </c>
      <c r="D865" s="1324">
        <f t="shared" si="108"/>
        <v>40626</v>
      </c>
      <c r="E865" s="1323">
        <f t="shared" si="110"/>
        <v>6.9302000000000001</v>
      </c>
      <c r="F865" s="1323">
        <f t="shared" si="109"/>
        <v>8.31466970902542</v>
      </c>
      <c r="G865" s="1323">
        <f t="shared" si="111"/>
        <v>2011</v>
      </c>
      <c r="H865" s="1323">
        <f t="shared" si="112"/>
        <v>3</v>
      </c>
      <c r="I865" s="1323">
        <f t="shared" si="113"/>
        <v>24</v>
      </c>
      <c r="J865" s="1323"/>
      <c r="K865" s="1323"/>
      <c r="L865" s="1323"/>
      <c r="M865" s="1323"/>
      <c r="N865" s="1323"/>
      <c r="O865" s="1323"/>
      <c r="P865" s="1323"/>
      <c r="Q865" s="1323"/>
      <c r="R865" s="1304"/>
      <c r="S865" s="1304"/>
      <c r="T865" s="1304"/>
    </row>
    <row r="866" spans="1:20">
      <c r="A866" s="1303"/>
      <c r="B866" s="1322" t="s">
        <v>3986</v>
      </c>
      <c r="C866" s="1323" t="s">
        <v>3987</v>
      </c>
      <c r="D866" s="1324">
        <f t="shared" si="108"/>
        <v>40625</v>
      </c>
      <c r="E866" s="1323">
        <f t="shared" si="110"/>
        <v>6.9080000000000004</v>
      </c>
      <c r="F866" s="1323">
        <f t="shared" si="109"/>
        <v>8.3130754205885946</v>
      </c>
      <c r="G866" s="1323">
        <f t="shared" si="111"/>
        <v>2011</v>
      </c>
      <c r="H866" s="1323">
        <f t="shared" si="112"/>
        <v>3</v>
      </c>
      <c r="I866" s="1323">
        <f t="shared" si="113"/>
        <v>23</v>
      </c>
      <c r="J866" s="1323"/>
      <c r="K866" s="1323"/>
      <c r="L866" s="1323"/>
      <c r="M866" s="1323"/>
      <c r="N866" s="1323"/>
      <c r="O866" s="1323"/>
      <c r="P866" s="1323"/>
      <c r="Q866" s="1323"/>
      <c r="R866" s="1304"/>
      <c r="S866" s="1304"/>
      <c r="T866" s="1304"/>
    </row>
    <row r="867" spans="1:20">
      <c r="A867" s="1303"/>
      <c r="B867" s="1322" t="s">
        <v>3988</v>
      </c>
      <c r="C867" s="1323" t="s">
        <v>3989</v>
      </c>
      <c r="D867" s="1324">
        <f t="shared" si="108"/>
        <v>40624</v>
      </c>
      <c r="E867" s="1323">
        <f t="shared" si="110"/>
        <v>6.9031000000000002</v>
      </c>
      <c r="F867" s="1323">
        <f t="shared" si="109"/>
        <v>8.3114814378470889</v>
      </c>
      <c r="G867" s="1323">
        <f t="shared" si="111"/>
        <v>2011</v>
      </c>
      <c r="H867" s="1323">
        <f t="shared" si="112"/>
        <v>3</v>
      </c>
      <c r="I867" s="1323">
        <f t="shared" si="113"/>
        <v>22</v>
      </c>
      <c r="J867" s="1323"/>
      <c r="K867" s="1323"/>
      <c r="L867" s="1323"/>
      <c r="M867" s="1323"/>
      <c r="N867" s="1323"/>
      <c r="O867" s="1323"/>
      <c r="P867" s="1323"/>
      <c r="Q867" s="1323"/>
      <c r="R867" s="1304"/>
      <c r="S867" s="1304"/>
      <c r="T867" s="1304"/>
    </row>
    <row r="868" spans="1:20">
      <c r="A868" s="1303"/>
      <c r="B868" s="1322" t="s">
        <v>3990</v>
      </c>
      <c r="C868" s="1323" t="s">
        <v>3991</v>
      </c>
      <c r="D868" s="1324">
        <f t="shared" si="108"/>
        <v>40620</v>
      </c>
      <c r="E868" s="1323">
        <f t="shared" si="110"/>
        <v>7.0469999999999997</v>
      </c>
      <c r="F868" s="1323">
        <f t="shared" si="109"/>
        <v>8.3098877607422885</v>
      </c>
      <c r="G868" s="1323">
        <f t="shared" si="111"/>
        <v>2011</v>
      </c>
      <c r="H868" s="1323">
        <f t="shared" si="112"/>
        <v>3</v>
      </c>
      <c r="I868" s="1323">
        <f t="shared" si="113"/>
        <v>18</v>
      </c>
      <c r="J868" s="1323"/>
      <c r="K868" s="1323"/>
      <c r="L868" s="1323"/>
      <c r="M868" s="1323"/>
      <c r="N868" s="1323"/>
      <c r="O868" s="1323"/>
      <c r="P868" s="1323"/>
      <c r="Q868" s="1323"/>
      <c r="R868" s="1304"/>
      <c r="S868" s="1304"/>
      <c r="T868" s="1304"/>
    </row>
    <row r="869" spans="1:20">
      <c r="A869" s="1303"/>
      <c r="B869" s="1322" t="s">
        <v>3992</v>
      </c>
      <c r="C869" s="1323" t="s">
        <v>3993</v>
      </c>
      <c r="D869" s="1324">
        <f t="shared" si="108"/>
        <v>40619</v>
      </c>
      <c r="E869" s="1323">
        <f t="shared" si="110"/>
        <v>7.0777000000000001</v>
      </c>
      <c r="F869" s="1323">
        <f t="shared" si="109"/>
        <v>8.3082943892155896</v>
      </c>
      <c r="G869" s="1323">
        <f t="shared" si="111"/>
        <v>2011</v>
      </c>
      <c r="H869" s="1323">
        <f t="shared" si="112"/>
        <v>3</v>
      </c>
      <c r="I869" s="1323">
        <f t="shared" si="113"/>
        <v>17</v>
      </c>
      <c r="J869" s="1323"/>
      <c r="K869" s="1323"/>
      <c r="L869" s="1323"/>
      <c r="M869" s="1323"/>
      <c r="N869" s="1323"/>
      <c r="O869" s="1323"/>
      <c r="P869" s="1323"/>
      <c r="Q869" s="1323"/>
      <c r="R869" s="1304"/>
      <c r="S869" s="1304"/>
      <c r="T869" s="1304"/>
    </row>
    <row r="870" spans="1:20">
      <c r="A870" s="1303"/>
      <c r="B870" s="1322" t="s">
        <v>3994</v>
      </c>
      <c r="C870" s="1323" t="s">
        <v>3995</v>
      </c>
      <c r="D870" s="1324">
        <f t="shared" si="108"/>
        <v>40618</v>
      </c>
      <c r="E870" s="1323">
        <f t="shared" si="110"/>
        <v>6.9850000000000003</v>
      </c>
      <c r="F870" s="1323">
        <f t="shared" si="109"/>
        <v>8.306701323208399</v>
      </c>
      <c r="G870" s="1323">
        <f t="shared" si="111"/>
        <v>2011</v>
      </c>
      <c r="H870" s="1323">
        <f t="shared" si="112"/>
        <v>3</v>
      </c>
      <c r="I870" s="1323">
        <f t="shared" si="113"/>
        <v>16</v>
      </c>
      <c r="J870" s="1323"/>
      <c r="K870" s="1323"/>
      <c r="L870" s="1323"/>
      <c r="M870" s="1323"/>
      <c r="N870" s="1323"/>
      <c r="O870" s="1323"/>
      <c r="P870" s="1323"/>
      <c r="Q870" s="1323"/>
      <c r="R870" s="1304"/>
      <c r="S870" s="1304"/>
      <c r="T870" s="1304"/>
    </row>
    <row r="871" spans="1:20">
      <c r="A871" s="1303"/>
      <c r="B871" s="1322" t="s">
        <v>3996</v>
      </c>
      <c r="C871" s="1323" t="s">
        <v>3997</v>
      </c>
      <c r="D871" s="1324">
        <f t="shared" si="108"/>
        <v>40617</v>
      </c>
      <c r="E871" s="1323">
        <f t="shared" si="110"/>
        <v>6.8756000000000004</v>
      </c>
      <c r="F871" s="1323">
        <f t="shared" si="109"/>
        <v>8.3051085626621344</v>
      </c>
      <c r="G871" s="1323">
        <f t="shared" si="111"/>
        <v>2011</v>
      </c>
      <c r="H871" s="1323">
        <f t="shared" si="112"/>
        <v>3</v>
      </c>
      <c r="I871" s="1323">
        <f t="shared" si="113"/>
        <v>15</v>
      </c>
      <c r="J871" s="1323"/>
      <c r="K871" s="1323"/>
      <c r="L871" s="1323"/>
      <c r="M871" s="1323"/>
      <c r="N871" s="1323"/>
      <c r="O871" s="1323"/>
      <c r="P871" s="1323"/>
      <c r="Q871" s="1323"/>
      <c r="R871" s="1304"/>
      <c r="S871" s="1304"/>
      <c r="T871" s="1304"/>
    </row>
    <row r="872" spans="1:20">
      <c r="A872" s="1303"/>
      <c r="B872" s="1322" t="s">
        <v>3998</v>
      </c>
      <c r="C872" s="1323" t="s">
        <v>3999</v>
      </c>
      <c r="D872" s="1324">
        <f t="shared" si="108"/>
        <v>40616</v>
      </c>
      <c r="E872" s="1323">
        <f t="shared" si="110"/>
        <v>6.8925999999999998</v>
      </c>
      <c r="F872" s="1323">
        <f t="shared" si="109"/>
        <v>8.3035161075182273</v>
      </c>
      <c r="G872" s="1323">
        <f t="shared" si="111"/>
        <v>2011</v>
      </c>
      <c r="H872" s="1323">
        <f t="shared" si="112"/>
        <v>3</v>
      </c>
      <c r="I872" s="1323">
        <f t="shared" si="113"/>
        <v>14</v>
      </c>
      <c r="J872" s="1323"/>
      <c r="K872" s="1323"/>
      <c r="L872" s="1323"/>
      <c r="M872" s="1323"/>
      <c r="N872" s="1323"/>
      <c r="O872" s="1323"/>
      <c r="P872" s="1323"/>
      <c r="Q872" s="1323"/>
      <c r="R872" s="1304"/>
      <c r="S872" s="1304"/>
      <c r="T872" s="1304"/>
    </row>
    <row r="873" spans="1:20">
      <c r="A873" s="1303"/>
      <c r="B873" s="1322" t="s">
        <v>4000</v>
      </c>
      <c r="C873" s="1323" t="s">
        <v>4001</v>
      </c>
      <c r="D873" s="1324">
        <f t="shared" si="108"/>
        <v>40613</v>
      </c>
      <c r="E873" s="1323">
        <f t="shared" si="110"/>
        <v>6.9124999999999996</v>
      </c>
      <c r="F873" s="1323">
        <f t="shared" si="109"/>
        <v>8.3019239577181168</v>
      </c>
      <c r="G873" s="1323">
        <f t="shared" si="111"/>
        <v>2011</v>
      </c>
      <c r="H873" s="1323">
        <f t="shared" si="112"/>
        <v>3</v>
      </c>
      <c r="I873" s="1323">
        <f t="shared" si="113"/>
        <v>11</v>
      </c>
      <c r="J873" s="1323"/>
      <c r="K873" s="1323"/>
      <c r="L873" s="1323"/>
      <c r="M873" s="1323"/>
      <c r="N873" s="1323"/>
      <c r="O873" s="1323"/>
      <c r="P873" s="1323"/>
      <c r="Q873" s="1323"/>
      <c r="R873" s="1304"/>
      <c r="S873" s="1304"/>
      <c r="T873" s="1304"/>
    </row>
    <row r="874" spans="1:20">
      <c r="A874" s="1303"/>
      <c r="B874" s="1322" t="s">
        <v>4002</v>
      </c>
      <c r="C874" s="1323" t="s">
        <v>4003</v>
      </c>
      <c r="D874" s="1324">
        <f t="shared" si="108"/>
        <v>40612</v>
      </c>
      <c r="E874" s="1323">
        <f t="shared" si="110"/>
        <v>6.8982000000000001</v>
      </c>
      <c r="F874" s="1323">
        <f t="shared" si="109"/>
        <v>8.3003321132032557</v>
      </c>
      <c r="G874" s="1323">
        <f t="shared" si="111"/>
        <v>2011</v>
      </c>
      <c r="H874" s="1323">
        <f t="shared" si="112"/>
        <v>3</v>
      </c>
      <c r="I874" s="1323">
        <f t="shared" si="113"/>
        <v>10</v>
      </c>
      <c r="J874" s="1323"/>
      <c r="K874" s="1323"/>
      <c r="L874" s="1323"/>
      <c r="M874" s="1323"/>
      <c r="N874" s="1323"/>
      <c r="O874" s="1323"/>
      <c r="P874" s="1323"/>
      <c r="Q874" s="1323"/>
      <c r="R874" s="1304"/>
      <c r="S874" s="1304"/>
      <c r="T874" s="1304"/>
    </row>
    <row r="875" spans="1:20">
      <c r="A875" s="1303"/>
      <c r="B875" s="1322" t="s">
        <v>4004</v>
      </c>
      <c r="C875" s="1323" t="s">
        <v>4005</v>
      </c>
      <c r="D875" s="1324">
        <f t="shared" si="108"/>
        <v>40611</v>
      </c>
      <c r="E875" s="1323">
        <f t="shared" si="110"/>
        <v>6.9114000000000004</v>
      </c>
      <c r="F875" s="1323">
        <f t="shared" si="109"/>
        <v>8.2987405739151079</v>
      </c>
      <c r="G875" s="1323">
        <f t="shared" si="111"/>
        <v>2011</v>
      </c>
      <c r="H875" s="1323">
        <f t="shared" si="112"/>
        <v>3</v>
      </c>
      <c r="I875" s="1323">
        <f t="shared" si="113"/>
        <v>9</v>
      </c>
      <c r="J875" s="1323"/>
      <c r="K875" s="1323"/>
      <c r="L875" s="1323"/>
      <c r="M875" s="1323"/>
      <c r="N875" s="1323"/>
      <c r="O875" s="1323"/>
      <c r="P875" s="1323"/>
      <c r="Q875" s="1323"/>
      <c r="R875" s="1304"/>
      <c r="S875" s="1304"/>
      <c r="T875" s="1304"/>
    </row>
    <row r="876" spans="1:20">
      <c r="A876" s="1303"/>
      <c r="B876" s="1322" t="s">
        <v>4006</v>
      </c>
      <c r="C876" s="1323" t="s">
        <v>3832</v>
      </c>
      <c r="D876" s="1324">
        <f t="shared" si="108"/>
        <v>40610</v>
      </c>
      <c r="E876" s="1323">
        <f t="shared" si="110"/>
        <v>6.8684000000000003</v>
      </c>
      <c r="F876" s="1323">
        <f t="shared" si="109"/>
        <v>8.2971493397951477</v>
      </c>
      <c r="G876" s="1323">
        <f t="shared" si="111"/>
        <v>2011</v>
      </c>
      <c r="H876" s="1323">
        <f t="shared" si="112"/>
        <v>3</v>
      </c>
      <c r="I876" s="1323">
        <f t="shared" si="113"/>
        <v>8</v>
      </c>
      <c r="J876" s="1323"/>
      <c r="K876" s="1323"/>
      <c r="L876" s="1323"/>
      <c r="M876" s="1323"/>
      <c r="N876" s="1323"/>
      <c r="O876" s="1323"/>
      <c r="P876" s="1323"/>
      <c r="Q876" s="1323"/>
      <c r="R876" s="1304"/>
      <c r="S876" s="1304"/>
      <c r="T876" s="1304"/>
    </row>
    <row r="877" spans="1:20">
      <c r="A877" s="1303"/>
      <c r="B877" s="1322" t="s">
        <v>4007</v>
      </c>
      <c r="C877" s="1323" t="s">
        <v>4008</v>
      </c>
      <c r="D877" s="1324">
        <f t="shared" si="108"/>
        <v>40609</v>
      </c>
      <c r="E877" s="1323">
        <f t="shared" si="110"/>
        <v>6.8834</v>
      </c>
      <c r="F877" s="1323">
        <f t="shared" si="109"/>
        <v>8.2955584107848601</v>
      </c>
      <c r="G877" s="1323">
        <f t="shared" si="111"/>
        <v>2011</v>
      </c>
      <c r="H877" s="1323">
        <f t="shared" si="112"/>
        <v>3</v>
      </c>
      <c r="I877" s="1323">
        <f t="shared" si="113"/>
        <v>7</v>
      </c>
      <c r="J877" s="1323"/>
      <c r="K877" s="1323"/>
      <c r="L877" s="1323"/>
      <c r="M877" s="1323"/>
      <c r="N877" s="1323"/>
      <c r="O877" s="1323"/>
      <c r="P877" s="1323"/>
      <c r="Q877" s="1323"/>
      <c r="R877" s="1304"/>
      <c r="S877" s="1304"/>
      <c r="T877" s="1304"/>
    </row>
    <row r="878" spans="1:20">
      <c r="A878" s="1303"/>
      <c r="B878" s="1322" t="s">
        <v>4009</v>
      </c>
      <c r="C878" s="1323" t="s">
        <v>4010</v>
      </c>
      <c r="D878" s="1324">
        <f t="shared" si="108"/>
        <v>40606</v>
      </c>
      <c r="E878" s="1323">
        <f t="shared" si="110"/>
        <v>6.8891999999999998</v>
      </c>
      <c r="F878" s="1323">
        <f t="shared" si="109"/>
        <v>8.2939677868257426</v>
      </c>
      <c r="G878" s="1323">
        <f t="shared" si="111"/>
        <v>2011</v>
      </c>
      <c r="H878" s="1323">
        <f t="shared" si="112"/>
        <v>3</v>
      </c>
      <c r="I878" s="1323">
        <f t="shared" si="113"/>
        <v>4</v>
      </c>
      <c r="J878" s="1323"/>
      <c r="K878" s="1323"/>
      <c r="L878" s="1323"/>
      <c r="M878" s="1323"/>
      <c r="N878" s="1323"/>
      <c r="O878" s="1323"/>
      <c r="P878" s="1323"/>
      <c r="Q878" s="1323"/>
      <c r="R878" s="1304"/>
      <c r="S878" s="1304"/>
      <c r="T878" s="1304"/>
    </row>
    <row r="879" spans="1:20">
      <c r="A879" s="1303"/>
      <c r="B879" s="1322" t="s">
        <v>4011</v>
      </c>
      <c r="C879" s="1323" t="s">
        <v>4012</v>
      </c>
      <c r="D879" s="1324">
        <f t="shared" si="108"/>
        <v>40605</v>
      </c>
      <c r="E879" s="1323">
        <f t="shared" si="110"/>
        <v>6.8673999999999999</v>
      </c>
      <c r="F879" s="1323">
        <f t="shared" si="109"/>
        <v>8.2923774678593034</v>
      </c>
      <c r="G879" s="1323">
        <f t="shared" si="111"/>
        <v>2011</v>
      </c>
      <c r="H879" s="1323">
        <f t="shared" si="112"/>
        <v>3</v>
      </c>
      <c r="I879" s="1323">
        <f t="shared" si="113"/>
        <v>3</v>
      </c>
      <c r="J879" s="1323"/>
      <c r="K879" s="1323"/>
      <c r="L879" s="1323"/>
      <c r="M879" s="1323"/>
      <c r="N879" s="1323"/>
      <c r="O879" s="1323"/>
      <c r="P879" s="1323"/>
      <c r="Q879" s="1323"/>
      <c r="R879" s="1304"/>
      <c r="S879" s="1304"/>
      <c r="T879" s="1304"/>
    </row>
    <row r="880" spans="1:20">
      <c r="A880" s="1303"/>
      <c r="B880" s="1322" t="s">
        <v>4013</v>
      </c>
      <c r="C880" s="1323" t="s">
        <v>4014</v>
      </c>
      <c r="D880" s="1324">
        <f t="shared" si="108"/>
        <v>40604</v>
      </c>
      <c r="E880" s="1323">
        <f t="shared" si="110"/>
        <v>6.9789000000000003</v>
      </c>
      <c r="F880" s="1323">
        <f t="shared" si="109"/>
        <v>8.2907874538270629</v>
      </c>
      <c r="G880" s="1323">
        <f t="shared" si="111"/>
        <v>2011</v>
      </c>
      <c r="H880" s="1323">
        <f t="shared" si="112"/>
        <v>3</v>
      </c>
      <c r="I880" s="1323">
        <f t="shared" si="113"/>
        <v>2</v>
      </c>
      <c r="J880" s="1323"/>
      <c r="K880" s="1323"/>
      <c r="L880" s="1323"/>
      <c r="M880" s="1323"/>
      <c r="N880" s="1323"/>
      <c r="O880" s="1323"/>
      <c r="P880" s="1323"/>
      <c r="Q880" s="1323"/>
      <c r="R880" s="1304"/>
      <c r="S880" s="1304"/>
      <c r="T880" s="1304"/>
    </row>
    <row r="881" spans="1:20">
      <c r="A881" s="1303"/>
      <c r="B881" s="1322" t="s">
        <v>4015</v>
      </c>
      <c r="C881" s="1323" t="s">
        <v>4016</v>
      </c>
      <c r="D881" s="1324">
        <f t="shared" si="108"/>
        <v>40603</v>
      </c>
      <c r="E881" s="1323">
        <f t="shared" si="110"/>
        <v>6.9409000000000001</v>
      </c>
      <c r="F881" s="1323">
        <f t="shared" si="109"/>
        <v>8.2891977446705507</v>
      </c>
      <c r="G881" s="1323">
        <f t="shared" si="111"/>
        <v>2011</v>
      </c>
      <c r="H881" s="1323">
        <f t="shared" si="112"/>
        <v>3</v>
      </c>
      <c r="I881" s="1323">
        <f t="shared" si="113"/>
        <v>1</v>
      </c>
      <c r="J881" s="1323"/>
      <c r="K881" s="1323"/>
      <c r="L881" s="1323"/>
      <c r="M881" s="1323"/>
      <c r="N881" s="1323"/>
      <c r="O881" s="1323"/>
      <c r="P881" s="1323"/>
      <c r="Q881" s="1323"/>
      <c r="R881" s="1304"/>
      <c r="S881" s="1304"/>
      <c r="T881" s="1304"/>
    </row>
    <row r="882" spans="1:20">
      <c r="A882" s="1303"/>
      <c r="B882" s="1322" t="s">
        <v>4017</v>
      </c>
      <c r="C882" s="1323" t="s">
        <v>4018</v>
      </c>
      <c r="D882" s="1324">
        <f t="shared" si="108"/>
        <v>40602</v>
      </c>
      <c r="E882" s="1323">
        <f t="shared" si="110"/>
        <v>6.9880000000000004</v>
      </c>
      <c r="F882" s="1323">
        <f t="shared" si="109"/>
        <v>8.2876083403313086</v>
      </c>
      <c r="G882" s="1323">
        <f t="shared" si="111"/>
        <v>2011</v>
      </c>
      <c r="H882" s="1323">
        <f t="shared" si="112"/>
        <v>2</v>
      </c>
      <c r="I882" s="1323">
        <f t="shared" si="113"/>
        <v>28</v>
      </c>
      <c r="J882" s="1323"/>
      <c r="K882" s="1323"/>
      <c r="L882" s="1323"/>
      <c r="M882" s="1323"/>
      <c r="N882" s="1323"/>
      <c r="O882" s="1323"/>
      <c r="P882" s="1323"/>
      <c r="Q882" s="1323"/>
      <c r="R882" s="1304"/>
      <c r="S882" s="1304"/>
      <c r="T882" s="1304"/>
    </row>
    <row r="883" spans="1:20">
      <c r="A883" s="1303"/>
      <c r="B883" s="1322" t="s">
        <v>4019</v>
      </c>
      <c r="C883" s="1323" t="s">
        <v>4020</v>
      </c>
      <c r="D883" s="1324">
        <f t="shared" si="108"/>
        <v>40599</v>
      </c>
      <c r="E883" s="1323">
        <f t="shared" si="110"/>
        <v>7.0259999999999998</v>
      </c>
      <c r="F883" s="1323">
        <f t="shared" si="109"/>
        <v>8.2860192407508908</v>
      </c>
      <c r="G883" s="1323">
        <f t="shared" si="111"/>
        <v>2011</v>
      </c>
      <c r="H883" s="1323">
        <f t="shared" si="112"/>
        <v>2</v>
      </c>
      <c r="I883" s="1323">
        <f t="shared" si="113"/>
        <v>25</v>
      </c>
      <c r="J883" s="1323"/>
      <c r="K883" s="1323"/>
      <c r="L883" s="1323"/>
      <c r="M883" s="1323"/>
      <c r="N883" s="1323"/>
      <c r="O883" s="1323"/>
      <c r="P883" s="1323"/>
      <c r="Q883" s="1323"/>
      <c r="R883" s="1304"/>
      <c r="S883" s="1304"/>
      <c r="T883" s="1304"/>
    </row>
    <row r="884" spans="1:20">
      <c r="A884" s="1303"/>
      <c r="B884" s="1322" t="s">
        <v>4021</v>
      </c>
      <c r="C884" s="1323" t="s">
        <v>4022</v>
      </c>
      <c r="D884" s="1324">
        <f t="shared" si="108"/>
        <v>40598</v>
      </c>
      <c r="E884" s="1323">
        <f t="shared" si="110"/>
        <v>7.1220999999999997</v>
      </c>
      <c r="F884" s="1323">
        <f t="shared" si="109"/>
        <v>8.2844304458708606</v>
      </c>
      <c r="G884" s="1323">
        <f t="shared" si="111"/>
        <v>2011</v>
      </c>
      <c r="H884" s="1323">
        <f t="shared" si="112"/>
        <v>2</v>
      </c>
      <c r="I884" s="1323">
        <f t="shared" si="113"/>
        <v>24</v>
      </c>
      <c r="J884" s="1323"/>
      <c r="K884" s="1323"/>
      <c r="L884" s="1323"/>
      <c r="M884" s="1323"/>
      <c r="N884" s="1323"/>
      <c r="O884" s="1323"/>
      <c r="P884" s="1323"/>
      <c r="Q884" s="1323"/>
      <c r="R884" s="1304"/>
      <c r="S884" s="1304"/>
      <c r="T884" s="1304"/>
    </row>
    <row r="885" spans="1:20">
      <c r="A885" s="1303"/>
      <c r="B885" s="1322" t="s">
        <v>4023</v>
      </c>
      <c r="C885" s="1323" t="s">
        <v>4024</v>
      </c>
      <c r="D885" s="1324">
        <f t="shared" si="108"/>
        <v>40597</v>
      </c>
      <c r="E885" s="1323">
        <f t="shared" si="110"/>
        <v>7.1257000000000001</v>
      </c>
      <c r="F885" s="1323">
        <f t="shared" si="109"/>
        <v>8.2828419556327937</v>
      </c>
      <c r="G885" s="1323">
        <f t="shared" si="111"/>
        <v>2011</v>
      </c>
      <c r="H885" s="1323">
        <f t="shared" si="112"/>
        <v>2</v>
      </c>
      <c r="I885" s="1323">
        <f t="shared" si="113"/>
        <v>23</v>
      </c>
      <c r="J885" s="1323"/>
      <c r="K885" s="1323"/>
      <c r="L885" s="1323"/>
      <c r="M885" s="1323"/>
      <c r="N885" s="1323"/>
      <c r="O885" s="1323"/>
      <c r="P885" s="1323"/>
      <c r="Q885" s="1323"/>
      <c r="R885" s="1304"/>
      <c r="S885" s="1304"/>
      <c r="T885" s="1304"/>
    </row>
    <row r="886" spans="1:20">
      <c r="A886" s="1303"/>
      <c r="B886" s="1322" t="s">
        <v>4025</v>
      </c>
      <c r="C886" s="1323" t="s">
        <v>4026</v>
      </c>
      <c r="D886" s="1324">
        <f t="shared" si="108"/>
        <v>40596</v>
      </c>
      <c r="E886" s="1323">
        <f t="shared" si="110"/>
        <v>7.2104999999999997</v>
      </c>
      <c r="F886" s="1323">
        <f t="shared" si="109"/>
        <v>8.2812537699782762</v>
      </c>
      <c r="G886" s="1323">
        <f t="shared" si="111"/>
        <v>2011</v>
      </c>
      <c r="H886" s="1323">
        <f t="shared" si="112"/>
        <v>2</v>
      </c>
      <c r="I886" s="1323">
        <f t="shared" si="113"/>
        <v>22</v>
      </c>
      <c r="J886" s="1323"/>
      <c r="K886" s="1323"/>
      <c r="L886" s="1323"/>
      <c r="M886" s="1323"/>
      <c r="N886" s="1323"/>
      <c r="O886" s="1323"/>
      <c r="P886" s="1323"/>
      <c r="Q886" s="1323"/>
      <c r="R886" s="1304"/>
      <c r="S886" s="1304"/>
      <c r="T886" s="1304"/>
    </row>
    <row r="887" spans="1:20">
      <c r="A887" s="1303"/>
      <c r="B887" s="1322" t="s">
        <v>4027</v>
      </c>
      <c r="C887" s="1323" t="s">
        <v>3780</v>
      </c>
      <c r="D887" s="1324">
        <f t="shared" si="108"/>
        <v>40595</v>
      </c>
      <c r="E887" s="1323">
        <f t="shared" si="110"/>
        <v>7.1349</v>
      </c>
      <c r="F887" s="1323">
        <f t="shared" si="109"/>
        <v>8.279665888848907</v>
      </c>
      <c r="G887" s="1323">
        <f t="shared" si="111"/>
        <v>2011</v>
      </c>
      <c r="H887" s="1323">
        <f t="shared" si="112"/>
        <v>2</v>
      </c>
      <c r="I887" s="1323">
        <f t="shared" si="113"/>
        <v>21</v>
      </c>
      <c r="J887" s="1323"/>
      <c r="K887" s="1323"/>
      <c r="L887" s="1323"/>
      <c r="M887" s="1323"/>
      <c r="N887" s="1323"/>
      <c r="O887" s="1323"/>
      <c r="P887" s="1323"/>
      <c r="Q887" s="1323"/>
      <c r="R887" s="1304"/>
      <c r="S887" s="1304"/>
      <c r="T887" s="1304"/>
    </row>
    <row r="888" spans="1:20">
      <c r="A888" s="1303"/>
      <c r="B888" s="1322" t="s">
        <v>4028</v>
      </c>
      <c r="C888" s="1323" t="s">
        <v>4029</v>
      </c>
      <c r="D888" s="1324">
        <f t="shared" si="108"/>
        <v>40592</v>
      </c>
      <c r="E888" s="1323">
        <f t="shared" si="110"/>
        <v>7.1981999999999999</v>
      </c>
      <c r="F888" s="1323">
        <f t="shared" si="109"/>
        <v>8.2780783121862953</v>
      </c>
      <c r="G888" s="1323">
        <f t="shared" si="111"/>
        <v>2011</v>
      </c>
      <c r="H888" s="1323">
        <f t="shared" si="112"/>
        <v>2</v>
      </c>
      <c r="I888" s="1323">
        <f t="shared" si="113"/>
        <v>18</v>
      </c>
      <c r="J888" s="1323"/>
      <c r="K888" s="1323"/>
      <c r="L888" s="1323"/>
      <c r="M888" s="1323"/>
      <c r="N888" s="1323"/>
      <c r="O888" s="1323"/>
      <c r="P888" s="1323"/>
      <c r="Q888" s="1323"/>
      <c r="R888" s="1304"/>
      <c r="S888" s="1304"/>
      <c r="T888" s="1304"/>
    </row>
    <row r="889" spans="1:20">
      <c r="A889" s="1303"/>
      <c r="B889" s="1322" t="s">
        <v>4030</v>
      </c>
      <c r="C889" s="1323" t="s">
        <v>4031</v>
      </c>
      <c r="D889" s="1324">
        <f t="shared" si="108"/>
        <v>40591</v>
      </c>
      <c r="E889" s="1323">
        <f t="shared" si="110"/>
        <v>7.2195</v>
      </c>
      <c r="F889" s="1323">
        <f t="shared" si="109"/>
        <v>8.2764910399320613</v>
      </c>
      <c r="G889" s="1323">
        <f t="shared" si="111"/>
        <v>2011</v>
      </c>
      <c r="H889" s="1323">
        <f t="shared" si="112"/>
        <v>2</v>
      </c>
      <c r="I889" s="1323">
        <f t="shared" si="113"/>
        <v>17</v>
      </c>
      <c r="J889" s="1323"/>
      <c r="K889" s="1323"/>
      <c r="L889" s="1323"/>
      <c r="M889" s="1323"/>
      <c r="N889" s="1323"/>
      <c r="O889" s="1323"/>
      <c r="P889" s="1323"/>
      <c r="Q889" s="1323"/>
      <c r="R889" s="1304"/>
      <c r="S889" s="1304"/>
      <c r="T889" s="1304"/>
    </row>
    <row r="890" spans="1:20">
      <c r="A890" s="1303"/>
      <c r="B890" s="1322" t="s">
        <v>4032</v>
      </c>
      <c r="C890" s="1323" t="s">
        <v>4033</v>
      </c>
      <c r="D890" s="1324">
        <f t="shared" si="108"/>
        <v>40590</v>
      </c>
      <c r="E890" s="1323">
        <f t="shared" si="110"/>
        <v>7.3116000000000003</v>
      </c>
      <c r="F890" s="1323">
        <f t="shared" si="109"/>
        <v>8.2749040720278373</v>
      </c>
      <c r="G890" s="1323">
        <f t="shared" si="111"/>
        <v>2011</v>
      </c>
      <c r="H890" s="1323">
        <f t="shared" si="112"/>
        <v>2</v>
      </c>
      <c r="I890" s="1323">
        <f t="shared" si="113"/>
        <v>16</v>
      </c>
      <c r="J890" s="1323"/>
      <c r="K890" s="1323"/>
      <c r="L890" s="1323"/>
      <c r="M890" s="1323"/>
      <c r="N890" s="1323"/>
      <c r="O890" s="1323"/>
      <c r="P890" s="1323"/>
      <c r="Q890" s="1323"/>
      <c r="R890" s="1304"/>
      <c r="S890" s="1304"/>
      <c r="T890" s="1304"/>
    </row>
    <row r="891" spans="1:20">
      <c r="A891" s="1303"/>
      <c r="B891" s="1322" t="s">
        <v>4034</v>
      </c>
      <c r="C891" s="1323" t="s">
        <v>4035</v>
      </c>
      <c r="D891" s="1324">
        <f t="shared" si="108"/>
        <v>40589</v>
      </c>
      <c r="E891" s="1323">
        <f t="shared" si="110"/>
        <v>7.2952000000000004</v>
      </c>
      <c r="F891" s="1323">
        <f t="shared" si="109"/>
        <v>8.2733174084152648</v>
      </c>
      <c r="G891" s="1323">
        <f t="shared" si="111"/>
        <v>2011</v>
      </c>
      <c r="H891" s="1323">
        <f t="shared" si="112"/>
        <v>2</v>
      </c>
      <c r="I891" s="1323">
        <f t="shared" si="113"/>
        <v>15</v>
      </c>
      <c r="J891" s="1323"/>
      <c r="K891" s="1323"/>
      <c r="L891" s="1323"/>
      <c r="M891" s="1323"/>
      <c r="N891" s="1323"/>
      <c r="O891" s="1323"/>
      <c r="P891" s="1323"/>
      <c r="Q891" s="1323"/>
      <c r="R891" s="1304"/>
      <c r="S891" s="1304"/>
      <c r="T891" s="1304"/>
    </row>
    <row r="892" spans="1:20">
      <c r="A892" s="1303"/>
      <c r="B892" s="1322" t="s">
        <v>4036</v>
      </c>
      <c r="C892" s="1323" t="s">
        <v>4037</v>
      </c>
      <c r="D892" s="1324">
        <f t="shared" si="108"/>
        <v>40588</v>
      </c>
      <c r="E892" s="1323">
        <f t="shared" si="110"/>
        <v>7.2713000000000001</v>
      </c>
      <c r="F892" s="1323">
        <f t="shared" si="109"/>
        <v>8.2717310490359974</v>
      </c>
      <c r="G892" s="1323">
        <f t="shared" si="111"/>
        <v>2011</v>
      </c>
      <c r="H892" s="1323">
        <f t="shared" si="112"/>
        <v>2</v>
      </c>
      <c r="I892" s="1323">
        <f t="shared" si="113"/>
        <v>14</v>
      </c>
      <c r="J892" s="1323"/>
      <c r="K892" s="1323"/>
      <c r="L892" s="1323"/>
      <c r="M892" s="1323"/>
      <c r="N892" s="1323"/>
      <c r="O892" s="1323"/>
      <c r="P892" s="1323"/>
      <c r="Q892" s="1323"/>
      <c r="R892" s="1304"/>
      <c r="S892" s="1304"/>
      <c r="T892" s="1304"/>
    </row>
    <row r="893" spans="1:20">
      <c r="A893" s="1303"/>
      <c r="B893" s="1322" t="s">
        <v>4038</v>
      </c>
      <c r="C893" s="1323" t="s">
        <v>4039</v>
      </c>
      <c r="D893" s="1324">
        <f t="shared" si="108"/>
        <v>40585</v>
      </c>
      <c r="E893" s="1323">
        <f t="shared" si="110"/>
        <v>7.2853000000000003</v>
      </c>
      <c r="F893" s="1323">
        <f t="shared" si="109"/>
        <v>8.2701449938317015</v>
      </c>
      <c r="G893" s="1323">
        <f t="shared" si="111"/>
        <v>2011</v>
      </c>
      <c r="H893" s="1323">
        <f t="shared" si="112"/>
        <v>2</v>
      </c>
      <c r="I893" s="1323">
        <f t="shared" si="113"/>
        <v>11</v>
      </c>
      <c r="J893" s="1323"/>
      <c r="K893" s="1323"/>
      <c r="L893" s="1323"/>
      <c r="M893" s="1323"/>
      <c r="N893" s="1323"/>
      <c r="O893" s="1323"/>
      <c r="P893" s="1323"/>
      <c r="Q893" s="1323"/>
      <c r="R893" s="1304"/>
      <c r="S893" s="1304"/>
      <c r="T893" s="1304"/>
    </row>
    <row r="894" spans="1:20">
      <c r="A894" s="1303"/>
      <c r="B894" s="1322" t="s">
        <v>4040</v>
      </c>
      <c r="C894" s="1323" t="s">
        <v>4041</v>
      </c>
      <c r="D894" s="1324">
        <f t="shared" si="108"/>
        <v>40584</v>
      </c>
      <c r="E894" s="1323">
        <f t="shared" si="110"/>
        <v>7.2747999999999999</v>
      </c>
      <c r="F894" s="1323">
        <f t="shared" si="109"/>
        <v>8.2685592427440522</v>
      </c>
      <c r="G894" s="1323">
        <f t="shared" si="111"/>
        <v>2011</v>
      </c>
      <c r="H894" s="1323">
        <f t="shared" si="112"/>
        <v>2</v>
      </c>
      <c r="I894" s="1323">
        <f t="shared" si="113"/>
        <v>10</v>
      </c>
      <c r="J894" s="1323"/>
      <c r="K894" s="1323"/>
      <c r="L894" s="1323"/>
      <c r="M894" s="1323"/>
      <c r="N894" s="1323"/>
      <c r="O894" s="1323"/>
      <c r="P894" s="1323"/>
      <c r="Q894" s="1323"/>
      <c r="R894" s="1304"/>
      <c r="S894" s="1304"/>
      <c r="T894" s="1304"/>
    </row>
    <row r="895" spans="1:20">
      <c r="A895" s="1303"/>
      <c r="B895" s="1322" t="s">
        <v>4042</v>
      </c>
      <c r="C895" s="1323" t="s">
        <v>4043</v>
      </c>
      <c r="D895" s="1324">
        <f t="shared" si="108"/>
        <v>40583</v>
      </c>
      <c r="E895" s="1323">
        <f t="shared" si="110"/>
        <v>7.2164000000000001</v>
      </c>
      <c r="F895" s="1323">
        <f t="shared" si="109"/>
        <v>8.2669737957147369</v>
      </c>
      <c r="G895" s="1323">
        <f t="shared" si="111"/>
        <v>2011</v>
      </c>
      <c r="H895" s="1323">
        <f t="shared" si="112"/>
        <v>2</v>
      </c>
      <c r="I895" s="1323">
        <f t="shared" si="113"/>
        <v>9</v>
      </c>
      <c r="J895" s="1323"/>
      <c r="K895" s="1323"/>
      <c r="L895" s="1323"/>
      <c r="M895" s="1323"/>
      <c r="N895" s="1323"/>
      <c r="O895" s="1323"/>
      <c r="P895" s="1323"/>
      <c r="Q895" s="1323"/>
      <c r="R895" s="1304"/>
      <c r="S895" s="1304"/>
      <c r="T895" s="1304"/>
    </row>
    <row r="896" spans="1:20">
      <c r="A896" s="1303"/>
      <c r="B896" s="1322" t="s">
        <v>4044</v>
      </c>
      <c r="C896" s="1323" t="s">
        <v>4045</v>
      </c>
      <c r="D896" s="1324">
        <f t="shared" si="108"/>
        <v>40582</v>
      </c>
      <c r="E896" s="1323">
        <f t="shared" si="110"/>
        <v>7.2228000000000003</v>
      </c>
      <c r="F896" s="1323">
        <f t="shared" si="109"/>
        <v>8.2653886526854539</v>
      </c>
      <c r="G896" s="1323">
        <f t="shared" si="111"/>
        <v>2011</v>
      </c>
      <c r="H896" s="1323">
        <f t="shared" si="112"/>
        <v>2</v>
      </c>
      <c r="I896" s="1323">
        <f t="shared" si="113"/>
        <v>8</v>
      </c>
      <c r="J896" s="1323"/>
      <c r="K896" s="1323"/>
      <c r="L896" s="1323"/>
      <c r="M896" s="1323"/>
      <c r="N896" s="1323"/>
      <c r="O896" s="1323"/>
      <c r="P896" s="1323"/>
      <c r="Q896" s="1323"/>
      <c r="R896" s="1304"/>
      <c r="S896" s="1304"/>
      <c r="T896" s="1304"/>
    </row>
    <row r="897" spans="1:20">
      <c r="A897" s="1303"/>
      <c r="B897" s="1322" t="s">
        <v>4046</v>
      </c>
      <c r="C897" s="1323" t="s">
        <v>4047</v>
      </c>
      <c r="D897" s="1324">
        <f t="shared" si="108"/>
        <v>40581</v>
      </c>
      <c r="E897" s="1323">
        <f t="shared" si="110"/>
        <v>7.2497999999999996</v>
      </c>
      <c r="F897" s="1323">
        <f t="shared" si="109"/>
        <v>8.2638038135979137</v>
      </c>
      <c r="G897" s="1323">
        <f t="shared" si="111"/>
        <v>2011</v>
      </c>
      <c r="H897" s="1323">
        <f t="shared" si="112"/>
        <v>2</v>
      </c>
      <c r="I897" s="1323">
        <f t="shared" si="113"/>
        <v>7</v>
      </c>
      <c r="J897" s="1323"/>
      <c r="K897" s="1323"/>
      <c r="L897" s="1323"/>
      <c r="M897" s="1323"/>
      <c r="N897" s="1323"/>
      <c r="O897" s="1323"/>
      <c r="P897" s="1323"/>
      <c r="Q897" s="1323"/>
      <c r="R897" s="1304"/>
      <c r="S897" s="1304"/>
      <c r="T897" s="1304"/>
    </row>
    <row r="898" spans="1:20">
      <c r="A898" s="1303"/>
      <c r="B898" s="1322" t="s">
        <v>4048</v>
      </c>
      <c r="C898" s="1323" t="s">
        <v>4049</v>
      </c>
      <c r="D898" s="1324">
        <f t="shared" si="108"/>
        <v>40578</v>
      </c>
      <c r="E898" s="1323">
        <f t="shared" si="110"/>
        <v>7.27</v>
      </c>
      <c r="F898" s="1323">
        <f t="shared" si="109"/>
        <v>8.2622192783938377</v>
      </c>
      <c r="G898" s="1323">
        <f t="shared" si="111"/>
        <v>2011</v>
      </c>
      <c r="H898" s="1323">
        <f t="shared" si="112"/>
        <v>2</v>
      </c>
      <c r="I898" s="1323">
        <f t="shared" si="113"/>
        <v>4</v>
      </c>
      <c r="J898" s="1323"/>
      <c r="K898" s="1323"/>
      <c r="L898" s="1323"/>
      <c r="M898" s="1323"/>
      <c r="N898" s="1323"/>
      <c r="O898" s="1323"/>
      <c r="P898" s="1323"/>
      <c r="Q898" s="1323"/>
      <c r="R898" s="1304"/>
      <c r="S898" s="1304"/>
      <c r="T898" s="1304"/>
    </row>
    <row r="899" spans="1:20">
      <c r="A899" s="1303"/>
      <c r="B899" s="1322" t="s">
        <v>4050</v>
      </c>
      <c r="C899" s="1323" t="s">
        <v>4051</v>
      </c>
      <c r="D899" s="1324">
        <f t="shared" si="108"/>
        <v>40577</v>
      </c>
      <c r="E899" s="1323">
        <f t="shared" si="110"/>
        <v>7.1704999999999997</v>
      </c>
      <c r="F899" s="1323">
        <f t="shared" si="109"/>
        <v>8.2606350470149579</v>
      </c>
      <c r="G899" s="1323">
        <f t="shared" si="111"/>
        <v>2011</v>
      </c>
      <c r="H899" s="1323">
        <f t="shared" si="112"/>
        <v>2</v>
      </c>
      <c r="I899" s="1323">
        <f t="shared" si="113"/>
        <v>3</v>
      </c>
      <c r="J899" s="1323"/>
      <c r="K899" s="1323"/>
      <c r="L899" s="1323"/>
      <c r="M899" s="1323"/>
      <c r="N899" s="1323"/>
      <c r="O899" s="1323"/>
      <c r="P899" s="1323"/>
      <c r="Q899" s="1323"/>
      <c r="R899" s="1304"/>
      <c r="S899" s="1304"/>
      <c r="T899" s="1304"/>
    </row>
    <row r="900" spans="1:20">
      <c r="A900" s="1303"/>
      <c r="B900" s="1322" t="s">
        <v>4052</v>
      </c>
      <c r="C900" s="1323" t="s">
        <v>4053</v>
      </c>
      <c r="D900" s="1324">
        <f t="shared" si="108"/>
        <v>40576</v>
      </c>
      <c r="E900" s="1323">
        <f t="shared" si="110"/>
        <v>7.1021000000000001</v>
      </c>
      <c r="F900" s="1323">
        <f t="shared" si="109"/>
        <v>8.2590511194030167</v>
      </c>
      <c r="G900" s="1323">
        <f t="shared" si="111"/>
        <v>2011</v>
      </c>
      <c r="H900" s="1323">
        <f t="shared" si="112"/>
        <v>2</v>
      </c>
      <c r="I900" s="1323">
        <f t="shared" si="113"/>
        <v>2</v>
      </c>
      <c r="J900" s="1323"/>
      <c r="K900" s="1323"/>
      <c r="L900" s="1323"/>
      <c r="M900" s="1323"/>
      <c r="N900" s="1323"/>
      <c r="O900" s="1323"/>
      <c r="P900" s="1323"/>
      <c r="Q900" s="1323"/>
      <c r="R900" s="1304"/>
      <c r="S900" s="1304"/>
      <c r="T900" s="1304"/>
    </row>
    <row r="901" spans="1:20">
      <c r="A901" s="1303"/>
      <c r="B901" s="1322" t="s">
        <v>4054</v>
      </c>
      <c r="C901" s="1323" t="s">
        <v>4055</v>
      </c>
      <c r="D901" s="1324">
        <f t="shared" si="108"/>
        <v>40575</v>
      </c>
      <c r="E901" s="1323">
        <f t="shared" si="110"/>
        <v>7.1477000000000004</v>
      </c>
      <c r="F901" s="1323">
        <f t="shared" si="109"/>
        <v>8.2574674954997693</v>
      </c>
      <c r="G901" s="1323">
        <f t="shared" si="111"/>
        <v>2011</v>
      </c>
      <c r="H901" s="1323">
        <f t="shared" si="112"/>
        <v>2</v>
      </c>
      <c r="I901" s="1323">
        <f t="shared" si="113"/>
        <v>1</v>
      </c>
      <c r="J901" s="1323"/>
      <c r="K901" s="1323"/>
      <c r="L901" s="1323"/>
      <c r="M901" s="1323"/>
      <c r="N901" s="1323"/>
      <c r="O901" s="1323"/>
      <c r="P901" s="1323"/>
      <c r="Q901" s="1323"/>
      <c r="R901" s="1304"/>
      <c r="S901" s="1304"/>
      <c r="T901" s="1304"/>
    </row>
    <row r="902" spans="1:20">
      <c r="A902" s="1303"/>
      <c r="B902" s="1322" t="s">
        <v>4056</v>
      </c>
      <c r="C902" s="1323" t="s">
        <v>4057</v>
      </c>
      <c r="D902" s="1324">
        <f t="shared" si="108"/>
        <v>40574</v>
      </c>
      <c r="E902" s="1323">
        <f t="shared" si="110"/>
        <v>7.1817000000000002</v>
      </c>
      <c r="F902" s="1323">
        <f t="shared" si="109"/>
        <v>8.2558841752469814</v>
      </c>
      <c r="G902" s="1323">
        <f t="shared" si="111"/>
        <v>2011</v>
      </c>
      <c r="H902" s="1323">
        <f t="shared" si="112"/>
        <v>1</v>
      </c>
      <c r="I902" s="1323">
        <f t="shared" si="113"/>
        <v>31</v>
      </c>
      <c r="J902" s="1323"/>
      <c r="K902" s="1323"/>
      <c r="L902" s="1323"/>
      <c r="M902" s="1323"/>
      <c r="N902" s="1323"/>
      <c r="O902" s="1323"/>
      <c r="P902" s="1323"/>
      <c r="Q902" s="1323"/>
      <c r="R902" s="1304"/>
      <c r="S902" s="1304"/>
      <c r="T902" s="1304"/>
    </row>
    <row r="903" spans="1:20">
      <c r="A903" s="1303"/>
      <c r="B903" s="1322" t="s">
        <v>4058</v>
      </c>
      <c r="C903" s="1323" t="s">
        <v>4059</v>
      </c>
      <c r="D903" s="1324">
        <f t="shared" si="108"/>
        <v>40571</v>
      </c>
      <c r="E903" s="1323">
        <f t="shared" si="110"/>
        <v>7.1002000000000001</v>
      </c>
      <c r="F903" s="1323">
        <f t="shared" si="109"/>
        <v>8.254301158586431</v>
      </c>
      <c r="G903" s="1323">
        <f t="shared" si="111"/>
        <v>2011</v>
      </c>
      <c r="H903" s="1323">
        <f t="shared" si="112"/>
        <v>1</v>
      </c>
      <c r="I903" s="1323">
        <f t="shared" si="113"/>
        <v>28</v>
      </c>
      <c r="J903" s="1323"/>
      <c r="K903" s="1323"/>
      <c r="L903" s="1323"/>
      <c r="M903" s="1323"/>
      <c r="N903" s="1323"/>
      <c r="O903" s="1323"/>
      <c r="P903" s="1323"/>
      <c r="Q903" s="1323"/>
      <c r="R903" s="1304"/>
      <c r="S903" s="1304"/>
      <c r="T903" s="1304"/>
    </row>
    <row r="904" spans="1:20">
      <c r="A904" s="1303"/>
      <c r="B904" s="1322" t="s">
        <v>4060</v>
      </c>
      <c r="C904" s="1323" t="s">
        <v>4061</v>
      </c>
      <c r="D904" s="1324">
        <f t="shared" si="108"/>
        <v>40570</v>
      </c>
      <c r="E904" s="1323">
        <f t="shared" si="110"/>
        <v>7.0918999999999999</v>
      </c>
      <c r="F904" s="1323">
        <f t="shared" si="109"/>
        <v>8.2527184454599034</v>
      </c>
      <c r="G904" s="1323">
        <f t="shared" si="111"/>
        <v>2011</v>
      </c>
      <c r="H904" s="1323">
        <f t="shared" si="112"/>
        <v>1</v>
      </c>
      <c r="I904" s="1323">
        <f t="shared" si="113"/>
        <v>27</v>
      </c>
      <c r="J904" s="1323"/>
      <c r="K904" s="1323"/>
      <c r="L904" s="1323"/>
      <c r="M904" s="1323"/>
      <c r="N904" s="1323"/>
      <c r="O904" s="1323"/>
      <c r="P904" s="1323"/>
      <c r="Q904" s="1323"/>
      <c r="R904" s="1304"/>
      <c r="S904" s="1304"/>
      <c r="T904" s="1304"/>
    </row>
    <row r="905" spans="1:20">
      <c r="A905" s="1303"/>
      <c r="B905" s="1322" t="s">
        <v>4062</v>
      </c>
      <c r="C905" s="1323" t="s">
        <v>4063</v>
      </c>
      <c r="D905" s="1324">
        <f t="shared" ref="D905:D968" si="114">DATE(G905,H905,I905)</f>
        <v>40569</v>
      </c>
      <c r="E905" s="1323">
        <f t="shared" si="110"/>
        <v>7.0862999999999996</v>
      </c>
      <c r="F905" s="1323">
        <f t="shared" ref="F905:F968" si="115">F906*(1+$F$7/365)</f>
        <v>8.2511360358091999</v>
      </c>
      <c r="G905" s="1323">
        <f t="shared" si="111"/>
        <v>2011</v>
      </c>
      <c r="H905" s="1323">
        <f t="shared" si="112"/>
        <v>1</v>
      </c>
      <c r="I905" s="1323">
        <f t="shared" si="113"/>
        <v>26</v>
      </c>
      <c r="J905" s="1323"/>
      <c r="K905" s="1323"/>
      <c r="L905" s="1323"/>
      <c r="M905" s="1323"/>
      <c r="N905" s="1323"/>
      <c r="O905" s="1323"/>
      <c r="P905" s="1323"/>
      <c r="Q905" s="1323"/>
      <c r="R905" s="1304"/>
      <c r="S905" s="1304"/>
      <c r="T905" s="1304"/>
    </row>
    <row r="906" spans="1:20">
      <c r="A906" s="1303"/>
      <c r="B906" s="1322" t="s">
        <v>4064</v>
      </c>
      <c r="C906" s="1323" t="s">
        <v>4065</v>
      </c>
      <c r="D906" s="1324">
        <f t="shared" si="114"/>
        <v>40568</v>
      </c>
      <c r="E906" s="1323">
        <f t="shared" si="110"/>
        <v>7.0197000000000003</v>
      </c>
      <c r="F906" s="1323">
        <f t="shared" si="115"/>
        <v>8.2495539295761304</v>
      </c>
      <c r="G906" s="1323">
        <f t="shared" si="111"/>
        <v>2011</v>
      </c>
      <c r="H906" s="1323">
        <f t="shared" si="112"/>
        <v>1</v>
      </c>
      <c r="I906" s="1323">
        <f t="shared" si="113"/>
        <v>25</v>
      </c>
      <c r="J906" s="1323"/>
      <c r="K906" s="1323"/>
      <c r="L906" s="1323"/>
      <c r="M906" s="1323"/>
      <c r="N906" s="1323"/>
      <c r="O906" s="1323"/>
      <c r="P906" s="1323"/>
      <c r="Q906" s="1323"/>
      <c r="R906" s="1304"/>
      <c r="S906" s="1304"/>
      <c r="T906" s="1304"/>
    </row>
    <row r="907" spans="1:20">
      <c r="A907" s="1303"/>
      <c r="B907" s="1322" t="s">
        <v>4066</v>
      </c>
      <c r="C907" s="1323" t="s">
        <v>4067</v>
      </c>
      <c r="D907" s="1324">
        <f t="shared" si="114"/>
        <v>40567</v>
      </c>
      <c r="E907" s="1323">
        <f t="shared" si="110"/>
        <v>7.0743</v>
      </c>
      <c r="F907" s="1323">
        <f t="shared" si="115"/>
        <v>8.2479721267025159</v>
      </c>
      <c r="G907" s="1323">
        <f t="shared" si="111"/>
        <v>2011</v>
      </c>
      <c r="H907" s="1323">
        <f t="shared" si="112"/>
        <v>1</v>
      </c>
      <c r="I907" s="1323">
        <f t="shared" si="113"/>
        <v>24</v>
      </c>
      <c r="J907" s="1323"/>
      <c r="K907" s="1323"/>
      <c r="L907" s="1323"/>
      <c r="M907" s="1323"/>
      <c r="N907" s="1323"/>
      <c r="O907" s="1323"/>
      <c r="P907" s="1323"/>
      <c r="Q907" s="1323"/>
      <c r="R907" s="1304"/>
      <c r="S907" s="1304"/>
      <c r="T907" s="1304"/>
    </row>
    <row r="908" spans="1:20">
      <c r="A908" s="1303"/>
      <c r="B908" s="1322" t="s">
        <v>4068</v>
      </c>
      <c r="C908" s="1323" t="s">
        <v>4069</v>
      </c>
      <c r="D908" s="1324">
        <f t="shared" si="114"/>
        <v>40564</v>
      </c>
      <c r="E908" s="1323">
        <f t="shared" si="110"/>
        <v>7.0621</v>
      </c>
      <c r="F908" s="1323">
        <f t="shared" si="115"/>
        <v>8.2463906271301894</v>
      </c>
      <c r="G908" s="1323">
        <f t="shared" si="111"/>
        <v>2011</v>
      </c>
      <c r="H908" s="1323">
        <f t="shared" si="112"/>
        <v>1</v>
      </c>
      <c r="I908" s="1323">
        <f t="shared" si="113"/>
        <v>21</v>
      </c>
      <c r="J908" s="1323"/>
      <c r="K908" s="1323"/>
      <c r="L908" s="1323"/>
      <c r="M908" s="1323"/>
      <c r="N908" s="1323"/>
      <c r="O908" s="1323"/>
      <c r="P908" s="1323"/>
      <c r="Q908" s="1323"/>
      <c r="R908" s="1304"/>
      <c r="S908" s="1304"/>
      <c r="T908" s="1304"/>
    </row>
    <row r="909" spans="1:20">
      <c r="A909" s="1303"/>
      <c r="B909" s="1322" t="s">
        <v>4070</v>
      </c>
      <c r="C909" s="1323" t="s">
        <v>4071</v>
      </c>
      <c r="D909" s="1324">
        <f t="shared" si="114"/>
        <v>40563</v>
      </c>
      <c r="E909" s="1323">
        <f t="shared" si="110"/>
        <v>7.0159000000000002</v>
      </c>
      <c r="F909" s="1323">
        <f t="shared" si="115"/>
        <v>8.2448094308009949</v>
      </c>
      <c r="G909" s="1323">
        <f t="shared" si="111"/>
        <v>2011</v>
      </c>
      <c r="H909" s="1323">
        <f t="shared" si="112"/>
        <v>1</v>
      </c>
      <c r="I909" s="1323">
        <f t="shared" si="113"/>
        <v>20</v>
      </c>
      <c r="J909" s="1323"/>
      <c r="K909" s="1323"/>
      <c r="L909" s="1323"/>
      <c r="M909" s="1323"/>
      <c r="N909" s="1323"/>
      <c r="O909" s="1323"/>
      <c r="P909" s="1323"/>
      <c r="Q909" s="1323"/>
      <c r="R909" s="1304"/>
      <c r="S909" s="1304"/>
      <c r="T909" s="1304"/>
    </row>
    <row r="910" spans="1:20">
      <c r="A910" s="1303"/>
      <c r="B910" s="1322" t="s">
        <v>4072</v>
      </c>
      <c r="C910" s="1323" t="s">
        <v>4073</v>
      </c>
      <c r="D910" s="1324">
        <f t="shared" si="114"/>
        <v>40562</v>
      </c>
      <c r="E910" s="1323">
        <f t="shared" si="110"/>
        <v>6.8784999999999998</v>
      </c>
      <c r="F910" s="1323">
        <f t="shared" si="115"/>
        <v>8.2432285376567869</v>
      </c>
      <c r="G910" s="1323">
        <f t="shared" si="111"/>
        <v>2011</v>
      </c>
      <c r="H910" s="1323">
        <f t="shared" si="112"/>
        <v>1</v>
      </c>
      <c r="I910" s="1323">
        <f t="shared" si="113"/>
        <v>19</v>
      </c>
      <c r="J910" s="1323"/>
      <c r="K910" s="1323"/>
      <c r="L910" s="1323"/>
      <c r="M910" s="1323"/>
      <c r="N910" s="1323"/>
      <c r="O910" s="1323"/>
      <c r="P910" s="1323"/>
      <c r="Q910" s="1323"/>
      <c r="R910" s="1304"/>
      <c r="S910" s="1304"/>
      <c r="T910" s="1304"/>
    </row>
    <row r="911" spans="1:20">
      <c r="A911" s="1303"/>
      <c r="B911" s="1322" t="s">
        <v>4074</v>
      </c>
      <c r="C911" s="1323" t="s">
        <v>4075</v>
      </c>
      <c r="D911" s="1324">
        <f t="shared" si="114"/>
        <v>40561</v>
      </c>
      <c r="E911" s="1323">
        <f t="shared" si="110"/>
        <v>6.8518999999999997</v>
      </c>
      <c r="F911" s="1323">
        <f t="shared" si="115"/>
        <v>8.2416479476394304</v>
      </c>
      <c r="G911" s="1323">
        <f t="shared" si="111"/>
        <v>2011</v>
      </c>
      <c r="H911" s="1323">
        <f t="shared" si="112"/>
        <v>1</v>
      </c>
      <c r="I911" s="1323">
        <f t="shared" si="113"/>
        <v>18</v>
      </c>
      <c r="J911" s="1323"/>
      <c r="K911" s="1323"/>
      <c r="L911" s="1323"/>
      <c r="M911" s="1323"/>
      <c r="N911" s="1323"/>
      <c r="O911" s="1323"/>
      <c r="P911" s="1323"/>
      <c r="Q911" s="1323"/>
      <c r="R911" s="1304"/>
      <c r="S911" s="1304"/>
      <c r="T911" s="1304"/>
    </row>
    <row r="912" spans="1:20">
      <c r="A912" s="1303"/>
      <c r="B912" s="1322" t="s">
        <v>4076</v>
      </c>
      <c r="C912" s="1323" t="s">
        <v>4077</v>
      </c>
      <c r="D912" s="1324">
        <f t="shared" si="114"/>
        <v>40560</v>
      </c>
      <c r="E912" s="1323">
        <f t="shared" si="110"/>
        <v>6.9481999999999999</v>
      </c>
      <c r="F912" s="1323">
        <f t="shared" si="115"/>
        <v>8.240067660690805</v>
      </c>
      <c r="G912" s="1323">
        <f t="shared" si="111"/>
        <v>2011</v>
      </c>
      <c r="H912" s="1323">
        <f t="shared" si="112"/>
        <v>1</v>
      </c>
      <c r="I912" s="1323">
        <f t="shared" si="113"/>
        <v>17</v>
      </c>
      <c r="J912" s="1323"/>
      <c r="K912" s="1323"/>
      <c r="L912" s="1323"/>
      <c r="M912" s="1323"/>
      <c r="N912" s="1323"/>
      <c r="O912" s="1323"/>
      <c r="P912" s="1323"/>
      <c r="Q912" s="1323"/>
      <c r="R912" s="1304"/>
      <c r="S912" s="1304"/>
      <c r="T912" s="1304"/>
    </row>
    <row r="913" spans="1:20">
      <c r="A913" s="1303"/>
      <c r="B913" s="1322" t="s">
        <v>4078</v>
      </c>
      <c r="C913" s="1323" t="s">
        <v>4079</v>
      </c>
      <c r="D913" s="1324">
        <f t="shared" si="114"/>
        <v>40557</v>
      </c>
      <c r="E913" s="1323">
        <f t="shared" si="110"/>
        <v>6.8268000000000004</v>
      </c>
      <c r="F913" s="1323">
        <f t="shared" si="115"/>
        <v>8.238487676752797</v>
      </c>
      <c r="G913" s="1323">
        <f t="shared" si="111"/>
        <v>2011</v>
      </c>
      <c r="H913" s="1323">
        <f t="shared" si="112"/>
        <v>1</v>
      </c>
      <c r="I913" s="1323">
        <f t="shared" si="113"/>
        <v>14</v>
      </c>
      <c r="J913" s="1323"/>
      <c r="K913" s="1323"/>
      <c r="L913" s="1323"/>
      <c r="M913" s="1323"/>
      <c r="N913" s="1323"/>
      <c r="O913" s="1323"/>
      <c r="P913" s="1323"/>
      <c r="Q913" s="1323"/>
      <c r="R913" s="1304"/>
      <c r="S913" s="1304"/>
      <c r="T913" s="1304"/>
    </row>
    <row r="914" spans="1:20">
      <c r="A914" s="1303"/>
      <c r="B914" s="1322" t="s">
        <v>4080</v>
      </c>
      <c r="C914" s="1323" t="s">
        <v>4081</v>
      </c>
      <c r="D914" s="1324">
        <f t="shared" si="114"/>
        <v>40556</v>
      </c>
      <c r="E914" s="1323">
        <f t="shared" si="110"/>
        <v>6.8331</v>
      </c>
      <c r="F914" s="1323">
        <f t="shared" si="115"/>
        <v>8.2369079957673073</v>
      </c>
      <c r="G914" s="1323">
        <f t="shared" si="111"/>
        <v>2011</v>
      </c>
      <c r="H914" s="1323">
        <f t="shared" si="112"/>
        <v>1</v>
      </c>
      <c r="I914" s="1323">
        <f t="shared" si="113"/>
        <v>13</v>
      </c>
      <c r="J914" s="1323"/>
      <c r="K914" s="1323"/>
      <c r="L914" s="1323"/>
      <c r="M914" s="1323"/>
      <c r="N914" s="1323"/>
      <c r="O914" s="1323"/>
      <c r="P914" s="1323"/>
      <c r="Q914" s="1323"/>
      <c r="R914" s="1304"/>
      <c r="S914" s="1304"/>
      <c r="T914" s="1304"/>
    </row>
    <row r="915" spans="1:20">
      <c r="A915" s="1303"/>
      <c r="B915" s="1322" t="s">
        <v>4082</v>
      </c>
      <c r="C915" s="1323" t="s">
        <v>4083</v>
      </c>
      <c r="D915" s="1324">
        <f t="shared" si="114"/>
        <v>40555</v>
      </c>
      <c r="E915" s="1323">
        <f t="shared" si="110"/>
        <v>6.8330000000000002</v>
      </c>
      <c r="F915" s="1323">
        <f t="shared" si="115"/>
        <v>8.2353286176762452</v>
      </c>
      <c r="G915" s="1323">
        <f t="shared" si="111"/>
        <v>2011</v>
      </c>
      <c r="H915" s="1323">
        <f t="shared" si="112"/>
        <v>1</v>
      </c>
      <c r="I915" s="1323">
        <f t="shared" si="113"/>
        <v>12</v>
      </c>
      <c r="J915" s="1323"/>
      <c r="K915" s="1323"/>
      <c r="L915" s="1323"/>
      <c r="M915" s="1323"/>
      <c r="N915" s="1323"/>
      <c r="O915" s="1323"/>
      <c r="P915" s="1323"/>
      <c r="Q915" s="1323"/>
      <c r="R915" s="1304"/>
      <c r="S915" s="1304"/>
      <c r="T915" s="1304"/>
    </row>
    <row r="916" spans="1:20">
      <c r="A916" s="1303"/>
      <c r="B916" s="1322" t="s">
        <v>4084</v>
      </c>
      <c r="C916" s="1323" t="s">
        <v>4085</v>
      </c>
      <c r="D916" s="1324">
        <f t="shared" si="114"/>
        <v>40554</v>
      </c>
      <c r="E916" s="1323">
        <f t="shared" si="110"/>
        <v>6.8331999999999997</v>
      </c>
      <c r="F916" s="1323">
        <f t="shared" si="115"/>
        <v>8.2337495424215348</v>
      </c>
      <c r="G916" s="1323">
        <f t="shared" si="111"/>
        <v>2011</v>
      </c>
      <c r="H916" s="1323">
        <f t="shared" si="112"/>
        <v>1</v>
      </c>
      <c r="I916" s="1323">
        <f t="shared" si="113"/>
        <v>11</v>
      </c>
      <c r="J916" s="1323"/>
      <c r="K916" s="1323"/>
      <c r="L916" s="1323"/>
      <c r="M916" s="1323"/>
      <c r="N916" s="1323"/>
      <c r="O916" s="1323"/>
      <c r="P916" s="1323"/>
      <c r="Q916" s="1323"/>
      <c r="R916" s="1304"/>
      <c r="S916" s="1304"/>
      <c r="T916" s="1304"/>
    </row>
    <row r="917" spans="1:20">
      <c r="A917" s="1303"/>
      <c r="B917" s="1322" t="s">
        <v>4086</v>
      </c>
      <c r="C917" s="1323" t="s">
        <v>4087</v>
      </c>
      <c r="D917" s="1324">
        <f t="shared" si="114"/>
        <v>40553</v>
      </c>
      <c r="E917" s="1323">
        <f t="shared" si="110"/>
        <v>6.8380000000000001</v>
      </c>
      <c r="F917" s="1323">
        <f t="shared" si="115"/>
        <v>8.2321707699451068</v>
      </c>
      <c r="G917" s="1323">
        <f t="shared" si="111"/>
        <v>2011</v>
      </c>
      <c r="H917" s="1323">
        <f t="shared" si="112"/>
        <v>1</v>
      </c>
      <c r="I917" s="1323">
        <f t="shared" si="113"/>
        <v>10</v>
      </c>
      <c r="J917" s="1323"/>
      <c r="K917" s="1323"/>
      <c r="L917" s="1323"/>
      <c r="M917" s="1323"/>
      <c r="N917" s="1323"/>
      <c r="O917" s="1323"/>
      <c r="P917" s="1323"/>
      <c r="Q917" s="1323"/>
      <c r="R917" s="1304"/>
      <c r="S917" s="1304"/>
      <c r="T917" s="1304"/>
    </row>
    <row r="918" spans="1:20">
      <c r="A918" s="1303"/>
      <c r="B918" s="1322" t="s">
        <v>4088</v>
      </c>
      <c r="C918" s="1323" t="s">
        <v>4089</v>
      </c>
      <c r="D918" s="1324">
        <f t="shared" si="114"/>
        <v>40550</v>
      </c>
      <c r="E918" s="1323">
        <f t="shared" ref="E918:E981" si="116">VALUE(C919)</f>
        <v>6.8109999999999999</v>
      </c>
      <c r="F918" s="1323">
        <f t="shared" si="115"/>
        <v>8.2305923001889063</v>
      </c>
      <c r="G918" s="1323">
        <f t="shared" ref="G918:G981" si="117">YEAR(B919)</f>
        <v>2011</v>
      </c>
      <c r="H918" s="1323">
        <f t="shared" ref="H918:H981" si="118">MONTH(B919)</f>
        <v>1</v>
      </c>
      <c r="I918" s="1323">
        <f t="shared" ref="I918:I981" si="119">DAY(B919)</f>
        <v>7</v>
      </c>
      <c r="J918" s="1323"/>
      <c r="K918" s="1323"/>
      <c r="L918" s="1323"/>
      <c r="M918" s="1323"/>
      <c r="N918" s="1323"/>
      <c r="O918" s="1323"/>
      <c r="P918" s="1323"/>
      <c r="Q918" s="1323"/>
      <c r="R918" s="1304"/>
      <c r="S918" s="1304"/>
      <c r="T918" s="1304"/>
    </row>
    <row r="919" spans="1:20">
      <c r="A919" s="1303"/>
      <c r="B919" s="1322" t="s">
        <v>4090</v>
      </c>
      <c r="C919" s="1323" t="s">
        <v>4091</v>
      </c>
      <c r="D919" s="1324">
        <f t="shared" si="114"/>
        <v>40549</v>
      </c>
      <c r="E919" s="1323">
        <f t="shared" si="116"/>
        <v>6.7305000000000001</v>
      </c>
      <c r="F919" s="1323">
        <f t="shared" si="115"/>
        <v>8.2290141330948874</v>
      </c>
      <c r="G919" s="1323">
        <f t="shared" si="117"/>
        <v>2011</v>
      </c>
      <c r="H919" s="1323">
        <f t="shared" si="118"/>
        <v>1</v>
      </c>
      <c r="I919" s="1323">
        <f t="shared" si="119"/>
        <v>6</v>
      </c>
      <c r="J919" s="1323"/>
      <c r="K919" s="1323"/>
      <c r="L919" s="1323"/>
      <c r="M919" s="1323"/>
      <c r="N919" s="1323"/>
      <c r="O919" s="1323"/>
      <c r="P919" s="1323"/>
      <c r="Q919" s="1323"/>
      <c r="R919" s="1304"/>
      <c r="S919" s="1304"/>
      <c r="T919" s="1304"/>
    </row>
    <row r="920" spans="1:20">
      <c r="A920" s="1303"/>
      <c r="B920" s="1322" t="s">
        <v>4092</v>
      </c>
      <c r="C920" s="1323" t="s">
        <v>4093</v>
      </c>
      <c r="D920" s="1324">
        <f t="shared" si="114"/>
        <v>40548</v>
      </c>
      <c r="E920" s="1323">
        <f t="shared" si="116"/>
        <v>6.7222</v>
      </c>
      <c r="F920" s="1323">
        <f t="shared" si="115"/>
        <v>8.2274362686050182</v>
      </c>
      <c r="G920" s="1323">
        <f t="shared" si="117"/>
        <v>2011</v>
      </c>
      <c r="H920" s="1323">
        <f t="shared" si="118"/>
        <v>1</v>
      </c>
      <c r="I920" s="1323">
        <f t="shared" si="119"/>
        <v>5</v>
      </c>
      <c r="J920" s="1323"/>
      <c r="K920" s="1323"/>
      <c r="L920" s="1323"/>
      <c r="M920" s="1323"/>
      <c r="N920" s="1323"/>
      <c r="O920" s="1323"/>
      <c r="P920" s="1323"/>
      <c r="Q920" s="1323"/>
      <c r="R920" s="1304"/>
      <c r="S920" s="1304"/>
      <c r="T920" s="1304"/>
    </row>
    <row r="921" spans="1:20">
      <c r="A921" s="1303"/>
      <c r="B921" s="1322" t="s">
        <v>4094</v>
      </c>
      <c r="C921" s="1323" t="s">
        <v>4095</v>
      </c>
      <c r="D921" s="1324">
        <f t="shared" si="114"/>
        <v>40547</v>
      </c>
      <c r="E921" s="1323">
        <f t="shared" si="116"/>
        <v>6.6558000000000002</v>
      </c>
      <c r="F921" s="1323">
        <f t="shared" si="115"/>
        <v>8.2258587066612741</v>
      </c>
      <c r="G921" s="1323">
        <f t="shared" si="117"/>
        <v>2011</v>
      </c>
      <c r="H921" s="1323">
        <f t="shared" si="118"/>
        <v>1</v>
      </c>
      <c r="I921" s="1323">
        <f t="shared" si="119"/>
        <v>4</v>
      </c>
      <c r="J921" s="1323"/>
      <c r="K921" s="1323"/>
      <c r="L921" s="1323"/>
      <c r="M921" s="1323"/>
      <c r="N921" s="1323"/>
      <c r="O921" s="1323"/>
      <c r="P921" s="1323"/>
      <c r="Q921" s="1323"/>
      <c r="R921" s="1304"/>
      <c r="S921" s="1304"/>
      <c r="T921" s="1304"/>
    </row>
    <row r="922" spans="1:20">
      <c r="A922" s="1303"/>
      <c r="B922" s="1322" t="s">
        <v>4096</v>
      </c>
      <c r="C922" s="1323" t="s">
        <v>4097</v>
      </c>
      <c r="D922" s="1324">
        <f t="shared" si="114"/>
        <v>40546</v>
      </c>
      <c r="E922" s="1323">
        <f t="shared" si="116"/>
        <v>6.6238000000000001</v>
      </c>
      <c r="F922" s="1323">
        <f t="shared" si="115"/>
        <v>8.2242814472056445</v>
      </c>
      <c r="G922" s="1323">
        <f t="shared" si="117"/>
        <v>2011</v>
      </c>
      <c r="H922" s="1323">
        <f t="shared" si="118"/>
        <v>1</v>
      </c>
      <c r="I922" s="1323">
        <f t="shared" si="119"/>
        <v>3</v>
      </c>
      <c r="J922" s="1323"/>
      <c r="K922" s="1323"/>
      <c r="L922" s="1323"/>
      <c r="M922" s="1323"/>
      <c r="N922" s="1323"/>
      <c r="O922" s="1323"/>
      <c r="P922" s="1323"/>
      <c r="Q922" s="1323"/>
      <c r="R922" s="1304"/>
      <c r="S922" s="1304"/>
      <c r="T922" s="1304"/>
    </row>
    <row r="923" spans="1:20">
      <c r="A923" s="1303"/>
      <c r="B923" s="1322" t="s">
        <v>4098</v>
      </c>
      <c r="C923" s="1323" t="s">
        <v>4099</v>
      </c>
      <c r="D923" s="1324">
        <f t="shared" si="114"/>
        <v>40543</v>
      </c>
      <c r="E923" s="1323">
        <f t="shared" si="116"/>
        <v>6.6223999999999998</v>
      </c>
      <c r="F923" s="1323">
        <f t="shared" si="115"/>
        <v>8.2227044901801296</v>
      </c>
      <c r="G923" s="1323">
        <f t="shared" si="117"/>
        <v>2010</v>
      </c>
      <c r="H923" s="1323">
        <f t="shared" si="118"/>
        <v>12</v>
      </c>
      <c r="I923" s="1323">
        <f t="shared" si="119"/>
        <v>31</v>
      </c>
      <c r="J923" s="1323"/>
      <c r="K923" s="1323"/>
      <c r="L923" s="1323"/>
      <c r="M923" s="1323"/>
      <c r="N923" s="1323"/>
      <c r="O923" s="1323"/>
      <c r="P923" s="1323"/>
      <c r="Q923" s="1323"/>
      <c r="R923" s="1304"/>
      <c r="S923" s="1304"/>
      <c r="T923" s="1304"/>
    </row>
    <row r="924" spans="1:20">
      <c r="A924" s="1303"/>
      <c r="B924" s="1322" t="s">
        <v>4100</v>
      </c>
      <c r="C924" s="1323" t="s">
        <v>4101</v>
      </c>
      <c r="D924" s="1324">
        <f t="shared" si="114"/>
        <v>40542</v>
      </c>
      <c r="E924" s="1323">
        <f t="shared" si="116"/>
        <v>6.6223999999999998</v>
      </c>
      <c r="F924" s="1323">
        <f t="shared" si="115"/>
        <v>8.2211278355267403</v>
      </c>
      <c r="G924" s="1323">
        <f t="shared" si="117"/>
        <v>2010</v>
      </c>
      <c r="H924" s="1323">
        <f t="shared" si="118"/>
        <v>12</v>
      </c>
      <c r="I924" s="1323">
        <f t="shared" si="119"/>
        <v>30</v>
      </c>
      <c r="J924" s="1323"/>
      <c r="K924" s="1323"/>
      <c r="L924" s="1323"/>
      <c r="M924" s="1323"/>
      <c r="N924" s="1323"/>
      <c r="O924" s="1323"/>
      <c r="P924" s="1323"/>
      <c r="Q924" s="1323"/>
      <c r="R924" s="1304"/>
      <c r="S924" s="1304"/>
      <c r="T924" s="1304"/>
    </row>
    <row r="925" spans="1:20">
      <c r="A925" s="1303"/>
      <c r="B925" s="1322" t="s">
        <v>4102</v>
      </c>
      <c r="C925" s="1323" t="s">
        <v>4101</v>
      </c>
      <c r="D925" s="1324">
        <f t="shared" si="114"/>
        <v>40541</v>
      </c>
      <c r="E925" s="1323">
        <f t="shared" si="116"/>
        <v>6.6908000000000003</v>
      </c>
      <c r="F925" s="1323">
        <f t="shared" si="115"/>
        <v>8.2195514831874981</v>
      </c>
      <c r="G925" s="1323">
        <f t="shared" si="117"/>
        <v>2010</v>
      </c>
      <c r="H925" s="1323">
        <f t="shared" si="118"/>
        <v>12</v>
      </c>
      <c r="I925" s="1323">
        <f t="shared" si="119"/>
        <v>29</v>
      </c>
      <c r="J925" s="1323"/>
      <c r="K925" s="1323"/>
      <c r="L925" s="1323"/>
      <c r="M925" s="1323"/>
      <c r="N925" s="1323"/>
      <c r="O925" s="1323"/>
      <c r="P925" s="1323"/>
      <c r="Q925" s="1323"/>
      <c r="R925" s="1304"/>
      <c r="S925" s="1304"/>
      <c r="T925" s="1304"/>
    </row>
    <row r="926" spans="1:20">
      <c r="A926" s="1303"/>
      <c r="B926" s="1322" t="s">
        <v>4103</v>
      </c>
      <c r="C926" s="1323" t="s">
        <v>4104</v>
      </c>
      <c r="D926" s="1324">
        <f t="shared" si="114"/>
        <v>40540</v>
      </c>
      <c r="E926" s="1323">
        <f t="shared" si="116"/>
        <v>6.7007000000000003</v>
      </c>
      <c r="F926" s="1323">
        <f t="shared" si="115"/>
        <v>8.2179754331044368</v>
      </c>
      <c r="G926" s="1323">
        <f t="shared" si="117"/>
        <v>2010</v>
      </c>
      <c r="H926" s="1323">
        <f t="shared" si="118"/>
        <v>12</v>
      </c>
      <c r="I926" s="1323">
        <f t="shared" si="119"/>
        <v>28</v>
      </c>
      <c r="J926" s="1323"/>
      <c r="K926" s="1323"/>
      <c r="L926" s="1323"/>
      <c r="M926" s="1323"/>
      <c r="N926" s="1323"/>
      <c r="O926" s="1323"/>
      <c r="P926" s="1323"/>
      <c r="Q926" s="1323"/>
      <c r="R926" s="1304"/>
      <c r="S926" s="1304"/>
      <c r="T926" s="1304"/>
    </row>
    <row r="927" spans="1:20">
      <c r="A927" s="1303"/>
      <c r="B927" s="1322" t="s">
        <v>4105</v>
      </c>
      <c r="C927" s="1323" t="s">
        <v>4106</v>
      </c>
      <c r="D927" s="1324">
        <f t="shared" si="114"/>
        <v>40536</v>
      </c>
      <c r="E927" s="1323">
        <f t="shared" si="116"/>
        <v>6.7407000000000004</v>
      </c>
      <c r="F927" s="1323">
        <f t="shared" si="115"/>
        <v>8.2163996852195993</v>
      </c>
      <c r="G927" s="1323">
        <f t="shared" si="117"/>
        <v>2010</v>
      </c>
      <c r="H927" s="1323">
        <f t="shared" si="118"/>
        <v>12</v>
      </c>
      <c r="I927" s="1323">
        <f t="shared" si="119"/>
        <v>24</v>
      </c>
      <c r="J927" s="1323"/>
      <c r="K927" s="1323"/>
      <c r="L927" s="1323"/>
      <c r="M927" s="1323"/>
      <c r="N927" s="1323"/>
      <c r="O927" s="1323"/>
      <c r="P927" s="1323"/>
      <c r="Q927" s="1323"/>
      <c r="R927" s="1304"/>
      <c r="S927" s="1304"/>
      <c r="T927" s="1304"/>
    </row>
    <row r="928" spans="1:20">
      <c r="A928" s="1303"/>
      <c r="B928" s="1322" t="s">
        <v>4107</v>
      </c>
      <c r="C928" s="1323" t="s">
        <v>4108</v>
      </c>
      <c r="D928" s="1324">
        <f t="shared" si="114"/>
        <v>40535</v>
      </c>
      <c r="E928" s="1323">
        <f t="shared" si="116"/>
        <v>6.7679999999999998</v>
      </c>
      <c r="F928" s="1323">
        <f t="shared" si="115"/>
        <v>8.2148242394750426</v>
      </c>
      <c r="G928" s="1323">
        <f t="shared" si="117"/>
        <v>2010</v>
      </c>
      <c r="H928" s="1323">
        <f t="shared" si="118"/>
        <v>12</v>
      </c>
      <c r="I928" s="1323">
        <f t="shared" si="119"/>
        <v>23</v>
      </c>
      <c r="J928" s="1323"/>
      <c r="K928" s="1323"/>
      <c r="L928" s="1323"/>
      <c r="M928" s="1323"/>
      <c r="N928" s="1323"/>
      <c r="O928" s="1323"/>
      <c r="P928" s="1323"/>
      <c r="Q928" s="1323"/>
      <c r="R928" s="1304"/>
      <c r="S928" s="1304"/>
      <c r="T928" s="1304"/>
    </row>
    <row r="929" spans="1:20">
      <c r="A929" s="1303"/>
      <c r="B929" s="1322" t="s">
        <v>4109</v>
      </c>
      <c r="C929" s="1323" t="s">
        <v>3927</v>
      </c>
      <c r="D929" s="1324">
        <f t="shared" si="114"/>
        <v>40534</v>
      </c>
      <c r="E929" s="1323">
        <f t="shared" si="116"/>
        <v>6.8015999999999996</v>
      </c>
      <c r="F929" s="1323">
        <f t="shared" si="115"/>
        <v>8.2132490958128308</v>
      </c>
      <c r="G929" s="1323">
        <f t="shared" si="117"/>
        <v>2010</v>
      </c>
      <c r="H929" s="1323">
        <f t="shared" si="118"/>
        <v>12</v>
      </c>
      <c r="I929" s="1323">
        <f t="shared" si="119"/>
        <v>22</v>
      </c>
      <c r="J929" s="1323"/>
      <c r="K929" s="1323"/>
      <c r="L929" s="1323"/>
      <c r="M929" s="1323"/>
      <c r="N929" s="1323"/>
      <c r="O929" s="1323"/>
      <c r="P929" s="1323"/>
      <c r="Q929" s="1323"/>
      <c r="R929" s="1304"/>
      <c r="S929" s="1304"/>
      <c r="T929" s="1304"/>
    </row>
    <row r="930" spans="1:20">
      <c r="A930" s="1303"/>
      <c r="B930" s="1322" t="s">
        <v>4110</v>
      </c>
      <c r="C930" s="1323" t="s">
        <v>4111</v>
      </c>
      <c r="D930" s="1324">
        <f t="shared" si="114"/>
        <v>40533</v>
      </c>
      <c r="E930" s="1323">
        <f t="shared" si="116"/>
        <v>6.8167</v>
      </c>
      <c r="F930" s="1323">
        <f t="shared" si="115"/>
        <v>8.211674254175044</v>
      </c>
      <c r="G930" s="1323">
        <f t="shared" si="117"/>
        <v>2010</v>
      </c>
      <c r="H930" s="1323">
        <f t="shared" si="118"/>
        <v>12</v>
      </c>
      <c r="I930" s="1323">
        <f t="shared" si="119"/>
        <v>21</v>
      </c>
      <c r="J930" s="1323"/>
      <c r="K930" s="1323"/>
      <c r="L930" s="1323"/>
      <c r="M930" s="1323"/>
      <c r="N930" s="1323"/>
      <c r="O930" s="1323"/>
      <c r="P930" s="1323"/>
      <c r="Q930" s="1323"/>
      <c r="R930" s="1304"/>
      <c r="S930" s="1304"/>
      <c r="T930" s="1304"/>
    </row>
    <row r="931" spans="1:20">
      <c r="A931" s="1303"/>
      <c r="B931" s="1322" t="s">
        <v>4112</v>
      </c>
      <c r="C931" s="1323" t="s">
        <v>4113</v>
      </c>
      <c r="D931" s="1324">
        <f t="shared" si="114"/>
        <v>40532</v>
      </c>
      <c r="E931" s="1323">
        <f t="shared" si="116"/>
        <v>6.8613999999999997</v>
      </c>
      <c r="F931" s="1323">
        <f t="shared" si="115"/>
        <v>8.2100997145037695</v>
      </c>
      <c r="G931" s="1323">
        <f t="shared" si="117"/>
        <v>2010</v>
      </c>
      <c r="H931" s="1323">
        <f t="shared" si="118"/>
        <v>12</v>
      </c>
      <c r="I931" s="1323">
        <f t="shared" si="119"/>
        <v>20</v>
      </c>
      <c r="J931" s="1323"/>
      <c r="K931" s="1323"/>
      <c r="L931" s="1323"/>
      <c r="M931" s="1323"/>
      <c r="N931" s="1323"/>
      <c r="O931" s="1323"/>
      <c r="P931" s="1323"/>
      <c r="Q931" s="1323"/>
      <c r="R931" s="1304"/>
      <c r="S931" s="1304"/>
      <c r="T931" s="1304"/>
    </row>
    <row r="932" spans="1:20">
      <c r="A932" s="1303"/>
      <c r="B932" s="1322" t="s">
        <v>4114</v>
      </c>
      <c r="C932" s="1323" t="s">
        <v>4115</v>
      </c>
      <c r="D932" s="1324">
        <f t="shared" si="114"/>
        <v>40529</v>
      </c>
      <c r="E932" s="1323">
        <f t="shared" si="116"/>
        <v>6.8211000000000004</v>
      </c>
      <c r="F932" s="1323">
        <f t="shared" si="115"/>
        <v>8.2085254767411069</v>
      </c>
      <c r="G932" s="1323">
        <f t="shared" si="117"/>
        <v>2010</v>
      </c>
      <c r="H932" s="1323">
        <f t="shared" si="118"/>
        <v>12</v>
      </c>
      <c r="I932" s="1323">
        <f t="shared" si="119"/>
        <v>17</v>
      </c>
      <c r="J932" s="1323"/>
      <c r="K932" s="1323"/>
      <c r="L932" s="1323"/>
      <c r="M932" s="1323"/>
      <c r="N932" s="1323"/>
      <c r="O932" s="1323"/>
      <c r="P932" s="1323"/>
      <c r="Q932" s="1323"/>
      <c r="R932" s="1304"/>
      <c r="S932" s="1304"/>
      <c r="T932" s="1304"/>
    </row>
    <row r="933" spans="1:20">
      <c r="A933" s="1303"/>
      <c r="B933" s="1322" t="s">
        <v>4116</v>
      </c>
      <c r="C933" s="1323" t="s">
        <v>4117</v>
      </c>
      <c r="D933" s="1324">
        <f t="shared" si="114"/>
        <v>40527</v>
      </c>
      <c r="E933" s="1323">
        <f t="shared" si="116"/>
        <v>6.8423999999999996</v>
      </c>
      <c r="F933" s="1323">
        <f t="shared" si="115"/>
        <v>8.2069515408291664</v>
      </c>
      <c r="G933" s="1323">
        <f t="shared" si="117"/>
        <v>2010</v>
      </c>
      <c r="H933" s="1323">
        <f t="shared" si="118"/>
        <v>12</v>
      </c>
      <c r="I933" s="1323">
        <f t="shared" si="119"/>
        <v>15</v>
      </c>
      <c r="J933" s="1323"/>
      <c r="K933" s="1323"/>
      <c r="L933" s="1323"/>
      <c r="M933" s="1323"/>
      <c r="N933" s="1323"/>
      <c r="O933" s="1323"/>
      <c r="P933" s="1323"/>
      <c r="Q933" s="1323"/>
      <c r="R933" s="1304"/>
      <c r="S933" s="1304"/>
      <c r="T933" s="1304"/>
    </row>
    <row r="934" spans="1:20">
      <c r="A934" s="1303"/>
      <c r="B934" s="1322" t="s">
        <v>4118</v>
      </c>
      <c r="C934" s="1323" t="s">
        <v>4119</v>
      </c>
      <c r="D934" s="1324">
        <f t="shared" si="114"/>
        <v>40526</v>
      </c>
      <c r="E934" s="1323">
        <f t="shared" si="116"/>
        <v>6.8174999999999999</v>
      </c>
      <c r="F934" s="1323">
        <f t="shared" si="115"/>
        <v>8.2053779067100709</v>
      </c>
      <c r="G934" s="1323">
        <f t="shared" si="117"/>
        <v>2010</v>
      </c>
      <c r="H934" s="1323">
        <f t="shared" si="118"/>
        <v>12</v>
      </c>
      <c r="I934" s="1323">
        <f t="shared" si="119"/>
        <v>14</v>
      </c>
      <c r="J934" s="1323"/>
      <c r="K934" s="1323"/>
      <c r="L934" s="1323"/>
      <c r="M934" s="1323"/>
      <c r="N934" s="1323"/>
      <c r="O934" s="1323"/>
      <c r="P934" s="1323"/>
      <c r="Q934" s="1323"/>
      <c r="R934" s="1304"/>
      <c r="S934" s="1304"/>
      <c r="T934" s="1304"/>
    </row>
    <row r="935" spans="1:20">
      <c r="A935" s="1303"/>
      <c r="B935" s="1322" t="s">
        <v>4120</v>
      </c>
      <c r="C935" s="1323" t="s">
        <v>4121</v>
      </c>
      <c r="D935" s="1324">
        <f t="shared" si="114"/>
        <v>40525</v>
      </c>
      <c r="E935" s="1323">
        <f t="shared" si="116"/>
        <v>6.8520000000000003</v>
      </c>
      <c r="F935" s="1323">
        <f t="shared" si="115"/>
        <v>8.2038045743259538</v>
      </c>
      <c r="G935" s="1323">
        <f t="shared" si="117"/>
        <v>2010</v>
      </c>
      <c r="H935" s="1323">
        <f t="shared" si="118"/>
        <v>12</v>
      </c>
      <c r="I935" s="1323">
        <f t="shared" si="119"/>
        <v>13</v>
      </c>
      <c r="J935" s="1323"/>
      <c r="K935" s="1323"/>
      <c r="L935" s="1323"/>
      <c r="M935" s="1323"/>
      <c r="N935" s="1323"/>
      <c r="O935" s="1323"/>
      <c r="P935" s="1323"/>
      <c r="Q935" s="1323"/>
      <c r="R935" s="1304"/>
      <c r="S935" s="1304"/>
      <c r="T935" s="1304"/>
    </row>
    <row r="936" spans="1:20">
      <c r="A936" s="1303"/>
      <c r="B936" s="1322" t="s">
        <v>4122</v>
      </c>
      <c r="C936" s="1323" t="s">
        <v>4123</v>
      </c>
      <c r="D936" s="1324">
        <f t="shared" si="114"/>
        <v>40522</v>
      </c>
      <c r="E936" s="1323">
        <f t="shared" si="116"/>
        <v>6.8981000000000003</v>
      </c>
      <c r="F936" s="1323">
        <f t="shared" si="115"/>
        <v>8.2022315436189572</v>
      </c>
      <c r="G936" s="1323">
        <f t="shared" si="117"/>
        <v>2010</v>
      </c>
      <c r="H936" s="1323">
        <f t="shared" si="118"/>
        <v>12</v>
      </c>
      <c r="I936" s="1323">
        <f t="shared" si="119"/>
        <v>10</v>
      </c>
      <c r="J936" s="1323"/>
      <c r="K936" s="1323"/>
      <c r="L936" s="1323"/>
      <c r="M936" s="1323"/>
      <c r="N936" s="1323"/>
      <c r="O936" s="1323"/>
      <c r="P936" s="1323"/>
      <c r="Q936" s="1323"/>
      <c r="R936" s="1304"/>
      <c r="S936" s="1304"/>
      <c r="T936" s="1304"/>
    </row>
    <row r="937" spans="1:20">
      <c r="A937" s="1303"/>
      <c r="B937" s="1322" t="s">
        <v>4124</v>
      </c>
      <c r="C937" s="1323" t="s">
        <v>4125</v>
      </c>
      <c r="D937" s="1324">
        <f t="shared" si="114"/>
        <v>40521</v>
      </c>
      <c r="E937" s="1323">
        <f t="shared" si="116"/>
        <v>6.9025999999999996</v>
      </c>
      <c r="F937" s="1323">
        <f t="shared" si="115"/>
        <v>8.2006588145312378</v>
      </c>
      <c r="G937" s="1323">
        <f t="shared" si="117"/>
        <v>2010</v>
      </c>
      <c r="H937" s="1323">
        <f t="shared" si="118"/>
        <v>12</v>
      </c>
      <c r="I937" s="1323">
        <f t="shared" si="119"/>
        <v>9</v>
      </c>
      <c r="J937" s="1323"/>
      <c r="K937" s="1323"/>
      <c r="L937" s="1323"/>
      <c r="M937" s="1323"/>
      <c r="N937" s="1323"/>
      <c r="O937" s="1323"/>
      <c r="P937" s="1323"/>
      <c r="Q937" s="1323"/>
      <c r="R937" s="1304"/>
      <c r="S937" s="1304"/>
      <c r="T937" s="1304"/>
    </row>
    <row r="938" spans="1:20">
      <c r="A938" s="1303"/>
      <c r="B938" s="1322" t="s">
        <v>4126</v>
      </c>
      <c r="C938" s="1323" t="s">
        <v>4127</v>
      </c>
      <c r="D938" s="1324">
        <f t="shared" si="114"/>
        <v>40520</v>
      </c>
      <c r="E938" s="1323">
        <f t="shared" si="116"/>
        <v>6.9619999999999997</v>
      </c>
      <c r="F938" s="1323">
        <f t="shared" si="115"/>
        <v>8.1990863870049626</v>
      </c>
      <c r="G938" s="1323">
        <f t="shared" si="117"/>
        <v>2010</v>
      </c>
      <c r="H938" s="1323">
        <f t="shared" si="118"/>
        <v>12</v>
      </c>
      <c r="I938" s="1323">
        <f t="shared" si="119"/>
        <v>8</v>
      </c>
      <c r="J938" s="1323"/>
      <c r="K938" s="1323"/>
      <c r="L938" s="1323"/>
      <c r="M938" s="1323"/>
      <c r="N938" s="1323"/>
      <c r="O938" s="1323"/>
      <c r="P938" s="1323"/>
      <c r="Q938" s="1323"/>
      <c r="R938" s="1304"/>
      <c r="S938" s="1304"/>
      <c r="T938" s="1304"/>
    </row>
    <row r="939" spans="1:20">
      <c r="A939" s="1303"/>
      <c r="B939" s="1322" t="s">
        <v>4128</v>
      </c>
      <c r="C939" s="1323" t="s">
        <v>4129</v>
      </c>
      <c r="D939" s="1324">
        <f t="shared" si="114"/>
        <v>40519</v>
      </c>
      <c r="E939" s="1323">
        <f t="shared" si="116"/>
        <v>6.8864999999999998</v>
      </c>
      <c r="F939" s="1323">
        <f t="shared" si="115"/>
        <v>8.1975142609823077</v>
      </c>
      <c r="G939" s="1323">
        <f t="shared" si="117"/>
        <v>2010</v>
      </c>
      <c r="H939" s="1323">
        <f t="shared" si="118"/>
        <v>12</v>
      </c>
      <c r="I939" s="1323">
        <f t="shared" si="119"/>
        <v>7</v>
      </c>
      <c r="J939" s="1323"/>
      <c r="K939" s="1323"/>
      <c r="L939" s="1323"/>
      <c r="M939" s="1323"/>
      <c r="N939" s="1323"/>
      <c r="O939" s="1323"/>
      <c r="P939" s="1323"/>
      <c r="Q939" s="1323"/>
      <c r="R939" s="1304"/>
      <c r="S939" s="1304"/>
      <c r="T939" s="1304"/>
    </row>
    <row r="940" spans="1:20">
      <c r="A940" s="1303"/>
      <c r="B940" s="1322" t="s">
        <v>4130</v>
      </c>
      <c r="C940" s="1323" t="s">
        <v>4131</v>
      </c>
      <c r="D940" s="1324">
        <f t="shared" si="114"/>
        <v>40518</v>
      </c>
      <c r="E940" s="1323">
        <f t="shared" si="116"/>
        <v>6.8875000000000002</v>
      </c>
      <c r="F940" s="1323">
        <f t="shared" si="115"/>
        <v>8.1959424364054634</v>
      </c>
      <c r="G940" s="1323">
        <f t="shared" si="117"/>
        <v>2010</v>
      </c>
      <c r="H940" s="1323">
        <f t="shared" si="118"/>
        <v>12</v>
      </c>
      <c r="I940" s="1323">
        <f t="shared" si="119"/>
        <v>6</v>
      </c>
      <c r="J940" s="1323"/>
      <c r="K940" s="1323"/>
      <c r="L940" s="1323"/>
      <c r="M940" s="1323"/>
      <c r="N940" s="1323"/>
      <c r="O940" s="1323"/>
      <c r="P940" s="1323"/>
      <c r="Q940" s="1323"/>
      <c r="R940" s="1304"/>
      <c r="S940" s="1304"/>
      <c r="T940" s="1304"/>
    </row>
    <row r="941" spans="1:20">
      <c r="A941" s="1303"/>
      <c r="B941" s="1322" t="s">
        <v>4132</v>
      </c>
      <c r="C941" s="1323" t="s">
        <v>4133</v>
      </c>
      <c r="D941" s="1324">
        <f t="shared" si="114"/>
        <v>40515</v>
      </c>
      <c r="E941" s="1323">
        <f t="shared" si="116"/>
        <v>6.9292999999999996</v>
      </c>
      <c r="F941" s="1323">
        <f t="shared" si="115"/>
        <v>8.1943709132166269</v>
      </c>
      <c r="G941" s="1323">
        <f t="shared" si="117"/>
        <v>2010</v>
      </c>
      <c r="H941" s="1323">
        <f t="shared" si="118"/>
        <v>12</v>
      </c>
      <c r="I941" s="1323">
        <f t="shared" si="119"/>
        <v>3</v>
      </c>
      <c r="J941" s="1323"/>
      <c r="K941" s="1323"/>
      <c r="L941" s="1323"/>
      <c r="M941" s="1323"/>
      <c r="N941" s="1323"/>
      <c r="O941" s="1323"/>
      <c r="P941" s="1323"/>
      <c r="Q941" s="1323"/>
      <c r="R941" s="1304"/>
      <c r="S941" s="1304"/>
      <c r="T941" s="1304"/>
    </row>
    <row r="942" spans="1:20">
      <c r="A942" s="1303"/>
      <c r="B942" s="1322" t="s">
        <v>4134</v>
      </c>
      <c r="C942" s="1323" t="s">
        <v>4135</v>
      </c>
      <c r="D942" s="1324">
        <f t="shared" si="114"/>
        <v>40514</v>
      </c>
      <c r="E942" s="1323">
        <f t="shared" si="116"/>
        <v>6.9787999999999997</v>
      </c>
      <c r="F942" s="1323">
        <f t="shared" si="115"/>
        <v>8.1927996913580099</v>
      </c>
      <c r="G942" s="1323">
        <f t="shared" si="117"/>
        <v>2010</v>
      </c>
      <c r="H942" s="1323">
        <f t="shared" si="118"/>
        <v>12</v>
      </c>
      <c r="I942" s="1323">
        <f t="shared" si="119"/>
        <v>2</v>
      </c>
      <c r="J942" s="1323"/>
      <c r="K942" s="1323"/>
      <c r="L942" s="1323"/>
      <c r="M942" s="1323"/>
      <c r="N942" s="1323"/>
      <c r="O942" s="1323"/>
      <c r="P942" s="1323"/>
      <c r="Q942" s="1323"/>
      <c r="R942" s="1304"/>
      <c r="S942" s="1304"/>
      <c r="T942" s="1304"/>
    </row>
    <row r="943" spans="1:20">
      <c r="A943" s="1303"/>
      <c r="B943" s="1322" t="s">
        <v>4136</v>
      </c>
      <c r="C943" s="1323" t="s">
        <v>4137</v>
      </c>
      <c r="D943" s="1324">
        <f t="shared" si="114"/>
        <v>40513</v>
      </c>
      <c r="E943" s="1323">
        <f t="shared" si="116"/>
        <v>7.0517000000000003</v>
      </c>
      <c r="F943" s="1323">
        <f t="shared" si="115"/>
        <v>8.1912287707718345</v>
      </c>
      <c r="G943" s="1323">
        <f t="shared" si="117"/>
        <v>2010</v>
      </c>
      <c r="H943" s="1323">
        <f t="shared" si="118"/>
        <v>12</v>
      </c>
      <c r="I943" s="1323">
        <f t="shared" si="119"/>
        <v>1</v>
      </c>
      <c r="J943" s="1323"/>
      <c r="K943" s="1323"/>
      <c r="L943" s="1323"/>
      <c r="M943" s="1323"/>
      <c r="N943" s="1323"/>
      <c r="O943" s="1323"/>
      <c r="P943" s="1323"/>
      <c r="Q943" s="1323"/>
      <c r="R943" s="1304"/>
      <c r="S943" s="1304"/>
      <c r="T943" s="1304"/>
    </row>
    <row r="944" spans="1:20">
      <c r="A944" s="1303"/>
      <c r="B944" s="1322" t="s">
        <v>4138</v>
      </c>
      <c r="C944" s="1323" t="s">
        <v>4139</v>
      </c>
      <c r="D944" s="1324">
        <f t="shared" si="114"/>
        <v>40512</v>
      </c>
      <c r="E944" s="1323">
        <f t="shared" si="116"/>
        <v>7.1266999999999996</v>
      </c>
      <c r="F944" s="1323">
        <f t="shared" si="115"/>
        <v>8.1896581514003337</v>
      </c>
      <c r="G944" s="1323">
        <f t="shared" si="117"/>
        <v>2010</v>
      </c>
      <c r="H944" s="1323">
        <f t="shared" si="118"/>
        <v>11</v>
      </c>
      <c r="I944" s="1323">
        <f t="shared" si="119"/>
        <v>30</v>
      </c>
      <c r="J944" s="1323"/>
      <c r="K944" s="1323"/>
      <c r="L944" s="1323"/>
      <c r="M944" s="1323"/>
      <c r="N944" s="1323"/>
      <c r="O944" s="1323"/>
      <c r="P944" s="1323"/>
      <c r="Q944" s="1323"/>
      <c r="R944" s="1304"/>
      <c r="S944" s="1304"/>
      <c r="T944" s="1304"/>
    </row>
    <row r="945" spans="1:20">
      <c r="A945" s="1303"/>
      <c r="B945" s="1322" t="s">
        <v>4140</v>
      </c>
      <c r="C945" s="1323" t="s">
        <v>4141</v>
      </c>
      <c r="D945" s="1324">
        <f t="shared" si="114"/>
        <v>40511</v>
      </c>
      <c r="E945" s="1323">
        <f t="shared" si="116"/>
        <v>7.1185</v>
      </c>
      <c r="F945" s="1323">
        <f t="shared" si="115"/>
        <v>8.1880878331857492</v>
      </c>
      <c r="G945" s="1323">
        <f t="shared" si="117"/>
        <v>2010</v>
      </c>
      <c r="H945" s="1323">
        <f t="shared" si="118"/>
        <v>11</v>
      </c>
      <c r="I945" s="1323">
        <f t="shared" si="119"/>
        <v>29</v>
      </c>
      <c r="J945" s="1323"/>
      <c r="K945" s="1323"/>
      <c r="L945" s="1323"/>
      <c r="M945" s="1323"/>
      <c r="N945" s="1323"/>
      <c r="O945" s="1323"/>
      <c r="P945" s="1323"/>
      <c r="Q945" s="1323"/>
      <c r="R945" s="1304"/>
      <c r="S945" s="1304"/>
      <c r="T945" s="1304"/>
    </row>
    <row r="946" spans="1:20">
      <c r="A946" s="1303"/>
      <c r="B946" s="1322" t="s">
        <v>4142</v>
      </c>
      <c r="C946" s="1323" t="s">
        <v>4143</v>
      </c>
      <c r="D946" s="1324">
        <f t="shared" si="114"/>
        <v>40508</v>
      </c>
      <c r="E946" s="1323">
        <f t="shared" si="116"/>
        <v>7.0917000000000003</v>
      </c>
      <c r="F946" s="1323">
        <f t="shared" si="115"/>
        <v>8.1865178160703387</v>
      </c>
      <c r="G946" s="1323">
        <f t="shared" si="117"/>
        <v>2010</v>
      </c>
      <c r="H946" s="1323">
        <f t="shared" si="118"/>
        <v>11</v>
      </c>
      <c r="I946" s="1323">
        <f t="shared" si="119"/>
        <v>26</v>
      </c>
      <c r="J946" s="1323"/>
      <c r="K946" s="1323"/>
      <c r="L946" s="1323"/>
      <c r="M946" s="1323"/>
      <c r="N946" s="1323"/>
      <c r="O946" s="1323"/>
      <c r="P946" s="1323"/>
      <c r="Q946" s="1323"/>
      <c r="R946" s="1304"/>
      <c r="S946" s="1304"/>
      <c r="T946" s="1304"/>
    </row>
    <row r="947" spans="1:20">
      <c r="A947" s="1303"/>
      <c r="B947" s="1322" t="s">
        <v>4144</v>
      </c>
      <c r="C947" s="1323" t="s">
        <v>4145</v>
      </c>
      <c r="D947" s="1324">
        <f t="shared" si="114"/>
        <v>40507</v>
      </c>
      <c r="E947" s="1323">
        <f t="shared" si="116"/>
        <v>7.056</v>
      </c>
      <c r="F947" s="1323">
        <f t="shared" si="115"/>
        <v>8.1849480999963671</v>
      </c>
      <c r="G947" s="1323">
        <f t="shared" si="117"/>
        <v>2010</v>
      </c>
      <c r="H947" s="1323">
        <f t="shared" si="118"/>
        <v>11</v>
      </c>
      <c r="I947" s="1323">
        <f t="shared" si="119"/>
        <v>25</v>
      </c>
      <c r="J947" s="1323"/>
      <c r="K947" s="1323"/>
      <c r="L947" s="1323"/>
      <c r="M947" s="1323"/>
      <c r="N947" s="1323"/>
      <c r="O947" s="1323"/>
      <c r="P947" s="1323"/>
      <c r="Q947" s="1323"/>
      <c r="R947" s="1304"/>
      <c r="S947" s="1304"/>
      <c r="T947" s="1304"/>
    </row>
    <row r="948" spans="1:20">
      <c r="A948" s="1303"/>
      <c r="B948" s="1322" t="s">
        <v>4146</v>
      </c>
      <c r="C948" s="1323" t="s">
        <v>4147</v>
      </c>
      <c r="D948" s="1324">
        <f t="shared" si="114"/>
        <v>40506</v>
      </c>
      <c r="E948" s="1323">
        <f t="shared" si="116"/>
        <v>7.0972999999999997</v>
      </c>
      <c r="F948" s="1323">
        <f t="shared" si="115"/>
        <v>8.1833786849061116</v>
      </c>
      <c r="G948" s="1323">
        <f t="shared" si="117"/>
        <v>2010</v>
      </c>
      <c r="H948" s="1323">
        <f t="shared" si="118"/>
        <v>11</v>
      </c>
      <c r="I948" s="1323">
        <f t="shared" si="119"/>
        <v>24</v>
      </c>
      <c r="J948" s="1323"/>
      <c r="K948" s="1323"/>
      <c r="L948" s="1323"/>
      <c r="M948" s="1323"/>
      <c r="N948" s="1323"/>
      <c r="O948" s="1323"/>
      <c r="P948" s="1323"/>
      <c r="Q948" s="1323"/>
      <c r="R948" s="1304"/>
      <c r="S948" s="1304"/>
      <c r="T948" s="1304"/>
    </row>
    <row r="949" spans="1:20">
      <c r="A949" s="1303"/>
      <c r="B949" s="1322" t="s">
        <v>4148</v>
      </c>
      <c r="C949" s="1323" t="s">
        <v>4149</v>
      </c>
      <c r="D949" s="1324">
        <f t="shared" si="114"/>
        <v>40505</v>
      </c>
      <c r="E949" s="1323">
        <f t="shared" si="116"/>
        <v>7.0563000000000002</v>
      </c>
      <c r="F949" s="1323">
        <f t="shared" si="115"/>
        <v>8.1818095707418603</v>
      </c>
      <c r="G949" s="1323">
        <f t="shared" si="117"/>
        <v>2010</v>
      </c>
      <c r="H949" s="1323">
        <f t="shared" si="118"/>
        <v>11</v>
      </c>
      <c r="I949" s="1323">
        <f t="shared" si="119"/>
        <v>23</v>
      </c>
      <c r="J949" s="1323"/>
      <c r="K949" s="1323"/>
      <c r="L949" s="1323"/>
      <c r="M949" s="1323"/>
      <c r="N949" s="1323"/>
      <c r="O949" s="1323"/>
      <c r="P949" s="1323"/>
      <c r="Q949" s="1323"/>
      <c r="R949" s="1304"/>
      <c r="S949" s="1304"/>
      <c r="T949" s="1304"/>
    </row>
    <row r="950" spans="1:20">
      <c r="A950" s="1303"/>
      <c r="B950" s="1322" t="s">
        <v>4150</v>
      </c>
      <c r="C950" s="1323" t="s">
        <v>4151</v>
      </c>
      <c r="D950" s="1324">
        <f t="shared" si="114"/>
        <v>40504</v>
      </c>
      <c r="E950" s="1323">
        <f t="shared" si="116"/>
        <v>6.976</v>
      </c>
      <c r="F950" s="1323">
        <f t="shared" si="115"/>
        <v>8.1802407574459117</v>
      </c>
      <c r="G950" s="1323">
        <f t="shared" si="117"/>
        <v>2010</v>
      </c>
      <c r="H950" s="1323">
        <f t="shared" si="118"/>
        <v>11</v>
      </c>
      <c r="I950" s="1323">
        <f t="shared" si="119"/>
        <v>22</v>
      </c>
      <c r="J950" s="1323"/>
      <c r="K950" s="1323"/>
      <c r="L950" s="1323"/>
      <c r="M950" s="1323"/>
      <c r="N950" s="1323"/>
      <c r="O950" s="1323"/>
      <c r="P950" s="1323"/>
      <c r="Q950" s="1323"/>
      <c r="R950" s="1304"/>
      <c r="S950" s="1304"/>
      <c r="T950" s="1304"/>
    </row>
    <row r="951" spans="1:20">
      <c r="A951" s="1303"/>
      <c r="B951" s="1322" t="s">
        <v>4152</v>
      </c>
      <c r="C951" s="1323" t="s">
        <v>4153</v>
      </c>
      <c r="D951" s="1324">
        <f t="shared" si="114"/>
        <v>40501</v>
      </c>
      <c r="E951" s="1323">
        <f t="shared" si="116"/>
        <v>6.9527000000000001</v>
      </c>
      <c r="F951" s="1323">
        <f t="shared" si="115"/>
        <v>8.1786722449605769</v>
      </c>
      <c r="G951" s="1323">
        <f t="shared" si="117"/>
        <v>2010</v>
      </c>
      <c r="H951" s="1323">
        <f t="shared" si="118"/>
        <v>11</v>
      </c>
      <c r="I951" s="1323">
        <f t="shared" si="119"/>
        <v>19</v>
      </c>
      <c r="J951" s="1323"/>
      <c r="K951" s="1323"/>
      <c r="L951" s="1323"/>
      <c r="M951" s="1323"/>
      <c r="N951" s="1323"/>
      <c r="O951" s="1323"/>
      <c r="P951" s="1323"/>
      <c r="Q951" s="1323"/>
      <c r="R951" s="1304"/>
      <c r="S951" s="1304"/>
      <c r="T951" s="1304"/>
    </row>
    <row r="952" spans="1:20">
      <c r="A952" s="1303"/>
      <c r="B952" s="1322" t="s">
        <v>4154</v>
      </c>
      <c r="C952" s="1323" t="s">
        <v>4155</v>
      </c>
      <c r="D952" s="1324">
        <f t="shared" si="114"/>
        <v>40500</v>
      </c>
      <c r="E952" s="1323">
        <f t="shared" si="116"/>
        <v>6.9977999999999998</v>
      </c>
      <c r="F952" s="1323">
        <f t="shared" si="115"/>
        <v>8.1771040332281775</v>
      </c>
      <c r="G952" s="1323">
        <f t="shared" si="117"/>
        <v>2010</v>
      </c>
      <c r="H952" s="1323">
        <f t="shared" si="118"/>
        <v>11</v>
      </c>
      <c r="I952" s="1323">
        <f t="shared" si="119"/>
        <v>18</v>
      </c>
      <c r="J952" s="1323"/>
      <c r="K952" s="1323"/>
      <c r="L952" s="1323"/>
      <c r="M952" s="1323"/>
      <c r="N952" s="1323"/>
      <c r="O952" s="1323"/>
      <c r="P952" s="1323"/>
      <c r="Q952" s="1323"/>
      <c r="R952" s="1304"/>
      <c r="S952" s="1304"/>
      <c r="T952" s="1304"/>
    </row>
    <row r="953" spans="1:20">
      <c r="A953" s="1303"/>
      <c r="B953" s="1322" t="s">
        <v>4156</v>
      </c>
      <c r="C953" s="1323" t="s">
        <v>4157</v>
      </c>
      <c r="D953" s="1324">
        <f t="shared" si="114"/>
        <v>40499</v>
      </c>
      <c r="E953" s="1323">
        <f t="shared" si="116"/>
        <v>7.0677000000000003</v>
      </c>
      <c r="F953" s="1323">
        <f t="shared" si="115"/>
        <v>8.1755361221910441</v>
      </c>
      <c r="G953" s="1323">
        <f t="shared" si="117"/>
        <v>2010</v>
      </c>
      <c r="H953" s="1323">
        <f t="shared" si="118"/>
        <v>11</v>
      </c>
      <c r="I953" s="1323">
        <f t="shared" si="119"/>
        <v>17</v>
      </c>
      <c r="J953" s="1323"/>
      <c r="K953" s="1323"/>
      <c r="L953" s="1323"/>
      <c r="M953" s="1323"/>
      <c r="N953" s="1323"/>
      <c r="O953" s="1323"/>
      <c r="P953" s="1323"/>
      <c r="Q953" s="1323"/>
      <c r="R953" s="1304"/>
      <c r="S953" s="1304"/>
      <c r="T953" s="1304"/>
    </row>
    <row r="954" spans="1:20">
      <c r="A954" s="1303"/>
      <c r="B954" s="1322" t="s">
        <v>4158</v>
      </c>
      <c r="C954" s="1323" t="s">
        <v>4159</v>
      </c>
      <c r="D954" s="1324">
        <f t="shared" si="114"/>
        <v>40498</v>
      </c>
      <c r="E954" s="1323">
        <f t="shared" si="116"/>
        <v>6.9821999999999997</v>
      </c>
      <c r="F954" s="1323">
        <f t="shared" si="115"/>
        <v>8.1739685117915215</v>
      </c>
      <c r="G954" s="1323">
        <f t="shared" si="117"/>
        <v>2010</v>
      </c>
      <c r="H954" s="1323">
        <f t="shared" si="118"/>
        <v>11</v>
      </c>
      <c r="I954" s="1323">
        <f t="shared" si="119"/>
        <v>16</v>
      </c>
      <c r="J954" s="1323"/>
      <c r="K954" s="1323"/>
      <c r="L954" s="1323"/>
      <c r="M954" s="1323"/>
      <c r="N954" s="1323"/>
      <c r="O954" s="1323"/>
      <c r="P954" s="1323"/>
      <c r="Q954" s="1323"/>
      <c r="R954" s="1304"/>
      <c r="S954" s="1304"/>
      <c r="T954" s="1304"/>
    </row>
    <row r="955" spans="1:20">
      <c r="A955" s="1303"/>
      <c r="B955" s="1322" t="s">
        <v>4160</v>
      </c>
      <c r="C955" s="1323" t="s">
        <v>4161</v>
      </c>
      <c r="D955" s="1324">
        <f t="shared" si="114"/>
        <v>40497</v>
      </c>
      <c r="E955" s="1323">
        <f t="shared" si="116"/>
        <v>7.0061999999999998</v>
      </c>
      <c r="F955" s="1323">
        <f t="shared" si="115"/>
        <v>8.1724012019719652</v>
      </c>
      <c r="G955" s="1323">
        <f t="shared" si="117"/>
        <v>2010</v>
      </c>
      <c r="H955" s="1323">
        <f t="shared" si="118"/>
        <v>11</v>
      </c>
      <c r="I955" s="1323">
        <f t="shared" si="119"/>
        <v>15</v>
      </c>
      <c r="J955" s="1323"/>
      <c r="K955" s="1323"/>
      <c r="L955" s="1323"/>
      <c r="M955" s="1323"/>
      <c r="N955" s="1323"/>
      <c r="O955" s="1323"/>
      <c r="P955" s="1323"/>
      <c r="Q955" s="1323"/>
      <c r="R955" s="1304"/>
      <c r="S955" s="1304"/>
      <c r="T955" s="1304"/>
    </row>
    <row r="956" spans="1:20">
      <c r="A956" s="1303"/>
      <c r="B956" s="1322" t="s">
        <v>4162</v>
      </c>
      <c r="C956" s="1323" t="s">
        <v>4163</v>
      </c>
      <c r="D956" s="1324">
        <f t="shared" si="114"/>
        <v>40494</v>
      </c>
      <c r="E956" s="1323">
        <f t="shared" si="116"/>
        <v>7.0106999999999999</v>
      </c>
      <c r="F956" s="1323">
        <f t="shared" si="115"/>
        <v>8.1708341926747394</v>
      </c>
      <c r="G956" s="1323">
        <f t="shared" si="117"/>
        <v>2010</v>
      </c>
      <c r="H956" s="1323">
        <f t="shared" si="118"/>
        <v>11</v>
      </c>
      <c r="I956" s="1323">
        <f t="shared" si="119"/>
        <v>12</v>
      </c>
      <c r="J956" s="1323"/>
      <c r="K956" s="1323"/>
      <c r="L956" s="1323"/>
      <c r="M956" s="1323"/>
      <c r="N956" s="1323"/>
      <c r="O956" s="1323"/>
      <c r="P956" s="1323"/>
      <c r="Q956" s="1323"/>
      <c r="R956" s="1304"/>
      <c r="S956" s="1304"/>
      <c r="T956" s="1304"/>
    </row>
    <row r="957" spans="1:20">
      <c r="A957" s="1303"/>
      <c r="B957" s="1322" t="s">
        <v>4164</v>
      </c>
      <c r="C957" s="1323" t="s">
        <v>4165</v>
      </c>
      <c r="D957" s="1324">
        <f t="shared" si="114"/>
        <v>40493</v>
      </c>
      <c r="E957" s="1323">
        <f t="shared" si="116"/>
        <v>6.8708999999999998</v>
      </c>
      <c r="F957" s="1323">
        <f t="shared" si="115"/>
        <v>8.169267483842221</v>
      </c>
      <c r="G957" s="1323">
        <f t="shared" si="117"/>
        <v>2010</v>
      </c>
      <c r="H957" s="1323">
        <f t="shared" si="118"/>
        <v>11</v>
      </c>
      <c r="I957" s="1323">
        <f t="shared" si="119"/>
        <v>11</v>
      </c>
      <c r="J957" s="1323"/>
      <c r="K957" s="1323"/>
      <c r="L957" s="1323"/>
      <c r="M957" s="1323"/>
      <c r="N957" s="1323"/>
      <c r="O957" s="1323"/>
      <c r="P957" s="1323"/>
      <c r="Q957" s="1323"/>
      <c r="R957" s="1304"/>
      <c r="S957" s="1304"/>
      <c r="T957" s="1304"/>
    </row>
    <row r="958" spans="1:20">
      <c r="A958" s="1303"/>
      <c r="B958" s="1322" t="s">
        <v>4166</v>
      </c>
      <c r="C958" s="1323" t="s">
        <v>4167</v>
      </c>
      <c r="D958" s="1324">
        <f t="shared" si="114"/>
        <v>40492</v>
      </c>
      <c r="E958" s="1323">
        <f t="shared" si="116"/>
        <v>6.8635000000000002</v>
      </c>
      <c r="F958" s="1323">
        <f t="shared" si="115"/>
        <v>8.1677010754167991</v>
      </c>
      <c r="G958" s="1323">
        <f t="shared" si="117"/>
        <v>2010</v>
      </c>
      <c r="H958" s="1323">
        <f t="shared" si="118"/>
        <v>11</v>
      </c>
      <c r="I958" s="1323">
        <f t="shared" si="119"/>
        <v>10</v>
      </c>
      <c r="J958" s="1323"/>
      <c r="K958" s="1323"/>
      <c r="L958" s="1323"/>
      <c r="M958" s="1323"/>
      <c r="N958" s="1323"/>
      <c r="O958" s="1323"/>
      <c r="P958" s="1323"/>
      <c r="Q958" s="1323"/>
      <c r="R958" s="1304"/>
      <c r="S958" s="1304"/>
      <c r="T958" s="1304"/>
    </row>
    <row r="959" spans="1:20">
      <c r="A959" s="1303"/>
      <c r="B959" s="1322" t="s">
        <v>4168</v>
      </c>
      <c r="C959" s="1323" t="s">
        <v>4169</v>
      </c>
      <c r="D959" s="1324">
        <f t="shared" si="114"/>
        <v>40491</v>
      </c>
      <c r="E959" s="1323">
        <f t="shared" si="116"/>
        <v>6.8711000000000002</v>
      </c>
      <c r="F959" s="1323">
        <f t="shared" si="115"/>
        <v>8.1661349673408701</v>
      </c>
      <c r="G959" s="1323">
        <f t="shared" si="117"/>
        <v>2010</v>
      </c>
      <c r="H959" s="1323">
        <f t="shared" si="118"/>
        <v>11</v>
      </c>
      <c r="I959" s="1323">
        <f t="shared" si="119"/>
        <v>9</v>
      </c>
      <c r="J959" s="1323"/>
      <c r="K959" s="1323"/>
      <c r="L959" s="1323"/>
      <c r="M959" s="1323"/>
      <c r="N959" s="1323"/>
      <c r="O959" s="1323"/>
      <c r="P959" s="1323"/>
      <c r="Q959" s="1323"/>
      <c r="R959" s="1304"/>
      <c r="S959" s="1304"/>
      <c r="T959" s="1304"/>
    </row>
    <row r="960" spans="1:20">
      <c r="A960" s="1303"/>
      <c r="B960" s="1322" t="s">
        <v>4170</v>
      </c>
      <c r="C960" s="1323" t="s">
        <v>4171</v>
      </c>
      <c r="D960" s="1324">
        <f t="shared" si="114"/>
        <v>40490</v>
      </c>
      <c r="E960" s="1323">
        <f t="shared" si="116"/>
        <v>6.8285</v>
      </c>
      <c r="F960" s="1323">
        <f t="shared" si="115"/>
        <v>8.1645691595568444</v>
      </c>
      <c r="G960" s="1323">
        <f t="shared" si="117"/>
        <v>2010</v>
      </c>
      <c r="H960" s="1323">
        <f t="shared" si="118"/>
        <v>11</v>
      </c>
      <c r="I960" s="1323">
        <f t="shared" si="119"/>
        <v>8</v>
      </c>
      <c r="J960" s="1323"/>
      <c r="K960" s="1323"/>
      <c r="L960" s="1323"/>
      <c r="M960" s="1323"/>
      <c r="N960" s="1323"/>
      <c r="O960" s="1323"/>
      <c r="P960" s="1323"/>
      <c r="Q960" s="1323"/>
      <c r="R960" s="1304"/>
      <c r="S960" s="1304"/>
      <c r="T960" s="1304"/>
    </row>
    <row r="961" spans="1:20">
      <c r="A961" s="1303"/>
      <c r="B961" s="1322" t="s">
        <v>4172</v>
      </c>
      <c r="C961" s="1323" t="s">
        <v>4173</v>
      </c>
      <c r="D961" s="1324">
        <f t="shared" si="114"/>
        <v>40487</v>
      </c>
      <c r="E961" s="1323">
        <f t="shared" si="116"/>
        <v>6.8028000000000004</v>
      </c>
      <c r="F961" s="1323">
        <f t="shared" si="115"/>
        <v>8.163003652007145</v>
      </c>
      <c r="G961" s="1323">
        <f t="shared" si="117"/>
        <v>2010</v>
      </c>
      <c r="H961" s="1323">
        <f t="shared" si="118"/>
        <v>11</v>
      </c>
      <c r="I961" s="1323">
        <f t="shared" si="119"/>
        <v>5</v>
      </c>
      <c r="J961" s="1323"/>
      <c r="K961" s="1323"/>
      <c r="L961" s="1323"/>
      <c r="M961" s="1323"/>
      <c r="N961" s="1323"/>
      <c r="O961" s="1323"/>
      <c r="P961" s="1323"/>
      <c r="Q961" s="1323"/>
      <c r="R961" s="1304"/>
      <c r="S961" s="1304"/>
      <c r="T961" s="1304"/>
    </row>
    <row r="962" spans="1:20">
      <c r="A962" s="1303"/>
      <c r="B962" s="1322" t="s">
        <v>4174</v>
      </c>
      <c r="C962" s="1323" t="s">
        <v>4175</v>
      </c>
      <c r="D962" s="1324">
        <f t="shared" si="114"/>
        <v>40486</v>
      </c>
      <c r="E962" s="1323">
        <f t="shared" si="116"/>
        <v>6.8324999999999996</v>
      </c>
      <c r="F962" s="1323">
        <f t="shared" si="115"/>
        <v>8.1614384446342019</v>
      </c>
      <c r="G962" s="1323">
        <f t="shared" si="117"/>
        <v>2010</v>
      </c>
      <c r="H962" s="1323">
        <f t="shared" si="118"/>
        <v>11</v>
      </c>
      <c r="I962" s="1323">
        <f t="shared" si="119"/>
        <v>4</v>
      </c>
      <c r="J962" s="1323"/>
      <c r="K962" s="1323"/>
      <c r="L962" s="1323"/>
      <c r="M962" s="1323"/>
      <c r="N962" s="1323"/>
      <c r="O962" s="1323"/>
      <c r="P962" s="1323"/>
      <c r="Q962" s="1323"/>
      <c r="R962" s="1304"/>
      <c r="S962" s="1304"/>
      <c r="T962" s="1304"/>
    </row>
    <row r="963" spans="1:20">
      <c r="A963" s="1303"/>
      <c r="B963" s="1322" t="s">
        <v>4176</v>
      </c>
      <c r="C963" s="1323" t="s">
        <v>4177</v>
      </c>
      <c r="D963" s="1324">
        <f t="shared" si="114"/>
        <v>40485</v>
      </c>
      <c r="E963" s="1323">
        <f t="shared" si="116"/>
        <v>6.8808999999999996</v>
      </c>
      <c r="F963" s="1323">
        <f t="shared" si="115"/>
        <v>8.1598735373804576</v>
      </c>
      <c r="G963" s="1323">
        <f t="shared" si="117"/>
        <v>2010</v>
      </c>
      <c r="H963" s="1323">
        <f t="shared" si="118"/>
        <v>11</v>
      </c>
      <c r="I963" s="1323">
        <f t="shared" si="119"/>
        <v>3</v>
      </c>
      <c r="J963" s="1323"/>
      <c r="K963" s="1323"/>
      <c r="L963" s="1323"/>
      <c r="M963" s="1323"/>
      <c r="N963" s="1323"/>
      <c r="O963" s="1323"/>
      <c r="P963" s="1323"/>
      <c r="Q963" s="1323"/>
      <c r="R963" s="1304"/>
      <c r="S963" s="1304"/>
      <c r="T963" s="1304"/>
    </row>
    <row r="964" spans="1:20">
      <c r="A964" s="1303"/>
      <c r="B964" s="1322" t="s">
        <v>4178</v>
      </c>
      <c r="C964" s="1323" t="s">
        <v>4179</v>
      </c>
      <c r="D964" s="1324">
        <f t="shared" si="114"/>
        <v>40484</v>
      </c>
      <c r="E964" s="1323">
        <f t="shared" si="116"/>
        <v>6.9576000000000002</v>
      </c>
      <c r="F964" s="1323">
        <f t="shared" si="115"/>
        <v>8.1583089301883671</v>
      </c>
      <c r="G964" s="1323">
        <f t="shared" si="117"/>
        <v>2010</v>
      </c>
      <c r="H964" s="1323">
        <f t="shared" si="118"/>
        <v>11</v>
      </c>
      <c r="I964" s="1323">
        <f t="shared" si="119"/>
        <v>2</v>
      </c>
      <c r="J964" s="1323"/>
      <c r="K964" s="1323"/>
      <c r="L964" s="1323"/>
      <c r="M964" s="1323"/>
      <c r="N964" s="1323"/>
      <c r="O964" s="1323"/>
      <c r="P964" s="1323"/>
      <c r="Q964" s="1323"/>
      <c r="R964" s="1304"/>
      <c r="S964" s="1304"/>
      <c r="T964" s="1304"/>
    </row>
    <row r="965" spans="1:20">
      <c r="A965" s="1303"/>
      <c r="B965" s="1322" t="s">
        <v>4180</v>
      </c>
      <c r="C965" s="1323" t="s">
        <v>4181</v>
      </c>
      <c r="D965" s="1324">
        <f t="shared" si="114"/>
        <v>40483</v>
      </c>
      <c r="E965" s="1323">
        <f t="shared" si="116"/>
        <v>6.9661</v>
      </c>
      <c r="F965" s="1323">
        <f t="shared" si="115"/>
        <v>8.1567446230003942</v>
      </c>
      <c r="G965" s="1323">
        <f t="shared" si="117"/>
        <v>2010</v>
      </c>
      <c r="H965" s="1323">
        <f t="shared" si="118"/>
        <v>11</v>
      </c>
      <c r="I965" s="1323">
        <f t="shared" si="119"/>
        <v>1</v>
      </c>
      <c r="J965" s="1323"/>
      <c r="K965" s="1323"/>
      <c r="L965" s="1323"/>
      <c r="M965" s="1323"/>
      <c r="N965" s="1323"/>
      <c r="O965" s="1323"/>
      <c r="P965" s="1323"/>
      <c r="Q965" s="1323"/>
      <c r="R965" s="1304"/>
      <c r="S965" s="1304"/>
      <c r="T965" s="1304"/>
    </row>
    <row r="966" spans="1:20">
      <c r="A966" s="1303"/>
      <c r="B966" s="1322" t="s">
        <v>4182</v>
      </c>
      <c r="C966" s="1323" t="s">
        <v>4183</v>
      </c>
      <c r="D966" s="1324">
        <f t="shared" si="114"/>
        <v>40480</v>
      </c>
      <c r="E966" s="1323">
        <f t="shared" si="116"/>
        <v>7.0269000000000004</v>
      </c>
      <c r="F966" s="1323">
        <f t="shared" si="115"/>
        <v>8.155180615759015</v>
      </c>
      <c r="G966" s="1323">
        <f t="shared" si="117"/>
        <v>2010</v>
      </c>
      <c r="H966" s="1323">
        <f t="shared" si="118"/>
        <v>10</v>
      </c>
      <c r="I966" s="1323">
        <f t="shared" si="119"/>
        <v>29</v>
      </c>
      <c r="J966" s="1323"/>
      <c r="K966" s="1323"/>
      <c r="L966" s="1323"/>
      <c r="M966" s="1323"/>
      <c r="N966" s="1323"/>
      <c r="O966" s="1323"/>
      <c r="P966" s="1323"/>
      <c r="Q966" s="1323"/>
      <c r="R966" s="1304"/>
      <c r="S966" s="1304"/>
      <c r="T966" s="1304"/>
    </row>
    <row r="967" spans="1:20">
      <c r="A967" s="1303"/>
      <c r="B967" s="1322" t="s">
        <v>4184</v>
      </c>
      <c r="C967" s="1323" t="s">
        <v>4185</v>
      </c>
      <c r="D967" s="1324">
        <f t="shared" si="114"/>
        <v>40479</v>
      </c>
      <c r="E967" s="1323">
        <f t="shared" si="116"/>
        <v>7.0575000000000001</v>
      </c>
      <c r="F967" s="1323">
        <f t="shared" si="115"/>
        <v>8.1536169084067183</v>
      </c>
      <c r="G967" s="1323">
        <f t="shared" si="117"/>
        <v>2010</v>
      </c>
      <c r="H967" s="1323">
        <f t="shared" si="118"/>
        <v>10</v>
      </c>
      <c r="I967" s="1323">
        <f t="shared" si="119"/>
        <v>28</v>
      </c>
      <c r="J967" s="1323"/>
      <c r="K967" s="1323"/>
      <c r="L967" s="1323"/>
      <c r="M967" s="1323"/>
      <c r="N967" s="1323"/>
      <c r="O967" s="1323"/>
      <c r="P967" s="1323"/>
      <c r="Q967" s="1323"/>
      <c r="R967" s="1304"/>
      <c r="S967" s="1304"/>
      <c r="T967" s="1304"/>
    </row>
    <row r="968" spans="1:20">
      <c r="A968" s="1303"/>
      <c r="B968" s="1322" t="s">
        <v>4186</v>
      </c>
      <c r="C968" s="1323" t="s">
        <v>3776</v>
      </c>
      <c r="D968" s="1324">
        <f t="shared" si="114"/>
        <v>40478</v>
      </c>
      <c r="E968" s="1323">
        <f t="shared" si="116"/>
        <v>7.0088999999999997</v>
      </c>
      <c r="F968" s="1323">
        <f t="shared" si="115"/>
        <v>8.1520535008859998</v>
      </c>
      <c r="G968" s="1323">
        <f t="shared" si="117"/>
        <v>2010</v>
      </c>
      <c r="H968" s="1323">
        <f t="shared" si="118"/>
        <v>10</v>
      </c>
      <c r="I968" s="1323">
        <f t="shared" si="119"/>
        <v>27</v>
      </c>
      <c r="J968" s="1323"/>
      <c r="K968" s="1323"/>
      <c r="L968" s="1323"/>
      <c r="M968" s="1323"/>
      <c r="N968" s="1323"/>
      <c r="O968" s="1323"/>
      <c r="P968" s="1323"/>
      <c r="Q968" s="1323"/>
      <c r="R968" s="1304"/>
      <c r="S968" s="1304"/>
      <c r="T968" s="1304"/>
    </row>
    <row r="969" spans="1:20">
      <c r="A969" s="1303"/>
      <c r="B969" s="1322" t="s">
        <v>4187</v>
      </c>
      <c r="C969" s="1323" t="s">
        <v>4188</v>
      </c>
      <c r="D969" s="1324">
        <f t="shared" ref="D969:D1032" si="120">DATE(G969,H969,I969)</f>
        <v>40477</v>
      </c>
      <c r="E969" s="1323">
        <f t="shared" si="116"/>
        <v>6.9036999999999997</v>
      </c>
      <c r="F969" s="1323">
        <f t="shared" ref="F969:F1032" si="121">F970*(1+$F$7/365)</f>
        <v>8.1504903931393695</v>
      </c>
      <c r="G969" s="1323">
        <f t="shared" si="117"/>
        <v>2010</v>
      </c>
      <c r="H969" s="1323">
        <f t="shared" si="118"/>
        <v>10</v>
      </c>
      <c r="I969" s="1323">
        <f t="shared" si="119"/>
        <v>26</v>
      </c>
      <c r="J969" s="1323"/>
      <c r="K969" s="1323"/>
      <c r="L969" s="1323"/>
      <c r="M969" s="1323"/>
      <c r="N969" s="1323"/>
      <c r="O969" s="1323"/>
      <c r="P969" s="1323"/>
      <c r="Q969" s="1323"/>
      <c r="R969" s="1304"/>
      <c r="S969" s="1304"/>
      <c r="T969" s="1304"/>
    </row>
    <row r="970" spans="1:20">
      <c r="A970" s="1303"/>
      <c r="B970" s="1322" t="s">
        <v>4189</v>
      </c>
      <c r="C970" s="1323" t="s">
        <v>4190</v>
      </c>
      <c r="D970" s="1324">
        <f t="shared" si="120"/>
        <v>40476</v>
      </c>
      <c r="E970" s="1323">
        <f t="shared" si="116"/>
        <v>6.8876999999999997</v>
      </c>
      <c r="F970" s="1323">
        <f t="shared" si="121"/>
        <v>8.1489275851093481</v>
      </c>
      <c r="G970" s="1323">
        <f t="shared" si="117"/>
        <v>2010</v>
      </c>
      <c r="H970" s="1323">
        <f t="shared" si="118"/>
        <v>10</v>
      </c>
      <c r="I970" s="1323">
        <f t="shared" si="119"/>
        <v>25</v>
      </c>
      <c r="J970" s="1323"/>
      <c r="K970" s="1323"/>
      <c r="L970" s="1323"/>
      <c r="M970" s="1323"/>
      <c r="N970" s="1323"/>
      <c r="O970" s="1323"/>
      <c r="P970" s="1323"/>
      <c r="Q970" s="1323"/>
      <c r="R970" s="1304"/>
      <c r="S970" s="1304"/>
      <c r="T970" s="1304"/>
    </row>
    <row r="971" spans="1:20">
      <c r="A971" s="1303"/>
      <c r="B971" s="1322" t="s">
        <v>4191</v>
      </c>
      <c r="C971" s="1323" t="s">
        <v>4192</v>
      </c>
      <c r="D971" s="1324">
        <f t="shared" si="120"/>
        <v>40473</v>
      </c>
      <c r="E971" s="1323">
        <f t="shared" si="116"/>
        <v>6.9614000000000003</v>
      </c>
      <c r="F971" s="1323">
        <f t="shared" si="121"/>
        <v>8.1473650767384669</v>
      </c>
      <c r="G971" s="1323">
        <f t="shared" si="117"/>
        <v>2010</v>
      </c>
      <c r="H971" s="1323">
        <f t="shared" si="118"/>
        <v>10</v>
      </c>
      <c r="I971" s="1323">
        <f t="shared" si="119"/>
        <v>22</v>
      </c>
      <c r="J971" s="1323"/>
      <c r="K971" s="1323"/>
      <c r="L971" s="1323"/>
      <c r="M971" s="1323"/>
      <c r="N971" s="1323"/>
      <c r="O971" s="1323"/>
      <c r="P971" s="1323"/>
      <c r="Q971" s="1323"/>
      <c r="R971" s="1304"/>
      <c r="S971" s="1304"/>
      <c r="T971" s="1304"/>
    </row>
    <row r="972" spans="1:20">
      <c r="A972" s="1303"/>
      <c r="B972" s="1322" t="s">
        <v>4193</v>
      </c>
      <c r="C972" s="1323" t="s">
        <v>4194</v>
      </c>
      <c r="D972" s="1324">
        <f t="shared" si="120"/>
        <v>40472</v>
      </c>
      <c r="E972" s="1323">
        <f t="shared" si="116"/>
        <v>6.9225000000000003</v>
      </c>
      <c r="F972" s="1323">
        <f t="shared" si="121"/>
        <v>8.1458028679692678</v>
      </c>
      <c r="G972" s="1323">
        <f t="shared" si="117"/>
        <v>2010</v>
      </c>
      <c r="H972" s="1323">
        <f t="shared" si="118"/>
        <v>10</v>
      </c>
      <c r="I972" s="1323">
        <f t="shared" si="119"/>
        <v>21</v>
      </c>
      <c r="J972" s="1323"/>
      <c r="K972" s="1323"/>
      <c r="L972" s="1323"/>
      <c r="M972" s="1323"/>
      <c r="N972" s="1323"/>
      <c r="O972" s="1323"/>
      <c r="P972" s="1323"/>
      <c r="Q972" s="1323"/>
      <c r="R972" s="1304"/>
      <c r="S972" s="1304"/>
      <c r="T972" s="1304"/>
    </row>
    <row r="973" spans="1:20">
      <c r="A973" s="1303"/>
      <c r="B973" s="1322" t="s">
        <v>4195</v>
      </c>
      <c r="C973" s="1323" t="s">
        <v>4196</v>
      </c>
      <c r="D973" s="1324">
        <f t="shared" si="120"/>
        <v>40471</v>
      </c>
      <c r="E973" s="1323">
        <f t="shared" si="116"/>
        <v>6.9508000000000001</v>
      </c>
      <c r="F973" s="1323">
        <f t="shared" si="121"/>
        <v>8.1442409587443034</v>
      </c>
      <c r="G973" s="1323">
        <f t="shared" si="117"/>
        <v>2010</v>
      </c>
      <c r="H973" s="1323">
        <f t="shared" si="118"/>
        <v>10</v>
      </c>
      <c r="I973" s="1323">
        <f t="shared" si="119"/>
        <v>20</v>
      </c>
      <c r="J973" s="1323"/>
      <c r="K973" s="1323"/>
      <c r="L973" s="1323"/>
      <c r="M973" s="1323"/>
      <c r="N973" s="1323"/>
      <c r="O973" s="1323"/>
      <c r="P973" s="1323"/>
      <c r="Q973" s="1323"/>
      <c r="R973" s="1304"/>
      <c r="S973" s="1304"/>
      <c r="T973" s="1304"/>
    </row>
    <row r="974" spans="1:20">
      <c r="A974" s="1303"/>
      <c r="B974" s="1322" t="s">
        <v>4197</v>
      </c>
      <c r="C974" s="1323" t="s">
        <v>4198</v>
      </c>
      <c r="D974" s="1324">
        <f t="shared" si="120"/>
        <v>40470</v>
      </c>
      <c r="E974" s="1323">
        <f t="shared" si="116"/>
        <v>6.9085999999999999</v>
      </c>
      <c r="F974" s="1323">
        <f t="shared" si="121"/>
        <v>8.1426793490061371</v>
      </c>
      <c r="G974" s="1323">
        <f t="shared" si="117"/>
        <v>2010</v>
      </c>
      <c r="H974" s="1323">
        <f t="shared" si="118"/>
        <v>10</v>
      </c>
      <c r="I974" s="1323">
        <f t="shared" si="119"/>
        <v>19</v>
      </c>
      <c r="J974" s="1323"/>
      <c r="K974" s="1323"/>
      <c r="L974" s="1323"/>
      <c r="M974" s="1323"/>
      <c r="N974" s="1323"/>
      <c r="O974" s="1323"/>
      <c r="P974" s="1323"/>
      <c r="Q974" s="1323"/>
      <c r="R974" s="1304"/>
      <c r="S974" s="1304"/>
      <c r="T974" s="1304"/>
    </row>
    <row r="975" spans="1:20">
      <c r="A975" s="1303"/>
      <c r="B975" s="1322" t="s">
        <v>4199</v>
      </c>
      <c r="C975" s="1323" t="s">
        <v>4200</v>
      </c>
      <c r="D975" s="1324">
        <f t="shared" si="120"/>
        <v>40469</v>
      </c>
      <c r="E975" s="1323">
        <f t="shared" si="116"/>
        <v>6.8918999999999997</v>
      </c>
      <c r="F975" s="1323">
        <f t="shared" si="121"/>
        <v>8.1411180386973463</v>
      </c>
      <c r="G975" s="1323">
        <f t="shared" si="117"/>
        <v>2010</v>
      </c>
      <c r="H975" s="1323">
        <f t="shared" si="118"/>
        <v>10</v>
      </c>
      <c r="I975" s="1323">
        <f t="shared" si="119"/>
        <v>18</v>
      </c>
      <c r="J975" s="1323"/>
      <c r="K975" s="1323"/>
      <c r="L975" s="1323"/>
      <c r="M975" s="1323"/>
      <c r="N975" s="1323"/>
      <c r="O975" s="1323"/>
      <c r="P975" s="1323"/>
      <c r="Q975" s="1323"/>
      <c r="R975" s="1304"/>
      <c r="S975" s="1304"/>
      <c r="T975" s="1304"/>
    </row>
    <row r="976" spans="1:20">
      <c r="A976" s="1303"/>
      <c r="B976" s="1322" t="s">
        <v>4201</v>
      </c>
      <c r="C976" s="1323" t="s">
        <v>4202</v>
      </c>
      <c r="D976" s="1324">
        <f t="shared" si="120"/>
        <v>40466</v>
      </c>
      <c r="E976" s="1323">
        <f t="shared" si="116"/>
        <v>6.8075999999999999</v>
      </c>
      <c r="F976" s="1323">
        <f t="shared" si="121"/>
        <v>8.1395570277605156</v>
      </c>
      <c r="G976" s="1323">
        <f t="shared" si="117"/>
        <v>2010</v>
      </c>
      <c r="H976" s="1323">
        <f t="shared" si="118"/>
        <v>10</v>
      </c>
      <c r="I976" s="1323">
        <f t="shared" si="119"/>
        <v>15</v>
      </c>
      <c r="J976" s="1323"/>
      <c r="K976" s="1323"/>
      <c r="L976" s="1323"/>
      <c r="M976" s="1323"/>
      <c r="N976" s="1323"/>
      <c r="O976" s="1323"/>
      <c r="P976" s="1323"/>
      <c r="Q976" s="1323"/>
      <c r="R976" s="1304"/>
      <c r="S976" s="1304"/>
      <c r="T976" s="1304"/>
    </row>
    <row r="977" spans="1:20">
      <c r="A977" s="1303"/>
      <c r="B977" s="1322" t="s">
        <v>4203</v>
      </c>
      <c r="C977" s="1323" t="s">
        <v>4204</v>
      </c>
      <c r="D977" s="1324">
        <f t="shared" si="120"/>
        <v>40465</v>
      </c>
      <c r="E977" s="1323">
        <f t="shared" si="116"/>
        <v>6.7779999999999996</v>
      </c>
      <c r="F977" s="1323">
        <f t="shared" si="121"/>
        <v>8.137996316138242</v>
      </c>
      <c r="G977" s="1323">
        <f t="shared" si="117"/>
        <v>2010</v>
      </c>
      <c r="H977" s="1323">
        <f t="shared" si="118"/>
        <v>10</v>
      </c>
      <c r="I977" s="1323">
        <f t="shared" si="119"/>
        <v>14</v>
      </c>
      <c r="J977" s="1323"/>
      <c r="K977" s="1323"/>
      <c r="L977" s="1323"/>
      <c r="M977" s="1323"/>
      <c r="N977" s="1323"/>
      <c r="O977" s="1323"/>
      <c r="P977" s="1323"/>
      <c r="Q977" s="1323"/>
      <c r="R977" s="1304"/>
      <c r="S977" s="1304"/>
      <c r="T977" s="1304"/>
    </row>
    <row r="978" spans="1:20">
      <c r="A978" s="1303"/>
      <c r="B978" s="1322" t="s">
        <v>4205</v>
      </c>
      <c r="C978" s="1323" t="s">
        <v>4206</v>
      </c>
      <c r="D978" s="1324">
        <f t="shared" si="120"/>
        <v>40464</v>
      </c>
      <c r="E978" s="1323">
        <f t="shared" si="116"/>
        <v>6.8356000000000003</v>
      </c>
      <c r="F978" s="1323">
        <f t="shared" si="121"/>
        <v>8.1364359037731351</v>
      </c>
      <c r="G978" s="1323">
        <f t="shared" si="117"/>
        <v>2010</v>
      </c>
      <c r="H978" s="1323">
        <f t="shared" si="118"/>
        <v>10</v>
      </c>
      <c r="I978" s="1323">
        <f t="shared" si="119"/>
        <v>13</v>
      </c>
      <c r="J978" s="1323"/>
      <c r="K978" s="1323"/>
      <c r="L978" s="1323"/>
      <c r="M978" s="1323"/>
      <c r="N978" s="1323"/>
      <c r="O978" s="1323"/>
      <c r="P978" s="1323"/>
      <c r="Q978" s="1323"/>
      <c r="R978" s="1304"/>
      <c r="S978" s="1304"/>
      <c r="T978" s="1304"/>
    </row>
    <row r="979" spans="1:20">
      <c r="A979" s="1303"/>
      <c r="B979" s="1322" t="s">
        <v>4207</v>
      </c>
      <c r="C979" s="1323" t="s">
        <v>4208</v>
      </c>
      <c r="D979" s="1324">
        <f t="shared" si="120"/>
        <v>40463</v>
      </c>
      <c r="E979" s="1323">
        <f t="shared" si="116"/>
        <v>6.9039000000000001</v>
      </c>
      <c r="F979" s="1323">
        <f t="shared" si="121"/>
        <v>8.1348757906078131</v>
      </c>
      <c r="G979" s="1323">
        <f t="shared" si="117"/>
        <v>2010</v>
      </c>
      <c r="H979" s="1323">
        <f t="shared" si="118"/>
        <v>10</v>
      </c>
      <c r="I979" s="1323">
        <f t="shared" si="119"/>
        <v>12</v>
      </c>
      <c r="J979" s="1323"/>
      <c r="K979" s="1323"/>
      <c r="L979" s="1323"/>
      <c r="M979" s="1323"/>
      <c r="N979" s="1323"/>
      <c r="O979" s="1323"/>
      <c r="P979" s="1323"/>
      <c r="Q979" s="1323"/>
      <c r="R979" s="1304"/>
      <c r="S979" s="1304"/>
      <c r="T979" s="1304"/>
    </row>
    <row r="980" spans="1:20">
      <c r="A980" s="1303"/>
      <c r="B980" s="1322" t="s">
        <v>4209</v>
      </c>
      <c r="C980" s="1323" t="s">
        <v>4210</v>
      </c>
      <c r="D980" s="1324">
        <f t="shared" si="120"/>
        <v>40462</v>
      </c>
      <c r="E980" s="1323">
        <f t="shared" si="116"/>
        <v>6.8718000000000004</v>
      </c>
      <c r="F980" s="1323">
        <f t="shared" si="121"/>
        <v>8.1333159765849068</v>
      </c>
      <c r="G980" s="1323">
        <f t="shared" si="117"/>
        <v>2010</v>
      </c>
      <c r="H980" s="1323">
        <f t="shared" si="118"/>
        <v>10</v>
      </c>
      <c r="I980" s="1323">
        <f t="shared" si="119"/>
        <v>11</v>
      </c>
      <c r="J980" s="1323"/>
      <c r="K980" s="1323"/>
      <c r="L980" s="1323"/>
      <c r="M980" s="1323"/>
      <c r="N980" s="1323"/>
      <c r="O980" s="1323"/>
      <c r="P980" s="1323"/>
      <c r="Q980" s="1323"/>
      <c r="R980" s="1304"/>
      <c r="S980" s="1304"/>
      <c r="T980" s="1304"/>
    </row>
    <row r="981" spans="1:20">
      <c r="A981" s="1303"/>
      <c r="B981" s="1322" t="s">
        <v>4211</v>
      </c>
      <c r="C981" s="1323" t="s">
        <v>4212</v>
      </c>
      <c r="D981" s="1324">
        <f t="shared" si="120"/>
        <v>40459</v>
      </c>
      <c r="E981" s="1323">
        <f t="shared" si="116"/>
        <v>6.9307999999999996</v>
      </c>
      <c r="F981" s="1323">
        <f t="shared" si="121"/>
        <v>8.1317564616470559</v>
      </c>
      <c r="G981" s="1323">
        <f t="shared" si="117"/>
        <v>2010</v>
      </c>
      <c r="H981" s="1323">
        <f t="shared" si="118"/>
        <v>10</v>
      </c>
      <c r="I981" s="1323">
        <f t="shared" si="119"/>
        <v>8</v>
      </c>
      <c r="J981" s="1323"/>
      <c r="K981" s="1323"/>
      <c r="L981" s="1323"/>
      <c r="M981" s="1323"/>
      <c r="N981" s="1323"/>
      <c r="O981" s="1323"/>
      <c r="P981" s="1323"/>
      <c r="Q981" s="1323"/>
      <c r="R981" s="1304"/>
      <c r="S981" s="1304"/>
      <c r="T981" s="1304"/>
    </row>
    <row r="982" spans="1:20">
      <c r="A982" s="1303"/>
      <c r="B982" s="1322" t="s">
        <v>4213</v>
      </c>
      <c r="C982" s="1323" t="s">
        <v>4214</v>
      </c>
      <c r="D982" s="1324">
        <f t="shared" si="120"/>
        <v>40458</v>
      </c>
      <c r="E982" s="1323">
        <f t="shared" ref="E982:E1045" si="122">VALUE(C983)</f>
        <v>6.8497000000000003</v>
      </c>
      <c r="F982" s="1323">
        <f t="shared" si="121"/>
        <v>8.1301972457369143</v>
      </c>
      <c r="G982" s="1323">
        <f t="shared" ref="G982:G1045" si="123">YEAR(B983)</f>
        <v>2010</v>
      </c>
      <c r="H982" s="1323">
        <f t="shared" ref="H982:H1045" si="124">MONTH(B983)</f>
        <v>10</v>
      </c>
      <c r="I982" s="1323">
        <f t="shared" ref="I982:I1045" si="125">DAY(B983)</f>
        <v>7</v>
      </c>
      <c r="J982" s="1323"/>
      <c r="K982" s="1323"/>
      <c r="L982" s="1323"/>
      <c r="M982" s="1323"/>
      <c r="N982" s="1323"/>
      <c r="O982" s="1323"/>
      <c r="P982" s="1323"/>
      <c r="Q982" s="1323"/>
      <c r="R982" s="1304"/>
      <c r="S982" s="1304"/>
      <c r="T982" s="1304"/>
    </row>
    <row r="983" spans="1:20">
      <c r="A983" s="1303"/>
      <c r="B983" s="1322" t="s">
        <v>4215</v>
      </c>
      <c r="C983" s="1323" t="s">
        <v>4216</v>
      </c>
      <c r="D983" s="1324">
        <f t="shared" si="120"/>
        <v>40457</v>
      </c>
      <c r="E983" s="1323">
        <f t="shared" si="122"/>
        <v>6.8853</v>
      </c>
      <c r="F983" s="1323">
        <f t="shared" si="121"/>
        <v>8.1286383287971447</v>
      </c>
      <c r="G983" s="1323">
        <f t="shared" si="123"/>
        <v>2010</v>
      </c>
      <c r="H983" s="1323">
        <f t="shared" si="124"/>
        <v>10</v>
      </c>
      <c r="I983" s="1323">
        <f t="shared" si="125"/>
        <v>6</v>
      </c>
      <c r="J983" s="1323"/>
      <c r="K983" s="1323"/>
      <c r="L983" s="1323"/>
      <c r="M983" s="1323"/>
      <c r="N983" s="1323"/>
      <c r="O983" s="1323"/>
      <c r="P983" s="1323"/>
      <c r="Q983" s="1323"/>
      <c r="R983" s="1304"/>
      <c r="S983" s="1304"/>
      <c r="T983" s="1304"/>
    </row>
    <row r="984" spans="1:20">
      <c r="A984" s="1303"/>
      <c r="B984" s="1322" t="s">
        <v>4217</v>
      </c>
      <c r="C984" s="1323" t="s">
        <v>4218</v>
      </c>
      <c r="D984" s="1324">
        <f t="shared" si="120"/>
        <v>40456</v>
      </c>
      <c r="E984" s="1323">
        <f t="shared" si="122"/>
        <v>6.9930000000000003</v>
      </c>
      <c r="F984" s="1323">
        <f t="shared" si="121"/>
        <v>8.1270797107704205</v>
      </c>
      <c r="G984" s="1323">
        <f t="shared" si="123"/>
        <v>2010</v>
      </c>
      <c r="H984" s="1323">
        <f t="shared" si="124"/>
        <v>10</v>
      </c>
      <c r="I984" s="1323">
        <f t="shared" si="125"/>
        <v>5</v>
      </c>
      <c r="J984" s="1323"/>
      <c r="K984" s="1323"/>
      <c r="L984" s="1323"/>
      <c r="M984" s="1323"/>
      <c r="N984" s="1323"/>
      <c r="O984" s="1323"/>
      <c r="P984" s="1323"/>
      <c r="Q984" s="1323"/>
      <c r="R984" s="1304"/>
      <c r="S984" s="1304"/>
      <c r="T984" s="1304"/>
    </row>
    <row r="985" spans="1:20">
      <c r="A985" s="1303"/>
      <c r="B985" s="1322" t="s">
        <v>4219</v>
      </c>
      <c r="C985" s="1323" t="s">
        <v>4220</v>
      </c>
      <c r="D985" s="1324">
        <f t="shared" si="120"/>
        <v>40455</v>
      </c>
      <c r="E985" s="1323">
        <f t="shared" si="122"/>
        <v>6.9581</v>
      </c>
      <c r="F985" s="1323">
        <f t="shared" si="121"/>
        <v>8.1255213915994293</v>
      </c>
      <c r="G985" s="1323">
        <f t="shared" si="123"/>
        <v>2010</v>
      </c>
      <c r="H985" s="1323">
        <f t="shared" si="124"/>
        <v>10</v>
      </c>
      <c r="I985" s="1323">
        <f t="shared" si="125"/>
        <v>4</v>
      </c>
      <c r="J985" s="1323"/>
      <c r="K985" s="1323"/>
      <c r="L985" s="1323"/>
      <c r="M985" s="1323"/>
      <c r="N985" s="1323"/>
      <c r="O985" s="1323"/>
      <c r="P985" s="1323"/>
      <c r="Q985" s="1323"/>
      <c r="R985" s="1304"/>
      <c r="S985" s="1304"/>
      <c r="T985" s="1304"/>
    </row>
    <row r="986" spans="1:20">
      <c r="A986" s="1303"/>
      <c r="B986" s="1322" t="s">
        <v>4221</v>
      </c>
      <c r="C986" s="1323" t="s">
        <v>4222</v>
      </c>
      <c r="D986" s="1324">
        <f t="shared" si="120"/>
        <v>40452</v>
      </c>
      <c r="E986" s="1323">
        <f t="shared" si="122"/>
        <v>6.9528999999999996</v>
      </c>
      <c r="F986" s="1323">
        <f t="shared" si="121"/>
        <v>8.1239633712268642</v>
      </c>
      <c r="G986" s="1323">
        <f t="shared" si="123"/>
        <v>2010</v>
      </c>
      <c r="H986" s="1323">
        <f t="shared" si="124"/>
        <v>10</v>
      </c>
      <c r="I986" s="1323">
        <f t="shared" si="125"/>
        <v>1</v>
      </c>
      <c r="J986" s="1323"/>
      <c r="K986" s="1323"/>
      <c r="L986" s="1323"/>
      <c r="M986" s="1323"/>
      <c r="N986" s="1323"/>
      <c r="O986" s="1323"/>
      <c r="P986" s="1323"/>
      <c r="Q986" s="1323"/>
      <c r="R986" s="1304"/>
      <c r="S986" s="1304"/>
      <c r="T986" s="1304"/>
    </row>
    <row r="987" spans="1:20">
      <c r="A987" s="1303"/>
      <c r="B987" s="1322" t="s">
        <v>4223</v>
      </c>
      <c r="C987" s="1323" t="s">
        <v>4224</v>
      </c>
      <c r="D987" s="1324">
        <f t="shared" si="120"/>
        <v>40451</v>
      </c>
      <c r="E987" s="1323">
        <f t="shared" si="122"/>
        <v>6.9621000000000004</v>
      </c>
      <c r="F987" s="1323">
        <f t="shared" si="121"/>
        <v>8.122405649595434</v>
      </c>
      <c r="G987" s="1323">
        <f t="shared" si="123"/>
        <v>2010</v>
      </c>
      <c r="H987" s="1323">
        <f t="shared" si="124"/>
        <v>9</v>
      </c>
      <c r="I987" s="1323">
        <f t="shared" si="125"/>
        <v>30</v>
      </c>
      <c r="J987" s="1323"/>
      <c r="K987" s="1323"/>
      <c r="L987" s="1323"/>
      <c r="M987" s="1323"/>
      <c r="N987" s="1323"/>
      <c r="O987" s="1323"/>
      <c r="P987" s="1323"/>
      <c r="Q987" s="1323"/>
      <c r="R987" s="1304"/>
      <c r="S987" s="1304"/>
      <c r="T987" s="1304"/>
    </row>
    <row r="988" spans="1:20">
      <c r="A988" s="1303"/>
      <c r="B988" s="1322" t="s">
        <v>4225</v>
      </c>
      <c r="C988" s="1323" t="s">
        <v>4226</v>
      </c>
      <c r="D988" s="1324">
        <f t="shared" si="120"/>
        <v>40450</v>
      </c>
      <c r="E988" s="1323">
        <f t="shared" si="122"/>
        <v>6.9705000000000004</v>
      </c>
      <c r="F988" s="1323">
        <f t="shared" si="121"/>
        <v>8.1208482266478565</v>
      </c>
      <c r="G988" s="1323">
        <f t="shared" si="123"/>
        <v>2010</v>
      </c>
      <c r="H988" s="1323">
        <f t="shared" si="124"/>
        <v>9</v>
      </c>
      <c r="I988" s="1323">
        <f t="shared" si="125"/>
        <v>29</v>
      </c>
      <c r="J988" s="1323"/>
      <c r="K988" s="1323"/>
      <c r="L988" s="1323"/>
      <c r="M988" s="1323"/>
      <c r="N988" s="1323"/>
      <c r="O988" s="1323"/>
      <c r="P988" s="1323"/>
      <c r="Q988" s="1323"/>
      <c r="R988" s="1304"/>
      <c r="S988" s="1304"/>
      <c r="T988" s="1304"/>
    </row>
    <row r="989" spans="1:20">
      <c r="A989" s="1303"/>
      <c r="B989" s="1322" t="s">
        <v>4227</v>
      </c>
      <c r="C989" s="1323" t="s">
        <v>4228</v>
      </c>
      <c r="D989" s="1324">
        <f t="shared" si="120"/>
        <v>40449</v>
      </c>
      <c r="E989" s="1323">
        <f t="shared" si="122"/>
        <v>7.0275999999999996</v>
      </c>
      <c r="F989" s="1323">
        <f t="shared" si="121"/>
        <v>8.1192911023268621</v>
      </c>
      <c r="G989" s="1323">
        <f t="shared" si="123"/>
        <v>2010</v>
      </c>
      <c r="H989" s="1323">
        <f t="shared" si="124"/>
        <v>9</v>
      </c>
      <c r="I989" s="1323">
        <f t="shared" si="125"/>
        <v>28</v>
      </c>
      <c r="J989" s="1323"/>
      <c r="K989" s="1323"/>
      <c r="L989" s="1323"/>
      <c r="M989" s="1323"/>
      <c r="N989" s="1323"/>
      <c r="O989" s="1323"/>
      <c r="P989" s="1323"/>
      <c r="Q989" s="1323"/>
      <c r="R989" s="1304"/>
      <c r="S989" s="1304"/>
      <c r="T989" s="1304"/>
    </row>
    <row r="990" spans="1:20">
      <c r="A990" s="1303"/>
      <c r="B990" s="1322" t="s">
        <v>4229</v>
      </c>
      <c r="C990" s="1323" t="s">
        <v>4230</v>
      </c>
      <c r="D990" s="1324">
        <f t="shared" si="120"/>
        <v>40448</v>
      </c>
      <c r="E990" s="1323">
        <f t="shared" si="122"/>
        <v>7.0101000000000004</v>
      </c>
      <c r="F990" s="1323">
        <f t="shared" si="121"/>
        <v>8.1177342765751899</v>
      </c>
      <c r="G990" s="1323">
        <f t="shared" si="123"/>
        <v>2010</v>
      </c>
      <c r="H990" s="1323">
        <f t="shared" si="124"/>
        <v>9</v>
      </c>
      <c r="I990" s="1323">
        <f t="shared" si="125"/>
        <v>27</v>
      </c>
      <c r="J990" s="1323"/>
      <c r="K990" s="1323"/>
      <c r="L990" s="1323"/>
      <c r="M990" s="1323"/>
      <c r="N990" s="1323"/>
      <c r="O990" s="1323"/>
      <c r="P990" s="1323"/>
      <c r="Q990" s="1323"/>
      <c r="R990" s="1304"/>
      <c r="S990" s="1304"/>
      <c r="T990" s="1304"/>
    </row>
    <row r="991" spans="1:20">
      <c r="A991" s="1303"/>
      <c r="B991" s="1322" t="s">
        <v>4231</v>
      </c>
      <c r="C991" s="1323" t="s">
        <v>4232</v>
      </c>
      <c r="D991" s="1324">
        <f t="shared" si="120"/>
        <v>40444</v>
      </c>
      <c r="E991" s="1323">
        <f t="shared" si="122"/>
        <v>7.0583999999999998</v>
      </c>
      <c r="F991" s="1323">
        <f t="shared" si="121"/>
        <v>8.1161777493355913</v>
      </c>
      <c r="G991" s="1323">
        <f t="shared" si="123"/>
        <v>2010</v>
      </c>
      <c r="H991" s="1323">
        <f t="shared" si="124"/>
        <v>9</v>
      </c>
      <c r="I991" s="1323">
        <f t="shared" si="125"/>
        <v>23</v>
      </c>
      <c r="J991" s="1323"/>
      <c r="K991" s="1323"/>
      <c r="L991" s="1323"/>
      <c r="M991" s="1323"/>
      <c r="N991" s="1323"/>
      <c r="O991" s="1323"/>
      <c r="P991" s="1323"/>
      <c r="Q991" s="1323"/>
      <c r="R991" s="1304"/>
      <c r="S991" s="1304"/>
      <c r="T991" s="1304"/>
    </row>
    <row r="992" spans="1:20">
      <c r="A992" s="1303"/>
      <c r="B992" s="1322" t="s">
        <v>4233</v>
      </c>
      <c r="C992" s="1323" t="s">
        <v>4234</v>
      </c>
      <c r="D992" s="1324">
        <f t="shared" si="120"/>
        <v>40443</v>
      </c>
      <c r="E992" s="1323">
        <f t="shared" si="122"/>
        <v>7.0368000000000004</v>
      </c>
      <c r="F992" s="1323">
        <f t="shared" si="121"/>
        <v>8.1146215205508287</v>
      </c>
      <c r="G992" s="1323">
        <f t="shared" si="123"/>
        <v>2010</v>
      </c>
      <c r="H992" s="1323">
        <f t="shared" si="124"/>
        <v>9</v>
      </c>
      <c r="I992" s="1323">
        <f t="shared" si="125"/>
        <v>22</v>
      </c>
      <c r="J992" s="1323"/>
      <c r="K992" s="1323"/>
      <c r="L992" s="1323"/>
      <c r="M992" s="1323"/>
      <c r="N992" s="1323"/>
      <c r="O992" s="1323"/>
      <c r="P992" s="1323"/>
      <c r="Q992" s="1323"/>
      <c r="R992" s="1304"/>
      <c r="S992" s="1304"/>
      <c r="T992" s="1304"/>
    </row>
    <row r="993" spans="1:20">
      <c r="A993" s="1303"/>
      <c r="B993" s="1322" t="s">
        <v>4235</v>
      </c>
      <c r="C993" s="1323" t="s">
        <v>4236</v>
      </c>
      <c r="D993" s="1324">
        <f t="shared" si="120"/>
        <v>40442</v>
      </c>
      <c r="E993" s="1323">
        <f t="shared" si="122"/>
        <v>7.1075999999999997</v>
      </c>
      <c r="F993" s="1323">
        <f t="shared" si="121"/>
        <v>8.1130655901636732</v>
      </c>
      <c r="G993" s="1323">
        <f t="shared" si="123"/>
        <v>2010</v>
      </c>
      <c r="H993" s="1323">
        <f t="shared" si="124"/>
        <v>9</v>
      </c>
      <c r="I993" s="1323">
        <f t="shared" si="125"/>
        <v>21</v>
      </c>
      <c r="J993" s="1323"/>
      <c r="K993" s="1323"/>
      <c r="L993" s="1323"/>
      <c r="M993" s="1323"/>
      <c r="N993" s="1323"/>
      <c r="O993" s="1323"/>
      <c r="P993" s="1323"/>
      <c r="Q993" s="1323"/>
      <c r="R993" s="1304"/>
      <c r="S993" s="1304"/>
      <c r="T993" s="1304"/>
    </row>
    <row r="994" spans="1:20">
      <c r="A994" s="1303"/>
      <c r="B994" s="1322" t="s">
        <v>4237</v>
      </c>
      <c r="C994" s="1323" t="s">
        <v>4238</v>
      </c>
      <c r="D994" s="1324">
        <f t="shared" si="120"/>
        <v>40441</v>
      </c>
      <c r="E994" s="1323">
        <f t="shared" si="122"/>
        <v>7.1178999999999997</v>
      </c>
      <c r="F994" s="1323">
        <f t="shared" si="121"/>
        <v>8.1115099581169101</v>
      </c>
      <c r="G994" s="1323">
        <f t="shared" si="123"/>
        <v>2010</v>
      </c>
      <c r="H994" s="1323">
        <f t="shared" si="124"/>
        <v>9</v>
      </c>
      <c r="I994" s="1323">
        <f t="shared" si="125"/>
        <v>20</v>
      </c>
      <c r="J994" s="1323"/>
      <c r="K994" s="1323"/>
      <c r="L994" s="1323"/>
      <c r="M994" s="1323"/>
      <c r="N994" s="1323"/>
      <c r="O994" s="1323"/>
      <c r="P994" s="1323"/>
      <c r="Q994" s="1323"/>
      <c r="R994" s="1304"/>
      <c r="S994" s="1304"/>
      <c r="T994" s="1304"/>
    </row>
    <row r="995" spans="1:20">
      <c r="A995" s="1303"/>
      <c r="B995" s="1322" t="s">
        <v>4239</v>
      </c>
      <c r="C995" s="1323" t="s">
        <v>4240</v>
      </c>
      <c r="D995" s="1324">
        <f t="shared" si="120"/>
        <v>40438</v>
      </c>
      <c r="E995" s="1323">
        <f t="shared" si="122"/>
        <v>7.1276000000000002</v>
      </c>
      <c r="F995" s="1323">
        <f t="shared" si="121"/>
        <v>8.1099546243533354</v>
      </c>
      <c r="G995" s="1323">
        <f t="shared" si="123"/>
        <v>2010</v>
      </c>
      <c r="H995" s="1323">
        <f t="shared" si="124"/>
        <v>9</v>
      </c>
      <c r="I995" s="1323">
        <f t="shared" si="125"/>
        <v>17</v>
      </c>
      <c r="J995" s="1323"/>
      <c r="K995" s="1323"/>
      <c r="L995" s="1323"/>
      <c r="M995" s="1323"/>
      <c r="N995" s="1323"/>
      <c r="O995" s="1323"/>
      <c r="P995" s="1323"/>
      <c r="Q995" s="1323"/>
      <c r="R995" s="1304"/>
      <c r="S995" s="1304"/>
      <c r="T995" s="1304"/>
    </row>
    <row r="996" spans="1:20">
      <c r="A996" s="1303"/>
      <c r="B996" s="1322" t="s">
        <v>4241</v>
      </c>
      <c r="C996" s="1323" t="s">
        <v>4242</v>
      </c>
      <c r="D996" s="1324">
        <f t="shared" si="120"/>
        <v>40437</v>
      </c>
      <c r="E996" s="1323">
        <f t="shared" si="122"/>
        <v>7.1010999999999997</v>
      </c>
      <c r="F996" s="1323">
        <f t="shared" si="121"/>
        <v>8.1083995888157538</v>
      </c>
      <c r="G996" s="1323">
        <f t="shared" si="123"/>
        <v>2010</v>
      </c>
      <c r="H996" s="1323">
        <f t="shared" si="124"/>
        <v>9</v>
      </c>
      <c r="I996" s="1323">
        <f t="shared" si="125"/>
        <v>16</v>
      </c>
      <c r="J996" s="1323"/>
      <c r="K996" s="1323"/>
      <c r="L996" s="1323"/>
      <c r="M996" s="1323"/>
      <c r="N996" s="1323"/>
      <c r="O996" s="1323"/>
      <c r="P996" s="1323"/>
      <c r="Q996" s="1323"/>
      <c r="R996" s="1304"/>
      <c r="S996" s="1304"/>
      <c r="T996" s="1304"/>
    </row>
    <row r="997" spans="1:20">
      <c r="A997" s="1303"/>
      <c r="B997" s="1322" t="s">
        <v>4243</v>
      </c>
      <c r="C997" s="1323" t="s">
        <v>4244</v>
      </c>
      <c r="D997" s="1324">
        <f t="shared" si="120"/>
        <v>40436</v>
      </c>
      <c r="E997" s="1323">
        <f t="shared" si="122"/>
        <v>7.0994000000000002</v>
      </c>
      <c r="F997" s="1323">
        <f t="shared" si="121"/>
        <v>8.1068448514469829</v>
      </c>
      <c r="G997" s="1323">
        <f t="shared" si="123"/>
        <v>2010</v>
      </c>
      <c r="H997" s="1323">
        <f t="shared" si="124"/>
        <v>9</v>
      </c>
      <c r="I997" s="1323">
        <f t="shared" si="125"/>
        <v>15</v>
      </c>
      <c r="J997" s="1323"/>
      <c r="K997" s="1323"/>
      <c r="L997" s="1323"/>
      <c r="M997" s="1323"/>
      <c r="N997" s="1323"/>
      <c r="O997" s="1323"/>
      <c r="P997" s="1323"/>
      <c r="Q997" s="1323"/>
      <c r="R997" s="1304"/>
      <c r="S997" s="1304"/>
      <c r="T997" s="1304"/>
    </row>
    <row r="998" spans="1:20">
      <c r="A998" s="1303"/>
      <c r="B998" s="1322" t="s">
        <v>4245</v>
      </c>
      <c r="C998" s="1323" t="s">
        <v>4246</v>
      </c>
      <c r="D998" s="1324">
        <f t="shared" si="120"/>
        <v>40435</v>
      </c>
      <c r="E998" s="1323">
        <f t="shared" si="122"/>
        <v>7.1474000000000002</v>
      </c>
      <c r="F998" s="1323">
        <f t="shared" si="121"/>
        <v>8.1052904121898504</v>
      </c>
      <c r="G998" s="1323">
        <f t="shared" si="123"/>
        <v>2010</v>
      </c>
      <c r="H998" s="1323">
        <f t="shared" si="124"/>
        <v>9</v>
      </c>
      <c r="I998" s="1323">
        <f t="shared" si="125"/>
        <v>14</v>
      </c>
      <c r="J998" s="1323"/>
      <c r="K998" s="1323"/>
      <c r="L998" s="1323"/>
      <c r="M998" s="1323"/>
      <c r="N998" s="1323"/>
      <c r="O998" s="1323"/>
      <c r="P998" s="1323"/>
      <c r="Q998" s="1323"/>
      <c r="R998" s="1304"/>
      <c r="S998" s="1304"/>
      <c r="T998" s="1304"/>
    </row>
    <row r="999" spans="1:20">
      <c r="A999" s="1303"/>
      <c r="B999" s="1322" t="s">
        <v>4247</v>
      </c>
      <c r="C999" s="1323" t="s">
        <v>4248</v>
      </c>
      <c r="D999" s="1324">
        <f t="shared" si="120"/>
        <v>40434</v>
      </c>
      <c r="E999" s="1323">
        <f t="shared" si="122"/>
        <v>7.1448</v>
      </c>
      <c r="F999" s="1323">
        <f t="shared" si="121"/>
        <v>8.103736270987195</v>
      </c>
      <c r="G999" s="1323">
        <f t="shared" si="123"/>
        <v>2010</v>
      </c>
      <c r="H999" s="1323">
        <f t="shared" si="124"/>
        <v>9</v>
      </c>
      <c r="I999" s="1323">
        <f t="shared" si="125"/>
        <v>13</v>
      </c>
      <c r="J999" s="1323"/>
      <c r="K999" s="1323"/>
      <c r="L999" s="1323"/>
      <c r="M999" s="1323"/>
      <c r="N999" s="1323"/>
      <c r="O999" s="1323"/>
      <c r="P999" s="1323"/>
      <c r="Q999" s="1323"/>
      <c r="R999" s="1304"/>
      <c r="S999" s="1304"/>
      <c r="T999" s="1304"/>
    </row>
    <row r="1000" spans="1:20">
      <c r="A1000" s="1303"/>
      <c r="B1000" s="1322" t="s">
        <v>4249</v>
      </c>
      <c r="C1000" s="1323" t="s">
        <v>4250</v>
      </c>
      <c r="D1000" s="1324">
        <f t="shared" si="120"/>
        <v>40431</v>
      </c>
      <c r="E1000" s="1323">
        <f t="shared" si="122"/>
        <v>7.1912000000000003</v>
      </c>
      <c r="F1000" s="1323">
        <f t="shared" si="121"/>
        <v>8.1021824277818659</v>
      </c>
      <c r="G1000" s="1323">
        <f t="shared" si="123"/>
        <v>2010</v>
      </c>
      <c r="H1000" s="1323">
        <f t="shared" si="124"/>
        <v>9</v>
      </c>
      <c r="I1000" s="1323">
        <f t="shared" si="125"/>
        <v>10</v>
      </c>
      <c r="J1000" s="1323"/>
      <c r="K1000" s="1323"/>
      <c r="L1000" s="1323"/>
      <c r="M1000" s="1323"/>
      <c r="N1000" s="1323"/>
      <c r="O1000" s="1323"/>
      <c r="P1000" s="1323"/>
      <c r="Q1000" s="1323"/>
      <c r="R1000" s="1304"/>
      <c r="S1000" s="1304"/>
      <c r="T1000" s="1304"/>
    </row>
    <row r="1001" spans="1:20">
      <c r="A1001" s="1303"/>
      <c r="B1001" s="1322" t="s">
        <v>4251</v>
      </c>
      <c r="C1001" s="1323" t="s">
        <v>4252</v>
      </c>
      <c r="D1001" s="1324">
        <f t="shared" si="120"/>
        <v>40430</v>
      </c>
      <c r="E1001" s="1323">
        <f t="shared" si="122"/>
        <v>7.2305999999999999</v>
      </c>
      <c r="F1001" s="1323">
        <f t="shared" si="121"/>
        <v>8.100628882516725</v>
      </c>
      <c r="G1001" s="1323">
        <f t="shared" si="123"/>
        <v>2010</v>
      </c>
      <c r="H1001" s="1323">
        <f t="shared" si="124"/>
        <v>9</v>
      </c>
      <c r="I1001" s="1323">
        <f t="shared" si="125"/>
        <v>9</v>
      </c>
      <c r="J1001" s="1323"/>
      <c r="K1001" s="1323"/>
      <c r="L1001" s="1323"/>
      <c r="M1001" s="1323"/>
      <c r="N1001" s="1323"/>
      <c r="O1001" s="1323"/>
      <c r="P1001" s="1323"/>
      <c r="Q1001" s="1323"/>
      <c r="R1001" s="1304"/>
      <c r="S1001" s="1304"/>
      <c r="T1001" s="1304"/>
    </row>
    <row r="1002" spans="1:20">
      <c r="A1002" s="1303"/>
      <c r="B1002" s="1322" t="s">
        <v>4253</v>
      </c>
      <c r="C1002" s="1323" t="s">
        <v>4254</v>
      </c>
      <c r="D1002" s="1324">
        <f t="shared" si="120"/>
        <v>40429</v>
      </c>
      <c r="E1002" s="1323">
        <f t="shared" si="122"/>
        <v>7.2819000000000003</v>
      </c>
      <c r="F1002" s="1323">
        <f t="shared" si="121"/>
        <v>8.0990756351346445</v>
      </c>
      <c r="G1002" s="1323">
        <f t="shared" si="123"/>
        <v>2010</v>
      </c>
      <c r="H1002" s="1323">
        <f t="shared" si="124"/>
        <v>9</v>
      </c>
      <c r="I1002" s="1323">
        <f t="shared" si="125"/>
        <v>8</v>
      </c>
      <c r="J1002" s="1323"/>
      <c r="K1002" s="1323"/>
      <c r="L1002" s="1323"/>
      <c r="M1002" s="1323"/>
      <c r="N1002" s="1323"/>
      <c r="O1002" s="1323"/>
      <c r="P1002" s="1323"/>
      <c r="Q1002" s="1323"/>
      <c r="R1002" s="1304"/>
      <c r="S1002" s="1304"/>
      <c r="T1002" s="1304"/>
    </row>
    <row r="1003" spans="1:20">
      <c r="A1003" s="1303"/>
      <c r="B1003" s="1322" t="s">
        <v>4255</v>
      </c>
      <c r="C1003" s="1323" t="s">
        <v>4256</v>
      </c>
      <c r="D1003" s="1324">
        <f t="shared" si="120"/>
        <v>40428</v>
      </c>
      <c r="E1003" s="1323">
        <f t="shared" si="122"/>
        <v>7.2662000000000004</v>
      </c>
      <c r="F1003" s="1323">
        <f t="shared" si="121"/>
        <v>8.0975226855785056</v>
      </c>
      <c r="G1003" s="1323">
        <f t="shared" si="123"/>
        <v>2010</v>
      </c>
      <c r="H1003" s="1323">
        <f t="shared" si="124"/>
        <v>9</v>
      </c>
      <c r="I1003" s="1323">
        <f t="shared" si="125"/>
        <v>7</v>
      </c>
      <c r="J1003" s="1323"/>
      <c r="K1003" s="1323"/>
      <c r="L1003" s="1323"/>
      <c r="M1003" s="1323"/>
      <c r="N1003" s="1323"/>
      <c r="O1003" s="1323"/>
      <c r="P1003" s="1323"/>
      <c r="Q1003" s="1323"/>
      <c r="R1003" s="1304"/>
      <c r="S1003" s="1304"/>
      <c r="T1003" s="1304"/>
    </row>
    <row r="1004" spans="1:20">
      <c r="A1004" s="1303"/>
      <c r="B1004" s="1322" t="s">
        <v>4257</v>
      </c>
      <c r="C1004" s="1323" t="s">
        <v>4258</v>
      </c>
      <c r="D1004" s="1324">
        <f t="shared" si="120"/>
        <v>40427</v>
      </c>
      <c r="E1004" s="1323">
        <f t="shared" si="122"/>
        <v>7.1908000000000003</v>
      </c>
      <c r="F1004" s="1323">
        <f t="shared" si="121"/>
        <v>8.0959700337912022</v>
      </c>
      <c r="G1004" s="1323">
        <f t="shared" si="123"/>
        <v>2010</v>
      </c>
      <c r="H1004" s="1323">
        <f t="shared" si="124"/>
        <v>9</v>
      </c>
      <c r="I1004" s="1323">
        <f t="shared" si="125"/>
        <v>6</v>
      </c>
      <c r="J1004" s="1323"/>
      <c r="K1004" s="1323"/>
      <c r="L1004" s="1323"/>
      <c r="M1004" s="1323"/>
      <c r="N1004" s="1323"/>
      <c r="O1004" s="1323"/>
      <c r="P1004" s="1323"/>
      <c r="Q1004" s="1323"/>
      <c r="R1004" s="1304"/>
      <c r="S1004" s="1304"/>
      <c r="T1004" s="1304"/>
    </row>
    <row r="1005" spans="1:20">
      <c r="A1005" s="1303"/>
      <c r="B1005" s="1322" t="s">
        <v>4259</v>
      </c>
      <c r="C1005" s="1323" t="s">
        <v>4260</v>
      </c>
      <c r="D1005" s="1324">
        <f t="shared" si="120"/>
        <v>40424</v>
      </c>
      <c r="E1005" s="1323">
        <f t="shared" si="122"/>
        <v>7.2191000000000001</v>
      </c>
      <c r="F1005" s="1323">
        <f t="shared" si="121"/>
        <v>8.0944176797156402</v>
      </c>
      <c r="G1005" s="1323">
        <f t="shared" si="123"/>
        <v>2010</v>
      </c>
      <c r="H1005" s="1323">
        <f t="shared" si="124"/>
        <v>9</v>
      </c>
      <c r="I1005" s="1323">
        <f t="shared" si="125"/>
        <v>3</v>
      </c>
      <c r="J1005" s="1323"/>
      <c r="K1005" s="1323"/>
      <c r="L1005" s="1323"/>
      <c r="M1005" s="1323"/>
      <c r="N1005" s="1323"/>
      <c r="O1005" s="1323"/>
      <c r="P1005" s="1323"/>
      <c r="Q1005" s="1323"/>
      <c r="R1005" s="1304"/>
      <c r="S1005" s="1304"/>
      <c r="T1005" s="1304"/>
    </row>
    <row r="1006" spans="1:20">
      <c r="A1006" s="1303"/>
      <c r="B1006" s="1322" t="s">
        <v>4261</v>
      </c>
      <c r="C1006" s="1323" t="s">
        <v>4262</v>
      </c>
      <c r="D1006" s="1324">
        <f t="shared" si="120"/>
        <v>40423</v>
      </c>
      <c r="E1006" s="1323">
        <f t="shared" si="122"/>
        <v>7.2784000000000004</v>
      </c>
      <c r="F1006" s="1323">
        <f t="shared" si="121"/>
        <v>8.0928656232947347</v>
      </c>
      <c r="G1006" s="1323">
        <f t="shared" si="123"/>
        <v>2010</v>
      </c>
      <c r="H1006" s="1323">
        <f t="shared" si="124"/>
        <v>9</v>
      </c>
      <c r="I1006" s="1323">
        <f t="shared" si="125"/>
        <v>2</v>
      </c>
      <c r="J1006" s="1323"/>
      <c r="K1006" s="1323"/>
      <c r="L1006" s="1323"/>
      <c r="M1006" s="1323"/>
      <c r="N1006" s="1323"/>
      <c r="O1006" s="1323"/>
      <c r="P1006" s="1323"/>
      <c r="Q1006" s="1323"/>
      <c r="R1006" s="1304"/>
      <c r="S1006" s="1304"/>
      <c r="T1006" s="1304"/>
    </row>
    <row r="1007" spans="1:20">
      <c r="A1007" s="1303"/>
      <c r="B1007" s="1322" t="s">
        <v>4263</v>
      </c>
      <c r="C1007" s="1323" t="s">
        <v>4264</v>
      </c>
      <c r="D1007" s="1324">
        <f t="shared" si="120"/>
        <v>40422</v>
      </c>
      <c r="E1007" s="1323">
        <f t="shared" si="122"/>
        <v>7.3826000000000001</v>
      </c>
      <c r="F1007" s="1323">
        <f t="shared" si="121"/>
        <v>8.0913138644714113</v>
      </c>
      <c r="G1007" s="1323">
        <f t="shared" si="123"/>
        <v>2010</v>
      </c>
      <c r="H1007" s="1323">
        <f t="shared" si="124"/>
        <v>9</v>
      </c>
      <c r="I1007" s="1323">
        <f t="shared" si="125"/>
        <v>1</v>
      </c>
      <c r="J1007" s="1323"/>
      <c r="K1007" s="1323"/>
      <c r="L1007" s="1323"/>
      <c r="M1007" s="1323"/>
      <c r="N1007" s="1323"/>
      <c r="O1007" s="1323"/>
      <c r="P1007" s="1323"/>
      <c r="Q1007" s="1323"/>
      <c r="R1007" s="1304"/>
      <c r="S1007" s="1304"/>
      <c r="T1007" s="1304"/>
    </row>
    <row r="1008" spans="1:20">
      <c r="A1008" s="1303"/>
      <c r="B1008" s="1322" t="s">
        <v>4265</v>
      </c>
      <c r="C1008" s="1323" t="s">
        <v>4266</v>
      </c>
      <c r="D1008" s="1324">
        <f t="shared" si="120"/>
        <v>40421</v>
      </c>
      <c r="E1008" s="1323">
        <f t="shared" si="122"/>
        <v>7.3762999999999996</v>
      </c>
      <c r="F1008" s="1323">
        <f t="shared" si="121"/>
        <v>8.0897624031886082</v>
      </c>
      <c r="G1008" s="1323">
        <f t="shared" si="123"/>
        <v>2010</v>
      </c>
      <c r="H1008" s="1323">
        <f t="shared" si="124"/>
        <v>8</v>
      </c>
      <c r="I1008" s="1323">
        <f t="shared" si="125"/>
        <v>31</v>
      </c>
      <c r="J1008" s="1323"/>
      <c r="K1008" s="1323"/>
      <c r="L1008" s="1323"/>
      <c r="M1008" s="1323"/>
      <c r="N1008" s="1323"/>
      <c r="O1008" s="1323"/>
      <c r="P1008" s="1323"/>
      <c r="Q1008" s="1323"/>
      <c r="R1008" s="1304"/>
      <c r="S1008" s="1304"/>
      <c r="T1008" s="1304"/>
    </row>
    <row r="1009" spans="1:20">
      <c r="A1009" s="1303"/>
      <c r="B1009" s="1322" t="s">
        <v>4267</v>
      </c>
      <c r="C1009" s="1323" t="s">
        <v>4268</v>
      </c>
      <c r="D1009" s="1324">
        <f t="shared" si="120"/>
        <v>40420</v>
      </c>
      <c r="E1009" s="1323">
        <f t="shared" si="122"/>
        <v>7.3064999999999998</v>
      </c>
      <c r="F1009" s="1323">
        <f t="shared" si="121"/>
        <v>8.0882112393892722</v>
      </c>
      <c r="G1009" s="1323">
        <f t="shared" si="123"/>
        <v>2010</v>
      </c>
      <c r="H1009" s="1323">
        <f t="shared" si="124"/>
        <v>8</v>
      </c>
      <c r="I1009" s="1323">
        <f t="shared" si="125"/>
        <v>30</v>
      </c>
      <c r="J1009" s="1323"/>
      <c r="K1009" s="1323"/>
      <c r="L1009" s="1323"/>
      <c r="M1009" s="1323"/>
      <c r="N1009" s="1323"/>
      <c r="O1009" s="1323"/>
      <c r="P1009" s="1323"/>
      <c r="Q1009" s="1323"/>
      <c r="R1009" s="1304"/>
      <c r="S1009" s="1304"/>
      <c r="T1009" s="1304"/>
    </row>
    <row r="1010" spans="1:20">
      <c r="A1010" s="1303"/>
      <c r="B1010" s="1322" t="s">
        <v>4269</v>
      </c>
      <c r="C1010" s="1323" t="s">
        <v>4270</v>
      </c>
      <c r="D1010" s="1324">
        <f t="shared" si="120"/>
        <v>40417</v>
      </c>
      <c r="E1010" s="1323">
        <f t="shared" si="122"/>
        <v>7.3228</v>
      </c>
      <c r="F1010" s="1323">
        <f t="shared" si="121"/>
        <v>8.0866603730163646</v>
      </c>
      <c r="G1010" s="1323">
        <f t="shared" si="123"/>
        <v>2010</v>
      </c>
      <c r="H1010" s="1323">
        <f t="shared" si="124"/>
        <v>8</v>
      </c>
      <c r="I1010" s="1323">
        <f t="shared" si="125"/>
        <v>27</v>
      </c>
      <c r="J1010" s="1323"/>
      <c r="K1010" s="1323"/>
      <c r="L1010" s="1323"/>
      <c r="M1010" s="1323"/>
      <c r="N1010" s="1323"/>
      <c r="O1010" s="1323"/>
      <c r="P1010" s="1323"/>
      <c r="Q1010" s="1323"/>
      <c r="R1010" s="1304"/>
      <c r="S1010" s="1304"/>
      <c r="T1010" s="1304"/>
    </row>
    <row r="1011" spans="1:20">
      <c r="A1011" s="1303"/>
      <c r="B1011" s="1322" t="s">
        <v>4271</v>
      </c>
      <c r="C1011" s="1323" t="s">
        <v>4272</v>
      </c>
      <c r="D1011" s="1324">
        <f t="shared" si="120"/>
        <v>40416</v>
      </c>
      <c r="E1011" s="1323">
        <f t="shared" si="122"/>
        <v>7.3212999999999999</v>
      </c>
      <c r="F1011" s="1323">
        <f t="shared" si="121"/>
        <v>8.0851098040128555</v>
      </c>
      <c r="G1011" s="1323">
        <f t="shared" si="123"/>
        <v>2010</v>
      </c>
      <c r="H1011" s="1323">
        <f t="shared" si="124"/>
        <v>8</v>
      </c>
      <c r="I1011" s="1323">
        <f t="shared" si="125"/>
        <v>26</v>
      </c>
      <c r="J1011" s="1323"/>
      <c r="K1011" s="1323"/>
      <c r="L1011" s="1323"/>
      <c r="M1011" s="1323"/>
      <c r="N1011" s="1323"/>
      <c r="O1011" s="1323"/>
      <c r="P1011" s="1323"/>
      <c r="Q1011" s="1323"/>
      <c r="R1011" s="1304"/>
      <c r="S1011" s="1304"/>
      <c r="T1011" s="1304"/>
    </row>
    <row r="1012" spans="1:20">
      <c r="A1012" s="1303"/>
      <c r="B1012" s="1322" t="s">
        <v>4273</v>
      </c>
      <c r="C1012" s="1323" t="s">
        <v>4274</v>
      </c>
      <c r="D1012" s="1324">
        <f t="shared" si="120"/>
        <v>40415</v>
      </c>
      <c r="E1012" s="1323">
        <f t="shared" si="122"/>
        <v>7.3495999999999997</v>
      </c>
      <c r="F1012" s="1323">
        <f t="shared" si="121"/>
        <v>8.0835595323217255</v>
      </c>
      <c r="G1012" s="1323">
        <f t="shared" si="123"/>
        <v>2010</v>
      </c>
      <c r="H1012" s="1323">
        <f t="shared" si="124"/>
        <v>8</v>
      </c>
      <c r="I1012" s="1323">
        <f t="shared" si="125"/>
        <v>25</v>
      </c>
      <c r="J1012" s="1323"/>
      <c r="K1012" s="1323"/>
      <c r="L1012" s="1323"/>
      <c r="M1012" s="1323"/>
      <c r="N1012" s="1323"/>
      <c r="O1012" s="1323"/>
      <c r="P1012" s="1323"/>
      <c r="Q1012" s="1323"/>
      <c r="R1012" s="1304"/>
      <c r="S1012" s="1304"/>
      <c r="T1012" s="1304"/>
    </row>
    <row r="1013" spans="1:20">
      <c r="A1013" s="1303"/>
      <c r="B1013" s="1322" t="s">
        <v>4275</v>
      </c>
      <c r="C1013" s="1323" t="s">
        <v>4276</v>
      </c>
      <c r="D1013" s="1324">
        <f t="shared" si="120"/>
        <v>40414</v>
      </c>
      <c r="E1013" s="1323">
        <f t="shared" si="122"/>
        <v>7.4004000000000003</v>
      </c>
      <c r="F1013" s="1323">
        <f t="shared" si="121"/>
        <v>8.0820095578859661</v>
      </c>
      <c r="G1013" s="1323">
        <f t="shared" si="123"/>
        <v>2010</v>
      </c>
      <c r="H1013" s="1323">
        <f t="shared" si="124"/>
        <v>8</v>
      </c>
      <c r="I1013" s="1323">
        <f t="shared" si="125"/>
        <v>24</v>
      </c>
      <c r="J1013" s="1323"/>
      <c r="K1013" s="1323"/>
      <c r="L1013" s="1323"/>
      <c r="M1013" s="1323"/>
      <c r="N1013" s="1323"/>
      <c r="O1013" s="1323"/>
      <c r="P1013" s="1323"/>
      <c r="Q1013" s="1323"/>
      <c r="R1013" s="1304"/>
      <c r="S1013" s="1304"/>
      <c r="T1013" s="1304"/>
    </row>
    <row r="1014" spans="1:20">
      <c r="A1014" s="1303"/>
      <c r="B1014" s="1322" t="s">
        <v>4277</v>
      </c>
      <c r="C1014" s="1323" t="s">
        <v>4278</v>
      </c>
      <c r="D1014" s="1324">
        <f t="shared" si="120"/>
        <v>40413</v>
      </c>
      <c r="E1014" s="1323">
        <f t="shared" si="122"/>
        <v>7.2830000000000004</v>
      </c>
      <c r="F1014" s="1323">
        <f t="shared" si="121"/>
        <v>8.080459880648581</v>
      </c>
      <c r="G1014" s="1323">
        <f t="shared" si="123"/>
        <v>2010</v>
      </c>
      <c r="H1014" s="1323">
        <f t="shared" si="124"/>
        <v>8</v>
      </c>
      <c r="I1014" s="1323">
        <f t="shared" si="125"/>
        <v>23</v>
      </c>
      <c r="J1014" s="1323"/>
      <c r="K1014" s="1323"/>
      <c r="L1014" s="1323"/>
      <c r="M1014" s="1323"/>
      <c r="N1014" s="1323"/>
      <c r="O1014" s="1323"/>
      <c r="P1014" s="1323"/>
      <c r="Q1014" s="1323"/>
      <c r="R1014" s="1304"/>
      <c r="S1014" s="1304"/>
      <c r="T1014" s="1304"/>
    </row>
    <row r="1015" spans="1:20">
      <c r="A1015" s="1303"/>
      <c r="B1015" s="1322" t="s">
        <v>4279</v>
      </c>
      <c r="C1015" s="1323" t="s">
        <v>4280</v>
      </c>
      <c r="D1015" s="1324">
        <f t="shared" si="120"/>
        <v>40410</v>
      </c>
      <c r="E1015" s="1323">
        <f t="shared" si="122"/>
        <v>7.3023999999999996</v>
      </c>
      <c r="F1015" s="1323">
        <f t="shared" si="121"/>
        <v>8.0789105005525848</v>
      </c>
      <c r="G1015" s="1323">
        <f t="shared" si="123"/>
        <v>2010</v>
      </c>
      <c r="H1015" s="1323">
        <f t="shared" si="124"/>
        <v>8</v>
      </c>
      <c r="I1015" s="1323">
        <f t="shared" si="125"/>
        <v>20</v>
      </c>
      <c r="J1015" s="1323"/>
      <c r="K1015" s="1323"/>
      <c r="L1015" s="1323"/>
      <c r="M1015" s="1323"/>
      <c r="N1015" s="1323"/>
      <c r="O1015" s="1323"/>
      <c r="P1015" s="1323"/>
      <c r="Q1015" s="1323"/>
      <c r="R1015" s="1304"/>
      <c r="S1015" s="1304"/>
      <c r="T1015" s="1304"/>
    </row>
    <row r="1016" spans="1:20">
      <c r="A1016" s="1303"/>
      <c r="B1016" s="1322" t="s">
        <v>4281</v>
      </c>
      <c r="C1016" s="1323" t="s">
        <v>4282</v>
      </c>
      <c r="D1016" s="1324">
        <f t="shared" si="120"/>
        <v>40409</v>
      </c>
      <c r="E1016" s="1323">
        <f t="shared" si="122"/>
        <v>7.2826000000000004</v>
      </c>
      <c r="F1016" s="1323">
        <f t="shared" si="121"/>
        <v>8.0773614175410007</v>
      </c>
      <c r="G1016" s="1323">
        <f t="shared" si="123"/>
        <v>2010</v>
      </c>
      <c r="H1016" s="1323">
        <f t="shared" si="124"/>
        <v>8</v>
      </c>
      <c r="I1016" s="1323">
        <f t="shared" si="125"/>
        <v>19</v>
      </c>
      <c r="J1016" s="1323"/>
      <c r="K1016" s="1323"/>
      <c r="L1016" s="1323"/>
      <c r="M1016" s="1323"/>
      <c r="N1016" s="1323"/>
      <c r="O1016" s="1323"/>
      <c r="P1016" s="1323"/>
      <c r="Q1016" s="1323"/>
      <c r="R1016" s="1304"/>
      <c r="S1016" s="1304"/>
      <c r="T1016" s="1304"/>
    </row>
    <row r="1017" spans="1:20">
      <c r="A1017" s="1303"/>
      <c r="B1017" s="1322" t="s">
        <v>4283</v>
      </c>
      <c r="C1017" s="1323" t="s">
        <v>4284</v>
      </c>
      <c r="D1017" s="1324">
        <f t="shared" si="120"/>
        <v>40408</v>
      </c>
      <c r="E1017" s="1323">
        <f t="shared" si="122"/>
        <v>7.2817999999999996</v>
      </c>
      <c r="F1017" s="1323">
        <f t="shared" si="121"/>
        <v>8.0758126315568664</v>
      </c>
      <c r="G1017" s="1323">
        <f t="shared" si="123"/>
        <v>2010</v>
      </c>
      <c r="H1017" s="1323">
        <f t="shared" si="124"/>
        <v>8</v>
      </c>
      <c r="I1017" s="1323">
        <f t="shared" si="125"/>
        <v>18</v>
      </c>
      <c r="J1017" s="1323"/>
      <c r="K1017" s="1323"/>
      <c r="L1017" s="1323"/>
      <c r="M1017" s="1323"/>
      <c r="N1017" s="1323"/>
      <c r="O1017" s="1323"/>
      <c r="P1017" s="1323"/>
      <c r="Q1017" s="1323"/>
      <c r="R1017" s="1304"/>
      <c r="S1017" s="1304"/>
      <c r="T1017" s="1304"/>
    </row>
    <row r="1018" spans="1:20">
      <c r="A1018" s="1303"/>
      <c r="B1018" s="1322" t="s">
        <v>4285</v>
      </c>
      <c r="C1018" s="1323" t="s">
        <v>4286</v>
      </c>
      <c r="D1018" s="1324">
        <f t="shared" si="120"/>
        <v>40407</v>
      </c>
      <c r="E1018" s="1323">
        <f t="shared" si="122"/>
        <v>7.2390999999999996</v>
      </c>
      <c r="F1018" s="1323">
        <f t="shared" si="121"/>
        <v>8.0742641425432282</v>
      </c>
      <c r="G1018" s="1323">
        <f t="shared" si="123"/>
        <v>2010</v>
      </c>
      <c r="H1018" s="1323">
        <f t="shared" si="124"/>
        <v>8</v>
      </c>
      <c r="I1018" s="1323">
        <f t="shared" si="125"/>
        <v>17</v>
      </c>
      <c r="J1018" s="1323"/>
      <c r="K1018" s="1323"/>
      <c r="L1018" s="1323"/>
      <c r="M1018" s="1323"/>
      <c r="N1018" s="1323"/>
      <c r="O1018" s="1323"/>
      <c r="P1018" s="1323"/>
      <c r="Q1018" s="1323"/>
      <c r="R1018" s="1304"/>
      <c r="S1018" s="1304"/>
      <c r="T1018" s="1304"/>
    </row>
    <row r="1019" spans="1:20">
      <c r="A1019" s="1303"/>
      <c r="B1019" s="1322" t="s">
        <v>4287</v>
      </c>
      <c r="C1019" s="1323" t="s">
        <v>4288</v>
      </c>
      <c r="D1019" s="1324">
        <f t="shared" si="120"/>
        <v>40406</v>
      </c>
      <c r="E1019" s="1323">
        <f t="shared" si="122"/>
        <v>7.3163999999999998</v>
      </c>
      <c r="F1019" s="1323">
        <f t="shared" si="121"/>
        <v>8.0727159504431434</v>
      </c>
      <c r="G1019" s="1323">
        <f t="shared" si="123"/>
        <v>2010</v>
      </c>
      <c r="H1019" s="1323">
        <f t="shared" si="124"/>
        <v>8</v>
      </c>
      <c r="I1019" s="1323">
        <f t="shared" si="125"/>
        <v>16</v>
      </c>
      <c r="J1019" s="1323"/>
      <c r="K1019" s="1323"/>
      <c r="L1019" s="1323"/>
      <c r="M1019" s="1323"/>
      <c r="N1019" s="1323"/>
      <c r="O1019" s="1323"/>
      <c r="P1019" s="1323"/>
      <c r="Q1019" s="1323"/>
      <c r="R1019" s="1304"/>
      <c r="S1019" s="1304"/>
      <c r="T1019" s="1304"/>
    </row>
    <row r="1020" spans="1:20">
      <c r="A1020" s="1303"/>
      <c r="B1020" s="1322" t="s">
        <v>4289</v>
      </c>
      <c r="C1020" s="1323" t="s">
        <v>4290</v>
      </c>
      <c r="D1020" s="1324">
        <f t="shared" si="120"/>
        <v>40403</v>
      </c>
      <c r="E1020" s="1323">
        <f t="shared" si="122"/>
        <v>7.2572999999999999</v>
      </c>
      <c r="F1020" s="1323">
        <f t="shared" si="121"/>
        <v>8.0711680551996796</v>
      </c>
      <c r="G1020" s="1323">
        <f t="shared" si="123"/>
        <v>2010</v>
      </c>
      <c r="H1020" s="1323">
        <f t="shared" si="124"/>
        <v>8</v>
      </c>
      <c r="I1020" s="1323">
        <f t="shared" si="125"/>
        <v>13</v>
      </c>
      <c r="J1020" s="1323"/>
      <c r="K1020" s="1323"/>
      <c r="L1020" s="1323"/>
      <c r="M1020" s="1323"/>
      <c r="N1020" s="1323"/>
      <c r="O1020" s="1323"/>
      <c r="P1020" s="1323"/>
      <c r="Q1020" s="1323"/>
      <c r="R1020" s="1304"/>
      <c r="S1020" s="1304"/>
      <c r="T1020" s="1304"/>
    </row>
    <row r="1021" spans="1:20">
      <c r="A1021" s="1303"/>
      <c r="B1021" s="1322" t="s">
        <v>4291</v>
      </c>
      <c r="C1021" s="1323" t="s">
        <v>4292</v>
      </c>
      <c r="D1021" s="1324">
        <f t="shared" si="120"/>
        <v>40402</v>
      </c>
      <c r="E1021" s="1323">
        <f t="shared" si="122"/>
        <v>7.3082000000000003</v>
      </c>
      <c r="F1021" s="1323">
        <f t="shared" si="121"/>
        <v>8.0696204567559171</v>
      </c>
      <c r="G1021" s="1323">
        <f t="shared" si="123"/>
        <v>2010</v>
      </c>
      <c r="H1021" s="1323">
        <f t="shared" si="124"/>
        <v>8</v>
      </c>
      <c r="I1021" s="1323">
        <f t="shared" si="125"/>
        <v>12</v>
      </c>
      <c r="J1021" s="1323"/>
      <c r="K1021" s="1323"/>
      <c r="L1021" s="1323"/>
      <c r="M1021" s="1323"/>
      <c r="N1021" s="1323"/>
      <c r="O1021" s="1323"/>
      <c r="P1021" s="1323"/>
      <c r="Q1021" s="1323"/>
      <c r="R1021" s="1304"/>
      <c r="S1021" s="1304"/>
      <c r="T1021" s="1304"/>
    </row>
    <row r="1022" spans="1:20">
      <c r="A1022" s="1303"/>
      <c r="B1022" s="1322" t="s">
        <v>4293</v>
      </c>
      <c r="C1022" s="1323" t="s">
        <v>4294</v>
      </c>
      <c r="D1022" s="1324">
        <f t="shared" si="120"/>
        <v>40401</v>
      </c>
      <c r="E1022" s="1323">
        <f t="shared" si="122"/>
        <v>7.2590000000000003</v>
      </c>
      <c r="F1022" s="1323">
        <f t="shared" si="121"/>
        <v>8.0680731550549467</v>
      </c>
      <c r="G1022" s="1323">
        <f t="shared" si="123"/>
        <v>2010</v>
      </c>
      <c r="H1022" s="1323">
        <f t="shared" si="124"/>
        <v>8</v>
      </c>
      <c r="I1022" s="1323">
        <f t="shared" si="125"/>
        <v>11</v>
      </c>
      <c r="J1022" s="1323"/>
      <c r="K1022" s="1323"/>
      <c r="L1022" s="1323"/>
      <c r="M1022" s="1323"/>
      <c r="N1022" s="1323"/>
      <c r="O1022" s="1323"/>
      <c r="P1022" s="1323"/>
      <c r="Q1022" s="1323"/>
      <c r="R1022" s="1304"/>
      <c r="S1022" s="1304"/>
      <c r="T1022" s="1304"/>
    </row>
    <row r="1023" spans="1:20">
      <c r="A1023" s="1303"/>
      <c r="B1023" s="1322" t="s">
        <v>4295</v>
      </c>
      <c r="C1023" s="1323" t="s">
        <v>4296</v>
      </c>
      <c r="D1023" s="1324">
        <f t="shared" si="120"/>
        <v>40400</v>
      </c>
      <c r="E1023" s="1323">
        <f t="shared" si="122"/>
        <v>7.2278000000000002</v>
      </c>
      <c r="F1023" s="1323">
        <f t="shared" si="121"/>
        <v>8.0665261500398699</v>
      </c>
      <c r="G1023" s="1323">
        <f t="shared" si="123"/>
        <v>2010</v>
      </c>
      <c r="H1023" s="1323">
        <f t="shared" si="124"/>
        <v>8</v>
      </c>
      <c r="I1023" s="1323">
        <f t="shared" si="125"/>
        <v>10</v>
      </c>
      <c r="J1023" s="1323"/>
      <c r="K1023" s="1323"/>
      <c r="L1023" s="1323"/>
      <c r="M1023" s="1323"/>
      <c r="N1023" s="1323"/>
      <c r="O1023" s="1323"/>
      <c r="P1023" s="1323"/>
      <c r="Q1023" s="1323"/>
      <c r="R1023" s="1304"/>
      <c r="S1023" s="1304"/>
      <c r="T1023" s="1304"/>
    </row>
    <row r="1024" spans="1:20">
      <c r="A1024" s="1303"/>
      <c r="B1024" s="1322" t="s">
        <v>4297</v>
      </c>
      <c r="C1024" s="1323" t="s">
        <v>4298</v>
      </c>
      <c r="D1024" s="1324">
        <f t="shared" si="120"/>
        <v>40396</v>
      </c>
      <c r="E1024" s="1323">
        <f t="shared" si="122"/>
        <v>7.2461000000000002</v>
      </c>
      <c r="F1024" s="1323">
        <f t="shared" si="121"/>
        <v>8.064979441653799</v>
      </c>
      <c r="G1024" s="1323">
        <f t="shared" si="123"/>
        <v>2010</v>
      </c>
      <c r="H1024" s="1323">
        <f t="shared" si="124"/>
        <v>8</v>
      </c>
      <c r="I1024" s="1323">
        <f t="shared" si="125"/>
        <v>6</v>
      </c>
      <c r="J1024" s="1323"/>
      <c r="K1024" s="1323"/>
      <c r="L1024" s="1323"/>
      <c r="M1024" s="1323"/>
      <c r="N1024" s="1323"/>
      <c r="O1024" s="1323"/>
      <c r="P1024" s="1323"/>
      <c r="Q1024" s="1323"/>
      <c r="R1024" s="1304"/>
      <c r="S1024" s="1304"/>
      <c r="T1024" s="1304"/>
    </row>
    <row r="1025" spans="1:20">
      <c r="A1025" s="1303"/>
      <c r="B1025" s="1322" t="s">
        <v>4299</v>
      </c>
      <c r="C1025" s="1323" t="s">
        <v>4300</v>
      </c>
      <c r="D1025" s="1324">
        <f t="shared" si="120"/>
        <v>40395</v>
      </c>
      <c r="E1025" s="1323">
        <f t="shared" si="122"/>
        <v>7.2815000000000003</v>
      </c>
      <c r="F1025" s="1323">
        <f t="shared" si="121"/>
        <v>8.0634330298398567</v>
      </c>
      <c r="G1025" s="1323">
        <f t="shared" si="123"/>
        <v>2010</v>
      </c>
      <c r="H1025" s="1323">
        <f t="shared" si="124"/>
        <v>8</v>
      </c>
      <c r="I1025" s="1323">
        <f t="shared" si="125"/>
        <v>5</v>
      </c>
      <c r="J1025" s="1323"/>
      <c r="K1025" s="1323"/>
      <c r="L1025" s="1323"/>
      <c r="M1025" s="1323"/>
      <c r="N1025" s="1323"/>
      <c r="O1025" s="1323"/>
      <c r="P1025" s="1323"/>
      <c r="Q1025" s="1323"/>
      <c r="R1025" s="1304"/>
      <c r="S1025" s="1304"/>
      <c r="T1025" s="1304"/>
    </row>
    <row r="1026" spans="1:20">
      <c r="A1026" s="1303"/>
      <c r="B1026" s="1322" t="s">
        <v>4301</v>
      </c>
      <c r="C1026" s="1323" t="s">
        <v>4302</v>
      </c>
      <c r="D1026" s="1324">
        <f t="shared" si="120"/>
        <v>40394</v>
      </c>
      <c r="E1026" s="1323">
        <f t="shared" si="122"/>
        <v>7.3117999999999999</v>
      </c>
      <c r="F1026" s="1323">
        <f t="shared" si="121"/>
        <v>8.0618869145411765</v>
      </c>
      <c r="G1026" s="1323">
        <f t="shared" si="123"/>
        <v>2010</v>
      </c>
      <c r="H1026" s="1323">
        <f t="shared" si="124"/>
        <v>8</v>
      </c>
      <c r="I1026" s="1323">
        <f t="shared" si="125"/>
        <v>4</v>
      </c>
      <c r="J1026" s="1323"/>
      <c r="K1026" s="1323"/>
      <c r="L1026" s="1323"/>
      <c r="M1026" s="1323"/>
      <c r="N1026" s="1323"/>
      <c r="O1026" s="1323"/>
      <c r="P1026" s="1323"/>
      <c r="Q1026" s="1323"/>
      <c r="R1026" s="1304"/>
      <c r="S1026" s="1304"/>
      <c r="T1026" s="1304"/>
    </row>
    <row r="1027" spans="1:20">
      <c r="A1027" s="1303"/>
      <c r="B1027" s="1322" t="s">
        <v>4303</v>
      </c>
      <c r="C1027" s="1323" t="s">
        <v>4304</v>
      </c>
      <c r="D1027" s="1324">
        <f t="shared" si="120"/>
        <v>40393</v>
      </c>
      <c r="E1027" s="1323">
        <f t="shared" si="122"/>
        <v>7.3182999999999998</v>
      </c>
      <c r="F1027" s="1323">
        <f t="shared" si="121"/>
        <v>8.0603410957009043</v>
      </c>
      <c r="G1027" s="1323">
        <f t="shared" si="123"/>
        <v>2010</v>
      </c>
      <c r="H1027" s="1323">
        <f t="shared" si="124"/>
        <v>8</v>
      </c>
      <c r="I1027" s="1323">
        <f t="shared" si="125"/>
        <v>3</v>
      </c>
      <c r="J1027" s="1323"/>
      <c r="K1027" s="1323"/>
      <c r="L1027" s="1323"/>
      <c r="M1027" s="1323"/>
      <c r="N1027" s="1323"/>
      <c r="O1027" s="1323"/>
      <c r="P1027" s="1323"/>
      <c r="Q1027" s="1323"/>
      <c r="R1027" s="1304"/>
      <c r="S1027" s="1304"/>
      <c r="T1027" s="1304"/>
    </row>
    <row r="1028" spans="1:20">
      <c r="A1028" s="1303"/>
      <c r="B1028" s="1322" t="s">
        <v>4305</v>
      </c>
      <c r="C1028" s="1323" t="s">
        <v>4306</v>
      </c>
      <c r="D1028" s="1324">
        <f t="shared" si="120"/>
        <v>40392</v>
      </c>
      <c r="E1028" s="1323">
        <f t="shared" si="122"/>
        <v>7.2564000000000002</v>
      </c>
      <c r="F1028" s="1323">
        <f t="shared" si="121"/>
        <v>8.0587955732621968</v>
      </c>
      <c r="G1028" s="1323">
        <f t="shared" si="123"/>
        <v>2010</v>
      </c>
      <c r="H1028" s="1323">
        <f t="shared" si="124"/>
        <v>8</v>
      </c>
      <c r="I1028" s="1323">
        <f t="shared" si="125"/>
        <v>2</v>
      </c>
      <c r="J1028" s="1323"/>
      <c r="K1028" s="1323"/>
      <c r="L1028" s="1323"/>
      <c r="M1028" s="1323"/>
      <c r="N1028" s="1323"/>
      <c r="O1028" s="1323"/>
      <c r="P1028" s="1323"/>
      <c r="Q1028" s="1323"/>
      <c r="R1028" s="1304"/>
      <c r="S1028" s="1304"/>
      <c r="T1028" s="1304"/>
    </row>
    <row r="1029" spans="1:20">
      <c r="A1029" s="1303"/>
      <c r="B1029" s="1322" t="s">
        <v>4307</v>
      </c>
      <c r="C1029" s="1323" t="s">
        <v>4308</v>
      </c>
      <c r="D1029" s="1324">
        <f t="shared" si="120"/>
        <v>40389</v>
      </c>
      <c r="E1029" s="1323">
        <f t="shared" si="122"/>
        <v>7.3476999999999997</v>
      </c>
      <c r="F1029" s="1323">
        <f t="shared" si="121"/>
        <v>8.0572503471682193</v>
      </c>
      <c r="G1029" s="1323">
        <f t="shared" si="123"/>
        <v>2010</v>
      </c>
      <c r="H1029" s="1323">
        <f t="shared" si="124"/>
        <v>7</v>
      </c>
      <c r="I1029" s="1323">
        <f t="shared" si="125"/>
        <v>30</v>
      </c>
      <c r="J1029" s="1323"/>
      <c r="K1029" s="1323"/>
      <c r="L1029" s="1323"/>
      <c r="M1029" s="1323"/>
      <c r="N1029" s="1323"/>
      <c r="O1029" s="1323"/>
      <c r="P1029" s="1323"/>
      <c r="Q1029" s="1323"/>
      <c r="R1029" s="1304"/>
      <c r="S1029" s="1304"/>
      <c r="T1029" s="1304"/>
    </row>
    <row r="1030" spans="1:20">
      <c r="A1030" s="1303"/>
      <c r="B1030" s="1322" t="s">
        <v>4309</v>
      </c>
      <c r="C1030" s="1323" t="s">
        <v>4310</v>
      </c>
      <c r="D1030" s="1324">
        <f t="shared" si="120"/>
        <v>40388</v>
      </c>
      <c r="E1030" s="1323">
        <f t="shared" si="122"/>
        <v>7.2965</v>
      </c>
      <c r="F1030" s="1323">
        <f t="shared" si="121"/>
        <v>8.0557054173621498</v>
      </c>
      <c r="G1030" s="1323">
        <f t="shared" si="123"/>
        <v>2010</v>
      </c>
      <c r="H1030" s="1323">
        <f t="shared" si="124"/>
        <v>7</v>
      </c>
      <c r="I1030" s="1323">
        <f t="shared" si="125"/>
        <v>29</v>
      </c>
      <c r="J1030" s="1323"/>
      <c r="K1030" s="1323"/>
      <c r="L1030" s="1323"/>
      <c r="M1030" s="1323"/>
      <c r="N1030" s="1323"/>
      <c r="O1030" s="1323"/>
      <c r="P1030" s="1323"/>
      <c r="Q1030" s="1323"/>
      <c r="R1030" s="1304"/>
      <c r="S1030" s="1304"/>
      <c r="T1030" s="1304"/>
    </row>
    <row r="1031" spans="1:20">
      <c r="A1031" s="1303"/>
      <c r="B1031" s="1322" t="s">
        <v>4311</v>
      </c>
      <c r="C1031" s="1323" t="s">
        <v>4312</v>
      </c>
      <c r="D1031" s="1324">
        <f t="shared" si="120"/>
        <v>40387</v>
      </c>
      <c r="E1031" s="1323">
        <f t="shared" si="122"/>
        <v>7.3566000000000003</v>
      </c>
      <c r="F1031" s="1323">
        <f t="shared" si="121"/>
        <v>8.0541607837871769</v>
      </c>
      <c r="G1031" s="1323">
        <f t="shared" si="123"/>
        <v>2010</v>
      </c>
      <c r="H1031" s="1323">
        <f t="shared" si="124"/>
        <v>7</v>
      </c>
      <c r="I1031" s="1323">
        <f t="shared" si="125"/>
        <v>28</v>
      </c>
      <c r="J1031" s="1323"/>
      <c r="K1031" s="1323"/>
      <c r="L1031" s="1323"/>
      <c r="M1031" s="1323"/>
      <c r="N1031" s="1323"/>
      <c r="O1031" s="1323"/>
      <c r="P1031" s="1323"/>
      <c r="Q1031" s="1323"/>
      <c r="R1031" s="1304"/>
      <c r="S1031" s="1304"/>
      <c r="T1031" s="1304"/>
    </row>
    <row r="1032" spans="1:20">
      <c r="A1032" s="1303"/>
      <c r="B1032" s="1322" t="s">
        <v>4313</v>
      </c>
      <c r="C1032" s="1323" t="s">
        <v>4314</v>
      </c>
      <c r="D1032" s="1324">
        <f t="shared" si="120"/>
        <v>40386</v>
      </c>
      <c r="E1032" s="1323">
        <f t="shared" si="122"/>
        <v>7.3483000000000001</v>
      </c>
      <c r="F1032" s="1323">
        <f t="shared" si="121"/>
        <v>8.0526164463864998</v>
      </c>
      <c r="G1032" s="1323">
        <f t="shared" si="123"/>
        <v>2010</v>
      </c>
      <c r="H1032" s="1323">
        <f t="shared" si="124"/>
        <v>7</v>
      </c>
      <c r="I1032" s="1323">
        <f t="shared" si="125"/>
        <v>27</v>
      </c>
      <c r="J1032" s="1323"/>
      <c r="K1032" s="1323"/>
      <c r="L1032" s="1323"/>
      <c r="M1032" s="1323"/>
      <c r="N1032" s="1323"/>
      <c r="O1032" s="1323"/>
      <c r="P1032" s="1323"/>
      <c r="Q1032" s="1323"/>
      <c r="R1032" s="1304"/>
      <c r="S1032" s="1304"/>
      <c r="T1032" s="1304"/>
    </row>
    <row r="1033" spans="1:20">
      <c r="A1033" s="1303"/>
      <c r="B1033" s="1322" t="s">
        <v>4315</v>
      </c>
      <c r="C1033" s="1323" t="s">
        <v>4316</v>
      </c>
      <c r="D1033" s="1324">
        <f t="shared" ref="D1033:D1096" si="126">DATE(G1033,H1033,I1033)</f>
        <v>40385</v>
      </c>
      <c r="E1033" s="1323">
        <f t="shared" si="122"/>
        <v>7.3997999999999999</v>
      </c>
      <c r="F1033" s="1323">
        <f t="shared" ref="F1033:F1096" si="127">F1034*(1+$F$7/365)</f>
        <v>8.0510724051033282</v>
      </c>
      <c r="G1033" s="1323">
        <f t="shared" si="123"/>
        <v>2010</v>
      </c>
      <c r="H1033" s="1323">
        <f t="shared" si="124"/>
        <v>7</v>
      </c>
      <c r="I1033" s="1323">
        <f t="shared" si="125"/>
        <v>26</v>
      </c>
      <c r="J1033" s="1323"/>
      <c r="K1033" s="1323"/>
      <c r="L1033" s="1323"/>
      <c r="M1033" s="1323"/>
      <c r="N1033" s="1323"/>
      <c r="O1033" s="1323"/>
      <c r="P1033" s="1323"/>
      <c r="Q1033" s="1323"/>
      <c r="R1033" s="1304"/>
      <c r="S1033" s="1304"/>
      <c r="T1033" s="1304"/>
    </row>
    <row r="1034" spans="1:20">
      <c r="A1034" s="1303"/>
      <c r="B1034" s="1322" t="s">
        <v>4317</v>
      </c>
      <c r="C1034" s="1323" t="s">
        <v>4318</v>
      </c>
      <c r="D1034" s="1324">
        <f t="shared" si="126"/>
        <v>40382</v>
      </c>
      <c r="E1034" s="1323">
        <f t="shared" si="122"/>
        <v>7.4386000000000001</v>
      </c>
      <c r="F1034" s="1323">
        <f t="shared" si="127"/>
        <v>8.0495286598808846</v>
      </c>
      <c r="G1034" s="1323">
        <f t="shared" si="123"/>
        <v>2010</v>
      </c>
      <c r="H1034" s="1323">
        <f t="shared" si="124"/>
        <v>7</v>
      </c>
      <c r="I1034" s="1323">
        <f t="shared" si="125"/>
        <v>23</v>
      </c>
      <c r="J1034" s="1323"/>
      <c r="K1034" s="1323"/>
      <c r="L1034" s="1323"/>
      <c r="M1034" s="1323"/>
      <c r="N1034" s="1323"/>
      <c r="O1034" s="1323"/>
      <c r="P1034" s="1323"/>
      <c r="Q1034" s="1323"/>
      <c r="R1034" s="1304"/>
      <c r="S1034" s="1304"/>
      <c r="T1034" s="1304"/>
    </row>
    <row r="1035" spans="1:20">
      <c r="A1035" s="1303"/>
      <c r="B1035" s="1322" t="s">
        <v>4319</v>
      </c>
      <c r="C1035" s="1323" t="s">
        <v>4320</v>
      </c>
      <c r="D1035" s="1324">
        <f t="shared" si="126"/>
        <v>40381</v>
      </c>
      <c r="E1035" s="1323">
        <f t="shared" si="122"/>
        <v>7.5622999999999996</v>
      </c>
      <c r="F1035" s="1323">
        <f t="shared" si="127"/>
        <v>8.0479852106624019</v>
      </c>
      <c r="G1035" s="1323">
        <f t="shared" si="123"/>
        <v>2010</v>
      </c>
      <c r="H1035" s="1323">
        <f t="shared" si="124"/>
        <v>7</v>
      </c>
      <c r="I1035" s="1323">
        <f t="shared" si="125"/>
        <v>22</v>
      </c>
      <c r="J1035" s="1323"/>
      <c r="K1035" s="1323"/>
      <c r="L1035" s="1323"/>
      <c r="M1035" s="1323"/>
      <c r="N1035" s="1323"/>
      <c r="O1035" s="1323"/>
      <c r="P1035" s="1323"/>
      <c r="Q1035" s="1323"/>
      <c r="R1035" s="1304"/>
      <c r="S1035" s="1304"/>
      <c r="T1035" s="1304"/>
    </row>
    <row r="1036" spans="1:20">
      <c r="A1036" s="1303"/>
      <c r="B1036" s="1322" t="s">
        <v>4321</v>
      </c>
      <c r="C1036" s="1323" t="s">
        <v>4322</v>
      </c>
      <c r="D1036" s="1324">
        <f t="shared" si="126"/>
        <v>40380</v>
      </c>
      <c r="E1036" s="1323">
        <f t="shared" si="122"/>
        <v>7.5606</v>
      </c>
      <c r="F1036" s="1323">
        <f t="shared" si="127"/>
        <v>8.0464420573911219</v>
      </c>
      <c r="G1036" s="1323">
        <f t="shared" si="123"/>
        <v>2010</v>
      </c>
      <c r="H1036" s="1323">
        <f t="shared" si="124"/>
        <v>7</v>
      </c>
      <c r="I1036" s="1323">
        <f t="shared" si="125"/>
        <v>21</v>
      </c>
      <c r="J1036" s="1323"/>
      <c r="K1036" s="1323"/>
      <c r="L1036" s="1323"/>
      <c r="M1036" s="1323"/>
      <c r="N1036" s="1323"/>
      <c r="O1036" s="1323"/>
      <c r="P1036" s="1323"/>
      <c r="Q1036" s="1323"/>
      <c r="R1036" s="1304"/>
      <c r="S1036" s="1304"/>
      <c r="T1036" s="1304"/>
    </row>
    <row r="1037" spans="1:20">
      <c r="A1037" s="1303"/>
      <c r="B1037" s="1322" t="s">
        <v>4323</v>
      </c>
      <c r="C1037" s="1323" t="s">
        <v>4324</v>
      </c>
      <c r="D1037" s="1324">
        <f t="shared" si="126"/>
        <v>40379</v>
      </c>
      <c r="E1037" s="1323">
        <f t="shared" si="122"/>
        <v>7.6013999999999999</v>
      </c>
      <c r="F1037" s="1323">
        <f t="shared" si="127"/>
        <v>8.0448992000102972</v>
      </c>
      <c r="G1037" s="1323">
        <f t="shared" si="123"/>
        <v>2010</v>
      </c>
      <c r="H1037" s="1323">
        <f t="shared" si="124"/>
        <v>7</v>
      </c>
      <c r="I1037" s="1323">
        <f t="shared" si="125"/>
        <v>20</v>
      </c>
      <c r="J1037" s="1323"/>
      <c r="K1037" s="1323"/>
      <c r="L1037" s="1323"/>
      <c r="M1037" s="1323"/>
      <c r="N1037" s="1323"/>
      <c r="O1037" s="1323"/>
      <c r="P1037" s="1323"/>
      <c r="Q1037" s="1323"/>
      <c r="R1037" s="1304"/>
      <c r="S1037" s="1304"/>
      <c r="T1037" s="1304"/>
    </row>
    <row r="1038" spans="1:20">
      <c r="A1038" s="1303"/>
      <c r="B1038" s="1322" t="s">
        <v>4325</v>
      </c>
      <c r="C1038" s="1323" t="s">
        <v>4326</v>
      </c>
      <c r="D1038" s="1324">
        <f t="shared" si="126"/>
        <v>40378</v>
      </c>
      <c r="E1038" s="1323">
        <f t="shared" si="122"/>
        <v>7.6197999999999997</v>
      </c>
      <c r="F1038" s="1323">
        <f t="shared" si="127"/>
        <v>8.0433566384631945</v>
      </c>
      <c r="G1038" s="1323">
        <f t="shared" si="123"/>
        <v>2010</v>
      </c>
      <c r="H1038" s="1323">
        <f t="shared" si="124"/>
        <v>7</v>
      </c>
      <c r="I1038" s="1323">
        <f t="shared" si="125"/>
        <v>19</v>
      </c>
      <c r="J1038" s="1323"/>
      <c r="K1038" s="1323"/>
      <c r="L1038" s="1323"/>
      <c r="M1038" s="1323"/>
      <c r="N1038" s="1323"/>
      <c r="O1038" s="1323"/>
      <c r="P1038" s="1323"/>
      <c r="Q1038" s="1323"/>
      <c r="R1038" s="1304"/>
      <c r="S1038" s="1304"/>
      <c r="T1038" s="1304"/>
    </row>
    <row r="1039" spans="1:20">
      <c r="A1039" s="1303"/>
      <c r="B1039" s="1322" t="s">
        <v>4327</v>
      </c>
      <c r="C1039" s="1323" t="s">
        <v>4328</v>
      </c>
      <c r="D1039" s="1324">
        <f t="shared" si="126"/>
        <v>40375</v>
      </c>
      <c r="E1039" s="1323">
        <f t="shared" si="122"/>
        <v>7.5620000000000003</v>
      </c>
      <c r="F1039" s="1323">
        <f t="shared" si="127"/>
        <v>8.0418143726930893</v>
      </c>
      <c r="G1039" s="1323">
        <f t="shared" si="123"/>
        <v>2010</v>
      </c>
      <c r="H1039" s="1323">
        <f t="shared" si="124"/>
        <v>7</v>
      </c>
      <c r="I1039" s="1323">
        <f t="shared" si="125"/>
        <v>16</v>
      </c>
      <c r="J1039" s="1323"/>
      <c r="K1039" s="1323"/>
      <c r="L1039" s="1323"/>
      <c r="M1039" s="1323"/>
      <c r="N1039" s="1323"/>
      <c r="O1039" s="1323"/>
      <c r="P1039" s="1323"/>
      <c r="Q1039" s="1323"/>
      <c r="R1039" s="1304"/>
      <c r="S1039" s="1304"/>
      <c r="T1039" s="1304"/>
    </row>
    <row r="1040" spans="1:20">
      <c r="A1040" s="1303"/>
      <c r="B1040" s="1322" t="s">
        <v>4329</v>
      </c>
      <c r="C1040" s="1323" t="s">
        <v>4330</v>
      </c>
      <c r="D1040" s="1324">
        <f t="shared" si="126"/>
        <v>40374</v>
      </c>
      <c r="E1040" s="1323">
        <f t="shared" si="122"/>
        <v>7.5406000000000004</v>
      </c>
      <c r="F1040" s="1323">
        <f t="shared" si="127"/>
        <v>8.0402724026432661</v>
      </c>
      <c r="G1040" s="1323">
        <f t="shared" si="123"/>
        <v>2010</v>
      </c>
      <c r="H1040" s="1323">
        <f t="shared" si="124"/>
        <v>7</v>
      </c>
      <c r="I1040" s="1323">
        <f t="shared" si="125"/>
        <v>15</v>
      </c>
      <c r="J1040" s="1323"/>
      <c r="K1040" s="1323"/>
      <c r="L1040" s="1323"/>
      <c r="M1040" s="1323"/>
      <c r="N1040" s="1323"/>
      <c r="O1040" s="1323"/>
      <c r="P1040" s="1323"/>
      <c r="Q1040" s="1323"/>
      <c r="R1040" s="1304"/>
      <c r="S1040" s="1304"/>
      <c r="T1040" s="1304"/>
    </row>
    <row r="1041" spans="1:20">
      <c r="A1041" s="1303"/>
      <c r="B1041" s="1322" t="s">
        <v>4331</v>
      </c>
      <c r="C1041" s="1323" t="s">
        <v>4332</v>
      </c>
      <c r="D1041" s="1324">
        <f t="shared" si="126"/>
        <v>40373</v>
      </c>
      <c r="E1041" s="1323">
        <f t="shared" si="122"/>
        <v>7.5297000000000001</v>
      </c>
      <c r="F1041" s="1323">
        <f t="shared" si="127"/>
        <v>8.0387307282570255</v>
      </c>
      <c r="G1041" s="1323">
        <f t="shared" si="123"/>
        <v>2010</v>
      </c>
      <c r="H1041" s="1323">
        <f t="shared" si="124"/>
        <v>7</v>
      </c>
      <c r="I1041" s="1323">
        <f t="shared" si="125"/>
        <v>14</v>
      </c>
      <c r="J1041" s="1323"/>
      <c r="K1041" s="1323"/>
      <c r="L1041" s="1323"/>
      <c r="M1041" s="1323"/>
      <c r="N1041" s="1323"/>
      <c r="O1041" s="1323"/>
      <c r="P1041" s="1323"/>
      <c r="Q1041" s="1323"/>
      <c r="R1041" s="1304"/>
      <c r="S1041" s="1304"/>
      <c r="T1041" s="1304"/>
    </row>
    <row r="1042" spans="1:20">
      <c r="A1042" s="1303"/>
      <c r="B1042" s="1322" t="s">
        <v>4333</v>
      </c>
      <c r="C1042" s="1323" t="s">
        <v>4334</v>
      </c>
      <c r="D1042" s="1324">
        <f t="shared" si="126"/>
        <v>40372</v>
      </c>
      <c r="E1042" s="1323">
        <f t="shared" si="122"/>
        <v>7.6113999999999997</v>
      </c>
      <c r="F1042" s="1323">
        <f t="shared" si="127"/>
        <v>8.0371893494776732</v>
      </c>
      <c r="G1042" s="1323">
        <f t="shared" si="123"/>
        <v>2010</v>
      </c>
      <c r="H1042" s="1323">
        <f t="shared" si="124"/>
        <v>7</v>
      </c>
      <c r="I1042" s="1323">
        <f t="shared" si="125"/>
        <v>13</v>
      </c>
      <c r="J1042" s="1323"/>
      <c r="K1042" s="1323"/>
      <c r="L1042" s="1323"/>
      <c r="M1042" s="1323"/>
      <c r="N1042" s="1323"/>
      <c r="O1042" s="1323"/>
      <c r="P1042" s="1323"/>
      <c r="Q1042" s="1323"/>
      <c r="R1042" s="1304"/>
      <c r="S1042" s="1304"/>
      <c r="T1042" s="1304"/>
    </row>
    <row r="1043" spans="1:20">
      <c r="A1043" s="1303"/>
      <c r="B1043" s="1322" t="s">
        <v>4335</v>
      </c>
      <c r="C1043" s="1323" t="s">
        <v>4336</v>
      </c>
      <c r="D1043" s="1324">
        <f t="shared" si="126"/>
        <v>40371</v>
      </c>
      <c r="E1043" s="1323">
        <f t="shared" si="122"/>
        <v>7.6119000000000003</v>
      </c>
      <c r="F1043" s="1323">
        <f t="shared" si="127"/>
        <v>8.0356482662485291</v>
      </c>
      <c r="G1043" s="1323">
        <f t="shared" si="123"/>
        <v>2010</v>
      </c>
      <c r="H1043" s="1323">
        <f t="shared" si="124"/>
        <v>7</v>
      </c>
      <c r="I1043" s="1323">
        <f t="shared" si="125"/>
        <v>12</v>
      </c>
      <c r="J1043" s="1323"/>
      <c r="K1043" s="1323"/>
      <c r="L1043" s="1323"/>
      <c r="M1043" s="1323"/>
      <c r="N1043" s="1323"/>
      <c r="O1043" s="1323"/>
      <c r="P1043" s="1323"/>
      <c r="Q1043" s="1323"/>
      <c r="R1043" s="1304"/>
      <c r="S1043" s="1304"/>
      <c r="T1043" s="1304"/>
    </row>
    <row r="1044" spans="1:20">
      <c r="A1044" s="1303"/>
      <c r="B1044" s="1322" t="s">
        <v>4337</v>
      </c>
      <c r="C1044" s="1323" t="s">
        <v>4338</v>
      </c>
      <c r="D1044" s="1324">
        <f t="shared" si="126"/>
        <v>40368</v>
      </c>
      <c r="E1044" s="1323">
        <f t="shared" si="122"/>
        <v>7.5659000000000001</v>
      </c>
      <c r="F1044" s="1323">
        <f t="shared" si="127"/>
        <v>8.0341074785129241</v>
      </c>
      <c r="G1044" s="1323">
        <f t="shared" si="123"/>
        <v>2010</v>
      </c>
      <c r="H1044" s="1323">
        <f t="shared" si="124"/>
        <v>7</v>
      </c>
      <c r="I1044" s="1323">
        <f t="shared" si="125"/>
        <v>9</v>
      </c>
      <c r="J1044" s="1323"/>
      <c r="K1044" s="1323"/>
      <c r="L1044" s="1323"/>
      <c r="M1044" s="1323"/>
      <c r="N1044" s="1323"/>
      <c r="O1044" s="1323"/>
      <c r="P1044" s="1323"/>
      <c r="Q1044" s="1323"/>
      <c r="R1044" s="1304"/>
      <c r="S1044" s="1304"/>
      <c r="T1044" s="1304"/>
    </row>
    <row r="1045" spans="1:20">
      <c r="A1045" s="1303"/>
      <c r="B1045" s="1322" t="s">
        <v>4339</v>
      </c>
      <c r="C1045" s="1323" t="s">
        <v>4340</v>
      </c>
      <c r="D1045" s="1324">
        <f t="shared" si="126"/>
        <v>40367</v>
      </c>
      <c r="E1045" s="1323">
        <f t="shared" si="122"/>
        <v>7.5979999999999999</v>
      </c>
      <c r="F1045" s="1323">
        <f t="shared" si="127"/>
        <v>8.0325669862141975</v>
      </c>
      <c r="G1045" s="1323">
        <f t="shared" si="123"/>
        <v>2010</v>
      </c>
      <c r="H1045" s="1323">
        <f t="shared" si="124"/>
        <v>7</v>
      </c>
      <c r="I1045" s="1323">
        <f t="shared" si="125"/>
        <v>8</v>
      </c>
      <c r="J1045" s="1323"/>
      <c r="K1045" s="1323"/>
      <c r="L1045" s="1323"/>
      <c r="M1045" s="1323"/>
      <c r="N1045" s="1323"/>
      <c r="O1045" s="1323"/>
      <c r="P1045" s="1323"/>
      <c r="Q1045" s="1323"/>
      <c r="R1045" s="1304"/>
      <c r="S1045" s="1304"/>
      <c r="T1045" s="1304"/>
    </row>
    <row r="1046" spans="1:20">
      <c r="A1046" s="1303"/>
      <c r="B1046" s="1322" t="s">
        <v>4341</v>
      </c>
      <c r="C1046" s="1323" t="s">
        <v>4342</v>
      </c>
      <c r="D1046" s="1324">
        <f t="shared" si="126"/>
        <v>40366</v>
      </c>
      <c r="E1046" s="1323">
        <f t="shared" ref="E1046:E1109" si="128">VALUE(C1047)</f>
        <v>7.6772</v>
      </c>
      <c r="F1046" s="1323">
        <f t="shared" si="127"/>
        <v>8.0310267892957015</v>
      </c>
      <c r="G1046" s="1323">
        <f t="shared" ref="G1046:G1109" si="129">YEAR(B1047)</f>
        <v>2010</v>
      </c>
      <c r="H1046" s="1323">
        <f t="shared" ref="H1046:H1109" si="130">MONTH(B1047)</f>
        <v>7</v>
      </c>
      <c r="I1046" s="1323">
        <f t="shared" ref="I1046:I1109" si="131">DAY(B1047)</f>
        <v>7</v>
      </c>
      <c r="J1046" s="1323"/>
      <c r="K1046" s="1323"/>
      <c r="L1046" s="1323"/>
      <c r="M1046" s="1323"/>
      <c r="N1046" s="1323"/>
      <c r="O1046" s="1323"/>
      <c r="P1046" s="1323"/>
      <c r="Q1046" s="1323"/>
      <c r="R1046" s="1304"/>
      <c r="S1046" s="1304"/>
      <c r="T1046" s="1304"/>
    </row>
    <row r="1047" spans="1:20">
      <c r="A1047" s="1303"/>
      <c r="B1047" s="1322" t="s">
        <v>4343</v>
      </c>
      <c r="C1047" s="1323" t="s">
        <v>4344</v>
      </c>
      <c r="D1047" s="1324">
        <f t="shared" si="126"/>
        <v>40365</v>
      </c>
      <c r="E1047" s="1323">
        <f t="shared" si="128"/>
        <v>7.7110000000000003</v>
      </c>
      <c r="F1047" s="1323">
        <f t="shared" si="127"/>
        <v>8.0294868877008003</v>
      </c>
      <c r="G1047" s="1323">
        <f t="shared" si="129"/>
        <v>2010</v>
      </c>
      <c r="H1047" s="1323">
        <f t="shared" si="130"/>
        <v>7</v>
      </c>
      <c r="I1047" s="1323">
        <f t="shared" si="131"/>
        <v>6</v>
      </c>
      <c r="J1047" s="1323"/>
      <c r="K1047" s="1323"/>
      <c r="L1047" s="1323"/>
      <c r="M1047" s="1323"/>
      <c r="N1047" s="1323"/>
      <c r="O1047" s="1323"/>
      <c r="P1047" s="1323"/>
      <c r="Q1047" s="1323"/>
      <c r="R1047" s="1304"/>
      <c r="S1047" s="1304"/>
      <c r="T1047" s="1304"/>
    </row>
    <row r="1048" spans="1:20">
      <c r="A1048" s="1303"/>
      <c r="B1048" s="1322" t="s">
        <v>4345</v>
      </c>
      <c r="C1048" s="1323" t="s">
        <v>4346</v>
      </c>
      <c r="D1048" s="1324">
        <f t="shared" si="126"/>
        <v>40364</v>
      </c>
      <c r="E1048" s="1323">
        <f t="shared" si="128"/>
        <v>7.7378</v>
      </c>
      <c r="F1048" s="1323">
        <f t="shared" si="127"/>
        <v>8.0279472813728656</v>
      </c>
      <c r="G1048" s="1323">
        <f t="shared" si="129"/>
        <v>2010</v>
      </c>
      <c r="H1048" s="1323">
        <f t="shared" si="130"/>
        <v>7</v>
      </c>
      <c r="I1048" s="1323">
        <f t="shared" si="131"/>
        <v>5</v>
      </c>
      <c r="J1048" s="1323"/>
      <c r="K1048" s="1323"/>
      <c r="L1048" s="1323"/>
      <c r="M1048" s="1323"/>
      <c r="N1048" s="1323"/>
      <c r="O1048" s="1323"/>
      <c r="P1048" s="1323"/>
      <c r="Q1048" s="1323"/>
      <c r="R1048" s="1304"/>
      <c r="S1048" s="1304"/>
      <c r="T1048" s="1304"/>
    </row>
    <row r="1049" spans="1:20">
      <c r="A1049" s="1303"/>
      <c r="B1049" s="1322" t="s">
        <v>4347</v>
      </c>
      <c r="C1049" s="1323" t="s">
        <v>4348</v>
      </c>
      <c r="D1049" s="1324">
        <f t="shared" si="126"/>
        <v>40361</v>
      </c>
      <c r="E1049" s="1323">
        <f t="shared" si="128"/>
        <v>7.7008000000000001</v>
      </c>
      <c r="F1049" s="1323">
        <f t="shared" si="127"/>
        <v>8.0264079702552813</v>
      </c>
      <c r="G1049" s="1323">
        <f t="shared" si="129"/>
        <v>2010</v>
      </c>
      <c r="H1049" s="1323">
        <f t="shared" si="130"/>
        <v>7</v>
      </c>
      <c r="I1049" s="1323">
        <f t="shared" si="131"/>
        <v>2</v>
      </c>
      <c r="J1049" s="1323"/>
      <c r="K1049" s="1323"/>
      <c r="L1049" s="1323"/>
      <c r="M1049" s="1323"/>
      <c r="N1049" s="1323"/>
      <c r="O1049" s="1323"/>
      <c r="P1049" s="1323"/>
      <c r="Q1049" s="1323"/>
      <c r="R1049" s="1304"/>
      <c r="S1049" s="1304"/>
      <c r="T1049" s="1304"/>
    </row>
    <row r="1050" spans="1:20">
      <c r="A1050" s="1303"/>
      <c r="B1050" s="1322" t="s">
        <v>4349</v>
      </c>
      <c r="C1050" s="1323" t="s">
        <v>4350</v>
      </c>
      <c r="D1050" s="1324">
        <f t="shared" si="126"/>
        <v>40360</v>
      </c>
      <c r="E1050" s="1323">
        <f t="shared" si="128"/>
        <v>7.6997999999999998</v>
      </c>
      <c r="F1050" s="1323">
        <f t="shared" si="127"/>
        <v>8.0248689542914438</v>
      </c>
      <c r="G1050" s="1323">
        <f t="shared" si="129"/>
        <v>2010</v>
      </c>
      <c r="H1050" s="1323">
        <f t="shared" si="130"/>
        <v>7</v>
      </c>
      <c r="I1050" s="1323">
        <f t="shared" si="131"/>
        <v>1</v>
      </c>
      <c r="J1050" s="1323"/>
      <c r="K1050" s="1323"/>
      <c r="L1050" s="1323"/>
      <c r="M1050" s="1323"/>
      <c r="N1050" s="1323"/>
      <c r="O1050" s="1323"/>
      <c r="P1050" s="1323"/>
      <c r="Q1050" s="1323"/>
      <c r="R1050" s="1304"/>
      <c r="S1050" s="1304"/>
      <c r="T1050" s="1304"/>
    </row>
    <row r="1051" spans="1:20">
      <c r="A1051" s="1303"/>
      <c r="B1051" s="1322" t="s">
        <v>4351</v>
      </c>
      <c r="C1051" s="1323" t="s">
        <v>4352</v>
      </c>
      <c r="D1051" s="1324">
        <f t="shared" si="126"/>
        <v>40359</v>
      </c>
      <c r="E1051" s="1323">
        <f t="shared" si="128"/>
        <v>7.6492000000000004</v>
      </c>
      <c r="F1051" s="1323">
        <f t="shared" si="127"/>
        <v>8.02333023342476</v>
      </c>
      <c r="G1051" s="1323">
        <f t="shared" si="129"/>
        <v>2010</v>
      </c>
      <c r="H1051" s="1323">
        <f t="shared" si="130"/>
        <v>6</v>
      </c>
      <c r="I1051" s="1323">
        <f t="shared" si="131"/>
        <v>30</v>
      </c>
      <c r="J1051" s="1323"/>
      <c r="K1051" s="1323"/>
      <c r="L1051" s="1323"/>
      <c r="M1051" s="1323"/>
      <c r="N1051" s="1323"/>
      <c r="O1051" s="1323"/>
      <c r="P1051" s="1323"/>
      <c r="Q1051" s="1323"/>
      <c r="R1051" s="1304"/>
      <c r="S1051" s="1304"/>
      <c r="T1051" s="1304"/>
    </row>
    <row r="1052" spans="1:20">
      <c r="A1052" s="1303"/>
      <c r="B1052" s="1322" t="s">
        <v>4353</v>
      </c>
      <c r="C1052" s="1323" t="s">
        <v>4354</v>
      </c>
      <c r="D1052" s="1324">
        <f t="shared" si="126"/>
        <v>40358</v>
      </c>
      <c r="E1052" s="1323">
        <f t="shared" si="128"/>
        <v>7.6490999999999998</v>
      </c>
      <c r="F1052" s="1323">
        <f t="shared" si="127"/>
        <v>8.0217918075986443</v>
      </c>
      <c r="G1052" s="1323">
        <f t="shared" si="129"/>
        <v>2010</v>
      </c>
      <c r="H1052" s="1323">
        <f t="shared" si="130"/>
        <v>6</v>
      </c>
      <c r="I1052" s="1323">
        <f t="shared" si="131"/>
        <v>29</v>
      </c>
      <c r="J1052" s="1323"/>
      <c r="K1052" s="1323"/>
      <c r="L1052" s="1323"/>
      <c r="M1052" s="1323"/>
      <c r="N1052" s="1323"/>
      <c r="O1052" s="1323"/>
      <c r="P1052" s="1323"/>
      <c r="Q1052" s="1323"/>
      <c r="R1052" s="1304"/>
      <c r="S1052" s="1304"/>
      <c r="T1052" s="1304"/>
    </row>
    <row r="1053" spans="1:20">
      <c r="A1053" s="1303"/>
      <c r="B1053" s="1322" t="s">
        <v>4355</v>
      </c>
      <c r="C1053" s="1323" t="s">
        <v>4356</v>
      </c>
      <c r="D1053" s="1324">
        <f t="shared" si="126"/>
        <v>40357</v>
      </c>
      <c r="E1053" s="1323">
        <f t="shared" si="128"/>
        <v>7.54</v>
      </c>
      <c r="F1053" s="1323">
        <f t="shared" si="127"/>
        <v>8.0202536767565267</v>
      </c>
      <c r="G1053" s="1323">
        <f t="shared" si="129"/>
        <v>2010</v>
      </c>
      <c r="H1053" s="1323">
        <f t="shared" si="130"/>
        <v>6</v>
      </c>
      <c r="I1053" s="1323">
        <f t="shared" si="131"/>
        <v>28</v>
      </c>
      <c r="J1053" s="1323"/>
      <c r="K1053" s="1323"/>
      <c r="L1053" s="1323"/>
      <c r="M1053" s="1323"/>
      <c r="N1053" s="1323"/>
      <c r="O1053" s="1323"/>
      <c r="P1053" s="1323"/>
      <c r="Q1053" s="1323"/>
      <c r="R1053" s="1304"/>
      <c r="S1053" s="1304"/>
      <c r="T1053" s="1304"/>
    </row>
    <row r="1054" spans="1:20">
      <c r="A1054" s="1303"/>
      <c r="B1054" s="1322" t="s">
        <v>4357</v>
      </c>
      <c r="C1054" s="1323" t="s">
        <v>4358</v>
      </c>
      <c r="D1054" s="1324">
        <f t="shared" si="126"/>
        <v>40354</v>
      </c>
      <c r="E1054" s="1323">
        <f t="shared" si="128"/>
        <v>7.6365999999999996</v>
      </c>
      <c r="F1054" s="1323">
        <f t="shared" si="127"/>
        <v>8.0187158408418444</v>
      </c>
      <c r="G1054" s="1323">
        <f t="shared" si="129"/>
        <v>2010</v>
      </c>
      <c r="H1054" s="1323">
        <f t="shared" si="130"/>
        <v>6</v>
      </c>
      <c r="I1054" s="1323">
        <f t="shared" si="131"/>
        <v>25</v>
      </c>
      <c r="J1054" s="1323"/>
      <c r="K1054" s="1323"/>
      <c r="L1054" s="1323"/>
      <c r="M1054" s="1323"/>
      <c r="N1054" s="1323"/>
      <c r="O1054" s="1323"/>
      <c r="P1054" s="1323"/>
      <c r="Q1054" s="1323"/>
      <c r="R1054" s="1304"/>
      <c r="S1054" s="1304"/>
      <c r="T1054" s="1304"/>
    </row>
    <row r="1055" spans="1:20">
      <c r="A1055" s="1303"/>
      <c r="B1055" s="1322" t="s">
        <v>4359</v>
      </c>
      <c r="C1055" s="1323" t="s">
        <v>4360</v>
      </c>
      <c r="D1055" s="1324">
        <f t="shared" si="126"/>
        <v>40353</v>
      </c>
      <c r="E1055" s="1323">
        <f t="shared" si="128"/>
        <v>7.5697999999999999</v>
      </c>
      <c r="F1055" s="1323">
        <f t="shared" si="127"/>
        <v>8.0171782997980472</v>
      </c>
      <c r="G1055" s="1323">
        <f t="shared" si="129"/>
        <v>2010</v>
      </c>
      <c r="H1055" s="1323">
        <f t="shared" si="130"/>
        <v>6</v>
      </c>
      <c r="I1055" s="1323">
        <f t="shared" si="131"/>
        <v>24</v>
      </c>
      <c r="J1055" s="1323"/>
      <c r="K1055" s="1323"/>
      <c r="L1055" s="1323"/>
      <c r="M1055" s="1323"/>
      <c r="N1055" s="1323"/>
      <c r="O1055" s="1323"/>
      <c r="P1055" s="1323"/>
      <c r="Q1055" s="1323"/>
      <c r="R1055" s="1304"/>
      <c r="S1055" s="1304"/>
      <c r="T1055" s="1304"/>
    </row>
    <row r="1056" spans="1:20">
      <c r="A1056" s="1303"/>
      <c r="B1056" s="1322" t="s">
        <v>4361</v>
      </c>
      <c r="C1056" s="1323" t="s">
        <v>4362</v>
      </c>
      <c r="D1056" s="1324">
        <f t="shared" si="126"/>
        <v>40352</v>
      </c>
      <c r="E1056" s="1323">
        <f t="shared" si="128"/>
        <v>7.5757000000000003</v>
      </c>
      <c r="F1056" s="1323">
        <f t="shared" si="127"/>
        <v>8.0156410535685954</v>
      </c>
      <c r="G1056" s="1323">
        <f t="shared" si="129"/>
        <v>2010</v>
      </c>
      <c r="H1056" s="1323">
        <f t="shared" si="130"/>
        <v>6</v>
      </c>
      <c r="I1056" s="1323">
        <f t="shared" si="131"/>
        <v>23</v>
      </c>
      <c r="J1056" s="1323"/>
      <c r="K1056" s="1323"/>
      <c r="L1056" s="1323"/>
      <c r="M1056" s="1323"/>
      <c r="N1056" s="1323"/>
      <c r="O1056" s="1323"/>
      <c r="P1056" s="1323"/>
      <c r="Q1056" s="1323"/>
      <c r="R1056" s="1304"/>
      <c r="S1056" s="1304"/>
      <c r="T1056" s="1304"/>
    </row>
    <row r="1057" spans="1:20">
      <c r="A1057" s="1303"/>
      <c r="B1057" s="1322" t="s">
        <v>4363</v>
      </c>
      <c r="C1057" s="1323" t="s">
        <v>4364</v>
      </c>
      <c r="D1057" s="1324">
        <f t="shared" si="126"/>
        <v>40351</v>
      </c>
      <c r="E1057" s="1323">
        <f t="shared" si="128"/>
        <v>7.5228000000000002</v>
      </c>
      <c r="F1057" s="1323">
        <f t="shared" si="127"/>
        <v>8.0141041020969599</v>
      </c>
      <c r="G1057" s="1323">
        <f t="shared" si="129"/>
        <v>2010</v>
      </c>
      <c r="H1057" s="1323">
        <f t="shared" si="130"/>
        <v>6</v>
      </c>
      <c r="I1057" s="1323">
        <f t="shared" si="131"/>
        <v>22</v>
      </c>
      <c r="J1057" s="1323"/>
      <c r="K1057" s="1323"/>
      <c r="L1057" s="1323"/>
      <c r="M1057" s="1323"/>
      <c r="N1057" s="1323"/>
      <c r="O1057" s="1323"/>
      <c r="P1057" s="1323"/>
      <c r="Q1057" s="1323"/>
      <c r="R1057" s="1304"/>
      <c r="S1057" s="1304"/>
      <c r="T1057" s="1304"/>
    </row>
    <row r="1058" spans="1:20">
      <c r="A1058" s="1303"/>
      <c r="B1058" s="1322" t="s">
        <v>4365</v>
      </c>
      <c r="C1058" s="1323" t="s">
        <v>4366</v>
      </c>
      <c r="D1058" s="1324">
        <f t="shared" si="126"/>
        <v>40350</v>
      </c>
      <c r="E1058" s="1323">
        <f t="shared" si="128"/>
        <v>7.4324000000000003</v>
      </c>
      <c r="F1058" s="1323">
        <f t="shared" si="127"/>
        <v>8.0125674453266225</v>
      </c>
      <c r="G1058" s="1323">
        <f t="shared" si="129"/>
        <v>2010</v>
      </c>
      <c r="H1058" s="1323">
        <f t="shared" si="130"/>
        <v>6</v>
      </c>
      <c r="I1058" s="1323">
        <f t="shared" si="131"/>
        <v>21</v>
      </c>
      <c r="J1058" s="1323"/>
      <c r="K1058" s="1323"/>
      <c r="L1058" s="1323"/>
      <c r="M1058" s="1323"/>
      <c r="N1058" s="1323"/>
      <c r="O1058" s="1323"/>
      <c r="P1058" s="1323"/>
      <c r="Q1058" s="1323"/>
      <c r="R1058" s="1304"/>
      <c r="S1058" s="1304"/>
      <c r="T1058" s="1304"/>
    </row>
    <row r="1059" spans="1:20">
      <c r="A1059" s="1303"/>
      <c r="B1059" s="1322" t="s">
        <v>4367</v>
      </c>
      <c r="C1059" s="1323" t="s">
        <v>4368</v>
      </c>
      <c r="D1059" s="1324">
        <f t="shared" si="126"/>
        <v>40347</v>
      </c>
      <c r="E1059" s="1323">
        <f t="shared" si="128"/>
        <v>7.5465</v>
      </c>
      <c r="F1059" s="1323">
        <f t="shared" si="127"/>
        <v>8.0110310832010772</v>
      </c>
      <c r="G1059" s="1323">
        <f t="shared" si="129"/>
        <v>2010</v>
      </c>
      <c r="H1059" s="1323">
        <f t="shared" si="130"/>
        <v>6</v>
      </c>
      <c r="I1059" s="1323">
        <f t="shared" si="131"/>
        <v>18</v>
      </c>
      <c r="J1059" s="1323"/>
      <c r="K1059" s="1323"/>
      <c r="L1059" s="1323"/>
      <c r="M1059" s="1323"/>
      <c r="N1059" s="1323"/>
      <c r="O1059" s="1323"/>
      <c r="P1059" s="1323"/>
      <c r="Q1059" s="1323"/>
      <c r="R1059" s="1304"/>
      <c r="S1059" s="1304"/>
      <c r="T1059" s="1304"/>
    </row>
    <row r="1060" spans="1:20">
      <c r="A1060" s="1303"/>
      <c r="B1060" s="1322" t="s">
        <v>4369</v>
      </c>
      <c r="C1060" s="1323" t="s">
        <v>4370</v>
      </c>
      <c r="D1060" s="1324">
        <f t="shared" si="126"/>
        <v>40346</v>
      </c>
      <c r="E1060" s="1323">
        <f t="shared" si="128"/>
        <v>7.6215000000000002</v>
      </c>
      <c r="F1060" s="1323">
        <f t="shared" si="127"/>
        <v>8.0094950156638269</v>
      </c>
      <c r="G1060" s="1323">
        <f t="shared" si="129"/>
        <v>2010</v>
      </c>
      <c r="H1060" s="1323">
        <f t="shared" si="130"/>
        <v>6</v>
      </c>
      <c r="I1060" s="1323">
        <f t="shared" si="131"/>
        <v>17</v>
      </c>
      <c r="J1060" s="1323"/>
      <c r="K1060" s="1323"/>
      <c r="L1060" s="1323"/>
      <c r="M1060" s="1323"/>
      <c r="N1060" s="1323"/>
      <c r="O1060" s="1323"/>
      <c r="P1060" s="1323"/>
      <c r="Q1060" s="1323"/>
      <c r="R1060" s="1304"/>
      <c r="S1060" s="1304"/>
      <c r="T1060" s="1304"/>
    </row>
    <row r="1061" spans="1:20">
      <c r="A1061" s="1303"/>
      <c r="B1061" s="1322" t="s">
        <v>4371</v>
      </c>
      <c r="C1061" s="1323" t="s">
        <v>4372</v>
      </c>
      <c r="D1061" s="1324">
        <f t="shared" si="126"/>
        <v>40344</v>
      </c>
      <c r="E1061" s="1323">
        <f t="shared" si="128"/>
        <v>7.6887999999999996</v>
      </c>
      <c r="F1061" s="1323">
        <f t="shared" si="127"/>
        <v>8.0079592426583854</v>
      </c>
      <c r="G1061" s="1323">
        <f t="shared" si="129"/>
        <v>2010</v>
      </c>
      <c r="H1061" s="1323">
        <f t="shared" si="130"/>
        <v>6</v>
      </c>
      <c r="I1061" s="1323">
        <f t="shared" si="131"/>
        <v>15</v>
      </c>
      <c r="J1061" s="1323"/>
      <c r="K1061" s="1323"/>
      <c r="L1061" s="1323"/>
      <c r="M1061" s="1323"/>
      <c r="N1061" s="1323"/>
      <c r="O1061" s="1323"/>
      <c r="P1061" s="1323"/>
      <c r="Q1061" s="1323"/>
      <c r="R1061" s="1304"/>
      <c r="S1061" s="1304"/>
      <c r="T1061" s="1304"/>
    </row>
    <row r="1062" spans="1:20">
      <c r="A1062" s="1303"/>
      <c r="B1062" s="1322" t="s">
        <v>4373</v>
      </c>
      <c r="C1062" s="1323" t="s">
        <v>4374</v>
      </c>
      <c r="D1062" s="1324">
        <f t="shared" si="126"/>
        <v>40343</v>
      </c>
      <c r="E1062" s="1323">
        <f t="shared" si="128"/>
        <v>7.6513999999999998</v>
      </c>
      <c r="F1062" s="1323">
        <f t="shared" si="127"/>
        <v>8.0064237641282787</v>
      </c>
      <c r="G1062" s="1323">
        <f t="shared" si="129"/>
        <v>2010</v>
      </c>
      <c r="H1062" s="1323">
        <f t="shared" si="130"/>
        <v>6</v>
      </c>
      <c r="I1062" s="1323">
        <f t="shared" si="131"/>
        <v>14</v>
      </c>
      <c r="J1062" s="1323"/>
      <c r="K1062" s="1323"/>
      <c r="L1062" s="1323"/>
      <c r="M1062" s="1323"/>
      <c r="N1062" s="1323"/>
      <c r="O1062" s="1323"/>
      <c r="P1062" s="1323"/>
      <c r="Q1062" s="1323"/>
      <c r="R1062" s="1304"/>
      <c r="S1062" s="1304"/>
      <c r="T1062" s="1304"/>
    </row>
    <row r="1063" spans="1:20">
      <c r="A1063" s="1303"/>
      <c r="B1063" s="1322" t="s">
        <v>4375</v>
      </c>
      <c r="C1063" s="1323" t="s">
        <v>4376</v>
      </c>
      <c r="D1063" s="1324">
        <f t="shared" si="126"/>
        <v>40340</v>
      </c>
      <c r="E1063" s="1323">
        <f t="shared" si="128"/>
        <v>7.7091000000000003</v>
      </c>
      <c r="F1063" s="1323">
        <f t="shared" si="127"/>
        <v>8.0048885800170417</v>
      </c>
      <c r="G1063" s="1323">
        <f t="shared" si="129"/>
        <v>2010</v>
      </c>
      <c r="H1063" s="1323">
        <f t="shared" si="130"/>
        <v>6</v>
      </c>
      <c r="I1063" s="1323">
        <f t="shared" si="131"/>
        <v>11</v>
      </c>
      <c r="J1063" s="1323"/>
      <c r="K1063" s="1323"/>
      <c r="L1063" s="1323"/>
      <c r="M1063" s="1323"/>
      <c r="N1063" s="1323"/>
      <c r="O1063" s="1323"/>
      <c r="P1063" s="1323"/>
      <c r="Q1063" s="1323"/>
      <c r="R1063" s="1304"/>
      <c r="S1063" s="1304"/>
      <c r="T1063" s="1304"/>
    </row>
    <row r="1064" spans="1:20">
      <c r="A1064" s="1303"/>
      <c r="B1064" s="1322" t="s">
        <v>4377</v>
      </c>
      <c r="C1064" s="1323" t="s">
        <v>4378</v>
      </c>
      <c r="D1064" s="1324">
        <f t="shared" si="126"/>
        <v>40339</v>
      </c>
      <c r="E1064" s="1323">
        <f t="shared" si="128"/>
        <v>7.7824</v>
      </c>
      <c r="F1064" s="1323">
        <f t="shared" si="127"/>
        <v>8.0033536902682236</v>
      </c>
      <c r="G1064" s="1323">
        <f t="shared" si="129"/>
        <v>2010</v>
      </c>
      <c r="H1064" s="1323">
        <f t="shared" si="130"/>
        <v>6</v>
      </c>
      <c r="I1064" s="1323">
        <f t="shared" si="131"/>
        <v>10</v>
      </c>
      <c r="J1064" s="1323"/>
      <c r="K1064" s="1323"/>
      <c r="L1064" s="1323"/>
      <c r="M1064" s="1323"/>
      <c r="N1064" s="1323"/>
      <c r="O1064" s="1323"/>
      <c r="P1064" s="1323"/>
      <c r="Q1064" s="1323"/>
      <c r="R1064" s="1304"/>
      <c r="S1064" s="1304"/>
      <c r="T1064" s="1304"/>
    </row>
    <row r="1065" spans="1:20">
      <c r="A1065" s="1303"/>
      <c r="B1065" s="1322" t="s">
        <v>4379</v>
      </c>
      <c r="C1065" s="1323" t="s">
        <v>4380</v>
      </c>
      <c r="D1065" s="1324">
        <f t="shared" si="126"/>
        <v>40338</v>
      </c>
      <c r="E1065" s="1323">
        <f t="shared" si="128"/>
        <v>7.7211999999999996</v>
      </c>
      <c r="F1065" s="1323">
        <f t="shared" si="127"/>
        <v>8.0018190948253807</v>
      </c>
      <c r="G1065" s="1323">
        <f t="shared" si="129"/>
        <v>2010</v>
      </c>
      <c r="H1065" s="1323">
        <f t="shared" si="130"/>
        <v>6</v>
      </c>
      <c r="I1065" s="1323">
        <f t="shared" si="131"/>
        <v>9</v>
      </c>
      <c r="J1065" s="1323"/>
      <c r="K1065" s="1323"/>
      <c r="L1065" s="1323"/>
      <c r="M1065" s="1323"/>
      <c r="N1065" s="1323"/>
      <c r="O1065" s="1323"/>
      <c r="P1065" s="1323"/>
      <c r="Q1065" s="1323"/>
      <c r="R1065" s="1304"/>
      <c r="S1065" s="1304"/>
      <c r="T1065" s="1304"/>
    </row>
    <row r="1066" spans="1:20">
      <c r="A1066" s="1303"/>
      <c r="B1066" s="1322" t="s">
        <v>4381</v>
      </c>
      <c r="C1066" s="1323" t="s">
        <v>4382</v>
      </c>
      <c r="D1066" s="1324">
        <f t="shared" si="126"/>
        <v>40337</v>
      </c>
      <c r="E1066" s="1323">
        <f t="shared" si="128"/>
        <v>7.7888999999999999</v>
      </c>
      <c r="F1066" s="1323">
        <f t="shared" si="127"/>
        <v>8.0002847936320816</v>
      </c>
      <c r="G1066" s="1323">
        <f t="shared" si="129"/>
        <v>2010</v>
      </c>
      <c r="H1066" s="1323">
        <f t="shared" si="130"/>
        <v>6</v>
      </c>
      <c r="I1066" s="1323">
        <f t="shared" si="131"/>
        <v>8</v>
      </c>
      <c r="J1066" s="1323"/>
      <c r="K1066" s="1323"/>
      <c r="L1066" s="1323"/>
      <c r="M1066" s="1323"/>
      <c r="N1066" s="1323"/>
      <c r="O1066" s="1323"/>
      <c r="P1066" s="1323"/>
      <c r="Q1066" s="1323"/>
      <c r="R1066" s="1304"/>
      <c r="S1066" s="1304"/>
      <c r="T1066" s="1304"/>
    </row>
    <row r="1067" spans="1:20">
      <c r="A1067" s="1303"/>
      <c r="B1067" s="1322" t="s">
        <v>4383</v>
      </c>
      <c r="C1067" s="1323" t="s">
        <v>4384</v>
      </c>
      <c r="D1067" s="1324">
        <f t="shared" si="126"/>
        <v>40336</v>
      </c>
      <c r="E1067" s="1323">
        <f t="shared" si="128"/>
        <v>7.8197000000000001</v>
      </c>
      <c r="F1067" s="1323">
        <f t="shared" si="127"/>
        <v>7.9987507866319048</v>
      </c>
      <c r="G1067" s="1323">
        <f t="shared" si="129"/>
        <v>2010</v>
      </c>
      <c r="H1067" s="1323">
        <f t="shared" si="130"/>
        <v>6</v>
      </c>
      <c r="I1067" s="1323">
        <f t="shared" si="131"/>
        <v>7</v>
      </c>
      <c r="J1067" s="1323"/>
      <c r="K1067" s="1323"/>
      <c r="L1067" s="1323"/>
      <c r="M1067" s="1323"/>
      <c r="N1067" s="1323"/>
      <c r="O1067" s="1323"/>
      <c r="P1067" s="1323"/>
      <c r="Q1067" s="1323"/>
      <c r="R1067" s="1304"/>
      <c r="S1067" s="1304"/>
      <c r="T1067" s="1304"/>
    </row>
    <row r="1068" spans="1:20">
      <c r="A1068" s="1303"/>
      <c r="B1068" s="1322" t="s">
        <v>4385</v>
      </c>
      <c r="C1068" s="1323" t="s">
        <v>4386</v>
      </c>
      <c r="D1068" s="1324">
        <f t="shared" si="126"/>
        <v>40333</v>
      </c>
      <c r="E1068" s="1323">
        <f t="shared" si="128"/>
        <v>7.6440000000000001</v>
      </c>
      <c r="F1068" s="1323">
        <f t="shared" si="127"/>
        <v>7.997217073768442</v>
      </c>
      <c r="G1068" s="1323">
        <f t="shared" si="129"/>
        <v>2010</v>
      </c>
      <c r="H1068" s="1323">
        <f t="shared" si="130"/>
        <v>6</v>
      </c>
      <c r="I1068" s="1323">
        <f t="shared" si="131"/>
        <v>4</v>
      </c>
      <c r="J1068" s="1323"/>
      <c r="K1068" s="1323"/>
      <c r="L1068" s="1323"/>
      <c r="M1068" s="1323"/>
      <c r="N1068" s="1323"/>
      <c r="O1068" s="1323"/>
      <c r="P1068" s="1323"/>
      <c r="Q1068" s="1323"/>
      <c r="R1068" s="1304"/>
      <c r="S1068" s="1304"/>
      <c r="T1068" s="1304"/>
    </row>
    <row r="1069" spans="1:20">
      <c r="A1069" s="1303"/>
      <c r="B1069" s="1322" t="s">
        <v>4387</v>
      </c>
      <c r="C1069" s="1323" t="s">
        <v>4388</v>
      </c>
      <c r="D1069" s="1324">
        <f t="shared" si="126"/>
        <v>40332</v>
      </c>
      <c r="E1069" s="1323">
        <f t="shared" si="128"/>
        <v>7.6071999999999997</v>
      </c>
      <c r="F1069" s="1323">
        <f t="shared" si="127"/>
        <v>7.9956836549852941</v>
      </c>
      <c r="G1069" s="1323">
        <f t="shared" si="129"/>
        <v>2010</v>
      </c>
      <c r="H1069" s="1323">
        <f t="shared" si="130"/>
        <v>6</v>
      </c>
      <c r="I1069" s="1323">
        <f t="shared" si="131"/>
        <v>3</v>
      </c>
      <c r="J1069" s="1323"/>
      <c r="K1069" s="1323"/>
      <c r="L1069" s="1323"/>
      <c r="M1069" s="1323"/>
      <c r="N1069" s="1323"/>
      <c r="O1069" s="1323"/>
      <c r="P1069" s="1323"/>
      <c r="Q1069" s="1323"/>
      <c r="R1069" s="1304"/>
      <c r="S1069" s="1304"/>
      <c r="T1069" s="1304"/>
    </row>
    <row r="1070" spans="1:20">
      <c r="A1070" s="1303"/>
      <c r="B1070" s="1322" t="s">
        <v>4389</v>
      </c>
      <c r="C1070" s="1323" t="s">
        <v>4390</v>
      </c>
      <c r="D1070" s="1324">
        <f t="shared" si="126"/>
        <v>40331</v>
      </c>
      <c r="E1070" s="1323">
        <f t="shared" si="128"/>
        <v>7.7119999999999997</v>
      </c>
      <c r="F1070" s="1323">
        <f t="shared" si="127"/>
        <v>7.9941505302260722</v>
      </c>
      <c r="G1070" s="1323">
        <f t="shared" si="129"/>
        <v>2010</v>
      </c>
      <c r="H1070" s="1323">
        <f t="shared" si="130"/>
        <v>6</v>
      </c>
      <c r="I1070" s="1323">
        <f t="shared" si="131"/>
        <v>2</v>
      </c>
      <c r="J1070" s="1323"/>
      <c r="K1070" s="1323"/>
      <c r="L1070" s="1323"/>
      <c r="M1070" s="1323"/>
      <c r="N1070" s="1323"/>
      <c r="O1070" s="1323"/>
      <c r="P1070" s="1323"/>
      <c r="Q1070" s="1323"/>
      <c r="R1070" s="1304"/>
      <c r="S1070" s="1304"/>
      <c r="T1070" s="1304"/>
    </row>
    <row r="1071" spans="1:20">
      <c r="A1071" s="1303"/>
      <c r="B1071" s="1322" t="s">
        <v>4391</v>
      </c>
      <c r="C1071" s="1323" t="s">
        <v>4392</v>
      </c>
      <c r="D1071" s="1324">
        <f t="shared" si="126"/>
        <v>40330</v>
      </c>
      <c r="E1071" s="1323">
        <f t="shared" si="128"/>
        <v>7.7503000000000002</v>
      </c>
      <c r="F1071" s="1323">
        <f t="shared" si="127"/>
        <v>7.9926176994343994</v>
      </c>
      <c r="G1071" s="1323">
        <f t="shared" si="129"/>
        <v>2010</v>
      </c>
      <c r="H1071" s="1323">
        <f t="shared" si="130"/>
        <v>6</v>
      </c>
      <c r="I1071" s="1323">
        <f t="shared" si="131"/>
        <v>1</v>
      </c>
      <c r="J1071" s="1323"/>
      <c r="K1071" s="1323"/>
      <c r="L1071" s="1323"/>
      <c r="M1071" s="1323"/>
      <c r="N1071" s="1323"/>
      <c r="O1071" s="1323"/>
      <c r="P1071" s="1323"/>
      <c r="Q1071" s="1323"/>
      <c r="R1071" s="1304"/>
      <c r="S1071" s="1304"/>
      <c r="T1071" s="1304"/>
    </row>
    <row r="1072" spans="1:20">
      <c r="A1072" s="1303"/>
      <c r="B1072" s="1322" t="s">
        <v>4393</v>
      </c>
      <c r="C1072" s="1323" t="s">
        <v>4394</v>
      </c>
      <c r="D1072" s="1324">
        <f t="shared" si="126"/>
        <v>40329</v>
      </c>
      <c r="E1072" s="1323">
        <f t="shared" si="128"/>
        <v>7.6361999999999997</v>
      </c>
      <c r="F1072" s="1323">
        <f t="shared" si="127"/>
        <v>7.991085162553909</v>
      </c>
      <c r="G1072" s="1323">
        <f t="shared" si="129"/>
        <v>2010</v>
      </c>
      <c r="H1072" s="1323">
        <f t="shared" si="130"/>
        <v>5</v>
      </c>
      <c r="I1072" s="1323">
        <f t="shared" si="131"/>
        <v>31</v>
      </c>
      <c r="J1072" s="1323"/>
      <c r="K1072" s="1323"/>
      <c r="L1072" s="1323"/>
      <c r="M1072" s="1323"/>
      <c r="N1072" s="1323"/>
      <c r="O1072" s="1323"/>
      <c r="P1072" s="1323"/>
      <c r="Q1072" s="1323"/>
      <c r="R1072" s="1304"/>
      <c r="S1072" s="1304"/>
      <c r="T1072" s="1304"/>
    </row>
    <row r="1073" spans="1:20">
      <c r="A1073" s="1303"/>
      <c r="B1073" s="1322" t="s">
        <v>4395</v>
      </c>
      <c r="C1073" s="1323" t="s">
        <v>4396</v>
      </c>
      <c r="D1073" s="1324">
        <f t="shared" si="126"/>
        <v>40326</v>
      </c>
      <c r="E1073" s="1323">
        <f t="shared" si="128"/>
        <v>7.5425000000000004</v>
      </c>
      <c r="F1073" s="1323">
        <f t="shared" si="127"/>
        <v>7.9895529195282462</v>
      </c>
      <c r="G1073" s="1323">
        <f t="shared" si="129"/>
        <v>2010</v>
      </c>
      <c r="H1073" s="1323">
        <f t="shared" si="130"/>
        <v>5</v>
      </c>
      <c r="I1073" s="1323">
        <f t="shared" si="131"/>
        <v>28</v>
      </c>
      <c r="J1073" s="1323"/>
      <c r="K1073" s="1323"/>
      <c r="L1073" s="1323"/>
      <c r="M1073" s="1323"/>
      <c r="N1073" s="1323"/>
      <c r="O1073" s="1323"/>
      <c r="P1073" s="1323"/>
      <c r="Q1073" s="1323"/>
      <c r="R1073" s="1304"/>
      <c r="S1073" s="1304"/>
      <c r="T1073" s="1304"/>
    </row>
    <row r="1074" spans="1:20">
      <c r="A1074" s="1303"/>
      <c r="B1074" s="1322" t="s">
        <v>4397</v>
      </c>
      <c r="C1074" s="1323" t="s">
        <v>4398</v>
      </c>
      <c r="D1074" s="1324">
        <f t="shared" si="126"/>
        <v>40325</v>
      </c>
      <c r="E1074" s="1323">
        <f t="shared" si="128"/>
        <v>7.6981999999999999</v>
      </c>
      <c r="F1074" s="1323">
        <f t="shared" si="127"/>
        <v>7.9880209703010649</v>
      </c>
      <c r="G1074" s="1323">
        <f t="shared" si="129"/>
        <v>2010</v>
      </c>
      <c r="H1074" s="1323">
        <f t="shared" si="130"/>
        <v>5</v>
      </c>
      <c r="I1074" s="1323">
        <f t="shared" si="131"/>
        <v>27</v>
      </c>
      <c r="J1074" s="1323"/>
      <c r="K1074" s="1323"/>
      <c r="L1074" s="1323"/>
      <c r="M1074" s="1323"/>
      <c r="N1074" s="1323"/>
      <c r="O1074" s="1323"/>
      <c r="P1074" s="1323"/>
      <c r="Q1074" s="1323"/>
      <c r="R1074" s="1304"/>
      <c r="S1074" s="1304"/>
      <c r="T1074" s="1304"/>
    </row>
    <row r="1075" spans="1:20">
      <c r="A1075" s="1303"/>
      <c r="B1075" s="1322" t="s">
        <v>4399</v>
      </c>
      <c r="C1075" s="1323" t="s">
        <v>4400</v>
      </c>
      <c r="D1075" s="1324">
        <f t="shared" si="126"/>
        <v>40324</v>
      </c>
      <c r="E1075" s="1323">
        <f t="shared" si="128"/>
        <v>7.8314000000000004</v>
      </c>
      <c r="F1075" s="1323">
        <f t="shared" si="127"/>
        <v>7.9864893148160316</v>
      </c>
      <c r="G1075" s="1323">
        <f t="shared" si="129"/>
        <v>2010</v>
      </c>
      <c r="H1075" s="1323">
        <f t="shared" si="130"/>
        <v>5</v>
      </c>
      <c r="I1075" s="1323">
        <f t="shared" si="131"/>
        <v>26</v>
      </c>
      <c r="J1075" s="1323"/>
      <c r="K1075" s="1323"/>
      <c r="L1075" s="1323"/>
      <c r="M1075" s="1323"/>
      <c r="N1075" s="1323"/>
      <c r="O1075" s="1323"/>
      <c r="P1075" s="1323"/>
      <c r="Q1075" s="1323"/>
      <c r="R1075" s="1304"/>
      <c r="S1075" s="1304"/>
      <c r="T1075" s="1304"/>
    </row>
    <row r="1076" spans="1:20">
      <c r="A1076" s="1303"/>
      <c r="B1076" s="1322" t="s">
        <v>4401</v>
      </c>
      <c r="C1076" s="1323" t="s">
        <v>4402</v>
      </c>
      <c r="D1076" s="1324">
        <f t="shared" si="126"/>
        <v>40323</v>
      </c>
      <c r="E1076" s="1323">
        <f t="shared" si="128"/>
        <v>7.9703999999999997</v>
      </c>
      <c r="F1076" s="1323">
        <f t="shared" si="127"/>
        <v>7.9849579530168224</v>
      </c>
      <c r="G1076" s="1323">
        <f t="shared" si="129"/>
        <v>2010</v>
      </c>
      <c r="H1076" s="1323">
        <f t="shared" si="130"/>
        <v>5</v>
      </c>
      <c r="I1076" s="1323">
        <f t="shared" si="131"/>
        <v>25</v>
      </c>
      <c r="J1076" s="1323"/>
      <c r="K1076" s="1323"/>
      <c r="L1076" s="1323"/>
      <c r="M1076" s="1323"/>
      <c r="N1076" s="1323"/>
      <c r="O1076" s="1323"/>
      <c r="P1076" s="1323"/>
      <c r="Q1076" s="1323"/>
      <c r="R1076" s="1304"/>
      <c r="S1076" s="1304"/>
      <c r="T1076" s="1304"/>
    </row>
    <row r="1077" spans="1:20">
      <c r="A1077" s="1303"/>
      <c r="B1077" s="1322" t="s">
        <v>4403</v>
      </c>
      <c r="C1077" s="1323" t="s">
        <v>4404</v>
      </c>
      <c r="D1077" s="1324">
        <f t="shared" si="126"/>
        <v>40322</v>
      </c>
      <c r="E1077" s="1323">
        <f t="shared" si="128"/>
        <v>7.8522999999999996</v>
      </c>
      <c r="F1077" s="1323">
        <f t="shared" si="127"/>
        <v>7.983426884847125</v>
      </c>
      <c r="G1077" s="1323">
        <f t="shared" si="129"/>
        <v>2010</v>
      </c>
      <c r="H1077" s="1323">
        <f t="shared" si="130"/>
        <v>5</v>
      </c>
      <c r="I1077" s="1323">
        <f t="shared" si="131"/>
        <v>24</v>
      </c>
      <c r="J1077" s="1323"/>
      <c r="K1077" s="1323"/>
      <c r="L1077" s="1323"/>
      <c r="M1077" s="1323"/>
      <c r="N1077" s="1323"/>
      <c r="O1077" s="1323"/>
      <c r="P1077" s="1323"/>
      <c r="Q1077" s="1323"/>
      <c r="R1077" s="1304"/>
      <c r="S1077" s="1304"/>
      <c r="T1077" s="1304"/>
    </row>
    <row r="1078" spans="1:20">
      <c r="A1078" s="1303"/>
      <c r="B1078" s="1322" t="s">
        <v>4405</v>
      </c>
      <c r="C1078" s="1323" t="s">
        <v>4406</v>
      </c>
      <c r="D1078" s="1324">
        <f t="shared" si="126"/>
        <v>40319</v>
      </c>
      <c r="E1078" s="1323">
        <f t="shared" si="128"/>
        <v>7.9489999999999998</v>
      </c>
      <c r="F1078" s="1323">
        <f t="shared" si="127"/>
        <v>7.9818961102506387</v>
      </c>
      <c r="G1078" s="1323">
        <f t="shared" si="129"/>
        <v>2010</v>
      </c>
      <c r="H1078" s="1323">
        <f t="shared" si="130"/>
        <v>5</v>
      </c>
      <c r="I1078" s="1323">
        <f t="shared" si="131"/>
        <v>21</v>
      </c>
      <c r="J1078" s="1323"/>
      <c r="K1078" s="1323"/>
      <c r="L1078" s="1323"/>
      <c r="M1078" s="1323"/>
      <c r="N1078" s="1323"/>
      <c r="O1078" s="1323"/>
      <c r="P1078" s="1323"/>
      <c r="Q1078" s="1323"/>
      <c r="R1078" s="1304"/>
      <c r="S1078" s="1304"/>
      <c r="T1078" s="1304"/>
    </row>
    <row r="1079" spans="1:20">
      <c r="A1079" s="1303"/>
      <c r="B1079" s="1322" t="s">
        <v>4407</v>
      </c>
      <c r="C1079" s="1323" t="s">
        <v>4408</v>
      </c>
      <c r="D1079" s="1324">
        <f t="shared" si="126"/>
        <v>40318</v>
      </c>
      <c r="E1079" s="1323">
        <f t="shared" si="128"/>
        <v>7.8224999999999998</v>
      </c>
      <c r="F1079" s="1323">
        <f t="shared" si="127"/>
        <v>7.9803656291710716</v>
      </c>
      <c r="G1079" s="1323">
        <f t="shared" si="129"/>
        <v>2010</v>
      </c>
      <c r="H1079" s="1323">
        <f t="shared" si="130"/>
        <v>5</v>
      </c>
      <c r="I1079" s="1323">
        <f t="shared" si="131"/>
        <v>20</v>
      </c>
      <c r="J1079" s="1323"/>
      <c r="K1079" s="1323"/>
      <c r="L1079" s="1323"/>
      <c r="M1079" s="1323"/>
      <c r="N1079" s="1323"/>
      <c r="O1079" s="1323"/>
      <c r="P1079" s="1323"/>
      <c r="Q1079" s="1323"/>
      <c r="R1079" s="1304"/>
      <c r="S1079" s="1304"/>
      <c r="T1079" s="1304"/>
    </row>
    <row r="1080" spans="1:20">
      <c r="A1080" s="1303"/>
      <c r="B1080" s="1322" t="s">
        <v>4409</v>
      </c>
      <c r="C1080" s="1323" t="s">
        <v>3452</v>
      </c>
      <c r="D1080" s="1324">
        <f t="shared" si="126"/>
        <v>40317</v>
      </c>
      <c r="E1080" s="1323">
        <f t="shared" si="128"/>
        <v>7.6867999999999999</v>
      </c>
      <c r="F1080" s="1323">
        <f t="shared" si="127"/>
        <v>7.9788354415521434</v>
      </c>
      <c r="G1080" s="1323">
        <f t="shared" si="129"/>
        <v>2010</v>
      </c>
      <c r="H1080" s="1323">
        <f t="shared" si="130"/>
        <v>5</v>
      </c>
      <c r="I1080" s="1323">
        <f t="shared" si="131"/>
        <v>19</v>
      </c>
      <c r="J1080" s="1323"/>
      <c r="K1080" s="1323"/>
      <c r="L1080" s="1323"/>
      <c r="M1080" s="1323"/>
      <c r="N1080" s="1323"/>
      <c r="O1080" s="1323"/>
      <c r="P1080" s="1323"/>
      <c r="Q1080" s="1323"/>
      <c r="R1080" s="1304"/>
      <c r="S1080" s="1304"/>
      <c r="T1080" s="1304"/>
    </row>
    <row r="1081" spans="1:20">
      <c r="A1081" s="1303"/>
      <c r="B1081" s="1322" t="s">
        <v>4410</v>
      </c>
      <c r="C1081" s="1323" t="s">
        <v>4411</v>
      </c>
      <c r="D1081" s="1324">
        <f t="shared" si="126"/>
        <v>40316</v>
      </c>
      <c r="E1081" s="1323">
        <f t="shared" si="128"/>
        <v>7.5170000000000003</v>
      </c>
      <c r="F1081" s="1323">
        <f t="shared" si="127"/>
        <v>7.9773055473375853</v>
      </c>
      <c r="G1081" s="1323">
        <f t="shared" si="129"/>
        <v>2010</v>
      </c>
      <c r="H1081" s="1323">
        <f t="shared" si="130"/>
        <v>5</v>
      </c>
      <c r="I1081" s="1323">
        <f t="shared" si="131"/>
        <v>18</v>
      </c>
      <c r="J1081" s="1323"/>
      <c r="K1081" s="1323"/>
      <c r="L1081" s="1323"/>
      <c r="M1081" s="1323"/>
      <c r="N1081" s="1323"/>
      <c r="O1081" s="1323"/>
      <c r="P1081" s="1323"/>
      <c r="Q1081" s="1323"/>
      <c r="R1081" s="1304"/>
      <c r="S1081" s="1304"/>
      <c r="T1081" s="1304"/>
    </row>
    <row r="1082" spans="1:20">
      <c r="A1082" s="1303"/>
      <c r="B1082" s="1322" t="s">
        <v>4412</v>
      </c>
      <c r="C1082" s="1323" t="s">
        <v>4413</v>
      </c>
      <c r="D1082" s="1324">
        <f t="shared" si="126"/>
        <v>40315</v>
      </c>
      <c r="E1082" s="1323">
        <f t="shared" si="128"/>
        <v>7.5777000000000001</v>
      </c>
      <c r="F1082" s="1323">
        <f t="shared" si="127"/>
        <v>7.9757759464711384</v>
      </c>
      <c r="G1082" s="1323">
        <f t="shared" si="129"/>
        <v>2010</v>
      </c>
      <c r="H1082" s="1323">
        <f t="shared" si="130"/>
        <v>5</v>
      </c>
      <c r="I1082" s="1323">
        <f t="shared" si="131"/>
        <v>17</v>
      </c>
      <c r="J1082" s="1323"/>
      <c r="K1082" s="1323"/>
      <c r="L1082" s="1323"/>
      <c r="M1082" s="1323"/>
      <c r="N1082" s="1323"/>
      <c r="O1082" s="1323"/>
      <c r="P1082" s="1323"/>
      <c r="Q1082" s="1323"/>
      <c r="R1082" s="1304"/>
      <c r="S1082" s="1304"/>
      <c r="T1082" s="1304"/>
    </row>
    <row r="1083" spans="1:20">
      <c r="A1083" s="1303"/>
      <c r="B1083" s="1322" t="s">
        <v>4414</v>
      </c>
      <c r="C1083" s="1323" t="s">
        <v>4415</v>
      </c>
      <c r="D1083" s="1324">
        <f t="shared" si="126"/>
        <v>40312</v>
      </c>
      <c r="E1083" s="1323">
        <f t="shared" si="128"/>
        <v>7.5243000000000002</v>
      </c>
      <c r="F1083" s="1323">
        <f t="shared" si="127"/>
        <v>7.9742466388965552</v>
      </c>
      <c r="G1083" s="1323">
        <f t="shared" si="129"/>
        <v>2010</v>
      </c>
      <c r="H1083" s="1323">
        <f t="shared" si="130"/>
        <v>5</v>
      </c>
      <c r="I1083" s="1323">
        <f t="shared" si="131"/>
        <v>14</v>
      </c>
      <c r="J1083" s="1323"/>
      <c r="K1083" s="1323"/>
      <c r="L1083" s="1323"/>
      <c r="M1083" s="1323"/>
      <c r="N1083" s="1323"/>
      <c r="O1083" s="1323"/>
      <c r="P1083" s="1323"/>
      <c r="Q1083" s="1323"/>
      <c r="R1083" s="1304"/>
      <c r="S1083" s="1304"/>
      <c r="T1083" s="1304"/>
    </row>
    <row r="1084" spans="1:20">
      <c r="A1084" s="1303"/>
      <c r="B1084" s="1322" t="s">
        <v>4416</v>
      </c>
      <c r="C1084" s="1323" t="s">
        <v>4417</v>
      </c>
      <c r="D1084" s="1324">
        <f t="shared" si="126"/>
        <v>40311</v>
      </c>
      <c r="E1084" s="1323">
        <f t="shared" si="128"/>
        <v>7.4741999999999997</v>
      </c>
      <c r="F1084" s="1323">
        <f t="shared" si="127"/>
        <v>7.9727176245575988</v>
      </c>
      <c r="G1084" s="1323">
        <f t="shared" si="129"/>
        <v>2010</v>
      </c>
      <c r="H1084" s="1323">
        <f t="shared" si="130"/>
        <v>5</v>
      </c>
      <c r="I1084" s="1323">
        <f t="shared" si="131"/>
        <v>13</v>
      </c>
      <c r="J1084" s="1323"/>
      <c r="K1084" s="1323"/>
      <c r="L1084" s="1323"/>
      <c r="M1084" s="1323"/>
      <c r="N1084" s="1323"/>
      <c r="O1084" s="1323"/>
      <c r="P1084" s="1323"/>
      <c r="Q1084" s="1323"/>
      <c r="R1084" s="1304"/>
      <c r="S1084" s="1304"/>
      <c r="T1084" s="1304"/>
    </row>
    <row r="1085" spans="1:20">
      <c r="A1085" s="1303"/>
      <c r="B1085" s="1322" t="s">
        <v>4418</v>
      </c>
      <c r="C1085" s="1323" t="s">
        <v>4419</v>
      </c>
      <c r="D1085" s="1324">
        <f t="shared" si="126"/>
        <v>40310</v>
      </c>
      <c r="E1085" s="1323">
        <f t="shared" si="128"/>
        <v>7.5076000000000001</v>
      </c>
      <c r="F1085" s="1323">
        <f t="shared" si="127"/>
        <v>7.9711889033980423</v>
      </c>
      <c r="G1085" s="1323">
        <f t="shared" si="129"/>
        <v>2010</v>
      </c>
      <c r="H1085" s="1323">
        <f t="shared" si="130"/>
        <v>5</v>
      </c>
      <c r="I1085" s="1323">
        <f t="shared" si="131"/>
        <v>12</v>
      </c>
      <c r="J1085" s="1323"/>
      <c r="K1085" s="1323"/>
      <c r="L1085" s="1323"/>
      <c r="M1085" s="1323"/>
      <c r="N1085" s="1323"/>
      <c r="O1085" s="1323"/>
      <c r="P1085" s="1323"/>
      <c r="Q1085" s="1323"/>
      <c r="R1085" s="1304"/>
      <c r="S1085" s="1304"/>
      <c r="T1085" s="1304"/>
    </row>
    <row r="1086" spans="1:20">
      <c r="A1086" s="1303"/>
      <c r="B1086" s="1322" t="s">
        <v>4420</v>
      </c>
      <c r="C1086" s="1323" t="s">
        <v>4421</v>
      </c>
      <c r="D1086" s="1324">
        <f t="shared" si="126"/>
        <v>40309</v>
      </c>
      <c r="E1086" s="1323">
        <f t="shared" si="128"/>
        <v>7.5305999999999997</v>
      </c>
      <c r="F1086" s="1323">
        <f t="shared" si="127"/>
        <v>7.9696604753616711</v>
      </c>
      <c r="G1086" s="1323">
        <f t="shared" si="129"/>
        <v>2010</v>
      </c>
      <c r="H1086" s="1323">
        <f t="shared" si="130"/>
        <v>5</v>
      </c>
      <c r="I1086" s="1323">
        <f t="shared" si="131"/>
        <v>11</v>
      </c>
      <c r="J1086" s="1323"/>
      <c r="K1086" s="1323"/>
      <c r="L1086" s="1323"/>
      <c r="M1086" s="1323"/>
      <c r="N1086" s="1323"/>
      <c r="O1086" s="1323"/>
      <c r="P1086" s="1323"/>
      <c r="Q1086" s="1323"/>
      <c r="R1086" s="1304"/>
      <c r="S1086" s="1304"/>
      <c r="T1086" s="1304"/>
    </row>
    <row r="1087" spans="1:20">
      <c r="A1087" s="1303"/>
      <c r="B1087" s="1322" t="s">
        <v>4422</v>
      </c>
      <c r="C1087" s="1323" t="s">
        <v>4423</v>
      </c>
      <c r="D1087" s="1324">
        <f t="shared" si="126"/>
        <v>40308</v>
      </c>
      <c r="E1087" s="1323">
        <f t="shared" si="128"/>
        <v>7.4455</v>
      </c>
      <c r="F1087" s="1323">
        <f t="shared" si="127"/>
        <v>7.9681323403922804</v>
      </c>
      <c r="G1087" s="1323">
        <f t="shared" si="129"/>
        <v>2010</v>
      </c>
      <c r="H1087" s="1323">
        <f t="shared" si="130"/>
        <v>5</v>
      </c>
      <c r="I1087" s="1323">
        <f t="shared" si="131"/>
        <v>10</v>
      </c>
      <c r="J1087" s="1323"/>
      <c r="K1087" s="1323"/>
      <c r="L1087" s="1323"/>
      <c r="M1087" s="1323"/>
      <c r="N1087" s="1323"/>
      <c r="O1087" s="1323"/>
      <c r="P1087" s="1323"/>
      <c r="Q1087" s="1323"/>
      <c r="R1087" s="1304"/>
      <c r="S1087" s="1304"/>
      <c r="T1087" s="1304"/>
    </row>
    <row r="1088" spans="1:20">
      <c r="A1088" s="1303"/>
      <c r="B1088" s="1322" t="s">
        <v>4424</v>
      </c>
      <c r="C1088" s="1323" t="s">
        <v>4425</v>
      </c>
      <c r="D1088" s="1324">
        <f t="shared" si="126"/>
        <v>40305</v>
      </c>
      <c r="E1088" s="1323">
        <f t="shared" si="128"/>
        <v>7.7343999999999999</v>
      </c>
      <c r="F1088" s="1323">
        <f t="shared" si="127"/>
        <v>7.9666044984336768</v>
      </c>
      <c r="G1088" s="1323">
        <f t="shared" si="129"/>
        <v>2010</v>
      </c>
      <c r="H1088" s="1323">
        <f t="shared" si="130"/>
        <v>5</v>
      </c>
      <c r="I1088" s="1323">
        <f t="shared" si="131"/>
        <v>7</v>
      </c>
      <c r="J1088" s="1323"/>
      <c r="K1088" s="1323"/>
      <c r="L1088" s="1323"/>
      <c r="M1088" s="1323"/>
      <c r="N1088" s="1323"/>
      <c r="O1088" s="1323"/>
      <c r="P1088" s="1323"/>
      <c r="Q1088" s="1323"/>
      <c r="R1088" s="1304"/>
      <c r="S1088" s="1304"/>
      <c r="T1088" s="1304"/>
    </row>
    <row r="1089" spans="1:20">
      <c r="A1089" s="1303"/>
      <c r="B1089" s="1322" t="s">
        <v>4426</v>
      </c>
      <c r="C1089" s="1323" t="s">
        <v>4427</v>
      </c>
      <c r="D1089" s="1324">
        <f t="shared" si="126"/>
        <v>40304</v>
      </c>
      <c r="E1089" s="1323">
        <f t="shared" si="128"/>
        <v>7.6436000000000002</v>
      </c>
      <c r="F1089" s="1323">
        <f t="shared" si="127"/>
        <v>7.965076949429676</v>
      </c>
      <c r="G1089" s="1323">
        <f t="shared" si="129"/>
        <v>2010</v>
      </c>
      <c r="H1089" s="1323">
        <f t="shared" si="130"/>
        <v>5</v>
      </c>
      <c r="I1089" s="1323">
        <f t="shared" si="131"/>
        <v>6</v>
      </c>
      <c r="J1089" s="1323"/>
      <c r="K1089" s="1323"/>
      <c r="L1089" s="1323"/>
      <c r="M1089" s="1323"/>
      <c r="N1089" s="1323"/>
      <c r="O1089" s="1323"/>
      <c r="P1089" s="1323"/>
      <c r="Q1089" s="1323"/>
      <c r="R1089" s="1304"/>
      <c r="S1089" s="1304"/>
      <c r="T1089" s="1304"/>
    </row>
    <row r="1090" spans="1:20">
      <c r="A1090" s="1303"/>
      <c r="B1090" s="1322" t="s">
        <v>4428</v>
      </c>
      <c r="C1090" s="1323" t="s">
        <v>4429</v>
      </c>
      <c r="D1090" s="1324">
        <f t="shared" si="126"/>
        <v>40303</v>
      </c>
      <c r="E1090" s="1323">
        <f t="shared" si="128"/>
        <v>7.5952999999999999</v>
      </c>
      <c r="F1090" s="1323">
        <f t="shared" si="127"/>
        <v>7.963549693324107</v>
      </c>
      <c r="G1090" s="1323">
        <f t="shared" si="129"/>
        <v>2010</v>
      </c>
      <c r="H1090" s="1323">
        <f t="shared" si="130"/>
        <v>5</v>
      </c>
      <c r="I1090" s="1323">
        <f t="shared" si="131"/>
        <v>5</v>
      </c>
      <c r="J1090" s="1323"/>
      <c r="K1090" s="1323"/>
      <c r="L1090" s="1323"/>
      <c r="M1090" s="1323"/>
      <c r="N1090" s="1323"/>
      <c r="O1090" s="1323"/>
      <c r="P1090" s="1323"/>
      <c r="Q1090" s="1323"/>
      <c r="R1090" s="1304"/>
      <c r="S1090" s="1304"/>
      <c r="T1090" s="1304"/>
    </row>
    <row r="1091" spans="1:20">
      <c r="A1091" s="1303"/>
      <c r="B1091" s="1322" t="s">
        <v>4430</v>
      </c>
      <c r="C1091" s="1323" t="s">
        <v>4431</v>
      </c>
      <c r="D1091" s="1324">
        <f t="shared" si="126"/>
        <v>40302</v>
      </c>
      <c r="E1091" s="1323">
        <f t="shared" si="128"/>
        <v>7.4435000000000002</v>
      </c>
      <c r="F1091" s="1323">
        <f t="shared" si="127"/>
        <v>7.9620227300608075</v>
      </c>
      <c r="G1091" s="1323">
        <f t="shared" si="129"/>
        <v>2010</v>
      </c>
      <c r="H1091" s="1323">
        <f t="shared" si="130"/>
        <v>5</v>
      </c>
      <c r="I1091" s="1323">
        <f t="shared" si="131"/>
        <v>4</v>
      </c>
      <c r="J1091" s="1323"/>
      <c r="K1091" s="1323"/>
      <c r="L1091" s="1323"/>
      <c r="M1091" s="1323"/>
      <c r="N1091" s="1323"/>
      <c r="O1091" s="1323"/>
      <c r="P1091" s="1323"/>
      <c r="Q1091" s="1323"/>
      <c r="R1091" s="1304"/>
      <c r="S1091" s="1304"/>
      <c r="T1091" s="1304"/>
    </row>
    <row r="1092" spans="1:20">
      <c r="A1092" s="1303"/>
      <c r="B1092" s="1322" t="s">
        <v>4432</v>
      </c>
      <c r="C1092" s="1323" t="s">
        <v>4433</v>
      </c>
      <c r="D1092" s="1324">
        <f t="shared" si="126"/>
        <v>40301</v>
      </c>
      <c r="E1092" s="1323">
        <f t="shared" si="128"/>
        <v>7.3893000000000004</v>
      </c>
      <c r="F1092" s="1323">
        <f t="shared" si="127"/>
        <v>7.9604960595836269</v>
      </c>
      <c r="G1092" s="1323">
        <f t="shared" si="129"/>
        <v>2010</v>
      </c>
      <c r="H1092" s="1323">
        <f t="shared" si="130"/>
        <v>5</v>
      </c>
      <c r="I1092" s="1323">
        <f t="shared" si="131"/>
        <v>3</v>
      </c>
      <c r="J1092" s="1323"/>
      <c r="K1092" s="1323"/>
      <c r="L1092" s="1323"/>
      <c r="M1092" s="1323"/>
      <c r="N1092" s="1323"/>
      <c r="O1092" s="1323"/>
      <c r="P1092" s="1323"/>
      <c r="Q1092" s="1323"/>
      <c r="R1092" s="1304"/>
      <c r="S1092" s="1304"/>
      <c r="T1092" s="1304"/>
    </row>
    <row r="1093" spans="1:20">
      <c r="A1093" s="1303"/>
      <c r="B1093" s="1322" t="s">
        <v>4434</v>
      </c>
      <c r="C1093" s="1323" t="s">
        <v>4435</v>
      </c>
      <c r="D1093" s="1324">
        <f t="shared" si="126"/>
        <v>40298</v>
      </c>
      <c r="E1093" s="1323">
        <f t="shared" si="128"/>
        <v>7.3262999999999998</v>
      </c>
      <c r="F1093" s="1323">
        <f t="shared" si="127"/>
        <v>7.9589696818364253</v>
      </c>
      <c r="G1093" s="1323">
        <f t="shared" si="129"/>
        <v>2010</v>
      </c>
      <c r="H1093" s="1323">
        <f t="shared" si="130"/>
        <v>4</v>
      </c>
      <c r="I1093" s="1323">
        <f t="shared" si="131"/>
        <v>30</v>
      </c>
      <c r="J1093" s="1323"/>
      <c r="K1093" s="1323"/>
      <c r="L1093" s="1323"/>
      <c r="M1093" s="1323"/>
      <c r="N1093" s="1323"/>
      <c r="O1093" s="1323"/>
      <c r="P1093" s="1323"/>
      <c r="Q1093" s="1323"/>
      <c r="R1093" s="1304"/>
      <c r="S1093" s="1304"/>
      <c r="T1093" s="1304"/>
    </row>
    <row r="1094" spans="1:20">
      <c r="A1094" s="1303"/>
      <c r="B1094" s="1322" t="s">
        <v>4436</v>
      </c>
      <c r="C1094" s="1323" t="s">
        <v>4437</v>
      </c>
      <c r="D1094" s="1324">
        <f t="shared" si="126"/>
        <v>40297</v>
      </c>
      <c r="E1094" s="1323">
        <f t="shared" si="128"/>
        <v>7.3859000000000004</v>
      </c>
      <c r="F1094" s="1323">
        <f t="shared" si="127"/>
        <v>7.9574435967630732</v>
      </c>
      <c r="G1094" s="1323">
        <f t="shared" si="129"/>
        <v>2010</v>
      </c>
      <c r="H1094" s="1323">
        <f t="shared" si="130"/>
        <v>4</v>
      </c>
      <c r="I1094" s="1323">
        <f t="shared" si="131"/>
        <v>29</v>
      </c>
      <c r="J1094" s="1323"/>
      <c r="K1094" s="1323"/>
      <c r="L1094" s="1323"/>
      <c r="M1094" s="1323"/>
      <c r="N1094" s="1323"/>
      <c r="O1094" s="1323"/>
      <c r="P1094" s="1323"/>
      <c r="Q1094" s="1323"/>
      <c r="R1094" s="1304"/>
      <c r="S1094" s="1304"/>
      <c r="T1094" s="1304"/>
    </row>
    <row r="1095" spans="1:20">
      <c r="A1095" s="1303"/>
      <c r="B1095" s="1322" t="s">
        <v>4438</v>
      </c>
      <c r="C1095" s="1323" t="s">
        <v>4439</v>
      </c>
      <c r="D1095" s="1324">
        <f t="shared" si="126"/>
        <v>40296</v>
      </c>
      <c r="E1095" s="1323">
        <f t="shared" si="128"/>
        <v>7.4875999999999996</v>
      </c>
      <c r="F1095" s="1323">
        <f t="shared" si="127"/>
        <v>7.9559178043074521</v>
      </c>
      <c r="G1095" s="1323">
        <f t="shared" si="129"/>
        <v>2010</v>
      </c>
      <c r="H1095" s="1323">
        <f t="shared" si="130"/>
        <v>4</v>
      </c>
      <c r="I1095" s="1323">
        <f t="shared" si="131"/>
        <v>28</v>
      </c>
      <c r="J1095" s="1323"/>
      <c r="K1095" s="1323"/>
      <c r="L1095" s="1323"/>
      <c r="M1095" s="1323"/>
      <c r="N1095" s="1323"/>
      <c r="O1095" s="1323"/>
      <c r="P1095" s="1323"/>
      <c r="Q1095" s="1323"/>
      <c r="R1095" s="1304"/>
      <c r="S1095" s="1304"/>
      <c r="T1095" s="1304"/>
    </row>
    <row r="1096" spans="1:20">
      <c r="A1096" s="1303"/>
      <c r="B1096" s="1322" t="s">
        <v>4440</v>
      </c>
      <c r="C1096" s="1323" t="s">
        <v>4441</v>
      </c>
      <c r="D1096" s="1324">
        <f t="shared" si="126"/>
        <v>40294</v>
      </c>
      <c r="E1096" s="1323">
        <f t="shared" si="128"/>
        <v>7.3772000000000002</v>
      </c>
      <c r="F1096" s="1323">
        <f t="shared" si="127"/>
        <v>7.9543923044134548</v>
      </c>
      <c r="G1096" s="1323">
        <f t="shared" si="129"/>
        <v>2010</v>
      </c>
      <c r="H1096" s="1323">
        <f t="shared" si="130"/>
        <v>4</v>
      </c>
      <c r="I1096" s="1323">
        <f t="shared" si="131"/>
        <v>26</v>
      </c>
      <c r="J1096" s="1323"/>
      <c r="K1096" s="1323"/>
      <c r="L1096" s="1323"/>
      <c r="M1096" s="1323"/>
      <c r="N1096" s="1323"/>
      <c r="O1096" s="1323"/>
      <c r="P1096" s="1323"/>
      <c r="Q1096" s="1323"/>
      <c r="R1096" s="1304"/>
      <c r="S1096" s="1304"/>
      <c r="T1096" s="1304"/>
    </row>
    <row r="1097" spans="1:20">
      <c r="A1097" s="1303"/>
      <c r="B1097" s="1322" t="s">
        <v>4442</v>
      </c>
      <c r="C1097" s="1323" t="s">
        <v>4443</v>
      </c>
      <c r="D1097" s="1324">
        <f t="shared" ref="D1097:D1160" si="132">DATE(G1097,H1097,I1097)</f>
        <v>40291</v>
      </c>
      <c r="E1097" s="1323">
        <f t="shared" si="128"/>
        <v>7.4733000000000001</v>
      </c>
      <c r="F1097" s="1323">
        <f t="shared" ref="F1097:F1160" si="133">F1098*(1+$F$7/365)</f>
        <v>7.952867097024984</v>
      </c>
      <c r="G1097" s="1323">
        <f t="shared" si="129"/>
        <v>2010</v>
      </c>
      <c r="H1097" s="1323">
        <f t="shared" si="130"/>
        <v>4</v>
      </c>
      <c r="I1097" s="1323">
        <f t="shared" si="131"/>
        <v>23</v>
      </c>
      <c r="J1097" s="1323"/>
      <c r="K1097" s="1323"/>
      <c r="L1097" s="1323"/>
      <c r="M1097" s="1323"/>
      <c r="N1097" s="1323"/>
      <c r="O1097" s="1323"/>
      <c r="P1097" s="1323"/>
      <c r="Q1097" s="1323"/>
      <c r="R1097" s="1304"/>
      <c r="S1097" s="1304"/>
      <c r="T1097" s="1304"/>
    </row>
    <row r="1098" spans="1:20">
      <c r="A1098" s="1303"/>
      <c r="B1098" s="1322" t="s">
        <v>4444</v>
      </c>
      <c r="C1098" s="1323" t="s">
        <v>4445</v>
      </c>
      <c r="D1098" s="1324">
        <f t="shared" si="132"/>
        <v>40290</v>
      </c>
      <c r="E1098" s="1323">
        <f t="shared" si="128"/>
        <v>7.423</v>
      </c>
      <c r="F1098" s="1323">
        <f t="shared" si="133"/>
        <v>7.9513421820859538</v>
      </c>
      <c r="G1098" s="1323">
        <f t="shared" si="129"/>
        <v>2010</v>
      </c>
      <c r="H1098" s="1323">
        <f t="shared" si="130"/>
        <v>4</v>
      </c>
      <c r="I1098" s="1323">
        <f t="shared" si="131"/>
        <v>22</v>
      </c>
      <c r="J1098" s="1323"/>
      <c r="K1098" s="1323"/>
      <c r="L1098" s="1323"/>
      <c r="M1098" s="1323"/>
      <c r="N1098" s="1323"/>
      <c r="O1098" s="1323"/>
      <c r="P1098" s="1323"/>
      <c r="Q1098" s="1323"/>
      <c r="R1098" s="1304"/>
      <c r="S1098" s="1304"/>
      <c r="T1098" s="1304"/>
    </row>
    <row r="1099" spans="1:20">
      <c r="A1099" s="1303"/>
      <c r="B1099" s="1322" t="s">
        <v>4446</v>
      </c>
      <c r="C1099" s="1323" t="s">
        <v>4447</v>
      </c>
      <c r="D1099" s="1324">
        <f t="shared" si="132"/>
        <v>40289</v>
      </c>
      <c r="E1099" s="1323">
        <f t="shared" si="128"/>
        <v>7.3773</v>
      </c>
      <c r="F1099" s="1323">
        <f t="shared" si="133"/>
        <v>7.9498175595402882</v>
      </c>
      <c r="G1099" s="1323">
        <f t="shared" si="129"/>
        <v>2010</v>
      </c>
      <c r="H1099" s="1323">
        <f t="shared" si="130"/>
        <v>4</v>
      </c>
      <c r="I1099" s="1323">
        <f t="shared" si="131"/>
        <v>21</v>
      </c>
      <c r="J1099" s="1323"/>
      <c r="K1099" s="1323"/>
      <c r="L1099" s="1323"/>
      <c r="M1099" s="1323"/>
      <c r="N1099" s="1323"/>
      <c r="O1099" s="1323"/>
      <c r="P1099" s="1323"/>
      <c r="Q1099" s="1323"/>
      <c r="R1099" s="1304"/>
      <c r="S1099" s="1304"/>
      <c r="T1099" s="1304"/>
    </row>
    <row r="1100" spans="1:20">
      <c r="A1100" s="1303"/>
      <c r="B1100" s="1322" t="s">
        <v>4448</v>
      </c>
      <c r="C1100" s="1323" t="s">
        <v>4449</v>
      </c>
      <c r="D1100" s="1324">
        <f t="shared" si="132"/>
        <v>40288</v>
      </c>
      <c r="E1100" s="1323">
        <f t="shared" si="128"/>
        <v>7.4221000000000004</v>
      </c>
      <c r="F1100" s="1323">
        <f t="shared" si="133"/>
        <v>7.9482932293319228</v>
      </c>
      <c r="G1100" s="1323">
        <f t="shared" si="129"/>
        <v>2010</v>
      </c>
      <c r="H1100" s="1323">
        <f t="shared" si="130"/>
        <v>4</v>
      </c>
      <c r="I1100" s="1323">
        <f t="shared" si="131"/>
        <v>20</v>
      </c>
      <c r="J1100" s="1323"/>
      <c r="K1100" s="1323"/>
      <c r="L1100" s="1323"/>
      <c r="M1100" s="1323"/>
      <c r="N1100" s="1323"/>
      <c r="O1100" s="1323"/>
      <c r="P1100" s="1323"/>
      <c r="Q1100" s="1323"/>
      <c r="R1100" s="1304"/>
      <c r="S1100" s="1304"/>
      <c r="T1100" s="1304"/>
    </row>
    <row r="1101" spans="1:20">
      <c r="A1101" s="1303"/>
      <c r="B1101" s="1322" t="s">
        <v>4450</v>
      </c>
      <c r="C1101" s="1323" t="s">
        <v>4451</v>
      </c>
      <c r="D1101" s="1324">
        <f t="shared" si="132"/>
        <v>40287</v>
      </c>
      <c r="E1101" s="1323">
        <f t="shared" si="128"/>
        <v>7.4363999999999999</v>
      </c>
      <c r="F1101" s="1323">
        <f t="shared" si="133"/>
        <v>7.9467691914048038</v>
      </c>
      <c r="G1101" s="1323">
        <f t="shared" si="129"/>
        <v>2010</v>
      </c>
      <c r="H1101" s="1323">
        <f t="shared" si="130"/>
        <v>4</v>
      </c>
      <c r="I1101" s="1323">
        <f t="shared" si="131"/>
        <v>19</v>
      </c>
      <c r="J1101" s="1323"/>
      <c r="K1101" s="1323"/>
      <c r="L1101" s="1323"/>
      <c r="M1101" s="1323"/>
      <c r="N1101" s="1323"/>
      <c r="O1101" s="1323"/>
      <c r="P1101" s="1323"/>
      <c r="Q1101" s="1323"/>
      <c r="R1101" s="1304"/>
      <c r="S1101" s="1304"/>
      <c r="T1101" s="1304"/>
    </row>
    <row r="1102" spans="1:20">
      <c r="A1102" s="1303"/>
      <c r="B1102" s="1322" t="s">
        <v>4452</v>
      </c>
      <c r="C1102" s="1323" t="s">
        <v>4453</v>
      </c>
      <c r="D1102" s="1324">
        <f t="shared" si="132"/>
        <v>40284</v>
      </c>
      <c r="E1102" s="1323">
        <f t="shared" si="128"/>
        <v>7.3566000000000003</v>
      </c>
      <c r="F1102" s="1323">
        <f t="shared" si="133"/>
        <v>7.9452454457028878</v>
      </c>
      <c r="G1102" s="1323">
        <f t="shared" si="129"/>
        <v>2010</v>
      </c>
      <c r="H1102" s="1323">
        <f t="shared" si="130"/>
        <v>4</v>
      </c>
      <c r="I1102" s="1323">
        <f t="shared" si="131"/>
        <v>16</v>
      </c>
      <c r="J1102" s="1323"/>
      <c r="K1102" s="1323"/>
      <c r="L1102" s="1323"/>
      <c r="M1102" s="1323"/>
      <c r="N1102" s="1323"/>
      <c r="O1102" s="1323"/>
      <c r="P1102" s="1323"/>
      <c r="Q1102" s="1323"/>
      <c r="R1102" s="1304"/>
      <c r="S1102" s="1304"/>
      <c r="T1102" s="1304"/>
    </row>
    <row r="1103" spans="1:20">
      <c r="A1103" s="1303"/>
      <c r="B1103" s="1322" t="s">
        <v>4454</v>
      </c>
      <c r="C1103" s="1323" t="s">
        <v>4314</v>
      </c>
      <c r="D1103" s="1324">
        <f t="shared" si="132"/>
        <v>40283</v>
      </c>
      <c r="E1103" s="1323">
        <f t="shared" si="128"/>
        <v>7.3413000000000004</v>
      </c>
      <c r="F1103" s="1323">
        <f t="shared" si="133"/>
        <v>7.9437219921701425</v>
      </c>
      <c r="G1103" s="1323">
        <f t="shared" si="129"/>
        <v>2010</v>
      </c>
      <c r="H1103" s="1323">
        <f t="shared" si="130"/>
        <v>4</v>
      </c>
      <c r="I1103" s="1323">
        <f t="shared" si="131"/>
        <v>15</v>
      </c>
      <c r="J1103" s="1323"/>
      <c r="K1103" s="1323"/>
      <c r="L1103" s="1323"/>
      <c r="M1103" s="1323"/>
      <c r="N1103" s="1323"/>
      <c r="O1103" s="1323"/>
      <c r="P1103" s="1323"/>
      <c r="Q1103" s="1323"/>
      <c r="R1103" s="1304"/>
      <c r="S1103" s="1304"/>
      <c r="T1103" s="1304"/>
    </row>
    <row r="1104" spans="1:20">
      <c r="A1104" s="1303"/>
      <c r="B1104" s="1322" t="s">
        <v>4455</v>
      </c>
      <c r="C1104" s="1323" t="s">
        <v>4456</v>
      </c>
      <c r="D1104" s="1324">
        <f t="shared" si="132"/>
        <v>40282</v>
      </c>
      <c r="E1104" s="1323">
        <f t="shared" si="128"/>
        <v>7.2676999999999996</v>
      </c>
      <c r="F1104" s="1323">
        <f t="shared" si="133"/>
        <v>7.942198830750546</v>
      </c>
      <c r="G1104" s="1323">
        <f t="shared" si="129"/>
        <v>2010</v>
      </c>
      <c r="H1104" s="1323">
        <f t="shared" si="130"/>
        <v>4</v>
      </c>
      <c r="I1104" s="1323">
        <f t="shared" si="131"/>
        <v>14</v>
      </c>
      <c r="J1104" s="1323"/>
      <c r="K1104" s="1323"/>
      <c r="L1104" s="1323"/>
      <c r="M1104" s="1323"/>
      <c r="N1104" s="1323"/>
      <c r="O1104" s="1323"/>
      <c r="P1104" s="1323"/>
      <c r="Q1104" s="1323"/>
      <c r="R1104" s="1304"/>
      <c r="S1104" s="1304"/>
      <c r="T1104" s="1304"/>
    </row>
    <row r="1105" spans="1:20">
      <c r="A1105" s="1303"/>
      <c r="B1105" s="1322" t="s">
        <v>4457</v>
      </c>
      <c r="C1105" s="1323" t="s">
        <v>4458</v>
      </c>
      <c r="D1105" s="1324">
        <f t="shared" si="132"/>
        <v>40281</v>
      </c>
      <c r="E1105" s="1323">
        <f t="shared" si="128"/>
        <v>7.2885999999999997</v>
      </c>
      <c r="F1105" s="1323">
        <f t="shared" si="133"/>
        <v>7.940675961388088</v>
      </c>
      <c r="G1105" s="1323">
        <f t="shared" si="129"/>
        <v>2010</v>
      </c>
      <c r="H1105" s="1323">
        <f t="shared" si="130"/>
        <v>4</v>
      </c>
      <c r="I1105" s="1323">
        <f t="shared" si="131"/>
        <v>13</v>
      </c>
      <c r="J1105" s="1323"/>
      <c r="K1105" s="1323"/>
      <c r="L1105" s="1323"/>
      <c r="M1105" s="1323"/>
      <c r="N1105" s="1323"/>
      <c r="O1105" s="1323"/>
      <c r="P1105" s="1323"/>
      <c r="Q1105" s="1323"/>
      <c r="R1105" s="1304"/>
      <c r="S1105" s="1304"/>
      <c r="T1105" s="1304"/>
    </row>
    <row r="1106" spans="1:20">
      <c r="A1106" s="1303"/>
      <c r="B1106" s="1322" t="s">
        <v>4459</v>
      </c>
      <c r="C1106" s="1323" t="s">
        <v>4460</v>
      </c>
      <c r="D1106" s="1324">
        <f t="shared" si="132"/>
        <v>40280</v>
      </c>
      <c r="E1106" s="1323">
        <f t="shared" si="128"/>
        <v>7.2553000000000001</v>
      </c>
      <c r="F1106" s="1323">
        <f t="shared" si="133"/>
        <v>7.9391533840267678</v>
      </c>
      <c r="G1106" s="1323">
        <f t="shared" si="129"/>
        <v>2010</v>
      </c>
      <c r="H1106" s="1323">
        <f t="shared" si="130"/>
        <v>4</v>
      </c>
      <c r="I1106" s="1323">
        <f t="shared" si="131"/>
        <v>12</v>
      </c>
      <c r="J1106" s="1323"/>
      <c r="K1106" s="1323"/>
      <c r="L1106" s="1323"/>
      <c r="M1106" s="1323"/>
      <c r="N1106" s="1323"/>
      <c r="O1106" s="1323"/>
      <c r="P1106" s="1323"/>
      <c r="Q1106" s="1323"/>
      <c r="R1106" s="1304"/>
      <c r="S1106" s="1304"/>
      <c r="T1106" s="1304"/>
    </row>
    <row r="1107" spans="1:20">
      <c r="A1107" s="1303"/>
      <c r="B1107" s="1322" t="s">
        <v>4461</v>
      </c>
      <c r="C1107" s="1323" t="s">
        <v>4462</v>
      </c>
      <c r="D1107" s="1324">
        <f t="shared" si="132"/>
        <v>40277</v>
      </c>
      <c r="E1107" s="1323">
        <f t="shared" si="128"/>
        <v>7.2375999999999996</v>
      </c>
      <c r="F1107" s="1323">
        <f t="shared" si="133"/>
        <v>7.9376310986105958</v>
      </c>
      <c r="G1107" s="1323">
        <f t="shared" si="129"/>
        <v>2010</v>
      </c>
      <c r="H1107" s="1323">
        <f t="shared" si="130"/>
        <v>4</v>
      </c>
      <c r="I1107" s="1323">
        <f t="shared" si="131"/>
        <v>9</v>
      </c>
      <c r="J1107" s="1323"/>
      <c r="K1107" s="1323"/>
      <c r="L1107" s="1323"/>
      <c r="M1107" s="1323"/>
      <c r="N1107" s="1323"/>
      <c r="O1107" s="1323"/>
      <c r="P1107" s="1323"/>
      <c r="Q1107" s="1323"/>
      <c r="R1107" s="1304"/>
      <c r="S1107" s="1304"/>
      <c r="T1107" s="1304"/>
    </row>
    <row r="1108" spans="1:20">
      <c r="A1108" s="1303"/>
      <c r="B1108" s="1322" t="s">
        <v>4463</v>
      </c>
      <c r="C1108" s="1323" t="s">
        <v>4464</v>
      </c>
      <c r="D1108" s="1324">
        <f t="shared" si="132"/>
        <v>40276</v>
      </c>
      <c r="E1108" s="1323">
        <f t="shared" si="128"/>
        <v>7.3577000000000004</v>
      </c>
      <c r="F1108" s="1323">
        <f t="shared" si="133"/>
        <v>7.9361091050835935</v>
      </c>
      <c r="G1108" s="1323">
        <f t="shared" si="129"/>
        <v>2010</v>
      </c>
      <c r="H1108" s="1323">
        <f t="shared" si="130"/>
        <v>4</v>
      </c>
      <c r="I1108" s="1323">
        <f t="shared" si="131"/>
        <v>8</v>
      </c>
      <c r="J1108" s="1323"/>
      <c r="K1108" s="1323"/>
      <c r="L1108" s="1323"/>
      <c r="M1108" s="1323"/>
      <c r="N1108" s="1323"/>
      <c r="O1108" s="1323"/>
      <c r="P1108" s="1323"/>
      <c r="Q1108" s="1323"/>
      <c r="R1108" s="1304"/>
      <c r="S1108" s="1304"/>
      <c r="T1108" s="1304"/>
    </row>
    <row r="1109" spans="1:20">
      <c r="A1109" s="1303"/>
      <c r="B1109" s="1322" t="s">
        <v>4465</v>
      </c>
      <c r="C1109" s="1323" t="s">
        <v>4466</v>
      </c>
      <c r="D1109" s="1324">
        <f t="shared" si="132"/>
        <v>40275</v>
      </c>
      <c r="E1109" s="1323">
        <f t="shared" si="128"/>
        <v>7.2287999999999997</v>
      </c>
      <c r="F1109" s="1323">
        <f t="shared" si="133"/>
        <v>7.9345874033897923</v>
      </c>
      <c r="G1109" s="1323">
        <f t="shared" si="129"/>
        <v>2010</v>
      </c>
      <c r="H1109" s="1323">
        <f t="shared" si="130"/>
        <v>4</v>
      </c>
      <c r="I1109" s="1323">
        <f t="shared" si="131"/>
        <v>7</v>
      </c>
      <c r="J1109" s="1323"/>
      <c r="K1109" s="1323"/>
      <c r="L1109" s="1323"/>
      <c r="M1109" s="1323"/>
      <c r="N1109" s="1323"/>
      <c r="O1109" s="1323"/>
      <c r="P1109" s="1323"/>
      <c r="Q1109" s="1323"/>
      <c r="R1109" s="1304"/>
      <c r="S1109" s="1304"/>
      <c r="T1109" s="1304"/>
    </row>
    <row r="1110" spans="1:20">
      <c r="A1110" s="1303"/>
      <c r="B1110" s="1322" t="s">
        <v>4467</v>
      </c>
      <c r="C1110" s="1323" t="s">
        <v>4468</v>
      </c>
      <c r="D1110" s="1324">
        <f t="shared" si="132"/>
        <v>40274</v>
      </c>
      <c r="E1110" s="1323">
        <f t="shared" ref="E1110:E1173" si="134">VALUE(C1111)</f>
        <v>7.2601000000000004</v>
      </c>
      <c r="F1110" s="1323">
        <f t="shared" si="133"/>
        <v>7.9330659934732353</v>
      </c>
      <c r="G1110" s="1323">
        <f t="shared" ref="G1110:G1173" si="135">YEAR(B1111)</f>
        <v>2010</v>
      </c>
      <c r="H1110" s="1323">
        <f t="shared" ref="H1110:H1173" si="136">MONTH(B1111)</f>
        <v>4</v>
      </c>
      <c r="I1110" s="1323">
        <f t="shared" ref="I1110:I1173" si="137">DAY(B1111)</f>
        <v>6</v>
      </c>
      <c r="J1110" s="1323"/>
      <c r="K1110" s="1323"/>
      <c r="L1110" s="1323"/>
      <c r="M1110" s="1323"/>
      <c r="N1110" s="1323"/>
      <c r="O1110" s="1323"/>
      <c r="P1110" s="1323"/>
      <c r="Q1110" s="1323"/>
      <c r="R1110" s="1304"/>
      <c r="S1110" s="1304"/>
      <c r="T1110" s="1304"/>
    </row>
    <row r="1111" spans="1:20">
      <c r="A1111" s="1303"/>
      <c r="B1111" s="1322" t="s">
        <v>4469</v>
      </c>
      <c r="C1111" s="1323" t="s">
        <v>4470</v>
      </c>
      <c r="D1111" s="1324">
        <f t="shared" si="132"/>
        <v>40269</v>
      </c>
      <c r="E1111" s="1323">
        <f t="shared" si="134"/>
        <v>7.2380000000000004</v>
      </c>
      <c r="F1111" s="1323">
        <f t="shared" si="133"/>
        <v>7.931544875277976</v>
      </c>
      <c r="G1111" s="1323">
        <f t="shared" si="135"/>
        <v>2010</v>
      </c>
      <c r="H1111" s="1323">
        <f t="shared" si="136"/>
        <v>4</v>
      </c>
      <c r="I1111" s="1323">
        <f t="shared" si="137"/>
        <v>1</v>
      </c>
      <c r="J1111" s="1323"/>
      <c r="K1111" s="1323"/>
      <c r="L1111" s="1323"/>
      <c r="M1111" s="1323"/>
      <c r="N1111" s="1323"/>
      <c r="O1111" s="1323"/>
      <c r="P1111" s="1323"/>
      <c r="Q1111" s="1323"/>
      <c r="R1111" s="1304"/>
      <c r="S1111" s="1304"/>
      <c r="T1111" s="1304"/>
    </row>
    <row r="1112" spans="1:20">
      <c r="A1112" s="1303"/>
      <c r="B1112" s="1322" t="s">
        <v>4471</v>
      </c>
      <c r="C1112" s="1323" t="s">
        <v>4472</v>
      </c>
      <c r="D1112" s="1324">
        <f t="shared" si="132"/>
        <v>40268</v>
      </c>
      <c r="E1112" s="1323">
        <f t="shared" si="134"/>
        <v>7.3273000000000001</v>
      </c>
      <c r="F1112" s="1323">
        <f t="shared" si="133"/>
        <v>7.9300240487480789</v>
      </c>
      <c r="G1112" s="1323">
        <f t="shared" si="135"/>
        <v>2010</v>
      </c>
      <c r="H1112" s="1323">
        <f t="shared" si="136"/>
        <v>3</v>
      </c>
      <c r="I1112" s="1323">
        <f t="shared" si="137"/>
        <v>31</v>
      </c>
      <c r="J1112" s="1323"/>
      <c r="K1112" s="1323"/>
      <c r="L1112" s="1323"/>
      <c r="M1112" s="1323"/>
      <c r="N1112" s="1323"/>
      <c r="O1112" s="1323"/>
      <c r="P1112" s="1323"/>
      <c r="Q1112" s="1323"/>
      <c r="R1112" s="1304"/>
      <c r="S1112" s="1304"/>
      <c r="T1112" s="1304"/>
    </row>
    <row r="1113" spans="1:20">
      <c r="A1113" s="1303"/>
      <c r="B1113" s="1322" t="s">
        <v>4473</v>
      </c>
      <c r="C1113" s="1323" t="s">
        <v>4474</v>
      </c>
      <c r="D1113" s="1324">
        <f t="shared" si="132"/>
        <v>40267</v>
      </c>
      <c r="E1113" s="1323">
        <f t="shared" si="134"/>
        <v>7.3996000000000004</v>
      </c>
      <c r="F1113" s="1323">
        <f t="shared" si="133"/>
        <v>7.9285035138276188</v>
      </c>
      <c r="G1113" s="1323">
        <f t="shared" si="135"/>
        <v>2010</v>
      </c>
      <c r="H1113" s="1323">
        <f t="shared" si="136"/>
        <v>3</v>
      </c>
      <c r="I1113" s="1323">
        <f t="shared" si="137"/>
        <v>30</v>
      </c>
      <c r="J1113" s="1323"/>
      <c r="K1113" s="1323"/>
      <c r="L1113" s="1323"/>
      <c r="M1113" s="1323"/>
      <c r="N1113" s="1323"/>
      <c r="O1113" s="1323"/>
      <c r="P1113" s="1323"/>
      <c r="Q1113" s="1323"/>
      <c r="R1113" s="1304"/>
      <c r="S1113" s="1304"/>
      <c r="T1113" s="1304"/>
    </row>
    <row r="1114" spans="1:20">
      <c r="A1114" s="1303"/>
      <c r="B1114" s="1322" t="s">
        <v>4475</v>
      </c>
      <c r="C1114" s="1323" t="s">
        <v>4476</v>
      </c>
      <c r="D1114" s="1324">
        <f t="shared" si="132"/>
        <v>40266</v>
      </c>
      <c r="E1114" s="1323">
        <f t="shared" si="134"/>
        <v>7.3912000000000004</v>
      </c>
      <c r="F1114" s="1323">
        <f t="shared" si="133"/>
        <v>7.9269832704606804</v>
      </c>
      <c r="G1114" s="1323">
        <f t="shared" si="135"/>
        <v>2010</v>
      </c>
      <c r="H1114" s="1323">
        <f t="shared" si="136"/>
        <v>3</v>
      </c>
      <c r="I1114" s="1323">
        <f t="shared" si="137"/>
        <v>29</v>
      </c>
      <c r="J1114" s="1323"/>
      <c r="K1114" s="1323"/>
      <c r="L1114" s="1323"/>
      <c r="M1114" s="1323"/>
      <c r="N1114" s="1323"/>
      <c r="O1114" s="1323"/>
      <c r="P1114" s="1323"/>
      <c r="Q1114" s="1323"/>
      <c r="R1114" s="1304"/>
      <c r="S1114" s="1304"/>
      <c r="T1114" s="1304"/>
    </row>
    <row r="1115" spans="1:20">
      <c r="A1115" s="1303"/>
      <c r="B1115" s="1322" t="s">
        <v>4477</v>
      </c>
      <c r="C1115" s="1323" t="s">
        <v>4478</v>
      </c>
      <c r="D1115" s="1324">
        <f t="shared" si="132"/>
        <v>40263</v>
      </c>
      <c r="E1115" s="1323">
        <f t="shared" si="134"/>
        <v>7.4420999999999999</v>
      </c>
      <c r="F1115" s="1323">
        <f t="shared" si="133"/>
        <v>7.925463318591361</v>
      </c>
      <c r="G1115" s="1323">
        <f t="shared" si="135"/>
        <v>2010</v>
      </c>
      <c r="H1115" s="1323">
        <f t="shared" si="136"/>
        <v>3</v>
      </c>
      <c r="I1115" s="1323">
        <f t="shared" si="137"/>
        <v>26</v>
      </c>
      <c r="J1115" s="1323"/>
      <c r="K1115" s="1323"/>
      <c r="L1115" s="1323"/>
      <c r="M1115" s="1323"/>
      <c r="N1115" s="1323"/>
      <c r="O1115" s="1323"/>
      <c r="P1115" s="1323"/>
      <c r="Q1115" s="1323"/>
      <c r="R1115" s="1304"/>
      <c r="S1115" s="1304"/>
      <c r="T1115" s="1304"/>
    </row>
    <row r="1116" spans="1:20">
      <c r="A1116" s="1303"/>
      <c r="B1116" s="1322" t="s">
        <v>4479</v>
      </c>
      <c r="C1116" s="1323" t="s">
        <v>4480</v>
      </c>
      <c r="D1116" s="1324">
        <f t="shared" si="132"/>
        <v>40262</v>
      </c>
      <c r="E1116" s="1323">
        <f t="shared" si="134"/>
        <v>7.3785999999999996</v>
      </c>
      <c r="F1116" s="1323">
        <f t="shared" si="133"/>
        <v>7.9239436581637674</v>
      </c>
      <c r="G1116" s="1323">
        <f t="shared" si="135"/>
        <v>2010</v>
      </c>
      <c r="H1116" s="1323">
        <f t="shared" si="136"/>
        <v>3</v>
      </c>
      <c r="I1116" s="1323">
        <f t="shared" si="137"/>
        <v>25</v>
      </c>
      <c r="J1116" s="1323"/>
      <c r="K1116" s="1323"/>
      <c r="L1116" s="1323"/>
      <c r="M1116" s="1323"/>
      <c r="N1116" s="1323"/>
      <c r="O1116" s="1323"/>
      <c r="P1116" s="1323"/>
      <c r="Q1116" s="1323"/>
      <c r="R1116" s="1304"/>
      <c r="S1116" s="1304"/>
      <c r="T1116" s="1304"/>
    </row>
    <row r="1117" spans="1:20">
      <c r="A1117" s="1303"/>
      <c r="B1117" s="1322" t="s">
        <v>4481</v>
      </c>
      <c r="C1117" s="1323" t="s">
        <v>4482</v>
      </c>
      <c r="D1117" s="1324">
        <f t="shared" si="132"/>
        <v>40261</v>
      </c>
      <c r="E1117" s="1323">
        <f t="shared" si="134"/>
        <v>7.3491</v>
      </c>
      <c r="F1117" s="1323">
        <f t="shared" si="133"/>
        <v>7.9224242891220173</v>
      </c>
      <c r="G1117" s="1323">
        <f t="shared" si="135"/>
        <v>2010</v>
      </c>
      <c r="H1117" s="1323">
        <f t="shared" si="136"/>
        <v>3</v>
      </c>
      <c r="I1117" s="1323">
        <f t="shared" si="137"/>
        <v>24</v>
      </c>
      <c r="J1117" s="1323"/>
      <c r="K1117" s="1323"/>
      <c r="L1117" s="1323"/>
      <c r="M1117" s="1323"/>
      <c r="N1117" s="1323"/>
      <c r="O1117" s="1323"/>
      <c r="P1117" s="1323"/>
      <c r="Q1117" s="1323"/>
      <c r="R1117" s="1304"/>
      <c r="S1117" s="1304"/>
      <c r="T1117" s="1304"/>
    </row>
    <row r="1118" spans="1:20">
      <c r="A1118" s="1303"/>
      <c r="B1118" s="1322" t="s">
        <v>4483</v>
      </c>
      <c r="C1118" s="1323" t="s">
        <v>4484</v>
      </c>
      <c r="D1118" s="1324">
        <f t="shared" si="132"/>
        <v>40260</v>
      </c>
      <c r="E1118" s="1323">
        <f t="shared" si="134"/>
        <v>7.3585000000000003</v>
      </c>
      <c r="F1118" s="1323">
        <f t="shared" si="133"/>
        <v>7.9209052114102398</v>
      </c>
      <c r="G1118" s="1323">
        <f t="shared" si="135"/>
        <v>2010</v>
      </c>
      <c r="H1118" s="1323">
        <f t="shared" si="136"/>
        <v>3</v>
      </c>
      <c r="I1118" s="1323">
        <f t="shared" si="137"/>
        <v>23</v>
      </c>
      <c r="J1118" s="1323"/>
      <c r="K1118" s="1323"/>
      <c r="L1118" s="1323"/>
      <c r="M1118" s="1323"/>
      <c r="N1118" s="1323"/>
      <c r="O1118" s="1323"/>
      <c r="P1118" s="1323"/>
      <c r="Q1118" s="1323"/>
      <c r="R1118" s="1304"/>
      <c r="S1118" s="1304"/>
      <c r="T1118" s="1304"/>
    </row>
    <row r="1119" spans="1:20">
      <c r="A1119" s="1303"/>
      <c r="B1119" s="1322" t="s">
        <v>4485</v>
      </c>
      <c r="C1119" s="1323" t="s">
        <v>4486</v>
      </c>
      <c r="D1119" s="1324">
        <f t="shared" si="132"/>
        <v>40256</v>
      </c>
      <c r="E1119" s="1323">
        <f t="shared" si="134"/>
        <v>7.3075999999999999</v>
      </c>
      <c r="F1119" s="1323">
        <f t="shared" si="133"/>
        <v>7.9193864249725738</v>
      </c>
      <c r="G1119" s="1323">
        <f t="shared" si="135"/>
        <v>2010</v>
      </c>
      <c r="H1119" s="1323">
        <f t="shared" si="136"/>
        <v>3</v>
      </c>
      <c r="I1119" s="1323">
        <f t="shared" si="137"/>
        <v>19</v>
      </c>
      <c r="J1119" s="1323"/>
      <c r="K1119" s="1323"/>
      <c r="L1119" s="1323"/>
      <c r="M1119" s="1323"/>
      <c r="N1119" s="1323"/>
      <c r="O1119" s="1323"/>
      <c r="P1119" s="1323"/>
      <c r="Q1119" s="1323"/>
      <c r="R1119" s="1304"/>
      <c r="S1119" s="1304"/>
      <c r="T1119" s="1304"/>
    </row>
    <row r="1120" spans="1:20">
      <c r="A1120" s="1303"/>
      <c r="B1120" s="1322" t="s">
        <v>4487</v>
      </c>
      <c r="C1120" s="1323" t="s">
        <v>4488</v>
      </c>
      <c r="D1120" s="1324">
        <f t="shared" si="132"/>
        <v>40255</v>
      </c>
      <c r="E1120" s="1323">
        <f t="shared" si="134"/>
        <v>7.3030999999999997</v>
      </c>
      <c r="F1120" s="1323">
        <f t="shared" si="133"/>
        <v>7.9178679297531689</v>
      </c>
      <c r="G1120" s="1323">
        <f t="shared" si="135"/>
        <v>2010</v>
      </c>
      <c r="H1120" s="1323">
        <f t="shared" si="136"/>
        <v>3</v>
      </c>
      <c r="I1120" s="1323">
        <f t="shared" si="137"/>
        <v>18</v>
      </c>
      <c r="J1120" s="1323"/>
      <c r="K1120" s="1323"/>
      <c r="L1120" s="1323"/>
      <c r="M1120" s="1323"/>
      <c r="N1120" s="1323"/>
      <c r="O1120" s="1323"/>
      <c r="P1120" s="1323"/>
      <c r="Q1120" s="1323"/>
      <c r="R1120" s="1304"/>
      <c r="S1120" s="1304"/>
      <c r="T1120" s="1304"/>
    </row>
    <row r="1121" spans="1:20">
      <c r="A1121" s="1303"/>
      <c r="B1121" s="1322" t="s">
        <v>4489</v>
      </c>
      <c r="C1121" s="1323" t="s">
        <v>4490</v>
      </c>
      <c r="D1121" s="1324">
        <f t="shared" si="132"/>
        <v>40254</v>
      </c>
      <c r="E1121" s="1323">
        <f t="shared" si="134"/>
        <v>7.3373999999999997</v>
      </c>
      <c r="F1121" s="1323">
        <f t="shared" si="133"/>
        <v>7.9163497256961861</v>
      </c>
      <c r="G1121" s="1323">
        <f t="shared" si="135"/>
        <v>2010</v>
      </c>
      <c r="H1121" s="1323">
        <f t="shared" si="136"/>
        <v>3</v>
      </c>
      <c r="I1121" s="1323">
        <f t="shared" si="137"/>
        <v>17</v>
      </c>
      <c r="J1121" s="1323"/>
      <c r="K1121" s="1323"/>
      <c r="L1121" s="1323"/>
      <c r="M1121" s="1323"/>
      <c r="N1121" s="1323"/>
      <c r="O1121" s="1323"/>
      <c r="P1121" s="1323"/>
      <c r="Q1121" s="1323"/>
      <c r="R1121" s="1304"/>
      <c r="S1121" s="1304"/>
      <c r="T1121" s="1304"/>
    </row>
    <row r="1122" spans="1:20">
      <c r="A1122" s="1303"/>
      <c r="B1122" s="1322" t="s">
        <v>4491</v>
      </c>
      <c r="C1122" s="1323" t="s">
        <v>4492</v>
      </c>
      <c r="D1122" s="1324">
        <f t="shared" si="132"/>
        <v>40253</v>
      </c>
      <c r="E1122" s="1323">
        <f t="shared" si="134"/>
        <v>7.4066000000000001</v>
      </c>
      <c r="F1122" s="1323">
        <f t="shared" si="133"/>
        <v>7.9148318127457964</v>
      </c>
      <c r="G1122" s="1323">
        <f t="shared" si="135"/>
        <v>2010</v>
      </c>
      <c r="H1122" s="1323">
        <f t="shared" si="136"/>
        <v>3</v>
      </c>
      <c r="I1122" s="1323">
        <f t="shared" si="137"/>
        <v>16</v>
      </c>
      <c r="J1122" s="1323"/>
      <c r="K1122" s="1323"/>
      <c r="L1122" s="1323"/>
      <c r="M1122" s="1323"/>
      <c r="N1122" s="1323"/>
      <c r="O1122" s="1323"/>
      <c r="P1122" s="1323"/>
      <c r="Q1122" s="1323"/>
      <c r="R1122" s="1304"/>
      <c r="S1122" s="1304"/>
      <c r="T1122" s="1304"/>
    </row>
    <row r="1123" spans="1:20">
      <c r="A1123" s="1303"/>
      <c r="B1123" s="1322" t="s">
        <v>4493</v>
      </c>
      <c r="C1123" s="1323" t="s">
        <v>4494</v>
      </c>
      <c r="D1123" s="1324">
        <f t="shared" si="132"/>
        <v>40252</v>
      </c>
      <c r="E1123" s="1323">
        <f t="shared" si="134"/>
        <v>7.4221000000000004</v>
      </c>
      <c r="F1123" s="1323">
        <f t="shared" si="133"/>
        <v>7.9133141908461822</v>
      </c>
      <c r="G1123" s="1323">
        <f t="shared" si="135"/>
        <v>2010</v>
      </c>
      <c r="H1123" s="1323">
        <f t="shared" si="136"/>
        <v>3</v>
      </c>
      <c r="I1123" s="1323">
        <f t="shared" si="137"/>
        <v>15</v>
      </c>
      <c r="J1123" s="1323"/>
      <c r="K1123" s="1323"/>
      <c r="L1123" s="1323"/>
      <c r="M1123" s="1323"/>
      <c r="N1123" s="1323"/>
      <c r="O1123" s="1323"/>
      <c r="P1123" s="1323"/>
      <c r="Q1123" s="1323"/>
      <c r="R1123" s="1304"/>
      <c r="S1123" s="1304"/>
      <c r="T1123" s="1304"/>
    </row>
    <row r="1124" spans="1:20">
      <c r="A1124" s="1303"/>
      <c r="B1124" s="1322" t="s">
        <v>4495</v>
      </c>
      <c r="C1124" s="1323" t="s">
        <v>4451</v>
      </c>
      <c r="D1124" s="1324">
        <f t="shared" si="132"/>
        <v>40249</v>
      </c>
      <c r="E1124" s="1323">
        <f t="shared" si="134"/>
        <v>7.4006999999999996</v>
      </c>
      <c r="F1124" s="1323">
        <f t="shared" si="133"/>
        <v>7.9117968599415356</v>
      </c>
      <c r="G1124" s="1323">
        <f t="shared" si="135"/>
        <v>2010</v>
      </c>
      <c r="H1124" s="1323">
        <f t="shared" si="136"/>
        <v>3</v>
      </c>
      <c r="I1124" s="1323">
        <f t="shared" si="137"/>
        <v>12</v>
      </c>
      <c r="J1124" s="1323"/>
      <c r="K1124" s="1323"/>
      <c r="L1124" s="1323"/>
      <c r="M1124" s="1323"/>
      <c r="N1124" s="1323"/>
      <c r="O1124" s="1323"/>
      <c r="P1124" s="1323"/>
      <c r="Q1124" s="1323"/>
      <c r="R1124" s="1304"/>
      <c r="S1124" s="1304"/>
      <c r="T1124" s="1304"/>
    </row>
    <row r="1125" spans="1:20">
      <c r="A1125" s="1303"/>
      <c r="B1125" s="1322" t="s">
        <v>4496</v>
      </c>
      <c r="C1125" s="1323" t="s">
        <v>4497</v>
      </c>
      <c r="D1125" s="1324">
        <f t="shared" si="132"/>
        <v>40248</v>
      </c>
      <c r="E1125" s="1323">
        <f t="shared" si="134"/>
        <v>7.4617000000000004</v>
      </c>
      <c r="F1125" s="1323">
        <f t="shared" si="133"/>
        <v>7.9102798199760604</v>
      </c>
      <c r="G1125" s="1323">
        <f t="shared" si="135"/>
        <v>2010</v>
      </c>
      <c r="H1125" s="1323">
        <f t="shared" si="136"/>
        <v>3</v>
      </c>
      <c r="I1125" s="1323">
        <f t="shared" si="137"/>
        <v>11</v>
      </c>
      <c r="J1125" s="1323"/>
      <c r="K1125" s="1323"/>
      <c r="L1125" s="1323"/>
      <c r="M1125" s="1323"/>
      <c r="N1125" s="1323"/>
      <c r="O1125" s="1323"/>
      <c r="P1125" s="1323"/>
      <c r="Q1125" s="1323"/>
      <c r="R1125" s="1304"/>
      <c r="S1125" s="1304"/>
      <c r="T1125" s="1304"/>
    </row>
    <row r="1126" spans="1:20">
      <c r="A1126" s="1303"/>
      <c r="B1126" s="1322" t="s">
        <v>4498</v>
      </c>
      <c r="C1126" s="1323" t="s">
        <v>4499</v>
      </c>
      <c r="D1126" s="1324">
        <f t="shared" si="132"/>
        <v>40247</v>
      </c>
      <c r="E1126" s="1323">
        <f t="shared" si="134"/>
        <v>7.4154999999999998</v>
      </c>
      <c r="F1126" s="1323">
        <f t="shared" si="133"/>
        <v>7.9087630708939711</v>
      </c>
      <c r="G1126" s="1323">
        <f t="shared" si="135"/>
        <v>2010</v>
      </c>
      <c r="H1126" s="1323">
        <f t="shared" si="136"/>
        <v>3</v>
      </c>
      <c r="I1126" s="1323">
        <f t="shared" si="137"/>
        <v>10</v>
      </c>
      <c r="J1126" s="1323"/>
      <c r="K1126" s="1323"/>
      <c r="L1126" s="1323"/>
      <c r="M1126" s="1323"/>
      <c r="N1126" s="1323"/>
      <c r="O1126" s="1323"/>
      <c r="P1126" s="1323"/>
      <c r="Q1126" s="1323"/>
      <c r="R1126" s="1304"/>
      <c r="S1126" s="1304"/>
      <c r="T1126" s="1304"/>
    </row>
    <row r="1127" spans="1:20">
      <c r="A1127" s="1303"/>
      <c r="B1127" s="1322" t="s">
        <v>4500</v>
      </c>
      <c r="C1127" s="1323" t="s">
        <v>4501</v>
      </c>
      <c r="D1127" s="1324">
        <f t="shared" si="132"/>
        <v>40246</v>
      </c>
      <c r="E1127" s="1323">
        <f t="shared" si="134"/>
        <v>7.4073000000000002</v>
      </c>
      <c r="F1127" s="1323">
        <f t="shared" si="133"/>
        <v>7.9072466126394918</v>
      </c>
      <c r="G1127" s="1323">
        <f t="shared" si="135"/>
        <v>2010</v>
      </c>
      <c r="H1127" s="1323">
        <f t="shared" si="136"/>
        <v>3</v>
      </c>
      <c r="I1127" s="1323">
        <f t="shared" si="137"/>
        <v>9</v>
      </c>
      <c r="J1127" s="1323"/>
      <c r="K1127" s="1323"/>
      <c r="L1127" s="1323"/>
      <c r="M1127" s="1323"/>
      <c r="N1127" s="1323"/>
      <c r="O1127" s="1323"/>
      <c r="P1127" s="1323"/>
      <c r="Q1127" s="1323"/>
      <c r="R1127" s="1304"/>
      <c r="S1127" s="1304"/>
      <c r="T1127" s="1304"/>
    </row>
    <row r="1128" spans="1:20">
      <c r="A1128" s="1303"/>
      <c r="B1128" s="1322" t="s">
        <v>4502</v>
      </c>
      <c r="C1128" s="1323" t="s">
        <v>4503</v>
      </c>
      <c r="D1128" s="1324">
        <f t="shared" si="132"/>
        <v>40245</v>
      </c>
      <c r="E1128" s="1323">
        <f t="shared" si="134"/>
        <v>7.3977000000000004</v>
      </c>
      <c r="F1128" s="1323">
        <f t="shared" si="133"/>
        <v>7.9057304451568591</v>
      </c>
      <c r="G1128" s="1323">
        <f t="shared" si="135"/>
        <v>2010</v>
      </c>
      <c r="H1128" s="1323">
        <f t="shared" si="136"/>
        <v>3</v>
      </c>
      <c r="I1128" s="1323">
        <f t="shared" si="137"/>
        <v>8</v>
      </c>
      <c r="J1128" s="1323"/>
      <c r="K1128" s="1323"/>
      <c r="L1128" s="1323"/>
      <c r="M1128" s="1323"/>
      <c r="N1128" s="1323"/>
      <c r="O1128" s="1323"/>
      <c r="P1128" s="1323"/>
      <c r="Q1128" s="1323"/>
      <c r="R1128" s="1304"/>
      <c r="S1128" s="1304"/>
      <c r="T1128" s="1304"/>
    </row>
    <row r="1129" spans="1:20">
      <c r="A1129" s="1303"/>
      <c r="B1129" s="1322" t="s">
        <v>4504</v>
      </c>
      <c r="C1129" s="1323" t="s">
        <v>4505</v>
      </c>
      <c r="D1129" s="1324">
        <f t="shared" si="132"/>
        <v>40242</v>
      </c>
      <c r="E1129" s="1323">
        <f t="shared" si="134"/>
        <v>7.4637000000000002</v>
      </c>
      <c r="F1129" s="1323">
        <f t="shared" si="133"/>
        <v>7.9042145683903184</v>
      </c>
      <c r="G1129" s="1323">
        <f t="shared" si="135"/>
        <v>2010</v>
      </c>
      <c r="H1129" s="1323">
        <f t="shared" si="136"/>
        <v>3</v>
      </c>
      <c r="I1129" s="1323">
        <f t="shared" si="137"/>
        <v>5</v>
      </c>
      <c r="J1129" s="1323"/>
      <c r="K1129" s="1323"/>
      <c r="L1129" s="1323"/>
      <c r="M1129" s="1323"/>
      <c r="N1129" s="1323"/>
      <c r="O1129" s="1323"/>
      <c r="P1129" s="1323"/>
      <c r="Q1129" s="1323"/>
      <c r="R1129" s="1304"/>
      <c r="S1129" s="1304"/>
      <c r="T1129" s="1304"/>
    </row>
    <row r="1130" spans="1:20">
      <c r="A1130" s="1303"/>
      <c r="B1130" s="1322" t="s">
        <v>4506</v>
      </c>
      <c r="C1130" s="1323" t="s">
        <v>4507</v>
      </c>
      <c r="D1130" s="1324">
        <f t="shared" si="132"/>
        <v>40241</v>
      </c>
      <c r="E1130" s="1323">
        <f t="shared" si="134"/>
        <v>7.5141999999999998</v>
      </c>
      <c r="F1130" s="1323">
        <f t="shared" si="133"/>
        <v>7.9026989822841269</v>
      </c>
      <c r="G1130" s="1323">
        <f t="shared" si="135"/>
        <v>2010</v>
      </c>
      <c r="H1130" s="1323">
        <f t="shared" si="136"/>
        <v>3</v>
      </c>
      <c r="I1130" s="1323">
        <f t="shared" si="137"/>
        <v>4</v>
      </c>
      <c r="J1130" s="1323"/>
      <c r="K1130" s="1323"/>
      <c r="L1130" s="1323"/>
      <c r="M1130" s="1323"/>
      <c r="N1130" s="1323"/>
      <c r="O1130" s="1323"/>
      <c r="P1130" s="1323"/>
      <c r="Q1130" s="1323"/>
      <c r="R1130" s="1304"/>
      <c r="S1130" s="1304"/>
      <c r="T1130" s="1304"/>
    </row>
    <row r="1131" spans="1:20">
      <c r="A1131" s="1303"/>
      <c r="B1131" s="1322" t="s">
        <v>4508</v>
      </c>
      <c r="C1131" s="1323" t="s">
        <v>4509</v>
      </c>
      <c r="D1131" s="1324">
        <f t="shared" si="132"/>
        <v>40240</v>
      </c>
      <c r="E1131" s="1323">
        <f t="shared" si="134"/>
        <v>7.5816999999999997</v>
      </c>
      <c r="F1131" s="1323">
        <f t="shared" si="133"/>
        <v>7.9011836867825522</v>
      </c>
      <c r="G1131" s="1323">
        <f t="shared" si="135"/>
        <v>2010</v>
      </c>
      <c r="H1131" s="1323">
        <f t="shared" si="136"/>
        <v>3</v>
      </c>
      <c r="I1131" s="1323">
        <f t="shared" si="137"/>
        <v>3</v>
      </c>
      <c r="J1131" s="1323"/>
      <c r="K1131" s="1323"/>
      <c r="L1131" s="1323"/>
      <c r="M1131" s="1323"/>
      <c r="N1131" s="1323"/>
      <c r="O1131" s="1323"/>
      <c r="P1131" s="1323"/>
      <c r="Q1131" s="1323"/>
      <c r="R1131" s="1304"/>
      <c r="S1131" s="1304"/>
      <c r="T1131" s="1304"/>
    </row>
    <row r="1132" spans="1:20">
      <c r="A1132" s="1303"/>
      <c r="B1132" s="1322" t="s">
        <v>4510</v>
      </c>
      <c r="C1132" s="1323" t="s">
        <v>4511</v>
      </c>
      <c r="D1132" s="1324">
        <f t="shared" si="132"/>
        <v>40239</v>
      </c>
      <c r="E1132" s="1323">
        <f t="shared" si="134"/>
        <v>7.6528</v>
      </c>
      <c r="F1132" s="1323">
        <f t="shared" si="133"/>
        <v>7.8996686818298727</v>
      </c>
      <c r="G1132" s="1323">
        <f t="shared" si="135"/>
        <v>2010</v>
      </c>
      <c r="H1132" s="1323">
        <f t="shared" si="136"/>
        <v>3</v>
      </c>
      <c r="I1132" s="1323">
        <f t="shared" si="137"/>
        <v>2</v>
      </c>
      <c r="J1132" s="1323"/>
      <c r="K1132" s="1323"/>
      <c r="L1132" s="1323"/>
      <c r="M1132" s="1323"/>
      <c r="N1132" s="1323"/>
      <c r="O1132" s="1323"/>
      <c r="P1132" s="1323"/>
      <c r="Q1132" s="1323"/>
      <c r="R1132" s="1304"/>
      <c r="S1132" s="1304"/>
      <c r="T1132" s="1304"/>
    </row>
    <row r="1133" spans="1:20">
      <c r="A1133" s="1303"/>
      <c r="B1133" s="1322" t="s">
        <v>4512</v>
      </c>
      <c r="C1133" s="1323" t="s">
        <v>4513</v>
      </c>
      <c r="D1133" s="1324">
        <f t="shared" si="132"/>
        <v>40238</v>
      </c>
      <c r="E1133" s="1323">
        <f t="shared" si="134"/>
        <v>7.6776</v>
      </c>
      <c r="F1133" s="1323">
        <f t="shared" si="133"/>
        <v>7.8981539673703764</v>
      </c>
      <c r="G1133" s="1323">
        <f t="shared" si="135"/>
        <v>2010</v>
      </c>
      <c r="H1133" s="1323">
        <f t="shared" si="136"/>
        <v>3</v>
      </c>
      <c r="I1133" s="1323">
        <f t="shared" si="137"/>
        <v>1</v>
      </c>
      <c r="J1133" s="1323"/>
      <c r="K1133" s="1323"/>
      <c r="L1133" s="1323"/>
      <c r="M1133" s="1323"/>
      <c r="N1133" s="1323"/>
      <c r="O1133" s="1323"/>
      <c r="P1133" s="1323"/>
      <c r="Q1133" s="1323"/>
      <c r="R1133" s="1304"/>
      <c r="S1133" s="1304"/>
      <c r="T1133" s="1304"/>
    </row>
    <row r="1134" spans="1:20">
      <c r="A1134" s="1303"/>
      <c r="B1134" s="1322" t="s">
        <v>4514</v>
      </c>
      <c r="C1134" s="1323" t="s">
        <v>4515</v>
      </c>
      <c r="D1134" s="1324">
        <f t="shared" si="132"/>
        <v>40235</v>
      </c>
      <c r="E1134" s="1323">
        <f t="shared" si="134"/>
        <v>7.7858999999999998</v>
      </c>
      <c r="F1134" s="1323">
        <f t="shared" si="133"/>
        <v>7.896639543348364</v>
      </c>
      <c r="G1134" s="1323">
        <f t="shared" si="135"/>
        <v>2010</v>
      </c>
      <c r="H1134" s="1323">
        <f t="shared" si="136"/>
        <v>2</v>
      </c>
      <c r="I1134" s="1323">
        <f t="shared" si="137"/>
        <v>26</v>
      </c>
      <c r="J1134" s="1323"/>
      <c r="K1134" s="1323"/>
      <c r="L1134" s="1323"/>
      <c r="M1134" s="1323"/>
      <c r="N1134" s="1323"/>
      <c r="O1134" s="1323"/>
      <c r="P1134" s="1323"/>
      <c r="Q1134" s="1323"/>
      <c r="R1134" s="1304"/>
      <c r="S1134" s="1304"/>
      <c r="T1134" s="1304"/>
    </row>
    <row r="1135" spans="1:20">
      <c r="A1135" s="1303"/>
      <c r="B1135" s="1322" t="s">
        <v>4516</v>
      </c>
      <c r="C1135" s="1323" t="s">
        <v>4517</v>
      </c>
      <c r="D1135" s="1324">
        <f t="shared" si="132"/>
        <v>40234</v>
      </c>
      <c r="E1135" s="1323">
        <f t="shared" si="134"/>
        <v>7.7973999999999997</v>
      </c>
      <c r="F1135" s="1323">
        <f t="shared" si="133"/>
        <v>7.8951254097081458</v>
      </c>
      <c r="G1135" s="1323">
        <f t="shared" si="135"/>
        <v>2010</v>
      </c>
      <c r="H1135" s="1323">
        <f t="shared" si="136"/>
        <v>2</v>
      </c>
      <c r="I1135" s="1323">
        <f t="shared" si="137"/>
        <v>25</v>
      </c>
      <c r="J1135" s="1323"/>
      <c r="K1135" s="1323"/>
      <c r="L1135" s="1323"/>
      <c r="M1135" s="1323"/>
      <c r="N1135" s="1323"/>
      <c r="O1135" s="1323"/>
      <c r="P1135" s="1323"/>
      <c r="Q1135" s="1323"/>
      <c r="R1135" s="1304"/>
      <c r="S1135" s="1304"/>
      <c r="T1135" s="1304"/>
    </row>
    <row r="1136" spans="1:20">
      <c r="A1136" s="1303"/>
      <c r="B1136" s="1322" t="s">
        <v>4518</v>
      </c>
      <c r="C1136" s="1323" t="s">
        <v>4519</v>
      </c>
      <c r="D1136" s="1324">
        <f t="shared" si="132"/>
        <v>40233</v>
      </c>
      <c r="E1136" s="1323">
        <f t="shared" si="134"/>
        <v>7.7698</v>
      </c>
      <c r="F1136" s="1323">
        <f t="shared" si="133"/>
        <v>7.8936115663940427</v>
      </c>
      <c r="G1136" s="1323">
        <f t="shared" si="135"/>
        <v>2010</v>
      </c>
      <c r="H1136" s="1323">
        <f t="shared" si="136"/>
        <v>2</v>
      </c>
      <c r="I1136" s="1323">
        <f t="shared" si="137"/>
        <v>24</v>
      </c>
      <c r="J1136" s="1323"/>
      <c r="K1136" s="1323"/>
      <c r="L1136" s="1323"/>
      <c r="M1136" s="1323"/>
      <c r="N1136" s="1323"/>
      <c r="O1136" s="1323"/>
      <c r="P1136" s="1323"/>
      <c r="Q1136" s="1323"/>
      <c r="R1136" s="1304"/>
      <c r="S1136" s="1304"/>
      <c r="T1136" s="1304"/>
    </row>
    <row r="1137" spans="1:20">
      <c r="A1137" s="1303"/>
      <c r="B1137" s="1322" t="s">
        <v>4520</v>
      </c>
      <c r="C1137" s="1323" t="s">
        <v>4521</v>
      </c>
      <c r="D1137" s="1324">
        <f t="shared" si="132"/>
        <v>40232</v>
      </c>
      <c r="E1137" s="1323">
        <f t="shared" si="134"/>
        <v>7.6757</v>
      </c>
      <c r="F1137" s="1323">
        <f t="shared" si="133"/>
        <v>7.8920980133503864</v>
      </c>
      <c r="G1137" s="1323">
        <f t="shared" si="135"/>
        <v>2010</v>
      </c>
      <c r="H1137" s="1323">
        <f t="shared" si="136"/>
        <v>2</v>
      </c>
      <c r="I1137" s="1323">
        <f t="shared" si="137"/>
        <v>23</v>
      </c>
      <c r="J1137" s="1323"/>
      <c r="K1137" s="1323"/>
      <c r="L1137" s="1323"/>
      <c r="M1137" s="1323"/>
      <c r="N1137" s="1323"/>
      <c r="O1137" s="1323"/>
      <c r="P1137" s="1323"/>
      <c r="Q1137" s="1323"/>
      <c r="R1137" s="1304"/>
      <c r="S1137" s="1304"/>
      <c r="T1137" s="1304"/>
    </row>
    <row r="1138" spans="1:20">
      <c r="A1138" s="1303"/>
      <c r="B1138" s="1322" t="s">
        <v>4522</v>
      </c>
      <c r="C1138" s="1323" t="s">
        <v>4523</v>
      </c>
      <c r="D1138" s="1324">
        <f t="shared" si="132"/>
        <v>40231</v>
      </c>
      <c r="E1138" s="1323">
        <f t="shared" si="134"/>
        <v>7.6497000000000002</v>
      </c>
      <c r="F1138" s="1323">
        <f t="shared" si="133"/>
        <v>7.8905847505215192</v>
      </c>
      <c r="G1138" s="1323">
        <f t="shared" si="135"/>
        <v>2010</v>
      </c>
      <c r="H1138" s="1323">
        <f t="shared" si="136"/>
        <v>2</v>
      </c>
      <c r="I1138" s="1323">
        <f t="shared" si="137"/>
        <v>22</v>
      </c>
      <c r="J1138" s="1323"/>
      <c r="K1138" s="1323"/>
      <c r="L1138" s="1323"/>
      <c r="M1138" s="1323"/>
      <c r="N1138" s="1323"/>
      <c r="O1138" s="1323"/>
      <c r="P1138" s="1323"/>
      <c r="Q1138" s="1323"/>
      <c r="R1138" s="1304"/>
      <c r="S1138" s="1304"/>
      <c r="T1138" s="1304"/>
    </row>
    <row r="1139" spans="1:20">
      <c r="A1139" s="1303"/>
      <c r="B1139" s="1322" t="s">
        <v>4524</v>
      </c>
      <c r="C1139" s="1323" t="s">
        <v>4525</v>
      </c>
      <c r="D1139" s="1324">
        <f t="shared" si="132"/>
        <v>40228</v>
      </c>
      <c r="E1139" s="1323">
        <f t="shared" si="134"/>
        <v>7.6890999999999998</v>
      </c>
      <c r="F1139" s="1323">
        <f t="shared" si="133"/>
        <v>7.889071777851794</v>
      </c>
      <c r="G1139" s="1323">
        <f t="shared" si="135"/>
        <v>2010</v>
      </c>
      <c r="H1139" s="1323">
        <f t="shared" si="136"/>
        <v>2</v>
      </c>
      <c r="I1139" s="1323">
        <f t="shared" si="137"/>
        <v>19</v>
      </c>
      <c r="J1139" s="1323"/>
      <c r="K1139" s="1323"/>
      <c r="L1139" s="1323"/>
      <c r="M1139" s="1323"/>
      <c r="N1139" s="1323"/>
      <c r="O1139" s="1323"/>
      <c r="P1139" s="1323"/>
      <c r="Q1139" s="1323"/>
      <c r="R1139" s="1304"/>
      <c r="S1139" s="1304"/>
      <c r="T1139" s="1304"/>
    </row>
    <row r="1140" spans="1:20">
      <c r="A1140" s="1303"/>
      <c r="B1140" s="1322" t="s">
        <v>4526</v>
      </c>
      <c r="C1140" s="1323" t="s">
        <v>4527</v>
      </c>
      <c r="D1140" s="1324">
        <f t="shared" si="132"/>
        <v>40227</v>
      </c>
      <c r="E1140" s="1323">
        <f t="shared" si="134"/>
        <v>7.6460999999999997</v>
      </c>
      <c r="F1140" s="1323">
        <f t="shared" si="133"/>
        <v>7.8875590952855745</v>
      </c>
      <c r="G1140" s="1323">
        <f t="shared" si="135"/>
        <v>2010</v>
      </c>
      <c r="H1140" s="1323">
        <f t="shared" si="136"/>
        <v>2</v>
      </c>
      <c r="I1140" s="1323">
        <f t="shared" si="137"/>
        <v>18</v>
      </c>
      <c r="J1140" s="1323"/>
      <c r="K1140" s="1323"/>
      <c r="L1140" s="1323"/>
      <c r="M1140" s="1323"/>
      <c r="N1140" s="1323"/>
      <c r="O1140" s="1323"/>
      <c r="P1140" s="1323"/>
      <c r="Q1140" s="1323"/>
      <c r="R1140" s="1304"/>
      <c r="S1140" s="1304"/>
      <c r="T1140" s="1304"/>
    </row>
    <row r="1141" spans="1:20">
      <c r="A1141" s="1303"/>
      <c r="B1141" s="1322" t="s">
        <v>4528</v>
      </c>
      <c r="C1141" s="1323" t="s">
        <v>4529</v>
      </c>
      <c r="D1141" s="1324">
        <f t="shared" si="132"/>
        <v>40226</v>
      </c>
      <c r="E1141" s="1323">
        <f t="shared" si="134"/>
        <v>7.6618000000000004</v>
      </c>
      <c r="F1141" s="1323">
        <f t="shared" si="133"/>
        <v>7.886046702767235</v>
      </c>
      <c r="G1141" s="1323">
        <f t="shared" si="135"/>
        <v>2010</v>
      </c>
      <c r="H1141" s="1323">
        <f t="shared" si="136"/>
        <v>2</v>
      </c>
      <c r="I1141" s="1323">
        <f t="shared" si="137"/>
        <v>17</v>
      </c>
      <c r="J1141" s="1323"/>
      <c r="K1141" s="1323"/>
      <c r="L1141" s="1323"/>
      <c r="M1141" s="1323"/>
      <c r="N1141" s="1323"/>
      <c r="O1141" s="1323"/>
      <c r="P1141" s="1323"/>
      <c r="Q1141" s="1323"/>
      <c r="R1141" s="1304"/>
      <c r="S1141" s="1304"/>
      <c r="T1141" s="1304"/>
    </row>
    <row r="1142" spans="1:20">
      <c r="A1142" s="1303"/>
      <c r="B1142" s="1322" t="s">
        <v>4530</v>
      </c>
      <c r="C1142" s="1323" t="s">
        <v>4531</v>
      </c>
      <c r="D1142" s="1324">
        <f t="shared" si="132"/>
        <v>40225</v>
      </c>
      <c r="E1142" s="1323">
        <f t="shared" si="134"/>
        <v>7.6882000000000001</v>
      </c>
      <c r="F1142" s="1323">
        <f t="shared" si="133"/>
        <v>7.8845346002411612</v>
      </c>
      <c r="G1142" s="1323">
        <f t="shared" si="135"/>
        <v>2010</v>
      </c>
      <c r="H1142" s="1323">
        <f t="shared" si="136"/>
        <v>2</v>
      </c>
      <c r="I1142" s="1323">
        <f t="shared" si="137"/>
        <v>16</v>
      </c>
      <c r="J1142" s="1323"/>
      <c r="K1142" s="1323"/>
      <c r="L1142" s="1323"/>
      <c r="M1142" s="1323"/>
      <c r="N1142" s="1323"/>
      <c r="O1142" s="1323"/>
      <c r="P1142" s="1323"/>
      <c r="Q1142" s="1323"/>
      <c r="R1142" s="1304"/>
      <c r="S1142" s="1304"/>
      <c r="T1142" s="1304"/>
    </row>
    <row r="1143" spans="1:20">
      <c r="A1143" s="1303"/>
      <c r="B1143" s="1322" t="s">
        <v>4532</v>
      </c>
      <c r="C1143" s="1323" t="s">
        <v>4533</v>
      </c>
      <c r="D1143" s="1324">
        <f t="shared" si="132"/>
        <v>40224</v>
      </c>
      <c r="E1143" s="1323">
        <f t="shared" si="134"/>
        <v>7.7191000000000001</v>
      </c>
      <c r="F1143" s="1323">
        <f t="shared" si="133"/>
        <v>7.8830227876517478</v>
      </c>
      <c r="G1143" s="1323">
        <f t="shared" si="135"/>
        <v>2010</v>
      </c>
      <c r="H1143" s="1323">
        <f t="shared" si="136"/>
        <v>2</v>
      </c>
      <c r="I1143" s="1323">
        <f t="shared" si="137"/>
        <v>15</v>
      </c>
      <c r="J1143" s="1323"/>
      <c r="K1143" s="1323"/>
      <c r="L1143" s="1323"/>
      <c r="M1143" s="1323"/>
      <c r="N1143" s="1323"/>
      <c r="O1143" s="1323"/>
      <c r="P1143" s="1323"/>
      <c r="Q1143" s="1323"/>
      <c r="R1143" s="1304"/>
      <c r="S1143" s="1304"/>
      <c r="T1143" s="1304"/>
    </row>
    <row r="1144" spans="1:20">
      <c r="A1144" s="1303"/>
      <c r="B1144" s="1322" t="s">
        <v>4534</v>
      </c>
      <c r="C1144" s="1323" t="s">
        <v>4535</v>
      </c>
      <c r="D1144" s="1324">
        <f t="shared" si="132"/>
        <v>40221</v>
      </c>
      <c r="E1144" s="1323">
        <f t="shared" si="134"/>
        <v>7.6487999999999996</v>
      </c>
      <c r="F1144" s="1323">
        <f t="shared" si="133"/>
        <v>7.881511264943402</v>
      </c>
      <c r="G1144" s="1323">
        <f t="shared" si="135"/>
        <v>2010</v>
      </c>
      <c r="H1144" s="1323">
        <f t="shared" si="136"/>
        <v>2</v>
      </c>
      <c r="I1144" s="1323">
        <f t="shared" si="137"/>
        <v>12</v>
      </c>
      <c r="J1144" s="1323"/>
      <c r="K1144" s="1323"/>
      <c r="L1144" s="1323"/>
      <c r="M1144" s="1323"/>
      <c r="N1144" s="1323"/>
      <c r="O1144" s="1323"/>
      <c r="P1144" s="1323"/>
      <c r="Q1144" s="1323"/>
      <c r="R1144" s="1304"/>
      <c r="S1144" s="1304"/>
      <c r="T1144" s="1304"/>
    </row>
    <row r="1145" spans="1:20">
      <c r="A1145" s="1303"/>
      <c r="B1145" s="1322" t="s">
        <v>4536</v>
      </c>
      <c r="C1145" s="1323" t="s">
        <v>4537</v>
      </c>
      <c r="D1145" s="1324">
        <f t="shared" si="132"/>
        <v>40220</v>
      </c>
      <c r="E1145" s="1323">
        <f t="shared" si="134"/>
        <v>7.6779999999999999</v>
      </c>
      <c r="F1145" s="1323">
        <f t="shared" si="133"/>
        <v>7.8800000320605408</v>
      </c>
      <c r="G1145" s="1323">
        <f t="shared" si="135"/>
        <v>2010</v>
      </c>
      <c r="H1145" s="1323">
        <f t="shared" si="136"/>
        <v>2</v>
      </c>
      <c r="I1145" s="1323">
        <f t="shared" si="137"/>
        <v>11</v>
      </c>
      <c r="J1145" s="1323"/>
      <c r="K1145" s="1323"/>
      <c r="L1145" s="1323"/>
      <c r="M1145" s="1323"/>
      <c r="N1145" s="1323"/>
      <c r="O1145" s="1323"/>
      <c r="P1145" s="1323"/>
      <c r="Q1145" s="1323"/>
      <c r="R1145" s="1304"/>
      <c r="S1145" s="1304"/>
      <c r="T1145" s="1304"/>
    </row>
    <row r="1146" spans="1:20">
      <c r="A1146" s="1303"/>
      <c r="B1146" s="1322" t="s">
        <v>4538</v>
      </c>
      <c r="C1146" s="1323" t="s">
        <v>4539</v>
      </c>
      <c r="D1146" s="1324">
        <f t="shared" si="132"/>
        <v>40219</v>
      </c>
      <c r="E1146" s="1323">
        <f t="shared" si="134"/>
        <v>7.6974999999999998</v>
      </c>
      <c r="F1146" s="1323">
        <f t="shared" si="133"/>
        <v>7.8784890889475916</v>
      </c>
      <c r="G1146" s="1323">
        <f t="shared" si="135"/>
        <v>2010</v>
      </c>
      <c r="H1146" s="1323">
        <f t="shared" si="136"/>
        <v>2</v>
      </c>
      <c r="I1146" s="1323">
        <f t="shared" si="137"/>
        <v>10</v>
      </c>
      <c r="J1146" s="1323"/>
      <c r="K1146" s="1323"/>
      <c r="L1146" s="1323"/>
      <c r="M1146" s="1323"/>
      <c r="N1146" s="1323"/>
      <c r="O1146" s="1323"/>
      <c r="P1146" s="1323"/>
      <c r="Q1146" s="1323"/>
      <c r="R1146" s="1304"/>
      <c r="S1146" s="1304"/>
      <c r="T1146" s="1304"/>
    </row>
    <row r="1147" spans="1:20">
      <c r="A1147" s="1303"/>
      <c r="B1147" s="1322" t="s">
        <v>4540</v>
      </c>
      <c r="C1147" s="1323" t="s">
        <v>4541</v>
      </c>
      <c r="D1147" s="1324">
        <f t="shared" si="132"/>
        <v>40218</v>
      </c>
      <c r="E1147" s="1323">
        <f t="shared" si="134"/>
        <v>7.6878000000000002</v>
      </c>
      <c r="F1147" s="1323">
        <f t="shared" si="133"/>
        <v>7.8769784355489927</v>
      </c>
      <c r="G1147" s="1323">
        <f t="shared" si="135"/>
        <v>2010</v>
      </c>
      <c r="H1147" s="1323">
        <f t="shared" si="136"/>
        <v>2</v>
      </c>
      <c r="I1147" s="1323">
        <f t="shared" si="137"/>
        <v>9</v>
      </c>
      <c r="J1147" s="1323"/>
      <c r="K1147" s="1323"/>
      <c r="L1147" s="1323"/>
      <c r="M1147" s="1323"/>
      <c r="N1147" s="1323"/>
      <c r="O1147" s="1323"/>
      <c r="P1147" s="1323"/>
      <c r="Q1147" s="1323"/>
      <c r="R1147" s="1304"/>
      <c r="S1147" s="1304"/>
      <c r="T1147" s="1304"/>
    </row>
    <row r="1148" spans="1:20">
      <c r="A1148" s="1303"/>
      <c r="B1148" s="1322" t="s">
        <v>4542</v>
      </c>
      <c r="C1148" s="1323" t="s">
        <v>4543</v>
      </c>
      <c r="D1148" s="1324">
        <f t="shared" si="132"/>
        <v>40217</v>
      </c>
      <c r="E1148" s="1323">
        <f t="shared" si="134"/>
        <v>7.7172000000000001</v>
      </c>
      <c r="F1148" s="1323">
        <f t="shared" si="133"/>
        <v>7.8754680718091938</v>
      </c>
      <c r="G1148" s="1323">
        <f t="shared" si="135"/>
        <v>2010</v>
      </c>
      <c r="H1148" s="1323">
        <f t="shared" si="136"/>
        <v>2</v>
      </c>
      <c r="I1148" s="1323">
        <f t="shared" si="137"/>
        <v>8</v>
      </c>
      <c r="J1148" s="1323"/>
      <c r="K1148" s="1323"/>
      <c r="L1148" s="1323"/>
      <c r="M1148" s="1323"/>
      <c r="N1148" s="1323"/>
      <c r="O1148" s="1323"/>
      <c r="P1148" s="1323"/>
      <c r="Q1148" s="1323"/>
      <c r="R1148" s="1304"/>
      <c r="S1148" s="1304"/>
      <c r="T1148" s="1304"/>
    </row>
    <row r="1149" spans="1:20">
      <c r="A1149" s="1303"/>
      <c r="B1149" s="1322" t="s">
        <v>4544</v>
      </c>
      <c r="C1149" s="1323" t="s">
        <v>4545</v>
      </c>
      <c r="D1149" s="1324">
        <f t="shared" si="132"/>
        <v>40214</v>
      </c>
      <c r="E1149" s="1323">
        <f t="shared" si="134"/>
        <v>7.7088999999999999</v>
      </c>
      <c r="F1149" s="1323">
        <f t="shared" si="133"/>
        <v>7.8739579976726537</v>
      </c>
      <c r="G1149" s="1323">
        <f t="shared" si="135"/>
        <v>2010</v>
      </c>
      <c r="H1149" s="1323">
        <f t="shared" si="136"/>
        <v>2</v>
      </c>
      <c r="I1149" s="1323">
        <f t="shared" si="137"/>
        <v>5</v>
      </c>
      <c r="J1149" s="1323"/>
      <c r="K1149" s="1323"/>
      <c r="L1149" s="1323"/>
      <c r="M1149" s="1323"/>
      <c r="N1149" s="1323"/>
      <c r="O1149" s="1323"/>
      <c r="P1149" s="1323"/>
      <c r="Q1149" s="1323"/>
      <c r="R1149" s="1304"/>
      <c r="S1149" s="1304"/>
      <c r="T1149" s="1304"/>
    </row>
    <row r="1150" spans="1:20">
      <c r="A1150" s="1303"/>
      <c r="B1150" s="1322" t="s">
        <v>4546</v>
      </c>
      <c r="C1150" s="1323" t="s">
        <v>4547</v>
      </c>
      <c r="D1150" s="1324">
        <f t="shared" si="132"/>
        <v>40213</v>
      </c>
      <c r="E1150" s="1323">
        <f t="shared" si="134"/>
        <v>7.5289000000000001</v>
      </c>
      <c r="F1150" s="1323">
        <f t="shared" si="133"/>
        <v>7.8724482130838425</v>
      </c>
      <c r="G1150" s="1323">
        <f t="shared" si="135"/>
        <v>2010</v>
      </c>
      <c r="H1150" s="1323">
        <f t="shared" si="136"/>
        <v>2</v>
      </c>
      <c r="I1150" s="1323">
        <f t="shared" si="137"/>
        <v>4</v>
      </c>
      <c r="J1150" s="1323"/>
      <c r="K1150" s="1323"/>
      <c r="L1150" s="1323"/>
      <c r="M1150" s="1323"/>
      <c r="N1150" s="1323"/>
      <c r="O1150" s="1323"/>
      <c r="P1150" s="1323"/>
      <c r="Q1150" s="1323"/>
      <c r="R1150" s="1304"/>
      <c r="S1150" s="1304"/>
      <c r="T1150" s="1304"/>
    </row>
    <row r="1151" spans="1:20">
      <c r="A1151" s="1303"/>
      <c r="B1151" s="1322" t="s">
        <v>4548</v>
      </c>
      <c r="C1151" s="1323" t="s">
        <v>4549</v>
      </c>
      <c r="D1151" s="1324">
        <f t="shared" si="132"/>
        <v>40212</v>
      </c>
      <c r="E1151" s="1323">
        <f t="shared" si="134"/>
        <v>7.4302999999999999</v>
      </c>
      <c r="F1151" s="1323">
        <f t="shared" si="133"/>
        <v>7.8709387179872419</v>
      </c>
      <c r="G1151" s="1323">
        <f t="shared" si="135"/>
        <v>2010</v>
      </c>
      <c r="H1151" s="1323">
        <f t="shared" si="136"/>
        <v>2</v>
      </c>
      <c r="I1151" s="1323">
        <f t="shared" si="137"/>
        <v>3</v>
      </c>
      <c r="J1151" s="1323"/>
      <c r="K1151" s="1323"/>
      <c r="L1151" s="1323"/>
      <c r="M1151" s="1323"/>
      <c r="N1151" s="1323"/>
      <c r="O1151" s="1323"/>
      <c r="P1151" s="1323"/>
      <c r="Q1151" s="1323"/>
      <c r="R1151" s="1304"/>
      <c r="S1151" s="1304"/>
      <c r="T1151" s="1304"/>
    </row>
    <row r="1152" spans="1:20">
      <c r="A1152" s="1303"/>
      <c r="B1152" s="1322" t="s">
        <v>4550</v>
      </c>
      <c r="C1152" s="1323" t="s">
        <v>4551</v>
      </c>
      <c r="D1152" s="1324">
        <f t="shared" si="132"/>
        <v>40211</v>
      </c>
      <c r="E1152" s="1323">
        <f t="shared" si="134"/>
        <v>7.49</v>
      </c>
      <c r="F1152" s="1323">
        <f t="shared" si="133"/>
        <v>7.8694295123273434</v>
      </c>
      <c r="G1152" s="1323">
        <f t="shared" si="135"/>
        <v>2010</v>
      </c>
      <c r="H1152" s="1323">
        <f t="shared" si="136"/>
        <v>2</v>
      </c>
      <c r="I1152" s="1323">
        <f t="shared" si="137"/>
        <v>2</v>
      </c>
      <c r="J1152" s="1323"/>
      <c r="K1152" s="1323"/>
      <c r="L1152" s="1323"/>
      <c r="M1152" s="1323"/>
      <c r="N1152" s="1323"/>
      <c r="O1152" s="1323"/>
      <c r="P1152" s="1323"/>
      <c r="Q1152" s="1323"/>
      <c r="R1152" s="1304"/>
      <c r="S1152" s="1304"/>
      <c r="T1152" s="1304"/>
    </row>
    <row r="1153" spans="1:20">
      <c r="A1153" s="1303"/>
      <c r="B1153" s="1322" t="s">
        <v>4552</v>
      </c>
      <c r="C1153" s="1323" t="s">
        <v>4553</v>
      </c>
      <c r="D1153" s="1324">
        <f t="shared" si="132"/>
        <v>40210</v>
      </c>
      <c r="E1153" s="1323">
        <f t="shared" si="134"/>
        <v>7.5765000000000002</v>
      </c>
      <c r="F1153" s="1323">
        <f t="shared" si="133"/>
        <v>7.8679205960486494</v>
      </c>
      <c r="G1153" s="1323">
        <f t="shared" si="135"/>
        <v>2010</v>
      </c>
      <c r="H1153" s="1323">
        <f t="shared" si="136"/>
        <v>2</v>
      </c>
      <c r="I1153" s="1323">
        <f t="shared" si="137"/>
        <v>1</v>
      </c>
      <c r="J1153" s="1323"/>
      <c r="K1153" s="1323"/>
      <c r="L1153" s="1323"/>
      <c r="M1153" s="1323"/>
      <c r="N1153" s="1323"/>
      <c r="O1153" s="1323"/>
      <c r="P1153" s="1323"/>
      <c r="Q1153" s="1323"/>
      <c r="R1153" s="1304"/>
      <c r="S1153" s="1304"/>
      <c r="T1153" s="1304"/>
    </row>
    <row r="1154" spans="1:20">
      <c r="A1154" s="1303"/>
      <c r="B1154" s="1322" t="s">
        <v>4554</v>
      </c>
      <c r="C1154" s="1323" t="s">
        <v>4555</v>
      </c>
      <c r="D1154" s="1324">
        <f t="shared" si="132"/>
        <v>40207</v>
      </c>
      <c r="E1154" s="1323">
        <f t="shared" si="134"/>
        <v>7.5879000000000003</v>
      </c>
      <c r="F1154" s="1323">
        <f t="shared" si="133"/>
        <v>7.8664119690956715</v>
      </c>
      <c r="G1154" s="1323">
        <f t="shared" si="135"/>
        <v>2010</v>
      </c>
      <c r="H1154" s="1323">
        <f t="shared" si="136"/>
        <v>1</v>
      </c>
      <c r="I1154" s="1323">
        <f t="shared" si="137"/>
        <v>29</v>
      </c>
      <c r="J1154" s="1323"/>
      <c r="K1154" s="1323"/>
      <c r="L1154" s="1323"/>
      <c r="M1154" s="1323"/>
      <c r="N1154" s="1323"/>
      <c r="O1154" s="1323"/>
      <c r="P1154" s="1323"/>
      <c r="Q1154" s="1323"/>
      <c r="R1154" s="1304"/>
      <c r="S1154" s="1304"/>
      <c r="T1154" s="1304"/>
    </row>
    <row r="1155" spans="1:20">
      <c r="A1155" s="1303"/>
      <c r="B1155" s="1322" t="s">
        <v>4556</v>
      </c>
      <c r="C1155" s="1323" t="s">
        <v>4557</v>
      </c>
      <c r="D1155" s="1324">
        <f t="shared" si="132"/>
        <v>40206</v>
      </c>
      <c r="E1155" s="1323">
        <f t="shared" si="134"/>
        <v>7.5568</v>
      </c>
      <c r="F1155" s="1323">
        <f t="shared" si="133"/>
        <v>7.8649036314129344</v>
      </c>
      <c r="G1155" s="1323">
        <f t="shared" si="135"/>
        <v>2010</v>
      </c>
      <c r="H1155" s="1323">
        <f t="shared" si="136"/>
        <v>1</v>
      </c>
      <c r="I1155" s="1323">
        <f t="shared" si="137"/>
        <v>28</v>
      </c>
      <c r="J1155" s="1323"/>
      <c r="K1155" s="1323"/>
      <c r="L1155" s="1323"/>
      <c r="M1155" s="1323"/>
      <c r="N1155" s="1323"/>
      <c r="O1155" s="1323"/>
      <c r="P1155" s="1323"/>
      <c r="Q1155" s="1323"/>
      <c r="R1155" s="1304"/>
      <c r="S1155" s="1304"/>
      <c r="T1155" s="1304"/>
    </row>
    <row r="1156" spans="1:20">
      <c r="A1156" s="1303"/>
      <c r="B1156" s="1322" t="s">
        <v>4558</v>
      </c>
      <c r="C1156" s="1323" t="s">
        <v>4559</v>
      </c>
      <c r="D1156" s="1324">
        <f t="shared" si="132"/>
        <v>40205</v>
      </c>
      <c r="E1156" s="1323">
        <f t="shared" si="134"/>
        <v>7.6283000000000003</v>
      </c>
      <c r="F1156" s="1323">
        <f t="shared" si="133"/>
        <v>7.863395582944972</v>
      </c>
      <c r="G1156" s="1323">
        <f t="shared" si="135"/>
        <v>2010</v>
      </c>
      <c r="H1156" s="1323">
        <f t="shared" si="136"/>
        <v>1</v>
      </c>
      <c r="I1156" s="1323">
        <f t="shared" si="137"/>
        <v>27</v>
      </c>
      <c r="J1156" s="1323"/>
      <c r="K1156" s="1323"/>
      <c r="L1156" s="1323"/>
      <c r="M1156" s="1323"/>
      <c r="N1156" s="1323"/>
      <c r="O1156" s="1323"/>
      <c r="P1156" s="1323"/>
      <c r="Q1156" s="1323"/>
      <c r="R1156" s="1304"/>
      <c r="S1156" s="1304"/>
      <c r="T1156" s="1304"/>
    </row>
    <row r="1157" spans="1:20">
      <c r="A1157" s="1303"/>
      <c r="B1157" s="1322" t="s">
        <v>4560</v>
      </c>
      <c r="C1157" s="1323" t="s">
        <v>4561</v>
      </c>
      <c r="D1157" s="1324">
        <f t="shared" si="132"/>
        <v>40204</v>
      </c>
      <c r="E1157" s="1323">
        <f t="shared" si="134"/>
        <v>7.6326999999999998</v>
      </c>
      <c r="F1157" s="1323">
        <f t="shared" si="133"/>
        <v>7.8618878236363292</v>
      </c>
      <c r="G1157" s="1323">
        <f t="shared" si="135"/>
        <v>2010</v>
      </c>
      <c r="H1157" s="1323">
        <f t="shared" si="136"/>
        <v>1</v>
      </c>
      <c r="I1157" s="1323">
        <f t="shared" si="137"/>
        <v>26</v>
      </c>
      <c r="J1157" s="1323"/>
      <c r="K1157" s="1323"/>
      <c r="L1157" s="1323"/>
      <c r="M1157" s="1323"/>
      <c r="N1157" s="1323"/>
      <c r="O1157" s="1323"/>
      <c r="P1157" s="1323"/>
      <c r="Q1157" s="1323"/>
      <c r="R1157" s="1304"/>
      <c r="S1157" s="1304"/>
      <c r="T1157" s="1304"/>
    </row>
    <row r="1158" spans="1:20">
      <c r="A1158" s="1303"/>
      <c r="B1158" s="1322" t="s">
        <v>4562</v>
      </c>
      <c r="C1158" s="1323" t="s">
        <v>4563</v>
      </c>
      <c r="D1158" s="1324">
        <f t="shared" si="132"/>
        <v>40203</v>
      </c>
      <c r="E1158" s="1323">
        <f t="shared" si="134"/>
        <v>7.6039000000000003</v>
      </c>
      <c r="F1158" s="1323">
        <f t="shared" si="133"/>
        <v>7.8603803534315615</v>
      </c>
      <c r="G1158" s="1323">
        <f t="shared" si="135"/>
        <v>2010</v>
      </c>
      <c r="H1158" s="1323">
        <f t="shared" si="136"/>
        <v>1</v>
      </c>
      <c r="I1158" s="1323">
        <f t="shared" si="137"/>
        <v>25</v>
      </c>
      <c r="J1158" s="1323"/>
      <c r="K1158" s="1323"/>
      <c r="L1158" s="1323"/>
      <c r="M1158" s="1323"/>
      <c r="N1158" s="1323"/>
      <c r="O1158" s="1323"/>
      <c r="P1158" s="1323"/>
      <c r="Q1158" s="1323"/>
      <c r="R1158" s="1304"/>
      <c r="S1158" s="1304"/>
      <c r="T1158" s="1304"/>
    </row>
    <row r="1159" spans="1:20">
      <c r="A1159" s="1303"/>
      <c r="B1159" s="1322" t="s">
        <v>4564</v>
      </c>
      <c r="C1159" s="1323" t="s">
        <v>4565</v>
      </c>
      <c r="D1159" s="1324">
        <f t="shared" si="132"/>
        <v>40200</v>
      </c>
      <c r="E1159" s="1323">
        <f t="shared" si="134"/>
        <v>7.5480999999999998</v>
      </c>
      <c r="F1159" s="1323">
        <f t="shared" si="133"/>
        <v>7.8588731722752341</v>
      </c>
      <c r="G1159" s="1323">
        <f t="shared" si="135"/>
        <v>2010</v>
      </c>
      <c r="H1159" s="1323">
        <f t="shared" si="136"/>
        <v>1</v>
      </c>
      <c r="I1159" s="1323">
        <f t="shared" si="137"/>
        <v>22</v>
      </c>
      <c r="J1159" s="1323"/>
      <c r="K1159" s="1323"/>
      <c r="L1159" s="1323"/>
      <c r="M1159" s="1323"/>
      <c r="N1159" s="1323"/>
      <c r="O1159" s="1323"/>
      <c r="P1159" s="1323"/>
      <c r="Q1159" s="1323"/>
      <c r="R1159" s="1304"/>
      <c r="S1159" s="1304"/>
      <c r="T1159" s="1304"/>
    </row>
    <row r="1160" spans="1:20">
      <c r="A1160" s="1303"/>
      <c r="B1160" s="1322" t="s">
        <v>4566</v>
      </c>
      <c r="C1160" s="1323" t="s">
        <v>3556</v>
      </c>
      <c r="D1160" s="1324">
        <f t="shared" si="132"/>
        <v>40199</v>
      </c>
      <c r="E1160" s="1323">
        <f t="shared" si="134"/>
        <v>7.5278999999999998</v>
      </c>
      <c r="F1160" s="1323">
        <f t="shared" si="133"/>
        <v>7.8573662801119246</v>
      </c>
      <c r="G1160" s="1323">
        <f t="shared" si="135"/>
        <v>2010</v>
      </c>
      <c r="H1160" s="1323">
        <f t="shared" si="136"/>
        <v>1</v>
      </c>
      <c r="I1160" s="1323">
        <f t="shared" si="137"/>
        <v>21</v>
      </c>
      <c r="J1160" s="1323"/>
      <c r="K1160" s="1323"/>
      <c r="L1160" s="1323"/>
      <c r="M1160" s="1323"/>
      <c r="N1160" s="1323"/>
      <c r="O1160" s="1323"/>
      <c r="P1160" s="1323"/>
      <c r="Q1160" s="1323"/>
      <c r="R1160" s="1304"/>
      <c r="S1160" s="1304"/>
      <c r="T1160" s="1304"/>
    </row>
    <row r="1161" spans="1:20">
      <c r="A1161" s="1303"/>
      <c r="B1161" s="1322" t="s">
        <v>4567</v>
      </c>
      <c r="C1161" s="1323" t="s">
        <v>4568</v>
      </c>
      <c r="D1161" s="1324">
        <f t="shared" ref="D1161:D1224" si="138">DATE(G1161,H1161,I1161)</f>
        <v>40198</v>
      </c>
      <c r="E1161" s="1323">
        <f t="shared" si="134"/>
        <v>7.4835000000000003</v>
      </c>
      <c r="F1161" s="1323">
        <f t="shared" ref="F1161:F1224" si="139">F1162*(1+$F$7/365)</f>
        <v>7.8558596768862206</v>
      </c>
      <c r="G1161" s="1323">
        <f t="shared" si="135"/>
        <v>2010</v>
      </c>
      <c r="H1161" s="1323">
        <f t="shared" si="136"/>
        <v>1</v>
      </c>
      <c r="I1161" s="1323">
        <f t="shared" si="137"/>
        <v>20</v>
      </c>
      <c r="J1161" s="1323"/>
      <c r="K1161" s="1323"/>
      <c r="L1161" s="1323"/>
      <c r="M1161" s="1323"/>
      <c r="N1161" s="1323"/>
      <c r="O1161" s="1323"/>
      <c r="P1161" s="1323"/>
      <c r="Q1161" s="1323"/>
      <c r="R1161" s="1304"/>
      <c r="S1161" s="1304"/>
      <c r="T1161" s="1304"/>
    </row>
    <row r="1162" spans="1:20">
      <c r="A1162" s="1303"/>
      <c r="B1162" s="1322" t="s">
        <v>4569</v>
      </c>
      <c r="C1162" s="1323" t="s">
        <v>4570</v>
      </c>
      <c r="D1162" s="1324">
        <f t="shared" si="138"/>
        <v>40197</v>
      </c>
      <c r="E1162" s="1323">
        <f t="shared" si="134"/>
        <v>7.3979999999999997</v>
      </c>
      <c r="F1162" s="1323">
        <f t="shared" si="139"/>
        <v>7.8543533625427191</v>
      </c>
      <c r="G1162" s="1323">
        <f t="shared" si="135"/>
        <v>2010</v>
      </c>
      <c r="H1162" s="1323">
        <f t="shared" si="136"/>
        <v>1</v>
      </c>
      <c r="I1162" s="1323">
        <f t="shared" si="137"/>
        <v>19</v>
      </c>
      <c r="J1162" s="1323"/>
      <c r="K1162" s="1323"/>
      <c r="L1162" s="1323"/>
      <c r="M1162" s="1323"/>
      <c r="N1162" s="1323"/>
      <c r="O1162" s="1323"/>
      <c r="P1162" s="1323"/>
      <c r="Q1162" s="1323"/>
      <c r="R1162" s="1304"/>
      <c r="S1162" s="1304"/>
      <c r="T1162" s="1304"/>
    </row>
    <row r="1163" spans="1:20">
      <c r="A1163" s="1303"/>
      <c r="B1163" s="1322" t="s">
        <v>4571</v>
      </c>
      <c r="C1163" s="1323" t="s">
        <v>4572</v>
      </c>
      <c r="D1163" s="1324">
        <f t="shared" si="138"/>
        <v>40196</v>
      </c>
      <c r="E1163" s="1323">
        <f t="shared" si="134"/>
        <v>7.3913000000000002</v>
      </c>
      <c r="F1163" s="1323">
        <f t="shared" si="139"/>
        <v>7.852847337026029</v>
      </c>
      <c r="G1163" s="1323">
        <f t="shared" si="135"/>
        <v>2010</v>
      </c>
      <c r="H1163" s="1323">
        <f t="shared" si="136"/>
        <v>1</v>
      </c>
      <c r="I1163" s="1323">
        <f t="shared" si="137"/>
        <v>18</v>
      </c>
      <c r="J1163" s="1323"/>
      <c r="K1163" s="1323"/>
      <c r="L1163" s="1323"/>
      <c r="M1163" s="1323"/>
      <c r="N1163" s="1323"/>
      <c r="O1163" s="1323"/>
      <c r="P1163" s="1323"/>
      <c r="Q1163" s="1323"/>
      <c r="R1163" s="1304"/>
      <c r="S1163" s="1304"/>
      <c r="T1163" s="1304"/>
    </row>
    <row r="1164" spans="1:20">
      <c r="A1164" s="1303"/>
      <c r="B1164" s="1322" t="s">
        <v>4573</v>
      </c>
      <c r="C1164" s="1323" t="s">
        <v>4574</v>
      </c>
      <c r="D1164" s="1324">
        <f t="shared" si="138"/>
        <v>40193</v>
      </c>
      <c r="E1164" s="1323">
        <f t="shared" si="134"/>
        <v>7.4196</v>
      </c>
      <c r="F1164" s="1323">
        <f t="shared" si="139"/>
        <v>7.8513416002807697</v>
      </c>
      <c r="G1164" s="1323">
        <f t="shared" si="135"/>
        <v>2010</v>
      </c>
      <c r="H1164" s="1323">
        <f t="shared" si="136"/>
        <v>1</v>
      </c>
      <c r="I1164" s="1323">
        <f t="shared" si="137"/>
        <v>15</v>
      </c>
      <c r="J1164" s="1323"/>
      <c r="K1164" s="1323"/>
      <c r="L1164" s="1323"/>
      <c r="M1164" s="1323"/>
      <c r="N1164" s="1323"/>
      <c r="O1164" s="1323"/>
      <c r="P1164" s="1323"/>
      <c r="Q1164" s="1323"/>
      <c r="R1164" s="1304"/>
      <c r="S1164" s="1304"/>
      <c r="T1164" s="1304"/>
    </row>
    <row r="1165" spans="1:20">
      <c r="A1165" s="1303"/>
      <c r="B1165" s="1322" t="s">
        <v>4575</v>
      </c>
      <c r="C1165" s="1323" t="s">
        <v>4576</v>
      </c>
      <c r="D1165" s="1324">
        <f t="shared" si="138"/>
        <v>40192</v>
      </c>
      <c r="E1165" s="1323">
        <f t="shared" si="134"/>
        <v>7.3997000000000002</v>
      </c>
      <c r="F1165" s="1323">
        <f t="shared" si="139"/>
        <v>7.8498361522515703</v>
      </c>
      <c r="G1165" s="1323">
        <f t="shared" si="135"/>
        <v>2010</v>
      </c>
      <c r="H1165" s="1323">
        <f t="shared" si="136"/>
        <v>1</v>
      </c>
      <c r="I1165" s="1323">
        <f t="shared" si="137"/>
        <v>14</v>
      </c>
      <c r="J1165" s="1323"/>
      <c r="K1165" s="1323"/>
      <c r="L1165" s="1323"/>
      <c r="M1165" s="1323"/>
      <c r="N1165" s="1323"/>
      <c r="O1165" s="1323"/>
      <c r="P1165" s="1323"/>
      <c r="Q1165" s="1323"/>
      <c r="R1165" s="1304"/>
      <c r="S1165" s="1304"/>
      <c r="T1165" s="1304"/>
    </row>
    <row r="1166" spans="1:20">
      <c r="A1166" s="1303"/>
      <c r="B1166" s="1322" t="s">
        <v>4577</v>
      </c>
      <c r="C1166" s="1323" t="s">
        <v>4578</v>
      </c>
      <c r="D1166" s="1324">
        <f t="shared" si="138"/>
        <v>40191</v>
      </c>
      <c r="E1166" s="1323">
        <f t="shared" si="134"/>
        <v>7.4362000000000004</v>
      </c>
      <c r="F1166" s="1323">
        <f t="shared" si="139"/>
        <v>7.8483309928830716</v>
      </c>
      <c r="G1166" s="1323">
        <f t="shared" si="135"/>
        <v>2010</v>
      </c>
      <c r="H1166" s="1323">
        <f t="shared" si="136"/>
        <v>1</v>
      </c>
      <c r="I1166" s="1323">
        <f t="shared" si="137"/>
        <v>13</v>
      </c>
      <c r="J1166" s="1323"/>
      <c r="K1166" s="1323"/>
      <c r="L1166" s="1323"/>
      <c r="M1166" s="1323"/>
      <c r="N1166" s="1323"/>
      <c r="O1166" s="1323"/>
      <c r="P1166" s="1323"/>
      <c r="Q1166" s="1323"/>
      <c r="R1166" s="1304"/>
      <c r="S1166" s="1304"/>
      <c r="T1166" s="1304"/>
    </row>
    <row r="1167" spans="1:20">
      <c r="A1167" s="1303"/>
      <c r="B1167" s="1322" t="s">
        <v>4579</v>
      </c>
      <c r="C1167" s="1323" t="s">
        <v>4580</v>
      </c>
      <c r="D1167" s="1324">
        <f t="shared" si="138"/>
        <v>40190</v>
      </c>
      <c r="E1167" s="1323">
        <f t="shared" si="134"/>
        <v>7.3906999999999998</v>
      </c>
      <c r="F1167" s="1323">
        <f t="shared" si="139"/>
        <v>7.8468261221199249</v>
      </c>
      <c r="G1167" s="1323">
        <f t="shared" si="135"/>
        <v>2010</v>
      </c>
      <c r="H1167" s="1323">
        <f t="shared" si="136"/>
        <v>1</v>
      </c>
      <c r="I1167" s="1323">
        <f t="shared" si="137"/>
        <v>12</v>
      </c>
      <c r="J1167" s="1323"/>
      <c r="K1167" s="1323"/>
      <c r="L1167" s="1323"/>
      <c r="M1167" s="1323"/>
      <c r="N1167" s="1323"/>
      <c r="O1167" s="1323"/>
      <c r="P1167" s="1323"/>
      <c r="Q1167" s="1323"/>
      <c r="R1167" s="1304"/>
      <c r="S1167" s="1304"/>
      <c r="T1167" s="1304"/>
    </row>
    <row r="1168" spans="1:20">
      <c r="A1168" s="1303"/>
      <c r="B1168" s="1322" t="s">
        <v>4581</v>
      </c>
      <c r="C1168" s="1323" t="s">
        <v>4582</v>
      </c>
      <c r="D1168" s="1324">
        <f t="shared" si="138"/>
        <v>40189</v>
      </c>
      <c r="E1168" s="1323">
        <f t="shared" si="134"/>
        <v>7.3308</v>
      </c>
      <c r="F1168" s="1323">
        <f t="shared" si="139"/>
        <v>7.8453215399067915</v>
      </c>
      <c r="G1168" s="1323">
        <f t="shared" si="135"/>
        <v>2010</v>
      </c>
      <c r="H1168" s="1323">
        <f t="shared" si="136"/>
        <v>1</v>
      </c>
      <c r="I1168" s="1323">
        <f t="shared" si="137"/>
        <v>11</v>
      </c>
      <c r="J1168" s="1323"/>
      <c r="K1168" s="1323"/>
      <c r="L1168" s="1323"/>
      <c r="M1168" s="1323"/>
      <c r="N1168" s="1323"/>
      <c r="O1168" s="1323"/>
      <c r="P1168" s="1323"/>
      <c r="Q1168" s="1323"/>
      <c r="R1168" s="1304"/>
      <c r="S1168" s="1304"/>
      <c r="T1168" s="1304"/>
    </row>
    <row r="1169" spans="1:20">
      <c r="A1169" s="1303"/>
      <c r="B1169" s="1322" t="s">
        <v>4583</v>
      </c>
      <c r="C1169" s="1323" t="s">
        <v>4584</v>
      </c>
      <c r="D1169" s="1324">
        <f t="shared" si="138"/>
        <v>40186</v>
      </c>
      <c r="E1169" s="1323">
        <f t="shared" si="134"/>
        <v>7.4206000000000003</v>
      </c>
      <c r="F1169" s="1323">
        <f t="shared" si="139"/>
        <v>7.843817246188344</v>
      </c>
      <c r="G1169" s="1323">
        <f t="shared" si="135"/>
        <v>2010</v>
      </c>
      <c r="H1169" s="1323">
        <f t="shared" si="136"/>
        <v>1</v>
      </c>
      <c r="I1169" s="1323">
        <f t="shared" si="137"/>
        <v>8</v>
      </c>
      <c r="J1169" s="1323"/>
      <c r="K1169" s="1323"/>
      <c r="L1169" s="1323"/>
      <c r="M1169" s="1323"/>
      <c r="N1169" s="1323"/>
      <c r="O1169" s="1323"/>
      <c r="P1169" s="1323"/>
      <c r="Q1169" s="1323"/>
      <c r="R1169" s="1304"/>
      <c r="S1169" s="1304"/>
      <c r="T1169" s="1304"/>
    </row>
    <row r="1170" spans="1:20">
      <c r="A1170" s="1303"/>
      <c r="B1170" s="1322" t="s">
        <v>4585</v>
      </c>
      <c r="C1170" s="1323" t="s">
        <v>4586</v>
      </c>
      <c r="D1170" s="1324">
        <f t="shared" si="138"/>
        <v>40185</v>
      </c>
      <c r="E1170" s="1323">
        <f t="shared" si="134"/>
        <v>7.3536999999999999</v>
      </c>
      <c r="F1170" s="1323">
        <f t="shared" si="139"/>
        <v>7.8423132409092648</v>
      </c>
      <c r="G1170" s="1323">
        <f t="shared" si="135"/>
        <v>2010</v>
      </c>
      <c r="H1170" s="1323">
        <f t="shared" si="136"/>
        <v>1</v>
      </c>
      <c r="I1170" s="1323">
        <f t="shared" si="137"/>
        <v>7</v>
      </c>
      <c r="J1170" s="1323"/>
      <c r="K1170" s="1323"/>
      <c r="L1170" s="1323"/>
      <c r="M1170" s="1323"/>
      <c r="N1170" s="1323"/>
      <c r="O1170" s="1323"/>
      <c r="P1170" s="1323"/>
      <c r="Q1170" s="1323"/>
      <c r="R1170" s="1304"/>
      <c r="S1170" s="1304"/>
      <c r="T1170" s="1304"/>
    </row>
    <row r="1171" spans="1:20">
      <c r="A1171" s="1303"/>
      <c r="B1171" s="1322" t="s">
        <v>4587</v>
      </c>
      <c r="C1171" s="1323" t="s">
        <v>4588</v>
      </c>
      <c r="D1171" s="1324">
        <f t="shared" si="138"/>
        <v>40184</v>
      </c>
      <c r="E1171" s="1323">
        <f t="shared" si="134"/>
        <v>7.3414000000000001</v>
      </c>
      <c r="F1171" s="1323">
        <f t="shared" si="139"/>
        <v>7.8408095240142481</v>
      </c>
      <c r="G1171" s="1323">
        <f t="shared" si="135"/>
        <v>2010</v>
      </c>
      <c r="H1171" s="1323">
        <f t="shared" si="136"/>
        <v>1</v>
      </c>
      <c r="I1171" s="1323">
        <f t="shared" si="137"/>
        <v>6</v>
      </c>
      <c r="J1171" s="1323"/>
      <c r="K1171" s="1323"/>
      <c r="L1171" s="1323"/>
      <c r="M1171" s="1323"/>
      <c r="N1171" s="1323"/>
      <c r="O1171" s="1323"/>
      <c r="P1171" s="1323"/>
      <c r="Q1171" s="1323"/>
      <c r="R1171" s="1304"/>
      <c r="S1171" s="1304"/>
      <c r="T1171" s="1304"/>
    </row>
    <row r="1172" spans="1:20">
      <c r="A1172" s="1303"/>
      <c r="B1172" s="1322" t="s">
        <v>4589</v>
      </c>
      <c r="C1172" s="1323" t="s">
        <v>4590</v>
      </c>
      <c r="D1172" s="1324">
        <f t="shared" si="138"/>
        <v>40183</v>
      </c>
      <c r="E1172" s="1323">
        <f t="shared" si="134"/>
        <v>7.2923999999999998</v>
      </c>
      <c r="F1172" s="1323">
        <f t="shared" si="139"/>
        <v>7.8393060954479976</v>
      </c>
      <c r="G1172" s="1323">
        <f t="shared" si="135"/>
        <v>2010</v>
      </c>
      <c r="H1172" s="1323">
        <f t="shared" si="136"/>
        <v>1</v>
      </c>
      <c r="I1172" s="1323">
        <f t="shared" si="137"/>
        <v>5</v>
      </c>
      <c r="J1172" s="1323"/>
      <c r="K1172" s="1323"/>
      <c r="L1172" s="1323"/>
      <c r="M1172" s="1323"/>
      <c r="N1172" s="1323"/>
      <c r="O1172" s="1323"/>
      <c r="P1172" s="1323"/>
      <c r="Q1172" s="1323"/>
      <c r="R1172" s="1304"/>
      <c r="S1172" s="1304"/>
      <c r="T1172" s="1304"/>
    </row>
    <row r="1173" spans="1:20">
      <c r="A1173" s="1303"/>
      <c r="B1173" s="1322" t="s">
        <v>4591</v>
      </c>
      <c r="C1173" s="1323" t="s">
        <v>4592</v>
      </c>
      <c r="D1173" s="1324">
        <f t="shared" si="138"/>
        <v>40182</v>
      </c>
      <c r="E1173" s="1323">
        <f t="shared" si="134"/>
        <v>7.3396999999999997</v>
      </c>
      <c r="F1173" s="1323">
        <f t="shared" si="139"/>
        <v>7.8378029551552277</v>
      </c>
      <c r="G1173" s="1323">
        <f t="shared" si="135"/>
        <v>2010</v>
      </c>
      <c r="H1173" s="1323">
        <f t="shared" si="136"/>
        <v>1</v>
      </c>
      <c r="I1173" s="1323">
        <f t="shared" si="137"/>
        <v>4</v>
      </c>
      <c r="J1173" s="1323"/>
      <c r="K1173" s="1323"/>
      <c r="L1173" s="1323"/>
      <c r="M1173" s="1323"/>
      <c r="N1173" s="1323"/>
      <c r="O1173" s="1323"/>
      <c r="P1173" s="1323"/>
      <c r="Q1173" s="1323"/>
      <c r="R1173" s="1304"/>
      <c r="S1173" s="1304"/>
      <c r="T1173" s="1304"/>
    </row>
    <row r="1174" spans="1:20">
      <c r="A1174" s="1303"/>
      <c r="B1174" s="1322" t="s">
        <v>4593</v>
      </c>
      <c r="C1174" s="1323" t="s">
        <v>4594</v>
      </c>
      <c r="D1174" s="1324">
        <f t="shared" si="138"/>
        <v>40178</v>
      </c>
      <c r="E1174" s="1323">
        <f t="shared" ref="E1174:E1237" si="140">VALUE(C1175)</f>
        <v>7.3720999999999997</v>
      </c>
      <c r="F1174" s="1323">
        <f t="shared" si="139"/>
        <v>7.8363001030806645</v>
      </c>
      <c r="G1174" s="1323">
        <f t="shared" ref="G1174:G1237" si="141">YEAR(B1175)</f>
        <v>2009</v>
      </c>
      <c r="H1174" s="1323">
        <f t="shared" ref="H1174:H1237" si="142">MONTH(B1175)</f>
        <v>12</v>
      </c>
      <c r="I1174" s="1323">
        <f t="shared" ref="I1174:I1237" si="143">DAY(B1175)</f>
        <v>31</v>
      </c>
      <c r="J1174" s="1323"/>
      <c r="K1174" s="1323"/>
      <c r="L1174" s="1323"/>
      <c r="M1174" s="1323"/>
      <c r="N1174" s="1323"/>
      <c r="O1174" s="1323"/>
      <c r="P1174" s="1323"/>
      <c r="Q1174" s="1323"/>
      <c r="R1174" s="1304"/>
      <c r="S1174" s="1304"/>
      <c r="T1174" s="1304"/>
    </row>
    <row r="1175" spans="1:20">
      <c r="A1175" s="1303"/>
      <c r="B1175" s="1322" t="s">
        <v>4595</v>
      </c>
      <c r="C1175" s="1323" t="s">
        <v>4596</v>
      </c>
      <c r="D1175" s="1324">
        <f t="shared" si="138"/>
        <v>40177</v>
      </c>
      <c r="E1175" s="1323">
        <f t="shared" si="140"/>
        <v>7.3888999999999996</v>
      </c>
      <c r="F1175" s="1323">
        <f t="shared" si="139"/>
        <v>7.8347975391690428</v>
      </c>
      <c r="G1175" s="1323">
        <f t="shared" si="141"/>
        <v>2009</v>
      </c>
      <c r="H1175" s="1323">
        <f t="shared" si="142"/>
        <v>12</v>
      </c>
      <c r="I1175" s="1323">
        <f t="shared" si="143"/>
        <v>30</v>
      </c>
      <c r="J1175" s="1323"/>
      <c r="K1175" s="1323"/>
      <c r="L1175" s="1323"/>
      <c r="M1175" s="1323"/>
      <c r="N1175" s="1323"/>
      <c r="O1175" s="1323"/>
      <c r="P1175" s="1323"/>
      <c r="Q1175" s="1323"/>
      <c r="R1175" s="1304"/>
      <c r="S1175" s="1304"/>
      <c r="T1175" s="1304"/>
    </row>
    <row r="1176" spans="1:20">
      <c r="A1176" s="1303"/>
      <c r="B1176" s="1322" t="s">
        <v>4597</v>
      </c>
      <c r="C1176" s="1323" t="s">
        <v>4598</v>
      </c>
      <c r="D1176" s="1324">
        <f t="shared" si="138"/>
        <v>40176</v>
      </c>
      <c r="E1176" s="1323">
        <f t="shared" si="140"/>
        <v>7.4629000000000003</v>
      </c>
      <c r="F1176" s="1323">
        <f t="shared" si="139"/>
        <v>7.8332952633651098</v>
      </c>
      <c r="G1176" s="1323">
        <f t="shared" si="141"/>
        <v>2009</v>
      </c>
      <c r="H1176" s="1323">
        <f t="shared" si="142"/>
        <v>12</v>
      </c>
      <c r="I1176" s="1323">
        <f t="shared" si="143"/>
        <v>29</v>
      </c>
      <c r="J1176" s="1323"/>
      <c r="K1176" s="1323"/>
      <c r="L1176" s="1323"/>
      <c r="M1176" s="1323"/>
      <c r="N1176" s="1323"/>
      <c r="O1176" s="1323"/>
      <c r="P1176" s="1323"/>
      <c r="Q1176" s="1323"/>
      <c r="R1176" s="1304"/>
      <c r="S1176" s="1304"/>
      <c r="T1176" s="1304"/>
    </row>
    <row r="1177" spans="1:20">
      <c r="A1177" s="1303"/>
      <c r="B1177" s="1322" t="s">
        <v>4599</v>
      </c>
      <c r="C1177" s="1323" t="s">
        <v>4600</v>
      </c>
      <c r="D1177" s="1324">
        <f t="shared" si="138"/>
        <v>40175</v>
      </c>
      <c r="E1177" s="1323">
        <f t="shared" si="140"/>
        <v>7.5522999999999998</v>
      </c>
      <c r="F1177" s="1323">
        <f t="shared" si="139"/>
        <v>7.8317932756136219</v>
      </c>
      <c r="G1177" s="1323">
        <f t="shared" si="141"/>
        <v>2009</v>
      </c>
      <c r="H1177" s="1323">
        <f t="shared" si="142"/>
        <v>12</v>
      </c>
      <c r="I1177" s="1323">
        <f t="shared" si="143"/>
        <v>28</v>
      </c>
      <c r="J1177" s="1323"/>
      <c r="K1177" s="1323"/>
      <c r="L1177" s="1323"/>
      <c r="M1177" s="1323"/>
      <c r="N1177" s="1323"/>
      <c r="O1177" s="1323"/>
      <c r="P1177" s="1323"/>
      <c r="Q1177" s="1323"/>
      <c r="R1177" s="1304"/>
      <c r="S1177" s="1304"/>
      <c r="T1177" s="1304"/>
    </row>
    <row r="1178" spans="1:20">
      <c r="A1178" s="1303"/>
      <c r="B1178" s="1322" t="s">
        <v>4601</v>
      </c>
      <c r="C1178" s="1323" t="s">
        <v>4602</v>
      </c>
      <c r="D1178" s="1324">
        <f t="shared" si="138"/>
        <v>40171</v>
      </c>
      <c r="E1178" s="1323">
        <f t="shared" si="140"/>
        <v>7.5819000000000001</v>
      </c>
      <c r="F1178" s="1323">
        <f t="shared" si="139"/>
        <v>7.8302915758593477</v>
      </c>
      <c r="G1178" s="1323">
        <f t="shared" si="141"/>
        <v>2009</v>
      </c>
      <c r="H1178" s="1323">
        <f t="shared" si="142"/>
        <v>12</v>
      </c>
      <c r="I1178" s="1323">
        <f t="shared" si="143"/>
        <v>24</v>
      </c>
      <c r="J1178" s="1323"/>
      <c r="K1178" s="1323"/>
      <c r="L1178" s="1323"/>
      <c r="M1178" s="1323"/>
      <c r="N1178" s="1323"/>
      <c r="O1178" s="1323"/>
      <c r="P1178" s="1323"/>
      <c r="Q1178" s="1323"/>
      <c r="R1178" s="1304"/>
      <c r="S1178" s="1304"/>
      <c r="T1178" s="1304"/>
    </row>
    <row r="1179" spans="1:20">
      <c r="A1179" s="1303"/>
      <c r="B1179" s="1322" t="s">
        <v>4603</v>
      </c>
      <c r="C1179" s="1323" t="s">
        <v>4604</v>
      </c>
      <c r="D1179" s="1324">
        <f t="shared" si="138"/>
        <v>40170</v>
      </c>
      <c r="E1179" s="1323">
        <f t="shared" si="140"/>
        <v>7.7209000000000003</v>
      </c>
      <c r="F1179" s="1323">
        <f t="shared" si="139"/>
        <v>7.8287901640470645</v>
      </c>
      <c r="G1179" s="1323">
        <f t="shared" si="141"/>
        <v>2009</v>
      </c>
      <c r="H1179" s="1323">
        <f t="shared" si="142"/>
        <v>12</v>
      </c>
      <c r="I1179" s="1323">
        <f t="shared" si="143"/>
        <v>23</v>
      </c>
      <c r="J1179" s="1323"/>
      <c r="K1179" s="1323"/>
      <c r="L1179" s="1323"/>
      <c r="M1179" s="1323"/>
      <c r="N1179" s="1323"/>
      <c r="O1179" s="1323"/>
      <c r="P1179" s="1323"/>
      <c r="Q1179" s="1323"/>
      <c r="R1179" s="1304"/>
      <c r="S1179" s="1304"/>
      <c r="T1179" s="1304"/>
    </row>
    <row r="1180" spans="1:20">
      <c r="A1180" s="1303"/>
      <c r="B1180" s="1322" t="s">
        <v>4605</v>
      </c>
      <c r="C1180" s="1323" t="s">
        <v>4606</v>
      </c>
      <c r="D1180" s="1324">
        <f t="shared" si="138"/>
        <v>40169</v>
      </c>
      <c r="E1180" s="1323">
        <f t="shared" si="140"/>
        <v>7.7271999999999998</v>
      </c>
      <c r="F1180" s="1323">
        <f t="shared" si="139"/>
        <v>7.8272890401215616</v>
      </c>
      <c r="G1180" s="1323">
        <f t="shared" si="141"/>
        <v>2009</v>
      </c>
      <c r="H1180" s="1323">
        <f t="shared" si="142"/>
        <v>12</v>
      </c>
      <c r="I1180" s="1323">
        <f t="shared" si="143"/>
        <v>22</v>
      </c>
      <c r="J1180" s="1323"/>
      <c r="K1180" s="1323"/>
      <c r="L1180" s="1323"/>
      <c r="M1180" s="1323"/>
      <c r="N1180" s="1323"/>
      <c r="O1180" s="1323"/>
      <c r="P1180" s="1323"/>
      <c r="Q1180" s="1323"/>
      <c r="R1180" s="1304"/>
      <c r="S1180" s="1304"/>
      <c r="T1180" s="1304"/>
    </row>
    <row r="1181" spans="1:20">
      <c r="A1181" s="1303"/>
      <c r="B1181" s="1322" t="s">
        <v>4607</v>
      </c>
      <c r="C1181" s="1323" t="s">
        <v>4608</v>
      </c>
      <c r="D1181" s="1324">
        <f t="shared" si="138"/>
        <v>40168</v>
      </c>
      <c r="E1181" s="1323">
        <f t="shared" si="140"/>
        <v>7.6260000000000003</v>
      </c>
      <c r="F1181" s="1323">
        <f t="shared" si="139"/>
        <v>7.8257882040276385</v>
      </c>
      <c r="G1181" s="1323">
        <f t="shared" si="141"/>
        <v>2009</v>
      </c>
      <c r="H1181" s="1323">
        <f t="shared" si="142"/>
        <v>12</v>
      </c>
      <c r="I1181" s="1323">
        <f t="shared" si="143"/>
        <v>21</v>
      </c>
      <c r="J1181" s="1323"/>
      <c r="K1181" s="1323"/>
      <c r="L1181" s="1323"/>
      <c r="M1181" s="1323"/>
      <c r="N1181" s="1323"/>
      <c r="O1181" s="1323"/>
      <c r="P1181" s="1323"/>
      <c r="Q1181" s="1323"/>
      <c r="R1181" s="1304"/>
      <c r="S1181" s="1304"/>
      <c r="T1181" s="1304"/>
    </row>
    <row r="1182" spans="1:20">
      <c r="A1182" s="1303"/>
      <c r="B1182" s="1322" t="s">
        <v>4609</v>
      </c>
      <c r="C1182" s="1323" t="s">
        <v>4610</v>
      </c>
      <c r="D1182" s="1324">
        <f t="shared" si="138"/>
        <v>40165</v>
      </c>
      <c r="E1182" s="1323">
        <f t="shared" si="140"/>
        <v>7.5190000000000001</v>
      </c>
      <c r="F1182" s="1323">
        <f t="shared" si="139"/>
        <v>7.8242876557101049</v>
      </c>
      <c r="G1182" s="1323">
        <f t="shared" si="141"/>
        <v>2009</v>
      </c>
      <c r="H1182" s="1323">
        <f t="shared" si="142"/>
        <v>12</v>
      </c>
      <c r="I1182" s="1323">
        <f t="shared" si="143"/>
        <v>18</v>
      </c>
      <c r="J1182" s="1323"/>
      <c r="K1182" s="1323"/>
      <c r="L1182" s="1323"/>
      <c r="M1182" s="1323"/>
      <c r="N1182" s="1323"/>
      <c r="O1182" s="1323"/>
      <c r="P1182" s="1323"/>
      <c r="Q1182" s="1323"/>
      <c r="R1182" s="1304"/>
      <c r="S1182" s="1304"/>
      <c r="T1182" s="1304"/>
    </row>
    <row r="1183" spans="1:20">
      <c r="A1183" s="1303"/>
      <c r="B1183" s="1322" t="s">
        <v>4611</v>
      </c>
      <c r="C1183" s="1323" t="s">
        <v>4612</v>
      </c>
      <c r="D1183" s="1324">
        <f t="shared" si="138"/>
        <v>40164</v>
      </c>
      <c r="E1183" s="1323">
        <f t="shared" si="140"/>
        <v>7.4714999999999998</v>
      </c>
      <c r="F1183" s="1323">
        <f t="shared" si="139"/>
        <v>7.8227873951137816</v>
      </c>
      <c r="G1183" s="1323">
        <f t="shared" si="141"/>
        <v>2009</v>
      </c>
      <c r="H1183" s="1323">
        <f t="shared" si="142"/>
        <v>12</v>
      </c>
      <c r="I1183" s="1323">
        <f t="shared" si="143"/>
        <v>17</v>
      </c>
      <c r="J1183" s="1323"/>
      <c r="K1183" s="1323"/>
      <c r="L1183" s="1323"/>
      <c r="M1183" s="1323"/>
      <c r="N1183" s="1323"/>
      <c r="O1183" s="1323"/>
      <c r="P1183" s="1323"/>
      <c r="Q1183" s="1323"/>
      <c r="R1183" s="1304"/>
      <c r="S1183" s="1304"/>
      <c r="T1183" s="1304"/>
    </row>
    <row r="1184" spans="1:20">
      <c r="A1184" s="1303"/>
      <c r="B1184" s="1322" t="s">
        <v>4613</v>
      </c>
      <c r="C1184" s="1323" t="s">
        <v>4614</v>
      </c>
      <c r="D1184" s="1324">
        <f t="shared" si="138"/>
        <v>40162</v>
      </c>
      <c r="E1184" s="1323">
        <f t="shared" si="140"/>
        <v>7.4591000000000003</v>
      </c>
      <c r="F1184" s="1323">
        <f t="shared" si="139"/>
        <v>7.8212874221834996</v>
      </c>
      <c r="G1184" s="1323">
        <f t="shared" si="141"/>
        <v>2009</v>
      </c>
      <c r="H1184" s="1323">
        <f t="shared" si="142"/>
        <v>12</v>
      </c>
      <c r="I1184" s="1323">
        <f t="shared" si="143"/>
        <v>15</v>
      </c>
      <c r="J1184" s="1323"/>
      <c r="K1184" s="1323"/>
      <c r="L1184" s="1323"/>
      <c r="M1184" s="1323"/>
      <c r="N1184" s="1323"/>
      <c r="O1184" s="1323"/>
      <c r="P1184" s="1323"/>
      <c r="Q1184" s="1323"/>
      <c r="R1184" s="1304"/>
      <c r="S1184" s="1304"/>
      <c r="T1184" s="1304"/>
    </row>
    <row r="1185" spans="1:20">
      <c r="A1185" s="1303"/>
      <c r="B1185" s="1322" t="s">
        <v>4615</v>
      </c>
      <c r="C1185" s="1323" t="s">
        <v>4616</v>
      </c>
      <c r="D1185" s="1324">
        <f t="shared" si="138"/>
        <v>40161</v>
      </c>
      <c r="E1185" s="1323">
        <f t="shared" si="140"/>
        <v>7.4909999999999997</v>
      </c>
      <c r="F1185" s="1323">
        <f t="shared" si="139"/>
        <v>7.8197877368641011</v>
      </c>
      <c r="G1185" s="1323">
        <f t="shared" si="141"/>
        <v>2009</v>
      </c>
      <c r="H1185" s="1323">
        <f t="shared" si="142"/>
        <v>12</v>
      </c>
      <c r="I1185" s="1323">
        <f t="shared" si="143"/>
        <v>14</v>
      </c>
      <c r="J1185" s="1323"/>
      <c r="K1185" s="1323"/>
      <c r="L1185" s="1323"/>
      <c r="M1185" s="1323"/>
      <c r="N1185" s="1323"/>
      <c r="O1185" s="1323"/>
      <c r="P1185" s="1323"/>
      <c r="Q1185" s="1323"/>
      <c r="R1185" s="1304"/>
      <c r="S1185" s="1304"/>
      <c r="T1185" s="1304"/>
    </row>
    <row r="1186" spans="1:20">
      <c r="A1186" s="1303"/>
      <c r="B1186" s="1322" t="s">
        <v>4617</v>
      </c>
      <c r="C1186" s="1323" t="s">
        <v>4618</v>
      </c>
      <c r="D1186" s="1324">
        <f t="shared" si="138"/>
        <v>40158</v>
      </c>
      <c r="E1186" s="1323">
        <f t="shared" si="140"/>
        <v>7.5354000000000001</v>
      </c>
      <c r="F1186" s="1323">
        <f t="shared" si="139"/>
        <v>7.8182883391004374</v>
      </c>
      <c r="G1186" s="1323">
        <f t="shared" si="141"/>
        <v>2009</v>
      </c>
      <c r="H1186" s="1323">
        <f t="shared" si="142"/>
        <v>12</v>
      </c>
      <c r="I1186" s="1323">
        <f t="shared" si="143"/>
        <v>11</v>
      </c>
      <c r="J1186" s="1323"/>
      <c r="K1186" s="1323"/>
      <c r="L1186" s="1323"/>
      <c r="M1186" s="1323"/>
      <c r="N1186" s="1323"/>
      <c r="O1186" s="1323"/>
      <c r="P1186" s="1323"/>
      <c r="Q1186" s="1323"/>
      <c r="R1186" s="1304"/>
      <c r="S1186" s="1304"/>
      <c r="T1186" s="1304"/>
    </row>
    <row r="1187" spans="1:20">
      <c r="A1187" s="1303"/>
      <c r="B1187" s="1322" t="s">
        <v>4619</v>
      </c>
      <c r="C1187" s="1323" t="s">
        <v>4620</v>
      </c>
      <c r="D1187" s="1324">
        <f t="shared" si="138"/>
        <v>40157</v>
      </c>
      <c r="E1187" s="1323">
        <f t="shared" si="140"/>
        <v>7.58</v>
      </c>
      <c r="F1187" s="1323">
        <f t="shared" si="139"/>
        <v>7.8167892288373721</v>
      </c>
      <c r="G1187" s="1323">
        <f t="shared" si="141"/>
        <v>2009</v>
      </c>
      <c r="H1187" s="1323">
        <f t="shared" si="142"/>
        <v>12</v>
      </c>
      <c r="I1187" s="1323">
        <f t="shared" si="143"/>
        <v>10</v>
      </c>
      <c r="J1187" s="1323"/>
      <c r="K1187" s="1323"/>
      <c r="L1187" s="1323"/>
      <c r="M1187" s="1323"/>
      <c r="N1187" s="1323"/>
      <c r="O1187" s="1323"/>
      <c r="P1187" s="1323"/>
      <c r="Q1187" s="1323"/>
      <c r="R1187" s="1304"/>
      <c r="S1187" s="1304"/>
      <c r="T1187" s="1304"/>
    </row>
    <row r="1188" spans="1:20">
      <c r="A1188" s="1303"/>
      <c r="B1188" s="1322" t="s">
        <v>4621</v>
      </c>
      <c r="C1188" s="1323" t="s">
        <v>4622</v>
      </c>
      <c r="D1188" s="1324">
        <f t="shared" si="138"/>
        <v>40156</v>
      </c>
      <c r="E1188" s="1323">
        <f t="shared" si="140"/>
        <v>7.5656999999999996</v>
      </c>
      <c r="F1188" s="1323">
        <f t="shared" si="139"/>
        <v>7.8152904060197788</v>
      </c>
      <c r="G1188" s="1323">
        <f t="shared" si="141"/>
        <v>2009</v>
      </c>
      <c r="H1188" s="1323">
        <f t="shared" si="142"/>
        <v>12</v>
      </c>
      <c r="I1188" s="1323">
        <f t="shared" si="143"/>
        <v>9</v>
      </c>
      <c r="J1188" s="1323"/>
      <c r="K1188" s="1323"/>
      <c r="L1188" s="1323"/>
      <c r="M1188" s="1323"/>
      <c r="N1188" s="1323"/>
      <c r="O1188" s="1323"/>
      <c r="P1188" s="1323"/>
      <c r="Q1188" s="1323"/>
      <c r="R1188" s="1304"/>
      <c r="S1188" s="1304"/>
      <c r="T1188" s="1304"/>
    </row>
    <row r="1189" spans="1:20">
      <c r="A1189" s="1303"/>
      <c r="B1189" s="1322" t="s">
        <v>4623</v>
      </c>
      <c r="C1189" s="1323" t="s">
        <v>4624</v>
      </c>
      <c r="D1189" s="1324">
        <f t="shared" si="138"/>
        <v>40155</v>
      </c>
      <c r="E1189" s="1323">
        <f t="shared" si="140"/>
        <v>7.4823000000000004</v>
      </c>
      <c r="F1189" s="1323">
        <f t="shared" si="139"/>
        <v>7.8137918705925413</v>
      </c>
      <c r="G1189" s="1323">
        <f t="shared" si="141"/>
        <v>2009</v>
      </c>
      <c r="H1189" s="1323">
        <f t="shared" si="142"/>
        <v>12</v>
      </c>
      <c r="I1189" s="1323">
        <f t="shared" si="143"/>
        <v>8</v>
      </c>
      <c r="J1189" s="1323"/>
      <c r="K1189" s="1323"/>
      <c r="L1189" s="1323"/>
      <c r="M1189" s="1323"/>
      <c r="N1189" s="1323"/>
      <c r="O1189" s="1323"/>
      <c r="P1189" s="1323"/>
      <c r="Q1189" s="1323"/>
      <c r="R1189" s="1304"/>
      <c r="S1189" s="1304"/>
      <c r="T1189" s="1304"/>
    </row>
    <row r="1190" spans="1:20">
      <c r="A1190" s="1303"/>
      <c r="B1190" s="1322" t="s">
        <v>4625</v>
      </c>
      <c r="C1190" s="1323" t="s">
        <v>4626</v>
      </c>
      <c r="D1190" s="1324">
        <f t="shared" si="138"/>
        <v>40154</v>
      </c>
      <c r="E1190" s="1323">
        <f t="shared" si="140"/>
        <v>7.4776999999999996</v>
      </c>
      <c r="F1190" s="1323">
        <f t="shared" si="139"/>
        <v>7.8122936225005546</v>
      </c>
      <c r="G1190" s="1323">
        <f t="shared" si="141"/>
        <v>2009</v>
      </c>
      <c r="H1190" s="1323">
        <f t="shared" si="142"/>
        <v>12</v>
      </c>
      <c r="I1190" s="1323">
        <f t="shared" si="143"/>
        <v>7</v>
      </c>
      <c r="J1190" s="1323"/>
      <c r="K1190" s="1323"/>
      <c r="L1190" s="1323"/>
      <c r="M1190" s="1323"/>
      <c r="N1190" s="1323"/>
      <c r="O1190" s="1323"/>
      <c r="P1190" s="1323"/>
      <c r="Q1190" s="1323"/>
      <c r="R1190" s="1304"/>
      <c r="S1190" s="1304"/>
      <c r="T1190" s="1304"/>
    </row>
    <row r="1191" spans="1:20">
      <c r="A1191" s="1303"/>
      <c r="B1191" s="1322" t="s">
        <v>4627</v>
      </c>
      <c r="C1191" s="1323" t="s">
        <v>3524</v>
      </c>
      <c r="D1191" s="1324">
        <f t="shared" si="138"/>
        <v>40151</v>
      </c>
      <c r="E1191" s="1323">
        <f t="shared" si="140"/>
        <v>7.3686999999999996</v>
      </c>
      <c r="F1191" s="1323">
        <f t="shared" si="139"/>
        <v>7.810795661688724</v>
      </c>
      <c r="G1191" s="1323">
        <f t="shared" si="141"/>
        <v>2009</v>
      </c>
      <c r="H1191" s="1323">
        <f t="shared" si="142"/>
        <v>12</v>
      </c>
      <c r="I1191" s="1323">
        <f t="shared" si="143"/>
        <v>4</v>
      </c>
      <c r="J1191" s="1323"/>
      <c r="K1191" s="1323"/>
      <c r="L1191" s="1323"/>
      <c r="M1191" s="1323"/>
      <c r="N1191" s="1323"/>
      <c r="O1191" s="1323"/>
      <c r="P1191" s="1323"/>
      <c r="Q1191" s="1323"/>
      <c r="R1191" s="1304"/>
      <c r="S1191" s="1304"/>
      <c r="T1191" s="1304"/>
    </row>
    <row r="1192" spans="1:20">
      <c r="A1192" s="1303"/>
      <c r="B1192" s="1322" t="s">
        <v>4628</v>
      </c>
      <c r="C1192" s="1323" t="s">
        <v>4629</v>
      </c>
      <c r="D1192" s="1324">
        <f t="shared" si="138"/>
        <v>40150</v>
      </c>
      <c r="E1192" s="1323">
        <f t="shared" si="140"/>
        <v>7.2823000000000002</v>
      </c>
      <c r="F1192" s="1323">
        <f t="shared" si="139"/>
        <v>7.8092979881019646</v>
      </c>
      <c r="G1192" s="1323">
        <f t="shared" si="141"/>
        <v>2009</v>
      </c>
      <c r="H1192" s="1323">
        <f t="shared" si="142"/>
        <v>12</v>
      </c>
      <c r="I1192" s="1323">
        <f t="shared" si="143"/>
        <v>3</v>
      </c>
      <c r="J1192" s="1323"/>
      <c r="K1192" s="1323"/>
      <c r="L1192" s="1323"/>
      <c r="M1192" s="1323"/>
      <c r="N1192" s="1323"/>
      <c r="O1192" s="1323"/>
      <c r="P1192" s="1323"/>
      <c r="Q1192" s="1323"/>
      <c r="R1192" s="1304"/>
      <c r="S1192" s="1304"/>
      <c r="T1192" s="1304"/>
    </row>
    <row r="1193" spans="1:20">
      <c r="A1193" s="1303"/>
      <c r="B1193" s="1322" t="s">
        <v>4630</v>
      </c>
      <c r="C1193" s="1323" t="s">
        <v>4631</v>
      </c>
      <c r="D1193" s="1324">
        <f t="shared" si="138"/>
        <v>40149</v>
      </c>
      <c r="E1193" s="1323">
        <f t="shared" si="140"/>
        <v>7.2868000000000004</v>
      </c>
      <c r="F1193" s="1323">
        <f t="shared" si="139"/>
        <v>7.8078006016852024</v>
      </c>
      <c r="G1193" s="1323">
        <f t="shared" si="141"/>
        <v>2009</v>
      </c>
      <c r="H1193" s="1323">
        <f t="shared" si="142"/>
        <v>12</v>
      </c>
      <c r="I1193" s="1323">
        <f t="shared" si="143"/>
        <v>2</v>
      </c>
      <c r="J1193" s="1323"/>
      <c r="K1193" s="1323"/>
      <c r="L1193" s="1323"/>
      <c r="M1193" s="1323"/>
      <c r="N1193" s="1323"/>
      <c r="O1193" s="1323"/>
      <c r="P1193" s="1323"/>
      <c r="Q1193" s="1323"/>
      <c r="R1193" s="1304"/>
      <c r="S1193" s="1304"/>
      <c r="T1193" s="1304"/>
    </row>
    <row r="1194" spans="1:20">
      <c r="A1194" s="1303"/>
      <c r="B1194" s="1322" t="s">
        <v>4632</v>
      </c>
      <c r="C1194" s="1323" t="s">
        <v>4633</v>
      </c>
      <c r="D1194" s="1324">
        <f t="shared" si="138"/>
        <v>40148</v>
      </c>
      <c r="E1194" s="1323">
        <f t="shared" si="140"/>
        <v>7.3661000000000003</v>
      </c>
      <c r="F1194" s="1323">
        <f t="shared" si="139"/>
        <v>7.8063035023833756</v>
      </c>
      <c r="G1194" s="1323">
        <f t="shared" si="141"/>
        <v>2009</v>
      </c>
      <c r="H1194" s="1323">
        <f t="shared" si="142"/>
        <v>12</v>
      </c>
      <c r="I1194" s="1323">
        <f t="shared" si="143"/>
        <v>1</v>
      </c>
      <c r="J1194" s="1323"/>
      <c r="K1194" s="1323"/>
      <c r="L1194" s="1323"/>
      <c r="M1194" s="1323"/>
      <c r="N1194" s="1323"/>
      <c r="O1194" s="1323"/>
      <c r="P1194" s="1323"/>
      <c r="Q1194" s="1323"/>
      <c r="R1194" s="1304"/>
      <c r="S1194" s="1304"/>
      <c r="T1194" s="1304"/>
    </row>
    <row r="1195" spans="1:20">
      <c r="A1195" s="1303"/>
      <c r="B1195" s="1322" t="s">
        <v>4634</v>
      </c>
      <c r="C1195" s="1323" t="s">
        <v>4635</v>
      </c>
      <c r="D1195" s="1324">
        <f t="shared" si="138"/>
        <v>40147</v>
      </c>
      <c r="E1195" s="1323">
        <f t="shared" si="140"/>
        <v>7.4002999999999997</v>
      </c>
      <c r="F1195" s="1323">
        <f t="shared" si="139"/>
        <v>7.8048066901414304</v>
      </c>
      <c r="G1195" s="1323">
        <f t="shared" si="141"/>
        <v>2009</v>
      </c>
      <c r="H1195" s="1323">
        <f t="shared" si="142"/>
        <v>11</v>
      </c>
      <c r="I1195" s="1323">
        <f t="shared" si="143"/>
        <v>30</v>
      </c>
      <c r="J1195" s="1323"/>
      <c r="K1195" s="1323"/>
      <c r="L1195" s="1323"/>
      <c r="M1195" s="1323"/>
      <c r="N1195" s="1323"/>
      <c r="O1195" s="1323"/>
      <c r="P1195" s="1323"/>
      <c r="Q1195" s="1323"/>
      <c r="R1195" s="1304"/>
      <c r="S1195" s="1304"/>
      <c r="T1195" s="1304"/>
    </row>
    <row r="1196" spans="1:20">
      <c r="A1196" s="1303"/>
      <c r="B1196" s="1322" t="s">
        <v>4636</v>
      </c>
      <c r="C1196" s="1323" t="s">
        <v>4637</v>
      </c>
      <c r="D1196" s="1324">
        <f t="shared" si="138"/>
        <v>40144</v>
      </c>
      <c r="E1196" s="1323">
        <f t="shared" si="140"/>
        <v>7.5877999999999997</v>
      </c>
      <c r="F1196" s="1323">
        <f t="shared" si="139"/>
        <v>7.8033101649043255</v>
      </c>
      <c r="G1196" s="1323">
        <f t="shared" si="141"/>
        <v>2009</v>
      </c>
      <c r="H1196" s="1323">
        <f t="shared" si="142"/>
        <v>11</v>
      </c>
      <c r="I1196" s="1323">
        <f t="shared" si="143"/>
        <v>27</v>
      </c>
      <c r="J1196" s="1323"/>
      <c r="K1196" s="1323"/>
      <c r="L1196" s="1323"/>
      <c r="M1196" s="1323"/>
      <c r="N1196" s="1323"/>
      <c r="O1196" s="1323"/>
      <c r="P1196" s="1323"/>
      <c r="Q1196" s="1323"/>
      <c r="R1196" s="1304"/>
      <c r="S1196" s="1304"/>
      <c r="T1196" s="1304"/>
    </row>
    <row r="1197" spans="1:20">
      <c r="A1197" s="1303"/>
      <c r="B1197" s="1322" t="s">
        <v>4638</v>
      </c>
      <c r="C1197" s="1323" t="s">
        <v>4639</v>
      </c>
      <c r="D1197" s="1324">
        <f t="shared" si="138"/>
        <v>40143</v>
      </c>
      <c r="E1197" s="1323">
        <f t="shared" si="140"/>
        <v>7.3879999999999999</v>
      </c>
      <c r="F1197" s="1323">
        <f t="shared" si="139"/>
        <v>7.8018139266170285</v>
      </c>
      <c r="G1197" s="1323">
        <f t="shared" si="141"/>
        <v>2009</v>
      </c>
      <c r="H1197" s="1323">
        <f t="shared" si="142"/>
        <v>11</v>
      </c>
      <c r="I1197" s="1323">
        <f t="shared" si="143"/>
        <v>26</v>
      </c>
      <c r="J1197" s="1323"/>
      <c r="K1197" s="1323"/>
      <c r="L1197" s="1323"/>
      <c r="M1197" s="1323"/>
      <c r="N1197" s="1323"/>
      <c r="O1197" s="1323"/>
      <c r="P1197" s="1323"/>
      <c r="Q1197" s="1323"/>
      <c r="R1197" s="1304"/>
      <c r="S1197" s="1304"/>
      <c r="T1197" s="1304"/>
    </row>
    <row r="1198" spans="1:20">
      <c r="A1198" s="1303"/>
      <c r="B1198" s="1322" t="s">
        <v>4640</v>
      </c>
      <c r="C1198" s="1323" t="s">
        <v>4641</v>
      </c>
      <c r="D1198" s="1324">
        <f t="shared" si="138"/>
        <v>40142</v>
      </c>
      <c r="E1198" s="1323">
        <f t="shared" si="140"/>
        <v>7.3975</v>
      </c>
      <c r="F1198" s="1323">
        <f t="shared" si="139"/>
        <v>7.8003179752245195</v>
      </c>
      <c r="G1198" s="1323">
        <f t="shared" si="141"/>
        <v>2009</v>
      </c>
      <c r="H1198" s="1323">
        <f t="shared" si="142"/>
        <v>11</v>
      </c>
      <c r="I1198" s="1323">
        <f t="shared" si="143"/>
        <v>25</v>
      </c>
      <c r="J1198" s="1323"/>
      <c r="K1198" s="1323"/>
      <c r="L1198" s="1323"/>
      <c r="M1198" s="1323"/>
      <c r="N1198" s="1323"/>
      <c r="O1198" s="1323"/>
      <c r="P1198" s="1323"/>
      <c r="Q1198" s="1323"/>
      <c r="R1198" s="1304"/>
      <c r="S1198" s="1304"/>
      <c r="T1198" s="1304"/>
    </row>
    <row r="1199" spans="1:20">
      <c r="A1199" s="1303"/>
      <c r="B1199" s="1322" t="s">
        <v>4642</v>
      </c>
      <c r="C1199" s="1323" t="s">
        <v>4643</v>
      </c>
      <c r="D1199" s="1324">
        <f t="shared" si="138"/>
        <v>40141</v>
      </c>
      <c r="E1199" s="1323">
        <f t="shared" si="140"/>
        <v>7.5216000000000003</v>
      </c>
      <c r="F1199" s="1323">
        <f t="shared" si="139"/>
        <v>7.7988223106717873</v>
      </c>
      <c r="G1199" s="1323">
        <f t="shared" si="141"/>
        <v>2009</v>
      </c>
      <c r="H1199" s="1323">
        <f t="shared" si="142"/>
        <v>11</v>
      </c>
      <c r="I1199" s="1323">
        <f t="shared" si="143"/>
        <v>24</v>
      </c>
      <c r="J1199" s="1323"/>
      <c r="K1199" s="1323"/>
      <c r="L1199" s="1323"/>
      <c r="M1199" s="1323"/>
      <c r="N1199" s="1323"/>
      <c r="O1199" s="1323"/>
      <c r="P1199" s="1323"/>
      <c r="Q1199" s="1323"/>
      <c r="R1199" s="1304"/>
      <c r="S1199" s="1304"/>
      <c r="T1199" s="1304"/>
    </row>
    <row r="1200" spans="1:20">
      <c r="A1200" s="1303"/>
      <c r="B1200" s="1322" t="s">
        <v>4644</v>
      </c>
      <c r="C1200" s="1323" t="s">
        <v>4645</v>
      </c>
      <c r="D1200" s="1324">
        <f t="shared" si="138"/>
        <v>40140</v>
      </c>
      <c r="E1200" s="1323">
        <f t="shared" si="140"/>
        <v>7.5015000000000001</v>
      </c>
      <c r="F1200" s="1323">
        <f t="shared" si="139"/>
        <v>7.7973269329038333</v>
      </c>
      <c r="G1200" s="1323">
        <f t="shared" si="141"/>
        <v>2009</v>
      </c>
      <c r="H1200" s="1323">
        <f t="shared" si="142"/>
        <v>11</v>
      </c>
      <c r="I1200" s="1323">
        <f t="shared" si="143"/>
        <v>23</v>
      </c>
      <c r="J1200" s="1323"/>
      <c r="K1200" s="1323"/>
      <c r="L1200" s="1323"/>
      <c r="M1200" s="1323"/>
      <c r="N1200" s="1323"/>
      <c r="O1200" s="1323"/>
      <c r="P1200" s="1323"/>
      <c r="Q1200" s="1323"/>
      <c r="R1200" s="1304"/>
      <c r="S1200" s="1304"/>
      <c r="T1200" s="1304"/>
    </row>
    <row r="1201" spans="1:20">
      <c r="A1201" s="1303"/>
      <c r="B1201" s="1322" t="s">
        <v>4646</v>
      </c>
      <c r="C1201" s="1323" t="s">
        <v>4647</v>
      </c>
      <c r="D1201" s="1324">
        <f t="shared" si="138"/>
        <v>40137</v>
      </c>
      <c r="E1201" s="1323">
        <f t="shared" si="140"/>
        <v>7.5239000000000003</v>
      </c>
      <c r="F1201" s="1323">
        <f t="shared" si="139"/>
        <v>7.7958318418656667</v>
      </c>
      <c r="G1201" s="1323">
        <f t="shared" si="141"/>
        <v>2009</v>
      </c>
      <c r="H1201" s="1323">
        <f t="shared" si="142"/>
        <v>11</v>
      </c>
      <c r="I1201" s="1323">
        <f t="shared" si="143"/>
        <v>20</v>
      </c>
      <c r="J1201" s="1323"/>
      <c r="K1201" s="1323"/>
      <c r="L1201" s="1323"/>
      <c r="M1201" s="1323"/>
      <c r="N1201" s="1323"/>
      <c r="O1201" s="1323"/>
      <c r="P1201" s="1323"/>
      <c r="Q1201" s="1323"/>
      <c r="R1201" s="1304"/>
      <c r="S1201" s="1304"/>
      <c r="T1201" s="1304"/>
    </row>
    <row r="1202" spans="1:20">
      <c r="A1202" s="1303"/>
      <c r="B1202" s="1322" t="s">
        <v>4648</v>
      </c>
      <c r="C1202" s="1323" t="s">
        <v>4649</v>
      </c>
      <c r="D1202" s="1324">
        <f t="shared" si="138"/>
        <v>40136</v>
      </c>
      <c r="E1202" s="1323">
        <f t="shared" si="140"/>
        <v>7.5228999999999999</v>
      </c>
      <c r="F1202" s="1323">
        <f t="shared" si="139"/>
        <v>7.7943370375023102</v>
      </c>
      <c r="G1202" s="1323">
        <f t="shared" si="141"/>
        <v>2009</v>
      </c>
      <c r="H1202" s="1323">
        <f t="shared" si="142"/>
        <v>11</v>
      </c>
      <c r="I1202" s="1323">
        <f t="shared" si="143"/>
        <v>19</v>
      </c>
      <c r="J1202" s="1323"/>
      <c r="K1202" s="1323"/>
      <c r="L1202" s="1323"/>
      <c r="M1202" s="1323"/>
      <c r="N1202" s="1323"/>
      <c r="O1202" s="1323"/>
      <c r="P1202" s="1323"/>
      <c r="Q1202" s="1323"/>
      <c r="R1202" s="1304"/>
      <c r="S1202" s="1304"/>
      <c r="T1202" s="1304"/>
    </row>
    <row r="1203" spans="1:20">
      <c r="A1203" s="1303"/>
      <c r="B1203" s="1322" t="s">
        <v>4650</v>
      </c>
      <c r="C1203" s="1323" t="s">
        <v>4651</v>
      </c>
      <c r="D1203" s="1324">
        <f t="shared" si="138"/>
        <v>40135</v>
      </c>
      <c r="E1203" s="1323">
        <f t="shared" si="140"/>
        <v>7.4390999999999998</v>
      </c>
      <c r="F1203" s="1323">
        <f t="shared" si="139"/>
        <v>7.7928425197587945</v>
      </c>
      <c r="G1203" s="1323">
        <f t="shared" si="141"/>
        <v>2009</v>
      </c>
      <c r="H1203" s="1323">
        <f t="shared" si="142"/>
        <v>11</v>
      </c>
      <c r="I1203" s="1323">
        <f t="shared" si="143"/>
        <v>18</v>
      </c>
      <c r="J1203" s="1323"/>
      <c r="K1203" s="1323"/>
      <c r="L1203" s="1323"/>
      <c r="M1203" s="1323"/>
      <c r="N1203" s="1323"/>
      <c r="O1203" s="1323"/>
      <c r="P1203" s="1323"/>
      <c r="Q1203" s="1323"/>
      <c r="R1203" s="1304"/>
      <c r="S1203" s="1304"/>
      <c r="T1203" s="1304"/>
    </row>
    <row r="1204" spans="1:20">
      <c r="A1204" s="1303"/>
      <c r="B1204" s="1322" t="s">
        <v>4652</v>
      </c>
      <c r="C1204" s="1323" t="s">
        <v>4653</v>
      </c>
      <c r="D1204" s="1324">
        <f t="shared" si="138"/>
        <v>40134</v>
      </c>
      <c r="E1204" s="1323">
        <f t="shared" si="140"/>
        <v>7.4135</v>
      </c>
      <c r="F1204" s="1323">
        <f t="shared" si="139"/>
        <v>7.7913482885801626</v>
      </c>
      <c r="G1204" s="1323">
        <f t="shared" si="141"/>
        <v>2009</v>
      </c>
      <c r="H1204" s="1323">
        <f t="shared" si="142"/>
        <v>11</v>
      </c>
      <c r="I1204" s="1323">
        <f t="shared" si="143"/>
        <v>17</v>
      </c>
      <c r="J1204" s="1323"/>
      <c r="K1204" s="1323"/>
      <c r="L1204" s="1323"/>
      <c r="M1204" s="1323"/>
      <c r="N1204" s="1323"/>
      <c r="O1204" s="1323"/>
      <c r="P1204" s="1323"/>
      <c r="Q1204" s="1323"/>
      <c r="R1204" s="1304"/>
      <c r="S1204" s="1304"/>
      <c r="T1204" s="1304"/>
    </row>
    <row r="1205" spans="1:20">
      <c r="A1205" s="1303"/>
      <c r="B1205" s="1322" t="s">
        <v>4654</v>
      </c>
      <c r="C1205" s="1323" t="s">
        <v>4655</v>
      </c>
      <c r="D1205" s="1324">
        <f t="shared" si="138"/>
        <v>40133</v>
      </c>
      <c r="E1205" s="1323">
        <f t="shared" si="140"/>
        <v>7.3771000000000004</v>
      </c>
      <c r="F1205" s="1323">
        <f t="shared" si="139"/>
        <v>7.7898543439114674</v>
      </c>
      <c r="G1205" s="1323">
        <f t="shared" si="141"/>
        <v>2009</v>
      </c>
      <c r="H1205" s="1323">
        <f t="shared" si="142"/>
        <v>11</v>
      </c>
      <c r="I1205" s="1323">
        <f t="shared" si="143"/>
        <v>16</v>
      </c>
      <c r="J1205" s="1323"/>
      <c r="K1205" s="1323"/>
      <c r="L1205" s="1323"/>
      <c r="M1205" s="1323"/>
      <c r="N1205" s="1323"/>
      <c r="O1205" s="1323"/>
      <c r="P1205" s="1323"/>
      <c r="Q1205" s="1323"/>
      <c r="R1205" s="1304"/>
      <c r="S1205" s="1304"/>
      <c r="T1205" s="1304"/>
    </row>
    <row r="1206" spans="1:20">
      <c r="A1206" s="1303"/>
      <c r="B1206" s="1322" t="s">
        <v>4656</v>
      </c>
      <c r="C1206" s="1323" t="s">
        <v>4657</v>
      </c>
      <c r="D1206" s="1324">
        <f t="shared" si="138"/>
        <v>40130</v>
      </c>
      <c r="E1206" s="1323">
        <f t="shared" si="140"/>
        <v>7.4550999999999998</v>
      </c>
      <c r="F1206" s="1323">
        <f t="shared" si="139"/>
        <v>7.7883606856977714</v>
      </c>
      <c r="G1206" s="1323">
        <f t="shared" si="141"/>
        <v>2009</v>
      </c>
      <c r="H1206" s="1323">
        <f t="shared" si="142"/>
        <v>11</v>
      </c>
      <c r="I1206" s="1323">
        <f t="shared" si="143"/>
        <v>13</v>
      </c>
      <c r="J1206" s="1323"/>
      <c r="K1206" s="1323"/>
      <c r="L1206" s="1323"/>
      <c r="M1206" s="1323"/>
      <c r="N1206" s="1323"/>
      <c r="O1206" s="1323"/>
      <c r="P1206" s="1323"/>
      <c r="Q1206" s="1323"/>
      <c r="R1206" s="1304"/>
      <c r="S1206" s="1304"/>
      <c r="T1206" s="1304"/>
    </row>
    <row r="1207" spans="1:20">
      <c r="A1207" s="1303"/>
      <c r="B1207" s="1322" t="s">
        <v>4658</v>
      </c>
      <c r="C1207" s="1323" t="s">
        <v>4659</v>
      </c>
      <c r="D1207" s="1324">
        <f t="shared" si="138"/>
        <v>40129</v>
      </c>
      <c r="E1207" s="1323">
        <f t="shared" si="140"/>
        <v>7.3948</v>
      </c>
      <c r="F1207" s="1323">
        <f t="shared" si="139"/>
        <v>7.7868673138841498</v>
      </c>
      <c r="G1207" s="1323">
        <f t="shared" si="141"/>
        <v>2009</v>
      </c>
      <c r="H1207" s="1323">
        <f t="shared" si="142"/>
        <v>11</v>
      </c>
      <c r="I1207" s="1323">
        <f t="shared" si="143"/>
        <v>12</v>
      </c>
      <c r="J1207" s="1323"/>
      <c r="K1207" s="1323"/>
      <c r="L1207" s="1323"/>
      <c r="M1207" s="1323"/>
      <c r="N1207" s="1323"/>
      <c r="O1207" s="1323"/>
      <c r="P1207" s="1323"/>
      <c r="Q1207" s="1323"/>
      <c r="R1207" s="1304"/>
      <c r="S1207" s="1304"/>
      <c r="T1207" s="1304"/>
    </row>
    <row r="1208" spans="1:20">
      <c r="A1208" s="1303"/>
      <c r="B1208" s="1322" t="s">
        <v>4660</v>
      </c>
      <c r="C1208" s="1323" t="s">
        <v>4661</v>
      </c>
      <c r="D1208" s="1324">
        <f t="shared" si="138"/>
        <v>40128</v>
      </c>
      <c r="E1208" s="1323">
        <f t="shared" si="140"/>
        <v>7.3465999999999996</v>
      </c>
      <c r="F1208" s="1323">
        <f t="shared" si="139"/>
        <v>7.7853742284156864</v>
      </c>
      <c r="G1208" s="1323">
        <f t="shared" si="141"/>
        <v>2009</v>
      </c>
      <c r="H1208" s="1323">
        <f t="shared" si="142"/>
        <v>11</v>
      </c>
      <c r="I1208" s="1323">
        <f t="shared" si="143"/>
        <v>11</v>
      </c>
      <c r="J1208" s="1323"/>
      <c r="K1208" s="1323"/>
      <c r="L1208" s="1323"/>
      <c r="M1208" s="1323"/>
      <c r="N1208" s="1323"/>
      <c r="O1208" s="1323"/>
      <c r="P1208" s="1323"/>
      <c r="Q1208" s="1323"/>
      <c r="R1208" s="1304"/>
      <c r="S1208" s="1304"/>
      <c r="T1208" s="1304"/>
    </row>
    <row r="1209" spans="1:20">
      <c r="A1209" s="1303"/>
      <c r="B1209" s="1322" t="s">
        <v>4662</v>
      </c>
      <c r="C1209" s="1323" t="s">
        <v>4663</v>
      </c>
      <c r="D1209" s="1324">
        <f t="shared" si="138"/>
        <v>40127</v>
      </c>
      <c r="E1209" s="1323">
        <f t="shared" si="140"/>
        <v>7.4405000000000001</v>
      </c>
      <c r="F1209" s="1323">
        <f t="shared" si="139"/>
        <v>7.7838814292374758</v>
      </c>
      <c r="G1209" s="1323">
        <f t="shared" si="141"/>
        <v>2009</v>
      </c>
      <c r="H1209" s="1323">
        <f t="shared" si="142"/>
        <v>11</v>
      </c>
      <c r="I1209" s="1323">
        <f t="shared" si="143"/>
        <v>10</v>
      </c>
      <c r="J1209" s="1323"/>
      <c r="K1209" s="1323"/>
      <c r="L1209" s="1323"/>
      <c r="M1209" s="1323"/>
      <c r="N1209" s="1323"/>
      <c r="O1209" s="1323"/>
      <c r="P1209" s="1323"/>
      <c r="Q1209" s="1323"/>
      <c r="R1209" s="1304"/>
      <c r="S1209" s="1304"/>
      <c r="T1209" s="1304"/>
    </row>
    <row r="1210" spans="1:20">
      <c r="A1210" s="1303"/>
      <c r="B1210" s="1322" t="s">
        <v>4664</v>
      </c>
      <c r="C1210" s="1323" t="s">
        <v>4665</v>
      </c>
      <c r="D1210" s="1324">
        <f t="shared" si="138"/>
        <v>40126</v>
      </c>
      <c r="E1210" s="1323">
        <f t="shared" si="140"/>
        <v>7.4528999999999996</v>
      </c>
      <c r="F1210" s="1323">
        <f t="shared" si="139"/>
        <v>7.7823889162946243</v>
      </c>
      <c r="G1210" s="1323">
        <f t="shared" si="141"/>
        <v>2009</v>
      </c>
      <c r="H1210" s="1323">
        <f t="shared" si="142"/>
        <v>11</v>
      </c>
      <c r="I1210" s="1323">
        <f t="shared" si="143"/>
        <v>9</v>
      </c>
      <c r="J1210" s="1323"/>
      <c r="K1210" s="1323"/>
      <c r="L1210" s="1323"/>
      <c r="M1210" s="1323"/>
      <c r="N1210" s="1323"/>
      <c r="O1210" s="1323"/>
      <c r="P1210" s="1323"/>
      <c r="Q1210" s="1323"/>
      <c r="R1210" s="1304"/>
      <c r="S1210" s="1304"/>
      <c r="T1210" s="1304"/>
    </row>
    <row r="1211" spans="1:20">
      <c r="A1211" s="1303"/>
      <c r="B1211" s="1322" t="s">
        <v>4666</v>
      </c>
      <c r="C1211" s="1323" t="s">
        <v>4667</v>
      </c>
      <c r="D1211" s="1324">
        <f t="shared" si="138"/>
        <v>40123</v>
      </c>
      <c r="E1211" s="1323">
        <f t="shared" si="140"/>
        <v>7.57</v>
      </c>
      <c r="F1211" s="1323">
        <f t="shared" si="139"/>
        <v>7.7808966895322476</v>
      </c>
      <c r="G1211" s="1323">
        <f t="shared" si="141"/>
        <v>2009</v>
      </c>
      <c r="H1211" s="1323">
        <f t="shared" si="142"/>
        <v>11</v>
      </c>
      <c r="I1211" s="1323">
        <f t="shared" si="143"/>
        <v>6</v>
      </c>
      <c r="J1211" s="1323"/>
      <c r="K1211" s="1323"/>
      <c r="L1211" s="1323"/>
      <c r="M1211" s="1323"/>
      <c r="N1211" s="1323"/>
      <c r="O1211" s="1323"/>
      <c r="P1211" s="1323"/>
      <c r="Q1211" s="1323"/>
      <c r="R1211" s="1304"/>
      <c r="S1211" s="1304"/>
      <c r="T1211" s="1304"/>
    </row>
    <row r="1212" spans="1:20">
      <c r="A1212" s="1303"/>
      <c r="B1212" s="1322" t="s">
        <v>4668</v>
      </c>
      <c r="C1212" s="1323" t="s">
        <v>4669</v>
      </c>
      <c r="D1212" s="1324">
        <f t="shared" si="138"/>
        <v>40122</v>
      </c>
      <c r="E1212" s="1323">
        <f t="shared" si="140"/>
        <v>7.6708999999999996</v>
      </c>
      <c r="F1212" s="1323">
        <f t="shared" si="139"/>
        <v>7.7794047488954732</v>
      </c>
      <c r="G1212" s="1323">
        <f t="shared" si="141"/>
        <v>2009</v>
      </c>
      <c r="H1212" s="1323">
        <f t="shared" si="142"/>
        <v>11</v>
      </c>
      <c r="I1212" s="1323">
        <f t="shared" si="143"/>
        <v>5</v>
      </c>
      <c r="J1212" s="1323"/>
      <c r="K1212" s="1323"/>
      <c r="L1212" s="1323"/>
      <c r="M1212" s="1323"/>
      <c r="N1212" s="1323"/>
      <c r="O1212" s="1323"/>
      <c r="P1212" s="1323"/>
      <c r="Q1212" s="1323"/>
      <c r="R1212" s="1304"/>
      <c r="S1212" s="1304"/>
      <c r="T1212" s="1304"/>
    </row>
    <row r="1213" spans="1:20">
      <c r="A1213" s="1303"/>
      <c r="B1213" s="1322" t="s">
        <v>4670</v>
      </c>
      <c r="C1213" s="1323" t="s">
        <v>4671</v>
      </c>
      <c r="D1213" s="1324">
        <f t="shared" si="138"/>
        <v>40121</v>
      </c>
      <c r="E1213" s="1323">
        <f t="shared" si="140"/>
        <v>7.7481</v>
      </c>
      <c r="F1213" s="1323">
        <f t="shared" si="139"/>
        <v>7.7779130943294374</v>
      </c>
      <c r="G1213" s="1323">
        <f t="shared" si="141"/>
        <v>2009</v>
      </c>
      <c r="H1213" s="1323">
        <f t="shared" si="142"/>
        <v>11</v>
      </c>
      <c r="I1213" s="1323">
        <f t="shared" si="143"/>
        <v>4</v>
      </c>
      <c r="J1213" s="1323"/>
      <c r="K1213" s="1323"/>
      <c r="L1213" s="1323"/>
      <c r="M1213" s="1323"/>
      <c r="N1213" s="1323"/>
      <c r="O1213" s="1323"/>
      <c r="P1213" s="1323"/>
      <c r="Q1213" s="1323"/>
      <c r="R1213" s="1304"/>
      <c r="S1213" s="1304"/>
      <c r="T1213" s="1304"/>
    </row>
    <row r="1214" spans="1:20">
      <c r="A1214" s="1303"/>
      <c r="B1214" s="1322" t="s">
        <v>4672</v>
      </c>
      <c r="C1214" s="1323" t="s">
        <v>4673</v>
      </c>
      <c r="D1214" s="1324">
        <f t="shared" si="138"/>
        <v>40120</v>
      </c>
      <c r="E1214" s="1323">
        <f t="shared" si="140"/>
        <v>7.9173999999999998</v>
      </c>
      <c r="F1214" s="1323">
        <f t="shared" si="139"/>
        <v>7.7764217257792874</v>
      </c>
      <c r="G1214" s="1323">
        <f t="shared" si="141"/>
        <v>2009</v>
      </c>
      <c r="H1214" s="1323">
        <f t="shared" si="142"/>
        <v>11</v>
      </c>
      <c r="I1214" s="1323">
        <f t="shared" si="143"/>
        <v>3</v>
      </c>
      <c r="J1214" s="1323"/>
      <c r="K1214" s="1323"/>
      <c r="L1214" s="1323"/>
      <c r="M1214" s="1323"/>
      <c r="N1214" s="1323"/>
      <c r="O1214" s="1323"/>
      <c r="P1214" s="1323"/>
      <c r="Q1214" s="1323"/>
      <c r="R1214" s="1304"/>
      <c r="S1214" s="1304"/>
      <c r="T1214" s="1304"/>
    </row>
    <row r="1215" spans="1:20">
      <c r="A1215" s="1303"/>
      <c r="B1215" s="1322" t="s">
        <v>4674</v>
      </c>
      <c r="C1215" s="1323" t="s">
        <v>4675</v>
      </c>
      <c r="D1215" s="1324">
        <f t="shared" si="138"/>
        <v>40119</v>
      </c>
      <c r="E1215" s="1323">
        <f t="shared" si="140"/>
        <v>7.8796999999999997</v>
      </c>
      <c r="F1215" s="1323">
        <f t="shared" si="139"/>
        <v>7.7749306431901823</v>
      </c>
      <c r="G1215" s="1323">
        <f t="shared" si="141"/>
        <v>2009</v>
      </c>
      <c r="H1215" s="1323">
        <f t="shared" si="142"/>
        <v>11</v>
      </c>
      <c r="I1215" s="1323">
        <f t="shared" si="143"/>
        <v>2</v>
      </c>
      <c r="J1215" s="1323"/>
      <c r="K1215" s="1323"/>
      <c r="L1215" s="1323"/>
      <c r="M1215" s="1323"/>
      <c r="N1215" s="1323"/>
      <c r="O1215" s="1323"/>
      <c r="P1215" s="1323"/>
      <c r="Q1215" s="1323"/>
      <c r="R1215" s="1304"/>
      <c r="S1215" s="1304"/>
      <c r="T1215" s="1304"/>
    </row>
    <row r="1216" spans="1:20">
      <c r="A1216" s="1303"/>
      <c r="B1216" s="1322" t="s">
        <v>4676</v>
      </c>
      <c r="C1216" s="1323" t="s">
        <v>4677</v>
      </c>
      <c r="D1216" s="1324">
        <f t="shared" si="138"/>
        <v>40116</v>
      </c>
      <c r="E1216" s="1323">
        <f t="shared" si="140"/>
        <v>7.7702999999999998</v>
      </c>
      <c r="F1216" s="1323">
        <f t="shared" si="139"/>
        <v>7.7734398465072907</v>
      </c>
      <c r="G1216" s="1323">
        <f t="shared" si="141"/>
        <v>2009</v>
      </c>
      <c r="H1216" s="1323">
        <f t="shared" si="142"/>
        <v>10</v>
      </c>
      <c r="I1216" s="1323">
        <f t="shared" si="143"/>
        <v>30</v>
      </c>
      <c r="J1216" s="1323"/>
      <c r="K1216" s="1323"/>
      <c r="L1216" s="1323"/>
      <c r="M1216" s="1323"/>
      <c r="N1216" s="1323"/>
      <c r="O1216" s="1323"/>
      <c r="P1216" s="1323"/>
      <c r="Q1216" s="1323"/>
      <c r="R1216" s="1304"/>
      <c r="S1216" s="1304"/>
      <c r="T1216" s="1304"/>
    </row>
    <row r="1217" spans="1:20">
      <c r="A1217" s="1303"/>
      <c r="B1217" s="1322" t="s">
        <v>4678</v>
      </c>
      <c r="C1217" s="1323" t="s">
        <v>4679</v>
      </c>
      <c r="D1217" s="1324">
        <f t="shared" si="138"/>
        <v>40115</v>
      </c>
      <c r="E1217" s="1323">
        <f t="shared" si="140"/>
        <v>7.8319999999999999</v>
      </c>
      <c r="F1217" s="1323">
        <f t="shared" si="139"/>
        <v>7.7719493356757914</v>
      </c>
      <c r="G1217" s="1323">
        <f t="shared" si="141"/>
        <v>2009</v>
      </c>
      <c r="H1217" s="1323">
        <f t="shared" si="142"/>
        <v>10</v>
      </c>
      <c r="I1217" s="1323">
        <f t="shared" si="143"/>
        <v>29</v>
      </c>
      <c r="J1217" s="1323"/>
      <c r="K1217" s="1323"/>
      <c r="L1217" s="1323"/>
      <c r="M1217" s="1323"/>
      <c r="N1217" s="1323"/>
      <c r="O1217" s="1323"/>
      <c r="P1217" s="1323"/>
      <c r="Q1217" s="1323"/>
      <c r="R1217" s="1304"/>
      <c r="S1217" s="1304"/>
      <c r="T1217" s="1304"/>
    </row>
    <row r="1218" spans="1:20">
      <c r="A1218" s="1303"/>
      <c r="B1218" s="1322" t="s">
        <v>4680</v>
      </c>
      <c r="C1218" s="1323" t="s">
        <v>4681</v>
      </c>
      <c r="D1218" s="1324">
        <f t="shared" si="138"/>
        <v>40114</v>
      </c>
      <c r="E1218" s="1323">
        <f t="shared" si="140"/>
        <v>7.7221000000000002</v>
      </c>
      <c r="F1218" s="1323">
        <f t="shared" si="139"/>
        <v>7.770459110640874</v>
      </c>
      <c r="G1218" s="1323">
        <f t="shared" si="141"/>
        <v>2009</v>
      </c>
      <c r="H1218" s="1323">
        <f t="shared" si="142"/>
        <v>10</v>
      </c>
      <c r="I1218" s="1323">
        <f t="shared" si="143"/>
        <v>28</v>
      </c>
      <c r="J1218" s="1323"/>
      <c r="K1218" s="1323"/>
      <c r="L1218" s="1323"/>
      <c r="M1218" s="1323"/>
      <c r="N1218" s="1323"/>
      <c r="O1218" s="1323"/>
      <c r="P1218" s="1323"/>
      <c r="Q1218" s="1323"/>
      <c r="R1218" s="1304"/>
      <c r="S1218" s="1304"/>
      <c r="T1218" s="1304"/>
    </row>
    <row r="1219" spans="1:20">
      <c r="A1219" s="1303"/>
      <c r="B1219" s="1322" t="s">
        <v>4682</v>
      </c>
      <c r="C1219" s="1323" t="s">
        <v>4683</v>
      </c>
      <c r="D1219" s="1324">
        <f t="shared" si="138"/>
        <v>40113</v>
      </c>
      <c r="E1219" s="1323">
        <f t="shared" si="140"/>
        <v>7.5862999999999996</v>
      </c>
      <c r="F1219" s="1323">
        <f t="shared" si="139"/>
        <v>7.7689691713477389</v>
      </c>
      <c r="G1219" s="1323">
        <f t="shared" si="141"/>
        <v>2009</v>
      </c>
      <c r="H1219" s="1323">
        <f t="shared" si="142"/>
        <v>10</v>
      </c>
      <c r="I1219" s="1323">
        <f t="shared" si="143"/>
        <v>27</v>
      </c>
      <c r="J1219" s="1323"/>
      <c r="K1219" s="1323"/>
      <c r="L1219" s="1323"/>
      <c r="M1219" s="1323"/>
      <c r="N1219" s="1323"/>
      <c r="O1219" s="1323"/>
      <c r="P1219" s="1323"/>
      <c r="Q1219" s="1323"/>
      <c r="R1219" s="1304"/>
      <c r="S1219" s="1304"/>
      <c r="T1219" s="1304"/>
    </row>
    <row r="1220" spans="1:20">
      <c r="A1220" s="1303"/>
      <c r="B1220" s="1322" t="s">
        <v>4684</v>
      </c>
      <c r="C1220" s="1323" t="s">
        <v>4685</v>
      </c>
      <c r="D1220" s="1324">
        <f t="shared" si="138"/>
        <v>40112</v>
      </c>
      <c r="E1220" s="1323">
        <f t="shared" si="140"/>
        <v>7.4916</v>
      </c>
      <c r="F1220" s="1323">
        <f t="shared" si="139"/>
        <v>7.7674795177415961</v>
      </c>
      <c r="G1220" s="1323">
        <f t="shared" si="141"/>
        <v>2009</v>
      </c>
      <c r="H1220" s="1323">
        <f t="shared" si="142"/>
        <v>10</v>
      </c>
      <c r="I1220" s="1323">
        <f t="shared" si="143"/>
        <v>26</v>
      </c>
      <c r="J1220" s="1323"/>
      <c r="K1220" s="1323"/>
      <c r="L1220" s="1323"/>
      <c r="M1220" s="1323"/>
      <c r="N1220" s="1323"/>
      <c r="O1220" s="1323"/>
      <c r="P1220" s="1323"/>
      <c r="Q1220" s="1323"/>
      <c r="R1220" s="1304"/>
      <c r="S1220" s="1304"/>
      <c r="T1220" s="1304"/>
    </row>
    <row r="1221" spans="1:20">
      <c r="A1221" s="1303"/>
      <c r="B1221" s="1322" t="s">
        <v>4686</v>
      </c>
      <c r="C1221" s="1323" t="s">
        <v>4687</v>
      </c>
      <c r="D1221" s="1324">
        <f t="shared" si="138"/>
        <v>40109</v>
      </c>
      <c r="E1221" s="1323">
        <f t="shared" si="140"/>
        <v>7.4492000000000003</v>
      </c>
      <c r="F1221" s="1323">
        <f t="shared" si="139"/>
        <v>7.765990149767668</v>
      </c>
      <c r="G1221" s="1323">
        <f t="shared" si="141"/>
        <v>2009</v>
      </c>
      <c r="H1221" s="1323">
        <f t="shared" si="142"/>
        <v>10</v>
      </c>
      <c r="I1221" s="1323">
        <f t="shared" si="143"/>
        <v>23</v>
      </c>
      <c r="J1221" s="1323"/>
      <c r="K1221" s="1323"/>
      <c r="L1221" s="1323"/>
      <c r="M1221" s="1323"/>
      <c r="N1221" s="1323"/>
      <c r="O1221" s="1323"/>
      <c r="P1221" s="1323"/>
      <c r="Q1221" s="1323"/>
      <c r="R1221" s="1304"/>
      <c r="S1221" s="1304"/>
      <c r="T1221" s="1304"/>
    </row>
    <row r="1222" spans="1:20">
      <c r="A1222" s="1303"/>
      <c r="B1222" s="1322" t="s">
        <v>4688</v>
      </c>
      <c r="C1222" s="1323" t="s">
        <v>4689</v>
      </c>
      <c r="D1222" s="1324">
        <f t="shared" si="138"/>
        <v>40108</v>
      </c>
      <c r="E1222" s="1323">
        <f t="shared" si="140"/>
        <v>7.5079000000000002</v>
      </c>
      <c r="F1222" s="1323">
        <f t="shared" si="139"/>
        <v>7.7645010673711852</v>
      </c>
      <c r="G1222" s="1323">
        <f t="shared" si="141"/>
        <v>2009</v>
      </c>
      <c r="H1222" s="1323">
        <f t="shared" si="142"/>
        <v>10</v>
      </c>
      <c r="I1222" s="1323">
        <f t="shared" si="143"/>
        <v>22</v>
      </c>
      <c r="J1222" s="1323"/>
      <c r="K1222" s="1323"/>
      <c r="L1222" s="1323"/>
      <c r="M1222" s="1323"/>
      <c r="N1222" s="1323"/>
      <c r="O1222" s="1323"/>
      <c r="P1222" s="1323"/>
      <c r="Q1222" s="1323"/>
      <c r="R1222" s="1304"/>
      <c r="S1222" s="1304"/>
      <c r="T1222" s="1304"/>
    </row>
    <row r="1223" spans="1:20">
      <c r="A1223" s="1303"/>
      <c r="B1223" s="1322" t="s">
        <v>4690</v>
      </c>
      <c r="C1223" s="1323" t="s">
        <v>4691</v>
      </c>
      <c r="D1223" s="1324">
        <f t="shared" si="138"/>
        <v>40107</v>
      </c>
      <c r="E1223" s="1323">
        <f t="shared" si="140"/>
        <v>7.3827999999999996</v>
      </c>
      <c r="F1223" s="1323">
        <f t="shared" si="139"/>
        <v>7.7630122704973905</v>
      </c>
      <c r="G1223" s="1323">
        <f t="shared" si="141"/>
        <v>2009</v>
      </c>
      <c r="H1223" s="1323">
        <f t="shared" si="142"/>
        <v>10</v>
      </c>
      <c r="I1223" s="1323">
        <f t="shared" si="143"/>
        <v>21</v>
      </c>
      <c r="J1223" s="1323"/>
      <c r="K1223" s="1323"/>
      <c r="L1223" s="1323"/>
      <c r="M1223" s="1323"/>
      <c r="N1223" s="1323"/>
      <c r="O1223" s="1323"/>
      <c r="P1223" s="1323"/>
      <c r="Q1223" s="1323"/>
      <c r="R1223" s="1304"/>
      <c r="S1223" s="1304"/>
      <c r="T1223" s="1304"/>
    </row>
    <row r="1224" spans="1:20">
      <c r="A1224" s="1303"/>
      <c r="B1224" s="1322" t="s">
        <v>4692</v>
      </c>
      <c r="C1224" s="1323" t="s">
        <v>4693</v>
      </c>
      <c r="D1224" s="1324">
        <f t="shared" si="138"/>
        <v>40106</v>
      </c>
      <c r="E1224" s="1323">
        <f t="shared" si="140"/>
        <v>7.3285999999999998</v>
      </c>
      <c r="F1224" s="1323">
        <f t="shared" si="139"/>
        <v>7.7615237590915367</v>
      </c>
      <c r="G1224" s="1323">
        <f t="shared" si="141"/>
        <v>2009</v>
      </c>
      <c r="H1224" s="1323">
        <f t="shared" si="142"/>
        <v>10</v>
      </c>
      <c r="I1224" s="1323">
        <f t="shared" si="143"/>
        <v>20</v>
      </c>
      <c r="J1224" s="1323"/>
      <c r="K1224" s="1323"/>
      <c r="L1224" s="1323"/>
      <c r="M1224" s="1323"/>
      <c r="N1224" s="1323"/>
      <c r="O1224" s="1323"/>
      <c r="P1224" s="1323"/>
      <c r="Q1224" s="1323"/>
      <c r="R1224" s="1304"/>
      <c r="S1224" s="1304"/>
      <c r="T1224" s="1304"/>
    </row>
    <row r="1225" spans="1:20">
      <c r="A1225" s="1303"/>
      <c r="B1225" s="1322" t="s">
        <v>4694</v>
      </c>
      <c r="C1225" s="1323" t="s">
        <v>4695</v>
      </c>
      <c r="D1225" s="1324">
        <f t="shared" ref="D1225:D1288" si="144">DATE(G1225,H1225,I1225)</f>
        <v>40105</v>
      </c>
      <c r="E1225" s="1323">
        <f t="shared" si="140"/>
        <v>7.3357999999999999</v>
      </c>
      <c r="F1225" s="1323">
        <f t="shared" ref="F1225:F1288" si="145">F1226*(1+$F$7/365)</f>
        <v>7.7600355330988871</v>
      </c>
      <c r="G1225" s="1323">
        <f t="shared" si="141"/>
        <v>2009</v>
      </c>
      <c r="H1225" s="1323">
        <f t="shared" si="142"/>
        <v>10</v>
      </c>
      <c r="I1225" s="1323">
        <f t="shared" si="143"/>
        <v>19</v>
      </c>
      <c r="J1225" s="1323"/>
      <c r="K1225" s="1323"/>
      <c r="L1225" s="1323"/>
      <c r="M1225" s="1323"/>
      <c r="N1225" s="1323"/>
      <c r="O1225" s="1323"/>
      <c r="P1225" s="1323"/>
      <c r="Q1225" s="1323"/>
      <c r="R1225" s="1304"/>
      <c r="S1225" s="1304"/>
      <c r="T1225" s="1304"/>
    </row>
    <row r="1226" spans="1:20">
      <c r="A1226" s="1303"/>
      <c r="B1226" s="1322" t="s">
        <v>4696</v>
      </c>
      <c r="C1226" s="1323" t="s">
        <v>4697</v>
      </c>
      <c r="D1226" s="1324">
        <f t="shared" si="144"/>
        <v>40102</v>
      </c>
      <c r="E1226" s="1323">
        <f t="shared" si="140"/>
        <v>7.3479999999999999</v>
      </c>
      <c r="F1226" s="1323">
        <f t="shared" si="145"/>
        <v>7.7585475924647156</v>
      </c>
      <c r="G1226" s="1323">
        <f t="shared" si="141"/>
        <v>2009</v>
      </c>
      <c r="H1226" s="1323">
        <f t="shared" si="142"/>
        <v>10</v>
      </c>
      <c r="I1226" s="1323">
        <f t="shared" si="143"/>
        <v>16</v>
      </c>
      <c r="J1226" s="1323"/>
      <c r="K1226" s="1323"/>
      <c r="L1226" s="1323"/>
      <c r="M1226" s="1323"/>
      <c r="N1226" s="1323"/>
      <c r="O1226" s="1323"/>
      <c r="P1226" s="1323"/>
      <c r="Q1226" s="1323"/>
      <c r="R1226" s="1304"/>
      <c r="S1226" s="1304"/>
      <c r="T1226" s="1304"/>
    </row>
    <row r="1227" spans="1:20">
      <c r="A1227" s="1303"/>
      <c r="B1227" s="1322" t="s">
        <v>4698</v>
      </c>
      <c r="C1227" s="1323" t="s">
        <v>4699</v>
      </c>
      <c r="D1227" s="1324">
        <f t="shared" si="144"/>
        <v>40101</v>
      </c>
      <c r="E1227" s="1323">
        <f t="shared" si="140"/>
        <v>7.2439</v>
      </c>
      <c r="F1227" s="1323">
        <f t="shared" si="145"/>
        <v>7.7570599371343061</v>
      </c>
      <c r="G1227" s="1323">
        <f t="shared" si="141"/>
        <v>2009</v>
      </c>
      <c r="H1227" s="1323">
        <f t="shared" si="142"/>
        <v>10</v>
      </c>
      <c r="I1227" s="1323">
        <f t="shared" si="143"/>
        <v>15</v>
      </c>
      <c r="J1227" s="1323"/>
      <c r="K1227" s="1323"/>
      <c r="L1227" s="1323"/>
      <c r="M1227" s="1323"/>
      <c r="N1227" s="1323"/>
      <c r="O1227" s="1323"/>
      <c r="P1227" s="1323"/>
      <c r="Q1227" s="1323"/>
      <c r="R1227" s="1304"/>
      <c r="S1227" s="1304"/>
      <c r="T1227" s="1304"/>
    </row>
    <row r="1228" spans="1:20">
      <c r="A1228" s="1303"/>
      <c r="B1228" s="1322" t="s">
        <v>4700</v>
      </c>
      <c r="C1228" s="1323" t="s">
        <v>4701</v>
      </c>
      <c r="D1228" s="1324">
        <f t="shared" si="144"/>
        <v>40100</v>
      </c>
      <c r="E1228" s="1323">
        <f t="shared" si="140"/>
        <v>7.2888999999999999</v>
      </c>
      <c r="F1228" s="1323">
        <f t="shared" si="145"/>
        <v>7.7555725670529529</v>
      </c>
      <c r="G1228" s="1323">
        <f t="shared" si="141"/>
        <v>2009</v>
      </c>
      <c r="H1228" s="1323">
        <f t="shared" si="142"/>
        <v>10</v>
      </c>
      <c r="I1228" s="1323">
        <f t="shared" si="143"/>
        <v>14</v>
      </c>
      <c r="J1228" s="1323"/>
      <c r="K1228" s="1323"/>
      <c r="L1228" s="1323"/>
      <c r="M1228" s="1323"/>
      <c r="N1228" s="1323"/>
      <c r="O1228" s="1323"/>
      <c r="P1228" s="1323"/>
      <c r="Q1228" s="1323"/>
      <c r="R1228" s="1304"/>
      <c r="S1228" s="1304"/>
      <c r="T1228" s="1304"/>
    </row>
    <row r="1229" spans="1:20">
      <c r="A1229" s="1303"/>
      <c r="B1229" s="1322" t="s">
        <v>4702</v>
      </c>
      <c r="C1229" s="1323" t="s">
        <v>4703</v>
      </c>
      <c r="D1229" s="1324">
        <f t="shared" si="144"/>
        <v>40099</v>
      </c>
      <c r="E1229" s="1323">
        <f t="shared" si="140"/>
        <v>7.3597000000000001</v>
      </c>
      <c r="F1229" s="1323">
        <f t="shared" si="145"/>
        <v>7.7540854821659622</v>
      </c>
      <c r="G1229" s="1323">
        <f t="shared" si="141"/>
        <v>2009</v>
      </c>
      <c r="H1229" s="1323">
        <f t="shared" si="142"/>
        <v>10</v>
      </c>
      <c r="I1229" s="1323">
        <f t="shared" si="143"/>
        <v>13</v>
      </c>
      <c r="J1229" s="1323"/>
      <c r="K1229" s="1323"/>
      <c r="L1229" s="1323"/>
      <c r="M1229" s="1323"/>
      <c r="N1229" s="1323"/>
      <c r="O1229" s="1323"/>
      <c r="P1229" s="1323"/>
      <c r="Q1229" s="1323"/>
      <c r="R1229" s="1304"/>
      <c r="S1229" s="1304"/>
      <c r="T1229" s="1304"/>
    </row>
    <row r="1230" spans="1:20">
      <c r="A1230" s="1303"/>
      <c r="B1230" s="1322" t="s">
        <v>4704</v>
      </c>
      <c r="C1230" s="1323" t="s">
        <v>4705</v>
      </c>
      <c r="D1230" s="1324">
        <f t="shared" si="144"/>
        <v>40098</v>
      </c>
      <c r="E1230" s="1323">
        <f t="shared" si="140"/>
        <v>7.4420999999999999</v>
      </c>
      <c r="F1230" s="1323">
        <f t="shared" si="145"/>
        <v>7.7525986824186486</v>
      </c>
      <c r="G1230" s="1323">
        <f t="shared" si="141"/>
        <v>2009</v>
      </c>
      <c r="H1230" s="1323">
        <f t="shared" si="142"/>
        <v>10</v>
      </c>
      <c r="I1230" s="1323">
        <f t="shared" si="143"/>
        <v>12</v>
      </c>
      <c r="J1230" s="1323"/>
      <c r="K1230" s="1323"/>
      <c r="L1230" s="1323"/>
      <c r="M1230" s="1323"/>
      <c r="N1230" s="1323"/>
      <c r="O1230" s="1323"/>
      <c r="P1230" s="1323"/>
      <c r="Q1230" s="1323"/>
      <c r="R1230" s="1304"/>
      <c r="S1230" s="1304"/>
      <c r="T1230" s="1304"/>
    </row>
    <row r="1231" spans="1:20">
      <c r="A1231" s="1303"/>
      <c r="B1231" s="1322" t="s">
        <v>4706</v>
      </c>
      <c r="C1231" s="1323" t="s">
        <v>4480</v>
      </c>
      <c r="D1231" s="1324">
        <f t="shared" si="144"/>
        <v>40095</v>
      </c>
      <c r="E1231" s="1323">
        <f t="shared" si="140"/>
        <v>7.407</v>
      </c>
      <c r="F1231" s="1323">
        <f t="shared" si="145"/>
        <v>7.7511121677563386</v>
      </c>
      <c r="G1231" s="1323">
        <f t="shared" si="141"/>
        <v>2009</v>
      </c>
      <c r="H1231" s="1323">
        <f t="shared" si="142"/>
        <v>10</v>
      </c>
      <c r="I1231" s="1323">
        <f t="shared" si="143"/>
        <v>9</v>
      </c>
      <c r="J1231" s="1323"/>
      <c r="K1231" s="1323"/>
      <c r="L1231" s="1323"/>
      <c r="M1231" s="1323"/>
      <c r="N1231" s="1323"/>
      <c r="O1231" s="1323"/>
      <c r="P1231" s="1323"/>
      <c r="Q1231" s="1323"/>
      <c r="R1231" s="1304"/>
      <c r="S1231" s="1304"/>
      <c r="T1231" s="1304"/>
    </row>
    <row r="1232" spans="1:20">
      <c r="A1232" s="1303"/>
      <c r="B1232" s="1322" t="s">
        <v>4707</v>
      </c>
      <c r="C1232" s="1323" t="s">
        <v>4708</v>
      </c>
      <c r="D1232" s="1324">
        <f t="shared" si="144"/>
        <v>40094</v>
      </c>
      <c r="E1232" s="1323">
        <f t="shared" si="140"/>
        <v>7.3319999999999999</v>
      </c>
      <c r="F1232" s="1323">
        <f t="shared" si="145"/>
        <v>7.7496259381243693</v>
      </c>
      <c r="G1232" s="1323">
        <f t="shared" si="141"/>
        <v>2009</v>
      </c>
      <c r="H1232" s="1323">
        <f t="shared" si="142"/>
        <v>10</v>
      </c>
      <c r="I1232" s="1323">
        <f t="shared" si="143"/>
        <v>8</v>
      </c>
      <c r="J1232" s="1323"/>
      <c r="K1232" s="1323"/>
      <c r="L1232" s="1323"/>
      <c r="M1232" s="1323"/>
      <c r="N1232" s="1323"/>
      <c r="O1232" s="1323"/>
      <c r="P1232" s="1323"/>
      <c r="Q1232" s="1323"/>
      <c r="R1232" s="1304"/>
      <c r="S1232" s="1304"/>
      <c r="T1232" s="1304"/>
    </row>
    <row r="1233" spans="1:20">
      <c r="A1233" s="1303"/>
      <c r="B1233" s="1322" t="s">
        <v>4709</v>
      </c>
      <c r="C1233" s="1323" t="s">
        <v>4710</v>
      </c>
      <c r="D1233" s="1324">
        <f t="shared" si="144"/>
        <v>40093</v>
      </c>
      <c r="E1233" s="1323">
        <f t="shared" si="140"/>
        <v>7.4381000000000004</v>
      </c>
      <c r="F1233" s="1323">
        <f t="shared" si="145"/>
        <v>7.7481399934680875</v>
      </c>
      <c r="G1233" s="1323">
        <f t="shared" si="141"/>
        <v>2009</v>
      </c>
      <c r="H1233" s="1323">
        <f t="shared" si="142"/>
        <v>10</v>
      </c>
      <c r="I1233" s="1323">
        <f t="shared" si="143"/>
        <v>7</v>
      </c>
      <c r="J1233" s="1323"/>
      <c r="K1233" s="1323"/>
      <c r="L1233" s="1323"/>
      <c r="M1233" s="1323"/>
      <c r="N1233" s="1323"/>
      <c r="O1233" s="1323"/>
      <c r="P1233" s="1323"/>
      <c r="Q1233" s="1323"/>
      <c r="R1233" s="1304"/>
      <c r="S1233" s="1304"/>
      <c r="T1233" s="1304"/>
    </row>
    <row r="1234" spans="1:20">
      <c r="A1234" s="1303"/>
      <c r="B1234" s="1322" t="s">
        <v>4711</v>
      </c>
      <c r="C1234" s="1323" t="s">
        <v>4712</v>
      </c>
      <c r="D1234" s="1324">
        <f t="shared" si="144"/>
        <v>40092</v>
      </c>
      <c r="E1234" s="1323">
        <f t="shared" si="140"/>
        <v>7.4458000000000002</v>
      </c>
      <c r="F1234" s="1323">
        <f t="shared" si="145"/>
        <v>7.7466543337328506</v>
      </c>
      <c r="G1234" s="1323">
        <f t="shared" si="141"/>
        <v>2009</v>
      </c>
      <c r="H1234" s="1323">
        <f t="shared" si="142"/>
        <v>10</v>
      </c>
      <c r="I1234" s="1323">
        <f t="shared" si="143"/>
        <v>6</v>
      </c>
      <c r="J1234" s="1323"/>
      <c r="K1234" s="1323"/>
      <c r="L1234" s="1323"/>
      <c r="M1234" s="1323"/>
      <c r="N1234" s="1323"/>
      <c r="O1234" s="1323"/>
      <c r="P1234" s="1323"/>
      <c r="Q1234" s="1323"/>
      <c r="R1234" s="1304"/>
      <c r="S1234" s="1304"/>
      <c r="T1234" s="1304"/>
    </row>
    <row r="1235" spans="1:20">
      <c r="A1235" s="1303"/>
      <c r="B1235" s="1322" t="s">
        <v>4713</v>
      </c>
      <c r="C1235" s="1323" t="s">
        <v>4714</v>
      </c>
      <c r="D1235" s="1324">
        <f t="shared" si="144"/>
        <v>40091</v>
      </c>
      <c r="E1235" s="1323">
        <f t="shared" si="140"/>
        <v>7.6386000000000003</v>
      </c>
      <c r="F1235" s="1323">
        <f t="shared" si="145"/>
        <v>7.7451689588640269</v>
      </c>
      <c r="G1235" s="1323">
        <f t="shared" si="141"/>
        <v>2009</v>
      </c>
      <c r="H1235" s="1323">
        <f t="shared" si="142"/>
        <v>10</v>
      </c>
      <c r="I1235" s="1323">
        <f t="shared" si="143"/>
        <v>5</v>
      </c>
      <c r="J1235" s="1323"/>
      <c r="K1235" s="1323"/>
      <c r="L1235" s="1323"/>
      <c r="M1235" s="1323"/>
      <c r="N1235" s="1323"/>
      <c r="O1235" s="1323"/>
      <c r="P1235" s="1323"/>
      <c r="Q1235" s="1323"/>
      <c r="R1235" s="1304"/>
      <c r="S1235" s="1304"/>
      <c r="T1235" s="1304"/>
    </row>
    <row r="1236" spans="1:20">
      <c r="A1236" s="1303"/>
      <c r="B1236" s="1322" t="s">
        <v>4715</v>
      </c>
      <c r="C1236" s="1323" t="s">
        <v>4716</v>
      </c>
      <c r="D1236" s="1324">
        <f t="shared" si="144"/>
        <v>40088</v>
      </c>
      <c r="E1236" s="1323">
        <f t="shared" si="140"/>
        <v>7.7587000000000002</v>
      </c>
      <c r="F1236" s="1323">
        <f t="shared" si="145"/>
        <v>7.7436838688069951</v>
      </c>
      <c r="G1236" s="1323">
        <f t="shared" si="141"/>
        <v>2009</v>
      </c>
      <c r="H1236" s="1323">
        <f t="shared" si="142"/>
        <v>10</v>
      </c>
      <c r="I1236" s="1323">
        <f t="shared" si="143"/>
        <v>2</v>
      </c>
      <c r="J1236" s="1323"/>
      <c r="K1236" s="1323"/>
      <c r="L1236" s="1323"/>
      <c r="M1236" s="1323"/>
      <c r="N1236" s="1323"/>
      <c r="O1236" s="1323"/>
      <c r="P1236" s="1323"/>
      <c r="Q1236" s="1323"/>
      <c r="R1236" s="1304"/>
      <c r="S1236" s="1304"/>
      <c r="T1236" s="1304"/>
    </row>
    <row r="1237" spans="1:20">
      <c r="A1237" s="1303"/>
      <c r="B1237" s="1322" t="s">
        <v>4717</v>
      </c>
      <c r="C1237" s="1323" t="s">
        <v>4718</v>
      </c>
      <c r="D1237" s="1324">
        <f t="shared" si="144"/>
        <v>40087</v>
      </c>
      <c r="E1237" s="1323">
        <f t="shared" si="140"/>
        <v>7.6021000000000001</v>
      </c>
      <c r="F1237" s="1323">
        <f t="shared" si="145"/>
        <v>7.7421990635071438</v>
      </c>
      <c r="G1237" s="1323">
        <f t="shared" si="141"/>
        <v>2009</v>
      </c>
      <c r="H1237" s="1323">
        <f t="shared" si="142"/>
        <v>10</v>
      </c>
      <c r="I1237" s="1323">
        <f t="shared" si="143"/>
        <v>1</v>
      </c>
      <c r="J1237" s="1323"/>
      <c r="K1237" s="1323"/>
      <c r="L1237" s="1323"/>
      <c r="M1237" s="1323"/>
      <c r="N1237" s="1323"/>
      <c r="O1237" s="1323"/>
      <c r="P1237" s="1323"/>
      <c r="Q1237" s="1323"/>
      <c r="R1237" s="1304"/>
      <c r="S1237" s="1304"/>
      <c r="T1237" s="1304"/>
    </row>
    <row r="1238" spans="1:20">
      <c r="A1238" s="1303"/>
      <c r="B1238" s="1322" t="s">
        <v>4719</v>
      </c>
      <c r="C1238" s="1323" t="s">
        <v>4720</v>
      </c>
      <c r="D1238" s="1324">
        <f t="shared" si="144"/>
        <v>40086</v>
      </c>
      <c r="E1238" s="1323">
        <f t="shared" ref="E1238:E1301" si="146">VALUE(C1239)</f>
        <v>7.4082999999999997</v>
      </c>
      <c r="F1238" s="1323">
        <f t="shared" si="145"/>
        <v>7.7407145429098732</v>
      </c>
      <c r="G1238" s="1323">
        <f t="shared" ref="G1238:G1301" si="147">YEAR(B1239)</f>
        <v>2009</v>
      </c>
      <c r="H1238" s="1323">
        <f t="shared" ref="H1238:H1301" si="148">MONTH(B1239)</f>
        <v>9</v>
      </c>
      <c r="I1238" s="1323">
        <f t="shared" ref="I1238:I1301" si="149">DAY(B1239)</f>
        <v>30</v>
      </c>
      <c r="J1238" s="1323"/>
      <c r="K1238" s="1323"/>
      <c r="L1238" s="1323"/>
      <c r="M1238" s="1323"/>
      <c r="N1238" s="1323"/>
      <c r="O1238" s="1323"/>
      <c r="P1238" s="1323"/>
      <c r="Q1238" s="1323"/>
      <c r="R1238" s="1304"/>
      <c r="S1238" s="1304"/>
      <c r="T1238" s="1304"/>
    </row>
    <row r="1239" spans="1:20">
      <c r="A1239" s="1303"/>
      <c r="B1239" s="1322" t="s">
        <v>4721</v>
      </c>
      <c r="C1239" s="1323" t="s">
        <v>4722</v>
      </c>
      <c r="D1239" s="1324">
        <f t="shared" si="144"/>
        <v>40085</v>
      </c>
      <c r="E1239" s="1323">
        <f t="shared" si="146"/>
        <v>7.3986000000000001</v>
      </c>
      <c r="F1239" s="1323">
        <f t="shared" si="145"/>
        <v>7.739230306960593</v>
      </c>
      <c r="G1239" s="1323">
        <f t="shared" si="147"/>
        <v>2009</v>
      </c>
      <c r="H1239" s="1323">
        <f t="shared" si="148"/>
        <v>9</v>
      </c>
      <c r="I1239" s="1323">
        <f t="shared" si="149"/>
        <v>29</v>
      </c>
      <c r="J1239" s="1323"/>
      <c r="K1239" s="1323"/>
      <c r="L1239" s="1323"/>
      <c r="M1239" s="1323"/>
      <c r="N1239" s="1323"/>
      <c r="O1239" s="1323"/>
      <c r="P1239" s="1323"/>
      <c r="Q1239" s="1323"/>
      <c r="R1239" s="1304"/>
      <c r="S1239" s="1304"/>
      <c r="T1239" s="1304"/>
    </row>
    <row r="1240" spans="1:20">
      <c r="A1240" s="1303"/>
      <c r="B1240" s="1322" t="s">
        <v>4723</v>
      </c>
      <c r="C1240" s="1323" t="s">
        <v>4724</v>
      </c>
      <c r="D1240" s="1324">
        <f t="shared" si="144"/>
        <v>40084</v>
      </c>
      <c r="E1240" s="1323">
        <f t="shared" si="146"/>
        <v>7.4291999999999998</v>
      </c>
      <c r="F1240" s="1323">
        <f t="shared" si="145"/>
        <v>7.737746355604723</v>
      </c>
      <c r="G1240" s="1323">
        <f t="shared" si="147"/>
        <v>2009</v>
      </c>
      <c r="H1240" s="1323">
        <f t="shared" si="148"/>
        <v>9</v>
      </c>
      <c r="I1240" s="1323">
        <f t="shared" si="149"/>
        <v>28</v>
      </c>
      <c r="J1240" s="1323"/>
      <c r="K1240" s="1323"/>
      <c r="L1240" s="1323"/>
      <c r="M1240" s="1323"/>
      <c r="N1240" s="1323"/>
      <c r="O1240" s="1323"/>
      <c r="P1240" s="1323"/>
      <c r="Q1240" s="1323"/>
      <c r="R1240" s="1304"/>
      <c r="S1240" s="1304"/>
      <c r="T1240" s="1304"/>
    </row>
    <row r="1241" spans="1:20">
      <c r="A1241" s="1303"/>
      <c r="B1241" s="1322" t="s">
        <v>4725</v>
      </c>
      <c r="C1241" s="1323" t="s">
        <v>4726</v>
      </c>
      <c r="D1241" s="1324">
        <f t="shared" si="144"/>
        <v>40081</v>
      </c>
      <c r="E1241" s="1323">
        <f t="shared" si="146"/>
        <v>7.4920999999999998</v>
      </c>
      <c r="F1241" s="1323">
        <f t="shared" si="145"/>
        <v>7.7362626887876953</v>
      </c>
      <c r="G1241" s="1323">
        <f t="shared" si="147"/>
        <v>2009</v>
      </c>
      <c r="H1241" s="1323">
        <f t="shared" si="148"/>
        <v>9</v>
      </c>
      <c r="I1241" s="1323">
        <f t="shared" si="149"/>
        <v>25</v>
      </c>
      <c r="J1241" s="1323"/>
      <c r="K1241" s="1323"/>
      <c r="L1241" s="1323"/>
      <c r="M1241" s="1323"/>
      <c r="N1241" s="1323"/>
      <c r="O1241" s="1323"/>
      <c r="P1241" s="1323"/>
      <c r="Q1241" s="1323"/>
      <c r="R1241" s="1304"/>
      <c r="S1241" s="1304"/>
      <c r="T1241" s="1304"/>
    </row>
    <row r="1242" spans="1:20">
      <c r="A1242" s="1303"/>
      <c r="B1242" s="1322" t="s">
        <v>4727</v>
      </c>
      <c r="C1242" s="1323" t="s">
        <v>4728</v>
      </c>
      <c r="D1242" s="1324">
        <f t="shared" si="144"/>
        <v>40079</v>
      </c>
      <c r="E1242" s="1323">
        <f t="shared" si="146"/>
        <v>7.3788</v>
      </c>
      <c r="F1242" s="1323">
        <f t="shared" si="145"/>
        <v>7.7347793064549499</v>
      </c>
      <c r="G1242" s="1323">
        <f t="shared" si="147"/>
        <v>2009</v>
      </c>
      <c r="H1242" s="1323">
        <f t="shared" si="148"/>
        <v>9</v>
      </c>
      <c r="I1242" s="1323">
        <f t="shared" si="149"/>
        <v>23</v>
      </c>
      <c r="J1242" s="1323"/>
      <c r="K1242" s="1323"/>
      <c r="L1242" s="1323"/>
      <c r="M1242" s="1323"/>
      <c r="N1242" s="1323"/>
      <c r="O1242" s="1323"/>
      <c r="P1242" s="1323"/>
      <c r="Q1242" s="1323"/>
      <c r="R1242" s="1304"/>
      <c r="S1242" s="1304"/>
      <c r="T1242" s="1304"/>
    </row>
    <row r="1243" spans="1:20">
      <c r="A1243" s="1303"/>
      <c r="B1243" s="1322" t="s">
        <v>4729</v>
      </c>
      <c r="C1243" s="1323" t="s">
        <v>4730</v>
      </c>
      <c r="D1243" s="1324">
        <f t="shared" si="144"/>
        <v>40078</v>
      </c>
      <c r="E1243" s="1323">
        <f t="shared" si="146"/>
        <v>7.4188999999999998</v>
      </c>
      <c r="F1243" s="1323">
        <f t="shared" si="145"/>
        <v>7.7332962085519394</v>
      </c>
      <c r="G1243" s="1323">
        <f t="shared" si="147"/>
        <v>2009</v>
      </c>
      <c r="H1243" s="1323">
        <f t="shared" si="148"/>
        <v>9</v>
      </c>
      <c r="I1243" s="1323">
        <f t="shared" si="149"/>
        <v>22</v>
      </c>
      <c r="J1243" s="1323"/>
      <c r="K1243" s="1323"/>
      <c r="L1243" s="1323"/>
      <c r="M1243" s="1323"/>
      <c r="N1243" s="1323"/>
      <c r="O1243" s="1323"/>
      <c r="P1243" s="1323"/>
      <c r="Q1243" s="1323"/>
      <c r="R1243" s="1304"/>
      <c r="S1243" s="1304"/>
      <c r="T1243" s="1304"/>
    </row>
    <row r="1244" spans="1:20">
      <c r="A1244" s="1303"/>
      <c r="B1244" s="1322" t="s">
        <v>4731</v>
      </c>
      <c r="C1244" s="1323" t="s">
        <v>4732</v>
      </c>
      <c r="D1244" s="1324">
        <f t="shared" si="144"/>
        <v>40077</v>
      </c>
      <c r="E1244" s="1323">
        <f t="shared" si="146"/>
        <v>7.5115999999999996</v>
      </c>
      <c r="F1244" s="1323">
        <f t="shared" si="145"/>
        <v>7.7318133950241261</v>
      </c>
      <c r="G1244" s="1323">
        <f t="shared" si="147"/>
        <v>2009</v>
      </c>
      <c r="H1244" s="1323">
        <f t="shared" si="148"/>
        <v>9</v>
      </c>
      <c r="I1244" s="1323">
        <f t="shared" si="149"/>
        <v>21</v>
      </c>
      <c r="J1244" s="1323"/>
      <c r="K1244" s="1323"/>
      <c r="L1244" s="1323"/>
      <c r="M1244" s="1323"/>
      <c r="N1244" s="1323"/>
      <c r="O1244" s="1323"/>
      <c r="P1244" s="1323"/>
      <c r="Q1244" s="1323"/>
      <c r="R1244" s="1304"/>
      <c r="S1244" s="1304"/>
      <c r="T1244" s="1304"/>
    </row>
    <row r="1245" spans="1:20">
      <c r="A1245" s="1303"/>
      <c r="B1245" s="1322" t="s">
        <v>4733</v>
      </c>
      <c r="C1245" s="1323" t="s">
        <v>4734</v>
      </c>
      <c r="D1245" s="1324">
        <f t="shared" si="144"/>
        <v>40074</v>
      </c>
      <c r="E1245" s="1323">
        <f t="shared" si="146"/>
        <v>7.4622999999999999</v>
      </c>
      <c r="F1245" s="1323">
        <f t="shared" si="145"/>
        <v>7.7303308658169829</v>
      </c>
      <c r="G1245" s="1323">
        <f t="shared" si="147"/>
        <v>2009</v>
      </c>
      <c r="H1245" s="1323">
        <f t="shared" si="148"/>
        <v>9</v>
      </c>
      <c r="I1245" s="1323">
        <f t="shared" si="149"/>
        <v>18</v>
      </c>
      <c r="J1245" s="1323"/>
      <c r="K1245" s="1323"/>
      <c r="L1245" s="1323"/>
      <c r="M1245" s="1323"/>
      <c r="N1245" s="1323"/>
      <c r="O1245" s="1323"/>
      <c r="P1245" s="1323"/>
      <c r="Q1245" s="1323"/>
      <c r="R1245" s="1304"/>
      <c r="S1245" s="1304"/>
      <c r="T1245" s="1304"/>
    </row>
    <row r="1246" spans="1:20">
      <c r="A1246" s="1303"/>
      <c r="B1246" s="1322" t="s">
        <v>4735</v>
      </c>
      <c r="C1246" s="1323" t="s">
        <v>4736</v>
      </c>
      <c r="D1246" s="1324">
        <f t="shared" si="144"/>
        <v>40073</v>
      </c>
      <c r="E1246" s="1323">
        <f t="shared" si="146"/>
        <v>7.3411</v>
      </c>
      <c r="F1246" s="1323">
        <f t="shared" si="145"/>
        <v>7.7288486208759926</v>
      </c>
      <c r="G1246" s="1323">
        <f t="shared" si="147"/>
        <v>2009</v>
      </c>
      <c r="H1246" s="1323">
        <f t="shared" si="148"/>
        <v>9</v>
      </c>
      <c r="I1246" s="1323">
        <f t="shared" si="149"/>
        <v>17</v>
      </c>
      <c r="J1246" s="1323"/>
      <c r="K1246" s="1323"/>
      <c r="L1246" s="1323"/>
      <c r="M1246" s="1323"/>
      <c r="N1246" s="1323"/>
      <c r="O1246" s="1323"/>
      <c r="P1246" s="1323"/>
      <c r="Q1246" s="1323"/>
      <c r="R1246" s="1304"/>
      <c r="S1246" s="1304"/>
      <c r="T1246" s="1304"/>
    </row>
    <row r="1247" spans="1:20">
      <c r="A1247" s="1303"/>
      <c r="B1247" s="1322" t="s">
        <v>4737</v>
      </c>
      <c r="C1247" s="1323" t="s">
        <v>4738</v>
      </c>
      <c r="D1247" s="1324">
        <f t="shared" si="144"/>
        <v>40072</v>
      </c>
      <c r="E1247" s="1323">
        <f t="shared" si="146"/>
        <v>7.3682999999999996</v>
      </c>
      <c r="F1247" s="1323">
        <f t="shared" si="145"/>
        <v>7.7273666601466493</v>
      </c>
      <c r="G1247" s="1323">
        <f t="shared" si="147"/>
        <v>2009</v>
      </c>
      <c r="H1247" s="1323">
        <f t="shared" si="148"/>
        <v>9</v>
      </c>
      <c r="I1247" s="1323">
        <f t="shared" si="149"/>
        <v>16</v>
      </c>
      <c r="J1247" s="1323"/>
      <c r="K1247" s="1323"/>
      <c r="L1247" s="1323"/>
      <c r="M1247" s="1323"/>
      <c r="N1247" s="1323"/>
      <c r="O1247" s="1323"/>
      <c r="P1247" s="1323"/>
      <c r="Q1247" s="1323"/>
      <c r="R1247" s="1304"/>
      <c r="S1247" s="1304"/>
      <c r="T1247" s="1304"/>
    </row>
    <row r="1248" spans="1:20">
      <c r="A1248" s="1303"/>
      <c r="B1248" s="1322" t="s">
        <v>4739</v>
      </c>
      <c r="C1248" s="1323" t="s">
        <v>4740</v>
      </c>
      <c r="D1248" s="1324">
        <f t="shared" si="144"/>
        <v>40071</v>
      </c>
      <c r="E1248" s="1323">
        <f t="shared" si="146"/>
        <v>7.3906999999999998</v>
      </c>
      <c r="F1248" s="1323">
        <f t="shared" si="145"/>
        <v>7.7258849835744563</v>
      </c>
      <c r="G1248" s="1323">
        <f t="shared" si="147"/>
        <v>2009</v>
      </c>
      <c r="H1248" s="1323">
        <f t="shared" si="148"/>
        <v>9</v>
      </c>
      <c r="I1248" s="1323">
        <f t="shared" si="149"/>
        <v>15</v>
      </c>
      <c r="J1248" s="1323"/>
      <c r="K1248" s="1323"/>
      <c r="L1248" s="1323"/>
      <c r="M1248" s="1323"/>
      <c r="N1248" s="1323"/>
      <c r="O1248" s="1323"/>
      <c r="P1248" s="1323"/>
      <c r="Q1248" s="1323"/>
      <c r="R1248" s="1304"/>
      <c r="S1248" s="1304"/>
      <c r="T1248" s="1304"/>
    </row>
    <row r="1249" spans="1:20">
      <c r="A1249" s="1303"/>
      <c r="B1249" s="1322" t="s">
        <v>4741</v>
      </c>
      <c r="C1249" s="1323" t="s">
        <v>4582</v>
      </c>
      <c r="D1249" s="1324">
        <f t="shared" si="144"/>
        <v>40070</v>
      </c>
      <c r="E1249" s="1323">
        <f t="shared" si="146"/>
        <v>7.5072999999999999</v>
      </c>
      <c r="F1249" s="1323">
        <f t="shared" si="145"/>
        <v>7.7244035911049291</v>
      </c>
      <c r="G1249" s="1323">
        <f t="shared" si="147"/>
        <v>2009</v>
      </c>
      <c r="H1249" s="1323">
        <f t="shared" si="148"/>
        <v>9</v>
      </c>
      <c r="I1249" s="1323">
        <f t="shared" si="149"/>
        <v>14</v>
      </c>
      <c r="J1249" s="1323"/>
      <c r="K1249" s="1323"/>
      <c r="L1249" s="1323"/>
      <c r="M1249" s="1323"/>
      <c r="N1249" s="1323"/>
      <c r="O1249" s="1323"/>
      <c r="P1249" s="1323"/>
      <c r="Q1249" s="1323"/>
      <c r="R1249" s="1304"/>
      <c r="S1249" s="1304"/>
      <c r="T1249" s="1304"/>
    </row>
    <row r="1250" spans="1:20">
      <c r="A1250" s="1303"/>
      <c r="B1250" s="1322" t="s">
        <v>4742</v>
      </c>
      <c r="C1250" s="1323" t="s">
        <v>4743</v>
      </c>
      <c r="D1250" s="1324">
        <f t="shared" si="144"/>
        <v>40067</v>
      </c>
      <c r="E1250" s="1323">
        <f t="shared" si="146"/>
        <v>7.6115000000000004</v>
      </c>
      <c r="F1250" s="1323">
        <f t="shared" si="145"/>
        <v>7.7229224826835923</v>
      </c>
      <c r="G1250" s="1323">
        <f t="shared" si="147"/>
        <v>2009</v>
      </c>
      <c r="H1250" s="1323">
        <f t="shared" si="148"/>
        <v>9</v>
      </c>
      <c r="I1250" s="1323">
        <f t="shared" si="149"/>
        <v>11</v>
      </c>
      <c r="J1250" s="1323"/>
      <c r="K1250" s="1323"/>
      <c r="L1250" s="1323"/>
      <c r="M1250" s="1323"/>
      <c r="N1250" s="1323"/>
      <c r="O1250" s="1323"/>
      <c r="P1250" s="1323"/>
      <c r="Q1250" s="1323"/>
      <c r="R1250" s="1304"/>
      <c r="S1250" s="1304"/>
      <c r="T1250" s="1304"/>
    </row>
    <row r="1251" spans="1:20">
      <c r="A1251" s="1303"/>
      <c r="B1251" s="1322" t="s">
        <v>4744</v>
      </c>
      <c r="C1251" s="1323" t="s">
        <v>4745</v>
      </c>
      <c r="D1251" s="1324">
        <f t="shared" si="144"/>
        <v>40066</v>
      </c>
      <c r="E1251" s="1323">
        <f t="shared" si="146"/>
        <v>7.5606</v>
      </c>
      <c r="F1251" s="1323">
        <f t="shared" si="145"/>
        <v>7.7214416582559808</v>
      </c>
      <c r="G1251" s="1323">
        <f t="shared" si="147"/>
        <v>2009</v>
      </c>
      <c r="H1251" s="1323">
        <f t="shared" si="148"/>
        <v>9</v>
      </c>
      <c r="I1251" s="1323">
        <f t="shared" si="149"/>
        <v>10</v>
      </c>
      <c r="J1251" s="1323"/>
      <c r="K1251" s="1323"/>
      <c r="L1251" s="1323"/>
      <c r="M1251" s="1323"/>
      <c r="N1251" s="1323"/>
      <c r="O1251" s="1323"/>
      <c r="P1251" s="1323"/>
      <c r="Q1251" s="1323"/>
      <c r="R1251" s="1304"/>
      <c r="S1251" s="1304"/>
      <c r="T1251" s="1304"/>
    </row>
    <row r="1252" spans="1:20">
      <c r="A1252" s="1303"/>
      <c r="B1252" s="1322" t="s">
        <v>4746</v>
      </c>
      <c r="C1252" s="1323" t="s">
        <v>4324</v>
      </c>
      <c r="D1252" s="1324">
        <f t="shared" si="144"/>
        <v>40065</v>
      </c>
      <c r="E1252" s="1323">
        <f t="shared" si="146"/>
        <v>7.5509000000000004</v>
      </c>
      <c r="F1252" s="1323">
        <f t="shared" si="145"/>
        <v>7.7199611177676415</v>
      </c>
      <c r="G1252" s="1323">
        <f t="shared" si="147"/>
        <v>2009</v>
      </c>
      <c r="H1252" s="1323">
        <f t="shared" si="148"/>
        <v>9</v>
      </c>
      <c r="I1252" s="1323">
        <f t="shared" si="149"/>
        <v>9</v>
      </c>
      <c r="J1252" s="1323"/>
      <c r="K1252" s="1323"/>
      <c r="L1252" s="1323"/>
      <c r="M1252" s="1323"/>
      <c r="N1252" s="1323"/>
      <c r="O1252" s="1323"/>
      <c r="P1252" s="1323"/>
      <c r="Q1252" s="1323"/>
      <c r="R1252" s="1304"/>
      <c r="S1252" s="1304"/>
      <c r="T1252" s="1304"/>
    </row>
    <row r="1253" spans="1:20">
      <c r="A1253" s="1303"/>
      <c r="B1253" s="1322" t="s">
        <v>4747</v>
      </c>
      <c r="C1253" s="1323" t="s">
        <v>4748</v>
      </c>
      <c r="D1253" s="1324">
        <f t="shared" si="144"/>
        <v>40064</v>
      </c>
      <c r="E1253" s="1323">
        <f t="shared" si="146"/>
        <v>7.5364000000000004</v>
      </c>
      <c r="F1253" s="1323">
        <f t="shared" si="145"/>
        <v>7.7184808611641307</v>
      </c>
      <c r="G1253" s="1323">
        <f t="shared" si="147"/>
        <v>2009</v>
      </c>
      <c r="H1253" s="1323">
        <f t="shared" si="148"/>
        <v>9</v>
      </c>
      <c r="I1253" s="1323">
        <f t="shared" si="149"/>
        <v>8</v>
      </c>
      <c r="J1253" s="1323"/>
      <c r="K1253" s="1323"/>
      <c r="L1253" s="1323"/>
      <c r="M1253" s="1323"/>
      <c r="N1253" s="1323"/>
      <c r="O1253" s="1323"/>
      <c r="P1253" s="1323"/>
      <c r="Q1253" s="1323"/>
      <c r="R1253" s="1304"/>
      <c r="S1253" s="1304"/>
      <c r="T1253" s="1304"/>
    </row>
    <row r="1254" spans="1:20">
      <c r="A1254" s="1303"/>
      <c r="B1254" s="1322" t="s">
        <v>4749</v>
      </c>
      <c r="C1254" s="1323" t="s">
        <v>4750</v>
      </c>
      <c r="D1254" s="1324">
        <f t="shared" si="144"/>
        <v>40063</v>
      </c>
      <c r="E1254" s="1323">
        <f t="shared" si="146"/>
        <v>7.5839999999999996</v>
      </c>
      <c r="F1254" s="1323">
        <f t="shared" si="145"/>
        <v>7.7170008883910146</v>
      </c>
      <c r="G1254" s="1323">
        <f t="shared" si="147"/>
        <v>2009</v>
      </c>
      <c r="H1254" s="1323">
        <f t="shared" si="148"/>
        <v>9</v>
      </c>
      <c r="I1254" s="1323">
        <f t="shared" si="149"/>
        <v>7</v>
      </c>
      <c r="J1254" s="1323"/>
      <c r="K1254" s="1323"/>
      <c r="L1254" s="1323"/>
      <c r="M1254" s="1323"/>
      <c r="N1254" s="1323"/>
      <c r="O1254" s="1323"/>
      <c r="P1254" s="1323"/>
      <c r="Q1254" s="1323"/>
      <c r="R1254" s="1304"/>
      <c r="S1254" s="1304"/>
      <c r="T1254" s="1304"/>
    </row>
    <row r="1255" spans="1:20">
      <c r="A1255" s="1303"/>
      <c r="B1255" s="1322" t="s">
        <v>4751</v>
      </c>
      <c r="C1255" s="1323" t="s">
        <v>4752</v>
      </c>
      <c r="D1255" s="1324">
        <f t="shared" si="144"/>
        <v>40060</v>
      </c>
      <c r="E1255" s="1323">
        <f t="shared" si="146"/>
        <v>7.6711999999999998</v>
      </c>
      <c r="F1255" s="1323">
        <f t="shared" si="145"/>
        <v>7.7155211993938702</v>
      </c>
      <c r="G1255" s="1323">
        <f t="shared" si="147"/>
        <v>2009</v>
      </c>
      <c r="H1255" s="1323">
        <f t="shared" si="148"/>
        <v>9</v>
      </c>
      <c r="I1255" s="1323">
        <f t="shared" si="149"/>
        <v>4</v>
      </c>
      <c r="J1255" s="1323"/>
      <c r="K1255" s="1323"/>
      <c r="L1255" s="1323"/>
      <c r="M1255" s="1323"/>
      <c r="N1255" s="1323"/>
      <c r="O1255" s="1323"/>
      <c r="P1255" s="1323"/>
      <c r="Q1255" s="1323"/>
      <c r="R1255" s="1304"/>
      <c r="S1255" s="1304"/>
      <c r="T1255" s="1304"/>
    </row>
    <row r="1256" spans="1:20">
      <c r="A1256" s="1303"/>
      <c r="B1256" s="1322" t="s">
        <v>4753</v>
      </c>
      <c r="C1256" s="1323" t="s">
        <v>4754</v>
      </c>
      <c r="D1256" s="1324">
        <f t="shared" si="144"/>
        <v>40059</v>
      </c>
      <c r="E1256" s="1323">
        <f t="shared" si="146"/>
        <v>7.7615999999999996</v>
      </c>
      <c r="F1256" s="1323">
        <f t="shared" si="145"/>
        <v>7.7140417941182857</v>
      </c>
      <c r="G1256" s="1323">
        <f t="shared" si="147"/>
        <v>2009</v>
      </c>
      <c r="H1256" s="1323">
        <f t="shared" si="148"/>
        <v>9</v>
      </c>
      <c r="I1256" s="1323">
        <f t="shared" si="149"/>
        <v>3</v>
      </c>
      <c r="J1256" s="1323"/>
      <c r="K1256" s="1323"/>
      <c r="L1256" s="1323"/>
      <c r="M1256" s="1323"/>
      <c r="N1256" s="1323"/>
      <c r="O1256" s="1323"/>
      <c r="P1256" s="1323"/>
      <c r="Q1256" s="1323"/>
      <c r="R1256" s="1304"/>
      <c r="S1256" s="1304"/>
      <c r="T1256" s="1304"/>
    </row>
    <row r="1257" spans="1:20">
      <c r="A1257" s="1303"/>
      <c r="B1257" s="1322" t="s">
        <v>4755</v>
      </c>
      <c r="C1257" s="1323" t="s">
        <v>4756</v>
      </c>
      <c r="D1257" s="1324">
        <f t="shared" si="144"/>
        <v>40058</v>
      </c>
      <c r="E1257" s="1323">
        <f t="shared" si="146"/>
        <v>7.8764000000000003</v>
      </c>
      <c r="F1257" s="1323">
        <f t="shared" si="145"/>
        <v>7.7125626725098586</v>
      </c>
      <c r="G1257" s="1323">
        <f t="shared" si="147"/>
        <v>2009</v>
      </c>
      <c r="H1257" s="1323">
        <f t="shared" si="148"/>
        <v>9</v>
      </c>
      <c r="I1257" s="1323">
        <f t="shared" si="149"/>
        <v>2</v>
      </c>
      <c r="J1257" s="1323"/>
      <c r="K1257" s="1323"/>
      <c r="L1257" s="1323"/>
      <c r="M1257" s="1323"/>
      <c r="N1257" s="1323"/>
      <c r="O1257" s="1323"/>
      <c r="P1257" s="1323"/>
      <c r="Q1257" s="1323"/>
      <c r="R1257" s="1304"/>
      <c r="S1257" s="1304"/>
      <c r="T1257" s="1304"/>
    </row>
    <row r="1258" spans="1:20">
      <c r="A1258" s="1303"/>
      <c r="B1258" s="1322" t="s">
        <v>4757</v>
      </c>
      <c r="C1258" s="1323" t="s">
        <v>4758</v>
      </c>
      <c r="D1258" s="1324">
        <f t="shared" si="144"/>
        <v>40057</v>
      </c>
      <c r="E1258" s="1323">
        <f t="shared" si="146"/>
        <v>7.7910000000000004</v>
      </c>
      <c r="F1258" s="1323">
        <f t="shared" si="145"/>
        <v>7.7110838345141977</v>
      </c>
      <c r="G1258" s="1323">
        <f t="shared" si="147"/>
        <v>2009</v>
      </c>
      <c r="H1258" s="1323">
        <f t="shared" si="148"/>
        <v>9</v>
      </c>
      <c r="I1258" s="1323">
        <f t="shared" si="149"/>
        <v>1</v>
      </c>
      <c r="J1258" s="1323"/>
      <c r="K1258" s="1323"/>
      <c r="L1258" s="1323"/>
      <c r="M1258" s="1323"/>
      <c r="N1258" s="1323"/>
      <c r="O1258" s="1323"/>
      <c r="P1258" s="1323"/>
      <c r="Q1258" s="1323"/>
      <c r="R1258" s="1304"/>
      <c r="S1258" s="1304"/>
      <c r="T1258" s="1304"/>
    </row>
    <row r="1259" spans="1:20">
      <c r="A1259" s="1303"/>
      <c r="B1259" s="1322" t="s">
        <v>4759</v>
      </c>
      <c r="C1259" s="1323" t="s">
        <v>4760</v>
      </c>
      <c r="D1259" s="1324">
        <f t="shared" si="144"/>
        <v>40056</v>
      </c>
      <c r="E1259" s="1323">
        <f t="shared" si="146"/>
        <v>7.7819000000000003</v>
      </c>
      <c r="F1259" s="1323">
        <f t="shared" si="145"/>
        <v>7.7096052800769224</v>
      </c>
      <c r="G1259" s="1323">
        <f t="shared" si="147"/>
        <v>2009</v>
      </c>
      <c r="H1259" s="1323">
        <f t="shared" si="148"/>
        <v>8</v>
      </c>
      <c r="I1259" s="1323">
        <f t="shared" si="149"/>
        <v>31</v>
      </c>
      <c r="J1259" s="1323"/>
      <c r="K1259" s="1323"/>
      <c r="L1259" s="1323"/>
      <c r="M1259" s="1323"/>
      <c r="N1259" s="1323"/>
      <c r="O1259" s="1323"/>
      <c r="P1259" s="1323"/>
      <c r="Q1259" s="1323"/>
      <c r="R1259" s="1304"/>
      <c r="S1259" s="1304"/>
      <c r="T1259" s="1304"/>
    </row>
    <row r="1260" spans="1:20">
      <c r="A1260" s="1303"/>
      <c r="B1260" s="1322" t="s">
        <v>4761</v>
      </c>
      <c r="C1260" s="1323" t="s">
        <v>4762</v>
      </c>
      <c r="D1260" s="1324">
        <f t="shared" si="144"/>
        <v>40053</v>
      </c>
      <c r="E1260" s="1323">
        <f t="shared" si="146"/>
        <v>7.782</v>
      </c>
      <c r="F1260" s="1323">
        <f t="shared" si="145"/>
        <v>7.708127009143662</v>
      </c>
      <c r="G1260" s="1323">
        <f t="shared" si="147"/>
        <v>2009</v>
      </c>
      <c r="H1260" s="1323">
        <f t="shared" si="148"/>
        <v>8</v>
      </c>
      <c r="I1260" s="1323">
        <f t="shared" si="149"/>
        <v>28</v>
      </c>
      <c r="J1260" s="1323"/>
      <c r="K1260" s="1323"/>
      <c r="L1260" s="1323"/>
      <c r="M1260" s="1323"/>
      <c r="N1260" s="1323"/>
      <c r="O1260" s="1323"/>
      <c r="P1260" s="1323"/>
      <c r="Q1260" s="1323"/>
      <c r="R1260" s="1304"/>
      <c r="S1260" s="1304"/>
      <c r="T1260" s="1304"/>
    </row>
    <row r="1261" spans="1:20">
      <c r="A1261" s="1303"/>
      <c r="B1261" s="1322" t="s">
        <v>4763</v>
      </c>
      <c r="C1261" s="1323" t="s">
        <v>4764</v>
      </c>
      <c r="D1261" s="1324">
        <f t="shared" si="144"/>
        <v>40052</v>
      </c>
      <c r="E1261" s="1323">
        <f t="shared" si="146"/>
        <v>7.8747999999999996</v>
      </c>
      <c r="F1261" s="1323">
        <f t="shared" si="145"/>
        <v>7.7066490216600556</v>
      </c>
      <c r="G1261" s="1323">
        <f t="shared" si="147"/>
        <v>2009</v>
      </c>
      <c r="H1261" s="1323">
        <f t="shared" si="148"/>
        <v>8</v>
      </c>
      <c r="I1261" s="1323">
        <f t="shared" si="149"/>
        <v>27</v>
      </c>
      <c r="J1261" s="1323"/>
      <c r="K1261" s="1323"/>
      <c r="L1261" s="1323"/>
      <c r="M1261" s="1323"/>
      <c r="N1261" s="1323"/>
      <c r="O1261" s="1323"/>
      <c r="P1261" s="1323"/>
      <c r="Q1261" s="1323"/>
      <c r="R1261" s="1304"/>
      <c r="S1261" s="1304"/>
      <c r="T1261" s="1304"/>
    </row>
    <row r="1262" spans="1:20">
      <c r="A1262" s="1303"/>
      <c r="B1262" s="1322" t="s">
        <v>4765</v>
      </c>
      <c r="C1262" s="1323" t="s">
        <v>4766</v>
      </c>
      <c r="D1262" s="1324">
        <f t="shared" si="144"/>
        <v>40051</v>
      </c>
      <c r="E1262" s="1323">
        <f t="shared" si="146"/>
        <v>7.7858999999999998</v>
      </c>
      <c r="F1262" s="1323">
        <f t="shared" si="145"/>
        <v>7.7051713175717538</v>
      </c>
      <c r="G1262" s="1323">
        <f t="shared" si="147"/>
        <v>2009</v>
      </c>
      <c r="H1262" s="1323">
        <f t="shared" si="148"/>
        <v>8</v>
      </c>
      <c r="I1262" s="1323">
        <f t="shared" si="149"/>
        <v>26</v>
      </c>
      <c r="J1262" s="1323"/>
      <c r="K1262" s="1323"/>
      <c r="L1262" s="1323"/>
      <c r="M1262" s="1323"/>
      <c r="N1262" s="1323"/>
      <c r="O1262" s="1323"/>
      <c r="P1262" s="1323"/>
      <c r="Q1262" s="1323"/>
      <c r="R1262" s="1304"/>
      <c r="S1262" s="1304"/>
      <c r="T1262" s="1304"/>
    </row>
    <row r="1263" spans="1:20">
      <c r="A1263" s="1303"/>
      <c r="B1263" s="1322" t="s">
        <v>4767</v>
      </c>
      <c r="C1263" s="1323" t="s">
        <v>4517</v>
      </c>
      <c r="D1263" s="1324">
        <f t="shared" si="144"/>
        <v>40050</v>
      </c>
      <c r="E1263" s="1323">
        <f t="shared" si="146"/>
        <v>7.8178999999999998</v>
      </c>
      <c r="F1263" s="1323">
        <f t="shared" si="145"/>
        <v>7.7036938968244177</v>
      </c>
      <c r="G1263" s="1323">
        <f t="shared" si="147"/>
        <v>2009</v>
      </c>
      <c r="H1263" s="1323">
        <f t="shared" si="148"/>
        <v>8</v>
      </c>
      <c r="I1263" s="1323">
        <f t="shared" si="149"/>
        <v>25</v>
      </c>
      <c r="J1263" s="1323"/>
      <c r="K1263" s="1323"/>
      <c r="L1263" s="1323"/>
      <c r="M1263" s="1323"/>
      <c r="N1263" s="1323"/>
      <c r="O1263" s="1323"/>
      <c r="P1263" s="1323"/>
      <c r="Q1263" s="1323"/>
      <c r="R1263" s="1304"/>
      <c r="S1263" s="1304"/>
      <c r="T1263" s="1304"/>
    </row>
    <row r="1264" spans="1:20">
      <c r="A1264" s="1303"/>
      <c r="B1264" s="1322" t="s">
        <v>4768</v>
      </c>
      <c r="C1264" s="1323" t="s">
        <v>4769</v>
      </c>
      <c r="D1264" s="1324">
        <f t="shared" si="144"/>
        <v>40049</v>
      </c>
      <c r="E1264" s="1323">
        <f t="shared" si="146"/>
        <v>7.7904999999999998</v>
      </c>
      <c r="F1264" s="1323">
        <f t="shared" si="145"/>
        <v>7.7022167593637176</v>
      </c>
      <c r="G1264" s="1323">
        <f t="shared" si="147"/>
        <v>2009</v>
      </c>
      <c r="H1264" s="1323">
        <f t="shared" si="148"/>
        <v>8</v>
      </c>
      <c r="I1264" s="1323">
        <f t="shared" si="149"/>
        <v>24</v>
      </c>
      <c r="J1264" s="1323"/>
      <c r="K1264" s="1323"/>
      <c r="L1264" s="1323"/>
      <c r="M1264" s="1323"/>
      <c r="N1264" s="1323"/>
      <c r="O1264" s="1323"/>
      <c r="P1264" s="1323"/>
      <c r="Q1264" s="1323"/>
      <c r="R1264" s="1304"/>
      <c r="S1264" s="1304"/>
      <c r="T1264" s="1304"/>
    </row>
    <row r="1265" spans="1:20">
      <c r="A1265" s="1303"/>
      <c r="B1265" s="1322" t="s">
        <v>4770</v>
      </c>
      <c r="C1265" s="1323" t="s">
        <v>4771</v>
      </c>
      <c r="D1265" s="1324">
        <f t="shared" si="144"/>
        <v>40046</v>
      </c>
      <c r="E1265" s="1323">
        <f t="shared" si="146"/>
        <v>7.8864000000000001</v>
      </c>
      <c r="F1265" s="1323">
        <f t="shared" si="145"/>
        <v>7.7007399051353351</v>
      </c>
      <c r="G1265" s="1323">
        <f t="shared" si="147"/>
        <v>2009</v>
      </c>
      <c r="H1265" s="1323">
        <f t="shared" si="148"/>
        <v>8</v>
      </c>
      <c r="I1265" s="1323">
        <f t="shared" si="149"/>
        <v>21</v>
      </c>
      <c r="J1265" s="1323"/>
      <c r="K1265" s="1323"/>
      <c r="L1265" s="1323"/>
      <c r="M1265" s="1323"/>
      <c r="N1265" s="1323"/>
      <c r="O1265" s="1323"/>
      <c r="P1265" s="1323"/>
      <c r="Q1265" s="1323"/>
      <c r="R1265" s="1304"/>
      <c r="S1265" s="1304"/>
      <c r="T1265" s="1304"/>
    </row>
    <row r="1266" spans="1:20">
      <c r="A1266" s="1303"/>
      <c r="B1266" s="1322" t="s">
        <v>4772</v>
      </c>
      <c r="C1266" s="1323" t="s">
        <v>4773</v>
      </c>
      <c r="D1266" s="1324">
        <f t="shared" si="144"/>
        <v>40045</v>
      </c>
      <c r="E1266" s="1323">
        <f t="shared" si="146"/>
        <v>7.9504999999999999</v>
      </c>
      <c r="F1266" s="1323">
        <f t="shared" si="145"/>
        <v>7.6992633340849626</v>
      </c>
      <c r="G1266" s="1323">
        <f t="shared" si="147"/>
        <v>2009</v>
      </c>
      <c r="H1266" s="1323">
        <f t="shared" si="148"/>
        <v>8</v>
      </c>
      <c r="I1266" s="1323">
        <f t="shared" si="149"/>
        <v>20</v>
      </c>
      <c r="J1266" s="1323"/>
      <c r="K1266" s="1323"/>
      <c r="L1266" s="1323"/>
      <c r="M1266" s="1323"/>
      <c r="N1266" s="1323"/>
      <c r="O1266" s="1323"/>
      <c r="P1266" s="1323"/>
      <c r="Q1266" s="1323"/>
      <c r="R1266" s="1304"/>
      <c r="S1266" s="1304"/>
      <c r="T1266" s="1304"/>
    </row>
    <row r="1267" spans="1:20">
      <c r="A1267" s="1303"/>
      <c r="B1267" s="1322" t="s">
        <v>4774</v>
      </c>
      <c r="C1267" s="1323" t="s">
        <v>4775</v>
      </c>
      <c r="D1267" s="1324">
        <f t="shared" si="144"/>
        <v>40044</v>
      </c>
      <c r="E1267" s="1323">
        <f t="shared" si="146"/>
        <v>8.0820000000000007</v>
      </c>
      <c r="F1267" s="1323">
        <f t="shared" si="145"/>
        <v>7.697787046158302</v>
      </c>
      <c r="G1267" s="1323">
        <f t="shared" si="147"/>
        <v>2009</v>
      </c>
      <c r="H1267" s="1323">
        <f t="shared" si="148"/>
        <v>8</v>
      </c>
      <c r="I1267" s="1323">
        <f t="shared" si="149"/>
        <v>19</v>
      </c>
      <c r="J1267" s="1323"/>
      <c r="K1267" s="1323"/>
      <c r="L1267" s="1323"/>
      <c r="M1267" s="1323"/>
      <c r="N1267" s="1323"/>
      <c r="O1267" s="1323"/>
      <c r="P1267" s="1323"/>
      <c r="Q1267" s="1323"/>
      <c r="R1267" s="1304"/>
      <c r="S1267" s="1304"/>
      <c r="T1267" s="1304"/>
    </row>
    <row r="1268" spans="1:20">
      <c r="A1268" s="1303"/>
      <c r="B1268" s="1322" t="s">
        <v>4776</v>
      </c>
      <c r="C1268" s="1323" t="s">
        <v>4777</v>
      </c>
      <c r="D1268" s="1324">
        <f t="shared" si="144"/>
        <v>40043</v>
      </c>
      <c r="E1268" s="1323">
        <f t="shared" si="146"/>
        <v>8.0565999999999995</v>
      </c>
      <c r="F1268" s="1323">
        <f t="shared" si="145"/>
        <v>7.6963110413010662</v>
      </c>
      <c r="G1268" s="1323">
        <f t="shared" si="147"/>
        <v>2009</v>
      </c>
      <c r="H1268" s="1323">
        <f t="shared" si="148"/>
        <v>8</v>
      </c>
      <c r="I1268" s="1323">
        <f t="shared" si="149"/>
        <v>18</v>
      </c>
      <c r="J1268" s="1323"/>
      <c r="K1268" s="1323"/>
      <c r="L1268" s="1323"/>
      <c r="M1268" s="1323"/>
      <c r="N1268" s="1323"/>
      <c r="O1268" s="1323"/>
      <c r="P1268" s="1323"/>
      <c r="Q1268" s="1323"/>
      <c r="R1268" s="1304"/>
      <c r="S1268" s="1304"/>
      <c r="T1268" s="1304"/>
    </row>
    <row r="1269" spans="1:20">
      <c r="A1269" s="1303"/>
      <c r="B1269" s="1322" t="s">
        <v>4778</v>
      </c>
      <c r="C1269" s="1323" t="s">
        <v>4779</v>
      </c>
      <c r="D1269" s="1324">
        <f t="shared" si="144"/>
        <v>40042</v>
      </c>
      <c r="E1269" s="1323">
        <f t="shared" si="146"/>
        <v>8.1859000000000002</v>
      </c>
      <c r="F1269" s="1323">
        <f t="shared" si="145"/>
        <v>7.6948353194589778</v>
      </c>
      <c r="G1269" s="1323">
        <f t="shared" si="147"/>
        <v>2009</v>
      </c>
      <c r="H1269" s="1323">
        <f t="shared" si="148"/>
        <v>8</v>
      </c>
      <c r="I1269" s="1323">
        <f t="shared" si="149"/>
        <v>17</v>
      </c>
      <c r="J1269" s="1323"/>
      <c r="K1269" s="1323"/>
      <c r="L1269" s="1323"/>
      <c r="M1269" s="1323"/>
      <c r="N1269" s="1323"/>
      <c r="O1269" s="1323"/>
      <c r="P1269" s="1323"/>
      <c r="Q1269" s="1323"/>
      <c r="R1269" s="1304"/>
      <c r="S1269" s="1304"/>
      <c r="T1269" s="1304"/>
    </row>
    <row r="1270" spans="1:20">
      <c r="A1270" s="1303"/>
      <c r="B1270" s="1322" t="s">
        <v>4780</v>
      </c>
      <c r="C1270" s="1323" t="s">
        <v>4781</v>
      </c>
      <c r="D1270" s="1324">
        <f t="shared" si="144"/>
        <v>40039</v>
      </c>
      <c r="E1270" s="1323">
        <f t="shared" si="146"/>
        <v>8.0274000000000001</v>
      </c>
      <c r="F1270" s="1323">
        <f t="shared" si="145"/>
        <v>7.6933598805777708</v>
      </c>
      <c r="G1270" s="1323">
        <f t="shared" si="147"/>
        <v>2009</v>
      </c>
      <c r="H1270" s="1323">
        <f t="shared" si="148"/>
        <v>8</v>
      </c>
      <c r="I1270" s="1323">
        <f t="shared" si="149"/>
        <v>14</v>
      </c>
      <c r="J1270" s="1323"/>
      <c r="K1270" s="1323"/>
      <c r="L1270" s="1323"/>
      <c r="M1270" s="1323"/>
      <c r="N1270" s="1323"/>
      <c r="O1270" s="1323"/>
      <c r="P1270" s="1323"/>
      <c r="Q1270" s="1323"/>
      <c r="R1270" s="1304"/>
      <c r="S1270" s="1304"/>
      <c r="T1270" s="1304"/>
    </row>
    <row r="1271" spans="1:20">
      <c r="A1271" s="1303"/>
      <c r="B1271" s="1322" t="s">
        <v>4782</v>
      </c>
      <c r="C1271" s="1323" t="s">
        <v>4783</v>
      </c>
      <c r="D1271" s="1324">
        <f t="shared" si="144"/>
        <v>40038</v>
      </c>
      <c r="E1271" s="1323">
        <f t="shared" si="146"/>
        <v>8.0066000000000006</v>
      </c>
      <c r="F1271" s="1323">
        <f t="shared" si="145"/>
        <v>7.6918847246031889</v>
      </c>
      <c r="G1271" s="1323">
        <f t="shared" si="147"/>
        <v>2009</v>
      </c>
      <c r="H1271" s="1323">
        <f t="shared" si="148"/>
        <v>8</v>
      </c>
      <c r="I1271" s="1323">
        <f t="shared" si="149"/>
        <v>13</v>
      </c>
      <c r="J1271" s="1323"/>
      <c r="K1271" s="1323"/>
      <c r="L1271" s="1323"/>
      <c r="M1271" s="1323"/>
      <c r="N1271" s="1323"/>
      <c r="O1271" s="1323"/>
      <c r="P1271" s="1323"/>
      <c r="Q1271" s="1323"/>
      <c r="R1271" s="1304"/>
      <c r="S1271" s="1304"/>
      <c r="T1271" s="1304"/>
    </row>
    <row r="1272" spans="1:20">
      <c r="A1272" s="1303"/>
      <c r="B1272" s="1322" t="s">
        <v>4784</v>
      </c>
      <c r="C1272" s="1323" t="s">
        <v>4785</v>
      </c>
      <c r="D1272" s="1324">
        <f t="shared" si="144"/>
        <v>40037</v>
      </c>
      <c r="E1272" s="1323">
        <f t="shared" si="146"/>
        <v>8.1758000000000006</v>
      </c>
      <c r="F1272" s="1323">
        <f t="shared" si="145"/>
        <v>7.6904098514809869</v>
      </c>
      <c r="G1272" s="1323">
        <f t="shared" si="147"/>
        <v>2009</v>
      </c>
      <c r="H1272" s="1323">
        <f t="shared" si="148"/>
        <v>8</v>
      </c>
      <c r="I1272" s="1323">
        <f t="shared" si="149"/>
        <v>12</v>
      </c>
      <c r="J1272" s="1323"/>
      <c r="K1272" s="1323"/>
      <c r="L1272" s="1323"/>
      <c r="M1272" s="1323"/>
      <c r="N1272" s="1323"/>
      <c r="O1272" s="1323"/>
      <c r="P1272" s="1323"/>
      <c r="Q1272" s="1323"/>
      <c r="R1272" s="1304"/>
      <c r="S1272" s="1304"/>
      <c r="T1272" s="1304"/>
    </row>
    <row r="1273" spans="1:20">
      <c r="A1273" s="1303"/>
      <c r="B1273" s="1322" t="s">
        <v>4786</v>
      </c>
      <c r="C1273" s="1323" t="s">
        <v>4787</v>
      </c>
      <c r="D1273" s="1324">
        <f t="shared" si="144"/>
        <v>40036</v>
      </c>
      <c r="E1273" s="1323">
        <f t="shared" si="146"/>
        <v>8.0596999999999994</v>
      </c>
      <c r="F1273" s="1323">
        <f t="shared" si="145"/>
        <v>7.6889352611569288</v>
      </c>
      <c r="G1273" s="1323">
        <f t="shared" si="147"/>
        <v>2009</v>
      </c>
      <c r="H1273" s="1323">
        <f t="shared" si="148"/>
        <v>8</v>
      </c>
      <c r="I1273" s="1323">
        <f t="shared" si="149"/>
        <v>11</v>
      </c>
      <c r="J1273" s="1323"/>
      <c r="K1273" s="1323"/>
      <c r="L1273" s="1323"/>
      <c r="M1273" s="1323"/>
      <c r="N1273" s="1323"/>
      <c r="O1273" s="1323"/>
      <c r="P1273" s="1323"/>
      <c r="Q1273" s="1323"/>
      <c r="R1273" s="1304"/>
      <c r="S1273" s="1304"/>
      <c r="T1273" s="1304"/>
    </row>
    <row r="1274" spans="1:20">
      <c r="A1274" s="1303"/>
      <c r="B1274" s="1322" t="s">
        <v>4788</v>
      </c>
      <c r="C1274" s="1323" t="s">
        <v>4789</v>
      </c>
      <c r="D1274" s="1324">
        <f t="shared" si="144"/>
        <v>40032</v>
      </c>
      <c r="E1274" s="1323">
        <f t="shared" si="146"/>
        <v>8.1415000000000006</v>
      </c>
      <c r="F1274" s="1323">
        <f t="shared" si="145"/>
        <v>7.6874609535767906</v>
      </c>
      <c r="G1274" s="1323">
        <f t="shared" si="147"/>
        <v>2009</v>
      </c>
      <c r="H1274" s="1323">
        <f t="shared" si="148"/>
        <v>8</v>
      </c>
      <c r="I1274" s="1323">
        <f t="shared" si="149"/>
        <v>7</v>
      </c>
      <c r="J1274" s="1323"/>
      <c r="K1274" s="1323"/>
      <c r="L1274" s="1323"/>
      <c r="M1274" s="1323"/>
      <c r="N1274" s="1323"/>
      <c r="O1274" s="1323"/>
      <c r="P1274" s="1323"/>
      <c r="Q1274" s="1323"/>
      <c r="R1274" s="1304"/>
      <c r="S1274" s="1304"/>
      <c r="T1274" s="1304"/>
    </row>
    <row r="1275" spans="1:20">
      <c r="A1275" s="1303"/>
      <c r="B1275" s="1322" t="s">
        <v>4790</v>
      </c>
      <c r="C1275" s="1323" t="s">
        <v>4791</v>
      </c>
      <c r="D1275" s="1324">
        <f t="shared" si="144"/>
        <v>40031</v>
      </c>
      <c r="E1275" s="1323">
        <f t="shared" si="146"/>
        <v>7.9965999999999999</v>
      </c>
      <c r="F1275" s="1323">
        <f t="shared" si="145"/>
        <v>7.6859869286863569</v>
      </c>
      <c r="G1275" s="1323">
        <f t="shared" si="147"/>
        <v>2009</v>
      </c>
      <c r="H1275" s="1323">
        <f t="shared" si="148"/>
        <v>8</v>
      </c>
      <c r="I1275" s="1323">
        <f t="shared" si="149"/>
        <v>6</v>
      </c>
      <c r="J1275" s="1323"/>
      <c r="K1275" s="1323"/>
      <c r="L1275" s="1323"/>
      <c r="M1275" s="1323"/>
      <c r="N1275" s="1323"/>
      <c r="O1275" s="1323"/>
      <c r="P1275" s="1323"/>
      <c r="Q1275" s="1323"/>
      <c r="R1275" s="1304"/>
      <c r="S1275" s="1304"/>
      <c r="T1275" s="1304"/>
    </row>
    <row r="1276" spans="1:20">
      <c r="A1276" s="1303"/>
      <c r="B1276" s="1322" t="s">
        <v>4792</v>
      </c>
      <c r="C1276" s="1323" t="s">
        <v>4793</v>
      </c>
      <c r="D1276" s="1324">
        <f t="shared" si="144"/>
        <v>40030</v>
      </c>
      <c r="E1276" s="1323">
        <f t="shared" si="146"/>
        <v>7.9012000000000002</v>
      </c>
      <c r="F1276" s="1323">
        <f t="shared" si="145"/>
        <v>7.6845131864314249</v>
      </c>
      <c r="G1276" s="1323">
        <f t="shared" si="147"/>
        <v>2009</v>
      </c>
      <c r="H1276" s="1323">
        <f t="shared" si="148"/>
        <v>8</v>
      </c>
      <c r="I1276" s="1323">
        <f t="shared" si="149"/>
        <v>5</v>
      </c>
      <c r="J1276" s="1323"/>
      <c r="K1276" s="1323"/>
      <c r="L1276" s="1323"/>
      <c r="M1276" s="1323"/>
      <c r="N1276" s="1323"/>
      <c r="O1276" s="1323"/>
      <c r="P1276" s="1323"/>
      <c r="Q1276" s="1323"/>
      <c r="R1276" s="1304"/>
      <c r="S1276" s="1304"/>
      <c r="T1276" s="1304"/>
    </row>
    <row r="1277" spans="1:20">
      <c r="A1277" s="1303"/>
      <c r="B1277" s="1322" t="s">
        <v>4794</v>
      </c>
      <c r="C1277" s="1323" t="s">
        <v>4795</v>
      </c>
      <c r="D1277" s="1324">
        <f t="shared" si="144"/>
        <v>40029</v>
      </c>
      <c r="E1277" s="1323">
        <f t="shared" si="146"/>
        <v>7.8179999999999996</v>
      </c>
      <c r="F1277" s="1323">
        <f t="shared" si="145"/>
        <v>7.6830397267577997</v>
      </c>
      <c r="G1277" s="1323">
        <f t="shared" si="147"/>
        <v>2009</v>
      </c>
      <c r="H1277" s="1323">
        <f t="shared" si="148"/>
        <v>8</v>
      </c>
      <c r="I1277" s="1323">
        <f t="shared" si="149"/>
        <v>4</v>
      </c>
      <c r="J1277" s="1323"/>
      <c r="K1277" s="1323"/>
      <c r="L1277" s="1323"/>
      <c r="M1277" s="1323"/>
      <c r="N1277" s="1323"/>
      <c r="O1277" s="1323"/>
      <c r="P1277" s="1323"/>
      <c r="Q1277" s="1323"/>
      <c r="R1277" s="1304"/>
      <c r="S1277" s="1304"/>
      <c r="T1277" s="1304"/>
    </row>
    <row r="1278" spans="1:20">
      <c r="A1278" s="1303"/>
      <c r="B1278" s="1322" t="s">
        <v>4796</v>
      </c>
      <c r="C1278" s="1323" t="s">
        <v>3690</v>
      </c>
      <c r="D1278" s="1324">
        <f t="shared" si="144"/>
        <v>40028</v>
      </c>
      <c r="E1278" s="1323">
        <f t="shared" si="146"/>
        <v>7.7572000000000001</v>
      </c>
      <c r="F1278" s="1323">
        <f t="shared" si="145"/>
        <v>7.6815665496112988</v>
      </c>
      <c r="G1278" s="1323">
        <f t="shared" si="147"/>
        <v>2009</v>
      </c>
      <c r="H1278" s="1323">
        <f t="shared" si="148"/>
        <v>8</v>
      </c>
      <c r="I1278" s="1323">
        <f t="shared" si="149"/>
        <v>3</v>
      </c>
      <c r="J1278" s="1323"/>
      <c r="K1278" s="1323"/>
      <c r="L1278" s="1323"/>
      <c r="M1278" s="1323"/>
      <c r="N1278" s="1323"/>
      <c r="O1278" s="1323"/>
      <c r="P1278" s="1323"/>
      <c r="Q1278" s="1323"/>
      <c r="R1278" s="1304"/>
      <c r="S1278" s="1304"/>
      <c r="T1278" s="1304"/>
    </row>
    <row r="1279" spans="1:20">
      <c r="A1279" s="1303"/>
      <c r="B1279" s="1322" t="s">
        <v>4797</v>
      </c>
      <c r="C1279" s="1323" t="s">
        <v>4798</v>
      </c>
      <c r="D1279" s="1324">
        <f t="shared" si="144"/>
        <v>40025</v>
      </c>
      <c r="E1279" s="1323">
        <f t="shared" si="146"/>
        <v>7.8074000000000003</v>
      </c>
      <c r="F1279" s="1323">
        <f t="shared" si="145"/>
        <v>7.6800936549377488</v>
      </c>
      <c r="G1279" s="1323">
        <f t="shared" si="147"/>
        <v>2009</v>
      </c>
      <c r="H1279" s="1323">
        <f t="shared" si="148"/>
        <v>7</v>
      </c>
      <c r="I1279" s="1323">
        <f t="shared" si="149"/>
        <v>31</v>
      </c>
      <c r="J1279" s="1323"/>
      <c r="K1279" s="1323"/>
      <c r="L1279" s="1323"/>
      <c r="M1279" s="1323"/>
      <c r="N1279" s="1323"/>
      <c r="O1279" s="1323"/>
      <c r="P1279" s="1323"/>
      <c r="Q1279" s="1323"/>
      <c r="R1279" s="1304"/>
      <c r="S1279" s="1304"/>
      <c r="T1279" s="1304"/>
    </row>
    <row r="1280" spans="1:20">
      <c r="A1280" s="1303"/>
      <c r="B1280" s="1322" t="s">
        <v>4799</v>
      </c>
      <c r="C1280" s="1323" t="s">
        <v>4800</v>
      </c>
      <c r="D1280" s="1324">
        <f t="shared" si="144"/>
        <v>40024</v>
      </c>
      <c r="E1280" s="1323">
        <f t="shared" si="146"/>
        <v>7.8512000000000004</v>
      </c>
      <c r="F1280" s="1323">
        <f t="shared" si="145"/>
        <v>7.6786210426829875</v>
      </c>
      <c r="G1280" s="1323">
        <f t="shared" si="147"/>
        <v>2009</v>
      </c>
      <c r="H1280" s="1323">
        <f t="shared" si="148"/>
        <v>7</v>
      </c>
      <c r="I1280" s="1323">
        <f t="shared" si="149"/>
        <v>30</v>
      </c>
      <c r="J1280" s="1323"/>
      <c r="K1280" s="1323"/>
      <c r="L1280" s="1323"/>
      <c r="M1280" s="1323"/>
      <c r="N1280" s="1323"/>
      <c r="O1280" s="1323"/>
      <c r="P1280" s="1323"/>
      <c r="Q1280" s="1323"/>
      <c r="R1280" s="1304"/>
      <c r="S1280" s="1304"/>
      <c r="T1280" s="1304"/>
    </row>
    <row r="1281" spans="1:20">
      <c r="A1281" s="1303"/>
      <c r="B1281" s="1322" t="s">
        <v>4801</v>
      </c>
      <c r="C1281" s="1323" t="s">
        <v>4802</v>
      </c>
      <c r="D1281" s="1324">
        <f t="shared" si="144"/>
        <v>40023</v>
      </c>
      <c r="E1281" s="1323">
        <f t="shared" si="146"/>
        <v>7.9080000000000004</v>
      </c>
      <c r="F1281" s="1323">
        <f t="shared" si="145"/>
        <v>7.6771487127928628</v>
      </c>
      <c r="G1281" s="1323">
        <f t="shared" si="147"/>
        <v>2009</v>
      </c>
      <c r="H1281" s="1323">
        <f t="shared" si="148"/>
        <v>7</v>
      </c>
      <c r="I1281" s="1323">
        <f t="shared" si="149"/>
        <v>29</v>
      </c>
      <c r="J1281" s="1323"/>
      <c r="K1281" s="1323"/>
      <c r="L1281" s="1323"/>
      <c r="M1281" s="1323"/>
      <c r="N1281" s="1323"/>
      <c r="O1281" s="1323"/>
      <c r="P1281" s="1323"/>
      <c r="Q1281" s="1323"/>
      <c r="R1281" s="1304"/>
      <c r="S1281" s="1304"/>
      <c r="T1281" s="1304"/>
    </row>
    <row r="1282" spans="1:20">
      <c r="A1282" s="1303"/>
      <c r="B1282" s="1322" t="s">
        <v>4803</v>
      </c>
      <c r="C1282" s="1323" t="s">
        <v>4804</v>
      </c>
      <c r="D1282" s="1324">
        <f t="shared" si="144"/>
        <v>40022</v>
      </c>
      <c r="E1282" s="1323">
        <f t="shared" si="146"/>
        <v>7.7172000000000001</v>
      </c>
      <c r="F1282" s="1323">
        <f t="shared" si="145"/>
        <v>7.6756766652132322</v>
      </c>
      <c r="G1282" s="1323">
        <f t="shared" si="147"/>
        <v>2009</v>
      </c>
      <c r="H1282" s="1323">
        <f t="shared" si="148"/>
        <v>7</v>
      </c>
      <c r="I1282" s="1323">
        <f t="shared" si="149"/>
        <v>28</v>
      </c>
      <c r="J1282" s="1323"/>
      <c r="K1282" s="1323"/>
      <c r="L1282" s="1323"/>
      <c r="M1282" s="1323"/>
      <c r="N1282" s="1323"/>
      <c r="O1282" s="1323"/>
      <c r="P1282" s="1323"/>
      <c r="Q1282" s="1323"/>
      <c r="R1282" s="1304"/>
      <c r="S1282" s="1304"/>
      <c r="T1282" s="1304"/>
    </row>
    <row r="1283" spans="1:20">
      <c r="A1283" s="1303"/>
      <c r="B1283" s="1322" t="s">
        <v>4805</v>
      </c>
      <c r="C1283" s="1323" t="s">
        <v>4545</v>
      </c>
      <c r="D1283" s="1324">
        <f t="shared" si="144"/>
        <v>40021</v>
      </c>
      <c r="E1283" s="1323">
        <f t="shared" si="146"/>
        <v>7.7733999999999996</v>
      </c>
      <c r="F1283" s="1323">
        <f t="shared" si="145"/>
        <v>7.6742048998899657</v>
      </c>
      <c r="G1283" s="1323">
        <f t="shared" si="147"/>
        <v>2009</v>
      </c>
      <c r="H1283" s="1323">
        <f t="shared" si="148"/>
        <v>7</v>
      </c>
      <c r="I1283" s="1323">
        <f t="shared" si="149"/>
        <v>27</v>
      </c>
      <c r="J1283" s="1323"/>
      <c r="K1283" s="1323"/>
      <c r="L1283" s="1323"/>
      <c r="M1283" s="1323"/>
      <c r="N1283" s="1323"/>
      <c r="O1283" s="1323"/>
      <c r="P1283" s="1323"/>
      <c r="Q1283" s="1323"/>
      <c r="R1283" s="1304"/>
      <c r="S1283" s="1304"/>
      <c r="T1283" s="1304"/>
    </row>
    <row r="1284" spans="1:20">
      <c r="A1284" s="1303"/>
      <c r="B1284" s="1322" t="s">
        <v>4806</v>
      </c>
      <c r="C1284" s="1323" t="s">
        <v>4807</v>
      </c>
      <c r="D1284" s="1324">
        <f t="shared" si="144"/>
        <v>40018</v>
      </c>
      <c r="E1284" s="1323">
        <f t="shared" si="146"/>
        <v>7.7042999999999999</v>
      </c>
      <c r="F1284" s="1323">
        <f t="shared" si="145"/>
        <v>7.6727334167689412</v>
      </c>
      <c r="G1284" s="1323">
        <f t="shared" si="147"/>
        <v>2009</v>
      </c>
      <c r="H1284" s="1323">
        <f t="shared" si="148"/>
        <v>7</v>
      </c>
      <c r="I1284" s="1323">
        <f t="shared" si="149"/>
        <v>24</v>
      </c>
      <c r="J1284" s="1323"/>
      <c r="K1284" s="1323"/>
      <c r="L1284" s="1323"/>
      <c r="M1284" s="1323"/>
      <c r="N1284" s="1323"/>
      <c r="O1284" s="1323"/>
      <c r="P1284" s="1323"/>
      <c r="Q1284" s="1323"/>
      <c r="R1284" s="1304"/>
      <c r="S1284" s="1304"/>
      <c r="T1284" s="1304"/>
    </row>
    <row r="1285" spans="1:20">
      <c r="A1285" s="1303"/>
      <c r="B1285" s="1322" t="s">
        <v>4808</v>
      </c>
      <c r="C1285" s="1323" t="s">
        <v>4809</v>
      </c>
      <c r="D1285" s="1324">
        <f t="shared" si="144"/>
        <v>40017</v>
      </c>
      <c r="E1285" s="1323">
        <f t="shared" si="146"/>
        <v>7.6847000000000003</v>
      </c>
      <c r="F1285" s="1323">
        <f t="shared" si="145"/>
        <v>7.6712622157960482</v>
      </c>
      <c r="G1285" s="1323">
        <f t="shared" si="147"/>
        <v>2009</v>
      </c>
      <c r="H1285" s="1323">
        <f t="shared" si="148"/>
        <v>7</v>
      </c>
      <c r="I1285" s="1323">
        <f t="shared" si="149"/>
        <v>23</v>
      </c>
      <c r="J1285" s="1323"/>
      <c r="K1285" s="1323"/>
      <c r="L1285" s="1323"/>
      <c r="M1285" s="1323"/>
      <c r="N1285" s="1323"/>
      <c r="O1285" s="1323"/>
      <c r="P1285" s="1323"/>
      <c r="Q1285" s="1323"/>
      <c r="R1285" s="1304"/>
      <c r="S1285" s="1304"/>
      <c r="T1285" s="1304"/>
    </row>
    <row r="1286" spans="1:20">
      <c r="A1286" s="1303"/>
      <c r="B1286" s="1322" t="s">
        <v>4810</v>
      </c>
      <c r="C1286" s="1323" t="s">
        <v>4811</v>
      </c>
      <c r="D1286" s="1324">
        <f t="shared" si="144"/>
        <v>40016</v>
      </c>
      <c r="E1286" s="1323">
        <f t="shared" si="146"/>
        <v>7.8291000000000004</v>
      </c>
      <c r="F1286" s="1323">
        <f t="shared" si="145"/>
        <v>7.6697912969171869</v>
      </c>
      <c r="G1286" s="1323">
        <f t="shared" si="147"/>
        <v>2009</v>
      </c>
      <c r="H1286" s="1323">
        <f t="shared" si="148"/>
        <v>7</v>
      </c>
      <c r="I1286" s="1323">
        <f t="shared" si="149"/>
        <v>22</v>
      </c>
      <c r="J1286" s="1323"/>
      <c r="K1286" s="1323"/>
      <c r="L1286" s="1323"/>
      <c r="M1286" s="1323"/>
      <c r="N1286" s="1323"/>
      <c r="O1286" s="1323"/>
      <c r="P1286" s="1323"/>
      <c r="Q1286" s="1323"/>
      <c r="R1286" s="1304"/>
      <c r="S1286" s="1304"/>
      <c r="T1286" s="1304"/>
    </row>
    <row r="1287" spans="1:20">
      <c r="A1287" s="1303"/>
      <c r="B1287" s="1322" t="s">
        <v>4812</v>
      </c>
      <c r="C1287" s="1323" t="s">
        <v>4813</v>
      </c>
      <c r="D1287" s="1324">
        <f t="shared" si="144"/>
        <v>40015</v>
      </c>
      <c r="E1287" s="1323">
        <f t="shared" si="146"/>
        <v>7.8869999999999996</v>
      </c>
      <c r="F1287" s="1323">
        <f t="shared" si="145"/>
        <v>7.6683206600782672</v>
      </c>
      <c r="G1287" s="1323">
        <f t="shared" si="147"/>
        <v>2009</v>
      </c>
      <c r="H1287" s="1323">
        <f t="shared" si="148"/>
        <v>7</v>
      </c>
      <c r="I1287" s="1323">
        <f t="shared" si="149"/>
        <v>21</v>
      </c>
      <c r="J1287" s="1323"/>
      <c r="K1287" s="1323"/>
      <c r="L1287" s="1323"/>
      <c r="M1287" s="1323"/>
      <c r="N1287" s="1323"/>
      <c r="O1287" s="1323"/>
      <c r="P1287" s="1323"/>
      <c r="Q1287" s="1323"/>
      <c r="R1287" s="1304"/>
      <c r="S1287" s="1304"/>
      <c r="T1287" s="1304"/>
    </row>
    <row r="1288" spans="1:20">
      <c r="A1288" s="1303"/>
      <c r="B1288" s="1322" t="s">
        <v>4814</v>
      </c>
      <c r="C1288" s="1323" t="s">
        <v>4815</v>
      </c>
      <c r="D1288" s="1324">
        <f t="shared" si="144"/>
        <v>40014</v>
      </c>
      <c r="E1288" s="1323">
        <f t="shared" si="146"/>
        <v>7.9825999999999997</v>
      </c>
      <c r="F1288" s="1323">
        <f t="shared" si="145"/>
        <v>7.6668503052252097</v>
      </c>
      <c r="G1288" s="1323">
        <f t="shared" si="147"/>
        <v>2009</v>
      </c>
      <c r="H1288" s="1323">
        <f t="shared" si="148"/>
        <v>7</v>
      </c>
      <c r="I1288" s="1323">
        <f t="shared" si="149"/>
        <v>20</v>
      </c>
      <c r="J1288" s="1323"/>
      <c r="K1288" s="1323"/>
      <c r="L1288" s="1323"/>
      <c r="M1288" s="1323"/>
      <c r="N1288" s="1323"/>
      <c r="O1288" s="1323"/>
      <c r="P1288" s="1323"/>
      <c r="Q1288" s="1323"/>
      <c r="R1288" s="1304"/>
      <c r="S1288" s="1304"/>
      <c r="T1288" s="1304"/>
    </row>
    <row r="1289" spans="1:20">
      <c r="A1289" s="1303"/>
      <c r="B1289" s="1322" t="s">
        <v>4816</v>
      </c>
      <c r="C1289" s="1323" t="s">
        <v>3576</v>
      </c>
      <c r="D1289" s="1324">
        <f t="shared" ref="D1289:D1352" si="150">DATE(G1289,H1289,I1289)</f>
        <v>40011</v>
      </c>
      <c r="E1289" s="1323">
        <f t="shared" si="146"/>
        <v>8.0980000000000008</v>
      </c>
      <c r="F1289" s="1323">
        <f t="shared" ref="F1289:F1352" si="151">F1290*(1+$F$7/365)</f>
        <v>7.6653802323039457</v>
      </c>
      <c r="G1289" s="1323">
        <f t="shared" si="147"/>
        <v>2009</v>
      </c>
      <c r="H1289" s="1323">
        <f t="shared" si="148"/>
        <v>7</v>
      </c>
      <c r="I1289" s="1323">
        <f t="shared" si="149"/>
        <v>17</v>
      </c>
      <c r="J1289" s="1323"/>
      <c r="K1289" s="1323"/>
      <c r="L1289" s="1323"/>
      <c r="M1289" s="1323"/>
      <c r="N1289" s="1323"/>
      <c r="O1289" s="1323"/>
      <c r="P1289" s="1323"/>
      <c r="Q1289" s="1323"/>
      <c r="R1289" s="1304"/>
      <c r="S1289" s="1304"/>
      <c r="T1289" s="1304"/>
    </row>
    <row r="1290" spans="1:20">
      <c r="A1290" s="1303"/>
      <c r="B1290" s="1322" t="s">
        <v>4817</v>
      </c>
      <c r="C1290" s="1323" t="s">
        <v>4818</v>
      </c>
      <c r="D1290" s="1324">
        <f t="shared" si="150"/>
        <v>40010</v>
      </c>
      <c r="E1290" s="1323">
        <f t="shared" si="146"/>
        <v>8.1519999999999992</v>
      </c>
      <c r="F1290" s="1323">
        <f t="shared" si="151"/>
        <v>7.6639104412604162</v>
      </c>
      <c r="G1290" s="1323">
        <f t="shared" si="147"/>
        <v>2009</v>
      </c>
      <c r="H1290" s="1323">
        <f t="shared" si="148"/>
        <v>7</v>
      </c>
      <c r="I1290" s="1323">
        <f t="shared" si="149"/>
        <v>16</v>
      </c>
      <c r="J1290" s="1323"/>
      <c r="K1290" s="1323"/>
      <c r="L1290" s="1323"/>
      <c r="M1290" s="1323"/>
      <c r="N1290" s="1323"/>
      <c r="O1290" s="1323"/>
      <c r="P1290" s="1323"/>
      <c r="Q1290" s="1323"/>
      <c r="R1290" s="1304"/>
      <c r="S1290" s="1304"/>
      <c r="T1290" s="1304"/>
    </row>
    <row r="1291" spans="1:20">
      <c r="A1291" s="1303"/>
      <c r="B1291" s="1322" t="s">
        <v>4819</v>
      </c>
      <c r="C1291" s="1323" t="s">
        <v>4820</v>
      </c>
      <c r="D1291" s="1324">
        <f t="shared" si="150"/>
        <v>40009</v>
      </c>
      <c r="E1291" s="1323">
        <f t="shared" si="146"/>
        <v>8.2161000000000008</v>
      </c>
      <c r="F1291" s="1323">
        <f t="shared" si="151"/>
        <v>7.6624409320405729</v>
      </c>
      <c r="G1291" s="1323">
        <f t="shared" si="147"/>
        <v>2009</v>
      </c>
      <c r="H1291" s="1323">
        <f t="shared" si="148"/>
        <v>7</v>
      </c>
      <c r="I1291" s="1323">
        <f t="shared" si="149"/>
        <v>15</v>
      </c>
      <c r="J1291" s="1323"/>
      <c r="K1291" s="1323"/>
      <c r="L1291" s="1323"/>
      <c r="M1291" s="1323"/>
      <c r="N1291" s="1323"/>
      <c r="O1291" s="1323"/>
      <c r="P1291" s="1323"/>
      <c r="Q1291" s="1323"/>
      <c r="R1291" s="1304"/>
      <c r="S1291" s="1304"/>
      <c r="T1291" s="1304"/>
    </row>
    <row r="1292" spans="1:20">
      <c r="A1292" s="1303"/>
      <c r="B1292" s="1322" t="s">
        <v>4821</v>
      </c>
      <c r="C1292" s="1323" t="s">
        <v>4822</v>
      </c>
      <c r="D1292" s="1324">
        <f t="shared" si="150"/>
        <v>40008</v>
      </c>
      <c r="E1292" s="1323">
        <f t="shared" si="146"/>
        <v>8.1722999999999999</v>
      </c>
      <c r="F1292" s="1323">
        <f t="shared" si="151"/>
        <v>7.6609717045903771</v>
      </c>
      <c r="G1292" s="1323">
        <f t="shared" si="147"/>
        <v>2009</v>
      </c>
      <c r="H1292" s="1323">
        <f t="shared" si="148"/>
        <v>7</v>
      </c>
      <c r="I1292" s="1323">
        <f t="shared" si="149"/>
        <v>14</v>
      </c>
      <c r="J1292" s="1323"/>
      <c r="K1292" s="1323"/>
      <c r="L1292" s="1323"/>
      <c r="M1292" s="1323"/>
      <c r="N1292" s="1323"/>
      <c r="O1292" s="1323"/>
      <c r="P1292" s="1323"/>
      <c r="Q1292" s="1323"/>
      <c r="R1292" s="1304"/>
      <c r="S1292" s="1304"/>
      <c r="T1292" s="1304"/>
    </row>
    <row r="1293" spans="1:20">
      <c r="A1293" s="1303"/>
      <c r="B1293" s="1322" t="s">
        <v>4823</v>
      </c>
      <c r="C1293" s="1323" t="s">
        <v>4824</v>
      </c>
      <c r="D1293" s="1324">
        <f t="shared" si="150"/>
        <v>40007</v>
      </c>
      <c r="E1293" s="1323">
        <f t="shared" si="146"/>
        <v>8.3167000000000009</v>
      </c>
      <c r="F1293" s="1323">
        <f t="shared" si="151"/>
        <v>7.659502758855802</v>
      </c>
      <c r="G1293" s="1323">
        <f t="shared" si="147"/>
        <v>2009</v>
      </c>
      <c r="H1293" s="1323">
        <f t="shared" si="148"/>
        <v>7</v>
      </c>
      <c r="I1293" s="1323">
        <f t="shared" si="149"/>
        <v>13</v>
      </c>
      <c r="J1293" s="1323"/>
      <c r="K1293" s="1323"/>
      <c r="L1293" s="1323"/>
      <c r="M1293" s="1323"/>
      <c r="N1293" s="1323"/>
      <c r="O1293" s="1323"/>
      <c r="P1293" s="1323"/>
      <c r="Q1293" s="1323"/>
      <c r="R1293" s="1304"/>
      <c r="S1293" s="1304"/>
      <c r="T1293" s="1304"/>
    </row>
    <row r="1294" spans="1:20">
      <c r="A1294" s="1303"/>
      <c r="B1294" s="1322" t="s">
        <v>4825</v>
      </c>
      <c r="C1294" s="1323" t="s">
        <v>4826</v>
      </c>
      <c r="D1294" s="1324">
        <f t="shared" si="150"/>
        <v>40004</v>
      </c>
      <c r="E1294" s="1323">
        <f t="shared" si="146"/>
        <v>8.1640999999999995</v>
      </c>
      <c r="F1294" s="1323">
        <f t="shared" si="151"/>
        <v>7.6580340947828294</v>
      </c>
      <c r="G1294" s="1323">
        <f t="shared" si="147"/>
        <v>2009</v>
      </c>
      <c r="H1294" s="1323">
        <f t="shared" si="148"/>
        <v>7</v>
      </c>
      <c r="I1294" s="1323">
        <f t="shared" si="149"/>
        <v>10</v>
      </c>
      <c r="J1294" s="1323"/>
      <c r="K1294" s="1323"/>
      <c r="L1294" s="1323"/>
      <c r="M1294" s="1323"/>
      <c r="N1294" s="1323"/>
      <c r="O1294" s="1323"/>
      <c r="P1294" s="1323"/>
      <c r="Q1294" s="1323"/>
      <c r="R1294" s="1304"/>
      <c r="S1294" s="1304"/>
      <c r="T1294" s="1304"/>
    </row>
    <row r="1295" spans="1:20">
      <c r="A1295" s="1303"/>
      <c r="B1295" s="1322" t="s">
        <v>4827</v>
      </c>
      <c r="C1295" s="1323" t="s">
        <v>4828</v>
      </c>
      <c r="D1295" s="1324">
        <f t="shared" si="150"/>
        <v>40003</v>
      </c>
      <c r="E1295" s="1323">
        <f t="shared" si="146"/>
        <v>8.1219999999999999</v>
      </c>
      <c r="F1295" s="1323">
        <f t="shared" si="151"/>
        <v>7.6565657123174535</v>
      </c>
      <c r="G1295" s="1323">
        <f t="shared" si="147"/>
        <v>2009</v>
      </c>
      <c r="H1295" s="1323">
        <f t="shared" si="148"/>
        <v>7</v>
      </c>
      <c r="I1295" s="1323">
        <f t="shared" si="149"/>
        <v>9</v>
      </c>
      <c r="J1295" s="1323"/>
      <c r="K1295" s="1323"/>
      <c r="L1295" s="1323"/>
      <c r="M1295" s="1323"/>
      <c r="N1295" s="1323"/>
      <c r="O1295" s="1323"/>
      <c r="P1295" s="1323"/>
      <c r="Q1295" s="1323"/>
      <c r="R1295" s="1304"/>
      <c r="S1295" s="1304"/>
      <c r="T1295" s="1304"/>
    </row>
    <row r="1296" spans="1:20">
      <c r="A1296" s="1303"/>
      <c r="B1296" s="1322" t="s">
        <v>4829</v>
      </c>
      <c r="C1296" s="1323" t="s">
        <v>4830</v>
      </c>
      <c r="D1296" s="1324">
        <f t="shared" si="150"/>
        <v>40002</v>
      </c>
      <c r="E1296" s="1323">
        <f t="shared" si="146"/>
        <v>8.1296999999999997</v>
      </c>
      <c r="F1296" s="1323">
        <f t="shared" si="151"/>
        <v>7.6550976114056768</v>
      </c>
      <c r="G1296" s="1323">
        <f t="shared" si="147"/>
        <v>2009</v>
      </c>
      <c r="H1296" s="1323">
        <f t="shared" si="148"/>
        <v>7</v>
      </c>
      <c r="I1296" s="1323">
        <f t="shared" si="149"/>
        <v>8</v>
      </c>
      <c r="J1296" s="1323"/>
      <c r="K1296" s="1323"/>
      <c r="L1296" s="1323"/>
      <c r="M1296" s="1323"/>
      <c r="N1296" s="1323"/>
      <c r="O1296" s="1323"/>
      <c r="P1296" s="1323"/>
      <c r="Q1296" s="1323"/>
      <c r="R1296" s="1304"/>
      <c r="S1296" s="1304"/>
      <c r="T1296" s="1304"/>
    </row>
    <row r="1297" spans="1:20">
      <c r="A1297" s="1303"/>
      <c r="B1297" s="1322" t="s">
        <v>4831</v>
      </c>
      <c r="C1297" s="1323" t="s">
        <v>4832</v>
      </c>
      <c r="D1297" s="1324">
        <f t="shared" si="150"/>
        <v>40001</v>
      </c>
      <c r="E1297" s="1323">
        <f t="shared" si="146"/>
        <v>8.0068999999999999</v>
      </c>
      <c r="F1297" s="1323">
        <f t="shared" si="151"/>
        <v>7.653629791993513</v>
      </c>
      <c r="G1297" s="1323">
        <f t="shared" si="147"/>
        <v>2009</v>
      </c>
      <c r="H1297" s="1323">
        <f t="shared" si="148"/>
        <v>7</v>
      </c>
      <c r="I1297" s="1323">
        <f t="shared" si="149"/>
        <v>7</v>
      </c>
      <c r="J1297" s="1323"/>
      <c r="K1297" s="1323"/>
      <c r="L1297" s="1323"/>
      <c r="M1297" s="1323"/>
      <c r="N1297" s="1323"/>
      <c r="O1297" s="1323"/>
      <c r="P1297" s="1323"/>
      <c r="Q1297" s="1323"/>
      <c r="R1297" s="1304"/>
      <c r="S1297" s="1304"/>
      <c r="T1297" s="1304"/>
    </row>
    <row r="1298" spans="1:20">
      <c r="A1298" s="1303"/>
      <c r="B1298" s="1322" t="s">
        <v>4833</v>
      </c>
      <c r="C1298" s="1323" t="s">
        <v>4834</v>
      </c>
      <c r="D1298" s="1324">
        <f t="shared" si="150"/>
        <v>40000</v>
      </c>
      <c r="E1298" s="1323">
        <f t="shared" si="146"/>
        <v>8.0109999999999992</v>
      </c>
      <c r="F1298" s="1323">
        <f t="shared" si="151"/>
        <v>7.6521622540269867</v>
      </c>
      <c r="G1298" s="1323">
        <f t="shared" si="147"/>
        <v>2009</v>
      </c>
      <c r="H1298" s="1323">
        <f t="shared" si="148"/>
        <v>7</v>
      </c>
      <c r="I1298" s="1323">
        <f t="shared" si="149"/>
        <v>6</v>
      </c>
      <c r="J1298" s="1323"/>
      <c r="K1298" s="1323"/>
      <c r="L1298" s="1323"/>
      <c r="M1298" s="1323"/>
      <c r="N1298" s="1323"/>
      <c r="O1298" s="1323"/>
      <c r="P1298" s="1323"/>
      <c r="Q1298" s="1323"/>
      <c r="R1298" s="1304"/>
      <c r="S1298" s="1304"/>
      <c r="T1298" s="1304"/>
    </row>
    <row r="1299" spans="1:20">
      <c r="A1299" s="1303"/>
      <c r="B1299" s="1322" t="s">
        <v>4835</v>
      </c>
      <c r="C1299" s="1323" t="s">
        <v>4836</v>
      </c>
      <c r="D1299" s="1324">
        <f t="shared" si="150"/>
        <v>39997</v>
      </c>
      <c r="E1299" s="1323">
        <f t="shared" si="146"/>
        <v>7.9260000000000002</v>
      </c>
      <c r="F1299" s="1323">
        <f t="shared" si="151"/>
        <v>7.650694997452133</v>
      </c>
      <c r="G1299" s="1323">
        <f t="shared" si="147"/>
        <v>2009</v>
      </c>
      <c r="H1299" s="1323">
        <f t="shared" si="148"/>
        <v>7</v>
      </c>
      <c r="I1299" s="1323">
        <f t="shared" si="149"/>
        <v>3</v>
      </c>
      <c r="J1299" s="1323"/>
      <c r="K1299" s="1323"/>
      <c r="L1299" s="1323"/>
      <c r="M1299" s="1323"/>
      <c r="N1299" s="1323"/>
      <c r="O1299" s="1323"/>
      <c r="P1299" s="1323"/>
      <c r="Q1299" s="1323"/>
      <c r="R1299" s="1304"/>
      <c r="S1299" s="1304"/>
      <c r="T1299" s="1304"/>
    </row>
    <row r="1300" spans="1:20">
      <c r="A1300" s="1303"/>
      <c r="B1300" s="1322" t="s">
        <v>4837</v>
      </c>
      <c r="C1300" s="1323" t="s">
        <v>4838</v>
      </c>
      <c r="D1300" s="1324">
        <f t="shared" si="150"/>
        <v>39996</v>
      </c>
      <c r="E1300" s="1323">
        <f t="shared" si="146"/>
        <v>7.8116000000000003</v>
      </c>
      <c r="F1300" s="1323">
        <f t="shared" si="151"/>
        <v>7.649228022214996</v>
      </c>
      <c r="G1300" s="1323">
        <f t="shared" si="147"/>
        <v>2009</v>
      </c>
      <c r="H1300" s="1323">
        <f t="shared" si="148"/>
        <v>7</v>
      </c>
      <c r="I1300" s="1323">
        <f t="shared" si="149"/>
        <v>2</v>
      </c>
      <c r="J1300" s="1323"/>
      <c r="K1300" s="1323"/>
      <c r="L1300" s="1323"/>
      <c r="M1300" s="1323"/>
      <c r="N1300" s="1323"/>
      <c r="O1300" s="1323"/>
      <c r="P1300" s="1323"/>
      <c r="Q1300" s="1323"/>
      <c r="R1300" s="1304"/>
      <c r="S1300" s="1304"/>
      <c r="T1300" s="1304"/>
    </row>
    <row r="1301" spans="1:20">
      <c r="A1301" s="1303"/>
      <c r="B1301" s="1322" t="s">
        <v>4839</v>
      </c>
      <c r="C1301" s="1323" t="s">
        <v>4840</v>
      </c>
      <c r="D1301" s="1324">
        <f t="shared" si="150"/>
        <v>39995</v>
      </c>
      <c r="E1301" s="1323">
        <f t="shared" si="146"/>
        <v>7.7069000000000001</v>
      </c>
      <c r="F1301" s="1323">
        <f t="shared" si="151"/>
        <v>7.6477613282616304</v>
      </c>
      <c r="G1301" s="1323">
        <f t="shared" si="147"/>
        <v>2009</v>
      </c>
      <c r="H1301" s="1323">
        <f t="shared" si="148"/>
        <v>7</v>
      </c>
      <c r="I1301" s="1323">
        <f t="shared" si="149"/>
        <v>1</v>
      </c>
      <c r="J1301" s="1323"/>
      <c r="K1301" s="1323"/>
      <c r="L1301" s="1323"/>
      <c r="M1301" s="1323"/>
      <c r="N1301" s="1323"/>
      <c r="O1301" s="1323"/>
      <c r="P1301" s="1323"/>
      <c r="Q1301" s="1323"/>
      <c r="R1301" s="1304"/>
      <c r="S1301" s="1304"/>
      <c r="T1301" s="1304"/>
    </row>
    <row r="1302" spans="1:20">
      <c r="A1302" s="1303"/>
      <c r="B1302" s="1322" t="s">
        <v>4841</v>
      </c>
      <c r="C1302" s="1323" t="s">
        <v>4842</v>
      </c>
      <c r="D1302" s="1324">
        <f t="shared" si="150"/>
        <v>39994</v>
      </c>
      <c r="E1302" s="1323">
        <f t="shared" ref="E1302:E1365" si="152">VALUE(C1303)</f>
        <v>7.7755999999999998</v>
      </c>
      <c r="F1302" s="1323">
        <f t="shared" si="151"/>
        <v>7.6462949155381024</v>
      </c>
      <c r="G1302" s="1323">
        <f t="shared" ref="G1302:G1365" si="153">YEAR(B1303)</f>
        <v>2009</v>
      </c>
      <c r="H1302" s="1323">
        <f t="shared" ref="H1302:H1365" si="154">MONTH(B1303)</f>
        <v>6</v>
      </c>
      <c r="I1302" s="1323">
        <f t="shared" ref="I1302:I1365" si="155">DAY(B1303)</f>
        <v>30</v>
      </c>
      <c r="J1302" s="1323"/>
      <c r="K1302" s="1323"/>
      <c r="L1302" s="1323"/>
      <c r="M1302" s="1323"/>
      <c r="N1302" s="1323"/>
      <c r="O1302" s="1323"/>
      <c r="P1302" s="1323"/>
      <c r="Q1302" s="1323"/>
      <c r="R1302" s="1304"/>
      <c r="S1302" s="1304"/>
      <c r="T1302" s="1304"/>
    </row>
    <row r="1303" spans="1:20">
      <c r="A1303" s="1303"/>
      <c r="B1303" s="1322" t="s">
        <v>4843</v>
      </c>
      <c r="C1303" s="1323" t="s">
        <v>4844</v>
      </c>
      <c r="D1303" s="1324">
        <f t="shared" si="150"/>
        <v>39993</v>
      </c>
      <c r="E1303" s="1323">
        <f t="shared" si="152"/>
        <v>7.9096000000000002</v>
      </c>
      <c r="F1303" s="1323">
        <f t="shared" si="151"/>
        <v>7.6448287839904872</v>
      </c>
      <c r="G1303" s="1323">
        <f t="shared" si="153"/>
        <v>2009</v>
      </c>
      <c r="H1303" s="1323">
        <f t="shared" si="154"/>
        <v>6</v>
      </c>
      <c r="I1303" s="1323">
        <f t="shared" si="155"/>
        <v>29</v>
      </c>
      <c r="J1303" s="1323"/>
      <c r="K1303" s="1323"/>
      <c r="L1303" s="1323"/>
      <c r="M1303" s="1323"/>
      <c r="N1303" s="1323"/>
      <c r="O1303" s="1323"/>
      <c r="P1303" s="1323"/>
      <c r="Q1303" s="1323"/>
      <c r="R1303" s="1304"/>
      <c r="S1303" s="1304"/>
      <c r="T1303" s="1304"/>
    </row>
    <row r="1304" spans="1:20">
      <c r="A1304" s="1303"/>
      <c r="B1304" s="1322" t="s">
        <v>4845</v>
      </c>
      <c r="C1304" s="1323" t="s">
        <v>4846</v>
      </c>
      <c r="D1304" s="1324">
        <f t="shared" si="150"/>
        <v>39990</v>
      </c>
      <c r="E1304" s="1323">
        <f t="shared" si="152"/>
        <v>7.9981</v>
      </c>
      <c r="F1304" s="1323">
        <f t="shared" si="151"/>
        <v>7.6433629335648714</v>
      </c>
      <c r="G1304" s="1323">
        <f t="shared" si="153"/>
        <v>2009</v>
      </c>
      <c r="H1304" s="1323">
        <f t="shared" si="154"/>
        <v>6</v>
      </c>
      <c r="I1304" s="1323">
        <f t="shared" si="155"/>
        <v>26</v>
      </c>
      <c r="J1304" s="1323"/>
      <c r="K1304" s="1323"/>
      <c r="L1304" s="1323"/>
      <c r="M1304" s="1323"/>
      <c r="N1304" s="1323"/>
      <c r="O1304" s="1323"/>
      <c r="P1304" s="1323"/>
      <c r="Q1304" s="1323"/>
      <c r="R1304" s="1304"/>
      <c r="S1304" s="1304"/>
      <c r="T1304" s="1304"/>
    </row>
    <row r="1305" spans="1:20">
      <c r="A1305" s="1303"/>
      <c r="B1305" s="1322" t="s">
        <v>4847</v>
      </c>
      <c r="C1305" s="1323" t="s">
        <v>4848</v>
      </c>
      <c r="D1305" s="1324">
        <f t="shared" si="150"/>
        <v>39989</v>
      </c>
      <c r="E1305" s="1323">
        <f t="shared" si="152"/>
        <v>8.0716000000000001</v>
      </c>
      <c r="F1305" s="1323">
        <f t="shared" si="151"/>
        <v>7.6418973642073516</v>
      </c>
      <c r="G1305" s="1323">
        <f t="shared" si="153"/>
        <v>2009</v>
      </c>
      <c r="H1305" s="1323">
        <f t="shared" si="154"/>
        <v>6</v>
      </c>
      <c r="I1305" s="1323">
        <f t="shared" si="155"/>
        <v>25</v>
      </c>
      <c r="J1305" s="1323"/>
      <c r="K1305" s="1323"/>
      <c r="L1305" s="1323"/>
      <c r="M1305" s="1323"/>
      <c r="N1305" s="1323"/>
      <c r="O1305" s="1323"/>
      <c r="P1305" s="1323"/>
      <c r="Q1305" s="1323"/>
      <c r="R1305" s="1304"/>
      <c r="S1305" s="1304"/>
      <c r="T1305" s="1304"/>
    </row>
    <row r="1306" spans="1:20">
      <c r="A1306" s="1303"/>
      <c r="B1306" s="1322" t="s">
        <v>4849</v>
      </c>
      <c r="C1306" s="1323" t="s">
        <v>4850</v>
      </c>
      <c r="D1306" s="1324">
        <f t="shared" si="150"/>
        <v>39988</v>
      </c>
      <c r="E1306" s="1323">
        <f t="shared" si="152"/>
        <v>8.1379000000000001</v>
      </c>
      <c r="F1306" s="1323">
        <f t="shared" si="151"/>
        <v>7.6404320758640347</v>
      </c>
      <c r="G1306" s="1323">
        <f t="shared" si="153"/>
        <v>2009</v>
      </c>
      <c r="H1306" s="1323">
        <f t="shared" si="154"/>
        <v>6</v>
      </c>
      <c r="I1306" s="1323">
        <f t="shared" si="155"/>
        <v>24</v>
      </c>
      <c r="J1306" s="1323"/>
      <c r="K1306" s="1323"/>
      <c r="L1306" s="1323"/>
      <c r="M1306" s="1323"/>
      <c r="N1306" s="1323"/>
      <c r="O1306" s="1323"/>
      <c r="P1306" s="1323"/>
      <c r="Q1306" s="1323"/>
      <c r="R1306" s="1304"/>
      <c r="S1306" s="1304"/>
      <c r="T1306" s="1304"/>
    </row>
    <row r="1307" spans="1:20">
      <c r="A1307" s="1303"/>
      <c r="B1307" s="1322" t="s">
        <v>4851</v>
      </c>
      <c r="C1307" s="1323" t="s">
        <v>4852</v>
      </c>
      <c r="D1307" s="1324">
        <f t="shared" si="150"/>
        <v>39987</v>
      </c>
      <c r="E1307" s="1323">
        <f t="shared" si="152"/>
        <v>8.2683999999999997</v>
      </c>
      <c r="F1307" s="1323">
        <f t="shared" si="151"/>
        <v>7.6389670684810378</v>
      </c>
      <c r="G1307" s="1323">
        <f t="shared" si="153"/>
        <v>2009</v>
      </c>
      <c r="H1307" s="1323">
        <f t="shared" si="154"/>
        <v>6</v>
      </c>
      <c r="I1307" s="1323">
        <f t="shared" si="155"/>
        <v>23</v>
      </c>
      <c r="J1307" s="1323"/>
      <c r="K1307" s="1323"/>
      <c r="L1307" s="1323"/>
      <c r="M1307" s="1323"/>
      <c r="N1307" s="1323"/>
      <c r="O1307" s="1323"/>
      <c r="P1307" s="1323"/>
      <c r="Q1307" s="1323"/>
      <c r="R1307" s="1304"/>
      <c r="S1307" s="1304"/>
      <c r="T1307" s="1304"/>
    </row>
    <row r="1308" spans="1:20">
      <c r="A1308" s="1303"/>
      <c r="B1308" s="1322" t="s">
        <v>4853</v>
      </c>
      <c r="C1308" s="1323" t="s">
        <v>4854</v>
      </c>
      <c r="D1308" s="1324">
        <f t="shared" si="150"/>
        <v>39986</v>
      </c>
      <c r="E1308" s="1323">
        <f t="shared" si="152"/>
        <v>8.0898000000000003</v>
      </c>
      <c r="F1308" s="1323">
        <f t="shared" si="151"/>
        <v>7.6375023420044883</v>
      </c>
      <c r="G1308" s="1323">
        <f t="shared" si="153"/>
        <v>2009</v>
      </c>
      <c r="H1308" s="1323">
        <f t="shared" si="154"/>
        <v>6</v>
      </c>
      <c r="I1308" s="1323">
        <f t="shared" si="155"/>
        <v>22</v>
      </c>
      <c r="J1308" s="1323"/>
      <c r="K1308" s="1323"/>
      <c r="L1308" s="1323"/>
      <c r="M1308" s="1323"/>
      <c r="N1308" s="1323"/>
      <c r="O1308" s="1323"/>
      <c r="P1308" s="1323"/>
      <c r="Q1308" s="1323"/>
      <c r="R1308" s="1304"/>
      <c r="S1308" s="1304"/>
      <c r="T1308" s="1304"/>
    </row>
    <row r="1309" spans="1:20">
      <c r="A1309" s="1303"/>
      <c r="B1309" s="1322" t="s">
        <v>4855</v>
      </c>
      <c r="C1309" s="1323" t="s">
        <v>4856</v>
      </c>
      <c r="D1309" s="1324">
        <f t="shared" si="150"/>
        <v>39983</v>
      </c>
      <c r="E1309" s="1323">
        <f t="shared" si="152"/>
        <v>8.1336999999999993</v>
      </c>
      <c r="F1309" s="1323">
        <f t="shared" si="151"/>
        <v>7.6360378963805244</v>
      </c>
      <c r="G1309" s="1323">
        <f t="shared" si="153"/>
        <v>2009</v>
      </c>
      <c r="H1309" s="1323">
        <f t="shared" si="154"/>
        <v>6</v>
      </c>
      <c r="I1309" s="1323">
        <f t="shared" si="155"/>
        <v>19</v>
      </c>
      <c r="J1309" s="1323"/>
      <c r="K1309" s="1323"/>
      <c r="L1309" s="1323"/>
      <c r="M1309" s="1323"/>
      <c r="N1309" s="1323"/>
      <c r="O1309" s="1323"/>
      <c r="P1309" s="1323"/>
      <c r="Q1309" s="1323"/>
      <c r="R1309" s="1304"/>
      <c r="S1309" s="1304"/>
      <c r="T1309" s="1304"/>
    </row>
    <row r="1310" spans="1:20">
      <c r="A1310" s="1303"/>
      <c r="B1310" s="1322" t="s">
        <v>4857</v>
      </c>
      <c r="C1310" s="1323" t="s">
        <v>4858</v>
      </c>
      <c r="D1310" s="1324">
        <f t="shared" si="150"/>
        <v>39982</v>
      </c>
      <c r="E1310" s="1323">
        <f t="shared" si="152"/>
        <v>8.0673999999999992</v>
      </c>
      <c r="F1310" s="1323">
        <f t="shared" si="151"/>
        <v>7.6345737315552942</v>
      </c>
      <c r="G1310" s="1323">
        <f t="shared" si="153"/>
        <v>2009</v>
      </c>
      <c r="H1310" s="1323">
        <f t="shared" si="154"/>
        <v>6</v>
      </c>
      <c r="I1310" s="1323">
        <f t="shared" si="155"/>
        <v>18</v>
      </c>
      <c r="J1310" s="1323"/>
      <c r="K1310" s="1323"/>
      <c r="L1310" s="1323"/>
      <c r="M1310" s="1323"/>
      <c r="N1310" s="1323"/>
      <c r="O1310" s="1323"/>
      <c r="P1310" s="1323"/>
      <c r="Q1310" s="1323"/>
      <c r="R1310" s="1304"/>
      <c r="S1310" s="1304"/>
      <c r="T1310" s="1304"/>
    </row>
    <row r="1311" spans="1:20">
      <c r="A1311" s="1303"/>
      <c r="B1311" s="1322" t="s">
        <v>4859</v>
      </c>
      <c r="C1311" s="1323" t="s">
        <v>4860</v>
      </c>
      <c r="D1311" s="1324">
        <f t="shared" si="150"/>
        <v>39981</v>
      </c>
      <c r="E1311" s="1323">
        <f t="shared" si="152"/>
        <v>8.0424000000000007</v>
      </c>
      <c r="F1311" s="1323">
        <f t="shared" si="151"/>
        <v>7.6331098474749561</v>
      </c>
      <c r="G1311" s="1323">
        <f t="shared" si="153"/>
        <v>2009</v>
      </c>
      <c r="H1311" s="1323">
        <f t="shared" si="154"/>
        <v>6</v>
      </c>
      <c r="I1311" s="1323">
        <f t="shared" si="155"/>
        <v>17</v>
      </c>
      <c r="J1311" s="1323"/>
      <c r="K1311" s="1323"/>
      <c r="L1311" s="1323"/>
      <c r="M1311" s="1323"/>
      <c r="N1311" s="1323"/>
      <c r="O1311" s="1323"/>
      <c r="P1311" s="1323"/>
      <c r="Q1311" s="1323"/>
      <c r="R1311" s="1304"/>
      <c r="S1311" s="1304"/>
      <c r="T1311" s="1304"/>
    </row>
    <row r="1312" spans="1:20">
      <c r="A1312" s="1303"/>
      <c r="B1312" s="1322" t="s">
        <v>4861</v>
      </c>
      <c r="C1312" s="1323" t="s">
        <v>4862</v>
      </c>
      <c r="D1312" s="1324">
        <f t="shared" si="150"/>
        <v>39979</v>
      </c>
      <c r="E1312" s="1323">
        <f t="shared" si="152"/>
        <v>8.0867000000000004</v>
      </c>
      <c r="F1312" s="1323">
        <f t="shared" si="151"/>
        <v>7.6316462440856796</v>
      </c>
      <c r="G1312" s="1323">
        <f t="shared" si="153"/>
        <v>2009</v>
      </c>
      <c r="H1312" s="1323">
        <f t="shared" si="154"/>
        <v>6</v>
      </c>
      <c r="I1312" s="1323">
        <f t="shared" si="155"/>
        <v>15</v>
      </c>
      <c r="J1312" s="1323"/>
      <c r="K1312" s="1323"/>
      <c r="L1312" s="1323"/>
      <c r="M1312" s="1323"/>
      <c r="N1312" s="1323"/>
      <c r="O1312" s="1323"/>
      <c r="P1312" s="1323"/>
      <c r="Q1312" s="1323"/>
      <c r="R1312" s="1304"/>
      <c r="S1312" s="1304"/>
      <c r="T1312" s="1304"/>
    </row>
    <row r="1313" spans="1:20">
      <c r="A1313" s="1303"/>
      <c r="B1313" s="1322" t="s">
        <v>4863</v>
      </c>
      <c r="C1313" s="1323" t="s">
        <v>4864</v>
      </c>
      <c r="D1313" s="1324">
        <f t="shared" si="150"/>
        <v>39976</v>
      </c>
      <c r="E1313" s="1323">
        <f t="shared" si="152"/>
        <v>7.9928999999999997</v>
      </c>
      <c r="F1313" s="1323">
        <f t="shared" si="151"/>
        <v>7.6301829213336427</v>
      </c>
      <c r="G1313" s="1323">
        <f t="shared" si="153"/>
        <v>2009</v>
      </c>
      <c r="H1313" s="1323">
        <f t="shared" si="154"/>
        <v>6</v>
      </c>
      <c r="I1313" s="1323">
        <f t="shared" si="155"/>
        <v>12</v>
      </c>
      <c r="J1313" s="1323"/>
      <c r="K1313" s="1323"/>
      <c r="L1313" s="1323"/>
      <c r="M1313" s="1323"/>
      <c r="N1313" s="1323"/>
      <c r="O1313" s="1323"/>
      <c r="P1313" s="1323"/>
      <c r="Q1313" s="1323"/>
      <c r="R1313" s="1304"/>
      <c r="S1313" s="1304"/>
      <c r="T1313" s="1304"/>
    </row>
    <row r="1314" spans="1:20">
      <c r="A1314" s="1303"/>
      <c r="B1314" s="1322" t="s">
        <v>4865</v>
      </c>
      <c r="C1314" s="1323" t="s">
        <v>4866</v>
      </c>
      <c r="D1314" s="1324">
        <f t="shared" si="150"/>
        <v>39975</v>
      </c>
      <c r="E1314" s="1323">
        <f t="shared" si="152"/>
        <v>8.0632999999999999</v>
      </c>
      <c r="F1314" s="1323">
        <f t="shared" si="151"/>
        <v>7.6287198791650352</v>
      </c>
      <c r="G1314" s="1323">
        <f t="shared" si="153"/>
        <v>2009</v>
      </c>
      <c r="H1314" s="1323">
        <f t="shared" si="154"/>
        <v>6</v>
      </c>
      <c r="I1314" s="1323">
        <f t="shared" si="155"/>
        <v>11</v>
      </c>
      <c r="J1314" s="1323"/>
      <c r="K1314" s="1323"/>
      <c r="L1314" s="1323"/>
      <c r="M1314" s="1323"/>
      <c r="N1314" s="1323"/>
      <c r="O1314" s="1323"/>
      <c r="P1314" s="1323"/>
      <c r="Q1314" s="1323"/>
      <c r="R1314" s="1304"/>
      <c r="S1314" s="1304"/>
      <c r="T1314" s="1304"/>
    </row>
    <row r="1315" spans="1:20">
      <c r="A1315" s="1303"/>
      <c r="B1315" s="1322" t="s">
        <v>4867</v>
      </c>
      <c r="C1315" s="1323" t="s">
        <v>3634</v>
      </c>
      <c r="D1315" s="1324">
        <f t="shared" si="150"/>
        <v>39974</v>
      </c>
      <c r="E1315" s="1323">
        <f t="shared" si="152"/>
        <v>8.0365000000000002</v>
      </c>
      <c r="F1315" s="1323">
        <f t="shared" si="151"/>
        <v>7.6272571175260575</v>
      </c>
      <c r="G1315" s="1323">
        <f t="shared" si="153"/>
        <v>2009</v>
      </c>
      <c r="H1315" s="1323">
        <f t="shared" si="154"/>
        <v>6</v>
      </c>
      <c r="I1315" s="1323">
        <f t="shared" si="155"/>
        <v>10</v>
      </c>
      <c r="J1315" s="1323"/>
      <c r="K1315" s="1323"/>
      <c r="L1315" s="1323"/>
      <c r="M1315" s="1323"/>
      <c r="N1315" s="1323"/>
      <c r="O1315" s="1323"/>
      <c r="P1315" s="1323"/>
      <c r="Q1315" s="1323"/>
      <c r="R1315" s="1304"/>
      <c r="S1315" s="1304"/>
      <c r="T1315" s="1304"/>
    </row>
    <row r="1316" spans="1:20">
      <c r="A1316" s="1303"/>
      <c r="B1316" s="1322" t="s">
        <v>4868</v>
      </c>
      <c r="C1316" s="1323" t="s">
        <v>4869</v>
      </c>
      <c r="D1316" s="1324">
        <f t="shared" si="150"/>
        <v>39973</v>
      </c>
      <c r="E1316" s="1323">
        <f t="shared" si="152"/>
        <v>8.1470000000000002</v>
      </c>
      <c r="F1316" s="1323">
        <f t="shared" si="151"/>
        <v>7.6257946363629188</v>
      </c>
      <c r="G1316" s="1323">
        <f t="shared" si="153"/>
        <v>2009</v>
      </c>
      <c r="H1316" s="1323">
        <f t="shared" si="154"/>
        <v>6</v>
      </c>
      <c r="I1316" s="1323">
        <f t="shared" si="155"/>
        <v>9</v>
      </c>
      <c r="J1316" s="1323"/>
      <c r="K1316" s="1323"/>
      <c r="L1316" s="1323"/>
      <c r="M1316" s="1323"/>
      <c r="N1316" s="1323"/>
      <c r="O1316" s="1323"/>
      <c r="P1316" s="1323"/>
      <c r="Q1316" s="1323"/>
      <c r="R1316" s="1304"/>
      <c r="S1316" s="1304"/>
      <c r="T1316" s="1304"/>
    </row>
    <row r="1317" spans="1:20">
      <c r="A1317" s="1303"/>
      <c r="B1317" s="1322" t="s">
        <v>4870</v>
      </c>
      <c r="C1317" s="1323" t="s">
        <v>4871</v>
      </c>
      <c r="D1317" s="1324">
        <f t="shared" si="150"/>
        <v>39972</v>
      </c>
      <c r="E1317" s="1323">
        <f t="shared" si="152"/>
        <v>8.1379000000000001</v>
      </c>
      <c r="F1317" s="1323">
        <f t="shared" si="151"/>
        <v>7.6243324356218407</v>
      </c>
      <c r="G1317" s="1323">
        <f t="shared" si="153"/>
        <v>2009</v>
      </c>
      <c r="H1317" s="1323">
        <f t="shared" si="154"/>
        <v>6</v>
      </c>
      <c r="I1317" s="1323">
        <f t="shared" si="155"/>
        <v>8</v>
      </c>
      <c r="J1317" s="1323"/>
      <c r="K1317" s="1323"/>
      <c r="L1317" s="1323"/>
      <c r="M1317" s="1323"/>
      <c r="N1317" s="1323"/>
      <c r="O1317" s="1323"/>
      <c r="P1317" s="1323"/>
      <c r="Q1317" s="1323"/>
      <c r="R1317" s="1304"/>
      <c r="S1317" s="1304"/>
      <c r="T1317" s="1304"/>
    </row>
    <row r="1318" spans="1:20">
      <c r="A1318" s="1303"/>
      <c r="B1318" s="1322" t="s">
        <v>4872</v>
      </c>
      <c r="C1318" s="1323" t="s">
        <v>4852</v>
      </c>
      <c r="D1318" s="1324">
        <f t="shared" si="150"/>
        <v>39969</v>
      </c>
      <c r="E1318" s="1323">
        <f t="shared" si="152"/>
        <v>8.0411999999999999</v>
      </c>
      <c r="F1318" s="1323">
        <f t="shared" si="151"/>
        <v>7.622870515249053</v>
      </c>
      <c r="G1318" s="1323">
        <f t="shared" si="153"/>
        <v>2009</v>
      </c>
      <c r="H1318" s="1323">
        <f t="shared" si="154"/>
        <v>6</v>
      </c>
      <c r="I1318" s="1323">
        <f t="shared" si="155"/>
        <v>5</v>
      </c>
      <c r="J1318" s="1323"/>
      <c r="K1318" s="1323"/>
      <c r="L1318" s="1323"/>
      <c r="M1318" s="1323"/>
      <c r="N1318" s="1323"/>
      <c r="O1318" s="1323"/>
      <c r="P1318" s="1323"/>
      <c r="Q1318" s="1323"/>
      <c r="R1318" s="1304"/>
      <c r="S1318" s="1304"/>
      <c r="T1318" s="1304"/>
    </row>
    <row r="1319" spans="1:20">
      <c r="A1319" s="1303"/>
      <c r="B1319" s="1322" t="s">
        <v>4873</v>
      </c>
      <c r="C1319" s="1323" t="s">
        <v>4874</v>
      </c>
      <c r="D1319" s="1324">
        <f t="shared" si="150"/>
        <v>39968</v>
      </c>
      <c r="E1319" s="1323">
        <f t="shared" si="152"/>
        <v>8.0303000000000004</v>
      </c>
      <c r="F1319" s="1323">
        <f t="shared" si="151"/>
        <v>7.6214088751907969</v>
      </c>
      <c r="G1319" s="1323">
        <f t="shared" si="153"/>
        <v>2009</v>
      </c>
      <c r="H1319" s="1323">
        <f t="shared" si="154"/>
        <v>6</v>
      </c>
      <c r="I1319" s="1323">
        <f t="shared" si="155"/>
        <v>4</v>
      </c>
      <c r="J1319" s="1323"/>
      <c r="K1319" s="1323"/>
      <c r="L1319" s="1323"/>
      <c r="M1319" s="1323"/>
      <c r="N1319" s="1323"/>
      <c r="O1319" s="1323"/>
      <c r="P1319" s="1323"/>
      <c r="Q1319" s="1323"/>
      <c r="R1319" s="1304"/>
      <c r="S1319" s="1304"/>
      <c r="T1319" s="1304"/>
    </row>
    <row r="1320" spans="1:20">
      <c r="A1320" s="1303"/>
      <c r="B1320" s="1322" t="s">
        <v>4875</v>
      </c>
      <c r="C1320" s="1323" t="s">
        <v>4876</v>
      </c>
      <c r="D1320" s="1324">
        <f t="shared" si="150"/>
        <v>39967</v>
      </c>
      <c r="E1320" s="1323">
        <f t="shared" si="152"/>
        <v>8.0181000000000004</v>
      </c>
      <c r="F1320" s="1323">
        <f t="shared" si="151"/>
        <v>7.6199475153933243</v>
      </c>
      <c r="G1320" s="1323">
        <f t="shared" si="153"/>
        <v>2009</v>
      </c>
      <c r="H1320" s="1323">
        <f t="shared" si="154"/>
        <v>6</v>
      </c>
      <c r="I1320" s="1323">
        <f t="shared" si="155"/>
        <v>3</v>
      </c>
      <c r="J1320" s="1323"/>
      <c r="K1320" s="1323"/>
      <c r="L1320" s="1323"/>
      <c r="M1320" s="1323"/>
      <c r="N1320" s="1323"/>
      <c r="O1320" s="1323"/>
      <c r="P1320" s="1323"/>
      <c r="Q1320" s="1323"/>
      <c r="R1320" s="1304"/>
      <c r="S1320" s="1304"/>
      <c r="T1320" s="1304"/>
    </row>
    <row r="1321" spans="1:20">
      <c r="A1321" s="1303"/>
      <c r="B1321" s="1322" t="s">
        <v>4877</v>
      </c>
      <c r="C1321" s="1323" t="s">
        <v>4878</v>
      </c>
      <c r="D1321" s="1324">
        <f t="shared" si="150"/>
        <v>39966</v>
      </c>
      <c r="E1321" s="1323">
        <f t="shared" si="152"/>
        <v>8.0914000000000001</v>
      </c>
      <c r="F1321" s="1323">
        <f t="shared" si="151"/>
        <v>7.6184864358028959</v>
      </c>
      <c r="G1321" s="1323">
        <f t="shared" si="153"/>
        <v>2009</v>
      </c>
      <c r="H1321" s="1323">
        <f t="shared" si="154"/>
        <v>6</v>
      </c>
      <c r="I1321" s="1323">
        <f t="shared" si="155"/>
        <v>2</v>
      </c>
      <c r="J1321" s="1323"/>
      <c r="K1321" s="1323"/>
      <c r="L1321" s="1323"/>
      <c r="M1321" s="1323"/>
      <c r="N1321" s="1323"/>
      <c r="O1321" s="1323"/>
      <c r="P1321" s="1323"/>
      <c r="Q1321" s="1323"/>
      <c r="R1321" s="1304"/>
      <c r="S1321" s="1304"/>
      <c r="T1321" s="1304"/>
    </row>
    <row r="1322" spans="1:20">
      <c r="A1322" s="1303"/>
      <c r="B1322" s="1322" t="s">
        <v>4879</v>
      </c>
      <c r="C1322" s="1323" t="s">
        <v>4880</v>
      </c>
      <c r="D1322" s="1324">
        <f t="shared" si="150"/>
        <v>39965</v>
      </c>
      <c r="E1322" s="1323">
        <f t="shared" si="152"/>
        <v>7.9721000000000002</v>
      </c>
      <c r="F1322" s="1323">
        <f t="shared" si="151"/>
        <v>7.617025636365784</v>
      </c>
      <c r="G1322" s="1323">
        <f t="shared" si="153"/>
        <v>2009</v>
      </c>
      <c r="H1322" s="1323">
        <f t="shared" si="154"/>
        <v>6</v>
      </c>
      <c r="I1322" s="1323">
        <f t="shared" si="155"/>
        <v>1</v>
      </c>
      <c r="J1322" s="1323"/>
      <c r="K1322" s="1323"/>
      <c r="L1322" s="1323"/>
      <c r="M1322" s="1323"/>
      <c r="N1322" s="1323"/>
      <c r="O1322" s="1323"/>
      <c r="P1322" s="1323"/>
      <c r="Q1322" s="1323"/>
      <c r="R1322" s="1304"/>
      <c r="S1322" s="1304"/>
      <c r="T1322" s="1304"/>
    </row>
    <row r="1323" spans="1:20">
      <c r="A1323" s="1303"/>
      <c r="B1323" s="1322" t="s">
        <v>4881</v>
      </c>
      <c r="C1323" s="1323" t="s">
        <v>4882</v>
      </c>
      <c r="D1323" s="1324">
        <f t="shared" si="150"/>
        <v>39962</v>
      </c>
      <c r="E1323" s="1323">
        <f t="shared" si="152"/>
        <v>7.9794999999999998</v>
      </c>
      <c r="F1323" s="1323">
        <f t="shared" si="151"/>
        <v>7.6155651170282717</v>
      </c>
      <c r="G1323" s="1323">
        <f t="shared" si="153"/>
        <v>2009</v>
      </c>
      <c r="H1323" s="1323">
        <f t="shared" si="154"/>
        <v>5</v>
      </c>
      <c r="I1323" s="1323">
        <f t="shared" si="155"/>
        <v>29</v>
      </c>
      <c r="J1323" s="1323"/>
      <c r="K1323" s="1323"/>
      <c r="L1323" s="1323"/>
      <c r="M1323" s="1323"/>
      <c r="N1323" s="1323"/>
      <c r="O1323" s="1323"/>
      <c r="P1323" s="1323"/>
      <c r="Q1323" s="1323"/>
      <c r="R1323" s="1304"/>
      <c r="S1323" s="1304"/>
      <c r="T1323" s="1304"/>
    </row>
    <row r="1324" spans="1:20">
      <c r="A1324" s="1303"/>
      <c r="B1324" s="1322" t="s">
        <v>4883</v>
      </c>
      <c r="C1324" s="1323" t="s">
        <v>4884</v>
      </c>
      <c r="D1324" s="1324">
        <f t="shared" si="150"/>
        <v>39961</v>
      </c>
      <c r="E1324" s="1323">
        <f t="shared" si="152"/>
        <v>8.1463000000000001</v>
      </c>
      <c r="F1324" s="1323">
        <f t="shared" si="151"/>
        <v>7.6141048777366507</v>
      </c>
      <c r="G1324" s="1323">
        <f t="shared" si="153"/>
        <v>2009</v>
      </c>
      <c r="H1324" s="1323">
        <f t="shared" si="154"/>
        <v>5</v>
      </c>
      <c r="I1324" s="1323">
        <f t="shared" si="155"/>
        <v>28</v>
      </c>
      <c r="J1324" s="1323"/>
      <c r="K1324" s="1323"/>
      <c r="L1324" s="1323"/>
      <c r="M1324" s="1323"/>
      <c r="N1324" s="1323"/>
      <c r="O1324" s="1323"/>
      <c r="P1324" s="1323"/>
      <c r="Q1324" s="1323"/>
      <c r="R1324" s="1304"/>
      <c r="S1324" s="1304"/>
      <c r="T1324" s="1304"/>
    </row>
    <row r="1325" spans="1:20">
      <c r="A1325" s="1303"/>
      <c r="B1325" s="1322" t="s">
        <v>4885</v>
      </c>
      <c r="C1325" s="1323" t="s">
        <v>4886</v>
      </c>
      <c r="D1325" s="1324">
        <f t="shared" si="150"/>
        <v>39960</v>
      </c>
      <c r="E1325" s="1323">
        <f t="shared" si="152"/>
        <v>8.2698999999999998</v>
      </c>
      <c r="F1325" s="1323">
        <f t="shared" si="151"/>
        <v>7.6126449184372245</v>
      </c>
      <c r="G1325" s="1323">
        <f t="shared" si="153"/>
        <v>2009</v>
      </c>
      <c r="H1325" s="1323">
        <f t="shared" si="154"/>
        <v>5</v>
      </c>
      <c r="I1325" s="1323">
        <f t="shared" si="155"/>
        <v>27</v>
      </c>
      <c r="J1325" s="1323"/>
      <c r="K1325" s="1323"/>
      <c r="L1325" s="1323"/>
      <c r="M1325" s="1323"/>
      <c r="N1325" s="1323"/>
      <c r="O1325" s="1323"/>
      <c r="P1325" s="1323"/>
      <c r="Q1325" s="1323"/>
      <c r="R1325" s="1304"/>
      <c r="S1325" s="1304"/>
      <c r="T1325" s="1304"/>
    </row>
    <row r="1326" spans="1:20">
      <c r="A1326" s="1303"/>
      <c r="B1326" s="1322" t="s">
        <v>4887</v>
      </c>
      <c r="C1326" s="1323" t="s">
        <v>4888</v>
      </c>
      <c r="D1326" s="1324">
        <f t="shared" si="150"/>
        <v>39959</v>
      </c>
      <c r="E1326" s="1323">
        <f t="shared" si="152"/>
        <v>8.3318999999999992</v>
      </c>
      <c r="F1326" s="1323">
        <f t="shared" si="151"/>
        <v>7.6111852390763053</v>
      </c>
      <c r="G1326" s="1323">
        <f t="shared" si="153"/>
        <v>2009</v>
      </c>
      <c r="H1326" s="1323">
        <f t="shared" si="154"/>
        <v>5</v>
      </c>
      <c r="I1326" s="1323">
        <f t="shared" si="155"/>
        <v>26</v>
      </c>
      <c r="J1326" s="1323"/>
      <c r="K1326" s="1323"/>
      <c r="L1326" s="1323"/>
      <c r="M1326" s="1323"/>
      <c r="N1326" s="1323"/>
      <c r="O1326" s="1323"/>
      <c r="P1326" s="1323"/>
      <c r="Q1326" s="1323"/>
      <c r="R1326" s="1304"/>
      <c r="S1326" s="1304"/>
      <c r="T1326" s="1304"/>
    </row>
    <row r="1327" spans="1:20">
      <c r="A1327" s="1303"/>
      <c r="B1327" s="1322" t="s">
        <v>4889</v>
      </c>
      <c r="C1327" s="1323" t="s">
        <v>4890</v>
      </c>
      <c r="D1327" s="1324">
        <f t="shared" si="150"/>
        <v>39958</v>
      </c>
      <c r="E1327" s="1323">
        <f t="shared" si="152"/>
        <v>8.3233999999999995</v>
      </c>
      <c r="F1327" s="1323">
        <f t="shared" si="151"/>
        <v>7.609725839600217</v>
      </c>
      <c r="G1327" s="1323">
        <f t="shared" si="153"/>
        <v>2009</v>
      </c>
      <c r="H1327" s="1323">
        <f t="shared" si="154"/>
        <v>5</v>
      </c>
      <c r="I1327" s="1323">
        <f t="shared" si="155"/>
        <v>25</v>
      </c>
      <c r="J1327" s="1323"/>
      <c r="K1327" s="1323"/>
      <c r="L1327" s="1323"/>
      <c r="M1327" s="1323"/>
      <c r="N1327" s="1323"/>
      <c r="O1327" s="1323"/>
      <c r="P1327" s="1323"/>
      <c r="Q1327" s="1323"/>
      <c r="R1327" s="1304"/>
      <c r="S1327" s="1304"/>
      <c r="T1327" s="1304"/>
    </row>
    <row r="1328" spans="1:20">
      <c r="A1328" s="1303"/>
      <c r="B1328" s="1322" t="s">
        <v>4891</v>
      </c>
      <c r="C1328" s="1323" t="s">
        <v>4892</v>
      </c>
      <c r="D1328" s="1324">
        <f t="shared" si="150"/>
        <v>39955</v>
      </c>
      <c r="E1328" s="1323">
        <f t="shared" si="152"/>
        <v>8.3172999999999995</v>
      </c>
      <c r="F1328" s="1323">
        <f t="shared" si="151"/>
        <v>7.608266719955294</v>
      </c>
      <c r="G1328" s="1323">
        <f t="shared" si="153"/>
        <v>2009</v>
      </c>
      <c r="H1328" s="1323">
        <f t="shared" si="154"/>
        <v>5</v>
      </c>
      <c r="I1328" s="1323">
        <f t="shared" si="155"/>
        <v>22</v>
      </c>
      <c r="J1328" s="1323"/>
      <c r="K1328" s="1323"/>
      <c r="L1328" s="1323"/>
      <c r="M1328" s="1323"/>
      <c r="N1328" s="1323"/>
      <c r="O1328" s="1323"/>
      <c r="P1328" s="1323"/>
      <c r="Q1328" s="1323"/>
      <c r="R1328" s="1304"/>
      <c r="S1328" s="1304"/>
      <c r="T1328" s="1304"/>
    </row>
    <row r="1329" spans="1:20">
      <c r="A1329" s="1303"/>
      <c r="B1329" s="1322" t="s">
        <v>4893</v>
      </c>
      <c r="C1329" s="1323" t="s">
        <v>4894</v>
      </c>
      <c r="D1329" s="1324">
        <f t="shared" si="150"/>
        <v>39954</v>
      </c>
      <c r="E1329" s="1323">
        <f t="shared" si="152"/>
        <v>8.3498000000000001</v>
      </c>
      <c r="F1329" s="1323">
        <f t="shared" si="151"/>
        <v>7.6068078800878798</v>
      </c>
      <c r="G1329" s="1323">
        <f t="shared" si="153"/>
        <v>2009</v>
      </c>
      <c r="H1329" s="1323">
        <f t="shared" si="154"/>
        <v>5</v>
      </c>
      <c r="I1329" s="1323">
        <f t="shared" si="155"/>
        <v>21</v>
      </c>
      <c r="J1329" s="1323"/>
      <c r="K1329" s="1323"/>
      <c r="L1329" s="1323"/>
      <c r="M1329" s="1323"/>
      <c r="N1329" s="1323"/>
      <c r="O1329" s="1323"/>
      <c r="P1329" s="1323"/>
      <c r="Q1329" s="1323"/>
      <c r="R1329" s="1304"/>
      <c r="S1329" s="1304"/>
      <c r="T1329" s="1304"/>
    </row>
    <row r="1330" spans="1:20">
      <c r="A1330" s="1303"/>
      <c r="B1330" s="1322" t="s">
        <v>4895</v>
      </c>
      <c r="C1330" s="1323" t="s">
        <v>4896</v>
      </c>
      <c r="D1330" s="1324">
        <f t="shared" si="150"/>
        <v>39953</v>
      </c>
      <c r="E1330" s="1323">
        <f t="shared" si="152"/>
        <v>8.4105000000000008</v>
      </c>
      <c r="F1330" s="1323">
        <f t="shared" si="151"/>
        <v>7.6053493199443283</v>
      </c>
      <c r="G1330" s="1323">
        <f t="shared" si="153"/>
        <v>2009</v>
      </c>
      <c r="H1330" s="1323">
        <f t="shared" si="154"/>
        <v>5</v>
      </c>
      <c r="I1330" s="1323">
        <f t="shared" si="155"/>
        <v>20</v>
      </c>
      <c r="J1330" s="1323"/>
      <c r="K1330" s="1323"/>
      <c r="L1330" s="1323"/>
      <c r="M1330" s="1323"/>
      <c r="N1330" s="1323"/>
      <c r="O1330" s="1323"/>
      <c r="P1330" s="1323"/>
      <c r="Q1330" s="1323"/>
      <c r="R1330" s="1304"/>
      <c r="S1330" s="1304"/>
      <c r="T1330" s="1304"/>
    </row>
    <row r="1331" spans="1:20">
      <c r="A1331" s="1303"/>
      <c r="B1331" s="1322" t="s">
        <v>4897</v>
      </c>
      <c r="C1331" s="1323" t="s">
        <v>4898</v>
      </c>
      <c r="D1331" s="1324">
        <f t="shared" si="150"/>
        <v>39952</v>
      </c>
      <c r="E1331" s="1323">
        <f t="shared" si="152"/>
        <v>8.4675999999999991</v>
      </c>
      <c r="F1331" s="1323">
        <f t="shared" si="151"/>
        <v>7.6038910394710051</v>
      </c>
      <c r="G1331" s="1323">
        <f t="shared" si="153"/>
        <v>2009</v>
      </c>
      <c r="H1331" s="1323">
        <f t="shared" si="154"/>
        <v>5</v>
      </c>
      <c r="I1331" s="1323">
        <f t="shared" si="155"/>
        <v>19</v>
      </c>
      <c r="J1331" s="1323"/>
      <c r="K1331" s="1323"/>
      <c r="L1331" s="1323"/>
      <c r="M1331" s="1323"/>
      <c r="N1331" s="1323"/>
      <c r="O1331" s="1323"/>
      <c r="P1331" s="1323"/>
      <c r="Q1331" s="1323"/>
      <c r="R1331" s="1304"/>
      <c r="S1331" s="1304"/>
      <c r="T1331" s="1304"/>
    </row>
    <row r="1332" spans="1:20">
      <c r="A1332" s="1303"/>
      <c r="B1332" s="1322" t="s">
        <v>4899</v>
      </c>
      <c r="C1332" s="1323" t="s">
        <v>4900</v>
      </c>
      <c r="D1332" s="1324">
        <f t="shared" si="150"/>
        <v>39951</v>
      </c>
      <c r="E1332" s="1323">
        <f t="shared" si="152"/>
        <v>8.6960999999999995</v>
      </c>
      <c r="F1332" s="1323">
        <f t="shared" si="151"/>
        <v>7.6024330386142847</v>
      </c>
      <c r="G1332" s="1323">
        <f t="shared" si="153"/>
        <v>2009</v>
      </c>
      <c r="H1332" s="1323">
        <f t="shared" si="154"/>
        <v>5</v>
      </c>
      <c r="I1332" s="1323">
        <f t="shared" si="155"/>
        <v>18</v>
      </c>
      <c r="J1332" s="1323"/>
      <c r="K1332" s="1323"/>
      <c r="L1332" s="1323"/>
      <c r="M1332" s="1323"/>
      <c r="N1332" s="1323"/>
      <c r="O1332" s="1323"/>
      <c r="P1332" s="1323"/>
      <c r="Q1332" s="1323"/>
      <c r="R1332" s="1304"/>
      <c r="S1332" s="1304"/>
      <c r="T1332" s="1304"/>
    </row>
    <row r="1333" spans="1:20">
      <c r="A1333" s="1303"/>
      <c r="B1333" s="1322" t="s">
        <v>4901</v>
      </c>
      <c r="C1333" s="1323" t="s">
        <v>3175</v>
      </c>
      <c r="D1333" s="1324">
        <f t="shared" si="150"/>
        <v>39948</v>
      </c>
      <c r="E1333" s="1323">
        <f t="shared" si="152"/>
        <v>8.5493000000000006</v>
      </c>
      <c r="F1333" s="1323">
        <f t="shared" si="151"/>
        <v>7.6009753173205521</v>
      </c>
      <c r="G1333" s="1323">
        <f t="shared" si="153"/>
        <v>2009</v>
      </c>
      <c r="H1333" s="1323">
        <f t="shared" si="154"/>
        <v>5</v>
      </c>
      <c r="I1333" s="1323">
        <f t="shared" si="155"/>
        <v>15</v>
      </c>
      <c r="J1333" s="1323"/>
      <c r="K1333" s="1323"/>
      <c r="L1333" s="1323"/>
      <c r="M1333" s="1323"/>
      <c r="N1333" s="1323"/>
      <c r="O1333" s="1323"/>
      <c r="P1333" s="1323"/>
      <c r="Q1333" s="1323"/>
      <c r="R1333" s="1304"/>
      <c r="S1333" s="1304"/>
      <c r="T1333" s="1304"/>
    </row>
    <row r="1334" spans="1:20">
      <c r="A1334" s="1303"/>
      <c r="B1334" s="1322" t="s">
        <v>4902</v>
      </c>
      <c r="C1334" s="1323" t="s">
        <v>4903</v>
      </c>
      <c r="D1334" s="1324">
        <f t="shared" si="150"/>
        <v>39947</v>
      </c>
      <c r="E1334" s="1323">
        <f t="shared" si="152"/>
        <v>8.5442999999999998</v>
      </c>
      <c r="F1334" s="1323">
        <f t="shared" si="151"/>
        <v>7.5995178755362023</v>
      </c>
      <c r="G1334" s="1323">
        <f t="shared" si="153"/>
        <v>2009</v>
      </c>
      <c r="H1334" s="1323">
        <f t="shared" si="154"/>
        <v>5</v>
      </c>
      <c r="I1334" s="1323">
        <f t="shared" si="155"/>
        <v>14</v>
      </c>
      <c r="J1334" s="1323"/>
      <c r="K1334" s="1323"/>
      <c r="L1334" s="1323"/>
      <c r="M1334" s="1323"/>
      <c r="N1334" s="1323"/>
      <c r="O1334" s="1323"/>
      <c r="P1334" s="1323"/>
      <c r="Q1334" s="1323"/>
      <c r="R1334" s="1304"/>
      <c r="S1334" s="1304"/>
      <c r="T1334" s="1304"/>
    </row>
    <row r="1335" spans="1:20">
      <c r="A1335" s="1303"/>
      <c r="B1335" s="1322" t="s">
        <v>4904</v>
      </c>
      <c r="C1335" s="1323" t="s">
        <v>4905</v>
      </c>
      <c r="D1335" s="1324">
        <f t="shared" si="150"/>
        <v>39946</v>
      </c>
      <c r="E1335" s="1323">
        <f t="shared" si="152"/>
        <v>8.3711000000000002</v>
      </c>
      <c r="F1335" s="1323">
        <f t="shared" si="151"/>
        <v>7.5980607132076416</v>
      </c>
      <c r="G1335" s="1323">
        <f t="shared" si="153"/>
        <v>2009</v>
      </c>
      <c r="H1335" s="1323">
        <f t="shared" si="154"/>
        <v>5</v>
      </c>
      <c r="I1335" s="1323">
        <f t="shared" si="155"/>
        <v>13</v>
      </c>
      <c r="J1335" s="1323"/>
      <c r="K1335" s="1323"/>
      <c r="L1335" s="1323"/>
      <c r="M1335" s="1323"/>
      <c r="N1335" s="1323"/>
      <c r="O1335" s="1323"/>
      <c r="P1335" s="1323"/>
      <c r="Q1335" s="1323"/>
      <c r="R1335" s="1304"/>
      <c r="S1335" s="1304"/>
      <c r="T1335" s="1304"/>
    </row>
    <row r="1336" spans="1:20">
      <c r="A1336" s="1303"/>
      <c r="B1336" s="1322" t="s">
        <v>4906</v>
      </c>
      <c r="C1336" s="1323" t="s">
        <v>4907</v>
      </c>
      <c r="D1336" s="1324">
        <f t="shared" si="150"/>
        <v>39945</v>
      </c>
      <c r="E1336" s="1323">
        <f t="shared" si="152"/>
        <v>8.4590999999999994</v>
      </c>
      <c r="F1336" s="1323">
        <f t="shared" si="151"/>
        <v>7.5966038302812864</v>
      </c>
      <c r="G1336" s="1323">
        <f t="shared" si="153"/>
        <v>2009</v>
      </c>
      <c r="H1336" s="1323">
        <f t="shared" si="154"/>
        <v>5</v>
      </c>
      <c r="I1336" s="1323">
        <f t="shared" si="155"/>
        <v>12</v>
      </c>
      <c r="J1336" s="1323"/>
      <c r="K1336" s="1323"/>
      <c r="L1336" s="1323"/>
      <c r="M1336" s="1323"/>
      <c r="N1336" s="1323"/>
      <c r="O1336" s="1323"/>
      <c r="P1336" s="1323"/>
      <c r="Q1336" s="1323"/>
      <c r="R1336" s="1304"/>
      <c r="S1336" s="1304"/>
      <c r="T1336" s="1304"/>
    </row>
    <row r="1337" spans="1:20">
      <c r="A1337" s="1303"/>
      <c r="B1337" s="1322" t="s">
        <v>4908</v>
      </c>
      <c r="C1337" s="1323" t="s">
        <v>4909</v>
      </c>
      <c r="D1337" s="1324">
        <f t="shared" si="150"/>
        <v>39944</v>
      </c>
      <c r="E1337" s="1323">
        <f t="shared" si="152"/>
        <v>8.2949000000000002</v>
      </c>
      <c r="F1337" s="1323">
        <f t="shared" si="151"/>
        <v>7.5951472267035625</v>
      </c>
      <c r="G1337" s="1323">
        <f t="shared" si="153"/>
        <v>2009</v>
      </c>
      <c r="H1337" s="1323">
        <f t="shared" si="154"/>
        <v>5</v>
      </c>
      <c r="I1337" s="1323">
        <f t="shared" si="155"/>
        <v>11</v>
      </c>
      <c r="J1337" s="1323"/>
      <c r="K1337" s="1323"/>
      <c r="L1337" s="1323"/>
      <c r="M1337" s="1323"/>
      <c r="N1337" s="1323"/>
      <c r="O1337" s="1323"/>
      <c r="P1337" s="1323"/>
      <c r="Q1337" s="1323"/>
      <c r="R1337" s="1304"/>
      <c r="S1337" s="1304"/>
      <c r="T1337" s="1304"/>
    </row>
    <row r="1338" spans="1:20">
      <c r="A1338" s="1303"/>
      <c r="B1338" s="1322" t="s">
        <v>4910</v>
      </c>
      <c r="C1338" s="1323" t="s">
        <v>4911</v>
      </c>
      <c r="D1338" s="1324">
        <f t="shared" si="150"/>
        <v>39941</v>
      </c>
      <c r="E1338" s="1323">
        <f t="shared" si="152"/>
        <v>8.4474</v>
      </c>
      <c r="F1338" s="1323">
        <f t="shared" si="151"/>
        <v>7.5936909024209065</v>
      </c>
      <c r="G1338" s="1323">
        <f t="shared" si="153"/>
        <v>2009</v>
      </c>
      <c r="H1338" s="1323">
        <f t="shared" si="154"/>
        <v>5</v>
      </c>
      <c r="I1338" s="1323">
        <f t="shared" si="155"/>
        <v>8</v>
      </c>
      <c r="J1338" s="1323"/>
      <c r="K1338" s="1323"/>
      <c r="L1338" s="1323"/>
      <c r="M1338" s="1323"/>
      <c r="N1338" s="1323"/>
      <c r="O1338" s="1323"/>
      <c r="P1338" s="1323"/>
      <c r="Q1338" s="1323"/>
      <c r="R1338" s="1304"/>
      <c r="S1338" s="1304"/>
      <c r="T1338" s="1304"/>
    </row>
    <row r="1339" spans="1:20">
      <c r="A1339" s="1303"/>
      <c r="B1339" s="1322" t="s">
        <v>4912</v>
      </c>
      <c r="C1339" s="1323" t="s">
        <v>4913</v>
      </c>
      <c r="D1339" s="1324">
        <f t="shared" si="150"/>
        <v>39940</v>
      </c>
      <c r="E1339" s="1323">
        <f t="shared" si="152"/>
        <v>8.3475999999999999</v>
      </c>
      <c r="F1339" s="1323">
        <f t="shared" si="151"/>
        <v>7.5922348573797649</v>
      </c>
      <c r="G1339" s="1323">
        <f t="shared" si="153"/>
        <v>2009</v>
      </c>
      <c r="H1339" s="1323">
        <f t="shared" si="154"/>
        <v>5</v>
      </c>
      <c r="I1339" s="1323">
        <f t="shared" si="155"/>
        <v>7</v>
      </c>
      <c r="J1339" s="1323"/>
      <c r="K1339" s="1323"/>
      <c r="L1339" s="1323"/>
      <c r="M1339" s="1323"/>
      <c r="N1339" s="1323"/>
      <c r="O1339" s="1323"/>
      <c r="P1339" s="1323"/>
      <c r="Q1339" s="1323"/>
      <c r="R1339" s="1304"/>
      <c r="S1339" s="1304"/>
      <c r="T1339" s="1304"/>
    </row>
    <row r="1340" spans="1:20">
      <c r="A1340" s="1303"/>
      <c r="B1340" s="1322" t="s">
        <v>4914</v>
      </c>
      <c r="C1340" s="1323" t="s">
        <v>4915</v>
      </c>
      <c r="D1340" s="1324">
        <f t="shared" si="150"/>
        <v>39939</v>
      </c>
      <c r="E1340" s="1323">
        <f t="shared" si="152"/>
        <v>8.4970999999999997</v>
      </c>
      <c r="F1340" s="1323">
        <f t="shared" si="151"/>
        <v>7.5907790915265956</v>
      </c>
      <c r="G1340" s="1323">
        <f t="shared" si="153"/>
        <v>2009</v>
      </c>
      <c r="H1340" s="1323">
        <f t="shared" si="154"/>
        <v>5</v>
      </c>
      <c r="I1340" s="1323">
        <f t="shared" si="155"/>
        <v>6</v>
      </c>
      <c r="J1340" s="1323"/>
      <c r="K1340" s="1323"/>
      <c r="L1340" s="1323"/>
      <c r="M1340" s="1323"/>
      <c r="N1340" s="1323"/>
      <c r="O1340" s="1323"/>
      <c r="P1340" s="1323"/>
      <c r="Q1340" s="1323"/>
      <c r="R1340" s="1304"/>
      <c r="S1340" s="1304"/>
      <c r="T1340" s="1304"/>
    </row>
    <row r="1341" spans="1:20">
      <c r="A1341" s="1303"/>
      <c r="B1341" s="1322" t="s">
        <v>4916</v>
      </c>
      <c r="C1341" s="1323" t="s">
        <v>4917</v>
      </c>
      <c r="D1341" s="1324">
        <f t="shared" si="150"/>
        <v>39938</v>
      </c>
      <c r="E1341" s="1323">
        <f t="shared" si="152"/>
        <v>8.3034999999999997</v>
      </c>
      <c r="F1341" s="1323">
        <f t="shared" si="151"/>
        <v>7.5893236048078654</v>
      </c>
      <c r="G1341" s="1323">
        <f t="shared" si="153"/>
        <v>2009</v>
      </c>
      <c r="H1341" s="1323">
        <f t="shared" si="154"/>
        <v>5</v>
      </c>
      <c r="I1341" s="1323">
        <f t="shared" si="155"/>
        <v>5</v>
      </c>
      <c r="J1341" s="1323"/>
      <c r="K1341" s="1323"/>
      <c r="L1341" s="1323"/>
      <c r="M1341" s="1323"/>
      <c r="N1341" s="1323"/>
      <c r="O1341" s="1323"/>
      <c r="P1341" s="1323"/>
      <c r="Q1341" s="1323"/>
      <c r="R1341" s="1304"/>
      <c r="S1341" s="1304"/>
      <c r="T1341" s="1304"/>
    </row>
    <row r="1342" spans="1:20">
      <c r="A1342" s="1303"/>
      <c r="B1342" s="1322" t="s">
        <v>4918</v>
      </c>
      <c r="C1342" s="1323" t="s">
        <v>4919</v>
      </c>
      <c r="D1342" s="1324">
        <f t="shared" si="150"/>
        <v>39937</v>
      </c>
      <c r="E1342" s="1323">
        <f t="shared" si="152"/>
        <v>8.3928999999999991</v>
      </c>
      <c r="F1342" s="1323">
        <f t="shared" si="151"/>
        <v>7.5878683971700518</v>
      </c>
      <c r="G1342" s="1323">
        <f t="shared" si="153"/>
        <v>2009</v>
      </c>
      <c r="H1342" s="1323">
        <f t="shared" si="154"/>
        <v>5</v>
      </c>
      <c r="I1342" s="1323">
        <f t="shared" si="155"/>
        <v>4</v>
      </c>
      <c r="J1342" s="1323"/>
      <c r="K1342" s="1323"/>
      <c r="L1342" s="1323"/>
      <c r="M1342" s="1323"/>
      <c r="N1342" s="1323"/>
      <c r="O1342" s="1323"/>
      <c r="P1342" s="1323"/>
      <c r="Q1342" s="1323"/>
      <c r="R1342" s="1304"/>
      <c r="S1342" s="1304"/>
      <c r="T1342" s="1304"/>
    </row>
    <row r="1343" spans="1:20">
      <c r="A1343" s="1303"/>
      <c r="B1343" s="1322" t="s">
        <v>4920</v>
      </c>
      <c r="C1343" s="1323" t="s">
        <v>4921</v>
      </c>
      <c r="D1343" s="1324">
        <f t="shared" si="150"/>
        <v>39933</v>
      </c>
      <c r="E1343" s="1323">
        <f t="shared" si="152"/>
        <v>8.4291</v>
      </c>
      <c r="F1343" s="1323">
        <f t="shared" si="151"/>
        <v>7.5864134685596429</v>
      </c>
      <c r="G1343" s="1323">
        <f t="shared" si="153"/>
        <v>2009</v>
      </c>
      <c r="H1343" s="1323">
        <f t="shared" si="154"/>
        <v>4</v>
      </c>
      <c r="I1343" s="1323">
        <f t="shared" si="155"/>
        <v>30</v>
      </c>
      <c r="J1343" s="1323"/>
      <c r="K1343" s="1323"/>
      <c r="L1343" s="1323"/>
      <c r="M1343" s="1323"/>
      <c r="N1343" s="1323"/>
      <c r="O1343" s="1323"/>
      <c r="P1343" s="1323"/>
      <c r="Q1343" s="1323"/>
      <c r="R1343" s="1304"/>
      <c r="S1343" s="1304"/>
      <c r="T1343" s="1304"/>
    </row>
    <row r="1344" spans="1:20">
      <c r="A1344" s="1303"/>
      <c r="B1344" s="1322" t="s">
        <v>4922</v>
      </c>
      <c r="C1344" s="1323" t="s">
        <v>4923</v>
      </c>
      <c r="D1344" s="1324">
        <f t="shared" si="150"/>
        <v>39932</v>
      </c>
      <c r="E1344" s="1323">
        <f t="shared" si="152"/>
        <v>8.6304999999999996</v>
      </c>
      <c r="F1344" s="1323">
        <f t="shared" si="151"/>
        <v>7.5849588189231367</v>
      </c>
      <c r="G1344" s="1323">
        <f t="shared" si="153"/>
        <v>2009</v>
      </c>
      <c r="H1344" s="1323">
        <f t="shared" si="154"/>
        <v>4</v>
      </c>
      <c r="I1344" s="1323">
        <f t="shared" si="155"/>
        <v>29</v>
      </c>
      <c r="J1344" s="1323"/>
      <c r="K1344" s="1323"/>
      <c r="L1344" s="1323"/>
      <c r="M1344" s="1323"/>
      <c r="N1344" s="1323"/>
      <c r="O1344" s="1323"/>
      <c r="P1344" s="1323"/>
      <c r="Q1344" s="1323"/>
      <c r="R1344" s="1304"/>
      <c r="S1344" s="1304"/>
      <c r="T1344" s="1304"/>
    </row>
    <row r="1345" spans="1:20">
      <c r="A1345" s="1303"/>
      <c r="B1345" s="1322" t="s">
        <v>4924</v>
      </c>
      <c r="C1345" s="1323" t="s">
        <v>4925</v>
      </c>
      <c r="D1345" s="1324">
        <f t="shared" si="150"/>
        <v>39931</v>
      </c>
      <c r="E1345" s="1323">
        <f t="shared" si="152"/>
        <v>8.8489000000000004</v>
      </c>
      <c r="F1345" s="1323">
        <f t="shared" si="151"/>
        <v>7.5835044482070417</v>
      </c>
      <c r="G1345" s="1323">
        <f t="shared" si="153"/>
        <v>2009</v>
      </c>
      <c r="H1345" s="1323">
        <f t="shared" si="154"/>
        <v>4</v>
      </c>
      <c r="I1345" s="1323">
        <f t="shared" si="155"/>
        <v>28</v>
      </c>
      <c r="J1345" s="1323"/>
      <c r="K1345" s="1323"/>
      <c r="L1345" s="1323"/>
      <c r="M1345" s="1323"/>
      <c r="N1345" s="1323"/>
      <c r="O1345" s="1323"/>
      <c r="P1345" s="1323"/>
      <c r="Q1345" s="1323"/>
      <c r="R1345" s="1304"/>
      <c r="S1345" s="1304"/>
      <c r="T1345" s="1304"/>
    </row>
    <row r="1346" spans="1:20">
      <c r="A1346" s="1303"/>
      <c r="B1346" s="1322" t="s">
        <v>4926</v>
      </c>
      <c r="C1346" s="1323" t="s">
        <v>4927</v>
      </c>
      <c r="D1346" s="1324">
        <f t="shared" si="150"/>
        <v>39927</v>
      </c>
      <c r="E1346" s="1323">
        <f t="shared" si="152"/>
        <v>8.8233999999999995</v>
      </c>
      <c r="F1346" s="1323">
        <f t="shared" si="151"/>
        <v>7.5820503563578772</v>
      </c>
      <c r="G1346" s="1323">
        <f t="shared" si="153"/>
        <v>2009</v>
      </c>
      <c r="H1346" s="1323">
        <f t="shared" si="154"/>
        <v>4</v>
      </c>
      <c r="I1346" s="1323">
        <f t="shared" si="155"/>
        <v>24</v>
      </c>
      <c r="J1346" s="1323"/>
      <c r="K1346" s="1323"/>
      <c r="L1346" s="1323"/>
      <c r="M1346" s="1323"/>
      <c r="N1346" s="1323"/>
      <c r="O1346" s="1323"/>
      <c r="P1346" s="1323"/>
      <c r="Q1346" s="1323"/>
      <c r="R1346" s="1304"/>
      <c r="S1346" s="1304"/>
      <c r="T1346" s="1304"/>
    </row>
    <row r="1347" spans="1:20">
      <c r="A1347" s="1303"/>
      <c r="B1347" s="1322" t="s">
        <v>4928</v>
      </c>
      <c r="C1347" s="1323" t="s">
        <v>4929</v>
      </c>
      <c r="D1347" s="1324">
        <f t="shared" si="150"/>
        <v>39926</v>
      </c>
      <c r="E1347" s="1323">
        <f t="shared" si="152"/>
        <v>8.9091000000000005</v>
      </c>
      <c r="F1347" s="1323">
        <f t="shared" si="151"/>
        <v>7.5805965433221711</v>
      </c>
      <c r="G1347" s="1323">
        <f t="shared" si="153"/>
        <v>2009</v>
      </c>
      <c r="H1347" s="1323">
        <f t="shared" si="154"/>
        <v>4</v>
      </c>
      <c r="I1347" s="1323">
        <f t="shared" si="155"/>
        <v>23</v>
      </c>
      <c r="J1347" s="1323"/>
      <c r="K1347" s="1323"/>
      <c r="L1347" s="1323"/>
      <c r="M1347" s="1323"/>
      <c r="N1347" s="1323"/>
      <c r="O1347" s="1323"/>
      <c r="P1347" s="1323"/>
      <c r="Q1347" s="1323"/>
      <c r="R1347" s="1304"/>
      <c r="S1347" s="1304"/>
      <c r="T1347" s="1304"/>
    </row>
    <row r="1348" spans="1:20">
      <c r="A1348" s="1303"/>
      <c r="B1348" s="1322" t="s">
        <v>4930</v>
      </c>
      <c r="C1348" s="1323" t="s">
        <v>4931</v>
      </c>
      <c r="D1348" s="1324">
        <f t="shared" si="150"/>
        <v>39924</v>
      </c>
      <c r="E1348" s="1323">
        <f t="shared" si="152"/>
        <v>9.0896000000000008</v>
      </c>
      <c r="F1348" s="1323">
        <f t="shared" si="151"/>
        <v>7.5791430090464633</v>
      </c>
      <c r="G1348" s="1323">
        <f t="shared" si="153"/>
        <v>2009</v>
      </c>
      <c r="H1348" s="1323">
        <f t="shared" si="154"/>
        <v>4</v>
      </c>
      <c r="I1348" s="1323">
        <f t="shared" si="155"/>
        <v>21</v>
      </c>
      <c r="J1348" s="1323"/>
      <c r="K1348" s="1323"/>
      <c r="L1348" s="1323"/>
      <c r="M1348" s="1323"/>
      <c r="N1348" s="1323"/>
      <c r="O1348" s="1323"/>
      <c r="P1348" s="1323"/>
      <c r="Q1348" s="1323"/>
      <c r="R1348" s="1304"/>
      <c r="S1348" s="1304"/>
      <c r="T1348" s="1304"/>
    </row>
    <row r="1349" spans="1:20">
      <c r="A1349" s="1303"/>
      <c r="B1349" s="1322" t="s">
        <v>4932</v>
      </c>
      <c r="C1349" s="1323" t="s">
        <v>4933</v>
      </c>
      <c r="D1349" s="1324">
        <f t="shared" si="150"/>
        <v>39923</v>
      </c>
      <c r="E1349" s="1323">
        <f t="shared" si="152"/>
        <v>9.0417000000000005</v>
      </c>
      <c r="F1349" s="1323">
        <f t="shared" si="151"/>
        <v>7.5776897534773031</v>
      </c>
      <c r="G1349" s="1323">
        <f t="shared" si="153"/>
        <v>2009</v>
      </c>
      <c r="H1349" s="1323">
        <f t="shared" si="154"/>
        <v>4</v>
      </c>
      <c r="I1349" s="1323">
        <f t="shared" si="155"/>
        <v>20</v>
      </c>
      <c r="J1349" s="1323"/>
      <c r="K1349" s="1323"/>
      <c r="L1349" s="1323"/>
      <c r="M1349" s="1323"/>
      <c r="N1349" s="1323"/>
      <c r="O1349" s="1323"/>
      <c r="P1349" s="1323"/>
      <c r="Q1349" s="1323"/>
      <c r="R1349" s="1304"/>
      <c r="S1349" s="1304"/>
      <c r="T1349" s="1304"/>
    </row>
    <row r="1350" spans="1:20">
      <c r="A1350" s="1303"/>
      <c r="B1350" s="1322" t="s">
        <v>4934</v>
      </c>
      <c r="C1350" s="1323" t="s">
        <v>4935</v>
      </c>
      <c r="D1350" s="1324">
        <f t="shared" si="150"/>
        <v>39920</v>
      </c>
      <c r="E1350" s="1323">
        <f t="shared" si="152"/>
        <v>8.9201999999999995</v>
      </c>
      <c r="F1350" s="1323">
        <f t="shared" si="151"/>
        <v>7.5762367765612497</v>
      </c>
      <c r="G1350" s="1323">
        <f t="shared" si="153"/>
        <v>2009</v>
      </c>
      <c r="H1350" s="1323">
        <f t="shared" si="154"/>
        <v>4</v>
      </c>
      <c r="I1350" s="1323">
        <f t="shared" si="155"/>
        <v>17</v>
      </c>
      <c r="J1350" s="1323"/>
      <c r="K1350" s="1323"/>
      <c r="L1350" s="1323"/>
      <c r="M1350" s="1323"/>
      <c r="N1350" s="1323"/>
      <c r="O1350" s="1323"/>
      <c r="P1350" s="1323"/>
      <c r="Q1350" s="1323"/>
      <c r="R1350" s="1304"/>
      <c r="S1350" s="1304"/>
      <c r="T1350" s="1304"/>
    </row>
    <row r="1351" spans="1:20">
      <c r="A1351" s="1303"/>
      <c r="B1351" s="1322" t="s">
        <v>4936</v>
      </c>
      <c r="C1351" s="1323" t="s">
        <v>4937</v>
      </c>
      <c r="D1351" s="1324">
        <f t="shared" si="150"/>
        <v>39919</v>
      </c>
      <c r="E1351" s="1323">
        <f t="shared" si="152"/>
        <v>9.0585000000000004</v>
      </c>
      <c r="F1351" s="1323">
        <f t="shared" si="151"/>
        <v>7.5747840782448739</v>
      </c>
      <c r="G1351" s="1323">
        <f t="shared" si="153"/>
        <v>2009</v>
      </c>
      <c r="H1351" s="1323">
        <f t="shared" si="154"/>
        <v>4</v>
      </c>
      <c r="I1351" s="1323">
        <f t="shared" si="155"/>
        <v>16</v>
      </c>
      <c r="J1351" s="1323"/>
      <c r="K1351" s="1323"/>
      <c r="L1351" s="1323"/>
      <c r="M1351" s="1323"/>
      <c r="N1351" s="1323"/>
      <c r="O1351" s="1323"/>
      <c r="P1351" s="1323"/>
      <c r="Q1351" s="1323"/>
      <c r="R1351" s="1304"/>
      <c r="S1351" s="1304"/>
      <c r="T1351" s="1304"/>
    </row>
    <row r="1352" spans="1:20">
      <c r="A1352" s="1303"/>
      <c r="B1352" s="1322" t="s">
        <v>4938</v>
      </c>
      <c r="C1352" s="1323" t="s">
        <v>4939</v>
      </c>
      <c r="D1352" s="1324">
        <f t="shared" si="150"/>
        <v>39918</v>
      </c>
      <c r="E1352" s="1323">
        <f t="shared" si="152"/>
        <v>9.1615000000000002</v>
      </c>
      <c r="F1352" s="1323">
        <f t="shared" si="151"/>
        <v>7.5733316584747552</v>
      </c>
      <c r="G1352" s="1323">
        <f t="shared" si="153"/>
        <v>2009</v>
      </c>
      <c r="H1352" s="1323">
        <f t="shared" si="154"/>
        <v>4</v>
      </c>
      <c r="I1352" s="1323">
        <f t="shared" si="155"/>
        <v>15</v>
      </c>
      <c r="J1352" s="1323"/>
      <c r="K1352" s="1323"/>
      <c r="L1352" s="1323"/>
      <c r="M1352" s="1323"/>
      <c r="N1352" s="1323"/>
      <c r="O1352" s="1323"/>
      <c r="P1352" s="1323"/>
      <c r="Q1352" s="1323"/>
      <c r="R1352" s="1304"/>
      <c r="S1352" s="1304"/>
      <c r="T1352" s="1304"/>
    </row>
    <row r="1353" spans="1:20">
      <c r="A1353" s="1303"/>
      <c r="B1353" s="1322" t="s">
        <v>4940</v>
      </c>
      <c r="C1353" s="1323" t="s">
        <v>4941</v>
      </c>
      <c r="D1353" s="1324">
        <f t="shared" ref="D1353:D1416" si="156">DATE(G1353,H1353,I1353)</f>
        <v>39917</v>
      </c>
      <c r="E1353" s="1323">
        <f t="shared" si="152"/>
        <v>9.0005000000000006</v>
      </c>
      <c r="F1353" s="1323">
        <f t="shared" ref="F1353:F1416" si="157">F1354*(1+$F$7/365)</f>
        <v>7.571879517197484</v>
      </c>
      <c r="G1353" s="1323">
        <f t="shared" si="153"/>
        <v>2009</v>
      </c>
      <c r="H1353" s="1323">
        <f t="shared" si="154"/>
        <v>4</v>
      </c>
      <c r="I1353" s="1323">
        <f t="shared" si="155"/>
        <v>14</v>
      </c>
      <c r="J1353" s="1323"/>
      <c r="K1353" s="1323"/>
      <c r="L1353" s="1323"/>
      <c r="M1353" s="1323"/>
      <c r="N1353" s="1323"/>
      <c r="O1353" s="1323"/>
      <c r="P1353" s="1323"/>
      <c r="Q1353" s="1323"/>
      <c r="R1353" s="1304"/>
      <c r="S1353" s="1304"/>
      <c r="T1353" s="1304"/>
    </row>
    <row r="1354" spans="1:20">
      <c r="A1354" s="1303"/>
      <c r="B1354" s="1322" t="s">
        <v>4942</v>
      </c>
      <c r="C1354" s="1323" t="s">
        <v>4943</v>
      </c>
      <c r="D1354" s="1324">
        <f t="shared" si="156"/>
        <v>39912</v>
      </c>
      <c r="E1354" s="1323">
        <f t="shared" si="152"/>
        <v>9.1395</v>
      </c>
      <c r="F1354" s="1323">
        <f t="shared" si="157"/>
        <v>7.5704276543596611</v>
      </c>
      <c r="G1354" s="1323">
        <f t="shared" si="153"/>
        <v>2009</v>
      </c>
      <c r="H1354" s="1323">
        <f t="shared" si="154"/>
        <v>4</v>
      </c>
      <c r="I1354" s="1323">
        <f t="shared" si="155"/>
        <v>9</v>
      </c>
      <c r="J1354" s="1323"/>
      <c r="K1354" s="1323"/>
      <c r="L1354" s="1323"/>
      <c r="M1354" s="1323"/>
      <c r="N1354" s="1323"/>
      <c r="O1354" s="1323"/>
      <c r="P1354" s="1323"/>
      <c r="Q1354" s="1323"/>
      <c r="R1354" s="1304"/>
      <c r="S1354" s="1304"/>
      <c r="T1354" s="1304"/>
    </row>
    <row r="1355" spans="1:20">
      <c r="A1355" s="1303"/>
      <c r="B1355" s="1322" t="s">
        <v>4944</v>
      </c>
      <c r="C1355" s="1323" t="s">
        <v>4945</v>
      </c>
      <c r="D1355" s="1324">
        <f t="shared" si="156"/>
        <v>39911</v>
      </c>
      <c r="E1355" s="1323">
        <f t="shared" si="152"/>
        <v>9.2523</v>
      </c>
      <c r="F1355" s="1323">
        <f t="shared" si="157"/>
        <v>7.5689760699078974</v>
      </c>
      <c r="G1355" s="1323">
        <f t="shared" si="153"/>
        <v>2009</v>
      </c>
      <c r="H1355" s="1323">
        <f t="shared" si="154"/>
        <v>4</v>
      </c>
      <c r="I1355" s="1323">
        <f t="shared" si="155"/>
        <v>8</v>
      </c>
      <c r="J1355" s="1323"/>
      <c r="K1355" s="1323"/>
      <c r="L1355" s="1323"/>
      <c r="M1355" s="1323"/>
      <c r="N1355" s="1323"/>
      <c r="O1355" s="1323"/>
      <c r="P1355" s="1323"/>
      <c r="Q1355" s="1323"/>
      <c r="R1355" s="1304"/>
      <c r="S1355" s="1304"/>
      <c r="T1355" s="1304"/>
    </row>
    <row r="1356" spans="1:20">
      <c r="A1356" s="1303"/>
      <c r="B1356" s="1322" t="s">
        <v>4946</v>
      </c>
      <c r="C1356" s="1323" t="s">
        <v>4947</v>
      </c>
      <c r="D1356" s="1324">
        <f t="shared" si="156"/>
        <v>39910</v>
      </c>
      <c r="E1356" s="1323">
        <f t="shared" si="152"/>
        <v>9.1434999999999995</v>
      </c>
      <c r="F1356" s="1323">
        <f t="shared" si="157"/>
        <v>7.5675247637888141</v>
      </c>
      <c r="G1356" s="1323">
        <f t="shared" si="153"/>
        <v>2009</v>
      </c>
      <c r="H1356" s="1323">
        <f t="shared" si="154"/>
        <v>4</v>
      </c>
      <c r="I1356" s="1323">
        <f t="shared" si="155"/>
        <v>7</v>
      </c>
      <c r="J1356" s="1323"/>
      <c r="K1356" s="1323"/>
      <c r="L1356" s="1323"/>
      <c r="M1356" s="1323"/>
      <c r="N1356" s="1323"/>
      <c r="O1356" s="1323"/>
      <c r="P1356" s="1323"/>
      <c r="Q1356" s="1323"/>
      <c r="R1356" s="1304"/>
      <c r="S1356" s="1304"/>
      <c r="T1356" s="1304"/>
    </row>
    <row r="1357" spans="1:20">
      <c r="A1357" s="1303"/>
      <c r="B1357" s="1322" t="s">
        <v>4948</v>
      </c>
      <c r="C1357" s="1323" t="s">
        <v>4949</v>
      </c>
      <c r="D1357" s="1324">
        <f t="shared" si="156"/>
        <v>39909</v>
      </c>
      <c r="E1357" s="1323">
        <f t="shared" si="152"/>
        <v>9.016</v>
      </c>
      <c r="F1357" s="1323">
        <f t="shared" si="157"/>
        <v>7.5660737359490424</v>
      </c>
      <c r="G1357" s="1323">
        <f t="shared" si="153"/>
        <v>2009</v>
      </c>
      <c r="H1357" s="1323">
        <f t="shared" si="154"/>
        <v>4</v>
      </c>
      <c r="I1357" s="1323">
        <f t="shared" si="155"/>
        <v>6</v>
      </c>
      <c r="J1357" s="1323"/>
      <c r="K1357" s="1323"/>
      <c r="L1357" s="1323"/>
      <c r="M1357" s="1323"/>
      <c r="N1357" s="1323"/>
      <c r="O1357" s="1323"/>
      <c r="P1357" s="1323"/>
      <c r="Q1357" s="1323"/>
      <c r="R1357" s="1304"/>
      <c r="S1357" s="1304"/>
      <c r="T1357" s="1304"/>
    </row>
    <row r="1358" spans="1:20">
      <c r="A1358" s="1303"/>
      <c r="B1358" s="1322" t="s">
        <v>4950</v>
      </c>
      <c r="C1358" s="1323" t="s">
        <v>4951</v>
      </c>
      <c r="D1358" s="1324">
        <f t="shared" si="156"/>
        <v>39906</v>
      </c>
      <c r="E1358" s="1323">
        <f t="shared" si="152"/>
        <v>9.0943000000000005</v>
      </c>
      <c r="F1358" s="1323">
        <f t="shared" si="157"/>
        <v>7.5646229863352241</v>
      </c>
      <c r="G1358" s="1323">
        <f t="shared" si="153"/>
        <v>2009</v>
      </c>
      <c r="H1358" s="1323">
        <f t="shared" si="154"/>
        <v>4</v>
      </c>
      <c r="I1358" s="1323">
        <f t="shared" si="155"/>
        <v>3</v>
      </c>
      <c r="J1358" s="1323"/>
      <c r="K1358" s="1323"/>
      <c r="L1358" s="1323"/>
      <c r="M1358" s="1323"/>
      <c r="N1358" s="1323"/>
      <c r="O1358" s="1323"/>
      <c r="P1358" s="1323"/>
      <c r="Q1358" s="1323"/>
      <c r="R1358" s="1304"/>
      <c r="S1358" s="1304"/>
      <c r="T1358" s="1304"/>
    </row>
    <row r="1359" spans="1:20">
      <c r="A1359" s="1303"/>
      <c r="B1359" s="1322" t="s">
        <v>4952</v>
      </c>
      <c r="C1359" s="1323" t="s">
        <v>4953</v>
      </c>
      <c r="D1359" s="1324">
        <f t="shared" si="156"/>
        <v>39905</v>
      </c>
      <c r="E1359" s="1323">
        <f t="shared" si="152"/>
        <v>9.3611000000000004</v>
      </c>
      <c r="F1359" s="1323">
        <f t="shared" si="157"/>
        <v>7.5631725148940117</v>
      </c>
      <c r="G1359" s="1323">
        <f t="shared" si="153"/>
        <v>2009</v>
      </c>
      <c r="H1359" s="1323">
        <f t="shared" si="154"/>
        <v>4</v>
      </c>
      <c r="I1359" s="1323">
        <f t="shared" si="155"/>
        <v>2</v>
      </c>
      <c r="J1359" s="1323"/>
      <c r="K1359" s="1323"/>
      <c r="L1359" s="1323"/>
      <c r="M1359" s="1323"/>
      <c r="N1359" s="1323"/>
      <c r="O1359" s="1323"/>
      <c r="P1359" s="1323"/>
      <c r="Q1359" s="1323"/>
      <c r="R1359" s="1304"/>
      <c r="S1359" s="1304"/>
      <c r="T1359" s="1304"/>
    </row>
    <row r="1360" spans="1:20">
      <c r="A1360" s="1303"/>
      <c r="B1360" s="1322" t="s">
        <v>4954</v>
      </c>
      <c r="C1360" s="1323" t="s">
        <v>4955</v>
      </c>
      <c r="D1360" s="1324">
        <f t="shared" si="156"/>
        <v>39904</v>
      </c>
      <c r="E1360" s="1323">
        <f t="shared" si="152"/>
        <v>9.5259999999999998</v>
      </c>
      <c r="F1360" s="1323">
        <f t="shared" si="157"/>
        <v>7.5617223215720664</v>
      </c>
      <c r="G1360" s="1323">
        <f t="shared" si="153"/>
        <v>2009</v>
      </c>
      <c r="H1360" s="1323">
        <f t="shared" si="154"/>
        <v>4</v>
      </c>
      <c r="I1360" s="1323">
        <f t="shared" si="155"/>
        <v>1</v>
      </c>
      <c r="J1360" s="1323"/>
      <c r="K1360" s="1323"/>
      <c r="L1360" s="1323"/>
      <c r="M1360" s="1323"/>
      <c r="N1360" s="1323"/>
      <c r="O1360" s="1323"/>
      <c r="P1360" s="1323"/>
      <c r="Q1360" s="1323"/>
      <c r="R1360" s="1304"/>
      <c r="S1360" s="1304"/>
      <c r="T1360" s="1304"/>
    </row>
    <row r="1361" spans="1:20">
      <c r="A1361" s="1303"/>
      <c r="B1361" s="1322" t="s">
        <v>4956</v>
      </c>
      <c r="C1361" s="1323" t="s">
        <v>4957</v>
      </c>
      <c r="D1361" s="1324">
        <f t="shared" si="156"/>
        <v>39903</v>
      </c>
      <c r="E1361" s="1323">
        <f t="shared" si="152"/>
        <v>9.6265999999999998</v>
      </c>
      <c r="F1361" s="1323">
        <f t="shared" si="157"/>
        <v>7.5602724063160602</v>
      </c>
      <c r="G1361" s="1323">
        <f t="shared" si="153"/>
        <v>2009</v>
      </c>
      <c r="H1361" s="1323">
        <f t="shared" si="154"/>
        <v>3</v>
      </c>
      <c r="I1361" s="1323">
        <f t="shared" si="155"/>
        <v>31</v>
      </c>
      <c r="J1361" s="1323"/>
      <c r="K1361" s="1323"/>
      <c r="L1361" s="1323"/>
      <c r="M1361" s="1323"/>
      <c r="N1361" s="1323"/>
      <c r="O1361" s="1323"/>
      <c r="P1361" s="1323"/>
      <c r="Q1361" s="1323"/>
      <c r="R1361" s="1304"/>
      <c r="S1361" s="1304"/>
      <c r="T1361" s="1304"/>
    </row>
    <row r="1362" spans="1:20">
      <c r="A1362" s="1303"/>
      <c r="B1362" s="1322" t="s">
        <v>4958</v>
      </c>
      <c r="C1362" s="1323" t="s">
        <v>4959</v>
      </c>
      <c r="D1362" s="1324">
        <f t="shared" si="156"/>
        <v>39902</v>
      </c>
      <c r="E1362" s="1323">
        <f t="shared" si="152"/>
        <v>9.7111000000000001</v>
      </c>
      <c r="F1362" s="1323">
        <f t="shared" si="157"/>
        <v>7.5588227690726759</v>
      </c>
      <c r="G1362" s="1323">
        <f t="shared" si="153"/>
        <v>2009</v>
      </c>
      <c r="H1362" s="1323">
        <f t="shared" si="154"/>
        <v>3</v>
      </c>
      <c r="I1362" s="1323">
        <f t="shared" si="155"/>
        <v>30</v>
      </c>
      <c r="J1362" s="1323"/>
      <c r="K1362" s="1323"/>
      <c r="L1362" s="1323"/>
      <c r="M1362" s="1323"/>
      <c r="N1362" s="1323"/>
      <c r="O1362" s="1323"/>
      <c r="P1362" s="1323"/>
      <c r="Q1362" s="1323"/>
      <c r="R1362" s="1304"/>
      <c r="S1362" s="1304"/>
      <c r="T1362" s="1304"/>
    </row>
    <row r="1363" spans="1:20">
      <c r="A1363" s="1303"/>
      <c r="B1363" s="1322" t="s">
        <v>4960</v>
      </c>
      <c r="C1363" s="1323" t="s">
        <v>4961</v>
      </c>
      <c r="D1363" s="1324">
        <f t="shared" si="156"/>
        <v>39899</v>
      </c>
      <c r="E1363" s="1323">
        <f t="shared" si="152"/>
        <v>9.4816000000000003</v>
      </c>
      <c r="F1363" s="1323">
        <f t="shared" si="157"/>
        <v>7.5573734097886067</v>
      </c>
      <c r="G1363" s="1323">
        <f t="shared" si="153"/>
        <v>2009</v>
      </c>
      <c r="H1363" s="1323">
        <f t="shared" si="154"/>
        <v>3</v>
      </c>
      <c r="I1363" s="1323">
        <f t="shared" si="155"/>
        <v>27</v>
      </c>
      <c r="J1363" s="1323"/>
      <c r="K1363" s="1323"/>
      <c r="L1363" s="1323"/>
      <c r="M1363" s="1323"/>
      <c r="N1363" s="1323"/>
      <c r="O1363" s="1323"/>
      <c r="P1363" s="1323"/>
      <c r="Q1363" s="1323"/>
      <c r="R1363" s="1304"/>
      <c r="S1363" s="1304"/>
      <c r="T1363" s="1304"/>
    </row>
    <row r="1364" spans="1:20">
      <c r="A1364" s="1303"/>
      <c r="B1364" s="1322" t="s">
        <v>4962</v>
      </c>
      <c r="C1364" s="1323" t="s">
        <v>4963</v>
      </c>
      <c r="D1364" s="1324">
        <f t="shared" si="156"/>
        <v>39898</v>
      </c>
      <c r="E1364" s="1323">
        <f t="shared" si="152"/>
        <v>9.5484000000000009</v>
      </c>
      <c r="F1364" s="1323">
        <f t="shared" si="157"/>
        <v>7.5559243284105548</v>
      </c>
      <c r="G1364" s="1323">
        <f t="shared" si="153"/>
        <v>2009</v>
      </c>
      <c r="H1364" s="1323">
        <f t="shared" si="154"/>
        <v>3</v>
      </c>
      <c r="I1364" s="1323">
        <f t="shared" si="155"/>
        <v>26</v>
      </c>
      <c r="J1364" s="1323"/>
      <c r="K1364" s="1323"/>
      <c r="L1364" s="1323"/>
      <c r="M1364" s="1323"/>
      <c r="N1364" s="1323"/>
      <c r="O1364" s="1323"/>
      <c r="P1364" s="1323"/>
      <c r="Q1364" s="1323"/>
      <c r="R1364" s="1304"/>
      <c r="S1364" s="1304"/>
      <c r="T1364" s="1304"/>
    </row>
    <row r="1365" spans="1:20">
      <c r="A1365" s="1303"/>
      <c r="B1365" s="1322" t="s">
        <v>4964</v>
      </c>
      <c r="C1365" s="1323" t="s">
        <v>4965</v>
      </c>
      <c r="D1365" s="1324">
        <f t="shared" si="156"/>
        <v>39897</v>
      </c>
      <c r="E1365" s="1323">
        <f t="shared" si="152"/>
        <v>9.85</v>
      </c>
      <c r="F1365" s="1323">
        <f t="shared" si="157"/>
        <v>7.554475524885234</v>
      </c>
      <c r="G1365" s="1323">
        <f t="shared" si="153"/>
        <v>2009</v>
      </c>
      <c r="H1365" s="1323">
        <f t="shared" si="154"/>
        <v>3</v>
      </c>
      <c r="I1365" s="1323">
        <f t="shared" si="155"/>
        <v>25</v>
      </c>
      <c r="J1365" s="1323"/>
      <c r="K1365" s="1323"/>
      <c r="L1365" s="1323"/>
      <c r="M1365" s="1323"/>
      <c r="N1365" s="1323"/>
      <c r="O1365" s="1323"/>
      <c r="P1365" s="1323"/>
      <c r="Q1365" s="1323"/>
      <c r="R1365" s="1304"/>
      <c r="S1365" s="1304"/>
      <c r="T1365" s="1304"/>
    </row>
    <row r="1366" spans="1:20">
      <c r="A1366" s="1303"/>
      <c r="B1366" s="1322" t="s">
        <v>4966</v>
      </c>
      <c r="C1366" s="1323" t="s">
        <v>2705</v>
      </c>
      <c r="D1366" s="1324">
        <f t="shared" si="156"/>
        <v>39896</v>
      </c>
      <c r="E1366" s="1323">
        <f t="shared" ref="E1366:E1429" si="158">VALUE(C1367)</f>
        <v>9.5435999999999996</v>
      </c>
      <c r="F1366" s="1323">
        <f t="shared" si="157"/>
        <v>7.5530269991593677</v>
      </c>
      <c r="G1366" s="1323">
        <f t="shared" ref="G1366:G1429" si="159">YEAR(B1367)</f>
        <v>2009</v>
      </c>
      <c r="H1366" s="1323">
        <f t="shared" ref="H1366:H1429" si="160">MONTH(B1367)</f>
        <v>3</v>
      </c>
      <c r="I1366" s="1323">
        <f t="shared" ref="I1366:I1429" si="161">DAY(B1367)</f>
        <v>24</v>
      </c>
      <c r="J1366" s="1323"/>
      <c r="K1366" s="1323"/>
      <c r="L1366" s="1323"/>
      <c r="M1366" s="1323"/>
      <c r="N1366" s="1323"/>
      <c r="O1366" s="1323"/>
      <c r="P1366" s="1323"/>
      <c r="Q1366" s="1323"/>
      <c r="R1366" s="1304"/>
      <c r="S1366" s="1304"/>
      <c r="T1366" s="1304"/>
    </row>
    <row r="1367" spans="1:20">
      <c r="A1367" s="1303"/>
      <c r="B1367" s="1322" t="s">
        <v>4967</v>
      </c>
      <c r="C1367" s="1323" t="s">
        <v>4968</v>
      </c>
      <c r="D1367" s="1324">
        <f t="shared" si="156"/>
        <v>39895</v>
      </c>
      <c r="E1367" s="1323">
        <f t="shared" si="158"/>
        <v>9.5634999999999994</v>
      </c>
      <c r="F1367" s="1323">
        <f t="shared" si="157"/>
        <v>7.5515787511796892</v>
      </c>
      <c r="G1367" s="1323">
        <f t="shared" si="159"/>
        <v>2009</v>
      </c>
      <c r="H1367" s="1323">
        <f t="shared" si="160"/>
        <v>3</v>
      </c>
      <c r="I1367" s="1323">
        <f t="shared" si="161"/>
        <v>23</v>
      </c>
      <c r="J1367" s="1323"/>
      <c r="K1367" s="1323"/>
      <c r="L1367" s="1323"/>
      <c r="M1367" s="1323"/>
      <c r="N1367" s="1323"/>
      <c r="O1367" s="1323"/>
      <c r="P1367" s="1323"/>
      <c r="Q1367" s="1323"/>
      <c r="R1367" s="1304"/>
      <c r="S1367" s="1304"/>
      <c r="T1367" s="1304"/>
    </row>
    <row r="1368" spans="1:20">
      <c r="A1368" s="1303"/>
      <c r="B1368" s="1322" t="s">
        <v>4969</v>
      </c>
      <c r="C1368" s="1323" t="s">
        <v>4970</v>
      </c>
      <c r="D1368" s="1324">
        <f t="shared" si="156"/>
        <v>39892</v>
      </c>
      <c r="E1368" s="1323">
        <f t="shared" si="158"/>
        <v>9.7387999999999995</v>
      </c>
      <c r="F1368" s="1323">
        <f t="shared" si="157"/>
        <v>7.5501307808929425</v>
      </c>
      <c r="G1368" s="1323">
        <f t="shared" si="159"/>
        <v>2009</v>
      </c>
      <c r="H1368" s="1323">
        <f t="shared" si="160"/>
        <v>3</v>
      </c>
      <c r="I1368" s="1323">
        <f t="shared" si="161"/>
        <v>20</v>
      </c>
      <c r="J1368" s="1323"/>
      <c r="K1368" s="1323"/>
      <c r="L1368" s="1323"/>
      <c r="M1368" s="1323"/>
      <c r="N1368" s="1323"/>
      <c r="O1368" s="1323"/>
      <c r="P1368" s="1323"/>
      <c r="Q1368" s="1323"/>
      <c r="R1368" s="1304"/>
      <c r="S1368" s="1304"/>
      <c r="T1368" s="1304"/>
    </row>
    <row r="1369" spans="1:20">
      <c r="A1369" s="1303"/>
      <c r="B1369" s="1322" t="s">
        <v>4971</v>
      </c>
      <c r="C1369" s="1323" t="s">
        <v>4972</v>
      </c>
      <c r="D1369" s="1324">
        <f t="shared" si="156"/>
        <v>39891</v>
      </c>
      <c r="E1369" s="1323">
        <f t="shared" si="158"/>
        <v>9.7630999999999997</v>
      </c>
      <c r="F1369" s="1323">
        <f t="shared" si="157"/>
        <v>7.5486830882458813</v>
      </c>
      <c r="G1369" s="1323">
        <f t="shared" si="159"/>
        <v>2009</v>
      </c>
      <c r="H1369" s="1323">
        <f t="shared" si="160"/>
        <v>3</v>
      </c>
      <c r="I1369" s="1323">
        <f t="shared" si="161"/>
        <v>19</v>
      </c>
      <c r="J1369" s="1323"/>
      <c r="K1369" s="1323"/>
      <c r="L1369" s="1323"/>
      <c r="M1369" s="1323"/>
      <c r="N1369" s="1323"/>
      <c r="O1369" s="1323"/>
      <c r="P1369" s="1323"/>
      <c r="Q1369" s="1323"/>
      <c r="R1369" s="1304"/>
      <c r="S1369" s="1304"/>
      <c r="T1369" s="1304"/>
    </row>
    <row r="1370" spans="1:20">
      <c r="A1370" s="1303"/>
      <c r="B1370" s="1322" t="s">
        <v>4973</v>
      </c>
      <c r="C1370" s="1323" t="s">
        <v>4974</v>
      </c>
      <c r="D1370" s="1324">
        <f t="shared" si="156"/>
        <v>39890</v>
      </c>
      <c r="E1370" s="1323">
        <f t="shared" si="158"/>
        <v>9.9162999999999997</v>
      </c>
      <c r="F1370" s="1323">
        <f t="shared" si="157"/>
        <v>7.5472356731852699</v>
      </c>
      <c r="G1370" s="1323">
        <f t="shared" si="159"/>
        <v>2009</v>
      </c>
      <c r="H1370" s="1323">
        <f t="shared" si="160"/>
        <v>3</v>
      </c>
      <c r="I1370" s="1323">
        <f t="shared" si="161"/>
        <v>18</v>
      </c>
      <c r="J1370" s="1323"/>
      <c r="K1370" s="1323"/>
      <c r="L1370" s="1323"/>
      <c r="M1370" s="1323"/>
      <c r="N1370" s="1323"/>
      <c r="O1370" s="1323"/>
      <c r="P1370" s="1323"/>
      <c r="Q1370" s="1323"/>
      <c r="R1370" s="1304"/>
      <c r="S1370" s="1304"/>
      <c r="T1370" s="1304"/>
    </row>
    <row r="1371" spans="1:20">
      <c r="A1371" s="1303"/>
      <c r="B1371" s="1322" t="s">
        <v>4975</v>
      </c>
      <c r="C1371" s="1323" t="s">
        <v>2799</v>
      </c>
      <c r="D1371" s="1324">
        <f t="shared" si="156"/>
        <v>39889</v>
      </c>
      <c r="E1371" s="1323">
        <f t="shared" si="158"/>
        <v>9.9628999999999994</v>
      </c>
      <c r="F1371" s="1323">
        <f t="shared" si="157"/>
        <v>7.5457885356578833</v>
      </c>
      <c r="G1371" s="1323">
        <f t="shared" si="159"/>
        <v>2009</v>
      </c>
      <c r="H1371" s="1323">
        <f t="shared" si="160"/>
        <v>3</v>
      </c>
      <c r="I1371" s="1323">
        <f t="shared" si="161"/>
        <v>17</v>
      </c>
      <c r="J1371" s="1323"/>
      <c r="K1371" s="1323"/>
      <c r="L1371" s="1323"/>
      <c r="M1371" s="1323"/>
      <c r="N1371" s="1323"/>
      <c r="O1371" s="1323"/>
      <c r="P1371" s="1323"/>
      <c r="Q1371" s="1323"/>
      <c r="R1371" s="1304"/>
      <c r="S1371" s="1304"/>
      <c r="T1371" s="1304"/>
    </row>
    <row r="1372" spans="1:20">
      <c r="A1372" s="1303"/>
      <c r="B1372" s="1322" t="s">
        <v>4976</v>
      </c>
      <c r="C1372" s="1323" t="s">
        <v>4977</v>
      </c>
      <c r="D1372" s="1324">
        <f t="shared" si="156"/>
        <v>39888</v>
      </c>
      <c r="E1372" s="1323">
        <f t="shared" si="158"/>
        <v>9.9154999999999998</v>
      </c>
      <c r="F1372" s="1323">
        <f t="shared" si="157"/>
        <v>7.5443416756105055</v>
      </c>
      <c r="G1372" s="1323">
        <f t="shared" si="159"/>
        <v>2009</v>
      </c>
      <c r="H1372" s="1323">
        <f t="shared" si="160"/>
        <v>3</v>
      </c>
      <c r="I1372" s="1323">
        <f t="shared" si="161"/>
        <v>16</v>
      </c>
      <c r="J1372" s="1323"/>
      <c r="K1372" s="1323"/>
      <c r="L1372" s="1323"/>
      <c r="M1372" s="1323"/>
      <c r="N1372" s="1323"/>
      <c r="O1372" s="1323"/>
      <c r="P1372" s="1323"/>
      <c r="Q1372" s="1323"/>
      <c r="R1372" s="1304"/>
      <c r="S1372" s="1304"/>
      <c r="T1372" s="1304"/>
    </row>
    <row r="1373" spans="1:20">
      <c r="A1373" s="1303"/>
      <c r="B1373" s="1322" t="s">
        <v>4978</v>
      </c>
      <c r="C1373" s="1323" t="s">
        <v>4979</v>
      </c>
      <c r="D1373" s="1324">
        <f t="shared" si="156"/>
        <v>39885</v>
      </c>
      <c r="E1373" s="1323">
        <f t="shared" si="158"/>
        <v>9.9108999999999998</v>
      </c>
      <c r="F1373" s="1323">
        <f t="shared" si="157"/>
        <v>7.5428950929899319</v>
      </c>
      <c r="G1373" s="1323">
        <f t="shared" si="159"/>
        <v>2009</v>
      </c>
      <c r="H1373" s="1323">
        <f t="shared" si="160"/>
        <v>3</v>
      </c>
      <c r="I1373" s="1323">
        <f t="shared" si="161"/>
        <v>13</v>
      </c>
      <c r="J1373" s="1323"/>
      <c r="K1373" s="1323"/>
      <c r="L1373" s="1323"/>
      <c r="M1373" s="1323"/>
      <c r="N1373" s="1323"/>
      <c r="O1373" s="1323"/>
      <c r="P1373" s="1323"/>
      <c r="Q1373" s="1323"/>
      <c r="R1373" s="1304"/>
      <c r="S1373" s="1304"/>
      <c r="T1373" s="1304"/>
    </row>
    <row r="1374" spans="1:20">
      <c r="A1374" s="1303"/>
      <c r="B1374" s="1322" t="s">
        <v>4980</v>
      </c>
      <c r="C1374" s="1323" t="s">
        <v>4981</v>
      </c>
      <c r="D1374" s="1324">
        <f t="shared" si="156"/>
        <v>39884</v>
      </c>
      <c r="E1374" s="1323">
        <f t="shared" si="158"/>
        <v>10.186299999999999</v>
      </c>
      <c r="F1374" s="1323">
        <f t="shared" si="157"/>
        <v>7.5414487877429668</v>
      </c>
      <c r="G1374" s="1323">
        <f t="shared" si="159"/>
        <v>2009</v>
      </c>
      <c r="H1374" s="1323">
        <f t="shared" si="160"/>
        <v>3</v>
      </c>
      <c r="I1374" s="1323">
        <f t="shared" si="161"/>
        <v>12</v>
      </c>
      <c r="J1374" s="1323"/>
      <c r="K1374" s="1323"/>
      <c r="L1374" s="1323"/>
      <c r="M1374" s="1323"/>
      <c r="N1374" s="1323"/>
      <c r="O1374" s="1323"/>
      <c r="P1374" s="1323"/>
      <c r="Q1374" s="1323"/>
      <c r="R1374" s="1304"/>
      <c r="S1374" s="1304"/>
      <c r="T1374" s="1304"/>
    </row>
    <row r="1375" spans="1:20">
      <c r="A1375" s="1303"/>
      <c r="B1375" s="1322" t="s">
        <v>4982</v>
      </c>
      <c r="C1375" s="1323" t="s">
        <v>4983</v>
      </c>
      <c r="D1375" s="1324">
        <f t="shared" si="156"/>
        <v>39883</v>
      </c>
      <c r="E1375" s="1323">
        <f t="shared" si="158"/>
        <v>10.3161</v>
      </c>
      <c r="F1375" s="1323">
        <f t="shared" si="157"/>
        <v>7.5400027598164261</v>
      </c>
      <c r="G1375" s="1323">
        <f t="shared" si="159"/>
        <v>2009</v>
      </c>
      <c r="H1375" s="1323">
        <f t="shared" si="160"/>
        <v>3</v>
      </c>
      <c r="I1375" s="1323">
        <f t="shared" si="161"/>
        <v>11</v>
      </c>
      <c r="J1375" s="1323"/>
      <c r="K1375" s="1323"/>
      <c r="L1375" s="1323"/>
      <c r="M1375" s="1323"/>
      <c r="N1375" s="1323"/>
      <c r="O1375" s="1323"/>
      <c r="P1375" s="1323"/>
      <c r="Q1375" s="1323"/>
      <c r="R1375" s="1304"/>
      <c r="S1375" s="1304"/>
      <c r="T1375" s="1304"/>
    </row>
    <row r="1376" spans="1:20">
      <c r="A1376" s="1303"/>
      <c r="B1376" s="1322" t="s">
        <v>4984</v>
      </c>
      <c r="C1376" s="1323" t="s">
        <v>4985</v>
      </c>
      <c r="D1376" s="1324">
        <f t="shared" si="156"/>
        <v>39882</v>
      </c>
      <c r="E1376" s="1323">
        <f t="shared" si="158"/>
        <v>10.476699999999999</v>
      </c>
      <c r="F1376" s="1323">
        <f t="shared" si="157"/>
        <v>7.5385570091571354</v>
      </c>
      <c r="G1376" s="1323">
        <f t="shared" si="159"/>
        <v>2009</v>
      </c>
      <c r="H1376" s="1323">
        <f t="shared" si="160"/>
        <v>3</v>
      </c>
      <c r="I1376" s="1323">
        <f t="shared" si="161"/>
        <v>10</v>
      </c>
      <c r="J1376" s="1323"/>
      <c r="K1376" s="1323"/>
      <c r="L1376" s="1323"/>
      <c r="M1376" s="1323"/>
      <c r="N1376" s="1323"/>
      <c r="O1376" s="1323"/>
      <c r="P1376" s="1323"/>
      <c r="Q1376" s="1323"/>
      <c r="R1376" s="1304"/>
      <c r="S1376" s="1304"/>
      <c r="T1376" s="1304"/>
    </row>
    <row r="1377" spans="1:20">
      <c r="A1377" s="1303"/>
      <c r="B1377" s="1322" t="s">
        <v>4986</v>
      </c>
      <c r="C1377" s="1323" t="s">
        <v>4987</v>
      </c>
      <c r="D1377" s="1324">
        <f t="shared" si="156"/>
        <v>39881</v>
      </c>
      <c r="E1377" s="1323">
        <f t="shared" si="158"/>
        <v>10.4947</v>
      </c>
      <c r="F1377" s="1323">
        <f t="shared" si="157"/>
        <v>7.5371115357119303</v>
      </c>
      <c r="G1377" s="1323">
        <f t="shared" si="159"/>
        <v>2009</v>
      </c>
      <c r="H1377" s="1323">
        <f t="shared" si="160"/>
        <v>3</v>
      </c>
      <c r="I1377" s="1323">
        <f t="shared" si="161"/>
        <v>9</v>
      </c>
      <c r="J1377" s="1323"/>
      <c r="K1377" s="1323"/>
      <c r="L1377" s="1323"/>
      <c r="M1377" s="1323"/>
      <c r="N1377" s="1323"/>
      <c r="O1377" s="1323"/>
      <c r="P1377" s="1323"/>
      <c r="Q1377" s="1323"/>
      <c r="R1377" s="1304"/>
      <c r="S1377" s="1304"/>
      <c r="T1377" s="1304"/>
    </row>
    <row r="1378" spans="1:20">
      <c r="A1378" s="1303"/>
      <c r="B1378" s="1322" t="s">
        <v>4988</v>
      </c>
      <c r="C1378" s="1323" t="s">
        <v>4989</v>
      </c>
      <c r="D1378" s="1324">
        <f t="shared" si="156"/>
        <v>39878</v>
      </c>
      <c r="E1378" s="1323">
        <f t="shared" si="158"/>
        <v>10.594799999999999</v>
      </c>
      <c r="F1378" s="1323">
        <f t="shared" si="157"/>
        <v>7.5356663394276566</v>
      </c>
      <c r="G1378" s="1323">
        <f t="shared" si="159"/>
        <v>2009</v>
      </c>
      <c r="H1378" s="1323">
        <f t="shared" si="160"/>
        <v>3</v>
      </c>
      <c r="I1378" s="1323">
        <f t="shared" si="161"/>
        <v>6</v>
      </c>
      <c r="J1378" s="1323"/>
      <c r="K1378" s="1323"/>
      <c r="L1378" s="1323"/>
      <c r="M1378" s="1323"/>
      <c r="N1378" s="1323"/>
      <c r="O1378" s="1323"/>
      <c r="P1378" s="1323"/>
      <c r="Q1378" s="1323"/>
      <c r="R1378" s="1304"/>
      <c r="S1378" s="1304"/>
      <c r="T1378" s="1304"/>
    </row>
    <row r="1379" spans="1:20">
      <c r="A1379" s="1303"/>
      <c r="B1379" s="1322" t="s">
        <v>4990</v>
      </c>
      <c r="C1379" s="1323" t="s">
        <v>4991</v>
      </c>
      <c r="D1379" s="1324">
        <f t="shared" si="156"/>
        <v>39877</v>
      </c>
      <c r="E1379" s="1323">
        <f t="shared" si="158"/>
        <v>10.331099999999999</v>
      </c>
      <c r="F1379" s="1323">
        <f t="shared" si="157"/>
        <v>7.5342214202511695</v>
      </c>
      <c r="G1379" s="1323">
        <f t="shared" si="159"/>
        <v>2009</v>
      </c>
      <c r="H1379" s="1323">
        <f t="shared" si="160"/>
        <v>3</v>
      </c>
      <c r="I1379" s="1323">
        <f t="shared" si="161"/>
        <v>5</v>
      </c>
      <c r="J1379" s="1323"/>
      <c r="K1379" s="1323"/>
      <c r="L1379" s="1323"/>
      <c r="M1379" s="1323"/>
      <c r="N1379" s="1323"/>
      <c r="O1379" s="1323"/>
      <c r="P1379" s="1323"/>
      <c r="Q1379" s="1323"/>
      <c r="R1379" s="1304"/>
      <c r="S1379" s="1304"/>
      <c r="T1379" s="1304"/>
    </row>
    <row r="1380" spans="1:20">
      <c r="A1380" s="1303"/>
      <c r="B1380" s="1322" t="s">
        <v>4992</v>
      </c>
      <c r="C1380" s="1323" t="s">
        <v>2638</v>
      </c>
      <c r="D1380" s="1324">
        <f t="shared" si="156"/>
        <v>39876</v>
      </c>
      <c r="E1380" s="1323">
        <f t="shared" si="158"/>
        <v>10.468500000000001</v>
      </c>
      <c r="F1380" s="1323">
        <f t="shared" si="157"/>
        <v>7.5327767781293362</v>
      </c>
      <c r="G1380" s="1323">
        <f t="shared" si="159"/>
        <v>2009</v>
      </c>
      <c r="H1380" s="1323">
        <f t="shared" si="160"/>
        <v>3</v>
      </c>
      <c r="I1380" s="1323">
        <f t="shared" si="161"/>
        <v>4</v>
      </c>
      <c r="J1380" s="1323"/>
      <c r="K1380" s="1323"/>
      <c r="L1380" s="1323"/>
      <c r="M1380" s="1323"/>
      <c r="N1380" s="1323"/>
      <c r="O1380" s="1323"/>
      <c r="P1380" s="1323"/>
      <c r="Q1380" s="1323"/>
      <c r="R1380" s="1304"/>
      <c r="S1380" s="1304"/>
      <c r="T1380" s="1304"/>
    </row>
    <row r="1381" spans="1:20">
      <c r="A1381" s="1303"/>
      <c r="B1381" s="1322" t="s">
        <v>4993</v>
      </c>
      <c r="C1381" s="1323" t="s">
        <v>4994</v>
      </c>
      <c r="D1381" s="1324">
        <f t="shared" si="156"/>
        <v>39875</v>
      </c>
      <c r="E1381" s="1323">
        <f t="shared" si="158"/>
        <v>10.367599999999999</v>
      </c>
      <c r="F1381" s="1323">
        <f t="shared" si="157"/>
        <v>7.5313324130090331</v>
      </c>
      <c r="G1381" s="1323">
        <f t="shared" si="159"/>
        <v>2009</v>
      </c>
      <c r="H1381" s="1323">
        <f t="shared" si="160"/>
        <v>3</v>
      </c>
      <c r="I1381" s="1323">
        <f t="shared" si="161"/>
        <v>3</v>
      </c>
      <c r="J1381" s="1323"/>
      <c r="K1381" s="1323"/>
      <c r="L1381" s="1323"/>
      <c r="M1381" s="1323"/>
      <c r="N1381" s="1323"/>
      <c r="O1381" s="1323"/>
      <c r="P1381" s="1323"/>
      <c r="Q1381" s="1323"/>
      <c r="R1381" s="1304"/>
      <c r="S1381" s="1304"/>
      <c r="T1381" s="1304"/>
    </row>
    <row r="1382" spans="1:20">
      <c r="A1382" s="1303"/>
      <c r="B1382" s="1322" t="s">
        <v>4995</v>
      </c>
      <c r="C1382" s="1323" t="s">
        <v>4996</v>
      </c>
      <c r="D1382" s="1324">
        <f t="shared" si="156"/>
        <v>39874</v>
      </c>
      <c r="E1382" s="1323">
        <f t="shared" si="158"/>
        <v>10.3636</v>
      </c>
      <c r="F1382" s="1323">
        <f t="shared" si="157"/>
        <v>7.5298883248371462</v>
      </c>
      <c r="G1382" s="1323">
        <f t="shared" si="159"/>
        <v>2009</v>
      </c>
      <c r="H1382" s="1323">
        <f t="shared" si="160"/>
        <v>3</v>
      </c>
      <c r="I1382" s="1323">
        <f t="shared" si="161"/>
        <v>2</v>
      </c>
      <c r="J1382" s="1323"/>
      <c r="K1382" s="1323"/>
      <c r="L1382" s="1323"/>
      <c r="M1382" s="1323"/>
      <c r="N1382" s="1323"/>
      <c r="O1382" s="1323"/>
      <c r="P1382" s="1323"/>
      <c r="Q1382" s="1323"/>
      <c r="R1382" s="1304"/>
      <c r="S1382" s="1304"/>
      <c r="T1382" s="1304"/>
    </row>
    <row r="1383" spans="1:20">
      <c r="A1383" s="1303"/>
      <c r="B1383" s="1322" t="s">
        <v>4997</v>
      </c>
      <c r="C1383" s="1323" t="s">
        <v>4998</v>
      </c>
      <c r="D1383" s="1324">
        <f t="shared" si="156"/>
        <v>39871</v>
      </c>
      <c r="E1383" s="1323">
        <f t="shared" si="158"/>
        <v>9.9497999999999998</v>
      </c>
      <c r="F1383" s="1323">
        <f t="shared" si="157"/>
        <v>7.5284445135605731</v>
      </c>
      <c r="G1383" s="1323">
        <f t="shared" si="159"/>
        <v>2009</v>
      </c>
      <c r="H1383" s="1323">
        <f t="shared" si="160"/>
        <v>2</v>
      </c>
      <c r="I1383" s="1323">
        <f t="shared" si="161"/>
        <v>27</v>
      </c>
      <c r="J1383" s="1323"/>
      <c r="K1383" s="1323"/>
      <c r="L1383" s="1323"/>
      <c r="M1383" s="1323"/>
      <c r="N1383" s="1323"/>
      <c r="O1383" s="1323"/>
      <c r="P1383" s="1323"/>
      <c r="Q1383" s="1323"/>
      <c r="R1383" s="1304"/>
      <c r="S1383" s="1304"/>
      <c r="T1383" s="1304"/>
    </row>
    <row r="1384" spans="1:20">
      <c r="A1384" s="1303"/>
      <c r="B1384" s="1322" t="s">
        <v>4999</v>
      </c>
      <c r="C1384" s="1323" t="s">
        <v>5000</v>
      </c>
      <c r="D1384" s="1324">
        <f t="shared" si="156"/>
        <v>39870</v>
      </c>
      <c r="E1384" s="1323">
        <f t="shared" si="158"/>
        <v>9.9558</v>
      </c>
      <c r="F1384" s="1323">
        <f t="shared" si="157"/>
        <v>7.5270009791262202</v>
      </c>
      <c r="G1384" s="1323">
        <f t="shared" si="159"/>
        <v>2009</v>
      </c>
      <c r="H1384" s="1323">
        <f t="shared" si="160"/>
        <v>2</v>
      </c>
      <c r="I1384" s="1323">
        <f t="shared" si="161"/>
        <v>26</v>
      </c>
      <c r="J1384" s="1323"/>
      <c r="K1384" s="1323"/>
      <c r="L1384" s="1323"/>
      <c r="M1384" s="1323"/>
      <c r="N1384" s="1323"/>
      <c r="O1384" s="1323"/>
      <c r="P1384" s="1323"/>
      <c r="Q1384" s="1323"/>
      <c r="R1384" s="1304"/>
      <c r="S1384" s="1304"/>
      <c r="T1384" s="1304"/>
    </row>
    <row r="1385" spans="1:20">
      <c r="A1385" s="1303"/>
      <c r="B1385" s="1322" t="s">
        <v>5001</v>
      </c>
      <c r="C1385" s="1323" t="s">
        <v>5002</v>
      </c>
      <c r="D1385" s="1324">
        <f t="shared" si="156"/>
        <v>39869</v>
      </c>
      <c r="E1385" s="1323">
        <f t="shared" si="158"/>
        <v>9.9459</v>
      </c>
      <c r="F1385" s="1323">
        <f t="shared" si="157"/>
        <v>7.5255577214810048</v>
      </c>
      <c r="G1385" s="1323">
        <f t="shared" si="159"/>
        <v>2009</v>
      </c>
      <c r="H1385" s="1323">
        <f t="shared" si="160"/>
        <v>2</v>
      </c>
      <c r="I1385" s="1323">
        <f t="shared" si="161"/>
        <v>25</v>
      </c>
      <c r="J1385" s="1323"/>
      <c r="K1385" s="1323"/>
      <c r="L1385" s="1323"/>
      <c r="M1385" s="1323"/>
      <c r="N1385" s="1323"/>
      <c r="O1385" s="1323"/>
      <c r="P1385" s="1323"/>
      <c r="Q1385" s="1323"/>
      <c r="R1385" s="1304"/>
      <c r="S1385" s="1304"/>
      <c r="T1385" s="1304"/>
    </row>
    <row r="1386" spans="1:20">
      <c r="A1386" s="1303"/>
      <c r="B1386" s="1322" t="s">
        <v>5003</v>
      </c>
      <c r="C1386" s="1323" t="s">
        <v>5004</v>
      </c>
      <c r="D1386" s="1324">
        <f t="shared" si="156"/>
        <v>39868</v>
      </c>
      <c r="E1386" s="1323">
        <f t="shared" si="158"/>
        <v>10.0718</v>
      </c>
      <c r="F1386" s="1323">
        <f t="shared" si="157"/>
        <v>7.5241147405718536</v>
      </c>
      <c r="G1386" s="1323">
        <f t="shared" si="159"/>
        <v>2009</v>
      </c>
      <c r="H1386" s="1323">
        <f t="shared" si="160"/>
        <v>2</v>
      </c>
      <c r="I1386" s="1323">
        <f t="shared" si="161"/>
        <v>24</v>
      </c>
      <c r="J1386" s="1323"/>
      <c r="K1386" s="1323"/>
      <c r="L1386" s="1323"/>
      <c r="M1386" s="1323"/>
      <c r="N1386" s="1323"/>
      <c r="O1386" s="1323"/>
      <c r="P1386" s="1323"/>
      <c r="Q1386" s="1323"/>
      <c r="R1386" s="1304"/>
      <c r="S1386" s="1304"/>
      <c r="T1386" s="1304"/>
    </row>
    <row r="1387" spans="1:20">
      <c r="A1387" s="1303"/>
      <c r="B1387" s="1322" t="s">
        <v>5005</v>
      </c>
      <c r="C1387" s="1323" t="s">
        <v>5006</v>
      </c>
      <c r="D1387" s="1324">
        <f t="shared" si="156"/>
        <v>39867</v>
      </c>
      <c r="E1387" s="1323">
        <f t="shared" si="158"/>
        <v>9.9854000000000003</v>
      </c>
      <c r="F1387" s="1323">
        <f t="shared" si="157"/>
        <v>7.5226720363457051</v>
      </c>
      <c r="G1387" s="1323">
        <f t="shared" si="159"/>
        <v>2009</v>
      </c>
      <c r="H1387" s="1323">
        <f t="shared" si="160"/>
        <v>2</v>
      </c>
      <c r="I1387" s="1323">
        <f t="shared" si="161"/>
        <v>23</v>
      </c>
      <c r="J1387" s="1323"/>
      <c r="K1387" s="1323"/>
      <c r="L1387" s="1323"/>
      <c r="M1387" s="1323"/>
      <c r="N1387" s="1323"/>
      <c r="O1387" s="1323"/>
      <c r="P1387" s="1323"/>
      <c r="Q1387" s="1323"/>
      <c r="R1387" s="1304"/>
      <c r="S1387" s="1304"/>
      <c r="T1387" s="1304"/>
    </row>
    <row r="1388" spans="1:20">
      <c r="A1388" s="1303"/>
      <c r="B1388" s="1322" t="s">
        <v>5007</v>
      </c>
      <c r="C1388" s="1323" t="s">
        <v>5008</v>
      </c>
      <c r="D1388" s="1324">
        <f t="shared" si="156"/>
        <v>39864</v>
      </c>
      <c r="E1388" s="1323">
        <f t="shared" si="158"/>
        <v>10.2224</v>
      </c>
      <c r="F1388" s="1323">
        <f t="shared" si="157"/>
        <v>7.5212296087495067</v>
      </c>
      <c r="G1388" s="1323">
        <f t="shared" si="159"/>
        <v>2009</v>
      </c>
      <c r="H1388" s="1323">
        <f t="shared" si="160"/>
        <v>2</v>
      </c>
      <c r="I1388" s="1323">
        <f t="shared" si="161"/>
        <v>20</v>
      </c>
      <c r="J1388" s="1323"/>
      <c r="K1388" s="1323"/>
      <c r="L1388" s="1323"/>
      <c r="M1388" s="1323"/>
      <c r="N1388" s="1323"/>
      <c r="O1388" s="1323"/>
      <c r="P1388" s="1323"/>
      <c r="Q1388" s="1323"/>
      <c r="R1388" s="1304"/>
      <c r="S1388" s="1304"/>
      <c r="T1388" s="1304"/>
    </row>
    <row r="1389" spans="1:20">
      <c r="A1389" s="1303"/>
      <c r="B1389" s="1322" t="s">
        <v>5009</v>
      </c>
      <c r="C1389" s="1323" t="s">
        <v>5010</v>
      </c>
      <c r="D1389" s="1324">
        <f t="shared" si="156"/>
        <v>39863</v>
      </c>
      <c r="E1389" s="1323">
        <f t="shared" si="158"/>
        <v>10.0709</v>
      </c>
      <c r="F1389" s="1323">
        <f t="shared" si="157"/>
        <v>7.5197874577302155</v>
      </c>
      <c r="G1389" s="1323">
        <f t="shared" si="159"/>
        <v>2009</v>
      </c>
      <c r="H1389" s="1323">
        <f t="shared" si="160"/>
        <v>2</v>
      </c>
      <c r="I1389" s="1323">
        <f t="shared" si="161"/>
        <v>19</v>
      </c>
      <c r="J1389" s="1323"/>
      <c r="K1389" s="1323"/>
      <c r="L1389" s="1323"/>
      <c r="M1389" s="1323"/>
      <c r="N1389" s="1323"/>
      <c r="O1389" s="1323"/>
      <c r="P1389" s="1323"/>
      <c r="Q1389" s="1323"/>
      <c r="R1389" s="1304"/>
      <c r="S1389" s="1304"/>
      <c r="T1389" s="1304"/>
    </row>
    <row r="1390" spans="1:20">
      <c r="A1390" s="1303"/>
      <c r="B1390" s="1322" t="s">
        <v>5011</v>
      </c>
      <c r="C1390" s="1323" t="s">
        <v>5012</v>
      </c>
      <c r="D1390" s="1324">
        <f t="shared" si="156"/>
        <v>39862</v>
      </c>
      <c r="E1390" s="1323">
        <f t="shared" si="158"/>
        <v>10.1746</v>
      </c>
      <c r="F1390" s="1323">
        <f t="shared" si="157"/>
        <v>7.5183455832348001</v>
      </c>
      <c r="G1390" s="1323">
        <f t="shared" si="159"/>
        <v>2009</v>
      </c>
      <c r="H1390" s="1323">
        <f t="shared" si="160"/>
        <v>2</v>
      </c>
      <c r="I1390" s="1323">
        <f t="shared" si="161"/>
        <v>18</v>
      </c>
      <c r="J1390" s="1323"/>
      <c r="K1390" s="1323"/>
      <c r="L1390" s="1323"/>
      <c r="M1390" s="1323"/>
      <c r="N1390" s="1323"/>
      <c r="O1390" s="1323"/>
      <c r="P1390" s="1323"/>
      <c r="Q1390" s="1323"/>
      <c r="R1390" s="1304"/>
      <c r="S1390" s="1304"/>
      <c r="T1390" s="1304"/>
    </row>
    <row r="1391" spans="1:20">
      <c r="A1391" s="1303"/>
      <c r="B1391" s="1322" t="s">
        <v>5013</v>
      </c>
      <c r="C1391" s="1323" t="s">
        <v>5014</v>
      </c>
      <c r="D1391" s="1324">
        <f t="shared" si="156"/>
        <v>39861</v>
      </c>
      <c r="E1391" s="1323">
        <f t="shared" si="158"/>
        <v>10.229799999999999</v>
      </c>
      <c r="F1391" s="1323">
        <f t="shared" si="157"/>
        <v>7.5169039852102388</v>
      </c>
      <c r="G1391" s="1323">
        <f t="shared" si="159"/>
        <v>2009</v>
      </c>
      <c r="H1391" s="1323">
        <f t="shared" si="160"/>
        <v>2</v>
      </c>
      <c r="I1391" s="1323">
        <f t="shared" si="161"/>
        <v>17</v>
      </c>
      <c r="J1391" s="1323"/>
      <c r="K1391" s="1323"/>
      <c r="L1391" s="1323"/>
      <c r="M1391" s="1323"/>
      <c r="N1391" s="1323"/>
      <c r="O1391" s="1323"/>
      <c r="P1391" s="1323"/>
      <c r="Q1391" s="1323"/>
      <c r="R1391" s="1304"/>
      <c r="S1391" s="1304"/>
      <c r="T1391" s="1304"/>
    </row>
    <row r="1392" spans="1:20">
      <c r="A1392" s="1303"/>
      <c r="B1392" s="1322" t="s">
        <v>5015</v>
      </c>
      <c r="C1392" s="1323" t="s">
        <v>5016</v>
      </c>
      <c r="D1392" s="1324">
        <f t="shared" si="156"/>
        <v>39860</v>
      </c>
      <c r="E1392" s="1323">
        <f t="shared" si="158"/>
        <v>10.0648</v>
      </c>
      <c r="F1392" s="1323">
        <f t="shared" si="157"/>
        <v>7.51546266360352</v>
      </c>
      <c r="G1392" s="1323">
        <f t="shared" si="159"/>
        <v>2009</v>
      </c>
      <c r="H1392" s="1323">
        <f t="shared" si="160"/>
        <v>2</v>
      </c>
      <c r="I1392" s="1323">
        <f t="shared" si="161"/>
        <v>16</v>
      </c>
      <c r="J1392" s="1323"/>
      <c r="K1392" s="1323"/>
      <c r="L1392" s="1323"/>
      <c r="M1392" s="1323"/>
      <c r="N1392" s="1323"/>
      <c r="O1392" s="1323"/>
      <c r="P1392" s="1323"/>
      <c r="Q1392" s="1323"/>
      <c r="R1392" s="1304"/>
      <c r="S1392" s="1304"/>
      <c r="T1392" s="1304"/>
    </row>
    <row r="1393" spans="1:20">
      <c r="A1393" s="1303"/>
      <c r="B1393" s="1322" t="s">
        <v>5017</v>
      </c>
      <c r="C1393" s="1323" t="s">
        <v>5018</v>
      </c>
      <c r="D1393" s="1324">
        <f t="shared" si="156"/>
        <v>39857</v>
      </c>
      <c r="E1393" s="1323">
        <f t="shared" si="158"/>
        <v>9.9352</v>
      </c>
      <c r="F1393" s="1323">
        <f t="shared" si="157"/>
        <v>7.5140216183616424</v>
      </c>
      <c r="G1393" s="1323">
        <f t="shared" si="159"/>
        <v>2009</v>
      </c>
      <c r="H1393" s="1323">
        <f t="shared" si="160"/>
        <v>2</v>
      </c>
      <c r="I1393" s="1323">
        <f t="shared" si="161"/>
        <v>13</v>
      </c>
      <c r="J1393" s="1323"/>
      <c r="K1393" s="1323"/>
      <c r="L1393" s="1323"/>
      <c r="M1393" s="1323"/>
      <c r="N1393" s="1323"/>
      <c r="O1393" s="1323"/>
      <c r="P1393" s="1323"/>
      <c r="Q1393" s="1323"/>
      <c r="R1393" s="1304"/>
      <c r="S1393" s="1304"/>
      <c r="T1393" s="1304"/>
    </row>
    <row r="1394" spans="1:20">
      <c r="A1394" s="1303"/>
      <c r="B1394" s="1322" t="s">
        <v>5019</v>
      </c>
      <c r="C1394" s="1323" t="s">
        <v>5020</v>
      </c>
      <c r="D1394" s="1324">
        <f t="shared" si="156"/>
        <v>39856</v>
      </c>
      <c r="E1394" s="1323">
        <f t="shared" si="158"/>
        <v>9.9357000000000006</v>
      </c>
      <c r="F1394" s="1323">
        <f t="shared" si="157"/>
        <v>7.5125808494316137</v>
      </c>
      <c r="G1394" s="1323">
        <f t="shared" si="159"/>
        <v>2009</v>
      </c>
      <c r="H1394" s="1323">
        <f t="shared" si="160"/>
        <v>2</v>
      </c>
      <c r="I1394" s="1323">
        <f t="shared" si="161"/>
        <v>12</v>
      </c>
      <c r="J1394" s="1323"/>
      <c r="K1394" s="1323"/>
      <c r="L1394" s="1323"/>
      <c r="M1394" s="1323"/>
      <c r="N1394" s="1323"/>
      <c r="O1394" s="1323"/>
      <c r="P1394" s="1323"/>
      <c r="Q1394" s="1323"/>
      <c r="R1394" s="1304"/>
      <c r="S1394" s="1304"/>
      <c r="T1394" s="1304"/>
    </row>
    <row r="1395" spans="1:20">
      <c r="A1395" s="1303"/>
      <c r="B1395" s="1322" t="s">
        <v>5021</v>
      </c>
      <c r="C1395" s="1323" t="s">
        <v>5022</v>
      </c>
      <c r="D1395" s="1324">
        <f t="shared" si="156"/>
        <v>39855</v>
      </c>
      <c r="E1395" s="1323">
        <f t="shared" si="158"/>
        <v>9.8709000000000007</v>
      </c>
      <c r="F1395" s="1323">
        <f t="shared" si="157"/>
        <v>7.5111403567604542</v>
      </c>
      <c r="G1395" s="1323">
        <f t="shared" si="159"/>
        <v>2009</v>
      </c>
      <c r="H1395" s="1323">
        <f t="shared" si="160"/>
        <v>2</v>
      </c>
      <c r="I1395" s="1323">
        <f t="shared" si="161"/>
        <v>11</v>
      </c>
      <c r="J1395" s="1323"/>
      <c r="K1395" s="1323"/>
      <c r="L1395" s="1323"/>
      <c r="M1395" s="1323"/>
      <c r="N1395" s="1323"/>
      <c r="O1395" s="1323"/>
      <c r="P1395" s="1323"/>
      <c r="Q1395" s="1323"/>
      <c r="R1395" s="1304"/>
      <c r="S1395" s="1304"/>
      <c r="T1395" s="1304"/>
    </row>
    <row r="1396" spans="1:20">
      <c r="A1396" s="1303"/>
      <c r="B1396" s="1322" t="s">
        <v>5023</v>
      </c>
      <c r="C1396" s="1323" t="s">
        <v>5024</v>
      </c>
      <c r="D1396" s="1324">
        <f t="shared" si="156"/>
        <v>39854</v>
      </c>
      <c r="E1396" s="1323">
        <f t="shared" si="158"/>
        <v>9.6721000000000004</v>
      </c>
      <c r="F1396" s="1323">
        <f t="shared" si="157"/>
        <v>7.509700140295192</v>
      </c>
      <c r="G1396" s="1323">
        <f t="shared" si="159"/>
        <v>2009</v>
      </c>
      <c r="H1396" s="1323">
        <f t="shared" si="160"/>
        <v>2</v>
      </c>
      <c r="I1396" s="1323">
        <f t="shared" si="161"/>
        <v>10</v>
      </c>
      <c r="J1396" s="1323"/>
      <c r="K1396" s="1323"/>
      <c r="L1396" s="1323"/>
      <c r="M1396" s="1323"/>
      <c r="N1396" s="1323"/>
      <c r="O1396" s="1323"/>
      <c r="P1396" s="1323"/>
      <c r="Q1396" s="1323"/>
      <c r="R1396" s="1304"/>
      <c r="S1396" s="1304"/>
      <c r="T1396" s="1304"/>
    </row>
    <row r="1397" spans="1:20">
      <c r="A1397" s="1303"/>
      <c r="B1397" s="1322" t="s">
        <v>5025</v>
      </c>
      <c r="C1397" s="1323" t="s">
        <v>5026</v>
      </c>
      <c r="D1397" s="1324">
        <f t="shared" si="156"/>
        <v>39853</v>
      </c>
      <c r="E1397" s="1323">
        <f t="shared" si="158"/>
        <v>9.73</v>
      </c>
      <c r="F1397" s="1323">
        <f t="shared" si="157"/>
        <v>7.5082601999828666</v>
      </c>
      <c r="G1397" s="1323">
        <f t="shared" si="159"/>
        <v>2009</v>
      </c>
      <c r="H1397" s="1323">
        <f t="shared" si="160"/>
        <v>2</v>
      </c>
      <c r="I1397" s="1323">
        <f t="shared" si="161"/>
        <v>9</v>
      </c>
      <c r="J1397" s="1323"/>
      <c r="K1397" s="1323"/>
      <c r="L1397" s="1323"/>
      <c r="M1397" s="1323"/>
      <c r="N1397" s="1323"/>
      <c r="O1397" s="1323"/>
      <c r="P1397" s="1323"/>
      <c r="Q1397" s="1323"/>
      <c r="R1397" s="1304"/>
      <c r="S1397" s="1304"/>
      <c r="T1397" s="1304"/>
    </row>
    <row r="1398" spans="1:20">
      <c r="A1398" s="1303"/>
      <c r="B1398" s="1322" t="s">
        <v>5027</v>
      </c>
      <c r="C1398" s="1323" t="s">
        <v>5028</v>
      </c>
      <c r="D1398" s="1324">
        <f t="shared" si="156"/>
        <v>39850</v>
      </c>
      <c r="E1398" s="1323">
        <f t="shared" si="158"/>
        <v>9.8821999999999992</v>
      </c>
      <c r="F1398" s="1323">
        <f t="shared" si="157"/>
        <v>7.5068205357705269</v>
      </c>
      <c r="G1398" s="1323">
        <f t="shared" si="159"/>
        <v>2009</v>
      </c>
      <c r="H1398" s="1323">
        <f t="shared" si="160"/>
        <v>2</v>
      </c>
      <c r="I1398" s="1323">
        <f t="shared" si="161"/>
        <v>6</v>
      </c>
      <c r="J1398" s="1323"/>
      <c r="K1398" s="1323"/>
      <c r="L1398" s="1323"/>
      <c r="M1398" s="1323"/>
      <c r="N1398" s="1323"/>
      <c r="O1398" s="1323"/>
      <c r="P1398" s="1323"/>
      <c r="Q1398" s="1323"/>
      <c r="R1398" s="1304"/>
      <c r="S1398" s="1304"/>
      <c r="T1398" s="1304"/>
    </row>
    <row r="1399" spans="1:20">
      <c r="A1399" s="1303"/>
      <c r="B1399" s="1322" t="s">
        <v>5029</v>
      </c>
      <c r="C1399" s="1323" t="s">
        <v>5030</v>
      </c>
      <c r="D1399" s="1324">
        <f t="shared" si="156"/>
        <v>39849</v>
      </c>
      <c r="E1399" s="1323">
        <f t="shared" si="158"/>
        <v>10.0405</v>
      </c>
      <c r="F1399" s="1323">
        <f t="shared" si="157"/>
        <v>7.5053811476052328</v>
      </c>
      <c r="G1399" s="1323">
        <f t="shared" si="159"/>
        <v>2009</v>
      </c>
      <c r="H1399" s="1323">
        <f t="shared" si="160"/>
        <v>2</v>
      </c>
      <c r="I1399" s="1323">
        <f t="shared" si="161"/>
        <v>5</v>
      </c>
      <c r="J1399" s="1323"/>
      <c r="K1399" s="1323"/>
      <c r="L1399" s="1323"/>
      <c r="M1399" s="1323"/>
      <c r="N1399" s="1323"/>
      <c r="O1399" s="1323"/>
      <c r="P1399" s="1323"/>
      <c r="Q1399" s="1323"/>
      <c r="R1399" s="1304"/>
      <c r="S1399" s="1304"/>
      <c r="T1399" s="1304"/>
    </row>
    <row r="1400" spans="1:20">
      <c r="A1400" s="1303"/>
      <c r="B1400" s="1322" t="s">
        <v>5031</v>
      </c>
      <c r="C1400" s="1323" t="s">
        <v>5032</v>
      </c>
      <c r="D1400" s="1324">
        <f t="shared" si="156"/>
        <v>39848</v>
      </c>
      <c r="E1400" s="1323">
        <f t="shared" si="158"/>
        <v>10.1008</v>
      </c>
      <c r="F1400" s="1323">
        <f t="shared" si="157"/>
        <v>7.5039420354340534</v>
      </c>
      <c r="G1400" s="1323">
        <f t="shared" si="159"/>
        <v>2009</v>
      </c>
      <c r="H1400" s="1323">
        <f t="shared" si="160"/>
        <v>2</v>
      </c>
      <c r="I1400" s="1323">
        <f t="shared" si="161"/>
        <v>4</v>
      </c>
      <c r="J1400" s="1323"/>
      <c r="K1400" s="1323"/>
      <c r="L1400" s="1323"/>
      <c r="M1400" s="1323"/>
      <c r="N1400" s="1323"/>
      <c r="O1400" s="1323"/>
      <c r="P1400" s="1323"/>
      <c r="Q1400" s="1323"/>
      <c r="R1400" s="1304"/>
      <c r="S1400" s="1304"/>
      <c r="T1400" s="1304"/>
    </row>
    <row r="1401" spans="1:20">
      <c r="A1401" s="1303"/>
      <c r="B1401" s="1322" t="s">
        <v>5033</v>
      </c>
      <c r="C1401" s="1323" t="s">
        <v>5034</v>
      </c>
      <c r="D1401" s="1324">
        <f t="shared" si="156"/>
        <v>39847</v>
      </c>
      <c r="E1401" s="1323">
        <f t="shared" si="158"/>
        <v>10.1417</v>
      </c>
      <c r="F1401" s="1323">
        <f t="shared" si="157"/>
        <v>7.5025031992040692</v>
      </c>
      <c r="G1401" s="1323">
        <f t="shared" si="159"/>
        <v>2009</v>
      </c>
      <c r="H1401" s="1323">
        <f t="shared" si="160"/>
        <v>2</v>
      </c>
      <c r="I1401" s="1323">
        <f t="shared" si="161"/>
        <v>3</v>
      </c>
      <c r="J1401" s="1323"/>
      <c r="K1401" s="1323"/>
      <c r="L1401" s="1323"/>
      <c r="M1401" s="1323"/>
      <c r="N1401" s="1323"/>
      <c r="O1401" s="1323"/>
      <c r="P1401" s="1323"/>
      <c r="Q1401" s="1323"/>
      <c r="R1401" s="1304"/>
      <c r="S1401" s="1304"/>
      <c r="T1401" s="1304"/>
    </row>
    <row r="1402" spans="1:20">
      <c r="A1402" s="1303"/>
      <c r="B1402" s="1322" t="s">
        <v>5035</v>
      </c>
      <c r="C1402" s="1323" t="s">
        <v>5036</v>
      </c>
      <c r="D1402" s="1324">
        <f t="shared" si="156"/>
        <v>39846</v>
      </c>
      <c r="E1402" s="1323">
        <f t="shared" si="158"/>
        <v>10.188000000000001</v>
      </c>
      <c r="F1402" s="1323">
        <f t="shared" si="157"/>
        <v>7.5010646388623696</v>
      </c>
      <c r="G1402" s="1323">
        <f t="shared" si="159"/>
        <v>2009</v>
      </c>
      <c r="H1402" s="1323">
        <f t="shared" si="160"/>
        <v>2</v>
      </c>
      <c r="I1402" s="1323">
        <f t="shared" si="161"/>
        <v>2</v>
      </c>
      <c r="J1402" s="1323"/>
      <c r="K1402" s="1323"/>
      <c r="L1402" s="1323"/>
      <c r="M1402" s="1323"/>
      <c r="N1402" s="1323"/>
      <c r="O1402" s="1323"/>
      <c r="P1402" s="1323"/>
      <c r="Q1402" s="1323"/>
      <c r="R1402" s="1304"/>
      <c r="S1402" s="1304"/>
      <c r="T1402" s="1304"/>
    </row>
    <row r="1403" spans="1:20">
      <c r="A1403" s="1303"/>
      <c r="B1403" s="1322" t="s">
        <v>5037</v>
      </c>
      <c r="C1403" s="1323" t="s">
        <v>5038</v>
      </c>
      <c r="D1403" s="1324">
        <f t="shared" si="156"/>
        <v>39843</v>
      </c>
      <c r="E1403" s="1323">
        <f t="shared" si="158"/>
        <v>10.1333</v>
      </c>
      <c r="F1403" s="1323">
        <f t="shared" si="157"/>
        <v>7.4996263543560548</v>
      </c>
      <c r="G1403" s="1323">
        <f t="shared" si="159"/>
        <v>2009</v>
      </c>
      <c r="H1403" s="1323">
        <f t="shared" si="160"/>
        <v>1</v>
      </c>
      <c r="I1403" s="1323">
        <f t="shared" si="161"/>
        <v>30</v>
      </c>
      <c r="J1403" s="1323"/>
      <c r="K1403" s="1323"/>
      <c r="L1403" s="1323"/>
      <c r="M1403" s="1323"/>
      <c r="N1403" s="1323"/>
      <c r="O1403" s="1323"/>
      <c r="P1403" s="1323"/>
      <c r="Q1403" s="1323"/>
      <c r="R1403" s="1304"/>
      <c r="S1403" s="1304"/>
      <c r="T1403" s="1304"/>
    </row>
    <row r="1404" spans="1:20">
      <c r="A1404" s="1303"/>
      <c r="B1404" s="1322" t="s">
        <v>5039</v>
      </c>
      <c r="C1404" s="1323" t="s">
        <v>5040</v>
      </c>
      <c r="D1404" s="1324">
        <f t="shared" si="156"/>
        <v>39842</v>
      </c>
      <c r="E1404" s="1323">
        <f t="shared" si="158"/>
        <v>9.9684000000000008</v>
      </c>
      <c r="F1404" s="1323">
        <f t="shared" si="157"/>
        <v>7.4981883456322347</v>
      </c>
      <c r="G1404" s="1323">
        <f t="shared" si="159"/>
        <v>2009</v>
      </c>
      <c r="H1404" s="1323">
        <f t="shared" si="160"/>
        <v>1</v>
      </c>
      <c r="I1404" s="1323">
        <f t="shared" si="161"/>
        <v>29</v>
      </c>
      <c r="J1404" s="1323"/>
      <c r="K1404" s="1323"/>
      <c r="L1404" s="1323"/>
      <c r="M1404" s="1323"/>
      <c r="N1404" s="1323"/>
      <c r="O1404" s="1323"/>
      <c r="P1404" s="1323"/>
      <c r="Q1404" s="1323"/>
      <c r="R1404" s="1304"/>
      <c r="S1404" s="1304"/>
      <c r="T1404" s="1304"/>
    </row>
    <row r="1405" spans="1:20">
      <c r="A1405" s="1303"/>
      <c r="B1405" s="1322" t="s">
        <v>5041</v>
      </c>
      <c r="C1405" s="1323" t="s">
        <v>5042</v>
      </c>
      <c r="D1405" s="1324">
        <f t="shared" si="156"/>
        <v>39841</v>
      </c>
      <c r="E1405" s="1323">
        <f t="shared" si="158"/>
        <v>9.9484999999999992</v>
      </c>
      <c r="F1405" s="1323">
        <f t="shared" si="157"/>
        <v>7.4967506126380297</v>
      </c>
      <c r="G1405" s="1323">
        <f t="shared" si="159"/>
        <v>2009</v>
      </c>
      <c r="H1405" s="1323">
        <f t="shared" si="160"/>
        <v>1</v>
      </c>
      <c r="I1405" s="1323">
        <f t="shared" si="161"/>
        <v>28</v>
      </c>
      <c r="J1405" s="1323"/>
      <c r="K1405" s="1323"/>
      <c r="L1405" s="1323"/>
      <c r="M1405" s="1323"/>
      <c r="N1405" s="1323"/>
      <c r="O1405" s="1323"/>
      <c r="P1405" s="1323"/>
      <c r="Q1405" s="1323"/>
      <c r="R1405" s="1304"/>
      <c r="S1405" s="1304"/>
      <c r="T1405" s="1304"/>
    </row>
    <row r="1406" spans="1:20">
      <c r="A1406" s="1303"/>
      <c r="B1406" s="1322" t="s">
        <v>5043</v>
      </c>
      <c r="C1406" s="1323" t="s">
        <v>5044</v>
      </c>
      <c r="D1406" s="1324">
        <f t="shared" si="156"/>
        <v>39840</v>
      </c>
      <c r="E1406" s="1323">
        <f t="shared" si="158"/>
        <v>9.9905000000000008</v>
      </c>
      <c r="F1406" s="1323">
        <f t="shared" si="157"/>
        <v>7.495313155320571</v>
      </c>
      <c r="G1406" s="1323">
        <f t="shared" si="159"/>
        <v>2009</v>
      </c>
      <c r="H1406" s="1323">
        <f t="shared" si="160"/>
        <v>1</v>
      </c>
      <c r="I1406" s="1323">
        <f t="shared" si="161"/>
        <v>27</v>
      </c>
      <c r="J1406" s="1323"/>
      <c r="K1406" s="1323"/>
      <c r="L1406" s="1323"/>
      <c r="M1406" s="1323"/>
      <c r="N1406" s="1323"/>
      <c r="O1406" s="1323"/>
      <c r="P1406" s="1323"/>
      <c r="Q1406" s="1323"/>
      <c r="R1406" s="1304"/>
      <c r="S1406" s="1304"/>
      <c r="T1406" s="1304"/>
    </row>
    <row r="1407" spans="1:20">
      <c r="A1407" s="1303"/>
      <c r="B1407" s="1322" t="s">
        <v>5045</v>
      </c>
      <c r="C1407" s="1323" t="s">
        <v>5046</v>
      </c>
      <c r="D1407" s="1324">
        <f t="shared" si="156"/>
        <v>39839</v>
      </c>
      <c r="E1407" s="1323">
        <f t="shared" si="158"/>
        <v>10.228400000000001</v>
      </c>
      <c r="F1407" s="1323">
        <f t="shared" si="157"/>
        <v>7.4938759736269986</v>
      </c>
      <c r="G1407" s="1323">
        <f t="shared" si="159"/>
        <v>2009</v>
      </c>
      <c r="H1407" s="1323">
        <f t="shared" si="160"/>
        <v>1</v>
      </c>
      <c r="I1407" s="1323">
        <f t="shared" si="161"/>
        <v>26</v>
      </c>
      <c r="J1407" s="1323"/>
      <c r="K1407" s="1323"/>
      <c r="L1407" s="1323"/>
      <c r="M1407" s="1323"/>
      <c r="N1407" s="1323"/>
      <c r="O1407" s="1323"/>
      <c r="P1407" s="1323"/>
      <c r="Q1407" s="1323"/>
      <c r="R1407" s="1304"/>
      <c r="S1407" s="1304"/>
      <c r="T1407" s="1304"/>
    </row>
    <row r="1408" spans="1:20">
      <c r="A1408" s="1303"/>
      <c r="B1408" s="1322" t="s">
        <v>5047</v>
      </c>
      <c r="C1408" s="1323" t="s">
        <v>5048</v>
      </c>
      <c r="D1408" s="1324">
        <f t="shared" si="156"/>
        <v>39836</v>
      </c>
      <c r="E1408" s="1323">
        <f t="shared" si="158"/>
        <v>10.254899999999999</v>
      </c>
      <c r="F1408" s="1323">
        <f t="shared" si="157"/>
        <v>7.4924390675044634</v>
      </c>
      <c r="G1408" s="1323">
        <f t="shared" si="159"/>
        <v>2009</v>
      </c>
      <c r="H1408" s="1323">
        <f t="shared" si="160"/>
        <v>1</v>
      </c>
      <c r="I1408" s="1323">
        <f t="shared" si="161"/>
        <v>23</v>
      </c>
      <c r="J1408" s="1323"/>
      <c r="K1408" s="1323"/>
      <c r="L1408" s="1323"/>
      <c r="M1408" s="1323"/>
      <c r="N1408" s="1323"/>
      <c r="O1408" s="1323"/>
      <c r="P1408" s="1323"/>
      <c r="Q1408" s="1323"/>
      <c r="R1408" s="1304"/>
      <c r="S1408" s="1304"/>
      <c r="T1408" s="1304"/>
    </row>
    <row r="1409" spans="1:20">
      <c r="A1409" s="1303"/>
      <c r="B1409" s="1322" t="s">
        <v>5049</v>
      </c>
      <c r="C1409" s="1323" t="s">
        <v>5050</v>
      </c>
      <c r="D1409" s="1324">
        <f t="shared" si="156"/>
        <v>39835</v>
      </c>
      <c r="E1409" s="1323">
        <f t="shared" si="158"/>
        <v>10.0266</v>
      </c>
      <c r="F1409" s="1323">
        <f t="shared" si="157"/>
        <v>7.4910024369001258</v>
      </c>
      <c r="G1409" s="1323">
        <f t="shared" si="159"/>
        <v>2009</v>
      </c>
      <c r="H1409" s="1323">
        <f t="shared" si="160"/>
        <v>1</v>
      </c>
      <c r="I1409" s="1323">
        <f t="shared" si="161"/>
        <v>22</v>
      </c>
      <c r="J1409" s="1323"/>
      <c r="K1409" s="1323"/>
      <c r="L1409" s="1323"/>
      <c r="M1409" s="1323"/>
      <c r="N1409" s="1323"/>
      <c r="O1409" s="1323"/>
      <c r="P1409" s="1323"/>
      <c r="Q1409" s="1323"/>
      <c r="R1409" s="1304"/>
      <c r="S1409" s="1304"/>
      <c r="T1409" s="1304"/>
    </row>
    <row r="1410" spans="1:20">
      <c r="A1410" s="1303"/>
      <c r="B1410" s="1322" t="s">
        <v>5051</v>
      </c>
      <c r="C1410" s="1323" t="s">
        <v>5052</v>
      </c>
      <c r="D1410" s="1324">
        <f t="shared" si="156"/>
        <v>39834</v>
      </c>
      <c r="E1410" s="1323">
        <f t="shared" si="158"/>
        <v>10.2088</v>
      </c>
      <c r="F1410" s="1323">
        <f t="shared" si="157"/>
        <v>7.4895660817611578</v>
      </c>
      <c r="G1410" s="1323">
        <f t="shared" si="159"/>
        <v>2009</v>
      </c>
      <c r="H1410" s="1323">
        <f t="shared" si="160"/>
        <v>1</v>
      </c>
      <c r="I1410" s="1323">
        <f t="shared" si="161"/>
        <v>21</v>
      </c>
      <c r="J1410" s="1323"/>
      <c r="K1410" s="1323"/>
      <c r="L1410" s="1323"/>
      <c r="M1410" s="1323"/>
      <c r="N1410" s="1323"/>
      <c r="O1410" s="1323"/>
      <c r="P1410" s="1323"/>
      <c r="Q1410" s="1323"/>
      <c r="R1410" s="1304"/>
      <c r="S1410" s="1304"/>
      <c r="T1410" s="1304"/>
    </row>
    <row r="1411" spans="1:20">
      <c r="A1411" s="1303"/>
      <c r="B1411" s="1322" t="s">
        <v>5053</v>
      </c>
      <c r="C1411" s="1323" t="s">
        <v>5054</v>
      </c>
      <c r="D1411" s="1324">
        <f t="shared" si="156"/>
        <v>39833</v>
      </c>
      <c r="E1411" s="1323">
        <f t="shared" si="158"/>
        <v>10.2219</v>
      </c>
      <c r="F1411" s="1323">
        <f t="shared" si="157"/>
        <v>7.4881300020347403</v>
      </c>
      <c r="G1411" s="1323">
        <f t="shared" si="159"/>
        <v>2009</v>
      </c>
      <c r="H1411" s="1323">
        <f t="shared" si="160"/>
        <v>1</v>
      </c>
      <c r="I1411" s="1323">
        <f t="shared" si="161"/>
        <v>20</v>
      </c>
      <c r="J1411" s="1323"/>
      <c r="K1411" s="1323"/>
      <c r="L1411" s="1323"/>
      <c r="M1411" s="1323"/>
      <c r="N1411" s="1323"/>
      <c r="O1411" s="1323"/>
      <c r="P1411" s="1323"/>
      <c r="Q1411" s="1323"/>
      <c r="R1411" s="1304"/>
      <c r="S1411" s="1304"/>
      <c r="T1411" s="1304"/>
    </row>
    <row r="1412" spans="1:20">
      <c r="A1412" s="1303"/>
      <c r="B1412" s="1322" t="s">
        <v>5055</v>
      </c>
      <c r="C1412" s="1323" t="s">
        <v>5056</v>
      </c>
      <c r="D1412" s="1324">
        <f t="shared" si="156"/>
        <v>39832</v>
      </c>
      <c r="E1412" s="1323">
        <f t="shared" si="158"/>
        <v>9.9753000000000007</v>
      </c>
      <c r="F1412" s="1323">
        <f t="shared" si="157"/>
        <v>7.4866941976680641</v>
      </c>
      <c r="G1412" s="1323">
        <f t="shared" si="159"/>
        <v>2009</v>
      </c>
      <c r="H1412" s="1323">
        <f t="shared" si="160"/>
        <v>1</v>
      </c>
      <c r="I1412" s="1323">
        <f t="shared" si="161"/>
        <v>19</v>
      </c>
      <c r="J1412" s="1323"/>
      <c r="K1412" s="1323"/>
      <c r="L1412" s="1323"/>
      <c r="M1412" s="1323"/>
      <c r="N1412" s="1323"/>
      <c r="O1412" s="1323"/>
      <c r="P1412" s="1323"/>
      <c r="Q1412" s="1323"/>
      <c r="R1412" s="1304"/>
      <c r="S1412" s="1304"/>
      <c r="T1412" s="1304"/>
    </row>
    <row r="1413" spans="1:20">
      <c r="A1413" s="1303"/>
      <c r="B1413" s="1322" t="s">
        <v>5057</v>
      </c>
      <c r="C1413" s="1323" t="s">
        <v>5058</v>
      </c>
      <c r="D1413" s="1324">
        <f t="shared" si="156"/>
        <v>39829</v>
      </c>
      <c r="E1413" s="1323">
        <f t="shared" si="158"/>
        <v>9.9291</v>
      </c>
      <c r="F1413" s="1323">
        <f t="shared" si="157"/>
        <v>7.4852586686083304</v>
      </c>
      <c r="G1413" s="1323">
        <f t="shared" si="159"/>
        <v>2009</v>
      </c>
      <c r="H1413" s="1323">
        <f t="shared" si="160"/>
        <v>1</v>
      </c>
      <c r="I1413" s="1323">
        <f t="shared" si="161"/>
        <v>16</v>
      </c>
      <c r="J1413" s="1323"/>
      <c r="K1413" s="1323"/>
      <c r="L1413" s="1323"/>
      <c r="M1413" s="1323"/>
      <c r="N1413" s="1323"/>
      <c r="O1413" s="1323"/>
      <c r="P1413" s="1323"/>
      <c r="Q1413" s="1323"/>
      <c r="R1413" s="1304"/>
      <c r="S1413" s="1304"/>
      <c r="T1413" s="1304"/>
    </row>
    <row r="1414" spans="1:20">
      <c r="A1414" s="1303"/>
      <c r="B1414" s="1322" t="s">
        <v>5059</v>
      </c>
      <c r="C1414" s="1323" t="s">
        <v>5060</v>
      </c>
      <c r="D1414" s="1324">
        <f t="shared" si="156"/>
        <v>39828</v>
      </c>
      <c r="E1414" s="1323">
        <f t="shared" si="158"/>
        <v>10.1813</v>
      </c>
      <c r="F1414" s="1323">
        <f t="shared" si="157"/>
        <v>7.4838234148027514</v>
      </c>
      <c r="G1414" s="1323">
        <f t="shared" si="159"/>
        <v>2009</v>
      </c>
      <c r="H1414" s="1323">
        <f t="shared" si="160"/>
        <v>1</v>
      </c>
      <c r="I1414" s="1323">
        <f t="shared" si="161"/>
        <v>15</v>
      </c>
      <c r="J1414" s="1323"/>
      <c r="K1414" s="1323"/>
      <c r="L1414" s="1323"/>
      <c r="M1414" s="1323"/>
      <c r="N1414" s="1323"/>
      <c r="O1414" s="1323"/>
      <c r="P1414" s="1323"/>
      <c r="Q1414" s="1323"/>
      <c r="R1414" s="1304"/>
      <c r="S1414" s="1304"/>
      <c r="T1414" s="1304"/>
    </row>
    <row r="1415" spans="1:20">
      <c r="A1415" s="1303"/>
      <c r="B1415" s="1322" t="s">
        <v>5061</v>
      </c>
      <c r="C1415" s="1323" t="s">
        <v>5062</v>
      </c>
      <c r="D1415" s="1324">
        <f t="shared" si="156"/>
        <v>39827</v>
      </c>
      <c r="E1415" s="1323">
        <f t="shared" si="158"/>
        <v>9.8712999999999997</v>
      </c>
      <c r="F1415" s="1323">
        <f t="shared" si="157"/>
        <v>7.4823884361985487</v>
      </c>
      <c r="G1415" s="1323">
        <f t="shared" si="159"/>
        <v>2009</v>
      </c>
      <c r="H1415" s="1323">
        <f t="shared" si="160"/>
        <v>1</v>
      </c>
      <c r="I1415" s="1323">
        <f t="shared" si="161"/>
        <v>14</v>
      </c>
      <c r="J1415" s="1323"/>
      <c r="K1415" s="1323"/>
      <c r="L1415" s="1323"/>
      <c r="M1415" s="1323"/>
      <c r="N1415" s="1323"/>
      <c r="O1415" s="1323"/>
      <c r="P1415" s="1323"/>
      <c r="Q1415" s="1323"/>
      <c r="R1415" s="1304"/>
      <c r="S1415" s="1304"/>
      <c r="T1415" s="1304"/>
    </row>
    <row r="1416" spans="1:20">
      <c r="A1416" s="1303"/>
      <c r="B1416" s="1322" t="s">
        <v>5063</v>
      </c>
      <c r="C1416" s="1323" t="s">
        <v>5064</v>
      </c>
      <c r="D1416" s="1324">
        <f t="shared" si="156"/>
        <v>39826</v>
      </c>
      <c r="E1416" s="1323">
        <f t="shared" si="158"/>
        <v>10.141400000000001</v>
      </c>
      <c r="F1416" s="1323">
        <f t="shared" si="157"/>
        <v>7.4809537327429538</v>
      </c>
      <c r="G1416" s="1323">
        <f t="shared" si="159"/>
        <v>2009</v>
      </c>
      <c r="H1416" s="1323">
        <f t="shared" si="160"/>
        <v>1</v>
      </c>
      <c r="I1416" s="1323">
        <f t="shared" si="161"/>
        <v>13</v>
      </c>
      <c r="J1416" s="1323"/>
      <c r="K1416" s="1323"/>
      <c r="L1416" s="1323"/>
      <c r="M1416" s="1323"/>
      <c r="N1416" s="1323"/>
      <c r="O1416" s="1323"/>
      <c r="P1416" s="1323"/>
      <c r="Q1416" s="1323"/>
      <c r="R1416" s="1304"/>
      <c r="S1416" s="1304"/>
      <c r="T1416" s="1304"/>
    </row>
    <row r="1417" spans="1:20">
      <c r="A1417" s="1303"/>
      <c r="B1417" s="1322" t="s">
        <v>5065</v>
      </c>
      <c r="C1417" s="1323" t="s">
        <v>5066</v>
      </c>
      <c r="D1417" s="1324">
        <f t="shared" ref="D1417:D1480" si="162">DATE(G1417,H1417,I1417)</f>
        <v>39825</v>
      </c>
      <c r="E1417" s="1323">
        <f t="shared" si="158"/>
        <v>9.9077000000000002</v>
      </c>
      <c r="F1417" s="1323">
        <f t="shared" ref="F1417:F1480" si="163">F1418*(1+$F$7/365)</f>
        <v>7.4795193043832091</v>
      </c>
      <c r="G1417" s="1323">
        <f t="shared" si="159"/>
        <v>2009</v>
      </c>
      <c r="H1417" s="1323">
        <f t="shared" si="160"/>
        <v>1</v>
      </c>
      <c r="I1417" s="1323">
        <f t="shared" si="161"/>
        <v>12</v>
      </c>
      <c r="J1417" s="1323"/>
      <c r="K1417" s="1323"/>
      <c r="L1417" s="1323"/>
      <c r="M1417" s="1323"/>
      <c r="N1417" s="1323"/>
      <c r="O1417" s="1323"/>
      <c r="P1417" s="1323"/>
      <c r="Q1417" s="1323"/>
      <c r="R1417" s="1304"/>
      <c r="S1417" s="1304"/>
      <c r="T1417" s="1304"/>
    </row>
    <row r="1418" spans="1:20">
      <c r="A1418" s="1303"/>
      <c r="B1418" s="1322" t="s">
        <v>5067</v>
      </c>
      <c r="C1418" s="1323" t="s">
        <v>5068</v>
      </c>
      <c r="D1418" s="1324">
        <f t="shared" si="162"/>
        <v>39822</v>
      </c>
      <c r="E1418" s="1323">
        <f t="shared" si="158"/>
        <v>9.6866000000000003</v>
      </c>
      <c r="F1418" s="1323">
        <f t="shared" si="163"/>
        <v>7.4780851510665656</v>
      </c>
      <c r="G1418" s="1323">
        <f t="shared" si="159"/>
        <v>2009</v>
      </c>
      <c r="H1418" s="1323">
        <f t="shared" si="160"/>
        <v>1</v>
      </c>
      <c r="I1418" s="1323">
        <f t="shared" si="161"/>
        <v>9</v>
      </c>
      <c r="J1418" s="1323"/>
      <c r="K1418" s="1323"/>
      <c r="L1418" s="1323"/>
      <c r="M1418" s="1323"/>
      <c r="N1418" s="1323"/>
      <c r="O1418" s="1323"/>
      <c r="P1418" s="1323"/>
      <c r="Q1418" s="1323"/>
      <c r="R1418" s="1304"/>
      <c r="S1418" s="1304"/>
      <c r="T1418" s="1304"/>
    </row>
    <row r="1419" spans="1:20">
      <c r="A1419" s="1303"/>
      <c r="B1419" s="1322" t="s">
        <v>5069</v>
      </c>
      <c r="C1419" s="1323" t="s">
        <v>5070</v>
      </c>
      <c r="D1419" s="1324">
        <f t="shared" si="162"/>
        <v>39821</v>
      </c>
      <c r="E1419" s="1323">
        <f t="shared" si="158"/>
        <v>9.7231000000000005</v>
      </c>
      <c r="F1419" s="1323">
        <f t="shared" si="163"/>
        <v>7.4766512727402867</v>
      </c>
      <c r="G1419" s="1323">
        <f t="shared" si="159"/>
        <v>2009</v>
      </c>
      <c r="H1419" s="1323">
        <f t="shared" si="160"/>
        <v>1</v>
      </c>
      <c r="I1419" s="1323">
        <f t="shared" si="161"/>
        <v>8</v>
      </c>
      <c r="J1419" s="1323"/>
      <c r="K1419" s="1323"/>
      <c r="L1419" s="1323"/>
      <c r="M1419" s="1323"/>
      <c r="N1419" s="1323"/>
      <c r="O1419" s="1323"/>
      <c r="P1419" s="1323"/>
      <c r="Q1419" s="1323"/>
      <c r="R1419" s="1304"/>
      <c r="S1419" s="1304"/>
      <c r="T1419" s="1304"/>
    </row>
    <row r="1420" spans="1:20">
      <c r="A1420" s="1303"/>
      <c r="B1420" s="1322" t="s">
        <v>5071</v>
      </c>
      <c r="C1420" s="1323" t="s">
        <v>5072</v>
      </c>
      <c r="D1420" s="1324">
        <f t="shared" si="162"/>
        <v>39820</v>
      </c>
      <c r="E1420" s="1323">
        <f t="shared" si="158"/>
        <v>9.3163</v>
      </c>
      <c r="F1420" s="1323">
        <f t="shared" si="163"/>
        <v>7.4752176693516441</v>
      </c>
      <c r="G1420" s="1323">
        <f t="shared" si="159"/>
        <v>2009</v>
      </c>
      <c r="H1420" s="1323">
        <f t="shared" si="160"/>
        <v>1</v>
      </c>
      <c r="I1420" s="1323">
        <f t="shared" si="161"/>
        <v>7</v>
      </c>
      <c r="J1420" s="1323"/>
      <c r="K1420" s="1323"/>
      <c r="L1420" s="1323"/>
      <c r="M1420" s="1323"/>
      <c r="N1420" s="1323"/>
      <c r="O1420" s="1323"/>
      <c r="P1420" s="1323"/>
      <c r="Q1420" s="1323"/>
      <c r="R1420" s="1304"/>
      <c r="S1420" s="1304"/>
      <c r="T1420" s="1304"/>
    </row>
    <row r="1421" spans="1:20">
      <c r="A1421" s="1303"/>
      <c r="B1421" s="1322" t="s">
        <v>5073</v>
      </c>
      <c r="C1421" s="1323" t="s">
        <v>5074</v>
      </c>
      <c r="D1421" s="1324">
        <f t="shared" si="162"/>
        <v>39819</v>
      </c>
      <c r="E1421" s="1323">
        <f t="shared" si="158"/>
        <v>9.3825000000000003</v>
      </c>
      <c r="F1421" s="1323">
        <f t="shared" si="163"/>
        <v>7.4737843408479199</v>
      </c>
      <c r="G1421" s="1323">
        <f t="shared" si="159"/>
        <v>2009</v>
      </c>
      <c r="H1421" s="1323">
        <f t="shared" si="160"/>
        <v>1</v>
      </c>
      <c r="I1421" s="1323">
        <f t="shared" si="161"/>
        <v>6</v>
      </c>
      <c r="J1421" s="1323"/>
      <c r="K1421" s="1323"/>
      <c r="L1421" s="1323"/>
      <c r="M1421" s="1323"/>
      <c r="N1421" s="1323"/>
      <c r="O1421" s="1323"/>
      <c r="P1421" s="1323"/>
      <c r="Q1421" s="1323"/>
      <c r="R1421" s="1304"/>
      <c r="S1421" s="1304"/>
      <c r="T1421" s="1304"/>
    </row>
    <row r="1422" spans="1:20">
      <c r="A1422" s="1303"/>
      <c r="B1422" s="1322" t="s">
        <v>5075</v>
      </c>
      <c r="C1422" s="1323" t="s">
        <v>5076</v>
      </c>
      <c r="D1422" s="1324">
        <f t="shared" si="162"/>
        <v>39818</v>
      </c>
      <c r="E1422" s="1323">
        <f t="shared" si="158"/>
        <v>9.4616000000000007</v>
      </c>
      <c r="F1422" s="1323">
        <f t="shared" si="163"/>
        <v>7.472351287176406</v>
      </c>
      <c r="G1422" s="1323">
        <f t="shared" si="159"/>
        <v>2009</v>
      </c>
      <c r="H1422" s="1323">
        <f t="shared" si="160"/>
        <v>1</v>
      </c>
      <c r="I1422" s="1323">
        <f t="shared" si="161"/>
        <v>5</v>
      </c>
      <c r="J1422" s="1323"/>
      <c r="K1422" s="1323"/>
      <c r="L1422" s="1323"/>
      <c r="M1422" s="1323"/>
      <c r="N1422" s="1323"/>
      <c r="O1422" s="1323"/>
      <c r="P1422" s="1323"/>
      <c r="Q1422" s="1323"/>
      <c r="R1422" s="1304"/>
      <c r="S1422" s="1304"/>
      <c r="T1422" s="1304"/>
    </row>
    <row r="1423" spans="1:20">
      <c r="A1423" s="1303"/>
      <c r="B1423" s="1322" t="s">
        <v>5077</v>
      </c>
      <c r="C1423" s="1323" t="s">
        <v>5078</v>
      </c>
      <c r="D1423" s="1324">
        <f t="shared" si="162"/>
        <v>39815</v>
      </c>
      <c r="E1423" s="1323">
        <f t="shared" si="158"/>
        <v>9.4580000000000002</v>
      </c>
      <c r="F1423" s="1323">
        <f t="shared" si="163"/>
        <v>7.4709185082844058</v>
      </c>
      <c r="G1423" s="1323">
        <f t="shared" si="159"/>
        <v>2009</v>
      </c>
      <c r="H1423" s="1323">
        <f t="shared" si="160"/>
        <v>1</v>
      </c>
      <c r="I1423" s="1323">
        <f t="shared" si="161"/>
        <v>2</v>
      </c>
      <c r="J1423" s="1323"/>
      <c r="K1423" s="1323"/>
      <c r="L1423" s="1323"/>
      <c r="M1423" s="1323"/>
      <c r="N1423" s="1323"/>
      <c r="O1423" s="1323"/>
      <c r="P1423" s="1323"/>
      <c r="Q1423" s="1323"/>
      <c r="R1423" s="1304"/>
      <c r="S1423" s="1304"/>
      <c r="T1423" s="1304"/>
    </row>
    <row r="1424" spans="1:20">
      <c r="A1424" s="1303"/>
      <c r="B1424" s="1322" t="s">
        <v>5079</v>
      </c>
      <c r="C1424" s="1323" t="s">
        <v>5080</v>
      </c>
      <c r="D1424" s="1324">
        <f t="shared" si="162"/>
        <v>39813</v>
      </c>
      <c r="E1424" s="1323">
        <f t="shared" si="158"/>
        <v>9.3034999999999997</v>
      </c>
      <c r="F1424" s="1323">
        <f t="shared" si="163"/>
        <v>7.4694860041192319</v>
      </c>
      <c r="G1424" s="1323">
        <f t="shared" si="159"/>
        <v>2008</v>
      </c>
      <c r="H1424" s="1323">
        <f t="shared" si="160"/>
        <v>12</v>
      </c>
      <c r="I1424" s="1323">
        <f t="shared" si="161"/>
        <v>31</v>
      </c>
      <c r="J1424" s="1323"/>
      <c r="K1424" s="1323"/>
      <c r="L1424" s="1323"/>
      <c r="M1424" s="1323"/>
      <c r="N1424" s="1323"/>
      <c r="O1424" s="1323"/>
      <c r="P1424" s="1323"/>
      <c r="Q1424" s="1323"/>
      <c r="R1424" s="1304"/>
      <c r="S1424" s="1304"/>
      <c r="T1424" s="1304"/>
    </row>
    <row r="1425" spans="1:20">
      <c r="A1425" s="1303"/>
      <c r="B1425" s="1322" t="s">
        <v>5081</v>
      </c>
      <c r="C1425" s="1323" t="s">
        <v>5082</v>
      </c>
      <c r="D1425" s="1324">
        <f t="shared" si="162"/>
        <v>39812</v>
      </c>
      <c r="E1425" s="1323">
        <f t="shared" si="158"/>
        <v>9.4434000000000005</v>
      </c>
      <c r="F1425" s="1323">
        <f t="shared" si="163"/>
        <v>7.4680537746282072</v>
      </c>
      <c r="G1425" s="1323">
        <f t="shared" si="159"/>
        <v>2008</v>
      </c>
      <c r="H1425" s="1323">
        <f t="shared" si="160"/>
        <v>12</v>
      </c>
      <c r="I1425" s="1323">
        <f t="shared" si="161"/>
        <v>30</v>
      </c>
      <c r="J1425" s="1323"/>
      <c r="K1425" s="1323"/>
      <c r="L1425" s="1323"/>
      <c r="M1425" s="1323"/>
      <c r="N1425" s="1323"/>
      <c r="O1425" s="1323"/>
      <c r="P1425" s="1323"/>
      <c r="Q1425" s="1323"/>
      <c r="R1425" s="1304"/>
      <c r="S1425" s="1304"/>
      <c r="T1425" s="1304"/>
    </row>
    <row r="1426" spans="1:20">
      <c r="A1426" s="1303"/>
      <c r="B1426" s="1322" t="s">
        <v>5083</v>
      </c>
      <c r="C1426" s="1323" t="s">
        <v>5084</v>
      </c>
      <c r="D1426" s="1324">
        <f t="shared" si="162"/>
        <v>39811</v>
      </c>
      <c r="E1426" s="1323">
        <f t="shared" si="158"/>
        <v>9.5969999999999995</v>
      </c>
      <c r="F1426" s="1323">
        <f t="shared" si="163"/>
        <v>7.4666218197586645</v>
      </c>
      <c r="G1426" s="1323">
        <f t="shared" si="159"/>
        <v>2008</v>
      </c>
      <c r="H1426" s="1323">
        <f t="shared" si="160"/>
        <v>12</v>
      </c>
      <c r="I1426" s="1323">
        <f t="shared" si="161"/>
        <v>29</v>
      </c>
      <c r="J1426" s="1323"/>
      <c r="K1426" s="1323"/>
      <c r="L1426" s="1323"/>
      <c r="M1426" s="1323"/>
      <c r="N1426" s="1323"/>
      <c r="O1426" s="1323"/>
      <c r="P1426" s="1323"/>
      <c r="Q1426" s="1323"/>
      <c r="R1426" s="1304"/>
      <c r="S1426" s="1304"/>
      <c r="T1426" s="1304"/>
    </row>
    <row r="1427" spans="1:20">
      <c r="A1427" s="1303"/>
      <c r="B1427" s="1322" t="s">
        <v>5085</v>
      </c>
      <c r="C1427" s="1323" t="s">
        <v>5086</v>
      </c>
      <c r="D1427" s="1324">
        <f t="shared" si="162"/>
        <v>39806</v>
      </c>
      <c r="E1427" s="1323">
        <f t="shared" si="158"/>
        <v>9.6584000000000003</v>
      </c>
      <c r="F1427" s="1323">
        <f t="shared" si="163"/>
        <v>7.4651901394579463</v>
      </c>
      <c r="G1427" s="1323">
        <f t="shared" si="159"/>
        <v>2008</v>
      </c>
      <c r="H1427" s="1323">
        <f t="shared" si="160"/>
        <v>12</v>
      </c>
      <c r="I1427" s="1323">
        <f t="shared" si="161"/>
        <v>24</v>
      </c>
      <c r="J1427" s="1323"/>
      <c r="K1427" s="1323"/>
      <c r="L1427" s="1323"/>
      <c r="M1427" s="1323"/>
      <c r="N1427" s="1323"/>
      <c r="O1427" s="1323"/>
      <c r="P1427" s="1323"/>
      <c r="Q1427" s="1323"/>
      <c r="R1427" s="1304"/>
      <c r="S1427" s="1304"/>
      <c r="T1427" s="1304"/>
    </row>
    <row r="1428" spans="1:20">
      <c r="A1428" s="1303"/>
      <c r="B1428" s="1322" t="s">
        <v>5087</v>
      </c>
      <c r="C1428" s="1323" t="s">
        <v>5088</v>
      </c>
      <c r="D1428" s="1324">
        <f t="shared" si="162"/>
        <v>39805</v>
      </c>
      <c r="E1428" s="1323">
        <f t="shared" si="158"/>
        <v>9.6890999999999998</v>
      </c>
      <c r="F1428" s="1323">
        <f t="shared" si="163"/>
        <v>7.4637587336734059</v>
      </c>
      <c r="G1428" s="1323">
        <f t="shared" si="159"/>
        <v>2008</v>
      </c>
      <c r="H1428" s="1323">
        <f t="shared" si="160"/>
        <v>12</v>
      </c>
      <c r="I1428" s="1323">
        <f t="shared" si="161"/>
        <v>23</v>
      </c>
      <c r="J1428" s="1323"/>
      <c r="K1428" s="1323"/>
      <c r="L1428" s="1323"/>
      <c r="M1428" s="1323"/>
      <c r="N1428" s="1323"/>
      <c r="O1428" s="1323"/>
      <c r="P1428" s="1323"/>
      <c r="Q1428" s="1323"/>
      <c r="R1428" s="1304"/>
      <c r="S1428" s="1304"/>
      <c r="T1428" s="1304"/>
    </row>
    <row r="1429" spans="1:20">
      <c r="A1429" s="1303"/>
      <c r="B1429" s="1322" t="s">
        <v>5089</v>
      </c>
      <c r="C1429" s="1323" t="s">
        <v>5090</v>
      </c>
      <c r="D1429" s="1324">
        <f t="shared" si="162"/>
        <v>39804</v>
      </c>
      <c r="E1429" s="1323">
        <f t="shared" si="158"/>
        <v>9.6457999999999995</v>
      </c>
      <c r="F1429" s="1323">
        <f t="shared" si="163"/>
        <v>7.4623276023524063</v>
      </c>
      <c r="G1429" s="1323">
        <f t="shared" si="159"/>
        <v>2008</v>
      </c>
      <c r="H1429" s="1323">
        <f t="shared" si="160"/>
        <v>12</v>
      </c>
      <c r="I1429" s="1323">
        <f t="shared" si="161"/>
        <v>22</v>
      </c>
      <c r="J1429" s="1323"/>
      <c r="K1429" s="1323"/>
      <c r="L1429" s="1323"/>
      <c r="M1429" s="1323"/>
      <c r="N1429" s="1323"/>
      <c r="O1429" s="1323"/>
      <c r="P1429" s="1323"/>
      <c r="Q1429" s="1323"/>
      <c r="R1429" s="1304"/>
      <c r="S1429" s="1304"/>
      <c r="T1429" s="1304"/>
    </row>
    <row r="1430" spans="1:20">
      <c r="A1430" s="1303"/>
      <c r="B1430" s="1322" t="s">
        <v>5091</v>
      </c>
      <c r="C1430" s="1323" t="s">
        <v>5092</v>
      </c>
      <c r="D1430" s="1324">
        <f t="shared" si="162"/>
        <v>39801</v>
      </c>
      <c r="E1430" s="1323">
        <f t="shared" ref="E1430:E1493" si="164">VALUE(C1431)</f>
        <v>9.6664999999999992</v>
      </c>
      <c r="F1430" s="1323">
        <f t="shared" si="163"/>
        <v>7.4608967454423212</v>
      </c>
      <c r="G1430" s="1323">
        <f t="shared" ref="G1430:G1493" si="165">YEAR(B1431)</f>
        <v>2008</v>
      </c>
      <c r="H1430" s="1323">
        <f t="shared" ref="H1430:H1493" si="166">MONTH(B1431)</f>
        <v>12</v>
      </c>
      <c r="I1430" s="1323">
        <f t="shared" ref="I1430:I1493" si="167">DAY(B1431)</f>
        <v>19</v>
      </c>
      <c r="J1430" s="1323"/>
      <c r="K1430" s="1323"/>
      <c r="L1430" s="1323"/>
      <c r="M1430" s="1323"/>
      <c r="N1430" s="1323"/>
      <c r="O1430" s="1323"/>
      <c r="P1430" s="1323"/>
      <c r="Q1430" s="1323"/>
      <c r="R1430" s="1304"/>
      <c r="S1430" s="1304"/>
      <c r="T1430" s="1304"/>
    </row>
    <row r="1431" spans="1:20">
      <c r="A1431" s="1303"/>
      <c r="B1431" s="1322" t="s">
        <v>5093</v>
      </c>
      <c r="C1431" s="1323" t="s">
        <v>5094</v>
      </c>
      <c r="D1431" s="1324">
        <f t="shared" si="162"/>
        <v>39800</v>
      </c>
      <c r="E1431" s="1323">
        <f t="shared" si="164"/>
        <v>9.8015000000000008</v>
      </c>
      <c r="F1431" s="1323">
        <f t="shared" si="163"/>
        <v>7.4594661628905339</v>
      </c>
      <c r="G1431" s="1323">
        <f t="shared" si="165"/>
        <v>2008</v>
      </c>
      <c r="H1431" s="1323">
        <f t="shared" si="166"/>
        <v>12</v>
      </c>
      <c r="I1431" s="1323">
        <f t="shared" si="167"/>
        <v>18</v>
      </c>
      <c r="J1431" s="1323"/>
      <c r="K1431" s="1323"/>
      <c r="L1431" s="1323"/>
      <c r="M1431" s="1323"/>
      <c r="N1431" s="1323"/>
      <c r="O1431" s="1323"/>
      <c r="P1431" s="1323"/>
      <c r="Q1431" s="1323"/>
      <c r="R1431" s="1304"/>
      <c r="S1431" s="1304"/>
      <c r="T1431" s="1304"/>
    </row>
    <row r="1432" spans="1:20">
      <c r="A1432" s="1303"/>
      <c r="B1432" s="1322" t="s">
        <v>5095</v>
      </c>
      <c r="C1432" s="1323" t="s">
        <v>5096</v>
      </c>
      <c r="D1432" s="1324">
        <f t="shared" si="162"/>
        <v>39799</v>
      </c>
      <c r="E1432" s="1323">
        <f t="shared" si="164"/>
        <v>9.9756</v>
      </c>
      <c r="F1432" s="1323">
        <f t="shared" si="163"/>
        <v>7.4580358546444376</v>
      </c>
      <c r="G1432" s="1323">
        <f t="shared" si="165"/>
        <v>2008</v>
      </c>
      <c r="H1432" s="1323">
        <f t="shared" si="166"/>
        <v>12</v>
      </c>
      <c r="I1432" s="1323">
        <f t="shared" si="167"/>
        <v>17</v>
      </c>
      <c r="J1432" s="1323"/>
      <c r="K1432" s="1323"/>
      <c r="L1432" s="1323"/>
      <c r="M1432" s="1323"/>
      <c r="N1432" s="1323"/>
      <c r="O1432" s="1323"/>
      <c r="P1432" s="1323"/>
      <c r="Q1432" s="1323"/>
      <c r="R1432" s="1304"/>
      <c r="S1432" s="1304"/>
      <c r="T1432" s="1304"/>
    </row>
    <row r="1433" spans="1:20">
      <c r="A1433" s="1303"/>
      <c r="B1433" s="1322" t="s">
        <v>5097</v>
      </c>
      <c r="C1433" s="1323" t="s">
        <v>5098</v>
      </c>
      <c r="D1433" s="1324">
        <f t="shared" si="162"/>
        <v>39797</v>
      </c>
      <c r="E1433" s="1323">
        <f t="shared" si="164"/>
        <v>10.1511</v>
      </c>
      <c r="F1433" s="1323">
        <f t="shared" si="163"/>
        <v>7.4566058206514354</v>
      </c>
      <c r="G1433" s="1323">
        <f t="shared" si="165"/>
        <v>2008</v>
      </c>
      <c r="H1433" s="1323">
        <f t="shared" si="166"/>
        <v>12</v>
      </c>
      <c r="I1433" s="1323">
        <f t="shared" si="167"/>
        <v>15</v>
      </c>
      <c r="J1433" s="1323"/>
      <c r="K1433" s="1323"/>
      <c r="L1433" s="1323"/>
      <c r="M1433" s="1323"/>
      <c r="N1433" s="1323"/>
      <c r="O1433" s="1323"/>
      <c r="P1433" s="1323"/>
      <c r="Q1433" s="1323"/>
      <c r="R1433" s="1304"/>
      <c r="S1433" s="1304"/>
      <c r="T1433" s="1304"/>
    </row>
    <row r="1434" spans="1:20">
      <c r="A1434" s="1303"/>
      <c r="B1434" s="1322" t="s">
        <v>5099</v>
      </c>
      <c r="C1434" s="1323" t="s">
        <v>5100</v>
      </c>
      <c r="D1434" s="1324">
        <f t="shared" si="162"/>
        <v>39794</v>
      </c>
      <c r="E1434" s="1323">
        <f t="shared" si="164"/>
        <v>10.173</v>
      </c>
      <c r="F1434" s="1323">
        <f t="shared" si="163"/>
        <v>7.4551760608589417</v>
      </c>
      <c r="G1434" s="1323">
        <f t="shared" si="165"/>
        <v>2008</v>
      </c>
      <c r="H1434" s="1323">
        <f t="shared" si="166"/>
        <v>12</v>
      </c>
      <c r="I1434" s="1323">
        <f t="shared" si="167"/>
        <v>12</v>
      </c>
      <c r="J1434" s="1323"/>
      <c r="K1434" s="1323"/>
      <c r="L1434" s="1323"/>
      <c r="M1434" s="1323"/>
      <c r="N1434" s="1323"/>
      <c r="O1434" s="1323"/>
      <c r="P1434" s="1323"/>
      <c r="Q1434" s="1323"/>
      <c r="R1434" s="1304"/>
      <c r="S1434" s="1304"/>
      <c r="T1434" s="1304"/>
    </row>
    <row r="1435" spans="1:20">
      <c r="A1435" s="1303"/>
      <c r="B1435" s="1322" t="s">
        <v>5101</v>
      </c>
      <c r="C1435" s="1323" t="s">
        <v>5102</v>
      </c>
      <c r="D1435" s="1324">
        <f t="shared" si="162"/>
        <v>39793</v>
      </c>
      <c r="E1435" s="1323">
        <f t="shared" si="164"/>
        <v>10.143000000000001</v>
      </c>
      <c r="F1435" s="1323">
        <f t="shared" si="163"/>
        <v>7.4537465752143799</v>
      </c>
      <c r="G1435" s="1323">
        <f t="shared" si="165"/>
        <v>2008</v>
      </c>
      <c r="H1435" s="1323">
        <f t="shared" si="166"/>
        <v>12</v>
      </c>
      <c r="I1435" s="1323">
        <f t="shared" si="167"/>
        <v>11</v>
      </c>
      <c r="J1435" s="1323"/>
      <c r="K1435" s="1323"/>
      <c r="L1435" s="1323"/>
      <c r="M1435" s="1323"/>
      <c r="N1435" s="1323"/>
      <c r="O1435" s="1323"/>
      <c r="P1435" s="1323"/>
      <c r="Q1435" s="1323"/>
      <c r="R1435" s="1304"/>
      <c r="S1435" s="1304"/>
      <c r="T1435" s="1304"/>
    </row>
    <row r="1436" spans="1:20">
      <c r="A1436" s="1303"/>
      <c r="B1436" s="1322" t="s">
        <v>5103</v>
      </c>
      <c r="C1436" s="1323" t="s">
        <v>5104</v>
      </c>
      <c r="D1436" s="1324">
        <f t="shared" si="162"/>
        <v>39792</v>
      </c>
      <c r="E1436" s="1323">
        <f t="shared" si="164"/>
        <v>10.134600000000001</v>
      </c>
      <c r="F1436" s="1323">
        <f t="shared" si="163"/>
        <v>7.4523173636651832</v>
      </c>
      <c r="G1436" s="1323">
        <f t="shared" si="165"/>
        <v>2008</v>
      </c>
      <c r="H1436" s="1323">
        <f t="shared" si="166"/>
        <v>12</v>
      </c>
      <c r="I1436" s="1323">
        <f t="shared" si="167"/>
        <v>10</v>
      </c>
      <c r="J1436" s="1323"/>
      <c r="K1436" s="1323"/>
      <c r="L1436" s="1323"/>
      <c r="M1436" s="1323"/>
      <c r="N1436" s="1323"/>
      <c r="O1436" s="1323"/>
      <c r="P1436" s="1323"/>
      <c r="Q1436" s="1323"/>
      <c r="R1436" s="1304"/>
      <c r="S1436" s="1304"/>
      <c r="T1436" s="1304"/>
    </row>
    <row r="1437" spans="1:20">
      <c r="A1437" s="1303"/>
      <c r="B1437" s="1322" t="s">
        <v>5105</v>
      </c>
      <c r="C1437" s="1323" t="s">
        <v>5106</v>
      </c>
      <c r="D1437" s="1324">
        <f t="shared" si="162"/>
        <v>39791</v>
      </c>
      <c r="E1437" s="1323">
        <f t="shared" si="164"/>
        <v>10.2067</v>
      </c>
      <c r="F1437" s="1323">
        <f t="shared" si="163"/>
        <v>7.4508884261587962</v>
      </c>
      <c r="G1437" s="1323">
        <f t="shared" si="165"/>
        <v>2008</v>
      </c>
      <c r="H1437" s="1323">
        <f t="shared" si="166"/>
        <v>12</v>
      </c>
      <c r="I1437" s="1323">
        <f t="shared" si="167"/>
        <v>9</v>
      </c>
      <c r="J1437" s="1323"/>
      <c r="K1437" s="1323"/>
      <c r="L1437" s="1323"/>
      <c r="M1437" s="1323"/>
      <c r="N1437" s="1323"/>
      <c r="O1437" s="1323"/>
      <c r="P1437" s="1323"/>
      <c r="Q1437" s="1323"/>
      <c r="R1437" s="1304"/>
      <c r="S1437" s="1304"/>
      <c r="T1437" s="1304"/>
    </row>
    <row r="1438" spans="1:20">
      <c r="A1438" s="1303"/>
      <c r="B1438" s="1322" t="s">
        <v>5107</v>
      </c>
      <c r="C1438" s="1323" t="s">
        <v>5108</v>
      </c>
      <c r="D1438" s="1324">
        <f t="shared" si="162"/>
        <v>39790</v>
      </c>
      <c r="E1438" s="1323">
        <f t="shared" si="164"/>
        <v>10.188499999999999</v>
      </c>
      <c r="F1438" s="1323">
        <f t="shared" si="163"/>
        <v>7.4494597626426726</v>
      </c>
      <c r="G1438" s="1323">
        <f t="shared" si="165"/>
        <v>2008</v>
      </c>
      <c r="H1438" s="1323">
        <f t="shared" si="166"/>
        <v>12</v>
      </c>
      <c r="I1438" s="1323">
        <f t="shared" si="167"/>
        <v>8</v>
      </c>
      <c r="J1438" s="1323"/>
      <c r="K1438" s="1323"/>
      <c r="L1438" s="1323"/>
      <c r="M1438" s="1323"/>
      <c r="N1438" s="1323"/>
      <c r="O1438" s="1323"/>
      <c r="P1438" s="1323"/>
      <c r="Q1438" s="1323"/>
      <c r="R1438" s="1304"/>
      <c r="S1438" s="1304"/>
      <c r="T1438" s="1304"/>
    </row>
    <row r="1439" spans="1:20">
      <c r="A1439" s="1303"/>
      <c r="B1439" s="1322" t="s">
        <v>5109</v>
      </c>
      <c r="C1439" s="1323" t="s">
        <v>5110</v>
      </c>
      <c r="D1439" s="1324">
        <f t="shared" si="162"/>
        <v>39787</v>
      </c>
      <c r="E1439" s="1323">
        <f t="shared" si="164"/>
        <v>10.244899999999999</v>
      </c>
      <c r="F1439" s="1323">
        <f t="shared" si="163"/>
        <v>7.4480313730642767</v>
      </c>
      <c r="G1439" s="1323">
        <f t="shared" si="165"/>
        <v>2008</v>
      </c>
      <c r="H1439" s="1323">
        <f t="shared" si="166"/>
        <v>12</v>
      </c>
      <c r="I1439" s="1323">
        <f t="shared" si="167"/>
        <v>5</v>
      </c>
      <c r="J1439" s="1323"/>
      <c r="K1439" s="1323"/>
      <c r="L1439" s="1323"/>
      <c r="M1439" s="1323"/>
      <c r="N1439" s="1323"/>
      <c r="O1439" s="1323"/>
      <c r="P1439" s="1323"/>
      <c r="Q1439" s="1323"/>
      <c r="R1439" s="1304"/>
      <c r="S1439" s="1304"/>
      <c r="T1439" s="1304"/>
    </row>
    <row r="1440" spans="1:20">
      <c r="A1440" s="1303"/>
      <c r="B1440" s="1322" t="s">
        <v>5111</v>
      </c>
      <c r="C1440" s="1323" t="s">
        <v>5112</v>
      </c>
      <c r="D1440" s="1324">
        <f t="shared" si="162"/>
        <v>39786</v>
      </c>
      <c r="E1440" s="1323">
        <f t="shared" si="164"/>
        <v>10.2098</v>
      </c>
      <c r="F1440" s="1323">
        <f t="shared" si="163"/>
        <v>7.4466032573710823</v>
      </c>
      <c r="G1440" s="1323">
        <f t="shared" si="165"/>
        <v>2008</v>
      </c>
      <c r="H1440" s="1323">
        <f t="shared" si="166"/>
        <v>12</v>
      </c>
      <c r="I1440" s="1323">
        <f t="shared" si="167"/>
        <v>4</v>
      </c>
      <c r="J1440" s="1323"/>
      <c r="K1440" s="1323"/>
      <c r="L1440" s="1323"/>
      <c r="M1440" s="1323"/>
      <c r="N1440" s="1323"/>
      <c r="O1440" s="1323"/>
      <c r="P1440" s="1323"/>
      <c r="Q1440" s="1323"/>
      <c r="R1440" s="1304"/>
      <c r="S1440" s="1304"/>
      <c r="T1440" s="1304"/>
    </row>
    <row r="1441" spans="1:20">
      <c r="A1441" s="1303"/>
      <c r="B1441" s="1322" t="s">
        <v>5113</v>
      </c>
      <c r="C1441" s="1323" t="s">
        <v>5114</v>
      </c>
      <c r="D1441" s="1324">
        <f t="shared" si="162"/>
        <v>39785</v>
      </c>
      <c r="E1441" s="1323">
        <f t="shared" si="164"/>
        <v>10.322900000000001</v>
      </c>
      <c r="F1441" s="1323">
        <f t="shared" si="163"/>
        <v>7.4451754155105734</v>
      </c>
      <c r="G1441" s="1323">
        <f t="shared" si="165"/>
        <v>2008</v>
      </c>
      <c r="H1441" s="1323">
        <f t="shared" si="166"/>
        <v>12</v>
      </c>
      <c r="I1441" s="1323">
        <f t="shared" si="167"/>
        <v>3</v>
      </c>
      <c r="J1441" s="1323"/>
      <c r="K1441" s="1323"/>
      <c r="L1441" s="1323"/>
      <c r="M1441" s="1323"/>
      <c r="N1441" s="1323"/>
      <c r="O1441" s="1323"/>
      <c r="P1441" s="1323"/>
      <c r="Q1441" s="1323"/>
      <c r="R1441" s="1304"/>
      <c r="S1441" s="1304"/>
      <c r="T1441" s="1304"/>
    </row>
    <row r="1442" spans="1:20">
      <c r="A1442" s="1303"/>
      <c r="B1442" s="1322" t="s">
        <v>5115</v>
      </c>
      <c r="C1442" s="1323" t="s">
        <v>5116</v>
      </c>
      <c r="D1442" s="1324">
        <f t="shared" si="162"/>
        <v>39784</v>
      </c>
      <c r="E1442" s="1323">
        <f t="shared" si="164"/>
        <v>10.4178</v>
      </c>
      <c r="F1442" s="1323">
        <f t="shared" si="163"/>
        <v>7.4437478474302443</v>
      </c>
      <c r="G1442" s="1323">
        <f t="shared" si="165"/>
        <v>2008</v>
      </c>
      <c r="H1442" s="1323">
        <f t="shared" si="166"/>
        <v>12</v>
      </c>
      <c r="I1442" s="1323">
        <f t="shared" si="167"/>
        <v>2</v>
      </c>
      <c r="J1442" s="1323"/>
      <c r="K1442" s="1323"/>
      <c r="L1442" s="1323"/>
      <c r="M1442" s="1323"/>
      <c r="N1442" s="1323"/>
      <c r="O1442" s="1323"/>
      <c r="P1442" s="1323"/>
      <c r="Q1442" s="1323"/>
      <c r="R1442" s="1304"/>
      <c r="S1442" s="1304"/>
      <c r="T1442" s="1304"/>
    </row>
    <row r="1443" spans="1:20">
      <c r="A1443" s="1303"/>
      <c r="B1443" s="1322" t="s">
        <v>5117</v>
      </c>
      <c r="C1443" s="1323" t="s">
        <v>5118</v>
      </c>
      <c r="D1443" s="1324">
        <f t="shared" si="162"/>
        <v>39783</v>
      </c>
      <c r="E1443" s="1323">
        <f t="shared" si="164"/>
        <v>10.1416</v>
      </c>
      <c r="F1443" s="1323">
        <f t="shared" si="163"/>
        <v>7.4423205530775993</v>
      </c>
      <c r="G1443" s="1323">
        <f t="shared" si="165"/>
        <v>2008</v>
      </c>
      <c r="H1443" s="1323">
        <f t="shared" si="166"/>
        <v>12</v>
      </c>
      <c r="I1443" s="1323">
        <f t="shared" si="167"/>
        <v>1</v>
      </c>
      <c r="J1443" s="1323"/>
      <c r="K1443" s="1323"/>
      <c r="L1443" s="1323"/>
      <c r="M1443" s="1323"/>
      <c r="N1443" s="1323"/>
      <c r="O1443" s="1323"/>
      <c r="P1443" s="1323"/>
      <c r="Q1443" s="1323"/>
      <c r="R1443" s="1304"/>
      <c r="S1443" s="1304"/>
      <c r="T1443" s="1304"/>
    </row>
    <row r="1444" spans="1:20">
      <c r="A1444" s="1303"/>
      <c r="B1444" s="1322" t="s">
        <v>5119</v>
      </c>
      <c r="C1444" s="1323" t="s">
        <v>5120</v>
      </c>
      <c r="D1444" s="1324">
        <f t="shared" si="162"/>
        <v>39780</v>
      </c>
      <c r="E1444" s="1323">
        <f t="shared" si="164"/>
        <v>9.9079999999999995</v>
      </c>
      <c r="F1444" s="1323">
        <f t="shared" si="163"/>
        <v>7.4408935324001524</v>
      </c>
      <c r="G1444" s="1323">
        <f t="shared" si="165"/>
        <v>2008</v>
      </c>
      <c r="H1444" s="1323">
        <f t="shared" si="166"/>
        <v>11</v>
      </c>
      <c r="I1444" s="1323">
        <f t="shared" si="167"/>
        <v>28</v>
      </c>
      <c r="J1444" s="1323"/>
      <c r="K1444" s="1323"/>
      <c r="L1444" s="1323"/>
      <c r="M1444" s="1323"/>
      <c r="N1444" s="1323"/>
      <c r="O1444" s="1323"/>
      <c r="P1444" s="1323"/>
      <c r="Q1444" s="1323"/>
      <c r="R1444" s="1304"/>
      <c r="S1444" s="1304"/>
      <c r="T1444" s="1304"/>
    </row>
    <row r="1445" spans="1:20">
      <c r="A1445" s="1303"/>
      <c r="B1445" s="1322" t="s">
        <v>5121</v>
      </c>
      <c r="C1445" s="1323" t="s">
        <v>5122</v>
      </c>
      <c r="D1445" s="1324">
        <f t="shared" si="162"/>
        <v>39779</v>
      </c>
      <c r="E1445" s="1323">
        <f t="shared" si="164"/>
        <v>9.9009</v>
      </c>
      <c r="F1445" s="1323">
        <f t="shared" si="163"/>
        <v>7.4394667853454282</v>
      </c>
      <c r="G1445" s="1323">
        <f t="shared" si="165"/>
        <v>2008</v>
      </c>
      <c r="H1445" s="1323">
        <f t="shared" si="166"/>
        <v>11</v>
      </c>
      <c r="I1445" s="1323">
        <f t="shared" si="167"/>
        <v>27</v>
      </c>
      <c r="J1445" s="1323"/>
      <c r="K1445" s="1323"/>
      <c r="L1445" s="1323"/>
      <c r="M1445" s="1323"/>
      <c r="N1445" s="1323"/>
      <c r="O1445" s="1323"/>
      <c r="P1445" s="1323"/>
      <c r="Q1445" s="1323"/>
      <c r="R1445" s="1304"/>
      <c r="S1445" s="1304"/>
      <c r="T1445" s="1304"/>
    </row>
    <row r="1446" spans="1:20">
      <c r="A1446" s="1303"/>
      <c r="B1446" s="1322" t="s">
        <v>5123</v>
      </c>
      <c r="C1446" s="1323" t="s">
        <v>5124</v>
      </c>
      <c r="D1446" s="1324">
        <f t="shared" si="162"/>
        <v>39778</v>
      </c>
      <c r="E1446" s="1323">
        <f t="shared" si="164"/>
        <v>9.9200999999999997</v>
      </c>
      <c r="F1446" s="1323">
        <f t="shared" si="163"/>
        <v>7.438040311860961</v>
      </c>
      <c r="G1446" s="1323">
        <f t="shared" si="165"/>
        <v>2008</v>
      </c>
      <c r="H1446" s="1323">
        <f t="shared" si="166"/>
        <v>11</v>
      </c>
      <c r="I1446" s="1323">
        <f t="shared" si="167"/>
        <v>26</v>
      </c>
      <c r="J1446" s="1323"/>
      <c r="K1446" s="1323"/>
      <c r="L1446" s="1323"/>
      <c r="M1446" s="1323"/>
      <c r="N1446" s="1323"/>
      <c r="O1446" s="1323"/>
      <c r="P1446" s="1323"/>
      <c r="Q1446" s="1323"/>
      <c r="R1446" s="1304"/>
      <c r="S1446" s="1304"/>
      <c r="T1446" s="1304"/>
    </row>
    <row r="1447" spans="1:20">
      <c r="A1447" s="1303"/>
      <c r="B1447" s="1322" t="s">
        <v>5125</v>
      </c>
      <c r="C1447" s="1323" t="s">
        <v>5126</v>
      </c>
      <c r="D1447" s="1324">
        <f t="shared" si="162"/>
        <v>39777</v>
      </c>
      <c r="E1447" s="1323">
        <f t="shared" si="164"/>
        <v>10.049099999999999</v>
      </c>
      <c r="F1447" s="1323">
        <f t="shared" si="163"/>
        <v>7.4366141118942961</v>
      </c>
      <c r="G1447" s="1323">
        <f t="shared" si="165"/>
        <v>2008</v>
      </c>
      <c r="H1447" s="1323">
        <f t="shared" si="166"/>
        <v>11</v>
      </c>
      <c r="I1447" s="1323">
        <f t="shared" si="167"/>
        <v>25</v>
      </c>
      <c r="J1447" s="1323"/>
      <c r="K1447" s="1323"/>
      <c r="L1447" s="1323"/>
      <c r="M1447" s="1323"/>
      <c r="N1447" s="1323"/>
      <c r="O1447" s="1323"/>
      <c r="P1447" s="1323"/>
      <c r="Q1447" s="1323"/>
      <c r="R1447" s="1304"/>
      <c r="S1447" s="1304"/>
      <c r="T1447" s="1304"/>
    </row>
    <row r="1448" spans="1:20">
      <c r="A1448" s="1303"/>
      <c r="B1448" s="1322" t="s">
        <v>5127</v>
      </c>
      <c r="C1448" s="1323" t="s">
        <v>5128</v>
      </c>
      <c r="D1448" s="1324">
        <f t="shared" si="162"/>
        <v>39776</v>
      </c>
      <c r="E1448" s="1323">
        <f t="shared" si="164"/>
        <v>10.4903</v>
      </c>
      <c r="F1448" s="1323">
        <f t="shared" si="163"/>
        <v>7.4351881853929873</v>
      </c>
      <c r="G1448" s="1323">
        <f t="shared" si="165"/>
        <v>2008</v>
      </c>
      <c r="H1448" s="1323">
        <f t="shared" si="166"/>
        <v>11</v>
      </c>
      <c r="I1448" s="1323">
        <f t="shared" si="167"/>
        <v>24</v>
      </c>
      <c r="J1448" s="1323"/>
      <c r="K1448" s="1323"/>
      <c r="L1448" s="1323"/>
      <c r="M1448" s="1323"/>
      <c r="N1448" s="1323"/>
      <c r="O1448" s="1323"/>
      <c r="P1448" s="1323"/>
      <c r="Q1448" s="1323"/>
      <c r="R1448" s="1304"/>
      <c r="S1448" s="1304"/>
      <c r="T1448" s="1304"/>
    </row>
    <row r="1449" spans="1:20">
      <c r="A1449" s="1303"/>
      <c r="B1449" s="1322" t="s">
        <v>5129</v>
      </c>
      <c r="C1449" s="1323" t="s">
        <v>5130</v>
      </c>
      <c r="D1449" s="1324">
        <f t="shared" si="162"/>
        <v>39773</v>
      </c>
      <c r="E1449" s="1323">
        <f t="shared" si="164"/>
        <v>10.5924</v>
      </c>
      <c r="F1449" s="1323">
        <f t="shared" si="163"/>
        <v>7.4337625323046002</v>
      </c>
      <c r="G1449" s="1323">
        <f t="shared" si="165"/>
        <v>2008</v>
      </c>
      <c r="H1449" s="1323">
        <f t="shared" si="166"/>
        <v>11</v>
      </c>
      <c r="I1449" s="1323">
        <f t="shared" si="167"/>
        <v>21</v>
      </c>
      <c r="J1449" s="1323"/>
      <c r="K1449" s="1323"/>
      <c r="L1449" s="1323"/>
      <c r="M1449" s="1323"/>
      <c r="N1449" s="1323"/>
      <c r="O1449" s="1323"/>
      <c r="P1449" s="1323"/>
      <c r="Q1449" s="1323"/>
      <c r="R1449" s="1304"/>
      <c r="S1449" s="1304"/>
      <c r="T1449" s="1304"/>
    </row>
    <row r="1450" spans="1:20">
      <c r="A1450" s="1303"/>
      <c r="B1450" s="1322" t="s">
        <v>5131</v>
      </c>
      <c r="C1450" s="1323" t="s">
        <v>5132</v>
      </c>
      <c r="D1450" s="1324">
        <f t="shared" si="162"/>
        <v>39772</v>
      </c>
      <c r="E1450" s="1323">
        <f t="shared" si="164"/>
        <v>10.5991</v>
      </c>
      <c r="F1450" s="1323">
        <f t="shared" si="163"/>
        <v>7.4323371525767081</v>
      </c>
      <c r="G1450" s="1323">
        <f t="shared" si="165"/>
        <v>2008</v>
      </c>
      <c r="H1450" s="1323">
        <f t="shared" si="166"/>
        <v>11</v>
      </c>
      <c r="I1450" s="1323">
        <f t="shared" si="167"/>
        <v>20</v>
      </c>
      <c r="J1450" s="1323"/>
      <c r="K1450" s="1323"/>
      <c r="L1450" s="1323"/>
      <c r="M1450" s="1323"/>
      <c r="N1450" s="1323"/>
      <c r="O1450" s="1323"/>
      <c r="P1450" s="1323"/>
      <c r="Q1450" s="1323"/>
      <c r="R1450" s="1304"/>
      <c r="S1450" s="1304"/>
      <c r="T1450" s="1304"/>
    </row>
    <row r="1451" spans="1:20">
      <c r="A1451" s="1303"/>
      <c r="B1451" s="1322" t="s">
        <v>5133</v>
      </c>
      <c r="C1451" s="1323" t="s">
        <v>5134</v>
      </c>
      <c r="D1451" s="1324">
        <f t="shared" si="162"/>
        <v>39771</v>
      </c>
      <c r="E1451" s="1323">
        <f t="shared" si="164"/>
        <v>10.2498</v>
      </c>
      <c r="F1451" s="1323">
        <f t="shared" si="163"/>
        <v>7.4309120461568972</v>
      </c>
      <c r="G1451" s="1323">
        <f t="shared" si="165"/>
        <v>2008</v>
      </c>
      <c r="H1451" s="1323">
        <f t="shared" si="166"/>
        <v>11</v>
      </c>
      <c r="I1451" s="1323">
        <f t="shared" si="167"/>
        <v>19</v>
      </c>
      <c r="J1451" s="1323"/>
      <c r="K1451" s="1323"/>
      <c r="L1451" s="1323"/>
      <c r="M1451" s="1323"/>
      <c r="N1451" s="1323"/>
      <c r="O1451" s="1323"/>
      <c r="P1451" s="1323"/>
      <c r="Q1451" s="1323"/>
      <c r="R1451" s="1304"/>
      <c r="S1451" s="1304"/>
      <c r="T1451" s="1304"/>
    </row>
    <row r="1452" spans="1:20">
      <c r="A1452" s="1303"/>
      <c r="B1452" s="1322" t="s">
        <v>5135</v>
      </c>
      <c r="C1452" s="1323" t="s">
        <v>5136</v>
      </c>
      <c r="D1452" s="1324">
        <f t="shared" si="162"/>
        <v>39770</v>
      </c>
      <c r="E1452" s="1323">
        <f t="shared" si="164"/>
        <v>10.186199999999999</v>
      </c>
      <c r="F1452" s="1323">
        <f t="shared" si="163"/>
        <v>7.4294872129927612</v>
      </c>
      <c r="G1452" s="1323">
        <f t="shared" si="165"/>
        <v>2008</v>
      </c>
      <c r="H1452" s="1323">
        <f t="shared" si="166"/>
        <v>11</v>
      </c>
      <c r="I1452" s="1323">
        <f t="shared" si="167"/>
        <v>18</v>
      </c>
      <c r="J1452" s="1323"/>
      <c r="K1452" s="1323"/>
      <c r="L1452" s="1323"/>
      <c r="M1452" s="1323"/>
      <c r="N1452" s="1323"/>
      <c r="O1452" s="1323"/>
      <c r="P1452" s="1323"/>
      <c r="Q1452" s="1323"/>
      <c r="R1452" s="1304"/>
      <c r="S1452" s="1304"/>
      <c r="T1452" s="1304"/>
    </row>
    <row r="1453" spans="1:20">
      <c r="A1453" s="1303"/>
      <c r="B1453" s="1322" t="s">
        <v>5137</v>
      </c>
      <c r="C1453" s="1323" t="s">
        <v>5138</v>
      </c>
      <c r="D1453" s="1324">
        <f t="shared" si="162"/>
        <v>39769</v>
      </c>
      <c r="E1453" s="1323">
        <f t="shared" si="164"/>
        <v>10.132199999999999</v>
      </c>
      <c r="F1453" s="1323">
        <f t="shared" si="163"/>
        <v>7.4280626530319056</v>
      </c>
      <c r="G1453" s="1323">
        <f t="shared" si="165"/>
        <v>2008</v>
      </c>
      <c r="H1453" s="1323">
        <f t="shared" si="166"/>
        <v>11</v>
      </c>
      <c r="I1453" s="1323">
        <f t="shared" si="167"/>
        <v>17</v>
      </c>
      <c r="J1453" s="1323"/>
      <c r="K1453" s="1323"/>
      <c r="L1453" s="1323"/>
      <c r="M1453" s="1323"/>
      <c r="N1453" s="1323"/>
      <c r="O1453" s="1323"/>
      <c r="P1453" s="1323"/>
      <c r="Q1453" s="1323"/>
      <c r="R1453" s="1304"/>
      <c r="S1453" s="1304"/>
      <c r="T1453" s="1304"/>
    </row>
    <row r="1454" spans="1:20">
      <c r="A1454" s="1303"/>
      <c r="B1454" s="1322" t="s">
        <v>5139</v>
      </c>
      <c r="C1454" s="1323" t="s">
        <v>5140</v>
      </c>
      <c r="D1454" s="1324">
        <f t="shared" si="162"/>
        <v>39766</v>
      </c>
      <c r="E1454" s="1323">
        <f t="shared" si="164"/>
        <v>10.2818</v>
      </c>
      <c r="F1454" s="1323">
        <f t="shared" si="163"/>
        <v>7.4266383662219448</v>
      </c>
      <c r="G1454" s="1323">
        <f t="shared" si="165"/>
        <v>2008</v>
      </c>
      <c r="H1454" s="1323">
        <f t="shared" si="166"/>
        <v>11</v>
      </c>
      <c r="I1454" s="1323">
        <f t="shared" si="167"/>
        <v>14</v>
      </c>
      <c r="J1454" s="1323"/>
      <c r="K1454" s="1323"/>
      <c r="L1454" s="1323"/>
      <c r="M1454" s="1323"/>
      <c r="N1454" s="1323"/>
      <c r="O1454" s="1323"/>
      <c r="P1454" s="1323"/>
      <c r="Q1454" s="1323"/>
      <c r="R1454" s="1304"/>
      <c r="S1454" s="1304"/>
      <c r="T1454" s="1304"/>
    </row>
    <row r="1455" spans="1:20">
      <c r="A1455" s="1303"/>
      <c r="B1455" s="1322" t="s">
        <v>5141</v>
      </c>
      <c r="C1455" s="1323" t="s">
        <v>5142</v>
      </c>
      <c r="D1455" s="1324">
        <f t="shared" si="162"/>
        <v>39765</v>
      </c>
      <c r="E1455" s="1323">
        <f t="shared" si="164"/>
        <v>10.4116</v>
      </c>
      <c r="F1455" s="1323">
        <f t="shared" si="163"/>
        <v>7.4252143525105039</v>
      </c>
      <c r="G1455" s="1323">
        <f t="shared" si="165"/>
        <v>2008</v>
      </c>
      <c r="H1455" s="1323">
        <f t="shared" si="166"/>
        <v>11</v>
      </c>
      <c r="I1455" s="1323">
        <f t="shared" si="167"/>
        <v>13</v>
      </c>
      <c r="J1455" s="1323"/>
      <c r="K1455" s="1323"/>
      <c r="L1455" s="1323"/>
      <c r="M1455" s="1323"/>
      <c r="N1455" s="1323"/>
      <c r="O1455" s="1323"/>
      <c r="P1455" s="1323"/>
      <c r="Q1455" s="1323"/>
      <c r="R1455" s="1304"/>
      <c r="S1455" s="1304"/>
      <c r="T1455" s="1304"/>
    </row>
    <row r="1456" spans="1:20">
      <c r="A1456" s="1303"/>
      <c r="B1456" s="1322" t="s">
        <v>5143</v>
      </c>
      <c r="C1456" s="1323" t="s">
        <v>5144</v>
      </c>
      <c r="D1456" s="1324">
        <f t="shared" si="162"/>
        <v>39764</v>
      </c>
      <c r="E1456" s="1323">
        <f t="shared" si="164"/>
        <v>10.2797</v>
      </c>
      <c r="F1456" s="1323">
        <f t="shared" si="163"/>
        <v>7.4237906118452184</v>
      </c>
      <c r="G1456" s="1323">
        <f t="shared" si="165"/>
        <v>2008</v>
      </c>
      <c r="H1456" s="1323">
        <f t="shared" si="166"/>
        <v>11</v>
      </c>
      <c r="I1456" s="1323">
        <f t="shared" si="167"/>
        <v>12</v>
      </c>
      <c r="J1456" s="1323"/>
      <c r="K1456" s="1323"/>
      <c r="L1456" s="1323"/>
      <c r="M1456" s="1323"/>
      <c r="N1456" s="1323"/>
      <c r="O1456" s="1323"/>
      <c r="P1456" s="1323"/>
      <c r="Q1456" s="1323"/>
      <c r="R1456" s="1304"/>
      <c r="S1456" s="1304"/>
      <c r="T1456" s="1304"/>
    </row>
    <row r="1457" spans="1:20">
      <c r="A1457" s="1303"/>
      <c r="B1457" s="1322" t="s">
        <v>5145</v>
      </c>
      <c r="C1457" s="1323" t="s">
        <v>5146</v>
      </c>
      <c r="D1457" s="1324">
        <f t="shared" si="162"/>
        <v>39763</v>
      </c>
      <c r="E1457" s="1323">
        <f t="shared" si="164"/>
        <v>10.1693</v>
      </c>
      <c r="F1457" s="1323">
        <f t="shared" si="163"/>
        <v>7.4223671441737329</v>
      </c>
      <c r="G1457" s="1323">
        <f t="shared" si="165"/>
        <v>2008</v>
      </c>
      <c r="H1457" s="1323">
        <f t="shared" si="166"/>
        <v>11</v>
      </c>
      <c r="I1457" s="1323">
        <f t="shared" si="167"/>
        <v>11</v>
      </c>
      <c r="J1457" s="1323"/>
      <c r="K1457" s="1323"/>
      <c r="L1457" s="1323"/>
      <c r="M1457" s="1323"/>
      <c r="N1457" s="1323"/>
      <c r="O1457" s="1323"/>
      <c r="P1457" s="1323"/>
      <c r="Q1457" s="1323"/>
      <c r="R1457" s="1304"/>
      <c r="S1457" s="1304"/>
      <c r="T1457" s="1304"/>
    </row>
    <row r="1458" spans="1:20">
      <c r="A1458" s="1303"/>
      <c r="B1458" s="1322" t="s">
        <v>5147</v>
      </c>
      <c r="C1458" s="1323" t="s">
        <v>5148</v>
      </c>
      <c r="D1458" s="1324">
        <f t="shared" si="162"/>
        <v>39762</v>
      </c>
      <c r="E1458" s="1323">
        <f t="shared" si="164"/>
        <v>9.9890000000000008</v>
      </c>
      <c r="F1458" s="1323">
        <f t="shared" si="163"/>
        <v>7.4209439494437026</v>
      </c>
      <c r="G1458" s="1323">
        <f t="shared" si="165"/>
        <v>2008</v>
      </c>
      <c r="H1458" s="1323">
        <f t="shared" si="166"/>
        <v>11</v>
      </c>
      <c r="I1458" s="1323">
        <f t="shared" si="167"/>
        <v>10</v>
      </c>
      <c r="J1458" s="1323"/>
      <c r="K1458" s="1323"/>
      <c r="L1458" s="1323"/>
      <c r="M1458" s="1323"/>
      <c r="N1458" s="1323"/>
      <c r="O1458" s="1323"/>
      <c r="P1458" s="1323"/>
      <c r="Q1458" s="1323"/>
      <c r="R1458" s="1304"/>
      <c r="S1458" s="1304"/>
      <c r="T1458" s="1304"/>
    </row>
    <row r="1459" spans="1:20">
      <c r="A1459" s="1303"/>
      <c r="B1459" s="1322" t="s">
        <v>5149</v>
      </c>
      <c r="C1459" s="1323" t="s">
        <v>5150</v>
      </c>
      <c r="D1459" s="1324">
        <f t="shared" si="162"/>
        <v>39759</v>
      </c>
      <c r="E1459" s="1323">
        <f t="shared" si="164"/>
        <v>10.0284</v>
      </c>
      <c r="F1459" s="1323">
        <f t="shared" si="163"/>
        <v>7.4195210276027925</v>
      </c>
      <c r="G1459" s="1323">
        <f t="shared" si="165"/>
        <v>2008</v>
      </c>
      <c r="H1459" s="1323">
        <f t="shared" si="166"/>
        <v>11</v>
      </c>
      <c r="I1459" s="1323">
        <f t="shared" si="167"/>
        <v>7</v>
      </c>
      <c r="J1459" s="1323"/>
      <c r="K1459" s="1323"/>
      <c r="L1459" s="1323"/>
      <c r="M1459" s="1323"/>
      <c r="N1459" s="1323"/>
      <c r="O1459" s="1323"/>
      <c r="P1459" s="1323"/>
      <c r="Q1459" s="1323"/>
      <c r="R1459" s="1304"/>
      <c r="S1459" s="1304"/>
      <c r="T1459" s="1304"/>
    </row>
    <row r="1460" spans="1:20">
      <c r="A1460" s="1303"/>
      <c r="B1460" s="1322" t="s">
        <v>5151</v>
      </c>
      <c r="C1460" s="1323" t="s">
        <v>2853</v>
      </c>
      <c r="D1460" s="1324">
        <f t="shared" si="162"/>
        <v>39758</v>
      </c>
      <c r="E1460" s="1323">
        <f t="shared" si="164"/>
        <v>9.7537000000000003</v>
      </c>
      <c r="F1460" s="1323">
        <f t="shared" si="163"/>
        <v>7.4180983785986774</v>
      </c>
      <c r="G1460" s="1323">
        <f t="shared" si="165"/>
        <v>2008</v>
      </c>
      <c r="H1460" s="1323">
        <f t="shared" si="166"/>
        <v>11</v>
      </c>
      <c r="I1460" s="1323">
        <f t="shared" si="167"/>
        <v>6</v>
      </c>
      <c r="J1460" s="1323"/>
      <c r="K1460" s="1323"/>
      <c r="L1460" s="1323"/>
      <c r="M1460" s="1323"/>
      <c r="N1460" s="1323"/>
      <c r="O1460" s="1323"/>
      <c r="P1460" s="1323"/>
      <c r="Q1460" s="1323"/>
      <c r="R1460" s="1304"/>
      <c r="S1460" s="1304"/>
      <c r="T1460" s="1304"/>
    </row>
    <row r="1461" spans="1:20">
      <c r="A1461" s="1303"/>
      <c r="B1461" s="1322" t="s">
        <v>5152</v>
      </c>
      <c r="C1461" s="1323" t="s">
        <v>5153</v>
      </c>
      <c r="D1461" s="1324">
        <f t="shared" si="162"/>
        <v>39757</v>
      </c>
      <c r="E1461" s="1323">
        <f t="shared" si="164"/>
        <v>9.7715999999999994</v>
      </c>
      <c r="F1461" s="1323">
        <f t="shared" si="163"/>
        <v>7.4166760023790426</v>
      </c>
      <c r="G1461" s="1323">
        <f t="shared" si="165"/>
        <v>2008</v>
      </c>
      <c r="H1461" s="1323">
        <f t="shared" si="166"/>
        <v>11</v>
      </c>
      <c r="I1461" s="1323">
        <f t="shared" si="167"/>
        <v>5</v>
      </c>
      <c r="J1461" s="1323"/>
      <c r="K1461" s="1323"/>
      <c r="L1461" s="1323"/>
      <c r="M1461" s="1323"/>
      <c r="N1461" s="1323"/>
      <c r="O1461" s="1323"/>
      <c r="P1461" s="1323"/>
      <c r="Q1461" s="1323"/>
      <c r="R1461" s="1304"/>
      <c r="S1461" s="1304"/>
      <c r="T1461" s="1304"/>
    </row>
    <row r="1462" spans="1:20">
      <c r="A1462" s="1303"/>
      <c r="B1462" s="1322" t="s">
        <v>5154</v>
      </c>
      <c r="C1462" s="1323" t="s">
        <v>5155</v>
      </c>
      <c r="D1462" s="1324">
        <f t="shared" si="162"/>
        <v>39756</v>
      </c>
      <c r="E1462" s="1323">
        <f t="shared" si="164"/>
        <v>10.0154</v>
      </c>
      <c r="F1462" s="1323">
        <f t="shared" si="163"/>
        <v>7.4152538988915833</v>
      </c>
      <c r="G1462" s="1323">
        <f t="shared" si="165"/>
        <v>2008</v>
      </c>
      <c r="H1462" s="1323">
        <f t="shared" si="166"/>
        <v>11</v>
      </c>
      <c r="I1462" s="1323">
        <f t="shared" si="167"/>
        <v>4</v>
      </c>
      <c r="J1462" s="1323"/>
      <c r="K1462" s="1323"/>
      <c r="L1462" s="1323"/>
      <c r="M1462" s="1323"/>
      <c r="N1462" s="1323"/>
      <c r="O1462" s="1323"/>
      <c r="P1462" s="1323"/>
      <c r="Q1462" s="1323"/>
      <c r="R1462" s="1304"/>
      <c r="S1462" s="1304"/>
      <c r="T1462" s="1304"/>
    </row>
    <row r="1463" spans="1:20">
      <c r="A1463" s="1303"/>
      <c r="B1463" s="1322" t="s">
        <v>5156</v>
      </c>
      <c r="C1463" s="1323" t="s">
        <v>5157</v>
      </c>
      <c r="D1463" s="1324">
        <f t="shared" si="162"/>
        <v>39755</v>
      </c>
      <c r="E1463" s="1323">
        <f t="shared" si="164"/>
        <v>9.7533999999999992</v>
      </c>
      <c r="F1463" s="1323">
        <f t="shared" si="163"/>
        <v>7.4138320680840053</v>
      </c>
      <c r="G1463" s="1323">
        <f t="shared" si="165"/>
        <v>2008</v>
      </c>
      <c r="H1463" s="1323">
        <f t="shared" si="166"/>
        <v>11</v>
      </c>
      <c r="I1463" s="1323">
        <f t="shared" si="167"/>
        <v>3</v>
      </c>
      <c r="J1463" s="1323"/>
      <c r="K1463" s="1323"/>
      <c r="L1463" s="1323"/>
      <c r="M1463" s="1323"/>
      <c r="N1463" s="1323"/>
      <c r="O1463" s="1323"/>
      <c r="P1463" s="1323"/>
      <c r="Q1463" s="1323"/>
      <c r="R1463" s="1304"/>
      <c r="S1463" s="1304"/>
      <c r="T1463" s="1304"/>
    </row>
    <row r="1464" spans="1:20">
      <c r="A1464" s="1303"/>
      <c r="B1464" s="1322" t="s">
        <v>5158</v>
      </c>
      <c r="C1464" s="1323" t="s">
        <v>5159</v>
      </c>
      <c r="D1464" s="1324">
        <f t="shared" si="162"/>
        <v>39752</v>
      </c>
      <c r="E1464" s="1323">
        <f t="shared" si="164"/>
        <v>10.1919</v>
      </c>
      <c r="F1464" s="1323">
        <f t="shared" si="163"/>
        <v>7.4124105099040234</v>
      </c>
      <c r="G1464" s="1323">
        <f t="shared" si="165"/>
        <v>2008</v>
      </c>
      <c r="H1464" s="1323">
        <f t="shared" si="166"/>
        <v>10</v>
      </c>
      <c r="I1464" s="1323">
        <f t="shared" si="167"/>
        <v>31</v>
      </c>
      <c r="J1464" s="1323"/>
      <c r="K1464" s="1323"/>
      <c r="L1464" s="1323"/>
      <c r="M1464" s="1323"/>
      <c r="N1464" s="1323"/>
      <c r="O1464" s="1323"/>
      <c r="P1464" s="1323"/>
      <c r="Q1464" s="1323"/>
      <c r="R1464" s="1304"/>
      <c r="S1464" s="1304"/>
      <c r="T1464" s="1304"/>
    </row>
    <row r="1465" spans="1:20">
      <c r="A1465" s="1303"/>
      <c r="B1465" s="1322" t="s">
        <v>5160</v>
      </c>
      <c r="C1465" s="1323" t="s">
        <v>5161</v>
      </c>
      <c r="D1465" s="1324">
        <f t="shared" si="162"/>
        <v>39751</v>
      </c>
      <c r="E1465" s="1323">
        <f t="shared" si="164"/>
        <v>9.5777999999999999</v>
      </c>
      <c r="F1465" s="1323">
        <f t="shared" si="163"/>
        <v>7.4109892242993629</v>
      </c>
      <c r="G1465" s="1323">
        <f t="shared" si="165"/>
        <v>2008</v>
      </c>
      <c r="H1465" s="1323">
        <f t="shared" si="166"/>
        <v>10</v>
      </c>
      <c r="I1465" s="1323">
        <f t="shared" si="167"/>
        <v>30</v>
      </c>
      <c r="J1465" s="1323"/>
      <c r="K1465" s="1323"/>
      <c r="L1465" s="1323"/>
      <c r="M1465" s="1323"/>
      <c r="N1465" s="1323"/>
      <c r="O1465" s="1323"/>
      <c r="P1465" s="1323"/>
      <c r="Q1465" s="1323"/>
      <c r="R1465" s="1304"/>
      <c r="S1465" s="1304"/>
      <c r="T1465" s="1304"/>
    </row>
    <row r="1466" spans="1:20">
      <c r="A1466" s="1303"/>
      <c r="B1466" s="1322" t="s">
        <v>5162</v>
      </c>
      <c r="C1466" s="1323" t="s">
        <v>5163</v>
      </c>
      <c r="D1466" s="1324">
        <f t="shared" si="162"/>
        <v>39750</v>
      </c>
      <c r="E1466" s="1323">
        <f t="shared" si="164"/>
        <v>10.313700000000001</v>
      </c>
      <c r="F1466" s="1323">
        <f t="shared" si="163"/>
        <v>7.409568211217759</v>
      </c>
      <c r="G1466" s="1323">
        <f t="shared" si="165"/>
        <v>2008</v>
      </c>
      <c r="H1466" s="1323">
        <f t="shared" si="166"/>
        <v>10</v>
      </c>
      <c r="I1466" s="1323">
        <f t="shared" si="167"/>
        <v>29</v>
      </c>
      <c r="J1466" s="1323"/>
      <c r="K1466" s="1323"/>
      <c r="L1466" s="1323"/>
      <c r="M1466" s="1323"/>
      <c r="N1466" s="1323"/>
      <c r="O1466" s="1323"/>
      <c r="P1466" s="1323"/>
      <c r="Q1466" s="1323"/>
      <c r="R1466" s="1304"/>
      <c r="S1466" s="1304"/>
      <c r="T1466" s="1304"/>
    </row>
    <row r="1467" spans="1:20">
      <c r="A1467" s="1303"/>
      <c r="B1467" s="1322" t="s">
        <v>5164</v>
      </c>
      <c r="C1467" s="1323" t="s">
        <v>5165</v>
      </c>
      <c r="D1467" s="1324">
        <f t="shared" si="162"/>
        <v>39749</v>
      </c>
      <c r="E1467" s="1323">
        <f t="shared" si="164"/>
        <v>10.714</v>
      </c>
      <c r="F1467" s="1323">
        <f t="shared" si="163"/>
        <v>7.4081474706069574</v>
      </c>
      <c r="G1467" s="1323">
        <f t="shared" si="165"/>
        <v>2008</v>
      </c>
      <c r="H1467" s="1323">
        <f t="shared" si="166"/>
        <v>10</v>
      </c>
      <c r="I1467" s="1323">
        <f t="shared" si="167"/>
        <v>28</v>
      </c>
      <c r="J1467" s="1323"/>
      <c r="K1467" s="1323"/>
      <c r="L1467" s="1323"/>
      <c r="M1467" s="1323"/>
      <c r="N1467" s="1323"/>
      <c r="O1467" s="1323"/>
      <c r="P1467" s="1323"/>
      <c r="Q1467" s="1323"/>
      <c r="R1467" s="1304"/>
      <c r="S1467" s="1304"/>
      <c r="T1467" s="1304"/>
    </row>
    <row r="1468" spans="1:20">
      <c r="A1468" s="1303"/>
      <c r="B1468" s="1322" t="s">
        <v>5166</v>
      </c>
      <c r="C1468" s="1323" t="s">
        <v>5167</v>
      </c>
      <c r="D1468" s="1324">
        <f t="shared" si="162"/>
        <v>39748</v>
      </c>
      <c r="E1468" s="1323">
        <f t="shared" si="164"/>
        <v>11.3088</v>
      </c>
      <c r="F1468" s="1323">
        <f t="shared" si="163"/>
        <v>7.4067270024147129</v>
      </c>
      <c r="G1468" s="1323">
        <f t="shared" si="165"/>
        <v>2008</v>
      </c>
      <c r="H1468" s="1323">
        <f t="shared" si="166"/>
        <v>10</v>
      </c>
      <c r="I1468" s="1323">
        <f t="shared" si="167"/>
        <v>27</v>
      </c>
      <c r="J1468" s="1323"/>
      <c r="K1468" s="1323"/>
      <c r="L1468" s="1323"/>
      <c r="M1468" s="1323"/>
      <c r="N1468" s="1323"/>
      <c r="O1468" s="1323"/>
      <c r="P1468" s="1323"/>
      <c r="Q1468" s="1323"/>
      <c r="R1468" s="1304"/>
      <c r="S1468" s="1304"/>
      <c r="T1468" s="1304"/>
    </row>
    <row r="1469" spans="1:20">
      <c r="A1469" s="1303"/>
      <c r="B1469" s="1322" t="s">
        <v>5168</v>
      </c>
      <c r="C1469" s="1323" t="s">
        <v>5169</v>
      </c>
      <c r="D1469" s="1324">
        <f t="shared" si="162"/>
        <v>39745</v>
      </c>
      <c r="E1469" s="1323">
        <f t="shared" si="164"/>
        <v>11.474</v>
      </c>
      <c r="F1469" s="1323">
        <f t="shared" si="163"/>
        <v>7.4053068065887917</v>
      </c>
      <c r="G1469" s="1323">
        <f t="shared" si="165"/>
        <v>2008</v>
      </c>
      <c r="H1469" s="1323">
        <f t="shared" si="166"/>
        <v>10</v>
      </c>
      <c r="I1469" s="1323">
        <f t="shared" si="167"/>
        <v>24</v>
      </c>
      <c r="J1469" s="1323"/>
      <c r="K1469" s="1323"/>
      <c r="L1469" s="1323"/>
      <c r="M1469" s="1323"/>
      <c r="N1469" s="1323"/>
      <c r="O1469" s="1323"/>
      <c r="P1469" s="1323"/>
      <c r="Q1469" s="1323"/>
      <c r="R1469" s="1304"/>
      <c r="S1469" s="1304"/>
      <c r="T1469" s="1304"/>
    </row>
    <row r="1470" spans="1:20">
      <c r="A1470" s="1303"/>
      <c r="B1470" s="1322" t="s">
        <v>5170</v>
      </c>
      <c r="C1470" s="1323" t="s">
        <v>5171</v>
      </c>
      <c r="D1470" s="1324">
        <f t="shared" si="162"/>
        <v>39744</v>
      </c>
      <c r="E1470" s="1323">
        <f t="shared" si="164"/>
        <v>11.432399999999999</v>
      </c>
      <c r="F1470" s="1323">
        <f t="shared" si="163"/>
        <v>7.4038868830769689</v>
      </c>
      <c r="G1470" s="1323">
        <f t="shared" si="165"/>
        <v>2008</v>
      </c>
      <c r="H1470" s="1323">
        <f t="shared" si="166"/>
        <v>10</v>
      </c>
      <c r="I1470" s="1323">
        <f t="shared" si="167"/>
        <v>23</v>
      </c>
      <c r="J1470" s="1323"/>
      <c r="K1470" s="1323"/>
      <c r="L1470" s="1323"/>
      <c r="M1470" s="1323"/>
      <c r="N1470" s="1323"/>
      <c r="O1470" s="1323"/>
      <c r="P1470" s="1323"/>
      <c r="Q1470" s="1323"/>
      <c r="R1470" s="1304"/>
      <c r="S1470" s="1304"/>
      <c r="T1470" s="1304"/>
    </row>
    <row r="1471" spans="1:20">
      <c r="A1471" s="1303"/>
      <c r="B1471" s="1322" t="s">
        <v>5172</v>
      </c>
      <c r="C1471" s="1323" t="s">
        <v>5173</v>
      </c>
      <c r="D1471" s="1324">
        <f t="shared" si="162"/>
        <v>39743</v>
      </c>
      <c r="E1471" s="1323">
        <f t="shared" si="164"/>
        <v>10.9255</v>
      </c>
      <c r="F1471" s="1323">
        <f t="shared" si="163"/>
        <v>7.4024672318270293</v>
      </c>
      <c r="G1471" s="1323">
        <f t="shared" si="165"/>
        <v>2008</v>
      </c>
      <c r="H1471" s="1323">
        <f t="shared" si="166"/>
        <v>10</v>
      </c>
      <c r="I1471" s="1323">
        <f t="shared" si="167"/>
        <v>22</v>
      </c>
      <c r="J1471" s="1323"/>
      <c r="K1471" s="1323"/>
      <c r="L1471" s="1323"/>
      <c r="M1471" s="1323"/>
      <c r="N1471" s="1323"/>
      <c r="O1471" s="1323"/>
      <c r="P1471" s="1323"/>
      <c r="Q1471" s="1323"/>
      <c r="R1471" s="1304"/>
      <c r="S1471" s="1304"/>
      <c r="T1471" s="1304"/>
    </row>
    <row r="1472" spans="1:20">
      <c r="A1472" s="1303"/>
      <c r="B1472" s="1322" t="s">
        <v>5174</v>
      </c>
      <c r="C1472" s="1323" t="s">
        <v>5175</v>
      </c>
      <c r="D1472" s="1324">
        <f t="shared" si="162"/>
        <v>39742</v>
      </c>
      <c r="E1472" s="1323">
        <f t="shared" si="164"/>
        <v>10.2727</v>
      </c>
      <c r="F1472" s="1323">
        <f t="shared" si="163"/>
        <v>7.4010478527867685</v>
      </c>
      <c r="G1472" s="1323">
        <f t="shared" si="165"/>
        <v>2008</v>
      </c>
      <c r="H1472" s="1323">
        <f t="shared" si="166"/>
        <v>10</v>
      </c>
      <c r="I1472" s="1323">
        <f t="shared" si="167"/>
        <v>21</v>
      </c>
      <c r="J1472" s="1323"/>
      <c r="K1472" s="1323"/>
      <c r="L1472" s="1323"/>
      <c r="M1472" s="1323"/>
      <c r="N1472" s="1323"/>
      <c r="O1472" s="1323"/>
      <c r="P1472" s="1323"/>
      <c r="Q1472" s="1323"/>
      <c r="R1472" s="1304"/>
      <c r="S1472" s="1304"/>
      <c r="T1472" s="1304"/>
    </row>
    <row r="1473" spans="1:20">
      <c r="A1473" s="1303"/>
      <c r="B1473" s="1322" t="s">
        <v>5176</v>
      </c>
      <c r="C1473" s="1323" t="s">
        <v>5177</v>
      </c>
      <c r="D1473" s="1324">
        <f t="shared" si="162"/>
        <v>39741</v>
      </c>
      <c r="E1473" s="1323">
        <f t="shared" si="164"/>
        <v>10.012700000000001</v>
      </c>
      <c r="F1473" s="1323">
        <f t="shared" si="163"/>
        <v>7.3996287459039918</v>
      </c>
      <c r="G1473" s="1323">
        <f t="shared" si="165"/>
        <v>2008</v>
      </c>
      <c r="H1473" s="1323">
        <f t="shared" si="166"/>
        <v>10</v>
      </c>
      <c r="I1473" s="1323">
        <f t="shared" si="167"/>
        <v>20</v>
      </c>
      <c r="J1473" s="1323"/>
      <c r="K1473" s="1323"/>
      <c r="L1473" s="1323"/>
      <c r="M1473" s="1323"/>
      <c r="N1473" s="1323"/>
      <c r="O1473" s="1323"/>
      <c r="P1473" s="1323"/>
      <c r="Q1473" s="1323"/>
      <c r="R1473" s="1304"/>
      <c r="S1473" s="1304"/>
      <c r="T1473" s="1304"/>
    </row>
    <row r="1474" spans="1:20">
      <c r="A1474" s="1303"/>
      <c r="B1474" s="1322" t="s">
        <v>5178</v>
      </c>
      <c r="C1474" s="1323" t="s">
        <v>5179</v>
      </c>
      <c r="D1474" s="1324">
        <f t="shared" si="162"/>
        <v>39738</v>
      </c>
      <c r="E1474" s="1323">
        <f t="shared" si="164"/>
        <v>10.1609</v>
      </c>
      <c r="F1474" s="1323">
        <f t="shared" si="163"/>
        <v>7.3982099111265152</v>
      </c>
      <c r="G1474" s="1323">
        <f t="shared" si="165"/>
        <v>2008</v>
      </c>
      <c r="H1474" s="1323">
        <f t="shared" si="166"/>
        <v>10</v>
      </c>
      <c r="I1474" s="1323">
        <f t="shared" si="167"/>
        <v>17</v>
      </c>
      <c r="J1474" s="1323"/>
      <c r="K1474" s="1323"/>
      <c r="L1474" s="1323"/>
      <c r="M1474" s="1323"/>
      <c r="N1474" s="1323"/>
      <c r="O1474" s="1323"/>
      <c r="P1474" s="1323"/>
      <c r="Q1474" s="1323"/>
      <c r="R1474" s="1304"/>
      <c r="S1474" s="1304"/>
      <c r="T1474" s="1304"/>
    </row>
    <row r="1475" spans="1:20">
      <c r="A1475" s="1303"/>
      <c r="B1475" s="1322" t="s">
        <v>5180</v>
      </c>
      <c r="C1475" s="1323" t="s">
        <v>5181</v>
      </c>
      <c r="D1475" s="1324">
        <f t="shared" si="162"/>
        <v>39737</v>
      </c>
      <c r="E1475" s="1323">
        <f t="shared" si="164"/>
        <v>10.2475</v>
      </c>
      <c r="F1475" s="1323">
        <f t="shared" si="163"/>
        <v>7.3967913484021635</v>
      </c>
      <c r="G1475" s="1323">
        <f t="shared" si="165"/>
        <v>2008</v>
      </c>
      <c r="H1475" s="1323">
        <f t="shared" si="166"/>
        <v>10</v>
      </c>
      <c r="I1475" s="1323">
        <f t="shared" si="167"/>
        <v>16</v>
      </c>
      <c r="J1475" s="1323"/>
      <c r="K1475" s="1323"/>
      <c r="L1475" s="1323"/>
      <c r="M1475" s="1323"/>
      <c r="N1475" s="1323"/>
      <c r="O1475" s="1323"/>
      <c r="P1475" s="1323"/>
      <c r="Q1475" s="1323"/>
      <c r="R1475" s="1304"/>
      <c r="S1475" s="1304"/>
      <c r="T1475" s="1304"/>
    </row>
    <row r="1476" spans="1:20">
      <c r="A1476" s="1303"/>
      <c r="B1476" s="1322" t="s">
        <v>5182</v>
      </c>
      <c r="C1476" s="1323" t="s">
        <v>5183</v>
      </c>
      <c r="D1476" s="1324">
        <f t="shared" si="162"/>
        <v>39736</v>
      </c>
      <c r="E1476" s="1323">
        <f t="shared" si="164"/>
        <v>9.2212999999999994</v>
      </c>
      <c r="F1476" s="1323">
        <f t="shared" si="163"/>
        <v>7.3953730576787731</v>
      </c>
      <c r="G1476" s="1323">
        <f t="shared" si="165"/>
        <v>2008</v>
      </c>
      <c r="H1476" s="1323">
        <f t="shared" si="166"/>
        <v>10</v>
      </c>
      <c r="I1476" s="1323">
        <f t="shared" si="167"/>
        <v>15</v>
      </c>
      <c r="J1476" s="1323"/>
      <c r="K1476" s="1323"/>
      <c r="L1476" s="1323"/>
      <c r="M1476" s="1323"/>
      <c r="N1476" s="1323"/>
      <c r="O1476" s="1323"/>
      <c r="P1476" s="1323"/>
      <c r="Q1476" s="1323"/>
      <c r="R1476" s="1304"/>
      <c r="S1476" s="1304"/>
      <c r="T1476" s="1304"/>
    </row>
    <row r="1477" spans="1:20">
      <c r="A1477" s="1303"/>
      <c r="B1477" s="1322" t="s">
        <v>5184</v>
      </c>
      <c r="C1477" s="1323" t="s">
        <v>5185</v>
      </c>
      <c r="D1477" s="1324">
        <f t="shared" si="162"/>
        <v>39735</v>
      </c>
      <c r="E1477" s="1323">
        <f t="shared" si="164"/>
        <v>9.0639000000000003</v>
      </c>
      <c r="F1477" s="1323">
        <f t="shared" si="163"/>
        <v>7.3939550389041884</v>
      </c>
      <c r="G1477" s="1323">
        <f t="shared" si="165"/>
        <v>2008</v>
      </c>
      <c r="H1477" s="1323">
        <f t="shared" si="166"/>
        <v>10</v>
      </c>
      <c r="I1477" s="1323">
        <f t="shared" si="167"/>
        <v>14</v>
      </c>
      <c r="J1477" s="1323"/>
      <c r="K1477" s="1323"/>
      <c r="L1477" s="1323"/>
      <c r="M1477" s="1323"/>
      <c r="N1477" s="1323"/>
      <c r="O1477" s="1323"/>
      <c r="P1477" s="1323"/>
      <c r="Q1477" s="1323"/>
      <c r="R1477" s="1304"/>
      <c r="S1477" s="1304"/>
      <c r="T1477" s="1304"/>
    </row>
    <row r="1478" spans="1:20">
      <c r="A1478" s="1303"/>
      <c r="B1478" s="1322" t="s">
        <v>5186</v>
      </c>
      <c r="C1478" s="1323" t="s">
        <v>5187</v>
      </c>
      <c r="D1478" s="1324">
        <f t="shared" si="162"/>
        <v>39734</v>
      </c>
      <c r="E1478" s="1323">
        <f t="shared" si="164"/>
        <v>9.1667000000000005</v>
      </c>
      <c r="F1478" s="1323">
        <f t="shared" si="163"/>
        <v>7.3925372920262653</v>
      </c>
      <c r="G1478" s="1323">
        <f t="shared" si="165"/>
        <v>2008</v>
      </c>
      <c r="H1478" s="1323">
        <f t="shared" si="166"/>
        <v>10</v>
      </c>
      <c r="I1478" s="1323">
        <f t="shared" si="167"/>
        <v>13</v>
      </c>
      <c r="J1478" s="1323"/>
      <c r="K1478" s="1323"/>
      <c r="L1478" s="1323"/>
      <c r="M1478" s="1323"/>
      <c r="N1478" s="1323"/>
      <c r="O1478" s="1323"/>
      <c r="P1478" s="1323"/>
      <c r="Q1478" s="1323"/>
      <c r="R1478" s="1304"/>
      <c r="S1478" s="1304"/>
      <c r="T1478" s="1304"/>
    </row>
    <row r="1479" spans="1:20">
      <c r="A1479" s="1303"/>
      <c r="B1479" s="1322" t="s">
        <v>5188</v>
      </c>
      <c r="C1479" s="1323" t="s">
        <v>5189</v>
      </c>
      <c r="D1479" s="1324">
        <f t="shared" si="162"/>
        <v>39731</v>
      </c>
      <c r="E1479" s="1323">
        <f t="shared" si="164"/>
        <v>9.3626000000000005</v>
      </c>
      <c r="F1479" s="1323">
        <f t="shared" si="163"/>
        <v>7.3911198169928696</v>
      </c>
      <c r="G1479" s="1323">
        <f t="shared" si="165"/>
        <v>2008</v>
      </c>
      <c r="H1479" s="1323">
        <f t="shared" si="166"/>
        <v>10</v>
      </c>
      <c r="I1479" s="1323">
        <f t="shared" si="167"/>
        <v>10</v>
      </c>
      <c r="J1479" s="1323"/>
      <c r="K1479" s="1323"/>
      <c r="L1479" s="1323"/>
      <c r="M1479" s="1323"/>
      <c r="N1479" s="1323"/>
      <c r="O1479" s="1323"/>
      <c r="P1479" s="1323"/>
      <c r="Q1479" s="1323"/>
      <c r="R1479" s="1304"/>
      <c r="S1479" s="1304"/>
      <c r="T1479" s="1304"/>
    </row>
    <row r="1480" spans="1:20">
      <c r="A1480" s="1303"/>
      <c r="B1480" s="1322" t="s">
        <v>5190</v>
      </c>
      <c r="C1480" s="1323" t="s">
        <v>5191</v>
      </c>
      <c r="D1480" s="1324">
        <f t="shared" si="162"/>
        <v>39730</v>
      </c>
      <c r="E1480" s="1323">
        <f t="shared" si="164"/>
        <v>9.0357000000000003</v>
      </c>
      <c r="F1480" s="1323">
        <f t="shared" si="163"/>
        <v>7.3897026137518758</v>
      </c>
      <c r="G1480" s="1323">
        <f t="shared" si="165"/>
        <v>2008</v>
      </c>
      <c r="H1480" s="1323">
        <f t="shared" si="166"/>
        <v>10</v>
      </c>
      <c r="I1480" s="1323">
        <f t="shared" si="167"/>
        <v>9</v>
      </c>
      <c r="J1480" s="1323"/>
      <c r="K1480" s="1323"/>
      <c r="L1480" s="1323"/>
      <c r="M1480" s="1323"/>
      <c r="N1480" s="1323"/>
      <c r="O1480" s="1323"/>
      <c r="P1480" s="1323"/>
      <c r="Q1480" s="1323"/>
      <c r="R1480" s="1304"/>
      <c r="S1480" s="1304"/>
      <c r="T1480" s="1304"/>
    </row>
    <row r="1481" spans="1:20">
      <c r="A1481" s="1303"/>
      <c r="B1481" s="1322" t="s">
        <v>5192</v>
      </c>
      <c r="C1481" s="1323" t="s">
        <v>5193</v>
      </c>
      <c r="D1481" s="1324">
        <f t="shared" ref="D1481:D1544" si="168">DATE(G1481,H1481,I1481)</f>
        <v>39729</v>
      </c>
      <c r="E1481" s="1323">
        <f t="shared" si="164"/>
        <v>9.3658000000000001</v>
      </c>
      <c r="F1481" s="1323">
        <f t="shared" ref="F1481:F1544" si="169">F1482*(1+$F$7/365)</f>
        <v>7.38828568225117</v>
      </c>
      <c r="G1481" s="1323">
        <f t="shared" si="165"/>
        <v>2008</v>
      </c>
      <c r="H1481" s="1323">
        <f t="shared" si="166"/>
        <v>10</v>
      </c>
      <c r="I1481" s="1323">
        <f t="shared" si="167"/>
        <v>8</v>
      </c>
      <c r="J1481" s="1323"/>
      <c r="K1481" s="1323"/>
      <c r="L1481" s="1323"/>
      <c r="M1481" s="1323"/>
      <c r="N1481" s="1323"/>
      <c r="O1481" s="1323"/>
      <c r="P1481" s="1323"/>
      <c r="Q1481" s="1323"/>
      <c r="R1481" s="1304"/>
      <c r="S1481" s="1304"/>
      <c r="T1481" s="1304"/>
    </row>
    <row r="1482" spans="1:20">
      <c r="A1482" s="1303"/>
      <c r="B1482" s="1322" t="s">
        <v>5194</v>
      </c>
      <c r="C1482" s="1323" t="s">
        <v>5195</v>
      </c>
      <c r="D1482" s="1324">
        <f t="shared" si="168"/>
        <v>39728</v>
      </c>
      <c r="E1482" s="1323">
        <f t="shared" si="164"/>
        <v>8.9282000000000004</v>
      </c>
      <c r="F1482" s="1323">
        <f t="shared" si="169"/>
        <v>7.3868690224386473</v>
      </c>
      <c r="G1482" s="1323">
        <f t="shared" si="165"/>
        <v>2008</v>
      </c>
      <c r="H1482" s="1323">
        <f t="shared" si="166"/>
        <v>10</v>
      </c>
      <c r="I1482" s="1323">
        <f t="shared" si="167"/>
        <v>7</v>
      </c>
      <c r="J1482" s="1323"/>
      <c r="K1482" s="1323"/>
      <c r="L1482" s="1323"/>
      <c r="M1482" s="1323"/>
      <c r="N1482" s="1323"/>
      <c r="O1482" s="1323"/>
      <c r="P1482" s="1323"/>
      <c r="Q1482" s="1323"/>
      <c r="R1482" s="1304"/>
      <c r="S1482" s="1304"/>
      <c r="T1482" s="1304"/>
    </row>
    <row r="1483" spans="1:20">
      <c r="A1483" s="1303"/>
      <c r="B1483" s="1322" t="s">
        <v>5196</v>
      </c>
      <c r="C1483" s="1323" t="s">
        <v>5197</v>
      </c>
      <c r="D1483" s="1324">
        <f t="shared" si="168"/>
        <v>39727</v>
      </c>
      <c r="E1483" s="1323">
        <f t="shared" si="164"/>
        <v>8.6692</v>
      </c>
      <c r="F1483" s="1323">
        <f t="shared" si="169"/>
        <v>7.3854526342622133</v>
      </c>
      <c r="G1483" s="1323">
        <f t="shared" si="165"/>
        <v>2008</v>
      </c>
      <c r="H1483" s="1323">
        <f t="shared" si="166"/>
        <v>10</v>
      </c>
      <c r="I1483" s="1323">
        <f t="shared" si="167"/>
        <v>6</v>
      </c>
      <c r="J1483" s="1323"/>
      <c r="K1483" s="1323"/>
      <c r="L1483" s="1323"/>
      <c r="M1483" s="1323"/>
      <c r="N1483" s="1323"/>
      <c r="O1483" s="1323"/>
      <c r="P1483" s="1323"/>
      <c r="Q1483" s="1323"/>
      <c r="R1483" s="1304"/>
      <c r="S1483" s="1304"/>
      <c r="T1483" s="1304"/>
    </row>
    <row r="1484" spans="1:20">
      <c r="A1484" s="1303"/>
      <c r="B1484" s="1322" t="s">
        <v>5198</v>
      </c>
      <c r="C1484" s="1323" t="s">
        <v>5199</v>
      </c>
      <c r="D1484" s="1324">
        <f t="shared" si="168"/>
        <v>39724</v>
      </c>
      <c r="E1484" s="1323">
        <f t="shared" si="164"/>
        <v>8.5187000000000008</v>
      </c>
      <c r="F1484" s="1323">
        <f t="shared" si="169"/>
        <v>7.3840365176697835</v>
      </c>
      <c r="G1484" s="1323">
        <f t="shared" si="165"/>
        <v>2008</v>
      </c>
      <c r="H1484" s="1323">
        <f t="shared" si="166"/>
        <v>10</v>
      </c>
      <c r="I1484" s="1323">
        <f t="shared" si="167"/>
        <v>3</v>
      </c>
      <c r="J1484" s="1323"/>
      <c r="K1484" s="1323"/>
      <c r="L1484" s="1323"/>
      <c r="M1484" s="1323"/>
      <c r="N1484" s="1323"/>
      <c r="O1484" s="1323"/>
      <c r="P1484" s="1323"/>
      <c r="Q1484" s="1323"/>
      <c r="R1484" s="1304"/>
      <c r="S1484" s="1304"/>
      <c r="T1484" s="1304"/>
    </row>
    <row r="1485" spans="1:20">
      <c r="A1485" s="1303"/>
      <c r="B1485" s="1322" t="s">
        <v>5200</v>
      </c>
      <c r="C1485" s="1323" t="s">
        <v>3652</v>
      </c>
      <c r="D1485" s="1324">
        <f t="shared" si="168"/>
        <v>39723</v>
      </c>
      <c r="E1485" s="1323">
        <f t="shared" si="164"/>
        <v>8.3749000000000002</v>
      </c>
      <c r="F1485" s="1323">
        <f t="shared" si="169"/>
        <v>7.3826206726092831</v>
      </c>
      <c r="G1485" s="1323">
        <f t="shared" si="165"/>
        <v>2008</v>
      </c>
      <c r="H1485" s="1323">
        <f t="shared" si="166"/>
        <v>10</v>
      </c>
      <c r="I1485" s="1323">
        <f t="shared" si="167"/>
        <v>2</v>
      </c>
      <c r="J1485" s="1323"/>
      <c r="K1485" s="1323"/>
      <c r="L1485" s="1323"/>
      <c r="M1485" s="1323"/>
      <c r="N1485" s="1323"/>
      <c r="O1485" s="1323"/>
      <c r="P1485" s="1323"/>
      <c r="Q1485" s="1323"/>
      <c r="R1485" s="1304"/>
      <c r="S1485" s="1304"/>
      <c r="T1485" s="1304"/>
    </row>
    <row r="1486" spans="1:20">
      <c r="A1486" s="1303"/>
      <c r="B1486" s="1322" t="s">
        <v>5201</v>
      </c>
      <c r="C1486" s="1323" t="s">
        <v>5202</v>
      </c>
      <c r="D1486" s="1324">
        <f t="shared" si="168"/>
        <v>39722</v>
      </c>
      <c r="E1486" s="1323">
        <f t="shared" si="164"/>
        <v>8.2484999999999999</v>
      </c>
      <c r="F1486" s="1323">
        <f t="shared" si="169"/>
        <v>7.3812050990286471</v>
      </c>
      <c r="G1486" s="1323">
        <f t="shared" si="165"/>
        <v>2008</v>
      </c>
      <c r="H1486" s="1323">
        <f t="shared" si="166"/>
        <v>10</v>
      </c>
      <c r="I1486" s="1323">
        <f t="shared" si="167"/>
        <v>1</v>
      </c>
      <c r="J1486" s="1323"/>
      <c r="K1486" s="1323"/>
      <c r="L1486" s="1323"/>
      <c r="M1486" s="1323"/>
      <c r="N1486" s="1323"/>
      <c r="O1486" s="1323"/>
      <c r="P1486" s="1323"/>
      <c r="Q1486" s="1323"/>
      <c r="R1486" s="1304"/>
      <c r="S1486" s="1304"/>
      <c r="T1486" s="1304"/>
    </row>
    <row r="1487" spans="1:20">
      <c r="A1487" s="1303"/>
      <c r="B1487" s="1322" t="s">
        <v>5203</v>
      </c>
      <c r="C1487" s="1323" t="s">
        <v>5204</v>
      </c>
      <c r="D1487" s="1324">
        <f t="shared" si="168"/>
        <v>39721</v>
      </c>
      <c r="E1487" s="1323">
        <f t="shared" si="164"/>
        <v>8.3145000000000007</v>
      </c>
      <c r="F1487" s="1323">
        <f t="shared" si="169"/>
        <v>7.379789796875821</v>
      </c>
      <c r="G1487" s="1323">
        <f t="shared" si="165"/>
        <v>2008</v>
      </c>
      <c r="H1487" s="1323">
        <f t="shared" si="166"/>
        <v>9</v>
      </c>
      <c r="I1487" s="1323">
        <f t="shared" si="167"/>
        <v>30</v>
      </c>
      <c r="J1487" s="1323"/>
      <c r="K1487" s="1323"/>
      <c r="L1487" s="1323"/>
      <c r="M1487" s="1323"/>
      <c r="N1487" s="1323"/>
      <c r="O1487" s="1323"/>
      <c r="P1487" s="1323"/>
      <c r="Q1487" s="1323"/>
      <c r="R1487" s="1304"/>
      <c r="S1487" s="1304"/>
      <c r="T1487" s="1304"/>
    </row>
    <row r="1488" spans="1:20">
      <c r="A1488" s="1303"/>
      <c r="B1488" s="1322" t="s">
        <v>5205</v>
      </c>
      <c r="C1488" s="1323" t="s">
        <v>5206</v>
      </c>
      <c r="D1488" s="1324">
        <f t="shared" si="168"/>
        <v>39720</v>
      </c>
      <c r="E1488" s="1323">
        <f t="shared" si="164"/>
        <v>8.2609999999999992</v>
      </c>
      <c r="F1488" s="1323">
        <f t="shared" si="169"/>
        <v>7.3783747660987604</v>
      </c>
      <c r="G1488" s="1323">
        <f t="shared" si="165"/>
        <v>2008</v>
      </c>
      <c r="H1488" s="1323">
        <f t="shared" si="166"/>
        <v>9</v>
      </c>
      <c r="I1488" s="1323">
        <f t="shared" si="167"/>
        <v>29</v>
      </c>
      <c r="J1488" s="1323"/>
      <c r="K1488" s="1323"/>
      <c r="L1488" s="1323"/>
      <c r="M1488" s="1323"/>
      <c r="N1488" s="1323"/>
      <c r="O1488" s="1323"/>
      <c r="P1488" s="1323"/>
      <c r="Q1488" s="1323"/>
      <c r="R1488" s="1304"/>
      <c r="S1488" s="1304"/>
      <c r="T1488" s="1304"/>
    </row>
    <row r="1489" spans="1:20">
      <c r="A1489" s="1303"/>
      <c r="B1489" s="1322" t="s">
        <v>5207</v>
      </c>
      <c r="C1489" s="1323" t="s">
        <v>5208</v>
      </c>
      <c r="D1489" s="1324">
        <f t="shared" si="168"/>
        <v>39717</v>
      </c>
      <c r="E1489" s="1323">
        <f t="shared" si="164"/>
        <v>8.1603999999999992</v>
      </c>
      <c r="F1489" s="1323">
        <f t="shared" si="169"/>
        <v>7.3769600066454313</v>
      </c>
      <c r="G1489" s="1323">
        <f t="shared" si="165"/>
        <v>2008</v>
      </c>
      <c r="H1489" s="1323">
        <f t="shared" si="166"/>
        <v>9</v>
      </c>
      <c r="I1489" s="1323">
        <f t="shared" si="167"/>
        <v>26</v>
      </c>
      <c r="J1489" s="1323"/>
      <c r="K1489" s="1323"/>
      <c r="L1489" s="1323"/>
      <c r="M1489" s="1323"/>
      <c r="N1489" s="1323"/>
      <c r="O1489" s="1323"/>
      <c r="P1489" s="1323"/>
      <c r="Q1489" s="1323"/>
      <c r="R1489" s="1304"/>
      <c r="S1489" s="1304"/>
      <c r="T1489" s="1304"/>
    </row>
    <row r="1490" spans="1:20">
      <c r="A1490" s="1303"/>
      <c r="B1490" s="1322" t="s">
        <v>5209</v>
      </c>
      <c r="C1490" s="1323" t="s">
        <v>5210</v>
      </c>
      <c r="D1490" s="1324">
        <f t="shared" si="168"/>
        <v>39716</v>
      </c>
      <c r="E1490" s="1323">
        <f t="shared" si="164"/>
        <v>8.1766000000000005</v>
      </c>
      <c r="F1490" s="1323">
        <f t="shared" si="169"/>
        <v>7.3755455184638077</v>
      </c>
      <c r="G1490" s="1323">
        <f t="shared" si="165"/>
        <v>2008</v>
      </c>
      <c r="H1490" s="1323">
        <f t="shared" si="166"/>
        <v>9</v>
      </c>
      <c r="I1490" s="1323">
        <f t="shared" si="167"/>
        <v>25</v>
      </c>
      <c r="J1490" s="1323"/>
      <c r="K1490" s="1323"/>
      <c r="L1490" s="1323"/>
      <c r="M1490" s="1323"/>
      <c r="N1490" s="1323"/>
      <c r="O1490" s="1323"/>
      <c r="P1490" s="1323"/>
      <c r="Q1490" s="1323"/>
      <c r="R1490" s="1304"/>
      <c r="S1490" s="1304"/>
      <c r="T1490" s="1304"/>
    </row>
    <row r="1491" spans="1:20">
      <c r="A1491" s="1303"/>
      <c r="B1491" s="1322" t="s">
        <v>5211</v>
      </c>
      <c r="C1491" s="1323" t="s">
        <v>5212</v>
      </c>
      <c r="D1491" s="1324">
        <f t="shared" si="168"/>
        <v>39714</v>
      </c>
      <c r="E1491" s="1323">
        <f t="shared" si="164"/>
        <v>7.9832999999999998</v>
      </c>
      <c r="F1491" s="1323">
        <f t="shared" si="169"/>
        <v>7.3741313015018752</v>
      </c>
      <c r="G1491" s="1323">
        <f t="shared" si="165"/>
        <v>2008</v>
      </c>
      <c r="H1491" s="1323">
        <f t="shared" si="166"/>
        <v>9</v>
      </c>
      <c r="I1491" s="1323">
        <f t="shared" si="167"/>
        <v>23</v>
      </c>
      <c r="J1491" s="1323"/>
      <c r="K1491" s="1323"/>
      <c r="L1491" s="1323"/>
      <c r="M1491" s="1323"/>
      <c r="N1491" s="1323"/>
      <c r="O1491" s="1323"/>
      <c r="P1491" s="1323"/>
      <c r="Q1491" s="1323"/>
      <c r="R1491" s="1304"/>
      <c r="S1491" s="1304"/>
      <c r="T1491" s="1304"/>
    </row>
    <row r="1492" spans="1:20">
      <c r="A1492" s="1303"/>
      <c r="B1492" s="1322" t="s">
        <v>5213</v>
      </c>
      <c r="C1492" s="1323" t="s">
        <v>5214</v>
      </c>
      <c r="D1492" s="1324">
        <f t="shared" si="168"/>
        <v>39713</v>
      </c>
      <c r="E1492" s="1323">
        <f t="shared" si="164"/>
        <v>8.0291999999999994</v>
      </c>
      <c r="F1492" s="1323">
        <f t="shared" si="169"/>
        <v>7.3727173557076293</v>
      </c>
      <c r="G1492" s="1323">
        <f t="shared" si="165"/>
        <v>2008</v>
      </c>
      <c r="H1492" s="1323">
        <f t="shared" si="166"/>
        <v>9</v>
      </c>
      <c r="I1492" s="1323">
        <f t="shared" si="167"/>
        <v>22</v>
      </c>
      <c r="J1492" s="1323"/>
      <c r="K1492" s="1323"/>
      <c r="L1492" s="1323"/>
      <c r="M1492" s="1323"/>
      <c r="N1492" s="1323"/>
      <c r="O1492" s="1323"/>
      <c r="P1492" s="1323"/>
      <c r="Q1492" s="1323"/>
      <c r="R1492" s="1304"/>
      <c r="S1492" s="1304"/>
      <c r="T1492" s="1304"/>
    </row>
    <row r="1493" spans="1:20">
      <c r="A1493" s="1303"/>
      <c r="B1493" s="1322" t="s">
        <v>5215</v>
      </c>
      <c r="C1493" s="1323" t="s">
        <v>5216</v>
      </c>
      <c r="D1493" s="1324">
        <f t="shared" si="168"/>
        <v>39710</v>
      </c>
      <c r="E1493" s="1323">
        <f t="shared" si="164"/>
        <v>8.0774000000000008</v>
      </c>
      <c r="F1493" s="1323">
        <f t="shared" si="169"/>
        <v>7.371303681029076</v>
      </c>
      <c r="G1493" s="1323">
        <f t="shared" si="165"/>
        <v>2008</v>
      </c>
      <c r="H1493" s="1323">
        <f t="shared" si="166"/>
        <v>9</v>
      </c>
      <c r="I1493" s="1323">
        <f t="shared" si="167"/>
        <v>19</v>
      </c>
      <c r="J1493" s="1323"/>
      <c r="K1493" s="1323"/>
      <c r="L1493" s="1323"/>
      <c r="M1493" s="1323"/>
      <c r="N1493" s="1323"/>
      <c r="O1493" s="1323"/>
      <c r="P1493" s="1323"/>
      <c r="Q1493" s="1323"/>
      <c r="R1493" s="1304"/>
      <c r="S1493" s="1304"/>
      <c r="T1493" s="1304"/>
    </row>
    <row r="1494" spans="1:20">
      <c r="A1494" s="1303"/>
      <c r="B1494" s="1322" t="s">
        <v>5217</v>
      </c>
      <c r="C1494" s="1323" t="s">
        <v>5218</v>
      </c>
      <c r="D1494" s="1324">
        <f t="shared" si="168"/>
        <v>39709</v>
      </c>
      <c r="E1494" s="1323">
        <f t="shared" ref="E1494:E1557" si="170">VALUE(C1495)</f>
        <v>8.1858000000000004</v>
      </c>
      <c r="F1494" s="1323">
        <f t="shared" si="169"/>
        <v>7.3698902774142292</v>
      </c>
      <c r="G1494" s="1323">
        <f t="shared" ref="G1494:G1557" si="171">YEAR(B1495)</f>
        <v>2008</v>
      </c>
      <c r="H1494" s="1323">
        <f t="shared" ref="H1494:H1557" si="172">MONTH(B1495)</f>
        <v>9</v>
      </c>
      <c r="I1494" s="1323">
        <f t="shared" ref="I1494:I1557" si="173">DAY(B1495)</f>
        <v>18</v>
      </c>
      <c r="J1494" s="1323"/>
      <c r="K1494" s="1323"/>
      <c r="L1494" s="1323"/>
      <c r="M1494" s="1323"/>
      <c r="N1494" s="1323"/>
      <c r="O1494" s="1323"/>
      <c r="P1494" s="1323"/>
      <c r="Q1494" s="1323"/>
      <c r="R1494" s="1304"/>
      <c r="S1494" s="1304"/>
      <c r="T1494" s="1304"/>
    </row>
    <row r="1495" spans="1:20">
      <c r="A1495" s="1303"/>
      <c r="B1495" s="1322" t="s">
        <v>5219</v>
      </c>
      <c r="C1495" s="1323" t="s">
        <v>5220</v>
      </c>
      <c r="D1495" s="1324">
        <f t="shared" si="168"/>
        <v>39708</v>
      </c>
      <c r="E1495" s="1323">
        <f t="shared" si="170"/>
        <v>8.1137999999999995</v>
      </c>
      <c r="F1495" s="1323">
        <f t="shared" si="169"/>
        <v>7.3684771448111146</v>
      </c>
      <c r="G1495" s="1323">
        <f t="shared" si="171"/>
        <v>2008</v>
      </c>
      <c r="H1495" s="1323">
        <f t="shared" si="172"/>
        <v>9</v>
      </c>
      <c r="I1495" s="1323">
        <f t="shared" si="173"/>
        <v>17</v>
      </c>
      <c r="J1495" s="1323"/>
      <c r="K1495" s="1323"/>
      <c r="L1495" s="1323"/>
      <c r="M1495" s="1323"/>
      <c r="N1495" s="1323"/>
      <c r="O1495" s="1323"/>
      <c r="P1495" s="1323"/>
      <c r="Q1495" s="1323"/>
      <c r="R1495" s="1304"/>
      <c r="S1495" s="1304"/>
      <c r="T1495" s="1304"/>
    </row>
    <row r="1496" spans="1:20">
      <c r="A1496" s="1303"/>
      <c r="B1496" s="1322" t="s">
        <v>5221</v>
      </c>
      <c r="C1496" s="1323" t="s">
        <v>5222</v>
      </c>
      <c r="D1496" s="1324">
        <f t="shared" si="168"/>
        <v>39707</v>
      </c>
      <c r="E1496" s="1323">
        <f t="shared" si="170"/>
        <v>8.2026000000000003</v>
      </c>
      <c r="F1496" s="1323">
        <f t="shared" si="169"/>
        <v>7.3670642831677675</v>
      </c>
      <c r="G1496" s="1323">
        <f t="shared" si="171"/>
        <v>2008</v>
      </c>
      <c r="H1496" s="1323">
        <f t="shared" si="172"/>
        <v>9</v>
      </c>
      <c r="I1496" s="1323">
        <f t="shared" si="173"/>
        <v>16</v>
      </c>
      <c r="J1496" s="1323"/>
      <c r="K1496" s="1323"/>
      <c r="L1496" s="1323"/>
      <c r="M1496" s="1323"/>
      <c r="N1496" s="1323"/>
      <c r="O1496" s="1323"/>
      <c r="P1496" s="1323"/>
      <c r="Q1496" s="1323"/>
      <c r="R1496" s="1304"/>
      <c r="S1496" s="1304"/>
      <c r="T1496" s="1304"/>
    </row>
    <row r="1497" spans="1:20">
      <c r="A1497" s="1303"/>
      <c r="B1497" s="1322" t="s">
        <v>5223</v>
      </c>
      <c r="C1497" s="1323" t="s">
        <v>5224</v>
      </c>
      <c r="D1497" s="1324">
        <f t="shared" si="168"/>
        <v>39706</v>
      </c>
      <c r="E1497" s="1323">
        <f t="shared" si="170"/>
        <v>8.1167999999999996</v>
      </c>
      <c r="F1497" s="1323">
        <f t="shared" si="169"/>
        <v>7.3656516924322322</v>
      </c>
      <c r="G1497" s="1323">
        <f t="shared" si="171"/>
        <v>2008</v>
      </c>
      <c r="H1497" s="1323">
        <f t="shared" si="172"/>
        <v>9</v>
      </c>
      <c r="I1497" s="1323">
        <f t="shared" si="173"/>
        <v>15</v>
      </c>
      <c r="J1497" s="1323"/>
      <c r="K1497" s="1323"/>
      <c r="L1497" s="1323"/>
      <c r="M1497" s="1323"/>
      <c r="N1497" s="1323"/>
      <c r="O1497" s="1323"/>
      <c r="P1497" s="1323"/>
      <c r="Q1497" s="1323"/>
      <c r="R1497" s="1304"/>
      <c r="S1497" s="1304"/>
      <c r="T1497" s="1304"/>
    </row>
    <row r="1498" spans="1:20">
      <c r="A1498" s="1303"/>
      <c r="B1498" s="1322" t="s">
        <v>5225</v>
      </c>
      <c r="C1498" s="1323" t="s">
        <v>5226</v>
      </c>
      <c r="D1498" s="1324">
        <f t="shared" si="168"/>
        <v>39703</v>
      </c>
      <c r="E1498" s="1323">
        <f t="shared" si="170"/>
        <v>8.0794999999999995</v>
      </c>
      <c r="F1498" s="1323">
        <f t="shared" si="169"/>
        <v>7.3642393725525643</v>
      </c>
      <c r="G1498" s="1323">
        <f t="shared" si="171"/>
        <v>2008</v>
      </c>
      <c r="H1498" s="1323">
        <f t="shared" si="172"/>
        <v>9</v>
      </c>
      <c r="I1498" s="1323">
        <f t="shared" si="173"/>
        <v>12</v>
      </c>
      <c r="J1498" s="1323"/>
      <c r="K1498" s="1323"/>
      <c r="L1498" s="1323"/>
      <c r="M1498" s="1323"/>
      <c r="N1498" s="1323"/>
      <c r="O1498" s="1323"/>
      <c r="P1498" s="1323"/>
      <c r="Q1498" s="1323"/>
      <c r="R1498" s="1304"/>
      <c r="S1498" s="1304"/>
      <c r="T1498" s="1304"/>
    </row>
    <row r="1499" spans="1:20">
      <c r="A1499" s="1303"/>
      <c r="B1499" s="1322" t="s">
        <v>5227</v>
      </c>
      <c r="C1499" s="1323" t="s">
        <v>5228</v>
      </c>
      <c r="D1499" s="1324">
        <f t="shared" si="168"/>
        <v>39702</v>
      </c>
      <c r="E1499" s="1323">
        <f t="shared" si="170"/>
        <v>8.2613000000000003</v>
      </c>
      <c r="F1499" s="1323">
        <f t="shared" si="169"/>
        <v>7.3628273234768287</v>
      </c>
      <c r="G1499" s="1323">
        <f t="shared" si="171"/>
        <v>2008</v>
      </c>
      <c r="H1499" s="1323">
        <f t="shared" si="172"/>
        <v>9</v>
      </c>
      <c r="I1499" s="1323">
        <f t="shared" si="173"/>
        <v>11</v>
      </c>
      <c r="J1499" s="1323"/>
      <c r="K1499" s="1323"/>
      <c r="L1499" s="1323"/>
      <c r="M1499" s="1323"/>
      <c r="N1499" s="1323"/>
      <c r="O1499" s="1323"/>
      <c r="P1499" s="1323"/>
      <c r="Q1499" s="1323"/>
      <c r="R1499" s="1304"/>
      <c r="S1499" s="1304"/>
      <c r="T1499" s="1304"/>
    </row>
    <row r="1500" spans="1:20">
      <c r="A1500" s="1303"/>
      <c r="B1500" s="1322" t="s">
        <v>5229</v>
      </c>
      <c r="C1500" s="1323" t="s">
        <v>5230</v>
      </c>
      <c r="D1500" s="1324">
        <f t="shared" si="168"/>
        <v>39701</v>
      </c>
      <c r="E1500" s="1323">
        <f t="shared" si="170"/>
        <v>8.0317000000000007</v>
      </c>
      <c r="F1500" s="1323">
        <f t="shared" si="169"/>
        <v>7.3614155451531005</v>
      </c>
      <c r="G1500" s="1323">
        <f t="shared" si="171"/>
        <v>2008</v>
      </c>
      <c r="H1500" s="1323">
        <f t="shared" si="172"/>
        <v>9</v>
      </c>
      <c r="I1500" s="1323">
        <f t="shared" si="173"/>
        <v>10</v>
      </c>
      <c r="J1500" s="1323"/>
      <c r="K1500" s="1323"/>
      <c r="L1500" s="1323"/>
      <c r="M1500" s="1323"/>
      <c r="N1500" s="1323"/>
      <c r="O1500" s="1323"/>
      <c r="P1500" s="1323"/>
      <c r="Q1500" s="1323"/>
      <c r="R1500" s="1304"/>
      <c r="S1500" s="1304"/>
      <c r="T1500" s="1304"/>
    </row>
    <row r="1501" spans="1:20">
      <c r="A1501" s="1303"/>
      <c r="B1501" s="1322" t="s">
        <v>5231</v>
      </c>
      <c r="C1501" s="1323" t="s">
        <v>5232</v>
      </c>
      <c r="D1501" s="1324">
        <f t="shared" si="168"/>
        <v>39700</v>
      </c>
      <c r="E1501" s="1323">
        <f t="shared" si="170"/>
        <v>7.9297000000000004</v>
      </c>
      <c r="F1501" s="1323">
        <f t="shared" si="169"/>
        <v>7.3600040375294649</v>
      </c>
      <c r="G1501" s="1323">
        <f t="shared" si="171"/>
        <v>2008</v>
      </c>
      <c r="H1501" s="1323">
        <f t="shared" si="172"/>
        <v>9</v>
      </c>
      <c r="I1501" s="1323">
        <f t="shared" si="173"/>
        <v>9</v>
      </c>
      <c r="J1501" s="1323"/>
      <c r="K1501" s="1323"/>
      <c r="L1501" s="1323"/>
      <c r="M1501" s="1323"/>
      <c r="N1501" s="1323"/>
      <c r="O1501" s="1323"/>
      <c r="P1501" s="1323"/>
      <c r="Q1501" s="1323"/>
      <c r="R1501" s="1304"/>
      <c r="S1501" s="1304"/>
      <c r="T1501" s="1304"/>
    </row>
    <row r="1502" spans="1:20">
      <c r="A1502" s="1303"/>
      <c r="B1502" s="1322" t="s">
        <v>5233</v>
      </c>
      <c r="C1502" s="1323" t="s">
        <v>5234</v>
      </c>
      <c r="D1502" s="1324">
        <f t="shared" si="168"/>
        <v>39699</v>
      </c>
      <c r="E1502" s="1323">
        <f t="shared" si="170"/>
        <v>7.8338000000000001</v>
      </c>
      <c r="F1502" s="1323">
        <f t="shared" si="169"/>
        <v>7.3585928005540158</v>
      </c>
      <c r="G1502" s="1323">
        <f t="shared" si="171"/>
        <v>2008</v>
      </c>
      <c r="H1502" s="1323">
        <f t="shared" si="172"/>
        <v>9</v>
      </c>
      <c r="I1502" s="1323">
        <f t="shared" si="173"/>
        <v>8</v>
      </c>
      <c r="J1502" s="1323"/>
      <c r="K1502" s="1323"/>
      <c r="L1502" s="1323"/>
      <c r="M1502" s="1323"/>
      <c r="N1502" s="1323"/>
      <c r="O1502" s="1323"/>
      <c r="P1502" s="1323"/>
      <c r="Q1502" s="1323"/>
      <c r="R1502" s="1304"/>
      <c r="S1502" s="1304"/>
      <c r="T1502" s="1304"/>
    </row>
    <row r="1503" spans="1:20">
      <c r="A1503" s="1303"/>
      <c r="B1503" s="1322" t="s">
        <v>5235</v>
      </c>
      <c r="C1503" s="1323" t="s">
        <v>5236</v>
      </c>
      <c r="D1503" s="1324">
        <f t="shared" si="168"/>
        <v>39696</v>
      </c>
      <c r="E1503" s="1323">
        <f t="shared" si="170"/>
        <v>8.0548999999999999</v>
      </c>
      <c r="F1503" s="1323">
        <f t="shared" si="169"/>
        <v>7.3571818341748587</v>
      </c>
      <c r="G1503" s="1323">
        <f t="shared" si="171"/>
        <v>2008</v>
      </c>
      <c r="H1503" s="1323">
        <f t="shared" si="172"/>
        <v>9</v>
      </c>
      <c r="I1503" s="1323">
        <f t="shared" si="173"/>
        <v>5</v>
      </c>
      <c r="J1503" s="1323"/>
      <c r="K1503" s="1323"/>
      <c r="L1503" s="1323"/>
      <c r="M1503" s="1323"/>
      <c r="N1503" s="1323"/>
      <c r="O1503" s="1323"/>
      <c r="P1503" s="1323"/>
      <c r="Q1503" s="1323"/>
      <c r="R1503" s="1304"/>
      <c r="S1503" s="1304"/>
      <c r="T1503" s="1304"/>
    </row>
    <row r="1504" spans="1:20">
      <c r="A1504" s="1303"/>
      <c r="B1504" s="1322" t="s">
        <v>5237</v>
      </c>
      <c r="C1504" s="1323" t="s">
        <v>5238</v>
      </c>
      <c r="D1504" s="1324">
        <f t="shared" si="168"/>
        <v>39695</v>
      </c>
      <c r="E1504" s="1323">
        <f t="shared" si="170"/>
        <v>7.8563999999999998</v>
      </c>
      <c r="F1504" s="1323">
        <f t="shared" si="169"/>
        <v>7.3557711383401081</v>
      </c>
      <c r="G1504" s="1323">
        <f t="shared" si="171"/>
        <v>2008</v>
      </c>
      <c r="H1504" s="1323">
        <f t="shared" si="172"/>
        <v>9</v>
      </c>
      <c r="I1504" s="1323">
        <f t="shared" si="173"/>
        <v>4</v>
      </c>
      <c r="J1504" s="1323"/>
      <c r="K1504" s="1323"/>
      <c r="L1504" s="1323"/>
      <c r="M1504" s="1323"/>
      <c r="N1504" s="1323"/>
      <c r="O1504" s="1323"/>
      <c r="P1504" s="1323"/>
      <c r="Q1504" s="1323"/>
      <c r="R1504" s="1304"/>
      <c r="S1504" s="1304"/>
      <c r="T1504" s="1304"/>
    </row>
    <row r="1505" spans="1:20">
      <c r="A1505" s="1303"/>
      <c r="B1505" s="1322" t="s">
        <v>5239</v>
      </c>
      <c r="C1505" s="1323" t="s">
        <v>5240</v>
      </c>
      <c r="D1505" s="1324">
        <f t="shared" si="168"/>
        <v>39694</v>
      </c>
      <c r="E1505" s="1323">
        <f t="shared" si="170"/>
        <v>7.8602999999999996</v>
      </c>
      <c r="F1505" s="1323">
        <f t="shared" si="169"/>
        <v>7.354360712997889</v>
      </c>
      <c r="G1505" s="1323">
        <f t="shared" si="171"/>
        <v>2008</v>
      </c>
      <c r="H1505" s="1323">
        <f t="shared" si="172"/>
        <v>9</v>
      </c>
      <c r="I1505" s="1323">
        <f t="shared" si="173"/>
        <v>3</v>
      </c>
      <c r="J1505" s="1323"/>
      <c r="K1505" s="1323"/>
      <c r="L1505" s="1323"/>
      <c r="M1505" s="1323"/>
      <c r="N1505" s="1323"/>
      <c r="O1505" s="1323"/>
      <c r="P1505" s="1323"/>
      <c r="Q1505" s="1323"/>
      <c r="R1505" s="1304"/>
      <c r="S1505" s="1304"/>
      <c r="T1505" s="1304"/>
    </row>
    <row r="1506" spans="1:20">
      <c r="A1506" s="1303"/>
      <c r="B1506" s="1322" t="s">
        <v>5241</v>
      </c>
      <c r="C1506" s="1323" t="s">
        <v>5242</v>
      </c>
      <c r="D1506" s="1324">
        <f t="shared" si="168"/>
        <v>39693</v>
      </c>
      <c r="E1506" s="1323">
        <f t="shared" si="170"/>
        <v>7.8021000000000003</v>
      </c>
      <c r="F1506" s="1323">
        <f t="shared" si="169"/>
        <v>7.3529505580963361</v>
      </c>
      <c r="G1506" s="1323">
        <f t="shared" si="171"/>
        <v>2008</v>
      </c>
      <c r="H1506" s="1323">
        <f t="shared" si="172"/>
        <v>9</v>
      </c>
      <c r="I1506" s="1323">
        <f t="shared" si="173"/>
        <v>2</v>
      </c>
      <c r="J1506" s="1323"/>
      <c r="K1506" s="1323"/>
      <c r="L1506" s="1323"/>
      <c r="M1506" s="1323"/>
      <c r="N1506" s="1323"/>
      <c r="O1506" s="1323"/>
      <c r="P1506" s="1323"/>
      <c r="Q1506" s="1323"/>
      <c r="R1506" s="1304"/>
      <c r="S1506" s="1304"/>
      <c r="T1506" s="1304"/>
    </row>
    <row r="1507" spans="1:20">
      <c r="A1507" s="1303"/>
      <c r="B1507" s="1322" t="s">
        <v>5243</v>
      </c>
      <c r="C1507" s="1323" t="s">
        <v>5244</v>
      </c>
      <c r="D1507" s="1324">
        <f t="shared" si="168"/>
        <v>39692</v>
      </c>
      <c r="E1507" s="1323">
        <f t="shared" si="170"/>
        <v>7.7271999999999998</v>
      </c>
      <c r="F1507" s="1323">
        <f t="shared" si="169"/>
        <v>7.3515406735835942</v>
      </c>
      <c r="G1507" s="1323">
        <f t="shared" si="171"/>
        <v>2008</v>
      </c>
      <c r="H1507" s="1323">
        <f t="shared" si="172"/>
        <v>9</v>
      </c>
      <c r="I1507" s="1323">
        <f t="shared" si="173"/>
        <v>1</v>
      </c>
      <c r="J1507" s="1323"/>
      <c r="K1507" s="1323"/>
      <c r="L1507" s="1323"/>
      <c r="M1507" s="1323"/>
      <c r="N1507" s="1323"/>
      <c r="O1507" s="1323"/>
      <c r="P1507" s="1323"/>
      <c r="Q1507" s="1323"/>
      <c r="R1507" s="1304"/>
      <c r="S1507" s="1304"/>
      <c r="T1507" s="1304"/>
    </row>
    <row r="1508" spans="1:20">
      <c r="A1508" s="1303"/>
      <c r="B1508" s="1322" t="s">
        <v>5245</v>
      </c>
      <c r="C1508" s="1323" t="s">
        <v>4608</v>
      </c>
      <c r="D1508" s="1324">
        <f t="shared" si="168"/>
        <v>39689</v>
      </c>
      <c r="E1508" s="1323">
        <f t="shared" si="170"/>
        <v>7.6696</v>
      </c>
      <c r="F1508" s="1323">
        <f t="shared" si="169"/>
        <v>7.3501310594078175</v>
      </c>
      <c r="G1508" s="1323">
        <f t="shared" si="171"/>
        <v>2008</v>
      </c>
      <c r="H1508" s="1323">
        <f t="shared" si="172"/>
        <v>8</v>
      </c>
      <c r="I1508" s="1323">
        <f t="shared" si="173"/>
        <v>29</v>
      </c>
      <c r="J1508" s="1323"/>
      <c r="K1508" s="1323"/>
      <c r="L1508" s="1323"/>
      <c r="M1508" s="1323"/>
      <c r="N1508" s="1323"/>
      <c r="O1508" s="1323"/>
      <c r="P1508" s="1323"/>
      <c r="Q1508" s="1323"/>
      <c r="R1508" s="1304"/>
      <c r="S1508" s="1304"/>
      <c r="T1508" s="1304"/>
    </row>
    <row r="1509" spans="1:20">
      <c r="A1509" s="1303"/>
      <c r="B1509" s="1322" t="s">
        <v>5246</v>
      </c>
      <c r="C1509" s="1323" t="s">
        <v>5247</v>
      </c>
      <c r="D1509" s="1324">
        <f t="shared" si="168"/>
        <v>39688</v>
      </c>
      <c r="E1509" s="1323">
        <f t="shared" si="170"/>
        <v>7.72</v>
      </c>
      <c r="F1509" s="1323">
        <f t="shared" si="169"/>
        <v>7.3487217155171702</v>
      </c>
      <c r="G1509" s="1323">
        <f t="shared" si="171"/>
        <v>2008</v>
      </c>
      <c r="H1509" s="1323">
        <f t="shared" si="172"/>
        <v>8</v>
      </c>
      <c r="I1509" s="1323">
        <f t="shared" si="173"/>
        <v>28</v>
      </c>
      <c r="J1509" s="1323"/>
      <c r="K1509" s="1323"/>
      <c r="L1509" s="1323"/>
      <c r="M1509" s="1323"/>
      <c r="N1509" s="1323"/>
      <c r="O1509" s="1323"/>
      <c r="P1509" s="1323"/>
      <c r="Q1509" s="1323"/>
      <c r="R1509" s="1304"/>
      <c r="S1509" s="1304"/>
      <c r="T1509" s="1304"/>
    </row>
    <row r="1510" spans="1:20">
      <c r="A1510" s="1303"/>
      <c r="B1510" s="1322" t="s">
        <v>5248</v>
      </c>
      <c r="C1510" s="1323" t="s">
        <v>5249</v>
      </c>
      <c r="D1510" s="1324">
        <f t="shared" si="168"/>
        <v>39687</v>
      </c>
      <c r="E1510" s="1323">
        <f t="shared" si="170"/>
        <v>7.7798999999999996</v>
      </c>
      <c r="F1510" s="1323">
        <f t="shared" si="169"/>
        <v>7.3473126418598271</v>
      </c>
      <c r="G1510" s="1323">
        <f t="shared" si="171"/>
        <v>2008</v>
      </c>
      <c r="H1510" s="1323">
        <f t="shared" si="172"/>
        <v>8</v>
      </c>
      <c r="I1510" s="1323">
        <f t="shared" si="173"/>
        <v>27</v>
      </c>
      <c r="J1510" s="1323"/>
      <c r="K1510" s="1323"/>
      <c r="L1510" s="1323"/>
      <c r="M1510" s="1323"/>
      <c r="N1510" s="1323"/>
      <c r="O1510" s="1323"/>
      <c r="P1510" s="1323"/>
      <c r="Q1510" s="1323"/>
      <c r="R1510" s="1304"/>
      <c r="S1510" s="1304"/>
      <c r="T1510" s="1304"/>
    </row>
    <row r="1511" spans="1:20">
      <c r="A1511" s="1303"/>
      <c r="B1511" s="1322" t="s">
        <v>5250</v>
      </c>
      <c r="C1511" s="1323" t="s">
        <v>5251</v>
      </c>
      <c r="D1511" s="1324">
        <f t="shared" si="168"/>
        <v>39686</v>
      </c>
      <c r="E1511" s="1323">
        <f t="shared" si="170"/>
        <v>7.7929000000000004</v>
      </c>
      <c r="F1511" s="1323">
        <f t="shared" si="169"/>
        <v>7.3459038383839728</v>
      </c>
      <c r="G1511" s="1323">
        <f t="shared" si="171"/>
        <v>2008</v>
      </c>
      <c r="H1511" s="1323">
        <f t="shared" si="172"/>
        <v>8</v>
      </c>
      <c r="I1511" s="1323">
        <f t="shared" si="173"/>
        <v>26</v>
      </c>
      <c r="J1511" s="1323"/>
      <c r="K1511" s="1323"/>
      <c r="L1511" s="1323"/>
      <c r="M1511" s="1323"/>
      <c r="N1511" s="1323"/>
      <c r="O1511" s="1323"/>
      <c r="P1511" s="1323"/>
      <c r="Q1511" s="1323"/>
      <c r="R1511" s="1304"/>
      <c r="S1511" s="1304"/>
      <c r="T1511" s="1304"/>
    </row>
    <row r="1512" spans="1:20">
      <c r="A1512" s="1303"/>
      <c r="B1512" s="1322" t="s">
        <v>5252</v>
      </c>
      <c r="C1512" s="1323" t="s">
        <v>5253</v>
      </c>
      <c r="D1512" s="1324">
        <f t="shared" si="168"/>
        <v>39685</v>
      </c>
      <c r="E1512" s="1323">
        <f t="shared" si="170"/>
        <v>7.7331000000000003</v>
      </c>
      <c r="F1512" s="1323">
        <f t="shared" si="169"/>
        <v>7.3444953050378006</v>
      </c>
      <c r="G1512" s="1323">
        <f t="shared" si="171"/>
        <v>2008</v>
      </c>
      <c r="H1512" s="1323">
        <f t="shared" si="172"/>
        <v>8</v>
      </c>
      <c r="I1512" s="1323">
        <f t="shared" si="173"/>
        <v>25</v>
      </c>
      <c r="J1512" s="1323"/>
      <c r="K1512" s="1323"/>
      <c r="L1512" s="1323"/>
      <c r="M1512" s="1323"/>
      <c r="N1512" s="1323"/>
      <c r="O1512" s="1323"/>
      <c r="P1512" s="1323"/>
      <c r="Q1512" s="1323"/>
      <c r="R1512" s="1304"/>
      <c r="S1512" s="1304"/>
      <c r="T1512" s="1304"/>
    </row>
    <row r="1513" spans="1:20">
      <c r="A1513" s="1303"/>
      <c r="B1513" s="1322" t="s">
        <v>5254</v>
      </c>
      <c r="C1513" s="1323" t="s">
        <v>5255</v>
      </c>
      <c r="D1513" s="1324">
        <f t="shared" si="168"/>
        <v>39682</v>
      </c>
      <c r="E1513" s="1323">
        <f t="shared" si="170"/>
        <v>7.6566000000000001</v>
      </c>
      <c r="F1513" s="1323">
        <f t="shared" si="169"/>
        <v>7.3430870417695155</v>
      </c>
      <c r="G1513" s="1323">
        <f t="shared" si="171"/>
        <v>2008</v>
      </c>
      <c r="H1513" s="1323">
        <f t="shared" si="172"/>
        <v>8</v>
      </c>
      <c r="I1513" s="1323">
        <f t="shared" si="173"/>
        <v>22</v>
      </c>
      <c r="J1513" s="1323"/>
      <c r="K1513" s="1323"/>
      <c r="L1513" s="1323"/>
      <c r="M1513" s="1323"/>
      <c r="N1513" s="1323"/>
      <c r="O1513" s="1323"/>
      <c r="P1513" s="1323"/>
      <c r="Q1513" s="1323"/>
      <c r="R1513" s="1304"/>
      <c r="S1513" s="1304"/>
      <c r="T1513" s="1304"/>
    </row>
    <row r="1514" spans="1:20">
      <c r="A1514" s="1303"/>
      <c r="B1514" s="1322" t="s">
        <v>5256</v>
      </c>
      <c r="C1514" s="1323" t="s">
        <v>5257</v>
      </c>
      <c r="D1514" s="1324">
        <f t="shared" si="168"/>
        <v>39681</v>
      </c>
      <c r="E1514" s="1323">
        <f t="shared" si="170"/>
        <v>7.7145999999999999</v>
      </c>
      <c r="F1514" s="1323">
        <f t="shared" si="169"/>
        <v>7.3416790485273316</v>
      </c>
      <c r="G1514" s="1323">
        <f t="shared" si="171"/>
        <v>2008</v>
      </c>
      <c r="H1514" s="1323">
        <f t="shared" si="172"/>
        <v>8</v>
      </c>
      <c r="I1514" s="1323">
        <f t="shared" si="173"/>
        <v>21</v>
      </c>
      <c r="J1514" s="1323"/>
      <c r="K1514" s="1323"/>
      <c r="L1514" s="1323"/>
      <c r="M1514" s="1323"/>
      <c r="N1514" s="1323"/>
      <c r="O1514" s="1323"/>
      <c r="P1514" s="1323"/>
      <c r="Q1514" s="1323"/>
      <c r="R1514" s="1304"/>
      <c r="S1514" s="1304"/>
      <c r="T1514" s="1304"/>
    </row>
    <row r="1515" spans="1:20">
      <c r="A1515" s="1303"/>
      <c r="B1515" s="1322" t="s">
        <v>5258</v>
      </c>
      <c r="C1515" s="1323" t="s">
        <v>5259</v>
      </c>
      <c r="D1515" s="1324">
        <f t="shared" si="168"/>
        <v>39680</v>
      </c>
      <c r="E1515" s="1323">
        <f t="shared" si="170"/>
        <v>7.7464000000000004</v>
      </c>
      <c r="F1515" s="1323">
        <f t="shared" si="169"/>
        <v>7.3402713252594731</v>
      </c>
      <c r="G1515" s="1323">
        <f t="shared" si="171"/>
        <v>2008</v>
      </c>
      <c r="H1515" s="1323">
        <f t="shared" si="172"/>
        <v>8</v>
      </c>
      <c r="I1515" s="1323">
        <f t="shared" si="173"/>
        <v>20</v>
      </c>
      <c r="J1515" s="1323"/>
      <c r="K1515" s="1323"/>
      <c r="L1515" s="1323"/>
      <c r="M1515" s="1323"/>
      <c r="N1515" s="1323"/>
      <c r="O1515" s="1323"/>
      <c r="P1515" s="1323"/>
      <c r="Q1515" s="1323"/>
      <c r="R1515" s="1304"/>
      <c r="S1515" s="1304"/>
      <c r="T1515" s="1304"/>
    </row>
    <row r="1516" spans="1:20">
      <c r="A1516" s="1303"/>
      <c r="B1516" s="1322" t="s">
        <v>5260</v>
      </c>
      <c r="C1516" s="1323" t="s">
        <v>5261</v>
      </c>
      <c r="D1516" s="1324">
        <f t="shared" si="168"/>
        <v>39679</v>
      </c>
      <c r="E1516" s="1323">
        <f t="shared" si="170"/>
        <v>7.7793000000000001</v>
      </c>
      <c r="F1516" s="1323">
        <f t="shared" si="169"/>
        <v>7.3388638719141746</v>
      </c>
      <c r="G1516" s="1323">
        <f t="shared" si="171"/>
        <v>2008</v>
      </c>
      <c r="H1516" s="1323">
        <f t="shared" si="172"/>
        <v>8</v>
      </c>
      <c r="I1516" s="1323">
        <f t="shared" si="173"/>
        <v>19</v>
      </c>
      <c r="J1516" s="1323"/>
      <c r="K1516" s="1323"/>
      <c r="L1516" s="1323"/>
      <c r="M1516" s="1323"/>
      <c r="N1516" s="1323"/>
      <c r="O1516" s="1323"/>
      <c r="P1516" s="1323"/>
      <c r="Q1516" s="1323"/>
      <c r="R1516" s="1304"/>
      <c r="S1516" s="1304"/>
      <c r="T1516" s="1304"/>
    </row>
    <row r="1517" spans="1:20">
      <c r="A1517" s="1303"/>
      <c r="B1517" s="1322" t="s">
        <v>5262</v>
      </c>
      <c r="C1517" s="1323" t="s">
        <v>5263</v>
      </c>
      <c r="D1517" s="1324">
        <f t="shared" si="168"/>
        <v>39678</v>
      </c>
      <c r="E1517" s="1323">
        <f t="shared" si="170"/>
        <v>7.8860000000000001</v>
      </c>
      <c r="F1517" s="1323">
        <f t="shared" si="169"/>
        <v>7.337456688439679</v>
      </c>
      <c r="G1517" s="1323">
        <f t="shared" si="171"/>
        <v>2008</v>
      </c>
      <c r="H1517" s="1323">
        <f t="shared" si="172"/>
        <v>8</v>
      </c>
      <c r="I1517" s="1323">
        <f t="shared" si="173"/>
        <v>18</v>
      </c>
      <c r="J1517" s="1323"/>
      <c r="K1517" s="1323"/>
      <c r="L1517" s="1323"/>
      <c r="M1517" s="1323"/>
      <c r="N1517" s="1323"/>
      <c r="O1517" s="1323"/>
      <c r="P1517" s="1323"/>
      <c r="Q1517" s="1323"/>
      <c r="R1517" s="1304"/>
      <c r="S1517" s="1304"/>
      <c r="T1517" s="1304"/>
    </row>
    <row r="1518" spans="1:20">
      <c r="A1518" s="1303"/>
      <c r="B1518" s="1322" t="s">
        <v>5264</v>
      </c>
      <c r="C1518" s="1323" t="s">
        <v>5265</v>
      </c>
      <c r="D1518" s="1324">
        <f t="shared" si="168"/>
        <v>39675</v>
      </c>
      <c r="E1518" s="1323">
        <f t="shared" si="170"/>
        <v>7.9593999999999996</v>
      </c>
      <c r="F1518" s="1323">
        <f t="shared" si="169"/>
        <v>7.3360497747842404</v>
      </c>
      <c r="G1518" s="1323">
        <f t="shared" si="171"/>
        <v>2008</v>
      </c>
      <c r="H1518" s="1323">
        <f t="shared" si="172"/>
        <v>8</v>
      </c>
      <c r="I1518" s="1323">
        <f t="shared" si="173"/>
        <v>15</v>
      </c>
      <c r="J1518" s="1323"/>
      <c r="K1518" s="1323"/>
      <c r="L1518" s="1323"/>
      <c r="M1518" s="1323"/>
      <c r="N1518" s="1323"/>
      <c r="O1518" s="1323"/>
      <c r="P1518" s="1323"/>
      <c r="Q1518" s="1323"/>
      <c r="R1518" s="1304"/>
      <c r="S1518" s="1304"/>
      <c r="T1518" s="1304"/>
    </row>
    <row r="1519" spans="1:20">
      <c r="A1519" s="1303"/>
      <c r="B1519" s="1322" t="s">
        <v>5266</v>
      </c>
      <c r="C1519" s="1323" t="s">
        <v>5267</v>
      </c>
      <c r="D1519" s="1324">
        <f t="shared" si="168"/>
        <v>39674</v>
      </c>
      <c r="E1519" s="1323">
        <f t="shared" si="170"/>
        <v>7.8441999999999998</v>
      </c>
      <c r="F1519" s="1323">
        <f t="shared" si="169"/>
        <v>7.3346431308961231</v>
      </c>
      <c r="G1519" s="1323">
        <f t="shared" si="171"/>
        <v>2008</v>
      </c>
      <c r="H1519" s="1323">
        <f t="shared" si="172"/>
        <v>8</v>
      </c>
      <c r="I1519" s="1323">
        <f t="shared" si="173"/>
        <v>14</v>
      </c>
      <c r="J1519" s="1323"/>
      <c r="K1519" s="1323"/>
      <c r="L1519" s="1323"/>
      <c r="M1519" s="1323"/>
      <c r="N1519" s="1323"/>
      <c r="O1519" s="1323"/>
      <c r="P1519" s="1323"/>
      <c r="Q1519" s="1323"/>
      <c r="R1519" s="1304"/>
      <c r="S1519" s="1304"/>
      <c r="T1519" s="1304"/>
    </row>
    <row r="1520" spans="1:20">
      <c r="A1520" s="1303"/>
      <c r="B1520" s="1322" t="s">
        <v>5268</v>
      </c>
      <c r="C1520" s="1323" t="s">
        <v>5269</v>
      </c>
      <c r="D1520" s="1324">
        <f t="shared" si="168"/>
        <v>39673</v>
      </c>
      <c r="E1520" s="1323">
        <f t="shared" si="170"/>
        <v>7.8079000000000001</v>
      </c>
      <c r="F1520" s="1323">
        <f t="shared" si="169"/>
        <v>7.3332367567236005</v>
      </c>
      <c r="G1520" s="1323">
        <f t="shared" si="171"/>
        <v>2008</v>
      </c>
      <c r="H1520" s="1323">
        <f t="shared" si="172"/>
        <v>8</v>
      </c>
      <c r="I1520" s="1323">
        <f t="shared" si="173"/>
        <v>13</v>
      </c>
      <c r="J1520" s="1323"/>
      <c r="K1520" s="1323"/>
      <c r="L1520" s="1323"/>
      <c r="M1520" s="1323"/>
      <c r="N1520" s="1323"/>
      <c r="O1520" s="1323"/>
      <c r="P1520" s="1323"/>
      <c r="Q1520" s="1323"/>
      <c r="R1520" s="1304"/>
      <c r="S1520" s="1304"/>
      <c r="T1520" s="1304"/>
    </row>
    <row r="1521" spans="1:20">
      <c r="A1521" s="1303"/>
      <c r="B1521" s="1322" t="s">
        <v>5270</v>
      </c>
      <c r="C1521" s="1323" t="s">
        <v>5271</v>
      </c>
      <c r="D1521" s="1324">
        <f t="shared" si="168"/>
        <v>39672</v>
      </c>
      <c r="E1521" s="1323">
        <f t="shared" si="170"/>
        <v>7.8010999999999999</v>
      </c>
      <c r="F1521" s="1323">
        <f t="shared" si="169"/>
        <v>7.3318306522149559</v>
      </c>
      <c r="G1521" s="1323">
        <f t="shared" si="171"/>
        <v>2008</v>
      </c>
      <c r="H1521" s="1323">
        <f t="shared" si="172"/>
        <v>8</v>
      </c>
      <c r="I1521" s="1323">
        <f t="shared" si="173"/>
        <v>12</v>
      </c>
      <c r="J1521" s="1323"/>
      <c r="K1521" s="1323"/>
      <c r="L1521" s="1323"/>
      <c r="M1521" s="1323"/>
      <c r="N1521" s="1323"/>
      <c r="O1521" s="1323"/>
      <c r="P1521" s="1323"/>
      <c r="Q1521" s="1323"/>
      <c r="R1521" s="1304"/>
      <c r="S1521" s="1304"/>
      <c r="T1521" s="1304"/>
    </row>
    <row r="1522" spans="1:20">
      <c r="A1522" s="1303"/>
      <c r="B1522" s="1322" t="s">
        <v>5272</v>
      </c>
      <c r="C1522" s="1323" t="s">
        <v>5273</v>
      </c>
      <c r="D1522" s="1324">
        <f t="shared" si="168"/>
        <v>39671</v>
      </c>
      <c r="E1522" s="1323">
        <f t="shared" si="170"/>
        <v>7.6749999999999998</v>
      </c>
      <c r="F1522" s="1323">
        <f t="shared" si="169"/>
        <v>7.3304248173184838</v>
      </c>
      <c r="G1522" s="1323">
        <f t="shared" si="171"/>
        <v>2008</v>
      </c>
      <c r="H1522" s="1323">
        <f t="shared" si="172"/>
        <v>8</v>
      </c>
      <c r="I1522" s="1323">
        <f t="shared" si="173"/>
        <v>11</v>
      </c>
      <c r="J1522" s="1323"/>
      <c r="K1522" s="1323"/>
      <c r="L1522" s="1323"/>
      <c r="M1522" s="1323"/>
      <c r="N1522" s="1323"/>
      <c r="O1522" s="1323"/>
      <c r="P1522" s="1323"/>
      <c r="Q1522" s="1323"/>
      <c r="R1522" s="1304"/>
      <c r="S1522" s="1304"/>
      <c r="T1522" s="1304"/>
    </row>
    <row r="1523" spans="1:20">
      <c r="A1523" s="1303"/>
      <c r="B1523" s="1322" t="s">
        <v>5274</v>
      </c>
      <c r="C1523" s="1323" t="s">
        <v>5275</v>
      </c>
      <c r="D1523" s="1324">
        <f t="shared" si="168"/>
        <v>39668</v>
      </c>
      <c r="E1523" s="1323">
        <f t="shared" si="170"/>
        <v>7.5951000000000004</v>
      </c>
      <c r="F1523" s="1323">
        <f t="shared" si="169"/>
        <v>7.329019251982487</v>
      </c>
      <c r="G1523" s="1323">
        <f t="shared" si="171"/>
        <v>2008</v>
      </c>
      <c r="H1523" s="1323">
        <f t="shared" si="172"/>
        <v>8</v>
      </c>
      <c r="I1523" s="1323">
        <f t="shared" si="173"/>
        <v>8</v>
      </c>
      <c r="J1523" s="1323"/>
      <c r="K1523" s="1323"/>
      <c r="L1523" s="1323"/>
      <c r="M1523" s="1323"/>
      <c r="N1523" s="1323"/>
      <c r="O1523" s="1323"/>
      <c r="P1523" s="1323"/>
      <c r="Q1523" s="1323"/>
      <c r="R1523" s="1304"/>
      <c r="S1523" s="1304"/>
      <c r="T1523" s="1304"/>
    </row>
    <row r="1524" spans="1:20">
      <c r="A1524" s="1303"/>
      <c r="B1524" s="1322" t="s">
        <v>5276</v>
      </c>
      <c r="C1524" s="1323" t="s">
        <v>5277</v>
      </c>
      <c r="D1524" s="1324">
        <f t="shared" si="168"/>
        <v>39667</v>
      </c>
      <c r="E1524" s="1323">
        <f t="shared" si="170"/>
        <v>7.4337999999999997</v>
      </c>
      <c r="F1524" s="1323">
        <f t="shared" si="169"/>
        <v>7.3276139561552789</v>
      </c>
      <c r="G1524" s="1323">
        <f t="shared" si="171"/>
        <v>2008</v>
      </c>
      <c r="H1524" s="1323">
        <f t="shared" si="172"/>
        <v>8</v>
      </c>
      <c r="I1524" s="1323">
        <f t="shared" si="173"/>
        <v>7</v>
      </c>
      <c r="J1524" s="1323"/>
      <c r="K1524" s="1323"/>
      <c r="L1524" s="1323"/>
      <c r="M1524" s="1323"/>
      <c r="N1524" s="1323"/>
      <c r="O1524" s="1323"/>
      <c r="P1524" s="1323"/>
      <c r="Q1524" s="1323"/>
      <c r="R1524" s="1304"/>
      <c r="S1524" s="1304"/>
      <c r="T1524" s="1304"/>
    </row>
    <row r="1525" spans="1:20">
      <c r="A1525" s="1303"/>
      <c r="B1525" s="1322" t="s">
        <v>5278</v>
      </c>
      <c r="C1525" s="1323" t="s">
        <v>5279</v>
      </c>
      <c r="D1525" s="1324">
        <f t="shared" si="168"/>
        <v>39666</v>
      </c>
      <c r="E1525" s="1323">
        <f t="shared" si="170"/>
        <v>7.4272</v>
      </c>
      <c r="F1525" s="1323">
        <f t="shared" si="169"/>
        <v>7.3262089297851825</v>
      </c>
      <c r="G1525" s="1323">
        <f t="shared" si="171"/>
        <v>2008</v>
      </c>
      <c r="H1525" s="1323">
        <f t="shared" si="172"/>
        <v>8</v>
      </c>
      <c r="I1525" s="1323">
        <f t="shared" si="173"/>
        <v>6</v>
      </c>
      <c r="J1525" s="1323"/>
      <c r="K1525" s="1323"/>
      <c r="L1525" s="1323"/>
      <c r="M1525" s="1323"/>
      <c r="N1525" s="1323"/>
      <c r="O1525" s="1323"/>
      <c r="P1525" s="1323"/>
      <c r="Q1525" s="1323"/>
      <c r="R1525" s="1304"/>
      <c r="S1525" s="1304"/>
      <c r="T1525" s="1304"/>
    </row>
    <row r="1526" spans="1:20">
      <c r="A1526" s="1303"/>
      <c r="B1526" s="1322" t="s">
        <v>5280</v>
      </c>
      <c r="C1526" s="1323" t="s">
        <v>3756</v>
      </c>
      <c r="D1526" s="1324">
        <f t="shared" si="168"/>
        <v>39665</v>
      </c>
      <c r="E1526" s="1323">
        <f t="shared" si="170"/>
        <v>7.3292999999999999</v>
      </c>
      <c r="F1526" s="1323">
        <f t="shared" si="169"/>
        <v>7.3248041728205315</v>
      </c>
      <c r="G1526" s="1323">
        <f t="shared" si="171"/>
        <v>2008</v>
      </c>
      <c r="H1526" s="1323">
        <f t="shared" si="172"/>
        <v>8</v>
      </c>
      <c r="I1526" s="1323">
        <f t="shared" si="173"/>
        <v>5</v>
      </c>
      <c r="J1526" s="1323"/>
      <c r="K1526" s="1323"/>
      <c r="L1526" s="1323"/>
      <c r="M1526" s="1323"/>
      <c r="N1526" s="1323"/>
      <c r="O1526" s="1323"/>
      <c r="P1526" s="1323"/>
      <c r="Q1526" s="1323"/>
      <c r="R1526" s="1304"/>
      <c r="S1526" s="1304"/>
      <c r="T1526" s="1304"/>
    </row>
    <row r="1527" spans="1:20">
      <c r="A1527" s="1303"/>
      <c r="B1527" s="1322" t="s">
        <v>5281</v>
      </c>
      <c r="C1527" s="1323" t="s">
        <v>5282</v>
      </c>
      <c r="D1527" s="1324">
        <f t="shared" si="168"/>
        <v>39664</v>
      </c>
      <c r="E1527" s="1323">
        <f t="shared" si="170"/>
        <v>7.2210000000000001</v>
      </c>
      <c r="F1527" s="1323">
        <f t="shared" si="169"/>
        <v>7.3233996852096688</v>
      </c>
      <c r="G1527" s="1323">
        <f t="shared" si="171"/>
        <v>2008</v>
      </c>
      <c r="H1527" s="1323">
        <f t="shared" si="172"/>
        <v>8</v>
      </c>
      <c r="I1527" s="1323">
        <f t="shared" si="173"/>
        <v>4</v>
      </c>
      <c r="J1527" s="1323"/>
      <c r="K1527" s="1323"/>
      <c r="L1527" s="1323"/>
      <c r="M1527" s="1323"/>
      <c r="N1527" s="1323"/>
      <c r="O1527" s="1323"/>
      <c r="P1527" s="1323"/>
      <c r="Q1527" s="1323"/>
      <c r="R1527" s="1304"/>
      <c r="S1527" s="1304"/>
      <c r="T1527" s="1304"/>
    </row>
    <row r="1528" spans="1:20">
      <c r="A1528" s="1303"/>
      <c r="B1528" s="1322" t="s">
        <v>5283</v>
      </c>
      <c r="C1528" s="1323" t="s">
        <v>5284</v>
      </c>
      <c r="D1528" s="1324">
        <f t="shared" si="168"/>
        <v>39661</v>
      </c>
      <c r="E1528" s="1323">
        <f t="shared" si="170"/>
        <v>7.3464</v>
      </c>
      <c r="F1528" s="1323">
        <f t="shared" si="169"/>
        <v>7.3219954669009475</v>
      </c>
      <c r="G1528" s="1323">
        <f t="shared" si="171"/>
        <v>2008</v>
      </c>
      <c r="H1528" s="1323">
        <f t="shared" si="172"/>
        <v>8</v>
      </c>
      <c r="I1528" s="1323">
        <f t="shared" si="173"/>
        <v>1</v>
      </c>
      <c r="J1528" s="1323"/>
      <c r="K1528" s="1323"/>
      <c r="L1528" s="1323"/>
      <c r="M1528" s="1323"/>
      <c r="N1528" s="1323"/>
      <c r="O1528" s="1323"/>
      <c r="P1528" s="1323"/>
      <c r="Q1528" s="1323"/>
      <c r="R1528" s="1304"/>
      <c r="S1528" s="1304"/>
      <c r="T1528" s="1304"/>
    </row>
    <row r="1529" spans="1:20">
      <c r="A1529" s="1303"/>
      <c r="B1529" s="1322" t="s">
        <v>5285</v>
      </c>
      <c r="C1529" s="1323" t="s">
        <v>5286</v>
      </c>
      <c r="D1529" s="1324">
        <f t="shared" si="168"/>
        <v>39660</v>
      </c>
      <c r="E1529" s="1323">
        <f t="shared" si="170"/>
        <v>7.3898999999999999</v>
      </c>
      <c r="F1529" s="1323">
        <f t="shared" si="169"/>
        <v>7.3205915178427308</v>
      </c>
      <c r="G1529" s="1323">
        <f t="shared" si="171"/>
        <v>2008</v>
      </c>
      <c r="H1529" s="1323">
        <f t="shared" si="172"/>
        <v>7</v>
      </c>
      <c r="I1529" s="1323">
        <f t="shared" si="173"/>
        <v>31</v>
      </c>
      <c r="J1529" s="1323"/>
      <c r="K1529" s="1323"/>
      <c r="L1529" s="1323"/>
      <c r="M1529" s="1323"/>
      <c r="N1529" s="1323"/>
      <c r="O1529" s="1323"/>
      <c r="P1529" s="1323"/>
      <c r="Q1529" s="1323"/>
      <c r="R1529" s="1304"/>
      <c r="S1529" s="1304"/>
      <c r="T1529" s="1304"/>
    </row>
    <row r="1530" spans="1:20">
      <c r="A1530" s="1303"/>
      <c r="B1530" s="1322" t="s">
        <v>5287</v>
      </c>
      <c r="C1530" s="1323" t="s">
        <v>5288</v>
      </c>
      <c r="D1530" s="1324">
        <f t="shared" si="168"/>
        <v>39659</v>
      </c>
      <c r="E1530" s="1323">
        <f t="shared" si="170"/>
        <v>7.3861999999999997</v>
      </c>
      <c r="F1530" s="1323">
        <f t="shared" si="169"/>
        <v>7.3191878379833915</v>
      </c>
      <c r="G1530" s="1323">
        <f t="shared" si="171"/>
        <v>2008</v>
      </c>
      <c r="H1530" s="1323">
        <f t="shared" si="172"/>
        <v>7</v>
      </c>
      <c r="I1530" s="1323">
        <f t="shared" si="173"/>
        <v>30</v>
      </c>
      <c r="J1530" s="1323"/>
      <c r="K1530" s="1323"/>
      <c r="L1530" s="1323"/>
      <c r="M1530" s="1323"/>
      <c r="N1530" s="1323"/>
      <c r="O1530" s="1323"/>
      <c r="P1530" s="1323"/>
      <c r="Q1530" s="1323"/>
      <c r="R1530" s="1304"/>
      <c r="S1530" s="1304"/>
      <c r="T1530" s="1304"/>
    </row>
    <row r="1531" spans="1:20">
      <c r="A1531" s="1303"/>
      <c r="B1531" s="1322" t="s">
        <v>5289</v>
      </c>
      <c r="C1531" s="1323" t="s">
        <v>5290</v>
      </c>
      <c r="D1531" s="1324">
        <f t="shared" si="168"/>
        <v>39658</v>
      </c>
      <c r="E1531" s="1323">
        <f t="shared" si="170"/>
        <v>7.5092999999999996</v>
      </c>
      <c r="F1531" s="1323">
        <f t="shared" si="169"/>
        <v>7.3177844272713122</v>
      </c>
      <c r="G1531" s="1323">
        <f t="shared" si="171"/>
        <v>2008</v>
      </c>
      <c r="H1531" s="1323">
        <f t="shared" si="172"/>
        <v>7</v>
      </c>
      <c r="I1531" s="1323">
        <f t="shared" si="173"/>
        <v>29</v>
      </c>
      <c r="J1531" s="1323"/>
      <c r="K1531" s="1323"/>
      <c r="L1531" s="1323"/>
      <c r="M1531" s="1323"/>
      <c r="N1531" s="1323"/>
      <c r="O1531" s="1323"/>
      <c r="P1531" s="1323"/>
      <c r="Q1531" s="1323"/>
      <c r="R1531" s="1304"/>
      <c r="S1531" s="1304"/>
      <c r="T1531" s="1304"/>
    </row>
    <row r="1532" spans="1:20">
      <c r="A1532" s="1303"/>
      <c r="B1532" s="1322" t="s">
        <v>5291</v>
      </c>
      <c r="C1532" s="1323" t="s">
        <v>5292</v>
      </c>
      <c r="D1532" s="1324">
        <f t="shared" si="168"/>
        <v>39657</v>
      </c>
      <c r="E1532" s="1323">
        <f t="shared" si="170"/>
        <v>7.5457000000000001</v>
      </c>
      <c r="F1532" s="1323">
        <f t="shared" si="169"/>
        <v>7.3163812856548853</v>
      </c>
      <c r="G1532" s="1323">
        <f t="shared" si="171"/>
        <v>2008</v>
      </c>
      <c r="H1532" s="1323">
        <f t="shared" si="172"/>
        <v>7</v>
      </c>
      <c r="I1532" s="1323">
        <f t="shared" si="173"/>
        <v>28</v>
      </c>
      <c r="J1532" s="1323"/>
      <c r="K1532" s="1323"/>
      <c r="L1532" s="1323"/>
      <c r="M1532" s="1323"/>
      <c r="N1532" s="1323"/>
      <c r="O1532" s="1323"/>
      <c r="P1532" s="1323"/>
      <c r="Q1532" s="1323"/>
      <c r="R1532" s="1304"/>
      <c r="S1532" s="1304"/>
      <c r="T1532" s="1304"/>
    </row>
    <row r="1533" spans="1:20">
      <c r="A1533" s="1303"/>
      <c r="B1533" s="1322" t="s">
        <v>5293</v>
      </c>
      <c r="C1533" s="1323" t="s">
        <v>5294</v>
      </c>
      <c r="D1533" s="1324">
        <f t="shared" si="168"/>
        <v>39654</v>
      </c>
      <c r="E1533" s="1323">
        <f t="shared" si="170"/>
        <v>7.6159999999999997</v>
      </c>
      <c r="F1533" s="1323">
        <f t="shared" si="169"/>
        <v>7.3149784130825131</v>
      </c>
      <c r="G1533" s="1323">
        <f t="shared" si="171"/>
        <v>2008</v>
      </c>
      <c r="H1533" s="1323">
        <f t="shared" si="172"/>
        <v>7</v>
      </c>
      <c r="I1533" s="1323">
        <f t="shared" si="173"/>
        <v>25</v>
      </c>
      <c r="J1533" s="1323"/>
      <c r="K1533" s="1323"/>
      <c r="L1533" s="1323"/>
      <c r="M1533" s="1323"/>
      <c r="N1533" s="1323"/>
      <c r="O1533" s="1323"/>
      <c r="P1533" s="1323"/>
      <c r="Q1533" s="1323"/>
      <c r="R1533" s="1304"/>
      <c r="S1533" s="1304"/>
      <c r="T1533" s="1304"/>
    </row>
    <row r="1534" spans="1:20">
      <c r="A1534" s="1303"/>
      <c r="B1534" s="1322" t="s">
        <v>5295</v>
      </c>
      <c r="C1534" s="1323" t="s">
        <v>5296</v>
      </c>
      <c r="D1534" s="1324">
        <f t="shared" si="168"/>
        <v>39653</v>
      </c>
      <c r="E1534" s="1323">
        <f t="shared" si="170"/>
        <v>7.5574000000000003</v>
      </c>
      <c r="F1534" s="1323">
        <f t="shared" si="169"/>
        <v>7.3135758095026082</v>
      </c>
      <c r="G1534" s="1323">
        <f t="shared" si="171"/>
        <v>2008</v>
      </c>
      <c r="H1534" s="1323">
        <f t="shared" si="172"/>
        <v>7</v>
      </c>
      <c r="I1534" s="1323">
        <f t="shared" si="173"/>
        <v>24</v>
      </c>
      <c r="J1534" s="1323"/>
      <c r="K1534" s="1323"/>
      <c r="L1534" s="1323"/>
      <c r="M1534" s="1323"/>
      <c r="N1534" s="1323"/>
      <c r="O1534" s="1323"/>
      <c r="P1534" s="1323"/>
      <c r="Q1534" s="1323"/>
      <c r="R1534" s="1304"/>
      <c r="S1534" s="1304"/>
      <c r="T1534" s="1304"/>
    </row>
    <row r="1535" spans="1:20">
      <c r="A1535" s="1303"/>
      <c r="B1535" s="1322" t="s">
        <v>5297</v>
      </c>
      <c r="C1535" s="1323" t="s">
        <v>5298</v>
      </c>
      <c r="D1535" s="1324">
        <f t="shared" si="168"/>
        <v>39652</v>
      </c>
      <c r="E1535" s="1323">
        <f t="shared" si="170"/>
        <v>7.4965999999999999</v>
      </c>
      <c r="F1535" s="1323">
        <f t="shared" si="169"/>
        <v>7.3121734748635934</v>
      </c>
      <c r="G1535" s="1323">
        <f t="shared" si="171"/>
        <v>2008</v>
      </c>
      <c r="H1535" s="1323">
        <f t="shared" si="172"/>
        <v>7</v>
      </c>
      <c r="I1535" s="1323">
        <f t="shared" si="173"/>
        <v>23</v>
      </c>
      <c r="J1535" s="1323"/>
      <c r="K1535" s="1323"/>
      <c r="L1535" s="1323"/>
      <c r="M1535" s="1323"/>
      <c r="N1535" s="1323"/>
      <c r="O1535" s="1323"/>
      <c r="P1535" s="1323"/>
      <c r="Q1535" s="1323"/>
      <c r="R1535" s="1304"/>
      <c r="S1535" s="1304"/>
      <c r="T1535" s="1304"/>
    </row>
    <row r="1536" spans="1:20">
      <c r="A1536" s="1303"/>
      <c r="B1536" s="1322" t="s">
        <v>5299</v>
      </c>
      <c r="C1536" s="1323" t="s">
        <v>5300</v>
      </c>
      <c r="D1536" s="1324">
        <f t="shared" si="168"/>
        <v>39651</v>
      </c>
      <c r="E1536" s="1323">
        <f t="shared" si="170"/>
        <v>7.5763999999999996</v>
      </c>
      <c r="F1536" s="1323">
        <f t="shared" si="169"/>
        <v>7.3107714091139</v>
      </c>
      <c r="G1536" s="1323">
        <f t="shared" si="171"/>
        <v>2008</v>
      </c>
      <c r="H1536" s="1323">
        <f t="shared" si="172"/>
        <v>7</v>
      </c>
      <c r="I1536" s="1323">
        <f t="shared" si="173"/>
        <v>22</v>
      </c>
      <c r="J1536" s="1323"/>
      <c r="K1536" s="1323"/>
      <c r="L1536" s="1323"/>
      <c r="M1536" s="1323"/>
      <c r="N1536" s="1323"/>
      <c r="O1536" s="1323"/>
      <c r="P1536" s="1323"/>
      <c r="Q1536" s="1323"/>
      <c r="R1536" s="1304"/>
      <c r="S1536" s="1304"/>
      <c r="T1536" s="1304"/>
    </row>
    <row r="1537" spans="1:20">
      <c r="A1537" s="1303"/>
      <c r="B1537" s="1322" t="s">
        <v>5301</v>
      </c>
      <c r="C1537" s="1323" t="s">
        <v>5302</v>
      </c>
      <c r="D1537" s="1324">
        <f t="shared" si="168"/>
        <v>39650</v>
      </c>
      <c r="E1537" s="1323">
        <f t="shared" si="170"/>
        <v>7.5895000000000001</v>
      </c>
      <c r="F1537" s="1323">
        <f t="shared" si="169"/>
        <v>7.3093696122019702</v>
      </c>
      <c r="G1537" s="1323">
        <f t="shared" si="171"/>
        <v>2008</v>
      </c>
      <c r="H1537" s="1323">
        <f t="shared" si="172"/>
        <v>7</v>
      </c>
      <c r="I1537" s="1323">
        <f t="shared" si="173"/>
        <v>21</v>
      </c>
      <c r="J1537" s="1323"/>
      <c r="K1537" s="1323"/>
      <c r="L1537" s="1323"/>
      <c r="M1537" s="1323"/>
      <c r="N1537" s="1323"/>
      <c r="O1537" s="1323"/>
      <c r="P1537" s="1323"/>
      <c r="Q1537" s="1323"/>
      <c r="R1537" s="1304"/>
      <c r="S1537" s="1304"/>
      <c r="T1537" s="1304"/>
    </row>
    <row r="1538" spans="1:20">
      <c r="A1538" s="1303"/>
      <c r="B1538" s="1322" t="s">
        <v>5303</v>
      </c>
      <c r="C1538" s="1323" t="s">
        <v>5304</v>
      </c>
      <c r="D1538" s="1324">
        <f t="shared" si="168"/>
        <v>39647</v>
      </c>
      <c r="E1538" s="1323">
        <f t="shared" si="170"/>
        <v>7.5766</v>
      </c>
      <c r="F1538" s="1323">
        <f t="shared" si="169"/>
        <v>7.3079680840762569</v>
      </c>
      <c r="G1538" s="1323">
        <f t="shared" si="171"/>
        <v>2008</v>
      </c>
      <c r="H1538" s="1323">
        <f t="shared" si="172"/>
        <v>7</v>
      </c>
      <c r="I1538" s="1323">
        <f t="shared" si="173"/>
        <v>18</v>
      </c>
      <c r="J1538" s="1323"/>
      <c r="K1538" s="1323"/>
      <c r="L1538" s="1323"/>
      <c r="M1538" s="1323"/>
      <c r="N1538" s="1323"/>
      <c r="O1538" s="1323"/>
      <c r="P1538" s="1323"/>
      <c r="Q1538" s="1323"/>
      <c r="R1538" s="1304"/>
      <c r="S1538" s="1304"/>
      <c r="T1538" s="1304"/>
    </row>
    <row r="1539" spans="1:20">
      <c r="A1539" s="1303"/>
      <c r="B1539" s="1322" t="s">
        <v>5305</v>
      </c>
      <c r="C1539" s="1323" t="s">
        <v>5306</v>
      </c>
      <c r="D1539" s="1324">
        <f t="shared" si="168"/>
        <v>39646</v>
      </c>
      <c r="E1539" s="1323">
        <f t="shared" si="170"/>
        <v>7.5884999999999998</v>
      </c>
      <c r="F1539" s="1323">
        <f t="shared" si="169"/>
        <v>7.3065668246852207</v>
      </c>
      <c r="G1539" s="1323">
        <f t="shared" si="171"/>
        <v>2008</v>
      </c>
      <c r="H1539" s="1323">
        <f t="shared" si="172"/>
        <v>7</v>
      </c>
      <c r="I1539" s="1323">
        <f t="shared" si="173"/>
        <v>17</v>
      </c>
      <c r="J1539" s="1323"/>
      <c r="K1539" s="1323"/>
      <c r="L1539" s="1323"/>
      <c r="M1539" s="1323"/>
      <c r="N1539" s="1323"/>
      <c r="O1539" s="1323"/>
      <c r="P1539" s="1323"/>
      <c r="Q1539" s="1323"/>
      <c r="R1539" s="1304"/>
      <c r="S1539" s="1304"/>
      <c r="T1539" s="1304"/>
    </row>
    <row r="1540" spans="1:20">
      <c r="A1540" s="1303"/>
      <c r="B1540" s="1322" t="s">
        <v>5307</v>
      </c>
      <c r="C1540" s="1323" t="s">
        <v>3508</v>
      </c>
      <c r="D1540" s="1324">
        <f t="shared" si="168"/>
        <v>39645</v>
      </c>
      <c r="E1540" s="1323">
        <f t="shared" si="170"/>
        <v>7.6736000000000004</v>
      </c>
      <c r="F1540" s="1323">
        <f t="shared" si="169"/>
        <v>7.305165833977334</v>
      </c>
      <c r="G1540" s="1323">
        <f t="shared" si="171"/>
        <v>2008</v>
      </c>
      <c r="H1540" s="1323">
        <f t="shared" si="172"/>
        <v>7</v>
      </c>
      <c r="I1540" s="1323">
        <f t="shared" si="173"/>
        <v>16</v>
      </c>
      <c r="J1540" s="1323"/>
      <c r="K1540" s="1323"/>
      <c r="L1540" s="1323"/>
      <c r="M1540" s="1323"/>
      <c r="N1540" s="1323"/>
      <c r="O1540" s="1323"/>
      <c r="P1540" s="1323"/>
      <c r="Q1540" s="1323"/>
      <c r="R1540" s="1304"/>
      <c r="S1540" s="1304"/>
      <c r="T1540" s="1304"/>
    </row>
    <row r="1541" spans="1:20">
      <c r="A1541" s="1303"/>
      <c r="B1541" s="1322" t="s">
        <v>5308</v>
      </c>
      <c r="C1541" s="1323" t="s">
        <v>5309</v>
      </c>
      <c r="D1541" s="1324">
        <f t="shared" si="168"/>
        <v>39644</v>
      </c>
      <c r="E1541" s="1323">
        <f t="shared" si="170"/>
        <v>7.6199000000000003</v>
      </c>
      <c r="F1541" s="1323">
        <f t="shared" si="169"/>
        <v>7.3037651119010789</v>
      </c>
      <c r="G1541" s="1323">
        <f t="shared" si="171"/>
        <v>2008</v>
      </c>
      <c r="H1541" s="1323">
        <f t="shared" si="172"/>
        <v>7</v>
      </c>
      <c r="I1541" s="1323">
        <f t="shared" si="173"/>
        <v>15</v>
      </c>
      <c r="J1541" s="1323"/>
      <c r="K1541" s="1323"/>
      <c r="L1541" s="1323"/>
      <c r="M1541" s="1323"/>
      <c r="N1541" s="1323"/>
      <c r="O1541" s="1323"/>
      <c r="P1541" s="1323"/>
      <c r="Q1541" s="1323"/>
      <c r="R1541" s="1304"/>
      <c r="S1541" s="1304"/>
      <c r="T1541" s="1304"/>
    </row>
    <row r="1542" spans="1:20">
      <c r="A1542" s="1303"/>
      <c r="B1542" s="1322" t="s">
        <v>5310</v>
      </c>
      <c r="C1542" s="1323" t="s">
        <v>5311</v>
      </c>
      <c r="D1542" s="1324">
        <f t="shared" si="168"/>
        <v>39643</v>
      </c>
      <c r="E1542" s="1323">
        <f t="shared" si="170"/>
        <v>7.6351000000000004</v>
      </c>
      <c r="F1542" s="1323">
        <f t="shared" si="169"/>
        <v>7.3023646584049464</v>
      </c>
      <c r="G1542" s="1323">
        <f t="shared" si="171"/>
        <v>2008</v>
      </c>
      <c r="H1542" s="1323">
        <f t="shared" si="172"/>
        <v>7</v>
      </c>
      <c r="I1542" s="1323">
        <f t="shared" si="173"/>
        <v>14</v>
      </c>
      <c r="J1542" s="1323"/>
      <c r="K1542" s="1323"/>
      <c r="L1542" s="1323"/>
      <c r="M1542" s="1323"/>
      <c r="N1542" s="1323"/>
      <c r="O1542" s="1323"/>
      <c r="P1542" s="1323"/>
      <c r="Q1542" s="1323"/>
      <c r="R1542" s="1304"/>
      <c r="S1542" s="1304"/>
      <c r="T1542" s="1304"/>
    </row>
    <row r="1543" spans="1:20">
      <c r="A1543" s="1303"/>
      <c r="B1543" s="1322" t="s">
        <v>5312</v>
      </c>
      <c r="C1543" s="1323" t="s">
        <v>5313</v>
      </c>
      <c r="D1543" s="1324">
        <f t="shared" si="168"/>
        <v>39640</v>
      </c>
      <c r="E1543" s="1323">
        <f t="shared" si="170"/>
        <v>7.7262000000000004</v>
      </c>
      <c r="F1543" s="1323">
        <f t="shared" si="169"/>
        <v>7.3009644734374373</v>
      </c>
      <c r="G1543" s="1323">
        <f t="shared" si="171"/>
        <v>2008</v>
      </c>
      <c r="H1543" s="1323">
        <f t="shared" si="172"/>
        <v>7</v>
      </c>
      <c r="I1543" s="1323">
        <f t="shared" si="173"/>
        <v>11</v>
      </c>
      <c r="J1543" s="1323"/>
      <c r="K1543" s="1323"/>
      <c r="L1543" s="1323"/>
      <c r="M1543" s="1323"/>
      <c r="N1543" s="1323"/>
      <c r="O1543" s="1323"/>
      <c r="P1543" s="1323"/>
      <c r="Q1543" s="1323"/>
      <c r="R1543" s="1304"/>
      <c r="S1543" s="1304"/>
      <c r="T1543" s="1304"/>
    </row>
    <row r="1544" spans="1:20">
      <c r="A1544" s="1303"/>
      <c r="B1544" s="1322" t="s">
        <v>5314</v>
      </c>
      <c r="C1544" s="1323" t="s">
        <v>5315</v>
      </c>
      <c r="D1544" s="1324">
        <f t="shared" si="168"/>
        <v>39639</v>
      </c>
      <c r="E1544" s="1323">
        <f t="shared" si="170"/>
        <v>7.6803999999999997</v>
      </c>
      <c r="F1544" s="1323">
        <f t="shared" si="169"/>
        <v>7.2995645569470637</v>
      </c>
      <c r="G1544" s="1323">
        <f t="shared" si="171"/>
        <v>2008</v>
      </c>
      <c r="H1544" s="1323">
        <f t="shared" si="172"/>
        <v>7</v>
      </c>
      <c r="I1544" s="1323">
        <f t="shared" si="173"/>
        <v>10</v>
      </c>
      <c r="J1544" s="1323"/>
      <c r="K1544" s="1323"/>
      <c r="L1544" s="1323"/>
      <c r="M1544" s="1323"/>
      <c r="N1544" s="1323"/>
      <c r="O1544" s="1323"/>
      <c r="P1544" s="1323"/>
      <c r="Q1544" s="1323"/>
      <c r="R1544" s="1304"/>
      <c r="S1544" s="1304"/>
      <c r="T1544" s="1304"/>
    </row>
    <row r="1545" spans="1:20">
      <c r="A1545" s="1303"/>
      <c r="B1545" s="1322" t="s">
        <v>5316</v>
      </c>
      <c r="C1545" s="1323" t="s">
        <v>5317</v>
      </c>
      <c r="D1545" s="1324">
        <f t="shared" ref="D1545:D1608" si="174">DATE(G1545,H1545,I1545)</f>
        <v>39638</v>
      </c>
      <c r="E1545" s="1323">
        <f t="shared" si="170"/>
        <v>7.6893000000000002</v>
      </c>
      <c r="F1545" s="1323">
        <f t="shared" ref="F1545:F1608" si="175">F1546*(1+$F$7/365)</f>
        <v>7.2981649088823461</v>
      </c>
      <c r="G1545" s="1323">
        <f t="shared" si="171"/>
        <v>2008</v>
      </c>
      <c r="H1545" s="1323">
        <f t="shared" si="172"/>
        <v>7</v>
      </c>
      <c r="I1545" s="1323">
        <f t="shared" si="173"/>
        <v>9</v>
      </c>
      <c r="J1545" s="1323"/>
      <c r="K1545" s="1323"/>
      <c r="L1545" s="1323"/>
      <c r="M1545" s="1323"/>
      <c r="N1545" s="1323"/>
      <c r="O1545" s="1323"/>
      <c r="P1545" s="1323"/>
      <c r="Q1545" s="1323"/>
      <c r="R1545" s="1304"/>
      <c r="S1545" s="1304"/>
      <c r="T1545" s="1304"/>
    </row>
    <row r="1546" spans="1:20">
      <c r="A1546" s="1303"/>
      <c r="B1546" s="1322" t="s">
        <v>5318</v>
      </c>
      <c r="C1546" s="1323" t="s">
        <v>5319</v>
      </c>
      <c r="D1546" s="1324">
        <f t="shared" si="174"/>
        <v>39637</v>
      </c>
      <c r="E1546" s="1323">
        <f t="shared" si="170"/>
        <v>7.8158000000000003</v>
      </c>
      <c r="F1546" s="1323">
        <f t="shared" si="175"/>
        <v>7.2967655291918163</v>
      </c>
      <c r="G1546" s="1323">
        <f t="shared" si="171"/>
        <v>2008</v>
      </c>
      <c r="H1546" s="1323">
        <f t="shared" si="172"/>
        <v>7</v>
      </c>
      <c r="I1546" s="1323">
        <f t="shared" si="173"/>
        <v>8</v>
      </c>
      <c r="J1546" s="1323"/>
      <c r="K1546" s="1323"/>
      <c r="L1546" s="1323"/>
      <c r="M1546" s="1323"/>
      <c r="N1546" s="1323"/>
      <c r="O1546" s="1323"/>
      <c r="P1546" s="1323"/>
      <c r="Q1546" s="1323"/>
      <c r="R1546" s="1304"/>
      <c r="S1546" s="1304"/>
      <c r="T1546" s="1304"/>
    </row>
    <row r="1547" spans="1:20">
      <c r="A1547" s="1303"/>
      <c r="B1547" s="1322" t="s">
        <v>5320</v>
      </c>
      <c r="C1547" s="1323" t="s">
        <v>5321</v>
      </c>
      <c r="D1547" s="1324">
        <f t="shared" si="174"/>
        <v>39636</v>
      </c>
      <c r="E1547" s="1323">
        <f t="shared" si="170"/>
        <v>7.7443999999999997</v>
      </c>
      <c r="F1547" s="1323">
        <f t="shared" si="175"/>
        <v>7.2953664178240141</v>
      </c>
      <c r="G1547" s="1323">
        <f t="shared" si="171"/>
        <v>2008</v>
      </c>
      <c r="H1547" s="1323">
        <f t="shared" si="172"/>
        <v>7</v>
      </c>
      <c r="I1547" s="1323">
        <f t="shared" si="173"/>
        <v>7</v>
      </c>
      <c r="J1547" s="1323"/>
      <c r="K1547" s="1323"/>
      <c r="L1547" s="1323"/>
      <c r="M1547" s="1323"/>
      <c r="N1547" s="1323"/>
      <c r="O1547" s="1323"/>
      <c r="P1547" s="1323"/>
      <c r="Q1547" s="1323"/>
      <c r="R1547" s="1304"/>
      <c r="S1547" s="1304"/>
      <c r="T1547" s="1304"/>
    </row>
    <row r="1548" spans="1:20">
      <c r="A1548" s="1303"/>
      <c r="B1548" s="1322" t="s">
        <v>5322</v>
      </c>
      <c r="C1548" s="1323" t="s">
        <v>5323</v>
      </c>
      <c r="D1548" s="1324">
        <f t="shared" si="174"/>
        <v>39633</v>
      </c>
      <c r="E1548" s="1323">
        <f t="shared" si="170"/>
        <v>7.7443999999999997</v>
      </c>
      <c r="F1548" s="1323">
        <f t="shared" si="175"/>
        <v>7.2939675747274908</v>
      </c>
      <c r="G1548" s="1323">
        <f t="shared" si="171"/>
        <v>2008</v>
      </c>
      <c r="H1548" s="1323">
        <f t="shared" si="172"/>
        <v>7</v>
      </c>
      <c r="I1548" s="1323">
        <f t="shared" si="173"/>
        <v>4</v>
      </c>
      <c r="J1548" s="1323"/>
      <c r="K1548" s="1323"/>
      <c r="L1548" s="1323"/>
      <c r="M1548" s="1323"/>
      <c r="N1548" s="1323"/>
      <c r="O1548" s="1323"/>
      <c r="P1548" s="1323"/>
      <c r="Q1548" s="1323"/>
      <c r="R1548" s="1304"/>
      <c r="S1548" s="1304"/>
      <c r="T1548" s="1304"/>
    </row>
    <row r="1549" spans="1:20">
      <c r="A1549" s="1303"/>
      <c r="B1549" s="1322" t="s">
        <v>5324</v>
      </c>
      <c r="C1549" s="1323" t="s">
        <v>5323</v>
      </c>
      <c r="D1549" s="1324">
        <f t="shared" si="174"/>
        <v>39632</v>
      </c>
      <c r="E1549" s="1323">
        <f t="shared" si="170"/>
        <v>7.8667999999999996</v>
      </c>
      <c r="F1549" s="1323">
        <f t="shared" si="175"/>
        <v>7.2925689998508068</v>
      </c>
      <c r="G1549" s="1323">
        <f t="shared" si="171"/>
        <v>2008</v>
      </c>
      <c r="H1549" s="1323">
        <f t="shared" si="172"/>
        <v>7</v>
      </c>
      <c r="I1549" s="1323">
        <f t="shared" si="173"/>
        <v>3</v>
      </c>
      <c r="J1549" s="1323"/>
      <c r="K1549" s="1323"/>
      <c r="L1549" s="1323"/>
      <c r="M1549" s="1323"/>
      <c r="N1549" s="1323"/>
      <c r="O1549" s="1323"/>
      <c r="P1549" s="1323"/>
      <c r="Q1549" s="1323"/>
      <c r="R1549" s="1304"/>
      <c r="S1549" s="1304"/>
      <c r="T1549" s="1304"/>
    </row>
    <row r="1550" spans="1:20">
      <c r="A1550" s="1303"/>
      <c r="B1550" s="1322" t="s">
        <v>5325</v>
      </c>
      <c r="C1550" s="1323" t="s">
        <v>5326</v>
      </c>
      <c r="D1550" s="1324">
        <f t="shared" si="174"/>
        <v>39631</v>
      </c>
      <c r="E1550" s="1323">
        <f t="shared" si="170"/>
        <v>7.8659999999999997</v>
      </c>
      <c r="F1550" s="1323">
        <f t="shared" si="175"/>
        <v>7.2911706931425329</v>
      </c>
      <c r="G1550" s="1323">
        <f t="shared" si="171"/>
        <v>2008</v>
      </c>
      <c r="H1550" s="1323">
        <f t="shared" si="172"/>
        <v>7</v>
      </c>
      <c r="I1550" s="1323">
        <f t="shared" si="173"/>
        <v>2</v>
      </c>
      <c r="J1550" s="1323"/>
      <c r="K1550" s="1323"/>
      <c r="L1550" s="1323"/>
      <c r="M1550" s="1323"/>
      <c r="N1550" s="1323"/>
      <c r="O1550" s="1323"/>
      <c r="P1550" s="1323"/>
      <c r="Q1550" s="1323"/>
      <c r="R1550" s="1304"/>
      <c r="S1550" s="1304"/>
      <c r="T1550" s="1304"/>
    </row>
    <row r="1551" spans="1:20">
      <c r="A1551" s="1303"/>
      <c r="B1551" s="1322" t="s">
        <v>5327</v>
      </c>
      <c r="C1551" s="1323" t="s">
        <v>5328</v>
      </c>
      <c r="D1551" s="1324">
        <f t="shared" si="174"/>
        <v>39630</v>
      </c>
      <c r="E1551" s="1323">
        <f t="shared" si="170"/>
        <v>7.8636999999999997</v>
      </c>
      <c r="F1551" s="1323">
        <f t="shared" si="175"/>
        <v>7.2897726545512489</v>
      </c>
      <c r="G1551" s="1323">
        <f t="shared" si="171"/>
        <v>2008</v>
      </c>
      <c r="H1551" s="1323">
        <f t="shared" si="172"/>
        <v>7</v>
      </c>
      <c r="I1551" s="1323">
        <f t="shared" si="173"/>
        <v>1</v>
      </c>
      <c r="J1551" s="1323"/>
      <c r="K1551" s="1323"/>
      <c r="L1551" s="1323"/>
      <c r="M1551" s="1323"/>
      <c r="N1551" s="1323"/>
      <c r="O1551" s="1323"/>
      <c r="P1551" s="1323"/>
      <c r="Q1551" s="1323"/>
      <c r="R1551" s="1304"/>
      <c r="S1551" s="1304"/>
      <c r="T1551" s="1304"/>
    </row>
    <row r="1552" spans="1:20">
      <c r="A1552" s="1303"/>
      <c r="B1552" s="1322" t="s">
        <v>5329</v>
      </c>
      <c r="C1552" s="1323" t="s">
        <v>5330</v>
      </c>
      <c r="D1552" s="1324">
        <f t="shared" si="174"/>
        <v>39629</v>
      </c>
      <c r="E1552" s="1323">
        <f t="shared" si="170"/>
        <v>7.8791000000000002</v>
      </c>
      <c r="F1552" s="1323">
        <f t="shared" si="175"/>
        <v>7.2883748840255453</v>
      </c>
      <c r="G1552" s="1323">
        <f t="shared" si="171"/>
        <v>2008</v>
      </c>
      <c r="H1552" s="1323">
        <f t="shared" si="172"/>
        <v>6</v>
      </c>
      <c r="I1552" s="1323">
        <f t="shared" si="173"/>
        <v>30</v>
      </c>
      <c r="J1552" s="1323"/>
      <c r="K1552" s="1323"/>
      <c r="L1552" s="1323"/>
      <c r="M1552" s="1323"/>
      <c r="N1552" s="1323"/>
      <c r="O1552" s="1323"/>
      <c r="P1552" s="1323"/>
      <c r="Q1552" s="1323"/>
      <c r="R1552" s="1304"/>
      <c r="S1552" s="1304"/>
      <c r="T1552" s="1304"/>
    </row>
    <row r="1553" spans="1:20">
      <c r="A1553" s="1303"/>
      <c r="B1553" s="1322" t="s">
        <v>5331</v>
      </c>
      <c r="C1553" s="1323" t="s">
        <v>5332</v>
      </c>
      <c r="D1553" s="1324">
        <f t="shared" si="174"/>
        <v>39626</v>
      </c>
      <c r="E1553" s="1323">
        <f t="shared" si="170"/>
        <v>7.9417</v>
      </c>
      <c r="F1553" s="1323">
        <f t="shared" si="175"/>
        <v>7.2869773815140215</v>
      </c>
      <c r="G1553" s="1323">
        <f t="shared" si="171"/>
        <v>2008</v>
      </c>
      <c r="H1553" s="1323">
        <f t="shared" si="172"/>
        <v>6</v>
      </c>
      <c r="I1553" s="1323">
        <f t="shared" si="173"/>
        <v>27</v>
      </c>
      <c r="J1553" s="1323"/>
      <c r="K1553" s="1323"/>
      <c r="L1553" s="1323"/>
      <c r="M1553" s="1323"/>
      <c r="N1553" s="1323"/>
      <c r="O1553" s="1323"/>
      <c r="P1553" s="1323"/>
      <c r="Q1553" s="1323"/>
      <c r="R1553" s="1304"/>
      <c r="S1553" s="1304"/>
      <c r="T1553" s="1304"/>
    </row>
    <row r="1554" spans="1:20">
      <c r="A1554" s="1303"/>
      <c r="B1554" s="1322" t="s">
        <v>5333</v>
      </c>
      <c r="C1554" s="1323" t="s">
        <v>5334</v>
      </c>
      <c r="D1554" s="1324">
        <f t="shared" si="174"/>
        <v>39625</v>
      </c>
      <c r="E1554" s="1323">
        <f t="shared" si="170"/>
        <v>7.8948999999999998</v>
      </c>
      <c r="F1554" s="1323">
        <f t="shared" si="175"/>
        <v>7.2855801469652883</v>
      </c>
      <c r="G1554" s="1323">
        <f t="shared" si="171"/>
        <v>2008</v>
      </c>
      <c r="H1554" s="1323">
        <f t="shared" si="172"/>
        <v>6</v>
      </c>
      <c r="I1554" s="1323">
        <f t="shared" si="173"/>
        <v>26</v>
      </c>
      <c r="J1554" s="1323"/>
      <c r="K1554" s="1323"/>
      <c r="L1554" s="1323"/>
      <c r="M1554" s="1323"/>
      <c r="N1554" s="1323"/>
      <c r="O1554" s="1323"/>
      <c r="P1554" s="1323"/>
      <c r="Q1554" s="1323"/>
      <c r="R1554" s="1304"/>
      <c r="S1554" s="1304"/>
      <c r="T1554" s="1304"/>
    </row>
    <row r="1555" spans="1:20">
      <c r="A1555" s="1303"/>
      <c r="B1555" s="1322" t="s">
        <v>5335</v>
      </c>
      <c r="C1555" s="1323" t="s">
        <v>5336</v>
      </c>
      <c r="D1555" s="1324">
        <f t="shared" si="174"/>
        <v>39624</v>
      </c>
      <c r="E1555" s="1323">
        <f t="shared" si="170"/>
        <v>7.9793000000000003</v>
      </c>
      <c r="F1555" s="1323">
        <f t="shared" si="175"/>
        <v>7.2841831803279646</v>
      </c>
      <c r="G1555" s="1323">
        <f t="shared" si="171"/>
        <v>2008</v>
      </c>
      <c r="H1555" s="1323">
        <f t="shared" si="172"/>
        <v>6</v>
      </c>
      <c r="I1555" s="1323">
        <f t="shared" si="173"/>
        <v>25</v>
      </c>
      <c r="J1555" s="1323"/>
      <c r="K1555" s="1323"/>
      <c r="L1555" s="1323"/>
      <c r="M1555" s="1323"/>
      <c r="N1555" s="1323"/>
      <c r="O1555" s="1323"/>
      <c r="P1555" s="1323"/>
      <c r="Q1555" s="1323"/>
      <c r="R1555" s="1304"/>
      <c r="S1555" s="1304"/>
      <c r="T1555" s="1304"/>
    </row>
    <row r="1556" spans="1:20">
      <c r="A1556" s="1303"/>
      <c r="B1556" s="1322" t="s">
        <v>5337</v>
      </c>
      <c r="C1556" s="1323" t="s">
        <v>5338</v>
      </c>
      <c r="D1556" s="1324">
        <f t="shared" si="174"/>
        <v>39623</v>
      </c>
      <c r="E1556" s="1323">
        <f t="shared" si="170"/>
        <v>8.0510999999999999</v>
      </c>
      <c r="F1556" s="1323">
        <f t="shared" si="175"/>
        <v>7.2827864815506809</v>
      </c>
      <c r="G1556" s="1323">
        <f t="shared" si="171"/>
        <v>2008</v>
      </c>
      <c r="H1556" s="1323">
        <f t="shared" si="172"/>
        <v>6</v>
      </c>
      <c r="I1556" s="1323">
        <f t="shared" si="173"/>
        <v>24</v>
      </c>
      <c r="J1556" s="1323"/>
      <c r="K1556" s="1323"/>
      <c r="L1556" s="1323"/>
      <c r="M1556" s="1323"/>
      <c r="N1556" s="1323"/>
      <c r="O1556" s="1323"/>
      <c r="P1556" s="1323"/>
      <c r="Q1556" s="1323"/>
      <c r="R1556" s="1304"/>
      <c r="S1556" s="1304"/>
      <c r="T1556" s="1304"/>
    </row>
    <row r="1557" spans="1:20">
      <c r="A1557" s="1303"/>
      <c r="B1557" s="1322" t="s">
        <v>5339</v>
      </c>
      <c r="C1557" s="1323" t="s">
        <v>5340</v>
      </c>
      <c r="D1557" s="1324">
        <f t="shared" si="174"/>
        <v>39622</v>
      </c>
      <c r="E1557" s="1323">
        <f t="shared" si="170"/>
        <v>8.0237999999999996</v>
      </c>
      <c r="F1557" s="1323">
        <f t="shared" si="175"/>
        <v>7.2813900505820754</v>
      </c>
      <c r="G1557" s="1323">
        <f t="shared" si="171"/>
        <v>2008</v>
      </c>
      <c r="H1557" s="1323">
        <f t="shared" si="172"/>
        <v>6</v>
      </c>
      <c r="I1557" s="1323">
        <f t="shared" si="173"/>
        <v>23</v>
      </c>
      <c r="J1557" s="1323"/>
      <c r="K1557" s="1323"/>
      <c r="L1557" s="1323"/>
      <c r="M1557" s="1323"/>
      <c r="N1557" s="1323"/>
      <c r="O1557" s="1323"/>
      <c r="P1557" s="1323"/>
      <c r="Q1557" s="1323"/>
      <c r="R1557" s="1304"/>
      <c r="S1557" s="1304"/>
      <c r="T1557" s="1304"/>
    </row>
    <row r="1558" spans="1:20">
      <c r="A1558" s="1303"/>
      <c r="B1558" s="1322" t="s">
        <v>5341</v>
      </c>
      <c r="C1558" s="1323" t="s">
        <v>5342</v>
      </c>
      <c r="D1558" s="1324">
        <f t="shared" si="174"/>
        <v>39619</v>
      </c>
      <c r="E1558" s="1323">
        <f t="shared" ref="E1558:E1621" si="176">VALUE(C1559)</f>
        <v>7.9503000000000004</v>
      </c>
      <c r="F1558" s="1323">
        <f t="shared" si="175"/>
        <v>7.2799938873707983</v>
      </c>
      <c r="G1558" s="1323">
        <f t="shared" ref="G1558:G1621" si="177">YEAR(B1559)</f>
        <v>2008</v>
      </c>
      <c r="H1558" s="1323">
        <f t="shared" ref="H1558:H1621" si="178">MONTH(B1559)</f>
        <v>6</v>
      </c>
      <c r="I1558" s="1323">
        <f t="shared" ref="I1558:I1621" si="179">DAY(B1559)</f>
        <v>20</v>
      </c>
      <c r="J1558" s="1323"/>
      <c r="K1558" s="1323"/>
      <c r="L1558" s="1323"/>
      <c r="M1558" s="1323"/>
      <c r="N1558" s="1323"/>
      <c r="O1558" s="1323"/>
      <c r="P1558" s="1323"/>
      <c r="Q1558" s="1323"/>
      <c r="R1558" s="1304"/>
      <c r="S1558" s="1304"/>
      <c r="T1558" s="1304"/>
    </row>
    <row r="1559" spans="1:20">
      <c r="A1559" s="1303"/>
      <c r="B1559" s="1322" t="s">
        <v>5343</v>
      </c>
      <c r="C1559" s="1323" t="s">
        <v>5344</v>
      </c>
      <c r="D1559" s="1324">
        <f t="shared" si="174"/>
        <v>39618</v>
      </c>
      <c r="E1559" s="1323">
        <f t="shared" si="176"/>
        <v>8.0402000000000005</v>
      </c>
      <c r="F1559" s="1323">
        <f t="shared" si="175"/>
        <v>7.2785979918655084</v>
      </c>
      <c r="G1559" s="1323">
        <f t="shared" si="177"/>
        <v>2008</v>
      </c>
      <c r="H1559" s="1323">
        <f t="shared" si="178"/>
        <v>6</v>
      </c>
      <c r="I1559" s="1323">
        <f t="shared" si="179"/>
        <v>19</v>
      </c>
      <c r="J1559" s="1323"/>
      <c r="K1559" s="1323"/>
      <c r="L1559" s="1323"/>
      <c r="M1559" s="1323"/>
      <c r="N1559" s="1323"/>
      <c r="O1559" s="1323"/>
      <c r="P1559" s="1323"/>
      <c r="Q1559" s="1323"/>
      <c r="R1559" s="1304"/>
      <c r="S1559" s="1304"/>
      <c r="T1559" s="1304"/>
    </row>
    <row r="1560" spans="1:20">
      <c r="A1560" s="1303"/>
      <c r="B1560" s="1322" t="s">
        <v>5345</v>
      </c>
      <c r="C1560" s="1323" t="s">
        <v>5346</v>
      </c>
      <c r="D1560" s="1324">
        <f t="shared" si="174"/>
        <v>39617</v>
      </c>
      <c r="E1560" s="1323">
        <f t="shared" si="176"/>
        <v>8.0058000000000007</v>
      </c>
      <c r="F1560" s="1323">
        <f t="shared" si="175"/>
        <v>7.2772023640148751</v>
      </c>
      <c r="G1560" s="1323">
        <f t="shared" si="177"/>
        <v>2008</v>
      </c>
      <c r="H1560" s="1323">
        <f t="shared" si="178"/>
        <v>6</v>
      </c>
      <c r="I1560" s="1323">
        <f t="shared" si="179"/>
        <v>18</v>
      </c>
      <c r="J1560" s="1323"/>
      <c r="K1560" s="1323"/>
      <c r="L1560" s="1323"/>
      <c r="M1560" s="1323"/>
      <c r="N1560" s="1323"/>
      <c r="O1560" s="1323"/>
      <c r="P1560" s="1323"/>
      <c r="Q1560" s="1323"/>
      <c r="R1560" s="1304"/>
      <c r="S1560" s="1304"/>
      <c r="T1560" s="1304"/>
    </row>
    <row r="1561" spans="1:20">
      <c r="A1561" s="1303"/>
      <c r="B1561" s="1322" t="s">
        <v>5347</v>
      </c>
      <c r="C1561" s="1323" t="s">
        <v>5348</v>
      </c>
      <c r="D1561" s="1324">
        <f t="shared" si="174"/>
        <v>39616</v>
      </c>
      <c r="E1561" s="1323">
        <f t="shared" si="176"/>
        <v>8.0200999999999993</v>
      </c>
      <c r="F1561" s="1323">
        <f t="shared" si="175"/>
        <v>7.2758070037675768</v>
      </c>
      <c r="G1561" s="1323">
        <f t="shared" si="177"/>
        <v>2008</v>
      </c>
      <c r="H1561" s="1323">
        <f t="shared" si="178"/>
        <v>6</v>
      </c>
      <c r="I1561" s="1323">
        <f t="shared" si="179"/>
        <v>17</v>
      </c>
      <c r="J1561" s="1323"/>
      <c r="K1561" s="1323"/>
      <c r="L1561" s="1323"/>
      <c r="M1561" s="1323"/>
      <c r="N1561" s="1323"/>
      <c r="O1561" s="1323"/>
      <c r="P1561" s="1323"/>
      <c r="Q1561" s="1323"/>
      <c r="R1561" s="1304"/>
      <c r="S1561" s="1304"/>
      <c r="T1561" s="1304"/>
    </row>
    <row r="1562" spans="1:20">
      <c r="A1562" s="1303"/>
      <c r="B1562" s="1322" t="s">
        <v>5349</v>
      </c>
      <c r="C1562" s="1323" t="s">
        <v>5350</v>
      </c>
      <c r="D1562" s="1324">
        <f t="shared" si="174"/>
        <v>39612</v>
      </c>
      <c r="E1562" s="1323">
        <f t="shared" si="176"/>
        <v>8.0963999999999992</v>
      </c>
      <c r="F1562" s="1323">
        <f t="shared" si="175"/>
        <v>7.2744119110723027</v>
      </c>
      <c r="G1562" s="1323">
        <f t="shared" si="177"/>
        <v>2008</v>
      </c>
      <c r="H1562" s="1323">
        <f t="shared" si="178"/>
        <v>6</v>
      </c>
      <c r="I1562" s="1323">
        <f t="shared" si="179"/>
        <v>13</v>
      </c>
      <c r="J1562" s="1323"/>
      <c r="K1562" s="1323"/>
      <c r="L1562" s="1323"/>
      <c r="M1562" s="1323"/>
      <c r="N1562" s="1323"/>
      <c r="O1562" s="1323"/>
      <c r="P1562" s="1323"/>
      <c r="Q1562" s="1323"/>
      <c r="R1562" s="1304"/>
      <c r="S1562" s="1304"/>
      <c r="T1562" s="1304"/>
    </row>
    <row r="1563" spans="1:20">
      <c r="A1563" s="1303"/>
      <c r="B1563" s="1322" t="s">
        <v>5351</v>
      </c>
      <c r="C1563" s="1323" t="s">
        <v>5352</v>
      </c>
      <c r="D1563" s="1324">
        <f t="shared" si="174"/>
        <v>39611</v>
      </c>
      <c r="E1563" s="1323">
        <f t="shared" si="176"/>
        <v>7.9890999999999996</v>
      </c>
      <c r="F1563" s="1323">
        <f t="shared" si="175"/>
        <v>7.2730170858777505</v>
      </c>
      <c r="G1563" s="1323">
        <f t="shared" si="177"/>
        <v>2008</v>
      </c>
      <c r="H1563" s="1323">
        <f t="shared" si="178"/>
        <v>6</v>
      </c>
      <c r="I1563" s="1323">
        <f t="shared" si="179"/>
        <v>12</v>
      </c>
      <c r="J1563" s="1323"/>
      <c r="K1563" s="1323"/>
      <c r="L1563" s="1323"/>
      <c r="M1563" s="1323"/>
      <c r="N1563" s="1323"/>
      <c r="O1563" s="1323"/>
      <c r="P1563" s="1323"/>
      <c r="Q1563" s="1323"/>
      <c r="R1563" s="1304"/>
      <c r="S1563" s="1304"/>
      <c r="T1563" s="1304"/>
    </row>
    <row r="1564" spans="1:20">
      <c r="A1564" s="1303"/>
      <c r="B1564" s="1322" t="s">
        <v>5353</v>
      </c>
      <c r="C1564" s="1323" t="s">
        <v>5354</v>
      </c>
      <c r="D1564" s="1324">
        <f t="shared" si="174"/>
        <v>39610</v>
      </c>
      <c r="E1564" s="1323">
        <f t="shared" si="176"/>
        <v>7.9383999999999997</v>
      </c>
      <c r="F1564" s="1323">
        <f t="shared" si="175"/>
        <v>7.271622528132629</v>
      </c>
      <c r="G1564" s="1323">
        <f t="shared" si="177"/>
        <v>2008</v>
      </c>
      <c r="H1564" s="1323">
        <f t="shared" si="178"/>
        <v>6</v>
      </c>
      <c r="I1564" s="1323">
        <f t="shared" si="179"/>
        <v>11</v>
      </c>
      <c r="J1564" s="1323"/>
      <c r="K1564" s="1323"/>
      <c r="L1564" s="1323"/>
      <c r="M1564" s="1323"/>
      <c r="N1564" s="1323"/>
      <c r="O1564" s="1323"/>
      <c r="P1564" s="1323"/>
      <c r="Q1564" s="1323"/>
      <c r="R1564" s="1304"/>
      <c r="S1564" s="1304"/>
      <c r="T1564" s="1304"/>
    </row>
    <row r="1565" spans="1:20">
      <c r="A1565" s="1303"/>
      <c r="B1565" s="1322" t="s">
        <v>5355</v>
      </c>
      <c r="C1565" s="1323" t="s">
        <v>5356</v>
      </c>
      <c r="D1565" s="1324">
        <f t="shared" si="174"/>
        <v>39609</v>
      </c>
      <c r="E1565" s="1323">
        <f t="shared" si="176"/>
        <v>7.9234</v>
      </c>
      <c r="F1565" s="1323">
        <f t="shared" si="175"/>
        <v>7.2702282377856564</v>
      </c>
      <c r="G1565" s="1323">
        <f t="shared" si="177"/>
        <v>2008</v>
      </c>
      <c r="H1565" s="1323">
        <f t="shared" si="178"/>
        <v>6</v>
      </c>
      <c r="I1565" s="1323">
        <f t="shared" si="179"/>
        <v>10</v>
      </c>
      <c r="J1565" s="1323"/>
      <c r="K1565" s="1323"/>
      <c r="L1565" s="1323"/>
      <c r="M1565" s="1323"/>
      <c r="N1565" s="1323"/>
      <c r="O1565" s="1323"/>
      <c r="P1565" s="1323"/>
      <c r="Q1565" s="1323"/>
      <c r="R1565" s="1304"/>
      <c r="S1565" s="1304"/>
      <c r="T1565" s="1304"/>
    </row>
    <row r="1566" spans="1:20">
      <c r="A1566" s="1303"/>
      <c r="B1566" s="1322" t="s">
        <v>5357</v>
      </c>
      <c r="C1566" s="1323" t="s">
        <v>5358</v>
      </c>
      <c r="D1566" s="1324">
        <f t="shared" si="174"/>
        <v>39608</v>
      </c>
      <c r="E1566" s="1323">
        <f t="shared" si="176"/>
        <v>7.8712</v>
      </c>
      <c r="F1566" s="1323">
        <f t="shared" si="175"/>
        <v>7.26883421478556</v>
      </c>
      <c r="G1566" s="1323">
        <f t="shared" si="177"/>
        <v>2008</v>
      </c>
      <c r="H1566" s="1323">
        <f t="shared" si="178"/>
        <v>6</v>
      </c>
      <c r="I1566" s="1323">
        <f t="shared" si="179"/>
        <v>9</v>
      </c>
      <c r="J1566" s="1323"/>
      <c r="K1566" s="1323"/>
      <c r="L1566" s="1323"/>
      <c r="M1566" s="1323"/>
      <c r="N1566" s="1323"/>
      <c r="O1566" s="1323"/>
      <c r="P1566" s="1323"/>
      <c r="Q1566" s="1323"/>
      <c r="R1566" s="1304"/>
      <c r="S1566" s="1304"/>
      <c r="T1566" s="1304"/>
    </row>
    <row r="1567" spans="1:20">
      <c r="A1567" s="1303"/>
      <c r="B1567" s="1322" t="s">
        <v>5359</v>
      </c>
      <c r="C1567" s="1323" t="s">
        <v>5360</v>
      </c>
      <c r="D1567" s="1324">
        <f t="shared" si="174"/>
        <v>39605</v>
      </c>
      <c r="E1567" s="1323">
        <f t="shared" si="176"/>
        <v>7.8437000000000001</v>
      </c>
      <c r="F1567" s="1323">
        <f t="shared" si="175"/>
        <v>7.2674404590810786</v>
      </c>
      <c r="G1567" s="1323">
        <f t="shared" si="177"/>
        <v>2008</v>
      </c>
      <c r="H1567" s="1323">
        <f t="shared" si="178"/>
        <v>6</v>
      </c>
      <c r="I1567" s="1323">
        <f t="shared" si="179"/>
        <v>6</v>
      </c>
      <c r="J1567" s="1323"/>
      <c r="K1567" s="1323"/>
      <c r="L1567" s="1323"/>
      <c r="M1567" s="1323"/>
      <c r="N1567" s="1323"/>
      <c r="O1567" s="1323"/>
      <c r="P1567" s="1323"/>
      <c r="Q1567" s="1323"/>
      <c r="R1567" s="1304"/>
      <c r="S1567" s="1304"/>
      <c r="T1567" s="1304"/>
    </row>
    <row r="1568" spans="1:20">
      <c r="A1568" s="1303"/>
      <c r="B1568" s="1322" t="s">
        <v>5361</v>
      </c>
      <c r="C1568" s="1323" t="s">
        <v>5362</v>
      </c>
      <c r="D1568" s="1324">
        <f t="shared" si="174"/>
        <v>39604</v>
      </c>
      <c r="E1568" s="1323">
        <f t="shared" si="176"/>
        <v>7.7584</v>
      </c>
      <c r="F1568" s="1323">
        <f t="shared" si="175"/>
        <v>7.2660469706209589</v>
      </c>
      <c r="G1568" s="1323">
        <f t="shared" si="177"/>
        <v>2008</v>
      </c>
      <c r="H1568" s="1323">
        <f t="shared" si="178"/>
        <v>6</v>
      </c>
      <c r="I1568" s="1323">
        <f t="shared" si="179"/>
        <v>5</v>
      </c>
      <c r="J1568" s="1323"/>
      <c r="K1568" s="1323"/>
      <c r="L1568" s="1323"/>
      <c r="M1568" s="1323"/>
      <c r="N1568" s="1323"/>
      <c r="O1568" s="1323"/>
      <c r="P1568" s="1323"/>
      <c r="Q1568" s="1323"/>
      <c r="R1568" s="1304"/>
      <c r="S1568" s="1304"/>
      <c r="T1568" s="1304"/>
    </row>
    <row r="1569" spans="1:20">
      <c r="A1569" s="1303"/>
      <c r="B1569" s="1322" t="s">
        <v>5363</v>
      </c>
      <c r="C1569" s="1323" t="s">
        <v>5364</v>
      </c>
      <c r="D1569" s="1324">
        <f t="shared" si="174"/>
        <v>39603</v>
      </c>
      <c r="E1569" s="1323">
        <f t="shared" si="176"/>
        <v>7.7698999999999998</v>
      </c>
      <c r="F1569" s="1323">
        <f t="shared" si="175"/>
        <v>7.2646537493539594</v>
      </c>
      <c r="G1569" s="1323">
        <f t="shared" si="177"/>
        <v>2008</v>
      </c>
      <c r="H1569" s="1323">
        <f t="shared" si="178"/>
        <v>6</v>
      </c>
      <c r="I1569" s="1323">
        <f t="shared" si="179"/>
        <v>4</v>
      </c>
      <c r="J1569" s="1323"/>
      <c r="K1569" s="1323"/>
      <c r="L1569" s="1323"/>
      <c r="M1569" s="1323"/>
      <c r="N1569" s="1323"/>
      <c r="O1569" s="1323"/>
      <c r="P1569" s="1323"/>
      <c r="Q1569" s="1323"/>
      <c r="R1569" s="1304"/>
      <c r="S1569" s="1304"/>
      <c r="T1569" s="1304"/>
    </row>
    <row r="1570" spans="1:20">
      <c r="A1570" s="1303"/>
      <c r="B1570" s="1322" t="s">
        <v>5365</v>
      </c>
      <c r="C1570" s="1323" t="s">
        <v>5366</v>
      </c>
      <c r="D1570" s="1324">
        <f t="shared" si="174"/>
        <v>39602</v>
      </c>
      <c r="E1570" s="1323">
        <f t="shared" si="176"/>
        <v>7.7521000000000004</v>
      </c>
      <c r="F1570" s="1323">
        <f t="shared" si="175"/>
        <v>7.263260795228847</v>
      </c>
      <c r="G1570" s="1323">
        <f t="shared" si="177"/>
        <v>2008</v>
      </c>
      <c r="H1570" s="1323">
        <f t="shared" si="178"/>
        <v>6</v>
      </c>
      <c r="I1570" s="1323">
        <f t="shared" si="179"/>
        <v>3</v>
      </c>
      <c r="J1570" s="1323"/>
      <c r="K1570" s="1323"/>
      <c r="L1570" s="1323"/>
      <c r="M1570" s="1323"/>
      <c r="N1570" s="1323"/>
      <c r="O1570" s="1323"/>
      <c r="P1570" s="1323"/>
      <c r="Q1570" s="1323"/>
      <c r="R1570" s="1304"/>
      <c r="S1570" s="1304"/>
      <c r="T1570" s="1304"/>
    </row>
    <row r="1571" spans="1:20">
      <c r="A1571" s="1303"/>
      <c r="B1571" s="1322" t="s">
        <v>5367</v>
      </c>
      <c r="C1571" s="1323" t="s">
        <v>5368</v>
      </c>
      <c r="D1571" s="1324">
        <f t="shared" si="174"/>
        <v>39601</v>
      </c>
      <c r="E1571" s="1323">
        <f t="shared" si="176"/>
        <v>7.6791</v>
      </c>
      <c r="F1571" s="1323">
        <f t="shared" si="175"/>
        <v>7.261868108194399</v>
      </c>
      <c r="G1571" s="1323">
        <f t="shared" si="177"/>
        <v>2008</v>
      </c>
      <c r="H1571" s="1323">
        <f t="shared" si="178"/>
        <v>6</v>
      </c>
      <c r="I1571" s="1323">
        <f t="shared" si="179"/>
        <v>2</v>
      </c>
      <c r="J1571" s="1323"/>
      <c r="K1571" s="1323"/>
      <c r="L1571" s="1323"/>
      <c r="M1571" s="1323"/>
      <c r="N1571" s="1323"/>
      <c r="O1571" s="1323"/>
      <c r="P1571" s="1323"/>
      <c r="Q1571" s="1323"/>
      <c r="R1571" s="1304"/>
      <c r="S1571" s="1304"/>
      <c r="T1571" s="1304"/>
    </row>
    <row r="1572" spans="1:20">
      <c r="A1572" s="1303"/>
      <c r="B1572" s="1322" t="s">
        <v>5369</v>
      </c>
      <c r="C1572" s="1323" t="s">
        <v>5370</v>
      </c>
      <c r="D1572" s="1324">
        <f t="shared" si="174"/>
        <v>39598</v>
      </c>
      <c r="E1572" s="1323">
        <f t="shared" si="176"/>
        <v>7.5873999999999997</v>
      </c>
      <c r="F1572" s="1323">
        <f t="shared" si="175"/>
        <v>7.2604756881994019</v>
      </c>
      <c r="G1572" s="1323">
        <f t="shared" si="177"/>
        <v>2008</v>
      </c>
      <c r="H1572" s="1323">
        <f t="shared" si="178"/>
        <v>5</v>
      </c>
      <c r="I1572" s="1323">
        <f t="shared" si="179"/>
        <v>30</v>
      </c>
      <c r="J1572" s="1323"/>
      <c r="K1572" s="1323"/>
      <c r="L1572" s="1323"/>
      <c r="M1572" s="1323"/>
      <c r="N1572" s="1323"/>
      <c r="O1572" s="1323"/>
      <c r="P1572" s="1323"/>
      <c r="Q1572" s="1323"/>
      <c r="R1572" s="1304"/>
      <c r="S1572" s="1304"/>
      <c r="T1572" s="1304"/>
    </row>
    <row r="1573" spans="1:20">
      <c r="A1573" s="1303"/>
      <c r="B1573" s="1322" t="s">
        <v>5371</v>
      </c>
      <c r="C1573" s="1323" t="s">
        <v>5372</v>
      </c>
      <c r="D1573" s="1324">
        <f t="shared" si="174"/>
        <v>39597</v>
      </c>
      <c r="E1573" s="1323">
        <f t="shared" si="176"/>
        <v>7.6353999999999997</v>
      </c>
      <c r="F1573" s="1323">
        <f t="shared" si="175"/>
        <v>7.2590835351926524</v>
      </c>
      <c r="G1573" s="1323">
        <f t="shared" si="177"/>
        <v>2008</v>
      </c>
      <c r="H1573" s="1323">
        <f t="shared" si="178"/>
        <v>5</v>
      </c>
      <c r="I1573" s="1323">
        <f t="shared" si="179"/>
        <v>29</v>
      </c>
      <c r="J1573" s="1323"/>
      <c r="K1573" s="1323"/>
      <c r="L1573" s="1323"/>
      <c r="M1573" s="1323"/>
      <c r="N1573" s="1323"/>
      <c r="O1573" s="1323"/>
      <c r="P1573" s="1323"/>
      <c r="Q1573" s="1323"/>
      <c r="R1573" s="1304"/>
      <c r="S1573" s="1304"/>
      <c r="T1573" s="1304"/>
    </row>
    <row r="1574" spans="1:20">
      <c r="A1574" s="1303"/>
      <c r="B1574" s="1322" t="s">
        <v>5373</v>
      </c>
      <c r="C1574" s="1323" t="s">
        <v>5374</v>
      </c>
      <c r="D1574" s="1324">
        <f t="shared" si="174"/>
        <v>39596</v>
      </c>
      <c r="E1574" s="1323">
        <f t="shared" si="176"/>
        <v>7.7458</v>
      </c>
      <c r="F1574" s="1323">
        <f t="shared" si="175"/>
        <v>7.2576916491229575</v>
      </c>
      <c r="G1574" s="1323">
        <f t="shared" si="177"/>
        <v>2008</v>
      </c>
      <c r="H1574" s="1323">
        <f t="shared" si="178"/>
        <v>5</v>
      </c>
      <c r="I1574" s="1323">
        <f t="shared" si="179"/>
        <v>28</v>
      </c>
      <c r="J1574" s="1323"/>
      <c r="K1574" s="1323"/>
      <c r="L1574" s="1323"/>
      <c r="M1574" s="1323"/>
      <c r="N1574" s="1323"/>
      <c r="O1574" s="1323"/>
      <c r="P1574" s="1323"/>
      <c r="Q1574" s="1323"/>
      <c r="R1574" s="1304"/>
      <c r="S1574" s="1304"/>
      <c r="T1574" s="1304"/>
    </row>
    <row r="1575" spans="1:20">
      <c r="A1575" s="1303"/>
      <c r="B1575" s="1322" t="s">
        <v>5375</v>
      </c>
      <c r="C1575" s="1323" t="s">
        <v>5376</v>
      </c>
      <c r="D1575" s="1324">
        <f t="shared" si="174"/>
        <v>39595</v>
      </c>
      <c r="E1575" s="1323">
        <f t="shared" si="176"/>
        <v>7.6974</v>
      </c>
      <c r="F1575" s="1323">
        <f t="shared" si="175"/>
        <v>7.2563000299391334</v>
      </c>
      <c r="G1575" s="1323">
        <f t="shared" si="177"/>
        <v>2008</v>
      </c>
      <c r="H1575" s="1323">
        <f t="shared" si="178"/>
        <v>5</v>
      </c>
      <c r="I1575" s="1323">
        <f t="shared" si="179"/>
        <v>27</v>
      </c>
      <c r="J1575" s="1323"/>
      <c r="K1575" s="1323"/>
      <c r="L1575" s="1323"/>
      <c r="M1575" s="1323"/>
      <c r="N1575" s="1323"/>
      <c r="O1575" s="1323"/>
      <c r="P1575" s="1323"/>
      <c r="Q1575" s="1323"/>
      <c r="R1575" s="1304"/>
      <c r="S1575" s="1304"/>
      <c r="T1575" s="1304"/>
    </row>
    <row r="1576" spans="1:20">
      <c r="A1576" s="1303"/>
      <c r="B1576" s="1322" t="s">
        <v>5377</v>
      </c>
      <c r="C1576" s="1323" t="s">
        <v>5378</v>
      </c>
      <c r="D1576" s="1324">
        <f t="shared" si="174"/>
        <v>39594</v>
      </c>
      <c r="E1576" s="1323">
        <f t="shared" si="176"/>
        <v>7.6999000000000004</v>
      </c>
      <c r="F1576" s="1323">
        <f t="shared" si="175"/>
        <v>7.2549086775900067</v>
      </c>
      <c r="G1576" s="1323">
        <f t="shared" si="177"/>
        <v>2008</v>
      </c>
      <c r="H1576" s="1323">
        <f t="shared" si="178"/>
        <v>5</v>
      </c>
      <c r="I1576" s="1323">
        <f t="shared" si="179"/>
        <v>26</v>
      </c>
      <c r="J1576" s="1323"/>
      <c r="K1576" s="1323"/>
      <c r="L1576" s="1323"/>
      <c r="M1576" s="1323"/>
      <c r="N1576" s="1323"/>
      <c r="O1576" s="1323"/>
      <c r="P1576" s="1323"/>
      <c r="Q1576" s="1323"/>
      <c r="R1576" s="1304"/>
      <c r="S1576" s="1304"/>
      <c r="T1576" s="1304"/>
    </row>
    <row r="1577" spans="1:20">
      <c r="A1577" s="1303"/>
      <c r="B1577" s="1322" t="s">
        <v>5379</v>
      </c>
      <c r="C1577" s="1323" t="s">
        <v>5380</v>
      </c>
      <c r="D1577" s="1324">
        <f t="shared" si="174"/>
        <v>39591</v>
      </c>
      <c r="E1577" s="1323">
        <f t="shared" si="176"/>
        <v>7.6772999999999998</v>
      </c>
      <c r="F1577" s="1323">
        <f t="shared" si="175"/>
        <v>7.253517592024413</v>
      </c>
      <c r="G1577" s="1323">
        <f t="shared" si="177"/>
        <v>2008</v>
      </c>
      <c r="H1577" s="1323">
        <f t="shared" si="178"/>
        <v>5</v>
      </c>
      <c r="I1577" s="1323">
        <f t="shared" si="179"/>
        <v>23</v>
      </c>
      <c r="J1577" s="1323"/>
      <c r="K1577" s="1323"/>
      <c r="L1577" s="1323"/>
      <c r="M1577" s="1323"/>
      <c r="N1577" s="1323"/>
      <c r="O1577" s="1323"/>
      <c r="P1577" s="1323"/>
      <c r="Q1577" s="1323"/>
      <c r="R1577" s="1304"/>
      <c r="S1577" s="1304"/>
      <c r="T1577" s="1304"/>
    </row>
    <row r="1578" spans="1:20">
      <c r="A1578" s="1303"/>
      <c r="B1578" s="1322" t="s">
        <v>5381</v>
      </c>
      <c r="C1578" s="1323" t="s">
        <v>5382</v>
      </c>
      <c r="D1578" s="1324">
        <f t="shared" si="174"/>
        <v>39590</v>
      </c>
      <c r="E1578" s="1323">
        <f t="shared" si="176"/>
        <v>7.72</v>
      </c>
      <c r="F1578" s="1323">
        <f t="shared" si="175"/>
        <v>7.2521267731911978</v>
      </c>
      <c r="G1578" s="1323">
        <f t="shared" si="177"/>
        <v>2008</v>
      </c>
      <c r="H1578" s="1323">
        <f t="shared" si="178"/>
        <v>5</v>
      </c>
      <c r="I1578" s="1323">
        <f t="shared" si="179"/>
        <v>22</v>
      </c>
      <c r="J1578" s="1323"/>
      <c r="K1578" s="1323"/>
      <c r="L1578" s="1323"/>
      <c r="M1578" s="1323"/>
      <c r="N1578" s="1323"/>
      <c r="O1578" s="1323"/>
      <c r="P1578" s="1323"/>
      <c r="Q1578" s="1323"/>
      <c r="R1578" s="1304"/>
      <c r="S1578" s="1304"/>
      <c r="T1578" s="1304"/>
    </row>
    <row r="1579" spans="1:20">
      <c r="A1579" s="1303"/>
      <c r="B1579" s="1322" t="s">
        <v>5383</v>
      </c>
      <c r="C1579" s="1323" t="s">
        <v>5249</v>
      </c>
      <c r="D1579" s="1324">
        <f t="shared" si="174"/>
        <v>39589</v>
      </c>
      <c r="E1579" s="1323">
        <f t="shared" si="176"/>
        <v>7.6501000000000001</v>
      </c>
      <c r="F1579" s="1323">
        <f t="shared" si="175"/>
        <v>7.250736221039217</v>
      </c>
      <c r="G1579" s="1323">
        <f t="shared" si="177"/>
        <v>2008</v>
      </c>
      <c r="H1579" s="1323">
        <f t="shared" si="178"/>
        <v>5</v>
      </c>
      <c r="I1579" s="1323">
        <f t="shared" si="179"/>
        <v>21</v>
      </c>
      <c r="J1579" s="1323"/>
      <c r="K1579" s="1323"/>
      <c r="L1579" s="1323"/>
      <c r="M1579" s="1323"/>
      <c r="N1579" s="1323"/>
      <c r="O1579" s="1323"/>
      <c r="P1579" s="1323"/>
      <c r="Q1579" s="1323"/>
      <c r="R1579" s="1304"/>
      <c r="S1579" s="1304"/>
      <c r="T1579" s="1304"/>
    </row>
    <row r="1580" spans="1:20">
      <c r="A1580" s="1303"/>
      <c r="B1580" s="1322" t="s">
        <v>5384</v>
      </c>
      <c r="C1580" s="1323" t="s">
        <v>5385</v>
      </c>
      <c r="D1580" s="1324">
        <f t="shared" si="174"/>
        <v>39588</v>
      </c>
      <c r="E1580" s="1323">
        <f t="shared" si="176"/>
        <v>7.5914000000000001</v>
      </c>
      <c r="F1580" s="1323">
        <f t="shared" si="175"/>
        <v>7.2493459355173364</v>
      </c>
      <c r="G1580" s="1323">
        <f t="shared" si="177"/>
        <v>2008</v>
      </c>
      <c r="H1580" s="1323">
        <f t="shared" si="178"/>
        <v>5</v>
      </c>
      <c r="I1580" s="1323">
        <f t="shared" si="179"/>
        <v>20</v>
      </c>
      <c r="J1580" s="1323"/>
      <c r="K1580" s="1323"/>
      <c r="L1580" s="1323"/>
      <c r="M1580" s="1323"/>
      <c r="N1580" s="1323"/>
      <c r="O1580" s="1323"/>
      <c r="P1580" s="1323"/>
      <c r="Q1580" s="1323"/>
      <c r="R1580" s="1304"/>
      <c r="S1580" s="1304"/>
      <c r="T1580" s="1304"/>
    </row>
    <row r="1581" spans="1:20">
      <c r="A1581" s="1303"/>
      <c r="B1581" s="1322" t="s">
        <v>5386</v>
      </c>
      <c r="C1581" s="1323" t="s">
        <v>5387</v>
      </c>
      <c r="D1581" s="1324">
        <f t="shared" si="174"/>
        <v>39587</v>
      </c>
      <c r="E1581" s="1323">
        <f t="shared" si="176"/>
        <v>7.4882999999999997</v>
      </c>
      <c r="F1581" s="1323">
        <f t="shared" si="175"/>
        <v>7.2479559165744316</v>
      </c>
      <c r="G1581" s="1323">
        <f t="shared" si="177"/>
        <v>2008</v>
      </c>
      <c r="H1581" s="1323">
        <f t="shared" si="178"/>
        <v>5</v>
      </c>
      <c r="I1581" s="1323">
        <f t="shared" si="179"/>
        <v>19</v>
      </c>
      <c r="J1581" s="1323"/>
      <c r="K1581" s="1323"/>
      <c r="L1581" s="1323"/>
      <c r="M1581" s="1323"/>
      <c r="N1581" s="1323"/>
      <c r="O1581" s="1323"/>
      <c r="P1581" s="1323"/>
      <c r="Q1581" s="1323"/>
      <c r="R1581" s="1304"/>
      <c r="S1581" s="1304"/>
      <c r="T1581" s="1304"/>
    </row>
    <row r="1582" spans="1:20">
      <c r="A1582" s="1303"/>
      <c r="B1582" s="1322" t="s">
        <v>5388</v>
      </c>
      <c r="C1582" s="1323" t="s">
        <v>5389</v>
      </c>
      <c r="D1582" s="1324">
        <f t="shared" si="174"/>
        <v>39584</v>
      </c>
      <c r="E1582" s="1323">
        <f t="shared" si="176"/>
        <v>7.5454999999999997</v>
      </c>
      <c r="F1582" s="1323">
        <f t="shared" si="175"/>
        <v>7.246566164159387</v>
      </c>
      <c r="G1582" s="1323">
        <f t="shared" si="177"/>
        <v>2008</v>
      </c>
      <c r="H1582" s="1323">
        <f t="shared" si="178"/>
        <v>5</v>
      </c>
      <c r="I1582" s="1323">
        <f t="shared" si="179"/>
        <v>16</v>
      </c>
      <c r="J1582" s="1323"/>
      <c r="K1582" s="1323"/>
      <c r="L1582" s="1323"/>
      <c r="M1582" s="1323"/>
      <c r="N1582" s="1323"/>
      <c r="O1582" s="1323"/>
      <c r="P1582" s="1323"/>
      <c r="Q1582" s="1323"/>
      <c r="R1582" s="1304"/>
      <c r="S1582" s="1304"/>
      <c r="T1582" s="1304"/>
    </row>
    <row r="1583" spans="1:20">
      <c r="A1583" s="1303"/>
      <c r="B1583" s="1322" t="s">
        <v>5390</v>
      </c>
      <c r="C1583" s="1323" t="s">
        <v>5391</v>
      </c>
      <c r="D1583" s="1324">
        <f t="shared" si="174"/>
        <v>39583</v>
      </c>
      <c r="E1583" s="1323">
        <f t="shared" si="176"/>
        <v>7.6185999999999998</v>
      </c>
      <c r="F1583" s="1323">
        <f t="shared" si="175"/>
        <v>7.2451766782210978</v>
      </c>
      <c r="G1583" s="1323">
        <f t="shared" si="177"/>
        <v>2008</v>
      </c>
      <c r="H1583" s="1323">
        <f t="shared" si="178"/>
        <v>5</v>
      </c>
      <c r="I1583" s="1323">
        <f t="shared" si="179"/>
        <v>15</v>
      </c>
      <c r="J1583" s="1323"/>
      <c r="K1583" s="1323"/>
      <c r="L1583" s="1323"/>
      <c r="M1583" s="1323"/>
      <c r="N1583" s="1323"/>
      <c r="O1583" s="1323"/>
      <c r="P1583" s="1323"/>
      <c r="Q1583" s="1323"/>
      <c r="R1583" s="1304"/>
      <c r="S1583" s="1304"/>
      <c r="T1583" s="1304"/>
    </row>
    <row r="1584" spans="1:20">
      <c r="A1584" s="1303"/>
      <c r="B1584" s="1322" t="s">
        <v>5392</v>
      </c>
      <c r="C1584" s="1323" t="s">
        <v>5393</v>
      </c>
      <c r="D1584" s="1324">
        <f t="shared" si="174"/>
        <v>39582</v>
      </c>
      <c r="E1584" s="1323">
        <f t="shared" si="176"/>
        <v>7.6252000000000004</v>
      </c>
      <c r="F1584" s="1323">
        <f t="shared" si="175"/>
        <v>7.2437874587084687</v>
      </c>
      <c r="G1584" s="1323">
        <f t="shared" si="177"/>
        <v>2008</v>
      </c>
      <c r="H1584" s="1323">
        <f t="shared" si="178"/>
        <v>5</v>
      </c>
      <c r="I1584" s="1323">
        <f t="shared" si="179"/>
        <v>14</v>
      </c>
      <c r="J1584" s="1323"/>
      <c r="K1584" s="1323"/>
      <c r="L1584" s="1323"/>
      <c r="M1584" s="1323"/>
      <c r="N1584" s="1323"/>
      <c r="O1584" s="1323"/>
      <c r="P1584" s="1323"/>
      <c r="Q1584" s="1323"/>
      <c r="R1584" s="1304"/>
      <c r="S1584" s="1304"/>
      <c r="T1584" s="1304"/>
    </row>
    <row r="1585" spans="1:20">
      <c r="A1585" s="1303"/>
      <c r="B1585" s="1322" t="s">
        <v>5394</v>
      </c>
      <c r="C1585" s="1323" t="s">
        <v>5395</v>
      </c>
      <c r="D1585" s="1324">
        <f t="shared" si="174"/>
        <v>39581</v>
      </c>
      <c r="E1585" s="1323">
        <f t="shared" si="176"/>
        <v>7.5928000000000004</v>
      </c>
      <c r="F1585" s="1323">
        <f t="shared" si="175"/>
        <v>7.2423985055704136</v>
      </c>
      <c r="G1585" s="1323">
        <f t="shared" si="177"/>
        <v>2008</v>
      </c>
      <c r="H1585" s="1323">
        <f t="shared" si="178"/>
        <v>5</v>
      </c>
      <c r="I1585" s="1323">
        <f t="shared" si="179"/>
        <v>13</v>
      </c>
      <c r="J1585" s="1323"/>
      <c r="K1585" s="1323"/>
      <c r="L1585" s="1323"/>
      <c r="M1585" s="1323"/>
      <c r="N1585" s="1323"/>
      <c r="O1585" s="1323"/>
      <c r="P1585" s="1323"/>
      <c r="Q1585" s="1323"/>
      <c r="R1585" s="1304"/>
      <c r="S1585" s="1304"/>
      <c r="T1585" s="1304"/>
    </row>
    <row r="1586" spans="1:20">
      <c r="A1586" s="1303"/>
      <c r="B1586" s="1322" t="s">
        <v>5396</v>
      </c>
      <c r="C1586" s="1323" t="s">
        <v>5397</v>
      </c>
      <c r="D1586" s="1324">
        <f t="shared" si="174"/>
        <v>39580</v>
      </c>
      <c r="E1586" s="1323">
        <f t="shared" si="176"/>
        <v>7.6566000000000001</v>
      </c>
      <c r="F1586" s="1323">
        <f t="shared" si="175"/>
        <v>7.2410098187558578</v>
      </c>
      <c r="G1586" s="1323">
        <f t="shared" si="177"/>
        <v>2008</v>
      </c>
      <c r="H1586" s="1323">
        <f t="shared" si="178"/>
        <v>5</v>
      </c>
      <c r="I1586" s="1323">
        <f t="shared" si="179"/>
        <v>12</v>
      </c>
      <c r="J1586" s="1323"/>
      <c r="K1586" s="1323"/>
      <c r="L1586" s="1323"/>
      <c r="M1586" s="1323"/>
      <c r="N1586" s="1323"/>
      <c r="O1586" s="1323"/>
      <c r="P1586" s="1323"/>
      <c r="Q1586" s="1323"/>
      <c r="R1586" s="1304"/>
      <c r="S1586" s="1304"/>
      <c r="T1586" s="1304"/>
    </row>
    <row r="1587" spans="1:20">
      <c r="A1587" s="1303"/>
      <c r="B1587" s="1322" t="s">
        <v>5398</v>
      </c>
      <c r="C1587" s="1323" t="s">
        <v>5257</v>
      </c>
      <c r="D1587" s="1324">
        <f t="shared" si="174"/>
        <v>39577</v>
      </c>
      <c r="E1587" s="1323">
        <f t="shared" si="176"/>
        <v>7.6814999999999998</v>
      </c>
      <c r="F1587" s="1323">
        <f t="shared" si="175"/>
        <v>7.2396213982137345</v>
      </c>
      <c r="G1587" s="1323">
        <f t="shared" si="177"/>
        <v>2008</v>
      </c>
      <c r="H1587" s="1323">
        <f t="shared" si="178"/>
        <v>5</v>
      </c>
      <c r="I1587" s="1323">
        <f t="shared" si="179"/>
        <v>9</v>
      </c>
      <c r="J1587" s="1323"/>
      <c r="K1587" s="1323"/>
      <c r="L1587" s="1323"/>
      <c r="M1587" s="1323"/>
      <c r="N1587" s="1323"/>
      <c r="O1587" s="1323"/>
      <c r="P1587" s="1323"/>
      <c r="Q1587" s="1323"/>
      <c r="R1587" s="1304"/>
      <c r="S1587" s="1304"/>
      <c r="T1587" s="1304"/>
    </row>
    <row r="1588" spans="1:20">
      <c r="A1588" s="1303"/>
      <c r="B1588" s="1322" t="s">
        <v>5399</v>
      </c>
      <c r="C1588" s="1323" t="s">
        <v>5400</v>
      </c>
      <c r="D1588" s="1324">
        <f t="shared" si="174"/>
        <v>39576</v>
      </c>
      <c r="E1588" s="1323">
        <f t="shared" si="176"/>
        <v>7.6173000000000002</v>
      </c>
      <c r="F1588" s="1323">
        <f t="shared" si="175"/>
        <v>7.2382332438929877</v>
      </c>
      <c r="G1588" s="1323">
        <f t="shared" si="177"/>
        <v>2008</v>
      </c>
      <c r="H1588" s="1323">
        <f t="shared" si="178"/>
        <v>5</v>
      </c>
      <c r="I1588" s="1323">
        <f t="shared" si="179"/>
        <v>8</v>
      </c>
      <c r="J1588" s="1323"/>
      <c r="K1588" s="1323"/>
      <c r="L1588" s="1323"/>
      <c r="M1588" s="1323"/>
      <c r="N1588" s="1323"/>
      <c r="O1588" s="1323"/>
      <c r="P1588" s="1323"/>
      <c r="Q1588" s="1323"/>
      <c r="R1588" s="1304"/>
      <c r="S1588" s="1304"/>
      <c r="T1588" s="1304"/>
    </row>
    <row r="1589" spans="1:20">
      <c r="A1589" s="1303"/>
      <c r="B1589" s="1322" t="s">
        <v>5401</v>
      </c>
      <c r="C1589" s="1323" t="s">
        <v>5402</v>
      </c>
      <c r="D1589" s="1324">
        <f t="shared" si="174"/>
        <v>39575</v>
      </c>
      <c r="E1589" s="1323">
        <f t="shared" si="176"/>
        <v>7.5301</v>
      </c>
      <c r="F1589" s="1323">
        <f t="shared" si="175"/>
        <v>7.2368453557425712</v>
      </c>
      <c r="G1589" s="1323">
        <f t="shared" si="177"/>
        <v>2008</v>
      </c>
      <c r="H1589" s="1323">
        <f t="shared" si="178"/>
        <v>5</v>
      </c>
      <c r="I1589" s="1323">
        <f t="shared" si="179"/>
        <v>7</v>
      </c>
      <c r="J1589" s="1323"/>
      <c r="K1589" s="1323"/>
      <c r="L1589" s="1323"/>
      <c r="M1589" s="1323"/>
      <c r="N1589" s="1323"/>
      <c r="O1589" s="1323"/>
      <c r="P1589" s="1323"/>
      <c r="Q1589" s="1323"/>
      <c r="R1589" s="1304"/>
      <c r="S1589" s="1304"/>
      <c r="T1589" s="1304"/>
    </row>
    <row r="1590" spans="1:20">
      <c r="A1590" s="1303"/>
      <c r="B1590" s="1322" t="s">
        <v>5403</v>
      </c>
      <c r="C1590" s="1323" t="s">
        <v>5404</v>
      </c>
      <c r="D1590" s="1324">
        <f t="shared" si="174"/>
        <v>39574</v>
      </c>
      <c r="E1590" s="1323">
        <f t="shared" si="176"/>
        <v>7.5237999999999996</v>
      </c>
      <c r="F1590" s="1323">
        <f t="shared" si="175"/>
        <v>7.2354577337114483</v>
      </c>
      <c r="G1590" s="1323">
        <f t="shared" si="177"/>
        <v>2008</v>
      </c>
      <c r="H1590" s="1323">
        <f t="shared" si="178"/>
        <v>5</v>
      </c>
      <c r="I1590" s="1323">
        <f t="shared" si="179"/>
        <v>6</v>
      </c>
      <c r="J1590" s="1323"/>
      <c r="K1590" s="1323"/>
      <c r="L1590" s="1323"/>
      <c r="M1590" s="1323"/>
      <c r="N1590" s="1323"/>
      <c r="O1590" s="1323"/>
      <c r="P1590" s="1323"/>
      <c r="Q1590" s="1323"/>
      <c r="R1590" s="1304"/>
      <c r="S1590" s="1304"/>
      <c r="T1590" s="1304"/>
    </row>
    <row r="1591" spans="1:20">
      <c r="A1591" s="1303"/>
      <c r="B1591" s="1322" t="s">
        <v>5405</v>
      </c>
      <c r="C1591" s="1323" t="s">
        <v>5406</v>
      </c>
      <c r="D1591" s="1324">
        <f t="shared" si="174"/>
        <v>39573</v>
      </c>
      <c r="E1591" s="1323">
        <f t="shared" si="176"/>
        <v>7.6029999999999998</v>
      </c>
      <c r="F1591" s="1323">
        <f t="shared" si="175"/>
        <v>7.2340703777485924</v>
      </c>
      <c r="G1591" s="1323">
        <f t="shared" si="177"/>
        <v>2008</v>
      </c>
      <c r="H1591" s="1323">
        <f t="shared" si="178"/>
        <v>5</v>
      </c>
      <c r="I1591" s="1323">
        <f t="shared" si="179"/>
        <v>5</v>
      </c>
      <c r="J1591" s="1323"/>
      <c r="K1591" s="1323"/>
      <c r="L1591" s="1323"/>
      <c r="M1591" s="1323"/>
      <c r="N1591" s="1323"/>
      <c r="O1591" s="1323"/>
      <c r="P1591" s="1323"/>
      <c r="Q1591" s="1323"/>
      <c r="R1591" s="1304"/>
      <c r="S1591" s="1304"/>
      <c r="T1591" s="1304"/>
    </row>
    <row r="1592" spans="1:20">
      <c r="A1592" s="1303"/>
      <c r="B1592" s="1322" t="s">
        <v>5407</v>
      </c>
      <c r="C1592" s="1323" t="s">
        <v>5408</v>
      </c>
      <c r="D1592" s="1324">
        <f t="shared" si="174"/>
        <v>39568</v>
      </c>
      <c r="E1592" s="1323">
        <f t="shared" si="176"/>
        <v>7.5940000000000003</v>
      </c>
      <c r="F1592" s="1323">
        <f t="shared" si="175"/>
        <v>7.2326832878029865</v>
      </c>
      <c r="G1592" s="1323">
        <f t="shared" si="177"/>
        <v>2008</v>
      </c>
      <c r="H1592" s="1323">
        <f t="shared" si="178"/>
        <v>4</v>
      </c>
      <c r="I1592" s="1323">
        <f t="shared" si="179"/>
        <v>30</v>
      </c>
      <c r="J1592" s="1323"/>
      <c r="K1592" s="1323"/>
      <c r="L1592" s="1323"/>
      <c r="M1592" s="1323"/>
      <c r="N1592" s="1323"/>
      <c r="O1592" s="1323"/>
      <c r="P1592" s="1323"/>
      <c r="Q1592" s="1323"/>
      <c r="R1592" s="1304"/>
      <c r="S1592" s="1304"/>
      <c r="T1592" s="1304"/>
    </row>
    <row r="1593" spans="1:20">
      <c r="A1593" s="1303"/>
      <c r="B1593" s="1322" t="s">
        <v>5409</v>
      </c>
      <c r="C1593" s="1323" t="s">
        <v>5410</v>
      </c>
      <c r="D1593" s="1324">
        <f t="shared" si="174"/>
        <v>39567</v>
      </c>
      <c r="E1593" s="1323">
        <f t="shared" si="176"/>
        <v>7.5627000000000004</v>
      </c>
      <c r="F1593" s="1323">
        <f t="shared" si="175"/>
        <v>7.2312964638236226</v>
      </c>
      <c r="G1593" s="1323">
        <f t="shared" si="177"/>
        <v>2008</v>
      </c>
      <c r="H1593" s="1323">
        <f t="shared" si="178"/>
        <v>4</v>
      </c>
      <c r="I1593" s="1323">
        <f t="shared" si="179"/>
        <v>29</v>
      </c>
      <c r="J1593" s="1323"/>
      <c r="K1593" s="1323"/>
      <c r="L1593" s="1323"/>
      <c r="M1593" s="1323"/>
      <c r="N1593" s="1323"/>
      <c r="O1593" s="1323"/>
      <c r="P1593" s="1323"/>
      <c r="Q1593" s="1323"/>
      <c r="R1593" s="1304"/>
      <c r="S1593" s="1304"/>
      <c r="T1593" s="1304"/>
    </row>
    <row r="1594" spans="1:20">
      <c r="A1594" s="1303"/>
      <c r="B1594" s="1322" t="s">
        <v>5411</v>
      </c>
      <c r="C1594" s="1323" t="s">
        <v>5412</v>
      </c>
      <c r="D1594" s="1324">
        <f t="shared" si="174"/>
        <v>39563</v>
      </c>
      <c r="E1594" s="1323">
        <f t="shared" si="176"/>
        <v>7.6744000000000003</v>
      </c>
      <c r="F1594" s="1323">
        <f t="shared" si="175"/>
        <v>7.229909905759504</v>
      </c>
      <c r="G1594" s="1323">
        <f t="shared" si="177"/>
        <v>2008</v>
      </c>
      <c r="H1594" s="1323">
        <f t="shared" si="178"/>
        <v>4</v>
      </c>
      <c r="I1594" s="1323">
        <f t="shared" si="179"/>
        <v>25</v>
      </c>
      <c r="J1594" s="1323"/>
      <c r="K1594" s="1323"/>
      <c r="L1594" s="1323"/>
      <c r="M1594" s="1323"/>
      <c r="N1594" s="1323"/>
      <c r="O1594" s="1323"/>
      <c r="P1594" s="1323"/>
      <c r="Q1594" s="1323"/>
      <c r="R1594" s="1304"/>
      <c r="S1594" s="1304"/>
      <c r="T1594" s="1304"/>
    </row>
    <row r="1595" spans="1:20">
      <c r="A1595" s="1303"/>
      <c r="B1595" s="1322" t="s">
        <v>5413</v>
      </c>
      <c r="C1595" s="1323" t="s">
        <v>5414</v>
      </c>
      <c r="D1595" s="1324">
        <f t="shared" si="174"/>
        <v>39562</v>
      </c>
      <c r="E1595" s="1323">
        <f t="shared" si="176"/>
        <v>7.7237999999999998</v>
      </c>
      <c r="F1595" s="1323">
        <f t="shared" si="175"/>
        <v>7.2285236135596431</v>
      </c>
      <c r="G1595" s="1323">
        <f t="shared" si="177"/>
        <v>2008</v>
      </c>
      <c r="H1595" s="1323">
        <f t="shared" si="178"/>
        <v>4</v>
      </c>
      <c r="I1595" s="1323">
        <f t="shared" si="179"/>
        <v>24</v>
      </c>
      <c r="J1595" s="1323"/>
      <c r="K1595" s="1323"/>
      <c r="L1595" s="1323"/>
      <c r="M1595" s="1323"/>
      <c r="N1595" s="1323"/>
      <c r="O1595" s="1323"/>
      <c r="P1595" s="1323"/>
      <c r="Q1595" s="1323"/>
      <c r="R1595" s="1304"/>
      <c r="S1595" s="1304"/>
      <c r="T1595" s="1304"/>
    </row>
    <row r="1596" spans="1:20">
      <c r="A1596" s="1303"/>
      <c r="B1596" s="1322" t="s">
        <v>5415</v>
      </c>
      <c r="C1596" s="1323" t="s">
        <v>5416</v>
      </c>
      <c r="D1596" s="1324">
        <f t="shared" si="174"/>
        <v>39561</v>
      </c>
      <c r="E1596" s="1323">
        <f t="shared" si="176"/>
        <v>7.6177000000000001</v>
      </c>
      <c r="F1596" s="1323">
        <f t="shared" si="175"/>
        <v>7.2271375871730621</v>
      </c>
      <c r="G1596" s="1323">
        <f t="shared" si="177"/>
        <v>2008</v>
      </c>
      <c r="H1596" s="1323">
        <f t="shared" si="178"/>
        <v>4</v>
      </c>
      <c r="I1596" s="1323">
        <f t="shared" si="179"/>
        <v>23</v>
      </c>
      <c r="J1596" s="1323"/>
      <c r="K1596" s="1323"/>
      <c r="L1596" s="1323"/>
      <c r="M1596" s="1323"/>
      <c r="N1596" s="1323"/>
      <c r="O1596" s="1323"/>
      <c r="P1596" s="1323"/>
      <c r="Q1596" s="1323"/>
      <c r="R1596" s="1304"/>
      <c r="S1596" s="1304"/>
      <c r="T1596" s="1304"/>
    </row>
    <row r="1597" spans="1:20">
      <c r="A1597" s="1303"/>
      <c r="B1597" s="1322" t="s">
        <v>5417</v>
      </c>
      <c r="C1597" s="1323" t="s">
        <v>5418</v>
      </c>
      <c r="D1597" s="1324">
        <f t="shared" si="174"/>
        <v>39560</v>
      </c>
      <c r="E1597" s="1323">
        <f t="shared" si="176"/>
        <v>7.7182000000000004</v>
      </c>
      <c r="F1597" s="1323">
        <f t="shared" si="175"/>
        <v>7.2257518265487919</v>
      </c>
      <c r="G1597" s="1323">
        <f t="shared" si="177"/>
        <v>2008</v>
      </c>
      <c r="H1597" s="1323">
        <f t="shared" si="178"/>
        <v>4</v>
      </c>
      <c r="I1597" s="1323">
        <f t="shared" si="179"/>
        <v>22</v>
      </c>
      <c r="J1597" s="1323"/>
      <c r="K1597" s="1323"/>
      <c r="L1597" s="1323"/>
      <c r="M1597" s="1323"/>
      <c r="N1597" s="1323"/>
      <c r="O1597" s="1323"/>
      <c r="P1597" s="1323"/>
      <c r="Q1597" s="1323"/>
      <c r="R1597" s="1304"/>
      <c r="S1597" s="1304"/>
      <c r="T1597" s="1304"/>
    </row>
    <row r="1598" spans="1:20">
      <c r="A1598" s="1303"/>
      <c r="B1598" s="1322" t="s">
        <v>5419</v>
      </c>
      <c r="C1598" s="1323" t="s">
        <v>5420</v>
      </c>
      <c r="D1598" s="1324">
        <f t="shared" si="174"/>
        <v>39559</v>
      </c>
      <c r="E1598" s="1323">
        <f t="shared" si="176"/>
        <v>7.7908999999999997</v>
      </c>
      <c r="F1598" s="1323">
        <f t="shared" si="175"/>
        <v>7.224366331635875</v>
      </c>
      <c r="G1598" s="1323">
        <f t="shared" si="177"/>
        <v>2008</v>
      </c>
      <c r="H1598" s="1323">
        <f t="shared" si="178"/>
        <v>4</v>
      </c>
      <c r="I1598" s="1323">
        <f t="shared" si="179"/>
        <v>21</v>
      </c>
      <c r="J1598" s="1323"/>
      <c r="K1598" s="1323"/>
      <c r="L1598" s="1323"/>
      <c r="M1598" s="1323"/>
      <c r="N1598" s="1323"/>
      <c r="O1598" s="1323"/>
      <c r="P1598" s="1323"/>
      <c r="Q1598" s="1323"/>
      <c r="R1598" s="1304"/>
      <c r="S1598" s="1304"/>
      <c r="T1598" s="1304"/>
    </row>
    <row r="1599" spans="1:20">
      <c r="A1599" s="1303"/>
      <c r="B1599" s="1322" t="s">
        <v>5421</v>
      </c>
      <c r="C1599" s="1323" t="s">
        <v>5422</v>
      </c>
      <c r="D1599" s="1324">
        <f t="shared" si="174"/>
        <v>39556</v>
      </c>
      <c r="E1599" s="1323">
        <f t="shared" si="176"/>
        <v>7.8155000000000001</v>
      </c>
      <c r="F1599" s="1323">
        <f t="shared" si="175"/>
        <v>7.222981102383363</v>
      </c>
      <c r="G1599" s="1323">
        <f t="shared" si="177"/>
        <v>2008</v>
      </c>
      <c r="H1599" s="1323">
        <f t="shared" si="178"/>
        <v>4</v>
      </c>
      <c r="I1599" s="1323">
        <f t="shared" si="179"/>
        <v>18</v>
      </c>
      <c r="J1599" s="1323"/>
      <c r="K1599" s="1323"/>
      <c r="L1599" s="1323"/>
      <c r="M1599" s="1323"/>
      <c r="N1599" s="1323"/>
      <c r="O1599" s="1323"/>
      <c r="P1599" s="1323"/>
      <c r="Q1599" s="1323"/>
      <c r="R1599" s="1304"/>
      <c r="S1599" s="1304"/>
      <c r="T1599" s="1304"/>
    </row>
    <row r="1600" spans="1:20">
      <c r="A1600" s="1303"/>
      <c r="B1600" s="1322" t="s">
        <v>5423</v>
      </c>
      <c r="C1600" s="1323" t="s">
        <v>5424</v>
      </c>
      <c r="D1600" s="1324">
        <f t="shared" si="174"/>
        <v>39555</v>
      </c>
      <c r="E1600" s="1323">
        <f t="shared" si="176"/>
        <v>7.9204999999999997</v>
      </c>
      <c r="F1600" s="1323">
        <f t="shared" si="175"/>
        <v>7.2215961387403169</v>
      </c>
      <c r="G1600" s="1323">
        <f t="shared" si="177"/>
        <v>2008</v>
      </c>
      <c r="H1600" s="1323">
        <f t="shared" si="178"/>
        <v>4</v>
      </c>
      <c r="I1600" s="1323">
        <f t="shared" si="179"/>
        <v>17</v>
      </c>
      <c r="J1600" s="1323"/>
      <c r="K1600" s="1323"/>
      <c r="L1600" s="1323"/>
      <c r="M1600" s="1323"/>
      <c r="N1600" s="1323"/>
      <c r="O1600" s="1323"/>
      <c r="P1600" s="1323"/>
      <c r="Q1600" s="1323"/>
      <c r="R1600" s="1304"/>
      <c r="S1600" s="1304"/>
      <c r="T1600" s="1304"/>
    </row>
    <row r="1601" spans="1:20">
      <c r="A1601" s="1303"/>
      <c r="B1601" s="1322" t="s">
        <v>5425</v>
      </c>
      <c r="C1601" s="1323" t="s">
        <v>5426</v>
      </c>
      <c r="D1601" s="1324">
        <f t="shared" si="174"/>
        <v>39554</v>
      </c>
      <c r="E1601" s="1323">
        <f t="shared" si="176"/>
        <v>7.9686000000000003</v>
      </c>
      <c r="F1601" s="1323">
        <f t="shared" si="175"/>
        <v>7.2202114406558078</v>
      </c>
      <c r="G1601" s="1323">
        <f t="shared" si="177"/>
        <v>2008</v>
      </c>
      <c r="H1601" s="1323">
        <f t="shared" si="178"/>
        <v>4</v>
      </c>
      <c r="I1601" s="1323">
        <f t="shared" si="179"/>
        <v>16</v>
      </c>
      <c r="J1601" s="1323"/>
      <c r="K1601" s="1323"/>
      <c r="L1601" s="1323"/>
      <c r="M1601" s="1323"/>
      <c r="N1601" s="1323"/>
      <c r="O1601" s="1323"/>
      <c r="P1601" s="1323"/>
      <c r="Q1601" s="1323"/>
      <c r="R1601" s="1304"/>
      <c r="S1601" s="1304"/>
      <c r="T1601" s="1304"/>
    </row>
    <row r="1602" spans="1:20">
      <c r="A1602" s="1303"/>
      <c r="B1602" s="1322" t="s">
        <v>5427</v>
      </c>
      <c r="C1602" s="1323" t="s">
        <v>5428</v>
      </c>
      <c r="D1602" s="1324">
        <f t="shared" si="174"/>
        <v>39553</v>
      </c>
      <c r="E1602" s="1323">
        <f t="shared" si="176"/>
        <v>7.8773999999999997</v>
      </c>
      <c r="F1602" s="1323">
        <f t="shared" si="175"/>
        <v>7.2188270080789154</v>
      </c>
      <c r="G1602" s="1323">
        <f t="shared" si="177"/>
        <v>2008</v>
      </c>
      <c r="H1602" s="1323">
        <f t="shared" si="178"/>
        <v>4</v>
      </c>
      <c r="I1602" s="1323">
        <f t="shared" si="179"/>
        <v>15</v>
      </c>
      <c r="J1602" s="1323"/>
      <c r="K1602" s="1323"/>
      <c r="L1602" s="1323"/>
      <c r="M1602" s="1323"/>
      <c r="N1602" s="1323"/>
      <c r="O1602" s="1323"/>
      <c r="P1602" s="1323"/>
      <c r="Q1602" s="1323"/>
      <c r="R1602" s="1304"/>
      <c r="S1602" s="1304"/>
      <c r="T1602" s="1304"/>
    </row>
    <row r="1603" spans="1:20">
      <c r="A1603" s="1303"/>
      <c r="B1603" s="1322" t="s">
        <v>5429</v>
      </c>
      <c r="C1603" s="1323" t="s">
        <v>5430</v>
      </c>
      <c r="D1603" s="1324">
        <f t="shared" si="174"/>
        <v>39552</v>
      </c>
      <c r="E1603" s="1323">
        <f t="shared" si="176"/>
        <v>7.8581000000000003</v>
      </c>
      <c r="F1603" s="1323">
        <f t="shared" si="175"/>
        <v>7.2174428409587312</v>
      </c>
      <c r="G1603" s="1323">
        <f t="shared" si="177"/>
        <v>2008</v>
      </c>
      <c r="H1603" s="1323">
        <f t="shared" si="178"/>
        <v>4</v>
      </c>
      <c r="I1603" s="1323">
        <f t="shared" si="179"/>
        <v>14</v>
      </c>
      <c r="J1603" s="1323"/>
      <c r="K1603" s="1323"/>
      <c r="L1603" s="1323"/>
      <c r="M1603" s="1323"/>
      <c r="N1603" s="1323"/>
      <c r="O1603" s="1323"/>
      <c r="P1603" s="1323"/>
      <c r="Q1603" s="1323"/>
      <c r="R1603" s="1304"/>
      <c r="S1603" s="1304"/>
      <c r="T1603" s="1304"/>
    </row>
    <row r="1604" spans="1:20">
      <c r="A1604" s="1303"/>
      <c r="B1604" s="1322" t="s">
        <v>5431</v>
      </c>
      <c r="C1604" s="1323" t="s">
        <v>5432</v>
      </c>
      <c r="D1604" s="1324">
        <f t="shared" si="174"/>
        <v>39549</v>
      </c>
      <c r="E1604" s="1323">
        <f t="shared" si="176"/>
        <v>7.7740999999999998</v>
      </c>
      <c r="F1604" s="1323">
        <f t="shared" si="175"/>
        <v>7.2160589392443555</v>
      </c>
      <c r="G1604" s="1323">
        <f t="shared" si="177"/>
        <v>2008</v>
      </c>
      <c r="H1604" s="1323">
        <f t="shared" si="178"/>
        <v>4</v>
      </c>
      <c r="I1604" s="1323">
        <f t="shared" si="179"/>
        <v>11</v>
      </c>
      <c r="J1604" s="1323"/>
      <c r="K1604" s="1323"/>
      <c r="L1604" s="1323"/>
      <c r="M1604" s="1323"/>
      <c r="N1604" s="1323"/>
      <c r="O1604" s="1323"/>
      <c r="P1604" s="1323"/>
      <c r="Q1604" s="1323"/>
      <c r="R1604" s="1304"/>
      <c r="S1604" s="1304"/>
      <c r="T1604" s="1304"/>
    </row>
    <row r="1605" spans="1:20">
      <c r="A1605" s="1303"/>
      <c r="B1605" s="1322" t="s">
        <v>5433</v>
      </c>
      <c r="C1605" s="1323" t="s">
        <v>5434</v>
      </c>
      <c r="D1605" s="1324">
        <f t="shared" si="174"/>
        <v>39548</v>
      </c>
      <c r="E1605" s="1323">
        <f t="shared" si="176"/>
        <v>7.9032</v>
      </c>
      <c r="F1605" s="1323">
        <f t="shared" si="175"/>
        <v>7.2146753028848982</v>
      </c>
      <c r="G1605" s="1323">
        <f t="shared" si="177"/>
        <v>2008</v>
      </c>
      <c r="H1605" s="1323">
        <f t="shared" si="178"/>
        <v>4</v>
      </c>
      <c r="I1605" s="1323">
        <f t="shared" si="179"/>
        <v>10</v>
      </c>
      <c r="J1605" s="1323"/>
      <c r="K1605" s="1323"/>
      <c r="L1605" s="1323"/>
      <c r="M1605" s="1323"/>
      <c r="N1605" s="1323"/>
      <c r="O1605" s="1323"/>
      <c r="P1605" s="1323"/>
      <c r="Q1605" s="1323"/>
      <c r="R1605" s="1304"/>
      <c r="S1605" s="1304"/>
      <c r="T1605" s="1304"/>
    </row>
    <row r="1606" spans="1:20">
      <c r="A1606" s="1303"/>
      <c r="B1606" s="1322" t="s">
        <v>5435</v>
      </c>
      <c r="C1606" s="1323" t="s">
        <v>5436</v>
      </c>
      <c r="D1606" s="1324">
        <f t="shared" si="174"/>
        <v>39547</v>
      </c>
      <c r="E1606" s="1323">
        <f t="shared" si="176"/>
        <v>7.7784000000000004</v>
      </c>
      <c r="F1606" s="1323">
        <f t="shared" si="175"/>
        <v>7.2132919318294784</v>
      </c>
      <c r="G1606" s="1323">
        <f t="shared" si="177"/>
        <v>2008</v>
      </c>
      <c r="H1606" s="1323">
        <f t="shared" si="178"/>
        <v>4</v>
      </c>
      <c r="I1606" s="1323">
        <f t="shared" si="179"/>
        <v>9</v>
      </c>
      <c r="J1606" s="1323"/>
      <c r="K1606" s="1323"/>
      <c r="L1606" s="1323"/>
      <c r="M1606" s="1323"/>
      <c r="N1606" s="1323"/>
      <c r="O1606" s="1323"/>
      <c r="P1606" s="1323"/>
      <c r="Q1606" s="1323"/>
      <c r="R1606" s="1304"/>
      <c r="S1606" s="1304"/>
      <c r="T1606" s="1304"/>
    </row>
    <row r="1607" spans="1:20">
      <c r="A1607" s="1303"/>
      <c r="B1607" s="1322" t="s">
        <v>5437</v>
      </c>
      <c r="C1607" s="1323" t="s">
        <v>5438</v>
      </c>
      <c r="D1607" s="1324">
        <f t="shared" si="174"/>
        <v>39546</v>
      </c>
      <c r="E1607" s="1323">
        <f t="shared" si="176"/>
        <v>7.8034999999999997</v>
      </c>
      <c r="F1607" s="1323">
        <f t="shared" si="175"/>
        <v>7.2119088260272264</v>
      </c>
      <c r="G1607" s="1323">
        <f t="shared" si="177"/>
        <v>2008</v>
      </c>
      <c r="H1607" s="1323">
        <f t="shared" si="178"/>
        <v>4</v>
      </c>
      <c r="I1607" s="1323">
        <f t="shared" si="179"/>
        <v>8</v>
      </c>
      <c r="J1607" s="1323"/>
      <c r="K1607" s="1323"/>
      <c r="L1607" s="1323"/>
      <c r="M1607" s="1323"/>
      <c r="N1607" s="1323"/>
      <c r="O1607" s="1323"/>
      <c r="P1607" s="1323"/>
      <c r="Q1607" s="1323"/>
      <c r="R1607" s="1304"/>
      <c r="S1607" s="1304"/>
      <c r="T1607" s="1304"/>
    </row>
    <row r="1608" spans="1:20">
      <c r="A1608" s="1303"/>
      <c r="B1608" s="1322" t="s">
        <v>5439</v>
      </c>
      <c r="C1608" s="1323" t="s">
        <v>5440</v>
      </c>
      <c r="D1608" s="1324">
        <f t="shared" si="174"/>
        <v>39545</v>
      </c>
      <c r="E1608" s="1323">
        <f t="shared" si="176"/>
        <v>7.7596999999999996</v>
      </c>
      <c r="F1608" s="1323">
        <f t="shared" si="175"/>
        <v>7.2105259854272816</v>
      </c>
      <c r="G1608" s="1323">
        <f t="shared" si="177"/>
        <v>2008</v>
      </c>
      <c r="H1608" s="1323">
        <f t="shared" si="178"/>
        <v>4</v>
      </c>
      <c r="I1608" s="1323">
        <f t="shared" si="179"/>
        <v>7</v>
      </c>
      <c r="J1608" s="1323"/>
      <c r="K1608" s="1323"/>
      <c r="L1608" s="1323"/>
      <c r="M1608" s="1323"/>
      <c r="N1608" s="1323"/>
      <c r="O1608" s="1323"/>
      <c r="P1608" s="1323"/>
      <c r="Q1608" s="1323"/>
      <c r="R1608" s="1304"/>
      <c r="S1608" s="1304"/>
      <c r="T1608" s="1304"/>
    </row>
    <row r="1609" spans="1:20">
      <c r="A1609" s="1303"/>
      <c r="B1609" s="1322" t="s">
        <v>5441</v>
      </c>
      <c r="C1609" s="1323" t="s">
        <v>5442</v>
      </c>
      <c r="D1609" s="1324">
        <f t="shared" ref="D1609:D1672" si="180">DATE(G1609,H1609,I1609)</f>
        <v>39542</v>
      </c>
      <c r="E1609" s="1323">
        <f t="shared" si="176"/>
        <v>7.7891000000000004</v>
      </c>
      <c r="F1609" s="1323">
        <f t="shared" ref="F1609:F1672" si="181">F1610*(1+$F$7/365)</f>
        <v>7.2091434099787923</v>
      </c>
      <c r="G1609" s="1323">
        <f t="shared" si="177"/>
        <v>2008</v>
      </c>
      <c r="H1609" s="1323">
        <f t="shared" si="178"/>
        <v>4</v>
      </c>
      <c r="I1609" s="1323">
        <f t="shared" si="179"/>
        <v>4</v>
      </c>
      <c r="J1609" s="1323"/>
      <c r="K1609" s="1323"/>
      <c r="L1609" s="1323"/>
      <c r="M1609" s="1323"/>
      <c r="N1609" s="1323"/>
      <c r="O1609" s="1323"/>
      <c r="P1609" s="1323"/>
      <c r="Q1609" s="1323"/>
      <c r="R1609" s="1304"/>
      <c r="S1609" s="1304"/>
      <c r="T1609" s="1304"/>
    </row>
    <row r="1610" spans="1:20">
      <c r="A1610" s="1303"/>
      <c r="B1610" s="1322" t="s">
        <v>5443</v>
      </c>
      <c r="C1610" s="1323" t="s">
        <v>5444</v>
      </c>
      <c r="D1610" s="1324">
        <f t="shared" si="180"/>
        <v>39541</v>
      </c>
      <c r="E1610" s="1323">
        <f t="shared" si="176"/>
        <v>7.7465999999999999</v>
      </c>
      <c r="F1610" s="1323">
        <f t="shared" si="181"/>
        <v>7.2077610996309174</v>
      </c>
      <c r="G1610" s="1323">
        <f t="shared" si="177"/>
        <v>2008</v>
      </c>
      <c r="H1610" s="1323">
        <f t="shared" si="178"/>
        <v>4</v>
      </c>
      <c r="I1610" s="1323">
        <f t="shared" si="179"/>
        <v>3</v>
      </c>
      <c r="J1610" s="1323"/>
      <c r="K1610" s="1323"/>
      <c r="L1610" s="1323"/>
      <c r="M1610" s="1323"/>
      <c r="N1610" s="1323"/>
      <c r="O1610" s="1323"/>
      <c r="P1610" s="1323"/>
      <c r="Q1610" s="1323"/>
      <c r="R1610" s="1304"/>
      <c r="S1610" s="1304"/>
      <c r="T1610" s="1304"/>
    </row>
    <row r="1611" spans="1:20">
      <c r="A1611" s="1303"/>
      <c r="B1611" s="1322" t="s">
        <v>5445</v>
      </c>
      <c r="C1611" s="1323" t="s">
        <v>5446</v>
      </c>
      <c r="D1611" s="1324">
        <f t="shared" si="180"/>
        <v>39540</v>
      </c>
      <c r="E1611" s="1323">
        <f t="shared" si="176"/>
        <v>7.9067999999999996</v>
      </c>
      <c r="F1611" s="1323">
        <f t="shared" si="181"/>
        <v>7.2063790543328263</v>
      </c>
      <c r="G1611" s="1323">
        <f t="shared" si="177"/>
        <v>2008</v>
      </c>
      <c r="H1611" s="1323">
        <f t="shared" si="178"/>
        <v>4</v>
      </c>
      <c r="I1611" s="1323">
        <f t="shared" si="179"/>
        <v>2</v>
      </c>
      <c r="J1611" s="1323"/>
      <c r="K1611" s="1323"/>
      <c r="L1611" s="1323"/>
      <c r="M1611" s="1323"/>
      <c r="N1611" s="1323"/>
      <c r="O1611" s="1323"/>
      <c r="P1611" s="1323"/>
      <c r="Q1611" s="1323"/>
      <c r="R1611" s="1304"/>
      <c r="S1611" s="1304"/>
      <c r="T1611" s="1304"/>
    </row>
    <row r="1612" spans="1:20">
      <c r="A1612" s="1303"/>
      <c r="B1612" s="1322" t="s">
        <v>5447</v>
      </c>
      <c r="C1612" s="1323" t="s">
        <v>5448</v>
      </c>
      <c r="D1612" s="1324">
        <f t="shared" si="180"/>
        <v>39539</v>
      </c>
      <c r="E1612" s="1323">
        <f t="shared" si="176"/>
        <v>8.1206999999999994</v>
      </c>
      <c r="F1612" s="1323">
        <f t="shared" si="181"/>
        <v>7.2049972740336967</v>
      </c>
      <c r="G1612" s="1323">
        <f t="shared" si="177"/>
        <v>2008</v>
      </c>
      <c r="H1612" s="1323">
        <f t="shared" si="178"/>
        <v>4</v>
      </c>
      <c r="I1612" s="1323">
        <f t="shared" si="179"/>
        <v>1</v>
      </c>
      <c r="J1612" s="1323"/>
      <c r="K1612" s="1323"/>
      <c r="L1612" s="1323"/>
      <c r="M1612" s="1323"/>
      <c r="N1612" s="1323"/>
      <c r="O1612" s="1323"/>
      <c r="P1612" s="1323"/>
      <c r="Q1612" s="1323"/>
      <c r="R1612" s="1304"/>
      <c r="S1612" s="1304"/>
      <c r="T1612" s="1304"/>
    </row>
    <row r="1613" spans="1:20">
      <c r="A1613" s="1303"/>
      <c r="B1613" s="1322" t="s">
        <v>5449</v>
      </c>
      <c r="C1613" s="1323" t="s">
        <v>5450</v>
      </c>
      <c r="D1613" s="1324">
        <f t="shared" si="180"/>
        <v>39538</v>
      </c>
      <c r="E1613" s="1323">
        <f t="shared" si="176"/>
        <v>8.1216000000000008</v>
      </c>
      <c r="F1613" s="1323">
        <f t="shared" si="181"/>
        <v>7.2036157586827159</v>
      </c>
      <c r="G1613" s="1323">
        <f t="shared" si="177"/>
        <v>2008</v>
      </c>
      <c r="H1613" s="1323">
        <f t="shared" si="178"/>
        <v>3</v>
      </c>
      <c r="I1613" s="1323">
        <f t="shared" si="179"/>
        <v>31</v>
      </c>
      <c r="J1613" s="1323"/>
      <c r="K1613" s="1323"/>
      <c r="L1613" s="1323"/>
      <c r="M1613" s="1323"/>
      <c r="N1613" s="1323"/>
      <c r="O1613" s="1323"/>
      <c r="P1613" s="1323"/>
      <c r="Q1613" s="1323"/>
      <c r="R1613" s="1304"/>
      <c r="S1613" s="1304"/>
      <c r="T1613" s="1304"/>
    </row>
    <row r="1614" spans="1:20">
      <c r="A1614" s="1303"/>
      <c r="B1614" s="1322" t="s">
        <v>5451</v>
      </c>
      <c r="C1614" s="1323" t="s">
        <v>5452</v>
      </c>
      <c r="D1614" s="1324">
        <f t="shared" si="180"/>
        <v>39535</v>
      </c>
      <c r="E1614" s="1323">
        <f t="shared" si="176"/>
        <v>8.0206999999999997</v>
      </c>
      <c r="F1614" s="1323">
        <f t="shared" si="181"/>
        <v>7.2022345082290826</v>
      </c>
      <c r="G1614" s="1323">
        <f t="shared" si="177"/>
        <v>2008</v>
      </c>
      <c r="H1614" s="1323">
        <f t="shared" si="178"/>
        <v>3</v>
      </c>
      <c r="I1614" s="1323">
        <f t="shared" si="179"/>
        <v>28</v>
      </c>
      <c r="J1614" s="1323"/>
      <c r="K1614" s="1323"/>
      <c r="L1614" s="1323"/>
      <c r="M1614" s="1323"/>
      <c r="N1614" s="1323"/>
      <c r="O1614" s="1323"/>
      <c r="P1614" s="1323"/>
      <c r="Q1614" s="1323"/>
      <c r="R1614" s="1304"/>
      <c r="S1614" s="1304"/>
      <c r="T1614" s="1304"/>
    </row>
    <row r="1615" spans="1:20">
      <c r="A1615" s="1303"/>
      <c r="B1615" s="1322" t="s">
        <v>5453</v>
      </c>
      <c r="C1615" s="1323" t="s">
        <v>5454</v>
      </c>
      <c r="D1615" s="1324">
        <f t="shared" si="180"/>
        <v>39534</v>
      </c>
      <c r="E1615" s="1323">
        <f t="shared" si="176"/>
        <v>8.0333000000000006</v>
      </c>
      <c r="F1615" s="1323">
        <f t="shared" si="181"/>
        <v>7.2008535226220038</v>
      </c>
      <c r="G1615" s="1323">
        <f t="shared" si="177"/>
        <v>2008</v>
      </c>
      <c r="H1615" s="1323">
        <f t="shared" si="178"/>
        <v>3</v>
      </c>
      <c r="I1615" s="1323">
        <f t="shared" si="179"/>
        <v>27</v>
      </c>
      <c r="J1615" s="1323"/>
      <c r="K1615" s="1323"/>
      <c r="L1615" s="1323"/>
      <c r="M1615" s="1323"/>
      <c r="N1615" s="1323"/>
      <c r="O1615" s="1323"/>
      <c r="P1615" s="1323"/>
      <c r="Q1615" s="1323"/>
      <c r="R1615" s="1304"/>
      <c r="S1615" s="1304"/>
      <c r="T1615" s="1304"/>
    </row>
    <row r="1616" spans="1:20">
      <c r="A1616" s="1303"/>
      <c r="B1616" s="1322" t="s">
        <v>5455</v>
      </c>
      <c r="C1616" s="1323" t="s">
        <v>5456</v>
      </c>
      <c r="D1616" s="1324">
        <f t="shared" si="180"/>
        <v>39533</v>
      </c>
      <c r="E1616" s="1323">
        <f t="shared" si="176"/>
        <v>8.1036000000000001</v>
      </c>
      <c r="F1616" s="1323">
        <f t="shared" si="181"/>
        <v>7.199472801810697</v>
      </c>
      <c r="G1616" s="1323">
        <f t="shared" si="177"/>
        <v>2008</v>
      </c>
      <c r="H1616" s="1323">
        <f t="shared" si="178"/>
        <v>3</v>
      </c>
      <c r="I1616" s="1323">
        <f t="shared" si="179"/>
        <v>26</v>
      </c>
      <c r="J1616" s="1323"/>
      <c r="K1616" s="1323"/>
      <c r="L1616" s="1323"/>
      <c r="M1616" s="1323"/>
      <c r="N1616" s="1323"/>
      <c r="O1616" s="1323"/>
      <c r="P1616" s="1323"/>
      <c r="Q1616" s="1323"/>
      <c r="R1616" s="1304"/>
      <c r="S1616" s="1304"/>
      <c r="T1616" s="1304"/>
    </row>
    <row r="1617" spans="1:20">
      <c r="A1617" s="1303"/>
      <c r="B1617" s="1322" t="s">
        <v>5457</v>
      </c>
      <c r="C1617" s="1323" t="s">
        <v>5458</v>
      </c>
      <c r="D1617" s="1324">
        <f t="shared" si="180"/>
        <v>39532</v>
      </c>
      <c r="E1617" s="1323">
        <f t="shared" si="176"/>
        <v>8.0543999999999993</v>
      </c>
      <c r="F1617" s="1323">
        <f t="shared" si="181"/>
        <v>7.1980923457443895</v>
      </c>
      <c r="G1617" s="1323">
        <f t="shared" si="177"/>
        <v>2008</v>
      </c>
      <c r="H1617" s="1323">
        <f t="shared" si="178"/>
        <v>3</v>
      </c>
      <c r="I1617" s="1323">
        <f t="shared" si="179"/>
        <v>25</v>
      </c>
      <c r="J1617" s="1323"/>
      <c r="K1617" s="1323"/>
      <c r="L1617" s="1323"/>
      <c r="M1617" s="1323"/>
      <c r="N1617" s="1323"/>
      <c r="O1617" s="1323"/>
      <c r="P1617" s="1323"/>
      <c r="Q1617" s="1323"/>
      <c r="R1617" s="1304"/>
      <c r="S1617" s="1304"/>
      <c r="T1617" s="1304"/>
    </row>
    <row r="1618" spans="1:20">
      <c r="A1618" s="1303"/>
      <c r="B1618" s="1322" t="s">
        <v>5459</v>
      </c>
      <c r="C1618" s="1323" t="s">
        <v>5460</v>
      </c>
      <c r="D1618" s="1324">
        <f t="shared" si="180"/>
        <v>39527</v>
      </c>
      <c r="E1618" s="1323">
        <f t="shared" si="176"/>
        <v>8.1160999999999994</v>
      </c>
      <c r="F1618" s="1323">
        <f t="shared" si="181"/>
        <v>7.1967121543723183</v>
      </c>
      <c r="G1618" s="1323">
        <f t="shared" si="177"/>
        <v>2008</v>
      </c>
      <c r="H1618" s="1323">
        <f t="shared" si="178"/>
        <v>3</v>
      </c>
      <c r="I1618" s="1323">
        <f t="shared" si="179"/>
        <v>20</v>
      </c>
      <c r="J1618" s="1323"/>
      <c r="K1618" s="1323"/>
      <c r="L1618" s="1323"/>
      <c r="M1618" s="1323"/>
      <c r="N1618" s="1323"/>
      <c r="O1618" s="1323"/>
      <c r="P1618" s="1323"/>
      <c r="Q1618" s="1323"/>
      <c r="R1618" s="1304"/>
      <c r="S1618" s="1304"/>
      <c r="T1618" s="1304"/>
    </row>
    <row r="1619" spans="1:20">
      <c r="A1619" s="1303"/>
      <c r="B1619" s="1322" t="s">
        <v>5461</v>
      </c>
      <c r="C1619" s="1323" t="s">
        <v>5462</v>
      </c>
      <c r="D1619" s="1324">
        <f t="shared" si="180"/>
        <v>39526</v>
      </c>
      <c r="E1619" s="1323">
        <f t="shared" si="176"/>
        <v>8.0322999999999993</v>
      </c>
      <c r="F1619" s="1323">
        <f t="shared" si="181"/>
        <v>7.1953322276437284</v>
      </c>
      <c r="G1619" s="1323">
        <f t="shared" si="177"/>
        <v>2008</v>
      </c>
      <c r="H1619" s="1323">
        <f t="shared" si="178"/>
        <v>3</v>
      </c>
      <c r="I1619" s="1323">
        <f t="shared" si="179"/>
        <v>19</v>
      </c>
      <c r="J1619" s="1323"/>
      <c r="K1619" s="1323"/>
      <c r="L1619" s="1323"/>
      <c r="M1619" s="1323"/>
      <c r="N1619" s="1323"/>
      <c r="O1619" s="1323"/>
      <c r="P1619" s="1323"/>
      <c r="Q1619" s="1323"/>
      <c r="R1619" s="1304"/>
      <c r="S1619" s="1304"/>
      <c r="T1619" s="1304"/>
    </row>
    <row r="1620" spans="1:20">
      <c r="A1620" s="1303"/>
      <c r="B1620" s="1322" t="s">
        <v>5463</v>
      </c>
      <c r="C1620" s="1323" t="s">
        <v>5464</v>
      </c>
      <c r="D1620" s="1324">
        <f t="shared" si="180"/>
        <v>39525</v>
      </c>
      <c r="E1620" s="1323">
        <f t="shared" si="176"/>
        <v>8.0748999999999995</v>
      </c>
      <c r="F1620" s="1323">
        <f t="shared" si="181"/>
        <v>7.1939525655078773</v>
      </c>
      <c r="G1620" s="1323">
        <f t="shared" si="177"/>
        <v>2008</v>
      </c>
      <c r="H1620" s="1323">
        <f t="shared" si="178"/>
        <v>3</v>
      </c>
      <c r="I1620" s="1323">
        <f t="shared" si="179"/>
        <v>18</v>
      </c>
      <c r="J1620" s="1323"/>
      <c r="K1620" s="1323"/>
      <c r="L1620" s="1323"/>
      <c r="M1620" s="1323"/>
      <c r="N1620" s="1323"/>
      <c r="O1620" s="1323"/>
      <c r="P1620" s="1323"/>
      <c r="Q1620" s="1323"/>
      <c r="R1620" s="1304"/>
      <c r="S1620" s="1304"/>
      <c r="T1620" s="1304"/>
    </row>
    <row r="1621" spans="1:20">
      <c r="A1621" s="1303"/>
      <c r="B1621" s="1322" t="s">
        <v>5465</v>
      </c>
      <c r="C1621" s="1323" t="s">
        <v>5466</v>
      </c>
      <c r="D1621" s="1324">
        <f t="shared" si="180"/>
        <v>39524</v>
      </c>
      <c r="E1621" s="1323">
        <f t="shared" si="176"/>
        <v>8.0976999999999997</v>
      </c>
      <c r="F1621" s="1323">
        <f t="shared" si="181"/>
        <v>7.1925731679140306</v>
      </c>
      <c r="G1621" s="1323">
        <f t="shared" si="177"/>
        <v>2008</v>
      </c>
      <c r="H1621" s="1323">
        <f t="shared" si="178"/>
        <v>3</v>
      </c>
      <c r="I1621" s="1323">
        <f t="shared" si="179"/>
        <v>17</v>
      </c>
      <c r="J1621" s="1323"/>
      <c r="K1621" s="1323"/>
      <c r="L1621" s="1323"/>
      <c r="M1621" s="1323"/>
      <c r="N1621" s="1323"/>
      <c r="O1621" s="1323"/>
      <c r="P1621" s="1323"/>
      <c r="Q1621" s="1323"/>
      <c r="R1621" s="1304"/>
      <c r="S1621" s="1304"/>
      <c r="T1621" s="1304"/>
    </row>
    <row r="1622" spans="1:20">
      <c r="A1622" s="1303"/>
      <c r="B1622" s="1322" t="s">
        <v>5467</v>
      </c>
      <c r="C1622" s="1323" t="s">
        <v>5468</v>
      </c>
      <c r="D1622" s="1324">
        <f t="shared" si="180"/>
        <v>39521</v>
      </c>
      <c r="E1622" s="1323">
        <f t="shared" ref="E1622:E1685" si="182">VALUE(C1623)</f>
        <v>7.9364999999999997</v>
      </c>
      <c r="F1622" s="1323">
        <f t="shared" si="181"/>
        <v>7.1911940348114634</v>
      </c>
      <c r="G1622" s="1323">
        <f t="shared" ref="G1622:G1685" si="183">YEAR(B1623)</f>
        <v>2008</v>
      </c>
      <c r="H1622" s="1323">
        <f t="shared" ref="H1622:H1685" si="184">MONTH(B1623)</f>
        <v>3</v>
      </c>
      <c r="I1622" s="1323">
        <f t="shared" ref="I1622:I1685" si="185">DAY(B1623)</f>
        <v>14</v>
      </c>
      <c r="J1622" s="1323"/>
      <c r="K1622" s="1323"/>
      <c r="L1622" s="1323"/>
      <c r="M1622" s="1323"/>
      <c r="N1622" s="1323"/>
      <c r="O1622" s="1323"/>
      <c r="P1622" s="1323"/>
      <c r="Q1622" s="1323"/>
      <c r="R1622" s="1304"/>
      <c r="S1622" s="1304"/>
      <c r="T1622" s="1304"/>
    </row>
    <row r="1623" spans="1:20">
      <c r="A1623" s="1303"/>
      <c r="B1623" s="1322" t="s">
        <v>5469</v>
      </c>
      <c r="C1623" s="1323" t="s">
        <v>5470</v>
      </c>
      <c r="D1623" s="1324">
        <f t="shared" si="180"/>
        <v>39520</v>
      </c>
      <c r="E1623" s="1323">
        <f t="shared" si="182"/>
        <v>7.9326999999999996</v>
      </c>
      <c r="F1623" s="1323">
        <f t="shared" si="181"/>
        <v>7.1898151661494616</v>
      </c>
      <c r="G1623" s="1323">
        <f t="shared" si="183"/>
        <v>2008</v>
      </c>
      <c r="H1623" s="1323">
        <f t="shared" si="184"/>
        <v>3</v>
      </c>
      <c r="I1623" s="1323">
        <f t="shared" si="185"/>
        <v>13</v>
      </c>
      <c r="J1623" s="1323"/>
      <c r="K1623" s="1323"/>
      <c r="L1623" s="1323"/>
      <c r="M1623" s="1323"/>
      <c r="N1623" s="1323"/>
      <c r="O1623" s="1323"/>
      <c r="P1623" s="1323"/>
      <c r="Q1623" s="1323"/>
      <c r="R1623" s="1304"/>
      <c r="S1623" s="1304"/>
      <c r="T1623" s="1304"/>
    </row>
    <row r="1624" spans="1:20">
      <c r="A1624" s="1303"/>
      <c r="B1624" s="1322" t="s">
        <v>5471</v>
      </c>
      <c r="C1624" s="1323" t="s">
        <v>5472</v>
      </c>
      <c r="D1624" s="1324">
        <f t="shared" si="180"/>
        <v>39519</v>
      </c>
      <c r="E1624" s="1323">
        <f t="shared" si="182"/>
        <v>7.8036000000000003</v>
      </c>
      <c r="F1624" s="1323">
        <f t="shared" si="181"/>
        <v>7.1884365618773201</v>
      </c>
      <c r="G1624" s="1323">
        <f t="shared" si="183"/>
        <v>2008</v>
      </c>
      <c r="H1624" s="1323">
        <f t="shared" si="184"/>
        <v>3</v>
      </c>
      <c r="I1624" s="1323">
        <f t="shared" si="185"/>
        <v>12</v>
      </c>
      <c r="J1624" s="1323"/>
      <c r="K1624" s="1323"/>
      <c r="L1624" s="1323"/>
      <c r="M1624" s="1323"/>
      <c r="N1624" s="1323"/>
      <c r="O1624" s="1323"/>
      <c r="P1624" s="1323"/>
      <c r="Q1624" s="1323"/>
      <c r="R1624" s="1304"/>
      <c r="S1624" s="1304"/>
      <c r="T1624" s="1304"/>
    </row>
    <row r="1625" spans="1:20">
      <c r="A1625" s="1303"/>
      <c r="B1625" s="1322" t="s">
        <v>5473</v>
      </c>
      <c r="C1625" s="1323" t="s">
        <v>5474</v>
      </c>
      <c r="D1625" s="1324">
        <f t="shared" si="180"/>
        <v>39518</v>
      </c>
      <c r="E1625" s="1323">
        <f t="shared" si="182"/>
        <v>7.9878</v>
      </c>
      <c r="F1625" s="1323">
        <f t="shared" si="181"/>
        <v>7.1870582219443442</v>
      </c>
      <c r="G1625" s="1323">
        <f t="shared" si="183"/>
        <v>2008</v>
      </c>
      <c r="H1625" s="1323">
        <f t="shared" si="184"/>
        <v>3</v>
      </c>
      <c r="I1625" s="1323">
        <f t="shared" si="185"/>
        <v>11</v>
      </c>
      <c r="J1625" s="1323"/>
      <c r="K1625" s="1323"/>
      <c r="L1625" s="1323"/>
      <c r="M1625" s="1323"/>
      <c r="N1625" s="1323"/>
      <c r="O1625" s="1323"/>
      <c r="P1625" s="1323"/>
      <c r="Q1625" s="1323"/>
      <c r="R1625" s="1304"/>
      <c r="S1625" s="1304"/>
      <c r="T1625" s="1304"/>
    </row>
    <row r="1626" spans="1:20">
      <c r="A1626" s="1303"/>
      <c r="B1626" s="1322" t="s">
        <v>5475</v>
      </c>
      <c r="C1626" s="1323" t="s">
        <v>5476</v>
      </c>
      <c r="D1626" s="1324">
        <f t="shared" si="180"/>
        <v>39517</v>
      </c>
      <c r="E1626" s="1323">
        <f t="shared" si="182"/>
        <v>8.0243000000000002</v>
      </c>
      <c r="F1626" s="1323">
        <f t="shared" si="181"/>
        <v>7.1856801462998483</v>
      </c>
      <c r="G1626" s="1323">
        <f t="shared" si="183"/>
        <v>2008</v>
      </c>
      <c r="H1626" s="1323">
        <f t="shared" si="184"/>
        <v>3</v>
      </c>
      <c r="I1626" s="1323">
        <f t="shared" si="185"/>
        <v>10</v>
      </c>
      <c r="J1626" s="1323"/>
      <c r="K1626" s="1323"/>
      <c r="L1626" s="1323"/>
      <c r="M1626" s="1323"/>
      <c r="N1626" s="1323"/>
      <c r="O1626" s="1323"/>
      <c r="P1626" s="1323"/>
      <c r="Q1626" s="1323"/>
      <c r="R1626" s="1304"/>
      <c r="S1626" s="1304"/>
      <c r="T1626" s="1304"/>
    </row>
    <row r="1627" spans="1:20">
      <c r="A1627" s="1303"/>
      <c r="B1627" s="1322" t="s">
        <v>5477</v>
      </c>
      <c r="C1627" s="1323" t="s">
        <v>5478</v>
      </c>
      <c r="D1627" s="1324">
        <f t="shared" si="180"/>
        <v>39514</v>
      </c>
      <c r="E1627" s="1323">
        <f t="shared" si="182"/>
        <v>7.9943</v>
      </c>
      <c r="F1627" s="1323">
        <f t="shared" si="181"/>
        <v>7.1843023348931565</v>
      </c>
      <c r="G1627" s="1323">
        <f t="shared" si="183"/>
        <v>2008</v>
      </c>
      <c r="H1627" s="1323">
        <f t="shared" si="184"/>
        <v>3</v>
      </c>
      <c r="I1627" s="1323">
        <f t="shared" si="185"/>
        <v>7</v>
      </c>
      <c r="J1627" s="1323"/>
      <c r="K1627" s="1323"/>
      <c r="L1627" s="1323"/>
      <c r="M1627" s="1323"/>
      <c r="N1627" s="1323"/>
      <c r="O1627" s="1323"/>
      <c r="P1627" s="1323"/>
      <c r="Q1627" s="1323"/>
      <c r="R1627" s="1304"/>
      <c r="S1627" s="1304"/>
      <c r="T1627" s="1304"/>
    </row>
    <row r="1628" spans="1:20">
      <c r="A1628" s="1303"/>
      <c r="B1628" s="1322" t="s">
        <v>5479</v>
      </c>
      <c r="C1628" s="1323" t="s">
        <v>5480</v>
      </c>
      <c r="D1628" s="1324">
        <f t="shared" si="180"/>
        <v>39513</v>
      </c>
      <c r="E1628" s="1323">
        <f t="shared" si="182"/>
        <v>7.7352999999999996</v>
      </c>
      <c r="F1628" s="1323">
        <f t="shared" si="181"/>
        <v>7.1829247876736027</v>
      </c>
      <c r="G1628" s="1323">
        <f t="shared" si="183"/>
        <v>2008</v>
      </c>
      <c r="H1628" s="1323">
        <f t="shared" si="184"/>
        <v>3</v>
      </c>
      <c r="I1628" s="1323">
        <f t="shared" si="185"/>
        <v>6</v>
      </c>
      <c r="J1628" s="1323"/>
      <c r="K1628" s="1323"/>
      <c r="L1628" s="1323"/>
      <c r="M1628" s="1323"/>
      <c r="N1628" s="1323"/>
      <c r="O1628" s="1323"/>
      <c r="P1628" s="1323"/>
      <c r="Q1628" s="1323"/>
      <c r="R1628" s="1304"/>
      <c r="S1628" s="1304"/>
      <c r="T1628" s="1304"/>
    </row>
    <row r="1629" spans="1:20">
      <c r="A1629" s="1303"/>
      <c r="B1629" s="1322" t="s">
        <v>5481</v>
      </c>
      <c r="C1629" s="1323" t="s">
        <v>5482</v>
      </c>
      <c r="D1629" s="1324">
        <f t="shared" si="180"/>
        <v>39512</v>
      </c>
      <c r="E1629" s="1323">
        <f t="shared" si="182"/>
        <v>7.8345000000000002</v>
      </c>
      <c r="F1629" s="1323">
        <f t="shared" si="181"/>
        <v>7.1815475045905304</v>
      </c>
      <c r="G1629" s="1323">
        <f t="shared" si="183"/>
        <v>2008</v>
      </c>
      <c r="H1629" s="1323">
        <f t="shared" si="184"/>
        <v>3</v>
      </c>
      <c r="I1629" s="1323">
        <f t="shared" si="185"/>
        <v>5</v>
      </c>
      <c r="J1629" s="1323"/>
      <c r="K1629" s="1323"/>
      <c r="L1629" s="1323"/>
      <c r="M1629" s="1323"/>
      <c r="N1629" s="1323"/>
      <c r="O1629" s="1323"/>
      <c r="P1629" s="1323"/>
      <c r="Q1629" s="1323"/>
      <c r="R1629" s="1304"/>
      <c r="S1629" s="1304"/>
      <c r="T1629" s="1304"/>
    </row>
    <row r="1630" spans="1:20">
      <c r="A1630" s="1303"/>
      <c r="B1630" s="1322" t="s">
        <v>5483</v>
      </c>
      <c r="C1630" s="1323" t="s">
        <v>5484</v>
      </c>
      <c r="D1630" s="1324">
        <f t="shared" si="180"/>
        <v>39511</v>
      </c>
      <c r="E1630" s="1323">
        <f t="shared" si="182"/>
        <v>7.7975000000000003</v>
      </c>
      <c r="F1630" s="1323">
        <f t="shared" si="181"/>
        <v>7.1801704855932931</v>
      </c>
      <c r="G1630" s="1323">
        <f t="shared" si="183"/>
        <v>2008</v>
      </c>
      <c r="H1630" s="1323">
        <f t="shared" si="184"/>
        <v>3</v>
      </c>
      <c r="I1630" s="1323">
        <f t="shared" si="185"/>
        <v>4</v>
      </c>
      <c r="J1630" s="1323"/>
      <c r="K1630" s="1323"/>
      <c r="L1630" s="1323"/>
      <c r="M1630" s="1323"/>
      <c r="N1630" s="1323"/>
      <c r="O1630" s="1323"/>
      <c r="P1630" s="1323"/>
      <c r="Q1630" s="1323"/>
      <c r="R1630" s="1304"/>
      <c r="S1630" s="1304"/>
      <c r="T1630" s="1304"/>
    </row>
    <row r="1631" spans="1:20">
      <c r="A1631" s="1303"/>
      <c r="B1631" s="1322" t="s">
        <v>5485</v>
      </c>
      <c r="C1631" s="1323" t="s">
        <v>5486</v>
      </c>
      <c r="D1631" s="1324">
        <f t="shared" si="180"/>
        <v>39510</v>
      </c>
      <c r="E1631" s="1323">
        <f t="shared" si="182"/>
        <v>7.9485999999999999</v>
      </c>
      <c r="F1631" s="1323">
        <f t="shared" si="181"/>
        <v>7.1787937306312539</v>
      </c>
      <c r="G1631" s="1323">
        <f t="shared" si="183"/>
        <v>2008</v>
      </c>
      <c r="H1631" s="1323">
        <f t="shared" si="184"/>
        <v>3</v>
      </c>
      <c r="I1631" s="1323">
        <f t="shared" si="185"/>
        <v>3</v>
      </c>
      <c r="J1631" s="1323"/>
      <c r="K1631" s="1323"/>
      <c r="L1631" s="1323"/>
      <c r="M1631" s="1323"/>
      <c r="N1631" s="1323"/>
      <c r="O1631" s="1323"/>
      <c r="P1631" s="1323"/>
      <c r="Q1631" s="1323"/>
      <c r="R1631" s="1304"/>
      <c r="S1631" s="1304"/>
      <c r="T1631" s="1304"/>
    </row>
    <row r="1632" spans="1:20">
      <c r="A1632" s="1303"/>
      <c r="B1632" s="1322" t="s">
        <v>5487</v>
      </c>
      <c r="C1632" s="1323" t="s">
        <v>5488</v>
      </c>
      <c r="D1632" s="1324">
        <f t="shared" si="180"/>
        <v>39507</v>
      </c>
      <c r="E1632" s="1323">
        <f t="shared" si="182"/>
        <v>7.6341999999999999</v>
      </c>
      <c r="F1632" s="1323">
        <f t="shared" si="181"/>
        <v>7.1774172396537859</v>
      </c>
      <c r="G1632" s="1323">
        <f t="shared" si="183"/>
        <v>2008</v>
      </c>
      <c r="H1632" s="1323">
        <f t="shared" si="184"/>
        <v>2</v>
      </c>
      <c r="I1632" s="1323">
        <f t="shared" si="185"/>
        <v>29</v>
      </c>
      <c r="J1632" s="1323"/>
      <c r="K1632" s="1323"/>
      <c r="L1632" s="1323"/>
      <c r="M1632" s="1323"/>
      <c r="N1632" s="1323"/>
      <c r="O1632" s="1323"/>
      <c r="P1632" s="1323"/>
      <c r="Q1632" s="1323"/>
      <c r="R1632" s="1304"/>
      <c r="S1632" s="1304"/>
      <c r="T1632" s="1304"/>
    </row>
    <row r="1633" spans="1:20">
      <c r="A1633" s="1303"/>
      <c r="B1633" s="1322" t="s">
        <v>5489</v>
      </c>
      <c r="C1633" s="1323" t="s">
        <v>5490</v>
      </c>
      <c r="D1633" s="1324">
        <f t="shared" si="180"/>
        <v>39506</v>
      </c>
      <c r="E1633" s="1323">
        <f t="shared" si="182"/>
        <v>7.4794999999999998</v>
      </c>
      <c r="F1633" s="1323">
        <f t="shared" si="181"/>
        <v>7.1760410126102716</v>
      </c>
      <c r="G1633" s="1323">
        <f t="shared" si="183"/>
        <v>2008</v>
      </c>
      <c r="H1633" s="1323">
        <f t="shared" si="184"/>
        <v>2</v>
      </c>
      <c r="I1633" s="1323">
        <f t="shared" si="185"/>
        <v>28</v>
      </c>
      <c r="J1633" s="1323"/>
      <c r="K1633" s="1323"/>
      <c r="L1633" s="1323"/>
      <c r="M1633" s="1323"/>
      <c r="N1633" s="1323"/>
      <c r="O1633" s="1323"/>
      <c r="P1633" s="1323"/>
      <c r="Q1633" s="1323"/>
      <c r="R1633" s="1304"/>
      <c r="S1633" s="1304"/>
      <c r="T1633" s="1304"/>
    </row>
    <row r="1634" spans="1:20">
      <c r="A1634" s="1303"/>
      <c r="B1634" s="1322" t="s">
        <v>5491</v>
      </c>
      <c r="C1634" s="1323" t="s">
        <v>5492</v>
      </c>
      <c r="D1634" s="1324">
        <f t="shared" si="180"/>
        <v>39505</v>
      </c>
      <c r="E1634" s="1323">
        <f t="shared" si="182"/>
        <v>7.4732000000000003</v>
      </c>
      <c r="F1634" s="1323">
        <f t="shared" si="181"/>
        <v>7.1746650494501027</v>
      </c>
      <c r="G1634" s="1323">
        <f t="shared" si="183"/>
        <v>2008</v>
      </c>
      <c r="H1634" s="1323">
        <f t="shared" si="184"/>
        <v>2</v>
      </c>
      <c r="I1634" s="1323">
        <f t="shared" si="185"/>
        <v>27</v>
      </c>
      <c r="J1634" s="1323"/>
      <c r="K1634" s="1323"/>
      <c r="L1634" s="1323"/>
      <c r="M1634" s="1323"/>
      <c r="N1634" s="1323"/>
      <c r="O1634" s="1323"/>
      <c r="P1634" s="1323"/>
      <c r="Q1634" s="1323"/>
      <c r="R1634" s="1304"/>
      <c r="S1634" s="1304"/>
      <c r="T1634" s="1304"/>
    </row>
    <row r="1635" spans="1:20">
      <c r="A1635" s="1303"/>
      <c r="B1635" s="1322" t="s">
        <v>5493</v>
      </c>
      <c r="C1635" s="1323" t="s">
        <v>5494</v>
      </c>
      <c r="D1635" s="1324">
        <f t="shared" si="180"/>
        <v>39504</v>
      </c>
      <c r="E1635" s="1323">
        <f t="shared" si="182"/>
        <v>7.6916000000000002</v>
      </c>
      <c r="F1635" s="1323">
        <f t="shared" si="181"/>
        <v>7.1732893501226815</v>
      </c>
      <c r="G1635" s="1323">
        <f t="shared" si="183"/>
        <v>2008</v>
      </c>
      <c r="H1635" s="1323">
        <f t="shared" si="184"/>
        <v>2</v>
      </c>
      <c r="I1635" s="1323">
        <f t="shared" si="185"/>
        <v>26</v>
      </c>
      <c r="J1635" s="1323"/>
      <c r="K1635" s="1323"/>
      <c r="L1635" s="1323"/>
      <c r="M1635" s="1323"/>
      <c r="N1635" s="1323"/>
      <c r="O1635" s="1323"/>
      <c r="P1635" s="1323"/>
      <c r="Q1635" s="1323"/>
      <c r="R1635" s="1304"/>
      <c r="S1635" s="1304"/>
      <c r="T1635" s="1304"/>
    </row>
    <row r="1636" spans="1:20">
      <c r="A1636" s="1303"/>
      <c r="B1636" s="1322" t="s">
        <v>5495</v>
      </c>
      <c r="C1636" s="1323" t="s">
        <v>5496</v>
      </c>
      <c r="D1636" s="1324">
        <f t="shared" si="180"/>
        <v>39503</v>
      </c>
      <c r="E1636" s="1323">
        <f t="shared" si="182"/>
        <v>7.7004000000000001</v>
      </c>
      <c r="F1636" s="1323">
        <f t="shared" si="181"/>
        <v>7.17191391457742</v>
      </c>
      <c r="G1636" s="1323">
        <f t="shared" si="183"/>
        <v>2008</v>
      </c>
      <c r="H1636" s="1323">
        <f t="shared" si="184"/>
        <v>2</v>
      </c>
      <c r="I1636" s="1323">
        <f t="shared" si="185"/>
        <v>25</v>
      </c>
      <c r="J1636" s="1323"/>
      <c r="K1636" s="1323"/>
      <c r="L1636" s="1323"/>
      <c r="M1636" s="1323"/>
      <c r="N1636" s="1323"/>
      <c r="O1636" s="1323"/>
      <c r="P1636" s="1323"/>
      <c r="Q1636" s="1323"/>
      <c r="R1636" s="1304"/>
      <c r="S1636" s="1304"/>
      <c r="T1636" s="1304"/>
    </row>
    <row r="1637" spans="1:20">
      <c r="A1637" s="1303"/>
      <c r="B1637" s="1322" t="s">
        <v>5497</v>
      </c>
      <c r="C1637" s="1323" t="s">
        <v>5498</v>
      </c>
      <c r="D1637" s="1324">
        <f t="shared" si="180"/>
        <v>39500</v>
      </c>
      <c r="E1637" s="1323">
        <f t="shared" si="182"/>
        <v>7.7976000000000001</v>
      </c>
      <c r="F1637" s="1323">
        <f t="shared" si="181"/>
        <v>7.170538742763739</v>
      </c>
      <c r="G1637" s="1323">
        <f t="shared" si="183"/>
        <v>2008</v>
      </c>
      <c r="H1637" s="1323">
        <f t="shared" si="184"/>
        <v>2</v>
      </c>
      <c r="I1637" s="1323">
        <f t="shared" si="185"/>
        <v>22</v>
      </c>
      <c r="J1637" s="1323"/>
      <c r="K1637" s="1323"/>
      <c r="L1637" s="1323"/>
      <c r="M1637" s="1323"/>
      <c r="N1637" s="1323"/>
      <c r="O1637" s="1323"/>
      <c r="P1637" s="1323"/>
      <c r="Q1637" s="1323"/>
      <c r="R1637" s="1304"/>
      <c r="S1637" s="1304"/>
      <c r="T1637" s="1304"/>
    </row>
    <row r="1638" spans="1:20">
      <c r="A1638" s="1303"/>
      <c r="B1638" s="1322" t="s">
        <v>5499</v>
      </c>
      <c r="C1638" s="1323" t="s">
        <v>5500</v>
      </c>
      <c r="D1638" s="1324">
        <f t="shared" si="180"/>
        <v>39499</v>
      </c>
      <c r="E1638" s="1323">
        <f t="shared" si="182"/>
        <v>7.8506999999999998</v>
      </c>
      <c r="F1638" s="1323">
        <f t="shared" si="181"/>
        <v>7.1691638346310702</v>
      </c>
      <c r="G1638" s="1323">
        <f t="shared" si="183"/>
        <v>2008</v>
      </c>
      <c r="H1638" s="1323">
        <f t="shared" si="184"/>
        <v>2</v>
      </c>
      <c r="I1638" s="1323">
        <f t="shared" si="185"/>
        <v>21</v>
      </c>
      <c r="J1638" s="1323"/>
      <c r="K1638" s="1323"/>
      <c r="L1638" s="1323"/>
      <c r="M1638" s="1323"/>
      <c r="N1638" s="1323"/>
      <c r="O1638" s="1323"/>
      <c r="P1638" s="1323"/>
      <c r="Q1638" s="1323"/>
      <c r="R1638" s="1304"/>
      <c r="S1638" s="1304"/>
      <c r="T1638" s="1304"/>
    </row>
    <row r="1639" spans="1:20">
      <c r="A1639" s="1303"/>
      <c r="B1639" s="1322" t="s">
        <v>5501</v>
      </c>
      <c r="C1639" s="1323" t="s">
        <v>5502</v>
      </c>
      <c r="D1639" s="1324">
        <f t="shared" si="180"/>
        <v>39498</v>
      </c>
      <c r="E1639" s="1323">
        <f t="shared" si="182"/>
        <v>7.8074000000000003</v>
      </c>
      <c r="F1639" s="1323">
        <f t="shared" si="181"/>
        <v>7.1677891901288531</v>
      </c>
      <c r="G1639" s="1323">
        <f t="shared" si="183"/>
        <v>2008</v>
      </c>
      <c r="H1639" s="1323">
        <f t="shared" si="184"/>
        <v>2</v>
      </c>
      <c r="I1639" s="1323">
        <f t="shared" si="185"/>
        <v>20</v>
      </c>
      <c r="J1639" s="1323"/>
      <c r="K1639" s="1323"/>
      <c r="L1639" s="1323"/>
      <c r="M1639" s="1323"/>
      <c r="N1639" s="1323"/>
      <c r="O1639" s="1323"/>
      <c r="P1639" s="1323"/>
      <c r="Q1639" s="1323"/>
      <c r="R1639" s="1304"/>
      <c r="S1639" s="1304"/>
      <c r="T1639" s="1304"/>
    </row>
    <row r="1640" spans="1:20">
      <c r="A1640" s="1303"/>
      <c r="B1640" s="1322" t="s">
        <v>5503</v>
      </c>
      <c r="C1640" s="1323" t="s">
        <v>4800</v>
      </c>
      <c r="D1640" s="1324">
        <f t="shared" si="180"/>
        <v>39497</v>
      </c>
      <c r="E1640" s="1323">
        <f t="shared" si="182"/>
        <v>7.59</v>
      </c>
      <c r="F1640" s="1323">
        <f t="shared" si="181"/>
        <v>7.1664148092065396</v>
      </c>
      <c r="G1640" s="1323">
        <f t="shared" si="183"/>
        <v>2008</v>
      </c>
      <c r="H1640" s="1323">
        <f t="shared" si="184"/>
        <v>2</v>
      </c>
      <c r="I1640" s="1323">
        <f t="shared" si="185"/>
        <v>19</v>
      </c>
      <c r="J1640" s="1323"/>
      <c r="K1640" s="1323"/>
      <c r="L1640" s="1323"/>
      <c r="M1640" s="1323"/>
      <c r="N1640" s="1323"/>
      <c r="O1640" s="1323"/>
      <c r="P1640" s="1323"/>
      <c r="Q1640" s="1323"/>
      <c r="R1640" s="1304"/>
      <c r="S1640" s="1304"/>
      <c r="T1640" s="1304"/>
    </row>
    <row r="1641" spans="1:20">
      <c r="A1641" s="1303"/>
      <c r="B1641" s="1322" t="s">
        <v>5504</v>
      </c>
      <c r="C1641" s="1323" t="s">
        <v>5505</v>
      </c>
      <c r="D1641" s="1324">
        <f t="shared" si="180"/>
        <v>39496</v>
      </c>
      <c r="E1641" s="1323">
        <f t="shared" si="182"/>
        <v>7.6336000000000004</v>
      </c>
      <c r="F1641" s="1323">
        <f t="shared" si="181"/>
        <v>7.1650406918135889</v>
      </c>
      <c r="G1641" s="1323">
        <f t="shared" si="183"/>
        <v>2008</v>
      </c>
      <c r="H1641" s="1323">
        <f t="shared" si="184"/>
        <v>2</v>
      </c>
      <c r="I1641" s="1323">
        <f t="shared" si="185"/>
        <v>18</v>
      </c>
      <c r="J1641" s="1323"/>
      <c r="K1641" s="1323"/>
      <c r="L1641" s="1323"/>
      <c r="M1641" s="1323"/>
      <c r="N1641" s="1323"/>
      <c r="O1641" s="1323"/>
      <c r="P1641" s="1323"/>
      <c r="Q1641" s="1323"/>
      <c r="R1641" s="1304"/>
      <c r="S1641" s="1304"/>
      <c r="T1641" s="1304"/>
    </row>
    <row r="1642" spans="1:20">
      <c r="A1642" s="1303"/>
      <c r="B1642" s="1322" t="s">
        <v>5506</v>
      </c>
      <c r="C1642" s="1323" t="s">
        <v>5507</v>
      </c>
      <c r="D1642" s="1324">
        <f t="shared" si="180"/>
        <v>39493</v>
      </c>
      <c r="E1642" s="1323">
        <f t="shared" si="182"/>
        <v>7.5956000000000001</v>
      </c>
      <c r="F1642" s="1323">
        <f t="shared" si="181"/>
        <v>7.1636668378994708</v>
      </c>
      <c r="G1642" s="1323">
        <f t="shared" si="183"/>
        <v>2008</v>
      </c>
      <c r="H1642" s="1323">
        <f t="shared" si="184"/>
        <v>2</v>
      </c>
      <c r="I1642" s="1323">
        <f t="shared" si="185"/>
        <v>15</v>
      </c>
      <c r="J1642" s="1323"/>
      <c r="K1642" s="1323"/>
      <c r="L1642" s="1323"/>
      <c r="M1642" s="1323"/>
      <c r="N1642" s="1323"/>
      <c r="O1642" s="1323"/>
      <c r="P1642" s="1323"/>
      <c r="Q1642" s="1323"/>
      <c r="R1642" s="1304"/>
      <c r="S1642" s="1304"/>
      <c r="T1642" s="1304"/>
    </row>
    <row r="1643" spans="1:20">
      <c r="A1643" s="1303"/>
      <c r="B1643" s="1322" t="s">
        <v>5508</v>
      </c>
      <c r="C1643" s="1323" t="s">
        <v>5509</v>
      </c>
      <c r="D1643" s="1324">
        <f t="shared" si="180"/>
        <v>39492</v>
      </c>
      <c r="E1643" s="1323">
        <f t="shared" si="182"/>
        <v>7.6326999999999998</v>
      </c>
      <c r="F1643" s="1323">
        <f t="shared" si="181"/>
        <v>7.1622932474136656</v>
      </c>
      <c r="G1643" s="1323">
        <f t="shared" si="183"/>
        <v>2008</v>
      </c>
      <c r="H1643" s="1323">
        <f t="shared" si="184"/>
        <v>2</v>
      </c>
      <c r="I1643" s="1323">
        <f t="shared" si="185"/>
        <v>14</v>
      </c>
      <c r="J1643" s="1323"/>
      <c r="K1643" s="1323"/>
      <c r="L1643" s="1323"/>
      <c r="M1643" s="1323"/>
      <c r="N1643" s="1323"/>
      <c r="O1643" s="1323"/>
      <c r="P1643" s="1323"/>
      <c r="Q1643" s="1323"/>
      <c r="R1643" s="1304"/>
      <c r="S1643" s="1304"/>
      <c r="T1643" s="1304"/>
    </row>
    <row r="1644" spans="1:20">
      <c r="A1644" s="1303"/>
      <c r="B1644" s="1322" t="s">
        <v>5510</v>
      </c>
      <c r="C1644" s="1323" t="s">
        <v>4563</v>
      </c>
      <c r="D1644" s="1324">
        <f t="shared" si="180"/>
        <v>39491</v>
      </c>
      <c r="E1644" s="1323">
        <f t="shared" si="182"/>
        <v>7.7381000000000002</v>
      </c>
      <c r="F1644" s="1323">
        <f t="shared" si="181"/>
        <v>7.1609199203056617</v>
      </c>
      <c r="G1644" s="1323">
        <f t="shared" si="183"/>
        <v>2008</v>
      </c>
      <c r="H1644" s="1323">
        <f t="shared" si="184"/>
        <v>2</v>
      </c>
      <c r="I1644" s="1323">
        <f t="shared" si="185"/>
        <v>13</v>
      </c>
      <c r="J1644" s="1323"/>
      <c r="K1644" s="1323"/>
      <c r="L1644" s="1323"/>
      <c r="M1644" s="1323"/>
      <c r="N1644" s="1323"/>
      <c r="O1644" s="1323"/>
      <c r="P1644" s="1323"/>
      <c r="Q1644" s="1323"/>
      <c r="R1644" s="1304"/>
      <c r="S1644" s="1304"/>
      <c r="T1644" s="1304"/>
    </row>
    <row r="1645" spans="1:20">
      <c r="A1645" s="1303"/>
      <c r="B1645" s="1322" t="s">
        <v>5511</v>
      </c>
      <c r="C1645" s="1323" t="s">
        <v>5512</v>
      </c>
      <c r="D1645" s="1324">
        <f t="shared" si="180"/>
        <v>39490</v>
      </c>
      <c r="E1645" s="1323">
        <f t="shared" si="182"/>
        <v>7.7317999999999998</v>
      </c>
      <c r="F1645" s="1323">
        <f t="shared" si="181"/>
        <v>7.1595468565249583</v>
      </c>
      <c r="G1645" s="1323">
        <f t="shared" si="183"/>
        <v>2008</v>
      </c>
      <c r="H1645" s="1323">
        <f t="shared" si="184"/>
        <v>2</v>
      </c>
      <c r="I1645" s="1323">
        <f t="shared" si="185"/>
        <v>12</v>
      </c>
      <c r="J1645" s="1323"/>
      <c r="K1645" s="1323"/>
      <c r="L1645" s="1323"/>
      <c r="M1645" s="1323"/>
      <c r="N1645" s="1323"/>
      <c r="O1645" s="1323"/>
      <c r="P1645" s="1323"/>
      <c r="Q1645" s="1323"/>
      <c r="R1645" s="1304"/>
      <c r="S1645" s="1304"/>
      <c r="T1645" s="1304"/>
    </row>
    <row r="1646" spans="1:20">
      <c r="A1646" s="1303"/>
      <c r="B1646" s="1322" t="s">
        <v>5513</v>
      </c>
      <c r="C1646" s="1323" t="s">
        <v>5514</v>
      </c>
      <c r="D1646" s="1324">
        <f t="shared" si="180"/>
        <v>39489</v>
      </c>
      <c r="E1646" s="1323">
        <f t="shared" si="182"/>
        <v>7.8407999999999998</v>
      </c>
      <c r="F1646" s="1323">
        <f t="shared" si="181"/>
        <v>7.1581740560210632</v>
      </c>
      <c r="G1646" s="1323">
        <f t="shared" si="183"/>
        <v>2008</v>
      </c>
      <c r="H1646" s="1323">
        <f t="shared" si="184"/>
        <v>2</v>
      </c>
      <c r="I1646" s="1323">
        <f t="shared" si="185"/>
        <v>11</v>
      </c>
      <c r="J1646" s="1323"/>
      <c r="K1646" s="1323"/>
      <c r="L1646" s="1323"/>
      <c r="M1646" s="1323"/>
      <c r="N1646" s="1323"/>
      <c r="O1646" s="1323"/>
      <c r="P1646" s="1323"/>
      <c r="Q1646" s="1323"/>
      <c r="R1646" s="1304"/>
      <c r="S1646" s="1304"/>
      <c r="T1646" s="1304"/>
    </row>
    <row r="1647" spans="1:20">
      <c r="A1647" s="1303"/>
      <c r="B1647" s="1322" t="s">
        <v>5515</v>
      </c>
      <c r="C1647" s="1323" t="s">
        <v>3694</v>
      </c>
      <c r="D1647" s="1324">
        <f t="shared" si="180"/>
        <v>39486</v>
      </c>
      <c r="E1647" s="1323">
        <f t="shared" si="182"/>
        <v>7.6478000000000002</v>
      </c>
      <c r="F1647" s="1323">
        <f t="shared" si="181"/>
        <v>7.1568015187434959</v>
      </c>
      <c r="G1647" s="1323">
        <f t="shared" si="183"/>
        <v>2008</v>
      </c>
      <c r="H1647" s="1323">
        <f t="shared" si="184"/>
        <v>2</v>
      </c>
      <c r="I1647" s="1323">
        <f t="shared" si="185"/>
        <v>8</v>
      </c>
      <c r="J1647" s="1323"/>
      <c r="K1647" s="1323"/>
      <c r="L1647" s="1323"/>
      <c r="M1647" s="1323"/>
      <c r="N1647" s="1323"/>
      <c r="O1647" s="1323"/>
      <c r="P1647" s="1323"/>
      <c r="Q1647" s="1323"/>
      <c r="R1647" s="1304"/>
      <c r="S1647" s="1304"/>
      <c r="T1647" s="1304"/>
    </row>
    <row r="1648" spans="1:20">
      <c r="A1648" s="1303"/>
      <c r="B1648" s="1322" t="s">
        <v>5516</v>
      </c>
      <c r="C1648" s="1323" t="s">
        <v>5517</v>
      </c>
      <c r="D1648" s="1324">
        <f t="shared" si="180"/>
        <v>39485</v>
      </c>
      <c r="E1648" s="1323">
        <f t="shared" si="182"/>
        <v>7.6604000000000001</v>
      </c>
      <c r="F1648" s="1323">
        <f t="shared" si="181"/>
        <v>7.155429244641784</v>
      </c>
      <c r="G1648" s="1323">
        <f t="shared" si="183"/>
        <v>2008</v>
      </c>
      <c r="H1648" s="1323">
        <f t="shared" si="184"/>
        <v>2</v>
      </c>
      <c r="I1648" s="1323">
        <f t="shared" si="185"/>
        <v>7</v>
      </c>
      <c r="J1648" s="1323"/>
      <c r="K1648" s="1323"/>
      <c r="L1648" s="1323"/>
      <c r="M1648" s="1323"/>
      <c r="N1648" s="1323"/>
      <c r="O1648" s="1323"/>
      <c r="P1648" s="1323"/>
      <c r="Q1648" s="1323"/>
      <c r="R1648" s="1304"/>
      <c r="S1648" s="1304"/>
      <c r="T1648" s="1304"/>
    </row>
    <row r="1649" spans="1:20">
      <c r="A1649" s="1303"/>
      <c r="B1649" s="1322" t="s">
        <v>5518</v>
      </c>
      <c r="C1649" s="1323" t="s">
        <v>5519</v>
      </c>
      <c r="D1649" s="1324">
        <f t="shared" si="180"/>
        <v>39484</v>
      </c>
      <c r="E1649" s="1323">
        <f t="shared" si="182"/>
        <v>7.6783999999999999</v>
      </c>
      <c r="F1649" s="1323">
        <f t="shared" si="181"/>
        <v>7.1540572336654646</v>
      </c>
      <c r="G1649" s="1323">
        <f t="shared" si="183"/>
        <v>2008</v>
      </c>
      <c r="H1649" s="1323">
        <f t="shared" si="184"/>
        <v>2</v>
      </c>
      <c r="I1649" s="1323">
        <f t="shared" si="185"/>
        <v>6</v>
      </c>
      <c r="J1649" s="1323"/>
      <c r="K1649" s="1323"/>
      <c r="L1649" s="1323"/>
      <c r="M1649" s="1323"/>
      <c r="N1649" s="1323"/>
      <c r="O1649" s="1323"/>
      <c r="P1649" s="1323"/>
      <c r="Q1649" s="1323"/>
      <c r="R1649" s="1304"/>
      <c r="S1649" s="1304"/>
      <c r="T1649" s="1304"/>
    </row>
    <row r="1650" spans="1:20">
      <c r="A1650" s="1303"/>
      <c r="B1650" s="1322" t="s">
        <v>5520</v>
      </c>
      <c r="C1650" s="1323" t="s">
        <v>5521</v>
      </c>
      <c r="D1650" s="1324">
        <f t="shared" si="180"/>
        <v>39483</v>
      </c>
      <c r="E1650" s="1323">
        <f t="shared" si="182"/>
        <v>7.4633000000000003</v>
      </c>
      <c r="F1650" s="1323">
        <f t="shared" si="181"/>
        <v>7.1526854857640849</v>
      </c>
      <c r="G1650" s="1323">
        <f t="shared" si="183"/>
        <v>2008</v>
      </c>
      <c r="H1650" s="1323">
        <f t="shared" si="184"/>
        <v>2</v>
      </c>
      <c r="I1650" s="1323">
        <f t="shared" si="185"/>
        <v>5</v>
      </c>
      <c r="J1650" s="1323"/>
      <c r="K1650" s="1323"/>
      <c r="L1650" s="1323"/>
      <c r="M1650" s="1323"/>
      <c r="N1650" s="1323"/>
      <c r="O1650" s="1323"/>
      <c r="P1650" s="1323"/>
      <c r="Q1650" s="1323"/>
      <c r="R1650" s="1304"/>
      <c r="S1650" s="1304"/>
      <c r="T1650" s="1304"/>
    </row>
    <row r="1651" spans="1:20">
      <c r="A1651" s="1303"/>
      <c r="B1651" s="1322" t="s">
        <v>5522</v>
      </c>
      <c r="C1651" s="1323" t="s">
        <v>5523</v>
      </c>
      <c r="D1651" s="1324">
        <f t="shared" si="180"/>
        <v>39482</v>
      </c>
      <c r="E1651" s="1323">
        <f t="shared" si="182"/>
        <v>7.3571999999999997</v>
      </c>
      <c r="F1651" s="1323">
        <f t="shared" si="181"/>
        <v>7.1513140008872025</v>
      </c>
      <c r="G1651" s="1323">
        <f t="shared" si="183"/>
        <v>2008</v>
      </c>
      <c r="H1651" s="1323">
        <f t="shared" si="184"/>
        <v>2</v>
      </c>
      <c r="I1651" s="1323">
        <f t="shared" si="185"/>
        <v>4</v>
      </c>
      <c r="J1651" s="1323"/>
      <c r="K1651" s="1323"/>
      <c r="L1651" s="1323"/>
      <c r="M1651" s="1323"/>
      <c r="N1651" s="1323"/>
      <c r="O1651" s="1323"/>
      <c r="P1651" s="1323"/>
      <c r="Q1651" s="1323"/>
      <c r="R1651" s="1304"/>
      <c r="S1651" s="1304"/>
      <c r="T1651" s="1304"/>
    </row>
    <row r="1652" spans="1:20">
      <c r="A1652" s="1303"/>
      <c r="B1652" s="1322" t="s">
        <v>5524</v>
      </c>
      <c r="C1652" s="1323" t="s">
        <v>5525</v>
      </c>
      <c r="D1652" s="1324">
        <f t="shared" si="180"/>
        <v>39479</v>
      </c>
      <c r="E1652" s="1323">
        <f t="shared" si="182"/>
        <v>7.4546999999999999</v>
      </c>
      <c r="F1652" s="1323">
        <f t="shared" si="181"/>
        <v>7.149942778984383</v>
      </c>
      <c r="G1652" s="1323">
        <f t="shared" si="183"/>
        <v>2008</v>
      </c>
      <c r="H1652" s="1323">
        <f t="shared" si="184"/>
        <v>2</v>
      </c>
      <c r="I1652" s="1323">
        <f t="shared" si="185"/>
        <v>1</v>
      </c>
      <c r="J1652" s="1323"/>
      <c r="K1652" s="1323"/>
      <c r="L1652" s="1323"/>
      <c r="M1652" s="1323"/>
      <c r="N1652" s="1323"/>
      <c r="O1652" s="1323"/>
      <c r="P1652" s="1323"/>
      <c r="Q1652" s="1323"/>
      <c r="R1652" s="1304"/>
      <c r="S1652" s="1304"/>
      <c r="T1652" s="1304"/>
    </row>
    <row r="1653" spans="1:20">
      <c r="A1653" s="1303"/>
      <c r="B1653" s="1322" t="s">
        <v>5526</v>
      </c>
      <c r="C1653" s="1323" t="s">
        <v>5527</v>
      </c>
      <c r="D1653" s="1324">
        <f t="shared" si="180"/>
        <v>39478</v>
      </c>
      <c r="E1653" s="1323">
        <f t="shared" si="182"/>
        <v>7.3571999999999997</v>
      </c>
      <c r="F1653" s="1323">
        <f t="shared" si="181"/>
        <v>7.1485718200052037</v>
      </c>
      <c r="G1653" s="1323">
        <f t="shared" si="183"/>
        <v>2008</v>
      </c>
      <c r="H1653" s="1323">
        <f t="shared" si="184"/>
        <v>1</v>
      </c>
      <c r="I1653" s="1323">
        <f t="shared" si="185"/>
        <v>31</v>
      </c>
      <c r="J1653" s="1323"/>
      <c r="K1653" s="1323"/>
      <c r="L1653" s="1323"/>
      <c r="M1653" s="1323"/>
      <c r="N1653" s="1323"/>
      <c r="O1653" s="1323"/>
      <c r="P1653" s="1323"/>
      <c r="Q1653" s="1323"/>
      <c r="R1653" s="1304"/>
      <c r="S1653" s="1304"/>
      <c r="T1653" s="1304"/>
    </row>
    <row r="1654" spans="1:20">
      <c r="A1654" s="1303"/>
      <c r="B1654" s="1322" t="s">
        <v>5528</v>
      </c>
      <c r="C1654" s="1323" t="s">
        <v>5525</v>
      </c>
      <c r="D1654" s="1324">
        <f t="shared" si="180"/>
        <v>39477</v>
      </c>
      <c r="E1654" s="1323">
        <f t="shared" si="182"/>
        <v>7.2150999999999996</v>
      </c>
      <c r="F1654" s="1323">
        <f t="shared" si="181"/>
        <v>7.1472011238992499</v>
      </c>
      <c r="G1654" s="1323">
        <f t="shared" si="183"/>
        <v>2008</v>
      </c>
      <c r="H1654" s="1323">
        <f t="shared" si="184"/>
        <v>1</v>
      </c>
      <c r="I1654" s="1323">
        <f t="shared" si="185"/>
        <v>30</v>
      </c>
      <c r="J1654" s="1323"/>
      <c r="K1654" s="1323"/>
      <c r="L1654" s="1323"/>
      <c r="M1654" s="1323"/>
      <c r="N1654" s="1323"/>
      <c r="O1654" s="1323"/>
      <c r="P1654" s="1323"/>
      <c r="Q1654" s="1323"/>
      <c r="R1654" s="1304"/>
      <c r="S1654" s="1304"/>
      <c r="T1654" s="1304"/>
    </row>
    <row r="1655" spans="1:20">
      <c r="A1655" s="1303"/>
      <c r="B1655" s="1322" t="s">
        <v>5529</v>
      </c>
      <c r="C1655" s="1323" t="s">
        <v>5530</v>
      </c>
      <c r="D1655" s="1324">
        <f t="shared" si="180"/>
        <v>39476</v>
      </c>
      <c r="E1655" s="1323">
        <f t="shared" si="182"/>
        <v>7.1691000000000003</v>
      </c>
      <c r="F1655" s="1323">
        <f t="shared" si="181"/>
        <v>7.1458306906161182</v>
      </c>
      <c r="G1655" s="1323">
        <f t="shared" si="183"/>
        <v>2008</v>
      </c>
      <c r="H1655" s="1323">
        <f t="shared" si="184"/>
        <v>1</v>
      </c>
      <c r="I1655" s="1323">
        <f t="shared" si="185"/>
        <v>29</v>
      </c>
      <c r="J1655" s="1323"/>
      <c r="K1655" s="1323"/>
      <c r="L1655" s="1323"/>
      <c r="M1655" s="1323"/>
      <c r="N1655" s="1323"/>
      <c r="O1655" s="1323"/>
      <c r="P1655" s="1323"/>
      <c r="Q1655" s="1323"/>
      <c r="R1655" s="1304"/>
      <c r="S1655" s="1304"/>
      <c r="T1655" s="1304"/>
    </row>
    <row r="1656" spans="1:20">
      <c r="A1656" s="1303"/>
      <c r="B1656" s="1322" t="s">
        <v>5531</v>
      </c>
      <c r="C1656" s="1323" t="s">
        <v>5532</v>
      </c>
      <c r="D1656" s="1324">
        <f t="shared" si="180"/>
        <v>39475</v>
      </c>
      <c r="E1656" s="1323">
        <f t="shared" si="182"/>
        <v>7.1920999999999999</v>
      </c>
      <c r="F1656" s="1323">
        <f t="shared" si="181"/>
        <v>7.1444605201054125</v>
      </c>
      <c r="G1656" s="1323">
        <f t="shared" si="183"/>
        <v>2008</v>
      </c>
      <c r="H1656" s="1323">
        <f t="shared" si="184"/>
        <v>1</v>
      </c>
      <c r="I1656" s="1323">
        <f t="shared" si="185"/>
        <v>28</v>
      </c>
      <c r="J1656" s="1323"/>
      <c r="K1656" s="1323"/>
      <c r="L1656" s="1323"/>
      <c r="M1656" s="1323"/>
      <c r="N1656" s="1323"/>
      <c r="O1656" s="1323"/>
      <c r="P1656" s="1323"/>
      <c r="Q1656" s="1323"/>
      <c r="R1656" s="1304"/>
      <c r="S1656" s="1304"/>
      <c r="T1656" s="1304"/>
    </row>
    <row r="1657" spans="1:20">
      <c r="A1657" s="1303"/>
      <c r="B1657" s="1322" t="s">
        <v>5533</v>
      </c>
      <c r="C1657" s="1323" t="s">
        <v>5534</v>
      </c>
      <c r="D1657" s="1324">
        <f t="shared" si="180"/>
        <v>39472</v>
      </c>
      <c r="E1657" s="1323">
        <f t="shared" si="182"/>
        <v>7.0339</v>
      </c>
      <c r="F1657" s="1323">
        <f t="shared" si="181"/>
        <v>7.1430906123167492</v>
      </c>
      <c r="G1657" s="1323">
        <f t="shared" si="183"/>
        <v>2008</v>
      </c>
      <c r="H1657" s="1323">
        <f t="shared" si="184"/>
        <v>1</v>
      </c>
      <c r="I1657" s="1323">
        <f t="shared" si="185"/>
        <v>25</v>
      </c>
      <c r="J1657" s="1323"/>
      <c r="K1657" s="1323"/>
      <c r="L1657" s="1323"/>
      <c r="M1657" s="1323"/>
      <c r="N1657" s="1323"/>
      <c r="O1657" s="1323"/>
      <c r="P1657" s="1323"/>
      <c r="Q1657" s="1323"/>
      <c r="R1657" s="1304"/>
      <c r="S1657" s="1304"/>
      <c r="T1657" s="1304"/>
    </row>
    <row r="1658" spans="1:20">
      <c r="A1658" s="1303"/>
      <c r="B1658" s="1322" t="s">
        <v>5535</v>
      </c>
      <c r="C1658" s="1323" t="s">
        <v>5536</v>
      </c>
      <c r="D1658" s="1324">
        <f t="shared" si="180"/>
        <v>39471</v>
      </c>
      <c r="E1658" s="1323">
        <f t="shared" si="182"/>
        <v>7.0758000000000001</v>
      </c>
      <c r="F1658" s="1323">
        <f t="shared" si="181"/>
        <v>7.1417209671997517</v>
      </c>
      <c r="G1658" s="1323">
        <f t="shared" si="183"/>
        <v>2008</v>
      </c>
      <c r="H1658" s="1323">
        <f t="shared" si="184"/>
        <v>1</v>
      </c>
      <c r="I1658" s="1323">
        <f t="shared" si="185"/>
        <v>24</v>
      </c>
      <c r="J1658" s="1323"/>
      <c r="K1658" s="1323"/>
      <c r="L1658" s="1323"/>
      <c r="M1658" s="1323"/>
      <c r="N1658" s="1323"/>
      <c r="O1658" s="1323"/>
      <c r="P1658" s="1323"/>
      <c r="Q1658" s="1323"/>
      <c r="R1658" s="1304"/>
      <c r="S1658" s="1304"/>
      <c r="T1658" s="1304"/>
    </row>
    <row r="1659" spans="1:20">
      <c r="A1659" s="1303"/>
      <c r="B1659" s="1322" t="s">
        <v>5537</v>
      </c>
      <c r="C1659" s="1323" t="s">
        <v>5538</v>
      </c>
      <c r="D1659" s="1324">
        <f t="shared" si="180"/>
        <v>39470</v>
      </c>
      <c r="E1659" s="1323">
        <f t="shared" si="182"/>
        <v>7.1132</v>
      </c>
      <c r="F1659" s="1323">
        <f t="shared" si="181"/>
        <v>7.1403515847040548</v>
      </c>
      <c r="G1659" s="1323">
        <f t="shared" si="183"/>
        <v>2008</v>
      </c>
      <c r="H1659" s="1323">
        <f t="shared" si="184"/>
        <v>1</v>
      </c>
      <c r="I1659" s="1323">
        <f t="shared" si="185"/>
        <v>23</v>
      </c>
      <c r="J1659" s="1323"/>
      <c r="K1659" s="1323"/>
      <c r="L1659" s="1323"/>
      <c r="M1659" s="1323"/>
      <c r="N1659" s="1323"/>
      <c r="O1659" s="1323"/>
      <c r="P1659" s="1323"/>
      <c r="Q1659" s="1323"/>
      <c r="R1659" s="1304"/>
      <c r="S1659" s="1304"/>
      <c r="T1659" s="1304"/>
    </row>
    <row r="1660" spans="1:20">
      <c r="A1660" s="1303"/>
      <c r="B1660" s="1322" t="s">
        <v>5539</v>
      </c>
      <c r="C1660" s="1323" t="s">
        <v>5540</v>
      </c>
      <c r="D1660" s="1324">
        <f t="shared" si="180"/>
        <v>39469</v>
      </c>
      <c r="E1660" s="1323">
        <f t="shared" si="182"/>
        <v>7.3040000000000003</v>
      </c>
      <c r="F1660" s="1323">
        <f t="shared" si="181"/>
        <v>7.1389824647793025</v>
      </c>
      <c r="G1660" s="1323">
        <f t="shared" si="183"/>
        <v>2008</v>
      </c>
      <c r="H1660" s="1323">
        <f t="shared" si="184"/>
        <v>1</v>
      </c>
      <c r="I1660" s="1323">
        <f t="shared" si="185"/>
        <v>22</v>
      </c>
      <c r="J1660" s="1323"/>
      <c r="K1660" s="1323"/>
      <c r="L1660" s="1323"/>
      <c r="M1660" s="1323"/>
      <c r="N1660" s="1323"/>
      <c r="O1660" s="1323"/>
      <c r="P1660" s="1323"/>
      <c r="Q1660" s="1323"/>
      <c r="R1660" s="1304"/>
      <c r="S1660" s="1304"/>
      <c r="T1660" s="1304"/>
    </row>
    <row r="1661" spans="1:20">
      <c r="A1661" s="1303"/>
      <c r="B1661" s="1322" t="s">
        <v>5541</v>
      </c>
      <c r="C1661" s="1323" t="s">
        <v>5542</v>
      </c>
      <c r="D1661" s="1324">
        <f t="shared" si="180"/>
        <v>39468</v>
      </c>
      <c r="E1661" s="1323">
        <f t="shared" si="182"/>
        <v>7.1698000000000004</v>
      </c>
      <c r="F1661" s="1323">
        <f t="shared" si="181"/>
        <v>7.1376136073751484</v>
      </c>
      <c r="G1661" s="1323">
        <f t="shared" si="183"/>
        <v>2008</v>
      </c>
      <c r="H1661" s="1323">
        <f t="shared" si="184"/>
        <v>1</v>
      </c>
      <c r="I1661" s="1323">
        <f t="shared" si="185"/>
        <v>21</v>
      </c>
      <c r="J1661" s="1323"/>
      <c r="K1661" s="1323"/>
      <c r="L1661" s="1323"/>
      <c r="M1661" s="1323"/>
      <c r="N1661" s="1323"/>
      <c r="O1661" s="1323"/>
      <c r="P1661" s="1323"/>
      <c r="Q1661" s="1323"/>
      <c r="R1661" s="1304"/>
      <c r="S1661" s="1304"/>
      <c r="T1661" s="1304"/>
    </row>
    <row r="1662" spans="1:20">
      <c r="A1662" s="1303"/>
      <c r="B1662" s="1322" t="s">
        <v>5543</v>
      </c>
      <c r="C1662" s="1323" t="s">
        <v>5544</v>
      </c>
      <c r="D1662" s="1324">
        <f t="shared" si="180"/>
        <v>39465</v>
      </c>
      <c r="E1662" s="1323">
        <f t="shared" si="182"/>
        <v>7.0479000000000003</v>
      </c>
      <c r="F1662" s="1323">
        <f t="shared" si="181"/>
        <v>7.1362450124412549</v>
      </c>
      <c r="G1662" s="1323">
        <f t="shared" si="183"/>
        <v>2008</v>
      </c>
      <c r="H1662" s="1323">
        <f t="shared" si="184"/>
        <v>1</v>
      </c>
      <c r="I1662" s="1323">
        <f t="shared" si="185"/>
        <v>18</v>
      </c>
      <c r="J1662" s="1323"/>
      <c r="K1662" s="1323"/>
      <c r="L1662" s="1323"/>
      <c r="M1662" s="1323"/>
      <c r="N1662" s="1323"/>
      <c r="O1662" s="1323"/>
      <c r="P1662" s="1323"/>
      <c r="Q1662" s="1323"/>
      <c r="R1662" s="1304"/>
      <c r="S1662" s="1304"/>
      <c r="T1662" s="1304"/>
    </row>
    <row r="1663" spans="1:20">
      <c r="A1663" s="1303"/>
      <c r="B1663" s="1322" t="s">
        <v>5545</v>
      </c>
      <c r="C1663" s="1323" t="s">
        <v>5546</v>
      </c>
      <c r="D1663" s="1324">
        <f t="shared" si="180"/>
        <v>39464</v>
      </c>
      <c r="E1663" s="1323">
        <f t="shared" si="182"/>
        <v>6.9447999999999999</v>
      </c>
      <c r="F1663" s="1323">
        <f t="shared" si="181"/>
        <v>7.134876679927296</v>
      </c>
      <c r="G1663" s="1323">
        <f t="shared" si="183"/>
        <v>2008</v>
      </c>
      <c r="H1663" s="1323">
        <f t="shared" si="184"/>
        <v>1</v>
      </c>
      <c r="I1663" s="1323">
        <f t="shared" si="185"/>
        <v>17</v>
      </c>
      <c r="J1663" s="1323"/>
      <c r="K1663" s="1323"/>
      <c r="L1663" s="1323"/>
      <c r="M1663" s="1323"/>
      <c r="N1663" s="1323"/>
      <c r="O1663" s="1323"/>
      <c r="P1663" s="1323"/>
      <c r="Q1663" s="1323"/>
      <c r="R1663" s="1304"/>
      <c r="S1663" s="1304"/>
      <c r="T1663" s="1304"/>
    </row>
    <row r="1664" spans="1:20">
      <c r="A1664" s="1303"/>
      <c r="B1664" s="1322" t="s">
        <v>5547</v>
      </c>
      <c r="C1664" s="1323" t="s">
        <v>5548</v>
      </c>
      <c r="D1664" s="1324">
        <f t="shared" si="180"/>
        <v>39463</v>
      </c>
      <c r="E1664" s="1323">
        <f t="shared" si="182"/>
        <v>6.8623000000000003</v>
      </c>
      <c r="F1664" s="1323">
        <f t="shared" si="181"/>
        <v>7.1335086097829539</v>
      </c>
      <c r="G1664" s="1323">
        <f t="shared" si="183"/>
        <v>2008</v>
      </c>
      <c r="H1664" s="1323">
        <f t="shared" si="184"/>
        <v>1</v>
      </c>
      <c r="I1664" s="1323">
        <f t="shared" si="185"/>
        <v>16</v>
      </c>
      <c r="J1664" s="1323"/>
      <c r="K1664" s="1323"/>
      <c r="L1664" s="1323"/>
      <c r="M1664" s="1323"/>
      <c r="N1664" s="1323"/>
      <c r="O1664" s="1323"/>
      <c r="P1664" s="1323"/>
      <c r="Q1664" s="1323"/>
      <c r="R1664" s="1304"/>
      <c r="S1664" s="1304"/>
      <c r="T1664" s="1304"/>
    </row>
    <row r="1665" spans="1:20">
      <c r="A1665" s="1303"/>
      <c r="B1665" s="1322" t="s">
        <v>5549</v>
      </c>
      <c r="C1665" s="1323" t="s">
        <v>5550</v>
      </c>
      <c r="D1665" s="1324">
        <f t="shared" si="180"/>
        <v>39462</v>
      </c>
      <c r="E1665" s="1323">
        <f t="shared" si="182"/>
        <v>6.7244000000000002</v>
      </c>
      <c r="F1665" s="1323">
        <f t="shared" si="181"/>
        <v>7.1321408019579202</v>
      </c>
      <c r="G1665" s="1323">
        <f t="shared" si="183"/>
        <v>2008</v>
      </c>
      <c r="H1665" s="1323">
        <f t="shared" si="184"/>
        <v>1</v>
      </c>
      <c r="I1665" s="1323">
        <f t="shared" si="185"/>
        <v>15</v>
      </c>
      <c r="J1665" s="1323"/>
      <c r="K1665" s="1323"/>
      <c r="L1665" s="1323"/>
      <c r="M1665" s="1323"/>
      <c r="N1665" s="1323"/>
      <c r="O1665" s="1323"/>
      <c r="P1665" s="1323"/>
      <c r="Q1665" s="1323"/>
      <c r="R1665" s="1304"/>
      <c r="S1665" s="1304"/>
      <c r="T1665" s="1304"/>
    </row>
    <row r="1666" spans="1:20">
      <c r="A1666" s="1303"/>
      <c r="B1666" s="1322" t="s">
        <v>5551</v>
      </c>
      <c r="C1666" s="1323" t="s">
        <v>5552</v>
      </c>
      <c r="D1666" s="1324">
        <f t="shared" si="180"/>
        <v>39461</v>
      </c>
      <c r="E1666" s="1323">
        <f t="shared" si="182"/>
        <v>6.7210999999999999</v>
      </c>
      <c r="F1666" s="1323">
        <f t="shared" si="181"/>
        <v>7.1307732564018975</v>
      </c>
      <c r="G1666" s="1323">
        <f t="shared" si="183"/>
        <v>2008</v>
      </c>
      <c r="H1666" s="1323">
        <f t="shared" si="184"/>
        <v>1</v>
      </c>
      <c r="I1666" s="1323">
        <f t="shared" si="185"/>
        <v>14</v>
      </c>
      <c r="J1666" s="1323"/>
      <c r="K1666" s="1323"/>
      <c r="L1666" s="1323"/>
      <c r="M1666" s="1323"/>
      <c r="N1666" s="1323"/>
      <c r="O1666" s="1323"/>
      <c r="P1666" s="1323"/>
      <c r="Q1666" s="1323"/>
      <c r="R1666" s="1304"/>
      <c r="S1666" s="1304"/>
      <c r="T1666" s="1304"/>
    </row>
    <row r="1667" spans="1:20">
      <c r="A1667" s="1303"/>
      <c r="B1667" s="1322" t="s">
        <v>5553</v>
      </c>
      <c r="C1667" s="1323" t="s">
        <v>5554</v>
      </c>
      <c r="D1667" s="1324">
        <f t="shared" si="180"/>
        <v>39458</v>
      </c>
      <c r="E1667" s="1323">
        <f t="shared" si="182"/>
        <v>6.827</v>
      </c>
      <c r="F1667" s="1323">
        <f t="shared" si="181"/>
        <v>7.1294059730645971</v>
      </c>
      <c r="G1667" s="1323">
        <f t="shared" si="183"/>
        <v>2008</v>
      </c>
      <c r="H1667" s="1323">
        <f t="shared" si="184"/>
        <v>1</v>
      </c>
      <c r="I1667" s="1323">
        <f t="shared" si="185"/>
        <v>11</v>
      </c>
      <c r="J1667" s="1323"/>
      <c r="K1667" s="1323"/>
      <c r="L1667" s="1323"/>
      <c r="M1667" s="1323"/>
      <c r="N1667" s="1323"/>
      <c r="O1667" s="1323"/>
      <c r="P1667" s="1323"/>
      <c r="Q1667" s="1323"/>
      <c r="R1667" s="1304"/>
      <c r="S1667" s="1304"/>
      <c r="T1667" s="1304"/>
    </row>
    <row r="1668" spans="1:20">
      <c r="A1668" s="1303"/>
      <c r="B1668" s="1322" t="s">
        <v>5555</v>
      </c>
      <c r="C1668" s="1323" t="s">
        <v>3862</v>
      </c>
      <c r="D1668" s="1324">
        <f t="shared" si="180"/>
        <v>39457</v>
      </c>
      <c r="E1668" s="1323">
        <f t="shared" si="182"/>
        <v>6.8559000000000001</v>
      </c>
      <c r="F1668" s="1323">
        <f t="shared" si="181"/>
        <v>7.1280389518957401</v>
      </c>
      <c r="G1668" s="1323">
        <f t="shared" si="183"/>
        <v>2008</v>
      </c>
      <c r="H1668" s="1323">
        <f t="shared" si="184"/>
        <v>1</v>
      </c>
      <c r="I1668" s="1323">
        <f t="shared" si="185"/>
        <v>10</v>
      </c>
      <c r="J1668" s="1323"/>
      <c r="K1668" s="1323"/>
      <c r="L1668" s="1323"/>
      <c r="M1668" s="1323"/>
      <c r="N1668" s="1323"/>
      <c r="O1668" s="1323"/>
      <c r="P1668" s="1323"/>
      <c r="Q1668" s="1323"/>
      <c r="R1668" s="1304"/>
      <c r="S1668" s="1304"/>
      <c r="T1668" s="1304"/>
    </row>
    <row r="1669" spans="1:20">
      <c r="A1669" s="1303"/>
      <c r="B1669" s="1322" t="s">
        <v>5556</v>
      </c>
      <c r="C1669" s="1323" t="s">
        <v>5557</v>
      </c>
      <c r="D1669" s="1324">
        <f t="shared" si="180"/>
        <v>39456</v>
      </c>
      <c r="E1669" s="1323">
        <f t="shared" si="182"/>
        <v>6.8554000000000004</v>
      </c>
      <c r="F1669" s="1323">
        <f t="shared" si="181"/>
        <v>7.1266721928450574</v>
      </c>
      <c r="G1669" s="1323">
        <f t="shared" si="183"/>
        <v>2008</v>
      </c>
      <c r="H1669" s="1323">
        <f t="shared" si="184"/>
        <v>1</v>
      </c>
      <c r="I1669" s="1323">
        <f t="shared" si="185"/>
        <v>9</v>
      </c>
      <c r="J1669" s="1323"/>
      <c r="K1669" s="1323"/>
      <c r="L1669" s="1323"/>
      <c r="M1669" s="1323"/>
      <c r="N1669" s="1323"/>
      <c r="O1669" s="1323"/>
      <c r="P1669" s="1323"/>
      <c r="Q1669" s="1323"/>
      <c r="R1669" s="1304"/>
      <c r="S1669" s="1304"/>
      <c r="T1669" s="1304"/>
    </row>
    <row r="1670" spans="1:20">
      <c r="A1670" s="1303"/>
      <c r="B1670" s="1322" t="s">
        <v>5558</v>
      </c>
      <c r="C1670" s="1323" t="s">
        <v>5559</v>
      </c>
      <c r="D1670" s="1324">
        <f t="shared" si="180"/>
        <v>39455</v>
      </c>
      <c r="E1670" s="1323">
        <f t="shared" si="182"/>
        <v>6.8880999999999997</v>
      </c>
      <c r="F1670" s="1323">
        <f t="shared" si="181"/>
        <v>7.1253056958622887</v>
      </c>
      <c r="G1670" s="1323">
        <f t="shared" si="183"/>
        <v>2008</v>
      </c>
      <c r="H1670" s="1323">
        <f t="shared" si="184"/>
        <v>1</v>
      </c>
      <c r="I1670" s="1323">
        <f t="shared" si="185"/>
        <v>8</v>
      </c>
      <c r="J1670" s="1323"/>
      <c r="K1670" s="1323"/>
      <c r="L1670" s="1323"/>
      <c r="M1670" s="1323"/>
      <c r="N1670" s="1323"/>
      <c r="O1670" s="1323"/>
      <c r="P1670" s="1323"/>
      <c r="Q1670" s="1323"/>
      <c r="R1670" s="1304"/>
      <c r="S1670" s="1304"/>
      <c r="T1670" s="1304"/>
    </row>
    <row r="1671" spans="1:20">
      <c r="A1671" s="1303"/>
      <c r="B1671" s="1322" t="s">
        <v>5560</v>
      </c>
      <c r="C1671" s="1323" t="s">
        <v>5561</v>
      </c>
      <c r="D1671" s="1324">
        <f t="shared" si="180"/>
        <v>39454</v>
      </c>
      <c r="E1671" s="1323">
        <f t="shared" si="182"/>
        <v>6.9097999999999997</v>
      </c>
      <c r="F1671" s="1323">
        <f t="shared" si="181"/>
        <v>7.1239394608971844</v>
      </c>
      <c r="G1671" s="1323">
        <f t="shared" si="183"/>
        <v>2008</v>
      </c>
      <c r="H1671" s="1323">
        <f t="shared" si="184"/>
        <v>1</v>
      </c>
      <c r="I1671" s="1323">
        <f t="shared" si="185"/>
        <v>7</v>
      </c>
      <c r="J1671" s="1323"/>
      <c r="K1671" s="1323"/>
      <c r="L1671" s="1323"/>
      <c r="M1671" s="1323"/>
      <c r="N1671" s="1323"/>
      <c r="O1671" s="1323"/>
      <c r="P1671" s="1323"/>
      <c r="Q1671" s="1323"/>
      <c r="R1671" s="1304"/>
      <c r="S1671" s="1304"/>
      <c r="T1671" s="1304"/>
    </row>
    <row r="1672" spans="1:20">
      <c r="A1672" s="1303"/>
      <c r="B1672" s="1322" t="s">
        <v>5562</v>
      </c>
      <c r="C1672" s="1323" t="s">
        <v>5563</v>
      </c>
      <c r="D1672" s="1324">
        <f t="shared" si="180"/>
        <v>39451</v>
      </c>
      <c r="E1672" s="1323">
        <f t="shared" si="182"/>
        <v>6.8452000000000002</v>
      </c>
      <c r="F1672" s="1323">
        <f t="shared" si="181"/>
        <v>7.1225734878995048</v>
      </c>
      <c r="G1672" s="1323">
        <f t="shared" si="183"/>
        <v>2008</v>
      </c>
      <c r="H1672" s="1323">
        <f t="shared" si="184"/>
        <v>1</v>
      </c>
      <c r="I1672" s="1323">
        <f t="shared" si="185"/>
        <v>4</v>
      </c>
      <c r="J1672" s="1323"/>
      <c r="K1672" s="1323"/>
      <c r="L1672" s="1323"/>
      <c r="M1672" s="1323"/>
      <c r="N1672" s="1323"/>
      <c r="O1672" s="1323"/>
      <c r="P1672" s="1323"/>
      <c r="Q1672" s="1323"/>
      <c r="R1672" s="1304"/>
      <c r="S1672" s="1304"/>
      <c r="T1672" s="1304"/>
    </row>
    <row r="1673" spans="1:20">
      <c r="A1673" s="1303"/>
      <c r="B1673" s="1322" t="s">
        <v>5564</v>
      </c>
      <c r="C1673" s="1323" t="s">
        <v>5565</v>
      </c>
      <c r="D1673" s="1324">
        <f t="shared" ref="D1673:D1736" si="186">DATE(G1673,H1673,I1673)</f>
        <v>39450</v>
      </c>
      <c r="E1673" s="1323">
        <f t="shared" si="182"/>
        <v>6.8418999999999999</v>
      </c>
      <c r="F1673" s="1323">
        <f t="shared" ref="F1673:F1736" si="187">F1674*(1+$F$7/365)</f>
        <v>7.121207776819019</v>
      </c>
      <c r="G1673" s="1323">
        <f t="shared" si="183"/>
        <v>2008</v>
      </c>
      <c r="H1673" s="1323">
        <f t="shared" si="184"/>
        <v>1</v>
      </c>
      <c r="I1673" s="1323">
        <f t="shared" si="185"/>
        <v>3</v>
      </c>
      <c r="J1673" s="1323"/>
      <c r="K1673" s="1323"/>
      <c r="L1673" s="1323"/>
      <c r="M1673" s="1323"/>
      <c r="N1673" s="1323"/>
      <c r="O1673" s="1323"/>
      <c r="P1673" s="1323"/>
      <c r="Q1673" s="1323"/>
      <c r="R1673" s="1304"/>
      <c r="S1673" s="1304"/>
      <c r="T1673" s="1304"/>
    </row>
    <row r="1674" spans="1:20">
      <c r="A1674" s="1303"/>
      <c r="B1674" s="1322" t="s">
        <v>5566</v>
      </c>
      <c r="C1674" s="1323" t="s">
        <v>5567</v>
      </c>
      <c r="D1674" s="1324">
        <f t="shared" si="186"/>
        <v>39449</v>
      </c>
      <c r="E1674" s="1323">
        <f t="shared" si="182"/>
        <v>6.8627000000000002</v>
      </c>
      <c r="F1674" s="1323">
        <f t="shared" si="187"/>
        <v>7.1198423276055056</v>
      </c>
      <c r="G1674" s="1323">
        <f t="shared" si="183"/>
        <v>2008</v>
      </c>
      <c r="H1674" s="1323">
        <f t="shared" si="184"/>
        <v>1</v>
      </c>
      <c r="I1674" s="1323">
        <f t="shared" si="185"/>
        <v>2</v>
      </c>
      <c r="J1674" s="1323"/>
      <c r="K1674" s="1323"/>
      <c r="L1674" s="1323"/>
      <c r="M1674" s="1323"/>
      <c r="N1674" s="1323"/>
      <c r="O1674" s="1323"/>
      <c r="P1674" s="1323"/>
      <c r="Q1674" s="1323"/>
      <c r="R1674" s="1304"/>
      <c r="S1674" s="1304"/>
      <c r="T1674" s="1304"/>
    </row>
    <row r="1675" spans="1:20">
      <c r="A1675" s="1303"/>
      <c r="B1675" s="1322" t="s">
        <v>5568</v>
      </c>
      <c r="C1675" s="1323" t="s">
        <v>5569</v>
      </c>
      <c r="D1675" s="1324">
        <f t="shared" si="186"/>
        <v>39447</v>
      </c>
      <c r="E1675" s="1323">
        <f t="shared" si="182"/>
        <v>6.7862</v>
      </c>
      <c r="F1675" s="1323">
        <f t="shared" si="187"/>
        <v>7.1184771402087534</v>
      </c>
      <c r="G1675" s="1323">
        <f t="shared" si="183"/>
        <v>2007</v>
      </c>
      <c r="H1675" s="1323">
        <f t="shared" si="184"/>
        <v>12</v>
      </c>
      <c r="I1675" s="1323">
        <f t="shared" si="185"/>
        <v>31</v>
      </c>
      <c r="J1675" s="1323"/>
      <c r="K1675" s="1323"/>
      <c r="L1675" s="1323"/>
      <c r="M1675" s="1323"/>
      <c r="N1675" s="1323"/>
      <c r="O1675" s="1323"/>
      <c r="P1675" s="1323"/>
      <c r="Q1675" s="1323"/>
      <c r="R1675" s="1304"/>
      <c r="S1675" s="1304"/>
      <c r="T1675" s="1304"/>
    </row>
    <row r="1676" spans="1:20">
      <c r="A1676" s="1303"/>
      <c r="B1676" s="1322" t="s">
        <v>5570</v>
      </c>
      <c r="C1676" s="1323" t="s">
        <v>5571</v>
      </c>
      <c r="D1676" s="1324">
        <f t="shared" si="186"/>
        <v>39444</v>
      </c>
      <c r="E1676" s="1323">
        <f t="shared" si="182"/>
        <v>6.8429000000000002</v>
      </c>
      <c r="F1676" s="1323">
        <f t="shared" si="187"/>
        <v>7.1171122145785599</v>
      </c>
      <c r="G1676" s="1323">
        <f t="shared" si="183"/>
        <v>2007</v>
      </c>
      <c r="H1676" s="1323">
        <f t="shared" si="184"/>
        <v>12</v>
      </c>
      <c r="I1676" s="1323">
        <f t="shared" si="185"/>
        <v>28</v>
      </c>
      <c r="J1676" s="1323"/>
      <c r="K1676" s="1323"/>
      <c r="L1676" s="1323"/>
      <c r="M1676" s="1323"/>
      <c r="N1676" s="1323"/>
      <c r="O1676" s="1323"/>
      <c r="P1676" s="1323"/>
      <c r="Q1676" s="1323"/>
      <c r="R1676" s="1304"/>
      <c r="S1676" s="1304"/>
      <c r="T1676" s="1304"/>
    </row>
    <row r="1677" spans="1:20">
      <c r="A1677" s="1303"/>
      <c r="B1677" s="1322" t="s">
        <v>5572</v>
      </c>
      <c r="C1677" s="1323" t="s">
        <v>5573</v>
      </c>
      <c r="D1677" s="1324">
        <f t="shared" si="186"/>
        <v>39443</v>
      </c>
      <c r="E1677" s="1323">
        <f t="shared" si="182"/>
        <v>6.9264999999999999</v>
      </c>
      <c r="F1677" s="1323">
        <f t="shared" si="187"/>
        <v>7.1157475506647332</v>
      </c>
      <c r="G1677" s="1323">
        <f t="shared" si="183"/>
        <v>2007</v>
      </c>
      <c r="H1677" s="1323">
        <f t="shared" si="184"/>
        <v>12</v>
      </c>
      <c r="I1677" s="1323">
        <f t="shared" si="185"/>
        <v>27</v>
      </c>
      <c r="J1677" s="1323"/>
      <c r="K1677" s="1323"/>
      <c r="L1677" s="1323"/>
      <c r="M1677" s="1323"/>
      <c r="N1677" s="1323"/>
      <c r="O1677" s="1323"/>
      <c r="P1677" s="1323"/>
      <c r="Q1677" s="1323"/>
      <c r="R1677" s="1304"/>
      <c r="S1677" s="1304"/>
      <c r="T1677" s="1304"/>
    </row>
    <row r="1678" spans="1:20">
      <c r="A1678" s="1303"/>
      <c r="B1678" s="1322" t="s">
        <v>5574</v>
      </c>
      <c r="C1678" s="1323" t="s">
        <v>5575</v>
      </c>
      <c r="D1678" s="1324">
        <f t="shared" si="186"/>
        <v>39440</v>
      </c>
      <c r="E1678" s="1323">
        <f t="shared" si="182"/>
        <v>6.9985999999999997</v>
      </c>
      <c r="F1678" s="1323">
        <f t="shared" si="187"/>
        <v>7.1143831484170912</v>
      </c>
      <c r="G1678" s="1323">
        <f t="shared" si="183"/>
        <v>2007</v>
      </c>
      <c r="H1678" s="1323">
        <f t="shared" si="184"/>
        <v>12</v>
      </c>
      <c r="I1678" s="1323">
        <f t="shared" si="185"/>
        <v>24</v>
      </c>
      <c r="J1678" s="1323"/>
      <c r="K1678" s="1323"/>
      <c r="L1678" s="1323"/>
      <c r="M1678" s="1323"/>
      <c r="N1678" s="1323"/>
      <c r="O1678" s="1323"/>
      <c r="P1678" s="1323"/>
      <c r="Q1678" s="1323"/>
      <c r="R1678" s="1304"/>
      <c r="S1678" s="1304"/>
      <c r="T1678" s="1304"/>
    </row>
    <row r="1679" spans="1:20">
      <c r="A1679" s="1303"/>
      <c r="B1679" s="1322" t="s">
        <v>5576</v>
      </c>
      <c r="C1679" s="1323" t="s">
        <v>5577</v>
      </c>
      <c r="D1679" s="1324">
        <f t="shared" si="186"/>
        <v>39437</v>
      </c>
      <c r="E1679" s="1323">
        <f t="shared" si="182"/>
        <v>7.0220000000000002</v>
      </c>
      <c r="F1679" s="1323">
        <f t="shared" si="187"/>
        <v>7.1130190077854607</v>
      </c>
      <c r="G1679" s="1323">
        <f t="shared" si="183"/>
        <v>2007</v>
      </c>
      <c r="H1679" s="1323">
        <f t="shared" si="184"/>
        <v>12</v>
      </c>
      <c r="I1679" s="1323">
        <f t="shared" si="185"/>
        <v>21</v>
      </c>
      <c r="J1679" s="1323"/>
      <c r="K1679" s="1323"/>
      <c r="L1679" s="1323"/>
      <c r="M1679" s="1323"/>
      <c r="N1679" s="1323"/>
      <c r="O1679" s="1323"/>
      <c r="P1679" s="1323"/>
      <c r="Q1679" s="1323"/>
      <c r="R1679" s="1304"/>
      <c r="S1679" s="1304"/>
      <c r="T1679" s="1304"/>
    </row>
    <row r="1680" spans="1:20">
      <c r="A1680" s="1303"/>
      <c r="B1680" s="1322" t="s">
        <v>5578</v>
      </c>
      <c r="C1680" s="1323" t="s">
        <v>3774</v>
      </c>
      <c r="D1680" s="1324">
        <f t="shared" si="186"/>
        <v>39436</v>
      </c>
      <c r="E1680" s="1323">
        <f t="shared" si="182"/>
        <v>6.9695</v>
      </c>
      <c r="F1680" s="1323">
        <f t="shared" si="187"/>
        <v>7.1116551287196783</v>
      </c>
      <c r="G1680" s="1323">
        <f t="shared" si="183"/>
        <v>2007</v>
      </c>
      <c r="H1680" s="1323">
        <f t="shared" si="184"/>
        <v>12</v>
      </c>
      <c r="I1680" s="1323">
        <f t="shared" si="185"/>
        <v>20</v>
      </c>
      <c r="J1680" s="1323"/>
      <c r="K1680" s="1323"/>
      <c r="L1680" s="1323"/>
      <c r="M1680" s="1323"/>
      <c r="N1680" s="1323"/>
      <c r="O1680" s="1323"/>
      <c r="P1680" s="1323"/>
      <c r="Q1680" s="1323"/>
      <c r="R1680" s="1304"/>
      <c r="S1680" s="1304"/>
      <c r="T1680" s="1304"/>
    </row>
    <row r="1681" spans="1:20">
      <c r="A1681" s="1303"/>
      <c r="B1681" s="1322" t="s">
        <v>5579</v>
      </c>
      <c r="C1681" s="1323" t="s">
        <v>5580</v>
      </c>
      <c r="D1681" s="1324">
        <f t="shared" si="186"/>
        <v>39435</v>
      </c>
      <c r="E1681" s="1323">
        <f t="shared" si="182"/>
        <v>6.9005000000000001</v>
      </c>
      <c r="F1681" s="1323">
        <f t="shared" si="187"/>
        <v>7.1102915111695904</v>
      </c>
      <c r="G1681" s="1323">
        <f t="shared" si="183"/>
        <v>2007</v>
      </c>
      <c r="H1681" s="1323">
        <f t="shared" si="184"/>
        <v>12</v>
      </c>
      <c r="I1681" s="1323">
        <f t="shared" si="185"/>
        <v>19</v>
      </c>
      <c r="J1681" s="1323"/>
      <c r="K1681" s="1323"/>
      <c r="L1681" s="1323"/>
      <c r="M1681" s="1323"/>
      <c r="N1681" s="1323"/>
      <c r="O1681" s="1323"/>
      <c r="P1681" s="1323"/>
      <c r="Q1681" s="1323"/>
      <c r="R1681" s="1304"/>
      <c r="S1681" s="1304"/>
      <c r="T1681" s="1304"/>
    </row>
    <row r="1682" spans="1:20">
      <c r="A1682" s="1303"/>
      <c r="B1682" s="1322" t="s">
        <v>5581</v>
      </c>
      <c r="C1682" s="1323" t="s">
        <v>5582</v>
      </c>
      <c r="D1682" s="1324">
        <f t="shared" si="186"/>
        <v>39434</v>
      </c>
      <c r="E1682" s="1323">
        <f t="shared" si="182"/>
        <v>6.9025999999999996</v>
      </c>
      <c r="F1682" s="1323">
        <f t="shared" si="187"/>
        <v>7.1089281550850529</v>
      </c>
      <c r="G1682" s="1323">
        <f t="shared" si="183"/>
        <v>2007</v>
      </c>
      <c r="H1682" s="1323">
        <f t="shared" si="184"/>
        <v>12</v>
      </c>
      <c r="I1682" s="1323">
        <f t="shared" si="185"/>
        <v>18</v>
      </c>
      <c r="J1682" s="1323"/>
      <c r="K1682" s="1323"/>
      <c r="L1682" s="1323"/>
      <c r="M1682" s="1323"/>
      <c r="N1682" s="1323"/>
      <c r="O1682" s="1323"/>
      <c r="P1682" s="1323"/>
      <c r="Q1682" s="1323"/>
      <c r="R1682" s="1304"/>
      <c r="S1682" s="1304"/>
      <c r="T1682" s="1304"/>
    </row>
    <row r="1683" spans="1:20">
      <c r="A1683" s="1303"/>
      <c r="B1683" s="1322" t="s">
        <v>5583</v>
      </c>
      <c r="C1683" s="1323" t="s">
        <v>4127</v>
      </c>
      <c r="D1683" s="1324">
        <f t="shared" si="186"/>
        <v>39430</v>
      </c>
      <c r="E1683" s="1323">
        <f t="shared" si="182"/>
        <v>6.7725</v>
      </c>
      <c r="F1683" s="1323">
        <f t="shared" si="187"/>
        <v>7.1075650604159319</v>
      </c>
      <c r="G1683" s="1323">
        <f t="shared" si="183"/>
        <v>2007</v>
      </c>
      <c r="H1683" s="1323">
        <f t="shared" si="184"/>
        <v>12</v>
      </c>
      <c r="I1683" s="1323">
        <f t="shared" si="185"/>
        <v>14</v>
      </c>
      <c r="J1683" s="1323"/>
      <c r="K1683" s="1323"/>
      <c r="L1683" s="1323"/>
      <c r="M1683" s="1323"/>
      <c r="N1683" s="1323"/>
      <c r="O1683" s="1323"/>
      <c r="P1683" s="1323"/>
      <c r="Q1683" s="1323"/>
      <c r="R1683" s="1304"/>
      <c r="S1683" s="1304"/>
      <c r="T1683" s="1304"/>
    </row>
    <row r="1684" spans="1:20">
      <c r="A1684" s="1303"/>
      <c r="B1684" s="1322" t="s">
        <v>5584</v>
      </c>
      <c r="C1684" s="1323" t="s">
        <v>5585</v>
      </c>
      <c r="D1684" s="1324">
        <f t="shared" si="186"/>
        <v>39429</v>
      </c>
      <c r="E1684" s="1323">
        <f t="shared" si="182"/>
        <v>6.7477999999999998</v>
      </c>
      <c r="F1684" s="1323">
        <f t="shared" si="187"/>
        <v>7.1062022271121021</v>
      </c>
      <c r="G1684" s="1323">
        <f t="shared" si="183"/>
        <v>2007</v>
      </c>
      <c r="H1684" s="1323">
        <f t="shared" si="184"/>
        <v>12</v>
      </c>
      <c r="I1684" s="1323">
        <f t="shared" si="185"/>
        <v>13</v>
      </c>
      <c r="J1684" s="1323"/>
      <c r="K1684" s="1323"/>
      <c r="L1684" s="1323"/>
      <c r="M1684" s="1323"/>
      <c r="N1684" s="1323"/>
      <c r="O1684" s="1323"/>
      <c r="P1684" s="1323"/>
      <c r="Q1684" s="1323"/>
      <c r="R1684" s="1304"/>
      <c r="S1684" s="1304"/>
      <c r="T1684" s="1304"/>
    </row>
    <row r="1685" spans="1:20">
      <c r="A1685" s="1303"/>
      <c r="B1685" s="1322" t="s">
        <v>5586</v>
      </c>
      <c r="C1685" s="1323" t="s">
        <v>5587</v>
      </c>
      <c r="D1685" s="1324">
        <f t="shared" si="186"/>
        <v>39428</v>
      </c>
      <c r="E1685" s="1323">
        <f t="shared" si="182"/>
        <v>6.7556000000000003</v>
      </c>
      <c r="F1685" s="1323">
        <f t="shared" si="187"/>
        <v>7.1048396551234481</v>
      </c>
      <c r="G1685" s="1323">
        <f t="shared" si="183"/>
        <v>2007</v>
      </c>
      <c r="H1685" s="1323">
        <f t="shared" si="184"/>
        <v>12</v>
      </c>
      <c r="I1685" s="1323">
        <f t="shared" si="185"/>
        <v>12</v>
      </c>
      <c r="J1685" s="1323"/>
      <c r="K1685" s="1323"/>
      <c r="L1685" s="1323"/>
      <c r="M1685" s="1323"/>
      <c r="N1685" s="1323"/>
      <c r="O1685" s="1323"/>
      <c r="P1685" s="1323"/>
      <c r="Q1685" s="1323"/>
      <c r="R1685" s="1304"/>
      <c r="S1685" s="1304"/>
      <c r="T1685" s="1304"/>
    </row>
    <row r="1686" spans="1:20">
      <c r="A1686" s="1303"/>
      <c r="B1686" s="1322" t="s">
        <v>5588</v>
      </c>
      <c r="C1686" s="1323" t="s">
        <v>5589</v>
      </c>
      <c r="D1686" s="1324">
        <f t="shared" si="186"/>
        <v>39427</v>
      </c>
      <c r="E1686" s="1323">
        <f t="shared" ref="E1686:E1749" si="188">VALUE(C1687)</f>
        <v>6.6638999999999999</v>
      </c>
      <c r="F1686" s="1323">
        <f t="shared" si="187"/>
        <v>7.103477344399864</v>
      </c>
      <c r="G1686" s="1323">
        <f t="shared" ref="G1686:G1749" si="189">YEAR(B1687)</f>
        <v>2007</v>
      </c>
      <c r="H1686" s="1323">
        <f t="shared" ref="H1686:H1749" si="190">MONTH(B1687)</f>
        <v>12</v>
      </c>
      <c r="I1686" s="1323">
        <f t="shared" ref="I1686:I1749" si="191">DAY(B1687)</f>
        <v>11</v>
      </c>
      <c r="J1686" s="1323"/>
      <c r="K1686" s="1323"/>
      <c r="L1686" s="1323"/>
      <c r="M1686" s="1323"/>
      <c r="N1686" s="1323"/>
      <c r="O1686" s="1323"/>
      <c r="P1686" s="1323"/>
      <c r="Q1686" s="1323"/>
      <c r="R1686" s="1304"/>
      <c r="S1686" s="1304"/>
      <c r="T1686" s="1304"/>
    </row>
    <row r="1687" spans="1:20">
      <c r="A1687" s="1303"/>
      <c r="B1687" s="1322" t="s">
        <v>5590</v>
      </c>
      <c r="C1687" s="1323" t="s">
        <v>5591</v>
      </c>
      <c r="D1687" s="1324">
        <f t="shared" si="186"/>
        <v>39426</v>
      </c>
      <c r="E1687" s="1323">
        <f t="shared" si="188"/>
        <v>6.7103999999999999</v>
      </c>
      <c r="F1687" s="1323">
        <f t="shared" si="187"/>
        <v>7.102115294891254</v>
      </c>
      <c r="G1687" s="1323">
        <f t="shared" si="189"/>
        <v>2007</v>
      </c>
      <c r="H1687" s="1323">
        <f t="shared" si="190"/>
        <v>12</v>
      </c>
      <c r="I1687" s="1323">
        <f t="shared" si="191"/>
        <v>10</v>
      </c>
      <c r="J1687" s="1323"/>
      <c r="K1687" s="1323"/>
      <c r="L1687" s="1323"/>
      <c r="M1687" s="1323"/>
      <c r="N1687" s="1323"/>
      <c r="O1687" s="1323"/>
      <c r="P1687" s="1323"/>
      <c r="Q1687" s="1323"/>
      <c r="R1687" s="1304"/>
      <c r="S1687" s="1304"/>
      <c r="T1687" s="1304"/>
    </row>
    <row r="1688" spans="1:20">
      <c r="A1688" s="1303"/>
      <c r="B1688" s="1322" t="s">
        <v>5592</v>
      </c>
      <c r="C1688" s="1323" t="s">
        <v>5593</v>
      </c>
      <c r="D1688" s="1324">
        <f t="shared" si="186"/>
        <v>39423</v>
      </c>
      <c r="E1688" s="1323">
        <f t="shared" si="188"/>
        <v>6.7252999999999998</v>
      </c>
      <c r="F1688" s="1323">
        <f t="shared" si="187"/>
        <v>7.100753506547532</v>
      </c>
      <c r="G1688" s="1323">
        <f t="shared" si="189"/>
        <v>2007</v>
      </c>
      <c r="H1688" s="1323">
        <f t="shared" si="190"/>
        <v>12</v>
      </c>
      <c r="I1688" s="1323">
        <f t="shared" si="191"/>
        <v>7</v>
      </c>
      <c r="J1688" s="1323"/>
      <c r="K1688" s="1323"/>
      <c r="L1688" s="1323"/>
      <c r="M1688" s="1323"/>
      <c r="N1688" s="1323"/>
      <c r="O1688" s="1323"/>
      <c r="P1688" s="1323"/>
      <c r="Q1688" s="1323"/>
      <c r="R1688" s="1304"/>
      <c r="S1688" s="1304"/>
      <c r="T1688" s="1304"/>
    </row>
    <row r="1689" spans="1:20">
      <c r="A1689" s="1303"/>
      <c r="B1689" s="1322" t="s">
        <v>5594</v>
      </c>
      <c r="C1689" s="1323" t="s">
        <v>5595</v>
      </c>
      <c r="D1689" s="1324">
        <f t="shared" si="186"/>
        <v>39422</v>
      </c>
      <c r="E1689" s="1323">
        <f t="shared" si="188"/>
        <v>6.7914000000000003</v>
      </c>
      <c r="F1689" s="1323">
        <f t="shared" si="187"/>
        <v>7.0993919793186215</v>
      </c>
      <c r="G1689" s="1323">
        <f t="shared" si="189"/>
        <v>2007</v>
      </c>
      <c r="H1689" s="1323">
        <f t="shared" si="190"/>
        <v>12</v>
      </c>
      <c r="I1689" s="1323">
        <f t="shared" si="191"/>
        <v>6</v>
      </c>
      <c r="J1689" s="1323"/>
      <c r="K1689" s="1323"/>
      <c r="L1689" s="1323"/>
      <c r="M1689" s="1323"/>
      <c r="N1689" s="1323"/>
      <c r="O1689" s="1323"/>
      <c r="P1689" s="1323"/>
      <c r="Q1689" s="1323"/>
      <c r="R1689" s="1304"/>
      <c r="S1689" s="1304"/>
      <c r="T1689" s="1304"/>
    </row>
    <row r="1690" spans="1:20">
      <c r="A1690" s="1303"/>
      <c r="B1690" s="1322" t="s">
        <v>5596</v>
      </c>
      <c r="C1690" s="1323" t="s">
        <v>5597</v>
      </c>
      <c r="D1690" s="1324">
        <f t="shared" si="186"/>
        <v>39421</v>
      </c>
      <c r="E1690" s="1323">
        <f t="shared" si="188"/>
        <v>6.8049999999999997</v>
      </c>
      <c r="F1690" s="1323">
        <f t="shared" si="187"/>
        <v>7.0980307131544551</v>
      </c>
      <c r="G1690" s="1323">
        <f t="shared" si="189"/>
        <v>2007</v>
      </c>
      <c r="H1690" s="1323">
        <f t="shared" si="190"/>
        <v>12</v>
      </c>
      <c r="I1690" s="1323">
        <f t="shared" si="191"/>
        <v>5</v>
      </c>
      <c r="J1690" s="1323"/>
      <c r="K1690" s="1323"/>
      <c r="L1690" s="1323"/>
      <c r="M1690" s="1323"/>
      <c r="N1690" s="1323"/>
      <c r="O1690" s="1323"/>
      <c r="P1690" s="1323"/>
      <c r="Q1690" s="1323"/>
      <c r="R1690" s="1304"/>
      <c r="S1690" s="1304"/>
      <c r="T1690" s="1304"/>
    </row>
    <row r="1691" spans="1:20">
      <c r="A1691" s="1303"/>
      <c r="B1691" s="1322" t="s">
        <v>5598</v>
      </c>
      <c r="C1691" s="1323" t="s">
        <v>5599</v>
      </c>
      <c r="D1691" s="1324">
        <f t="shared" si="186"/>
        <v>39420</v>
      </c>
      <c r="E1691" s="1323">
        <f t="shared" si="188"/>
        <v>6.7888999999999999</v>
      </c>
      <c r="F1691" s="1323">
        <f t="shared" si="187"/>
        <v>7.0966697080049741</v>
      </c>
      <c r="G1691" s="1323">
        <f t="shared" si="189"/>
        <v>2007</v>
      </c>
      <c r="H1691" s="1323">
        <f t="shared" si="190"/>
        <v>12</v>
      </c>
      <c r="I1691" s="1323">
        <f t="shared" si="191"/>
        <v>4</v>
      </c>
      <c r="J1691" s="1323"/>
      <c r="K1691" s="1323"/>
      <c r="L1691" s="1323"/>
      <c r="M1691" s="1323"/>
      <c r="N1691" s="1323"/>
      <c r="O1691" s="1323"/>
      <c r="P1691" s="1323"/>
      <c r="Q1691" s="1323"/>
      <c r="R1691" s="1304"/>
      <c r="S1691" s="1304"/>
      <c r="T1691" s="1304"/>
    </row>
    <row r="1692" spans="1:20">
      <c r="A1692" s="1303"/>
      <c r="B1692" s="1322" t="s">
        <v>5600</v>
      </c>
      <c r="C1692" s="1323" t="s">
        <v>5601</v>
      </c>
      <c r="D1692" s="1324">
        <f t="shared" si="186"/>
        <v>39419</v>
      </c>
      <c r="E1692" s="1323">
        <f t="shared" si="188"/>
        <v>6.8041999999999998</v>
      </c>
      <c r="F1692" s="1323">
        <f t="shared" si="187"/>
        <v>7.0953089638201314</v>
      </c>
      <c r="G1692" s="1323">
        <f t="shared" si="189"/>
        <v>2007</v>
      </c>
      <c r="H1692" s="1323">
        <f t="shared" si="190"/>
        <v>12</v>
      </c>
      <c r="I1692" s="1323">
        <f t="shared" si="191"/>
        <v>3</v>
      </c>
      <c r="J1692" s="1323"/>
      <c r="K1692" s="1323"/>
      <c r="L1692" s="1323"/>
      <c r="M1692" s="1323"/>
      <c r="N1692" s="1323"/>
      <c r="O1692" s="1323"/>
      <c r="P1692" s="1323"/>
      <c r="Q1692" s="1323"/>
      <c r="R1692" s="1304"/>
      <c r="S1692" s="1304"/>
      <c r="T1692" s="1304"/>
    </row>
    <row r="1693" spans="1:20">
      <c r="A1693" s="1303"/>
      <c r="B1693" s="1322" t="s">
        <v>5602</v>
      </c>
      <c r="C1693" s="1323" t="s">
        <v>5603</v>
      </c>
      <c r="D1693" s="1324">
        <f t="shared" si="186"/>
        <v>39416</v>
      </c>
      <c r="E1693" s="1323">
        <f t="shared" si="188"/>
        <v>6.8118999999999996</v>
      </c>
      <c r="F1693" s="1323">
        <f t="shared" si="187"/>
        <v>7.0939484805498889</v>
      </c>
      <c r="G1693" s="1323">
        <f t="shared" si="189"/>
        <v>2007</v>
      </c>
      <c r="H1693" s="1323">
        <f t="shared" si="190"/>
        <v>11</v>
      </c>
      <c r="I1693" s="1323">
        <f t="shared" si="191"/>
        <v>30</v>
      </c>
      <c r="J1693" s="1323"/>
      <c r="K1693" s="1323"/>
      <c r="L1693" s="1323"/>
      <c r="M1693" s="1323"/>
      <c r="N1693" s="1323"/>
      <c r="O1693" s="1323"/>
      <c r="P1693" s="1323"/>
      <c r="Q1693" s="1323"/>
      <c r="R1693" s="1304"/>
      <c r="S1693" s="1304"/>
      <c r="T1693" s="1304"/>
    </row>
    <row r="1694" spans="1:20">
      <c r="A1694" s="1303"/>
      <c r="B1694" s="1322" t="s">
        <v>5604</v>
      </c>
      <c r="C1694" s="1323" t="s">
        <v>5605</v>
      </c>
      <c r="D1694" s="1324">
        <f t="shared" si="186"/>
        <v>39415</v>
      </c>
      <c r="E1694" s="1323">
        <f t="shared" si="188"/>
        <v>6.9153000000000002</v>
      </c>
      <c r="F1694" s="1323">
        <f t="shared" si="187"/>
        <v>7.0925882581442172</v>
      </c>
      <c r="G1694" s="1323">
        <f t="shared" si="189"/>
        <v>2007</v>
      </c>
      <c r="H1694" s="1323">
        <f t="shared" si="190"/>
        <v>11</v>
      </c>
      <c r="I1694" s="1323">
        <f t="shared" si="191"/>
        <v>29</v>
      </c>
      <c r="J1694" s="1323"/>
      <c r="K1694" s="1323"/>
      <c r="L1694" s="1323"/>
      <c r="M1694" s="1323"/>
      <c r="N1694" s="1323"/>
      <c r="O1694" s="1323"/>
      <c r="P1694" s="1323"/>
      <c r="Q1694" s="1323"/>
      <c r="R1694" s="1304"/>
      <c r="S1694" s="1304"/>
      <c r="T1694" s="1304"/>
    </row>
    <row r="1695" spans="1:20">
      <c r="A1695" s="1303"/>
      <c r="B1695" s="1322" t="s">
        <v>5606</v>
      </c>
      <c r="C1695" s="1323" t="s">
        <v>5607</v>
      </c>
      <c r="D1695" s="1324">
        <f t="shared" si="186"/>
        <v>39414</v>
      </c>
      <c r="E1695" s="1323">
        <f t="shared" si="188"/>
        <v>7.0221</v>
      </c>
      <c r="F1695" s="1323">
        <f t="shared" si="187"/>
        <v>7.0912282965530968</v>
      </c>
      <c r="G1695" s="1323">
        <f t="shared" si="189"/>
        <v>2007</v>
      </c>
      <c r="H1695" s="1323">
        <f t="shared" si="190"/>
        <v>11</v>
      </c>
      <c r="I1695" s="1323">
        <f t="shared" si="191"/>
        <v>28</v>
      </c>
      <c r="J1695" s="1323"/>
      <c r="K1695" s="1323"/>
      <c r="L1695" s="1323"/>
      <c r="M1695" s="1323"/>
      <c r="N1695" s="1323"/>
      <c r="O1695" s="1323"/>
      <c r="P1695" s="1323"/>
      <c r="Q1695" s="1323"/>
      <c r="R1695" s="1304"/>
      <c r="S1695" s="1304"/>
      <c r="T1695" s="1304"/>
    </row>
    <row r="1696" spans="1:20">
      <c r="A1696" s="1303"/>
      <c r="B1696" s="1322" t="s">
        <v>5608</v>
      </c>
      <c r="C1696" s="1323" t="s">
        <v>5609</v>
      </c>
      <c r="D1696" s="1324">
        <f t="shared" si="186"/>
        <v>39413</v>
      </c>
      <c r="E1696" s="1323">
        <f t="shared" si="188"/>
        <v>7.0126999999999997</v>
      </c>
      <c r="F1696" s="1323">
        <f t="shared" si="187"/>
        <v>7.0898685957265188</v>
      </c>
      <c r="G1696" s="1323">
        <f t="shared" si="189"/>
        <v>2007</v>
      </c>
      <c r="H1696" s="1323">
        <f t="shared" si="190"/>
        <v>11</v>
      </c>
      <c r="I1696" s="1323">
        <f t="shared" si="191"/>
        <v>27</v>
      </c>
      <c r="J1696" s="1323"/>
      <c r="K1696" s="1323"/>
      <c r="L1696" s="1323"/>
      <c r="M1696" s="1323"/>
      <c r="N1696" s="1323"/>
      <c r="O1696" s="1323"/>
      <c r="P1696" s="1323"/>
      <c r="Q1696" s="1323"/>
      <c r="R1696" s="1304"/>
      <c r="S1696" s="1304"/>
      <c r="T1696" s="1304"/>
    </row>
    <row r="1697" spans="1:20">
      <c r="A1697" s="1303"/>
      <c r="B1697" s="1322" t="s">
        <v>5610</v>
      </c>
      <c r="C1697" s="1323" t="s">
        <v>5611</v>
      </c>
      <c r="D1697" s="1324">
        <f t="shared" si="186"/>
        <v>39412</v>
      </c>
      <c r="E1697" s="1323">
        <f t="shared" si="188"/>
        <v>6.7983000000000002</v>
      </c>
      <c r="F1697" s="1323">
        <f t="shared" si="187"/>
        <v>7.0885091556144832</v>
      </c>
      <c r="G1697" s="1323">
        <f t="shared" si="189"/>
        <v>2007</v>
      </c>
      <c r="H1697" s="1323">
        <f t="shared" si="190"/>
        <v>11</v>
      </c>
      <c r="I1697" s="1323">
        <f t="shared" si="191"/>
        <v>26</v>
      </c>
      <c r="J1697" s="1323"/>
      <c r="K1697" s="1323"/>
      <c r="L1697" s="1323"/>
      <c r="M1697" s="1323"/>
      <c r="N1697" s="1323"/>
      <c r="O1697" s="1323"/>
      <c r="P1697" s="1323"/>
      <c r="Q1697" s="1323"/>
      <c r="R1697" s="1304"/>
      <c r="S1697" s="1304"/>
      <c r="T1697" s="1304"/>
    </row>
    <row r="1698" spans="1:20">
      <c r="A1698" s="1303"/>
      <c r="B1698" s="1322" t="s">
        <v>5612</v>
      </c>
      <c r="C1698" s="1323" t="s">
        <v>5613</v>
      </c>
      <c r="D1698" s="1324">
        <f t="shared" si="186"/>
        <v>39409</v>
      </c>
      <c r="E1698" s="1323">
        <f t="shared" si="188"/>
        <v>6.8167999999999997</v>
      </c>
      <c r="F1698" s="1323">
        <f t="shared" si="187"/>
        <v>7.0871499761669989</v>
      </c>
      <c r="G1698" s="1323">
        <f t="shared" si="189"/>
        <v>2007</v>
      </c>
      <c r="H1698" s="1323">
        <f t="shared" si="190"/>
        <v>11</v>
      </c>
      <c r="I1698" s="1323">
        <f t="shared" si="191"/>
        <v>23</v>
      </c>
      <c r="J1698" s="1323"/>
      <c r="K1698" s="1323"/>
      <c r="L1698" s="1323"/>
      <c r="M1698" s="1323"/>
      <c r="N1698" s="1323"/>
      <c r="O1698" s="1323"/>
      <c r="P1698" s="1323"/>
      <c r="Q1698" s="1323"/>
      <c r="R1698" s="1304"/>
      <c r="S1698" s="1304"/>
      <c r="T1698" s="1304"/>
    </row>
    <row r="1699" spans="1:20">
      <c r="A1699" s="1303"/>
      <c r="B1699" s="1322" t="s">
        <v>5614</v>
      </c>
      <c r="C1699" s="1323" t="s">
        <v>5615</v>
      </c>
      <c r="D1699" s="1324">
        <f t="shared" si="186"/>
        <v>39408</v>
      </c>
      <c r="E1699" s="1323">
        <f t="shared" si="188"/>
        <v>6.7763</v>
      </c>
      <c r="F1699" s="1323">
        <f t="shared" si="187"/>
        <v>7.0857910573340854</v>
      </c>
      <c r="G1699" s="1323">
        <f t="shared" si="189"/>
        <v>2007</v>
      </c>
      <c r="H1699" s="1323">
        <f t="shared" si="190"/>
        <v>11</v>
      </c>
      <c r="I1699" s="1323">
        <f t="shared" si="191"/>
        <v>22</v>
      </c>
      <c r="J1699" s="1323"/>
      <c r="K1699" s="1323"/>
      <c r="L1699" s="1323"/>
      <c r="M1699" s="1323"/>
      <c r="N1699" s="1323"/>
      <c r="O1699" s="1323"/>
      <c r="P1699" s="1323"/>
      <c r="Q1699" s="1323"/>
      <c r="R1699" s="1304"/>
      <c r="S1699" s="1304"/>
      <c r="T1699" s="1304"/>
    </row>
    <row r="1700" spans="1:20">
      <c r="A1700" s="1303"/>
      <c r="B1700" s="1322" t="s">
        <v>5616</v>
      </c>
      <c r="C1700" s="1323" t="s">
        <v>5617</v>
      </c>
      <c r="D1700" s="1324">
        <f t="shared" si="186"/>
        <v>39407</v>
      </c>
      <c r="E1700" s="1323">
        <f t="shared" si="188"/>
        <v>6.7531999999999996</v>
      </c>
      <c r="F1700" s="1323">
        <f t="shared" si="187"/>
        <v>7.0844323990657712</v>
      </c>
      <c r="G1700" s="1323">
        <f t="shared" si="189"/>
        <v>2007</v>
      </c>
      <c r="H1700" s="1323">
        <f t="shared" si="190"/>
        <v>11</v>
      </c>
      <c r="I1700" s="1323">
        <f t="shared" si="191"/>
        <v>21</v>
      </c>
      <c r="J1700" s="1323"/>
      <c r="K1700" s="1323"/>
      <c r="L1700" s="1323"/>
      <c r="M1700" s="1323"/>
      <c r="N1700" s="1323"/>
      <c r="O1700" s="1323"/>
      <c r="P1700" s="1323"/>
      <c r="Q1700" s="1323"/>
      <c r="R1700" s="1304"/>
      <c r="S1700" s="1304"/>
      <c r="T1700" s="1304"/>
    </row>
    <row r="1701" spans="1:20">
      <c r="A1701" s="1303"/>
      <c r="B1701" s="1322" t="s">
        <v>5618</v>
      </c>
      <c r="C1701" s="1323" t="s">
        <v>5619</v>
      </c>
      <c r="D1701" s="1324">
        <f t="shared" si="186"/>
        <v>39406</v>
      </c>
      <c r="E1701" s="1323">
        <f t="shared" si="188"/>
        <v>6.7088999999999999</v>
      </c>
      <c r="F1701" s="1323">
        <f t="shared" si="187"/>
        <v>7.0830740013120943</v>
      </c>
      <c r="G1701" s="1323">
        <f t="shared" si="189"/>
        <v>2007</v>
      </c>
      <c r="H1701" s="1323">
        <f t="shared" si="190"/>
        <v>11</v>
      </c>
      <c r="I1701" s="1323">
        <f t="shared" si="191"/>
        <v>20</v>
      </c>
      <c r="J1701" s="1323"/>
      <c r="K1701" s="1323"/>
      <c r="L1701" s="1323"/>
      <c r="M1701" s="1323"/>
      <c r="N1701" s="1323"/>
      <c r="O1701" s="1323"/>
      <c r="P1701" s="1323"/>
      <c r="Q1701" s="1323"/>
      <c r="R1701" s="1304"/>
      <c r="S1701" s="1304"/>
      <c r="T1701" s="1304"/>
    </row>
    <row r="1702" spans="1:20">
      <c r="A1702" s="1303"/>
      <c r="B1702" s="1322" t="s">
        <v>5620</v>
      </c>
      <c r="C1702" s="1323" t="s">
        <v>5621</v>
      </c>
      <c r="D1702" s="1324">
        <f t="shared" si="186"/>
        <v>39405</v>
      </c>
      <c r="E1702" s="1323">
        <f t="shared" si="188"/>
        <v>6.7024999999999997</v>
      </c>
      <c r="F1702" s="1323">
        <f t="shared" si="187"/>
        <v>7.0817158640231037</v>
      </c>
      <c r="G1702" s="1323">
        <f t="shared" si="189"/>
        <v>2007</v>
      </c>
      <c r="H1702" s="1323">
        <f t="shared" si="190"/>
        <v>11</v>
      </c>
      <c r="I1702" s="1323">
        <f t="shared" si="191"/>
        <v>19</v>
      </c>
      <c r="J1702" s="1323"/>
      <c r="K1702" s="1323"/>
      <c r="L1702" s="1323"/>
      <c r="M1702" s="1323"/>
      <c r="N1702" s="1323"/>
      <c r="O1702" s="1323"/>
      <c r="P1702" s="1323"/>
      <c r="Q1702" s="1323"/>
      <c r="R1702" s="1304"/>
      <c r="S1702" s="1304"/>
      <c r="T1702" s="1304"/>
    </row>
    <row r="1703" spans="1:20">
      <c r="A1703" s="1303"/>
      <c r="B1703" s="1322" t="s">
        <v>5622</v>
      </c>
      <c r="C1703" s="1323" t="s">
        <v>5623</v>
      </c>
      <c r="D1703" s="1324">
        <f t="shared" si="186"/>
        <v>39402</v>
      </c>
      <c r="E1703" s="1323">
        <f t="shared" si="188"/>
        <v>6.7297000000000002</v>
      </c>
      <c r="F1703" s="1323">
        <f t="shared" si="187"/>
        <v>7.0803579871488553</v>
      </c>
      <c r="G1703" s="1323">
        <f t="shared" si="189"/>
        <v>2007</v>
      </c>
      <c r="H1703" s="1323">
        <f t="shared" si="190"/>
        <v>11</v>
      </c>
      <c r="I1703" s="1323">
        <f t="shared" si="191"/>
        <v>16</v>
      </c>
      <c r="J1703" s="1323"/>
      <c r="K1703" s="1323"/>
      <c r="L1703" s="1323"/>
      <c r="M1703" s="1323"/>
      <c r="N1703" s="1323"/>
      <c r="O1703" s="1323"/>
      <c r="P1703" s="1323"/>
      <c r="Q1703" s="1323"/>
      <c r="R1703" s="1304"/>
      <c r="S1703" s="1304"/>
      <c r="T1703" s="1304"/>
    </row>
    <row r="1704" spans="1:20">
      <c r="A1704" s="1303"/>
      <c r="B1704" s="1322" t="s">
        <v>5624</v>
      </c>
      <c r="C1704" s="1323" t="s">
        <v>5625</v>
      </c>
      <c r="D1704" s="1324">
        <f t="shared" si="186"/>
        <v>39401</v>
      </c>
      <c r="E1704" s="1323">
        <f t="shared" si="188"/>
        <v>6.6135999999999999</v>
      </c>
      <c r="F1704" s="1323">
        <f t="shared" si="187"/>
        <v>7.0790003706394176</v>
      </c>
      <c r="G1704" s="1323">
        <f t="shared" si="189"/>
        <v>2007</v>
      </c>
      <c r="H1704" s="1323">
        <f t="shared" si="190"/>
        <v>11</v>
      </c>
      <c r="I1704" s="1323">
        <f t="shared" si="191"/>
        <v>15</v>
      </c>
      <c r="J1704" s="1323"/>
      <c r="K1704" s="1323"/>
      <c r="L1704" s="1323"/>
      <c r="M1704" s="1323"/>
      <c r="N1704" s="1323"/>
      <c r="O1704" s="1323"/>
      <c r="P1704" s="1323"/>
      <c r="Q1704" s="1323"/>
      <c r="R1704" s="1304"/>
      <c r="S1704" s="1304"/>
      <c r="T1704" s="1304"/>
    </row>
    <row r="1705" spans="1:20">
      <c r="A1705" s="1303"/>
      <c r="B1705" s="1322" t="s">
        <v>5626</v>
      </c>
      <c r="C1705" s="1323" t="s">
        <v>5627</v>
      </c>
      <c r="D1705" s="1324">
        <f t="shared" si="186"/>
        <v>39400</v>
      </c>
      <c r="E1705" s="1323">
        <f t="shared" si="188"/>
        <v>6.6627000000000001</v>
      </c>
      <c r="F1705" s="1323">
        <f t="shared" si="187"/>
        <v>7.0776430144448659</v>
      </c>
      <c r="G1705" s="1323">
        <f t="shared" si="189"/>
        <v>2007</v>
      </c>
      <c r="H1705" s="1323">
        <f t="shared" si="190"/>
        <v>11</v>
      </c>
      <c r="I1705" s="1323">
        <f t="shared" si="191"/>
        <v>14</v>
      </c>
      <c r="J1705" s="1323"/>
      <c r="K1705" s="1323"/>
      <c r="L1705" s="1323"/>
      <c r="M1705" s="1323"/>
      <c r="N1705" s="1323"/>
      <c r="O1705" s="1323"/>
      <c r="P1705" s="1323"/>
      <c r="Q1705" s="1323"/>
      <c r="R1705" s="1304"/>
      <c r="S1705" s="1304"/>
      <c r="T1705" s="1304"/>
    </row>
    <row r="1706" spans="1:20">
      <c r="A1706" s="1303"/>
      <c r="B1706" s="1322" t="s">
        <v>5628</v>
      </c>
      <c r="C1706" s="1323" t="s">
        <v>5629</v>
      </c>
      <c r="D1706" s="1324">
        <f t="shared" si="186"/>
        <v>39399</v>
      </c>
      <c r="E1706" s="1323">
        <f t="shared" si="188"/>
        <v>6.7827999999999999</v>
      </c>
      <c r="F1706" s="1323">
        <f t="shared" si="187"/>
        <v>7.0762859185152873</v>
      </c>
      <c r="G1706" s="1323">
        <f t="shared" si="189"/>
        <v>2007</v>
      </c>
      <c r="H1706" s="1323">
        <f t="shared" si="190"/>
        <v>11</v>
      </c>
      <c r="I1706" s="1323">
        <f t="shared" si="191"/>
        <v>13</v>
      </c>
      <c r="J1706" s="1323"/>
      <c r="K1706" s="1323"/>
      <c r="L1706" s="1323"/>
      <c r="M1706" s="1323"/>
      <c r="N1706" s="1323"/>
      <c r="O1706" s="1323"/>
      <c r="P1706" s="1323"/>
      <c r="Q1706" s="1323"/>
      <c r="R1706" s="1304"/>
      <c r="S1706" s="1304"/>
      <c r="T1706" s="1304"/>
    </row>
    <row r="1707" spans="1:20">
      <c r="A1707" s="1303"/>
      <c r="B1707" s="1322" t="s">
        <v>5630</v>
      </c>
      <c r="C1707" s="1323" t="s">
        <v>5631</v>
      </c>
      <c r="D1707" s="1324">
        <f t="shared" si="186"/>
        <v>39398</v>
      </c>
      <c r="E1707" s="1323">
        <f t="shared" si="188"/>
        <v>6.6787000000000001</v>
      </c>
      <c r="F1707" s="1323">
        <f t="shared" si="187"/>
        <v>7.0749290828007769</v>
      </c>
      <c r="G1707" s="1323">
        <f t="shared" si="189"/>
        <v>2007</v>
      </c>
      <c r="H1707" s="1323">
        <f t="shared" si="190"/>
        <v>11</v>
      </c>
      <c r="I1707" s="1323">
        <f t="shared" si="191"/>
        <v>12</v>
      </c>
      <c r="J1707" s="1323"/>
      <c r="K1707" s="1323"/>
      <c r="L1707" s="1323"/>
      <c r="M1707" s="1323"/>
      <c r="N1707" s="1323"/>
      <c r="O1707" s="1323"/>
      <c r="P1707" s="1323"/>
      <c r="Q1707" s="1323"/>
      <c r="R1707" s="1304"/>
      <c r="S1707" s="1304"/>
      <c r="T1707" s="1304"/>
    </row>
    <row r="1708" spans="1:20">
      <c r="A1708" s="1303"/>
      <c r="B1708" s="1322" t="s">
        <v>5632</v>
      </c>
      <c r="C1708" s="1323" t="s">
        <v>5633</v>
      </c>
      <c r="D1708" s="1324">
        <f t="shared" si="186"/>
        <v>39395</v>
      </c>
      <c r="E1708" s="1323">
        <f t="shared" si="188"/>
        <v>6.4638999999999998</v>
      </c>
      <c r="F1708" s="1323">
        <f t="shared" si="187"/>
        <v>7.0735725072514404</v>
      </c>
      <c r="G1708" s="1323">
        <f t="shared" si="189"/>
        <v>2007</v>
      </c>
      <c r="H1708" s="1323">
        <f t="shared" si="190"/>
        <v>11</v>
      </c>
      <c r="I1708" s="1323">
        <f t="shared" si="191"/>
        <v>9</v>
      </c>
      <c r="J1708" s="1323"/>
      <c r="K1708" s="1323"/>
      <c r="L1708" s="1323"/>
      <c r="M1708" s="1323"/>
      <c r="N1708" s="1323"/>
      <c r="O1708" s="1323"/>
      <c r="P1708" s="1323"/>
      <c r="Q1708" s="1323"/>
      <c r="R1708" s="1304"/>
      <c r="S1708" s="1304"/>
      <c r="T1708" s="1304"/>
    </row>
    <row r="1709" spans="1:20">
      <c r="A1709" s="1303"/>
      <c r="B1709" s="1322" t="s">
        <v>5634</v>
      </c>
      <c r="C1709" s="1323" t="s">
        <v>5635</v>
      </c>
      <c r="D1709" s="1324">
        <f t="shared" si="186"/>
        <v>39394</v>
      </c>
      <c r="E1709" s="1323">
        <f t="shared" si="188"/>
        <v>6.5265000000000004</v>
      </c>
      <c r="F1709" s="1323">
        <f t="shared" si="187"/>
        <v>7.0722161918173931</v>
      </c>
      <c r="G1709" s="1323">
        <f t="shared" si="189"/>
        <v>2007</v>
      </c>
      <c r="H1709" s="1323">
        <f t="shared" si="190"/>
        <v>11</v>
      </c>
      <c r="I1709" s="1323">
        <f t="shared" si="191"/>
        <v>8</v>
      </c>
      <c r="J1709" s="1323"/>
      <c r="K1709" s="1323"/>
      <c r="L1709" s="1323"/>
      <c r="M1709" s="1323"/>
      <c r="N1709" s="1323"/>
      <c r="O1709" s="1323"/>
      <c r="P1709" s="1323"/>
      <c r="Q1709" s="1323"/>
      <c r="R1709" s="1304"/>
      <c r="S1709" s="1304"/>
      <c r="T1709" s="1304"/>
    </row>
    <row r="1710" spans="1:20">
      <c r="A1710" s="1303"/>
      <c r="B1710" s="1322" t="s">
        <v>5636</v>
      </c>
      <c r="C1710" s="1323" t="s">
        <v>5637</v>
      </c>
      <c r="D1710" s="1324">
        <f t="shared" si="186"/>
        <v>39393</v>
      </c>
      <c r="E1710" s="1323">
        <f t="shared" si="188"/>
        <v>6.4739000000000004</v>
      </c>
      <c r="F1710" s="1323">
        <f t="shared" si="187"/>
        <v>7.0708601364487587</v>
      </c>
      <c r="G1710" s="1323">
        <f t="shared" si="189"/>
        <v>2007</v>
      </c>
      <c r="H1710" s="1323">
        <f t="shared" si="190"/>
        <v>11</v>
      </c>
      <c r="I1710" s="1323">
        <f t="shared" si="191"/>
        <v>7</v>
      </c>
      <c r="J1710" s="1323"/>
      <c r="K1710" s="1323"/>
      <c r="L1710" s="1323"/>
      <c r="M1710" s="1323"/>
      <c r="N1710" s="1323"/>
      <c r="O1710" s="1323"/>
      <c r="P1710" s="1323"/>
      <c r="Q1710" s="1323"/>
      <c r="R1710" s="1304"/>
      <c r="S1710" s="1304"/>
      <c r="T1710" s="1304"/>
    </row>
    <row r="1711" spans="1:20">
      <c r="A1711" s="1303"/>
      <c r="B1711" s="1322" t="s">
        <v>5638</v>
      </c>
      <c r="C1711" s="1323" t="s">
        <v>5639</v>
      </c>
      <c r="D1711" s="1324">
        <f t="shared" si="186"/>
        <v>39392</v>
      </c>
      <c r="E1711" s="1323">
        <f t="shared" si="188"/>
        <v>6.5252999999999997</v>
      </c>
      <c r="F1711" s="1323">
        <f t="shared" si="187"/>
        <v>7.0695043410956719</v>
      </c>
      <c r="G1711" s="1323">
        <f t="shared" si="189"/>
        <v>2007</v>
      </c>
      <c r="H1711" s="1323">
        <f t="shared" si="190"/>
        <v>11</v>
      </c>
      <c r="I1711" s="1323">
        <f t="shared" si="191"/>
        <v>6</v>
      </c>
      <c r="J1711" s="1323"/>
      <c r="K1711" s="1323"/>
      <c r="L1711" s="1323"/>
      <c r="M1711" s="1323"/>
      <c r="N1711" s="1323"/>
      <c r="O1711" s="1323"/>
      <c r="P1711" s="1323"/>
      <c r="Q1711" s="1323"/>
      <c r="R1711" s="1304"/>
      <c r="S1711" s="1304"/>
      <c r="T1711" s="1304"/>
    </row>
    <row r="1712" spans="1:20">
      <c r="A1712" s="1303"/>
      <c r="B1712" s="1322" t="s">
        <v>5640</v>
      </c>
      <c r="C1712" s="1323" t="s">
        <v>5641</v>
      </c>
      <c r="D1712" s="1324">
        <f t="shared" si="186"/>
        <v>39391</v>
      </c>
      <c r="E1712" s="1323">
        <f t="shared" si="188"/>
        <v>6.5941000000000001</v>
      </c>
      <c r="F1712" s="1323">
        <f t="shared" si="187"/>
        <v>7.068148805708276</v>
      </c>
      <c r="G1712" s="1323">
        <f t="shared" si="189"/>
        <v>2007</v>
      </c>
      <c r="H1712" s="1323">
        <f t="shared" si="190"/>
        <v>11</v>
      </c>
      <c r="I1712" s="1323">
        <f t="shared" si="191"/>
        <v>5</v>
      </c>
      <c r="J1712" s="1323"/>
      <c r="K1712" s="1323"/>
      <c r="L1712" s="1323"/>
      <c r="M1712" s="1323"/>
      <c r="N1712" s="1323"/>
      <c r="O1712" s="1323"/>
      <c r="P1712" s="1323"/>
      <c r="Q1712" s="1323"/>
      <c r="R1712" s="1304"/>
      <c r="S1712" s="1304"/>
      <c r="T1712" s="1304"/>
    </row>
    <row r="1713" spans="1:20">
      <c r="A1713" s="1303"/>
      <c r="B1713" s="1322" t="s">
        <v>5642</v>
      </c>
      <c r="C1713" s="1323" t="s">
        <v>5643</v>
      </c>
      <c r="D1713" s="1324">
        <f t="shared" si="186"/>
        <v>39388</v>
      </c>
      <c r="E1713" s="1323">
        <f t="shared" si="188"/>
        <v>6.6032000000000002</v>
      </c>
      <c r="F1713" s="1323">
        <f t="shared" si="187"/>
        <v>7.0667935302367235</v>
      </c>
      <c r="G1713" s="1323">
        <f t="shared" si="189"/>
        <v>2007</v>
      </c>
      <c r="H1713" s="1323">
        <f t="shared" si="190"/>
        <v>11</v>
      </c>
      <c r="I1713" s="1323">
        <f t="shared" si="191"/>
        <v>2</v>
      </c>
      <c r="J1713" s="1323"/>
      <c r="K1713" s="1323"/>
      <c r="L1713" s="1323"/>
      <c r="M1713" s="1323"/>
      <c r="N1713" s="1323"/>
      <c r="O1713" s="1323"/>
      <c r="P1713" s="1323"/>
      <c r="Q1713" s="1323"/>
      <c r="R1713" s="1304"/>
      <c r="S1713" s="1304"/>
      <c r="T1713" s="1304"/>
    </row>
    <row r="1714" spans="1:20">
      <c r="A1714" s="1303"/>
      <c r="B1714" s="1322" t="s">
        <v>5644</v>
      </c>
      <c r="C1714" s="1323" t="s">
        <v>5645</v>
      </c>
      <c r="D1714" s="1324">
        <f t="shared" si="186"/>
        <v>39387</v>
      </c>
      <c r="E1714" s="1323">
        <f t="shared" si="188"/>
        <v>6.5278</v>
      </c>
      <c r="F1714" s="1323">
        <f t="shared" si="187"/>
        <v>7.065438514631178</v>
      </c>
      <c r="G1714" s="1323">
        <f t="shared" si="189"/>
        <v>2007</v>
      </c>
      <c r="H1714" s="1323">
        <f t="shared" si="190"/>
        <v>11</v>
      </c>
      <c r="I1714" s="1323">
        <f t="shared" si="191"/>
        <v>1</v>
      </c>
      <c r="J1714" s="1323"/>
      <c r="K1714" s="1323"/>
      <c r="L1714" s="1323"/>
      <c r="M1714" s="1323"/>
      <c r="N1714" s="1323"/>
      <c r="O1714" s="1323"/>
      <c r="P1714" s="1323"/>
      <c r="Q1714" s="1323"/>
      <c r="R1714" s="1304"/>
      <c r="S1714" s="1304"/>
      <c r="T1714" s="1304"/>
    </row>
    <row r="1715" spans="1:20">
      <c r="A1715" s="1303"/>
      <c r="B1715" s="1322" t="s">
        <v>5646</v>
      </c>
      <c r="C1715" s="1323" t="s">
        <v>5647</v>
      </c>
      <c r="D1715" s="1324">
        <f t="shared" si="186"/>
        <v>39386</v>
      </c>
      <c r="E1715" s="1323">
        <f t="shared" si="188"/>
        <v>6.5353000000000003</v>
      </c>
      <c r="F1715" s="1323">
        <f t="shared" si="187"/>
        <v>7.0640837588418108</v>
      </c>
      <c r="G1715" s="1323">
        <f t="shared" si="189"/>
        <v>2007</v>
      </c>
      <c r="H1715" s="1323">
        <f t="shared" si="190"/>
        <v>10</v>
      </c>
      <c r="I1715" s="1323">
        <f t="shared" si="191"/>
        <v>31</v>
      </c>
      <c r="J1715" s="1323"/>
      <c r="K1715" s="1323"/>
      <c r="L1715" s="1323"/>
      <c r="M1715" s="1323"/>
      <c r="N1715" s="1323"/>
      <c r="O1715" s="1323"/>
      <c r="P1715" s="1323"/>
      <c r="Q1715" s="1323"/>
      <c r="R1715" s="1304"/>
      <c r="S1715" s="1304"/>
      <c r="T1715" s="1304"/>
    </row>
    <row r="1716" spans="1:20">
      <c r="A1716" s="1303"/>
      <c r="B1716" s="1322" t="s">
        <v>5648</v>
      </c>
      <c r="C1716" s="1323" t="s">
        <v>5649</v>
      </c>
      <c r="D1716" s="1324">
        <f t="shared" si="186"/>
        <v>39385</v>
      </c>
      <c r="E1716" s="1323">
        <f t="shared" si="188"/>
        <v>6.5728</v>
      </c>
      <c r="F1716" s="1323">
        <f t="shared" si="187"/>
        <v>7.0627292628188041</v>
      </c>
      <c r="G1716" s="1323">
        <f t="shared" si="189"/>
        <v>2007</v>
      </c>
      <c r="H1716" s="1323">
        <f t="shared" si="190"/>
        <v>10</v>
      </c>
      <c r="I1716" s="1323">
        <f t="shared" si="191"/>
        <v>30</v>
      </c>
      <c r="J1716" s="1323"/>
      <c r="K1716" s="1323"/>
      <c r="L1716" s="1323"/>
      <c r="M1716" s="1323"/>
      <c r="N1716" s="1323"/>
      <c r="O1716" s="1323"/>
      <c r="P1716" s="1323"/>
      <c r="Q1716" s="1323"/>
      <c r="R1716" s="1304"/>
      <c r="S1716" s="1304"/>
      <c r="T1716" s="1304"/>
    </row>
    <row r="1717" spans="1:20">
      <c r="A1717" s="1303"/>
      <c r="B1717" s="1322" t="s">
        <v>5650</v>
      </c>
      <c r="C1717" s="1323" t="s">
        <v>5651</v>
      </c>
      <c r="D1717" s="1324">
        <f t="shared" si="186"/>
        <v>39384</v>
      </c>
      <c r="E1717" s="1323">
        <f t="shared" si="188"/>
        <v>6.4691000000000001</v>
      </c>
      <c r="F1717" s="1323">
        <f t="shared" si="187"/>
        <v>7.0613750265123496</v>
      </c>
      <c r="G1717" s="1323">
        <f t="shared" si="189"/>
        <v>2007</v>
      </c>
      <c r="H1717" s="1323">
        <f t="shared" si="190"/>
        <v>10</v>
      </c>
      <c r="I1717" s="1323">
        <f t="shared" si="191"/>
        <v>29</v>
      </c>
      <c r="J1717" s="1323"/>
      <c r="K1717" s="1323"/>
      <c r="L1717" s="1323"/>
      <c r="M1717" s="1323"/>
      <c r="N1717" s="1323"/>
      <c r="O1717" s="1323"/>
      <c r="P1717" s="1323"/>
      <c r="Q1717" s="1323"/>
      <c r="R1717" s="1304"/>
      <c r="S1717" s="1304"/>
      <c r="T1717" s="1304"/>
    </row>
    <row r="1718" spans="1:20">
      <c r="A1718" s="1303"/>
      <c r="B1718" s="1322" t="s">
        <v>5652</v>
      </c>
      <c r="C1718" s="1323" t="s">
        <v>5653</v>
      </c>
      <c r="D1718" s="1324">
        <f t="shared" si="186"/>
        <v>39381</v>
      </c>
      <c r="E1718" s="1323">
        <f t="shared" si="188"/>
        <v>6.5373999999999999</v>
      </c>
      <c r="F1718" s="1323">
        <f t="shared" si="187"/>
        <v>7.0600210498726481</v>
      </c>
      <c r="G1718" s="1323">
        <f t="shared" si="189"/>
        <v>2007</v>
      </c>
      <c r="H1718" s="1323">
        <f t="shared" si="190"/>
        <v>10</v>
      </c>
      <c r="I1718" s="1323">
        <f t="shared" si="191"/>
        <v>26</v>
      </c>
      <c r="J1718" s="1323"/>
      <c r="K1718" s="1323"/>
      <c r="L1718" s="1323"/>
      <c r="M1718" s="1323"/>
      <c r="N1718" s="1323"/>
      <c r="O1718" s="1323"/>
      <c r="P1718" s="1323"/>
      <c r="Q1718" s="1323"/>
      <c r="R1718" s="1304"/>
      <c r="S1718" s="1304"/>
      <c r="T1718" s="1304"/>
    </row>
    <row r="1719" spans="1:20">
      <c r="A1719" s="1303"/>
      <c r="B1719" s="1322" t="s">
        <v>5654</v>
      </c>
      <c r="C1719" s="1323" t="s">
        <v>5655</v>
      </c>
      <c r="D1719" s="1324">
        <f t="shared" si="186"/>
        <v>39380</v>
      </c>
      <c r="E1719" s="1323">
        <f t="shared" si="188"/>
        <v>6.6200999999999999</v>
      </c>
      <c r="F1719" s="1323">
        <f t="shared" si="187"/>
        <v>7.0586673328499092</v>
      </c>
      <c r="G1719" s="1323">
        <f t="shared" si="189"/>
        <v>2007</v>
      </c>
      <c r="H1719" s="1323">
        <f t="shared" si="190"/>
        <v>10</v>
      </c>
      <c r="I1719" s="1323">
        <f t="shared" si="191"/>
        <v>25</v>
      </c>
      <c r="J1719" s="1323"/>
      <c r="K1719" s="1323"/>
      <c r="L1719" s="1323"/>
      <c r="M1719" s="1323"/>
      <c r="N1719" s="1323"/>
      <c r="O1719" s="1323"/>
      <c r="P1719" s="1323"/>
      <c r="Q1719" s="1323"/>
      <c r="R1719" s="1304"/>
      <c r="S1719" s="1304"/>
      <c r="T1719" s="1304"/>
    </row>
    <row r="1720" spans="1:20">
      <c r="A1720" s="1303"/>
      <c r="B1720" s="1322" t="s">
        <v>5656</v>
      </c>
      <c r="C1720" s="1323" t="s">
        <v>5657</v>
      </c>
      <c r="D1720" s="1324">
        <f t="shared" si="186"/>
        <v>39379</v>
      </c>
      <c r="E1720" s="1323">
        <f t="shared" si="188"/>
        <v>6.6965000000000003</v>
      </c>
      <c r="F1720" s="1323">
        <f t="shared" si="187"/>
        <v>7.0573138753943541</v>
      </c>
      <c r="G1720" s="1323">
        <f t="shared" si="189"/>
        <v>2007</v>
      </c>
      <c r="H1720" s="1323">
        <f t="shared" si="190"/>
        <v>10</v>
      </c>
      <c r="I1720" s="1323">
        <f t="shared" si="191"/>
        <v>24</v>
      </c>
      <c r="J1720" s="1323"/>
      <c r="K1720" s="1323"/>
      <c r="L1720" s="1323"/>
      <c r="M1720" s="1323"/>
      <c r="N1720" s="1323"/>
      <c r="O1720" s="1323"/>
      <c r="P1720" s="1323"/>
      <c r="Q1720" s="1323"/>
      <c r="R1720" s="1304"/>
      <c r="S1720" s="1304"/>
      <c r="T1720" s="1304"/>
    </row>
    <row r="1721" spans="1:20">
      <c r="A1721" s="1303"/>
      <c r="B1721" s="1322" t="s">
        <v>5658</v>
      </c>
      <c r="C1721" s="1323" t="s">
        <v>5659</v>
      </c>
      <c r="D1721" s="1324">
        <f t="shared" si="186"/>
        <v>39378</v>
      </c>
      <c r="E1721" s="1323">
        <f t="shared" si="188"/>
        <v>6.8174999999999999</v>
      </c>
      <c r="F1721" s="1323">
        <f t="shared" si="187"/>
        <v>7.0559606774562118</v>
      </c>
      <c r="G1721" s="1323">
        <f t="shared" si="189"/>
        <v>2007</v>
      </c>
      <c r="H1721" s="1323">
        <f t="shared" si="190"/>
        <v>10</v>
      </c>
      <c r="I1721" s="1323">
        <f t="shared" si="191"/>
        <v>23</v>
      </c>
      <c r="J1721" s="1323"/>
      <c r="K1721" s="1323"/>
      <c r="L1721" s="1323"/>
      <c r="M1721" s="1323"/>
      <c r="N1721" s="1323"/>
      <c r="O1721" s="1323"/>
      <c r="P1721" s="1323"/>
      <c r="Q1721" s="1323"/>
      <c r="R1721" s="1304"/>
      <c r="S1721" s="1304"/>
      <c r="T1721" s="1304"/>
    </row>
    <row r="1722" spans="1:20">
      <c r="A1722" s="1303"/>
      <c r="B1722" s="1322" t="s">
        <v>5660</v>
      </c>
      <c r="C1722" s="1323" t="s">
        <v>4121</v>
      </c>
      <c r="D1722" s="1324">
        <f t="shared" si="186"/>
        <v>39377</v>
      </c>
      <c r="E1722" s="1323">
        <f t="shared" si="188"/>
        <v>6.8590999999999998</v>
      </c>
      <c r="F1722" s="1323">
        <f t="shared" si="187"/>
        <v>7.0546077389857214</v>
      </c>
      <c r="G1722" s="1323">
        <f t="shared" si="189"/>
        <v>2007</v>
      </c>
      <c r="H1722" s="1323">
        <f t="shared" si="190"/>
        <v>10</v>
      </c>
      <c r="I1722" s="1323">
        <f t="shared" si="191"/>
        <v>22</v>
      </c>
      <c r="J1722" s="1323"/>
      <c r="K1722" s="1323"/>
      <c r="L1722" s="1323"/>
      <c r="M1722" s="1323"/>
      <c r="N1722" s="1323"/>
      <c r="O1722" s="1323"/>
      <c r="P1722" s="1323"/>
      <c r="Q1722" s="1323"/>
      <c r="R1722" s="1304"/>
      <c r="S1722" s="1304"/>
      <c r="T1722" s="1304"/>
    </row>
    <row r="1723" spans="1:20">
      <c r="A1723" s="1303"/>
      <c r="B1723" s="1322" t="s">
        <v>5661</v>
      </c>
      <c r="C1723" s="1323" t="s">
        <v>5662</v>
      </c>
      <c r="D1723" s="1324">
        <f t="shared" si="186"/>
        <v>39374</v>
      </c>
      <c r="E1723" s="1323">
        <f t="shared" si="188"/>
        <v>6.8068999999999997</v>
      </c>
      <c r="F1723" s="1323">
        <f t="shared" si="187"/>
        <v>7.0532550599331314</v>
      </c>
      <c r="G1723" s="1323">
        <f t="shared" si="189"/>
        <v>2007</v>
      </c>
      <c r="H1723" s="1323">
        <f t="shared" si="190"/>
        <v>10</v>
      </c>
      <c r="I1723" s="1323">
        <f t="shared" si="191"/>
        <v>19</v>
      </c>
      <c r="J1723" s="1323"/>
      <c r="K1723" s="1323"/>
      <c r="L1723" s="1323"/>
      <c r="M1723" s="1323"/>
      <c r="N1723" s="1323"/>
      <c r="O1723" s="1323"/>
      <c r="P1723" s="1323"/>
      <c r="Q1723" s="1323"/>
      <c r="R1723" s="1304"/>
      <c r="S1723" s="1304"/>
      <c r="T1723" s="1304"/>
    </row>
    <row r="1724" spans="1:20">
      <c r="A1724" s="1303"/>
      <c r="B1724" s="1322" t="s">
        <v>5663</v>
      </c>
      <c r="C1724" s="1323" t="s">
        <v>5664</v>
      </c>
      <c r="D1724" s="1324">
        <f t="shared" si="186"/>
        <v>39373</v>
      </c>
      <c r="E1724" s="1323">
        <f t="shared" si="188"/>
        <v>6.8059000000000003</v>
      </c>
      <c r="F1724" s="1323">
        <f t="shared" si="187"/>
        <v>7.0519026402486995</v>
      </c>
      <c r="G1724" s="1323">
        <f t="shared" si="189"/>
        <v>2007</v>
      </c>
      <c r="H1724" s="1323">
        <f t="shared" si="190"/>
        <v>10</v>
      </c>
      <c r="I1724" s="1323">
        <f t="shared" si="191"/>
        <v>18</v>
      </c>
      <c r="J1724" s="1323"/>
      <c r="K1724" s="1323"/>
      <c r="L1724" s="1323"/>
      <c r="M1724" s="1323"/>
      <c r="N1724" s="1323"/>
      <c r="O1724" s="1323"/>
      <c r="P1724" s="1323"/>
      <c r="Q1724" s="1323"/>
      <c r="R1724" s="1304"/>
      <c r="S1724" s="1304"/>
      <c r="T1724" s="1304"/>
    </row>
    <row r="1725" spans="1:20">
      <c r="A1725" s="1303"/>
      <c r="B1725" s="1322" t="s">
        <v>5665</v>
      </c>
      <c r="C1725" s="1323" t="s">
        <v>5666</v>
      </c>
      <c r="D1725" s="1324">
        <f t="shared" si="186"/>
        <v>39372</v>
      </c>
      <c r="E1725" s="1323">
        <f t="shared" si="188"/>
        <v>6.8235000000000001</v>
      </c>
      <c r="F1725" s="1323">
        <f t="shared" si="187"/>
        <v>7.0505504798826948</v>
      </c>
      <c r="G1725" s="1323">
        <f t="shared" si="189"/>
        <v>2007</v>
      </c>
      <c r="H1725" s="1323">
        <f t="shared" si="190"/>
        <v>10</v>
      </c>
      <c r="I1725" s="1323">
        <f t="shared" si="191"/>
        <v>17</v>
      </c>
      <c r="J1725" s="1323"/>
      <c r="K1725" s="1323"/>
      <c r="L1725" s="1323"/>
      <c r="M1725" s="1323"/>
      <c r="N1725" s="1323"/>
      <c r="O1725" s="1323"/>
      <c r="P1725" s="1323"/>
      <c r="Q1725" s="1323"/>
      <c r="R1725" s="1304"/>
      <c r="S1725" s="1304"/>
      <c r="T1725" s="1304"/>
    </row>
    <row r="1726" spans="1:20">
      <c r="A1726" s="1303"/>
      <c r="B1726" s="1322" t="s">
        <v>5667</v>
      </c>
      <c r="C1726" s="1323" t="s">
        <v>5668</v>
      </c>
      <c r="D1726" s="1324">
        <f t="shared" si="186"/>
        <v>39371</v>
      </c>
      <c r="E1726" s="1323">
        <f t="shared" si="188"/>
        <v>6.8819999999999997</v>
      </c>
      <c r="F1726" s="1323">
        <f t="shared" si="187"/>
        <v>7.0491985787853935</v>
      </c>
      <c r="G1726" s="1323">
        <f t="shared" si="189"/>
        <v>2007</v>
      </c>
      <c r="H1726" s="1323">
        <f t="shared" si="190"/>
        <v>10</v>
      </c>
      <c r="I1726" s="1323">
        <f t="shared" si="191"/>
        <v>16</v>
      </c>
      <c r="J1726" s="1323"/>
      <c r="K1726" s="1323"/>
      <c r="L1726" s="1323"/>
      <c r="M1726" s="1323"/>
      <c r="N1726" s="1323"/>
      <c r="O1726" s="1323"/>
      <c r="P1726" s="1323"/>
      <c r="Q1726" s="1323"/>
      <c r="R1726" s="1304"/>
      <c r="S1726" s="1304"/>
      <c r="T1726" s="1304"/>
    </row>
    <row r="1727" spans="1:20">
      <c r="A1727" s="1303"/>
      <c r="B1727" s="1322" t="s">
        <v>5669</v>
      </c>
      <c r="C1727" s="1323" t="s">
        <v>5670</v>
      </c>
      <c r="D1727" s="1324">
        <f t="shared" si="186"/>
        <v>39370</v>
      </c>
      <c r="E1727" s="1323">
        <f t="shared" si="188"/>
        <v>6.7248999999999999</v>
      </c>
      <c r="F1727" s="1323">
        <f t="shared" si="187"/>
        <v>7.0478469369070824</v>
      </c>
      <c r="G1727" s="1323">
        <f t="shared" si="189"/>
        <v>2007</v>
      </c>
      <c r="H1727" s="1323">
        <f t="shared" si="190"/>
        <v>10</v>
      </c>
      <c r="I1727" s="1323">
        <f t="shared" si="191"/>
        <v>15</v>
      </c>
      <c r="J1727" s="1323"/>
      <c r="K1727" s="1323"/>
      <c r="L1727" s="1323"/>
      <c r="M1727" s="1323"/>
      <c r="N1727" s="1323"/>
      <c r="O1727" s="1323"/>
      <c r="P1727" s="1323"/>
      <c r="Q1727" s="1323"/>
      <c r="R1727" s="1304"/>
      <c r="S1727" s="1304"/>
      <c r="T1727" s="1304"/>
    </row>
    <row r="1728" spans="1:20">
      <c r="A1728" s="1303"/>
      <c r="B1728" s="1322" t="s">
        <v>5671</v>
      </c>
      <c r="C1728" s="1323" t="s">
        <v>5672</v>
      </c>
      <c r="D1728" s="1324">
        <f t="shared" si="186"/>
        <v>39367</v>
      </c>
      <c r="E1728" s="1323">
        <f t="shared" si="188"/>
        <v>6.7535999999999996</v>
      </c>
      <c r="F1728" s="1323">
        <f t="shared" si="187"/>
        <v>7.0464955541980583</v>
      </c>
      <c r="G1728" s="1323">
        <f t="shared" si="189"/>
        <v>2007</v>
      </c>
      <c r="H1728" s="1323">
        <f t="shared" si="190"/>
        <v>10</v>
      </c>
      <c r="I1728" s="1323">
        <f t="shared" si="191"/>
        <v>12</v>
      </c>
      <c r="J1728" s="1323"/>
      <c r="K1728" s="1323"/>
      <c r="L1728" s="1323"/>
      <c r="M1728" s="1323"/>
      <c r="N1728" s="1323"/>
      <c r="O1728" s="1323"/>
      <c r="P1728" s="1323"/>
      <c r="Q1728" s="1323"/>
      <c r="R1728" s="1304"/>
      <c r="S1728" s="1304"/>
      <c r="T1728" s="1304"/>
    </row>
    <row r="1729" spans="1:20">
      <c r="A1729" s="1303"/>
      <c r="B1729" s="1322" t="s">
        <v>5673</v>
      </c>
      <c r="C1729" s="1323" t="s">
        <v>5674</v>
      </c>
      <c r="D1729" s="1324">
        <f t="shared" si="186"/>
        <v>39366</v>
      </c>
      <c r="E1729" s="1323">
        <f t="shared" si="188"/>
        <v>6.8681000000000001</v>
      </c>
      <c r="F1729" s="1323">
        <f t="shared" si="187"/>
        <v>7.0451444306086266</v>
      </c>
      <c r="G1729" s="1323">
        <f t="shared" si="189"/>
        <v>2007</v>
      </c>
      <c r="H1729" s="1323">
        <f t="shared" si="190"/>
        <v>10</v>
      </c>
      <c r="I1729" s="1323">
        <f t="shared" si="191"/>
        <v>11</v>
      </c>
      <c r="J1729" s="1323"/>
      <c r="K1729" s="1323"/>
      <c r="L1729" s="1323"/>
      <c r="M1729" s="1323"/>
      <c r="N1729" s="1323"/>
      <c r="O1729" s="1323"/>
      <c r="P1729" s="1323"/>
      <c r="Q1729" s="1323"/>
      <c r="R1729" s="1304"/>
      <c r="S1729" s="1304"/>
      <c r="T1729" s="1304"/>
    </row>
    <row r="1730" spans="1:20">
      <c r="A1730" s="1303"/>
      <c r="B1730" s="1322" t="s">
        <v>5675</v>
      </c>
      <c r="C1730" s="1323" t="s">
        <v>5676</v>
      </c>
      <c r="D1730" s="1324">
        <f t="shared" si="186"/>
        <v>39365</v>
      </c>
      <c r="E1730" s="1323">
        <f t="shared" si="188"/>
        <v>6.8327999999999998</v>
      </c>
      <c r="F1730" s="1323">
        <f t="shared" si="187"/>
        <v>7.0437935660891027</v>
      </c>
      <c r="G1730" s="1323">
        <f t="shared" si="189"/>
        <v>2007</v>
      </c>
      <c r="H1730" s="1323">
        <f t="shared" si="190"/>
        <v>10</v>
      </c>
      <c r="I1730" s="1323">
        <f t="shared" si="191"/>
        <v>10</v>
      </c>
      <c r="J1730" s="1323"/>
      <c r="K1730" s="1323"/>
      <c r="L1730" s="1323"/>
      <c r="M1730" s="1323"/>
      <c r="N1730" s="1323"/>
      <c r="O1730" s="1323"/>
      <c r="P1730" s="1323"/>
      <c r="Q1730" s="1323"/>
      <c r="R1730" s="1304"/>
      <c r="S1730" s="1304"/>
      <c r="T1730" s="1304"/>
    </row>
    <row r="1731" spans="1:20">
      <c r="A1731" s="1303"/>
      <c r="B1731" s="1322" t="s">
        <v>5677</v>
      </c>
      <c r="C1731" s="1323" t="s">
        <v>5678</v>
      </c>
      <c r="D1731" s="1324">
        <f t="shared" si="186"/>
        <v>39364</v>
      </c>
      <c r="E1731" s="1323">
        <f t="shared" si="188"/>
        <v>6.8678999999999997</v>
      </c>
      <c r="F1731" s="1323">
        <f t="shared" si="187"/>
        <v>7.0424429605898116</v>
      </c>
      <c r="G1731" s="1323">
        <f t="shared" si="189"/>
        <v>2007</v>
      </c>
      <c r="H1731" s="1323">
        <f t="shared" si="190"/>
        <v>10</v>
      </c>
      <c r="I1731" s="1323">
        <f t="shared" si="191"/>
        <v>9</v>
      </c>
      <c r="J1731" s="1323"/>
      <c r="K1731" s="1323"/>
      <c r="L1731" s="1323"/>
      <c r="M1731" s="1323"/>
      <c r="N1731" s="1323"/>
      <c r="O1731" s="1323"/>
      <c r="P1731" s="1323"/>
      <c r="Q1731" s="1323"/>
      <c r="R1731" s="1304"/>
      <c r="S1731" s="1304"/>
      <c r="T1731" s="1304"/>
    </row>
    <row r="1732" spans="1:20">
      <c r="A1732" s="1303"/>
      <c r="B1732" s="1322" t="s">
        <v>5679</v>
      </c>
      <c r="C1732" s="1323" t="s">
        <v>5680</v>
      </c>
      <c r="D1732" s="1324">
        <f t="shared" si="186"/>
        <v>39363</v>
      </c>
      <c r="E1732" s="1323">
        <f t="shared" si="188"/>
        <v>6.8319999999999999</v>
      </c>
      <c r="F1732" s="1323">
        <f t="shared" si="187"/>
        <v>7.0410926140610872</v>
      </c>
      <c r="G1732" s="1323">
        <f t="shared" si="189"/>
        <v>2007</v>
      </c>
      <c r="H1732" s="1323">
        <f t="shared" si="190"/>
        <v>10</v>
      </c>
      <c r="I1732" s="1323">
        <f t="shared" si="191"/>
        <v>8</v>
      </c>
      <c r="J1732" s="1323"/>
      <c r="K1732" s="1323"/>
      <c r="L1732" s="1323"/>
      <c r="M1732" s="1323"/>
      <c r="N1732" s="1323"/>
      <c r="O1732" s="1323"/>
      <c r="P1732" s="1323"/>
      <c r="Q1732" s="1323"/>
      <c r="R1732" s="1304"/>
      <c r="S1732" s="1304"/>
      <c r="T1732" s="1304"/>
    </row>
    <row r="1733" spans="1:20">
      <c r="A1733" s="1303"/>
      <c r="B1733" s="1322" t="s">
        <v>5681</v>
      </c>
      <c r="C1733" s="1323" t="s">
        <v>5682</v>
      </c>
      <c r="D1733" s="1324">
        <f t="shared" si="186"/>
        <v>39360</v>
      </c>
      <c r="E1733" s="1323">
        <f t="shared" si="188"/>
        <v>6.8994</v>
      </c>
      <c r="F1733" s="1323">
        <f t="shared" si="187"/>
        <v>7.0397425264532743</v>
      </c>
      <c r="G1733" s="1323">
        <f t="shared" si="189"/>
        <v>2007</v>
      </c>
      <c r="H1733" s="1323">
        <f t="shared" si="190"/>
        <v>10</v>
      </c>
      <c r="I1733" s="1323">
        <f t="shared" si="191"/>
        <v>5</v>
      </c>
      <c r="J1733" s="1323"/>
      <c r="K1733" s="1323"/>
      <c r="L1733" s="1323"/>
      <c r="M1733" s="1323"/>
      <c r="N1733" s="1323"/>
      <c r="O1733" s="1323"/>
      <c r="P1733" s="1323"/>
      <c r="Q1733" s="1323"/>
      <c r="R1733" s="1304"/>
      <c r="S1733" s="1304"/>
      <c r="T1733" s="1304"/>
    </row>
    <row r="1734" spans="1:20">
      <c r="A1734" s="1303"/>
      <c r="B1734" s="1322" t="s">
        <v>5683</v>
      </c>
      <c r="C1734" s="1323" t="s">
        <v>5684</v>
      </c>
      <c r="D1734" s="1324">
        <f t="shared" si="186"/>
        <v>39359</v>
      </c>
      <c r="E1734" s="1323">
        <f t="shared" si="188"/>
        <v>6.9401999999999999</v>
      </c>
      <c r="F1734" s="1323">
        <f t="shared" si="187"/>
        <v>7.0383926977167253</v>
      </c>
      <c r="G1734" s="1323">
        <f t="shared" si="189"/>
        <v>2007</v>
      </c>
      <c r="H1734" s="1323">
        <f t="shared" si="190"/>
        <v>10</v>
      </c>
      <c r="I1734" s="1323">
        <f t="shared" si="191"/>
        <v>4</v>
      </c>
      <c r="J1734" s="1323"/>
      <c r="K1734" s="1323"/>
      <c r="L1734" s="1323"/>
      <c r="M1734" s="1323"/>
      <c r="N1734" s="1323"/>
      <c r="O1734" s="1323"/>
      <c r="P1734" s="1323"/>
      <c r="Q1734" s="1323"/>
      <c r="R1734" s="1304"/>
      <c r="S1734" s="1304"/>
      <c r="T1734" s="1304"/>
    </row>
    <row r="1735" spans="1:20">
      <c r="A1735" s="1303"/>
      <c r="B1735" s="1322" t="s">
        <v>5685</v>
      </c>
      <c r="C1735" s="1323" t="s">
        <v>5686</v>
      </c>
      <c r="D1735" s="1324">
        <f t="shared" si="186"/>
        <v>39358</v>
      </c>
      <c r="E1735" s="1323">
        <f t="shared" si="188"/>
        <v>6.9066000000000001</v>
      </c>
      <c r="F1735" s="1323">
        <f t="shared" si="187"/>
        <v>7.0370431278018044</v>
      </c>
      <c r="G1735" s="1323">
        <f t="shared" si="189"/>
        <v>2007</v>
      </c>
      <c r="H1735" s="1323">
        <f t="shared" si="190"/>
        <v>10</v>
      </c>
      <c r="I1735" s="1323">
        <f t="shared" si="191"/>
        <v>3</v>
      </c>
      <c r="J1735" s="1323"/>
      <c r="K1735" s="1323"/>
      <c r="L1735" s="1323"/>
      <c r="M1735" s="1323"/>
      <c r="N1735" s="1323"/>
      <c r="O1735" s="1323"/>
      <c r="P1735" s="1323"/>
      <c r="Q1735" s="1323"/>
      <c r="R1735" s="1304"/>
      <c r="S1735" s="1304"/>
      <c r="T1735" s="1304"/>
    </row>
    <row r="1736" spans="1:20">
      <c r="A1736" s="1303"/>
      <c r="B1736" s="1322" t="s">
        <v>5687</v>
      </c>
      <c r="C1736" s="1323" t="s">
        <v>5688</v>
      </c>
      <c r="D1736" s="1324">
        <f t="shared" si="186"/>
        <v>39357</v>
      </c>
      <c r="E1736" s="1323">
        <f t="shared" si="188"/>
        <v>6.8978999999999999</v>
      </c>
      <c r="F1736" s="1323">
        <f t="shared" si="187"/>
        <v>7.0356938166588829</v>
      </c>
      <c r="G1736" s="1323">
        <f t="shared" si="189"/>
        <v>2007</v>
      </c>
      <c r="H1736" s="1323">
        <f t="shared" si="190"/>
        <v>10</v>
      </c>
      <c r="I1736" s="1323">
        <f t="shared" si="191"/>
        <v>2</v>
      </c>
      <c r="J1736" s="1323"/>
      <c r="K1736" s="1323"/>
      <c r="L1736" s="1323"/>
      <c r="M1736" s="1323"/>
      <c r="N1736" s="1323"/>
      <c r="O1736" s="1323"/>
      <c r="P1736" s="1323"/>
      <c r="Q1736" s="1323"/>
      <c r="R1736" s="1304"/>
      <c r="S1736" s="1304"/>
      <c r="T1736" s="1304"/>
    </row>
    <row r="1737" spans="1:20">
      <c r="A1737" s="1303"/>
      <c r="B1737" s="1322" t="s">
        <v>5689</v>
      </c>
      <c r="C1737" s="1323" t="s">
        <v>5690</v>
      </c>
      <c r="D1737" s="1324">
        <f t="shared" ref="D1737:D1800" si="192">DATE(G1737,H1737,I1737)</f>
        <v>39356</v>
      </c>
      <c r="E1737" s="1323">
        <f t="shared" si="188"/>
        <v>6.8903999999999996</v>
      </c>
      <c r="F1737" s="1323">
        <f t="shared" ref="F1737:F1800" si="193">F1738*(1+$F$7/365)</f>
        <v>7.0343447642383437</v>
      </c>
      <c r="G1737" s="1323">
        <f t="shared" si="189"/>
        <v>2007</v>
      </c>
      <c r="H1737" s="1323">
        <f t="shared" si="190"/>
        <v>10</v>
      </c>
      <c r="I1737" s="1323">
        <f t="shared" si="191"/>
        <v>1</v>
      </c>
      <c r="J1737" s="1323"/>
      <c r="K1737" s="1323"/>
      <c r="L1737" s="1323"/>
      <c r="M1737" s="1323"/>
      <c r="N1737" s="1323"/>
      <c r="O1737" s="1323"/>
      <c r="P1737" s="1323"/>
      <c r="Q1737" s="1323"/>
      <c r="R1737" s="1304"/>
      <c r="S1737" s="1304"/>
      <c r="T1737" s="1304"/>
    </row>
    <row r="1738" spans="1:20">
      <c r="A1738" s="1303"/>
      <c r="B1738" s="1322" t="s">
        <v>5691</v>
      </c>
      <c r="C1738" s="1323" t="s">
        <v>5692</v>
      </c>
      <c r="D1738" s="1324">
        <f t="shared" si="192"/>
        <v>39353</v>
      </c>
      <c r="E1738" s="1323">
        <f t="shared" si="188"/>
        <v>6.8838999999999997</v>
      </c>
      <c r="F1738" s="1323">
        <f t="shared" si="193"/>
        <v>7.0329959704905782</v>
      </c>
      <c r="G1738" s="1323">
        <f t="shared" si="189"/>
        <v>2007</v>
      </c>
      <c r="H1738" s="1323">
        <f t="shared" si="190"/>
        <v>9</v>
      </c>
      <c r="I1738" s="1323">
        <f t="shared" si="191"/>
        <v>28</v>
      </c>
      <c r="J1738" s="1323"/>
      <c r="K1738" s="1323"/>
      <c r="L1738" s="1323"/>
      <c r="M1738" s="1323"/>
      <c r="N1738" s="1323"/>
      <c r="O1738" s="1323"/>
      <c r="P1738" s="1323"/>
      <c r="Q1738" s="1323"/>
      <c r="R1738" s="1304"/>
      <c r="S1738" s="1304"/>
      <c r="T1738" s="1304"/>
    </row>
    <row r="1739" spans="1:20">
      <c r="A1739" s="1303"/>
      <c r="B1739" s="1322" t="s">
        <v>5693</v>
      </c>
      <c r="C1739" s="1323" t="s">
        <v>5694</v>
      </c>
      <c r="D1739" s="1324">
        <f t="shared" si="192"/>
        <v>39352</v>
      </c>
      <c r="E1739" s="1323">
        <f t="shared" si="188"/>
        <v>6.9112</v>
      </c>
      <c r="F1739" s="1323">
        <f t="shared" si="193"/>
        <v>7.0316474353659872</v>
      </c>
      <c r="G1739" s="1323">
        <f t="shared" si="189"/>
        <v>2007</v>
      </c>
      <c r="H1739" s="1323">
        <f t="shared" si="190"/>
        <v>9</v>
      </c>
      <c r="I1739" s="1323">
        <f t="shared" si="191"/>
        <v>27</v>
      </c>
      <c r="J1739" s="1323"/>
      <c r="K1739" s="1323"/>
      <c r="L1739" s="1323"/>
      <c r="M1739" s="1323"/>
      <c r="N1739" s="1323"/>
      <c r="O1739" s="1323"/>
      <c r="P1739" s="1323"/>
      <c r="Q1739" s="1323"/>
      <c r="R1739" s="1304"/>
      <c r="S1739" s="1304"/>
      <c r="T1739" s="1304"/>
    </row>
    <row r="1740" spans="1:20">
      <c r="A1740" s="1303"/>
      <c r="B1740" s="1322" t="s">
        <v>5695</v>
      </c>
      <c r="C1740" s="1323" t="s">
        <v>5696</v>
      </c>
      <c r="D1740" s="1324">
        <f t="shared" si="192"/>
        <v>39351</v>
      </c>
      <c r="E1740" s="1323">
        <f t="shared" si="188"/>
        <v>6.9711999999999996</v>
      </c>
      <c r="F1740" s="1323">
        <f t="shared" si="193"/>
        <v>7.030299158814981</v>
      </c>
      <c r="G1740" s="1323">
        <f t="shared" si="189"/>
        <v>2007</v>
      </c>
      <c r="H1740" s="1323">
        <f t="shared" si="190"/>
        <v>9</v>
      </c>
      <c r="I1740" s="1323">
        <f t="shared" si="191"/>
        <v>26</v>
      </c>
      <c r="J1740" s="1323"/>
      <c r="K1740" s="1323"/>
      <c r="L1740" s="1323"/>
      <c r="M1740" s="1323"/>
      <c r="N1740" s="1323"/>
      <c r="O1740" s="1323"/>
      <c r="P1740" s="1323"/>
      <c r="Q1740" s="1323"/>
      <c r="R1740" s="1304"/>
      <c r="S1740" s="1304"/>
      <c r="T1740" s="1304"/>
    </row>
    <row r="1741" spans="1:20">
      <c r="A1741" s="1303"/>
      <c r="B1741" s="1322" t="s">
        <v>5697</v>
      </c>
      <c r="C1741" s="1323" t="s">
        <v>5698</v>
      </c>
      <c r="D1741" s="1324">
        <f t="shared" si="192"/>
        <v>39350</v>
      </c>
      <c r="E1741" s="1323">
        <f t="shared" si="188"/>
        <v>7.0156999999999998</v>
      </c>
      <c r="F1741" s="1323">
        <f t="shared" si="193"/>
        <v>7.0289511407879806</v>
      </c>
      <c r="G1741" s="1323">
        <f t="shared" si="189"/>
        <v>2007</v>
      </c>
      <c r="H1741" s="1323">
        <f t="shared" si="190"/>
        <v>9</v>
      </c>
      <c r="I1741" s="1323">
        <f t="shared" si="191"/>
        <v>25</v>
      </c>
      <c r="J1741" s="1323"/>
      <c r="K1741" s="1323"/>
      <c r="L1741" s="1323"/>
      <c r="M1741" s="1323"/>
      <c r="N1741" s="1323"/>
      <c r="O1741" s="1323"/>
      <c r="P1741" s="1323"/>
      <c r="Q1741" s="1323"/>
      <c r="R1741" s="1304"/>
      <c r="S1741" s="1304"/>
      <c r="T1741" s="1304"/>
    </row>
    <row r="1742" spans="1:20">
      <c r="A1742" s="1303"/>
      <c r="B1742" s="1322" t="s">
        <v>5699</v>
      </c>
      <c r="C1742" s="1323" t="s">
        <v>5700</v>
      </c>
      <c r="D1742" s="1324">
        <f t="shared" si="192"/>
        <v>39346</v>
      </c>
      <c r="E1742" s="1323">
        <f t="shared" si="188"/>
        <v>7.0495999999999999</v>
      </c>
      <c r="F1742" s="1323">
        <f t="shared" si="193"/>
        <v>7.0276033812354148</v>
      </c>
      <c r="G1742" s="1323">
        <f t="shared" si="189"/>
        <v>2007</v>
      </c>
      <c r="H1742" s="1323">
        <f t="shared" si="190"/>
        <v>9</v>
      </c>
      <c r="I1742" s="1323">
        <f t="shared" si="191"/>
        <v>21</v>
      </c>
      <c r="J1742" s="1323"/>
      <c r="K1742" s="1323"/>
      <c r="L1742" s="1323"/>
      <c r="M1742" s="1323"/>
      <c r="N1742" s="1323"/>
      <c r="O1742" s="1323"/>
      <c r="P1742" s="1323"/>
      <c r="Q1742" s="1323"/>
      <c r="R1742" s="1304"/>
      <c r="S1742" s="1304"/>
      <c r="T1742" s="1304"/>
    </row>
    <row r="1743" spans="1:20">
      <c r="A1743" s="1303"/>
      <c r="B1743" s="1322" t="s">
        <v>5701</v>
      </c>
      <c r="C1743" s="1323" t="s">
        <v>5702</v>
      </c>
      <c r="D1743" s="1324">
        <f t="shared" si="192"/>
        <v>39345</v>
      </c>
      <c r="E1743" s="1323">
        <f t="shared" si="188"/>
        <v>7.0730000000000004</v>
      </c>
      <c r="F1743" s="1323">
        <f t="shared" si="193"/>
        <v>7.0262558801077226</v>
      </c>
      <c r="G1743" s="1323">
        <f t="shared" si="189"/>
        <v>2007</v>
      </c>
      <c r="H1743" s="1323">
        <f t="shared" si="190"/>
        <v>9</v>
      </c>
      <c r="I1743" s="1323">
        <f t="shared" si="191"/>
        <v>20</v>
      </c>
      <c r="J1743" s="1323"/>
      <c r="K1743" s="1323"/>
      <c r="L1743" s="1323"/>
      <c r="M1743" s="1323"/>
      <c r="N1743" s="1323"/>
      <c r="O1743" s="1323"/>
      <c r="P1743" s="1323"/>
      <c r="Q1743" s="1323"/>
      <c r="R1743" s="1304"/>
      <c r="S1743" s="1304"/>
      <c r="T1743" s="1304"/>
    </row>
    <row r="1744" spans="1:20">
      <c r="A1744" s="1303"/>
      <c r="B1744" s="1322" t="s">
        <v>5703</v>
      </c>
      <c r="C1744" s="1323" t="s">
        <v>5704</v>
      </c>
      <c r="D1744" s="1324">
        <f t="shared" si="192"/>
        <v>39344</v>
      </c>
      <c r="E1744" s="1323">
        <f t="shared" si="188"/>
        <v>7.09</v>
      </c>
      <c r="F1744" s="1323">
        <f t="shared" si="193"/>
        <v>7.0249086373553524</v>
      </c>
      <c r="G1744" s="1323">
        <f t="shared" si="189"/>
        <v>2007</v>
      </c>
      <c r="H1744" s="1323">
        <f t="shared" si="190"/>
        <v>9</v>
      </c>
      <c r="I1744" s="1323">
        <f t="shared" si="191"/>
        <v>19</v>
      </c>
      <c r="J1744" s="1323"/>
      <c r="K1744" s="1323"/>
      <c r="L1744" s="1323"/>
      <c r="M1744" s="1323"/>
      <c r="N1744" s="1323"/>
      <c r="O1744" s="1323"/>
      <c r="P1744" s="1323"/>
      <c r="Q1744" s="1323"/>
      <c r="R1744" s="1304"/>
      <c r="S1744" s="1304"/>
      <c r="T1744" s="1304"/>
    </row>
    <row r="1745" spans="1:20">
      <c r="A1745" s="1303"/>
      <c r="B1745" s="1322" t="s">
        <v>5705</v>
      </c>
      <c r="C1745" s="1323" t="s">
        <v>5706</v>
      </c>
      <c r="D1745" s="1324">
        <f t="shared" si="192"/>
        <v>39343</v>
      </c>
      <c r="E1745" s="1323">
        <f t="shared" si="188"/>
        <v>7.1913999999999998</v>
      </c>
      <c r="F1745" s="1323">
        <f t="shared" si="193"/>
        <v>7.0235616529287634</v>
      </c>
      <c r="G1745" s="1323">
        <f t="shared" si="189"/>
        <v>2007</v>
      </c>
      <c r="H1745" s="1323">
        <f t="shared" si="190"/>
        <v>9</v>
      </c>
      <c r="I1745" s="1323">
        <f t="shared" si="191"/>
        <v>18</v>
      </c>
      <c r="J1745" s="1323"/>
      <c r="K1745" s="1323"/>
      <c r="L1745" s="1323"/>
      <c r="M1745" s="1323"/>
      <c r="N1745" s="1323"/>
      <c r="O1745" s="1323"/>
      <c r="P1745" s="1323"/>
      <c r="Q1745" s="1323"/>
      <c r="R1745" s="1304"/>
      <c r="S1745" s="1304"/>
      <c r="T1745" s="1304"/>
    </row>
    <row r="1746" spans="1:20">
      <c r="A1746" s="1303"/>
      <c r="B1746" s="1322" t="s">
        <v>5707</v>
      </c>
      <c r="C1746" s="1323" t="s">
        <v>5708</v>
      </c>
      <c r="D1746" s="1324">
        <f t="shared" si="192"/>
        <v>39342</v>
      </c>
      <c r="E1746" s="1323">
        <f t="shared" si="188"/>
        <v>7.1954000000000002</v>
      </c>
      <c r="F1746" s="1323">
        <f t="shared" si="193"/>
        <v>7.022214926778422</v>
      </c>
      <c r="G1746" s="1323">
        <f t="shared" si="189"/>
        <v>2007</v>
      </c>
      <c r="H1746" s="1323">
        <f t="shared" si="190"/>
        <v>9</v>
      </c>
      <c r="I1746" s="1323">
        <f t="shared" si="191"/>
        <v>17</v>
      </c>
      <c r="J1746" s="1323"/>
      <c r="K1746" s="1323"/>
      <c r="L1746" s="1323"/>
      <c r="M1746" s="1323"/>
      <c r="N1746" s="1323"/>
      <c r="O1746" s="1323"/>
      <c r="P1746" s="1323"/>
      <c r="Q1746" s="1323"/>
      <c r="R1746" s="1304"/>
      <c r="S1746" s="1304"/>
      <c r="T1746" s="1304"/>
    </row>
    <row r="1747" spans="1:20">
      <c r="A1747" s="1303"/>
      <c r="B1747" s="1322" t="s">
        <v>5709</v>
      </c>
      <c r="C1747" s="1323" t="s">
        <v>5710</v>
      </c>
      <c r="D1747" s="1324">
        <f t="shared" si="192"/>
        <v>39339</v>
      </c>
      <c r="E1747" s="1323">
        <f t="shared" si="188"/>
        <v>7.1928000000000001</v>
      </c>
      <c r="F1747" s="1323">
        <f t="shared" si="193"/>
        <v>7.0208684588548058</v>
      </c>
      <c r="G1747" s="1323">
        <f t="shared" si="189"/>
        <v>2007</v>
      </c>
      <c r="H1747" s="1323">
        <f t="shared" si="190"/>
        <v>9</v>
      </c>
      <c r="I1747" s="1323">
        <f t="shared" si="191"/>
        <v>14</v>
      </c>
      <c r="J1747" s="1323"/>
      <c r="K1747" s="1323"/>
      <c r="L1747" s="1323"/>
      <c r="M1747" s="1323"/>
      <c r="N1747" s="1323"/>
      <c r="O1747" s="1323"/>
      <c r="P1747" s="1323"/>
      <c r="Q1747" s="1323"/>
      <c r="R1747" s="1304"/>
      <c r="S1747" s="1304"/>
      <c r="T1747" s="1304"/>
    </row>
    <row r="1748" spans="1:20">
      <c r="A1748" s="1303"/>
      <c r="B1748" s="1322" t="s">
        <v>5711</v>
      </c>
      <c r="C1748" s="1323" t="s">
        <v>5712</v>
      </c>
      <c r="D1748" s="1324">
        <f t="shared" si="192"/>
        <v>39338</v>
      </c>
      <c r="E1748" s="1323">
        <f t="shared" si="188"/>
        <v>7.1424000000000003</v>
      </c>
      <c r="F1748" s="1323">
        <f t="shared" si="193"/>
        <v>7.0195222491084008</v>
      </c>
      <c r="G1748" s="1323">
        <f t="shared" si="189"/>
        <v>2007</v>
      </c>
      <c r="H1748" s="1323">
        <f t="shared" si="190"/>
        <v>9</v>
      </c>
      <c r="I1748" s="1323">
        <f t="shared" si="191"/>
        <v>13</v>
      </c>
      <c r="J1748" s="1323"/>
      <c r="K1748" s="1323"/>
      <c r="L1748" s="1323"/>
      <c r="M1748" s="1323"/>
      <c r="N1748" s="1323"/>
      <c r="O1748" s="1323"/>
      <c r="P1748" s="1323"/>
      <c r="Q1748" s="1323"/>
      <c r="R1748" s="1304"/>
      <c r="S1748" s="1304"/>
      <c r="T1748" s="1304"/>
    </row>
    <row r="1749" spans="1:20">
      <c r="A1749" s="1303"/>
      <c r="B1749" s="1322" t="s">
        <v>5713</v>
      </c>
      <c r="C1749" s="1323" t="s">
        <v>5714</v>
      </c>
      <c r="D1749" s="1324">
        <f t="shared" si="192"/>
        <v>39337</v>
      </c>
      <c r="E1749" s="1323">
        <f t="shared" si="188"/>
        <v>7.1741000000000001</v>
      </c>
      <c r="F1749" s="1323">
        <f t="shared" si="193"/>
        <v>7.0181762974897035</v>
      </c>
      <c r="G1749" s="1323">
        <f t="shared" si="189"/>
        <v>2007</v>
      </c>
      <c r="H1749" s="1323">
        <f t="shared" si="190"/>
        <v>9</v>
      </c>
      <c r="I1749" s="1323">
        <f t="shared" si="191"/>
        <v>12</v>
      </c>
      <c r="J1749" s="1323"/>
      <c r="K1749" s="1323"/>
      <c r="L1749" s="1323"/>
      <c r="M1749" s="1323"/>
      <c r="N1749" s="1323"/>
      <c r="O1749" s="1323"/>
      <c r="P1749" s="1323"/>
      <c r="Q1749" s="1323"/>
      <c r="R1749" s="1304"/>
      <c r="S1749" s="1304"/>
      <c r="T1749" s="1304"/>
    </row>
    <row r="1750" spans="1:20">
      <c r="A1750" s="1303"/>
      <c r="B1750" s="1322" t="s">
        <v>5715</v>
      </c>
      <c r="C1750" s="1323" t="s">
        <v>5716</v>
      </c>
      <c r="D1750" s="1324">
        <f t="shared" si="192"/>
        <v>39336</v>
      </c>
      <c r="E1750" s="1323">
        <f t="shared" ref="E1750:E1813" si="194">VALUE(C1751)</f>
        <v>7.2282999999999999</v>
      </c>
      <c r="F1750" s="1323">
        <f t="shared" si="193"/>
        <v>7.0168306039492201</v>
      </c>
      <c r="G1750" s="1323">
        <f t="shared" ref="G1750:G1813" si="195">YEAR(B1751)</f>
        <v>2007</v>
      </c>
      <c r="H1750" s="1323">
        <f t="shared" ref="H1750:H1813" si="196">MONTH(B1751)</f>
        <v>9</v>
      </c>
      <c r="I1750" s="1323">
        <f t="shared" ref="I1750:I1813" si="197">DAY(B1751)</f>
        <v>11</v>
      </c>
      <c r="J1750" s="1323"/>
      <c r="K1750" s="1323"/>
      <c r="L1750" s="1323"/>
      <c r="M1750" s="1323"/>
      <c r="N1750" s="1323"/>
      <c r="O1750" s="1323"/>
      <c r="P1750" s="1323"/>
      <c r="Q1750" s="1323"/>
      <c r="R1750" s="1304"/>
      <c r="S1750" s="1304"/>
      <c r="T1750" s="1304"/>
    </row>
    <row r="1751" spans="1:20">
      <c r="A1751" s="1303"/>
      <c r="B1751" s="1322" t="s">
        <v>5717</v>
      </c>
      <c r="C1751" s="1323" t="s">
        <v>5718</v>
      </c>
      <c r="D1751" s="1324">
        <f t="shared" si="192"/>
        <v>39335</v>
      </c>
      <c r="E1751" s="1323">
        <f t="shared" si="194"/>
        <v>7.2491000000000003</v>
      </c>
      <c r="F1751" s="1323">
        <f t="shared" si="193"/>
        <v>7.0154851684374648</v>
      </c>
      <c r="G1751" s="1323">
        <f t="shared" si="195"/>
        <v>2007</v>
      </c>
      <c r="H1751" s="1323">
        <f t="shared" si="196"/>
        <v>9</v>
      </c>
      <c r="I1751" s="1323">
        <f t="shared" si="197"/>
        <v>10</v>
      </c>
      <c r="J1751" s="1323"/>
      <c r="K1751" s="1323"/>
      <c r="L1751" s="1323"/>
      <c r="M1751" s="1323"/>
      <c r="N1751" s="1323"/>
      <c r="O1751" s="1323"/>
      <c r="P1751" s="1323"/>
      <c r="Q1751" s="1323"/>
      <c r="R1751" s="1304"/>
      <c r="S1751" s="1304"/>
      <c r="T1751" s="1304"/>
    </row>
    <row r="1752" spans="1:20">
      <c r="A1752" s="1303"/>
      <c r="B1752" s="1322" t="s">
        <v>5719</v>
      </c>
      <c r="C1752" s="1323" t="s">
        <v>5720</v>
      </c>
      <c r="D1752" s="1324">
        <f t="shared" si="192"/>
        <v>39332</v>
      </c>
      <c r="E1752" s="1323">
        <f t="shared" si="194"/>
        <v>7.1898</v>
      </c>
      <c r="F1752" s="1323">
        <f t="shared" si="193"/>
        <v>7.0141399909049627</v>
      </c>
      <c r="G1752" s="1323">
        <f t="shared" si="195"/>
        <v>2007</v>
      </c>
      <c r="H1752" s="1323">
        <f t="shared" si="196"/>
        <v>9</v>
      </c>
      <c r="I1752" s="1323">
        <f t="shared" si="197"/>
        <v>7</v>
      </c>
      <c r="J1752" s="1323"/>
      <c r="K1752" s="1323"/>
      <c r="L1752" s="1323"/>
      <c r="M1752" s="1323"/>
      <c r="N1752" s="1323"/>
      <c r="O1752" s="1323"/>
      <c r="P1752" s="1323"/>
      <c r="Q1752" s="1323"/>
      <c r="R1752" s="1304"/>
      <c r="S1752" s="1304"/>
      <c r="T1752" s="1304"/>
    </row>
    <row r="1753" spans="1:20">
      <c r="A1753" s="1303"/>
      <c r="B1753" s="1322" t="s">
        <v>5721</v>
      </c>
      <c r="C1753" s="1323" t="s">
        <v>5722</v>
      </c>
      <c r="D1753" s="1324">
        <f t="shared" si="192"/>
        <v>39331</v>
      </c>
      <c r="E1753" s="1323">
        <f t="shared" si="194"/>
        <v>7.2319000000000004</v>
      </c>
      <c r="F1753" s="1323">
        <f t="shared" si="193"/>
        <v>7.0127950713022473</v>
      </c>
      <c r="G1753" s="1323">
        <f t="shared" si="195"/>
        <v>2007</v>
      </c>
      <c r="H1753" s="1323">
        <f t="shared" si="196"/>
        <v>9</v>
      </c>
      <c r="I1753" s="1323">
        <f t="shared" si="197"/>
        <v>6</v>
      </c>
      <c r="J1753" s="1323"/>
      <c r="K1753" s="1323"/>
      <c r="L1753" s="1323"/>
      <c r="M1753" s="1323"/>
      <c r="N1753" s="1323"/>
      <c r="O1753" s="1323"/>
      <c r="P1753" s="1323"/>
      <c r="Q1753" s="1323"/>
      <c r="R1753" s="1304"/>
      <c r="S1753" s="1304"/>
      <c r="T1753" s="1304"/>
    </row>
    <row r="1754" spans="1:20">
      <c r="A1754" s="1303"/>
      <c r="B1754" s="1322" t="s">
        <v>5723</v>
      </c>
      <c r="C1754" s="1323" t="s">
        <v>5724</v>
      </c>
      <c r="D1754" s="1324">
        <f t="shared" si="192"/>
        <v>39330</v>
      </c>
      <c r="E1754" s="1323">
        <f t="shared" si="194"/>
        <v>7.2453000000000003</v>
      </c>
      <c r="F1754" s="1323">
        <f t="shared" si="193"/>
        <v>7.0114504095798615</v>
      </c>
      <c r="G1754" s="1323">
        <f t="shared" si="195"/>
        <v>2007</v>
      </c>
      <c r="H1754" s="1323">
        <f t="shared" si="196"/>
        <v>9</v>
      </c>
      <c r="I1754" s="1323">
        <f t="shared" si="197"/>
        <v>5</v>
      </c>
      <c r="J1754" s="1323"/>
      <c r="K1754" s="1323"/>
      <c r="L1754" s="1323"/>
      <c r="M1754" s="1323"/>
      <c r="N1754" s="1323"/>
      <c r="O1754" s="1323"/>
      <c r="P1754" s="1323"/>
      <c r="Q1754" s="1323"/>
      <c r="R1754" s="1304"/>
      <c r="S1754" s="1304"/>
      <c r="T1754" s="1304"/>
    </row>
    <row r="1755" spans="1:20">
      <c r="A1755" s="1303"/>
      <c r="B1755" s="1322" t="s">
        <v>5725</v>
      </c>
      <c r="C1755" s="1323" t="s">
        <v>5726</v>
      </c>
      <c r="D1755" s="1324">
        <f t="shared" si="192"/>
        <v>39329</v>
      </c>
      <c r="E1755" s="1323">
        <f t="shared" si="194"/>
        <v>7.2558999999999996</v>
      </c>
      <c r="F1755" s="1323">
        <f t="shared" si="193"/>
        <v>7.0101060056883595</v>
      </c>
      <c r="G1755" s="1323">
        <f t="shared" si="195"/>
        <v>2007</v>
      </c>
      <c r="H1755" s="1323">
        <f t="shared" si="196"/>
        <v>9</v>
      </c>
      <c r="I1755" s="1323">
        <f t="shared" si="197"/>
        <v>4</v>
      </c>
      <c r="J1755" s="1323"/>
      <c r="K1755" s="1323"/>
      <c r="L1755" s="1323"/>
      <c r="M1755" s="1323"/>
      <c r="N1755" s="1323"/>
      <c r="O1755" s="1323"/>
      <c r="P1755" s="1323"/>
      <c r="Q1755" s="1323"/>
      <c r="R1755" s="1304"/>
      <c r="S1755" s="1304"/>
      <c r="T1755" s="1304"/>
    </row>
    <row r="1756" spans="1:20">
      <c r="A1756" s="1303"/>
      <c r="B1756" s="1322" t="s">
        <v>5727</v>
      </c>
      <c r="C1756" s="1323" t="s">
        <v>5728</v>
      </c>
      <c r="D1756" s="1324">
        <f t="shared" si="192"/>
        <v>39328</v>
      </c>
      <c r="E1756" s="1323">
        <f t="shared" si="194"/>
        <v>7.1783000000000001</v>
      </c>
      <c r="F1756" s="1323">
        <f t="shared" si="193"/>
        <v>7.0087618595783034</v>
      </c>
      <c r="G1756" s="1323">
        <f t="shared" si="195"/>
        <v>2007</v>
      </c>
      <c r="H1756" s="1323">
        <f t="shared" si="196"/>
        <v>9</v>
      </c>
      <c r="I1756" s="1323">
        <f t="shared" si="197"/>
        <v>3</v>
      </c>
      <c r="J1756" s="1323"/>
      <c r="K1756" s="1323"/>
      <c r="L1756" s="1323"/>
      <c r="M1756" s="1323"/>
      <c r="N1756" s="1323"/>
      <c r="O1756" s="1323"/>
      <c r="P1756" s="1323"/>
      <c r="Q1756" s="1323"/>
      <c r="R1756" s="1304"/>
      <c r="S1756" s="1304"/>
      <c r="T1756" s="1304"/>
    </row>
    <row r="1757" spans="1:20">
      <c r="A1757" s="1303"/>
      <c r="B1757" s="1322" t="s">
        <v>5729</v>
      </c>
      <c r="C1757" s="1323" t="s">
        <v>5730</v>
      </c>
      <c r="D1757" s="1324">
        <f t="shared" si="192"/>
        <v>39325</v>
      </c>
      <c r="E1757" s="1323">
        <f t="shared" si="194"/>
        <v>7.1093999999999999</v>
      </c>
      <c r="F1757" s="1323">
        <f t="shared" si="193"/>
        <v>7.0074179712002644</v>
      </c>
      <c r="G1757" s="1323">
        <f t="shared" si="195"/>
        <v>2007</v>
      </c>
      <c r="H1757" s="1323">
        <f t="shared" si="196"/>
        <v>8</v>
      </c>
      <c r="I1757" s="1323">
        <f t="shared" si="197"/>
        <v>31</v>
      </c>
      <c r="J1757" s="1323"/>
      <c r="K1757" s="1323"/>
      <c r="L1757" s="1323"/>
      <c r="M1757" s="1323"/>
      <c r="N1757" s="1323"/>
      <c r="O1757" s="1323"/>
      <c r="P1757" s="1323"/>
      <c r="Q1757" s="1323"/>
      <c r="R1757" s="1304"/>
      <c r="S1757" s="1304"/>
      <c r="T1757" s="1304"/>
    </row>
    <row r="1758" spans="1:20">
      <c r="A1758" s="1303"/>
      <c r="B1758" s="1322" t="s">
        <v>5731</v>
      </c>
      <c r="C1758" s="1323" t="s">
        <v>5732</v>
      </c>
      <c r="D1758" s="1324">
        <f t="shared" si="192"/>
        <v>39324</v>
      </c>
      <c r="E1758" s="1323">
        <f t="shared" si="194"/>
        <v>7.1810999999999998</v>
      </c>
      <c r="F1758" s="1323">
        <f t="shared" si="193"/>
        <v>7.0060743405048251</v>
      </c>
      <c r="G1758" s="1323">
        <f t="shared" si="195"/>
        <v>2007</v>
      </c>
      <c r="H1758" s="1323">
        <f t="shared" si="196"/>
        <v>8</v>
      </c>
      <c r="I1758" s="1323">
        <f t="shared" si="197"/>
        <v>30</v>
      </c>
      <c r="J1758" s="1323"/>
      <c r="K1758" s="1323"/>
      <c r="L1758" s="1323"/>
      <c r="M1758" s="1323"/>
      <c r="N1758" s="1323"/>
      <c r="O1758" s="1323"/>
      <c r="P1758" s="1323"/>
      <c r="Q1758" s="1323"/>
      <c r="R1758" s="1304"/>
      <c r="S1758" s="1304"/>
      <c r="T1758" s="1304"/>
    </row>
    <row r="1759" spans="1:20">
      <c r="A1759" s="1303"/>
      <c r="B1759" s="1322" t="s">
        <v>5733</v>
      </c>
      <c r="C1759" s="1323" t="s">
        <v>5734</v>
      </c>
      <c r="D1759" s="1324">
        <f t="shared" si="192"/>
        <v>39323</v>
      </c>
      <c r="E1759" s="1323">
        <f t="shared" si="194"/>
        <v>7.2838000000000003</v>
      </c>
      <c r="F1759" s="1323">
        <f t="shared" si="193"/>
        <v>7.0047309674425753</v>
      </c>
      <c r="G1759" s="1323">
        <f t="shared" si="195"/>
        <v>2007</v>
      </c>
      <c r="H1759" s="1323">
        <f t="shared" si="196"/>
        <v>8</v>
      </c>
      <c r="I1759" s="1323">
        <f t="shared" si="197"/>
        <v>29</v>
      </c>
      <c r="J1759" s="1323"/>
      <c r="K1759" s="1323"/>
      <c r="L1759" s="1323"/>
      <c r="M1759" s="1323"/>
      <c r="N1759" s="1323"/>
      <c r="O1759" s="1323"/>
      <c r="P1759" s="1323"/>
      <c r="Q1759" s="1323"/>
      <c r="R1759" s="1304"/>
      <c r="S1759" s="1304"/>
      <c r="T1759" s="1304"/>
    </row>
    <row r="1760" spans="1:20">
      <c r="A1760" s="1303"/>
      <c r="B1760" s="1322" t="s">
        <v>5735</v>
      </c>
      <c r="C1760" s="1323" t="s">
        <v>5736</v>
      </c>
      <c r="D1760" s="1324">
        <f t="shared" si="192"/>
        <v>39322</v>
      </c>
      <c r="E1760" s="1323">
        <f t="shared" si="194"/>
        <v>7.2473000000000001</v>
      </c>
      <c r="F1760" s="1323">
        <f t="shared" si="193"/>
        <v>7.0033878519641162</v>
      </c>
      <c r="G1760" s="1323">
        <f t="shared" si="195"/>
        <v>2007</v>
      </c>
      <c r="H1760" s="1323">
        <f t="shared" si="196"/>
        <v>8</v>
      </c>
      <c r="I1760" s="1323">
        <f t="shared" si="197"/>
        <v>28</v>
      </c>
      <c r="J1760" s="1323"/>
      <c r="K1760" s="1323"/>
      <c r="L1760" s="1323"/>
      <c r="M1760" s="1323"/>
      <c r="N1760" s="1323"/>
      <c r="O1760" s="1323"/>
      <c r="P1760" s="1323"/>
      <c r="Q1760" s="1323"/>
      <c r="R1760" s="1304"/>
      <c r="S1760" s="1304"/>
      <c r="T1760" s="1304"/>
    </row>
    <row r="1761" spans="1:20">
      <c r="A1761" s="1303"/>
      <c r="B1761" s="1322" t="s">
        <v>5737</v>
      </c>
      <c r="C1761" s="1323" t="s">
        <v>5738</v>
      </c>
      <c r="D1761" s="1324">
        <f t="shared" si="192"/>
        <v>39321</v>
      </c>
      <c r="E1761" s="1323">
        <f t="shared" si="194"/>
        <v>7.1828000000000003</v>
      </c>
      <c r="F1761" s="1323">
        <f t="shared" si="193"/>
        <v>7.0020449940200571</v>
      </c>
      <c r="G1761" s="1323">
        <f t="shared" si="195"/>
        <v>2007</v>
      </c>
      <c r="H1761" s="1323">
        <f t="shared" si="196"/>
        <v>8</v>
      </c>
      <c r="I1761" s="1323">
        <f t="shared" si="197"/>
        <v>27</v>
      </c>
      <c r="J1761" s="1323"/>
      <c r="K1761" s="1323"/>
      <c r="L1761" s="1323"/>
      <c r="M1761" s="1323"/>
      <c r="N1761" s="1323"/>
      <c r="O1761" s="1323"/>
      <c r="P1761" s="1323"/>
      <c r="Q1761" s="1323"/>
      <c r="R1761" s="1304"/>
      <c r="S1761" s="1304"/>
      <c r="T1761" s="1304"/>
    </row>
    <row r="1762" spans="1:20">
      <c r="A1762" s="1303"/>
      <c r="B1762" s="1322" t="s">
        <v>5739</v>
      </c>
      <c r="C1762" s="1323" t="s">
        <v>5740</v>
      </c>
      <c r="D1762" s="1324">
        <f t="shared" si="192"/>
        <v>39318</v>
      </c>
      <c r="E1762" s="1323">
        <f t="shared" si="194"/>
        <v>7.2869000000000002</v>
      </c>
      <c r="F1762" s="1323">
        <f t="shared" si="193"/>
        <v>7.000702393561018</v>
      </c>
      <c r="G1762" s="1323">
        <f t="shared" si="195"/>
        <v>2007</v>
      </c>
      <c r="H1762" s="1323">
        <f t="shared" si="196"/>
        <v>8</v>
      </c>
      <c r="I1762" s="1323">
        <f t="shared" si="197"/>
        <v>24</v>
      </c>
      <c r="J1762" s="1323"/>
      <c r="K1762" s="1323"/>
      <c r="L1762" s="1323"/>
      <c r="M1762" s="1323"/>
      <c r="N1762" s="1323"/>
      <c r="O1762" s="1323"/>
      <c r="P1762" s="1323"/>
      <c r="Q1762" s="1323"/>
      <c r="R1762" s="1304"/>
      <c r="S1762" s="1304"/>
      <c r="T1762" s="1304"/>
    </row>
    <row r="1763" spans="1:20">
      <c r="A1763" s="1303"/>
      <c r="B1763" s="1322" t="s">
        <v>5741</v>
      </c>
      <c r="C1763" s="1323" t="s">
        <v>5742</v>
      </c>
      <c r="D1763" s="1324">
        <f t="shared" si="192"/>
        <v>39317</v>
      </c>
      <c r="E1763" s="1323">
        <f t="shared" si="194"/>
        <v>7.2370000000000001</v>
      </c>
      <c r="F1763" s="1323">
        <f t="shared" si="193"/>
        <v>6.9993600505376268</v>
      </c>
      <c r="G1763" s="1323">
        <f t="shared" si="195"/>
        <v>2007</v>
      </c>
      <c r="H1763" s="1323">
        <f t="shared" si="196"/>
        <v>8</v>
      </c>
      <c r="I1763" s="1323">
        <f t="shared" si="197"/>
        <v>23</v>
      </c>
      <c r="J1763" s="1323"/>
      <c r="K1763" s="1323"/>
      <c r="L1763" s="1323"/>
      <c r="M1763" s="1323"/>
      <c r="N1763" s="1323"/>
      <c r="O1763" s="1323"/>
      <c r="P1763" s="1323"/>
      <c r="Q1763" s="1323"/>
      <c r="R1763" s="1304"/>
      <c r="S1763" s="1304"/>
      <c r="T1763" s="1304"/>
    </row>
    <row r="1764" spans="1:20">
      <c r="A1764" s="1303"/>
      <c r="B1764" s="1322" t="s">
        <v>5743</v>
      </c>
      <c r="C1764" s="1323" t="s">
        <v>5744</v>
      </c>
      <c r="D1764" s="1324">
        <f t="shared" si="192"/>
        <v>39316</v>
      </c>
      <c r="E1764" s="1323">
        <f t="shared" si="194"/>
        <v>7.3376000000000001</v>
      </c>
      <c r="F1764" s="1323">
        <f t="shared" si="193"/>
        <v>6.9980179649005221</v>
      </c>
      <c r="G1764" s="1323">
        <f t="shared" si="195"/>
        <v>2007</v>
      </c>
      <c r="H1764" s="1323">
        <f t="shared" si="196"/>
        <v>8</v>
      </c>
      <c r="I1764" s="1323">
        <f t="shared" si="197"/>
        <v>22</v>
      </c>
      <c r="J1764" s="1323"/>
      <c r="K1764" s="1323"/>
      <c r="L1764" s="1323"/>
      <c r="M1764" s="1323"/>
      <c r="N1764" s="1323"/>
      <c r="O1764" s="1323"/>
      <c r="P1764" s="1323"/>
      <c r="Q1764" s="1323"/>
      <c r="R1764" s="1304"/>
      <c r="S1764" s="1304"/>
      <c r="T1764" s="1304"/>
    </row>
    <row r="1765" spans="1:20">
      <c r="A1765" s="1303"/>
      <c r="B1765" s="1322" t="s">
        <v>5745</v>
      </c>
      <c r="C1765" s="1323" t="s">
        <v>5746</v>
      </c>
      <c r="D1765" s="1324">
        <f t="shared" si="192"/>
        <v>39315</v>
      </c>
      <c r="E1765" s="1323">
        <f t="shared" si="194"/>
        <v>7.4603000000000002</v>
      </c>
      <c r="F1765" s="1323">
        <f t="shared" si="193"/>
        <v>6.9966761366003523</v>
      </c>
      <c r="G1765" s="1323">
        <f t="shared" si="195"/>
        <v>2007</v>
      </c>
      <c r="H1765" s="1323">
        <f t="shared" si="196"/>
        <v>8</v>
      </c>
      <c r="I1765" s="1323">
        <f t="shared" si="197"/>
        <v>21</v>
      </c>
      <c r="J1765" s="1323"/>
      <c r="K1765" s="1323"/>
      <c r="L1765" s="1323"/>
      <c r="M1765" s="1323"/>
      <c r="N1765" s="1323"/>
      <c r="O1765" s="1323"/>
      <c r="P1765" s="1323"/>
      <c r="Q1765" s="1323"/>
      <c r="R1765" s="1304"/>
      <c r="S1765" s="1304"/>
      <c r="T1765" s="1304"/>
    </row>
    <row r="1766" spans="1:20">
      <c r="A1766" s="1303"/>
      <c r="B1766" s="1322" t="s">
        <v>5747</v>
      </c>
      <c r="C1766" s="1323" t="s">
        <v>5748</v>
      </c>
      <c r="D1766" s="1324">
        <f t="shared" si="192"/>
        <v>39314</v>
      </c>
      <c r="E1766" s="1323">
        <f t="shared" si="194"/>
        <v>7.3411999999999997</v>
      </c>
      <c r="F1766" s="1323">
        <f t="shared" si="193"/>
        <v>6.9953345655877737</v>
      </c>
      <c r="G1766" s="1323">
        <f t="shared" si="195"/>
        <v>2007</v>
      </c>
      <c r="H1766" s="1323">
        <f t="shared" si="196"/>
        <v>8</v>
      </c>
      <c r="I1766" s="1323">
        <f t="shared" si="197"/>
        <v>20</v>
      </c>
      <c r="J1766" s="1323"/>
      <c r="K1766" s="1323"/>
      <c r="L1766" s="1323"/>
      <c r="M1766" s="1323"/>
      <c r="N1766" s="1323"/>
      <c r="O1766" s="1323"/>
      <c r="P1766" s="1323"/>
      <c r="Q1766" s="1323"/>
      <c r="R1766" s="1304"/>
      <c r="S1766" s="1304"/>
      <c r="T1766" s="1304"/>
    </row>
    <row r="1767" spans="1:20">
      <c r="A1767" s="1303"/>
      <c r="B1767" s="1322" t="s">
        <v>5749</v>
      </c>
      <c r="C1767" s="1323" t="s">
        <v>5750</v>
      </c>
      <c r="D1767" s="1324">
        <f t="shared" si="192"/>
        <v>39311</v>
      </c>
      <c r="E1767" s="1323">
        <f t="shared" si="194"/>
        <v>7.484</v>
      </c>
      <c r="F1767" s="1323">
        <f t="shared" si="193"/>
        <v>6.9939932518134533</v>
      </c>
      <c r="G1767" s="1323">
        <f t="shared" si="195"/>
        <v>2007</v>
      </c>
      <c r="H1767" s="1323">
        <f t="shared" si="196"/>
        <v>8</v>
      </c>
      <c r="I1767" s="1323">
        <f t="shared" si="197"/>
        <v>17</v>
      </c>
      <c r="J1767" s="1323"/>
      <c r="K1767" s="1323"/>
      <c r="L1767" s="1323"/>
      <c r="M1767" s="1323"/>
      <c r="N1767" s="1323"/>
      <c r="O1767" s="1323"/>
      <c r="P1767" s="1323"/>
      <c r="Q1767" s="1323"/>
      <c r="R1767" s="1304"/>
      <c r="S1767" s="1304"/>
      <c r="T1767" s="1304"/>
    </row>
    <row r="1768" spans="1:20">
      <c r="A1768" s="1303"/>
      <c r="B1768" s="1322" t="s">
        <v>5751</v>
      </c>
      <c r="C1768" s="1323" t="s">
        <v>5752</v>
      </c>
      <c r="D1768" s="1324">
        <f t="shared" si="192"/>
        <v>39310</v>
      </c>
      <c r="E1768" s="1323">
        <f t="shared" si="194"/>
        <v>7.4774000000000003</v>
      </c>
      <c r="F1768" s="1323">
        <f t="shared" si="193"/>
        <v>6.9926521952280671</v>
      </c>
      <c r="G1768" s="1323">
        <f t="shared" si="195"/>
        <v>2007</v>
      </c>
      <c r="H1768" s="1323">
        <f t="shared" si="196"/>
        <v>8</v>
      </c>
      <c r="I1768" s="1323">
        <f t="shared" si="197"/>
        <v>16</v>
      </c>
      <c r="J1768" s="1323"/>
      <c r="K1768" s="1323"/>
      <c r="L1768" s="1323"/>
      <c r="M1768" s="1323"/>
      <c r="N1768" s="1323"/>
      <c r="O1768" s="1323"/>
      <c r="P1768" s="1323"/>
      <c r="Q1768" s="1323"/>
      <c r="R1768" s="1304"/>
      <c r="S1768" s="1304"/>
      <c r="T1768" s="1304"/>
    </row>
    <row r="1769" spans="1:20">
      <c r="A1769" s="1303"/>
      <c r="B1769" s="1322" t="s">
        <v>5753</v>
      </c>
      <c r="C1769" s="1323" t="s">
        <v>5754</v>
      </c>
      <c r="D1769" s="1324">
        <f t="shared" si="192"/>
        <v>39309</v>
      </c>
      <c r="E1769" s="1323">
        <f t="shared" si="194"/>
        <v>7.3914</v>
      </c>
      <c r="F1769" s="1323">
        <f t="shared" si="193"/>
        <v>6.9913113957823008</v>
      </c>
      <c r="G1769" s="1323">
        <f t="shared" si="195"/>
        <v>2007</v>
      </c>
      <c r="H1769" s="1323">
        <f t="shared" si="196"/>
        <v>8</v>
      </c>
      <c r="I1769" s="1323">
        <f t="shared" si="197"/>
        <v>15</v>
      </c>
      <c r="J1769" s="1323"/>
      <c r="K1769" s="1323"/>
      <c r="L1769" s="1323"/>
      <c r="M1769" s="1323"/>
      <c r="N1769" s="1323"/>
      <c r="O1769" s="1323"/>
      <c r="P1769" s="1323"/>
      <c r="Q1769" s="1323"/>
      <c r="R1769" s="1304"/>
      <c r="S1769" s="1304"/>
      <c r="T1769" s="1304"/>
    </row>
    <row r="1770" spans="1:20">
      <c r="A1770" s="1303"/>
      <c r="B1770" s="1322" t="s">
        <v>5755</v>
      </c>
      <c r="C1770" s="1323" t="s">
        <v>5756</v>
      </c>
      <c r="D1770" s="1324">
        <f t="shared" si="192"/>
        <v>39308</v>
      </c>
      <c r="E1770" s="1323">
        <f t="shared" si="194"/>
        <v>7.2451999999999996</v>
      </c>
      <c r="F1770" s="1323">
        <f t="shared" si="193"/>
        <v>6.9899708534268488</v>
      </c>
      <c r="G1770" s="1323">
        <f t="shared" si="195"/>
        <v>2007</v>
      </c>
      <c r="H1770" s="1323">
        <f t="shared" si="196"/>
        <v>8</v>
      </c>
      <c r="I1770" s="1323">
        <f t="shared" si="197"/>
        <v>14</v>
      </c>
      <c r="J1770" s="1323"/>
      <c r="K1770" s="1323"/>
      <c r="L1770" s="1323"/>
      <c r="M1770" s="1323"/>
      <c r="N1770" s="1323"/>
      <c r="O1770" s="1323"/>
      <c r="P1770" s="1323"/>
      <c r="Q1770" s="1323"/>
      <c r="R1770" s="1304"/>
      <c r="S1770" s="1304"/>
      <c r="T1770" s="1304"/>
    </row>
    <row r="1771" spans="1:20">
      <c r="A1771" s="1303"/>
      <c r="B1771" s="1322" t="s">
        <v>5757</v>
      </c>
      <c r="C1771" s="1323" t="s">
        <v>5758</v>
      </c>
      <c r="D1771" s="1324">
        <f t="shared" si="192"/>
        <v>39307</v>
      </c>
      <c r="E1771" s="1323">
        <f t="shared" si="194"/>
        <v>7.1788999999999996</v>
      </c>
      <c r="F1771" s="1323">
        <f t="shared" si="193"/>
        <v>6.9886305681124163</v>
      </c>
      <c r="G1771" s="1323">
        <f t="shared" si="195"/>
        <v>2007</v>
      </c>
      <c r="H1771" s="1323">
        <f t="shared" si="196"/>
        <v>8</v>
      </c>
      <c r="I1771" s="1323">
        <f t="shared" si="197"/>
        <v>13</v>
      </c>
      <c r="J1771" s="1323"/>
      <c r="K1771" s="1323"/>
      <c r="L1771" s="1323"/>
      <c r="M1771" s="1323"/>
      <c r="N1771" s="1323"/>
      <c r="O1771" s="1323"/>
      <c r="P1771" s="1323"/>
      <c r="Q1771" s="1323"/>
      <c r="R1771" s="1304"/>
      <c r="S1771" s="1304"/>
      <c r="T1771" s="1304"/>
    </row>
    <row r="1772" spans="1:20">
      <c r="A1772" s="1303"/>
      <c r="B1772" s="1322" t="s">
        <v>5759</v>
      </c>
      <c r="C1772" s="1323" t="s">
        <v>5760</v>
      </c>
      <c r="D1772" s="1324">
        <f t="shared" si="192"/>
        <v>39304</v>
      </c>
      <c r="E1772" s="1323">
        <f t="shared" si="194"/>
        <v>7.1707000000000001</v>
      </c>
      <c r="F1772" s="1323">
        <f t="shared" si="193"/>
        <v>6.9872905397897167</v>
      </c>
      <c r="G1772" s="1323">
        <f t="shared" si="195"/>
        <v>2007</v>
      </c>
      <c r="H1772" s="1323">
        <f t="shared" si="196"/>
        <v>8</v>
      </c>
      <c r="I1772" s="1323">
        <f t="shared" si="197"/>
        <v>10</v>
      </c>
      <c r="J1772" s="1323"/>
      <c r="K1772" s="1323"/>
      <c r="L1772" s="1323"/>
      <c r="M1772" s="1323"/>
      <c r="N1772" s="1323"/>
      <c r="O1772" s="1323"/>
      <c r="P1772" s="1323"/>
      <c r="Q1772" s="1323"/>
      <c r="R1772" s="1304"/>
      <c r="S1772" s="1304"/>
      <c r="T1772" s="1304"/>
    </row>
    <row r="1773" spans="1:20">
      <c r="A1773" s="1303"/>
      <c r="B1773" s="1322" t="s">
        <v>5761</v>
      </c>
      <c r="C1773" s="1323" t="s">
        <v>5762</v>
      </c>
      <c r="D1773" s="1324">
        <f t="shared" si="192"/>
        <v>39302</v>
      </c>
      <c r="E1773" s="1323">
        <f t="shared" si="194"/>
        <v>7.0392000000000001</v>
      </c>
      <c r="F1773" s="1323">
        <f t="shared" si="193"/>
        <v>6.9859507684094737</v>
      </c>
      <c r="G1773" s="1323">
        <f t="shared" si="195"/>
        <v>2007</v>
      </c>
      <c r="H1773" s="1323">
        <f t="shared" si="196"/>
        <v>8</v>
      </c>
      <c r="I1773" s="1323">
        <f t="shared" si="197"/>
        <v>8</v>
      </c>
      <c r="J1773" s="1323"/>
      <c r="K1773" s="1323"/>
      <c r="L1773" s="1323"/>
      <c r="M1773" s="1323"/>
      <c r="N1773" s="1323"/>
      <c r="O1773" s="1323"/>
      <c r="P1773" s="1323"/>
      <c r="Q1773" s="1323"/>
      <c r="R1773" s="1304"/>
      <c r="S1773" s="1304"/>
      <c r="T1773" s="1304"/>
    </row>
    <row r="1774" spans="1:20">
      <c r="A1774" s="1303"/>
      <c r="B1774" s="1322" t="s">
        <v>5763</v>
      </c>
      <c r="C1774" s="1323" t="s">
        <v>5764</v>
      </c>
      <c r="D1774" s="1324">
        <f t="shared" si="192"/>
        <v>39301</v>
      </c>
      <c r="E1774" s="1323">
        <f t="shared" si="194"/>
        <v>7.0494000000000003</v>
      </c>
      <c r="F1774" s="1323">
        <f t="shared" si="193"/>
        <v>6.9846112539224201</v>
      </c>
      <c r="G1774" s="1323">
        <f t="shared" si="195"/>
        <v>2007</v>
      </c>
      <c r="H1774" s="1323">
        <f t="shared" si="196"/>
        <v>8</v>
      </c>
      <c r="I1774" s="1323">
        <f t="shared" si="197"/>
        <v>7</v>
      </c>
      <c r="J1774" s="1323"/>
      <c r="K1774" s="1323"/>
      <c r="L1774" s="1323"/>
      <c r="M1774" s="1323"/>
      <c r="N1774" s="1323"/>
      <c r="O1774" s="1323"/>
      <c r="P1774" s="1323"/>
      <c r="Q1774" s="1323"/>
      <c r="R1774" s="1304"/>
      <c r="S1774" s="1304"/>
      <c r="T1774" s="1304"/>
    </row>
    <row r="1775" spans="1:20">
      <c r="A1775" s="1303"/>
      <c r="B1775" s="1322" t="s">
        <v>5765</v>
      </c>
      <c r="C1775" s="1323" t="s">
        <v>5766</v>
      </c>
      <c r="D1775" s="1324">
        <f t="shared" si="192"/>
        <v>39300</v>
      </c>
      <c r="E1775" s="1323">
        <f t="shared" si="194"/>
        <v>7.1121999999999996</v>
      </c>
      <c r="F1775" s="1323">
        <f t="shared" si="193"/>
        <v>6.9832719962792975</v>
      </c>
      <c r="G1775" s="1323">
        <f t="shared" si="195"/>
        <v>2007</v>
      </c>
      <c r="H1775" s="1323">
        <f t="shared" si="196"/>
        <v>8</v>
      </c>
      <c r="I1775" s="1323">
        <f t="shared" si="197"/>
        <v>6</v>
      </c>
      <c r="J1775" s="1323"/>
      <c r="K1775" s="1323"/>
      <c r="L1775" s="1323"/>
      <c r="M1775" s="1323"/>
      <c r="N1775" s="1323"/>
      <c r="O1775" s="1323"/>
      <c r="P1775" s="1323"/>
      <c r="Q1775" s="1323"/>
      <c r="R1775" s="1304"/>
      <c r="S1775" s="1304"/>
      <c r="T1775" s="1304"/>
    </row>
    <row r="1776" spans="1:20">
      <c r="A1776" s="1303"/>
      <c r="B1776" s="1322" t="s">
        <v>5767</v>
      </c>
      <c r="C1776" s="1323" t="s">
        <v>5768</v>
      </c>
      <c r="D1776" s="1324">
        <f t="shared" si="192"/>
        <v>39297</v>
      </c>
      <c r="E1776" s="1323">
        <f t="shared" si="194"/>
        <v>7.0590000000000002</v>
      </c>
      <c r="F1776" s="1323">
        <f t="shared" si="193"/>
        <v>6.9819329954308582</v>
      </c>
      <c r="G1776" s="1323">
        <f t="shared" si="195"/>
        <v>2007</v>
      </c>
      <c r="H1776" s="1323">
        <f t="shared" si="196"/>
        <v>8</v>
      </c>
      <c r="I1776" s="1323">
        <f t="shared" si="197"/>
        <v>3</v>
      </c>
      <c r="J1776" s="1323"/>
      <c r="K1776" s="1323"/>
      <c r="L1776" s="1323"/>
      <c r="M1776" s="1323"/>
      <c r="N1776" s="1323"/>
      <c r="O1776" s="1323"/>
      <c r="P1776" s="1323"/>
      <c r="Q1776" s="1323"/>
      <c r="R1776" s="1304"/>
      <c r="S1776" s="1304"/>
      <c r="T1776" s="1304"/>
    </row>
    <row r="1777" spans="1:20">
      <c r="A1777" s="1303"/>
      <c r="B1777" s="1322" t="s">
        <v>5769</v>
      </c>
      <c r="C1777" s="1323" t="s">
        <v>5770</v>
      </c>
      <c r="D1777" s="1324">
        <f t="shared" si="192"/>
        <v>39296</v>
      </c>
      <c r="E1777" s="1323">
        <f t="shared" si="194"/>
        <v>7.1177000000000001</v>
      </c>
      <c r="F1777" s="1323">
        <f t="shared" si="193"/>
        <v>6.9805942513278634</v>
      </c>
      <c r="G1777" s="1323">
        <f t="shared" si="195"/>
        <v>2007</v>
      </c>
      <c r="H1777" s="1323">
        <f t="shared" si="196"/>
        <v>8</v>
      </c>
      <c r="I1777" s="1323">
        <f t="shared" si="197"/>
        <v>2</v>
      </c>
      <c r="J1777" s="1323"/>
      <c r="K1777" s="1323"/>
      <c r="L1777" s="1323"/>
      <c r="M1777" s="1323"/>
      <c r="N1777" s="1323"/>
      <c r="O1777" s="1323"/>
      <c r="P1777" s="1323"/>
      <c r="Q1777" s="1323"/>
      <c r="R1777" s="1304"/>
      <c r="S1777" s="1304"/>
      <c r="T1777" s="1304"/>
    </row>
    <row r="1778" spans="1:20">
      <c r="A1778" s="1303"/>
      <c r="B1778" s="1322" t="s">
        <v>5771</v>
      </c>
      <c r="C1778" s="1323" t="s">
        <v>5772</v>
      </c>
      <c r="D1778" s="1324">
        <f t="shared" si="192"/>
        <v>39295</v>
      </c>
      <c r="E1778" s="1323">
        <f t="shared" si="194"/>
        <v>7.1948999999999996</v>
      </c>
      <c r="F1778" s="1323">
        <f t="shared" si="193"/>
        <v>6.9792557639210839</v>
      </c>
      <c r="G1778" s="1323">
        <f t="shared" si="195"/>
        <v>2007</v>
      </c>
      <c r="H1778" s="1323">
        <f t="shared" si="196"/>
        <v>8</v>
      </c>
      <c r="I1778" s="1323">
        <f t="shared" si="197"/>
        <v>1</v>
      </c>
      <c r="J1778" s="1323"/>
      <c r="K1778" s="1323"/>
      <c r="L1778" s="1323"/>
      <c r="M1778" s="1323"/>
      <c r="N1778" s="1323"/>
      <c r="O1778" s="1323"/>
      <c r="P1778" s="1323"/>
      <c r="Q1778" s="1323"/>
      <c r="R1778" s="1304"/>
      <c r="S1778" s="1304"/>
      <c r="T1778" s="1304"/>
    </row>
    <row r="1779" spans="1:20">
      <c r="A1779" s="1303"/>
      <c r="B1779" s="1322" t="s">
        <v>5773</v>
      </c>
      <c r="C1779" s="1323" t="s">
        <v>5774</v>
      </c>
      <c r="D1779" s="1324">
        <f t="shared" si="192"/>
        <v>39294</v>
      </c>
      <c r="E1779" s="1323">
        <f t="shared" si="194"/>
        <v>7.1093999999999999</v>
      </c>
      <c r="F1779" s="1323">
        <f t="shared" si="193"/>
        <v>6.9779175331612997</v>
      </c>
      <c r="G1779" s="1323">
        <f t="shared" si="195"/>
        <v>2007</v>
      </c>
      <c r="H1779" s="1323">
        <f t="shared" si="196"/>
        <v>7</v>
      </c>
      <c r="I1779" s="1323">
        <f t="shared" si="197"/>
        <v>31</v>
      </c>
      <c r="J1779" s="1323"/>
      <c r="K1779" s="1323"/>
      <c r="L1779" s="1323"/>
      <c r="M1779" s="1323"/>
      <c r="N1779" s="1323"/>
      <c r="O1779" s="1323"/>
      <c r="P1779" s="1323"/>
      <c r="Q1779" s="1323"/>
      <c r="R1779" s="1304"/>
      <c r="S1779" s="1304"/>
      <c r="T1779" s="1304"/>
    </row>
    <row r="1780" spans="1:20">
      <c r="A1780" s="1303"/>
      <c r="B1780" s="1322" t="s">
        <v>5775</v>
      </c>
      <c r="C1780" s="1323" t="s">
        <v>5732</v>
      </c>
      <c r="D1780" s="1324">
        <f t="shared" si="192"/>
        <v>39293</v>
      </c>
      <c r="E1780" s="1323">
        <f t="shared" si="194"/>
        <v>7.1021999999999998</v>
      </c>
      <c r="F1780" s="1323">
        <f t="shared" si="193"/>
        <v>6.9765795589992994</v>
      </c>
      <c r="G1780" s="1323">
        <f t="shared" si="195"/>
        <v>2007</v>
      </c>
      <c r="H1780" s="1323">
        <f t="shared" si="196"/>
        <v>7</v>
      </c>
      <c r="I1780" s="1323">
        <f t="shared" si="197"/>
        <v>30</v>
      </c>
      <c r="J1780" s="1323"/>
      <c r="K1780" s="1323"/>
      <c r="L1780" s="1323"/>
      <c r="M1780" s="1323"/>
      <c r="N1780" s="1323"/>
      <c r="O1780" s="1323"/>
      <c r="P1780" s="1323"/>
      <c r="Q1780" s="1323"/>
      <c r="R1780" s="1304"/>
      <c r="S1780" s="1304"/>
      <c r="T1780" s="1304"/>
    </row>
    <row r="1781" spans="1:20">
      <c r="A1781" s="1303"/>
      <c r="B1781" s="1322" t="s">
        <v>5776</v>
      </c>
      <c r="C1781" s="1323" t="s">
        <v>5777</v>
      </c>
      <c r="D1781" s="1324">
        <f t="shared" si="192"/>
        <v>39290</v>
      </c>
      <c r="E1781" s="1323">
        <f t="shared" si="194"/>
        <v>7.1051000000000002</v>
      </c>
      <c r="F1781" s="1323">
        <f t="shared" si="193"/>
        <v>6.9752418413858823</v>
      </c>
      <c r="G1781" s="1323">
        <f t="shared" si="195"/>
        <v>2007</v>
      </c>
      <c r="H1781" s="1323">
        <f t="shared" si="196"/>
        <v>7</v>
      </c>
      <c r="I1781" s="1323">
        <f t="shared" si="197"/>
        <v>27</v>
      </c>
      <c r="J1781" s="1323"/>
      <c r="K1781" s="1323"/>
      <c r="L1781" s="1323"/>
      <c r="M1781" s="1323"/>
      <c r="N1781" s="1323"/>
      <c r="O1781" s="1323"/>
      <c r="P1781" s="1323"/>
      <c r="Q1781" s="1323"/>
      <c r="R1781" s="1304"/>
      <c r="S1781" s="1304"/>
      <c r="T1781" s="1304"/>
    </row>
    <row r="1782" spans="1:20">
      <c r="A1782" s="1303"/>
      <c r="B1782" s="1322" t="s">
        <v>5778</v>
      </c>
      <c r="C1782" s="1323" t="s">
        <v>5779</v>
      </c>
      <c r="D1782" s="1324">
        <f t="shared" si="192"/>
        <v>39289</v>
      </c>
      <c r="E1782" s="1323">
        <f t="shared" si="194"/>
        <v>6.9249000000000001</v>
      </c>
      <c r="F1782" s="1323">
        <f t="shared" si="193"/>
        <v>6.9739043802718577</v>
      </c>
      <c r="G1782" s="1323">
        <f t="shared" si="195"/>
        <v>2007</v>
      </c>
      <c r="H1782" s="1323">
        <f t="shared" si="196"/>
        <v>7</v>
      </c>
      <c r="I1782" s="1323">
        <f t="shared" si="197"/>
        <v>26</v>
      </c>
      <c r="J1782" s="1323"/>
      <c r="K1782" s="1323"/>
      <c r="L1782" s="1323"/>
      <c r="M1782" s="1323"/>
      <c r="N1782" s="1323"/>
      <c r="O1782" s="1323"/>
      <c r="P1782" s="1323"/>
      <c r="Q1782" s="1323"/>
      <c r="R1782" s="1304"/>
      <c r="S1782" s="1304"/>
      <c r="T1782" s="1304"/>
    </row>
    <row r="1783" spans="1:20">
      <c r="A1783" s="1303"/>
      <c r="B1783" s="1322" t="s">
        <v>5780</v>
      </c>
      <c r="C1783" s="1323" t="s">
        <v>5781</v>
      </c>
      <c r="D1783" s="1324">
        <f t="shared" si="192"/>
        <v>39288</v>
      </c>
      <c r="E1783" s="1323">
        <f t="shared" si="194"/>
        <v>6.8505000000000003</v>
      </c>
      <c r="F1783" s="1323">
        <f t="shared" si="193"/>
        <v>6.9725671756080425</v>
      </c>
      <c r="G1783" s="1323">
        <f t="shared" si="195"/>
        <v>2007</v>
      </c>
      <c r="H1783" s="1323">
        <f t="shared" si="196"/>
        <v>7</v>
      </c>
      <c r="I1783" s="1323">
        <f t="shared" si="197"/>
        <v>25</v>
      </c>
      <c r="J1783" s="1323"/>
      <c r="K1783" s="1323"/>
      <c r="L1783" s="1323"/>
      <c r="M1783" s="1323"/>
      <c r="N1783" s="1323"/>
      <c r="O1783" s="1323"/>
      <c r="P1783" s="1323"/>
      <c r="Q1783" s="1323"/>
      <c r="R1783" s="1304"/>
      <c r="S1783" s="1304"/>
      <c r="T1783" s="1304"/>
    </row>
    <row r="1784" spans="1:20">
      <c r="A1784" s="1303"/>
      <c r="B1784" s="1322" t="s">
        <v>5782</v>
      </c>
      <c r="C1784" s="1323" t="s">
        <v>5783</v>
      </c>
      <c r="D1784" s="1324">
        <f t="shared" si="192"/>
        <v>39287</v>
      </c>
      <c r="E1784" s="1323">
        <f t="shared" si="194"/>
        <v>6.8232999999999997</v>
      </c>
      <c r="F1784" s="1323">
        <f t="shared" si="193"/>
        <v>6.9712302273452638</v>
      </c>
      <c r="G1784" s="1323">
        <f t="shared" si="195"/>
        <v>2007</v>
      </c>
      <c r="H1784" s="1323">
        <f t="shared" si="196"/>
        <v>7</v>
      </c>
      <c r="I1784" s="1323">
        <f t="shared" si="197"/>
        <v>24</v>
      </c>
      <c r="J1784" s="1323"/>
      <c r="K1784" s="1323"/>
      <c r="L1784" s="1323"/>
      <c r="M1784" s="1323"/>
      <c r="N1784" s="1323"/>
      <c r="O1784" s="1323"/>
      <c r="P1784" s="1323"/>
      <c r="Q1784" s="1323"/>
      <c r="R1784" s="1304"/>
      <c r="S1784" s="1304"/>
      <c r="T1784" s="1304"/>
    </row>
    <row r="1785" spans="1:20">
      <c r="A1785" s="1303"/>
      <c r="B1785" s="1322" t="s">
        <v>5784</v>
      </c>
      <c r="C1785" s="1323" t="s">
        <v>5785</v>
      </c>
      <c r="D1785" s="1324">
        <f t="shared" si="192"/>
        <v>39286</v>
      </c>
      <c r="E1785" s="1323">
        <f t="shared" si="194"/>
        <v>6.8327999999999998</v>
      </c>
      <c r="F1785" s="1323">
        <f t="shared" si="193"/>
        <v>6.9698935354343581</v>
      </c>
      <c r="G1785" s="1323">
        <f t="shared" si="195"/>
        <v>2007</v>
      </c>
      <c r="H1785" s="1323">
        <f t="shared" si="196"/>
        <v>7</v>
      </c>
      <c r="I1785" s="1323">
        <f t="shared" si="197"/>
        <v>23</v>
      </c>
      <c r="J1785" s="1323"/>
      <c r="K1785" s="1323"/>
      <c r="L1785" s="1323"/>
      <c r="M1785" s="1323"/>
      <c r="N1785" s="1323"/>
      <c r="O1785" s="1323"/>
      <c r="P1785" s="1323"/>
      <c r="Q1785" s="1323"/>
      <c r="R1785" s="1304"/>
      <c r="S1785" s="1304"/>
      <c r="T1785" s="1304"/>
    </row>
    <row r="1786" spans="1:20">
      <c r="A1786" s="1303"/>
      <c r="B1786" s="1322" t="s">
        <v>5786</v>
      </c>
      <c r="C1786" s="1323" t="s">
        <v>5678</v>
      </c>
      <c r="D1786" s="1324">
        <f t="shared" si="192"/>
        <v>39283</v>
      </c>
      <c r="E1786" s="1323">
        <f t="shared" si="194"/>
        <v>6.8838999999999997</v>
      </c>
      <c r="F1786" s="1323">
        <f t="shared" si="193"/>
        <v>6.9685570998261719</v>
      </c>
      <c r="G1786" s="1323">
        <f t="shared" si="195"/>
        <v>2007</v>
      </c>
      <c r="H1786" s="1323">
        <f t="shared" si="196"/>
        <v>7</v>
      </c>
      <c r="I1786" s="1323">
        <f t="shared" si="197"/>
        <v>20</v>
      </c>
      <c r="J1786" s="1323"/>
      <c r="K1786" s="1323"/>
      <c r="L1786" s="1323"/>
      <c r="M1786" s="1323"/>
      <c r="N1786" s="1323"/>
      <c r="O1786" s="1323"/>
      <c r="P1786" s="1323"/>
      <c r="Q1786" s="1323"/>
      <c r="R1786" s="1304"/>
      <c r="S1786" s="1304"/>
      <c r="T1786" s="1304"/>
    </row>
    <row r="1787" spans="1:20">
      <c r="A1787" s="1303"/>
      <c r="B1787" s="1322" t="s">
        <v>5787</v>
      </c>
      <c r="C1787" s="1323" t="s">
        <v>5694</v>
      </c>
      <c r="D1787" s="1324">
        <f t="shared" si="192"/>
        <v>39282</v>
      </c>
      <c r="E1787" s="1323">
        <f t="shared" si="194"/>
        <v>6.9172000000000002</v>
      </c>
      <c r="F1787" s="1323">
        <f t="shared" si="193"/>
        <v>6.9672209204715605</v>
      </c>
      <c r="G1787" s="1323">
        <f t="shared" si="195"/>
        <v>2007</v>
      </c>
      <c r="H1787" s="1323">
        <f t="shared" si="196"/>
        <v>7</v>
      </c>
      <c r="I1787" s="1323">
        <f t="shared" si="197"/>
        <v>19</v>
      </c>
      <c r="J1787" s="1323"/>
      <c r="K1787" s="1323"/>
      <c r="L1787" s="1323"/>
      <c r="M1787" s="1323"/>
      <c r="N1787" s="1323"/>
      <c r="O1787" s="1323"/>
      <c r="P1787" s="1323"/>
      <c r="Q1787" s="1323"/>
      <c r="R1787" s="1304"/>
      <c r="S1787" s="1304"/>
      <c r="T1787" s="1304"/>
    </row>
    <row r="1788" spans="1:20">
      <c r="A1788" s="1303"/>
      <c r="B1788" s="1322" t="s">
        <v>5788</v>
      </c>
      <c r="C1788" s="1323" t="s">
        <v>5789</v>
      </c>
      <c r="D1788" s="1324">
        <f t="shared" si="192"/>
        <v>39281</v>
      </c>
      <c r="E1788" s="1323">
        <f t="shared" si="194"/>
        <v>6.9814999999999996</v>
      </c>
      <c r="F1788" s="1323">
        <f t="shared" si="193"/>
        <v>6.965884997321389</v>
      </c>
      <c r="G1788" s="1323">
        <f t="shared" si="195"/>
        <v>2007</v>
      </c>
      <c r="H1788" s="1323">
        <f t="shared" si="196"/>
        <v>7</v>
      </c>
      <c r="I1788" s="1323">
        <f t="shared" si="197"/>
        <v>18</v>
      </c>
      <c r="J1788" s="1323"/>
      <c r="K1788" s="1323"/>
      <c r="L1788" s="1323"/>
      <c r="M1788" s="1323"/>
      <c r="N1788" s="1323"/>
      <c r="O1788" s="1323"/>
      <c r="P1788" s="1323"/>
      <c r="Q1788" s="1323"/>
      <c r="R1788" s="1304"/>
      <c r="S1788" s="1304"/>
      <c r="T1788" s="1304"/>
    </row>
    <row r="1789" spans="1:20">
      <c r="A1789" s="1303"/>
      <c r="B1789" s="1322" t="s">
        <v>5790</v>
      </c>
      <c r="C1789" s="1323" t="s">
        <v>5791</v>
      </c>
      <c r="D1789" s="1324">
        <f t="shared" si="192"/>
        <v>39280</v>
      </c>
      <c r="E1789" s="1323">
        <f t="shared" si="194"/>
        <v>6.9774000000000003</v>
      </c>
      <c r="F1789" s="1323">
        <f t="shared" si="193"/>
        <v>6.9645493303265313</v>
      </c>
      <c r="G1789" s="1323">
        <f t="shared" si="195"/>
        <v>2007</v>
      </c>
      <c r="H1789" s="1323">
        <f t="shared" si="196"/>
        <v>7</v>
      </c>
      <c r="I1789" s="1323">
        <f t="shared" si="197"/>
        <v>17</v>
      </c>
      <c r="J1789" s="1323"/>
      <c r="K1789" s="1323"/>
      <c r="L1789" s="1323"/>
      <c r="M1789" s="1323"/>
      <c r="N1789" s="1323"/>
      <c r="O1789" s="1323"/>
      <c r="P1789" s="1323"/>
      <c r="Q1789" s="1323"/>
      <c r="R1789" s="1304"/>
      <c r="S1789" s="1304"/>
      <c r="T1789" s="1304"/>
    </row>
    <row r="1790" spans="1:20">
      <c r="A1790" s="1303"/>
      <c r="B1790" s="1322" t="s">
        <v>5792</v>
      </c>
      <c r="C1790" s="1323" t="s">
        <v>5793</v>
      </c>
      <c r="D1790" s="1324">
        <f t="shared" si="192"/>
        <v>39279</v>
      </c>
      <c r="E1790" s="1323">
        <f t="shared" si="194"/>
        <v>6.9672000000000001</v>
      </c>
      <c r="F1790" s="1323">
        <f t="shared" si="193"/>
        <v>6.9632139194378722</v>
      </c>
      <c r="G1790" s="1323">
        <f t="shared" si="195"/>
        <v>2007</v>
      </c>
      <c r="H1790" s="1323">
        <f t="shared" si="196"/>
        <v>7</v>
      </c>
      <c r="I1790" s="1323">
        <f t="shared" si="197"/>
        <v>16</v>
      </c>
      <c r="J1790" s="1323"/>
      <c r="K1790" s="1323"/>
      <c r="L1790" s="1323"/>
      <c r="M1790" s="1323"/>
      <c r="N1790" s="1323"/>
      <c r="O1790" s="1323"/>
      <c r="P1790" s="1323"/>
      <c r="Q1790" s="1323"/>
      <c r="R1790" s="1304"/>
      <c r="S1790" s="1304"/>
      <c r="T1790" s="1304"/>
    </row>
    <row r="1791" spans="1:20">
      <c r="A1791" s="1303"/>
      <c r="B1791" s="1322" t="s">
        <v>5794</v>
      </c>
      <c r="C1791" s="1323" t="s">
        <v>5795</v>
      </c>
      <c r="D1791" s="1324">
        <f t="shared" si="192"/>
        <v>39276</v>
      </c>
      <c r="E1791" s="1323">
        <f t="shared" si="194"/>
        <v>6.9611000000000001</v>
      </c>
      <c r="F1791" s="1323">
        <f t="shared" si="193"/>
        <v>6.9618787646063032</v>
      </c>
      <c r="G1791" s="1323">
        <f t="shared" si="195"/>
        <v>2007</v>
      </c>
      <c r="H1791" s="1323">
        <f t="shared" si="196"/>
        <v>7</v>
      </c>
      <c r="I1791" s="1323">
        <f t="shared" si="197"/>
        <v>13</v>
      </c>
      <c r="J1791" s="1323"/>
      <c r="K1791" s="1323"/>
      <c r="L1791" s="1323"/>
      <c r="M1791" s="1323"/>
      <c r="N1791" s="1323"/>
      <c r="O1791" s="1323"/>
      <c r="P1791" s="1323"/>
      <c r="Q1791" s="1323"/>
      <c r="R1791" s="1304"/>
      <c r="S1791" s="1304"/>
      <c r="T1791" s="1304"/>
    </row>
    <row r="1792" spans="1:20">
      <c r="A1792" s="1303"/>
      <c r="B1792" s="1322" t="s">
        <v>5796</v>
      </c>
      <c r="C1792" s="1323" t="s">
        <v>5797</v>
      </c>
      <c r="D1792" s="1324">
        <f t="shared" si="192"/>
        <v>39275</v>
      </c>
      <c r="E1792" s="1323">
        <f t="shared" si="194"/>
        <v>7.0274999999999999</v>
      </c>
      <c r="F1792" s="1323">
        <f t="shared" si="193"/>
        <v>6.9605438657827285</v>
      </c>
      <c r="G1792" s="1323">
        <f t="shared" si="195"/>
        <v>2007</v>
      </c>
      <c r="H1792" s="1323">
        <f t="shared" si="196"/>
        <v>7</v>
      </c>
      <c r="I1792" s="1323">
        <f t="shared" si="197"/>
        <v>12</v>
      </c>
      <c r="J1792" s="1323"/>
      <c r="K1792" s="1323"/>
      <c r="L1792" s="1323"/>
      <c r="M1792" s="1323"/>
      <c r="N1792" s="1323"/>
      <c r="O1792" s="1323"/>
      <c r="P1792" s="1323"/>
      <c r="Q1792" s="1323"/>
      <c r="R1792" s="1304"/>
      <c r="S1792" s="1304"/>
      <c r="T1792" s="1304"/>
    </row>
    <row r="1793" spans="1:20">
      <c r="A1793" s="1303"/>
      <c r="B1793" s="1322" t="s">
        <v>5798</v>
      </c>
      <c r="C1793" s="1323" t="s">
        <v>5799</v>
      </c>
      <c r="D1793" s="1324">
        <f t="shared" si="192"/>
        <v>39274</v>
      </c>
      <c r="E1793" s="1323">
        <f t="shared" si="194"/>
        <v>7.0236999999999998</v>
      </c>
      <c r="F1793" s="1323">
        <f t="shared" si="193"/>
        <v>6.9592092229180587</v>
      </c>
      <c r="G1793" s="1323">
        <f t="shared" si="195"/>
        <v>2007</v>
      </c>
      <c r="H1793" s="1323">
        <f t="shared" si="196"/>
        <v>7</v>
      </c>
      <c r="I1793" s="1323">
        <f t="shared" si="197"/>
        <v>11</v>
      </c>
      <c r="J1793" s="1323"/>
      <c r="K1793" s="1323"/>
      <c r="L1793" s="1323"/>
      <c r="M1793" s="1323"/>
      <c r="N1793" s="1323"/>
      <c r="O1793" s="1323"/>
      <c r="P1793" s="1323"/>
      <c r="Q1793" s="1323"/>
      <c r="R1793" s="1304"/>
      <c r="S1793" s="1304"/>
      <c r="T1793" s="1304"/>
    </row>
    <row r="1794" spans="1:20">
      <c r="A1794" s="1303"/>
      <c r="B1794" s="1322" t="s">
        <v>5800</v>
      </c>
      <c r="C1794" s="1323" t="s">
        <v>5801</v>
      </c>
      <c r="D1794" s="1324">
        <f t="shared" si="192"/>
        <v>39273</v>
      </c>
      <c r="E1794" s="1323">
        <f t="shared" si="194"/>
        <v>6.9705000000000004</v>
      </c>
      <c r="F1794" s="1323">
        <f t="shared" si="193"/>
        <v>6.9578748359632163</v>
      </c>
      <c r="G1794" s="1323">
        <f t="shared" si="195"/>
        <v>2007</v>
      </c>
      <c r="H1794" s="1323">
        <f t="shared" si="196"/>
        <v>7</v>
      </c>
      <c r="I1794" s="1323">
        <f t="shared" si="197"/>
        <v>10</v>
      </c>
      <c r="J1794" s="1323"/>
      <c r="K1794" s="1323"/>
      <c r="L1794" s="1323"/>
      <c r="M1794" s="1323"/>
      <c r="N1794" s="1323"/>
      <c r="O1794" s="1323"/>
      <c r="P1794" s="1323"/>
      <c r="Q1794" s="1323"/>
      <c r="R1794" s="1304"/>
      <c r="S1794" s="1304"/>
      <c r="T1794" s="1304"/>
    </row>
    <row r="1795" spans="1:20">
      <c r="A1795" s="1303"/>
      <c r="B1795" s="1322" t="s">
        <v>5802</v>
      </c>
      <c r="C1795" s="1323" t="s">
        <v>4228</v>
      </c>
      <c r="D1795" s="1324">
        <f t="shared" si="192"/>
        <v>39272</v>
      </c>
      <c r="E1795" s="1323">
        <f t="shared" si="194"/>
        <v>6.9832999999999998</v>
      </c>
      <c r="F1795" s="1323">
        <f t="shared" si="193"/>
        <v>6.9565407048691315</v>
      </c>
      <c r="G1795" s="1323">
        <f t="shared" si="195"/>
        <v>2007</v>
      </c>
      <c r="H1795" s="1323">
        <f t="shared" si="196"/>
        <v>7</v>
      </c>
      <c r="I1795" s="1323">
        <f t="shared" si="197"/>
        <v>9</v>
      </c>
      <c r="J1795" s="1323"/>
      <c r="K1795" s="1323"/>
      <c r="L1795" s="1323"/>
      <c r="M1795" s="1323"/>
      <c r="N1795" s="1323"/>
      <c r="O1795" s="1323"/>
      <c r="P1795" s="1323"/>
      <c r="Q1795" s="1323"/>
      <c r="R1795" s="1304"/>
      <c r="S1795" s="1304"/>
      <c r="T1795" s="1304"/>
    </row>
    <row r="1796" spans="1:20">
      <c r="A1796" s="1303"/>
      <c r="B1796" s="1322" t="s">
        <v>5803</v>
      </c>
      <c r="C1796" s="1323" t="s">
        <v>5804</v>
      </c>
      <c r="D1796" s="1324">
        <f t="shared" si="192"/>
        <v>39269</v>
      </c>
      <c r="E1796" s="1323">
        <f t="shared" si="194"/>
        <v>7.0355999999999996</v>
      </c>
      <c r="F1796" s="1323">
        <f t="shared" si="193"/>
        <v>6.9552068295867446</v>
      </c>
      <c r="G1796" s="1323">
        <f t="shared" si="195"/>
        <v>2007</v>
      </c>
      <c r="H1796" s="1323">
        <f t="shared" si="196"/>
        <v>7</v>
      </c>
      <c r="I1796" s="1323">
        <f t="shared" si="197"/>
        <v>6</v>
      </c>
      <c r="J1796" s="1323"/>
      <c r="K1796" s="1323"/>
      <c r="L1796" s="1323"/>
      <c r="M1796" s="1323"/>
      <c r="N1796" s="1323"/>
      <c r="O1796" s="1323"/>
      <c r="P1796" s="1323"/>
      <c r="Q1796" s="1323"/>
      <c r="R1796" s="1304"/>
      <c r="S1796" s="1304"/>
      <c r="T1796" s="1304"/>
    </row>
    <row r="1797" spans="1:20">
      <c r="A1797" s="1303"/>
      <c r="B1797" s="1322" t="s">
        <v>5805</v>
      </c>
      <c r="C1797" s="1323" t="s">
        <v>5806</v>
      </c>
      <c r="D1797" s="1324">
        <f t="shared" si="192"/>
        <v>39268</v>
      </c>
      <c r="E1797" s="1323">
        <f t="shared" si="194"/>
        <v>6.9828999999999999</v>
      </c>
      <c r="F1797" s="1323">
        <f t="shared" si="193"/>
        <v>6.9538732100670053</v>
      </c>
      <c r="G1797" s="1323">
        <f t="shared" si="195"/>
        <v>2007</v>
      </c>
      <c r="H1797" s="1323">
        <f t="shared" si="196"/>
        <v>7</v>
      </c>
      <c r="I1797" s="1323">
        <f t="shared" si="197"/>
        <v>5</v>
      </c>
      <c r="J1797" s="1323"/>
      <c r="K1797" s="1323"/>
      <c r="L1797" s="1323"/>
      <c r="M1797" s="1323"/>
      <c r="N1797" s="1323"/>
      <c r="O1797" s="1323"/>
      <c r="P1797" s="1323"/>
      <c r="Q1797" s="1323"/>
      <c r="R1797" s="1304"/>
      <c r="S1797" s="1304"/>
      <c r="T1797" s="1304"/>
    </row>
    <row r="1798" spans="1:20">
      <c r="A1798" s="1303"/>
      <c r="B1798" s="1322" t="s">
        <v>5807</v>
      </c>
      <c r="C1798" s="1323" t="s">
        <v>5808</v>
      </c>
      <c r="D1798" s="1324">
        <f t="shared" si="192"/>
        <v>39267</v>
      </c>
      <c r="E1798" s="1323">
        <f t="shared" si="194"/>
        <v>6.9852999999999996</v>
      </c>
      <c r="F1798" s="1323">
        <f t="shared" si="193"/>
        <v>6.9525398462608727</v>
      </c>
      <c r="G1798" s="1323">
        <f t="shared" si="195"/>
        <v>2007</v>
      </c>
      <c r="H1798" s="1323">
        <f t="shared" si="196"/>
        <v>7</v>
      </c>
      <c r="I1798" s="1323">
        <f t="shared" si="197"/>
        <v>4</v>
      </c>
      <c r="J1798" s="1323"/>
      <c r="K1798" s="1323"/>
      <c r="L1798" s="1323"/>
      <c r="M1798" s="1323"/>
      <c r="N1798" s="1323"/>
      <c r="O1798" s="1323"/>
      <c r="P1798" s="1323"/>
      <c r="Q1798" s="1323"/>
      <c r="R1798" s="1304"/>
      <c r="S1798" s="1304"/>
      <c r="T1798" s="1304"/>
    </row>
    <row r="1799" spans="1:20">
      <c r="A1799" s="1303"/>
      <c r="B1799" s="1322" t="s">
        <v>5809</v>
      </c>
      <c r="C1799" s="1323" t="s">
        <v>5810</v>
      </c>
      <c r="D1799" s="1324">
        <f t="shared" si="192"/>
        <v>39266</v>
      </c>
      <c r="E1799" s="1323">
        <f t="shared" si="194"/>
        <v>6.9634999999999998</v>
      </c>
      <c r="F1799" s="1323">
        <f t="shared" si="193"/>
        <v>6.951206738119315</v>
      </c>
      <c r="G1799" s="1323">
        <f t="shared" si="195"/>
        <v>2007</v>
      </c>
      <c r="H1799" s="1323">
        <f t="shared" si="196"/>
        <v>7</v>
      </c>
      <c r="I1799" s="1323">
        <f t="shared" si="197"/>
        <v>3</v>
      </c>
      <c r="J1799" s="1323"/>
      <c r="K1799" s="1323"/>
      <c r="L1799" s="1323"/>
      <c r="M1799" s="1323"/>
      <c r="N1799" s="1323"/>
      <c r="O1799" s="1323"/>
      <c r="P1799" s="1323"/>
      <c r="Q1799" s="1323"/>
      <c r="R1799" s="1304"/>
      <c r="S1799" s="1304"/>
      <c r="T1799" s="1304"/>
    </row>
    <row r="1800" spans="1:20">
      <c r="A1800" s="1303"/>
      <c r="B1800" s="1322" t="s">
        <v>5811</v>
      </c>
      <c r="C1800" s="1323" t="s">
        <v>5812</v>
      </c>
      <c r="D1800" s="1324">
        <f t="shared" si="192"/>
        <v>39265</v>
      </c>
      <c r="E1800" s="1323">
        <f t="shared" si="194"/>
        <v>7.0175000000000001</v>
      </c>
      <c r="F1800" s="1323">
        <f t="shared" si="193"/>
        <v>6.9498738855933109</v>
      </c>
      <c r="G1800" s="1323">
        <f t="shared" si="195"/>
        <v>2007</v>
      </c>
      <c r="H1800" s="1323">
        <f t="shared" si="196"/>
        <v>7</v>
      </c>
      <c r="I1800" s="1323">
        <f t="shared" si="197"/>
        <v>2</v>
      </c>
      <c r="J1800" s="1323"/>
      <c r="K1800" s="1323"/>
      <c r="L1800" s="1323"/>
      <c r="M1800" s="1323"/>
      <c r="N1800" s="1323"/>
      <c r="O1800" s="1323"/>
      <c r="P1800" s="1323"/>
      <c r="Q1800" s="1323"/>
      <c r="R1800" s="1304"/>
      <c r="S1800" s="1304"/>
      <c r="T1800" s="1304"/>
    </row>
    <row r="1801" spans="1:20">
      <c r="A1801" s="1303"/>
      <c r="B1801" s="1322" t="s">
        <v>5813</v>
      </c>
      <c r="C1801" s="1323" t="s">
        <v>5814</v>
      </c>
      <c r="D1801" s="1324">
        <f t="shared" ref="D1801:D1864" si="198">DATE(G1801,H1801,I1801)</f>
        <v>39262</v>
      </c>
      <c r="E1801" s="1323">
        <f t="shared" si="194"/>
        <v>7.0964</v>
      </c>
      <c r="F1801" s="1323">
        <f t="shared" ref="F1801:F1864" si="199">F1802*(1+$F$7/365)</f>
        <v>6.9485412886338462</v>
      </c>
      <c r="G1801" s="1323">
        <f t="shared" si="195"/>
        <v>2007</v>
      </c>
      <c r="H1801" s="1323">
        <f t="shared" si="196"/>
        <v>6</v>
      </c>
      <c r="I1801" s="1323">
        <f t="shared" si="197"/>
        <v>29</v>
      </c>
      <c r="J1801" s="1323"/>
      <c r="K1801" s="1323"/>
      <c r="L1801" s="1323"/>
      <c r="M1801" s="1323"/>
      <c r="N1801" s="1323"/>
      <c r="O1801" s="1323"/>
      <c r="P1801" s="1323"/>
      <c r="Q1801" s="1323"/>
      <c r="R1801" s="1304"/>
      <c r="S1801" s="1304"/>
      <c r="T1801" s="1304"/>
    </row>
    <row r="1802" spans="1:20">
      <c r="A1802" s="1303"/>
      <c r="B1802" s="1322" t="s">
        <v>5815</v>
      </c>
      <c r="C1802" s="1323" t="s">
        <v>5816</v>
      </c>
      <c r="D1802" s="1324">
        <f t="shared" si="198"/>
        <v>39261</v>
      </c>
      <c r="E1802" s="1323">
        <f t="shared" si="194"/>
        <v>7.1112000000000002</v>
      </c>
      <c r="F1802" s="1323">
        <f t="shared" si="199"/>
        <v>6.9472089471919185</v>
      </c>
      <c r="G1802" s="1323">
        <f t="shared" si="195"/>
        <v>2007</v>
      </c>
      <c r="H1802" s="1323">
        <f t="shared" si="196"/>
        <v>6</v>
      </c>
      <c r="I1802" s="1323">
        <f t="shared" si="197"/>
        <v>28</v>
      </c>
      <c r="J1802" s="1323"/>
      <c r="K1802" s="1323"/>
      <c r="L1802" s="1323"/>
      <c r="M1802" s="1323"/>
      <c r="N1802" s="1323"/>
      <c r="O1802" s="1323"/>
      <c r="P1802" s="1323"/>
      <c r="Q1802" s="1323"/>
      <c r="R1802" s="1304"/>
      <c r="S1802" s="1304"/>
      <c r="T1802" s="1304"/>
    </row>
    <row r="1803" spans="1:20">
      <c r="A1803" s="1303"/>
      <c r="B1803" s="1322" t="s">
        <v>5817</v>
      </c>
      <c r="C1803" s="1323" t="s">
        <v>5818</v>
      </c>
      <c r="D1803" s="1324">
        <f t="shared" si="198"/>
        <v>39260</v>
      </c>
      <c r="E1803" s="1323">
        <f t="shared" si="194"/>
        <v>7.2279</v>
      </c>
      <c r="F1803" s="1323">
        <f t="shared" si="199"/>
        <v>6.945876861218534</v>
      </c>
      <c r="G1803" s="1323">
        <f t="shared" si="195"/>
        <v>2007</v>
      </c>
      <c r="H1803" s="1323">
        <f t="shared" si="196"/>
        <v>6</v>
      </c>
      <c r="I1803" s="1323">
        <f t="shared" si="197"/>
        <v>27</v>
      </c>
      <c r="J1803" s="1323"/>
      <c r="K1803" s="1323"/>
      <c r="L1803" s="1323"/>
      <c r="M1803" s="1323"/>
      <c r="N1803" s="1323"/>
      <c r="O1803" s="1323"/>
      <c r="P1803" s="1323"/>
      <c r="Q1803" s="1323"/>
      <c r="R1803" s="1304"/>
      <c r="S1803" s="1304"/>
      <c r="T1803" s="1304"/>
    </row>
    <row r="1804" spans="1:20">
      <c r="A1804" s="1303"/>
      <c r="B1804" s="1322" t="s">
        <v>5819</v>
      </c>
      <c r="C1804" s="1323" t="s">
        <v>5820</v>
      </c>
      <c r="D1804" s="1324">
        <f t="shared" si="198"/>
        <v>39259</v>
      </c>
      <c r="E1804" s="1323">
        <f t="shared" si="194"/>
        <v>7.1821000000000002</v>
      </c>
      <c r="F1804" s="1323">
        <f t="shared" si="199"/>
        <v>6.9445450306647079</v>
      </c>
      <c r="G1804" s="1323">
        <f t="shared" si="195"/>
        <v>2007</v>
      </c>
      <c r="H1804" s="1323">
        <f t="shared" si="196"/>
        <v>6</v>
      </c>
      <c r="I1804" s="1323">
        <f t="shared" si="197"/>
        <v>26</v>
      </c>
      <c r="J1804" s="1323"/>
      <c r="K1804" s="1323"/>
      <c r="L1804" s="1323"/>
      <c r="M1804" s="1323"/>
      <c r="N1804" s="1323"/>
      <c r="O1804" s="1323"/>
      <c r="P1804" s="1323"/>
      <c r="Q1804" s="1323"/>
      <c r="R1804" s="1304"/>
      <c r="S1804" s="1304"/>
      <c r="T1804" s="1304"/>
    </row>
    <row r="1805" spans="1:20">
      <c r="A1805" s="1303"/>
      <c r="B1805" s="1322" t="s">
        <v>5821</v>
      </c>
      <c r="C1805" s="1323" t="s">
        <v>5822</v>
      </c>
      <c r="D1805" s="1324">
        <f t="shared" si="198"/>
        <v>39258</v>
      </c>
      <c r="E1805" s="1323">
        <f t="shared" si="194"/>
        <v>7.1641000000000004</v>
      </c>
      <c r="F1805" s="1323">
        <f t="shared" si="199"/>
        <v>6.9432134554814642</v>
      </c>
      <c r="G1805" s="1323">
        <f t="shared" si="195"/>
        <v>2007</v>
      </c>
      <c r="H1805" s="1323">
        <f t="shared" si="196"/>
        <v>6</v>
      </c>
      <c r="I1805" s="1323">
        <f t="shared" si="197"/>
        <v>25</v>
      </c>
      <c r="J1805" s="1323"/>
      <c r="K1805" s="1323"/>
      <c r="L1805" s="1323"/>
      <c r="M1805" s="1323"/>
      <c r="N1805" s="1323"/>
      <c r="O1805" s="1323"/>
      <c r="P1805" s="1323"/>
      <c r="Q1805" s="1323"/>
      <c r="R1805" s="1304"/>
      <c r="S1805" s="1304"/>
      <c r="T1805" s="1304"/>
    </row>
    <row r="1806" spans="1:20">
      <c r="A1806" s="1303"/>
      <c r="B1806" s="1322" t="s">
        <v>5823</v>
      </c>
      <c r="C1806" s="1323" t="s">
        <v>5824</v>
      </c>
      <c r="D1806" s="1324">
        <f t="shared" si="198"/>
        <v>39255</v>
      </c>
      <c r="E1806" s="1323">
        <f t="shared" si="194"/>
        <v>7.1374000000000004</v>
      </c>
      <c r="F1806" s="1323">
        <f t="shared" si="199"/>
        <v>6.9418821356198386</v>
      </c>
      <c r="G1806" s="1323">
        <f t="shared" si="195"/>
        <v>2007</v>
      </c>
      <c r="H1806" s="1323">
        <f t="shared" si="196"/>
        <v>6</v>
      </c>
      <c r="I1806" s="1323">
        <f t="shared" si="197"/>
        <v>22</v>
      </c>
      <c r="J1806" s="1323"/>
      <c r="K1806" s="1323"/>
      <c r="L1806" s="1323"/>
      <c r="M1806" s="1323"/>
      <c r="N1806" s="1323"/>
      <c r="O1806" s="1323"/>
      <c r="P1806" s="1323"/>
      <c r="Q1806" s="1323"/>
      <c r="R1806" s="1304"/>
      <c r="S1806" s="1304"/>
      <c r="T1806" s="1304"/>
    </row>
    <row r="1807" spans="1:20">
      <c r="A1807" s="1303"/>
      <c r="B1807" s="1322" t="s">
        <v>5825</v>
      </c>
      <c r="C1807" s="1323" t="s">
        <v>5826</v>
      </c>
      <c r="D1807" s="1324">
        <f t="shared" si="198"/>
        <v>39254</v>
      </c>
      <c r="E1807" s="1323">
        <f t="shared" si="194"/>
        <v>7.1571999999999996</v>
      </c>
      <c r="F1807" s="1323">
        <f t="shared" si="199"/>
        <v>6.9405510710308738</v>
      </c>
      <c r="G1807" s="1323">
        <f t="shared" si="195"/>
        <v>2007</v>
      </c>
      <c r="H1807" s="1323">
        <f t="shared" si="196"/>
        <v>6</v>
      </c>
      <c r="I1807" s="1323">
        <f t="shared" si="197"/>
        <v>21</v>
      </c>
      <c r="J1807" s="1323"/>
      <c r="K1807" s="1323"/>
      <c r="L1807" s="1323"/>
      <c r="M1807" s="1323"/>
      <c r="N1807" s="1323"/>
      <c r="O1807" s="1323"/>
      <c r="P1807" s="1323"/>
      <c r="Q1807" s="1323"/>
      <c r="R1807" s="1304"/>
      <c r="S1807" s="1304"/>
      <c r="T1807" s="1304"/>
    </row>
    <row r="1808" spans="1:20">
      <c r="A1808" s="1303"/>
      <c r="B1808" s="1322" t="s">
        <v>5827</v>
      </c>
      <c r="C1808" s="1323" t="s">
        <v>5828</v>
      </c>
      <c r="D1808" s="1324">
        <f t="shared" si="198"/>
        <v>39253</v>
      </c>
      <c r="E1808" s="1323">
        <f t="shared" si="194"/>
        <v>7.0845000000000002</v>
      </c>
      <c r="F1808" s="1323">
        <f t="shared" si="199"/>
        <v>6.9392202616656222</v>
      </c>
      <c r="G1808" s="1323">
        <f t="shared" si="195"/>
        <v>2007</v>
      </c>
      <c r="H1808" s="1323">
        <f t="shared" si="196"/>
        <v>6</v>
      </c>
      <c r="I1808" s="1323">
        <f t="shared" si="197"/>
        <v>20</v>
      </c>
      <c r="J1808" s="1323"/>
      <c r="K1808" s="1323"/>
      <c r="L1808" s="1323"/>
      <c r="M1808" s="1323"/>
      <c r="N1808" s="1323"/>
      <c r="O1808" s="1323"/>
      <c r="P1808" s="1323"/>
      <c r="Q1808" s="1323"/>
      <c r="R1808" s="1304"/>
      <c r="S1808" s="1304"/>
      <c r="T1808" s="1304"/>
    </row>
    <row r="1809" spans="1:20">
      <c r="A1809" s="1303"/>
      <c r="B1809" s="1322" t="s">
        <v>5829</v>
      </c>
      <c r="C1809" s="1323" t="s">
        <v>5830</v>
      </c>
      <c r="D1809" s="1324">
        <f t="shared" si="198"/>
        <v>39252</v>
      </c>
      <c r="E1809" s="1323">
        <f t="shared" si="194"/>
        <v>7.0965999999999996</v>
      </c>
      <c r="F1809" s="1323">
        <f t="shared" si="199"/>
        <v>6.9378897074751471</v>
      </c>
      <c r="G1809" s="1323">
        <f t="shared" si="195"/>
        <v>2007</v>
      </c>
      <c r="H1809" s="1323">
        <f t="shared" si="196"/>
        <v>6</v>
      </c>
      <c r="I1809" s="1323">
        <f t="shared" si="197"/>
        <v>19</v>
      </c>
      <c r="J1809" s="1323"/>
      <c r="K1809" s="1323"/>
      <c r="L1809" s="1323"/>
      <c r="M1809" s="1323"/>
      <c r="N1809" s="1323"/>
      <c r="O1809" s="1323"/>
      <c r="P1809" s="1323"/>
      <c r="Q1809" s="1323"/>
      <c r="R1809" s="1304"/>
      <c r="S1809" s="1304"/>
      <c r="T1809" s="1304"/>
    </row>
    <row r="1810" spans="1:20">
      <c r="A1810" s="1303"/>
      <c r="B1810" s="1322" t="s">
        <v>5831</v>
      </c>
      <c r="C1810" s="1323" t="s">
        <v>5832</v>
      </c>
      <c r="D1810" s="1324">
        <f t="shared" si="198"/>
        <v>39251</v>
      </c>
      <c r="E1810" s="1323">
        <f t="shared" si="194"/>
        <v>7.1032999999999999</v>
      </c>
      <c r="F1810" s="1323">
        <f t="shared" si="199"/>
        <v>6.9365594084105204</v>
      </c>
      <c r="G1810" s="1323">
        <f t="shared" si="195"/>
        <v>2007</v>
      </c>
      <c r="H1810" s="1323">
        <f t="shared" si="196"/>
        <v>6</v>
      </c>
      <c r="I1810" s="1323">
        <f t="shared" si="197"/>
        <v>18</v>
      </c>
      <c r="J1810" s="1323"/>
      <c r="K1810" s="1323"/>
      <c r="L1810" s="1323"/>
      <c r="M1810" s="1323"/>
      <c r="N1810" s="1323"/>
      <c r="O1810" s="1323"/>
      <c r="P1810" s="1323"/>
      <c r="Q1810" s="1323"/>
      <c r="R1810" s="1304"/>
      <c r="S1810" s="1304"/>
      <c r="T1810" s="1304"/>
    </row>
    <row r="1811" spans="1:20">
      <c r="A1811" s="1303"/>
      <c r="B1811" s="1322" t="s">
        <v>5833</v>
      </c>
      <c r="C1811" s="1323" t="s">
        <v>5834</v>
      </c>
      <c r="D1811" s="1324">
        <f t="shared" si="198"/>
        <v>39248</v>
      </c>
      <c r="E1811" s="1323">
        <f t="shared" si="194"/>
        <v>7.1920000000000002</v>
      </c>
      <c r="F1811" s="1323">
        <f t="shared" si="199"/>
        <v>6.9352293644228222</v>
      </c>
      <c r="G1811" s="1323">
        <f t="shared" si="195"/>
        <v>2007</v>
      </c>
      <c r="H1811" s="1323">
        <f t="shared" si="196"/>
        <v>6</v>
      </c>
      <c r="I1811" s="1323">
        <f t="shared" si="197"/>
        <v>15</v>
      </c>
      <c r="J1811" s="1323"/>
      <c r="K1811" s="1323"/>
      <c r="L1811" s="1323"/>
      <c r="M1811" s="1323"/>
      <c r="N1811" s="1323"/>
      <c r="O1811" s="1323"/>
      <c r="P1811" s="1323"/>
      <c r="Q1811" s="1323"/>
      <c r="R1811" s="1304"/>
      <c r="S1811" s="1304"/>
      <c r="T1811" s="1304"/>
    </row>
    <row r="1812" spans="1:20">
      <c r="A1812" s="1303"/>
      <c r="B1812" s="1322" t="s">
        <v>5835</v>
      </c>
      <c r="C1812" s="1323" t="s">
        <v>5836</v>
      </c>
      <c r="D1812" s="1324">
        <f t="shared" si="198"/>
        <v>39247</v>
      </c>
      <c r="E1812" s="1323">
        <f t="shared" si="194"/>
        <v>7.2321</v>
      </c>
      <c r="F1812" s="1323">
        <f t="shared" si="199"/>
        <v>6.9338995754631441</v>
      </c>
      <c r="G1812" s="1323">
        <f t="shared" si="195"/>
        <v>2007</v>
      </c>
      <c r="H1812" s="1323">
        <f t="shared" si="196"/>
        <v>6</v>
      </c>
      <c r="I1812" s="1323">
        <f t="shared" si="197"/>
        <v>14</v>
      </c>
      <c r="J1812" s="1323"/>
      <c r="K1812" s="1323"/>
      <c r="L1812" s="1323"/>
      <c r="M1812" s="1323"/>
      <c r="N1812" s="1323"/>
      <c r="O1812" s="1323"/>
      <c r="P1812" s="1323"/>
      <c r="Q1812" s="1323"/>
      <c r="R1812" s="1304"/>
      <c r="S1812" s="1304"/>
      <c r="T1812" s="1304"/>
    </row>
    <row r="1813" spans="1:20">
      <c r="A1813" s="1303"/>
      <c r="B1813" s="1322" t="s">
        <v>5837</v>
      </c>
      <c r="C1813" s="1323" t="s">
        <v>5838</v>
      </c>
      <c r="D1813" s="1324">
        <f t="shared" si="198"/>
        <v>39246</v>
      </c>
      <c r="E1813" s="1323">
        <f t="shared" si="194"/>
        <v>7.3097000000000003</v>
      </c>
      <c r="F1813" s="1323">
        <f t="shared" si="199"/>
        <v>6.9325700414825855</v>
      </c>
      <c r="G1813" s="1323">
        <f t="shared" si="195"/>
        <v>2007</v>
      </c>
      <c r="H1813" s="1323">
        <f t="shared" si="196"/>
        <v>6</v>
      </c>
      <c r="I1813" s="1323">
        <f t="shared" si="197"/>
        <v>13</v>
      </c>
      <c r="J1813" s="1323"/>
      <c r="K1813" s="1323"/>
      <c r="L1813" s="1323"/>
      <c r="M1813" s="1323"/>
      <c r="N1813" s="1323"/>
      <c r="O1813" s="1323"/>
      <c r="P1813" s="1323"/>
      <c r="Q1813" s="1323"/>
      <c r="R1813" s="1304"/>
      <c r="S1813" s="1304"/>
      <c r="T1813" s="1304"/>
    </row>
    <row r="1814" spans="1:20">
      <c r="A1814" s="1303"/>
      <c r="B1814" s="1322" t="s">
        <v>5839</v>
      </c>
      <c r="C1814" s="1323" t="s">
        <v>5840</v>
      </c>
      <c r="D1814" s="1324">
        <f t="shared" si="198"/>
        <v>39245</v>
      </c>
      <c r="E1814" s="1323">
        <f t="shared" ref="E1814:E1877" si="200">VALUE(C1815)</f>
        <v>7.2286999999999999</v>
      </c>
      <c r="F1814" s="1323">
        <f t="shared" si="199"/>
        <v>6.9312407624322558</v>
      </c>
      <c r="G1814" s="1323">
        <f t="shared" ref="G1814:G1877" si="201">YEAR(B1815)</f>
        <v>2007</v>
      </c>
      <c r="H1814" s="1323">
        <f t="shared" ref="H1814:H1877" si="202">MONTH(B1815)</f>
        <v>6</v>
      </c>
      <c r="I1814" s="1323">
        <f t="shared" ref="I1814:I1877" si="203">DAY(B1815)</f>
        <v>12</v>
      </c>
      <c r="J1814" s="1323"/>
      <c r="K1814" s="1323"/>
      <c r="L1814" s="1323"/>
      <c r="M1814" s="1323"/>
      <c r="N1814" s="1323"/>
      <c r="O1814" s="1323"/>
      <c r="P1814" s="1323"/>
      <c r="Q1814" s="1323"/>
      <c r="R1814" s="1304"/>
      <c r="S1814" s="1304"/>
      <c r="T1814" s="1304"/>
    </row>
    <row r="1815" spans="1:20">
      <c r="A1815" s="1303"/>
      <c r="B1815" s="1322" t="s">
        <v>5841</v>
      </c>
      <c r="C1815" s="1323" t="s">
        <v>5842</v>
      </c>
      <c r="D1815" s="1324">
        <f t="shared" si="198"/>
        <v>39244</v>
      </c>
      <c r="E1815" s="1323">
        <f t="shared" si="200"/>
        <v>7.2483000000000004</v>
      </c>
      <c r="F1815" s="1323">
        <f t="shared" si="199"/>
        <v>6.9299117382632733</v>
      </c>
      <c r="G1815" s="1323">
        <f t="shared" si="201"/>
        <v>2007</v>
      </c>
      <c r="H1815" s="1323">
        <f t="shared" si="202"/>
        <v>6</v>
      </c>
      <c r="I1815" s="1323">
        <f t="shared" si="203"/>
        <v>11</v>
      </c>
      <c r="J1815" s="1323"/>
      <c r="K1815" s="1323"/>
      <c r="L1815" s="1323"/>
      <c r="M1815" s="1323"/>
      <c r="N1815" s="1323"/>
      <c r="O1815" s="1323"/>
      <c r="P1815" s="1323"/>
      <c r="Q1815" s="1323"/>
      <c r="R1815" s="1304"/>
      <c r="S1815" s="1304"/>
      <c r="T1815" s="1304"/>
    </row>
    <row r="1816" spans="1:20">
      <c r="A1816" s="1303"/>
      <c r="B1816" s="1322" t="s">
        <v>5843</v>
      </c>
      <c r="C1816" s="1323" t="s">
        <v>5844</v>
      </c>
      <c r="D1816" s="1324">
        <f t="shared" si="198"/>
        <v>39241</v>
      </c>
      <c r="E1816" s="1323">
        <f t="shared" si="200"/>
        <v>7.282</v>
      </c>
      <c r="F1816" s="1323">
        <f t="shared" si="199"/>
        <v>6.9285829689267668</v>
      </c>
      <c r="G1816" s="1323">
        <f t="shared" si="201"/>
        <v>2007</v>
      </c>
      <c r="H1816" s="1323">
        <f t="shared" si="202"/>
        <v>6</v>
      </c>
      <c r="I1816" s="1323">
        <f t="shared" si="203"/>
        <v>8</v>
      </c>
      <c r="J1816" s="1323"/>
      <c r="K1816" s="1323"/>
      <c r="L1816" s="1323"/>
      <c r="M1816" s="1323"/>
      <c r="N1816" s="1323"/>
      <c r="O1816" s="1323"/>
      <c r="P1816" s="1323"/>
      <c r="Q1816" s="1323"/>
      <c r="R1816" s="1304"/>
      <c r="S1816" s="1304"/>
      <c r="T1816" s="1304"/>
    </row>
    <row r="1817" spans="1:20">
      <c r="A1817" s="1303"/>
      <c r="B1817" s="1322" t="s">
        <v>5845</v>
      </c>
      <c r="C1817" s="1323" t="s">
        <v>5846</v>
      </c>
      <c r="D1817" s="1324">
        <f t="shared" si="198"/>
        <v>39240</v>
      </c>
      <c r="E1817" s="1323">
        <f t="shared" si="200"/>
        <v>7.1890000000000001</v>
      </c>
      <c r="F1817" s="1323">
        <f t="shared" si="199"/>
        <v>6.9272544543738732</v>
      </c>
      <c r="G1817" s="1323">
        <f t="shared" si="201"/>
        <v>2007</v>
      </c>
      <c r="H1817" s="1323">
        <f t="shared" si="202"/>
        <v>6</v>
      </c>
      <c r="I1817" s="1323">
        <f t="shared" si="203"/>
        <v>7</v>
      </c>
      <c r="J1817" s="1323"/>
      <c r="K1817" s="1323"/>
      <c r="L1817" s="1323"/>
      <c r="M1817" s="1323"/>
      <c r="N1817" s="1323"/>
      <c r="O1817" s="1323"/>
      <c r="P1817" s="1323"/>
      <c r="Q1817" s="1323"/>
      <c r="R1817" s="1304"/>
      <c r="S1817" s="1304"/>
      <c r="T1817" s="1304"/>
    </row>
    <row r="1818" spans="1:20">
      <c r="A1818" s="1303"/>
      <c r="B1818" s="1322" t="s">
        <v>5847</v>
      </c>
      <c r="C1818" s="1323" t="s">
        <v>5848</v>
      </c>
      <c r="D1818" s="1324">
        <f t="shared" si="198"/>
        <v>39239</v>
      </c>
      <c r="E1818" s="1323">
        <f t="shared" si="200"/>
        <v>7.1837999999999997</v>
      </c>
      <c r="F1818" s="1323">
        <f t="shared" si="199"/>
        <v>6.9259261945557391</v>
      </c>
      <c r="G1818" s="1323">
        <f t="shared" si="201"/>
        <v>2007</v>
      </c>
      <c r="H1818" s="1323">
        <f t="shared" si="202"/>
        <v>6</v>
      </c>
      <c r="I1818" s="1323">
        <f t="shared" si="203"/>
        <v>6</v>
      </c>
      <c r="J1818" s="1323"/>
      <c r="K1818" s="1323"/>
      <c r="L1818" s="1323"/>
      <c r="M1818" s="1323"/>
      <c r="N1818" s="1323"/>
      <c r="O1818" s="1323"/>
      <c r="P1818" s="1323"/>
      <c r="Q1818" s="1323"/>
      <c r="R1818" s="1304"/>
      <c r="S1818" s="1304"/>
      <c r="T1818" s="1304"/>
    </row>
    <row r="1819" spans="1:20">
      <c r="A1819" s="1303"/>
      <c r="B1819" s="1322" t="s">
        <v>5849</v>
      </c>
      <c r="C1819" s="1323" t="s">
        <v>5850</v>
      </c>
      <c r="D1819" s="1324">
        <f t="shared" si="198"/>
        <v>39238</v>
      </c>
      <c r="E1819" s="1323">
        <f t="shared" si="200"/>
        <v>7.1304999999999996</v>
      </c>
      <c r="F1819" s="1323">
        <f t="shared" si="199"/>
        <v>6.9245981894235209</v>
      </c>
      <c r="G1819" s="1323">
        <f t="shared" si="201"/>
        <v>2007</v>
      </c>
      <c r="H1819" s="1323">
        <f t="shared" si="202"/>
        <v>6</v>
      </c>
      <c r="I1819" s="1323">
        <f t="shared" si="203"/>
        <v>5</v>
      </c>
      <c r="J1819" s="1323"/>
      <c r="K1819" s="1323"/>
      <c r="L1819" s="1323"/>
      <c r="M1819" s="1323"/>
      <c r="N1819" s="1323"/>
      <c r="O1819" s="1323"/>
      <c r="P1819" s="1323"/>
      <c r="Q1819" s="1323"/>
      <c r="R1819" s="1304"/>
      <c r="S1819" s="1304"/>
      <c r="T1819" s="1304"/>
    </row>
    <row r="1820" spans="1:20">
      <c r="A1820" s="1303"/>
      <c r="B1820" s="1322" t="s">
        <v>5851</v>
      </c>
      <c r="C1820" s="1323" t="s">
        <v>5852</v>
      </c>
      <c r="D1820" s="1324">
        <f t="shared" si="198"/>
        <v>39237</v>
      </c>
      <c r="E1820" s="1323">
        <f t="shared" si="200"/>
        <v>7.1402000000000001</v>
      </c>
      <c r="F1820" s="1323">
        <f t="shared" si="199"/>
        <v>6.9232704389283839</v>
      </c>
      <c r="G1820" s="1323">
        <f t="shared" si="201"/>
        <v>2007</v>
      </c>
      <c r="H1820" s="1323">
        <f t="shared" si="202"/>
        <v>6</v>
      </c>
      <c r="I1820" s="1323">
        <f t="shared" si="203"/>
        <v>4</v>
      </c>
      <c r="J1820" s="1323"/>
      <c r="K1820" s="1323"/>
      <c r="L1820" s="1323"/>
      <c r="M1820" s="1323"/>
      <c r="N1820" s="1323"/>
      <c r="O1820" s="1323"/>
      <c r="P1820" s="1323"/>
      <c r="Q1820" s="1323"/>
      <c r="R1820" s="1304"/>
      <c r="S1820" s="1304"/>
      <c r="T1820" s="1304"/>
    </row>
    <row r="1821" spans="1:20">
      <c r="A1821" s="1303"/>
      <c r="B1821" s="1322" t="s">
        <v>5853</v>
      </c>
      <c r="C1821" s="1323" t="s">
        <v>5854</v>
      </c>
      <c r="D1821" s="1324">
        <f t="shared" si="198"/>
        <v>39234</v>
      </c>
      <c r="E1821" s="1323">
        <f t="shared" si="200"/>
        <v>7.1215999999999999</v>
      </c>
      <c r="F1821" s="1323">
        <f t="shared" si="199"/>
        <v>6.9219429430215031</v>
      </c>
      <c r="G1821" s="1323">
        <f t="shared" si="201"/>
        <v>2007</v>
      </c>
      <c r="H1821" s="1323">
        <f t="shared" si="202"/>
        <v>6</v>
      </c>
      <c r="I1821" s="1323">
        <f t="shared" si="203"/>
        <v>1</v>
      </c>
      <c r="J1821" s="1323"/>
      <c r="K1821" s="1323"/>
      <c r="L1821" s="1323"/>
      <c r="M1821" s="1323"/>
      <c r="N1821" s="1323"/>
      <c r="O1821" s="1323"/>
      <c r="P1821" s="1323"/>
      <c r="Q1821" s="1323"/>
      <c r="R1821" s="1304"/>
      <c r="S1821" s="1304"/>
      <c r="T1821" s="1304"/>
    </row>
    <row r="1822" spans="1:20">
      <c r="A1822" s="1303"/>
      <c r="B1822" s="1322" t="s">
        <v>5855</v>
      </c>
      <c r="C1822" s="1323" t="s">
        <v>5856</v>
      </c>
      <c r="D1822" s="1324">
        <f t="shared" si="198"/>
        <v>39233</v>
      </c>
      <c r="E1822" s="1323">
        <f t="shared" si="200"/>
        <v>7.1649000000000003</v>
      </c>
      <c r="F1822" s="1323">
        <f t="shared" si="199"/>
        <v>6.9206157016540626</v>
      </c>
      <c r="G1822" s="1323">
        <f t="shared" si="201"/>
        <v>2007</v>
      </c>
      <c r="H1822" s="1323">
        <f t="shared" si="202"/>
        <v>5</v>
      </c>
      <c r="I1822" s="1323">
        <f t="shared" si="203"/>
        <v>31</v>
      </c>
      <c r="J1822" s="1323"/>
      <c r="K1822" s="1323"/>
      <c r="L1822" s="1323"/>
      <c r="M1822" s="1323"/>
      <c r="N1822" s="1323"/>
      <c r="O1822" s="1323"/>
      <c r="P1822" s="1323"/>
      <c r="Q1822" s="1323"/>
      <c r="R1822" s="1304"/>
      <c r="S1822" s="1304"/>
      <c r="T1822" s="1304"/>
    </row>
    <row r="1823" spans="1:20">
      <c r="A1823" s="1303"/>
      <c r="B1823" s="1322" t="s">
        <v>5857</v>
      </c>
      <c r="C1823" s="1323" t="s">
        <v>5858</v>
      </c>
      <c r="D1823" s="1324">
        <f t="shared" si="198"/>
        <v>39232</v>
      </c>
      <c r="E1823" s="1323">
        <f t="shared" si="200"/>
        <v>7.1657000000000002</v>
      </c>
      <c r="F1823" s="1323">
        <f t="shared" si="199"/>
        <v>6.9192887147772559</v>
      </c>
      <c r="G1823" s="1323">
        <f t="shared" si="201"/>
        <v>2007</v>
      </c>
      <c r="H1823" s="1323">
        <f t="shared" si="202"/>
        <v>5</v>
      </c>
      <c r="I1823" s="1323">
        <f t="shared" si="203"/>
        <v>30</v>
      </c>
      <c r="J1823" s="1323"/>
      <c r="K1823" s="1323"/>
      <c r="L1823" s="1323"/>
      <c r="M1823" s="1323"/>
      <c r="N1823" s="1323"/>
      <c r="O1823" s="1323"/>
      <c r="P1823" s="1323"/>
      <c r="Q1823" s="1323"/>
      <c r="R1823" s="1304"/>
      <c r="S1823" s="1304"/>
      <c r="T1823" s="1304"/>
    </row>
    <row r="1824" spans="1:20">
      <c r="A1824" s="1303"/>
      <c r="B1824" s="1322" t="s">
        <v>5859</v>
      </c>
      <c r="C1824" s="1323" t="s">
        <v>5860</v>
      </c>
      <c r="D1824" s="1324">
        <f t="shared" si="198"/>
        <v>39231</v>
      </c>
      <c r="E1824" s="1323">
        <f t="shared" si="200"/>
        <v>7.1215999999999999</v>
      </c>
      <c r="F1824" s="1323">
        <f t="shared" si="199"/>
        <v>6.9179619823422858</v>
      </c>
      <c r="G1824" s="1323">
        <f t="shared" si="201"/>
        <v>2007</v>
      </c>
      <c r="H1824" s="1323">
        <f t="shared" si="202"/>
        <v>5</v>
      </c>
      <c r="I1824" s="1323">
        <f t="shared" si="203"/>
        <v>29</v>
      </c>
      <c r="J1824" s="1323"/>
      <c r="K1824" s="1323"/>
      <c r="L1824" s="1323"/>
      <c r="M1824" s="1323"/>
      <c r="N1824" s="1323"/>
      <c r="O1824" s="1323"/>
      <c r="P1824" s="1323"/>
      <c r="Q1824" s="1323"/>
      <c r="R1824" s="1304"/>
      <c r="S1824" s="1304"/>
      <c r="T1824" s="1304"/>
    </row>
    <row r="1825" spans="1:20">
      <c r="A1825" s="1303"/>
      <c r="B1825" s="1322" t="s">
        <v>5861</v>
      </c>
      <c r="C1825" s="1323" t="s">
        <v>5856</v>
      </c>
      <c r="D1825" s="1324">
        <f t="shared" si="198"/>
        <v>39230</v>
      </c>
      <c r="E1825" s="1323">
        <f t="shared" si="200"/>
        <v>7.0952999999999999</v>
      </c>
      <c r="F1825" s="1323">
        <f t="shared" si="199"/>
        <v>6.9166355043003653</v>
      </c>
      <c r="G1825" s="1323">
        <f t="shared" si="201"/>
        <v>2007</v>
      </c>
      <c r="H1825" s="1323">
        <f t="shared" si="202"/>
        <v>5</v>
      </c>
      <c r="I1825" s="1323">
        <f t="shared" si="203"/>
        <v>28</v>
      </c>
      <c r="J1825" s="1323"/>
      <c r="K1825" s="1323"/>
      <c r="L1825" s="1323"/>
      <c r="M1825" s="1323"/>
      <c r="N1825" s="1323"/>
      <c r="O1825" s="1323"/>
      <c r="P1825" s="1323"/>
      <c r="Q1825" s="1323"/>
      <c r="R1825" s="1304"/>
      <c r="S1825" s="1304"/>
      <c r="T1825" s="1304"/>
    </row>
    <row r="1826" spans="1:20">
      <c r="A1826" s="1303"/>
      <c r="B1826" s="1322" t="s">
        <v>5862</v>
      </c>
      <c r="C1826" s="1323" t="s">
        <v>5863</v>
      </c>
      <c r="D1826" s="1324">
        <f t="shared" si="198"/>
        <v>39227</v>
      </c>
      <c r="E1826" s="1323">
        <f t="shared" si="200"/>
        <v>7.1261000000000001</v>
      </c>
      <c r="F1826" s="1323">
        <f t="shared" si="199"/>
        <v>6.915309280602715</v>
      </c>
      <c r="G1826" s="1323">
        <f t="shared" si="201"/>
        <v>2007</v>
      </c>
      <c r="H1826" s="1323">
        <f t="shared" si="202"/>
        <v>5</v>
      </c>
      <c r="I1826" s="1323">
        <f t="shared" si="203"/>
        <v>25</v>
      </c>
      <c r="J1826" s="1323"/>
      <c r="K1826" s="1323"/>
      <c r="L1826" s="1323"/>
      <c r="M1826" s="1323"/>
      <c r="N1826" s="1323"/>
      <c r="O1826" s="1323"/>
      <c r="P1826" s="1323"/>
      <c r="Q1826" s="1323"/>
      <c r="R1826" s="1304"/>
      <c r="S1826" s="1304"/>
      <c r="T1826" s="1304"/>
    </row>
    <row r="1827" spans="1:20">
      <c r="A1827" s="1303"/>
      <c r="B1827" s="1322" t="s">
        <v>5864</v>
      </c>
      <c r="C1827" s="1323" t="s">
        <v>5865</v>
      </c>
      <c r="D1827" s="1324">
        <f t="shared" si="198"/>
        <v>39226</v>
      </c>
      <c r="E1827" s="1323">
        <f t="shared" si="200"/>
        <v>7.0892999999999997</v>
      </c>
      <c r="F1827" s="1323">
        <f t="shared" si="199"/>
        <v>6.9139833112005666</v>
      </c>
      <c r="G1827" s="1323">
        <f t="shared" si="201"/>
        <v>2007</v>
      </c>
      <c r="H1827" s="1323">
        <f t="shared" si="202"/>
        <v>5</v>
      </c>
      <c r="I1827" s="1323">
        <f t="shared" si="203"/>
        <v>24</v>
      </c>
      <c r="J1827" s="1323"/>
      <c r="K1827" s="1323"/>
      <c r="L1827" s="1323"/>
      <c r="M1827" s="1323"/>
      <c r="N1827" s="1323"/>
      <c r="O1827" s="1323"/>
      <c r="P1827" s="1323"/>
      <c r="Q1827" s="1323"/>
      <c r="R1827" s="1304"/>
      <c r="S1827" s="1304"/>
      <c r="T1827" s="1304"/>
    </row>
    <row r="1828" spans="1:20">
      <c r="A1828" s="1303"/>
      <c r="B1828" s="1322" t="s">
        <v>5866</v>
      </c>
      <c r="C1828" s="1323" t="s">
        <v>5867</v>
      </c>
      <c r="D1828" s="1324">
        <f t="shared" si="198"/>
        <v>39225</v>
      </c>
      <c r="E1828" s="1323">
        <f t="shared" si="200"/>
        <v>7.0761000000000003</v>
      </c>
      <c r="F1828" s="1323">
        <f t="shared" si="199"/>
        <v>6.9126575960451602</v>
      </c>
      <c r="G1828" s="1323">
        <f t="shared" si="201"/>
        <v>2007</v>
      </c>
      <c r="H1828" s="1323">
        <f t="shared" si="202"/>
        <v>5</v>
      </c>
      <c r="I1828" s="1323">
        <f t="shared" si="203"/>
        <v>23</v>
      </c>
      <c r="J1828" s="1323"/>
      <c r="K1828" s="1323"/>
      <c r="L1828" s="1323"/>
      <c r="M1828" s="1323"/>
      <c r="N1828" s="1323"/>
      <c r="O1828" s="1323"/>
      <c r="P1828" s="1323"/>
      <c r="Q1828" s="1323"/>
      <c r="R1828" s="1304"/>
      <c r="S1828" s="1304"/>
      <c r="T1828" s="1304"/>
    </row>
    <row r="1829" spans="1:20">
      <c r="A1829" s="1303"/>
      <c r="B1829" s="1322" t="s">
        <v>5868</v>
      </c>
      <c r="C1829" s="1323" t="s">
        <v>5869</v>
      </c>
      <c r="D1829" s="1324">
        <f t="shared" si="198"/>
        <v>39224</v>
      </c>
      <c r="E1829" s="1323">
        <f t="shared" si="200"/>
        <v>7.0025000000000004</v>
      </c>
      <c r="F1829" s="1323">
        <f t="shared" si="199"/>
        <v>6.9113321350877461</v>
      </c>
      <c r="G1829" s="1323">
        <f t="shared" si="201"/>
        <v>2007</v>
      </c>
      <c r="H1829" s="1323">
        <f t="shared" si="202"/>
        <v>5</v>
      </c>
      <c r="I1829" s="1323">
        <f t="shared" si="203"/>
        <v>22</v>
      </c>
      <c r="J1829" s="1323"/>
      <c r="K1829" s="1323"/>
      <c r="L1829" s="1323"/>
      <c r="M1829" s="1323"/>
      <c r="N1829" s="1323"/>
      <c r="O1829" s="1323"/>
      <c r="P1829" s="1323"/>
      <c r="Q1829" s="1323"/>
      <c r="R1829" s="1304"/>
      <c r="S1829" s="1304"/>
      <c r="T1829" s="1304"/>
    </row>
    <row r="1830" spans="1:20">
      <c r="A1830" s="1303"/>
      <c r="B1830" s="1322" t="s">
        <v>5870</v>
      </c>
      <c r="C1830" s="1323" t="s">
        <v>5871</v>
      </c>
      <c r="D1830" s="1324">
        <f t="shared" si="198"/>
        <v>39223</v>
      </c>
      <c r="E1830" s="1323">
        <f t="shared" si="200"/>
        <v>6.9955999999999996</v>
      </c>
      <c r="F1830" s="1323">
        <f t="shared" si="199"/>
        <v>6.9100069282795831</v>
      </c>
      <c r="G1830" s="1323">
        <f t="shared" si="201"/>
        <v>2007</v>
      </c>
      <c r="H1830" s="1323">
        <f t="shared" si="202"/>
        <v>5</v>
      </c>
      <c r="I1830" s="1323">
        <f t="shared" si="203"/>
        <v>21</v>
      </c>
      <c r="J1830" s="1323"/>
      <c r="K1830" s="1323"/>
      <c r="L1830" s="1323"/>
      <c r="M1830" s="1323"/>
      <c r="N1830" s="1323"/>
      <c r="O1830" s="1323"/>
      <c r="P1830" s="1323"/>
      <c r="Q1830" s="1323"/>
      <c r="R1830" s="1304"/>
      <c r="S1830" s="1304"/>
      <c r="T1830" s="1304"/>
    </row>
    <row r="1831" spans="1:20">
      <c r="A1831" s="1303"/>
      <c r="B1831" s="1322" t="s">
        <v>5872</v>
      </c>
      <c r="C1831" s="1323" t="s">
        <v>5873</v>
      </c>
      <c r="D1831" s="1324">
        <f t="shared" si="198"/>
        <v>39220</v>
      </c>
      <c r="E1831" s="1323">
        <f t="shared" si="200"/>
        <v>7.0471000000000004</v>
      </c>
      <c r="F1831" s="1323">
        <f t="shared" si="199"/>
        <v>6.9086819755719393</v>
      </c>
      <c r="G1831" s="1323">
        <f t="shared" si="201"/>
        <v>2007</v>
      </c>
      <c r="H1831" s="1323">
        <f t="shared" si="202"/>
        <v>5</v>
      </c>
      <c r="I1831" s="1323">
        <f t="shared" si="203"/>
        <v>18</v>
      </c>
      <c r="J1831" s="1323"/>
      <c r="K1831" s="1323"/>
      <c r="L1831" s="1323"/>
      <c r="M1831" s="1323"/>
      <c r="N1831" s="1323"/>
      <c r="O1831" s="1323"/>
      <c r="P1831" s="1323"/>
      <c r="Q1831" s="1323"/>
      <c r="R1831" s="1304"/>
      <c r="S1831" s="1304"/>
      <c r="T1831" s="1304"/>
    </row>
    <row r="1832" spans="1:20">
      <c r="A1832" s="1303"/>
      <c r="B1832" s="1322" t="s">
        <v>5874</v>
      </c>
      <c r="C1832" s="1323" t="s">
        <v>5875</v>
      </c>
      <c r="D1832" s="1324">
        <f t="shared" si="198"/>
        <v>39219</v>
      </c>
      <c r="E1832" s="1323">
        <f t="shared" si="200"/>
        <v>6.9645999999999999</v>
      </c>
      <c r="F1832" s="1323">
        <f t="shared" si="199"/>
        <v>6.907357276916092</v>
      </c>
      <c r="G1832" s="1323">
        <f t="shared" si="201"/>
        <v>2007</v>
      </c>
      <c r="H1832" s="1323">
        <f t="shared" si="202"/>
        <v>5</v>
      </c>
      <c r="I1832" s="1323">
        <f t="shared" si="203"/>
        <v>17</v>
      </c>
      <c r="J1832" s="1323"/>
      <c r="K1832" s="1323"/>
      <c r="L1832" s="1323"/>
      <c r="M1832" s="1323"/>
      <c r="N1832" s="1323"/>
      <c r="O1832" s="1323"/>
      <c r="P1832" s="1323"/>
      <c r="Q1832" s="1323"/>
      <c r="R1832" s="1304"/>
      <c r="S1832" s="1304"/>
      <c r="T1832" s="1304"/>
    </row>
    <row r="1833" spans="1:20">
      <c r="A1833" s="1303"/>
      <c r="B1833" s="1322" t="s">
        <v>5876</v>
      </c>
      <c r="C1833" s="1323" t="s">
        <v>5877</v>
      </c>
      <c r="D1833" s="1324">
        <f t="shared" si="198"/>
        <v>39218</v>
      </c>
      <c r="E1833" s="1323">
        <f t="shared" si="200"/>
        <v>6.9301000000000004</v>
      </c>
      <c r="F1833" s="1323">
        <f t="shared" si="199"/>
        <v>6.9060328322633291</v>
      </c>
      <c r="G1833" s="1323">
        <f t="shared" si="201"/>
        <v>2007</v>
      </c>
      <c r="H1833" s="1323">
        <f t="shared" si="202"/>
        <v>5</v>
      </c>
      <c r="I1833" s="1323">
        <f t="shared" si="203"/>
        <v>16</v>
      </c>
      <c r="J1833" s="1323"/>
      <c r="K1833" s="1323"/>
      <c r="L1833" s="1323"/>
      <c r="M1833" s="1323"/>
      <c r="N1833" s="1323"/>
      <c r="O1833" s="1323"/>
      <c r="P1833" s="1323"/>
      <c r="Q1833" s="1323"/>
      <c r="R1833" s="1304"/>
      <c r="S1833" s="1304"/>
      <c r="T1833" s="1304"/>
    </row>
    <row r="1834" spans="1:20">
      <c r="A1834" s="1303"/>
      <c r="B1834" s="1322" t="s">
        <v>5878</v>
      </c>
      <c r="C1834" s="1323" t="s">
        <v>5879</v>
      </c>
      <c r="D1834" s="1324">
        <f t="shared" si="198"/>
        <v>39217</v>
      </c>
      <c r="E1834" s="1323">
        <f t="shared" si="200"/>
        <v>6.9795999999999996</v>
      </c>
      <c r="F1834" s="1323">
        <f t="shared" si="199"/>
        <v>6.9047086415649463</v>
      </c>
      <c r="G1834" s="1323">
        <f t="shared" si="201"/>
        <v>2007</v>
      </c>
      <c r="H1834" s="1323">
        <f t="shared" si="202"/>
        <v>5</v>
      </c>
      <c r="I1834" s="1323">
        <f t="shared" si="203"/>
        <v>15</v>
      </c>
      <c r="J1834" s="1323"/>
      <c r="K1834" s="1323"/>
      <c r="L1834" s="1323"/>
      <c r="M1834" s="1323"/>
      <c r="N1834" s="1323"/>
      <c r="O1834" s="1323"/>
      <c r="P1834" s="1323"/>
      <c r="Q1834" s="1323"/>
      <c r="R1834" s="1304"/>
      <c r="S1834" s="1304"/>
      <c r="T1834" s="1304"/>
    </row>
    <row r="1835" spans="1:20">
      <c r="A1835" s="1303"/>
      <c r="B1835" s="1322" t="s">
        <v>5880</v>
      </c>
      <c r="C1835" s="1323" t="s">
        <v>5881</v>
      </c>
      <c r="D1835" s="1324">
        <f t="shared" si="198"/>
        <v>39216</v>
      </c>
      <c r="E1835" s="1323">
        <f t="shared" si="200"/>
        <v>6.9360999999999997</v>
      </c>
      <c r="F1835" s="1323">
        <f t="shared" si="199"/>
        <v>6.9033847047722503</v>
      </c>
      <c r="G1835" s="1323">
        <f t="shared" si="201"/>
        <v>2007</v>
      </c>
      <c r="H1835" s="1323">
        <f t="shared" si="202"/>
        <v>5</v>
      </c>
      <c r="I1835" s="1323">
        <f t="shared" si="203"/>
        <v>14</v>
      </c>
      <c r="J1835" s="1323"/>
      <c r="K1835" s="1323"/>
      <c r="L1835" s="1323"/>
      <c r="M1835" s="1323"/>
      <c r="N1835" s="1323"/>
      <c r="O1835" s="1323"/>
      <c r="P1835" s="1323"/>
      <c r="Q1835" s="1323"/>
      <c r="R1835" s="1304"/>
      <c r="S1835" s="1304"/>
      <c r="T1835" s="1304"/>
    </row>
    <row r="1836" spans="1:20">
      <c r="A1836" s="1303"/>
      <c r="B1836" s="1322" t="s">
        <v>5882</v>
      </c>
      <c r="C1836" s="1323" t="s">
        <v>5883</v>
      </c>
      <c r="D1836" s="1324">
        <f t="shared" si="198"/>
        <v>39213</v>
      </c>
      <c r="E1836" s="1323">
        <f t="shared" si="200"/>
        <v>7.0153999999999996</v>
      </c>
      <c r="F1836" s="1323">
        <f t="shared" si="199"/>
        <v>6.9020610218365555</v>
      </c>
      <c r="G1836" s="1323">
        <f t="shared" si="201"/>
        <v>2007</v>
      </c>
      <c r="H1836" s="1323">
        <f t="shared" si="202"/>
        <v>5</v>
      </c>
      <c r="I1836" s="1323">
        <f t="shared" si="203"/>
        <v>11</v>
      </c>
      <c r="J1836" s="1323"/>
      <c r="K1836" s="1323"/>
      <c r="L1836" s="1323"/>
      <c r="M1836" s="1323"/>
      <c r="N1836" s="1323"/>
      <c r="O1836" s="1323"/>
      <c r="P1836" s="1323"/>
      <c r="Q1836" s="1323"/>
      <c r="R1836" s="1304"/>
      <c r="S1836" s="1304"/>
      <c r="T1836" s="1304"/>
    </row>
    <row r="1837" spans="1:20">
      <c r="A1837" s="1303"/>
      <c r="B1837" s="1322" t="s">
        <v>5884</v>
      </c>
      <c r="C1837" s="1323" t="s">
        <v>5885</v>
      </c>
      <c r="D1837" s="1324">
        <f t="shared" si="198"/>
        <v>39212</v>
      </c>
      <c r="E1837" s="1323">
        <f t="shared" si="200"/>
        <v>6.9053000000000004</v>
      </c>
      <c r="F1837" s="1323">
        <f t="shared" si="199"/>
        <v>6.9007375927091861</v>
      </c>
      <c r="G1837" s="1323">
        <f t="shared" si="201"/>
        <v>2007</v>
      </c>
      <c r="H1837" s="1323">
        <f t="shared" si="202"/>
        <v>5</v>
      </c>
      <c r="I1837" s="1323">
        <f t="shared" si="203"/>
        <v>10</v>
      </c>
      <c r="J1837" s="1323"/>
      <c r="K1837" s="1323"/>
      <c r="L1837" s="1323"/>
      <c r="M1837" s="1323"/>
      <c r="N1837" s="1323"/>
      <c r="O1837" s="1323"/>
      <c r="P1837" s="1323"/>
      <c r="Q1837" s="1323"/>
      <c r="R1837" s="1304"/>
      <c r="S1837" s="1304"/>
      <c r="T1837" s="1304"/>
    </row>
    <row r="1838" spans="1:20">
      <c r="A1838" s="1303"/>
      <c r="B1838" s="1322" t="s">
        <v>5886</v>
      </c>
      <c r="C1838" s="1323" t="s">
        <v>5887</v>
      </c>
      <c r="D1838" s="1324">
        <f t="shared" si="198"/>
        <v>39211</v>
      </c>
      <c r="E1838" s="1323">
        <f t="shared" si="200"/>
        <v>6.9263000000000003</v>
      </c>
      <c r="F1838" s="1323">
        <f t="shared" si="199"/>
        <v>6.8994144173414762</v>
      </c>
      <c r="G1838" s="1323">
        <f t="shared" si="201"/>
        <v>2007</v>
      </c>
      <c r="H1838" s="1323">
        <f t="shared" si="202"/>
        <v>5</v>
      </c>
      <c r="I1838" s="1323">
        <f t="shared" si="203"/>
        <v>9</v>
      </c>
      <c r="J1838" s="1323"/>
      <c r="K1838" s="1323"/>
      <c r="L1838" s="1323"/>
      <c r="M1838" s="1323"/>
      <c r="N1838" s="1323"/>
      <c r="O1838" s="1323"/>
      <c r="P1838" s="1323"/>
      <c r="Q1838" s="1323"/>
      <c r="R1838" s="1304"/>
      <c r="S1838" s="1304"/>
      <c r="T1838" s="1304"/>
    </row>
    <row r="1839" spans="1:20">
      <c r="A1839" s="1303"/>
      <c r="B1839" s="1322" t="s">
        <v>5888</v>
      </c>
      <c r="C1839" s="1323" t="s">
        <v>5889</v>
      </c>
      <c r="D1839" s="1324">
        <f t="shared" si="198"/>
        <v>39210</v>
      </c>
      <c r="E1839" s="1323">
        <f t="shared" si="200"/>
        <v>6.9127999999999998</v>
      </c>
      <c r="F1839" s="1323">
        <f t="shared" si="199"/>
        <v>6.8980914956847696</v>
      </c>
      <c r="G1839" s="1323">
        <f t="shared" si="201"/>
        <v>2007</v>
      </c>
      <c r="H1839" s="1323">
        <f t="shared" si="202"/>
        <v>5</v>
      </c>
      <c r="I1839" s="1323">
        <f t="shared" si="203"/>
        <v>8</v>
      </c>
      <c r="J1839" s="1323"/>
      <c r="K1839" s="1323"/>
      <c r="L1839" s="1323"/>
      <c r="M1839" s="1323"/>
      <c r="N1839" s="1323"/>
      <c r="O1839" s="1323"/>
      <c r="P1839" s="1323"/>
      <c r="Q1839" s="1323"/>
      <c r="R1839" s="1304"/>
      <c r="S1839" s="1304"/>
      <c r="T1839" s="1304"/>
    </row>
    <row r="1840" spans="1:20">
      <c r="A1840" s="1303"/>
      <c r="B1840" s="1322" t="s">
        <v>5890</v>
      </c>
      <c r="C1840" s="1323" t="s">
        <v>5891</v>
      </c>
      <c r="D1840" s="1324">
        <f t="shared" si="198"/>
        <v>39209</v>
      </c>
      <c r="E1840" s="1323">
        <f t="shared" si="200"/>
        <v>6.9385000000000003</v>
      </c>
      <c r="F1840" s="1323">
        <f t="shared" si="199"/>
        <v>6.8967688276904182</v>
      </c>
      <c r="G1840" s="1323">
        <f t="shared" si="201"/>
        <v>2007</v>
      </c>
      <c r="H1840" s="1323">
        <f t="shared" si="202"/>
        <v>5</v>
      </c>
      <c r="I1840" s="1323">
        <f t="shared" si="203"/>
        <v>7</v>
      </c>
      <c r="J1840" s="1323"/>
      <c r="K1840" s="1323"/>
      <c r="L1840" s="1323"/>
      <c r="M1840" s="1323"/>
      <c r="N1840" s="1323"/>
      <c r="O1840" s="1323"/>
      <c r="P1840" s="1323"/>
      <c r="Q1840" s="1323"/>
      <c r="R1840" s="1304"/>
      <c r="S1840" s="1304"/>
      <c r="T1840" s="1304"/>
    </row>
    <row r="1841" spans="1:20">
      <c r="A1841" s="1303"/>
      <c r="B1841" s="1322" t="s">
        <v>5892</v>
      </c>
      <c r="C1841" s="1323" t="s">
        <v>5893</v>
      </c>
      <c r="D1841" s="1324">
        <f t="shared" si="198"/>
        <v>39206</v>
      </c>
      <c r="E1841" s="1323">
        <f t="shared" si="200"/>
        <v>7.0137</v>
      </c>
      <c r="F1841" s="1323">
        <f t="shared" si="199"/>
        <v>6.8954464133097835</v>
      </c>
      <c r="G1841" s="1323">
        <f t="shared" si="201"/>
        <v>2007</v>
      </c>
      <c r="H1841" s="1323">
        <f t="shared" si="202"/>
        <v>5</v>
      </c>
      <c r="I1841" s="1323">
        <f t="shared" si="203"/>
        <v>4</v>
      </c>
      <c r="J1841" s="1323"/>
      <c r="K1841" s="1323"/>
      <c r="L1841" s="1323"/>
      <c r="M1841" s="1323"/>
      <c r="N1841" s="1323"/>
      <c r="O1841" s="1323"/>
      <c r="P1841" s="1323"/>
      <c r="Q1841" s="1323"/>
      <c r="R1841" s="1304"/>
      <c r="S1841" s="1304"/>
      <c r="T1841" s="1304"/>
    </row>
    <row r="1842" spans="1:20">
      <c r="A1842" s="1303"/>
      <c r="B1842" s="1322" t="s">
        <v>5894</v>
      </c>
      <c r="C1842" s="1323" t="s">
        <v>5895</v>
      </c>
      <c r="D1842" s="1324">
        <f t="shared" si="198"/>
        <v>39205</v>
      </c>
      <c r="E1842" s="1323">
        <f t="shared" si="200"/>
        <v>6.9859999999999998</v>
      </c>
      <c r="F1842" s="1323">
        <f t="shared" si="199"/>
        <v>6.8941242524942368</v>
      </c>
      <c r="G1842" s="1323">
        <f t="shared" si="201"/>
        <v>2007</v>
      </c>
      <c r="H1842" s="1323">
        <f t="shared" si="202"/>
        <v>5</v>
      </c>
      <c r="I1842" s="1323">
        <f t="shared" si="203"/>
        <v>3</v>
      </c>
      <c r="J1842" s="1323"/>
      <c r="K1842" s="1323"/>
      <c r="L1842" s="1323"/>
      <c r="M1842" s="1323"/>
      <c r="N1842" s="1323"/>
      <c r="O1842" s="1323"/>
      <c r="P1842" s="1323"/>
      <c r="Q1842" s="1323"/>
      <c r="R1842" s="1304"/>
      <c r="S1842" s="1304"/>
      <c r="T1842" s="1304"/>
    </row>
    <row r="1843" spans="1:20">
      <c r="A1843" s="1303"/>
      <c r="B1843" s="1322" t="s">
        <v>5896</v>
      </c>
      <c r="C1843" s="1323" t="s">
        <v>5897</v>
      </c>
      <c r="D1843" s="1324">
        <f t="shared" si="198"/>
        <v>39204</v>
      </c>
      <c r="E1843" s="1323">
        <f t="shared" si="200"/>
        <v>7.0388000000000002</v>
      </c>
      <c r="F1843" s="1323">
        <f t="shared" si="199"/>
        <v>6.8928023451951583</v>
      </c>
      <c r="G1843" s="1323">
        <f t="shared" si="201"/>
        <v>2007</v>
      </c>
      <c r="H1843" s="1323">
        <f t="shared" si="202"/>
        <v>5</v>
      </c>
      <c r="I1843" s="1323">
        <f t="shared" si="203"/>
        <v>2</v>
      </c>
      <c r="J1843" s="1323"/>
      <c r="K1843" s="1323"/>
      <c r="L1843" s="1323"/>
      <c r="M1843" s="1323"/>
      <c r="N1843" s="1323"/>
      <c r="O1843" s="1323"/>
      <c r="P1843" s="1323"/>
      <c r="Q1843" s="1323"/>
      <c r="R1843" s="1304"/>
      <c r="S1843" s="1304"/>
      <c r="T1843" s="1304"/>
    </row>
    <row r="1844" spans="1:20">
      <c r="A1844" s="1303"/>
      <c r="B1844" s="1322" t="s">
        <v>5898</v>
      </c>
      <c r="C1844" s="1323" t="s">
        <v>5899</v>
      </c>
      <c r="D1844" s="1324">
        <f t="shared" si="198"/>
        <v>39202</v>
      </c>
      <c r="E1844" s="1323">
        <f t="shared" si="200"/>
        <v>7.1241000000000003</v>
      </c>
      <c r="F1844" s="1323">
        <f t="shared" si="199"/>
        <v>6.8914806913639373</v>
      </c>
      <c r="G1844" s="1323">
        <f t="shared" si="201"/>
        <v>2007</v>
      </c>
      <c r="H1844" s="1323">
        <f t="shared" si="202"/>
        <v>4</v>
      </c>
      <c r="I1844" s="1323">
        <f t="shared" si="203"/>
        <v>30</v>
      </c>
      <c r="J1844" s="1323"/>
      <c r="K1844" s="1323"/>
      <c r="L1844" s="1323"/>
      <c r="M1844" s="1323"/>
      <c r="N1844" s="1323"/>
      <c r="O1844" s="1323"/>
      <c r="P1844" s="1323"/>
      <c r="Q1844" s="1323"/>
      <c r="R1844" s="1304"/>
      <c r="S1844" s="1304"/>
      <c r="T1844" s="1304"/>
    </row>
    <row r="1845" spans="1:20">
      <c r="A1845" s="1303"/>
      <c r="B1845" s="1322" t="s">
        <v>5900</v>
      </c>
      <c r="C1845" s="1323" t="s">
        <v>5901</v>
      </c>
      <c r="D1845" s="1324">
        <f t="shared" si="198"/>
        <v>39199</v>
      </c>
      <c r="E1845" s="1323">
        <f t="shared" si="200"/>
        <v>7.0823999999999998</v>
      </c>
      <c r="F1845" s="1323">
        <f t="shared" si="199"/>
        <v>6.8901592909519733</v>
      </c>
      <c r="G1845" s="1323">
        <f t="shared" si="201"/>
        <v>2007</v>
      </c>
      <c r="H1845" s="1323">
        <f t="shared" si="202"/>
        <v>4</v>
      </c>
      <c r="I1845" s="1323">
        <f t="shared" si="203"/>
        <v>27</v>
      </c>
      <c r="J1845" s="1323"/>
      <c r="K1845" s="1323"/>
      <c r="L1845" s="1323"/>
      <c r="M1845" s="1323"/>
      <c r="N1845" s="1323"/>
      <c r="O1845" s="1323"/>
      <c r="P1845" s="1323"/>
      <c r="Q1845" s="1323"/>
      <c r="R1845" s="1304"/>
      <c r="S1845" s="1304"/>
      <c r="T1845" s="1304"/>
    </row>
    <row r="1846" spans="1:20">
      <c r="A1846" s="1303"/>
      <c r="B1846" s="1322" t="s">
        <v>5902</v>
      </c>
      <c r="C1846" s="1323" t="s">
        <v>5903</v>
      </c>
      <c r="D1846" s="1324">
        <f t="shared" si="198"/>
        <v>39198</v>
      </c>
      <c r="E1846" s="1323">
        <f t="shared" si="200"/>
        <v>6.9721000000000002</v>
      </c>
      <c r="F1846" s="1323">
        <f t="shared" si="199"/>
        <v>6.8888381439106752</v>
      </c>
      <c r="G1846" s="1323">
        <f t="shared" si="201"/>
        <v>2007</v>
      </c>
      <c r="H1846" s="1323">
        <f t="shared" si="202"/>
        <v>4</v>
      </c>
      <c r="I1846" s="1323">
        <f t="shared" si="203"/>
        <v>26</v>
      </c>
      <c r="J1846" s="1323"/>
      <c r="K1846" s="1323"/>
      <c r="L1846" s="1323"/>
      <c r="M1846" s="1323"/>
      <c r="N1846" s="1323"/>
      <c r="O1846" s="1323"/>
      <c r="P1846" s="1323"/>
      <c r="Q1846" s="1323"/>
      <c r="R1846" s="1304"/>
      <c r="S1846" s="1304"/>
      <c r="T1846" s="1304"/>
    </row>
    <row r="1847" spans="1:20">
      <c r="A1847" s="1303"/>
      <c r="B1847" s="1322" t="s">
        <v>5904</v>
      </c>
      <c r="C1847" s="1323" t="s">
        <v>5905</v>
      </c>
      <c r="D1847" s="1324">
        <f t="shared" si="198"/>
        <v>39197</v>
      </c>
      <c r="E1847" s="1323">
        <f t="shared" si="200"/>
        <v>7.0285000000000002</v>
      </c>
      <c r="F1847" s="1323">
        <f t="shared" si="199"/>
        <v>6.8875172501914603</v>
      </c>
      <c r="G1847" s="1323">
        <f t="shared" si="201"/>
        <v>2007</v>
      </c>
      <c r="H1847" s="1323">
        <f t="shared" si="202"/>
        <v>4</v>
      </c>
      <c r="I1847" s="1323">
        <f t="shared" si="203"/>
        <v>25</v>
      </c>
      <c r="J1847" s="1323"/>
      <c r="K1847" s="1323"/>
      <c r="L1847" s="1323"/>
      <c r="M1847" s="1323"/>
      <c r="N1847" s="1323"/>
      <c r="O1847" s="1323"/>
      <c r="P1847" s="1323"/>
      <c r="Q1847" s="1323"/>
      <c r="R1847" s="1304"/>
      <c r="S1847" s="1304"/>
      <c r="T1847" s="1304"/>
    </row>
    <row r="1848" spans="1:20">
      <c r="A1848" s="1303"/>
      <c r="B1848" s="1322" t="s">
        <v>5906</v>
      </c>
      <c r="C1848" s="1323" t="s">
        <v>5907</v>
      </c>
      <c r="D1848" s="1324">
        <f t="shared" si="198"/>
        <v>39196</v>
      </c>
      <c r="E1848" s="1323">
        <f t="shared" si="200"/>
        <v>7.1052999999999997</v>
      </c>
      <c r="F1848" s="1323">
        <f t="shared" si="199"/>
        <v>6.8861966097457552</v>
      </c>
      <c r="G1848" s="1323">
        <f t="shared" si="201"/>
        <v>2007</v>
      </c>
      <c r="H1848" s="1323">
        <f t="shared" si="202"/>
        <v>4</v>
      </c>
      <c r="I1848" s="1323">
        <f t="shared" si="203"/>
        <v>24</v>
      </c>
      <c r="J1848" s="1323"/>
      <c r="K1848" s="1323"/>
      <c r="L1848" s="1323"/>
      <c r="M1848" s="1323"/>
      <c r="N1848" s="1323"/>
      <c r="O1848" s="1323"/>
      <c r="P1848" s="1323"/>
      <c r="Q1848" s="1323"/>
      <c r="R1848" s="1304"/>
      <c r="S1848" s="1304"/>
      <c r="T1848" s="1304"/>
    </row>
    <row r="1849" spans="1:20">
      <c r="A1849" s="1303"/>
      <c r="B1849" s="1322" t="s">
        <v>5908</v>
      </c>
      <c r="C1849" s="1323" t="s">
        <v>5909</v>
      </c>
      <c r="D1849" s="1324">
        <f t="shared" si="198"/>
        <v>39195</v>
      </c>
      <c r="E1849" s="1323">
        <f t="shared" si="200"/>
        <v>7.0437000000000003</v>
      </c>
      <c r="F1849" s="1323">
        <f t="shared" si="199"/>
        <v>6.8848762225249969</v>
      </c>
      <c r="G1849" s="1323">
        <f t="shared" si="201"/>
        <v>2007</v>
      </c>
      <c r="H1849" s="1323">
        <f t="shared" si="202"/>
        <v>4</v>
      </c>
      <c r="I1849" s="1323">
        <f t="shared" si="203"/>
        <v>23</v>
      </c>
      <c r="J1849" s="1323"/>
      <c r="K1849" s="1323"/>
      <c r="L1849" s="1323"/>
      <c r="M1849" s="1323"/>
      <c r="N1849" s="1323"/>
      <c r="O1849" s="1323"/>
      <c r="P1849" s="1323"/>
      <c r="Q1849" s="1323"/>
      <c r="R1849" s="1304"/>
      <c r="S1849" s="1304"/>
      <c r="T1849" s="1304"/>
    </row>
    <row r="1850" spans="1:20">
      <c r="A1850" s="1303"/>
      <c r="B1850" s="1322" t="s">
        <v>5910</v>
      </c>
      <c r="C1850" s="1323" t="s">
        <v>5911</v>
      </c>
      <c r="D1850" s="1324">
        <f t="shared" si="198"/>
        <v>39192</v>
      </c>
      <c r="E1850" s="1323">
        <f t="shared" si="200"/>
        <v>7.0377999999999998</v>
      </c>
      <c r="F1850" s="1323">
        <f t="shared" si="199"/>
        <v>6.8835560884806304</v>
      </c>
      <c r="G1850" s="1323">
        <f t="shared" si="201"/>
        <v>2007</v>
      </c>
      <c r="H1850" s="1323">
        <f t="shared" si="202"/>
        <v>4</v>
      </c>
      <c r="I1850" s="1323">
        <f t="shared" si="203"/>
        <v>20</v>
      </c>
      <c r="J1850" s="1323"/>
      <c r="K1850" s="1323"/>
      <c r="L1850" s="1323"/>
      <c r="M1850" s="1323"/>
      <c r="N1850" s="1323"/>
      <c r="O1850" s="1323"/>
      <c r="P1850" s="1323"/>
      <c r="Q1850" s="1323"/>
      <c r="R1850" s="1304"/>
      <c r="S1850" s="1304"/>
      <c r="T1850" s="1304"/>
    </row>
    <row r="1851" spans="1:20">
      <c r="A1851" s="1303"/>
      <c r="B1851" s="1322" t="s">
        <v>5912</v>
      </c>
      <c r="C1851" s="1323" t="s">
        <v>5913</v>
      </c>
      <c r="D1851" s="1324">
        <f t="shared" si="198"/>
        <v>39191</v>
      </c>
      <c r="E1851" s="1323">
        <f t="shared" si="200"/>
        <v>7.1313000000000004</v>
      </c>
      <c r="F1851" s="1323">
        <f t="shared" si="199"/>
        <v>6.8822362075641106</v>
      </c>
      <c r="G1851" s="1323">
        <f t="shared" si="201"/>
        <v>2007</v>
      </c>
      <c r="H1851" s="1323">
        <f t="shared" si="202"/>
        <v>4</v>
      </c>
      <c r="I1851" s="1323">
        <f t="shared" si="203"/>
        <v>19</v>
      </c>
      <c r="J1851" s="1323"/>
      <c r="K1851" s="1323"/>
      <c r="L1851" s="1323"/>
      <c r="M1851" s="1323"/>
      <c r="N1851" s="1323"/>
      <c r="O1851" s="1323"/>
      <c r="P1851" s="1323"/>
      <c r="Q1851" s="1323"/>
      <c r="R1851" s="1304"/>
      <c r="S1851" s="1304"/>
      <c r="T1851" s="1304"/>
    </row>
    <row r="1852" spans="1:20">
      <c r="A1852" s="1303"/>
      <c r="B1852" s="1322" t="s">
        <v>5914</v>
      </c>
      <c r="C1852" s="1323" t="s">
        <v>5915</v>
      </c>
      <c r="D1852" s="1324">
        <f t="shared" si="198"/>
        <v>39190</v>
      </c>
      <c r="E1852" s="1323">
        <f t="shared" si="200"/>
        <v>7.0583</v>
      </c>
      <c r="F1852" s="1323">
        <f t="shared" si="199"/>
        <v>6.8809165797269021</v>
      </c>
      <c r="G1852" s="1323">
        <f t="shared" si="201"/>
        <v>2007</v>
      </c>
      <c r="H1852" s="1323">
        <f t="shared" si="202"/>
        <v>4</v>
      </c>
      <c r="I1852" s="1323">
        <f t="shared" si="203"/>
        <v>18</v>
      </c>
      <c r="J1852" s="1323"/>
      <c r="K1852" s="1323"/>
      <c r="L1852" s="1323"/>
      <c r="M1852" s="1323"/>
      <c r="N1852" s="1323"/>
      <c r="O1852" s="1323"/>
      <c r="P1852" s="1323"/>
      <c r="Q1852" s="1323"/>
      <c r="R1852" s="1304"/>
      <c r="S1852" s="1304"/>
      <c r="T1852" s="1304"/>
    </row>
    <row r="1853" spans="1:20">
      <c r="A1853" s="1303"/>
      <c r="B1853" s="1322" t="s">
        <v>5916</v>
      </c>
      <c r="C1853" s="1323" t="s">
        <v>5917</v>
      </c>
      <c r="D1853" s="1324">
        <f t="shared" si="198"/>
        <v>39189</v>
      </c>
      <c r="E1853" s="1323">
        <f t="shared" si="200"/>
        <v>7.1173000000000002</v>
      </c>
      <c r="F1853" s="1323">
        <f t="shared" si="199"/>
        <v>6.8795972049204783</v>
      </c>
      <c r="G1853" s="1323">
        <f t="shared" si="201"/>
        <v>2007</v>
      </c>
      <c r="H1853" s="1323">
        <f t="shared" si="202"/>
        <v>4</v>
      </c>
      <c r="I1853" s="1323">
        <f t="shared" si="203"/>
        <v>17</v>
      </c>
      <c r="J1853" s="1323"/>
      <c r="K1853" s="1323"/>
      <c r="L1853" s="1323"/>
      <c r="M1853" s="1323"/>
      <c r="N1853" s="1323"/>
      <c r="O1853" s="1323"/>
      <c r="P1853" s="1323"/>
      <c r="Q1853" s="1323"/>
      <c r="R1853" s="1304"/>
      <c r="S1853" s="1304"/>
      <c r="T1853" s="1304"/>
    </row>
    <row r="1854" spans="1:20">
      <c r="A1854" s="1303"/>
      <c r="B1854" s="1322" t="s">
        <v>5918</v>
      </c>
      <c r="C1854" s="1323" t="s">
        <v>5919</v>
      </c>
      <c r="D1854" s="1324">
        <f t="shared" si="198"/>
        <v>39188</v>
      </c>
      <c r="E1854" s="1323">
        <f t="shared" si="200"/>
        <v>7.1329000000000002</v>
      </c>
      <c r="F1854" s="1323">
        <f t="shared" si="199"/>
        <v>6.8782780830963226</v>
      </c>
      <c r="G1854" s="1323">
        <f t="shared" si="201"/>
        <v>2007</v>
      </c>
      <c r="H1854" s="1323">
        <f t="shared" si="202"/>
        <v>4</v>
      </c>
      <c r="I1854" s="1323">
        <f t="shared" si="203"/>
        <v>16</v>
      </c>
      <c r="J1854" s="1323"/>
      <c r="K1854" s="1323"/>
      <c r="L1854" s="1323"/>
      <c r="M1854" s="1323"/>
      <c r="N1854" s="1323"/>
      <c r="O1854" s="1323"/>
      <c r="P1854" s="1323"/>
      <c r="Q1854" s="1323"/>
      <c r="R1854" s="1304"/>
      <c r="S1854" s="1304"/>
      <c r="T1854" s="1304"/>
    </row>
    <row r="1855" spans="1:20">
      <c r="A1855" s="1303"/>
      <c r="B1855" s="1322" t="s">
        <v>5920</v>
      </c>
      <c r="C1855" s="1323" t="s">
        <v>5921</v>
      </c>
      <c r="D1855" s="1324">
        <f t="shared" si="198"/>
        <v>39185</v>
      </c>
      <c r="E1855" s="1323">
        <f t="shared" si="200"/>
        <v>7.1711999999999998</v>
      </c>
      <c r="F1855" s="1323">
        <f t="shared" si="199"/>
        <v>6.876959214205927</v>
      </c>
      <c r="G1855" s="1323">
        <f t="shared" si="201"/>
        <v>2007</v>
      </c>
      <c r="H1855" s="1323">
        <f t="shared" si="202"/>
        <v>4</v>
      </c>
      <c r="I1855" s="1323">
        <f t="shared" si="203"/>
        <v>13</v>
      </c>
      <c r="J1855" s="1323"/>
      <c r="K1855" s="1323"/>
      <c r="L1855" s="1323"/>
      <c r="M1855" s="1323"/>
      <c r="N1855" s="1323"/>
      <c r="O1855" s="1323"/>
      <c r="P1855" s="1323"/>
      <c r="Q1855" s="1323"/>
      <c r="R1855" s="1304"/>
      <c r="S1855" s="1304"/>
      <c r="T1855" s="1304"/>
    </row>
    <row r="1856" spans="1:20">
      <c r="A1856" s="1303"/>
      <c r="B1856" s="1322" t="s">
        <v>5922</v>
      </c>
      <c r="C1856" s="1323" t="s">
        <v>5923</v>
      </c>
      <c r="D1856" s="1324">
        <f t="shared" si="198"/>
        <v>39184</v>
      </c>
      <c r="E1856" s="1323">
        <f t="shared" si="200"/>
        <v>7.1810999999999998</v>
      </c>
      <c r="F1856" s="1323">
        <f t="shared" si="199"/>
        <v>6.8756405982007927</v>
      </c>
      <c r="G1856" s="1323">
        <f t="shared" si="201"/>
        <v>2007</v>
      </c>
      <c r="H1856" s="1323">
        <f t="shared" si="202"/>
        <v>4</v>
      </c>
      <c r="I1856" s="1323">
        <f t="shared" si="203"/>
        <v>12</v>
      </c>
      <c r="J1856" s="1323"/>
      <c r="K1856" s="1323"/>
      <c r="L1856" s="1323"/>
      <c r="M1856" s="1323"/>
      <c r="N1856" s="1323"/>
      <c r="O1856" s="1323"/>
      <c r="P1856" s="1323"/>
      <c r="Q1856" s="1323"/>
      <c r="R1856" s="1304"/>
      <c r="S1856" s="1304"/>
      <c r="T1856" s="1304"/>
    </row>
    <row r="1857" spans="1:20">
      <c r="A1857" s="1303"/>
      <c r="B1857" s="1322" t="s">
        <v>5924</v>
      </c>
      <c r="C1857" s="1323" t="s">
        <v>5734</v>
      </c>
      <c r="D1857" s="1324">
        <f t="shared" si="198"/>
        <v>39183</v>
      </c>
      <c r="E1857" s="1323">
        <f t="shared" si="200"/>
        <v>7.1561000000000003</v>
      </c>
      <c r="F1857" s="1323">
        <f t="shared" si="199"/>
        <v>6.8743222350324302</v>
      </c>
      <c r="G1857" s="1323">
        <f t="shared" si="201"/>
        <v>2007</v>
      </c>
      <c r="H1857" s="1323">
        <f t="shared" si="202"/>
        <v>4</v>
      </c>
      <c r="I1857" s="1323">
        <f t="shared" si="203"/>
        <v>11</v>
      </c>
      <c r="J1857" s="1323"/>
      <c r="K1857" s="1323"/>
      <c r="L1857" s="1323"/>
      <c r="M1857" s="1323"/>
      <c r="N1857" s="1323"/>
      <c r="O1857" s="1323"/>
      <c r="P1857" s="1323"/>
      <c r="Q1857" s="1323"/>
      <c r="R1857" s="1304"/>
      <c r="S1857" s="1304"/>
      <c r="T1857" s="1304"/>
    </row>
    <row r="1858" spans="1:20">
      <c r="A1858" s="1303"/>
      <c r="B1858" s="1322" t="s">
        <v>5925</v>
      </c>
      <c r="C1858" s="1323" t="s">
        <v>5926</v>
      </c>
      <c r="D1858" s="1324">
        <f t="shared" si="198"/>
        <v>39182</v>
      </c>
      <c r="E1858" s="1323">
        <f t="shared" si="200"/>
        <v>7.165</v>
      </c>
      <c r="F1858" s="1323">
        <f t="shared" si="199"/>
        <v>6.8730041246523594</v>
      </c>
      <c r="G1858" s="1323">
        <f t="shared" si="201"/>
        <v>2007</v>
      </c>
      <c r="H1858" s="1323">
        <f t="shared" si="202"/>
        <v>4</v>
      </c>
      <c r="I1858" s="1323">
        <f t="shared" si="203"/>
        <v>10</v>
      </c>
      <c r="J1858" s="1323"/>
      <c r="K1858" s="1323"/>
      <c r="L1858" s="1323"/>
      <c r="M1858" s="1323"/>
      <c r="N1858" s="1323"/>
      <c r="O1858" s="1323"/>
      <c r="P1858" s="1323"/>
      <c r="Q1858" s="1323"/>
      <c r="R1858" s="1304"/>
      <c r="S1858" s="1304"/>
      <c r="T1858" s="1304"/>
    </row>
    <row r="1859" spans="1:20">
      <c r="A1859" s="1303"/>
      <c r="B1859" s="1322" t="s">
        <v>5927</v>
      </c>
      <c r="C1859" s="1323" t="s">
        <v>5928</v>
      </c>
      <c r="D1859" s="1324">
        <f t="shared" si="198"/>
        <v>39177</v>
      </c>
      <c r="E1859" s="1323">
        <f t="shared" si="200"/>
        <v>7.1357999999999997</v>
      </c>
      <c r="F1859" s="1323">
        <f t="shared" si="199"/>
        <v>6.8716862670121106</v>
      </c>
      <c r="G1859" s="1323">
        <f t="shared" si="201"/>
        <v>2007</v>
      </c>
      <c r="H1859" s="1323">
        <f t="shared" si="202"/>
        <v>4</v>
      </c>
      <c r="I1859" s="1323">
        <f t="shared" si="203"/>
        <v>5</v>
      </c>
      <c r="J1859" s="1323"/>
      <c r="K1859" s="1323"/>
      <c r="L1859" s="1323"/>
      <c r="M1859" s="1323"/>
      <c r="N1859" s="1323"/>
      <c r="O1859" s="1323"/>
      <c r="P1859" s="1323"/>
      <c r="Q1859" s="1323"/>
      <c r="R1859" s="1304"/>
      <c r="S1859" s="1304"/>
      <c r="T1859" s="1304"/>
    </row>
    <row r="1860" spans="1:20">
      <c r="A1860" s="1303"/>
      <c r="B1860" s="1322" t="s">
        <v>5929</v>
      </c>
      <c r="C1860" s="1323" t="s">
        <v>5930</v>
      </c>
      <c r="D1860" s="1324">
        <f t="shared" si="198"/>
        <v>39176</v>
      </c>
      <c r="E1860" s="1323">
        <f t="shared" si="200"/>
        <v>7.1619999999999999</v>
      </c>
      <c r="F1860" s="1323">
        <f t="shared" si="199"/>
        <v>6.8703686620632212</v>
      </c>
      <c r="G1860" s="1323">
        <f t="shared" si="201"/>
        <v>2007</v>
      </c>
      <c r="H1860" s="1323">
        <f t="shared" si="202"/>
        <v>4</v>
      </c>
      <c r="I1860" s="1323">
        <f t="shared" si="203"/>
        <v>4</v>
      </c>
      <c r="J1860" s="1323"/>
      <c r="K1860" s="1323"/>
      <c r="L1860" s="1323"/>
      <c r="M1860" s="1323"/>
      <c r="N1860" s="1323"/>
      <c r="O1860" s="1323"/>
      <c r="P1860" s="1323"/>
      <c r="Q1860" s="1323"/>
      <c r="R1860" s="1304"/>
      <c r="S1860" s="1304"/>
      <c r="T1860" s="1304"/>
    </row>
    <row r="1861" spans="1:20">
      <c r="A1861" s="1303"/>
      <c r="B1861" s="1322" t="s">
        <v>5931</v>
      </c>
      <c r="C1861" s="1323" t="s">
        <v>5932</v>
      </c>
      <c r="D1861" s="1324">
        <f t="shared" si="198"/>
        <v>39175</v>
      </c>
      <c r="E1861" s="1323">
        <f t="shared" si="200"/>
        <v>7.2253999999999996</v>
      </c>
      <c r="F1861" s="1323">
        <f t="shared" si="199"/>
        <v>6.8690513097572401</v>
      </c>
      <c r="G1861" s="1323">
        <f t="shared" si="201"/>
        <v>2007</v>
      </c>
      <c r="H1861" s="1323">
        <f t="shared" si="202"/>
        <v>4</v>
      </c>
      <c r="I1861" s="1323">
        <f t="shared" si="203"/>
        <v>3</v>
      </c>
      <c r="J1861" s="1323"/>
      <c r="K1861" s="1323"/>
      <c r="L1861" s="1323"/>
      <c r="M1861" s="1323"/>
      <c r="N1861" s="1323"/>
      <c r="O1861" s="1323"/>
      <c r="P1861" s="1323"/>
      <c r="Q1861" s="1323"/>
      <c r="R1861" s="1304"/>
      <c r="S1861" s="1304"/>
      <c r="T1861" s="1304"/>
    </row>
    <row r="1862" spans="1:20">
      <c r="A1862" s="1303"/>
      <c r="B1862" s="1322" t="s">
        <v>5933</v>
      </c>
      <c r="C1862" s="1323" t="s">
        <v>5934</v>
      </c>
      <c r="D1862" s="1324">
        <f t="shared" si="198"/>
        <v>39174</v>
      </c>
      <c r="E1862" s="1323">
        <f t="shared" si="200"/>
        <v>7.2523999999999997</v>
      </c>
      <c r="F1862" s="1323">
        <f t="shared" si="199"/>
        <v>6.8677342100457244</v>
      </c>
      <c r="G1862" s="1323">
        <f t="shared" si="201"/>
        <v>2007</v>
      </c>
      <c r="H1862" s="1323">
        <f t="shared" si="202"/>
        <v>4</v>
      </c>
      <c r="I1862" s="1323">
        <f t="shared" si="203"/>
        <v>2</v>
      </c>
      <c r="J1862" s="1323"/>
      <c r="K1862" s="1323"/>
      <c r="L1862" s="1323"/>
      <c r="M1862" s="1323"/>
      <c r="N1862" s="1323"/>
      <c r="O1862" s="1323"/>
      <c r="P1862" s="1323"/>
      <c r="Q1862" s="1323"/>
      <c r="R1862" s="1304"/>
      <c r="S1862" s="1304"/>
      <c r="T1862" s="1304"/>
    </row>
    <row r="1863" spans="1:20">
      <c r="A1863" s="1303"/>
      <c r="B1863" s="1322" t="s">
        <v>5935</v>
      </c>
      <c r="C1863" s="1323" t="s">
        <v>5936</v>
      </c>
      <c r="D1863" s="1324">
        <f t="shared" si="198"/>
        <v>39171</v>
      </c>
      <c r="E1863" s="1323">
        <f t="shared" si="200"/>
        <v>7.2648999999999999</v>
      </c>
      <c r="F1863" s="1323">
        <f t="shared" si="199"/>
        <v>6.8664173628802398</v>
      </c>
      <c r="G1863" s="1323">
        <f t="shared" si="201"/>
        <v>2007</v>
      </c>
      <c r="H1863" s="1323">
        <f t="shared" si="202"/>
        <v>3</v>
      </c>
      <c r="I1863" s="1323">
        <f t="shared" si="203"/>
        <v>30</v>
      </c>
      <c r="J1863" s="1323"/>
      <c r="K1863" s="1323"/>
      <c r="L1863" s="1323"/>
      <c r="M1863" s="1323"/>
      <c r="N1863" s="1323"/>
      <c r="O1863" s="1323"/>
      <c r="P1863" s="1323"/>
      <c r="Q1863" s="1323"/>
      <c r="R1863" s="1304"/>
      <c r="S1863" s="1304"/>
      <c r="T1863" s="1304"/>
    </row>
    <row r="1864" spans="1:20">
      <c r="A1864" s="1303"/>
      <c r="B1864" s="1322" t="s">
        <v>5937</v>
      </c>
      <c r="C1864" s="1323" t="s">
        <v>5938</v>
      </c>
      <c r="D1864" s="1324">
        <f t="shared" si="198"/>
        <v>39170</v>
      </c>
      <c r="E1864" s="1323">
        <f t="shared" si="200"/>
        <v>7.3152999999999997</v>
      </c>
      <c r="F1864" s="1323">
        <f t="shared" si="199"/>
        <v>6.865100768212363</v>
      </c>
      <c r="G1864" s="1323">
        <f t="shared" si="201"/>
        <v>2007</v>
      </c>
      <c r="H1864" s="1323">
        <f t="shared" si="202"/>
        <v>3</v>
      </c>
      <c r="I1864" s="1323">
        <f t="shared" si="203"/>
        <v>29</v>
      </c>
      <c r="J1864" s="1323"/>
      <c r="K1864" s="1323"/>
      <c r="L1864" s="1323"/>
      <c r="M1864" s="1323"/>
      <c r="N1864" s="1323"/>
      <c r="O1864" s="1323"/>
      <c r="P1864" s="1323"/>
      <c r="Q1864" s="1323"/>
      <c r="R1864" s="1304"/>
      <c r="S1864" s="1304"/>
      <c r="T1864" s="1304"/>
    </row>
    <row r="1865" spans="1:20">
      <c r="A1865" s="1303"/>
      <c r="B1865" s="1322" t="s">
        <v>5939</v>
      </c>
      <c r="C1865" s="1323" t="s">
        <v>5940</v>
      </c>
      <c r="D1865" s="1324">
        <f t="shared" ref="D1865:D1928" si="204">DATE(G1865,H1865,I1865)</f>
        <v>39169</v>
      </c>
      <c r="E1865" s="1323">
        <f t="shared" si="200"/>
        <v>7.2926000000000002</v>
      </c>
      <c r="F1865" s="1323">
        <f t="shared" ref="F1865:F1928" si="205">F1866*(1+$F$7/365)</f>
        <v>6.8637844259936793</v>
      </c>
      <c r="G1865" s="1323">
        <f t="shared" si="201"/>
        <v>2007</v>
      </c>
      <c r="H1865" s="1323">
        <f t="shared" si="202"/>
        <v>3</v>
      </c>
      <c r="I1865" s="1323">
        <f t="shared" si="203"/>
        <v>28</v>
      </c>
      <c r="J1865" s="1323"/>
      <c r="K1865" s="1323"/>
      <c r="L1865" s="1323"/>
      <c r="M1865" s="1323"/>
      <c r="N1865" s="1323"/>
      <c r="O1865" s="1323"/>
      <c r="P1865" s="1323"/>
      <c r="Q1865" s="1323"/>
      <c r="R1865" s="1304"/>
      <c r="S1865" s="1304"/>
      <c r="T1865" s="1304"/>
    </row>
    <row r="1866" spans="1:20">
      <c r="A1866" s="1303"/>
      <c r="B1866" s="1322" t="s">
        <v>5941</v>
      </c>
      <c r="C1866" s="1323" t="s">
        <v>5942</v>
      </c>
      <c r="D1866" s="1324">
        <f t="shared" si="204"/>
        <v>39168</v>
      </c>
      <c r="E1866" s="1323">
        <f t="shared" si="200"/>
        <v>7.2474999999999996</v>
      </c>
      <c r="F1866" s="1323">
        <f t="shared" si="205"/>
        <v>6.8624683361757821</v>
      </c>
      <c r="G1866" s="1323">
        <f t="shared" si="201"/>
        <v>2007</v>
      </c>
      <c r="H1866" s="1323">
        <f t="shared" si="202"/>
        <v>3</v>
      </c>
      <c r="I1866" s="1323">
        <f t="shared" si="203"/>
        <v>27</v>
      </c>
      <c r="J1866" s="1323"/>
      <c r="K1866" s="1323"/>
      <c r="L1866" s="1323"/>
      <c r="M1866" s="1323"/>
      <c r="N1866" s="1323"/>
      <c r="O1866" s="1323"/>
      <c r="P1866" s="1323"/>
      <c r="Q1866" s="1323"/>
      <c r="R1866" s="1304"/>
      <c r="S1866" s="1304"/>
      <c r="T1866" s="1304"/>
    </row>
    <row r="1867" spans="1:20">
      <c r="A1867" s="1303"/>
      <c r="B1867" s="1322" t="s">
        <v>5943</v>
      </c>
      <c r="C1867" s="1323" t="s">
        <v>5944</v>
      </c>
      <c r="D1867" s="1324">
        <f t="shared" si="204"/>
        <v>39167</v>
      </c>
      <c r="E1867" s="1323">
        <f t="shared" si="200"/>
        <v>7.2232000000000003</v>
      </c>
      <c r="F1867" s="1323">
        <f t="shared" si="205"/>
        <v>6.8611524987102754</v>
      </c>
      <c r="G1867" s="1323">
        <f t="shared" si="201"/>
        <v>2007</v>
      </c>
      <c r="H1867" s="1323">
        <f t="shared" si="202"/>
        <v>3</v>
      </c>
      <c r="I1867" s="1323">
        <f t="shared" si="203"/>
        <v>26</v>
      </c>
      <c r="J1867" s="1323"/>
      <c r="K1867" s="1323"/>
      <c r="L1867" s="1323"/>
      <c r="M1867" s="1323"/>
      <c r="N1867" s="1323"/>
      <c r="O1867" s="1323"/>
      <c r="P1867" s="1323"/>
      <c r="Q1867" s="1323"/>
      <c r="R1867" s="1304"/>
      <c r="S1867" s="1304"/>
      <c r="T1867" s="1304"/>
    </row>
    <row r="1868" spans="1:20">
      <c r="A1868" s="1303"/>
      <c r="B1868" s="1322" t="s">
        <v>5945</v>
      </c>
      <c r="C1868" s="1323" t="s">
        <v>5946</v>
      </c>
      <c r="D1868" s="1324">
        <f t="shared" si="204"/>
        <v>39164</v>
      </c>
      <c r="E1868" s="1323">
        <f t="shared" si="200"/>
        <v>7.1920999999999999</v>
      </c>
      <c r="F1868" s="1323">
        <f t="shared" si="205"/>
        <v>6.8598369135487731</v>
      </c>
      <c r="G1868" s="1323">
        <f t="shared" si="201"/>
        <v>2007</v>
      </c>
      <c r="H1868" s="1323">
        <f t="shared" si="202"/>
        <v>3</v>
      </c>
      <c r="I1868" s="1323">
        <f t="shared" si="203"/>
        <v>23</v>
      </c>
      <c r="J1868" s="1323"/>
      <c r="K1868" s="1323"/>
      <c r="L1868" s="1323"/>
      <c r="M1868" s="1323"/>
      <c r="N1868" s="1323"/>
      <c r="O1868" s="1323"/>
      <c r="P1868" s="1323"/>
      <c r="Q1868" s="1323"/>
      <c r="R1868" s="1304"/>
      <c r="S1868" s="1304"/>
      <c r="T1868" s="1304"/>
    </row>
    <row r="1869" spans="1:20">
      <c r="A1869" s="1303"/>
      <c r="B1869" s="1322" t="s">
        <v>5947</v>
      </c>
      <c r="C1869" s="1323" t="s">
        <v>5534</v>
      </c>
      <c r="D1869" s="1324">
        <f t="shared" si="204"/>
        <v>39163</v>
      </c>
      <c r="E1869" s="1323">
        <f t="shared" si="200"/>
        <v>7.2967000000000004</v>
      </c>
      <c r="F1869" s="1323">
        <f t="shared" si="205"/>
        <v>6.8585215806428961</v>
      </c>
      <c r="G1869" s="1323">
        <f t="shared" si="201"/>
        <v>2007</v>
      </c>
      <c r="H1869" s="1323">
        <f t="shared" si="202"/>
        <v>3</v>
      </c>
      <c r="I1869" s="1323">
        <f t="shared" si="203"/>
        <v>22</v>
      </c>
      <c r="J1869" s="1323"/>
      <c r="K1869" s="1323"/>
      <c r="L1869" s="1323"/>
      <c r="M1869" s="1323"/>
      <c r="N1869" s="1323"/>
      <c r="O1869" s="1323"/>
      <c r="P1869" s="1323"/>
      <c r="Q1869" s="1323"/>
      <c r="R1869" s="1304"/>
      <c r="S1869" s="1304"/>
      <c r="T1869" s="1304"/>
    </row>
    <row r="1870" spans="1:20">
      <c r="A1870" s="1303"/>
      <c r="B1870" s="1322" t="s">
        <v>5948</v>
      </c>
      <c r="C1870" s="1323" t="s">
        <v>5949</v>
      </c>
      <c r="D1870" s="1324">
        <f t="shared" si="204"/>
        <v>39161</v>
      </c>
      <c r="E1870" s="1323">
        <f t="shared" si="200"/>
        <v>7.4059999999999997</v>
      </c>
      <c r="F1870" s="1323">
        <f t="shared" si="205"/>
        <v>6.8572064999442768</v>
      </c>
      <c r="G1870" s="1323">
        <f t="shared" si="201"/>
        <v>2007</v>
      </c>
      <c r="H1870" s="1323">
        <f t="shared" si="202"/>
        <v>3</v>
      </c>
      <c r="I1870" s="1323">
        <f t="shared" si="203"/>
        <v>20</v>
      </c>
      <c r="J1870" s="1323"/>
      <c r="K1870" s="1323"/>
      <c r="L1870" s="1323"/>
      <c r="M1870" s="1323"/>
      <c r="N1870" s="1323"/>
      <c r="O1870" s="1323"/>
      <c r="P1870" s="1323"/>
      <c r="Q1870" s="1323"/>
      <c r="R1870" s="1304"/>
      <c r="S1870" s="1304"/>
      <c r="T1870" s="1304"/>
    </row>
    <row r="1871" spans="1:20">
      <c r="A1871" s="1303"/>
      <c r="B1871" s="1322" t="s">
        <v>5950</v>
      </c>
      <c r="C1871" s="1323" t="s">
        <v>5951</v>
      </c>
      <c r="D1871" s="1324">
        <f t="shared" si="204"/>
        <v>39160</v>
      </c>
      <c r="E1871" s="1323">
        <f t="shared" si="200"/>
        <v>7.4429999999999996</v>
      </c>
      <c r="F1871" s="1323">
        <f t="shared" si="205"/>
        <v>6.8558916714045548</v>
      </c>
      <c r="G1871" s="1323">
        <f t="shared" si="201"/>
        <v>2007</v>
      </c>
      <c r="H1871" s="1323">
        <f t="shared" si="202"/>
        <v>3</v>
      </c>
      <c r="I1871" s="1323">
        <f t="shared" si="203"/>
        <v>19</v>
      </c>
      <c r="J1871" s="1323"/>
      <c r="K1871" s="1323"/>
      <c r="L1871" s="1323"/>
      <c r="M1871" s="1323"/>
      <c r="N1871" s="1323"/>
      <c r="O1871" s="1323"/>
      <c r="P1871" s="1323"/>
      <c r="Q1871" s="1323"/>
      <c r="R1871" s="1304"/>
      <c r="S1871" s="1304"/>
      <c r="T1871" s="1304"/>
    </row>
    <row r="1872" spans="1:20">
      <c r="A1872" s="1303"/>
      <c r="B1872" s="1322" t="s">
        <v>5952</v>
      </c>
      <c r="C1872" s="1323" t="s">
        <v>5953</v>
      </c>
      <c r="D1872" s="1324">
        <f t="shared" si="204"/>
        <v>39157</v>
      </c>
      <c r="E1872" s="1323">
        <f t="shared" si="200"/>
        <v>7.4406999999999996</v>
      </c>
      <c r="F1872" s="1323">
        <f t="shared" si="205"/>
        <v>6.8545770949753813</v>
      </c>
      <c r="G1872" s="1323">
        <f t="shared" si="201"/>
        <v>2007</v>
      </c>
      <c r="H1872" s="1323">
        <f t="shared" si="202"/>
        <v>3</v>
      </c>
      <c r="I1872" s="1323">
        <f t="shared" si="203"/>
        <v>16</v>
      </c>
      <c r="J1872" s="1323"/>
      <c r="K1872" s="1323"/>
      <c r="L1872" s="1323"/>
      <c r="M1872" s="1323"/>
      <c r="N1872" s="1323"/>
      <c r="O1872" s="1323"/>
      <c r="P1872" s="1323"/>
      <c r="Q1872" s="1323"/>
      <c r="R1872" s="1304"/>
      <c r="S1872" s="1304"/>
      <c r="T1872" s="1304"/>
    </row>
    <row r="1873" spans="1:20">
      <c r="A1873" s="1303"/>
      <c r="B1873" s="1322" t="s">
        <v>5954</v>
      </c>
      <c r="C1873" s="1323" t="s">
        <v>5955</v>
      </c>
      <c r="D1873" s="1324">
        <f t="shared" si="204"/>
        <v>39156</v>
      </c>
      <c r="E1873" s="1323">
        <f t="shared" si="200"/>
        <v>7.4314999999999998</v>
      </c>
      <c r="F1873" s="1323">
        <f t="shared" si="205"/>
        <v>6.8532627706084153</v>
      </c>
      <c r="G1873" s="1323">
        <f t="shared" si="201"/>
        <v>2007</v>
      </c>
      <c r="H1873" s="1323">
        <f t="shared" si="202"/>
        <v>3</v>
      </c>
      <c r="I1873" s="1323">
        <f t="shared" si="203"/>
        <v>15</v>
      </c>
      <c r="J1873" s="1323"/>
      <c r="K1873" s="1323"/>
      <c r="L1873" s="1323"/>
      <c r="M1873" s="1323"/>
      <c r="N1873" s="1323"/>
      <c r="O1873" s="1323"/>
      <c r="P1873" s="1323"/>
      <c r="Q1873" s="1323"/>
      <c r="R1873" s="1304"/>
      <c r="S1873" s="1304"/>
      <c r="T1873" s="1304"/>
    </row>
    <row r="1874" spans="1:20">
      <c r="A1874" s="1303"/>
      <c r="B1874" s="1322" t="s">
        <v>5956</v>
      </c>
      <c r="C1874" s="1323" t="s">
        <v>5957</v>
      </c>
      <c r="D1874" s="1324">
        <f t="shared" si="204"/>
        <v>39155</v>
      </c>
      <c r="E1874" s="1323">
        <f t="shared" si="200"/>
        <v>7.4931000000000001</v>
      </c>
      <c r="F1874" s="1323">
        <f t="shared" si="205"/>
        <v>6.8519486982553248</v>
      </c>
      <c r="G1874" s="1323">
        <f t="shared" si="201"/>
        <v>2007</v>
      </c>
      <c r="H1874" s="1323">
        <f t="shared" si="202"/>
        <v>3</v>
      </c>
      <c r="I1874" s="1323">
        <f t="shared" si="203"/>
        <v>14</v>
      </c>
      <c r="J1874" s="1323"/>
      <c r="K1874" s="1323"/>
      <c r="L1874" s="1323"/>
      <c r="M1874" s="1323"/>
      <c r="N1874" s="1323"/>
      <c r="O1874" s="1323"/>
      <c r="P1874" s="1323"/>
      <c r="Q1874" s="1323"/>
      <c r="R1874" s="1304"/>
      <c r="S1874" s="1304"/>
      <c r="T1874" s="1304"/>
    </row>
    <row r="1875" spans="1:20">
      <c r="A1875" s="1303"/>
      <c r="B1875" s="1322" t="s">
        <v>5958</v>
      </c>
      <c r="C1875" s="1323" t="s">
        <v>5959</v>
      </c>
      <c r="D1875" s="1324">
        <f t="shared" si="204"/>
        <v>39154</v>
      </c>
      <c r="E1875" s="1323">
        <f t="shared" si="200"/>
        <v>7.3869999999999996</v>
      </c>
      <c r="F1875" s="1323">
        <f t="shared" si="205"/>
        <v>6.8506348778677886</v>
      </c>
      <c r="G1875" s="1323">
        <f t="shared" si="201"/>
        <v>2007</v>
      </c>
      <c r="H1875" s="1323">
        <f t="shared" si="202"/>
        <v>3</v>
      </c>
      <c r="I1875" s="1323">
        <f t="shared" si="203"/>
        <v>13</v>
      </c>
      <c r="J1875" s="1323"/>
      <c r="K1875" s="1323"/>
      <c r="L1875" s="1323"/>
      <c r="M1875" s="1323"/>
      <c r="N1875" s="1323"/>
      <c r="O1875" s="1323"/>
      <c r="P1875" s="1323"/>
      <c r="Q1875" s="1323"/>
      <c r="R1875" s="1304"/>
      <c r="S1875" s="1304"/>
      <c r="T1875" s="1304"/>
    </row>
    <row r="1876" spans="1:20">
      <c r="A1876" s="1303"/>
      <c r="B1876" s="1322" t="s">
        <v>5960</v>
      </c>
      <c r="C1876" s="1323" t="s">
        <v>5961</v>
      </c>
      <c r="D1876" s="1324">
        <f t="shared" si="204"/>
        <v>39153</v>
      </c>
      <c r="E1876" s="1323">
        <f t="shared" si="200"/>
        <v>7.306</v>
      </c>
      <c r="F1876" s="1323">
        <f t="shared" si="205"/>
        <v>6.8493213093974932</v>
      </c>
      <c r="G1876" s="1323">
        <f t="shared" si="201"/>
        <v>2007</v>
      </c>
      <c r="H1876" s="1323">
        <f t="shared" si="202"/>
        <v>3</v>
      </c>
      <c r="I1876" s="1323">
        <f t="shared" si="203"/>
        <v>12</v>
      </c>
      <c r="J1876" s="1323"/>
      <c r="K1876" s="1323"/>
      <c r="L1876" s="1323"/>
      <c r="M1876" s="1323"/>
      <c r="N1876" s="1323"/>
      <c r="O1876" s="1323"/>
      <c r="P1876" s="1323"/>
      <c r="Q1876" s="1323"/>
      <c r="R1876" s="1304"/>
      <c r="S1876" s="1304"/>
      <c r="T1876" s="1304"/>
    </row>
    <row r="1877" spans="1:20">
      <c r="A1877" s="1303"/>
      <c r="B1877" s="1322" t="s">
        <v>5962</v>
      </c>
      <c r="C1877" s="1323" t="s">
        <v>5963</v>
      </c>
      <c r="D1877" s="1324">
        <f t="shared" si="204"/>
        <v>39150</v>
      </c>
      <c r="E1877" s="1323">
        <f t="shared" si="200"/>
        <v>7.3879999999999999</v>
      </c>
      <c r="F1877" s="1323">
        <f t="shared" si="205"/>
        <v>6.848007992796135</v>
      </c>
      <c r="G1877" s="1323">
        <f t="shared" si="201"/>
        <v>2007</v>
      </c>
      <c r="H1877" s="1323">
        <f t="shared" si="202"/>
        <v>3</v>
      </c>
      <c r="I1877" s="1323">
        <f t="shared" si="203"/>
        <v>9</v>
      </c>
      <c r="J1877" s="1323"/>
      <c r="K1877" s="1323"/>
      <c r="L1877" s="1323"/>
      <c r="M1877" s="1323"/>
      <c r="N1877" s="1323"/>
      <c r="O1877" s="1323"/>
      <c r="P1877" s="1323"/>
      <c r="Q1877" s="1323"/>
      <c r="R1877" s="1304"/>
      <c r="S1877" s="1304"/>
      <c r="T1877" s="1304"/>
    </row>
    <row r="1878" spans="1:20">
      <c r="A1878" s="1303"/>
      <c r="B1878" s="1322" t="s">
        <v>5964</v>
      </c>
      <c r="C1878" s="1323" t="s">
        <v>4641</v>
      </c>
      <c r="D1878" s="1324">
        <f t="shared" si="204"/>
        <v>39149</v>
      </c>
      <c r="E1878" s="1323">
        <f t="shared" ref="E1878:E1941" si="206">VALUE(C1879)</f>
        <v>7.4042000000000003</v>
      </c>
      <c r="F1878" s="1323">
        <f t="shared" si="205"/>
        <v>6.8466949280154195</v>
      </c>
      <c r="G1878" s="1323">
        <f t="shared" ref="G1878:G1941" si="207">YEAR(B1879)</f>
        <v>2007</v>
      </c>
      <c r="H1878" s="1323">
        <f t="shared" ref="H1878:H1941" si="208">MONTH(B1879)</f>
        <v>3</v>
      </c>
      <c r="I1878" s="1323">
        <f t="shared" ref="I1878:I1941" si="209">DAY(B1879)</f>
        <v>8</v>
      </c>
      <c r="J1878" s="1323"/>
      <c r="K1878" s="1323"/>
      <c r="L1878" s="1323"/>
      <c r="M1878" s="1323"/>
      <c r="N1878" s="1323"/>
      <c r="O1878" s="1323"/>
      <c r="P1878" s="1323"/>
      <c r="Q1878" s="1323"/>
      <c r="R1878" s="1304"/>
      <c r="S1878" s="1304"/>
      <c r="T1878" s="1304"/>
    </row>
    <row r="1879" spans="1:20">
      <c r="A1879" s="1303"/>
      <c r="B1879" s="1322" t="s">
        <v>5965</v>
      </c>
      <c r="C1879" s="1323" t="s">
        <v>5966</v>
      </c>
      <c r="D1879" s="1324">
        <f t="shared" si="204"/>
        <v>39148</v>
      </c>
      <c r="E1879" s="1323">
        <f t="shared" si="206"/>
        <v>7.4066999999999998</v>
      </c>
      <c r="F1879" s="1323">
        <f t="shared" si="205"/>
        <v>6.8453821150070615</v>
      </c>
      <c r="G1879" s="1323">
        <f t="shared" si="207"/>
        <v>2007</v>
      </c>
      <c r="H1879" s="1323">
        <f t="shared" si="208"/>
        <v>3</v>
      </c>
      <c r="I1879" s="1323">
        <f t="shared" si="209"/>
        <v>7</v>
      </c>
      <c r="J1879" s="1323"/>
      <c r="K1879" s="1323"/>
      <c r="L1879" s="1323"/>
      <c r="M1879" s="1323"/>
      <c r="N1879" s="1323"/>
      <c r="O1879" s="1323"/>
      <c r="P1879" s="1323"/>
      <c r="Q1879" s="1323"/>
      <c r="R1879" s="1304"/>
      <c r="S1879" s="1304"/>
      <c r="T1879" s="1304"/>
    </row>
    <row r="1880" spans="1:20">
      <c r="A1880" s="1303"/>
      <c r="B1880" s="1322" t="s">
        <v>5967</v>
      </c>
      <c r="C1880" s="1323" t="s">
        <v>5968</v>
      </c>
      <c r="D1880" s="1324">
        <f t="shared" si="204"/>
        <v>39147</v>
      </c>
      <c r="E1880" s="1323">
        <f t="shared" si="206"/>
        <v>7.4122000000000003</v>
      </c>
      <c r="F1880" s="1323">
        <f t="shared" si="205"/>
        <v>6.844069553722786</v>
      </c>
      <c r="G1880" s="1323">
        <f t="shared" si="207"/>
        <v>2007</v>
      </c>
      <c r="H1880" s="1323">
        <f t="shared" si="208"/>
        <v>3</v>
      </c>
      <c r="I1880" s="1323">
        <f t="shared" si="209"/>
        <v>6</v>
      </c>
      <c r="J1880" s="1323"/>
      <c r="K1880" s="1323"/>
      <c r="L1880" s="1323"/>
      <c r="M1880" s="1323"/>
      <c r="N1880" s="1323"/>
      <c r="O1880" s="1323"/>
      <c r="P1880" s="1323"/>
      <c r="Q1880" s="1323"/>
      <c r="R1880" s="1304"/>
      <c r="S1880" s="1304"/>
      <c r="T1880" s="1304"/>
    </row>
    <row r="1881" spans="1:20">
      <c r="A1881" s="1303"/>
      <c r="B1881" s="1322" t="s">
        <v>5969</v>
      </c>
      <c r="C1881" s="1323" t="s">
        <v>5970</v>
      </c>
      <c r="D1881" s="1324">
        <f t="shared" si="204"/>
        <v>39146</v>
      </c>
      <c r="E1881" s="1323">
        <f t="shared" si="206"/>
        <v>7.5232999999999999</v>
      </c>
      <c r="F1881" s="1323">
        <f t="shared" si="205"/>
        <v>6.8427572441143258</v>
      </c>
      <c r="G1881" s="1323">
        <f t="shared" si="207"/>
        <v>2007</v>
      </c>
      <c r="H1881" s="1323">
        <f t="shared" si="208"/>
        <v>3</v>
      </c>
      <c r="I1881" s="1323">
        <f t="shared" si="209"/>
        <v>5</v>
      </c>
      <c r="J1881" s="1323"/>
      <c r="K1881" s="1323"/>
      <c r="L1881" s="1323"/>
      <c r="M1881" s="1323"/>
      <c r="N1881" s="1323"/>
      <c r="O1881" s="1323"/>
      <c r="P1881" s="1323"/>
      <c r="Q1881" s="1323"/>
      <c r="R1881" s="1304"/>
      <c r="S1881" s="1304"/>
      <c r="T1881" s="1304"/>
    </row>
    <row r="1882" spans="1:20">
      <c r="A1882" s="1303"/>
      <c r="B1882" s="1322" t="s">
        <v>5971</v>
      </c>
      <c r="C1882" s="1323" t="s">
        <v>5972</v>
      </c>
      <c r="D1882" s="1324">
        <f t="shared" si="204"/>
        <v>39143</v>
      </c>
      <c r="E1882" s="1323">
        <f t="shared" si="206"/>
        <v>7.2770000000000001</v>
      </c>
      <c r="F1882" s="1323">
        <f t="shared" si="205"/>
        <v>6.8414451861334236</v>
      </c>
      <c r="G1882" s="1323">
        <f t="shared" si="207"/>
        <v>2007</v>
      </c>
      <c r="H1882" s="1323">
        <f t="shared" si="208"/>
        <v>3</v>
      </c>
      <c r="I1882" s="1323">
        <f t="shared" si="209"/>
        <v>2</v>
      </c>
      <c r="J1882" s="1323"/>
      <c r="K1882" s="1323"/>
      <c r="L1882" s="1323"/>
      <c r="M1882" s="1323"/>
      <c r="N1882" s="1323"/>
      <c r="O1882" s="1323"/>
      <c r="P1882" s="1323"/>
      <c r="Q1882" s="1323"/>
      <c r="R1882" s="1304"/>
      <c r="S1882" s="1304"/>
      <c r="T1882" s="1304"/>
    </row>
    <row r="1883" spans="1:20">
      <c r="A1883" s="1303"/>
      <c r="B1883" s="1322" t="s">
        <v>5973</v>
      </c>
      <c r="C1883" s="1323" t="s">
        <v>5974</v>
      </c>
      <c r="D1883" s="1324">
        <f t="shared" si="204"/>
        <v>39142</v>
      </c>
      <c r="E1883" s="1323">
        <f t="shared" si="206"/>
        <v>7.2510000000000003</v>
      </c>
      <c r="F1883" s="1323">
        <f t="shared" si="205"/>
        <v>6.8401333797318307</v>
      </c>
      <c r="G1883" s="1323">
        <f t="shared" si="207"/>
        <v>2007</v>
      </c>
      <c r="H1883" s="1323">
        <f t="shared" si="208"/>
        <v>3</v>
      </c>
      <c r="I1883" s="1323">
        <f t="shared" si="209"/>
        <v>1</v>
      </c>
      <c r="J1883" s="1323"/>
      <c r="K1883" s="1323"/>
      <c r="L1883" s="1323"/>
      <c r="M1883" s="1323"/>
      <c r="N1883" s="1323"/>
      <c r="O1883" s="1323"/>
      <c r="P1883" s="1323"/>
      <c r="Q1883" s="1323"/>
      <c r="R1883" s="1304"/>
      <c r="S1883" s="1304"/>
      <c r="T1883" s="1304"/>
    </row>
    <row r="1884" spans="1:20">
      <c r="A1884" s="1303"/>
      <c r="B1884" s="1322" t="s">
        <v>5975</v>
      </c>
      <c r="C1884" s="1323" t="s">
        <v>5976</v>
      </c>
      <c r="D1884" s="1324">
        <f t="shared" si="204"/>
        <v>39141</v>
      </c>
      <c r="E1884" s="1323">
        <f t="shared" si="206"/>
        <v>7.2541000000000002</v>
      </c>
      <c r="F1884" s="1323">
        <f t="shared" si="205"/>
        <v>6.8388218248613093</v>
      </c>
      <c r="G1884" s="1323">
        <f t="shared" si="207"/>
        <v>2007</v>
      </c>
      <c r="H1884" s="1323">
        <f t="shared" si="208"/>
        <v>2</v>
      </c>
      <c r="I1884" s="1323">
        <f t="shared" si="209"/>
        <v>28</v>
      </c>
      <c r="J1884" s="1323"/>
      <c r="K1884" s="1323"/>
      <c r="L1884" s="1323"/>
      <c r="M1884" s="1323"/>
      <c r="N1884" s="1323"/>
      <c r="O1884" s="1323"/>
      <c r="P1884" s="1323"/>
      <c r="Q1884" s="1323"/>
      <c r="R1884" s="1304"/>
      <c r="S1884" s="1304"/>
      <c r="T1884" s="1304"/>
    </row>
    <row r="1885" spans="1:20">
      <c r="A1885" s="1303"/>
      <c r="B1885" s="1322" t="s">
        <v>5977</v>
      </c>
      <c r="C1885" s="1323" t="s">
        <v>5978</v>
      </c>
      <c r="D1885" s="1324">
        <f t="shared" si="204"/>
        <v>39140</v>
      </c>
      <c r="E1885" s="1323">
        <f t="shared" si="206"/>
        <v>7.1361999999999997</v>
      </c>
      <c r="F1885" s="1323">
        <f t="shared" si="205"/>
        <v>6.8375105214736296</v>
      </c>
      <c r="G1885" s="1323">
        <f t="shared" si="207"/>
        <v>2007</v>
      </c>
      <c r="H1885" s="1323">
        <f t="shared" si="208"/>
        <v>2</v>
      </c>
      <c r="I1885" s="1323">
        <f t="shared" si="209"/>
        <v>27</v>
      </c>
      <c r="J1885" s="1323"/>
      <c r="K1885" s="1323"/>
      <c r="L1885" s="1323"/>
      <c r="M1885" s="1323"/>
      <c r="N1885" s="1323"/>
      <c r="O1885" s="1323"/>
      <c r="P1885" s="1323"/>
      <c r="Q1885" s="1323"/>
      <c r="R1885" s="1304"/>
      <c r="S1885" s="1304"/>
      <c r="T1885" s="1304"/>
    </row>
    <row r="1886" spans="1:20">
      <c r="A1886" s="1303"/>
      <c r="B1886" s="1322" t="s">
        <v>5979</v>
      </c>
      <c r="C1886" s="1323" t="s">
        <v>5980</v>
      </c>
      <c r="D1886" s="1324">
        <f t="shared" si="204"/>
        <v>39139</v>
      </c>
      <c r="E1886" s="1323">
        <f t="shared" si="206"/>
        <v>7.0805999999999996</v>
      </c>
      <c r="F1886" s="1323">
        <f t="shared" si="205"/>
        <v>6.8361994695205706</v>
      </c>
      <c r="G1886" s="1323">
        <f t="shared" si="207"/>
        <v>2007</v>
      </c>
      <c r="H1886" s="1323">
        <f t="shared" si="208"/>
        <v>2</v>
      </c>
      <c r="I1886" s="1323">
        <f t="shared" si="209"/>
        <v>26</v>
      </c>
      <c r="J1886" s="1323"/>
      <c r="K1886" s="1323"/>
      <c r="L1886" s="1323"/>
      <c r="M1886" s="1323"/>
      <c r="N1886" s="1323"/>
      <c r="O1886" s="1323"/>
      <c r="P1886" s="1323"/>
      <c r="Q1886" s="1323"/>
      <c r="R1886" s="1304"/>
      <c r="S1886" s="1304"/>
      <c r="T1886" s="1304"/>
    </row>
    <row r="1887" spans="1:20">
      <c r="A1887" s="1303"/>
      <c r="B1887" s="1322" t="s">
        <v>5981</v>
      </c>
      <c r="C1887" s="1323" t="s">
        <v>5982</v>
      </c>
      <c r="D1887" s="1324">
        <f t="shared" si="204"/>
        <v>39136</v>
      </c>
      <c r="E1887" s="1323">
        <f t="shared" si="206"/>
        <v>7.0724</v>
      </c>
      <c r="F1887" s="1323">
        <f t="shared" si="205"/>
        <v>6.8348886689539219</v>
      </c>
      <c r="G1887" s="1323">
        <f t="shared" si="207"/>
        <v>2007</v>
      </c>
      <c r="H1887" s="1323">
        <f t="shared" si="208"/>
        <v>2</v>
      </c>
      <c r="I1887" s="1323">
        <f t="shared" si="209"/>
        <v>23</v>
      </c>
      <c r="J1887" s="1323"/>
      <c r="K1887" s="1323"/>
      <c r="L1887" s="1323"/>
      <c r="M1887" s="1323"/>
      <c r="N1887" s="1323"/>
      <c r="O1887" s="1323"/>
      <c r="P1887" s="1323"/>
      <c r="Q1887" s="1323"/>
      <c r="R1887" s="1304"/>
      <c r="S1887" s="1304"/>
      <c r="T1887" s="1304"/>
    </row>
    <row r="1888" spans="1:20">
      <c r="A1888" s="1303"/>
      <c r="B1888" s="1322" t="s">
        <v>5983</v>
      </c>
      <c r="C1888" s="1323" t="s">
        <v>5984</v>
      </c>
      <c r="D1888" s="1324">
        <f t="shared" si="204"/>
        <v>39135</v>
      </c>
      <c r="E1888" s="1323">
        <f t="shared" si="206"/>
        <v>7.1155999999999997</v>
      </c>
      <c r="F1888" s="1323">
        <f t="shared" si="205"/>
        <v>6.8335781197254812</v>
      </c>
      <c r="G1888" s="1323">
        <f t="shared" si="207"/>
        <v>2007</v>
      </c>
      <c r="H1888" s="1323">
        <f t="shared" si="208"/>
        <v>2</v>
      </c>
      <c r="I1888" s="1323">
        <f t="shared" si="209"/>
        <v>22</v>
      </c>
      <c r="J1888" s="1323"/>
      <c r="K1888" s="1323"/>
      <c r="L1888" s="1323"/>
      <c r="M1888" s="1323"/>
      <c r="N1888" s="1323"/>
      <c r="O1888" s="1323"/>
      <c r="P1888" s="1323"/>
      <c r="Q1888" s="1323"/>
      <c r="R1888" s="1304"/>
      <c r="S1888" s="1304"/>
      <c r="T1888" s="1304"/>
    </row>
    <row r="1889" spans="1:20">
      <c r="A1889" s="1303"/>
      <c r="B1889" s="1322" t="s">
        <v>5985</v>
      </c>
      <c r="C1889" s="1323" t="s">
        <v>5986</v>
      </c>
      <c r="D1889" s="1324">
        <f t="shared" si="204"/>
        <v>39134</v>
      </c>
      <c r="E1889" s="1323">
        <f t="shared" si="206"/>
        <v>7.1238999999999999</v>
      </c>
      <c r="F1889" s="1323">
        <f t="shared" si="205"/>
        <v>6.8322678217870561</v>
      </c>
      <c r="G1889" s="1323">
        <f t="shared" si="207"/>
        <v>2007</v>
      </c>
      <c r="H1889" s="1323">
        <f t="shared" si="208"/>
        <v>2</v>
      </c>
      <c r="I1889" s="1323">
        <f t="shared" si="209"/>
        <v>21</v>
      </c>
      <c r="J1889" s="1323"/>
      <c r="K1889" s="1323"/>
      <c r="L1889" s="1323"/>
      <c r="M1889" s="1323"/>
      <c r="N1889" s="1323"/>
      <c r="O1889" s="1323"/>
      <c r="P1889" s="1323"/>
      <c r="Q1889" s="1323"/>
      <c r="R1889" s="1304"/>
      <c r="S1889" s="1304"/>
      <c r="T1889" s="1304"/>
    </row>
    <row r="1890" spans="1:20">
      <c r="A1890" s="1303"/>
      <c r="B1890" s="1322" t="s">
        <v>5987</v>
      </c>
      <c r="C1890" s="1323" t="s">
        <v>5988</v>
      </c>
      <c r="D1890" s="1324">
        <f t="shared" si="204"/>
        <v>39133</v>
      </c>
      <c r="E1890" s="1323">
        <f t="shared" si="206"/>
        <v>7.0964</v>
      </c>
      <c r="F1890" s="1323">
        <f t="shared" si="205"/>
        <v>6.8309577750904635</v>
      </c>
      <c r="G1890" s="1323">
        <f t="shared" si="207"/>
        <v>2007</v>
      </c>
      <c r="H1890" s="1323">
        <f t="shared" si="208"/>
        <v>2</v>
      </c>
      <c r="I1890" s="1323">
        <f t="shared" si="209"/>
        <v>20</v>
      </c>
      <c r="J1890" s="1323"/>
      <c r="K1890" s="1323"/>
      <c r="L1890" s="1323"/>
      <c r="M1890" s="1323"/>
      <c r="N1890" s="1323"/>
      <c r="O1890" s="1323"/>
      <c r="P1890" s="1323"/>
      <c r="Q1890" s="1323"/>
      <c r="R1890" s="1304"/>
      <c r="S1890" s="1304"/>
      <c r="T1890" s="1304"/>
    </row>
    <row r="1891" spans="1:20">
      <c r="A1891" s="1303"/>
      <c r="B1891" s="1322" t="s">
        <v>5989</v>
      </c>
      <c r="C1891" s="1323" t="s">
        <v>5816</v>
      </c>
      <c r="D1891" s="1324">
        <f t="shared" si="204"/>
        <v>39132</v>
      </c>
      <c r="E1891" s="1323">
        <f t="shared" si="206"/>
        <v>7.1177000000000001</v>
      </c>
      <c r="F1891" s="1323">
        <f t="shared" si="205"/>
        <v>6.8296479795875289</v>
      </c>
      <c r="G1891" s="1323">
        <f t="shared" si="207"/>
        <v>2007</v>
      </c>
      <c r="H1891" s="1323">
        <f t="shared" si="208"/>
        <v>2</v>
      </c>
      <c r="I1891" s="1323">
        <f t="shared" si="209"/>
        <v>19</v>
      </c>
      <c r="J1891" s="1323"/>
      <c r="K1891" s="1323"/>
      <c r="L1891" s="1323"/>
      <c r="M1891" s="1323"/>
      <c r="N1891" s="1323"/>
      <c r="O1891" s="1323"/>
      <c r="P1891" s="1323"/>
      <c r="Q1891" s="1323"/>
      <c r="R1891" s="1304"/>
      <c r="S1891" s="1304"/>
      <c r="T1891" s="1304"/>
    </row>
    <row r="1892" spans="1:20">
      <c r="A1892" s="1303"/>
      <c r="B1892" s="1322" t="s">
        <v>5990</v>
      </c>
      <c r="C1892" s="1323" t="s">
        <v>5772</v>
      </c>
      <c r="D1892" s="1324">
        <f t="shared" si="204"/>
        <v>39129</v>
      </c>
      <c r="E1892" s="1323">
        <f t="shared" si="206"/>
        <v>7.1863999999999999</v>
      </c>
      <c r="F1892" s="1323">
        <f t="shared" si="205"/>
        <v>6.8283384352300871</v>
      </c>
      <c r="G1892" s="1323">
        <f t="shared" si="207"/>
        <v>2007</v>
      </c>
      <c r="H1892" s="1323">
        <f t="shared" si="208"/>
        <v>2</v>
      </c>
      <c r="I1892" s="1323">
        <f t="shared" si="209"/>
        <v>16</v>
      </c>
      <c r="J1892" s="1323"/>
      <c r="K1892" s="1323"/>
      <c r="L1892" s="1323"/>
      <c r="M1892" s="1323"/>
      <c r="N1892" s="1323"/>
      <c r="O1892" s="1323"/>
      <c r="P1892" s="1323"/>
      <c r="Q1892" s="1323"/>
      <c r="R1892" s="1304"/>
      <c r="S1892" s="1304"/>
      <c r="T1892" s="1304"/>
    </row>
    <row r="1893" spans="1:20">
      <c r="A1893" s="1303"/>
      <c r="B1893" s="1322" t="s">
        <v>5991</v>
      </c>
      <c r="C1893" s="1323" t="s">
        <v>5992</v>
      </c>
      <c r="D1893" s="1324">
        <f t="shared" si="204"/>
        <v>39128</v>
      </c>
      <c r="E1893" s="1323">
        <f t="shared" si="206"/>
        <v>7.1760999999999999</v>
      </c>
      <c r="F1893" s="1323">
        <f t="shared" si="205"/>
        <v>6.8270291419699829</v>
      </c>
      <c r="G1893" s="1323">
        <f t="shared" si="207"/>
        <v>2007</v>
      </c>
      <c r="H1893" s="1323">
        <f t="shared" si="208"/>
        <v>2</v>
      </c>
      <c r="I1893" s="1323">
        <f t="shared" si="209"/>
        <v>15</v>
      </c>
      <c r="J1893" s="1323"/>
      <c r="K1893" s="1323"/>
      <c r="L1893" s="1323"/>
      <c r="M1893" s="1323"/>
      <c r="N1893" s="1323"/>
      <c r="O1893" s="1323"/>
      <c r="P1893" s="1323"/>
      <c r="Q1893" s="1323"/>
      <c r="R1893" s="1304"/>
      <c r="S1893" s="1304"/>
      <c r="T1893" s="1304"/>
    </row>
    <row r="1894" spans="1:20">
      <c r="A1894" s="1303"/>
      <c r="B1894" s="1322" t="s">
        <v>5993</v>
      </c>
      <c r="C1894" s="1323" t="s">
        <v>5994</v>
      </c>
      <c r="D1894" s="1324">
        <f t="shared" si="204"/>
        <v>39127</v>
      </c>
      <c r="E1894" s="1323">
        <f t="shared" si="206"/>
        <v>7.2263999999999999</v>
      </c>
      <c r="F1894" s="1323">
        <f t="shared" si="205"/>
        <v>6.8257200997590699</v>
      </c>
      <c r="G1894" s="1323">
        <f t="shared" si="207"/>
        <v>2007</v>
      </c>
      <c r="H1894" s="1323">
        <f t="shared" si="208"/>
        <v>2</v>
      </c>
      <c r="I1894" s="1323">
        <f t="shared" si="209"/>
        <v>14</v>
      </c>
      <c r="J1894" s="1323"/>
      <c r="K1894" s="1323"/>
      <c r="L1894" s="1323"/>
      <c r="M1894" s="1323"/>
      <c r="N1894" s="1323"/>
      <c r="O1894" s="1323"/>
      <c r="P1894" s="1323"/>
      <c r="Q1894" s="1323"/>
      <c r="R1894" s="1304"/>
      <c r="S1894" s="1304"/>
      <c r="T1894" s="1304"/>
    </row>
    <row r="1895" spans="1:20">
      <c r="A1895" s="1303"/>
      <c r="B1895" s="1322" t="s">
        <v>5995</v>
      </c>
      <c r="C1895" s="1323" t="s">
        <v>5996</v>
      </c>
      <c r="D1895" s="1324">
        <f t="shared" si="204"/>
        <v>39126</v>
      </c>
      <c r="E1895" s="1323">
        <f t="shared" si="206"/>
        <v>7.2645999999999997</v>
      </c>
      <c r="F1895" s="1323">
        <f t="shared" si="205"/>
        <v>6.8244113085492106</v>
      </c>
      <c r="G1895" s="1323">
        <f t="shared" si="207"/>
        <v>2007</v>
      </c>
      <c r="H1895" s="1323">
        <f t="shared" si="208"/>
        <v>2</v>
      </c>
      <c r="I1895" s="1323">
        <f t="shared" si="209"/>
        <v>13</v>
      </c>
      <c r="J1895" s="1323"/>
      <c r="K1895" s="1323"/>
      <c r="L1895" s="1323"/>
      <c r="M1895" s="1323"/>
      <c r="N1895" s="1323"/>
      <c r="O1895" s="1323"/>
      <c r="P1895" s="1323"/>
      <c r="Q1895" s="1323"/>
      <c r="R1895" s="1304"/>
      <c r="S1895" s="1304"/>
      <c r="T1895" s="1304"/>
    </row>
    <row r="1896" spans="1:20">
      <c r="A1896" s="1303"/>
      <c r="B1896" s="1322" t="s">
        <v>5997</v>
      </c>
      <c r="C1896" s="1323" t="s">
        <v>5998</v>
      </c>
      <c r="D1896" s="1324">
        <f t="shared" si="204"/>
        <v>39125</v>
      </c>
      <c r="E1896" s="1323">
        <f t="shared" si="206"/>
        <v>7.2441000000000004</v>
      </c>
      <c r="F1896" s="1323">
        <f t="shared" si="205"/>
        <v>6.8231027682922774</v>
      </c>
      <c r="G1896" s="1323">
        <f t="shared" si="207"/>
        <v>2007</v>
      </c>
      <c r="H1896" s="1323">
        <f t="shared" si="208"/>
        <v>2</v>
      </c>
      <c r="I1896" s="1323">
        <f t="shared" si="209"/>
        <v>12</v>
      </c>
      <c r="J1896" s="1323"/>
      <c r="K1896" s="1323"/>
      <c r="L1896" s="1323"/>
      <c r="M1896" s="1323"/>
      <c r="N1896" s="1323"/>
      <c r="O1896" s="1323"/>
      <c r="P1896" s="1323"/>
      <c r="Q1896" s="1323"/>
      <c r="R1896" s="1304"/>
      <c r="S1896" s="1304"/>
      <c r="T1896" s="1304"/>
    </row>
    <row r="1897" spans="1:20">
      <c r="A1897" s="1303"/>
      <c r="B1897" s="1322" t="s">
        <v>5999</v>
      </c>
      <c r="C1897" s="1323" t="s">
        <v>6000</v>
      </c>
      <c r="D1897" s="1324">
        <f t="shared" si="204"/>
        <v>39122</v>
      </c>
      <c r="E1897" s="1323">
        <f t="shared" si="206"/>
        <v>7.1414999999999997</v>
      </c>
      <c r="F1897" s="1323">
        <f t="shared" si="205"/>
        <v>6.8217944789401512</v>
      </c>
      <c r="G1897" s="1323">
        <f t="shared" si="207"/>
        <v>2007</v>
      </c>
      <c r="H1897" s="1323">
        <f t="shared" si="208"/>
        <v>2</v>
      </c>
      <c r="I1897" s="1323">
        <f t="shared" si="209"/>
        <v>9</v>
      </c>
      <c r="J1897" s="1323"/>
      <c r="K1897" s="1323"/>
      <c r="L1897" s="1323"/>
      <c r="M1897" s="1323"/>
      <c r="N1897" s="1323"/>
      <c r="O1897" s="1323"/>
      <c r="P1897" s="1323"/>
      <c r="Q1897" s="1323"/>
      <c r="R1897" s="1304"/>
      <c r="S1897" s="1304"/>
      <c r="T1897" s="1304"/>
    </row>
    <row r="1898" spans="1:20">
      <c r="A1898" s="1303"/>
      <c r="B1898" s="1322" t="s">
        <v>6001</v>
      </c>
      <c r="C1898" s="1323" t="s">
        <v>6002</v>
      </c>
      <c r="D1898" s="1324">
        <f t="shared" si="204"/>
        <v>39121</v>
      </c>
      <c r="E1898" s="1323">
        <f t="shared" si="206"/>
        <v>7.1666999999999996</v>
      </c>
      <c r="F1898" s="1323">
        <f t="shared" si="205"/>
        <v>6.8204864404447232</v>
      </c>
      <c r="G1898" s="1323">
        <f t="shared" si="207"/>
        <v>2007</v>
      </c>
      <c r="H1898" s="1323">
        <f t="shared" si="208"/>
        <v>2</v>
      </c>
      <c r="I1898" s="1323">
        <f t="shared" si="209"/>
        <v>8</v>
      </c>
      <c r="J1898" s="1323"/>
      <c r="K1898" s="1323"/>
      <c r="L1898" s="1323"/>
      <c r="M1898" s="1323"/>
      <c r="N1898" s="1323"/>
      <c r="O1898" s="1323"/>
      <c r="P1898" s="1323"/>
      <c r="Q1898" s="1323"/>
      <c r="R1898" s="1304"/>
      <c r="S1898" s="1304"/>
      <c r="T1898" s="1304"/>
    </row>
    <row r="1899" spans="1:20">
      <c r="A1899" s="1303"/>
      <c r="B1899" s="1322" t="s">
        <v>6003</v>
      </c>
      <c r="C1899" s="1323" t="s">
        <v>6004</v>
      </c>
      <c r="D1899" s="1324">
        <f t="shared" si="204"/>
        <v>39120</v>
      </c>
      <c r="E1899" s="1323">
        <f t="shared" si="206"/>
        <v>7.1863000000000001</v>
      </c>
      <c r="F1899" s="1323">
        <f t="shared" si="205"/>
        <v>6.819178652757893</v>
      </c>
      <c r="G1899" s="1323">
        <f t="shared" si="207"/>
        <v>2007</v>
      </c>
      <c r="H1899" s="1323">
        <f t="shared" si="208"/>
        <v>2</v>
      </c>
      <c r="I1899" s="1323">
        <f t="shared" si="209"/>
        <v>7</v>
      </c>
      <c r="J1899" s="1323"/>
      <c r="K1899" s="1323"/>
      <c r="L1899" s="1323"/>
      <c r="M1899" s="1323"/>
      <c r="N1899" s="1323"/>
      <c r="O1899" s="1323"/>
      <c r="P1899" s="1323"/>
      <c r="Q1899" s="1323"/>
      <c r="R1899" s="1304"/>
      <c r="S1899" s="1304"/>
      <c r="T1899" s="1304"/>
    </row>
    <row r="1900" spans="1:20">
      <c r="A1900" s="1303"/>
      <c r="B1900" s="1322" t="s">
        <v>6005</v>
      </c>
      <c r="C1900" s="1323" t="s">
        <v>6006</v>
      </c>
      <c r="D1900" s="1324">
        <f t="shared" si="204"/>
        <v>39119</v>
      </c>
      <c r="E1900" s="1323">
        <f t="shared" si="206"/>
        <v>7.2004999999999999</v>
      </c>
      <c r="F1900" s="1323">
        <f t="shared" si="205"/>
        <v>6.8178711158315686</v>
      </c>
      <c r="G1900" s="1323">
        <f t="shared" si="207"/>
        <v>2007</v>
      </c>
      <c r="H1900" s="1323">
        <f t="shared" si="208"/>
        <v>2</v>
      </c>
      <c r="I1900" s="1323">
        <f t="shared" si="209"/>
        <v>6</v>
      </c>
      <c r="J1900" s="1323"/>
      <c r="K1900" s="1323"/>
      <c r="L1900" s="1323"/>
      <c r="M1900" s="1323"/>
      <c r="N1900" s="1323"/>
      <c r="O1900" s="1323"/>
      <c r="P1900" s="1323"/>
      <c r="Q1900" s="1323"/>
      <c r="R1900" s="1304"/>
      <c r="S1900" s="1304"/>
      <c r="T1900" s="1304"/>
    </row>
    <row r="1901" spans="1:20">
      <c r="A1901" s="1303"/>
      <c r="B1901" s="1322" t="s">
        <v>6007</v>
      </c>
      <c r="C1901" s="1323" t="s">
        <v>6008</v>
      </c>
      <c r="D1901" s="1324">
        <f t="shared" si="204"/>
        <v>39118</v>
      </c>
      <c r="E1901" s="1323">
        <f t="shared" si="206"/>
        <v>7.2282999999999999</v>
      </c>
      <c r="F1901" s="1323">
        <f t="shared" si="205"/>
        <v>6.8165638296176692</v>
      </c>
      <c r="G1901" s="1323">
        <f t="shared" si="207"/>
        <v>2007</v>
      </c>
      <c r="H1901" s="1323">
        <f t="shared" si="208"/>
        <v>2</v>
      </c>
      <c r="I1901" s="1323">
        <f t="shared" si="209"/>
        <v>5</v>
      </c>
      <c r="J1901" s="1323"/>
      <c r="K1901" s="1323"/>
      <c r="L1901" s="1323"/>
      <c r="M1901" s="1323"/>
      <c r="N1901" s="1323"/>
      <c r="O1901" s="1323"/>
      <c r="P1901" s="1323"/>
      <c r="Q1901" s="1323"/>
      <c r="R1901" s="1304"/>
      <c r="S1901" s="1304"/>
      <c r="T1901" s="1304"/>
    </row>
    <row r="1902" spans="1:20">
      <c r="A1902" s="1303"/>
      <c r="B1902" s="1322" t="s">
        <v>6009</v>
      </c>
      <c r="C1902" s="1323" t="s">
        <v>5718</v>
      </c>
      <c r="D1902" s="1324">
        <f t="shared" si="204"/>
        <v>39115</v>
      </c>
      <c r="E1902" s="1323">
        <f t="shared" si="206"/>
        <v>7.1878000000000002</v>
      </c>
      <c r="F1902" s="1323">
        <f t="shared" si="205"/>
        <v>6.8152567940681212</v>
      </c>
      <c r="G1902" s="1323">
        <f t="shared" si="207"/>
        <v>2007</v>
      </c>
      <c r="H1902" s="1323">
        <f t="shared" si="208"/>
        <v>2</v>
      </c>
      <c r="I1902" s="1323">
        <f t="shared" si="209"/>
        <v>2</v>
      </c>
      <c r="J1902" s="1323"/>
      <c r="K1902" s="1323"/>
      <c r="L1902" s="1323"/>
      <c r="M1902" s="1323"/>
      <c r="N1902" s="1323"/>
      <c r="O1902" s="1323"/>
      <c r="P1902" s="1323"/>
      <c r="Q1902" s="1323"/>
      <c r="R1902" s="1304"/>
      <c r="S1902" s="1304"/>
      <c r="T1902" s="1304"/>
    </row>
    <row r="1903" spans="1:20">
      <c r="A1903" s="1303"/>
      <c r="B1903" s="1322" t="s">
        <v>6010</v>
      </c>
      <c r="C1903" s="1323" t="s">
        <v>6011</v>
      </c>
      <c r="D1903" s="1324">
        <f t="shared" si="204"/>
        <v>39114</v>
      </c>
      <c r="E1903" s="1323">
        <f t="shared" si="206"/>
        <v>7.1982999999999997</v>
      </c>
      <c r="F1903" s="1323">
        <f t="shared" si="205"/>
        <v>6.8139500091348619</v>
      </c>
      <c r="G1903" s="1323">
        <f t="shared" si="207"/>
        <v>2007</v>
      </c>
      <c r="H1903" s="1323">
        <f t="shared" si="208"/>
        <v>2</v>
      </c>
      <c r="I1903" s="1323">
        <f t="shared" si="209"/>
        <v>1</v>
      </c>
      <c r="J1903" s="1323"/>
      <c r="K1903" s="1323"/>
      <c r="L1903" s="1323"/>
      <c r="M1903" s="1323"/>
      <c r="N1903" s="1323"/>
      <c r="O1903" s="1323"/>
      <c r="P1903" s="1323"/>
      <c r="Q1903" s="1323"/>
      <c r="R1903" s="1304"/>
      <c r="S1903" s="1304"/>
      <c r="T1903" s="1304"/>
    </row>
    <row r="1904" spans="1:20">
      <c r="A1904" s="1303"/>
      <c r="B1904" s="1322" t="s">
        <v>6012</v>
      </c>
      <c r="C1904" s="1323" t="s">
        <v>6013</v>
      </c>
      <c r="D1904" s="1324">
        <f t="shared" si="204"/>
        <v>39113</v>
      </c>
      <c r="E1904" s="1323">
        <f t="shared" si="206"/>
        <v>7.2957000000000001</v>
      </c>
      <c r="F1904" s="1323">
        <f t="shared" si="205"/>
        <v>6.8126434747698372</v>
      </c>
      <c r="G1904" s="1323">
        <f t="shared" si="207"/>
        <v>2007</v>
      </c>
      <c r="H1904" s="1323">
        <f t="shared" si="208"/>
        <v>1</v>
      </c>
      <c r="I1904" s="1323">
        <f t="shared" si="209"/>
        <v>31</v>
      </c>
      <c r="J1904" s="1323"/>
      <c r="K1904" s="1323"/>
      <c r="L1904" s="1323"/>
      <c r="M1904" s="1323"/>
      <c r="N1904" s="1323"/>
      <c r="O1904" s="1323"/>
      <c r="P1904" s="1323"/>
      <c r="Q1904" s="1323"/>
      <c r="R1904" s="1304"/>
      <c r="S1904" s="1304"/>
      <c r="T1904" s="1304"/>
    </row>
    <row r="1905" spans="1:20">
      <c r="A1905" s="1303"/>
      <c r="B1905" s="1322" t="s">
        <v>6014</v>
      </c>
      <c r="C1905" s="1323" t="s">
        <v>6015</v>
      </c>
      <c r="D1905" s="1324">
        <f t="shared" si="204"/>
        <v>39112</v>
      </c>
      <c r="E1905" s="1323">
        <f t="shared" si="206"/>
        <v>7.3140999999999998</v>
      </c>
      <c r="F1905" s="1323">
        <f t="shared" si="205"/>
        <v>6.811337190925002</v>
      </c>
      <c r="G1905" s="1323">
        <f t="shared" si="207"/>
        <v>2007</v>
      </c>
      <c r="H1905" s="1323">
        <f t="shared" si="208"/>
        <v>1</v>
      </c>
      <c r="I1905" s="1323">
        <f t="shared" si="209"/>
        <v>30</v>
      </c>
      <c r="J1905" s="1323"/>
      <c r="K1905" s="1323"/>
      <c r="L1905" s="1323"/>
      <c r="M1905" s="1323"/>
      <c r="N1905" s="1323"/>
      <c r="O1905" s="1323"/>
      <c r="P1905" s="1323"/>
      <c r="Q1905" s="1323"/>
      <c r="R1905" s="1304"/>
      <c r="S1905" s="1304"/>
      <c r="T1905" s="1304"/>
    </row>
    <row r="1906" spans="1:20">
      <c r="A1906" s="1303"/>
      <c r="B1906" s="1322" t="s">
        <v>6016</v>
      </c>
      <c r="C1906" s="1323" t="s">
        <v>6017</v>
      </c>
      <c r="D1906" s="1324">
        <f t="shared" si="204"/>
        <v>39111</v>
      </c>
      <c r="E1906" s="1323">
        <f t="shared" si="206"/>
        <v>7.2803000000000004</v>
      </c>
      <c r="F1906" s="1323">
        <f t="shared" si="205"/>
        <v>6.8100311575523209</v>
      </c>
      <c r="G1906" s="1323">
        <f t="shared" si="207"/>
        <v>2007</v>
      </c>
      <c r="H1906" s="1323">
        <f t="shared" si="208"/>
        <v>1</v>
      </c>
      <c r="I1906" s="1323">
        <f t="shared" si="209"/>
        <v>29</v>
      </c>
      <c r="J1906" s="1323"/>
      <c r="K1906" s="1323"/>
      <c r="L1906" s="1323"/>
      <c r="M1906" s="1323"/>
      <c r="N1906" s="1323"/>
      <c r="O1906" s="1323"/>
      <c r="P1906" s="1323"/>
      <c r="Q1906" s="1323"/>
      <c r="R1906" s="1304"/>
      <c r="S1906" s="1304"/>
      <c r="T1906" s="1304"/>
    </row>
    <row r="1907" spans="1:20">
      <c r="A1907" s="1303"/>
      <c r="B1907" s="1322" t="s">
        <v>6018</v>
      </c>
      <c r="C1907" s="1323" t="s">
        <v>6019</v>
      </c>
      <c r="D1907" s="1324">
        <f t="shared" si="204"/>
        <v>39108</v>
      </c>
      <c r="E1907" s="1323">
        <f t="shared" si="206"/>
        <v>7.2843</v>
      </c>
      <c r="F1907" s="1323">
        <f t="shared" si="205"/>
        <v>6.8087253746037666</v>
      </c>
      <c r="G1907" s="1323">
        <f t="shared" si="207"/>
        <v>2007</v>
      </c>
      <c r="H1907" s="1323">
        <f t="shared" si="208"/>
        <v>1</v>
      </c>
      <c r="I1907" s="1323">
        <f t="shared" si="209"/>
        <v>26</v>
      </c>
      <c r="J1907" s="1323"/>
      <c r="K1907" s="1323"/>
      <c r="L1907" s="1323"/>
      <c r="M1907" s="1323"/>
      <c r="N1907" s="1323"/>
      <c r="O1907" s="1323"/>
      <c r="P1907" s="1323"/>
      <c r="Q1907" s="1323"/>
      <c r="R1907" s="1304"/>
      <c r="S1907" s="1304"/>
      <c r="T1907" s="1304"/>
    </row>
    <row r="1908" spans="1:20">
      <c r="A1908" s="1303"/>
      <c r="B1908" s="1322" t="s">
        <v>6020</v>
      </c>
      <c r="C1908" s="1323" t="s">
        <v>6021</v>
      </c>
      <c r="D1908" s="1324">
        <f t="shared" si="204"/>
        <v>39107</v>
      </c>
      <c r="E1908" s="1323">
        <f t="shared" si="206"/>
        <v>7.1261000000000001</v>
      </c>
      <c r="F1908" s="1323">
        <f t="shared" si="205"/>
        <v>6.8074198420313223</v>
      </c>
      <c r="G1908" s="1323">
        <f t="shared" si="207"/>
        <v>2007</v>
      </c>
      <c r="H1908" s="1323">
        <f t="shared" si="208"/>
        <v>1</v>
      </c>
      <c r="I1908" s="1323">
        <f t="shared" si="209"/>
        <v>25</v>
      </c>
      <c r="J1908" s="1323"/>
      <c r="K1908" s="1323"/>
      <c r="L1908" s="1323"/>
      <c r="M1908" s="1323"/>
      <c r="N1908" s="1323"/>
      <c r="O1908" s="1323"/>
      <c r="P1908" s="1323"/>
      <c r="Q1908" s="1323"/>
      <c r="R1908" s="1304"/>
      <c r="S1908" s="1304"/>
      <c r="T1908" s="1304"/>
    </row>
    <row r="1909" spans="1:20">
      <c r="A1909" s="1303"/>
      <c r="B1909" s="1322" t="s">
        <v>6022</v>
      </c>
      <c r="C1909" s="1323" t="s">
        <v>5865</v>
      </c>
      <c r="D1909" s="1324">
        <f t="shared" si="204"/>
        <v>39106</v>
      </c>
      <c r="E1909" s="1323">
        <f t="shared" si="206"/>
        <v>7.1557000000000004</v>
      </c>
      <c r="F1909" s="1323">
        <f t="shared" si="205"/>
        <v>6.8061145597869794</v>
      </c>
      <c r="G1909" s="1323">
        <f t="shared" si="207"/>
        <v>2007</v>
      </c>
      <c r="H1909" s="1323">
        <f t="shared" si="208"/>
        <v>1</v>
      </c>
      <c r="I1909" s="1323">
        <f t="shared" si="209"/>
        <v>24</v>
      </c>
      <c r="J1909" s="1323"/>
      <c r="K1909" s="1323"/>
      <c r="L1909" s="1323"/>
      <c r="M1909" s="1323"/>
      <c r="N1909" s="1323"/>
      <c r="O1909" s="1323"/>
      <c r="P1909" s="1323"/>
      <c r="Q1909" s="1323"/>
      <c r="R1909" s="1304"/>
      <c r="S1909" s="1304"/>
      <c r="T1909" s="1304"/>
    </row>
    <row r="1910" spans="1:20">
      <c r="A1910" s="1303"/>
      <c r="B1910" s="1322" t="s">
        <v>6023</v>
      </c>
      <c r="C1910" s="1323" t="s">
        <v>6024</v>
      </c>
      <c r="D1910" s="1324">
        <f t="shared" si="204"/>
        <v>39105</v>
      </c>
      <c r="E1910" s="1323">
        <f t="shared" si="206"/>
        <v>7.1281999999999996</v>
      </c>
      <c r="F1910" s="1323">
        <f t="shared" si="205"/>
        <v>6.804809527822739</v>
      </c>
      <c r="G1910" s="1323">
        <f t="shared" si="207"/>
        <v>2007</v>
      </c>
      <c r="H1910" s="1323">
        <f t="shared" si="208"/>
        <v>1</v>
      </c>
      <c r="I1910" s="1323">
        <f t="shared" si="209"/>
        <v>23</v>
      </c>
      <c r="J1910" s="1323"/>
      <c r="K1910" s="1323"/>
      <c r="L1910" s="1323"/>
      <c r="M1910" s="1323"/>
      <c r="N1910" s="1323"/>
      <c r="O1910" s="1323"/>
      <c r="P1910" s="1323"/>
      <c r="Q1910" s="1323"/>
      <c r="R1910" s="1304"/>
      <c r="S1910" s="1304"/>
      <c r="T1910" s="1304"/>
    </row>
    <row r="1911" spans="1:20">
      <c r="A1911" s="1303"/>
      <c r="B1911" s="1322" t="s">
        <v>6025</v>
      </c>
      <c r="C1911" s="1323" t="s">
        <v>6026</v>
      </c>
      <c r="D1911" s="1324">
        <f t="shared" si="204"/>
        <v>39104</v>
      </c>
      <c r="E1911" s="1323">
        <f t="shared" si="206"/>
        <v>7.1341000000000001</v>
      </c>
      <c r="F1911" s="1323">
        <f t="shared" si="205"/>
        <v>6.8035047460906117</v>
      </c>
      <c r="G1911" s="1323">
        <f t="shared" si="207"/>
        <v>2007</v>
      </c>
      <c r="H1911" s="1323">
        <f t="shared" si="208"/>
        <v>1</v>
      </c>
      <c r="I1911" s="1323">
        <f t="shared" si="209"/>
        <v>22</v>
      </c>
      <c r="J1911" s="1323"/>
      <c r="K1911" s="1323"/>
      <c r="L1911" s="1323"/>
      <c r="M1911" s="1323"/>
      <c r="N1911" s="1323"/>
      <c r="O1911" s="1323"/>
      <c r="P1911" s="1323"/>
      <c r="Q1911" s="1323"/>
      <c r="R1911" s="1304"/>
      <c r="S1911" s="1304"/>
      <c r="T1911" s="1304"/>
    </row>
    <row r="1912" spans="1:20">
      <c r="A1912" s="1303"/>
      <c r="B1912" s="1322" t="s">
        <v>6027</v>
      </c>
      <c r="C1912" s="1323" t="s">
        <v>6028</v>
      </c>
      <c r="D1912" s="1324">
        <f t="shared" si="204"/>
        <v>39101</v>
      </c>
      <c r="E1912" s="1323">
        <f t="shared" si="206"/>
        <v>7.1470000000000002</v>
      </c>
      <c r="F1912" s="1323">
        <f t="shared" si="205"/>
        <v>6.8022002145426166</v>
      </c>
      <c r="G1912" s="1323">
        <f t="shared" si="207"/>
        <v>2007</v>
      </c>
      <c r="H1912" s="1323">
        <f t="shared" si="208"/>
        <v>1</v>
      </c>
      <c r="I1912" s="1323">
        <f t="shared" si="209"/>
        <v>19</v>
      </c>
      <c r="J1912" s="1323"/>
      <c r="K1912" s="1323"/>
      <c r="L1912" s="1323"/>
      <c r="M1912" s="1323"/>
      <c r="N1912" s="1323"/>
      <c r="O1912" s="1323"/>
      <c r="P1912" s="1323"/>
      <c r="Q1912" s="1323"/>
      <c r="R1912" s="1304"/>
      <c r="S1912" s="1304"/>
      <c r="T1912" s="1304"/>
    </row>
    <row r="1913" spans="1:20">
      <c r="A1913" s="1303"/>
      <c r="B1913" s="1322" t="s">
        <v>6029</v>
      </c>
      <c r="C1913" s="1323" t="s">
        <v>6030</v>
      </c>
      <c r="D1913" s="1324">
        <f t="shared" si="204"/>
        <v>39100</v>
      </c>
      <c r="E1913" s="1323">
        <f t="shared" si="206"/>
        <v>7.1440999999999999</v>
      </c>
      <c r="F1913" s="1323">
        <f t="shared" si="205"/>
        <v>6.800895933130783</v>
      </c>
      <c r="G1913" s="1323">
        <f t="shared" si="207"/>
        <v>2007</v>
      </c>
      <c r="H1913" s="1323">
        <f t="shared" si="208"/>
        <v>1</v>
      </c>
      <c r="I1913" s="1323">
        <f t="shared" si="209"/>
        <v>18</v>
      </c>
      <c r="J1913" s="1323"/>
      <c r="K1913" s="1323"/>
      <c r="L1913" s="1323"/>
      <c r="M1913" s="1323"/>
      <c r="N1913" s="1323"/>
      <c r="O1913" s="1323"/>
      <c r="P1913" s="1323"/>
      <c r="Q1913" s="1323"/>
      <c r="R1913" s="1304"/>
      <c r="S1913" s="1304"/>
      <c r="T1913" s="1304"/>
    </row>
    <row r="1914" spans="1:20">
      <c r="A1914" s="1303"/>
      <c r="B1914" s="1322" t="s">
        <v>6031</v>
      </c>
      <c r="C1914" s="1323" t="s">
        <v>6032</v>
      </c>
      <c r="D1914" s="1324">
        <f t="shared" si="204"/>
        <v>39099</v>
      </c>
      <c r="E1914" s="1323">
        <f t="shared" si="206"/>
        <v>7.2701000000000002</v>
      </c>
      <c r="F1914" s="1323">
        <f t="shared" si="205"/>
        <v>6.7995919018071485</v>
      </c>
      <c r="G1914" s="1323">
        <f t="shared" si="207"/>
        <v>2007</v>
      </c>
      <c r="H1914" s="1323">
        <f t="shared" si="208"/>
        <v>1</v>
      </c>
      <c r="I1914" s="1323">
        <f t="shared" si="209"/>
        <v>17</v>
      </c>
      <c r="J1914" s="1323"/>
      <c r="K1914" s="1323"/>
      <c r="L1914" s="1323"/>
      <c r="M1914" s="1323"/>
      <c r="N1914" s="1323"/>
      <c r="O1914" s="1323"/>
      <c r="P1914" s="1323"/>
      <c r="Q1914" s="1323"/>
      <c r="R1914" s="1304"/>
      <c r="S1914" s="1304"/>
      <c r="T1914" s="1304"/>
    </row>
    <row r="1915" spans="1:20">
      <c r="A1915" s="1303"/>
      <c r="B1915" s="1322" t="s">
        <v>6033</v>
      </c>
      <c r="C1915" s="1323" t="s">
        <v>6034</v>
      </c>
      <c r="D1915" s="1324">
        <f t="shared" si="204"/>
        <v>39098</v>
      </c>
      <c r="E1915" s="1323">
        <f t="shared" si="206"/>
        <v>7.2224000000000004</v>
      </c>
      <c r="F1915" s="1323">
        <f t="shared" si="205"/>
        <v>6.7982881205237602</v>
      </c>
      <c r="G1915" s="1323">
        <f t="shared" si="207"/>
        <v>2007</v>
      </c>
      <c r="H1915" s="1323">
        <f t="shared" si="208"/>
        <v>1</v>
      </c>
      <c r="I1915" s="1323">
        <f t="shared" si="209"/>
        <v>16</v>
      </c>
      <c r="J1915" s="1323"/>
      <c r="K1915" s="1323"/>
      <c r="L1915" s="1323"/>
      <c r="M1915" s="1323"/>
      <c r="N1915" s="1323"/>
      <c r="O1915" s="1323"/>
      <c r="P1915" s="1323"/>
      <c r="Q1915" s="1323"/>
      <c r="R1915" s="1304"/>
      <c r="S1915" s="1304"/>
      <c r="T1915" s="1304"/>
    </row>
    <row r="1916" spans="1:20">
      <c r="A1916" s="1303"/>
      <c r="B1916" s="1322" t="s">
        <v>6035</v>
      </c>
      <c r="C1916" s="1323" t="s">
        <v>6036</v>
      </c>
      <c r="D1916" s="1324">
        <f t="shared" si="204"/>
        <v>39097</v>
      </c>
      <c r="E1916" s="1323">
        <f t="shared" si="206"/>
        <v>7.2083000000000004</v>
      </c>
      <c r="F1916" s="1323">
        <f t="shared" si="205"/>
        <v>6.7969845892326743</v>
      </c>
      <c r="G1916" s="1323">
        <f t="shared" si="207"/>
        <v>2007</v>
      </c>
      <c r="H1916" s="1323">
        <f t="shared" si="208"/>
        <v>1</v>
      </c>
      <c r="I1916" s="1323">
        <f t="shared" si="209"/>
        <v>15</v>
      </c>
      <c r="J1916" s="1323"/>
      <c r="K1916" s="1323"/>
      <c r="L1916" s="1323"/>
      <c r="M1916" s="1323"/>
      <c r="N1916" s="1323"/>
      <c r="O1916" s="1323"/>
      <c r="P1916" s="1323"/>
      <c r="Q1916" s="1323"/>
      <c r="R1916" s="1304"/>
      <c r="S1916" s="1304"/>
      <c r="T1916" s="1304"/>
    </row>
    <row r="1917" spans="1:20">
      <c r="A1917" s="1303"/>
      <c r="B1917" s="1322" t="s">
        <v>6037</v>
      </c>
      <c r="C1917" s="1323" t="s">
        <v>6038</v>
      </c>
      <c r="D1917" s="1324">
        <f t="shared" si="204"/>
        <v>39094</v>
      </c>
      <c r="E1917" s="1323">
        <f t="shared" si="206"/>
        <v>7.2610999999999999</v>
      </c>
      <c r="F1917" s="1323">
        <f t="shared" si="205"/>
        <v>6.7956813078859559</v>
      </c>
      <c r="G1917" s="1323">
        <f t="shared" si="207"/>
        <v>2007</v>
      </c>
      <c r="H1917" s="1323">
        <f t="shared" si="208"/>
        <v>1</v>
      </c>
      <c r="I1917" s="1323">
        <f t="shared" si="209"/>
        <v>12</v>
      </c>
      <c r="J1917" s="1323"/>
      <c r="K1917" s="1323"/>
      <c r="L1917" s="1323"/>
      <c r="M1917" s="1323"/>
      <c r="N1917" s="1323"/>
      <c r="O1917" s="1323"/>
      <c r="P1917" s="1323"/>
      <c r="Q1917" s="1323"/>
      <c r="R1917" s="1304"/>
      <c r="S1917" s="1304"/>
      <c r="T1917" s="1304"/>
    </row>
    <row r="1918" spans="1:20">
      <c r="A1918" s="1303"/>
      <c r="B1918" s="1322" t="s">
        <v>6039</v>
      </c>
      <c r="C1918" s="1323" t="s">
        <v>6040</v>
      </c>
      <c r="D1918" s="1324">
        <f t="shared" si="204"/>
        <v>39093</v>
      </c>
      <c r="E1918" s="1323">
        <f t="shared" si="206"/>
        <v>7.3000999999999996</v>
      </c>
      <c r="F1918" s="1323">
        <f t="shared" si="205"/>
        <v>6.7943782764356806</v>
      </c>
      <c r="G1918" s="1323">
        <f t="shared" si="207"/>
        <v>2007</v>
      </c>
      <c r="H1918" s="1323">
        <f t="shared" si="208"/>
        <v>1</v>
      </c>
      <c r="I1918" s="1323">
        <f t="shared" si="209"/>
        <v>11</v>
      </c>
      <c r="J1918" s="1323"/>
      <c r="K1918" s="1323"/>
      <c r="L1918" s="1323"/>
      <c r="M1918" s="1323"/>
      <c r="N1918" s="1323"/>
      <c r="O1918" s="1323"/>
      <c r="P1918" s="1323"/>
      <c r="Q1918" s="1323"/>
      <c r="R1918" s="1304"/>
      <c r="S1918" s="1304"/>
      <c r="T1918" s="1304"/>
    </row>
    <row r="1919" spans="1:20">
      <c r="A1919" s="1303"/>
      <c r="B1919" s="1322" t="s">
        <v>6041</v>
      </c>
      <c r="C1919" s="1323" t="s">
        <v>6042</v>
      </c>
      <c r="D1919" s="1324">
        <f t="shared" si="204"/>
        <v>39092</v>
      </c>
      <c r="E1919" s="1323">
        <f t="shared" si="206"/>
        <v>7.3497000000000003</v>
      </c>
      <c r="F1919" s="1323">
        <f t="shared" si="205"/>
        <v>6.7930754948339311</v>
      </c>
      <c r="G1919" s="1323">
        <f t="shared" si="207"/>
        <v>2007</v>
      </c>
      <c r="H1919" s="1323">
        <f t="shared" si="208"/>
        <v>1</v>
      </c>
      <c r="I1919" s="1323">
        <f t="shared" si="209"/>
        <v>10</v>
      </c>
      <c r="J1919" s="1323"/>
      <c r="K1919" s="1323"/>
      <c r="L1919" s="1323"/>
      <c r="M1919" s="1323"/>
      <c r="N1919" s="1323"/>
      <c r="O1919" s="1323"/>
      <c r="P1919" s="1323"/>
      <c r="Q1919" s="1323"/>
      <c r="R1919" s="1304"/>
      <c r="S1919" s="1304"/>
      <c r="T1919" s="1304"/>
    </row>
    <row r="1920" spans="1:20">
      <c r="A1920" s="1303"/>
      <c r="B1920" s="1322" t="s">
        <v>6043</v>
      </c>
      <c r="C1920" s="1323" t="s">
        <v>6044</v>
      </c>
      <c r="D1920" s="1324">
        <f t="shared" si="204"/>
        <v>39091</v>
      </c>
      <c r="E1920" s="1323">
        <f t="shared" si="206"/>
        <v>7.1905999999999999</v>
      </c>
      <c r="F1920" s="1323">
        <f t="shared" si="205"/>
        <v>6.791772963032801</v>
      </c>
      <c r="G1920" s="1323">
        <f t="shared" si="207"/>
        <v>2007</v>
      </c>
      <c r="H1920" s="1323">
        <f t="shared" si="208"/>
        <v>1</v>
      </c>
      <c r="I1920" s="1323">
        <f t="shared" si="209"/>
        <v>9</v>
      </c>
      <c r="J1920" s="1323"/>
      <c r="K1920" s="1323"/>
      <c r="L1920" s="1323"/>
      <c r="M1920" s="1323"/>
      <c r="N1920" s="1323"/>
      <c r="O1920" s="1323"/>
      <c r="P1920" s="1323"/>
      <c r="Q1920" s="1323"/>
      <c r="R1920" s="1304"/>
      <c r="S1920" s="1304"/>
      <c r="T1920" s="1304"/>
    </row>
    <row r="1921" spans="1:20">
      <c r="A1921" s="1303"/>
      <c r="B1921" s="1322" t="s">
        <v>6045</v>
      </c>
      <c r="C1921" s="1323" t="s">
        <v>6046</v>
      </c>
      <c r="D1921" s="1324">
        <f t="shared" si="204"/>
        <v>39090</v>
      </c>
      <c r="E1921" s="1323">
        <f t="shared" si="206"/>
        <v>7.2770000000000001</v>
      </c>
      <c r="F1921" s="1323">
        <f t="shared" si="205"/>
        <v>6.7904706809843924</v>
      </c>
      <c r="G1921" s="1323">
        <f t="shared" si="207"/>
        <v>2007</v>
      </c>
      <c r="H1921" s="1323">
        <f t="shared" si="208"/>
        <v>1</v>
      </c>
      <c r="I1921" s="1323">
        <f t="shared" si="209"/>
        <v>8</v>
      </c>
      <c r="J1921" s="1323"/>
      <c r="K1921" s="1323"/>
      <c r="L1921" s="1323"/>
      <c r="M1921" s="1323"/>
      <c r="N1921" s="1323"/>
      <c r="O1921" s="1323"/>
      <c r="P1921" s="1323"/>
      <c r="Q1921" s="1323"/>
      <c r="R1921" s="1304"/>
      <c r="S1921" s="1304"/>
      <c r="T1921" s="1304"/>
    </row>
    <row r="1922" spans="1:20">
      <c r="A1922" s="1303"/>
      <c r="B1922" s="1322" t="s">
        <v>6047</v>
      </c>
      <c r="C1922" s="1323" t="s">
        <v>5974</v>
      </c>
      <c r="D1922" s="1324">
        <f t="shared" si="204"/>
        <v>39087</v>
      </c>
      <c r="E1922" s="1323">
        <f t="shared" si="206"/>
        <v>7.1279000000000003</v>
      </c>
      <c r="F1922" s="1323">
        <f t="shared" si="205"/>
        <v>6.7891686486408176</v>
      </c>
      <c r="G1922" s="1323">
        <f t="shared" si="207"/>
        <v>2007</v>
      </c>
      <c r="H1922" s="1323">
        <f t="shared" si="208"/>
        <v>1</v>
      </c>
      <c r="I1922" s="1323">
        <f t="shared" si="209"/>
        <v>5</v>
      </c>
      <c r="J1922" s="1323"/>
      <c r="K1922" s="1323"/>
      <c r="L1922" s="1323"/>
      <c r="M1922" s="1323"/>
      <c r="N1922" s="1323"/>
      <c r="O1922" s="1323"/>
      <c r="P1922" s="1323"/>
      <c r="Q1922" s="1323"/>
      <c r="R1922" s="1304"/>
      <c r="S1922" s="1304"/>
      <c r="T1922" s="1304"/>
    </row>
    <row r="1923" spans="1:20">
      <c r="A1923" s="1303"/>
      <c r="B1923" s="1322" t="s">
        <v>6048</v>
      </c>
      <c r="C1923" s="1323" t="s">
        <v>6049</v>
      </c>
      <c r="D1923" s="1324">
        <f t="shared" si="204"/>
        <v>39086</v>
      </c>
      <c r="E1923" s="1323">
        <f t="shared" si="206"/>
        <v>7.0401999999999996</v>
      </c>
      <c r="F1923" s="1323">
        <f t="shared" si="205"/>
        <v>6.7878668659541956</v>
      </c>
      <c r="G1923" s="1323">
        <f t="shared" si="207"/>
        <v>2007</v>
      </c>
      <c r="H1923" s="1323">
        <f t="shared" si="208"/>
        <v>1</v>
      </c>
      <c r="I1923" s="1323">
        <f t="shared" si="209"/>
        <v>4</v>
      </c>
      <c r="J1923" s="1323"/>
      <c r="K1923" s="1323"/>
      <c r="L1923" s="1323"/>
      <c r="M1923" s="1323"/>
      <c r="N1923" s="1323"/>
      <c r="O1923" s="1323"/>
      <c r="P1923" s="1323"/>
      <c r="Q1923" s="1323"/>
      <c r="R1923" s="1304"/>
      <c r="S1923" s="1304"/>
      <c r="T1923" s="1304"/>
    </row>
    <row r="1924" spans="1:20">
      <c r="A1924" s="1303"/>
      <c r="B1924" s="1322" t="s">
        <v>6050</v>
      </c>
      <c r="C1924" s="1323" t="s">
        <v>6051</v>
      </c>
      <c r="D1924" s="1324">
        <f t="shared" si="204"/>
        <v>39085</v>
      </c>
      <c r="E1924" s="1323">
        <f t="shared" si="206"/>
        <v>6.8875000000000002</v>
      </c>
      <c r="F1924" s="1323">
        <f t="shared" si="205"/>
        <v>6.7865653328766573</v>
      </c>
      <c r="G1924" s="1323">
        <f t="shared" si="207"/>
        <v>2007</v>
      </c>
      <c r="H1924" s="1323">
        <f t="shared" si="208"/>
        <v>1</v>
      </c>
      <c r="I1924" s="1323">
        <f t="shared" si="209"/>
        <v>3</v>
      </c>
      <c r="J1924" s="1323"/>
      <c r="K1924" s="1323"/>
      <c r="L1924" s="1323"/>
      <c r="M1924" s="1323"/>
      <c r="N1924" s="1323"/>
      <c r="O1924" s="1323"/>
      <c r="P1924" s="1323"/>
      <c r="Q1924" s="1323"/>
      <c r="R1924" s="1304"/>
      <c r="S1924" s="1304"/>
      <c r="T1924" s="1304"/>
    </row>
    <row r="1925" spans="1:20">
      <c r="A1925" s="1303"/>
      <c r="B1925" s="1322" t="s">
        <v>6052</v>
      </c>
      <c r="C1925" s="1323" t="s">
        <v>4133</v>
      </c>
      <c r="D1925" s="1324">
        <f t="shared" si="204"/>
        <v>39084</v>
      </c>
      <c r="E1925" s="1323">
        <f t="shared" si="206"/>
        <v>6.9417999999999997</v>
      </c>
      <c r="F1925" s="1323">
        <f t="shared" si="205"/>
        <v>6.7852640493603413</v>
      </c>
      <c r="G1925" s="1323">
        <f t="shared" si="207"/>
        <v>2007</v>
      </c>
      <c r="H1925" s="1323">
        <f t="shared" si="208"/>
        <v>1</v>
      </c>
      <c r="I1925" s="1323">
        <f t="shared" si="209"/>
        <v>2</v>
      </c>
      <c r="J1925" s="1323"/>
      <c r="K1925" s="1323"/>
      <c r="L1925" s="1323"/>
      <c r="M1925" s="1323"/>
      <c r="N1925" s="1323"/>
      <c r="O1925" s="1323"/>
      <c r="P1925" s="1323"/>
      <c r="Q1925" s="1323"/>
      <c r="R1925" s="1304"/>
      <c r="S1925" s="1304"/>
      <c r="T1925" s="1304"/>
    </row>
    <row r="1926" spans="1:20">
      <c r="A1926" s="1303"/>
      <c r="B1926" s="1322" t="s">
        <v>6053</v>
      </c>
      <c r="C1926" s="1323" t="s">
        <v>6054</v>
      </c>
      <c r="D1926" s="1324">
        <f t="shared" si="204"/>
        <v>39080</v>
      </c>
      <c r="E1926" s="1323">
        <f t="shared" si="206"/>
        <v>6.9737</v>
      </c>
      <c r="F1926" s="1323">
        <f t="shared" si="205"/>
        <v>6.7839630153573962</v>
      </c>
      <c r="G1926" s="1323">
        <f t="shared" si="207"/>
        <v>2006</v>
      </c>
      <c r="H1926" s="1323">
        <f t="shared" si="208"/>
        <v>12</v>
      </c>
      <c r="I1926" s="1323">
        <f t="shared" si="209"/>
        <v>29</v>
      </c>
      <c r="J1926" s="1323"/>
      <c r="K1926" s="1323"/>
      <c r="L1926" s="1323"/>
      <c r="M1926" s="1323"/>
      <c r="N1926" s="1323"/>
      <c r="O1926" s="1323"/>
      <c r="P1926" s="1323"/>
      <c r="Q1926" s="1323"/>
      <c r="R1926" s="1304"/>
      <c r="S1926" s="1304"/>
      <c r="T1926" s="1304"/>
    </row>
    <row r="1927" spans="1:20">
      <c r="A1927" s="1303"/>
      <c r="B1927" s="1322" t="s">
        <v>6055</v>
      </c>
      <c r="C1927" s="1323" t="s">
        <v>6056</v>
      </c>
      <c r="D1927" s="1324">
        <f t="shared" si="204"/>
        <v>39079</v>
      </c>
      <c r="E1927" s="1323">
        <f t="shared" si="206"/>
        <v>7.0357000000000003</v>
      </c>
      <c r="F1927" s="1323">
        <f t="shared" si="205"/>
        <v>6.7826622308199784</v>
      </c>
      <c r="G1927" s="1323">
        <f t="shared" si="207"/>
        <v>2006</v>
      </c>
      <c r="H1927" s="1323">
        <f t="shared" si="208"/>
        <v>12</v>
      </c>
      <c r="I1927" s="1323">
        <f t="shared" si="209"/>
        <v>28</v>
      </c>
      <c r="J1927" s="1323"/>
      <c r="K1927" s="1323"/>
      <c r="L1927" s="1323"/>
      <c r="M1927" s="1323"/>
      <c r="N1927" s="1323"/>
      <c r="O1927" s="1323"/>
      <c r="P1927" s="1323"/>
      <c r="Q1927" s="1323"/>
      <c r="R1927" s="1304"/>
      <c r="S1927" s="1304"/>
      <c r="T1927" s="1304"/>
    </row>
    <row r="1928" spans="1:20">
      <c r="A1928" s="1303"/>
      <c r="B1928" s="1322" t="s">
        <v>6057</v>
      </c>
      <c r="C1928" s="1323" t="s">
        <v>6058</v>
      </c>
      <c r="D1928" s="1324">
        <f t="shared" si="204"/>
        <v>39078</v>
      </c>
      <c r="E1928" s="1323">
        <f t="shared" si="206"/>
        <v>7.0332999999999997</v>
      </c>
      <c r="F1928" s="1323">
        <f t="shared" si="205"/>
        <v>6.7813616957002552</v>
      </c>
      <c r="G1928" s="1323">
        <f t="shared" si="207"/>
        <v>2006</v>
      </c>
      <c r="H1928" s="1323">
        <f t="shared" si="208"/>
        <v>12</v>
      </c>
      <c r="I1928" s="1323">
        <f t="shared" si="209"/>
        <v>27</v>
      </c>
      <c r="J1928" s="1323"/>
      <c r="K1928" s="1323"/>
      <c r="L1928" s="1323"/>
      <c r="M1928" s="1323"/>
      <c r="N1928" s="1323"/>
      <c r="O1928" s="1323"/>
      <c r="P1928" s="1323"/>
      <c r="Q1928" s="1323"/>
      <c r="R1928" s="1304"/>
      <c r="S1928" s="1304"/>
      <c r="T1928" s="1304"/>
    </row>
    <row r="1929" spans="1:20">
      <c r="A1929" s="1303"/>
      <c r="B1929" s="1322" t="s">
        <v>6059</v>
      </c>
      <c r="C1929" s="1323" t="s">
        <v>6060</v>
      </c>
      <c r="D1929" s="1324">
        <f t="shared" ref="D1929:D1992" si="210">DATE(G1929,H1929,I1929)</f>
        <v>39073</v>
      </c>
      <c r="E1929" s="1323">
        <f t="shared" si="206"/>
        <v>7.0061999999999998</v>
      </c>
      <c r="F1929" s="1323">
        <f t="shared" ref="F1929:F1992" si="211">F1930*(1+$F$7/365)</f>
        <v>6.7800614099504015</v>
      </c>
      <c r="G1929" s="1323">
        <f t="shared" si="207"/>
        <v>2006</v>
      </c>
      <c r="H1929" s="1323">
        <f t="shared" si="208"/>
        <v>12</v>
      </c>
      <c r="I1929" s="1323">
        <f t="shared" si="209"/>
        <v>22</v>
      </c>
      <c r="J1929" s="1323"/>
      <c r="K1929" s="1323"/>
      <c r="L1929" s="1323"/>
      <c r="M1929" s="1323"/>
      <c r="N1929" s="1323"/>
      <c r="O1929" s="1323"/>
      <c r="P1929" s="1323"/>
      <c r="Q1929" s="1323"/>
      <c r="R1929" s="1304"/>
      <c r="S1929" s="1304"/>
      <c r="T1929" s="1304"/>
    </row>
    <row r="1930" spans="1:20">
      <c r="A1930" s="1303"/>
      <c r="B1930" s="1322" t="s">
        <v>6061</v>
      </c>
      <c r="C1930" s="1323" t="s">
        <v>4163</v>
      </c>
      <c r="D1930" s="1324">
        <f t="shared" si="210"/>
        <v>39072</v>
      </c>
      <c r="E1930" s="1323">
        <f t="shared" si="206"/>
        <v>6.9339000000000004</v>
      </c>
      <c r="F1930" s="1323">
        <f t="shared" si="211"/>
        <v>6.7787613735226024</v>
      </c>
      <c r="G1930" s="1323">
        <f t="shared" si="207"/>
        <v>2006</v>
      </c>
      <c r="H1930" s="1323">
        <f t="shared" si="208"/>
        <v>12</v>
      </c>
      <c r="I1930" s="1323">
        <f t="shared" si="209"/>
        <v>21</v>
      </c>
      <c r="J1930" s="1323"/>
      <c r="K1930" s="1323"/>
      <c r="L1930" s="1323"/>
      <c r="M1930" s="1323"/>
      <c r="N1930" s="1323"/>
      <c r="O1930" s="1323"/>
      <c r="P1930" s="1323"/>
      <c r="Q1930" s="1323"/>
      <c r="R1930" s="1304"/>
      <c r="S1930" s="1304"/>
      <c r="T1930" s="1304"/>
    </row>
    <row r="1931" spans="1:20">
      <c r="A1931" s="1303"/>
      <c r="B1931" s="1322" t="s">
        <v>6062</v>
      </c>
      <c r="C1931" s="1323" t="s">
        <v>6063</v>
      </c>
      <c r="D1931" s="1324">
        <f t="shared" si="210"/>
        <v>39071</v>
      </c>
      <c r="E1931" s="1323">
        <f t="shared" si="206"/>
        <v>6.9992999999999999</v>
      </c>
      <c r="F1931" s="1323">
        <f t="shared" si="211"/>
        <v>6.7774615863690517</v>
      </c>
      <c r="G1931" s="1323">
        <f t="shared" si="207"/>
        <v>2006</v>
      </c>
      <c r="H1931" s="1323">
        <f t="shared" si="208"/>
        <v>12</v>
      </c>
      <c r="I1931" s="1323">
        <f t="shared" si="209"/>
        <v>20</v>
      </c>
      <c r="J1931" s="1323"/>
      <c r="K1931" s="1323"/>
      <c r="L1931" s="1323"/>
      <c r="M1931" s="1323"/>
      <c r="N1931" s="1323"/>
      <c r="O1931" s="1323"/>
      <c r="P1931" s="1323"/>
      <c r="Q1931" s="1323"/>
      <c r="R1931" s="1304"/>
      <c r="S1931" s="1304"/>
      <c r="T1931" s="1304"/>
    </row>
    <row r="1932" spans="1:20">
      <c r="A1932" s="1303"/>
      <c r="B1932" s="1322" t="s">
        <v>6064</v>
      </c>
      <c r="C1932" s="1323" t="s">
        <v>6065</v>
      </c>
      <c r="D1932" s="1324">
        <f t="shared" si="210"/>
        <v>39070</v>
      </c>
      <c r="E1932" s="1323">
        <f t="shared" si="206"/>
        <v>7.0368000000000004</v>
      </c>
      <c r="F1932" s="1323">
        <f t="shared" si="211"/>
        <v>6.7761620484419529</v>
      </c>
      <c r="G1932" s="1323">
        <f t="shared" si="207"/>
        <v>2006</v>
      </c>
      <c r="H1932" s="1323">
        <f t="shared" si="208"/>
        <v>12</v>
      </c>
      <c r="I1932" s="1323">
        <f t="shared" si="209"/>
        <v>19</v>
      </c>
      <c r="J1932" s="1323"/>
      <c r="K1932" s="1323"/>
      <c r="L1932" s="1323"/>
      <c r="M1932" s="1323"/>
      <c r="N1932" s="1323"/>
      <c r="O1932" s="1323"/>
      <c r="P1932" s="1323"/>
      <c r="Q1932" s="1323"/>
      <c r="R1932" s="1304"/>
      <c r="S1932" s="1304"/>
      <c r="T1932" s="1304"/>
    </row>
    <row r="1933" spans="1:20">
      <c r="A1933" s="1303"/>
      <c r="B1933" s="1322" t="s">
        <v>6066</v>
      </c>
      <c r="C1933" s="1323" t="s">
        <v>4236</v>
      </c>
      <c r="D1933" s="1324">
        <f t="shared" si="210"/>
        <v>39069</v>
      </c>
      <c r="E1933" s="1323">
        <f t="shared" si="206"/>
        <v>6.9917999999999996</v>
      </c>
      <c r="F1933" s="1323">
        <f t="shared" si="211"/>
        <v>6.7748627596935185</v>
      </c>
      <c r="G1933" s="1323">
        <f t="shared" si="207"/>
        <v>2006</v>
      </c>
      <c r="H1933" s="1323">
        <f t="shared" si="208"/>
        <v>12</v>
      </c>
      <c r="I1933" s="1323">
        <f t="shared" si="209"/>
        <v>18</v>
      </c>
      <c r="J1933" s="1323"/>
      <c r="K1933" s="1323"/>
      <c r="L1933" s="1323"/>
      <c r="M1933" s="1323"/>
      <c r="N1933" s="1323"/>
      <c r="O1933" s="1323"/>
      <c r="P1933" s="1323"/>
      <c r="Q1933" s="1323"/>
      <c r="R1933" s="1304"/>
      <c r="S1933" s="1304"/>
      <c r="T1933" s="1304"/>
    </row>
    <row r="1934" spans="1:20">
      <c r="A1934" s="1303"/>
      <c r="B1934" s="1322" t="s">
        <v>6067</v>
      </c>
      <c r="C1934" s="1323" t="s">
        <v>6068</v>
      </c>
      <c r="D1934" s="1324">
        <f t="shared" si="210"/>
        <v>39066</v>
      </c>
      <c r="E1934" s="1323">
        <f t="shared" si="206"/>
        <v>6.9969999999999999</v>
      </c>
      <c r="F1934" s="1323">
        <f t="shared" si="211"/>
        <v>6.7735637200759697</v>
      </c>
      <c r="G1934" s="1323">
        <f t="shared" si="207"/>
        <v>2006</v>
      </c>
      <c r="H1934" s="1323">
        <f t="shared" si="208"/>
        <v>12</v>
      </c>
      <c r="I1934" s="1323">
        <f t="shared" si="209"/>
        <v>15</v>
      </c>
      <c r="J1934" s="1323"/>
      <c r="K1934" s="1323"/>
      <c r="L1934" s="1323"/>
      <c r="M1934" s="1323"/>
      <c r="N1934" s="1323"/>
      <c r="O1934" s="1323"/>
      <c r="P1934" s="1323"/>
      <c r="Q1934" s="1323"/>
      <c r="R1934" s="1304"/>
      <c r="S1934" s="1304"/>
      <c r="T1934" s="1304"/>
    </row>
    <row r="1935" spans="1:20">
      <c r="A1935" s="1303"/>
      <c r="B1935" s="1322" t="s">
        <v>6069</v>
      </c>
      <c r="C1935" s="1323" t="s">
        <v>6070</v>
      </c>
      <c r="D1935" s="1324">
        <f t="shared" si="210"/>
        <v>39065</v>
      </c>
      <c r="E1935" s="1323">
        <f t="shared" si="206"/>
        <v>7.0072000000000001</v>
      </c>
      <c r="F1935" s="1323">
        <f t="shared" si="211"/>
        <v>6.7722649295415369</v>
      </c>
      <c r="G1935" s="1323">
        <f t="shared" si="207"/>
        <v>2006</v>
      </c>
      <c r="H1935" s="1323">
        <f t="shared" si="208"/>
        <v>12</v>
      </c>
      <c r="I1935" s="1323">
        <f t="shared" si="209"/>
        <v>14</v>
      </c>
      <c r="J1935" s="1323"/>
      <c r="K1935" s="1323"/>
      <c r="L1935" s="1323"/>
      <c r="M1935" s="1323"/>
      <c r="N1935" s="1323"/>
      <c r="O1935" s="1323"/>
      <c r="P1935" s="1323"/>
      <c r="Q1935" s="1323"/>
      <c r="R1935" s="1304"/>
      <c r="S1935" s="1304"/>
      <c r="T1935" s="1304"/>
    </row>
    <row r="1936" spans="1:20">
      <c r="A1936" s="1303"/>
      <c r="B1936" s="1322" t="s">
        <v>6071</v>
      </c>
      <c r="C1936" s="1323" t="s">
        <v>6072</v>
      </c>
      <c r="D1936" s="1324">
        <f t="shared" si="210"/>
        <v>39064</v>
      </c>
      <c r="E1936" s="1323">
        <f t="shared" si="206"/>
        <v>6.9968000000000004</v>
      </c>
      <c r="F1936" s="1323">
        <f t="shared" si="211"/>
        <v>6.77096638804246</v>
      </c>
      <c r="G1936" s="1323">
        <f t="shared" si="207"/>
        <v>2006</v>
      </c>
      <c r="H1936" s="1323">
        <f t="shared" si="208"/>
        <v>12</v>
      </c>
      <c r="I1936" s="1323">
        <f t="shared" si="209"/>
        <v>13</v>
      </c>
      <c r="J1936" s="1323"/>
      <c r="K1936" s="1323"/>
      <c r="L1936" s="1323"/>
      <c r="M1936" s="1323"/>
      <c r="N1936" s="1323"/>
      <c r="O1936" s="1323"/>
      <c r="P1936" s="1323"/>
      <c r="Q1936" s="1323"/>
      <c r="R1936" s="1304"/>
      <c r="S1936" s="1304"/>
      <c r="T1936" s="1304"/>
    </row>
    <row r="1937" spans="1:20">
      <c r="A1937" s="1303"/>
      <c r="B1937" s="1322" t="s">
        <v>6073</v>
      </c>
      <c r="C1937" s="1323" t="s">
        <v>6074</v>
      </c>
      <c r="D1937" s="1324">
        <f t="shared" si="210"/>
        <v>39063</v>
      </c>
      <c r="E1937" s="1323">
        <f t="shared" si="206"/>
        <v>7.0357000000000003</v>
      </c>
      <c r="F1937" s="1323">
        <f t="shared" si="211"/>
        <v>6.7696680955309878</v>
      </c>
      <c r="G1937" s="1323">
        <f t="shared" si="207"/>
        <v>2006</v>
      </c>
      <c r="H1937" s="1323">
        <f t="shared" si="208"/>
        <v>12</v>
      </c>
      <c r="I1937" s="1323">
        <f t="shared" si="209"/>
        <v>12</v>
      </c>
      <c r="J1937" s="1323"/>
      <c r="K1937" s="1323"/>
      <c r="L1937" s="1323"/>
      <c r="M1937" s="1323"/>
      <c r="N1937" s="1323"/>
      <c r="O1937" s="1323"/>
      <c r="P1937" s="1323"/>
      <c r="Q1937" s="1323"/>
      <c r="R1937" s="1304"/>
      <c r="S1937" s="1304"/>
      <c r="T1937" s="1304"/>
    </row>
    <row r="1938" spans="1:20">
      <c r="A1938" s="1303"/>
      <c r="B1938" s="1322" t="s">
        <v>6075</v>
      </c>
      <c r="C1938" s="1323" t="s">
        <v>6058</v>
      </c>
      <c r="D1938" s="1324">
        <f t="shared" si="210"/>
        <v>39062</v>
      </c>
      <c r="E1938" s="1323">
        <f t="shared" si="206"/>
        <v>7.0926999999999998</v>
      </c>
      <c r="F1938" s="1323">
        <f t="shared" si="211"/>
        <v>6.768370051959379</v>
      </c>
      <c r="G1938" s="1323">
        <f t="shared" si="207"/>
        <v>2006</v>
      </c>
      <c r="H1938" s="1323">
        <f t="shared" si="208"/>
        <v>12</v>
      </c>
      <c r="I1938" s="1323">
        <f t="shared" si="209"/>
        <v>11</v>
      </c>
      <c r="J1938" s="1323"/>
      <c r="K1938" s="1323"/>
      <c r="L1938" s="1323"/>
      <c r="M1938" s="1323"/>
      <c r="N1938" s="1323"/>
      <c r="O1938" s="1323"/>
      <c r="P1938" s="1323"/>
      <c r="Q1938" s="1323"/>
      <c r="R1938" s="1304"/>
      <c r="S1938" s="1304"/>
      <c r="T1938" s="1304"/>
    </row>
    <row r="1939" spans="1:20">
      <c r="A1939" s="1303"/>
      <c r="B1939" s="1322" t="s">
        <v>6076</v>
      </c>
      <c r="C1939" s="1323" t="s">
        <v>6077</v>
      </c>
      <c r="D1939" s="1324">
        <f t="shared" si="210"/>
        <v>39059</v>
      </c>
      <c r="E1939" s="1323">
        <f t="shared" si="206"/>
        <v>7.0721999999999996</v>
      </c>
      <c r="F1939" s="1323">
        <f t="shared" si="211"/>
        <v>6.7670722572799002</v>
      </c>
      <c r="G1939" s="1323">
        <f t="shared" si="207"/>
        <v>2006</v>
      </c>
      <c r="H1939" s="1323">
        <f t="shared" si="208"/>
        <v>12</v>
      </c>
      <c r="I1939" s="1323">
        <f t="shared" si="209"/>
        <v>8</v>
      </c>
      <c r="J1939" s="1323"/>
      <c r="K1939" s="1323"/>
      <c r="L1939" s="1323"/>
      <c r="M1939" s="1323"/>
      <c r="N1939" s="1323"/>
      <c r="O1939" s="1323"/>
      <c r="P1939" s="1323"/>
      <c r="Q1939" s="1323"/>
      <c r="R1939" s="1304"/>
      <c r="S1939" s="1304"/>
      <c r="T1939" s="1304"/>
    </row>
    <row r="1940" spans="1:20">
      <c r="A1940" s="1303"/>
      <c r="B1940" s="1322" t="s">
        <v>6078</v>
      </c>
      <c r="C1940" s="1323" t="s">
        <v>6079</v>
      </c>
      <c r="D1940" s="1324">
        <f t="shared" si="210"/>
        <v>39058</v>
      </c>
      <c r="E1940" s="1323">
        <f t="shared" si="206"/>
        <v>7.0457999999999998</v>
      </c>
      <c r="F1940" s="1323">
        <f t="shared" si="211"/>
        <v>6.7657747114448288</v>
      </c>
      <c r="G1940" s="1323">
        <f t="shared" si="207"/>
        <v>2006</v>
      </c>
      <c r="H1940" s="1323">
        <f t="shared" si="208"/>
        <v>12</v>
      </c>
      <c r="I1940" s="1323">
        <f t="shared" si="209"/>
        <v>7</v>
      </c>
      <c r="J1940" s="1323"/>
      <c r="K1940" s="1323"/>
      <c r="L1940" s="1323"/>
      <c r="M1940" s="1323"/>
      <c r="N1940" s="1323"/>
      <c r="O1940" s="1323"/>
      <c r="P1940" s="1323"/>
      <c r="Q1940" s="1323"/>
      <c r="R1940" s="1304"/>
      <c r="S1940" s="1304"/>
      <c r="T1940" s="1304"/>
    </row>
    <row r="1941" spans="1:20">
      <c r="A1941" s="1303"/>
      <c r="B1941" s="1322" t="s">
        <v>6080</v>
      </c>
      <c r="C1941" s="1323" t="s">
        <v>6081</v>
      </c>
      <c r="D1941" s="1324">
        <f t="shared" si="210"/>
        <v>39057</v>
      </c>
      <c r="E1941" s="1323">
        <f t="shared" si="206"/>
        <v>7.1199000000000003</v>
      </c>
      <c r="F1941" s="1323">
        <f t="shared" si="211"/>
        <v>6.764477414406449</v>
      </c>
      <c r="G1941" s="1323">
        <f t="shared" si="207"/>
        <v>2006</v>
      </c>
      <c r="H1941" s="1323">
        <f t="shared" si="208"/>
        <v>12</v>
      </c>
      <c r="I1941" s="1323">
        <f t="shared" si="209"/>
        <v>6</v>
      </c>
      <c r="J1941" s="1323"/>
      <c r="K1941" s="1323"/>
      <c r="L1941" s="1323"/>
      <c r="M1941" s="1323"/>
      <c r="N1941" s="1323"/>
      <c r="O1941" s="1323"/>
      <c r="P1941" s="1323"/>
      <c r="Q1941" s="1323"/>
      <c r="R1941" s="1304"/>
      <c r="S1941" s="1304"/>
      <c r="T1941" s="1304"/>
    </row>
    <row r="1942" spans="1:20">
      <c r="A1942" s="1303"/>
      <c r="B1942" s="1322" t="s">
        <v>6082</v>
      </c>
      <c r="C1942" s="1323" t="s">
        <v>6083</v>
      </c>
      <c r="D1942" s="1324">
        <f t="shared" si="210"/>
        <v>39056</v>
      </c>
      <c r="E1942" s="1323">
        <f t="shared" ref="E1942:E2005" si="212">VALUE(C1943)</f>
        <v>7.1252000000000004</v>
      </c>
      <c r="F1942" s="1323">
        <f t="shared" si="211"/>
        <v>6.7631803661170569</v>
      </c>
      <c r="G1942" s="1323">
        <f t="shared" ref="G1942:G2005" si="213">YEAR(B1943)</f>
        <v>2006</v>
      </c>
      <c r="H1942" s="1323">
        <f t="shared" ref="H1942:H2005" si="214">MONTH(B1943)</f>
        <v>12</v>
      </c>
      <c r="I1942" s="1323">
        <f t="shared" ref="I1942:I2005" si="215">DAY(B1943)</f>
        <v>5</v>
      </c>
      <c r="J1942" s="1323"/>
      <c r="K1942" s="1323"/>
      <c r="L1942" s="1323"/>
      <c r="M1942" s="1323"/>
      <c r="N1942" s="1323"/>
      <c r="O1942" s="1323"/>
      <c r="P1942" s="1323"/>
      <c r="Q1942" s="1323"/>
      <c r="R1942" s="1304"/>
      <c r="S1942" s="1304"/>
      <c r="T1942" s="1304"/>
    </row>
    <row r="1943" spans="1:20">
      <c r="A1943" s="1303"/>
      <c r="B1943" s="1322" t="s">
        <v>6084</v>
      </c>
      <c r="C1943" s="1323" t="s">
        <v>6085</v>
      </c>
      <c r="D1943" s="1324">
        <f t="shared" si="210"/>
        <v>39055</v>
      </c>
      <c r="E1943" s="1323">
        <f t="shared" si="212"/>
        <v>7.1498999999999997</v>
      </c>
      <c r="F1943" s="1323">
        <f t="shared" si="211"/>
        <v>6.7618835665289554</v>
      </c>
      <c r="G1943" s="1323">
        <f t="shared" si="213"/>
        <v>2006</v>
      </c>
      <c r="H1943" s="1323">
        <f t="shared" si="214"/>
        <v>12</v>
      </c>
      <c r="I1943" s="1323">
        <f t="shared" si="215"/>
        <v>4</v>
      </c>
      <c r="J1943" s="1323"/>
      <c r="K1943" s="1323"/>
      <c r="L1943" s="1323"/>
      <c r="M1943" s="1323"/>
      <c r="N1943" s="1323"/>
      <c r="O1943" s="1323"/>
      <c r="P1943" s="1323"/>
      <c r="Q1943" s="1323"/>
      <c r="R1943" s="1304"/>
      <c r="S1943" s="1304"/>
      <c r="T1943" s="1304"/>
    </row>
    <row r="1944" spans="1:20">
      <c r="A1944" s="1303"/>
      <c r="B1944" s="1322" t="s">
        <v>6086</v>
      </c>
      <c r="C1944" s="1323" t="s">
        <v>6087</v>
      </c>
      <c r="D1944" s="1324">
        <f t="shared" si="210"/>
        <v>39052</v>
      </c>
      <c r="E1944" s="1323">
        <f t="shared" si="212"/>
        <v>7.1273</v>
      </c>
      <c r="F1944" s="1323">
        <f t="shared" si="211"/>
        <v>6.7605870155944574</v>
      </c>
      <c r="G1944" s="1323">
        <f t="shared" si="213"/>
        <v>2006</v>
      </c>
      <c r="H1944" s="1323">
        <f t="shared" si="214"/>
        <v>12</v>
      </c>
      <c r="I1944" s="1323">
        <f t="shared" si="215"/>
        <v>1</v>
      </c>
      <c r="J1944" s="1323"/>
      <c r="K1944" s="1323"/>
      <c r="L1944" s="1323"/>
      <c r="M1944" s="1323"/>
      <c r="N1944" s="1323"/>
      <c r="O1944" s="1323"/>
      <c r="P1944" s="1323"/>
      <c r="Q1944" s="1323"/>
      <c r="R1944" s="1304"/>
      <c r="S1944" s="1304"/>
      <c r="T1944" s="1304"/>
    </row>
    <row r="1945" spans="1:20">
      <c r="A1945" s="1303"/>
      <c r="B1945" s="1322" t="s">
        <v>6088</v>
      </c>
      <c r="C1945" s="1323" t="s">
        <v>6089</v>
      </c>
      <c r="D1945" s="1324">
        <f t="shared" si="210"/>
        <v>39051</v>
      </c>
      <c r="E1945" s="1323">
        <f t="shared" si="212"/>
        <v>7.1313000000000004</v>
      </c>
      <c r="F1945" s="1323">
        <f t="shared" si="211"/>
        <v>6.7592907132658855</v>
      </c>
      <c r="G1945" s="1323">
        <f t="shared" si="213"/>
        <v>2006</v>
      </c>
      <c r="H1945" s="1323">
        <f t="shared" si="214"/>
        <v>11</v>
      </c>
      <c r="I1945" s="1323">
        <f t="shared" si="215"/>
        <v>30</v>
      </c>
      <c r="J1945" s="1323"/>
      <c r="K1945" s="1323"/>
      <c r="L1945" s="1323"/>
      <c r="M1945" s="1323"/>
      <c r="N1945" s="1323"/>
      <c r="O1945" s="1323"/>
      <c r="P1945" s="1323"/>
      <c r="Q1945" s="1323"/>
      <c r="R1945" s="1304"/>
      <c r="S1945" s="1304"/>
      <c r="T1945" s="1304"/>
    </row>
    <row r="1946" spans="1:20">
      <c r="A1946" s="1303"/>
      <c r="B1946" s="1322" t="s">
        <v>6090</v>
      </c>
      <c r="C1946" s="1323" t="s">
        <v>5915</v>
      </c>
      <c r="D1946" s="1324">
        <f t="shared" si="210"/>
        <v>39050</v>
      </c>
      <c r="E1946" s="1323">
        <f t="shared" si="212"/>
        <v>7.1113</v>
      </c>
      <c r="F1946" s="1323">
        <f t="shared" si="211"/>
        <v>6.7579946594955711</v>
      </c>
      <c r="G1946" s="1323">
        <f t="shared" si="213"/>
        <v>2006</v>
      </c>
      <c r="H1946" s="1323">
        <f t="shared" si="214"/>
        <v>11</v>
      </c>
      <c r="I1946" s="1323">
        <f t="shared" si="215"/>
        <v>29</v>
      </c>
      <c r="J1946" s="1323"/>
      <c r="K1946" s="1323"/>
      <c r="L1946" s="1323"/>
      <c r="M1946" s="1323"/>
      <c r="N1946" s="1323"/>
      <c r="O1946" s="1323"/>
      <c r="P1946" s="1323"/>
      <c r="Q1946" s="1323"/>
      <c r="R1946" s="1304"/>
      <c r="S1946" s="1304"/>
      <c r="T1946" s="1304"/>
    </row>
    <row r="1947" spans="1:20">
      <c r="A1947" s="1303"/>
      <c r="B1947" s="1322" t="s">
        <v>6091</v>
      </c>
      <c r="C1947" s="1323" t="s">
        <v>6092</v>
      </c>
      <c r="D1947" s="1324">
        <f t="shared" si="210"/>
        <v>39049</v>
      </c>
      <c r="E1947" s="1323">
        <f t="shared" si="212"/>
        <v>7.1757999999999997</v>
      </c>
      <c r="F1947" s="1323">
        <f t="shared" si="211"/>
        <v>6.7566988542358546</v>
      </c>
      <c r="G1947" s="1323">
        <f t="shared" si="213"/>
        <v>2006</v>
      </c>
      <c r="H1947" s="1323">
        <f t="shared" si="214"/>
        <v>11</v>
      </c>
      <c r="I1947" s="1323">
        <f t="shared" si="215"/>
        <v>28</v>
      </c>
      <c r="J1947" s="1323"/>
      <c r="K1947" s="1323"/>
      <c r="L1947" s="1323"/>
      <c r="M1947" s="1323"/>
      <c r="N1947" s="1323"/>
      <c r="O1947" s="1323"/>
      <c r="P1947" s="1323"/>
      <c r="Q1947" s="1323"/>
      <c r="R1947" s="1304"/>
      <c r="S1947" s="1304"/>
      <c r="T1947" s="1304"/>
    </row>
    <row r="1948" spans="1:20">
      <c r="A1948" s="1303"/>
      <c r="B1948" s="1322" t="s">
        <v>6093</v>
      </c>
      <c r="C1948" s="1323" t="s">
        <v>6094</v>
      </c>
      <c r="D1948" s="1324">
        <f t="shared" si="210"/>
        <v>39048</v>
      </c>
      <c r="E1948" s="1323">
        <f t="shared" si="212"/>
        <v>7.1066000000000003</v>
      </c>
      <c r="F1948" s="1323">
        <f t="shared" si="211"/>
        <v>6.7554032974390852</v>
      </c>
      <c r="G1948" s="1323">
        <f t="shared" si="213"/>
        <v>2006</v>
      </c>
      <c r="H1948" s="1323">
        <f t="shared" si="214"/>
        <v>11</v>
      </c>
      <c r="I1948" s="1323">
        <f t="shared" si="215"/>
        <v>27</v>
      </c>
      <c r="J1948" s="1323"/>
      <c r="K1948" s="1323"/>
      <c r="L1948" s="1323"/>
      <c r="M1948" s="1323"/>
      <c r="N1948" s="1323"/>
      <c r="O1948" s="1323"/>
      <c r="P1948" s="1323"/>
      <c r="Q1948" s="1323"/>
      <c r="R1948" s="1304"/>
      <c r="S1948" s="1304"/>
      <c r="T1948" s="1304"/>
    </row>
    <row r="1949" spans="1:20">
      <c r="A1949" s="1303"/>
      <c r="B1949" s="1322" t="s">
        <v>6095</v>
      </c>
      <c r="C1949" s="1323" t="s">
        <v>6096</v>
      </c>
      <c r="D1949" s="1324">
        <f t="shared" si="210"/>
        <v>39045</v>
      </c>
      <c r="E1949" s="1323">
        <f t="shared" si="212"/>
        <v>7.2575000000000003</v>
      </c>
      <c r="F1949" s="1323">
        <f t="shared" si="211"/>
        <v>6.7541079890576219</v>
      </c>
      <c r="G1949" s="1323">
        <f t="shared" si="213"/>
        <v>2006</v>
      </c>
      <c r="H1949" s="1323">
        <f t="shared" si="214"/>
        <v>11</v>
      </c>
      <c r="I1949" s="1323">
        <f t="shared" si="215"/>
        <v>24</v>
      </c>
      <c r="J1949" s="1323"/>
      <c r="K1949" s="1323"/>
      <c r="L1949" s="1323"/>
      <c r="M1949" s="1323"/>
      <c r="N1949" s="1323"/>
      <c r="O1949" s="1323"/>
      <c r="P1949" s="1323"/>
      <c r="Q1949" s="1323"/>
      <c r="R1949" s="1304"/>
      <c r="S1949" s="1304"/>
      <c r="T1949" s="1304"/>
    </row>
    <row r="1950" spans="1:20">
      <c r="A1950" s="1303"/>
      <c r="B1950" s="1322" t="s">
        <v>6097</v>
      </c>
      <c r="C1950" s="1323" t="s">
        <v>6098</v>
      </c>
      <c r="D1950" s="1324">
        <f t="shared" si="210"/>
        <v>39044</v>
      </c>
      <c r="E1950" s="1323">
        <f t="shared" si="212"/>
        <v>7.1620999999999997</v>
      </c>
      <c r="F1950" s="1323">
        <f t="shared" si="211"/>
        <v>6.7528129290438326</v>
      </c>
      <c r="G1950" s="1323">
        <f t="shared" si="213"/>
        <v>2006</v>
      </c>
      <c r="H1950" s="1323">
        <f t="shared" si="214"/>
        <v>11</v>
      </c>
      <c r="I1950" s="1323">
        <f t="shared" si="215"/>
        <v>23</v>
      </c>
      <c r="J1950" s="1323"/>
      <c r="K1950" s="1323"/>
      <c r="L1950" s="1323"/>
      <c r="M1950" s="1323"/>
      <c r="N1950" s="1323"/>
      <c r="O1950" s="1323"/>
      <c r="P1950" s="1323"/>
      <c r="Q1950" s="1323"/>
      <c r="R1950" s="1304"/>
      <c r="S1950" s="1304"/>
      <c r="T1950" s="1304"/>
    </row>
    <row r="1951" spans="1:20">
      <c r="A1951" s="1303"/>
      <c r="B1951" s="1322" t="s">
        <v>6099</v>
      </c>
      <c r="C1951" s="1323" t="s">
        <v>6100</v>
      </c>
      <c r="D1951" s="1324">
        <f t="shared" si="210"/>
        <v>39043</v>
      </c>
      <c r="E1951" s="1323">
        <f t="shared" si="212"/>
        <v>7.1746999999999996</v>
      </c>
      <c r="F1951" s="1323">
        <f t="shared" si="211"/>
        <v>6.751518117350094</v>
      </c>
      <c r="G1951" s="1323">
        <f t="shared" si="213"/>
        <v>2006</v>
      </c>
      <c r="H1951" s="1323">
        <f t="shared" si="214"/>
        <v>11</v>
      </c>
      <c r="I1951" s="1323">
        <f t="shared" si="215"/>
        <v>22</v>
      </c>
      <c r="J1951" s="1323"/>
      <c r="K1951" s="1323"/>
      <c r="L1951" s="1323"/>
      <c r="M1951" s="1323"/>
      <c r="N1951" s="1323"/>
      <c r="O1951" s="1323"/>
      <c r="P1951" s="1323"/>
      <c r="Q1951" s="1323"/>
      <c r="R1951" s="1304"/>
      <c r="S1951" s="1304"/>
      <c r="T1951" s="1304"/>
    </row>
    <row r="1952" spans="1:20">
      <c r="A1952" s="1303"/>
      <c r="B1952" s="1322" t="s">
        <v>6101</v>
      </c>
      <c r="C1952" s="1323" t="s">
        <v>6102</v>
      </c>
      <c r="D1952" s="1324">
        <f t="shared" si="210"/>
        <v>39042</v>
      </c>
      <c r="E1952" s="1323">
        <f t="shared" si="212"/>
        <v>7.2145999999999999</v>
      </c>
      <c r="F1952" s="1323">
        <f t="shared" si="211"/>
        <v>6.7502235539287927</v>
      </c>
      <c r="G1952" s="1323">
        <f t="shared" si="213"/>
        <v>2006</v>
      </c>
      <c r="H1952" s="1323">
        <f t="shared" si="214"/>
        <v>11</v>
      </c>
      <c r="I1952" s="1323">
        <f t="shared" si="215"/>
        <v>21</v>
      </c>
      <c r="J1952" s="1323"/>
      <c r="K1952" s="1323"/>
      <c r="L1952" s="1323"/>
      <c r="M1952" s="1323"/>
      <c r="N1952" s="1323"/>
      <c r="O1952" s="1323"/>
      <c r="P1952" s="1323"/>
      <c r="Q1952" s="1323"/>
      <c r="R1952" s="1304"/>
      <c r="S1952" s="1304"/>
      <c r="T1952" s="1304"/>
    </row>
    <row r="1953" spans="1:20">
      <c r="A1953" s="1303"/>
      <c r="B1953" s="1322" t="s">
        <v>6103</v>
      </c>
      <c r="C1953" s="1323" t="s">
        <v>6104</v>
      </c>
      <c r="D1953" s="1324">
        <f t="shared" si="210"/>
        <v>39041</v>
      </c>
      <c r="E1953" s="1323">
        <f t="shared" si="212"/>
        <v>7.2843</v>
      </c>
      <c r="F1953" s="1323">
        <f t="shared" si="211"/>
        <v>6.7489292387323232</v>
      </c>
      <c r="G1953" s="1323">
        <f t="shared" si="213"/>
        <v>2006</v>
      </c>
      <c r="H1953" s="1323">
        <f t="shared" si="214"/>
        <v>11</v>
      </c>
      <c r="I1953" s="1323">
        <f t="shared" si="215"/>
        <v>20</v>
      </c>
      <c r="J1953" s="1323"/>
      <c r="K1953" s="1323"/>
      <c r="L1953" s="1323"/>
      <c r="M1953" s="1323"/>
      <c r="N1953" s="1323"/>
      <c r="O1953" s="1323"/>
      <c r="P1953" s="1323"/>
      <c r="Q1953" s="1323"/>
      <c r="R1953" s="1304"/>
      <c r="S1953" s="1304"/>
      <c r="T1953" s="1304"/>
    </row>
    <row r="1954" spans="1:20">
      <c r="A1954" s="1303"/>
      <c r="B1954" s="1322" t="s">
        <v>6105</v>
      </c>
      <c r="C1954" s="1323" t="s">
        <v>6021</v>
      </c>
      <c r="D1954" s="1324">
        <f t="shared" si="210"/>
        <v>39038</v>
      </c>
      <c r="E1954" s="1323">
        <f t="shared" si="212"/>
        <v>7.2731000000000003</v>
      </c>
      <c r="F1954" s="1323">
        <f t="shared" si="211"/>
        <v>6.7476351717130907</v>
      </c>
      <c r="G1954" s="1323">
        <f t="shared" si="213"/>
        <v>2006</v>
      </c>
      <c r="H1954" s="1323">
        <f t="shared" si="214"/>
        <v>11</v>
      </c>
      <c r="I1954" s="1323">
        <f t="shared" si="215"/>
        <v>17</v>
      </c>
      <c r="J1954" s="1323"/>
      <c r="K1954" s="1323"/>
      <c r="L1954" s="1323"/>
      <c r="M1954" s="1323"/>
      <c r="N1954" s="1323"/>
      <c r="O1954" s="1323"/>
      <c r="P1954" s="1323"/>
      <c r="Q1954" s="1323"/>
      <c r="R1954" s="1304"/>
      <c r="S1954" s="1304"/>
      <c r="T1954" s="1304"/>
    </row>
    <row r="1955" spans="1:20">
      <c r="A1955" s="1303"/>
      <c r="B1955" s="1322" t="s">
        <v>6106</v>
      </c>
      <c r="C1955" s="1323" t="s">
        <v>6107</v>
      </c>
      <c r="D1955" s="1324">
        <f t="shared" si="210"/>
        <v>39037</v>
      </c>
      <c r="E1955" s="1323">
        <f t="shared" si="212"/>
        <v>7.1954000000000002</v>
      </c>
      <c r="F1955" s="1323">
        <f t="shared" si="211"/>
        <v>6.7463413528235074</v>
      </c>
      <c r="G1955" s="1323">
        <f t="shared" si="213"/>
        <v>2006</v>
      </c>
      <c r="H1955" s="1323">
        <f t="shared" si="214"/>
        <v>11</v>
      </c>
      <c r="I1955" s="1323">
        <f t="shared" si="215"/>
        <v>16</v>
      </c>
      <c r="J1955" s="1323"/>
      <c r="K1955" s="1323"/>
      <c r="L1955" s="1323"/>
      <c r="M1955" s="1323"/>
      <c r="N1955" s="1323"/>
      <c r="O1955" s="1323"/>
      <c r="P1955" s="1323"/>
      <c r="Q1955" s="1323"/>
      <c r="R1955" s="1304"/>
      <c r="S1955" s="1304"/>
      <c r="T1955" s="1304"/>
    </row>
    <row r="1956" spans="1:20">
      <c r="A1956" s="1303"/>
      <c r="B1956" s="1322" t="s">
        <v>6108</v>
      </c>
      <c r="C1956" s="1323" t="s">
        <v>5710</v>
      </c>
      <c r="D1956" s="1324">
        <f t="shared" si="210"/>
        <v>39036</v>
      </c>
      <c r="E1956" s="1323">
        <f t="shared" si="212"/>
        <v>7.2752999999999997</v>
      </c>
      <c r="F1956" s="1323">
        <f t="shared" si="211"/>
        <v>6.7450477820159973</v>
      </c>
      <c r="G1956" s="1323">
        <f t="shared" si="213"/>
        <v>2006</v>
      </c>
      <c r="H1956" s="1323">
        <f t="shared" si="214"/>
        <v>11</v>
      </c>
      <c r="I1956" s="1323">
        <f t="shared" si="215"/>
        <v>15</v>
      </c>
      <c r="J1956" s="1323"/>
      <c r="K1956" s="1323"/>
      <c r="L1956" s="1323"/>
      <c r="M1956" s="1323"/>
      <c r="N1956" s="1323"/>
      <c r="O1956" s="1323"/>
      <c r="P1956" s="1323"/>
      <c r="Q1956" s="1323"/>
      <c r="R1956" s="1304"/>
      <c r="S1956" s="1304"/>
      <c r="T1956" s="1304"/>
    </row>
    <row r="1957" spans="1:20">
      <c r="A1957" s="1303"/>
      <c r="B1957" s="1322" t="s">
        <v>6109</v>
      </c>
      <c r="C1957" s="1323" t="s">
        <v>6110</v>
      </c>
      <c r="D1957" s="1324">
        <f t="shared" si="210"/>
        <v>39035</v>
      </c>
      <c r="E1957" s="1323">
        <f t="shared" si="212"/>
        <v>7.2508999999999997</v>
      </c>
      <c r="F1957" s="1323">
        <f t="shared" si="211"/>
        <v>6.7437544592429912</v>
      </c>
      <c r="G1957" s="1323">
        <f t="shared" si="213"/>
        <v>2006</v>
      </c>
      <c r="H1957" s="1323">
        <f t="shared" si="214"/>
        <v>11</v>
      </c>
      <c r="I1957" s="1323">
        <f t="shared" si="215"/>
        <v>14</v>
      </c>
      <c r="J1957" s="1323"/>
      <c r="K1957" s="1323"/>
      <c r="L1957" s="1323"/>
      <c r="M1957" s="1323"/>
      <c r="N1957" s="1323"/>
      <c r="O1957" s="1323"/>
      <c r="P1957" s="1323"/>
      <c r="Q1957" s="1323"/>
      <c r="R1957" s="1304"/>
      <c r="S1957" s="1304"/>
      <c r="T1957" s="1304"/>
    </row>
    <row r="1958" spans="1:20">
      <c r="A1958" s="1303"/>
      <c r="B1958" s="1322" t="s">
        <v>6111</v>
      </c>
      <c r="C1958" s="1323" t="s">
        <v>6112</v>
      </c>
      <c r="D1958" s="1324">
        <f t="shared" si="210"/>
        <v>39034</v>
      </c>
      <c r="E1958" s="1323">
        <f t="shared" si="212"/>
        <v>7.2645</v>
      </c>
      <c r="F1958" s="1323">
        <f t="shared" si="211"/>
        <v>6.7424613844569308</v>
      </c>
      <c r="G1958" s="1323">
        <f t="shared" si="213"/>
        <v>2006</v>
      </c>
      <c r="H1958" s="1323">
        <f t="shared" si="214"/>
        <v>11</v>
      </c>
      <c r="I1958" s="1323">
        <f t="shared" si="215"/>
        <v>13</v>
      </c>
      <c r="J1958" s="1323"/>
      <c r="K1958" s="1323"/>
      <c r="L1958" s="1323"/>
      <c r="M1958" s="1323"/>
      <c r="N1958" s="1323"/>
      <c r="O1958" s="1323"/>
      <c r="P1958" s="1323"/>
      <c r="Q1958" s="1323"/>
      <c r="R1958" s="1304"/>
      <c r="S1958" s="1304"/>
      <c r="T1958" s="1304"/>
    </row>
    <row r="1959" spans="1:20">
      <c r="A1959" s="1303"/>
      <c r="B1959" s="1322" t="s">
        <v>6113</v>
      </c>
      <c r="C1959" s="1323" t="s">
        <v>6114</v>
      </c>
      <c r="D1959" s="1324">
        <f t="shared" si="210"/>
        <v>39031</v>
      </c>
      <c r="E1959" s="1323">
        <f t="shared" si="212"/>
        <v>7.2332999999999998</v>
      </c>
      <c r="F1959" s="1323">
        <f t="shared" si="211"/>
        <v>6.7411685576102656</v>
      </c>
      <c r="G1959" s="1323">
        <f t="shared" si="213"/>
        <v>2006</v>
      </c>
      <c r="H1959" s="1323">
        <f t="shared" si="214"/>
        <v>11</v>
      </c>
      <c r="I1959" s="1323">
        <f t="shared" si="215"/>
        <v>10</v>
      </c>
      <c r="J1959" s="1323"/>
      <c r="K1959" s="1323"/>
      <c r="L1959" s="1323"/>
      <c r="M1959" s="1323"/>
      <c r="N1959" s="1323"/>
      <c r="O1959" s="1323"/>
      <c r="P1959" s="1323"/>
      <c r="Q1959" s="1323"/>
      <c r="R1959" s="1304"/>
      <c r="S1959" s="1304"/>
      <c r="T1959" s="1304"/>
    </row>
    <row r="1960" spans="1:20">
      <c r="A1960" s="1303"/>
      <c r="B1960" s="1322" t="s">
        <v>6115</v>
      </c>
      <c r="C1960" s="1323" t="s">
        <v>6116</v>
      </c>
      <c r="D1960" s="1324">
        <f t="shared" si="210"/>
        <v>39030</v>
      </c>
      <c r="E1960" s="1323">
        <f t="shared" si="212"/>
        <v>7.3502999999999998</v>
      </c>
      <c r="F1960" s="1323">
        <f t="shared" si="211"/>
        <v>6.739875978655455</v>
      </c>
      <c r="G1960" s="1323">
        <f t="shared" si="213"/>
        <v>2006</v>
      </c>
      <c r="H1960" s="1323">
        <f t="shared" si="214"/>
        <v>11</v>
      </c>
      <c r="I1960" s="1323">
        <f t="shared" si="215"/>
        <v>9</v>
      </c>
      <c r="J1960" s="1323"/>
      <c r="K1960" s="1323"/>
      <c r="L1960" s="1323"/>
      <c r="M1960" s="1323"/>
      <c r="N1960" s="1323"/>
      <c r="O1960" s="1323"/>
      <c r="P1960" s="1323"/>
      <c r="Q1960" s="1323"/>
      <c r="R1960" s="1304"/>
      <c r="S1960" s="1304"/>
      <c r="T1960" s="1304"/>
    </row>
    <row r="1961" spans="1:20">
      <c r="A1961" s="1303"/>
      <c r="B1961" s="1322" t="s">
        <v>6117</v>
      </c>
      <c r="C1961" s="1323" t="s">
        <v>6118</v>
      </c>
      <c r="D1961" s="1324">
        <f t="shared" si="210"/>
        <v>39029</v>
      </c>
      <c r="E1961" s="1323">
        <f t="shared" si="212"/>
        <v>7.3705999999999996</v>
      </c>
      <c r="F1961" s="1323">
        <f t="shared" si="211"/>
        <v>6.7385836475449663</v>
      </c>
      <c r="G1961" s="1323">
        <f t="shared" si="213"/>
        <v>2006</v>
      </c>
      <c r="H1961" s="1323">
        <f t="shared" si="214"/>
        <v>11</v>
      </c>
      <c r="I1961" s="1323">
        <f t="shared" si="215"/>
        <v>8</v>
      </c>
      <c r="J1961" s="1323"/>
      <c r="K1961" s="1323"/>
      <c r="L1961" s="1323"/>
      <c r="M1961" s="1323"/>
      <c r="N1961" s="1323"/>
      <c r="O1961" s="1323"/>
      <c r="P1961" s="1323"/>
      <c r="Q1961" s="1323"/>
      <c r="R1961" s="1304"/>
      <c r="S1961" s="1304"/>
      <c r="T1961" s="1304"/>
    </row>
    <row r="1962" spans="1:20">
      <c r="A1962" s="1303"/>
      <c r="B1962" s="1322" t="s">
        <v>6119</v>
      </c>
      <c r="C1962" s="1323" t="s">
        <v>6120</v>
      </c>
      <c r="D1962" s="1324">
        <f t="shared" si="210"/>
        <v>39028</v>
      </c>
      <c r="E1962" s="1323">
        <f t="shared" si="212"/>
        <v>7.3144999999999998</v>
      </c>
      <c r="F1962" s="1323">
        <f t="shared" si="211"/>
        <v>6.7372915642312776</v>
      </c>
      <c r="G1962" s="1323">
        <f t="shared" si="213"/>
        <v>2006</v>
      </c>
      <c r="H1962" s="1323">
        <f t="shared" si="214"/>
        <v>11</v>
      </c>
      <c r="I1962" s="1323">
        <f t="shared" si="215"/>
        <v>7</v>
      </c>
      <c r="J1962" s="1323"/>
      <c r="K1962" s="1323"/>
      <c r="L1962" s="1323"/>
      <c r="M1962" s="1323"/>
      <c r="N1962" s="1323"/>
      <c r="O1962" s="1323"/>
      <c r="P1962" s="1323"/>
      <c r="Q1962" s="1323"/>
      <c r="R1962" s="1304"/>
      <c r="S1962" s="1304"/>
      <c r="T1962" s="1304"/>
    </row>
    <row r="1963" spans="1:20">
      <c r="A1963" s="1303"/>
      <c r="B1963" s="1322" t="s">
        <v>6121</v>
      </c>
      <c r="C1963" s="1323" t="s">
        <v>6122</v>
      </c>
      <c r="D1963" s="1324">
        <f t="shared" si="210"/>
        <v>39027</v>
      </c>
      <c r="E1963" s="1323">
        <f t="shared" si="212"/>
        <v>7.3742000000000001</v>
      </c>
      <c r="F1963" s="1323">
        <f t="shared" si="211"/>
        <v>6.7359997286668758</v>
      </c>
      <c r="G1963" s="1323">
        <f t="shared" si="213"/>
        <v>2006</v>
      </c>
      <c r="H1963" s="1323">
        <f t="shared" si="214"/>
        <v>11</v>
      </c>
      <c r="I1963" s="1323">
        <f t="shared" si="215"/>
        <v>6</v>
      </c>
      <c r="J1963" s="1323"/>
      <c r="K1963" s="1323"/>
      <c r="L1963" s="1323"/>
      <c r="M1963" s="1323"/>
      <c r="N1963" s="1323"/>
      <c r="O1963" s="1323"/>
      <c r="P1963" s="1323"/>
      <c r="Q1963" s="1323"/>
      <c r="R1963" s="1304"/>
      <c r="S1963" s="1304"/>
      <c r="T1963" s="1304"/>
    </row>
    <row r="1964" spans="1:20">
      <c r="A1964" s="1303"/>
      <c r="B1964" s="1322" t="s">
        <v>6123</v>
      </c>
      <c r="C1964" s="1323" t="s">
        <v>6124</v>
      </c>
      <c r="D1964" s="1324">
        <f t="shared" si="210"/>
        <v>39024</v>
      </c>
      <c r="E1964" s="1323">
        <f t="shared" si="212"/>
        <v>7.4611999999999998</v>
      </c>
      <c r="F1964" s="1323">
        <f t="shared" si="211"/>
        <v>6.7347081408042557</v>
      </c>
      <c r="G1964" s="1323">
        <f t="shared" si="213"/>
        <v>2006</v>
      </c>
      <c r="H1964" s="1323">
        <f t="shared" si="214"/>
        <v>11</v>
      </c>
      <c r="I1964" s="1323">
        <f t="shared" si="215"/>
        <v>3</v>
      </c>
      <c r="J1964" s="1323"/>
      <c r="K1964" s="1323"/>
      <c r="L1964" s="1323"/>
      <c r="M1964" s="1323"/>
      <c r="N1964" s="1323"/>
      <c r="O1964" s="1323"/>
      <c r="P1964" s="1323"/>
      <c r="Q1964" s="1323"/>
      <c r="R1964" s="1304"/>
      <c r="S1964" s="1304"/>
      <c r="T1964" s="1304"/>
    </row>
    <row r="1965" spans="1:20">
      <c r="A1965" s="1303"/>
      <c r="B1965" s="1322" t="s">
        <v>6125</v>
      </c>
      <c r="C1965" s="1323" t="s">
        <v>6126</v>
      </c>
      <c r="D1965" s="1324">
        <f t="shared" si="210"/>
        <v>39023</v>
      </c>
      <c r="E1965" s="1323">
        <f t="shared" si="212"/>
        <v>7.3661000000000003</v>
      </c>
      <c r="F1965" s="1323">
        <f t="shared" si="211"/>
        <v>6.7334168005959221</v>
      </c>
      <c r="G1965" s="1323">
        <f t="shared" si="213"/>
        <v>2006</v>
      </c>
      <c r="H1965" s="1323">
        <f t="shared" si="214"/>
        <v>11</v>
      </c>
      <c r="I1965" s="1323">
        <f t="shared" si="215"/>
        <v>2</v>
      </c>
      <c r="J1965" s="1323"/>
      <c r="K1965" s="1323"/>
      <c r="L1965" s="1323"/>
      <c r="M1965" s="1323"/>
      <c r="N1965" s="1323"/>
      <c r="O1965" s="1323"/>
      <c r="P1965" s="1323"/>
      <c r="Q1965" s="1323"/>
      <c r="R1965" s="1304"/>
      <c r="S1965" s="1304"/>
      <c r="T1965" s="1304"/>
    </row>
    <row r="1966" spans="1:20">
      <c r="A1966" s="1303"/>
      <c r="B1966" s="1322" t="s">
        <v>6127</v>
      </c>
      <c r="C1966" s="1323" t="s">
        <v>4635</v>
      </c>
      <c r="D1966" s="1324">
        <f t="shared" si="210"/>
        <v>39022</v>
      </c>
      <c r="E1966" s="1323">
        <f t="shared" si="212"/>
        <v>7.3693</v>
      </c>
      <c r="F1966" s="1323">
        <f t="shared" si="211"/>
        <v>6.7321257079943884</v>
      </c>
      <c r="G1966" s="1323">
        <f t="shared" si="213"/>
        <v>2006</v>
      </c>
      <c r="H1966" s="1323">
        <f t="shared" si="214"/>
        <v>11</v>
      </c>
      <c r="I1966" s="1323">
        <f t="shared" si="215"/>
        <v>1</v>
      </c>
      <c r="J1966" s="1323"/>
      <c r="K1966" s="1323"/>
      <c r="L1966" s="1323"/>
      <c r="M1966" s="1323"/>
      <c r="N1966" s="1323"/>
      <c r="O1966" s="1323"/>
      <c r="P1966" s="1323"/>
      <c r="Q1966" s="1323"/>
      <c r="R1966" s="1304"/>
      <c r="S1966" s="1304"/>
      <c r="T1966" s="1304"/>
    </row>
    <row r="1967" spans="1:20">
      <c r="A1967" s="1303"/>
      <c r="B1967" s="1322" t="s">
        <v>6128</v>
      </c>
      <c r="C1967" s="1323" t="s">
        <v>6129</v>
      </c>
      <c r="D1967" s="1324">
        <f t="shared" si="210"/>
        <v>39021</v>
      </c>
      <c r="E1967" s="1323">
        <f t="shared" si="212"/>
        <v>7.5842000000000001</v>
      </c>
      <c r="F1967" s="1323">
        <f t="shared" si="211"/>
        <v>6.7308348629521779</v>
      </c>
      <c r="G1967" s="1323">
        <f t="shared" si="213"/>
        <v>2006</v>
      </c>
      <c r="H1967" s="1323">
        <f t="shared" si="214"/>
        <v>10</v>
      </c>
      <c r="I1967" s="1323">
        <f t="shared" si="215"/>
        <v>31</v>
      </c>
      <c r="J1967" s="1323"/>
      <c r="K1967" s="1323"/>
      <c r="L1967" s="1323"/>
      <c r="M1967" s="1323"/>
      <c r="N1967" s="1323"/>
      <c r="O1967" s="1323"/>
      <c r="P1967" s="1323"/>
      <c r="Q1967" s="1323"/>
      <c r="R1967" s="1304"/>
      <c r="S1967" s="1304"/>
      <c r="T1967" s="1304"/>
    </row>
    <row r="1968" spans="1:20">
      <c r="A1968" s="1303"/>
      <c r="B1968" s="1322" t="s">
        <v>6130</v>
      </c>
      <c r="C1968" s="1323" t="s">
        <v>6131</v>
      </c>
      <c r="D1968" s="1324">
        <f t="shared" si="210"/>
        <v>39020</v>
      </c>
      <c r="E1968" s="1323">
        <f t="shared" si="212"/>
        <v>7.4320000000000004</v>
      </c>
      <c r="F1968" s="1323">
        <f t="shared" si="211"/>
        <v>6.7295442654218229</v>
      </c>
      <c r="G1968" s="1323">
        <f t="shared" si="213"/>
        <v>2006</v>
      </c>
      <c r="H1968" s="1323">
        <f t="shared" si="214"/>
        <v>10</v>
      </c>
      <c r="I1968" s="1323">
        <f t="shared" si="215"/>
        <v>30</v>
      </c>
      <c r="J1968" s="1323"/>
      <c r="K1968" s="1323"/>
      <c r="L1968" s="1323"/>
      <c r="M1968" s="1323"/>
      <c r="N1968" s="1323"/>
      <c r="O1968" s="1323"/>
      <c r="P1968" s="1323"/>
      <c r="Q1968" s="1323"/>
      <c r="R1968" s="1304"/>
      <c r="S1968" s="1304"/>
      <c r="T1968" s="1304"/>
    </row>
    <row r="1969" spans="1:20">
      <c r="A1969" s="1303"/>
      <c r="B1969" s="1322" t="s">
        <v>6132</v>
      </c>
      <c r="C1969" s="1323" t="s">
        <v>6133</v>
      </c>
      <c r="D1969" s="1324">
        <f t="shared" si="210"/>
        <v>39017</v>
      </c>
      <c r="E1969" s="1323">
        <f t="shared" si="212"/>
        <v>7.5213000000000001</v>
      </c>
      <c r="F1969" s="1323">
        <f t="shared" si="211"/>
        <v>6.7282539153558645</v>
      </c>
      <c r="G1969" s="1323">
        <f t="shared" si="213"/>
        <v>2006</v>
      </c>
      <c r="H1969" s="1323">
        <f t="shared" si="214"/>
        <v>10</v>
      </c>
      <c r="I1969" s="1323">
        <f t="shared" si="215"/>
        <v>27</v>
      </c>
      <c r="J1969" s="1323"/>
      <c r="K1969" s="1323"/>
      <c r="L1969" s="1323"/>
      <c r="M1969" s="1323"/>
      <c r="N1969" s="1323"/>
      <c r="O1969" s="1323"/>
      <c r="P1969" s="1323"/>
      <c r="Q1969" s="1323"/>
      <c r="R1969" s="1304"/>
      <c r="S1969" s="1304"/>
      <c r="T1969" s="1304"/>
    </row>
    <row r="1970" spans="1:20">
      <c r="A1970" s="1303"/>
      <c r="B1970" s="1322" t="s">
        <v>6134</v>
      </c>
      <c r="C1970" s="1323" t="s">
        <v>6135</v>
      </c>
      <c r="D1970" s="1324">
        <f t="shared" si="210"/>
        <v>39016</v>
      </c>
      <c r="E1970" s="1323">
        <f t="shared" si="212"/>
        <v>7.5308999999999999</v>
      </c>
      <c r="F1970" s="1323">
        <f t="shared" si="211"/>
        <v>6.7269638127068516</v>
      </c>
      <c r="G1970" s="1323">
        <f t="shared" si="213"/>
        <v>2006</v>
      </c>
      <c r="H1970" s="1323">
        <f t="shared" si="214"/>
        <v>10</v>
      </c>
      <c r="I1970" s="1323">
        <f t="shared" si="215"/>
        <v>26</v>
      </c>
      <c r="J1970" s="1323"/>
      <c r="K1970" s="1323"/>
      <c r="L1970" s="1323"/>
      <c r="M1970" s="1323"/>
      <c r="N1970" s="1323"/>
      <c r="O1970" s="1323"/>
      <c r="P1970" s="1323"/>
      <c r="Q1970" s="1323"/>
      <c r="R1970" s="1304"/>
      <c r="S1970" s="1304"/>
      <c r="T1970" s="1304"/>
    </row>
    <row r="1971" spans="1:20">
      <c r="A1971" s="1303"/>
      <c r="B1971" s="1322" t="s">
        <v>6136</v>
      </c>
      <c r="C1971" s="1323" t="s">
        <v>6137</v>
      </c>
      <c r="D1971" s="1324">
        <f t="shared" si="210"/>
        <v>39015</v>
      </c>
      <c r="E1971" s="1323">
        <f t="shared" si="212"/>
        <v>7.7190000000000003</v>
      </c>
      <c r="F1971" s="1323">
        <f t="shared" si="211"/>
        <v>6.725673957427345</v>
      </c>
      <c r="G1971" s="1323">
        <f t="shared" si="213"/>
        <v>2006</v>
      </c>
      <c r="H1971" s="1323">
        <f t="shared" si="214"/>
        <v>10</v>
      </c>
      <c r="I1971" s="1323">
        <f t="shared" si="215"/>
        <v>25</v>
      </c>
      <c r="J1971" s="1323"/>
      <c r="K1971" s="1323"/>
      <c r="L1971" s="1323"/>
      <c r="M1971" s="1323"/>
      <c r="N1971" s="1323"/>
      <c r="O1971" s="1323"/>
      <c r="P1971" s="1323"/>
      <c r="Q1971" s="1323"/>
      <c r="R1971" s="1304"/>
      <c r="S1971" s="1304"/>
      <c r="T1971" s="1304"/>
    </row>
    <row r="1972" spans="1:20">
      <c r="A1972" s="1303"/>
      <c r="B1972" s="1322" t="s">
        <v>6138</v>
      </c>
      <c r="C1972" s="1323" t="s">
        <v>6139</v>
      </c>
      <c r="D1972" s="1324">
        <f t="shared" si="210"/>
        <v>39014</v>
      </c>
      <c r="E1972" s="1323">
        <f t="shared" si="212"/>
        <v>7.7785000000000002</v>
      </c>
      <c r="F1972" s="1323">
        <f t="shared" si="211"/>
        <v>6.7243843494699123</v>
      </c>
      <c r="G1972" s="1323">
        <f t="shared" si="213"/>
        <v>2006</v>
      </c>
      <c r="H1972" s="1323">
        <f t="shared" si="214"/>
        <v>10</v>
      </c>
      <c r="I1972" s="1323">
        <f t="shared" si="215"/>
        <v>24</v>
      </c>
      <c r="J1972" s="1323"/>
      <c r="K1972" s="1323"/>
      <c r="L1972" s="1323"/>
      <c r="M1972" s="1323"/>
      <c r="N1972" s="1323"/>
      <c r="O1972" s="1323"/>
      <c r="P1972" s="1323"/>
      <c r="Q1972" s="1323"/>
      <c r="R1972" s="1304"/>
      <c r="S1972" s="1304"/>
      <c r="T1972" s="1304"/>
    </row>
    <row r="1973" spans="1:20">
      <c r="A1973" s="1303"/>
      <c r="B1973" s="1322" t="s">
        <v>6140</v>
      </c>
      <c r="C1973" s="1323" t="s">
        <v>6141</v>
      </c>
      <c r="D1973" s="1324">
        <f t="shared" si="210"/>
        <v>39013</v>
      </c>
      <c r="E1973" s="1323">
        <f t="shared" si="212"/>
        <v>7.5834999999999999</v>
      </c>
      <c r="F1973" s="1323">
        <f t="shared" si="211"/>
        <v>6.723094988787131</v>
      </c>
      <c r="G1973" s="1323">
        <f t="shared" si="213"/>
        <v>2006</v>
      </c>
      <c r="H1973" s="1323">
        <f t="shared" si="214"/>
        <v>10</v>
      </c>
      <c r="I1973" s="1323">
        <f t="shared" si="215"/>
        <v>23</v>
      </c>
      <c r="J1973" s="1323"/>
      <c r="K1973" s="1323"/>
      <c r="L1973" s="1323"/>
      <c r="M1973" s="1323"/>
      <c r="N1973" s="1323"/>
      <c r="O1973" s="1323"/>
      <c r="P1973" s="1323"/>
      <c r="Q1973" s="1323"/>
      <c r="R1973" s="1304"/>
      <c r="S1973" s="1304"/>
      <c r="T1973" s="1304"/>
    </row>
    <row r="1974" spans="1:20">
      <c r="A1974" s="1303"/>
      <c r="B1974" s="1322" t="s">
        <v>6142</v>
      </c>
      <c r="C1974" s="1323" t="s">
        <v>6143</v>
      </c>
      <c r="D1974" s="1324">
        <f t="shared" si="210"/>
        <v>39010</v>
      </c>
      <c r="E1974" s="1323">
        <f t="shared" si="212"/>
        <v>7.5060000000000002</v>
      </c>
      <c r="F1974" s="1323">
        <f t="shared" si="211"/>
        <v>6.7218058753315875</v>
      </c>
      <c r="G1974" s="1323">
        <f t="shared" si="213"/>
        <v>2006</v>
      </c>
      <c r="H1974" s="1323">
        <f t="shared" si="214"/>
        <v>10</v>
      </c>
      <c r="I1974" s="1323">
        <f t="shared" si="215"/>
        <v>20</v>
      </c>
      <c r="J1974" s="1323"/>
      <c r="K1974" s="1323"/>
      <c r="L1974" s="1323"/>
      <c r="M1974" s="1323"/>
      <c r="N1974" s="1323"/>
      <c r="O1974" s="1323"/>
      <c r="P1974" s="1323"/>
      <c r="Q1974" s="1323"/>
      <c r="R1974" s="1304"/>
      <c r="S1974" s="1304"/>
      <c r="T1974" s="1304"/>
    </row>
    <row r="1975" spans="1:20">
      <c r="A1975" s="1303"/>
      <c r="B1975" s="1322" t="s">
        <v>6144</v>
      </c>
      <c r="C1975" s="1323" t="s">
        <v>6145</v>
      </c>
      <c r="D1975" s="1324">
        <f t="shared" si="210"/>
        <v>39009</v>
      </c>
      <c r="E1975" s="1323">
        <f t="shared" si="212"/>
        <v>7.5758000000000001</v>
      </c>
      <c r="F1975" s="1323">
        <f t="shared" si="211"/>
        <v>6.7205170090558779</v>
      </c>
      <c r="G1975" s="1323">
        <f t="shared" si="213"/>
        <v>2006</v>
      </c>
      <c r="H1975" s="1323">
        <f t="shared" si="214"/>
        <v>10</v>
      </c>
      <c r="I1975" s="1323">
        <f t="shared" si="215"/>
        <v>19</v>
      </c>
      <c r="J1975" s="1323"/>
      <c r="K1975" s="1323"/>
      <c r="L1975" s="1323"/>
      <c r="M1975" s="1323"/>
      <c r="N1975" s="1323"/>
      <c r="O1975" s="1323"/>
      <c r="P1975" s="1323"/>
      <c r="Q1975" s="1323"/>
      <c r="R1975" s="1304"/>
      <c r="S1975" s="1304"/>
      <c r="T1975" s="1304"/>
    </row>
    <row r="1976" spans="1:20">
      <c r="A1976" s="1303"/>
      <c r="B1976" s="1322" t="s">
        <v>6146</v>
      </c>
      <c r="C1976" s="1323" t="s">
        <v>6147</v>
      </c>
      <c r="D1976" s="1324">
        <f t="shared" si="210"/>
        <v>39008</v>
      </c>
      <c r="E1976" s="1323">
        <f t="shared" si="212"/>
        <v>7.6142000000000003</v>
      </c>
      <c r="F1976" s="1323">
        <f t="shared" si="211"/>
        <v>6.7192283899126064</v>
      </c>
      <c r="G1976" s="1323">
        <f t="shared" si="213"/>
        <v>2006</v>
      </c>
      <c r="H1976" s="1323">
        <f t="shared" si="214"/>
        <v>10</v>
      </c>
      <c r="I1976" s="1323">
        <f t="shared" si="215"/>
        <v>18</v>
      </c>
      <c r="J1976" s="1323"/>
      <c r="K1976" s="1323"/>
      <c r="L1976" s="1323"/>
      <c r="M1976" s="1323"/>
      <c r="N1976" s="1323"/>
      <c r="O1976" s="1323"/>
      <c r="P1976" s="1323"/>
      <c r="Q1976" s="1323"/>
      <c r="R1976" s="1304"/>
      <c r="S1976" s="1304"/>
      <c r="T1976" s="1304"/>
    </row>
    <row r="1977" spans="1:20">
      <c r="A1977" s="1303"/>
      <c r="B1977" s="1322" t="s">
        <v>6148</v>
      </c>
      <c r="C1977" s="1323" t="s">
        <v>6149</v>
      </c>
      <c r="D1977" s="1324">
        <f t="shared" si="210"/>
        <v>39007</v>
      </c>
      <c r="E1977" s="1323">
        <f t="shared" si="212"/>
        <v>7.5098000000000003</v>
      </c>
      <c r="F1977" s="1323">
        <f t="shared" si="211"/>
        <v>6.7179400178543878</v>
      </c>
      <c r="G1977" s="1323">
        <f t="shared" si="213"/>
        <v>2006</v>
      </c>
      <c r="H1977" s="1323">
        <f t="shared" si="214"/>
        <v>10</v>
      </c>
      <c r="I1977" s="1323">
        <f t="shared" si="215"/>
        <v>17</v>
      </c>
      <c r="J1977" s="1323"/>
      <c r="K1977" s="1323"/>
      <c r="L1977" s="1323"/>
      <c r="M1977" s="1323"/>
      <c r="N1977" s="1323"/>
      <c r="O1977" s="1323"/>
      <c r="P1977" s="1323"/>
      <c r="Q1977" s="1323"/>
      <c r="R1977" s="1304"/>
      <c r="S1977" s="1304"/>
      <c r="T1977" s="1304"/>
    </row>
    <row r="1978" spans="1:20">
      <c r="A1978" s="1303"/>
      <c r="B1978" s="1322" t="s">
        <v>6150</v>
      </c>
      <c r="C1978" s="1323" t="s">
        <v>6151</v>
      </c>
      <c r="D1978" s="1324">
        <f t="shared" si="210"/>
        <v>39006</v>
      </c>
      <c r="E1978" s="1323">
        <f t="shared" si="212"/>
        <v>7.4923000000000002</v>
      </c>
      <c r="F1978" s="1323">
        <f t="shared" si="211"/>
        <v>6.7166518928338439</v>
      </c>
      <c r="G1978" s="1323">
        <f t="shared" si="213"/>
        <v>2006</v>
      </c>
      <c r="H1978" s="1323">
        <f t="shared" si="214"/>
        <v>10</v>
      </c>
      <c r="I1978" s="1323">
        <f t="shared" si="215"/>
        <v>16</v>
      </c>
      <c r="J1978" s="1323"/>
      <c r="K1978" s="1323"/>
      <c r="L1978" s="1323"/>
      <c r="M1978" s="1323"/>
      <c r="N1978" s="1323"/>
      <c r="O1978" s="1323"/>
      <c r="P1978" s="1323"/>
      <c r="Q1978" s="1323"/>
      <c r="R1978" s="1304"/>
      <c r="S1978" s="1304"/>
      <c r="T1978" s="1304"/>
    </row>
    <row r="1979" spans="1:20">
      <c r="A1979" s="1303"/>
      <c r="B1979" s="1322" t="s">
        <v>6152</v>
      </c>
      <c r="C1979" s="1323" t="s">
        <v>6153</v>
      </c>
      <c r="D1979" s="1324">
        <f t="shared" si="210"/>
        <v>39003</v>
      </c>
      <c r="E1979" s="1323">
        <f t="shared" si="212"/>
        <v>7.5529000000000002</v>
      </c>
      <c r="F1979" s="1323">
        <f t="shared" si="211"/>
        <v>6.7153640148036073</v>
      </c>
      <c r="G1979" s="1323">
        <f t="shared" si="213"/>
        <v>2006</v>
      </c>
      <c r="H1979" s="1323">
        <f t="shared" si="214"/>
        <v>10</v>
      </c>
      <c r="I1979" s="1323">
        <f t="shared" si="215"/>
        <v>13</v>
      </c>
      <c r="J1979" s="1323"/>
      <c r="K1979" s="1323"/>
      <c r="L1979" s="1323"/>
      <c r="M1979" s="1323"/>
      <c r="N1979" s="1323"/>
      <c r="O1979" s="1323"/>
      <c r="P1979" s="1323"/>
      <c r="Q1979" s="1323"/>
      <c r="R1979" s="1304"/>
      <c r="S1979" s="1304"/>
      <c r="T1979" s="1304"/>
    </row>
    <row r="1980" spans="1:20">
      <c r="A1980" s="1303"/>
      <c r="B1980" s="1322" t="s">
        <v>6154</v>
      </c>
      <c r="C1980" s="1323" t="s">
        <v>6155</v>
      </c>
      <c r="D1980" s="1324">
        <f t="shared" si="210"/>
        <v>39002</v>
      </c>
      <c r="E1980" s="1323">
        <f t="shared" si="212"/>
        <v>7.6321000000000003</v>
      </c>
      <c r="F1980" s="1323">
        <f t="shared" si="211"/>
        <v>6.7140763837163187</v>
      </c>
      <c r="G1980" s="1323">
        <f t="shared" si="213"/>
        <v>2006</v>
      </c>
      <c r="H1980" s="1323">
        <f t="shared" si="214"/>
        <v>10</v>
      </c>
      <c r="I1980" s="1323">
        <f t="shared" si="215"/>
        <v>12</v>
      </c>
      <c r="J1980" s="1323"/>
      <c r="K1980" s="1323"/>
      <c r="L1980" s="1323"/>
      <c r="M1980" s="1323"/>
      <c r="N1980" s="1323"/>
      <c r="O1980" s="1323"/>
      <c r="P1980" s="1323"/>
      <c r="Q1980" s="1323"/>
      <c r="R1980" s="1304"/>
      <c r="S1980" s="1304"/>
      <c r="T1980" s="1304"/>
    </row>
    <row r="1981" spans="1:20">
      <c r="A1981" s="1303"/>
      <c r="B1981" s="1322" t="s">
        <v>6156</v>
      </c>
      <c r="C1981" s="1323" t="s">
        <v>6157</v>
      </c>
      <c r="D1981" s="1324">
        <f t="shared" si="210"/>
        <v>39001</v>
      </c>
      <c r="E1981" s="1323">
        <f t="shared" si="212"/>
        <v>7.7542999999999997</v>
      </c>
      <c r="F1981" s="1323">
        <f t="shared" si="211"/>
        <v>6.712788999524629</v>
      </c>
      <c r="G1981" s="1323">
        <f t="shared" si="213"/>
        <v>2006</v>
      </c>
      <c r="H1981" s="1323">
        <f t="shared" si="214"/>
        <v>10</v>
      </c>
      <c r="I1981" s="1323">
        <f t="shared" si="215"/>
        <v>11</v>
      </c>
      <c r="J1981" s="1323"/>
      <c r="K1981" s="1323"/>
      <c r="L1981" s="1323"/>
      <c r="M1981" s="1323"/>
      <c r="N1981" s="1323"/>
      <c r="O1981" s="1323"/>
      <c r="P1981" s="1323"/>
      <c r="Q1981" s="1323"/>
      <c r="R1981" s="1304"/>
      <c r="S1981" s="1304"/>
      <c r="T1981" s="1304"/>
    </row>
    <row r="1982" spans="1:20">
      <c r="A1982" s="1303"/>
      <c r="B1982" s="1322" t="s">
        <v>6158</v>
      </c>
      <c r="C1982" s="1323" t="s">
        <v>6159</v>
      </c>
      <c r="D1982" s="1324">
        <f t="shared" si="210"/>
        <v>39000</v>
      </c>
      <c r="E1982" s="1323">
        <f t="shared" si="212"/>
        <v>7.8075000000000001</v>
      </c>
      <c r="F1982" s="1323">
        <f t="shared" si="211"/>
        <v>6.7115018621811968</v>
      </c>
      <c r="G1982" s="1323">
        <f t="shared" si="213"/>
        <v>2006</v>
      </c>
      <c r="H1982" s="1323">
        <f t="shared" si="214"/>
        <v>10</v>
      </c>
      <c r="I1982" s="1323">
        <f t="shared" si="215"/>
        <v>10</v>
      </c>
      <c r="J1982" s="1323"/>
      <c r="K1982" s="1323"/>
      <c r="L1982" s="1323"/>
      <c r="M1982" s="1323"/>
      <c r="N1982" s="1323"/>
      <c r="O1982" s="1323"/>
      <c r="P1982" s="1323"/>
      <c r="Q1982" s="1323"/>
      <c r="R1982" s="1304"/>
      <c r="S1982" s="1304"/>
      <c r="T1982" s="1304"/>
    </row>
    <row r="1983" spans="1:20">
      <c r="A1983" s="1303"/>
      <c r="B1983" s="1322" t="s">
        <v>6160</v>
      </c>
      <c r="C1983" s="1323" t="s">
        <v>6161</v>
      </c>
      <c r="D1983" s="1324">
        <f t="shared" si="210"/>
        <v>38999</v>
      </c>
      <c r="E1983" s="1323">
        <f t="shared" si="212"/>
        <v>7.7842000000000002</v>
      </c>
      <c r="F1983" s="1323">
        <f t="shared" si="211"/>
        <v>6.710214971638691</v>
      </c>
      <c r="G1983" s="1323">
        <f t="shared" si="213"/>
        <v>2006</v>
      </c>
      <c r="H1983" s="1323">
        <f t="shared" si="214"/>
        <v>10</v>
      </c>
      <c r="I1983" s="1323">
        <f t="shared" si="215"/>
        <v>9</v>
      </c>
      <c r="J1983" s="1323"/>
      <c r="K1983" s="1323"/>
      <c r="L1983" s="1323"/>
      <c r="M1983" s="1323"/>
      <c r="N1983" s="1323"/>
      <c r="O1983" s="1323"/>
      <c r="P1983" s="1323"/>
      <c r="Q1983" s="1323"/>
      <c r="R1983" s="1304"/>
      <c r="S1983" s="1304"/>
      <c r="T1983" s="1304"/>
    </row>
    <row r="1984" spans="1:20">
      <c r="A1984" s="1303"/>
      <c r="B1984" s="1322" t="s">
        <v>6162</v>
      </c>
      <c r="C1984" s="1323" t="s">
        <v>6163</v>
      </c>
      <c r="D1984" s="1324">
        <f t="shared" si="210"/>
        <v>38996</v>
      </c>
      <c r="E1984" s="1323">
        <f t="shared" si="212"/>
        <v>7.7675000000000001</v>
      </c>
      <c r="F1984" s="1323">
        <f t="shared" si="211"/>
        <v>6.7089283278497884</v>
      </c>
      <c r="G1984" s="1323">
        <f t="shared" si="213"/>
        <v>2006</v>
      </c>
      <c r="H1984" s="1323">
        <f t="shared" si="214"/>
        <v>10</v>
      </c>
      <c r="I1984" s="1323">
        <f t="shared" si="215"/>
        <v>6</v>
      </c>
      <c r="J1984" s="1323"/>
      <c r="K1984" s="1323"/>
      <c r="L1984" s="1323"/>
      <c r="M1984" s="1323"/>
      <c r="N1984" s="1323"/>
      <c r="O1984" s="1323"/>
      <c r="P1984" s="1323"/>
      <c r="Q1984" s="1323"/>
      <c r="R1984" s="1304"/>
      <c r="S1984" s="1304"/>
      <c r="T1984" s="1304"/>
    </row>
    <row r="1985" spans="1:20">
      <c r="A1985" s="1303"/>
      <c r="B1985" s="1322" t="s">
        <v>6164</v>
      </c>
      <c r="C1985" s="1323" t="s">
        <v>6165</v>
      </c>
      <c r="D1985" s="1324">
        <f t="shared" si="210"/>
        <v>38995</v>
      </c>
      <c r="E1985" s="1323">
        <f t="shared" si="212"/>
        <v>7.8193999999999999</v>
      </c>
      <c r="F1985" s="1323">
        <f t="shared" si="211"/>
        <v>6.7076419307671751</v>
      </c>
      <c r="G1985" s="1323">
        <f t="shared" si="213"/>
        <v>2006</v>
      </c>
      <c r="H1985" s="1323">
        <f t="shared" si="214"/>
        <v>10</v>
      </c>
      <c r="I1985" s="1323">
        <f t="shared" si="215"/>
        <v>5</v>
      </c>
      <c r="J1985" s="1323"/>
      <c r="K1985" s="1323"/>
      <c r="L1985" s="1323"/>
      <c r="M1985" s="1323"/>
      <c r="N1985" s="1323"/>
      <c r="O1985" s="1323"/>
      <c r="P1985" s="1323"/>
      <c r="Q1985" s="1323"/>
      <c r="R1985" s="1304"/>
      <c r="S1985" s="1304"/>
      <c r="T1985" s="1304"/>
    </row>
    <row r="1986" spans="1:20">
      <c r="A1986" s="1303"/>
      <c r="B1986" s="1322" t="s">
        <v>6166</v>
      </c>
      <c r="C1986" s="1323" t="s">
        <v>6167</v>
      </c>
      <c r="D1986" s="1324">
        <f t="shared" si="210"/>
        <v>38994</v>
      </c>
      <c r="E1986" s="1323">
        <f t="shared" si="212"/>
        <v>7.9530000000000003</v>
      </c>
      <c r="F1986" s="1323">
        <f t="shared" si="211"/>
        <v>6.7063557803435474</v>
      </c>
      <c r="G1986" s="1323">
        <f t="shared" si="213"/>
        <v>2006</v>
      </c>
      <c r="H1986" s="1323">
        <f t="shared" si="214"/>
        <v>10</v>
      </c>
      <c r="I1986" s="1323">
        <f t="shared" si="215"/>
        <v>4</v>
      </c>
      <c r="J1986" s="1323"/>
      <c r="K1986" s="1323"/>
      <c r="L1986" s="1323"/>
      <c r="M1986" s="1323"/>
      <c r="N1986" s="1323"/>
      <c r="O1986" s="1323"/>
      <c r="P1986" s="1323"/>
      <c r="Q1986" s="1323"/>
      <c r="R1986" s="1304"/>
      <c r="S1986" s="1304"/>
      <c r="T1986" s="1304"/>
    </row>
    <row r="1987" spans="1:20">
      <c r="A1987" s="1303"/>
      <c r="B1987" s="1322" t="s">
        <v>6168</v>
      </c>
      <c r="C1987" s="1323" t="s">
        <v>6169</v>
      </c>
      <c r="D1987" s="1324">
        <f t="shared" si="210"/>
        <v>38993</v>
      </c>
      <c r="E1987" s="1323">
        <f t="shared" si="212"/>
        <v>7.6798999999999999</v>
      </c>
      <c r="F1987" s="1323">
        <f t="shared" si="211"/>
        <v>6.7050698765316099</v>
      </c>
      <c r="G1987" s="1323">
        <f t="shared" si="213"/>
        <v>2006</v>
      </c>
      <c r="H1987" s="1323">
        <f t="shared" si="214"/>
        <v>10</v>
      </c>
      <c r="I1987" s="1323">
        <f t="shared" si="215"/>
        <v>3</v>
      </c>
      <c r="J1987" s="1323"/>
      <c r="K1987" s="1323"/>
      <c r="L1987" s="1323"/>
      <c r="M1987" s="1323"/>
      <c r="N1987" s="1323"/>
      <c r="O1987" s="1323"/>
      <c r="P1987" s="1323"/>
      <c r="Q1987" s="1323"/>
      <c r="R1987" s="1304"/>
      <c r="S1987" s="1304"/>
      <c r="T1987" s="1304"/>
    </row>
    <row r="1988" spans="1:20">
      <c r="A1988" s="1303"/>
      <c r="B1988" s="1322" t="s">
        <v>6170</v>
      </c>
      <c r="C1988" s="1323" t="s">
        <v>6171</v>
      </c>
      <c r="D1988" s="1324">
        <f t="shared" si="210"/>
        <v>38992</v>
      </c>
      <c r="E1988" s="1323">
        <f t="shared" si="212"/>
        <v>7.7347999999999999</v>
      </c>
      <c r="F1988" s="1323">
        <f t="shared" si="211"/>
        <v>6.703784219284076</v>
      </c>
      <c r="G1988" s="1323">
        <f t="shared" si="213"/>
        <v>2006</v>
      </c>
      <c r="H1988" s="1323">
        <f t="shared" si="214"/>
        <v>10</v>
      </c>
      <c r="I1988" s="1323">
        <f t="shared" si="215"/>
        <v>2</v>
      </c>
      <c r="J1988" s="1323"/>
      <c r="K1988" s="1323"/>
      <c r="L1988" s="1323"/>
      <c r="M1988" s="1323"/>
      <c r="N1988" s="1323"/>
      <c r="O1988" s="1323"/>
      <c r="P1988" s="1323"/>
      <c r="Q1988" s="1323"/>
      <c r="R1988" s="1304"/>
      <c r="S1988" s="1304"/>
      <c r="T1988" s="1304"/>
    </row>
    <row r="1989" spans="1:20">
      <c r="A1989" s="1303"/>
      <c r="B1989" s="1322" t="s">
        <v>6172</v>
      </c>
      <c r="C1989" s="1323" t="s">
        <v>6173</v>
      </c>
      <c r="D1989" s="1324">
        <f t="shared" si="210"/>
        <v>38989</v>
      </c>
      <c r="E1989" s="1323">
        <f t="shared" si="212"/>
        <v>7.7042999999999999</v>
      </c>
      <c r="F1989" s="1323">
        <f t="shared" si="211"/>
        <v>6.7024988085536679</v>
      </c>
      <c r="G1989" s="1323">
        <f t="shared" si="213"/>
        <v>2006</v>
      </c>
      <c r="H1989" s="1323">
        <f t="shared" si="214"/>
        <v>9</v>
      </c>
      <c r="I1989" s="1323">
        <f t="shared" si="215"/>
        <v>29</v>
      </c>
      <c r="J1989" s="1323"/>
      <c r="K1989" s="1323"/>
      <c r="L1989" s="1323"/>
      <c r="M1989" s="1323"/>
      <c r="N1989" s="1323"/>
      <c r="O1989" s="1323"/>
      <c r="P1989" s="1323"/>
      <c r="Q1989" s="1323"/>
      <c r="R1989" s="1304"/>
      <c r="S1989" s="1304"/>
      <c r="T1989" s="1304"/>
    </row>
    <row r="1990" spans="1:20">
      <c r="A1990" s="1303"/>
      <c r="B1990" s="1322" t="s">
        <v>6174</v>
      </c>
      <c r="C1990" s="1323" t="s">
        <v>4809</v>
      </c>
      <c r="D1990" s="1324">
        <f t="shared" si="210"/>
        <v>38988</v>
      </c>
      <c r="E1990" s="1323">
        <f t="shared" si="212"/>
        <v>7.5740999999999996</v>
      </c>
      <c r="F1990" s="1323">
        <f t="shared" si="211"/>
        <v>6.7012136442931185</v>
      </c>
      <c r="G1990" s="1323">
        <f t="shared" si="213"/>
        <v>2006</v>
      </c>
      <c r="H1990" s="1323">
        <f t="shared" si="214"/>
        <v>9</v>
      </c>
      <c r="I1990" s="1323">
        <f t="shared" si="215"/>
        <v>28</v>
      </c>
      <c r="J1990" s="1323"/>
      <c r="K1990" s="1323"/>
      <c r="L1990" s="1323"/>
      <c r="M1990" s="1323"/>
      <c r="N1990" s="1323"/>
      <c r="O1990" s="1323"/>
      <c r="P1990" s="1323"/>
      <c r="Q1990" s="1323"/>
      <c r="R1990" s="1304"/>
      <c r="S1990" s="1304"/>
      <c r="T1990" s="1304"/>
    </row>
    <row r="1991" spans="1:20">
      <c r="A1991" s="1303"/>
      <c r="B1991" s="1322" t="s">
        <v>6175</v>
      </c>
      <c r="C1991" s="1323" t="s">
        <v>6176</v>
      </c>
      <c r="D1991" s="1324">
        <f t="shared" si="210"/>
        <v>38987</v>
      </c>
      <c r="E1991" s="1323">
        <f t="shared" si="212"/>
        <v>7.6060999999999996</v>
      </c>
      <c r="F1991" s="1323">
        <f t="shared" si="211"/>
        <v>6.6999287264551679</v>
      </c>
      <c r="G1991" s="1323">
        <f t="shared" si="213"/>
        <v>2006</v>
      </c>
      <c r="H1991" s="1323">
        <f t="shared" si="214"/>
        <v>9</v>
      </c>
      <c r="I1991" s="1323">
        <f t="shared" si="215"/>
        <v>27</v>
      </c>
      <c r="J1991" s="1323"/>
      <c r="K1991" s="1323"/>
      <c r="L1991" s="1323"/>
      <c r="M1991" s="1323"/>
      <c r="N1991" s="1323"/>
      <c r="O1991" s="1323"/>
      <c r="P1991" s="1323"/>
      <c r="Q1991" s="1323"/>
      <c r="R1991" s="1304"/>
      <c r="S1991" s="1304"/>
      <c r="T1991" s="1304"/>
    </row>
    <row r="1992" spans="1:20">
      <c r="A1992" s="1303"/>
      <c r="B1992" s="1322" t="s">
        <v>6177</v>
      </c>
      <c r="C1992" s="1323" t="s">
        <v>6178</v>
      </c>
      <c r="D1992" s="1324">
        <f t="shared" si="210"/>
        <v>38986</v>
      </c>
      <c r="E1992" s="1323">
        <f t="shared" si="212"/>
        <v>7.6574999999999998</v>
      </c>
      <c r="F1992" s="1323">
        <f t="shared" si="211"/>
        <v>6.6986440549925668</v>
      </c>
      <c r="G1992" s="1323">
        <f t="shared" si="213"/>
        <v>2006</v>
      </c>
      <c r="H1992" s="1323">
        <f t="shared" si="214"/>
        <v>9</v>
      </c>
      <c r="I1992" s="1323">
        <f t="shared" si="215"/>
        <v>26</v>
      </c>
      <c r="J1992" s="1323"/>
      <c r="K1992" s="1323"/>
      <c r="L1992" s="1323"/>
      <c r="M1992" s="1323"/>
      <c r="N1992" s="1323"/>
      <c r="O1992" s="1323"/>
      <c r="P1992" s="1323"/>
      <c r="Q1992" s="1323"/>
      <c r="R1992" s="1304"/>
      <c r="S1992" s="1304"/>
      <c r="T1992" s="1304"/>
    </row>
    <row r="1993" spans="1:20">
      <c r="A1993" s="1303"/>
      <c r="B1993" s="1322" t="s">
        <v>6179</v>
      </c>
      <c r="C1993" s="1323" t="s">
        <v>6180</v>
      </c>
      <c r="D1993" s="1324">
        <f t="shared" ref="D1993:D2056" si="216">DATE(G1993,H1993,I1993)</f>
        <v>38982</v>
      </c>
      <c r="E1993" s="1323">
        <f t="shared" si="212"/>
        <v>7.6589999999999998</v>
      </c>
      <c r="F1993" s="1323">
        <f t="shared" ref="F1993:F2056" si="217">F1994*(1+$F$7/365)</f>
        <v>6.6973596298580729</v>
      </c>
      <c r="G1993" s="1323">
        <f t="shared" si="213"/>
        <v>2006</v>
      </c>
      <c r="H1993" s="1323">
        <f t="shared" si="214"/>
        <v>9</v>
      </c>
      <c r="I1993" s="1323">
        <f t="shared" si="215"/>
        <v>22</v>
      </c>
      <c r="J1993" s="1323"/>
      <c r="K1993" s="1323"/>
      <c r="L1993" s="1323"/>
      <c r="M1993" s="1323"/>
      <c r="N1993" s="1323"/>
      <c r="O1993" s="1323"/>
      <c r="P1993" s="1323"/>
      <c r="Q1993" s="1323"/>
      <c r="R1993" s="1304"/>
      <c r="S1993" s="1304"/>
      <c r="T1993" s="1304"/>
    </row>
    <row r="1994" spans="1:20">
      <c r="A1994" s="1303"/>
      <c r="B1994" s="1322" t="s">
        <v>6181</v>
      </c>
      <c r="C1994" s="1323" t="s">
        <v>6182</v>
      </c>
      <c r="D1994" s="1324">
        <f t="shared" si="216"/>
        <v>38981</v>
      </c>
      <c r="E1994" s="1323">
        <f t="shared" si="212"/>
        <v>7.4317000000000002</v>
      </c>
      <c r="F1994" s="1323">
        <f t="shared" si="217"/>
        <v>6.6960754510044556</v>
      </c>
      <c r="G1994" s="1323">
        <f t="shared" si="213"/>
        <v>2006</v>
      </c>
      <c r="H1994" s="1323">
        <f t="shared" si="214"/>
        <v>9</v>
      </c>
      <c r="I1994" s="1323">
        <f t="shared" si="215"/>
        <v>21</v>
      </c>
      <c r="J1994" s="1323"/>
      <c r="K1994" s="1323"/>
      <c r="L1994" s="1323"/>
      <c r="M1994" s="1323"/>
      <c r="N1994" s="1323"/>
      <c r="O1994" s="1323"/>
      <c r="P1994" s="1323"/>
      <c r="Q1994" s="1323"/>
      <c r="R1994" s="1304"/>
      <c r="S1994" s="1304"/>
      <c r="T1994" s="1304"/>
    </row>
    <row r="1995" spans="1:20">
      <c r="A1995" s="1303"/>
      <c r="B1995" s="1322" t="s">
        <v>6183</v>
      </c>
      <c r="C1995" s="1323" t="s">
        <v>6184</v>
      </c>
      <c r="D1995" s="1324">
        <f t="shared" si="216"/>
        <v>38980</v>
      </c>
      <c r="E1995" s="1323">
        <f t="shared" si="212"/>
        <v>7.3662000000000001</v>
      </c>
      <c r="F1995" s="1323">
        <f t="shared" si="217"/>
        <v>6.6947915183844913</v>
      </c>
      <c r="G1995" s="1323">
        <f t="shared" si="213"/>
        <v>2006</v>
      </c>
      <c r="H1995" s="1323">
        <f t="shared" si="214"/>
        <v>9</v>
      </c>
      <c r="I1995" s="1323">
        <f t="shared" si="215"/>
        <v>20</v>
      </c>
      <c r="J1995" s="1323"/>
      <c r="K1995" s="1323"/>
      <c r="L1995" s="1323"/>
      <c r="M1995" s="1323"/>
      <c r="N1995" s="1323"/>
      <c r="O1995" s="1323"/>
      <c r="P1995" s="1323"/>
      <c r="Q1995" s="1323"/>
      <c r="R1995" s="1304"/>
      <c r="S1995" s="1304"/>
      <c r="T1995" s="1304"/>
    </row>
    <row r="1996" spans="1:20">
      <c r="A1996" s="1303"/>
      <c r="B1996" s="1322" t="s">
        <v>6185</v>
      </c>
      <c r="C1996" s="1323" t="s">
        <v>6186</v>
      </c>
      <c r="D1996" s="1324">
        <f t="shared" si="216"/>
        <v>38979</v>
      </c>
      <c r="E1996" s="1323">
        <f t="shared" si="212"/>
        <v>7.3644999999999996</v>
      </c>
      <c r="F1996" s="1323">
        <f t="shared" si="217"/>
        <v>6.6935078319509662</v>
      </c>
      <c r="G1996" s="1323">
        <f t="shared" si="213"/>
        <v>2006</v>
      </c>
      <c r="H1996" s="1323">
        <f t="shared" si="214"/>
        <v>9</v>
      </c>
      <c r="I1996" s="1323">
        <f t="shared" si="215"/>
        <v>19</v>
      </c>
      <c r="J1996" s="1323"/>
      <c r="K1996" s="1323"/>
      <c r="L1996" s="1323"/>
      <c r="M1996" s="1323"/>
      <c r="N1996" s="1323"/>
      <c r="O1996" s="1323"/>
      <c r="P1996" s="1323"/>
      <c r="Q1996" s="1323"/>
      <c r="R1996" s="1304"/>
      <c r="S1996" s="1304"/>
      <c r="T1996" s="1304"/>
    </row>
    <row r="1997" spans="1:20">
      <c r="A1997" s="1303"/>
      <c r="B1997" s="1322" t="s">
        <v>6187</v>
      </c>
      <c r="C1997" s="1323" t="s">
        <v>6188</v>
      </c>
      <c r="D1997" s="1324">
        <f t="shared" si="216"/>
        <v>38978</v>
      </c>
      <c r="E1997" s="1323">
        <f t="shared" si="212"/>
        <v>7.3228999999999997</v>
      </c>
      <c r="F1997" s="1323">
        <f t="shared" si="217"/>
        <v>6.6922243916566755</v>
      </c>
      <c r="G1997" s="1323">
        <f t="shared" si="213"/>
        <v>2006</v>
      </c>
      <c r="H1997" s="1323">
        <f t="shared" si="214"/>
        <v>9</v>
      </c>
      <c r="I1997" s="1323">
        <f t="shared" si="215"/>
        <v>18</v>
      </c>
      <c r="J1997" s="1323"/>
      <c r="K1997" s="1323"/>
      <c r="L1997" s="1323"/>
      <c r="M1997" s="1323"/>
      <c r="N1997" s="1323"/>
      <c r="O1997" s="1323"/>
      <c r="P1997" s="1323"/>
      <c r="Q1997" s="1323"/>
      <c r="R1997" s="1304"/>
      <c r="S1997" s="1304"/>
      <c r="T1997" s="1304"/>
    </row>
    <row r="1998" spans="1:20">
      <c r="A1998" s="1303"/>
      <c r="B1998" s="1322" t="s">
        <v>6189</v>
      </c>
      <c r="C1998" s="1323" t="s">
        <v>6190</v>
      </c>
      <c r="D1998" s="1324">
        <f t="shared" si="216"/>
        <v>38975</v>
      </c>
      <c r="E1998" s="1323">
        <f t="shared" si="212"/>
        <v>7.4283000000000001</v>
      </c>
      <c r="F1998" s="1323">
        <f t="shared" si="217"/>
        <v>6.6909411974544239</v>
      </c>
      <c r="G1998" s="1323">
        <f t="shared" si="213"/>
        <v>2006</v>
      </c>
      <c r="H1998" s="1323">
        <f t="shared" si="214"/>
        <v>9</v>
      </c>
      <c r="I1998" s="1323">
        <f t="shared" si="215"/>
        <v>15</v>
      </c>
      <c r="J1998" s="1323"/>
      <c r="K1998" s="1323"/>
      <c r="L1998" s="1323"/>
      <c r="M1998" s="1323"/>
      <c r="N1998" s="1323"/>
      <c r="O1998" s="1323"/>
      <c r="P1998" s="1323"/>
      <c r="Q1998" s="1323"/>
      <c r="R1998" s="1304"/>
      <c r="S1998" s="1304"/>
      <c r="T1998" s="1304"/>
    </row>
    <row r="1999" spans="1:20">
      <c r="A1999" s="1303"/>
      <c r="B1999" s="1322" t="s">
        <v>6191</v>
      </c>
      <c r="C1999" s="1323" t="s">
        <v>6192</v>
      </c>
      <c r="D1999" s="1324">
        <f t="shared" si="216"/>
        <v>38974</v>
      </c>
      <c r="E1999" s="1323">
        <f t="shared" si="212"/>
        <v>7.4371</v>
      </c>
      <c r="F1999" s="1323">
        <f t="shared" si="217"/>
        <v>6.6896582492970245</v>
      </c>
      <c r="G1999" s="1323">
        <f t="shared" si="213"/>
        <v>2006</v>
      </c>
      <c r="H1999" s="1323">
        <f t="shared" si="214"/>
        <v>9</v>
      </c>
      <c r="I1999" s="1323">
        <f t="shared" si="215"/>
        <v>14</v>
      </c>
      <c r="J1999" s="1323"/>
      <c r="K1999" s="1323"/>
      <c r="L1999" s="1323"/>
      <c r="M1999" s="1323"/>
      <c r="N1999" s="1323"/>
      <c r="O1999" s="1323"/>
      <c r="P1999" s="1323"/>
      <c r="Q1999" s="1323"/>
      <c r="R1999" s="1304"/>
      <c r="S1999" s="1304"/>
      <c r="T1999" s="1304"/>
    </row>
    <row r="2000" spans="1:20">
      <c r="A2000" s="1303"/>
      <c r="B2000" s="1322" t="s">
        <v>6193</v>
      </c>
      <c r="C2000" s="1323" t="s">
        <v>6194</v>
      </c>
      <c r="D2000" s="1324">
        <f t="shared" si="216"/>
        <v>38973</v>
      </c>
      <c r="E2000" s="1323">
        <f t="shared" si="212"/>
        <v>7.3384999999999998</v>
      </c>
      <c r="F2000" s="1323">
        <f t="shared" si="217"/>
        <v>6.6883755471372996</v>
      </c>
      <c r="G2000" s="1323">
        <f t="shared" si="213"/>
        <v>2006</v>
      </c>
      <c r="H2000" s="1323">
        <f t="shared" si="214"/>
        <v>9</v>
      </c>
      <c r="I2000" s="1323">
        <f t="shared" si="215"/>
        <v>13</v>
      </c>
      <c r="J2000" s="1323"/>
      <c r="K2000" s="1323"/>
      <c r="L2000" s="1323"/>
      <c r="M2000" s="1323"/>
      <c r="N2000" s="1323"/>
      <c r="O2000" s="1323"/>
      <c r="P2000" s="1323"/>
      <c r="Q2000" s="1323"/>
      <c r="R2000" s="1304"/>
      <c r="S2000" s="1304"/>
      <c r="T2000" s="1304"/>
    </row>
    <row r="2001" spans="1:20">
      <c r="A2001" s="1303"/>
      <c r="B2001" s="1322" t="s">
        <v>6195</v>
      </c>
      <c r="C2001" s="1323" t="s">
        <v>6196</v>
      </c>
      <c r="D2001" s="1324">
        <f t="shared" si="216"/>
        <v>38972</v>
      </c>
      <c r="E2001" s="1323">
        <f t="shared" si="212"/>
        <v>7.3659999999999997</v>
      </c>
      <c r="F2001" s="1323">
        <f t="shared" si="217"/>
        <v>6.6870930909280801</v>
      </c>
      <c r="G2001" s="1323">
        <f t="shared" si="213"/>
        <v>2006</v>
      </c>
      <c r="H2001" s="1323">
        <f t="shared" si="214"/>
        <v>9</v>
      </c>
      <c r="I2001" s="1323">
        <f t="shared" si="215"/>
        <v>12</v>
      </c>
      <c r="J2001" s="1323"/>
      <c r="K2001" s="1323"/>
      <c r="L2001" s="1323"/>
      <c r="M2001" s="1323"/>
      <c r="N2001" s="1323"/>
      <c r="O2001" s="1323"/>
      <c r="P2001" s="1323"/>
      <c r="Q2001" s="1323"/>
      <c r="R2001" s="1304"/>
      <c r="S2001" s="1304"/>
      <c r="T2001" s="1304"/>
    </row>
    <row r="2002" spans="1:20">
      <c r="A2002" s="1303"/>
      <c r="B2002" s="1322" t="s">
        <v>6197</v>
      </c>
      <c r="C2002" s="1323" t="s">
        <v>6198</v>
      </c>
      <c r="D2002" s="1324">
        <f t="shared" si="216"/>
        <v>38971</v>
      </c>
      <c r="E2002" s="1323">
        <f t="shared" si="212"/>
        <v>7.4497</v>
      </c>
      <c r="F2002" s="1323">
        <f t="shared" si="217"/>
        <v>6.6858108806222072</v>
      </c>
      <c r="G2002" s="1323">
        <f t="shared" si="213"/>
        <v>2006</v>
      </c>
      <c r="H2002" s="1323">
        <f t="shared" si="214"/>
        <v>9</v>
      </c>
      <c r="I2002" s="1323">
        <f t="shared" si="215"/>
        <v>11</v>
      </c>
      <c r="J2002" s="1323"/>
      <c r="K2002" s="1323"/>
      <c r="L2002" s="1323"/>
      <c r="M2002" s="1323"/>
      <c r="N2002" s="1323"/>
      <c r="O2002" s="1323"/>
      <c r="P2002" s="1323"/>
      <c r="Q2002" s="1323"/>
      <c r="R2002" s="1304"/>
      <c r="S2002" s="1304"/>
      <c r="T2002" s="1304"/>
    </row>
    <row r="2003" spans="1:20">
      <c r="A2003" s="1303"/>
      <c r="B2003" s="1322" t="s">
        <v>6199</v>
      </c>
      <c r="C2003" s="1323" t="s">
        <v>6200</v>
      </c>
      <c r="D2003" s="1324">
        <f t="shared" si="216"/>
        <v>38968</v>
      </c>
      <c r="E2003" s="1323">
        <f t="shared" si="212"/>
        <v>7.3800999999999997</v>
      </c>
      <c r="F2003" s="1323">
        <f t="shared" si="217"/>
        <v>6.6845289161725301</v>
      </c>
      <c r="G2003" s="1323">
        <f t="shared" si="213"/>
        <v>2006</v>
      </c>
      <c r="H2003" s="1323">
        <f t="shared" si="214"/>
        <v>9</v>
      </c>
      <c r="I2003" s="1323">
        <f t="shared" si="215"/>
        <v>8</v>
      </c>
      <c r="J2003" s="1323"/>
      <c r="K2003" s="1323"/>
      <c r="L2003" s="1323"/>
      <c r="M2003" s="1323"/>
      <c r="N2003" s="1323"/>
      <c r="O2003" s="1323"/>
      <c r="P2003" s="1323"/>
      <c r="Q2003" s="1323"/>
      <c r="R2003" s="1304"/>
      <c r="S2003" s="1304"/>
      <c r="T2003" s="1304"/>
    </row>
    <row r="2004" spans="1:20">
      <c r="A2004" s="1303"/>
      <c r="B2004" s="1322" t="s">
        <v>6201</v>
      </c>
      <c r="C2004" s="1323" t="s">
        <v>6202</v>
      </c>
      <c r="D2004" s="1324">
        <f t="shared" si="216"/>
        <v>38967</v>
      </c>
      <c r="E2004" s="1323">
        <f t="shared" si="212"/>
        <v>7.3864000000000001</v>
      </c>
      <c r="F2004" s="1323">
        <f t="shared" si="217"/>
        <v>6.683247197531907</v>
      </c>
      <c r="G2004" s="1323">
        <f t="shared" si="213"/>
        <v>2006</v>
      </c>
      <c r="H2004" s="1323">
        <f t="shared" si="214"/>
        <v>9</v>
      </c>
      <c r="I2004" s="1323">
        <f t="shared" si="215"/>
        <v>7</v>
      </c>
      <c r="J2004" s="1323"/>
      <c r="K2004" s="1323"/>
      <c r="L2004" s="1323"/>
      <c r="M2004" s="1323"/>
      <c r="N2004" s="1323"/>
      <c r="O2004" s="1323"/>
      <c r="P2004" s="1323"/>
      <c r="Q2004" s="1323"/>
      <c r="R2004" s="1304"/>
      <c r="S2004" s="1304"/>
      <c r="T2004" s="1304"/>
    </row>
    <row r="2005" spans="1:20">
      <c r="A2005" s="1303"/>
      <c r="B2005" s="1322" t="s">
        <v>6203</v>
      </c>
      <c r="C2005" s="1323" t="s">
        <v>6204</v>
      </c>
      <c r="D2005" s="1324">
        <f t="shared" si="216"/>
        <v>38966</v>
      </c>
      <c r="E2005" s="1323">
        <f t="shared" si="212"/>
        <v>7.2107999999999999</v>
      </c>
      <c r="F2005" s="1323">
        <f t="shared" si="217"/>
        <v>6.6819657246532058</v>
      </c>
      <c r="G2005" s="1323">
        <f t="shared" si="213"/>
        <v>2006</v>
      </c>
      <c r="H2005" s="1323">
        <f t="shared" si="214"/>
        <v>9</v>
      </c>
      <c r="I2005" s="1323">
        <f t="shared" si="215"/>
        <v>6</v>
      </c>
      <c r="J2005" s="1323"/>
      <c r="K2005" s="1323"/>
      <c r="L2005" s="1323"/>
      <c r="M2005" s="1323"/>
      <c r="N2005" s="1323"/>
      <c r="O2005" s="1323"/>
      <c r="P2005" s="1323"/>
      <c r="Q2005" s="1323"/>
      <c r="R2005" s="1304"/>
      <c r="S2005" s="1304"/>
      <c r="T2005" s="1304"/>
    </row>
    <row r="2006" spans="1:20">
      <c r="A2006" s="1303"/>
      <c r="B2006" s="1322" t="s">
        <v>6205</v>
      </c>
      <c r="C2006" s="1323" t="s">
        <v>6206</v>
      </c>
      <c r="D2006" s="1324">
        <f t="shared" si="216"/>
        <v>38965</v>
      </c>
      <c r="E2006" s="1323">
        <f t="shared" ref="E2006:E2069" si="218">VALUE(C2007)</f>
        <v>7.1856999999999998</v>
      </c>
      <c r="F2006" s="1323">
        <f t="shared" si="217"/>
        <v>6.6806844974893034</v>
      </c>
      <c r="G2006" s="1323">
        <f t="shared" ref="G2006:G2069" si="219">YEAR(B2007)</f>
        <v>2006</v>
      </c>
      <c r="H2006" s="1323">
        <f t="shared" ref="H2006:H2069" si="220">MONTH(B2007)</f>
        <v>9</v>
      </c>
      <c r="I2006" s="1323">
        <f t="shared" ref="I2006:I2069" si="221">DAY(B2007)</f>
        <v>5</v>
      </c>
      <c r="J2006" s="1323"/>
      <c r="K2006" s="1323"/>
      <c r="L2006" s="1323"/>
      <c r="M2006" s="1323"/>
      <c r="N2006" s="1323"/>
      <c r="O2006" s="1323"/>
      <c r="P2006" s="1323"/>
      <c r="Q2006" s="1323"/>
      <c r="R2006" s="1304"/>
      <c r="S2006" s="1304"/>
      <c r="T2006" s="1304"/>
    </row>
    <row r="2007" spans="1:20">
      <c r="A2007" s="1303"/>
      <c r="B2007" s="1322" t="s">
        <v>6207</v>
      </c>
      <c r="C2007" s="1323" t="s">
        <v>6208</v>
      </c>
      <c r="D2007" s="1324">
        <f t="shared" si="216"/>
        <v>38964</v>
      </c>
      <c r="E2007" s="1323">
        <f t="shared" si="218"/>
        <v>7.1961000000000004</v>
      </c>
      <c r="F2007" s="1323">
        <f t="shared" si="217"/>
        <v>6.6794035159930853</v>
      </c>
      <c r="G2007" s="1323">
        <f t="shared" si="219"/>
        <v>2006</v>
      </c>
      <c r="H2007" s="1323">
        <f t="shared" si="220"/>
        <v>9</v>
      </c>
      <c r="I2007" s="1323">
        <f t="shared" si="221"/>
        <v>4</v>
      </c>
      <c r="J2007" s="1323"/>
      <c r="K2007" s="1323"/>
      <c r="L2007" s="1323"/>
      <c r="M2007" s="1323"/>
      <c r="N2007" s="1323"/>
      <c r="O2007" s="1323"/>
      <c r="P2007" s="1323"/>
      <c r="Q2007" s="1323"/>
      <c r="R2007" s="1304"/>
      <c r="S2007" s="1304"/>
      <c r="T2007" s="1304"/>
    </row>
    <row r="2008" spans="1:20">
      <c r="A2008" s="1303"/>
      <c r="B2008" s="1322" t="s">
        <v>6209</v>
      </c>
      <c r="C2008" s="1323" t="s">
        <v>6210</v>
      </c>
      <c r="D2008" s="1324">
        <f t="shared" si="216"/>
        <v>38961</v>
      </c>
      <c r="E2008" s="1323">
        <f t="shared" si="218"/>
        <v>7.1965000000000003</v>
      </c>
      <c r="F2008" s="1323">
        <f t="shared" si="217"/>
        <v>6.6781227801174463</v>
      </c>
      <c r="G2008" s="1323">
        <f t="shared" si="219"/>
        <v>2006</v>
      </c>
      <c r="H2008" s="1323">
        <f t="shared" si="220"/>
        <v>9</v>
      </c>
      <c r="I2008" s="1323">
        <f t="shared" si="221"/>
        <v>1</v>
      </c>
      <c r="J2008" s="1323"/>
      <c r="K2008" s="1323"/>
      <c r="L2008" s="1323"/>
      <c r="M2008" s="1323"/>
      <c r="N2008" s="1323"/>
      <c r="O2008" s="1323"/>
      <c r="P2008" s="1323"/>
      <c r="Q2008" s="1323"/>
      <c r="R2008" s="1304"/>
      <c r="S2008" s="1304"/>
      <c r="T2008" s="1304"/>
    </row>
    <row r="2009" spans="1:20">
      <c r="A2009" s="1303"/>
      <c r="B2009" s="1322" t="s">
        <v>6211</v>
      </c>
      <c r="C2009" s="1323" t="s">
        <v>6212</v>
      </c>
      <c r="D2009" s="1324">
        <f t="shared" si="216"/>
        <v>38960</v>
      </c>
      <c r="E2009" s="1323">
        <f t="shared" si="218"/>
        <v>7.0735999999999999</v>
      </c>
      <c r="F2009" s="1323">
        <f t="shared" si="217"/>
        <v>6.6768422898152897</v>
      </c>
      <c r="G2009" s="1323">
        <f t="shared" si="219"/>
        <v>2006</v>
      </c>
      <c r="H2009" s="1323">
        <f t="shared" si="220"/>
        <v>8</v>
      </c>
      <c r="I2009" s="1323">
        <f t="shared" si="221"/>
        <v>31</v>
      </c>
      <c r="J2009" s="1323"/>
      <c r="K2009" s="1323"/>
      <c r="L2009" s="1323"/>
      <c r="M2009" s="1323"/>
      <c r="N2009" s="1323"/>
      <c r="O2009" s="1323"/>
      <c r="P2009" s="1323"/>
      <c r="Q2009" s="1323"/>
      <c r="R2009" s="1304"/>
      <c r="S2009" s="1304"/>
      <c r="T2009" s="1304"/>
    </row>
    <row r="2010" spans="1:20">
      <c r="A2010" s="1303"/>
      <c r="B2010" s="1322" t="s">
        <v>6213</v>
      </c>
      <c r="C2010" s="1323" t="s">
        <v>6214</v>
      </c>
      <c r="D2010" s="1324">
        <f t="shared" si="216"/>
        <v>38959</v>
      </c>
      <c r="E2010" s="1323">
        <f t="shared" si="218"/>
        <v>7.0784000000000002</v>
      </c>
      <c r="F2010" s="1323">
        <f t="shared" si="217"/>
        <v>6.6755620450395288</v>
      </c>
      <c r="G2010" s="1323">
        <f t="shared" si="219"/>
        <v>2006</v>
      </c>
      <c r="H2010" s="1323">
        <f t="shared" si="220"/>
        <v>8</v>
      </c>
      <c r="I2010" s="1323">
        <f t="shared" si="221"/>
        <v>30</v>
      </c>
      <c r="J2010" s="1323"/>
      <c r="K2010" s="1323"/>
      <c r="L2010" s="1323"/>
      <c r="M2010" s="1323"/>
      <c r="N2010" s="1323"/>
      <c r="O2010" s="1323"/>
      <c r="P2010" s="1323"/>
      <c r="Q2010" s="1323"/>
      <c r="R2010" s="1304"/>
      <c r="S2010" s="1304"/>
      <c r="T2010" s="1304"/>
    </row>
    <row r="2011" spans="1:20">
      <c r="A2011" s="1303"/>
      <c r="B2011" s="1322" t="s">
        <v>6215</v>
      </c>
      <c r="C2011" s="1323" t="s">
        <v>6216</v>
      </c>
      <c r="D2011" s="1324">
        <f t="shared" si="216"/>
        <v>38958</v>
      </c>
      <c r="E2011" s="1323">
        <f t="shared" si="218"/>
        <v>7.1364999999999998</v>
      </c>
      <c r="F2011" s="1323">
        <f t="shared" si="217"/>
        <v>6.6742820457430847</v>
      </c>
      <c r="G2011" s="1323">
        <f t="shared" si="219"/>
        <v>2006</v>
      </c>
      <c r="H2011" s="1323">
        <f t="shared" si="220"/>
        <v>8</v>
      </c>
      <c r="I2011" s="1323">
        <f t="shared" si="221"/>
        <v>29</v>
      </c>
      <c r="J2011" s="1323"/>
      <c r="K2011" s="1323"/>
      <c r="L2011" s="1323"/>
      <c r="M2011" s="1323"/>
      <c r="N2011" s="1323"/>
      <c r="O2011" s="1323"/>
      <c r="P2011" s="1323"/>
      <c r="Q2011" s="1323"/>
      <c r="R2011" s="1304"/>
      <c r="S2011" s="1304"/>
      <c r="T2011" s="1304"/>
    </row>
    <row r="2012" spans="1:20">
      <c r="A2012" s="1303"/>
      <c r="B2012" s="1322" t="s">
        <v>6217</v>
      </c>
      <c r="C2012" s="1323" t="s">
        <v>6218</v>
      </c>
      <c r="D2012" s="1324">
        <f t="shared" si="216"/>
        <v>38957</v>
      </c>
      <c r="E2012" s="1323">
        <f t="shared" si="218"/>
        <v>7.1683000000000003</v>
      </c>
      <c r="F2012" s="1323">
        <f t="shared" si="217"/>
        <v>6.6730022918788885</v>
      </c>
      <c r="G2012" s="1323">
        <f t="shared" si="219"/>
        <v>2006</v>
      </c>
      <c r="H2012" s="1323">
        <f t="shared" si="220"/>
        <v>8</v>
      </c>
      <c r="I2012" s="1323">
        <f t="shared" si="221"/>
        <v>28</v>
      </c>
      <c r="J2012" s="1323"/>
      <c r="K2012" s="1323"/>
      <c r="L2012" s="1323"/>
      <c r="M2012" s="1323"/>
      <c r="N2012" s="1323"/>
      <c r="O2012" s="1323"/>
      <c r="P2012" s="1323"/>
      <c r="Q2012" s="1323"/>
      <c r="R2012" s="1304"/>
      <c r="S2012" s="1304"/>
      <c r="T2012" s="1304"/>
    </row>
    <row r="2013" spans="1:20">
      <c r="A2013" s="1303"/>
      <c r="B2013" s="1322" t="s">
        <v>6219</v>
      </c>
      <c r="C2013" s="1323" t="s">
        <v>6220</v>
      </c>
      <c r="D2013" s="1324">
        <f t="shared" si="216"/>
        <v>38954</v>
      </c>
      <c r="E2013" s="1323">
        <f t="shared" si="218"/>
        <v>7.1348000000000003</v>
      </c>
      <c r="F2013" s="1323">
        <f t="shared" si="217"/>
        <v>6.67172278339988</v>
      </c>
      <c r="G2013" s="1323">
        <f t="shared" si="219"/>
        <v>2006</v>
      </c>
      <c r="H2013" s="1323">
        <f t="shared" si="220"/>
        <v>8</v>
      </c>
      <c r="I2013" s="1323">
        <f t="shared" si="221"/>
        <v>25</v>
      </c>
      <c r="J2013" s="1323"/>
      <c r="K2013" s="1323"/>
      <c r="L2013" s="1323"/>
      <c r="M2013" s="1323"/>
      <c r="N2013" s="1323"/>
      <c r="O2013" s="1323"/>
      <c r="P2013" s="1323"/>
      <c r="Q2013" s="1323"/>
      <c r="R2013" s="1304"/>
      <c r="S2013" s="1304"/>
      <c r="T2013" s="1304"/>
    </row>
    <row r="2014" spans="1:20">
      <c r="A2014" s="1303"/>
      <c r="B2014" s="1322" t="s">
        <v>6221</v>
      </c>
      <c r="C2014" s="1323" t="s">
        <v>6222</v>
      </c>
      <c r="D2014" s="1324">
        <f t="shared" si="216"/>
        <v>38953</v>
      </c>
      <c r="E2014" s="1323">
        <f t="shared" si="218"/>
        <v>7.1383999999999999</v>
      </c>
      <c r="F2014" s="1323">
        <f t="shared" si="217"/>
        <v>6.670443520259008</v>
      </c>
      <c r="G2014" s="1323">
        <f t="shared" si="219"/>
        <v>2006</v>
      </c>
      <c r="H2014" s="1323">
        <f t="shared" si="220"/>
        <v>8</v>
      </c>
      <c r="I2014" s="1323">
        <f t="shared" si="221"/>
        <v>24</v>
      </c>
      <c r="J2014" s="1323"/>
      <c r="K2014" s="1323"/>
      <c r="L2014" s="1323"/>
      <c r="M2014" s="1323"/>
      <c r="N2014" s="1323"/>
      <c r="O2014" s="1323"/>
      <c r="P2014" s="1323"/>
      <c r="Q2014" s="1323"/>
      <c r="R2014" s="1304"/>
      <c r="S2014" s="1304"/>
      <c r="T2014" s="1304"/>
    </row>
    <row r="2015" spans="1:20">
      <c r="A2015" s="1303"/>
      <c r="B2015" s="1322" t="s">
        <v>6223</v>
      </c>
      <c r="C2015" s="1323" t="s">
        <v>6224</v>
      </c>
      <c r="D2015" s="1324">
        <f t="shared" si="216"/>
        <v>38952</v>
      </c>
      <c r="E2015" s="1323">
        <f t="shared" si="218"/>
        <v>7.0979000000000001</v>
      </c>
      <c r="F2015" s="1323">
        <f t="shared" si="217"/>
        <v>6.669164502409231</v>
      </c>
      <c r="G2015" s="1323">
        <f t="shared" si="219"/>
        <v>2006</v>
      </c>
      <c r="H2015" s="1323">
        <f t="shared" si="220"/>
        <v>8</v>
      </c>
      <c r="I2015" s="1323">
        <f t="shared" si="221"/>
        <v>23</v>
      </c>
      <c r="J2015" s="1323"/>
      <c r="K2015" s="1323"/>
      <c r="L2015" s="1323"/>
      <c r="M2015" s="1323"/>
      <c r="N2015" s="1323"/>
      <c r="O2015" s="1323"/>
      <c r="P2015" s="1323"/>
      <c r="Q2015" s="1323"/>
      <c r="R2015" s="1304"/>
      <c r="S2015" s="1304"/>
      <c r="T2015" s="1304"/>
    </row>
    <row r="2016" spans="1:20">
      <c r="A2016" s="1303"/>
      <c r="B2016" s="1322" t="s">
        <v>6225</v>
      </c>
      <c r="C2016" s="1323" t="s">
        <v>6226</v>
      </c>
      <c r="D2016" s="1324">
        <f t="shared" si="216"/>
        <v>38951</v>
      </c>
      <c r="E2016" s="1323">
        <f t="shared" si="218"/>
        <v>7.1254999999999997</v>
      </c>
      <c r="F2016" s="1323">
        <f t="shared" si="217"/>
        <v>6.6678857298035146</v>
      </c>
      <c r="G2016" s="1323">
        <f t="shared" si="219"/>
        <v>2006</v>
      </c>
      <c r="H2016" s="1323">
        <f t="shared" si="220"/>
        <v>8</v>
      </c>
      <c r="I2016" s="1323">
        <f t="shared" si="221"/>
        <v>22</v>
      </c>
      <c r="J2016" s="1323"/>
      <c r="K2016" s="1323"/>
      <c r="L2016" s="1323"/>
      <c r="M2016" s="1323"/>
      <c r="N2016" s="1323"/>
      <c r="O2016" s="1323"/>
      <c r="P2016" s="1323"/>
      <c r="Q2016" s="1323"/>
      <c r="R2016" s="1304"/>
      <c r="S2016" s="1304"/>
      <c r="T2016" s="1304"/>
    </row>
    <row r="2017" spans="1:20">
      <c r="A2017" s="1303"/>
      <c r="B2017" s="1322" t="s">
        <v>6227</v>
      </c>
      <c r="C2017" s="1323" t="s">
        <v>6228</v>
      </c>
      <c r="D2017" s="1324">
        <f t="shared" si="216"/>
        <v>38950</v>
      </c>
      <c r="E2017" s="1323">
        <f t="shared" si="218"/>
        <v>7.0606</v>
      </c>
      <c r="F2017" s="1323">
        <f t="shared" si="217"/>
        <v>6.666607202394836</v>
      </c>
      <c r="G2017" s="1323">
        <f t="shared" si="219"/>
        <v>2006</v>
      </c>
      <c r="H2017" s="1323">
        <f t="shared" si="220"/>
        <v>8</v>
      </c>
      <c r="I2017" s="1323">
        <f t="shared" si="221"/>
        <v>21</v>
      </c>
      <c r="J2017" s="1323"/>
      <c r="K2017" s="1323"/>
      <c r="L2017" s="1323"/>
      <c r="M2017" s="1323"/>
      <c r="N2017" s="1323"/>
      <c r="O2017" s="1323"/>
      <c r="P2017" s="1323"/>
      <c r="Q2017" s="1323"/>
      <c r="R2017" s="1304"/>
      <c r="S2017" s="1304"/>
      <c r="T2017" s="1304"/>
    </row>
    <row r="2018" spans="1:20">
      <c r="A2018" s="1303"/>
      <c r="B2018" s="1322" t="s">
        <v>6229</v>
      </c>
      <c r="C2018" s="1323" t="s">
        <v>6230</v>
      </c>
      <c r="D2018" s="1324">
        <f t="shared" si="216"/>
        <v>38947</v>
      </c>
      <c r="E2018" s="1323">
        <f t="shared" si="218"/>
        <v>6.8505000000000003</v>
      </c>
      <c r="F2018" s="1323">
        <f t="shared" si="217"/>
        <v>6.6653289201361794</v>
      </c>
      <c r="G2018" s="1323">
        <f t="shared" si="219"/>
        <v>2006</v>
      </c>
      <c r="H2018" s="1323">
        <f t="shared" si="220"/>
        <v>8</v>
      </c>
      <c r="I2018" s="1323">
        <f t="shared" si="221"/>
        <v>18</v>
      </c>
      <c r="J2018" s="1323"/>
      <c r="K2018" s="1323"/>
      <c r="L2018" s="1323"/>
      <c r="M2018" s="1323"/>
      <c r="N2018" s="1323"/>
      <c r="O2018" s="1323"/>
      <c r="P2018" s="1323"/>
      <c r="Q2018" s="1323"/>
      <c r="R2018" s="1304"/>
      <c r="S2018" s="1304"/>
      <c r="T2018" s="1304"/>
    </row>
    <row r="2019" spans="1:20">
      <c r="A2019" s="1303"/>
      <c r="B2019" s="1322" t="s">
        <v>6231</v>
      </c>
      <c r="C2019" s="1323" t="s">
        <v>5783</v>
      </c>
      <c r="D2019" s="1324">
        <f t="shared" si="216"/>
        <v>38946</v>
      </c>
      <c r="E2019" s="1323">
        <f t="shared" si="218"/>
        <v>6.7849000000000004</v>
      </c>
      <c r="F2019" s="1323">
        <f t="shared" si="217"/>
        <v>6.6640508829805389</v>
      </c>
      <c r="G2019" s="1323">
        <f t="shared" si="219"/>
        <v>2006</v>
      </c>
      <c r="H2019" s="1323">
        <f t="shared" si="220"/>
        <v>8</v>
      </c>
      <c r="I2019" s="1323">
        <f t="shared" si="221"/>
        <v>17</v>
      </c>
      <c r="J2019" s="1323"/>
      <c r="K2019" s="1323"/>
      <c r="L2019" s="1323"/>
      <c r="M2019" s="1323"/>
      <c r="N2019" s="1323"/>
      <c r="O2019" s="1323"/>
      <c r="P2019" s="1323"/>
      <c r="Q2019" s="1323"/>
      <c r="R2019" s="1304"/>
      <c r="S2019" s="1304"/>
      <c r="T2019" s="1304"/>
    </row>
    <row r="2020" spans="1:20">
      <c r="A2020" s="1303"/>
      <c r="B2020" s="1322" t="s">
        <v>6232</v>
      </c>
      <c r="C2020" s="1323" t="s">
        <v>6233</v>
      </c>
      <c r="D2020" s="1324">
        <f t="shared" si="216"/>
        <v>38945</v>
      </c>
      <c r="E2020" s="1323">
        <f t="shared" si="218"/>
        <v>6.8743999999999996</v>
      </c>
      <c r="F2020" s="1323">
        <f t="shared" si="217"/>
        <v>6.6627730908809175</v>
      </c>
      <c r="G2020" s="1323">
        <f t="shared" si="219"/>
        <v>2006</v>
      </c>
      <c r="H2020" s="1323">
        <f t="shared" si="220"/>
        <v>8</v>
      </c>
      <c r="I2020" s="1323">
        <f t="shared" si="221"/>
        <v>16</v>
      </c>
      <c r="J2020" s="1323"/>
      <c r="K2020" s="1323"/>
      <c r="L2020" s="1323"/>
      <c r="M2020" s="1323"/>
      <c r="N2020" s="1323"/>
      <c r="O2020" s="1323"/>
      <c r="P2020" s="1323"/>
      <c r="Q2020" s="1323"/>
      <c r="R2020" s="1304"/>
      <c r="S2020" s="1304"/>
      <c r="T2020" s="1304"/>
    </row>
    <row r="2021" spans="1:20">
      <c r="A2021" s="1303"/>
      <c r="B2021" s="1322" t="s">
        <v>6234</v>
      </c>
      <c r="C2021" s="1323" t="s">
        <v>6235</v>
      </c>
      <c r="D2021" s="1324">
        <f t="shared" si="216"/>
        <v>38944</v>
      </c>
      <c r="E2021" s="1323">
        <f t="shared" si="218"/>
        <v>6.8917000000000002</v>
      </c>
      <c r="F2021" s="1323">
        <f t="shared" si="217"/>
        <v>6.6614955437903269</v>
      </c>
      <c r="G2021" s="1323">
        <f t="shared" si="219"/>
        <v>2006</v>
      </c>
      <c r="H2021" s="1323">
        <f t="shared" si="220"/>
        <v>8</v>
      </c>
      <c r="I2021" s="1323">
        <f t="shared" si="221"/>
        <v>15</v>
      </c>
      <c r="J2021" s="1323"/>
      <c r="K2021" s="1323"/>
      <c r="L2021" s="1323"/>
      <c r="M2021" s="1323"/>
      <c r="N2021" s="1323"/>
      <c r="O2021" s="1323"/>
      <c r="P2021" s="1323"/>
      <c r="Q2021" s="1323"/>
      <c r="R2021" s="1304"/>
      <c r="S2021" s="1304"/>
      <c r="T2021" s="1304"/>
    </row>
    <row r="2022" spans="1:20">
      <c r="A2022" s="1303"/>
      <c r="B2022" s="1322" t="s">
        <v>6236</v>
      </c>
      <c r="C2022" s="1323" t="s">
        <v>6237</v>
      </c>
      <c r="D2022" s="1324">
        <f t="shared" si="216"/>
        <v>38943</v>
      </c>
      <c r="E2022" s="1323">
        <f t="shared" si="218"/>
        <v>6.8026</v>
      </c>
      <c r="F2022" s="1323">
        <f t="shared" si="217"/>
        <v>6.6602182416617888</v>
      </c>
      <c r="G2022" s="1323">
        <f t="shared" si="219"/>
        <v>2006</v>
      </c>
      <c r="H2022" s="1323">
        <f t="shared" si="220"/>
        <v>8</v>
      </c>
      <c r="I2022" s="1323">
        <f t="shared" si="221"/>
        <v>14</v>
      </c>
      <c r="J2022" s="1323"/>
      <c r="K2022" s="1323"/>
      <c r="L2022" s="1323"/>
      <c r="M2022" s="1323"/>
      <c r="N2022" s="1323"/>
      <c r="O2022" s="1323"/>
      <c r="P2022" s="1323"/>
      <c r="Q2022" s="1323"/>
      <c r="R2022" s="1304"/>
      <c r="S2022" s="1304"/>
      <c r="T2022" s="1304"/>
    </row>
    <row r="2023" spans="1:20">
      <c r="A2023" s="1303"/>
      <c r="B2023" s="1322" t="s">
        <v>6238</v>
      </c>
      <c r="C2023" s="1323" t="s">
        <v>6239</v>
      </c>
      <c r="D2023" s="1324">
        <f t="shared" si="216"/>
        <v>38940</v>
      </c>
      <c r="E2023" s="1323">
        <f t="shared" si="218"/>
        <v>6.7861000000000002</v>
      </c>
      <c r="F2023" s="1323">
        <f t="shared" si="217"/>
        <v>6.6589411844483326</v>
      </c>
      <c r="G2023" s="1323">
        <f t="shared" si="219"/>
        <v>2006</v>
      </c>
      <c r="H2023" s="1323">
        <f t="shared" si="220"/>
        <v>8</v>
      </c>
      <c r="I2023" s="1323">
        <f t="shared" si="221"/>
        <v>11</v>
      </c>
      <c r="J2023" s="1323"/>
      <c r="K2023" s="1323"/>
      <c r="L2023" s="1323"/>
      <c r="M2023" s="1323"/>
      <c r="N2023" s="1323"/>
      <c r="O2023" s="1323"/>
      <c r="P2023" s="1323"/>
      <c r="Q2023" s="1323"/>
      <c r="R2023" s="1304"/>
      <c r="S2023" s="1304"/>
      <c r="T2023" s="1304"/>
    </row>
    <row r="2024" spans="1:20">
      <c r="A2024" s="1303"/>
      <c r="B2024" s="1322" t="s">
        <v>6240</v>
      </c>
      <c r="C2024" s="1323" t="s">
        <v>6241</v>
      </c>
      <c r="D2024" s="1324">
        <f t="shared" si="216"/>
        <v>38939</v>
      </c>
      <c r="E2024" s="1323">
        <f t="shared" si="218"/>
        <v>6.7628000000000004</v>
      </c>
      <c r="F2024" s="1323">
        <f t="shared" si="217"/>
        <v>6.6576643721029978</v>
      </c>
      <c r="G2024" s="1323">
        <f t="shared" si="219"/>
        <v>2006</v>
      </c>
      <c r="H2024" s="1323">
        <f t="shared" si="220"/>
        <v>8</v>
      </c>
      <c r="I2024" s="1323">
        <f t="shared" si="221"/>
        <v>10</v>
      </c>
      <c r="J2024" s="1323"/>
      <c r="K2024" s="1323"/>
      <c r="L2024" s="1323"/>
      <c r="M2024" s="1323"/>
      <c r="N2024" s="1323"/>
      <c r="O2024" s="1323"/>
      <c r="P2024" s="1323"/>
      <c r="Q2024" s="1323"/>
      <c r="R2024" s="1304"/>
      <c r="S2024" s="1304"/>
      <c r="T2024" s="1304"/>
    </row>
    <row r="2025" spans="1:20">
      <c r="A2025" s="1303"/>
      <c r="B2025" s="1322" t="s">
        <v>6242</v>
      </c>
      <c r="C2025" s="1323" t="s">
        <v>6243</v>
      </c>
      <c r="D2025" s="1324">
        <f t="shared" si="216"/>
        <v>38937</v>
      </c>
      <c r="E2025" s="1323">
        <f t="shared" si="218"/>
        <v>6.7984</v>
      </c>
      <c r="F2025" s="1323">
        <f t="shared" si="217"/>
        <v>6.6563878045788316</v>
      </c>
      <c r="G2025" s="1323">
        <f t="shared" si="219"/>
        <v>2006</v>
      </c>
      <c r="H2025" s="1323">
        <f t="shared" si="220"/>
        <v>8</v>
      </c>
      <c r="I2025" s="1323">
        <f t="shared" si="221"/>
        <v>8</v>
      </c>
      <c r="J2025" s="1323"/>
      <c r="K2025" s="1323"/>
      <c r="L2025" s="1323"/>
      <c r="M2025" s="1323"/>
      <c r="N2025" s="1323"/>
      <c r="O2025" s="1323"/>
      <c r="P2025" s="1323"/>
      <c r="Q2025" s="1323"/>
      <c r="R2025" s="1304"/>
      <c r="S2025" s="1304"/>
      <c r="T2025" s="1304"/>
    </row>
    <row r="2026" spans="1:20">
      <c r="A2026" s="1303"/>
      <c r="B2026" s="1322" t="s">
        <v>6244</v>
      </c>
      <c r="C2026" s="1323" t="s">
        <v>6245</v>
      </c>
      <c r="D2026" s="1324">
        <f t="shared" si="216"/>
        <v>38936</v>
      </c>
      <c r="E2026" s="1323">
        <f t="shared" si="218"/>
        <v>6.8183999999999996</v>
      </c>
      <c r="F2026" s="1323">
        <f t="shared" si="217"/>
        <v>6.6551114818288912</v>
      </c>
      <c r="G2026" s="1323">
        <f t="shared" si="219"/>
        <v>2006</v>
      </c>
      <c r="H2026" s="1323">
        <f t="shared" si="220"/>
        <v>8</v>
      </c>
      <c r="I2026" s="1323">
        <f t="shared" si="221"/>
        <v>7</v>
      </c>
      <c r="J2026" s="1323"/>
      <c r="K2026" s="1323"/>
      <c r="L2026" s="1323"/>
      <c r="M2026" s="1323"/>
      <c r="N2026" s="1323"/>
      <c r="O2026" s="1323"/>
      <c r="P2026" s="1323"/>
      <c r="Q2026" s="1323"/>
      <c r="R2026" s="1304"/>
      <c r="S2026" s="1304"/>
      <c r="T2026" s="1304"/>
    </row>
    <row r="2027" spans="1:20">
      <c r="A2027" s="1303"/>
      <c r="B2027" s="1322" t="s">
        <v>6246</v>
      </c>
      <c r="C2027" s="1323" t="s">
        <v>6247</v>
      </c>
      <c r="D2027" s="1324">
        <f t="shared" si="216"/>
        <v>38933</v>
      </c>
      <c r="E2027" s="1323">
        <f t="shared" si="218"/>
        <v>6.8700999999999999</v>
      </c>
      <c r="F2027" s="1323">
        <f t="shared" si="217"/>
        <v>6.6538354038062435</v>
      </c>
      <c r="G2027" s="1323">
        <f t="shared" si="219"/>
        <v>2006</v>
      </c>
      <c r="H2027" s="1323">
        <f t="shared" si="220"/>
        <v>8</v>
      </c>
      <c r="I2027" s="1323">
        <f t="shared" si="221"/>
        <v>4</v>
      </c>
      <c r="J2027" s="1323"/>
      <c r="K2027" s="1323"/>
      <c r="L2027" s="1323"/>
      <c r="M2027" s="1323"/>
      <c r="N2027" s="1323"/>
      <c r="O2027" s="1323"/>
      <c r="P2027" s="1323"/>
      <c r="Q2027" s="1323"/>
      <c r="R2027" s="1304"/>
      <c r="S2027" s="1304"/>
      <c r="T2027" s="1304"/>
    </row>
    <row r="2028" spans="1:20">
      <c r="A2028" s="1303"/>
      <c r="B2028" s="1322" t="s">
        <v>6248</v>
      </c>
      <c r="C2028" s="1323" t="s">
        <v>6249</v>
      </c>
      <c r="D2028" s="1324">
        <f t="shared" si="216"/>
        <v>38932</v>
      </c>
      <c r="E2028" s="1323">
        <f t="shared" si="218"/>
        <v>6.9016000000000002</v>
      </c>
      <c r="F2028" s="1323">
        <f t="shared" si="217"/>
        <v>6.6525595704639624</v>
      </c>
      <c r="G2028" s="1323">
        <f t="shared" si="219"/>
        <v>2006</v>
      </c>
      <c r="H2028" s="1323">
        <f t="shared" si="220"/>
        <v>8</v>
      </c>
      <c r="I2028" s="1323">
        <f t="shared" si="221"/>
        <v>3</v>
      </c>
      <c r="J2028" s="1323"/>
      <c r="K2028" s="1323"/>
      <c r="L2028" s="1323"/>
      <c r="M2028" s="1323"/>
      <c r="N2028" s="1323"/>
      <c r="O2028" s="1323"/>
      <c r="P2028" s="1323"/>
      <c r="Q2028" s="1323"/>
      <c r="R2028" s="1304"/>
      <c r="S2028" s="1304"/>
      <c r="T2028" s="1304"/>
    </row>
    <row r="2029" spans="1:20">
      <c r="A2029" s="1303"/>
      <c r="B2029" s="1322" t="s">
        <v>6250</v>
      </c>
      <c r="C2029" s="1323" t="s">
        <v>3904</v>
      </c>
      <c r="D2029" s="1324">
        <f t="shared" si="216"/>
        <v>38931</v>
      </c>
      <c r="E2029" s="1323">
        <f t="shared" si="218"/>
        <v>6.9457000000000004</v>
      </c>
      <c r="F2029" s="1323">
        <f t="shared" si="217"/>
        <v>6.6512839817551326</v>
      </c>
      <c r="G2029" s="1323">
        <f t="shared" si="219"/>
        <v>2006</v>
      </c>
      <c r="H2029" s="1323">
        <f t="shared" si="220"/>
        <v>8</v>
      </c>
      <c r="I2029" s="1323">
        <f t="shared" si="221"/>
        <v>2</v>
      </c>
      <c r="J2029" s="1323"/>
      <c r="K2029" s="1323"/>
      <c r="L2029" s="1323"/>
      <c r="M2029" s="1323"/>
      <c r="N2029" s="1323"/>
      <c r="O2029" s="1323"/>
      <c r="P2029" s="1323"/>
      <c r="Q2029" s="1323"/>
      <c r="R2029" s="1304"/>
      <c r="S2029" s="1304"/>
      <c r="T2029" s="1304"/>
    </row>
    <row r="2030" spans="1:20">
      <c r="A2030" s="1303"/>
      <c r="B2030" s="1322" t="s">
        <v>6251</v>
      </c>
      <c r="C2030" s="1323" t="s">
        <v>6252</v>
      </c>
      <c r="D2030" s="1324">
        <f t="shared" si="216"/>
        <v>38930</v>
      </c>
      <c r="E2030" s="1323">
        <f t="shared" si="218"/>
        <v>6.9762000000000004</v>
      </c>
      <c r="F2030" s="1323">
        <f t="shared" si="217"/>
        <v>6.6500086376328467</v>
      </c>
      <c r="G2030" s="1323">
        <f t="shared" si="219"/>
        <v>2006</v>
      </c>
      <c r="H2030" s="1323">
        <f t="shared" si="220"/>
        <v>8</v>
      </c>
      <c r="I2030" s="1323">
        <f t="shared" si="221"/>
        <v>1</v>
      </c>
      <c r="J2030" s="1323"/>
      <c r="K2030" s="1323"/>
      <c r="L2030" s="1323"/>
      <c r="M2030" s="1323"/>
      <c r="N2030" s="1323"/>
      <c r="O2030" s="1323"/>
      <c r="P2030" s="1323"/>
      <c r="Q2030" s="1323"/>
      <c r="R2030" s="1304"/>
      <c r="S2030" s="1304"/>
      <c r="T2030" s="1304"/>
    </row>
    <row r="2031" spans="1:20">
      <c r="A2031" s="1303"/>
      <c r="B2031" s="1322" t="s">
        <v>6253</v>
      </c>
      <c r="C2031" s="1323" t="s">
        <v>6254</v>
      </c>
      <c r="D2031" s="1324">
        <f t="shared" si="216"/>
        <v>38929</v>
      </c>
      <c r="E2031" s="1323">
        <f t="shared" si="218"/>
        <v>6.8555000000000001</v>
      </c>
      <c r="F2031" s="1323">
        <f t="shared" si="217"/>
        <v>6.6487335380502071</v>
      </c>
      <c r="G2031" s="1323">
        <f t="shared" si="219"/>
        <v>2006</v>
      </c>
      <c r="H2031" s="1323">
        <f t="shared" si="220"/>
        <v>7</v>
      </c>
      <c r="I2031" s="1323">
        <f t="shared" si="221"/>
        <v>31</v>
      </c>
      <c r="J2031" s="1323"/>
      <c r="K2031" s="1323"/>
      <c r="L2031" s="1323"/>
      <c r="M2031" s="1323"/>
      <c r="N2031" s="1323"/>
      <c r="O2031" s="1323"/>
      <c r="P2031" s="1323"/>
      <c r="Q2031" s="1323"/>
      <c r="R2031" s="1304"/>
      <c r="S2031" s="1304"/>
      <c r="T2031" s="1304"/>
    </row>
    <row r="2032" spans="1:20">
      <c r="A2032" s="1303"/>
      <c r="B2032" s="1322" t="s">
        <v>6255</v>
      </c>
      <c r="C2032" s="1323" t="s">
        <v>6256</v>
      </c>
      <c r="D2032" s="1324">
        <f t="shared" si="216"/>
        <v>38926</v>
      </c>
      <c r="E2032" s="1323">
        <f t="shared" si="218"/>
        <v>6.9150999999999998</v>
      </c>
      <c r="F2032" s="1323">
        <f t="shared" si="217"/>
        <v>6.6474586829603242</v>
      </c>
      <c r="G2032" s="1323">
        <f t="shared" si="219"/>
        <v>2006</v>
      </c>
      <c r="H2032" s="1323">
        <f t="shared" si="220"/>
        <v>7</v>
      </c>
      <c r="I2032" s="1323">
        <f t="shared" si="221"/>
        <v>28</v>
      </c>
      <c r="J2032" s="1323"/>
      <c r="K2032" s="1323"/>
      <c r="L2032" s="1323"/>
      <c r="M2032" s="1323"/>
      <c r="N2032" s="1323"/>
      <c r="O2032" s="1323"/>
      <c r="P2032" s="1323"/>
      <c r="Q2032" s="1323"/>
      <c r="R2032" s="1304"/>
      <c r="S2032" s="1304"/>
      <c r="T2032" s="1304"/>
    </row>
    <row r="2033" spans="1:20">
      <c r="A2033" s="1303"/>
      <c r="B2033" s="1322" t="s">
        <v>6257</v>
      </c>
      <c r="C2033" s="1323" t="s">
        <v>6258</v>
      </c>
      <c r="D2033" s="1324">
        <f t="shared" si="216"/>
        <v>38925</v>
      </c>
      <c r="E2033" s="1323">
        <f t="shared" si="218"/>
        <v>6.8882000000000003</v>
      </c>
      <c r="F2033" s="1323">
        <f t="shared" si="217"/>
        <v>6.6461840723163181</v>
      </c>
      <c r="G2033" s="1323">
        <f t="shared" si="219"/>
        <v>2006</v>
      </c>
      <c r="H2033" s="1323">
        <f t="shared" si="220"/>
        <v>7</v>
      </c>
      <c r="I2033" s="1323">
        <f t="shared" si="221"/>
        <v>27</v>
      </c>
      <c r="J2033" s="1323"/>
      <c r="K2033" s="1323"/>
      <c r="L2033" s="1323"/>
      <c r="M2033" s="1323"/>
      <c r="N2033" s="1323"/>
      <c r="O2033" s="1323"/>
      <c r="P2033" s="1323"/>
      <c r="Q2033" s="1323"/>
      <c r="R2033" s="1304"/>
      <c r="S2033" s="1304"/>
      <c r="T2033" s="1304"/>
    </row>
    <row r="2034" spans="1:20">
      <c r="A2034" s="1303"/>
      <c r="B2034" s="1322" t="s">
        <v>6259</v>
      </c>
      <c r="C2034" s="1323" t="s">
        <v>6260</v>
      </c>
      <c r="D2034" s="1324">
        <f t="shared" si="216"/>
        <v>38924</v>
      </c>
      <c r="E2034" s="1323">
        <f t="shared" si="218"/>
        <v>7.0286999999999997</v>
      </c>
      <c r="F2034" s="1323">
        <f t="shared" si="217"/>
        <v>6.644909706071318</v>
      </c>
      <c r="G2034" s="1323">
        <f t="shared" si="219"/>
        <v>2006</v>
      </c>
      <c r="H2034" s="1323">
        <f t="shared" si="220"/>
        <v>7</v>
      </c>
      <c r="I2034" s="1323">
        <f t="shared" si="221"/>
        <v>26</v>
      </c>
      <c r="J2034" s="1323"/>
      <c r="K2034" s="1323"/>
      <c r="L2034" s="1323"/>
      <c r="M2034" s="1323"/>
      <c r="N2034" s="1323"/>
      <c r="O2034" s="1323"/>
      <c r="P2034" s="1323"/>
      <c r="Q2034" s="1323"/>
      <c r="R2034" s="1304"/>
      <c r="S2034" s="1304"/>
      <c r="T2034" s="1304"/>
    </row>
    <row r="2035" spans="1:20">
      <c r="A2035" s="1303"/>
      <c r="B2035" s="1322" t="s">
        <v>6261</v>
      </c>
      <c r="C2035" s="1323" t="s">
        <v>6262</v>
      </c>
      <c r="D2035" s="1324">
        <f t="shared" si="216"/>
        <v>38923</v>
      </c>
      <c r="E2035" s="1323">
        <f t="shared" si="218"/>
        <v>7.0075000000000003</v>
      </c>
      <c r="F2035" s="1323">
        <f t="shared" si="217"/>
        <v>6.6436355841784618</v>
      </c>
      <c r="G2035" s="1323">
        <f t="shared" si="219"/>
        <v>2006</v>
      </c>
      <c r="H2035" s="1323">
        <f t="shared" si="220"/>
        <v>7</v>
      </c>
      <c r="I2035" s="1323">
        <f t="shared" si="221"/>
        <v>25</v>
      </c>
      <c r="J2035" s="1323"/>
      <c r="K2035" s="1323"/>
      <c r="L2035" s="1323"/>
      <c r="M2035" s="1323"/>
      <c r="N2035" s="1323"/>
      <c r="O2035" s="1323"/>
      <c r="P2035" s="1323"/>
      <c r="Q2035" s="1323"/>
      <c r="R2035" s="1304"/>
      <c r="S2035" s="1304"/>
      <c r="T2035" s="1304"/>
    </row>
    <row r="2036" spans="1:20">
      <c r="A2036" s="1303"/>
      <c r="B2036" s="1322" t="s">
        <v>6263</v>
      </c>
      <c r="C2036" s="1323" t="s">
        <v>6264</v>
      </c>
      <c r="D2036" s="1324">
        <f t="shared" si="216"/>
        <v>38922</v>
      </c>
      <c r="E2036" s="1323">
        <f t="shared" si="218"/>
        <v>7.0804</v>
      </c>
      <c r="F2036" s="1323">
        <f t="shared" si="217"/>
        <v>6.6423617065908962</v>
      </c>
      <c r="G2036" s="1323">
        <f t="shared" si="219"/>
        <v>2006</v>
      </c>
      <c r="H2036" s="1323">
        <f t="shared" si="220"/>
        <v>7</v>
      </c>
      <c r="I2036" s="1323">
        <f t="shared" si="221"/>
        <v>24</v>
      </c>
      <c r="J2036" s="1323"/>
      <c r="K2036" s="1323"/>
      <c r="L2036" s="1323"/>
      <c r="M2036" s="1323"/>
      <c r="N2036" s="1323"/>
      <c r="O2036" s="1323"/>
      <c r="P2036" s="1323"/>
      <c r="Q2036" s="1323"/>
      <c r="R2036" s="1304"/>
      <c r="S2036" s="1304"/>
      <c r="T2036" s="1304"/>
    </row>
    <row r="2037" spans="1:20">
      <c r="A2037" s="1303"/>
      <c r="B2037" s="1322" t="s">
        <v>6265</v>
      </c>
      <c r="C2037" s="1323" t="s">
        <v>6266</v>
      </c>
      <c r="D2037" s="1324">
        <f t="shared" si="216"/>
        <v>38919</v>
      </c>
      <c r="E2037" s="1323">
        <f t="shared" si="218"/>
        <v>6.9808000000000003</v>
      </c>
      <c r="F2037" s="1323">
        <f t="shared" si="217"/>
        <v>6.641088073261777</v>
      </c>
      <c r="G2037" s="1323">
        <f t="shared" si="219"/>
        <v>2006</v>
      </c>
      <c r="H2037" s="1323">
        <f t="shared" si="220"/>
        <v>7</v>
      </c>
      <c r="I2037" s="1323">
        <f t="shared" si="221"/>
        <v>21</v>
      </c>
      <c r="J2037" s="1323"/>
      <c r="K2037" s="1323"/>
      <c r="L2037" s="1323"/>
      <c r="M2037" s="1323"/>
      <c r="N2037" s="1323"/>
      <c r="O2037" s="1323"/>
      <c r="P2037" s="1323"/>
      <c r="Q2037" s="1323"/>
      <c r="R2037" s="1304"/>
      <c r="S2037" s="1304"/>
      <c r="T2037" s="1304"/>
    </row>
    <row r="2038" spans="1:20">
      <c r="A2038" s="1303"/>
      <c r="B2038" s="1322" t="s">
        <v>6267</v>
      </c>
      <c r="C2038" s="1323" t="s">
        <v>6268</v>
      </c>
      <c r="D2038" s="1324">
        <f t="shared" si="216"/>
        <v>38918</v>
      </c>
      <c r="E2038" s="1323">
        <f t="shared" si="218"/>
        <v>7.0571999999999999</v>
      </c>
      <c r="F2038" s="1323">
        <f t="shared" si="217"/>
        <v>6.6398146841442696</v>
      </c>
      <c r="G2038" s="1323">
        <f t="shared" si="219"/>
        <v>2006</v>
      </c>
      <c r="H2038" s="1323">
        <f t="shared" si="220"/>
        <v>7</v>
      </c>
      <c r="I2038" s="1323">
        <f t="shared" si="221"/>
        <v>20</v>
      </c>
      <c r="J2038" s="1323"/>
      <c r="K2038" s="1323"/>
      <c r="L2038" s="1323"/>
      <c r="M2038" s="1323"/>
      <c r="N2038" s="1323"/>
      <c r="O2038" s="1323"/>
      <c r="P2038" s="1323"/>
      <c r="Q2038" s="1323"/>
      <c r="R2038" s="1304"/>
      <c r="S2038" s="1304"/>
      <c r="T2038" s="1304"/>
    </row>
    <row r="2039" spans="1:20">
      <c r="A2039" s="1303"/>
      <c r="B2039" s="1322" t="s">
        <v>6269</v>
      </c>
      <c r="C2039" s="1323" t="s">
        <v>6270</v>
      </c>
      <c r="D2039" s="1324">
        <f t="shared" si="216"/>
        <v>38917</v>
      </c>
      <c r="E2039" s="1323">
        <f t="shared" si="218"/>
        <v>7.1863000000000001</v>
      </c>
      <c r="F2039" s="1323">
        <f t="shared" si="217"/>
        <v>6.6385415391915474</v>
      </c>
      <c r="G2039" s="1323">
        <f t="shared" si="219"/>
        <v>2006</v>
      </c>
      <c r="H2039" s="1323">
        <f t="shared" si="220"/>
        <v>7</v>
      </c>
      <c r="I2039" s="1323">
        <f t="shared" si="221"/>
        <v>19</v>
      </c>
      <c r="J2039" s="1323"/>
      <c r="K2039" s="1323"/>
      <c r="L2039" s="1323"/>
      <c r="M2039" s="1323"/>
      <c r="N2039" s="1323"/>
      <c r="O2039" s="1323"/>
      <c r="P2039" s="1323"/>
      <c r="Q2039" s="1323"/>
      <c r="R2039" s="1304"/>
      <c r="S2039" s="1304"/>
      <c r="T2039" s="1304"/>
    </row>
    <row r="2040" spans="1:20">
      <c r="A2040" s="1303"/>
      <c r="B2040" s="1322" t="s">
        <v>6271</v>
      </c>
      <c r="C2040" s="1323" t="s">
        <v>6006</v>
      </c>
      <c r="D2040" s="1324">
        <f t="shared" si="216"/>
        <v>38916</v>
      </c>
      <c r="E2040" s="1323">
        <f t="shared" si="218"/>
        <v>7.2100999999999997</v>
      </c>
      <c r="F2040" s="1323">
        <f t="shared" si="217"/>
        <v>6.6372686383567938</v>
      </c>
      <c r="G2040" s="1323">
        <f t="shared" si="219"/>
        <v>2006</v>
      </c>
      <c r="H2040" s="1323">
        <f t="shared" si="220"/>
        <v>7</v>
      </c>
      <c r="I2040" s="1323">
        <f t="shared" si="221"/>
        <v>18</v>
      </c>
      <c r="J2040" s="1323"/>
      <c r="K2040" s="1323"/>
      <c r="L2040" s="1323"/>
      <c r="M2040" s="1323"/>
      <c r="N2040" s="1323"/>
      <c r="O2040" s="1323"/>
      <c r="P2040" s="1323"/>
      <c r="Q2040" s="1323"/>
      <c r="R2040" s="1304"/>
      <c r="S2040" s="1304"/>
      <c r="T2040" s="1304"/>
    </row>
    <row r="2041" spans="1:20">
      <c r="A2041" s="1303"/>
      <c r="B2041" s="1322" t="s">
        <v>6272</v>
      </c>
      <c r="C2041" s="1323" t="s">
        <v>6273</v>
      </c>
      <c r="D2041" s="1324">
        <f t="shared" si="216"/>
        <v>38915</v>
      </c>
      <c r="E2041" s="1323">
        <f t="shared" si="218"/>
        <v>7.2427999999999999</v>
      </c>
      <c r="F2041" s="1323">
        <f t="shared" si="217"/>
        <v>6.6359959815932008</v>
      </c>
      <c r="G2041" s="1323">
        <f t="shared" si="219"/>
        <v>2006</v>
      </c>
      <c r="H2041" s="1323">
        <f t="shared" si="220"/>
        <v>7</v>
      </c>
      <c r="I2041" s="1323">
        <f t="shared" si="221"/>
        <v>17</v>
      </c>
      <c r="J2041" s="1323"/>
      <c r="K2041" s="1323"/>
      <c r="L2041" s="1323"/>
      <c r="M2041" s="1323"/>
      <c r="N2041" s="1323"/>
      <c r="O2041" s="1323"/>
      <c r="P2041" s="1323"/>
      <c r="Q2041" s="1323"/>
      <c r="R2041" s="1304"/>
      <c r="S2041" s="1304"/>
      <c r="T2041" s="1304"/>
    </row>
    <row r="2042" spans="1:20">
      <c r="A2042" s="1303"/>
      <c r="B2042" s="1322" t="s">
        <v>6274</v>
      </c>
      <c r="C2042" s="1323" t="s">
        <v>6275</v>
      </c>
      <c r="D2042" s="1324">
        <f t="shared" si="216"/>
        <v>38912</v>
      </c>
      <c r="E2042" s="1323">
        <f t="shared" si="218"/>
        <v>7.2012</v>
      </c>
      <c r="F2042" s="1323">
        <f t="shared" si="217"/>
        <v>6.6347235688539685</v>
      </c>
      <c r="G2042" s="1323">
        <f t="shared" si="219"/>
        <v>2006</v>
      </c>
      <c r="H2042" s="1323">
        <f t="shared" si="220"/>
        <v>7</v>
      </c>
      <c r="I2042" s="1323">
        <f t="shared" si="221"/>
        <v>14</v>
      </c>
      <c r="J2042" s="1323"/>
      <c r="K2042" s="1323"/>
      <c r="L2042" s="1323"/>
      <c r="M2042" s="1323"/>
      <c r="N2042" s="1323"/>
      <c r="O2042" s="1323"/>
      <c r="P2042" s="1323"/>
      <c r="Q2042" s="1323"/>
      <c r="R2042" s="1304"/>
      <c r="S2042" s="1304"/>
      <c r="T2042" s="1304"/>
    </row>
    <row r="2043" spans="1:20">
      <c r="A2043" s="1303"/>
      <c r="B2043" s="1322" t="s">
        <v>6276</v>
      </c>
      <c r="C2043" s="1323" t="s">
        <v>6277</v>
      </c>
      <c r="D2043" s="1324">
        <f t="shared" si="216"/>
        <v>38911</v>
      </c>
      <c r="E2043" s="1323">
        <f t="shared" si="218"/>
        <v>7.2240000000000002</v>
      </c>
      <c r="F2043" s="1323">
        <f t="shared" si="217"/>
        <v>6.6334514000923068</v>
      </c>
      <c r="G2043" s="1323">
        <f t="shared" si="219"/>
        <v>2006</v>
      </c>
      <c r="H2043" s="1323">
        <f t="shared" si="220"/>
        <v>7</v>
      </c>
      <c r="I2043" s="1323">
        <f t="shared" si="221"/>
        <v>13</v>
      </c>
      <c r="J2043" s="1323"/>
      <c r="K2043" s="1323"/>
      <c r="L2043" s="1323"/>
      <c r="M2043" s="1323"/>
      <c r="N2043" s="1323"/>
      <c r="O2043" s="1323"/>
      <c r="P2043" s="1323"/>
      <c r="Q2043" s="1323"/>
      <c r="R2043" s="1304"/>
      <c r="S2043" s="1304"/>
      <c r="T2043" s="1304"/>
    </row>
    <row r="2044" spans="1:20">
      <c r="A2044" s="1303"/>
      <c r="B2044" s="1322" t="s">
        <v>6278</v>
      </c>
      <c r="C2044" s="1323" t="s">
        <v>6279</v>
      </c>
      <c r="D2044" s="1324">
        <f t="shared" si="216"/>
        <v>38910</v>
      </c>
      <c r="E2044" s="1323">
        <f t="shared" si="218"/>
        <v>7.0909000000000004</v>
      </c>
      <c r="F2044" s="1323">
        <f t="shared" si="217"/>
        <v>6.6321794752614345</v>
      </c>
      <c r="G2044" s="1323">
        <f t="shared" si="219"/>
        <v>2006</v>
      </c>
      <c r="H2044" s="1323">
        <f t="shared" si="220"/>
        <v>7</v>
      </c>
      <c r="I2044" s="1323">
        <f t="shared" si="221"/>
        <v>12</v>
      </c>
      <c r="J2044" s="1323"/>
      <c r="K2044" s="1323"/>
      <c r="L2044" s="1323"/>
      <c r="M2044" s="1323"/>
      <c r="N2044" s="1323"/>
      <c r="O2044" s="1323"/>
      <c r="P2044" s="1323"/>
      <c r="Q2044" s="1323"/>
      <c r="R2044" s="1304"/>
      <c r="S2044" s="1304"/>
      <c r="T2044" s="1304"/>
    </row>
    <row r="2045" spans="1:20">
      <c r="A2045" s="1303"/>
      <c r="B2045" s="1322" t="s">
        <v>6280</v>
      </c>
      <c r="C2045" s="1323" t="s">
        <v>6281</v>
      </c>
      <c r="D2045" s="1324">
        <f t="shared" si="216"/>
        <v>38909</v>
      </c>
      <c r="E2045" s="1323">
        <f t="shared" si="218"/>
        <v>7.1064999999999996</v>
      </c>
      <c r="F2045" s="1323">
        <f t="shared" si="217"/>
        <v>6.6309077943145791</v>
      </c>
      <c r="G2045" s="1323">
        <f t="shared" si="219"/>
        <v>2006</v>
      </c>
      <c r="H2045" s="1323">
        <f t="shared" si="220"/>
        <v>7</v>
      </c>
      <c r="I2045" s="1323">
        <f t="shared" si="221"/>
        <v>11</v>
      </c>
      <c r="J2045" s="1323"/>
      <c r="K2045" s="1323"/>
      <c r="L2045" s="1323"/>
      <c r="M2045" s="1323"/>
      <c r="N2045" s="1323"/>
      <c r="O2045" s="1323"/>
      <c r="P2045" s="1323"/>
      <c r="Q2045" s="1323"/>
      <c r="R2045" s="1304"/>
      <c r="S2045" s="1304"/>
      <c r="T2045" s="1304"/>
    </row>
    <row r="2046" spans="1:20">
      <c r="A2046" s="1303"/>
      <c r="B2046" s="1322" t="s">
        <v>6282</v>
      </c>
      <c r="C2046" s="1323" t="s">
        <v>6283</v>
      </c>
      <c r="D2046" s="1324">
        <f t="shared" si="216"/>
        <v>38908</v>
      </c>
      <c r="E2046" s="1323">
        <f t="shared" si="218"/>
        <v>7.0667</v>
      </c>
      <c r="F2046" s="1323">
        <f t="shared" si="217"/>
        <v>6.6296363572049781</v>
      </c>
      <c r="G2046" s="1323">
        <f t="shared" si="219"/>
        <v>2006</v>
      </c>
      <c r="H2046" s="1323">
        <f t="shared" si="220"/>
        <v>7</v>
      </c>
      <c r="I2046" s="1323">
        <f t="shared" si="221"/>
        <v>10</v>
      </c>
      <c r="J2046" s="1323"/>
      <c r="K2046" s="1323"/>
      <c r="L2046" s="1323"/>
      <c r="M2046" s="1323"/>
      <c r="N2046" s="1323"/>
      <c r="O2046" s="1323"/>
      <c r="P2046" s="1323"/>
      <c r="Q2046" s="1323"/>
      <c r="R2046" s="1304"/>
      <c r="S2046" s="1304"/>
      <c r="T2046" s="1304"/>
    </row>
    <row r="2047" spans="1:20">
      <c r="A2047" s="1303"/>
      <c r="B2047" s="1322" t="s">
        <v>6284</v>
      </c>
      <c r="C2047" s="1323" t="s">
        <v>6285</v>
      </c>
      <c r="D2047" s="1324">
        <f t="shared" si="216"/>
        <v>38905</v>
      </c>
      <c r="E2047" s="1323">
        <f t="shared" si="218"/>
        <v>7.1539000000000001</v>
      </c>
      <c r="F2047" s="1323">
        <f t="shared" si="217"/>
        <v>6.6283651638858769</v>
      </c>
      <c r="G2047" s="1323">
        <f t="shared" si="219"/>
        <v>2006</v>
      </c>
      <c r="H2047" s="1323">
        <f t="shared" si="220"/>
        <v>7</v>
      </c>
      <c r="I2047" s="1323">
        <f t="shared" si="221"/>
        <v>7</v>
      </c>
      <c r="J2047" s="1323"/>
      <c r="K2047" s="1323"/>
      <c r="L2047" s="1323"/>
      <c r="M2047" s="1323"/>
      <c r="N2047" s="1323"/>
      <c r="O2047" s="1323"/>
      <c r="P2047" s="1323"/>
      <c r="Q2047" s="1323"/>
      <c r="R2047" s="1304"/>
      <c r="S2047" s="1304"/>
      <c r="T2047" s="1304"/>
    </row>
    <row r="2048" spans="1:20">
      <c r="A2048" s="1303"/>
      <c r="B2048" s="1322" t="s">
        <v>6286</v>
      </c>
      <c r="C2048" s="1323" t="s">
        <v>6287</v>
      </c>
      <c r="D2048" s="1324">
        <f t="shared" si="216"/>
        <v>38904</v>
      </c>
      <c r="E2048" s="1323">
        <f t="shared" si="218"/>
        <v>7.2580999999999998</v>
      </c>
      <c r="F2048" s="1323">
        <f t="shared" si="217"/>
        <v>6.6270942143105298</v>
      </c>
      <c r="G2048" s="1323">
        <f t="shared" si="219"/>
        <v>2006</v>
      </c>
      <c r="H2048" s="1323">
        <f t="shared" si="220"/>
        <v>7</v>
      </c>
      <c r="I2048" s="1323">
        <f t="shared" si="221"/>
        <v>6</v>
      </c>
      <c r="J2048" s="1323"/>
      <c r="K2048" s="1323"/>
      <c r="L2048" s="1323"/>
      <c r="M2048" s="1323"/>
      <c r="N2048" s="1323"/>
      <c r="O2048" s="1323"/>
      <c r="P2048" s="1323"/>
      <c r="Q2048" s="1323"/>
      <c r="R2048" s="1304"/>
      <c r="S2048" s="1304"/>
      <c r="T2048" s="1304"/>
    </row>
    <row r="2049" spans="1:20">
      <c r="A2049" s="1303"/>
      <c r="B2049" s="1322" t="s">
        <v>6288</v>
      </c>
      <c r="C2049" s="1323" t="s">
        <v>6289</v>
      </c>
      <c r="D2049" s="1324">
        <f t="shared" si="216"/>
        <v>38903</v>
      </c>
      <c r="E2049" s="1323">
        <f t="shared" si="218"/>
        <v>7.1383999999999999</v>
      </c>
      <c r="F2049" s="1323">
        <f t="shared" si="217"/>
        <v>6.6258235084321999</v>
      </c>
      <c r="G2049" s="1323">
        <f t="shared" si="219"/>
        <v>2006</v>
      </c>
      <c r="H2049" s="1323">
        <f t="shared" si="220"/>
        <v>7</v>
      </c>
      <c r="I2049" s="1323">
        <f t="shared" si="221"/>
        <v>5</v>
      </c>
      <c r="J2049" s="1323"/>
      <c r="K2049" s="1323"/>
      <c r="L2049" s="1323"/>
      <c r="M2049" s="1323"/>
      <c r="N2049" s="1323"/>
      <c r="O2049" s="1323"/>
      <c r="P2049" s="1323"/>
      <c r="Q2049" s="1323"/>
      <c r="R2049" s="1304"/>
      <c r="S2049" s="1304"/>
      <c r="T2049" s="1304"/>
    </row>
    <row r="2050" spans="1:20">
      <c r="A2050" s="1303"/>
      <c r="B2050" s="1322" t="s">
        <v>6290</v>
      </c>
      <c r="C2050" s="1323" t="s">
        <v>6224</v>
      </c>
      <c r="D2050" s="1324">
        <f t="shared" si="216"/>
        <v>38902</v>
      </c>
      <c r="E2050" s="1323">
        <f t="shared" si="218"/>
        <v>7.0217999999999998</v>
      </c>
      <c r="F2050" s="1323">
        <f t="shared" si="217"/>
        <v>6.6245530462041602</v>
      </c>
      <c r="G2050" s="1323">
        <f t="shared" si="219"/>
        <v>2006</v>
      </c>
      <c r="H2050" s="1323">
        <f t="shared" si="220"/>
        <v>7</v>
      </c>
      <c r="I2050" s="1323">
        <f t="shared" si="221"/>
        <v>4</v>
      </c>
      <c r="J2050" s="1323"/>
      <c r="K2050" s="1323"/>
      <c r="L2050" s="1323"/>
      <c r="M2050" s="1323"/>
      <c r="N2050" s="1323"/>
      <c r="O2050" s="1323"/>
      <c r="P2050" s="1323"/>
      <c r="Q2050" s="1323"/>
      <c r="R2050" s="1304"/>
      <c r="S2050" s="1304"/>
      <c r="T2050" s="1304"/>
    </row>
    <row r="2051" spans="1:20">
      <c r="A2051" s="1303"/>
      <c r="B2051" s="1322" t="s">
        <v>6291</v>
      </c>
      <c r="C2051" s="1323" t="s">
        <v>6292</v>
      </c>
      <c r="D2051" s="1324">
        <f t="shared" si="216"/>
        <v>38901</v>
      </c>
      <c r="E2051" s="1323">
        <f t="shared" si="218"/>
        <v>7.0945</v>
      </c>
      <c r="F2051" s="1323">
        <f t="shared" si="217"/>
        <v>6.6232828275796924</v>
      </c>
      <c r="G2051" s="1323">
        <f t="shared" si="219"/>
        <v>2006</v>
      </c>
      <c r="H2051" s="1323">
        <f t="shared" si="220"/>
        <v>7</v>
      </c>
      <c r="I2051" s="1323">
        <f t="shared" si="221"/>
        <v>3</v>
      </c>
      <c r="J2051" s="1323"/>
      <c r="K2051" s="1323"/>
      <c r="L2051" s="1323"/>
      <c r="M2051" s="1323"/>
      <c r="N2051" s="1323"/>
      <c r="O2051" s="1323"/>
      <c r="P2051" s="1323"/>
      <c r="Q2051" s="1323"/>
      <c r="R2051" s="1304"/>
      <c r="S2051" s="1304"/>
      <c r="T2051" s="1304"/>
    </row>
    <row r="2052" spans="1:20">
      <c r="A2052" s="1303"/>
      <c r="B2052" s="1322" t="s">
        <v>6293</v>
      </c>
      <c r="C2052" s="1323" t="s">
        <v>6294</v>
      </c>
      <c r="D2052" s="1324">
        <f t="shared" si="216"/>
        <v>38898</v>
      </c>
      <c r="E2052" s="1323">
        <f t="shared" si="218"/>
        <v>7.1388999999999996</v>
      </c>
      <c r="F2052" s="1323">
        <f t="shared" si="217"/>
        <v>6.6220128525120874</v>
      </c>
      <c r="G2052" s="1323">
        <f t="shared" si="219"/>
        <v>2006</v>
      </c>
      <c r="H2052" s="1323">
        <f t="shared" si="220"/>
        <v>6</v>
      </c>
      <c r="I2052" s="1323">
        <f t="shared" si="221"/>
        <v>30</v>
      </c>
      <c r="J2052" s="1323"/>
      <c r="K2052" s="1323"/>
      <c r="L2052" s="1323"/>
      <c r="M2052" s="1323"/>
      <c r="N2052" s="1323"/>
      <c r="O2052" s="1323"/>
      <c r="P2052" s="1323"/>
      <c r="Q2052" s="1323"/>
      <c r="R2052" s="1304"/>
      <c r="S2052" s="1304"/>
      <c r="T2052" s="1304"/>
    </row>
    <row r="2053" spans="1:20">
      <c r="A2053" s="1303"/>
      <c r="B2053" s="1322" t="s">
        <v>6295</v>
      </c>
      <c r="C2053" s="1323" t="s">
        <v>6296</v>
      </c>
      <c r="D2053" s="1324">
        <f t="shared" si="216"/>
        <v>38897</v>
      </c>
      <c r="E2053" s="1323">
        <f t="shared" si="218"/>
        <v>7.2633999999999999</v>
      </c>
      <c r="F2053" s="1323">
        <f t="shared" si="217"/>
        <v>6.6207431209546437</v>
      </c>
      <c r="G2053" s="1323">
        <f t="shared" si="219"/>
        <v>2006</v>
      </c>
      <c r="H2053" s="1323">
        <f t="shared" si="220"/>
        <v>6</v>
      </c>
      <c r="I2053" s="1323">
        <f t="shared" si="221"/>
        <v>29</v>
      </c>
      <c r="J2053" s="1323"/>
      <c r="K2053" s="1323"/>
      <c r="L2053" s="1323"/>
      <c r="M2053" s="1323"/>
      <c r="N2053" s="1323"/>
      <c r="O2053" s="1323"/>
      <c r="P2053" s="1323"/>
      <c r="Q2053" s="1323"/>
      <c r="R2053" s="1304"/>
      <c r="S2053" s="1304"/>
      <c r="T2053" s="1304"/>
    </row>
    <row r="2054" spans="1:20">
      <c r="A2054" s="1303"/>
      <c r="B2054" s="1322" t="s">
        <v>6297</v>
      </c>
      <c r="C2054" s="1323" t="s">
        <v>6298</v>
      </c>
      <c r="D2054" s="1324">
        <f t="shared" si="216"/>
        <v>38896</v>
      </c>
      <c r="E2054" s="1323">
        <f t="shared" si="218"/>
        <v>7.3106</v>
      </c>
      <c r="F2054" s="1323">
        <f t="shared" si="217"/>
        <v>6.6194736328606698</v>
      </c>
      <c r="G2054" s="1323">
        <f t="shared" si="219"/>
        <v>2006</v>
      </c>
      <c r="H2054" s="1323">
        <f t="shared" si="220"/>
        <v>6</v>
      </c>
      <c r="I2054" s="1323">
        <f t="shared" si="221"/>
        <v>28</v>
      </c>
      <c r="J2054" s="1323"/>
      <c r="K2054" s="1323"/>
      <c r="L2054" s="1323"/>
      <c r="M2054" s="1323"/>
      <c r="N2054" s="1323"/>
      <c r="O2054" s="1323"/>
      <c r="P2054" s="1323"/>
      <c r="Q2054" s="1323"/>
      <c r="R2054" s="1304"/>
      <c r="S2054" s="1304"/>
      <c r="T2054" s="1304"/>
    </row>
    <row r="2055" spans="1:20">
      <c r="A2055" s="1303"/>
      <c r="B2055" s="1322" t="s">
        <v>6299</v>
      </c>
      <c r="C2055" s="1323" t="s">
        <v>6300</v>
      </c>
      <c r="D2055" s="1324">
        <f t="shared" si="216"/>
        <v>38895</v>
      </c>
      <c r="E2055" s="1323">
        <f t="shared" si="218"/>
        <v>7.2701000000000002</v>
      </c>
      <c r="F2055" s="1323">
        <f t="shared" si="217"/>
        <v>6.618204388183484</v>
      </c>
      <c r="G2055" s="1323">
        <f t="shared" si="219"/>
        <v>2006</v>
      </c>
      <c r="H2055" s="1323">
        <f t="shared" si="220"/>
        <v>6</v>
      </c>
      <c r="I2055" s="1323">
        <f t="shared" si="221"/>
        <v>27</v>
      </c>
      <c r="J2055" s="1323"/>
      <c r="K2055" s="1323"/>
      <c r="L2055" s="1323"/>
      <c r="M2055" s="1323"/>
      <c r="N2055" s="1323"/>
      <c r="O2055" s="1323"/>
      <c r="P2055" s="1323"/>
      <c r="Q2055" s="1323"/>
      <c r="R2055" s="1304"/>
      <c r="S2055" s="1304"/>
      <c r="T2055" s="1304"/>
    </row>
    <row r="2056" spans="1:20">
      <c r="A2056" s="1303"/>
      <c r="B2056" s="1322" t="s">
        <v>6301</v>
      </c>
      <c r="C2056" s="1323" t="s">
        <v>6034</v>
      </c>
      <c r="D2056" s="1324">
        <f t="shared" si="216"/>
        <v>38894</v>
      </c>
      <c r="E2056" s="1323">
        <f t="shared" si="218"/>
        <v>7.4322999999999997</v>
      </c>
      <c r="F2056" s="1323">
        <f t="shared" si="217"/>
        <v>6.6169353868764116</v>
      </c>
      <c r="G2056" s="1323">
        <f t="shared" si="219"/>
        <v>2006</v>
      </c>
      <c r="H2056" s="1323">
        <f t="shared" si="220"/>
        <v>6</v>
      </c>
      <c r="I2056" s="1323">
        <f t="shared" si="221"/>
        <v>26</v>
      </c>
      <c r="J2056" s="1323"/>
      <c r="K2056" s="1323"/>
      <c r="L2056" s="1323"/>
      <c r="M2056" s="1323"/>
      <c r="N2056" s="1323"/>
      <c r="O2056" s="1323"/>
      <c r="P2056" s="1323"/>
      <c r="Q2056" s="1323"/>
      <c r="R2056" s="1304"/>
      <c r="S2056" s="1304"/>
      <c r="T2056" s="1304"/>
    </row>
    <row r="2057" spans="1:20">
      <c r="A2057" s="1303"/>
      <c r="B2057" s="1322" t="s">
        <v>6302</v>
      </c>
      <c r="C2057" s="1323" t="s">
        <v>6303</v>
      </c>
      <c r="D2057" s="1324">
        <f t="shared" ref="D2057:D2120" si="222">DATE(G2057,H2057,I2057)</f>
        <v>38891</v>
      </c>
      <c r="E2057" s="1323">
        <f t="shared" si="218"/>
        <v>7.4324000000000003</v>
      </c>
      <c r="F2057" s="1323">
        <f t="shared" ref="F2057:F2120" si="223">F2058*(1+$F$7/365)</f>
        <v>6.6156666288927877</v>
      </c>
      <c r="G2057" s="1323">
        <f t="shared" si="219"/>
        <v>2006</v>
      </c>
      <c r="H2057" s="1323">
        <f t="shared" si="220"/>
        <v>6</v>
      </c>
      <c r="I2057" s="1323">
        <f t="shared" si="221"/>
        <v>23</v>
      </c>
      <c r="J2057" s="1323"/>
      <c r="K2057" s="1323"/>
      <c r="L2057" s="1323"/>
      <c r="M2057" s="1323"/>
      <c r="N2057" s="1323"/>
      <c r="O2057" s="1323"/>
      <c r="P2057" s="1323"/>
      <c r="Q2057" s="1323"/>
      <c r="R2057" s="1304"/>
      <c r="S2057" s="1304"/>
      <c r="T2057" s="1304"/>
    </row>
    <row r="2058" spans="1:20">
      <c r="A2058" s="1303"/>
      <c r="B2058" s="1322" t="s">
        <v>6304</v>
      </c>
      <c r="C2058" s="1323" t="s">
        <v>4368</v>
      </c>
      <c r="D2058" s="1324">
        <f t="shared" si="222"/>
        <v>38890</v>
      </c>
      <c r="E2058" s="1323">
        <f t="shared" si="218"/>
        <v>7.1161000000000003</v>
      </c>
      <c r="F2058" s="1323">
        <f t="shared" si="223"/>
        <v>6.6143981141859571</v>
      </c>
      <c r="G2058" s="1323">
        <f t="shared" si="219"/>
        <v>2006</v>
      </c>
      <c r="H2058" s="1323">
        <f t="shared" si="220"/>
        <v>6</v>
      </c>
      <c r="I2058" s="1323">
        <f t="shared" si="221"/>
        <v>22</v>
      </c>
      <c r="J2058" s="1323"/>
      <c r="K2058" s="1323"/>
      <c r="L2058" s="1323"/>
      <c r="M2058" s="1323"/>
      <c r="N2058" s="1323"/>
      <c r="O2058" s="1323"/>
      <c r="P2058" s="1323"/>
      <c r="Q2058" s="1323"/>
      <c r="R2058" s="1304"/>
      <c r="S2058" s="1304"/>
      <c r="T2058" s="1304"/>
    </row>
    <row r="2059" spans="1:20">
      <c r="A2059" s="1303"/>
      <c r="B2059" s="1322" t="s">
        <v>6305</v>
      </c>
      <c r="C2059" s="1323" t="s">
        <v>6306</v>
      </c>
      <c r="D2059" s="1324">
        <f t="shared" si="222"/>
        <v>38889</v>
      </c>
      <c r="E2059" s="1323">
        <f t="shared" si="218"/>
        <v>7.1260000000000003</v>
      </c>
      <c r="F2059" s="1323">
        <f t="shared" si="223"/>
        <v>6.6131298427092728</v>
      </c>
      <c r="G2059" s="1323">
        <f t="shared" si="219"/>
        <v>2006</v>
      </c>
      <c r="H2059" s="1323">
        <f t="shared" si="220"/>
        <v>6</v>
      </c>
      <c r="I2059" s="1323">
        <f t="shared" si="221"/>
        <v>21</v>
      </c>
      <c r="J2059" s="1323"/>
      <c r="K2059" s="1323"/>
      <c r="L2059" s="1323"/>
      <c r="M2059" s="1323"/>
      <c r="N2059" s="1323"/>
      <c r="O2059" s="1323"/>
      <c r="P2059" s="1323"/>
      <c r="Q2059" s="1323"/>
      <c r="R2059" s="1304"/>
      <c r="S2059" s="1304"/>
      <c r="T2059" s="1304"/>
    </row>
    <row r="2060" spans="1:20">
      <c r="A2060" s="1303"/>
      <c r="B2060" s="1322" t="s">
        <v>6307</v>
      </c>
      <c r="C2060" s="1323" t="s">
        <v>3792</v>
      </c>
      <c r="D2060" s="1324">
        <f t="shared" si="222"/>
        <v>38888</v>
      </c>
      <c r="E2060" s="1323">
        <f t="shared" si="218"/>
        <v>7.0179</v>
      </c>
      <c r="F2060" s="1323">
        <f t="shared" si="223"/>
        <v>6.6118618144160965</v>
      </c>
      <c r="G2060" s="1323">
        <f t="shared" si="219"/>
        <v>2006</v>
      </c>
      <c r="H2060" s="1323">
        <f t="shared" si="220"/>
        <v>6</v>
      </c>
      <c r="I2060" s="1323">
        <f t="shared" si="221"/>
        <v>20</v>
      </c>
      <c r="J2060" s="1323"/>
      <c r="K2060" s="1323"/>
      <c r="L2060" s="1323"/>
      <c r="M2060" s="1323"/>
      <c r="N2060" s="1323"/>
      <c r="O2060" s="1323"/>
      <c r="P2060" s="1323"/>
      <c r="Q2060" s="1323"/>
      <c r="R2060" s="1304"/>
      <c r="S2060" s="1304"/>
      <c r="T2060" s="1304"/>
    </row>
    <row r="2061" spans="1:20">
      <c r="A2061" s="1303"/>
      <c r="B2061" s="1322" t="s">
        <v>6308</v>
      </c>
      <c r="C2061" s="1323" t="s">
        <v>6309</v>
      </c>
      <c r="D2061" s="1324">
        <f t="shared" si="222"/>
        <v>38887</v>
      </c>
      <c r="E2061" s="1323">
        <f t="shared" si="218"/>
        <v>6.8818999999999999</v>
      </c>
      <c r="F2061" s="1323">
        <f t="shared" si="223"/>
        <v>6.6105940292597998</v>
      </c>
      <c r="G2061" s="1323">
        <f t="shared" si="219"/>
        <v>2006</v>
      </c>
      <c r="H2061" s="1323">
        <f t="shared" si="220"/>
        <v>6</v>
      </c>
      <c r="I2061" s="1323">
        <f t="shared" si="221"/>
        <v>19</v>
      </c>
      <c r="J2061" s="1323"/>
      <c r="K2061" s="1323"/>
      <c r="L2061" s="1323"/>
      <c r="M2061" s="1323"/>
      <c r="N2061" s="1323"/>
      <c r="O2061" s="1323"/>
      <c r="P2061" s="1323"/>
      <c r="Q2061" s="1323"/>
      <c r="R2061" s="1304"/>
      <c r="S2061" s="1304"/>
      <c r="T2061" s="1304"/>
    </row>
    <row r="2062" spans="1:20">
      <c r="A2062" s="1303"/>
      <c r="B2062" s="1322" t="s">
        <v>6310</v>
      </c>
      <c r="C2062" s="1323" t="s">
        <v>6311</v>
      </c>
      <c r="D2062" s="1324">
        <f t="shared" si="222"/>
        <v>38883</v>
      </c>
      <c r="E2062" s="1323">
        <f t="shared" si="218"/>
        <v>6.8133999999999997</v>
      </c>
      <c r="F2062" s="1323">
        <f t="shared" si="223"/>
        <v>6.609326487193762</v>
      </c>
      <c r="G2062" s="1323">
        <f t="shared" si="219"/>
        <v>2006</v>
      </c>
      <c r="H2062" s="1323">
        <f t="shared" si="220"/>
        <v>6</v>
      </c>
      <c r="I2062" s="1323">
        <f t="shared" si="221"/>
        <v>15</v>
      </c>
      <c r="J2062" s="1323"/>
      <c r="K2062" s="1323"/>
      <c r="L2062" s="1323"/>
      <c r="M2062" s="1323"/>
      <c r="N2062" s="1323"/>
      <c r="O2062" s="1323"/>
      <c r="P2062" s="1323"/>
      <c r="Q2062" s="1323"/>
      <c r="R2062" s="1304"/>
      <c r="S2062" s="1304"/>
      <c r="T2062" s="1304"/>
    </row>
    <row r="2063" spans="1:20">
      <c r="A2063" s="1303"/>
      <c r="B2063" s="1322" t="s">
        <v>6312</v>
      </c>
      <c r="C2063" s="1323" t="s">
        <v>6313</v>
      </c>
      <c r="D2063" s="1324">
        <f t="shared" si="222"/>
        <v>38882</v>
      </c>
      <c r="E2063" s="1323">
        <f t="shared" si="218"/>
        <v>6.8273999999999999</v>
      </c>
      <c r="F2063" s="1323">
        <f t="shared" si="223"/>
        <v>6.6080591881713726</v>
      </c>
      <c r="G2063" s="1323">
        <f t="shared" si="219"/>
        <v>2006</v>
      </c>
      <c r="H2063" s="1323">
        <f t="shared" si="220"/>
        <v>6</v>
      </c>
      <c r="I2063" s="1323">
        <f t="shared" si="221"/>
        <v>14</v>
      </c>
      <c r="J2063" s="1323"/>
      <c r="K2063" s="1323"/>
      <c r="L2063" s="1323"/>
      <c r="M2063" s="1323"/>
      <c r="N2063" s="1323"/>
      <c r="O2063" s="1323"/>
      <c r="P2063" s="1323"/>
      <c r="Q2063" s="1323"/>
      <c r="R2063" s="1304"/>
      <c r="S2063" s="1304"/>
      <c r="T2063" s="1304"/>
    </row>
    <row r="2064" spans="1:20">
      <c r="A2064" s="1303"/>
      <c r="B2064" s="1322" t="s">
        <v>6314</v>
      </c>
      <c r="C2064" s="1323" t="s">
        <v>6315</v>
      </c>
      <c r="D2064" s="1324">
        <f t="shared" si="222"/>
        <v>38881</v>
      </c>
      <c r="E2064" s="1323">
        <f t="shared" si="218"/>
        <v>6.8380000000000001</v>
      </c>
      <c r="F2064" s="1323">
        <f t="shared" si="223"/>
        <v>6.6067921321460297</v>
      </c>
      <c r="G2064" s="1323">
        <f t="shared" si="219"/>
        <v>2006</v>
      </c>
      <c r="H2064" s="1323">
        <f t="shared" si="220"/>
        <v>6</v>
      </c>
      <c r="I2064" s="1323">
        <f t="shared" si="221"/>
        <v>13</v>
      </c>
      <c r="J2064" s="1323"/>
      <c r="K2064" s="1323"/>
      <c r="L2064" s="1323"/>
      <c r="M2064" s="1323"/>
      <c r="N2064" s="1323"/>
      <c r="O2064" s="1323"/>
      <c r="P2064" s="1323"/>
      <c r="Q2064" s="1323"/>
      <c r="R2064" s="1304"/>
      <c r="S2064" s="1304"/>
      <c r="T2064" s="1304"/>
    </row>
    <row r="2065" spans="1:20">
      <c r="A2065" s="1303"/>
      <c r="B2065" s="1322" t="s">
        <v>6316</v>
      </c>
      <c r="C2065" s="1323" t="s">
        <v>4089</v>
      </c>
      <c r="D2065" s="1324">
        <f t="shared" si="222"/>
        <v>38880</v>
      </c>
      <c r="E2065" s="1323">
        <f t="shared" si="218"/>
        <v>6.7168999999999999</v>
      </c>
      <c r="F2065" s="1323">
        <f t="shared" si="223"/>
        <v>6.6055253190711394</v>
      </c>
      <c r="G2065" s="1323">
        <f t="shared" si="219"/>
        <v>2006</v>
      </c>
      <c r="H2065" s="1323">
        <f t="shared" si="220"/>
        <v>6</v>
      </c>
      <c r="I2065" s="1323">
        <f t="shared" si="221"/>
        <v>12</v>
      </c>
      <c r="J2065" s="1323"/>
      <c r="K2065" s="1323"/>
      <c r="L2065" s="1323"/>
      <c r="M2065" s="1323"/>
      <c r="N2065" s="1323"/>
      <c r="O2065" s="1323"/>
      <c r="P2065" s="1323"/>
      <c r="Q2065" s="1323"/>
      <c r="R2065" s="1304"/>
      <c r="S2065" s="1304"/>
      <c r="T2065" s="1304"/>
    </row>
    <row r="2066" spans="1:20">
      <c r="A2066" s="1303"/>
      <c r="B2066" s="1322" t="s">
        <v>6317</v>
      </c>
      <c r="C2066" s="1323" t="s">
        <v>6318</v>
      </c>
      <c r="D2066" s="1324">
        <f t="shared" si="222"/>
        <v>38877</v>
      </c>
      <c r="E2066" s="1323">
        <f t="shared" si="218"/>
        <v>6.7432999999999996</v>
      </c>
      <c r="F2066" s="1323">
        <f t="shared" si="223"/>
        <v>6.6042587489001177</v>
      </c>
      <c r="G2066" s="1323">
        <f t="shared" si="219"/>
        <v>2006</v>
      </c>
      <c r="H2066" s="1323">
        <f t="shared" si="220"/>
        <v>6</v>
      </c>
      <c r="I2066" s="1323">
        <f t="shared" si="221"/>
        <v>9</v>
      </c>
      <c r="J2066" s="1323"/>
      <c r="K2066" s="1323"/>
      <c r="L2066" s="1323"/>
      <c r="M2066" s="1323"/>
      <c r="N2066" s="1323"/>
      <c r="O2066" s="1323"/>
      <c r="P2066" s="1323"/>
      <c r="Q2066" s="1323"/>
      <c r="R2066" s="1304"/>
      <c r="S2066" s="1304"/>
      <c r="T2066" s="1304"/>
    </row>
    <row r="2067" spans="1:20">
      <c r="A2067" s="1303"/>
      <c r="B2067" s="1322" t="s">
        <v>6319</v>
      </c>
      <c r="C2067" s="1323" t="s">
        <v>6320</v>
      </c>
      <c r="D2067" s="1324">
        <f t="shared" si="222"/>
        <v>38876</v>
      </c>
      <c r="E2067" s="1323">
        <f t="shared" si="218"/>
        <v>6.8170000000000002</v>
      </c>
      <c r="F2067" s="1323">
        <f t="shared" si="223"/>
        <v>6.6029924215863884</v>
      </c>
      <c r="G2067" s="1323">
        <f t="shared" si="219"/>
        <v>2006</v>
      </c>
      <c r="H2067" s="1323">
        <f t="shared" si="220"/>
        <v>6</v>
      </c>
      <c r="I2067" s="1323">
        <f t="shared" si="221"/>
        <v>8</v>
      </c>
      <c r="J2067" s="1323"/>
      <c r="K2067" s="1323"/>
      <c r="L2067" s="1323"/>
      <c r="M2067" s="1323"/>
      <c r="N2067" s="1323"/>
      <c r="O2067" s="1323"/>
      <c r="P2067" s="1323"/>
      <c r="Q2067" s="1323"/>
      <c r="R2067" s="1304"/>
      <c r="S2067" s="1304"/>
      <c r="T2067" s="1304"/>
    </row>
    <row r="2068" spans="1:20">
      <c r="A2068" s="1303"/>
      <c r="B2068" s="1322" t="s">
        <v>6321</v>
      </c>
      <c r="C2068" s="1323" t="s">
        <v>6322</v>
      </c>
      <c r="D2068" s="1324">
        <f t="shared" si="222"/>
        <v>38875</v>
      </c>
      <c r="E2068" s="1323">
        <f t="shared" si="218"/>
        <v>6.7664999999999997</v>
      </c>
      <c r="F2068" s="1323">
        <f t="shared" si="223"/>
        <v>6.6017263370833863</v>
      </c>
      <c r="G2068" s="1323">
        <f t="shared" si="219"/>
        <v>2006</v>
      </c>
      <c r="H2068" s="1323">
        <f t="shared" si="220"/>
        <v>6</v>
      </c>
      <c r="I2068" s="1323">
        <f t="shared" si="221"/>
        <v>7</v>
      </c>
      <c r="J2068" s="1323"/>
      <c r="K2068" s="1323"/>
      <c r="L2068" s="1323"/>
      <c r="M2068" s="1323"/>
      <c r="N2068" s="1323"/>
      <c r="O2068" s="1323"/>
      <c r="P2068" s="1323"/>
      <c r="Q2068" s="1323"/>
      <c r="R2068" s="1304"/>
      <c r="S2068" s="1304"/>
      <c r="T2068" s="1304"/>
    </row>
    <row r="2069" spans="1:20">
      <c r="A2069" s="1303"/>
      <c r="B2069" s="1322" t="s">
        <v>6323</v>
      </c>
      <c r="C2069" s="1323" t="s">
        <v>3975</v>
      </c>
      <c r="D2069" s="1324">
        <f t="shared" si="222"/>
        <v>38874</v>
      </c>
      <c r="E2069" s="1323">
        <f t="shared" si="218"/>
        <v>6.7355999999999998</v>
      </c>
      <c r="F2069" s="1323">
        <f t="shared" si="223"/>
        <v>6.6004604953445529</v>
      </c>
      <c r="G2069" s="1323">
        <f t="shared" si="219"/>
        <v>2006</v>
      </c>
      <c r="H2069" s="1323">
        <f t="shared" si="220"/>
        <v>6</v>
      </c>
      <c r="I2069" s="1323">
        <f t="shared" si="221"/>
        <v>6</v>
      </c>
      <c r="J2069" s="1323"/>
      <c r="K2069" s="1323"/>
      <c r="L2069" s="1323"/>
      <c r="M2069" s="1323"/>
      <c r="N2069" s="1323"/>
      <c r="O2069" s="1323"/>
      <c r="P2069" s="1323"/>
      <c r="Q2069" s="1323"/>
      <c r="R2069" s="1304"/>
      <c r="S2069" s="1304"/>
      <c r="T2069" s="1304"/>
    </row>
    <row r="2070" spans="1:20">
      <c r="A2070" s="1303"/>
      <c r="B2070" s="1322" t="s">
        <v>6324</v>
      </c>
      <c r="C2070" s="1323" t="s">
        <v>6325</v>
      </c>
      <c r="D2070" s="1324">
        <f t="shared" si="222"/>
        <v>38873</v>
      </c>
      <c r="E2070" s="1323">
        <f t="shared" ref="E2070:E2133" si="224">VALUE(C2071)</f>
        <v>6.6303999999999998</v>
      </c>
      <c r="F2070" s="1323">
        <f t="shared" si="223"/>
        <v>6.5991948963233398</v>
      </c>
      <c r="G2070" s="1323">
        <f t="shared" ref="G2070:G2133" si="225">YEAR(B2071)</f>
        <v>2006</v>
      </c>
      <c r="H2070" s="1323">
        <f t="shared" ref="H2070:H2133" si="226">MONTH(B2071)</f>
        <v>6</v>
      </c>
      <c r="I2070" s="1323">
        <f t="shared" ref="I2070:I2133" si="227">DAY(B2071)</f>
        <v>5</v>
      </c>
      <c r="J2070" s="1323"/>
      <c r="K2070" s="1323"/>
      <c r="L2070" s="1323"/>
      <c r="M2070" s="1323"/>
      <c r="N2070" s="1323"/>
      <c r="O2070" s="1323"/>
      <c r="P2070" s="1323"/>
      <c r="Q2070" s="1323"/>
      <c r="R2070" s="1304"/>
      <c r="S2070" s="1304"/>
      <c r="T2070" s="1304"/>
    </row>
    <row r="2071" spans="1:20">
      <c r="A2071" s="1303"/>
      <c r="B2071" s="1322" t="s">
        <v>6326</v>
      </c>
      <c r="C2071" s="1323" t="s">
        <v>6327</v>
      </c>
      <c r="D2071" s="1324">
        <f t="shared" si="222"/>
        <v>38870</v>
      </c>
      <c r="E2071" s="1323">
        <f t="shared" si="224"/>
        <v>6.6448999999999998</v>
      </c>
      <c r="F2071" s="1323">
        <f t="shared" si="223"/>
        <v>6.5979295399732081</v>
      </c>
      <c r="G2071" s="1323">
        <f t="shared" si="225"/>
        <v>2006</v>
      </c>
      <c r="H2071" s="1323">
        <f t="shared" si="226"/>
        <v>6</v>
      </c>
      <c r="I2071" s="1323">
        <f t="shared" si="227"/>
        <v>2</v>
      </c>
      <c r="J2071" s="1323"/>
      <c r="K2071" s="1323"/>
      <c r="L2071" s="1323"/>
      <c r="M2071" s="1323"/>
      <c r="N2071" s="1323"/>
      <c r="O2071" s="1323"/>
      <c r="P2071" s="1323"/>
      <c r="Q2071" s="1323"/>
      <c r="R2071" s="1304"/>
      <c r="S2071" s="1304"/>
      <c r="T2071" s="1304"/>
    </row>
    <row r="2072" spans="1:20">
      <c r="A2072" s="1303"/>
      <c r="B2072" s="1322" t="s">
        <v>6328</v>
      </c>
      <c r="C2072" s="1323" t="s">
        <v>6329</v>
      </c>
      <c r="D2072" s="1324">
        <f t="shared" si="222"/>
        <v>38869</v>
      </c>
      <c r="E2072" s="1323">
        <f t="shared" si="224"/>
        <v>6.7256999999999998</v>
      </c>
      <c r="F2072" s="1323">
        <f t="shared" si="223"/>
        <v>6.5966644262476262</v>
      </c>
      <c r="G2072" s="1323">
        <f t="shared" si="225"/>
        <v>2006</v>
      </c>
      <c r="H2072" s="1323">
        <f t="shared" si="226"/>
        <v>6</v>
      </c>
      <c r="I2072" s="1323">
        <f t="shared" si="227"/>
        <v>1</v>
      </c>
      <c r="J2072" s="1323"/>
      <c r="K2072" s="1323"/>
      <c r="L2072" s="1323"/>
      <c r="M2072" s="1323"/>
      <c r="N2072" s="1323"/>
      <c r="O2072" s="1323"/>
      <c r="P2072" s="1323"/>
      <c r="Q2072" s="1323"/>
      <c r="R2072" s="1304"/>
      <c r="S2072" s="1304"/>
      <c r="T2072" s="1304"/>
    </row>
    <row r="2073" spans="1:20">
      <c r="A2073" s="1303"/>
      <c r="B2073" s="1322" t="s">
        <v>6330</v>
      </c>
      <c r="C2073" s="1323" t="s">
        <v>6331</v>
      </c>
      <c r="D2073" s="1324">
        <f t="shared" si="222"/>
        <v>38868</v>
      </c>
      <c r="E2073" s="1323">
        <f t="shared" si="224"/>
        <v>6.6692</v>
      </c>
      <c r="F2073" s="1323">
        <f t="shared" si="223"/>
        <v>6.5953995551000721</v>
      </c>
      <c r="G2073" s="1323">
        <f t="shared" si="225"/>
        <v>2006</v>
      </c>
      <c r="H2073" s="1323">
        <f t="shared" si="226"/>
        <v>5</v>
      </c>
      <c r="I2073" s="1323">
        <f t="shared" si="227"/>
        <v>31</v>
      </c>
      <c r="J2073" s="1323"/>
      <c r="K2073" s="1323"/>
      <c r="L2073" s="1323"/>
      <c r="M2073" s="1323"/>
      <c r="N2073" s="1323"/>
      <c r="O2073" s="1323"/>
      <c r="P2073" s="1323"/>
      <c r="Q2073" s="1323"/>
      <c r="R2073" s="1304"/>
      <c r="S2073" s="1304"/>
      <c r="T2073" s="1304"/>
    </row>
    <row r="2074" spans="1:20">
      <c r="A2074" s="1303"/>
      <c r="B2074" s="1322" t="s">
        <v>6332</v>
      </c>
      <c r="C2074" s="1323" t="s">
        <v>6333</v>
      </c>
      <c r="D2074" s="1324">
        <f t="shared" si="222"/>
        <v>38867</v>
      </c>
      <c r="E2074" s="1323">
        <f t="shared" si="224"/>
        <v>6.5140000000000002</v>
      </c>
      <c r="F2074" s="1323">
        <f t="shared" si="223"/>
        <v>6.5941349264840339</v>
      </c>
      <c r="G2074" s="1323">
        <f t="shared" si="225"/>
        <v>2006</v>
      </c>
      <c r="H2074" s="1323">
        <f t="shared" si="226"/>
        <v>5</v>
      </c>
      <c r="I2074" s="1323">
        <f t="shared" si="227"/>
        <v>30</v>
      </c>
      <c r="J2074" s="1323"/>
      <c r="K2074" s="1323"/>
      <c r="L2074" s="1323"/>
      <c r="M2074" s="1323"/>
      <c r="N2074" s="1323"/>
      <c r="O2074" s="1323"/>
      <c r="P2074" s="1323"/>
      <c r="Q2074" s="1323"/>
      <c r="R2074" s="1304"/>
      <c r="S2074" s="1304"/>
      <c r="T2074" s="1304"/>
    </row>
    <row r="2075" spans="1:20">
      <c r="A2075" s="1303"/>
      <c r="B2075" s="1322" t="s">
        <v>6334</v>
      </c>
      <c r="C2075" s="1323" t="s">
        <v>6335</v>
      </c>
      <c r="D2075" s="1324">
        <f t="shared" si="222"/>
        <v>38866</v>
      </c>
      <c r="E2075" s="1323">
        <f t="shared" si="224"/>
        <v>6.4893999999999998</v>
      </c>
      <c r="F2075" s="1323">
        <f t="shared" si="223"/>
        <v>6.5928705403530072</v>
      </c>
      <c r="G2075" s="1323">
        <f t="shared" si="225"/>
        <v>2006</v>
      </c>
      <c r="H2075" s="1323">
        <f t="shared" si="226"/>
        <v>5</v>
      </c>
      <c r="I2075" s="1323">
        <f t="shared" si="227"/>
        <v>29</v>
      </c>
      <c r="J2075" s="1323"/>
      <c r="K2075" s="1323"/>
      <c r="L2075" s="1323"/>
      <c r="M2075" s="1323"/>
      <c r="N2075" s="1323"/>
      <c r="O2075" s="1323"/>
      <c r="P2075" s="1323"/>
      <c r="Q2075" s="1323"/>
      <c r="R2075" s="1304"/>
      <c r="S2075" s="1304"/>
      <c r="T2075" s="1304"/>
    </row>
    <row r="2076" spans="1:20">
      <c r="A2076" s="1303"/>
      <c r="B2076" s="1322" t="s">
        <v>6336</v>
      </c>
      <c r="C2076" s="1323" t="s">
        <v>6337</v>
      </c>
      <c r="D2076" s="1324">
        <f t="shared" si="222"/>
        <v>38863</v>
      </c>
      <c r="E2076" s="1323">
        <f t="shared" si="224"/>
        <v>6.5377999999999998</v>
      </c>
      <c r="F2076" s="1323">
        <f t="shared" si="223"/>
        <v>6.591606396660497</v>
      </c>
      <c r="G2076" s="1323">
        <f t="shared" si="225"/>
        <v>2006</v>
      </c>
      <c r="H2076" s="1323">
        <f t="shared" si="226"/>
        <v>5</v>
      </c>
      <c r="I2076" s="1323">
        <f t="shared" si="227"/>
        <v>26</v>
      </c>
      <c r="J2076" s="1323"/>
      <c r="K2076" s="1323"/>
      <c r="L2076" s="1323"/>
      <c r="M2076" s="1323"/>
      <c r="N2076" s="1323"/>
      <c r="O2076" s="1323"/>
      <c r="P2076" s="1323"/>
      <c r="Q2076" s="1323"/>
      <c r="R2076" s="1304"/>
      <c r="S2076" s="1304"/>
      <c r="T2076" s="1304"/>
    </row>
    <row r="2077" spans="1:20">
      <c r="A2077" s="1303"/>
      <c r="B2077" s="1322" t="s">
        <v>6338</v>
      </c>
      <c r="C2077" s="1323" t="s">
        <v>6339</v>
      </c>
      <c r="D2077" s="1324">
        <f t="shared" si="222"/>
        <v>38862</v>
      </c>
      <c r="E2077" s="1323">
        <f t="shared" si="224"/>
        <v>6.5978000000000003</v>
      </c>
      <c r="F2077" s="1323">
        <f t="shared" si="223"/>
        <v>6.5903424953600167</v>
      </c>
      <c r="G2077" s="1323">
        <f t="shared" si="225"/>
        <v>2006</v>
      </c>
      <c r="H2077" s="1323">
        <f t="shared" si="226"/>
        <v>5</v>
      </c>
      <c r="I2077" s="1323">
        <f t="shared" si="227"/>
        <v>25</v>
      </c>
      <c r="J2077" s="1323"/>
      <c r="K2077" s="1323"/>
      <c r="L2077" s="1323"/>
      <c r="M2077" s="1323"/>
      <c r="N2077" s="1323"/>
      <c r="O2077" s="1323"/>
      <c r="P2077" s="1323"/>
      <c r="Q2077" s="1323"/>
      <c r="R2077" s="1304"/>
      <c r="S2077" s="1304"/>
      <c r="T2077" s="1304"/>
    </row>
    <row r="2078" spans="1:20">
      <c r="A2078" s="1303"/>
      <c r="B2078" s="1322" t="s">
        <v>6340</v>
      </c>
      <c r="C2078" s="1323" t="s">
        <v>6341</v>
      </c>
      <c r="D2078" s="1324">
        <f t="shared" si="222"/>
        <v>38861</v>
      </c>
      <c r="E2078" s="1323">
        <f t="shared" si="224"/>
        <v>6.6346999999999996</v>
      </c>
      <c r="F2078" s="1323">
        <f t="shared" si="223"/>
        <v>6.5890788364050898</v>
      </c>
      <c r="G2078" s="1323">
        <f t="shared" si="225"/>
        <v>2006</v>
      </c>
      <c r="H2078" s="1323">
        <f t="shared" si="226"/>
        <v>5</v>
      </c>
      <c r="I2078" s="1323">
        <f t="shared" si="227"/>
        <v>24</v>
      </c>
      <c r="J2078" s="1323"/>
      <c r="K2078" s="1323"/>
      <c r="L2078" s="1323"/>
      <c r="M2078" s="1323"/>
      <c r="N2078" s="1323"/>
      <c r="O2078" s="1323"/>
      <c r="P2078" s="1323"/>
      <c r="Q2078" s="1323"/>
      <c r="R2078" s="1304"/>
      <c r="S2078" s="1304"/>
      <c r="T2078" s="1304"/>
    </row>
    <row r="2079" spans="1:20">
      <c r="A2079" s="1303"/>
      <c r="B2079" s="1322" t="s">
        <v>6342</v>
      </c>
      <c r="C2079" s="1323" t="s">
        <v>6343</v>
      </c>
      <c r="D2079" s="1324">
        <f t="shared" si="222"/>
        <v>38860</v>
      </c>
      <c r="E2079" s="1323">
        <f t="shared" si="224"/>
        <v>6.5252999999999997</v>
      </c>
      <c r="F2079" s="1323">
        <f t="shared" si="223"/>
        <v>6.5878154197492469</v>
      </c>
      <c r="G2079" s="1323">
        <f t="shared" si="225"/>
        <v>2006</v>
      </c>
      <c r="H2079" s="1323">
        <f t="shared" si="226"/>
        <v>5</v>
      </c>
      <c r="I2079" s="1323">
        <f t="shared" si="227"/>
        <v>23</v>
      </c>
      <c r="J2079" s="1323"/>
      <c r="K2079" s="1323"/>
      <c r="L2079" s="1323"/>
      <c r="M2079" s="1323"/>
      <c r="N2079" s="1323"/>
      <c r="O2079" s="1323"/>
      <c r="P2079" s="1323"/>
      <c r="Q2079" s="1323"/>
      <c r="R2079" s="1304"/>
      <c r="S2079" s="1304"/>
      <c r="T2079" s="1304"/>
    </row>
    <row r="2080" spans="1:20">
      <c r="A2080" s="1303"/>
      <c r="B2080" s="1322" t="s">
        <v>6344</v>
      </c>
      <c r="C2080" s="1323" t="s">
        <v>5641</v>
      </c>
      <c r="D2080" s="1324">
        <f t="shared" si="222"/>
        <v>38859</v>
      </c>
      <c r="E2080" s="1323">
        <f t="shared" si="224"/>
        <v>6.6342999999999996</v>
      </c>
      <c r="F2080" s="1323">
        <f t="shared" si="223"/>
        <v>6.5865522453460299</v>
      </c>
      <c r="G2080" s="1323">
        <f t="shared" si="225"/>
        <v>2006</v>
      </c>
      <c r="H2080" s="1323">
        <f t="shared" si="226"/>
        <v>5</v>
      </c>
      <c r="I2080" s="1323">
        <f t="shared" si="227"/>
        <v>22</v>
      </c>
      <c r="J2080" s="1323"/>
      <c r="K2080" s="1323"/>
      <c r="L2080" s="1323"/>
      <c r="M2080" s="1323"/>
      <c r="N2080" s="1323"/>
      <c r="O2080" s="1323"/>
      <c r="P2080" s="1323"/>
      <c r="Q2080" s="1323"/>
      <c r="R2080" s="1304"/>
      <c r="S2080" s="1304"/>
      <c r="T2080" s="1304"/>
    </row>
    <row r="2081" spans="1:20">
      <c r="A2081" s="1303"/>
      <c r="B2081" s="1322" t="s">
        <v>6345</v>
      </c>
      <c r="C2081" s="1323" t="s">
        <v>6346</v>
      </c>
      <c r="D2081" s="1324">
        <f t="shared" si="222"/>
        <v>38856</v>
      </c>
      <c r="E2081" s="1323">
        <f t="shared" si="224"/>
        <v>6.4135</v>
      </c>
      <c r="F2081" s="1323">
        <f t="shared" si="223"/>
        <v>6.5852893131489871</v>
      </c>
      <c r="G2081" s="1323">
        <f t="shared" si="225"/>
        <v>2006</v>
      </c>
      <c r="H2081" s="1323">
        <f t="shared" si="226"/>
        <v>5</v>
      </c>
      <c r="I2081" s="1323">
        <f t="shared" si="227"/>
        <v>19</v>
      </c>
      <c r="J2081" s="1323"/>
      <c r="K2081" s="1323"/>
      <c r="L2081" s="1323"/>
      <c r="M2081" s="1323"/>
      <c r="N2081" s="1323"/>
      <c r="O2081" s="1323"/>
      <c r="P2081" s="1323"/>
      <c r="Q2081" s="1323"/>
      <c r="R2081" s="1304"/>
      <c r="S2081" s="1304"/>
      <c r="T2081" s="1304"/>
    </row>
    <row r="2082" spans="1:20">
      <c r="A2082" s="1303"/>
      <c r="B2082" s="1322" t="s">
        <v>6347</v>
      </c>
      <c r="C2082" s="1323" t="s">
        <v>6348</v>
      </c>
      <c r="D2082" s="1324">
        <f t="shared" si="222"/>
        <v>38855</v>
      </c>
      <c r="E2082" s="1323">
        <f t="shared" si="224"/>
        <v>6.4360999999999997</v>
      </c>
      <c r="F2082" s="1323">
        <f t="shared" si="223"/>
        <v>6.5840266231116775</v>
      </c>
      <c r="G2082" s="1323">
        <f t="shared" si="225"/>
        <v>2006</v>
      </c>
      <c r="H2082" s="1323">
        <f t="shared" si="226"/>
        <v>5</v>
      </c>
      <c r="I2082" s="1323">
        <f t="shared" si="227"/>
        <v>18</v>
      </c>
      <c r="J2082" s="1323"/>
      <c r="K2082" s="1323"/>
      <c r="L2082" s="1323"/>
      <c r="M2082" s="1323"/>
      <c r="N2082" s="1323"/>
      <c r="O2082" s="1323"/>
      <c r="P2082" s="1323"/>
      <c r="Q2082" s="1323"/>
      <c r="R2082" s="1304"/>
      <c r="S2082" s="1304"/>
      <c r="T2082" s="1304"/>
    </row>
    <row r="2083" spans="1:20">
      <c r="A2083" s="1303"/>
      <c r="B2083" s="1322" t="s">
        <v>6349</v>
      </c>
      <c r="C2083" s="1323" t="s">
        <v>6350</v>
      </c>
      <c r="D2083" s="1324">
        <f t="shared" si="222"/>
        <v>38854</v>
      </c>
      <c r="E2083" s="1323">
        <f t="shared" si="224"/>
        <v>6.2263999999999999</v>
      </c>
      <c r="F2083" s="1323">
        <f t="shared" si="223"/>
        <v>6.5827641751876689</v>
      </c>
      <c r="G2083" s="1323">
        <f t="shared" si="225"/>
        <v>2006</v>
      </c>
      <c r="H2083" s="1323">
        <f t="shared" si="226"/>
        <v>5</v>
      </c>
      <c r="I2083" s="1323">
        <f t="shared" si="227"/>
        <v>17</v>
      </c>
      <c r="J2083" s="1323"/>
      <c r="K2083" s="1323"/>
      <c r="L2083" s="1323"/>
      <c r="M2083" s="1323"/>
      <c r="N2083" s="1323"/>
      <c r="O2083" s="1323"/>
      <c r="P2083" s="1323"/>
      <c r="Q2083" s="1323"/>
      <c r="R2083" s="1304"/>
      <c r="S2083" s="1304"/>
      <c r="T2083" s="1304"/>
    </row>
    <row r="2084" spans="1:20">
      <c r="A2084" s="1303"/>
      <c r="B2084" s="1322" t="s">
        <v>6351</v>
      </c>
      <c r="C2084" s="1323" t="s">
        <v>6352</v>
      </c>
      <c r="D2084" s="1324">
        <f t="shared" si="222"/>
        <v>38853</v>
      </c>
      <c r="E2084" s="1323">
        <f t="shared" si="224"/>
        <v>6.4168000000000003</v>
      </c>
      <c r="F2084" s="1323">
        <f t="shared" si="223"/>
        <v>6.581501969330537</v>
      </c>
      <c r="G2084" s="1323">
        <f t="shared" si="225"/>
        <v>2006</v>
      </c>
      <c r="H2084" s="1323">
        <f t="shared" si="226"/>
        <v>5</v>
      </c>
      <c r="I2084" s="1323">
        <f t="shared" si="227"/>
        <v>16</v>
      </c>
      <c r="J2084" s="1323"/>
      <c r="K2084" s="1323"/>
      <c r="L2084" s="1323"/>
      <c r="M2084" s="1323"/>
      <c r="N2084" s="1323"/>
      <c r="O2084" s="1323"/>
      <c r="P2084" s="1323"/>
      <c r="Q2084" s="1323"/>
      <c r="R2084" s="1304"/>
      <c r="S2084" s="1304"/>
      <c r="T2084" s="1304"/>
    </row>
    <row r="2085" spans="1:20">
      <c r="A2085" s="1303"/>
      <c r="B2085" s="1322" t="s">
        <v>6353</v>
      </c>
      <c r="C2085" s="1323" t="s">
        <v>6354</v>
      </c>
      <c r="D2085" s="1324">
        <f t="shared" si="222"/>
        <v>38852</v>
      </c>
      <c r="E2085" s="1323">
        <f t="shared" si="224"/>
        <v>6.4248000000000003</v>
      </c>
      <c r="F2085" s="1323">
        <f t="shared" si="223"/>
        <v>6.5802400054938666</v>
      </c>
      <c r="G2085" s="1323">
        <f t="shared" si="225"/>
        <v>2006</v>
      </c>
      <c r="H2085" s="1323">
        <f t="shared" si="226"/>
        <v>5</v>
      </c>
      <c r="I2085" s="1323">
        <f t="shared" si="227"/>
        <v>15</v>
      </c>
      <c r="J2085" s="1323"/>
      <c r="K2085" s="1323"/>
      <c r="L2085" s="1323"/>
      <c r="M2085" s="1323"/>
      <c r="N2085" s="1323"/>
      <c r="O2085" s="1323"/>
      <c r="P2085" s="1323"/>
      <c r="Q2085" s="1323"/>
      <c r="R2085" s="1304"/>
      <c r="S2085" s="1304"/>
      <c r="T2085" s="1304"/>
    </row>
    <row r="2086" spans="1:20">
      <c r="A2086" s="1303"/>
      <c r="B2086" s="1322" t="s">
        <v>6355</v>
      </c>
      <c r="C2086" s="1323" t="s">
        <v>6356</v>
      </c>
      <c r="D2086" s="1324">
        <f t="shared" si="222"/>
        <v>38849</v>
      </c>
      <c r="E2086" s="1323">
        <f t="shared" si="224"/>
        <v>6.1166</v>
      </c>
      <c r="F2086" s="1323">
        <f t="shared" si="223"/>
        <v>6.578978283631252</v>
      </c>
      <c r="G2086" s="1323">
        <f t="shared" si="225"/>
        <v>2006</v>
      </c>
      <c r="H2086" s="1323">
        <f t="shared" si="226"/>
        <v>5</v>
      </c>
      <c r="I2086" s="1323">
        <f t="shared" si="227"/>
        <v>12</v>
      </c>
      <c r="J2086" s="1323"/>
      <c r="K2086" s="1323"/>
      <c r="L2086" s="1323"/>
      <c r="M2086" s="1323"/>
      <c r="N2086" s="1323"/>
      <c r="O2086" s="1323"/>
      <c r="P2086" s="1323"/>
      <c r="Q2086" s="1323"/>
      <c r="R2086" s="1304"/>
      <c r="S2086" s="1304"/>
      <c r="T2086" s="1304"/>
    </row>
    <row r="2087" spans="1:20">
      <c r="A2087" s="1303"/>
      <c r="B2087" s="1322" t="s">
        <v>6357</v>
      </c>
      <c r="C2087" s="1323" t="s">
        <v>6358</v>
      </c>
      <c r="D2087" s="1324">
        <f t="shared" si="222"/>
        <v>38848</v>
      </c>
      <c r="E2087" s="1323">
        <f t="shared" si="224"/>
        <v>6.1197999999999997</v>
      </c>
      <c r="F2087" s="1323">
        <f t="shared" si="223"/>
        <v>6.5777168036962967</v>
      </c>
      <c r="G2087" s="1323">
        <f t="shared" si="225"/>
        <v>2006</v>
      </c>
      <c r="H2087" s="1323">
        <f t="shared" si="226"/>
        <v>5</v>
      </c>
      <c r="I2087" s="1323">
        <f t="shared" si="227"/>
        <v>11</v>
      </c>
      <c r="J2087" s="1323"/>
      <c r="K2087" s="1323"/>
      <c r="L2087" s="1323"/>
      <c r="M2087" s="1323"/>
      <c r="N2087" s="1323"/>
      <c r="O2087" s="1323"/>
      <c r="P2087" s="1323"/>
      <c r="Q2087" s="1323"/>
      <c r="R2087" s="1304"/>
      <c r="S2087" s="1304"/>
      <c r="T2087" s="1304"/>
    </row>
    <row r="2088" spans="1:20">
      <c r="A2088" s="1303"/>
      <c r="B2088" s="1322" t="s">
        <v>6359</v>
      </c>
      <c r="C2088" s="1323" t="s">
        <v>6360</v>
      </c>
      <c r="D2088" s="1324">
        <f t="shared" si="222"/>
        <v>38847</v>
      </c>
      <c r="E2088" s="1323">
        <f t="shared" si="224"/>
        <v>6.0579000000000001</v>
      </c>
      <c r="F2088" s="1323">
        <f t="shared" si="223"/>
        <v>6.576455565642612</v>
      </c>
      <c r="G2088" s="1323">
        <f t="shared" si="225"/>
        <v>2006</v>
      </c>
      <c r="H2088" s="1323">
        <f t="shared" si="226"/>
        <v>5</v>
      </c>
      <c r="I2088" s="1323">
        <f t="shared" si="227"/>
        <v>10</v>
      </c>
      <c r="J2088" s="1323"/>
      <c r="K2088" s="1323"/>
      <c r="L2088" s="1323"/>
      <c r="M2088" s="1323"/>
      <c r="N2088" s="1323"/>
      <c r="O2088" s="1323"/>
      <c r="P2088" s="1323"/>
      <c r="Q2088" s="1323"/>
      <c r="R2088" s="1304"/>
      <c r="S2088" s="1304"/>
      <c r="T2088" s="1304"/>
    </row>
    <row r="2089" spans="1:20">
      <c r="A2089" s="1303"/>
      <c r="B2089" s="1322" t="s">
        <v>6361</v>
      </c>
      <c r="C2089" s="1323" t="s">
        <v>6362</v>
      </c>
      <c r="D2089" s="1324">
        <f t="shared" si="222"/>
        <v>38846</v>
      </c>
      <c r="E2089" s="1323">
        <f t="shared" si="224"/>
        <v>6.1045999999999996</v>
      </c>
      <c r="F2089" s="1323">
        <f t="shared" si="223"/>
        <v>6.5751945694238181</v>
      </c>
      <c r="G2089" s="1323">
        <f t="shared" si="225"/>
        <v>2006</v>
      </c>
      <c r="H2089" s="1323">
        <f t="shared" si="226"/>
        <v>5</v>
      </c>
      <c r="I2089" s="1323">
        <f t="shared" si="227"/>
        <v>9</v>
      </c>
      <c r="J2089" s="1323"/>
      <c r="K2089" s="1323"/>
      <c r="L2089" s="1323"/>
      <c r="M2089" s="1323"/>
      <c r="N2089" s="1323"/>
      <c r="O2089" s="1323"/>
      <c r="P2089" s="1323"/>
      <c r="Q2089" s="1323"/>
      <c r="R2089" s="1304"/>
      <c r="S2089" s="1304"/>
      <c r="T2089" s="1304"/>
    </row>
    <row r="2090" spans="1:20">
      <c r="A2090" s="1303"/>
      <c r="B2090" s="1322" t="s">
        <v>6363</v>
      </c>
      <c r="C2090" s="1323" t="s">
        <v>6364</v>
      </c>
      <c r="D2090" s="1324">
        <f t="shared" si="222"/>
        <v>38845</v>
      </c>
      <c r="E2090" s="1323">
        <f t="shared" si="224"/>
        <v>6.0347999999999997</v>
      </c>
      <c r="F2090" s="1323">
        <f t="shared" si="223"/>
        <v>6.5739338149935449</v>
      </c>
      <c r="G2090" s="1323">
        <f t="shared" si="225"/>
        <v>2006</v>
      </c>
      <c r="H2090" s="1323">
        <f t="shared" si="226"/>
        <v>5</v>
      </c>
      <c r="I2090" s="1323">
        <f t="shared" si="227"/>
        <v>8</v>
      </c>
      <c r="J2090" s="1323"/>
      <c r="K2090" s="1323"/>
      <c r="L2090" s="1323"/>
      <c r="M2090" s="1323"/>
      <c r="N2090" s="1323"/>
      <c r="O2090" s="1323"/>
      <c r="P2090" s="1323"/>
      <c r="Q2090" s="1323"/>
      <c r="R2090" s="1304"/>
      <c r="S2090" s="1304"/>
      <c r="T2090" s="1304"/>
    </row>
    <row r="2091" spans="1:20">
      <c r="A2091" s="1303"/>
      <c r="B2091" s="1322" t="s">
        <v>6365</v>
      </c>
      <c r="C2091" s="1323" t="s">
        <v>6366</v>
      </c>
      <c r="D2091" s="1324">
        <f t="shared" si="222"/>
        <v>38842</v>
      </c>
      <c r="E2091" s="1323">
        <f t="shared" si="224"/>
        <v>6.0578000000000003</v>
      </c>
      <c r="F2091" s="1323">
        <f t="shared" si="223"/>
        <v>6.5726733023054313</v>
      </c>
      <c r="G2091" s="1323">
        <f t="shared" si="225"/>
        <v>2006</v>
      </c>
      <c r="H2091" s="1323">
        <f t="shared" si="226"/>
        <v>5</v>
      </c>
      <c r="I2091" s="1323">
        <f t="shared" si="227"/>
        <v>5</v>
      </c>
      <c r="J2091" s="1323"/>
      <c r="K2091" s="1323"/>
      <c r="L2091" s="1323"/>
      <c r="M2091" s="1323"/>
      <c r="N2091" s="1323"/>
      <c r="O2091" s="1323"/>
      <c r="P2091" s="1323"/>
      <c r="Q2091" s="1323"/>
      <c r="R2091" s="1304"/>
      <c r="S2091" s="1304"/>
      <c r="T2091" s="1304"/>
    </row>
    <row r="2092" spans="1:20">
      <c r="A2092" s="1303"/>
      <c r="B2092" s="1322" t="s">
        <v>6367</v>
      </c>
      <c r="C2092" s="1323" t="s">
        <v>6368</v>
      </c>
      <c r="D2092" s="1324">
        <f t="shared" si="222"/>
        <v>38841</v>
      </c>
      <c r="E2092" s="1323">
        <f t="shared" si="224"/>
        <v>6.1228999999999996</v>
      </c>
      <c r="F2092" s="1323">
        <f t="shared" si="223"/>
        <v>6.5714130313131243</v>
      </c>
      <c r="G2092" s="1323">
        <f t="shared" si="225"/>
        <v>2006</v>
      </c>
      <c r="H2092" s="1323">
        <f t="shared" si="226"/>
        <v>5</v>
      </c>
      <c r="I2092" s="1323">
        <f t="shared" si="227"/>
        <v>4</v>
      </c>
      <c r="J2092" s="1323"/>
      <c r="K2092" s="1323"/>
      <c r="L2092" s="1323"/>
      <c r="M2092" s="1323"/>
      <c r="N2092" s="1323"/>
      <c r="O2092" s="1323"/>
      <c r="P2092" s="1323"/>
      <c r="Q2092" s="1323"/>
      <c r="R2092" s="1304"/>
      <c r="S2092" s="1304"/>
      <c r="T2092" s="1304"/>
    </row>
    <row r="2093" spans="1:20">
      <c r="A2093" s="1303"/>
      <c r="B2093" s="1322" t="s">
        <v>6369</v>
      </c>
      <c r="C2093" s="1323" t="s">
        <v>6370</v>
      </c>
      <c r="D2093" s="1324">
        <f t="shared" si="222"/>
        <v>38840</v>
      </c>
      <c r="E2093" s="1323">
        <f t="shared" si="224"/>
        <v>6.0465</v>
      </c>
      <c r="F2093" s="1323">
        <f t="shared" si="223"/>
        <v>6.5701530019702803</v>
      </c>
      <c r="G2093" s="1323">
        <f t="shared" si="225"/>
        <v>2006</v>
      </c>
      <c r="H2093" s="1323">
        <f t="shared" si="226"/>
        <v>5</v>
      </c>
      <c r="I2093" s="1323">
        <f t="shared" si="227"/>
        <v>3</v>
      </c>
      <c r="J2093" s="1323"/>
      <c r="K2093" s="1323"/>
      <c r="L2093" s="1323"/>
      <c r="M2093" s="1323"/>
      <c r="N2093" s="1323"/>
      <c r="O2093" s="1323"/>
      <c r="P2093" s="1323"/>
      <c r="Q2093" s="1323"/>
      <c r="R2093" s="1304"/>
      <c r="S2093" s="1304"/>
      <c r="T2093" s="1304"/>
    </row>
    <row r="2094" spans="1:20">
      <c r="A2094" s="1303"/>
      <c r="B2094" s="1322" t="s">
        <v>6371</v>
      </c>
      <c r="C2094" s="1323" t="s">
        <v>6372</v>
      </c>
      <c r="D2094" s="1324">
        <f t="shared" si="222"/>
        <v>38839</v>
      </c>
      <c r="E2094" s="1323">
        <f t="shared" si="224"/>
        <v>6.0381</v>
      </c>
      <c r="F2094" s="1323">
        <f t="shared" si="223"/>
        <v>6.5688932142305649</v>
      </c>
      <c r="G2094" s="1323">
        <f t="shared" si="225"/>
        <v>2006</v>
      </c>
      <c r="H2094" s="1323">
        <f t="shared" si="226"/>
        <v>5</v>
      </c>
      <c r="I2094" s="1323">
        <f t="shared" si="227"/>
        <v>2</v>
      </c>
      <c r="J2094" s="1323"/>
      <c r="K2094" s="1323"/>
      <c r="L2094" s="1323"/>
      <c r="M2094" s="1323"/>
      <c r="N2094" s="1323"/>
      <c r="O2094" s="1323"/>
      <c r="P2094" s="1323"/>
      <c r="Q2094" s="1323"/>
      <c r="R2094" s="1304"/>
      <c r="S2094" s="1304"/>
      <c r="T2094" s="1304"/>
    </row>
    <row r="2095" spans="1:20">
      <c r="A2095" s="1303"/>
      <c r="B2095" s="1322" t="s">
        <v>6373</v>
      </c>
      <c r="C2095" s="1323" t="s">
        <v>6374</v>
      </c>
      <c r="D2095" s="1324">
        <f t="shared" si="222"/>
        <v>38835</v>
      </c>
      <c r="E2095" s="1323">
        <f t="shared" si="224"/>
        <v>6.1459999999999999</v>
      </c>
      <c r="F2095" s="1323">
        <f t="shared" si="223"/>
        <v>6.5676336680476517</v>
      </c>
      <c r="G2095" s="1323">
        <f t="shared" si="225"/>
        <v>2006</v>
      </c>
      <c r="H2095" s="1323">
        <f t="shared" si="226"/>
        <v>4</v>
      </c>
      <c r="I2095" s="1323">
        <f t="shared" si="227"/>
        <v>28</v>
      </c>
      <c r="J2095" s="1323"/>
      <c r="K2095" s="1323"/>
      <c r="L2095" s="1323"/>
      <c r="M2095" s="1323"/>
      <c r="N2095" s="1323"/>
      <c r="O2095" s="1323"/>
      <c r="P2095" s="1323"/>
      <c r="Q2095" s="1323"/>
      <c r="R2095" s="1304"/>
      <c r="S2095" s="1304"/>
      <c r="T2095" s="1304"/>
    </row>
    <row r="2096" spans="1:20">
      <c r="A2096" s="1303"/>
      <c r="B2096" s="1322" t="s">
        <v>6375</v>
      </c>
      <c r="C2096" s="1323" t="s">
        <v>6376</v>
      </c>
      <c r="D2096" s="1324">
        <f t="shared" si="222"/>
        <v>38833</v>
      </c>
      <c r="E2096" s="1323">
        <f t="shared" si="224"/>
        <v>6.1679000000000004</v>
      </c>
      <c r="F2096" s="1323">
        <f t="shared" si="223"/>
        <v>6.566374363375223</v>
      </c>
      <c r="G2096" s="1323">
        <f t="shared" si="225"/>
        <v>2006</v>
      </c>
      <c r="H2096" s="1323">
        <f t="shared" si="226"/>
        <v>4</v>
      </c>
      <c r="I2096" s="1323">
        <f t="shared" si="227"/>
        <v>26</v>
      </c>
      <c r="J2096" s="1323"/>
      <c r="K2096" s="1323"/>
      <c r="L2096" s="1323"/>
      <c r="M2096" s="1323"/>
      <c r="N2096" s="1323"/>
      <c r="O2096" s="1323"/>
      <c r="P2096" s="1323"/>
      <c r="Q2096" s="1323"/>
      <c r="R2096" s="1304"/>
      <c r="S2096" s="1304"/>
      <c r="T2096" s="1304"/>
    </row>
    <row r="2097" spans="1:20">
      <c r="A2097" s="1303"/>
      <c r="B2097" s="1322" t="s">
        <v>6377</v>
      </c>
      <c r="C2097" s="1323" t="s">
        <v>6378</v>
      </c>
      <c r="D2097" s="1324">
        <f t="shared" si="222"/>
        <v>38832</v>
      </c>
      <c r="E2097" s="1323">
        <f t="shared" si="224"/>
        <v>6.0385</v>
      </c>
      <c r="F2097" s="1323">
        <f t="shared" si="223"/>
        <v>6.5651153001669718</v>
      </c>
      <c r="G2097" s="1323">
        <f t="shared" si="225"/>
        <v>2006</v>
      </c>
      <c r="H2097" s="1323">
        <f t="shared" si="226"/>
        <v>4</v>
      </c>
      <c r="I2097" s="1323">
        <f t="shared" si="227"/>
        <v>25</v>
      </c>
      <c r="J2097" s="1323"/>
      <c r="K2097" s="1323"/>
      <c r="L2097" s="1323"/>
      <c r="M2097" s="1323"/>
      <c r="N2097" s="1323"/>
      <c r="O2097" s="1323"/>
      <c r="P2097" s="1323"/>
      <c r="Q2097" s="1323"/>
      <c r="R2097" s="1304"/>
      <c r="S2097" s="1304"/>
      <c r="T2097" s="1304"/>
    </row>
    <row r="2098" spans="1:20">
      <c r="A2098" s="1303"/>
      <c r="B2098" s="1322" t="s">
        <v>6379</v>
      </c>
      <c r="C2098" s="1323" t="s">
        <v>6380</v>
      </c>
      <c r="D2098" s="1324">
        <f t="shared" si="222"/>
        <v>38831</v>
      </c>
      <c r="E2098" s="1323">
        <f t="shared" si="224"/>
        <v>5.9782000000000002</v>
      </c>
      <c r="F2098" s="1323">
        <f t="shared" si="223"/>
        <v>6.5638564783765982</v>
      </c>
      <c r="G2098" s="1323">
        <f t="shared" si="225"/>
        <v>2006</v>
      </c>
      <c r="H2098" s="1323">
        <f t="shared" si="226"/>
        <v>4</v>
      </c>
      <c r="I2098" s="1323">
        <f t="shared" si="227"/>
        <v>24</v>
      </c>
      <c r="J2098" s="1323"/>
      <c r="K2098" s="1323"/>
      <c r="L2098" s="1323"/>
      <c r="M2098" s="1323"/>
      <c r="N2098" s="1323"/>
      <c r="O2098" s="1323"/>
      <c r="P2098" s="1323"/>
      <c r="Q2098" s="1323"/>
      <c r="R2098" s="1304"/>
      <c r="S2098" s="1304"/>
      <c r="T2098" s="1304"/>
    </row>
    <row r="2099" spans="1:20">
      <c r="A2099" s="1303"/>
      <c r="B2099" s="1322" t="s">
        <v>6381</v>
      </c>
      <c r="C2099" s="1323" t="s">
        <v>6382</v>
      </c>
      <c r="D2099" s="1324">
        <f t="shared" si="222"/>
        <v>38828</v>
      </c>
      <c r="E2099" s="1323">
        <f t="shared" si="224"/>
        <v>6.0392000000000001</v>
      </c>
      <c r="F2099" s="1323">
        <f t="shared" si="223"/>
        <v>6.5625978979578115</v>
      </c>
      <c r="G2099" s="1323">
        <f t="shared" si="225"/>
        <v>2006</v>
      </c>
      <c r="H2099" s="1323">
        <f t="shared" si="226"/>
        <v>4</v>
      </c>
      <c r="I2099" s="1323">
        <f t="shared" si="227"/>
        <v>21</v>
      </c>
      <c r="J2099" s="1323"/>
      <c r="K2099" s="1323"/>
      <c r="L2099" s="1323"/>
      <c r="M2099" s="1323"/>
      <c r="N2099" s="1323"/>
      <c r="O2099" s="1323"/>
      <c r="P2099" s="1323"/>
      <c r="Q2099" s="1323"/>
      <c r="R2099" s="1304"/>
      <c r="S2099" s="1304"/>
      <c r="T2099" s="1304"/>
    </row>
    <row r="2100" spans="1:20">
      <c r="A2100" s="1303"/>
      <c r="B2100" s="1322" t="s">
        <v>6383</v>
      </c>
      <c r="C2100" s="1323" t="s">
        <v>6384</v>
      </c>
      <c r="D2100" s="1324">
        <f t="shared" si="222"/>
        <v>38827</v>
      </c>
      <c r="E2100" s="1323">
        <f t="shared" si="224"/>
        <v>5.9698000000000002</v>
      </c>
      <c r="F2100" s="1323">
        <f t="shared" si="223"/>
        <v>6.5613395588643302</v>
      </c>
      <c r="G2100" s="1323">
        <f t="shared" si="225"/>
        <v>2006</v>
      </c>
      <c r="H2100" s="1323">
        <f t="shared" si="226"/>
        <v>4</v>
      </c>
      <c r="I2100" s="1323">
        <f t="shared" si="227"/>
        <v>20</v>
      </c>
      <c r="J2100" s="1323"/>
      <c r="K2100" s="1323"/>
      <c r="L2100" s="1323"/>
      <c r="M2100" s="1323"/>
      <c r="N2100" s="1323"/>
      <c r="O2100" s="1323"/>
      <c r="P2100" s="1323"/>
      <c r="Q2100" s="1323"/>
      <c r="R2100" s="1304"/>
      <c r="S2100" s="1304"/>
      <c r="T2100" s="1304"/>
    </row>
    <row r="2101" spans="1:20">
      <c r="A2101" s="1303"/>
      <c r="B2101" s="1322" t="s">
        <v>6385</v>
      </c>
      <c r="C2101" s="1323" t="s">
        <v>6386</v>
      </c>
      <c r="D2101" s="1324">
        <f t="shared" si="222"/>
        <v>38826</v>
      </c>
      <c r="E2101" s="1323">
        <f t="shared" si="224"/>
        <v>5.968</v>
      </c>
      <c r="F2101" s="1323">
        <f t="shared" si="223"/>
        <v>6.5600814610498821</v>
      </c>
      <c r="G2101" s="1323">
        <f t="shared" si="225"/>
        <v>2006</v>
      </c>
      <c r="H2101" s="1323">
        <f t="shared" si="226"/>
        <v>4</v>
      </c>
      <c r="I2101" s="1323">
        <f t="shared" si="227"/>
        <v>19</v>
      </c>
      <c r="J2101" s="1323"/>
      <c r="K2101" s="1323"/>
      <c r="L2101" s="1323"/>
      <c r="M2101" s="1323"/>
      <c r="N2101" s="1323"/>
      <c r="O2101" s="1323"/>
      <c r="P2101" s="1323"/>
      <c r="Q2101" s="1323"/>
      <c r="R2101" s="1304"/>
      <c r="S2101" s="1304"/>
      <c r="T2101" s="1304"/>
    </row>
    <row r="2102" spans="1:20">
      <c r="A2102" s="1303"/>
      <c r="B2102" s="1322" t="s">
        <v>6387</v>
      </c>
      <c r="C2102" s="1323" t="s">
        <v>6388</v>
      </c>
      <c r="D2102" s="1324">
        <f t="shared" si="222"/>
        <v>38825</v>
      </c>
      <c r="E2102" s="1323">
        <f t="shared" si="224"/>
        <v>6.0708000000000002</v>
      </c>
      <c r="F2102" s="1323">
        <f t="shared" si="223"/>
        <v>6.5588236044682029</v>
      </c>
      <c r="G2102" s="1323">
        <f t="shared" si="225"/>
        <v>2006</v>
      </c>
      <c r="H2102" s="1323">
        <f t="shared" si="226"/>
        <v>4</v>
      </c>
      <c r="I2102" s="1323">
        <f t="shared" si="227"/>
        <v>18</v>
      </c>
      <c r="J2102" s="1323"/>
      <c r="K2102" s="1323"/>
      <c r="L2102" s="1323"/>
      <c r="M2102" s="1323"/>
      <c r="N2102" s="1323"/>
      <c r="O2102" s="1323"/>
      <c r="P2102" s="1323"/>
      <c r="Q2102" s="1323"/>
      <c r="R2102" s="1304"/>
      <c r="S2102" s="1304"/>
      <c r="T2102" s="1304"/>
    </row>
    <row r="2103" spans="1:20">
      <c r="A2103" s="1303"/>
      <c r="B2103" s="1322" t="s">
        <v>6389</v>
      </c>
      <c r="C2103" s="1323" t="s">
        <v>6390</v>
      </c>
      <c r="D2103" s="1324">
        <f t="shared" si="222"/>
        <v>38820</v>
      </c>
      <c r="E2103" s="1323">
        <f t="shared" si="224"/>
        <v>6.1215999999999999</v>
      </c>
      <c r="F2103" s="1323">
        <f t="shared" si="223"/>
        <v>6.557565989073038</v>
      </c>
      <c r="G2103" s="1323">
        <f t="shared" si="225"/>
        <v>2006</v>
      </c>
      <c r="H2103" s="1323">
        <f t="shared" si="226"/>
        <v>4</v>
      </c>
      <c r="I2103" s="1323">
        <f t="shared" si="227"/>
        <v>13</v>
      </c>
      <c r="J2103" s="1323"/>
      <c r="K2103" s="1323"/>
      <c r="L2103" s="1323"/>
      <c r="M2103" s="1323"/>
      <c r="N2103" s="1323"/>
      <c r="O2103" s="1323"/>
      <c r="P2103" s="1323"/>
      <c r="Q2103" s="1323"/>
      <c r="R2103" s="1304"/>
      <c r="S2103" s="1304"/>
      <c r="T2103" s="1304"/>
    </row>
    <row r="2104" spans="1:20">
      <c r="A2104" s="1303"/>
      <c r="B2104" s="1322" t="s">
        <v>6391</v>
      </c>
      <c r="C2104" s="1323" t="s">
        <v>6392</v>
      </c>
      <c r="D2104" s="1324">
        <f t="shared" si="222"/>
        <v>38819</v>
      </c>
      <c r="E2104" s="1323">
        <f t="shared" si="224"/>
        <v>6.1142000000000003</v>
      </c>
      <c r="F2104" s="1323">
        <f t="shared" si="223"/>
        <v>6.5563086148181409</v>
      </c>
      <c r="G2104" s="1323">
        <f t="shared" si="225"/>
        <v>2006</v>
      </c>
      <c r="H2104" s="1323">
        <f t="shared" si="226"/>
        <v>4</v>
      </c>
      <c r="I2104" s="1323">
        <f t="shared" si="227"/>
        <v>12</v>
      </c>
      <c r="J2104" s="1323"/>
      <c r="K2104" s="1323"/>
      <c r="L2104" s="1323"/>
      <c r="M2104" s="1323"/>
      <c r="N2104" s="1323"/>
      <c r="O2104" s="1323"/>
      <c r="P2104" s="1323"/>
      <c r="Q2104" s="1323"/>
      <c r="R2104" s="1304"/>
      <c r="S2104" s="1304"/>
      <c r="T2104" s="1304"/>
    </row>
    <row r="2105" spans="1:20">
      <c r="A2105" s="1303"/>
      <c r="B2105" s="1322" t="s">
        <v>6393</v>
      </c>
      <c r="C2105" s="1323" t="s">
        <v>6394</v>
      </c>
      <c r="D2105" s="1324">
        <f t="shared" si="222"/>
        <v>38818</v>
      </c>
      <c r="E2105" s="1323">
        <f t="shared" si="224"/>
        <v>6.1226000000000003</v>
      </c>
      <c r="F2105" s="1323">
        <f t="shared" si="223"/>
        <v>6.5550514816572747</v>
      </c>
      <c r="G2105" s="1323">
        <f t="shared" si="225"/>
        <v>2006</v>
      </c>
      <c r="H2105" s="1323">
        <f t="shared" si="226"/>
        <v>4</v>
      </c>
      <c r="I2105" s="1323">
        <f t="shared" si="227"/>
        <v>11</v>
      </c>
      <c r="J2105" s="1323"/>
      <c r="K2105" s="1323"/>
      <c r="L2105" s="1323"/>
      <c r="M2105" s="1323"/>
      <c r="N2105" s="1323"/>
      <c r="O2105" s="1323"/>
      <c r="P2105" s="1323"/>
      <c r="Q2105" s="1323"/>
      <c r="R2105" s="1304"/>
      <c r="S2105" s="1304"/>
      <c r="T2105" s="1304"/>
    </row>
    <row r="2106" spans="1:20">
      <c r="A2106" s="1303"/>
      <c r="B2106" s="1322" t="s">
        <v>6395</v>
      </c>
      <c r="C2106" s="1323" t="s">
        <v>6396</v>
      </c>
      <c r="D2106" s="1324">
        <f t="shared" si="222"/>
        <v>38817</v>
      </c>
      <c r="E2106" s="1323">
        <f t="shared" si="224"/>
        <v>6.1071</v>
      </c>
      <c r="F2106" s="1323">
        <f t="shared" si="223"/>
        <v>6.5537945895442116</v>
      </c>
      <c r="G2106" s="1323">
        <f t="shared" si="225"/>
        <v>2006</v>
      </c>
      <c r="H2106" s="1323">
        <f t="shared" si="226"/>
        <v>4</v>
      </c>
      <c r="I2106" s="1323">
        <f t="shared" si="227"/>
        <v>10</v>
      </c>
      <c r="J2106" s="1323"/>
      <c r="K2106" s="1323"/>
      <c r="L2106" s="1323"/>
      <c r="M2106" s="1323"/>
      <c r="N2106" s="1323"/>
      <c r="O2106" s="1323"/>
      <c r="P2106" s="1323"/>
      <c r="Q2106" s="1323"/>
      <c r="R2106" s="1304"/>
      <c r="S2106" s="1304"/>
      <c r="T2106" s="1304"/>
    </row>
    <row r="2107" spans="1:20">
      <c r="A2107" s="1303"/>
      <c r="B2107" s="1322" t="s">
        <v>6397</v>
      </c>
      <c r="C2107" s="1323" t="s">
        <v>6398</v>
      </c>
      <c r="D2107" s="1324">
        <f t="shared" si="222"/>
        <v>38814</v>
      </c>
      <c r="E2107" s="1323">
        <f t="shared" si="224"/>
        <v>6.0537000000000001</v>
      </c>
      <c r="F2107" s="1323">
        <f t="shared" si="223"/>
        <v>6.5525379384327307</v>
      </c>
      <c r="G2107" s="1323">
        <f t="shared" si="225"/>
        <v>2006</v>
      </c>
      <c r="H2107" s="1323">
        <f t="shared" si="226"/>
        <v>4</v>
      </c>
      <c r="I2107" s="1323">
        <f t="shared" si="227"/>
        <v>7</v>
      </c>
      <c r="J2107" s="1323"/>
      <c r="K2107" s="1323"/>
      <c r="L2107" s="1323"/>
      <c r="M2107" s="1323"/>
      <c r="N2107" s="1323"/>
      <c r="O2107" s="1323"/>
      <c r="P2107" s="1323"/>
      <c r="Q2107" s="1323"/>
      <c r="R2107" s="1304"/>
      <c r="S2107" s="1304"/>
      <c r="T2107" s="1304"/>
    </row>
    <row r="2108" spans="1:20">
      <c r="A2108" s="1303"/>
      <c r="B2108" s="1322" t="s">
        <v>6399</v>
      </c>
      <c r="C2108" s="1323" t="s">
        <v>6400</v>
      </c>
      <c r="D2108" s="1324">
        <f t="shared" si="222"/>
        <v>38813</v>
      </c>
      <c r="E2108" s="1323">
        <f t="shared" si="224"/>
        <v>6.0308000000000002</v>
      </c>
      <c r="F2108" s="1323">
        <f t="shared" si="223"/>
        <v>6.5512815282766228</v>
      </c>
      <c r="G2108" s="1323">
        <f t="shared" si="225"/>
        <v>2006</v>
      </c>
      <c r="H2108" s="1323">
        <f t="shared" si="226"/>
        <v>4</v>
      </c>
      <c r="I2108" s="1323">
        <f t="shared" si="227"/>
        <v>6</v>
      </c>
      <c r="J2108" s="1323"/>
      <c r="K2108" s="1323"/>
      <c r="L2108" s="1323"/>
      <c r="M2108" s="1323"/>
      <c r="N2108" s="1323"/>
      <c r="O2108" s="1323"/>
      <c r="P2108" s="1323"/>
      <c r="Q2108" s="1323"/>
      <c r="R2108" s="1304"/>
      <c r="S2108" s="1304"/>
      <c r="T2108" s="1304"/>
    </row>
    <row r="2109" spans="1:20">
      <c r="A2109" s="1303"/>
      <c r="B2109" s="1322" t="s">
        <v>6401</v>
      </c>
      <c r="C2109" s="1323" t="s">
        <v>6402</v>
      </c>
      <c r="D2109" s="1324">
        <f t="shared" si="222"/>
        <v>38812</v>
      </c>
      <c r="E2109" s="1323">
        <f t="shared" si="224"/>
        <v>6.0542999999999996</v>
      </c>
      <c r="F2109" s="1323">
        <f t="shared" si="223"/>
        <v>6.5500253590296857</v>
      </c>
      <c r="G2109" s="1323">
        <f t="shared" si="225"/>
        <v>2006</v>
      </c>
      <c r="H2109" s="1323">
        <f t="shared" si="226"/>
        <v>4</v>
      </c>
      <c r="I2109" s="1323">
        <f t="shared" si="227"/>
        <v>5</v>
      </c>
      <c r="J2109" s="1323"/>
      <c r="K2109" s="1323"/>
      <c r="L2109" s="1323"/>
      <c r="M2109" s="1323"/>
      <c r="N2109" s="1323"/>
      <c r="O2109" s="1323"/>
      <c r="P2109" s="1323"/>
      <c r="Q2109" s="1323"/>
      <c r="R2109" s="1304"/>
      <c r="S2109" s="1304"/>
      <c r="T2109" s="1304"/>
    </row>
    <row r="2110" spans="1:20">
      <c r="A2110" s="1303"/>
      <c r="B2110" s="1322" t="s">
        <v>6403</v>
      </c>
      <c r="C2110" s="1323" t="s">
        <v>6404</v>
      </c>
      <c r="D2110" s="1324">
        <f t="shared" si="222"/>
        <v>38811</v>
      </c>
      <c r="E2110" s="1323">
        <f t="shared" si="224"/>
        <v>6.0979999999999999</v>
      </c>
      <c r="F2110" s="1323">
        <f t="shared" si="223"/>
        <v>6.5487694306457263</v>
      </c>
      <c r="G2110" s="1323">
        <f t="shared" si="225"/>
        <v>2006</v>
      </c>
      <c r="H2110" s="1323">
        <f t="shared" si="226"/>
        <v>4</v>
      </c>
      <c r="I2110" s="1323">
        <f t="shared" si="227"/>
        <v>4</v>
      </c>
      <c r="J2110" s="1323"/>
      <c r="K2110" s="1323"/>
      <c r="L2110" s="1323"/>
      <c r="M2110" s="1323"/>
      <c r="N2110" s="1323"/>
      <c r="O2110" s="1323"/>
      <c r="P2110" s="1323"/>
      <c r="Q2110" s="1323"/>
      <c r="R2110" s="1304"/>
      <c r="S2110" s="1304"/>
      <c r="T2110" s="1304"/>
    </row>
    <row r="2111" spans="1:20">
      <c r="A2111" s="1303"/>
      <c r="B2111" s="1322" t="s">
        <v>6405</v>
      </c>
      <c r="C2111" s="1323" t="s">
        <v>6406</v>
      </c>
      <c r="D2111" s="1324">
        <f t="shared" si="222"/>
        <v>38810</v>
      </c>
      <c r="E2111" s="1323">
        <f t="shared" si="224"/>
        <v>6.1546000000000003</v>
      </c>
      <c r="F2111" s="1323">
        <f t="shared" si="223"/>
        <v>6.5475137430785599</v>
      </c>
      <c r="G2111" s="1323">
        <f t="shared" si="225"/>
        <v>2006</v>
      </c>
      <c r="H2111" s="1323">
        <f t="shared" si="226"/>
        <v>4</v>
      </c>
      <c r="I2111" s="1323">
        <f t="shared" si="227"/>
        <v>3</v>
      </c>
      <c r="J2111" s="1323"/>
      <c r="K2111" s="1323"/>
      <c r="L2111" s="1323"/>
      <c r="M2111" s="1323"/>
      <c r="N2111" s="1323"/>
      <c r="O2111" s="1323"/>
      <c r="P2111" s="1323"/>
      <c r="Q2111" s="1323"/>
      <c r="R2111" s="1304"/>
      <c r="S2111" s="1304"/>
      <c r="T2111" s="1304"/>
    </row>
    <row r="2112" spans="1:20">
      <c r="A2112" s="1303"/>
      <c r="B2112" s="1322" t="s">
        <v>6407</v>
      </c>
      <c r="C2112" s="1323" t="s">
        <v>6408</v>
      </c>
      <c r="D2112" s="1324">
        <f t="shared" si="222"/>
        <v>38807</v>
      </c>
      <c r="E2112" s="1323">
        <f t="shared" si="224"/>
        <v>6.1942000000000004</v>
      </c>
      <c r="F2112" s="1323">
        <f t="shared" si="223"/>
        <v>6.5462582962820122</v>
      </c>
      <c r="G2112" s="1323">
        <f t="shared" si="225"/>
        <v>2006</v>
      </c>
      <c r="H2112" s="1323">
        <f t="shared" si="226"/>
        <v>3</v>
      </c>
      <c r="I2112" s="1323">
        <f t="shared" si="227"/>
        <v>31</v>
      </c>
      <c r="J2112" s="1323"/>
      <c r="K2112" s="1323"/>
      <c r="L2112" s="1323"/>
      <c r="M2112" s="1323"/>
      <c r="N2112" s="1323"/>
      <c r="O2112" s="1323"/>
      <c r="P2112" s="1323"/>
      <c r="Q2112" s="1323"/>
      <c r="R2112" s="1304"/>
      <c r="S2112" s="1304"/>
      <c r="T2112" s="1304"/>
    </row>
    <row r="2113" spans="1:20">
      <c r="A2113" s="1303"/>
      <c r="B2113" s="1322" t="s">
        <v>6409</v>
      </c>
      <c r="C2113" s="1323" t="s">
        <v>6410</v>
      </c>
      <c r="D2113" s="1324">
        <f t="shared" si="222"/>
        <v>38806</v>
      </c>
      <c r="E2113" s="1323">
        <f t="shared" si="224"/>
        <v>6.2709000000000001</v>
      </c>
      <c r="F2113" s="1323">
        <f t="shared" si="223"/>
        <v>6.5450030902099172</v>
      </c>
      <c r="G2113" s="1323">
        <f t="shared" si="225"/>
        <v>2006</v>
      </c>
      <c r="H2113" s="1323">
        <f t="shared" si="226"/>
        <v>3</v>
      </c>
      <c r="I2113" s="1323">
        <f t="shared" si="227"/>
        <v>30</v>
      </c>
      <c r="J2113" s="1323"/>
      <c r="K2113" s="1323"/>
      <c r="L2113" s="1323"/>
      <c r="M2113" s="1323"/>
      <c r="N2113" s="1323"/>
      <c r="O2113" s="1323"/>
      <c r="P2113" s="1323"/>
      <c r="Q2113" s="1323"/>
      <c r="R2113" s="1304"/>
      <c r="S2113" s="1304"/>
      <c r="T2113" s="1304"/>
    </row>
    <row r="2114" spans="1:20">
      <c r="A2114" s="1303"/>
      <c r="B2114" s="1322" t="s">
        <v>6411</v>
      </c>
      <c r="C2114" s="1323" t="s">
        <v>6412</v>
      </c>
      <c r="D2114" s="1324">
        <f t="shared" si="222"/>
        <v>38805</v>
      </c>
      <c r="E2114" s="1323">
        <f t="shared" si="224"/>
        <v>6.3097000000000003</v>
      </c>
      <c r="F2114" s="1323">
        <f t="shared" si="223"/>
        <v>6.5437481248161165</v>
      </c>
      <c r="G2114" s="1323">
        <f t="shared" si="225"/>
        <v>2006</v>
      </c>
      <c r="H2114" s="1323">
        <f t="shared" si="226"/>
        <v>3</v>
      </c>
      <c r="I2114" s="1323">
        <f t="shared" si="227"/>
        <v>29</v>
      </c>
      <c r="J2114" s="1323"/>
      <c r="K2114" s="1323"/>
      <c r="L2114" s="1323"/>
      <c r="M2114" s="1323"/>
      <c r="N2114" s="1323"/>
      <c r="O2114" s="1323"/>
      <c r="P2114" s="1323"/>
      <c r="Q2114" s="1323"/>
      <c r="R2114" s="1304"/>
      <c r="S2114" s="1304"/>
      <c r="T2114" s="1304"/>
    </row>
    <row r="2115" spans="1:20">
      <c r="A2115" s="1303"/>
      <c r="B2115" s="1322" t="s">
        <v>6413</v>
      </c>
      <c r="C2115" s="1323" t="s">
        <v>6414</v>
      </c>
      <c r="D2115" s="1324">
        <f t="shared" si="222"/>
        <v>38804</v>
      </c>
      <c r="E2115" s="1323">
        <f t="shared" si="224"/>
        <v>6.2736999999999998</v>
      </c>
      <c r="F2115" s="1323">
        <f t="shared" si="223"/>
        <v>6.5424934000544619</v>
      </c>
      <c r="G2115" s="1323">
        <f t="shared" si="225"/>
        <v>2006</v>
      </c>
      <c r="H2115" s="1323">
        <f t="shared" si="226"/>
        <v>3</v>
      </c>
      <c r="I2115" s="1323">
        <f t="shared" si="227"/>
        <v>28</v>
      </c>
      <c r="J2115" s="1323"/>
      <c r="K2115" s="1323"/>
      <c r="L2115" s="1323"/>
      <c r="M2115" s="1323"/>
      <c r="N2115" s="1323"/>
      <c r="O2115" s="1323"/>
      <c r="P2115" s="1323"/>
      <c r="Q2115" s="1323"/>
      <c r="R2115" s="1304"/>
      <c r="S2115" s="1304"/>
      <c r="T2115" s="1304"/>
    </row>
    <row r="2116" spans="1:20">
      <c r="A2116" s="1303"/>
      <c r="B2116" s="1322" t="s">
        <v>6415</v>
      </c>
      <c r="C2116" s="1323" t="s">
        <v>6416</v>
      </c>
      <c r="D2116" s="1324">
        <f t="shared" si="222"/>
        <v>38803</v>
      </c>
      <c r="E2116" s="1323">
        <f t="shared" si="224"/>
        <v>6.2744999999999997</v>
      </c>
      <c r="F2116" s="1323">
        <f t="shared" si="223"/>
        <v>6.5412389158788136</v>
      </c>
      <c r="G2116" s="1323">
        <f t="shared" si="225"/>
        <v>2006</v>
      </c>
      <c r="H2116" s="1323">
        <f t="shared" si="226"/>
        <v>3</v>
      </c>
      <c r="I2116" s="1323">
        <f t="shared" si="227"/>
        <v>27</v>
      </c>
      <c r="J2116" s="1323"/>
      <c r="K2116" s="1323"/>
      <c r="L2116" s="1323"/>
      <c r="M2116" s="1323"/>
      <c r="N2116" s="1323"/>
      <c r="O2116" s="1323"/>
      <c r="P2116" s="1323"/>
      <c r="Q2116" s="1323"/>
      <c r="R2116" s="1304"/>
      <c r="S2116" s="1304"/>
      <c r="T2116" s="1304"/>
    </row>
    <row r="2117" spans="1:20">
      <c r="A2117" s="1303"/>
      <c r="B2117" s="1322" t="s">
        <v>6417</v>
      </c>
      <c r="C2117" s="1323" t="s">
        <v>6418</v>
      </c>
      <c r="D2117" s="1324">
        <f t="shared" si="222"/>
        <v>38800</v>
      </c>
      <c r="E2117" s="1323">
        <f t="shared" si="224"/>
        <v>6.3353999999999999</v>
      </c>
      <c r="F2117" s="1323">
        <f t="shared" si="223"/>
        <v>6.5399846722430404</v>
      </c>
      <c r="G2117" s="1323">
        <f t="shared" si="225"/>
        <v>2006</v>
      </c>
      <c r="H2117" s="1323">
        <f t="shared" si="226"/>
        <v>3</v>
      </c>
      <c r="I2117" s="1323">
        <f t="shared" si="227"/>
        <v>24</v>
      </c>
      <c r="J2117" s="1323"/>
      <c r="K2117" s="1323"/>
      <c r="L2117" s="1323"/>
      <c r="M2117" s="1323"/>
      <c r="N2117" s="1323"/>
      <c r="O2117" s="1323"/>
      <c r="P2117" s="1323"/>
      <c r="Q2117" s="1323"/>
      <c r="R2117" s="1304"/>
      <c r="S2117" s="1304"/>
      <c r="T2117" s="1304"/>
    </row>
    <row r="2118" spans="1:20">
      <c r="A2118" s="1303"/>
      <c r="B2118" s="1322" t="s">
        <v>6419</v>
      </c>
      <c r="C2118" s="1323" t="s">
        <v>6420</v>
      </c>
      <c r="D2118" s="1324">
        <f t="shared" si="222"/>
        <v>38799</v>
      </c>
      <c r="E2118" s="1323">
        <f t="shared" si="224"/>
        <v>6.3132999999999999</v>
      </c>
      <c r="F2118" s="1323">
        <f t="shared" si="223"/>
        <v>6.538730669101021</v>
      </c>
      <c r="G2118" s="1323">
        <f t="shared" si="225"/>
        <v>2006</v>
      </c>
      <c r="H2118" s="1323">
        <f t="shared" si="226"/>
        <v>3</v>
      </c>
      <c r="I2118" s="1323">
        <f t="shared" si="227"/>
        <v>23</v>
      </c>
      <c r="J2118" s="1323"/>
      <c r="K2118" s="1323"/>
      <c r="L2118" s="1323"/>
      <c r="M2118" s="1323"/>
      <c r="N2118" s="1323"/>
      <c r="O2118" s="1323"/>
      <c r="P2118" s="1323"/>
      <c r="Q2118" s="1323"/>
      <c r="R2118" s="1304"/>
      <c r="S2118" s="1304"/>
      <c r="T2118" s="1304"/>
    </row>
    <row r="2119" spans="1:20">
      <c r="A2119" s="1303"/>
      <c r="B2119" s="1322" t="s">
        <v>6421</v>
      </c>
      <c r="C2119" s="1323" t="s">
        <v>6422</v>
      </c>
      <c r="D2119" s="1324">
        <f t="shared" si="222"/>
        <v>38798</v>
      </c>
      <c r="E2119" s="1323">
        <f t="shared" si="224"/>
        <v>6.3752000000000004</v>
      </c>
      <c r="F2119" s="1323">
        <f t="shared" si="223"/>
        <v>6.5374769064066411</v>
      </c>
      <c r="G2119" s="1323">
        <f t="shared" si="225"/>
        <v>2006</v>
      </c>
      <c r="H2119" s="1323">
        <f t="shared" si="226"/>
        <v>3</v>
      </c>
      <c r="I2119" s="1323">
        <f t="shared" si="227"/>
        <v>22</v>
      </c>
      <c r="J2119" s="1323"/>
      <c r="K2119" s="1323"/>
      <c r="L2119" s="1323"/>
      <c r="M2119" s="1323"/>
      <c r="N2119" s="1323"/>
      <c r="O2119" s="1323"/>
      <c r="P2119" s="1323"/>
      <c r="Q2119" s="1323"/>
      <c r="R2119" s="1304"/>
      <c r="S2119" s="1304"/>
      <c r="T2119" s="1304"/>
    </row>
    <row r="2120" spans="1:20">
      <c r="A2120" s="1303"/>
      <c r="B2120" s="1322" t="s">
        <v>6423</v>
      </c>
      <c r="C2120" s="1323" t="s">
        <v>6424</v>
      </c>
      <c r="D2120" s="1324">
        <f t="shared" si="222"/>
        <v>38796</v>
      </c>
      <c r="E2120" s="1323">
        <f t="shared" si="224"/>
        <v>6.2553999999999998</v>
      </c>
      <c r="F2120" s="1323">
        <f t="shared" si="223"/>
        <v>6.5362233841137973</v>
      </c>
      <c r="G2120" s="1323">
        <f t="shared" si="225"/>
        <v>2006</v>
      </c>
      <c r="H2120" s="1323">
        <f t="shared" si="226"/>
        <v>3</v>
      </c>
      <c r="I2120" s="1323">
        <f t="shared" si="227"/>
        <v>20</v>
      </c>
      <c r="J2120" s="1323"/>
      <c r="K2120" s="1323"/>
      <c r="L2120" s="1323"/>
      <c r="M2120" s="1323"/>
      <c r="N2120" s="1323"/>
      <c r="O2120" s="1323"/>
      <c r="P2120" s="1323"/>
      <c r="Q2120" s="1323"/>
      <c r="R2120" s="1304"/>
      <c r="S2120" s="1304"/>
      <c r="T2120" s="1304"/>
    </row>
    <row r="2121" spans="1:20">
      <c r="A2121" s="1303"/>
      <c r="B2121" s="1322" t="s">
        <v>6425</v>
      </c>
      <c r="C2121" s="1323" t="s">
        <v>6426</v>
      </c>
      <c r="D2121" s="1324">
        <f t="shared" ref="D2121:D2184" si="228">DATE(G2121,H2121,I2121)</f>
        <v>38793</v>
      </c>
      <c r="E2121" s="1323">
        <f t="shared" si="224"/>
        <v>6.1909000000000001</v>
      </c>
      <c r="F2121" s="1323">
        <f t="shared" ref="F2121:F2184" si="229">F2122*(1+$F$7/365)</f>
        <v>6.5349701021763931</v>
      </c>
      <c r="G2121" s="1323">
        <f t="shared" si="225"/>
        <v>2006</v>
      </c>
      <c r="H2121" s="1323">
        <f t="shared" si="226"/>
        <v>3</v>
      </c>
      <c r="I2121" s="1323">
        <f t="shared" si="227"/>
        <v>17</v>
      </c>
      <c r="J2121" s="1323"/>
      <c r="K2121" s="1323"/>
      <c r="L2121" s="1323"/>
      <c r="M2121" s="1323"/>
      <c r="N2121" s="1323"/>
      <c r="O2121" s="1323"/>
      <c r="P2121" s="1323"/>
      <c r="Q2121" s="1323"/>
      <c r="R2121" s="1304"/>
      <c r="S2121" s="1304"/>
      <c r="T2121" s="1304"/>
    </row>
    <row r="2122" spans="1:20">
      <c r="A2122" s="1303"/>
      <c r="B2122" s="1322" t="s">
        <v>6427</v>
      </c>
      <c r="C2122" s="1323" t="s">
        <v>6428</v>
      </c>
      <c r="D2122" s="1324">
        <f t="shared" si="228"/>
        <v>38792</v>
      </c>
      <c r="E2122" s="1323">
        <f t="shared" si="224"/>
        <v>6.2141000000000002</v>
      </c>
      <c r="F2122" s="1323">
        <f t="shared" si="229"/>
        <v>6.5337170605483426</v>
      </c>
      <c r="G2122" s="1323">
        <f t="shared" si="225"/>
        <v>2006</v>
      </c>
      <c r="H2122" s="1323">
        <f t="shared" si="226"/>
        <v>3</v>
      </c>
      <c r="I2122" s="1323">
        <f t="shared" si="227"/>
        <v>16</v>
      </c>
      <c r="J2122" s="1323"/>
      <c r="K2122" s="1323"/>
      <c r="L2122" s="1323"/>
      <c r="M2122" s="1323"/>
      <c r="N2122" s="1323"/>
      <c r="O2122" s="1323"/>
      <c r="P2122" s="1323"/>
      <c r="Q2122" s="1323"/>
      <c r="R2122" s="1304"/>
      <c r="S2122" s="1304"/>
      <c r="T2122" s="1304"/>
    </row>
    <row r="2123" spans="1:20">
      <c r="A2123" s="1303"/>
      <c r="B2123" s="1322" t="s">
        <v>6429</v>
      </c>
      <c r="C2123" s="1323" t="s">
        <v>6430</v>
      </c>
      <c r="D2123" s="1324">
        <f t="shared" si="228"/>
        <v>38791</v>
      </c>
      <c r="E2123" s="1323">
        <f t="shared" si="224"/>
        <v>6.2278000000000002</v>
      </c>
      <c r="F2123" s="1323">
        <f t="shared" si="229"/>
        <v>6.5324642591835671</v>
      </c>
      <c r="G2123" s="1323">
        <f t="shared" si="225"/>
        <v>2006</v>
      </c>
      <c r="H2123" s="1323">
        <f t="shared" si="226"/>
        <v>3</v>
      </c>
      <c r="I2123" s="1323">
        <f t="shared" si="227"/>
        <v>15</v>
      </c>
      <c r="J2123" s="1323"/>
      <c r="K2123" s="1323"/>
      <c r="L2123" s="1323"/>
      <c r="M2123" s="1323"/>
      <c r="N2123" s="1323"/>
      <c r="O2123" s="1323"/>
      <c r="P2123" s="1323"/>
      <c r="Q2123" s="1323"/>
      <c r="R2123" s="1304"/>
      <c r="S2123" s="1304"/>
      <c r="T2123" s="1304"/>
    </row>
    <row r="2124" spans="1:20">
      <c r="A2124" s="1303"/>
      <c r="B2124" s="1322" t="s">
        <v>6431</v>
      </c>
      <c r="C2124" s="1323" t="s">
        <v>6432</v>
      </c>
      <c r="D2124" s="1324">
        <f t="shared" si="228"/>
        <v>38790</v>
      </c>
      <c r="E2124" s="1323">
        <f t="shared" si="224"/>
        <v>6.2747000000000002</v>
      </c>
      <c r="F2124" s="1323">
        <f t="shared" si="229"/>
        <v>6.5312116980359987</v>
      </c>
      <c r="G2124" s="1323">
        <f t="shared" si="225"/>
        <v>2006</v>
      </c>
      <c r="H2124" s="1323">
        <f t="shared" si="226"/>
        <v>3</v>
      </c>
      <c r="I2124" s="1323">
        <f t="shared" si="227"/>
        <v>14</v>
      </c>
      <c r="J2124" s="1323"/>
      <c r="K2124" s="1323"/>
      <c r="L2124" s="1323"/>
      <c r="M2124" s="1323"/>
      <c r="N2124" s="1323"/>
      <c r="O2124" s="1323"/>
      <c r="P2124" s="1323"/>
      <c r="Q2124" s="1323"/>
      <c r="R2124" s="1304"/>
      <c r="S2124" s="1304"/>
      <c r="T2124" s="1304"/>
    </row>
    <row r="2125" spans="1:20">
      <c r="A2125" s="1303"/>
      <c r="B2125" s="1322" t="s">
        <v>6433</v>
      </c>
      <c r="C2125" s="1323" t="s">
        <v>6434</v>
      </c>
      <c r="D2125" s="1324">
        <f t="shared" si="228"/>
        <v>38789</v>
      </c>
      <c r="E2125" s="1323">
        <f t="shared" si="224"/>
        <v>6.2073</v>
      </c>
      <c r="F2125" s="1323">
        <f t="shared" si="229"/>
        <v>6.5299593770595763</v>
      </c>
      <c r="G2125" s="1323">
        <f t="shared" si="225"/>
        <v>2006</v>
      </c>
      <c r="H2125" s="1323">
        <f t="shared" si="226"/>
        <v>3</v>
      </c>
      <c r="I2125" s="1323">
        <f t="shared" si="227"/>
        <v>13</v>
      </c>
      <c r="J2125" s="1323"/>
      <c r="K2125" s="1323"/>
      <c r="L2125" s="1323"/>
      <c r="M2125" s="1323"/>
      <c r="N2125" s="1323"/>
      <c r="O2125" s="1323"/>
      <c r="P2125" s="1323"/>
      <c r="Q2125" s="1323"/>
      <c r="R2125" s="1304"/>
      <c r="S2125" s="1304"/>
      <c r="T2125" s="1304"/>
    </row>
    <row r="2126" spans="1:20">
      <c r="A2126" s="1303"/>
      <c r="B2126" s="1322" t="s">
        <v>6435</v>
      </c>
      <c r="C2126" s="1323" t="s">
        <v>6436</v>
      </c>
      <c r="D2126" s="1324">
        <f t="shared" si="228"/>
        <v>38786</v>
      </c>
      <c r="E2126" s="1323">
        <f t="shared" si="224"/>
        <v>6.2766000000000002</v>
      </c>
      <c r="F2126" s="1323">
        <f t="shared" si="229"/>
        <v>6.5287072962082489</v>
      </c>
      <c r="G2126" s="1323">
        <f t="shared" si="225"/>
        <v>2006</v>
      </c>
      <c r="H2126" s="1323">
        <f t="shared" si="226"/>
        <v>3</v>
      </c>
      <c r="I2126" s="1323">
        <f t="shared" si="227"/>
        <v>10</v>
      </c>
      <c r="J2126" s="1323"/>
      <c r="K2126" s="1323"/>
      <c r="L2126" s="1323"/>
      <c r="M2126" s="1323"/>
      <c r="N2126" s="1323"/>
      <c r="O2126" s="1323"/>
      <c r="P2126" s="1323"/>
      <c r="Q2126" s="1323"/>
      <c r="R2126" s="1304"/>
      <c r="S2126" s="1304"/>
      <c r="T2126" s="1304"/>
    </row>
    <row r="2127" spans="1:20">
      <c r="A2127" s="1303"/>
      <c r="B2127" s="1322" t="s">
        <v>6437</v>
      </c>
      <c r="C2127" s="1323" t="s">
        <v>6438</v>
      </c>
      <c r="D2127" s="1324">
        <f t="shared" si="228"/>
        <v>38785</v>
      </c>
      <c r="E2127" s="1323">
        <f t="shared" si="224"/>
        <v>6.2736999999999998</v>
      </c>
      <c r="F2127" s="1323">
        <f t="shared" si="229"/>
        <v>6.5274554554359732</v>
      </c>
      <c r="G2127" s="1323">
        <f t="shared" si="225"/>
        <v>2006</v>
      </c>
      <c r="H2127" s="1323">
        <f t="shared" si="226"/>
        <v>3</v>
      </c>
      <c r="I2127" s="1323">
        <f t="shared" si="227"/>
        <v>9</v>
      </c>
      <c r="J2127" s="1323"/>
      <c r="K2127" s="1323"/>
      <c r="L2127" s="1323"/>
      <c r="M2127" s="1323"/>
      <c r="N2127" s="1323"/>
      <c r="O2127" s="1323"/>
      <c r="P2127" s="1323"/>
      <c r="Q2127" s="1323"/>
      <c r="R2127" s="1304"/>
      <c r="S2127" s="1304"/>
      <c r="T2127" s="1304"/>
    </row>
    <row r="2128" spans="1:20">
      <c r="A2128" s="1303"/>
      <c r="B2128" s="1322" t="s">
        <v>6439</v>
      </c>
      <c r="C2128" s="1323" t="s">
        <v>6416</v>
      </c>
      <c r="D2128" s="1324">
        <f t="shared" si="228"/>
        <v>38784</v>
      </c>
      <c r="E2128" s="1323">
        <f t="shared" si="224"/>
        <v>6.2735000000000003</v>
      </c>
      <c r="F2128" s="1323">
        <f t="shared" si="229"/>
        <v>6.5262038546967158</v>
      </c>
      <c r="G2128" s="1323">
        <f t="shared" si="225"/>
        <v>2006</v>
      </c>
      <c r="H2128" s="1323">
        <f t="shared" si="226"/>
        <v>3</v>
      </c>
      <c r="I2128" s="1323">
        <f t="shared" si="227"/>
        <v>8</v>
      </c>
      <c r="J2128" s="1323"/>
      <c r="K2128" s="1323"/>
      <c r="L2128" s="1323"/>
      <c r="M2128" s="1323"/>
      <c r="N2128" s="1323"/>
      <c r="O2128" s="1323"/>
      <c r="P2128" s="1323"/>
      <c r="Q2128" s="1323"/>
      <c r="R2128" s="1304"/>
      <c r="S2128" s="1304"/>
      <c r="T2128" s="1304"/>
    </row>
    <row r="2129" spans="1:20">
      <c r="A2129" s="1303"/>
      <c r="B2129" s="1322" t="s">
        <v>6440</v>
      </c>
      <c r="C2129" s="1323" t="s">
        <v>6441</v>
      </c>
      <c r="D2129" s="1324">
        <f t="shared" si="228"/>
        <v>38783</v>
      </c>
      <c r="E2129" s="1323">
        <f t="shared" si="224"/>
        <v>6.2998000000000003</v>
      </c>
      <c r="F2129" s="1323">
        <f t="shared" si="229"/>
        <v>6.5249524939444523</v>
      </c>
      <c r="G2129" s="1323">
        <f t="shared" si="225"/>
        <v>2006</v>
      </c>
      <c r="H2129" s="1323">
        <f t="shared" si="226"/>
        <v>3</v>
      </c>
      <c r="I2129" s="1323">
        <f t="shared" si="227"/>
        <v>7</v>
      </c>
      <c r="J2129" s="1323"/>
      <c r="K2129" s="1323"/>
      <c r="L2129" s="1323"/>
      <c r="M2129" s="1323"/>
      <c r="N2129" s="1323"/>
      <c r="O2129" s="1323"/>
      <c r="P2129" s="1323"/>
      <c r="Q2129" s="1323"/>
      <c r="R2129" s="1304"/>
      <c r="S2129" s="1304"/>
      <c r="T2129" s="1304"/>
    </row>
    <row r="2130" spans="1:20">
      <c r="A2130" s="1303"/>
      <c r="B2130" s="1322" t="s">
        <v>6442</v>
      </c>
      <c r="C2130" s="1323" t="s">
        <v>6443</v>
      </c>
      <c r="D2130" s="1324">
        <f t="shared" si="228"/>
        <v>38782</v>
      </c>
      <c r="E2130" s="1323">
        <f t="shared" si="224"/>
        <v>6.2378999999999998</v>
      </c>
      <c r="F2130" s="1323">
        <f t="shared" si="229"/>
        <v>6.5237013731331661</v>
      </c>
      <c r="G2130" s="1323">
        <f t="shared" si="225"/>
        <v>2006</v>
      </c>
      <c r="H2130" s="1323">
        <f t="shared" si="226"/>
        <v>3</v>
      </c>
      <c r="I2130" s="1323">
        <f t="shared" si="227"/>
        <v>6</v>
      </c>
      <c r="J2130" s="1323"/>
      <c r="K2130" s="1323"/>
      <c r="L2130" s="1323"/>
      <c r="M2130" s="1323"/>
      <c r="N2130" s="1323"/>
      <c r="O2130" s="1323"/>
      <c r="P2130" s="1323"/>
      <c r="Q2130" s="1323"/>
      <c r="R2130" s="1304"/>
      <c r="S2130" s="1304"/>
      <c r="T2130" s="1304"/>
    </row>
    <row r="2131" spans="1:20">
      <c r="A2131" s="1303"/>
      <c r="B2131" s="1322" t="s">
        <v>6444</v>
      </c>
      <c r="C2131" s="1323" t="s">
        <v>6445</v>
      </c>
      <c r="D2131" s="1324">
        <f t="shared" si="228"/>
        <v>38779</v>
      </c>
      <c r="E2131" s="1323">
        <f t="shared" si="224"/>
        <v>6.1184000000000003</v>
      </c>
      <c r="F2131" s="1323">
        <f t="shared" si="229"/>
        <v>6.5224504922168505</v>
      </c>
      <c r="G2131" s="1323">
        <f t="shared" si="225"/>
        <v>2006</v>
      </c>
      <c r="H2131" s="1323">
        <f t="shared" si="226"/>
        <v>3</v>
      </c>
      <c r="I2131" s="1323">
        <f t="shared" si="227"/>
        <v>3</v>
      </c>
      <c r="J2131" s="1323"/>
      <c r="K2131" s="1323"/>
      <c r="L2131" s="1323"/>
      <c r="M2131" s="1323"/>
      <c r="N2131" s="1323"/>
      <c r="O2131" s="1323"/>
      <c r="P2131" s="1323"/>
      <c r="Q2131" s="1323"/>
      <c r="R2131" s="1304"/>
      <c r="S2131" s="1304"/>
      <c r="T2131" s="1304"/>
    </row>
    <row r="2132" spans="1:20">
      <c r="A2132" s="1303"/>
      <c r="B2132" s="1322" t="s">
        <v>6446</v>
      </c>
      <c r="C2132" s="1323" t="s">
        <v>6447</v>
      </c>
      <c r="D2132" s="1324">
        <f t="shared" si="228"/>
        <v>38778</v>
      </c>
      <c r="E2132" s="1323">
        <f t="shared" si="224"/>
        <v>6.1562999999999999</v>
      </c>
      <c r="F2132" s="1323">
        <f t="shared" si="229"/>
        <v>6.5211998511495066</v>
      </c>
      <c r="G2132" s="1323">
        <f t="shared" si="225"/>
        <v>2006</v>
      </c>
      <c r="H2132" s="1323">
        <f t="shared" si="226"/>
        <v>3</v>
      </c>
      <c r="I2132" s="1323">
        <f t="shared" si="227"/>
        <v>2</v>
      </c>
      <c r="J2132" s="1323"/>
      <c r="K2132" s="1323"/>
      <c r="L2132" s="1323"/>
      <c r="M2132" s="1323"/>
      <c r="N2132" s="1323"/>
      <c r="O2132" s="1323"/>
      <c r="P2132" s="1323"/>
      <c r="Q2132" s="1323"/>
      <c r="R2132" s="1304"/>
      <c r="S2132" s="1304"/>
      <c r="T2132" s="1304"/>
    </row>
    <row r="2133" spans="1:20">
      <c r="A2133" s="1303"/>
      <c r="B2133" s="1322" t="s">
        <v>6448</v>
      </c>
      <c r="C2133" s="1323" t="s">
        <v>6449</v>
      </c>
      <c r="D2133" s="1324">
        <f t="shared" si="228"/>
        <v>38776</v>
      </c>
      <c r="E2133" s="1323">
        <f t="shared" si="224"/>
        <v>6.1729000000000003</v>
      </c>
      <c r="F2133" s="1323">
        <f t="shared" si="229"/>
        <v>6.5199494498851447</v>
      </c>
      <c r="G2133" s="1323">
        <f t="shared" si="225"/>
        <v>2006</v>
      </c>
      <c r="H2133" s="1323">
        <f t="shared" si="226"/>
        <v>2</v>
      </c>
      <c r="I2133" s="1323">
        <f t="shared" si="227"/>
        <v>28</v>
      </c>
      <c r="J2133" s="1323"/>
      <c r="K2133" s="1323"/>
      <c r="L2133" s="1323"/>
      <c r="M2133" s="1323"/>
      <c r="N2133" s="1323"/>
      <c r="O2133" s="1323"/>
      <c r="P2133" s="1323"/>
      <c r="Q2133" s="1323"/>
      <c r="R2133" s="1304"/>
      <c r="S2133" s="1304"/>
      <c r="T2133" s="1304"/>
    </row>
    <row r="2134" spans="1:20">
      <c r="A2134" s="1303"/>
      <c r="B2134" s="1322" t="s">
        <v>6450</v>
      </c>
      <c r="C2134" s="1323" t="s">
        <v>6451</v>
      </c>
      <c r="D2134" s="1324">
        <f t="shared" si="228"/>
        <v>38775</v>
      </c>
      <c r="E2134" s="1323">
        <f t="shared" ref="E2134:E2197" si="230">VALUE(C2135)</f>
        <v>6.1382000000000003</v>
      </c>
      <c r="F2134" s="1323">
        <f t="shared" si="229"/>
        <v>6.5186992883777846</v>
      </c>
      <c r="G2134" s="1323">
        <f t="shared" ref="G2134:G2197" si="231">YEAR(B2135)</f>
        <v>2006</v>
      </c>
      <c r="H2134" s="1323">
        <f t="shared" ref="H2134:H2197" si="232">MONTH(B2135)</f>
        <v>2</v>
      </c>
      <c r="I2134" s="1323">
        <f t="shared" ref="I2134:I2197" si="233">DAY(B2135)</f>
        <v>27</v>
      </c>
      <c r="J2134" s="1323"/>
      <c r="K2134" s="1323"/>
      <c r="L2134" s="1323"/>
      <c r="M2134" s="1323"/>
      <c r="N2134" s="1323"/>
      <c r="O2134" s="1323"/>
      <c r="P2134" s="1323"/>
      <c r="Q2134" s="1323"/>
      <c r="R2134" s="1304"/>
      <c r="S2134" s="1304"/>
      <c r="T2134" s="1304"/>
    </row>
    <row r="2135" spans="1:20">
      <c r="A2135" s="1303"/>
      <c r="B2135" s="1322" t="s">
        <v>6452</v>
      </c>
      <c r="C2135" s="1323" t="s">
        <v>6453</v>
      </c>
      <c r="D2135" s="1324">
        <f t="shared" si="228"/>
        <v>38772</v>
      </c>
      <c r="E2135" s="1323">
        <f t="shared" si="230"/>
        <v>6.1256000000000004</v>
      </c>
      <c r="F2135" s="1323">
        <f t="shared" si="229"/>
        <v>6.5174493665814532</v>
      </c>
      <c r="G2135" s="1323">
        <f t="shared" si="231"/>
        <v>2006</v>
      </c>
      <c r="H2135" s="1323">
        <f t="shared" si="232"/>
        <v>2</v>
      </c>
      <c r="I2135" s="1323">
        <f t="shared" si="233"/>
        <v>24</v>
      </c>
      <c r="J2135" s="1323"/>
      <c r="K2135" s="1323"/>
      <c r="L2135" s="1323"/>
      <c r="M2135" s="1323"/>
      <c r="N2135" s="1323"/>
      <c r="O2135" s="1323"/>
      <c r="P2135" s="1323"/>
      <c r="Q2135" s="1323"/>
      <c r="R2135" s="1304"/>
      <c r="S2135" s="1304"/>
      <c r="T2135" s="1304"/>
    </row>
    <row r="2136" spans="1:20">
      <c r="A2136" s="1303"/>
      <c r="B2136" s="1322" t="s">
        <v>6454</v>
      </c>
      <c r="C2136" s="1323" t="s">
        <v>6455</v>
      </c>
      <c r="D2136" s="1324">
        <f t="shared" si="228"/>
        <v>38771</v>
      </c>
      <c r="E2136" s="1323">
        <f t="shared" si="230"/>
        <v>6.0926</v>
      </c>
      <c r="F2136" s="1323">
        <f t="shared" si="229"/>
        <v>6.5161996844501884</v>
      </c>
      <c r="G2136" s="1323">
        <f t="shared" si="231"/>
        <v>2006</v>
      </c>
      <c r="H2136" s="1323">
        <f t="shared" si="232"/>
        <v>2</v>
      </c>
      <c r="I2136" s="1323">
        <f t="shared" si="233"/>
        <v>23</v>
      </c>
      <c r="J2136" s="1323"/>
      <c r="K2136" s="1323"/>
      <c r="L2136" s="1323"/>
      <c r="M2136" s="1323"/>
      <c r="N2136" s="1323"/>
      <c r="O2136" s="1323"/>
      <c r="P2136" s="1323"/>
      <c r="Q2136" s="1323"/>
      <c r="R2136" s="1304"/>
      <c r="S2136" s="1304"/>
      <c r="T2136" s="1304"/>
    </row>
    <row r="2137" spans="1:20">
      <c r="A2137" s="1303"/>
      <c r="B2137" s="1322" t="s">
        <v>6456</v>
      </c>
      <c r="C2137" s="1323" t="s">
        <v>6457</v>
      </c>
      <c r="D2137" s="1324">
        <f t="shared" si="228"/>
        <v>38770</v>
      </c>
      <c r="E2137" s="1323">
        <f t="shared" si="230"/>
        <v>6.0949999999999998</v>
      </c>
      <c r="F2137" s="1323">
        <f t="shared" si="229"/>
        <v>6.5149502419380356</v>
      </c>
      <c r="G2137" s="1323">
        <f t="shared" si="231"/>
        <v>2006</v>
      </c>
      <c r="H2137" s="1323">
        <f t="shared" si="232"/>
        <v>2</v>
      </c>
      <c r="I2137" s="1323">
        <f t="shared" si="233"/>
        <v>22</v>
      </c>
      <c r="J2137" s="1323"/>
      <c r="K2137" s="1323"/>
      <c r="L2137" s="1323"/>
      <c r="M2137" s="1323"/>
      <c r="N2137" s="1323"/>
      <c r="O2137" s="1323"/>
      <c r="P2137" s="1323"/>
      <c r="Q2137" s="1323"/>
      <c r="R2137" s="1304"/>
      <c r="S2137" s="1304"/>
      <c r="T2137" s="1304"/>
    </row>
    <row r="2138" spans="1:20">
      <c r="A2138" s="1303"/>
      <c r="B2138" s="1322" t="s">
        <v>6458</v>
      </c>
      <c r="C2138" s="1323" t="s">
        <v>6459</v>
      </c>
      <c r="D2138" s="1324">
        <f t="shared" si="228"/>
        <v>38769</v>
      </c>
      <c r="E2138" s="1323">
        <f t="shared" si="230"/>
        <v>6.0548000000000002</v>
      </c>
      <c r="F2138" s="1323">
        <f t="shared" si="229"/>
        <v>6.5137010389990495</v>
      </c>
      <c r="G2138" s="1323">
        <f t="shared" si="231"/>
        <v>2006</v>
      </c>
      <c r="H2138" s="1323">
        <f t="shared" si="232"/>
        <v>2</v>
      </c>
      <c r="I2138" s="1323">
        <f t="shared" si="233"/>
        <v>21</v>
      </c>
      <c r="J2138" s="1323"/>
      <c r="K2138" s="1323"/>
      <c r="L2138" s="1323"/>
      <c r="M2138" s="1323"/>
      <c r="N2138" s="1323"/>
      <c r="O2138" s="1323"/>
      <c r="P2138" s="1323"/>
      <c r="Q2138" s="1323"/>
      <c r="R2138" s="1304"/>
      <c r="S2138" s="1304"/>
      <c r="T2138" s="1304"/>
    </row>
    <row r="2139" spans="1:20">
      <c r="A2139" s="1303"/>
      <c r="B2139" s="1322" t="s">
        <v>6460</v>
      </c>
      <c r="C2139" s="1323" t="s">
        <v>6461</v>
      </c>
      <c r="D2139" s="1324">
        <f t="shared" si="228"/>
        <v>38768</v>
      </c>
      <c r="E2139" s="1323">
        <f t="shared" si="230"/>
        <v>6.0384000000000002</v>
      </c>
      <c r="F2139" s="1323">
        <f t="shared" si="229"/>
        <v>6.5124520755872926</v>
      </c>
      <c r="G2139" s="1323">
        <f t="shared" si="231"/>
        <v>2006</v>
      </c>
      <c r="H2139" s="1323">
        <f t="shared" si="232"/>
        <v>2</v>
      </c>
      <c r="I2139" s="1323">
        <f t="shared" si="233"/>
        <v>20</v>
      </c>
      <c r="J2139" s="1323"/>
      <c r="K2139" s="1323"/>
      <c r="L2139" s="1323"/>
      <c r="M2139" s="1323"/>
      <c r="N2139" s="1323"/>
      <c r="O2139" s="1323"/>
      <c r="P2139" s="1323"/>
      <c r="Q2139" s="1323"/>
      <c r="R2139" s="1304"/>
      <c r="S2139" s="1304"/>
      <c r="T2139" s="1304"/>
    </row>
    <row r="2140" spans="1:20">
      <c r="A2140" s="1303"/>
      <c r="B2140" s="1322" t="s">
        <v>6462</v>
      </c>
      <c r="C2140" s="1323" t="s">
        <v>6463</v>
      </c>
      <c r="D2140" s="1324">
        <f t="shared" si="228"/>
        <v>38765</v>
      </c>
      <c r="E2140" s="1323">
        <f t="shared" si="230"/>
        <v>6.0505000000000004</v>
      </c>
      <c r="F2140" s="1323">
        <f t="shared" si="229"/>
        <v>6.5112033516568379</v>
      </c>
      <c r="G2140" s="1323">
        <f t="shared" si="231"/>
        <v>2006</v>
      </c>
      <c r="H2140" s="1323">
        <f t="shared" si="232"/>
        <v>2</v>
      </c>
      <c r="I2140" s="1323">
        <f t="shared" si="233"/>
        <v>17</v>
      </c>
      <c r="J2140" s="1323"/>
      <c r="K2140" s="1323"/>
      <c r="L2140" s="1323"/>
      <c r="M2140" s="1323"/>
      <c r="N2140" s="1323"/>
      <c r="O2140" s="1323"/>
      <c r="P2140" s="1323"/>
      <c r="Q2140" s="1323"/>
      <c r="R2140" s="1304"/>
      <c r="S2140" s="1304"/>
      <c r="T2140" s="1304"/>
    </row>
    <row r="2141" spans="1:20">
      <c r="A2141" s="1303"/>
      <c r="B2141" s="1322" t="s">
        <v>6464</v>
      </c>
      <c r="C2141" s="1323" t="s">
        <v>6465</v>
      </c>
      <c r="D2141" s="1324">
        <f t="shared" si="228"/>
        <v>38764</v>
      </c>
      <c r="E2141" s="1323">
        <f t="shared" si="230"/>
        <v>6.0997000000000003</v>
      </c>
      <c r="F2141" s="1323">
        <f t="shared" si="229"/>
        <v>6.509954867161766</v>
      </c>
      <c r="G2141" s="1323">
        <f t="shared" si="231"/>
        <v>2006</v>
      </c>
      <c r="H2141" s="1323">
        <f t="shared" si="232"/>
        <v>2</v>
      </c>
      <c r="I2141" s="1323">
        <f t="shared" si="233"/>
        <v>16</v>
      </c>
      <c r="J2141" s="1323"/>
      <c r="K2141" s="1323"/>
      <c r="L2141" s="1323"/>
      <c r="M2141" s="1323"/>
      <c r="N2141" s="1323"/>
      <c r="O2141" s="1323"/>
      <c r="P2141" s="1323"/>
      <c r="Q2141" s="1323"/>
      <c r="R2141" s="1304"/>
      <c r="S2141" s="1304"/>
      <c r="T2141" s="1304"/>
    </row>
    <row r="2142" spans="1:20">
      <c r="A2142" s="1303"/>
      <c r="B2142" s="1322" t="s">
        <v>6466</v>
      </c>
      <c r="C2142" s="1323" t="s">
        <v>6467</v>
      </c>
      <c r="D2142" s="1324">
        <f t="shared" si="228"/>
        <v>38763</v>
      </c>
      <c r="E2142" s="1323">
        <f t="shared" si="230"/>
        <v>6.1269</v>
      </c>
      <c r="F2142" s="1323">
        <f t="shared" si="229"/>
        <v>6.5087066220561658</v>
      </c>
      <c r="G2142" s="1323">
        <f t="shared" si="231"/>
        <v>2006</v>
      </c>
      <c r="H2142" s="1323">
        <f t="shared" si="232"/>
        <v>2</v>
      </c>
      <c r="I2142" s="1323">
        <f t="shared" si="233"/>
        <v>15</v>
      </c>
      <c r="J2142" s="1323"/>
      <c r="K2142" s="1323"/>
      <c r="L2142" s="1323"/>
      <c r="M2142" s="1323"/>
      <c r="N2142" s="1323"/>
      <c r="O2142" s="1323"/>
      <c r="P2142" s="1323"/>
      <c r="Q2142" s="1323"/>
      <c r="R2142" s="1304"/>
      <c r="S2142" s="1304"/>
      <c r="T2142" s="1304"/>
    </row>
    <row r="2143" spans="1:20">
      <c r="A2143" s="1303"/>
      <c r="B2143" s="1322" t="s">
        <v>6468</v>
      </c>
      <c r="C2143" s="1323" t="s">
        <v>6469</v>
      </c>
      <c r="D2143" s="1324">
        <f t="shared" si="228"/>
        <v>38762</v>
      </c>
      <c r="E2143" s="1323">
        <f t="shared" si="230"/>
        <v>6.1676000000000002</v>
      </c>
      <c r="F2143" s="1323">
        <f t="shared" si="229"/>
        <v>6.5074586162941364</v>
      </c>
      <c r="G2143" s="1323">
        <f t="shared" si="231"/>
        <v>2006</v>
      </c>
      <c r="H2143" s="1323">
        <f t="shared" si="232"/>
        <v>2</v>
      </c>
      <c r="I2143" s="1323">
        <f t="shared" si="233"/>
        <v>14</v>
      </c>
      <c r="J2143" s="1323"/>
      <c r="K2143" s="1323"/>
      <c r="L2143" s="1323"/>
      <c r="M2143" s="1323"/>
      <c r="N2143" s="1323"/>
      <c r="O2143" s="1323"/>
      <c r="P2143" s="1323"/>
      <c r="Q2143" s="1323"/>
      <c r="R2143" s="1304"/>
      <c r="S2143" s="1304"/>
      <c r="T2143" s="1304"/>
    </row>
    <row r="2144" spans="1:20">
      <c r="A2144" s="1303"/>
      <c r="B2144" s="1322" t="s">
        <v>6470</v>
      </c>
      <c r="C2144" s="1323" t="s">
        <v>6471</v>
      </c>
      <c r="D2144" s="1324">
        <f t="shared" si="228"/>
        <v>38761</v>
      </c>
      <c r="E2144" s="1323">
        <f t="shared" si="230"/>
        <v>6.1730999999999998</v>
      </c>
      <c r="F2144" s="1323">
        <f t="shared" si="229"/>
        <v>6.5062108498297855</v>
      </c>
      <c r="G2144" s="1323">
        <f t="shared" si="231"/>
        <v>2006</v>
      </c>
      <c r="H2144" s="1323">
        <f t="shared" si="232"/>
        <v>2</v>
      </c>
      <c r="I2144" s="1323">
        <f t="shared" si="233"/>
        <v>13</v>
      </c>
      <c r="J2144" s="1323"/>
      <c r="K2144" s="1323"/>
      <c r="L2144" s="1323"/>
      <c r="M2144" s="1323"/>
      <c r="N2144" s="1323"/>
      <c r="O2144" s="1323"/>
      <c r="P2144" s="1323"/>
      <c r="Q2144" s="1323"/>
      <c r="R2144" s="1304"/>
      <c r="S2144" s="1304"/>
      <c r="T2144" s="1304"/>
    </row>
    <row r="2145" spans="1:20">
      <c r="A2145" s="1303"/>
      <c r="B2145" s="1322" t="s">
        <v>6472</v>
      </c>
      <c r="C2145" s="1323" t="s">
        <v>6473</v>
      </c>
      <c r="D2145" s="1324">
        <f t="shared" si="228"/>
        <v>38758</v>
      </c>
      <c r="E2145" s="1323">
        <f t="shared" si="230"/>
        <v>6.1132</v>
      </c>
      <c r="F2145" s="1323">
        <f t="shared" si="229"/>
        <v>6.5049633226172281</v>
      </c>
      <c r="G2145" s="1323">
        <f t="shared" si="231"/>
        <v>2006</v>
      </c>
      <c r="H2145" s="1323">
        <f t="shared" si="232"/>
        <v>2</v>
      </c>
      <c r="I2145" s="1323">
        <f t="shared" si="233"/>
        <v>10</v>
      </c>
      <c r="J2145" s="1323"/>
      <c r="K2145" s="1323"/>
      <c r="L2145" s="1323"/>
      <c r="M2145" s="1323"/>
      <c r="N2145" s="1323"/>
      <c r="O2145" s="1323"/>
      <c r="P2145" s="1323"/>
      <c r="Q2145" s="1323"/>
      <c r="R2145" s="1304"/>
      <c r="S2145" s="1304"/>
      <c r="T2145" s="1304"/>
    </row>
    <row r="2146" spans="1:20">
      <c r="A2146" s="1303"/>
      <c r="B2146" s="1322" t="s">
        <v>6474</v>
      </c>
      <c r="C2146" s="1323" t="s">
        <v>6475</v>
      </c>
      <c r="D2146" s="1324">
        <f t="shared" si="228"/>
        <v>38757</v>
      </c>
      <c r="E2146" s="1323">
        <f t="shared" si="230"/>
        <v>6.1687000000000003</v>
      </c>
      <c r="F2146" s="1323">
        <f t="shared" si="229"/>
        <v>6.5037160346105907</v>
      </c>
      <c r="G2146" s="1323">
        <f t="shared" si="231"/>
        <v>2006</v>
      </c>
      <c r="H2146" s="1323">
        <f t="shared" si="232"/>
        <v>2</v>
      </c>
      <c r="I2146" s="1323">
        <f t="shared" si="233"/>
        <v>9</v>
      </c>
      <c r="J2146" s="1323"/>
      <c r="K2146" s="1323"/>
      <c r="L2146" s="1323"/>
      <c r="M2146" s="1323"/>
      <c r="N2146" s="1323"/>
      <c r="O2146" s="1323"/>
      <c r="P2146" s="1323"/>
      <c r="Q2146" s="1323"/>
      <c r="R2146" s="1304"/>
      <c r="S2146" s="1304"/>
      <c r="T2146" s="1304"/>
    </row>
    <row r="2147" spans="1:20">
      <c r="A2147" s="1303"/>
      <c r="B2147" s="1322" t="s">
        <v>6476</v>
      </c>
      <c r="C2147" s="1323" t="s">
        <v>6477</v>
      </c>
      <c r="D2147" s="1324">
        <f t="shared" si="228"/>
        <v>38756</v>
      </c>
      <c r="E2147" s="1323">
        <f t="shared" si="230"/>
        <v>6.2290999999999999</v>
      </c>
      <c r="F2147" s="1323">
        <f t="shared" si="229"/>
        <v>6.5024689857640059</v>
      </c>
      <c r="G2147" s="1323">
        <f t="shared" si="231"/>
        <v>2006</v>
      </c>
      <c r="H2147" s="1323">
        <f t="shared" si="232"/>
        <v>2</v>
      </c>
      <c r="I2147" s="1323">
        <f t="shared" si="233"/>
        <v>8</v>
      </c>
      <c r="J2147" s="1323"/>
      <c r="K2147" s="1323"/>
      <c r="L2147" s="1323"/>
      <c r="M2147" s="1323"/>
      <c r="N2147" s="1323"/>
      <c r="O2147" s="1323"/>
      <c r="P2147" s="1323"/>
      <c r="Q2147" s="1323"/>
      <c r="R2147" s="1304"/>
      <c r="S2147" s="1304"/>
      <c r="T2147" s="1304"/>
    </row>
    <row r="2148" spans="1:20">
      <c r="A2148" s="1303"/>
      <c r="B2148" s="1322" t="s">
        <v>6478</v>
      </c>
      <c r="C2148" s="1323" t="s">
        <v>6479</v>
      </c>
      <c r="D2148" s="1324">
        <f t="shared" si="228"/>
        <v>38755</v>
      </c>
      <c r="E2148" s="1323">
        <f t="shared" si="230"/>
        <v>6.1250999999999998</v>
      </c>
      <c r="F2148" s="1323">
        <f t="shared" si="229"/>
        <v>6.5012221760316162</v>
      </c>
      <c r="G2148" s="1323">
        <f t="shared" si="231"/>
        <v>2006</v>
      </c>
      <c r="H2148" s="1323">
        <f t="shared" si="232"/>
        <v>2</v>
      </c>
      <c r="I2148" s="1323">
        <f t="shared" si="233"/>
        <v>7</v>
      </c>
      <c r="J2148" s="1323"/>
      <c r="K2148" s="1323"/>
      <c r="L2148" s="1323"/>
      <c r="M2148" s="1323"/>
      <c r="N2148" s="1323"/>
      <c r="O2148" s="1323"/>
      <c r="P2148" s="1323"/>
      <c r="Q2148" s="1323"/>
      <c r="R2148" s="1304"/>
      <c r="S2148" s="1304"/>
      <c r="T2148" s="1304"/>
    </row>
    <row r="2149" spans="1:20">
      <c r="A2149" s="1303"/>
      <c r="B2149" s="1322" t="s">
        <v>6480</v>
      </c>
      <c r="C2149" s="1323" t="s">
        <v>6481</v>
      </c>
      <c r="D2149" s="1324">
        <f t="shared" si="228"/>
        <v>38754</v>
      </c>
      <c r="E2149" s="1323">
        <f t="shared" si="230"/>
        <v>6.0951000000000004</v>
      </c>
      <c r="F2149" s="1323">
        <f t="shared" si="229"/>
        <v>6.499975605367573</v>
      </c>
      <c r="G2149" s="1323">
        <f t="shared" si="231"/>
        <v>2006</v>
      </c>
      <c r="H2149" s="1323">
        <f t="shared" si="232"/>
        <v>2</v>
      </c>
      <c r="I2149" s="1323">
        <f t="shared" si="233"/>
        <v>6</v>
      </c>
      <c r="J2149" s="1323"/>
      <c r="K2149" s="1323"/>
      <c r="L2149" s="1323"/>
      <c r="M2149" s="1323"/>
      <c r="N2149" s="1323"/>
      <c r="O2149" s="1323"/>
      <c r="P2149" s="1323"/>
      <c r="Q2149" s="1323"/>
      <c r="R2149" s="1304"/>
      <c r="S2149" s="1304"/>
      <c r="T2149" s="1304"/>
    </row>
    <row r="2150" spans="1:20">
      <c r="A2150" s="1303"/>
      <c r="B2150" s="1322" t="s">
        <v>6482</v>
      </c>
      <c r="C2150" s="1323" t="s">
        <v>6483</v>
      </c>
      <c r="D2150" s="1324">
        <f t="shared" si="228"/>
        <v>38751</v>
      </c>
      <c r="E2150" s="1323">
        <f t="shared" si="230"/>
        <v>6.0857000000000001</v>
      </c>
      <c r="F2150" s="1323">
        <f t="shared" si="229"/>
        <v>6.4987292737260365</v>
      </c>
      <c r="G2150" s="1323">
        <f t="shared" si="231"/>
        <v>2006</v>
      </c>
      <c r="H2150" s="1323">
        <f t="shared" si="232"/>
        <v>2</v>
      </c>
      <c r="I2150" s="1323">
        <f t="shared" si="233"/>
        <v>3</v>
      </c>
      <c r="J2150" s="1323"/>
      <c r="K2150" s="1323"/>
      <c r="L2150" s="1323"/>
      <c r="M2150" s="1323"/>
      <c r="N2150" s="1323"/>
      <c r="O2150" s="1323"/>
      <c r="P2150" s="1323"/>
      <c r="Q2150" s="1323"/>
      <c r="R2150" s="1304"/>
      <c r="S2150" s="1304"/>
      <c r="T2150" s="1304"/>
    </row>
    <row r="2151" spans="1:20">
      <c r="A2151" s="1303"/>
      <c r="B2151" s="1322" t="s">
        <v>6484</v>
      </c>
      <c r="C2151" s="1323" t="s">
        <v>6485</v>
      </c>
      <c r="D2151" s="1324">
        <f t="shared" si="228"/>
        <v>38750</v>
      </c>
      <c r="E2151" s="1323">
        <f t="shared" si="230"/>
        <v>6.1303999999999998</v>
      </c>
      <c r="F2151" s="1323">
        <f t="shared" si="229"/>
        <v>6.4974831810611748</v>
      </c>
      <c r="G2151" s="1323">
        <f t="shared" si="231"/>
        <v>2006</v>
      </c>
      <c r="H2151" s="1323">
        <f t="shared" si="232"/>
        <v>2</v>
      </c>
      <c r="I2151" s="1323">
        <f t="shared" si="233"/>
        <v>2</v>
      </c>
      <c r="J2151" s="1323"/>
      <c r="K2151" s="1323"/>
      <c r="L2151" s="1323"/>
      <c r="M2151" s="1323"/>
      <c r="N2151" s="1323"/>
      <c r="O2151" s="1323"/>
      <c r="P2151" s="1323"/>
      <c r="Q2151" s="1323"/>
      <c r="R2151" s="1304"/>
      <c r="S2151" s="1304"/>
      <c r="T2151" s="1304"/>
    </row>
    <row r="2152" spans="1:20">
      <c r="A2152" s="1303"/>
      <c r="B2152" s="1322" t="s">
        <v>6486</v>
      </c>
      <c r="C2152" s="1323" t="s">
        <v>6487</v>
      </c>
      <c r="D2152" s="1324">
        <f t="shared" si="228"/>
        <v>38749</v>
      </c>
      <c r="E2152" s="1323">
        <f t="shared" si="230"/>
        <v>6.0777999999999999</v>
      </c>
      <c r="F2152" s="1323">
        <f t="shared" si="229"/>
        <v>6.496237327327167</v>
      </c>
      <c r="G2152" s="1323">
        <f t="shared" si="231"/>
        <v>2006</v>
      </c>
      <c r="H2152" s="1323">
        <f t="shared" si="232"/>
        <v>2</v>
      </c>
      <c r="I2152" s="1323">
        <f t="shared" si="233"/>
        <v>1</v>
      </c>
      <c r="J2152" s="1323"/>
      <c r="K2152" s="1323"/>
      <c r="L2152" s="1323"/>
      <c r="M2152" s="1323"/>
      <c r="N2152" s="1323"/>
      <c r="O2152" s="1323"/>
      <c r="P2152" s="1323"/>
      <c r="Q2152" s="1323"/>
      <c r="R2152" s="1304"/>
      <c r="S2152" s="1304"/>
      <c r="T2152" s="1304"/>
    </row>
    <row r="2153" spans="1:20">
      <c r="A2153" s="1303"/>
      <c r="B2153" s="1322" t="s">
        <v>6488</v>
      </c>
      <c r="C2153" s="1323" t="s">
        <v>6489</v>
      </c>
      <c r="D2153" s="1324">
        <f t="shared" si="228"/>
        <v>38748</v>
      </c>
      <c r="E2153" s="1323">
        <f t="shared" si="230"/>
        <v>6.1125999999999996</v>
      </c>
      <c r="F2153" s="1323">
        <f t="shared" si="229"/>
        <v>6.494991712478198</v>
      </c>
      <c r="G2153" s="1323">
        <f t="shared" si="231"/>
        <v>2006</v>
      </c>
      <c r="H2153" s="1323">
        <f t="shared" si="232"/>
        <v>1</v>
      </c>
      <c r="I2153" s="1323">
        <f t="shared" si="233"/>
        <v>31</v>
      </c>
      <c r="J2153" s="1323"/>
      <c r="K2153" s="1323"/>
      <c r="L2153" s="1323"/>
      <c r="M2153" s="1323"/>
      <c r="N2153" s="1323"/>
      <c r="O2153" s="1323"/>
      <c r="P2153" s="1323"/>
      <c r="Q2153" s="1323"/>
      <c r="R2153" s="1304"/>
      <c r="S2153" s="1304"/>
      <c r="T2153" s="1304"/>
    </row>
    <row r="2154" spans="1:20">
      <c r="A2154" s="1303"/>
      <c r="B2154" s="1322" t="s">
        <v>6490</v>
      </c>
      <c r="C2154" s="1323" t="s">
        <v>6491</v>
      </c>
      <c r="D2154" s="1324">
        <f t="shared" si="228"/>
        <v>38747</v>
      </c>
      <c r="E2154" s="1323">
        <f t="shared" si="230"/>
        <v>6.1748000000000003</v>
      </c>
      <c r="F2154" s="1323">
        <f t="shared" si="229"/>
        <v>6.4937463364684644</v>
      </c>
      <c r="G2154" s="1323">
        <f t="shared" si="231"/>
        <v>2006</v>
      </c>
      <c r="H2154" s="1323">
        <f t="shared" si="232"/>
        <v>1</v>
      </c>
      <c r="I2154" s="1323">
        <f t="shared" si="233"/>
        <v>30</v>
      </c>
      <c r="J2154" s="1323"/>
      <c r="K2154" s="1323"/>
      <c r="L2154" s="1323"/>
      <c r="M2154" s="1323"/>
      <c r="N2154" s="1323"/>
      <c r="O2154" s="1323"/>
      <c r="P2154" s="1323"/>
      <c r="Q2154" s="1323"/>
      <c r="R2154" s="1304"/>
      <c r="S2154" s="1304"/>
      <c r="T2154" s="1304"/>
    </row>
    <row r="2155" spans="1:20">
      <c r="A2155" s="1303"/>
      <c r="B2155" s="1322" t="s">
        <v>6492</v>
      </c>
      <c r="C2155" s="1323" t="s">
        <v>6493</v>
      </c>
      <c r="D2155" s="1324">
        <f t="shared" si="228"/>
        <v>38744</v>
      </c>
      <c r="E2155" s="1323">
        <f t="shared" si="230"/>
        <v>6.1071999999999997</v>
      </c>
      <c r="F2155" s="1323">
        <f t="shared" si="229"/>
        <v>6.4925011992521693</v>
      </c>
      <c r="G2155" s="1323">
        <f t="shared" si="231"/>
        <v>2006</v>
      </c>
      <c r="H2155" s="1323">
        <f t="shared" si="232"/>
        <v>1</v>
      </c>
      <c r="I2155" s="1323">
        <f t="shared" si="233"/>
        <v>27</v>
      </c>
      <c r="J2155" s="1323"/>
      <c r="K2155" s="1323"/>
      <c r="L2155" s="1323"/>
      <c r="M2155" s="1323"/>
      <c r="N2155" s="1323"/>
      <c r="O2155" s="1323"/>
      <c r="P2155" s="1323"/>
      <c r="Q2155" s="1323"/>
      <c r="R2155" s="1304"/>
      <c r="S2155" s="1304"/>
      <c r="T2155" s="1304"/>
    </row>
    <row r="2156" spans="1:20">
      <c r="A2156" s="1303"/>
      <c r="B2156" s="1322" t="s">
        <v>6494</v>
      </c>
      <c r="C2156" s="1323" t="s">
        <v>6495</v>
      </c>
      <c r="D2156" s="1324">
        <f t="shared" si="228"/>
        <v>38743</v>
      </c>
      <c r="E2156" s="1323">
        <f t="shared" si="230"/>
        <v>6.0758999999999999</v>
      </c>
      <c r="F2156" s="1323">
        <f t="shared" si="229"/>
        <v>6.491256300783526</v>
      </c>
      <c r="G2156" s="1323">
        <f t="shared" si="231"/>
        <v>2006</v>
      </c>
      <c r="H2156" s="1323">
        <f t="shared" si="232"/>
        <v>1</v>
      </c>
      <c r="I2156" s="1323">
        <f t="shared" si="233"/>
        <v>26</v>
      </c>
      <c r="J2156" s="1323"/>
      <c r="K2156" s="1323"/>
      <c r="L2156" s="1323"/>
      <c r="M2156" s="1323"/>
      <c r="N2156" s="1323"/>
      <c r="O2156" s="1323"/>
      <c r="P2156" s="1323"/>
      <c r="Q2156" s="1323"/>
      <c r="R2156" s="1304"/>
      <c r="S2156" s="1304"/>
      <c r="T2156" s="1304"/>
    </row>
    <row r="2157" spans="1:20">
      <c r="A2157" s="1303"/>
      <c r="B2157" s="1322" t="s">
        <v>6496</v>
      </c>
      <c r="C2157" s="1323" t="s">
        <v>6497</v>
      </c>
      <c r="D2157" s="1324">
        <f t="shared" si="228"/>
        <v>38742</v>
      </c>
      <c r="E2157" s="1323">
        <f t="shared" si="230"/>
        <v>6.0378999999999996</v>
      </c>
      <c r="F2157" s="1323">
        <f t="shared" si="229"/>
        <v>6.4900116410167552</v>
      </c>
      <c r="G2157" s="1323">
        <f t="shared" si="231"/>
        <v>2006</v>
      </c>
      <c r="H2157" s="1323">
        <f t="shared" si="232"/>
        <v>1</v>
      </c>
      <c r="I2157" s="1323">
        <f t="shared" si="233"/>
        <v>25</v>
      </c>
      <c r="J2157" s="1323"/>
      <c r="K2157" s="1323"/>
      <c r="L2157" s="1323"/>
      <c r="M2157" s="1323"/>
      <c r="N2157" s="1323"/>
      <c r="O2157" s="1323"/>
      <c r="P2157" s="1323"/>
      <c r="Q2157" s="1323"/>
      <c r="R2157" s="1304"/>
      <c r="S2157" s="1304"/>
      <c r="T2157" s="1304"/>
    </row>
    <row r="2158" spans="1:20">
      <c r="A2158" s="1303"/>
      <c r="B2158" s="1322" t="s">
        <v>6498</v>
      </c>
      <c r="C2158" s="1323" t="s">
        <v>6499</v>
      </c>
      <c r="D2158" s="1324">
        <f t="shared" si="228"/>
        <v>38741</v>
      </c>
      <c r="E2158" s="1323">
        <f t="shared" si="230"/>
        <v>6.0152000000000001</v>
      </c>
      <c r="F2158" s="1323">
        <f t="shared" si="229"/>
        <v>6.4887672199060882</v>
      </c>
      <c r="G2158" s="1323">
        <f t="shared" si="231"/>
        <v>2006</v>
      </c>
      <c r="H2158" s="1323">
        <f t="shared" si="232"/>
        <v>1</v>
      </c>
      <c r="I2158" s="1323">
        <f t="shared" si="233"/>
        <v>24</v>
      </c>
      <c r="J2158" s="1323"/>
      <c r="K2158" s="1323"/>
      <c r="L2158" s="1323"/>
      <c r="M2158" s="1323"/>
      <c r="N2158" s="1323"/>
      <c r="O2158" s="1323"/>
      <c r="P2158" s="1323"/>
      <c r="Q2158" s="1323"/>
      <c r="R2158" s="1304"/>
      <c r="S2158" s="1304"/>
      <c r="T2158" s="1304"/>
    </row>
    <row r="2159" spans="1:20">
      <c r="A2159" s="1303"/>
      <c r="B2159" s="1322" t="s">
        <v>6500</v>
      </c>
      <c r="C2159" s="1323" t="s">
        <v>6501</v>
      </c>
      <c r="D2159" s="1324">
        <f t="shared" si="228"/>
        <v>38740</v>
      </c>
      <c r="E2159" s="1323">
        <f t="shared" si="230"/>
        <v>5.9776999999999996</v>
      </c>
      <c r="F2159" s="1323">
        <f t="shared" si="229"/>
        <v>6.4875230374057633</v>
      </c>
      <c r="G2159" s="1323">
        <f t="shared" si="231"/>
        <v>2006</v>
      </c>
      <c r="H2159" s="1323">
        <f t="shared" si="232"/>
        <v>1</v>
      </c>
      <c r="I2159" s="1323">
        <f t="shared" si="233"/>
        <v>23</v>
      </c>
      <c r="J2159" s="1323"/>
      <c r="K2159" s="1323"/>
      <c r="L2159" s="1323"/>
      <c r="M2159" s="1323"/>
      <c r="N2159" s="1323"/>
      <c r="O2159" s="1323"/>
      <c r="P2159" s="1323"/>
      <c r="Q2159" s="1323"/>
      <c r="R2159" s="1304"/>
      <c r="S2159" s="1304"/>
      <c r="T2159" s="1304"/>
    </row>
    <row r="2160" spans="1:20">
      <c r="A2160" s="1303"/>
      <c r="B2160" s="1322" t="s">
        <v>6502</v>
      </c>
      <c r="C2160" s="1323" t="s">
        <v>6503</v>
      </c>
      <c r="D2160" s="1324">
        <f t="shared" si="228"/>
        <v>38737</v>
      </c>
      <c r="E2160" s="1323">
        <f t="shared" si="230"/>
        <v>5.9928999999999997</v>
      </c>
      <c r="F2160" s="1323">
        <f t="shared" si="229"/>
        <v>6.4862790934700287</v>
      </c>
      <c r="G2160" s="1323">
        <f t="shared" si="231"/>
        <v>2006</v>
      </c>
      <c r="H2160" s="1323">
        <f t="shared" si="232"/>
        <v>1</v>
      </c>
      <c r="I2160" s="1323">
        <f t="shared" si="233"/>
        <v>20</v>
      </c>
      <c r="J2160" s="1323"/>
      <c r="K2160" s="1323"/>
      <c r="L2160" s="1323"/>
      <c r="M2160" s="1323"/>
      <c r="N2160" s="1323"/>
      <c r="O2160" s="1323"/>
      <c r="P2160" s="1323"/>
      <c r="Q2160" s="1323"/>
      <c r="R2160" s="1304"/>
      <c r="S2160" s="1304"/>
      <c r="T2160" s="1304"/>
    </row>
    <row r="2161" spans="1:20">
      <c r="A2161" s="1303"/>
      <c r="B2161" s="1322" t="s">
        <v>6504</v>
      </c>
      <c r="C2161" s="1323" t="s">
        <v>6505</v>
      </c>
      <c r="D2161" s="1324">
        <f t="shared" si="228"/>
        <v>38736</v>
      </c>
      <c r="E2161" s="1323">
        <f t="shared" si="230"/>
        <v>6.0587</v>
      </c>
      <c r="F2161" s="1323">
        <f t="shared" si="229"/>
        <v>6.4850353880531415</v>
      </c>
      <c r="G2161" s="1323">
        <f t="shared" si="231"/>
        <v>2006</v>
      </c>
      <c r="H2161" s="1323">
        <f t="shared" si="232"/>
        <v>1</v>
      </c>
      <c r="I2161" s="1323">
        <f t="shared" si="233"/>
        <v>19</v>
      </c>
      <c r="J2161" s="1323"/>
      <c r="K2161" s="1323"/>
      <c r="L2161" s="1323"/>
      <c r="M2161" s="1323"/>
      <c r="N2161" s="1323"/>
      <c r="O2161" s="1323"/>
      <c r="P2161" s="1323"/>
      <c r="Q2161" s="1323"/>
      <c r="R2161" s="1304"/>
      <c r="S2161" s="1304"/>
      <c r="T2161" s="1304"/>
    </row>
    <row r="2162" spans="1:20">
      <c r="A2162" s="1303"/>
      <c r="B2162" s="1322" t="s">
        <v>6506</v>
      </c>
      <c r="C2162" s="1323" t="s">
        <v>6507</v>
      </c>
      <c r="D2162" s="1324">
        <f t="shared" si="228"/>
        <v>38735</v>
      </c>
      <c r="E2162" s="1323">
        <f t="shared" si="230"/>
        <v>6.0709999999999997</v>
      </c>
      <c r="F2162" s="1323">
        <f t="shared" si="229"/>
        <v>6.4837919211093666</v>
      </c>
      <c r="G2162" s="1323">
        <f t="shared" si="231"/>
        <v>2006</v>
      </c>
      <c r="H2162" s="1323">
        <f t="shared" si="232"/>
        <v>1</v>
      </c>
      <c r="I2162" s="1323">
        <f t="shared" si="233"/>
        <v>18</v>
      </c>
      <c r="J2162" s="1323"/>
      <c r="K2162" s="1323"/>
      <c r="L2162" s="1323"/>
      <c r="M2162" s="1323"/>
      <c r="N2162" s="1323"/>
      <c r="O2162" s="1323"/>
      <c r="P2162" s="1323"/>
      <c r="Q2162" s="1323"/>
      <c r="R2162" s="1304"/>
      <c r="S2162" s="1304"/>
      <c r="T2162" s="1304"/>
    </row>
    <row r="2163" spans="1:20">
      <c r="A2163" s="1303"/>
      <c r="B2163" s="1322" t="s">
        <v>6508</v>
      </c>
      <c r="C2163" s="1323" t="s">
        <v>6509</v>
      </c>
      <c r="D2163" s="1324">
        <f t="shared" si="228"/>
        <v>38734</v>
      </c>
      <c r="E2163" s="1323">
        <f t="shared" si="230"/>
        <v>5.9985999999999997</v>
      </c>
      <c r="F2163" s="1323">
        <f t="shared" si="229"/>
        <v>6.4825486925929789</v>
      </c>
      <c r="G2163" s="1323">
        <f t="shared" si="231"/>
        <v>2006</v>
      </c>
      <c r="H2163" s="1323">
        <f t="shared" si="232"/>
        <v>1</v>
      </c>
      <c r="I2163" s="1323">
        <f t="shared" si="233"/>
        <v>17</v>
      </c>
      <c r="J2163" s="1323"/>
      <c r="K2163" s="1323"/>
      <c r="L2163" s="1323"/>
      <c r="M2163" s="1323"/>
      <c r="N2163" s="1323"/>
      <c r="O2163" s="1323"/>
      <c r="P2163" s="1323"/>
      <c r="Q2163" s="1323"/>
      <c r="R2163" s="1304"/>
      <c r="S2163" s="1304"/>
      <c r="T2163" s="1304"/>
    </row>
    <row r="2164" spans="1:20">
      <c r="A2164" s="1303"/>
      <c r="B2164" s="1322" t="s">
        <v>6510</v>
      </c>
      <c r="C2164" s="1323" t="s">
        <v>6511</v>
      </c>
      <c r="D2164" s="1324">
        <f t="shared" si="228"/>
        <v>38733</v>
      </c>
      <c r="E2164" s="1323">
        <f t="shared" si="230"/>
        <v>5.9951999999999996</v>
      </c>
      <c r="F2164" s="1323">
        <f t="shared" si="229"/>
        <v>6.4813057024582603</v>
      </c>
      <c r="G2164" s="1323">
        <f t="shared" si="231"/>
        <v>2006</v>
      </c>
      <c r="H2164" s="1323">
        <f t="shared" si="232"/>
        <v>1</v>
      </c>
      <c r="I2164" s="1323">
        <f t="shared" si="233"/>
        <v>16</v>
      </c>
      <c r="J2164" s="1323"/>
      <c r="K2164" s="1323"/>
      <c r="L2164" s="1323"/>
      <c r="M2164" s="1323"/>
      <c r="N2164" s="1323"/>
      <c r="O2164" s="1323"/>
      <c r="P2164" s="1323"/>
      <c r="Q2164" s="1323"/>
      <c r="R2164" s="1304"/>
      <c r="S2164" s="1304"/>
      <c r="T2164" s="1304"/>
    </row>
    <row r="2165" spans="1:20">
      <c r="A2165" s="1303"/>
      <c r="B2165" s="1322" t="s">
        <v>6512</v>
      </c>
      <c r="C2165" s="1323" t="s">
        <v>6513</v>
      </c>
      <c r="D2165" s="1324">
        <f t="shared" si="228"/>
        <v>38730</v>
      </c>
      <c r="E2165" s="1323">
        <f t="shared" si="230"/>
        <v>6.0960000000000001</v>
      </c>
      <c r="F2165" s="1323">
        <f t="shared" si="229"/>
        <v>6.4800629506595033</v>
      </c>
      <c r="G2165" s="1323">
        <f t="shared" si="231"/>
        <v>2006</v>
      </c>
      <c r="H2165" s="1323">
        <f t="shared" si="232"/>
        <v>1</v>
      </c>
      <c r="I2165" s="1323">
        <f t="shared" si="233"/>
        <v>13</v>
      </c>
      <c r="J2165" s="1323"/>
      <c r="K2165" s="1323"/>
      <c r="L2165" s="1323"/>
      <c r="M2165" s="1323"/>
      <c r="N2165" s="1323"/>
      <c r="O2165" s="1323"/>
      <c r="P2165" s="1323"/>
      <c r="Q2165" s="1323"/>
      <c r="R2165" s="1304"/>
      <c r="S2165" s="1304"/>
      <c r="T2165" s="1304"/>
    </row>
    <row r="2166" spans="1:20">
      <c r="A2166" s="1303"/>
      <c r="B2166" s="1322" t="s">
        <v>6514</v>
      </c>
      <c r="C2166" s="1323" t="s">
        <v>6515</v>
      </c>
      <c r="D2166" s="1324">
        <f t="shared" si="228"/>
        <v>38729</v>
      </c>
      <c r="E2166" s="1323">
        <f t="shared" si="230"/>
        <v>6.0388999999999999</v>
      </c>
      <c r="F2166" s="1323">
        <f t="shared" si="229"/>
        <v>6.4788204371510085</v>
      </c>
      <c r="G2166" s="1323">
        <f t="shared" si="231"/>
        <v>2006</v>
      </c>
      <c r="H2166" s="1323">
        <f t="shared" si="232"/>
        <v>1</v>
      </c>
      <c r="I2166" s="1323">
        <f t="shared" si="233"/>
        <v>12</v>
      </c>
      <c r="J2166" s="1323"/>
      <c r="K2166" s="1323"/>
      <c r="L2166" s="1323"/>
      <c r="M2166" s="1323"/>
      <c r="N2166" s="1323"/>
      <c r="O2166" s="1323"/>
      <c r="P2166" s="1323"/>
      <c r="Q2166" s="1323"/>
      <c r="R2166" s="1304"/>
      <c r="S2166" s="1304"/>
      <c r="T2166" s="1304"/>
    </row>
    <row r="2167" spans="1:20">
      <c r="A2167" s="1303"/>
      <c r="B2167" s="1322" t="s">
        <v>6516</v>
      </c>
      <c r="C2167" s="1323" t="s">
        <v>6517</v>
      </c>
      <c r="D2167" s="1324">
        <f t="shared" si="228"/>
        <v>38728</v>
      </c>
      <c r="E2167" s="1323">
        <f t="shared" si="230"/>
        <v>6.1398000000000001</v>
      </c>
      <c r="F2167" s="1323">
        <f t="shared" si="229"/>
        <v>6.4775781618870845</v>
      </c>
      <c r="G2167" s="1323">
        <f t="shared" si="231"/>
        <v>2006</v>
      </c>
      <c r="H2167" s="1323">
        <f t="shared" si="232"/>
        <v>1</v>
      </c>
      <c r="I2167" s="1323">
        <f t="shared" si="233"/>
        <v>11</v>
      </c>
      <c r="J2167" s="1323"/>
      <c r="K2167" s="1323"/>
      <c r="L2167" s="1323"/>
      <c r="M2167" s="1323"/>
      <c r="N2167" s="1323"/>
      <c r="O2167" s="1323"/>
      <c r="P2167" s="1323"/>
      <c r="Q2167" s="1323"/>
      <c r="R2167" s="1304"/>
      <c r="S2167" s="1304"/>
      <c r="T2167" s="1304"/>
    </row>
    <row r="2168" spans="1:20">
      <c r="A2168" s="1303"/>
      <c r="B2168" s="1322" t="s">
        <v>6518</v>
      </c>
      <c r="C2168" s="1323" t="s">
        <v>6519</v>
      </c>
      <c r="D2168" s="1324">
        <f t="shared" si="228"/>
        <v>38727</v>
      </c>
      <c r="E2168" s="1323">
        <f t="shared" si="230"/>
        <v>6.0770999999999997</v>
      </c>
      <c r="F2168" s="1323">
        <f t="shared" si="229"/>
        <v>6.4763361248220495</v>
      </c>
      <c r="G2168" s="1323">
        <f t="shared" si="231"/>
        <v>2006</v>
      </c>
      <c r="H2168" s="1323">
        <f t="shared" si="232"/>
        <v>1</v>
      </c>
      <c r="I2168" s="1323">
        <f t="shared" si="233"/>
        <v>10</v>
      </c>
      <c r="J2168" s="1323"/>
      <c r="K2168" s="1323"/>
      <c r="L2168" s="1323"/>
      <c r="M2168" s="1323"/>
      <c r="N2168" s="1323"/>
      <c r="O2168" s="1323"/>
      <c r="P2168" s="1323"/>
      <c r="Q2168" s="1323"/>
      <c r="R2168" s="1304"/>
      <c r="S2168" s="1304"/>
      <c r="T2168" s="1304"/>
    </row>
    <row r="2169" spans="1:20">
      <c r="A2169" s="1303"/>
      <c r="B2169" s="1322" t="s">
        <v>6520</v>
      </c>
      <c r="C2169" s="1323" t="s">
        <v>6521</v>
      </c>
      <c r="D2169" s="1324">
        <f t="shared" si="228"/>
        <v>38726</v>
      </c>
      <c r="E2169" s="1323">
        <f t="shared" si="230"/>
        <v>6.1092000000000004</v>
      </c>
      <c r="F2169" s="1323">
        <f t="shared" si="229"/>
        <v>6.4750943259102307</v>
      </c>
      <c r="G2169" s="1323">
        <f t="shared" si="231"/>
        <v>2006</v>
      </c>
      <c r="H2169" s="1323">
        <f t="shared" si="232"/>
        <v>1</v>
      </c>
      <c r="I2169" s="1323">
        <f t="shared" si="233"/>
        <v>9</v>
      </c>
      <c r="J2169" s="1323"/>
      <c r="K2169" s="1323"/>
      <c r="L2169" s="1323"/>
      <c r="M2169" s="1323"/>
      <c r="N2169" s="1323"/>
      <c r="O2169" s="1323"/>
      <c r="P2169" s="1323"/>
      <c r="Q2169" s="1323"/>
      <c r="R2169" s="1304"/>
      <c r="S2169" s="1304"/>
      <c r="T2169" s="1304"/>
    </row>
    <row r="2170" spans="1:20">
      <c r="A2170" s="1303"/>
      <c r="B2170" s="1322" t="s">
        <v>6522</v>
      </c>
      <c r="C2170" s="1323" t="s">
        <v>6523</v>
      </c>
      <c r="D2170" s="1324">
        <f t="shared" si="228"/>
        <v>38723</v>
      </c>
      <c r="E2170" s="1323">
        <f t="shared" si="230"/>
        <v>6.1508000000000003</v>
      </c>
      <c r="F2170" s="1323">
        <f t="shared" si="229"/>
        <v>6.4738527651059634</v>
      </c>
      <c r="G2170" s="1323">
        <f t="shared" si="231"/>
        <v>2006</v>
      </c>
      <c r="H2170" s="1323">
        <f t="shared" si="232"/>
        <v>1</v>
      </c>
      <c r="I2170" s="1323">
        <f t="shared" si="233"/>
        <v>6</v>
      </c>
      <c r="J2170" s="1323"/>
      <c r="K2170" s="1323"/>
      <c r="L2170" s="1323"/>
      <c r="M2170" s="1323"/>
      <c r="N2170" s="1323"/>
      <c r="O2170" s="1323"/>
      <c r="P2170" s="1323"/>
      <c r="Q2170" s="1323"/>
      <c r="R2170" s="1304"/>
      <c r="S2170" s="1304"/>
      <c r="T2170" s="1304"/>
    </row>
    <row r="2171" spans="1:20">
      <c r="A2171" s="1303"/>
      <c r="B2171" s="1322" t="s">
        <v>6524</v>
      </c>
      <c r="C2171" s="1323" t="s">
        <v>6525</v>
      </c>
      <c r="D2171" s="1324">
        <f t="shared" si="228"/>
        <v>38722</v>
      </c>
      <c r="E2171" s="1323">
        <f t="shared" si="230"/>
        <v>6.1969000000000003</v>
      </c>
      <c r="F2171" s="1323">
        <f t="shared" si="229"/>
        <v>6.4726114423635925</v>
      </c>
      <c r="G2171" s="1323">
        <f t="shared" si="231"/>
        <v>2006</v>
      </c>
      <c r="H2171" s="1323">
        <f t="shared" si="232"/>
        <v>1</v>
      </c>
      <c r="I2171" s="1323">
        <f t="shared" si="233"/>
        <v>5</v>
      </c>
      <c r="J2171" s="1323"/>
      <c r="K2171" s="1323"/>
      <c r="L2171" s="1323"/>
      <c r="M2171" s="1323"/>
      <c r="N2171" s="1323"/>
      <c r="O2171" s="1323"/>
      <c r="P2171" s="1323"/>
      <c r="Q2171" s="1323"/>
      <c r="R2171" s="1304"/>
      <c r="S2171" s="1304"/>
      <c r="T2171" s="1304"/>
    </row>
    <row r="2172" spans="1:20">
      <c r="A2172" s="1303"/>
      <c r="B2172" s="1322" t="s">
        <v>6526</v>
      </c>
      <c r="C2172" s="1323" t="s">
        <v>6527</v>
      </c>
      <c r="D2172" s="1324">
        <f t="shared" si="228"/>
        <v>38721</v>
      </c>
      <c r="E2172" s="1323">
        <f t="shared" si="230"/>
        <v>6.1702000000000004</v>
      </c>
      <c r="F2172" s="1323">
        <f t="shared" si="229"/>
        <v>6.4713703576374701</v>
      </c>
      <c r="G2172" s="1323">
        <f t="shared" si="231"/>
        <v>2006</v>
      </c>
      <c r="H2172" s="1323">
        <f t="shared" si="232"/>
        <v>1</v>
      </c>
      <c r="I2172" s="1323">
        <f t="shared" si="233"/>
        <v>4</v>
      </c>
      <c r="J2172" s="1323"/>
      <c r="K2172" s="1323"/>
      <c r="L2172" s="1323"/>
      <c r="M2172" s="1323"/>
      <c r="N2172" s="1323"/>
      <c r="O2172" s="1323"/>
      <c r="P2172" s="1323"/>
      <c r="Q2172" s="1323"/>
      <c r="R2172" s="1304"/>
      <c r="S2172" s="1304"/>
      <c r="T2172" s="1304"/>
    </row>
    <row r="2173" spans="1:20">
      <c r="A2173" s="1303"/>
      <c r="B2173" s="1322" t="s">
        <v>6528</v>
      </c>
      <c r="C2173" s="1323" t="s">
        <v>6529</v>
      </c>
      <c r="D2173" s="1324">
        <f t="shared" si="228"/>
        <v>38720</v>
      </c>
      <c r="E2173" s="1323">
        <f t="shared" si="230"/>
        <v>6.2961</v>
      </c>
      <c r="F2173" s="1323">
        <f t="shared" si="229"/>
        <v>6.4701295108819581</v>
      </c>
      <c r="G2173" s="1323">
        <f t="shared" si="231"/>
        <v>2006</v>
      </c>
      <c r="H2173" s="1323">
        <f t="shared" si="232"/>
        <v>1</v>
      </c>
      <c r="I2173" s="1323">
        <f t="shared" si="233"/>
        <v>3</v>
      </c>
      <c r="J2173" s="1323"/>
      <c r="K2173" s="1323"/>
      <c r="L2173" s="1323"/>
      <c r="M2173" s="1323"/>
      <c r="N2173" s="1323"/>
      <c r="O2173" s="1323"/>
      <c r="P2173" s="1323"/>
      <c r="Q2173" s="1323"/>
      <c r="R2173" s="1304"/>
      <c r="S2173" s="1304"/>
      <c r="T2173" s="1304"/>
    </row>
    <row r="2174" spans="1:20">
      <c r="A2174" s="1303"/>
      <c r="B2174" s="1322" t="s">
        <v>6530</v>
      </c>
      <c r="C2174" s="1323" t="s">
        <v>6531</v>
      </c>
      <c r="D2174" s="1324">
        <f t="shared" si="228"/>
        <v>38716</v>
      </c>
      <c r="E2174" s="1323">
        <f t="shared" si="230"/>
        <v>6.3205</v>
      </c>
      <c r="F2174" s="1323">
        <f t="shared" si="229"/>
        <v>6.4688889020514271</v>
      </c>
      <c r="G2174" s="1323">
        <f t="shared" si="231"/>
        <v>2005</v>
      </c>
      <c r="H2174" s="1323">
        <f t="shared" si="232"/>
        <v>12</v>
      </c>
      <c r="I2174" s="1323">
        <f t="shared" si="233"/>
        <v>30</v>
      </c>
      <c r="J2174" s="1323"/>
      <c r="K2174" s="1323"/>
      <c r="L2174" s="1323"/>
      <c r="M2174" s="1323"/>
      <c r="N2174" s="1323"/>
      <c r="O2174" s="1323"/>
      <c r="P2174" s="1323"/>
      <c r="Q2174" s="1323"/>
      <c r="R2174" s="1304"/>
      <c r="S2174" s="1304"/>
      <c r="T2174" s="1304"/>
    </row>
    <row r="2175" spans="1:20">
      <c r="A2175" s="1303"/>
      <c r="B2175" s="1322" t="s">
        <v>6532</v>
      </c>
      <c r="C2175" s="1323" t="s">
        <v>6533</v>
      </c>
      <c r="D2175" s="1324">
        <f t="shared" si="228"/>
        <v>38715</v>
      </c>
      <c r="E2175" s="1323">
        <f t="shared" si="230"/>
        <v>6.3354999999999997</v>
      </c>
      <c r="F2175" s="1323">
        <f t="shared" si="229"/>
        <v>6.4676485311002567</v>
      </c>
      <c r="G2175" s="1323">
        <f t="shared" si="231"/>
        <v>2005</v>
      </c>
      <c r="H2175" s="1323">
        <f t="shared" si="232"/>
        <v>12</v>
      </c>
      <c r="I2175" s="1323">
        <f t="shared" si="233"/>
        <v>29</v>
      </c>
      <c r="J2175" s="1323"/>
      <c r="K2175" s="1323"/>
      <c r="L2175" s="1323"/>
      <c r="M2175" s="1323"/>
      <c r="N2175" s="1323"/>
      <c r="O2175" s="1323"/>
      <c r="P2175" s="1323"/>
      <c r="Q2175" s="1323"/>
      <c r="R2175" s="1304"/>
      <c r="S2175" s="1304"/>
      <c r="T2175" s="1304"/>
    </row>
    <row r="2176" spans="1:20">
      <c r="A2176" s="1303"/>
      <c r="B2176" s="1322" t="s">
        <v>6534</v>
      </c>
      <c r="C2176" s="1323" t="s">
        <v>6535</v>
      </c>
      <c r="D2176" s="1324">
        <f t="shared" si="228"/>
        <v>38714</v>
      </c>
      <c r="E2176" s="1323">
        <f t="shared" si="230"/>
        <v>6.3348000000000004</v>
      </c>
      <c r="F2176" s="1323">
        <f t="shared" si="229"/>
        <v>6.4664083979828355</v>
      </c>
      <c r="G2176" s="1323">
        <f t="shared" si="231"/>
        <v>2005</v>
      </c>
      <c r="H2176" s="1323">
        <f t="shared" si="232"/>
        <v>12</v>
      </c>
      <c r="I2176" s="1323">
        <f t="shared" si="233"/>
        <v>28</v>
      </c>
      <c r="J2176" s="1323"/>
      <c r="K2176" s="1323"/>
      <c r="L2176" s="1323"/>
      <c r="M2176" s="1323"/>
      <c r="N2176" s="1323"/>
      <c r="O2176" s="1323"/>
      <c r="P2176" s="1323"/>
      <c r="Q2176" s="1323"/>
      <c r="R2176" s="1304"/>
      <c r="S2176" s="1304"/>
      <c r="T2176" s="1304"/>
    </row>
    <row r="2177" spans="1:20">
      <c r="A2177" s="1303"/>
      <c r="B2177" s="1322" t="s">
        <v>6536</v>
      </c>
      <c r="C2177" s="1323" t="s">
        <v>6537</v>
      </c>
      <c r="D2177" s="1324">
        <f t="shared" si="228"/>
        <v>38713</v>
      </c>
      <c r="E2177" s="1323">
        <f t="shared" si="230"/>
        <v>6.3704999999999998</v>
      </c>
      <c r="F2177" s="1323">
        <f t="shared" si="229"/>
        <v>6.465168502653559</v>
      </c>
      <c r="G2177" s="1323">
        <f t="shared" si="231"/>
        <v>2005</v>
      </c>
      <c r="H2177" s="1323">
        <f t="shared" si="232"/>
        <v>12</v>
      </c>
      <c r="I2177" s="1323">
        <f t="shared" si="233"/>
        <v>27</v>
      </c>
      <c r="J2177" s="1323"/>
      <c r="K2177" s="1323"/>
      <c r="L2177" s="1323"/>
      <c r="M2177" s="1323"/>
      <c r="N2177" s="1323"/>
      <c r="O2177" s="1323"/>
      <c r="P2177" s="1323"/>
      <c r="Q2177" s="1323"/>
      <c r="R2177" s="1304"/>
      <c r="S2177" s="1304"/>
      <c r="T2177" s="1304"/>
    </row>
    <row r="2178" spans="1:20">
      <c r="A2178" s="1303"/>
      <c r="B2178" s="1322" t="s">
        <v>6538</v>
      </c>
      <c r="C2178" s="1323" t="s">
        <v>6539</v>
      </c>
      <c r="D2178" s="1324">
        <f t="shared" si="228"/>
        <v>38709</v>
      </c>
      <c r="E2178" s="1323">
        <f t="shared" si="230"/>
        <v>6.3754999999999997</v>
      </c>
      <c r="F2178" s="1323">
        <f t="shared" si="229"/>
        <v>6.4639288450668335</v>
      </c>
      <c r="G2178" s="1323">
        <f t="shared" si="231"/>
        <v>2005</v>
      </c>
      <c r="H2178" s="1323">
        <f t="shared" si="232"/>
        <v>12</v>
      </c>
      <c r="I2178" s="1323">
        <f t="shared" si="233"/>
        <v>23</v>
      </c>
      <c r="J2178" s="1323"/>
      <c r="K2178" s="1323"/>
      <c r="L2178" s="1323"/>
      <c r="M2178" s="1323"/>
      <c r="N2178" s="1323"/>
      <c r="O2178" s="1323"/>
      <c r="P2178" s="1323"/>
      <c r="Q2178" s="1323"/>
      <c r="R2178" s="1304"/>
      <c r="S2178" s="1304"/>
      <c r="T2178" s="1304"/>
    </row>
    <row r="2179" spans="1:20">
      <c r="A2179" s="1303"/>
      <c r="B2179" s="1322" t="s">
        <v>6540</v>
      </c>
      <c r="C2179" s="1323" t="s">
        <v>6541</v>
      </c>
      <c r="D2179" s="1324">
        <f t="shared" si="228"/>
        <v>38708</v>
      </c>
      <c r="E2179" s="1323">
        <f t="shared" si="230"/>
        <v>6.3875000000000002</v>
      </c>
      <c r="F2179" s="1323">
        <f t="shared" si="229"/>
        <v>6.4626894251770732</v>
      </c>
      <c r="G2179" s="1323">
        <f t="shared" si="231"/>
        <v>2005</v>
      </c>
      <c r="H2179" s="1323">
        <f t="shared" si="232"/>
        <v>12</v>
      </c>
      <c r="I2179" s="1323">
        <f t="shared" si="233"/>
        <v>22</v>
      </c>
      <c r="J2179" s="1323"/>
      <c r="K2179" s="1323"/>
      <c r="L2179" s="1323"/>
      <c r="M2179" s="1323"/>
      <c r="N2179" s="1323"/>
      <c r="O2179" s="1323"/>
      <c r="P2179" s="1323"/>
      <c r="Q2179" s="1323"/>
      <c r="R2179" s="1304"/>
      <c r="S2179" s="1304"/>
      <c r="T2179" s="1304"/>
    </row>
    <row r="2180" spans="1:20">
      <c r="A2180" s="1303"/>
      <c r="B2180" s="1322" t="s">
        <v>6542</v>
      </c>
      <c r="C2180" s="1323" t="s">
        <v>6543</v>
      </c>
      <c r="D2180" s="1324">
        <f t="shared" si="228"/>
        <v>38707</v>
      </c>
      <c r="E2180" s="1323">
        <f t="shared" si="230"/>
        <v>6.3832000000000004</v>
      </c>
      <c r="F2180" s="1323">
        <f t="shared" si="229"/>
        <v>6.4614502429387013</v>
      </c>
      <c r="G2180" s="1323">
        <f t="shared" si="231"/>
        <v>2005</v>
      </c>
      <c r="H2180" s="1323">
        <f t="shared" si="232"/>
        <v>12</v>
      </c>
      <c r="I2180" s="1323">
        <f t="shared" si="233"/>
        <v>21</v>
      </c>
      <c r="J2180" s="1323"/>
      <c r="K2180" s="1323"/>
      <c r="L2180" s="1323"/>
      <c r="M2180" s="1323"/>
      <c r="N2180" s="1323"/>
      <c r="O2180" s="1323"/>
      <c r="P2180" s="1323"/>
      <c r="Q2180" s="1323"/>
      <c r="R2180" s="1304"/>
      <c r="S2180" s="1304"/>
      <c r="T2180" s="1304"/>
    </row>
    <row r="2181" spans="1:20">
      <c r="A2181" s="1303"/>
      <c r="B2181" s="1322" t="s">
        <v>6544</v>
      </c>
      <c r="C2181" s="1323" t="s">
        <v>6545</v>
      </c>
      <c r="D2181" s="1324">
        <f t="shared" si="228"/>
        <v>38706</v>
      </c>
      <c r="E2181" s="1323">
        <f t="shared" si="230"/>
        <v>6.3644999999999996</v>
      </c>
      <c r="F2181" s="1323">
        <f t="shared" si="229"/>
        <v>6.4602112983061488</v>
      </c>
      <c r="G2181" s="1323">
        <f t="shared" si="231"/>
        <v>2005</v>
      </c>
      <c r="H2181" s="1323">
        <f t="shared" si="232"/>
        <v>12</v>
      </c>
      <c r="I2181" s="1323">
        <f t="shared" si="233"/>
        <v>20</v>
      </c>
      <c r="J2181" s="1323"/>
      <c r="K2181" s="1323"/>
      <c r="L2181" s="1323"/>
      <c r="M2181" s="1323"/>
      <c r="N2181" s="1323"/>
      <c r="O2181" s="1323"/>
      <c r="P2181" s="1323"/>
      <c r="Q2181" s="1323"/>
      <c r="R2181" s="1304"/>
      <c r="S2181" s="1304"/>
      <c r="T2181" s="1304"/>
    </row>
    <row r="2182" spans="1:20">
      <c r="A2182" s="1303"/>
      <c r="B2182" s="1322" t="s">
        <v>6546</v>
      </c>
      <c r="C2182" s="1323" t="s">
        <v>6547</v>
      </c>
      <c r="D2182" s="1324">
        <f t="shared" si="228"/>
        <v>38705</v>
      </c>
      <c r="E2182" s="1323">
        <f t="shared" si="230"/>
        <v>6.3874000000000004</v>
      </c>
      <c r="F2182" s="1323">
        <f t="shared" si="229"/>
        <v>6.4589725912338576</v>
      </c>
      <c r="G2182" s="1323">
        <f t="shared" si="231"/>
        <v>2005</v>
      </c>
      <c r="H2182" s="1323">
        <f t="shared" si="232"/>
        <v>12</v>
      </c>
      <c r="I2182" s="1323">
        <f t="shared" si="233"/>
        <v>19</v>
      </c>
      <c r="J2182" s="1323"/>
      <c r="K2182" s="1323"/>
      <c r="L2182" s="1323"/>
      <c r="M2182" s="1323"/>
      <c r="N2182" s="1323"/>
      <c r="O2182" s="1323"/>
      <c r="P2182" s="1323"/>
      <c r="Q2182" s="1323"/>
      <c r="R2182" s="1304"/>
      <c r="S2182" s="1304"/>
      <c r="T2182" s="1304"/>
    </row>
    <row r="2183" spans="1:20">
      <c r="A2183" s="1303"/>
      <c r="B2183" s="1322" t="s">
        <v>6548</v>
      </c>
      <c r="C2183" s="1323" t="s">
        <v>6549</v>
      </c>
      <c r="D2183" s="1324">
        <f t="shared" si="228"/>
        <v>38701</v>
      </c>
      <c r="E2183" s="1323">
        <f t="shared" si="230"/>
        <v>6.3567999999999998</v>
      </c>
      <c r="F2183" s="1323">
        <f t="shared" si="229"/>
        <v>6.4577341216762756</v>
      </c>
      <c r="G2183" s="1323">
        <f t="shared" si="231"/>
        <v>2005</v>
      </c>
      <c r="H2183" s="1323">
        <f t="shared" si="232"/>
        <v>12</v>
      </c>
      <c r="I2183" s="1323">
        <f t="shared" si="233"/>
        <v>15</v>
      </c>
      <c r="J2183" s="1323"/>
      <c r="K2183" s="1323"/>
      <c r="L2183" s="1323"/>
      <c r="M2183" s="1323"/>
      <c r="N2183" s="1323"/>
      <c r="O2183" s="1323"/>
      <c r="P2183" s="1323"/>
      <c r="Q2183" s="1323"/>
      <c r="R2183" s="1304"/>
      <c r="S2183" s="1304"/>
      <c r="T2183" s="1304"/>
    </row>
    <row r="2184" spans="1:20">
      <c r="A2184" s="1303"/>
      <c r="B2184" s="1322" t="s">
        <v>6550</v>
      </c>
      <c r="C2184" s="1323" t="s">
        <v>6551</v>
      </c>
      <c r="D2184" s="1324">
        <f t="shared" si="228"/>
        <v>38700</v>
      </c>
      <c r="E2184" s="1323">
        <f t="shared" si="230"/>
        <v>6.2629000000000001</v>
      </c>
      <c r="F2184" s="1323">
        <f t="shared" si="229"/>
        <v>6.4564958895878615</v>
      </c>
      <c r="G2184" s="1323">
        <f t="shared" si="231"/>
        <v>2005</v>
      </c>
      <c r="H2184" s="1323">
        <f t="shared" si="232"/>
        <v>12</v>
      </c>
      <c r="I2184" s="1323">
        <f t="shared" si="233"/>
        <v>14</v>
      </c>
      <c r="J2184" s="1323"/>
      <c r="K2184" s="1323"/>
      <c r="L2184" s="1323"/>
      <c r="M2184" s="1323"/>
      <c r="N2184" s="1323"/>
      <c r="O2184" s="1323"/>
      <c r="P2184" s="1323"/>
      <c r="Q2184" s="1323"/>
      <c r="R2184" s="1304"/>
      <c r="S2184" s="1304"/>
      <c r="T2184" s="1304"/>
    </row>
    <row r="2185" spans="1:20">
      <c r="A2185" s="1303"/>
      <c r="B2185" s="1322" t="s">
        <v>6552</v>
      </c>
      <c r="C2185" s="1323" t="s">
        <v>6553</v>
      </c>
      <c r="D2185" s="1324">
        <f t="shared" ref="D2185:D2248" si="234">DATE(G2185,H2185,I2185)</f>
        <v>38699</v>
      </c>
      <c r="E2185" s="1323">
        <f t="shared" si="230"/>
        <v>6.3449</v>
      </c>
      <c r="F2185" s="1323">
        <f t="shared" ref="F2185:F2248" si="235">F2186*(1+$F$7/365)</f>
        <v>6.4552578949230819</v>
      </c>
      <c r="G2185" s="1323">
        <f t="shared" si="231"/>
        <v>2005</v>
      </c>
      <c r="H2185" s="1323">
        <f t="shared" si="232"/>
        <v>12</v>
      </c>
      <c r="I2185" s="1323">
        <f t="shared" si="233"/>
        <v>13</v>
      </c>
      <c r="J2185" s="1323"/>
      <c r="K2185" s="1323"/>
      <c r="L2185" s="1323"/>
      <c r="M2185" s="1323"/>
      <c r="N2185" s="1323"/>
      <c r="O2185" s="1323"/>
      <c r="P2185" s="1323"/>
      <c r="Q2185" s="1323"/>
      <c r="R2185" s="1304"/>
      <c r="S2185" s="1304"/>
      <c r="T2185" s="1304"/>
    </row>
    <row r="2186" spans="1:20">
      <c r="A2186" s="1303"/>
      <c r="B2186" s="1322" t="s">
        <v>6554</v>
      </c>
      <c r="C2186" s="1323" t="s">
        <v>6555</v>
      </c>
      <c r="D2186" s="1324">
        <f t="shared" si="234"/>
        <v>38698</v>
      </c>
      <c r="E2186" s="1323">
        <f t="shared" si="230"/>
        <v>6.3627000000000002</v>
      </c>
      <c r="F2186" s="1323">
        <f t="shared" si="235"/>
        <v>6.4540201376364115</v>
      </c>
      <c r="G2186" s="1323">
        <f t="shared" si="231"/>
        <v>2005</v>
      </c>
      <c r="H2186" s="1323">
        <f t="shared" si="232"/>
        <v>12</v>
      </c>
      <c r="I2186" s="1323">
        <f t="shared" si="233"/>
        <v>12</v>
      </c>
      <c r="J2186" s="1323"/>
      <c r="K2186" s="1323"/>
      <c r="L2186" s="1323"/>
      <c r="M2186" s="1323"/>
      <c r="N2186" s="1323"/>
      <c r="O2186" s="1323"/>
      <c r="P2186" s="1323"/>
      <c r="Q2186" s="1323"/>
      <c r="R2186" s="1304"/>
      <c r="S2186" s="1304"/>
      <c r="T2186" s="1304"/>
    </row>
    <row r="2187" spans="1:20">
      <c r="A2187" s="1303"/>
      <c r="B2187" s="1322" t="s">
        <v>6556</v>
      </c>
      <c r="C2187" s="1323" t="s">
        <v>6557</v>
      </c>
      <c r="D2187" s="1324">
        <f t="shared" si="234"/>
        <v>38695</v>
      </c>
      <c r="E2187" s="1323">
        <f t="shared" si="230"/>
        <v>6.3630000000000004</v>
      </c>
      <c r="F2187" s="1323">
        <f t="shared" si="235"/>
        <v>6.4527826176823355</v>
      </c>
      <c r="G2187" s="1323">
        <f t="shared" si="231"/>
        <v>2005</v>
      </c>
      <c r="H2187" s="1323">
        <f t="shared" si="232"/>
        <v>12</v>
      </c>
      <c r="I2187" s="1323">
        <f t="shared" si="233"/>
        <v>9</v>
      </c>
      <c r="J2187" s="1323"/>
      <c r="K2187" s="1323"/>
      <c r="L2187" s="1323"/>
      <c r="M2187" s="1323"/>
      <c r="N2187" s="1323"/>
      <c r="O2187" s="1323"/>
      <c r="P2187" s="1323"/>
      <c r="Q2187" s="1323"/>
      <c r="R2187" s="1304"/>
      <c r="S2187" s="1304"/>
      <c r="T2187" s="1304"/>
    </row>
    <row r="2188" spans="1:20">
      <c r="A2188" s="1303"/>
      <c r="B2188" s="1322" t="s">
        <v>6558</v>
      </c>
      <c r="C2188" s="1323" t="s">
        <v>6559</v>
      </c>
      <c r="D2188" s="1324">
        <f t="shared" si="234"/>
        <v>38694</v>
      </c>
      <c r="E2188" s="1323">
        <f t="shared" si="230"/>
        <v>6.3207000000000004</v>
      </c>
      <c r="F2188" s="1323">
        <f t="shared" si="235"/>
        <v>6.4515453350153464</v>
      </c>
      <c r="G2188" s="1323">
        <f t="shared" si="231"/>
        <v>2005</v>
      </c>
      <c r="H2188" s="1323">
        <f t="shared" si="232"/>
        <v>12</v>
      </c>
      <c r="I2188" s="1323">
        <f t="shared" si="233"/>
        <v>8</v>
      </c>
      <c r="J2188" s="1323"/>
      <c r="K2188" s="1323"/>
      <c r="L2188" s="1323"/>
      <c r="M2188" s="1323"/>
      <c r="N2188" s="1323"/>
      <c r="O2188" s="1323"/>
      <c r="P2188" s="1323"/>
      <c r="Q2188" s="1323"/>
      <c r="R2188" s="1304"/>
      <c r="S2188" s="1304"/>
      <c r="T2188" s="1304"/>
    </row>
    <row r="2189" spans="1:20">
      <c r="A2189" s="1303"/>
      <c r="B2189" s="1322" t="s">
        <v>6560</v>
      </c>
      <c r="C2189" s="1323" t="s">
        <v>6561</v>
      </c>
      <c r="D2189" s="1324">
        <f t="shared" si="234"/>
        <v>38693</v>
      </c>
      <c r="E2189" s="1323">
        <f t="shared" si="230"/>
        <v>6.3079000000000001</v>
      </c>
      <c r="F2189" s="1323">
        <f t="shared" si="235"/>
        <v>6.4503082895899455</v>
      </c>
      <c r="G2189" s="1323">
        <f t="shared" si="231"/>
        <v>2005</v>
      </c>
      <c r="H2189" s="1323">
        <f t="shared" si="232"/>
        <v>12</v>
      </c>
      <c r="I2189" s="1323">
        <f t="shared" si="233"/>
        <v>7</v>
      </c>
      <c r="J2189" s="1323"/>
      <c r="K2189" s="1323"/>
      <c r="L2189" s="1323"/>
      <c r="M2189" s="1323"/>
      <c r="N2189" s="1323"/>
      <c r="O2189" s="1323"/>
      <c r="P2189" s="1323"/>
      <c r="Q2189" s="1323"/>
      <c r="R2189" s="1304"/>
      <c r="S2189" s="1304"/>
      <c r="T2189" s="1304"/>
    </row>
    <row r="2190" spans="1:20">
      <c r="A2190" s="1303"/>
      <c r="B2190" s="1322" t="s">
        <v>6562</v>
      </c>
      <c r="C2190" s="1323" t="s">
        <v>6563</v>
      </c>
      <c r="D2190" s="1324">
        <f t="shared" si="234"/>
        <v>38692</v>
      </c>
      <c r="E2190" s="1323">
        <f t="shared" si="230"/>
        <v>6.3216999999999999</v>
      </c>
      <c r="F2190" s="1323">
        <f t="shared" si="235"/>
        <v>6.4490714813606429</v>
      </c>
      <c r="G2190" s="1323">
        <f t="shared" si="231"/>
        <v>2005</v>
      </c>
      <c r="H2190" s="1323">
        <f t="shared" si="232"/>
        <v>12</v>
      </c>
      <c r="I2190" s="1323">
        <f t="shared" si="233"/>
        <v>6</v>
      </c>
      <c r="J2190" s="1323"/>
      <c r="K2190" s="1323"/>
      <c r="L2190" s="1323"/>
      <c r="M2190" s="1323"/>
      <c r="N2190" s="1323"/>
      <c r="O2190" s="1323"/>
      <c r="P2190" s="1323"/>
      <c r="Q2190" s="1323"/>
      <c r="R2190" s="1304"/>
      <c r="S2190" s="1304"/>
      <c r="T2190" s="1304"/>
    </row>
    <row r="2191" spans="1:20">
      <c r="A2191" s="1303"/>
      <c r="B2191" s="1322" t="s">
        <v>6564</v>
      </c>
      <c r="C2191" s="1323" t="s">
        <v>6565</v>
      </c>
      <c r="D2191" s="1324">
        <f t="shared" si="234"/>
        <v>38691</v>
      </c>
      <c r="E2191" s="1323">
        <f t="shared" si="230"/>
        <v>6.3905000000000003</v>
      </c>
      <c r="F2191" s="1323">
        <f t="shared" si="235"/>
        <v>6.4478349102819585</v>
      </c>
      <c r="G2191" s="1323">
        <f t="shared" si="231"/>
        <v>2005</v>
      </c>
      <c r="H2191" s="1323">
        <f t="shared" si="232"/>
        <v>12</v>
      </c>
      <c r="I2191" s="1323">
        <f t="shared" si="233"/>
        <v>5</v>
      </c>
      <c r="J2191" s="1323"/>
      <c r="K2191" s="1323"/>
      <c r="L2191" s="1323"/>
      <c r="M2191" s="1323"/>
      <c r="N2191" s="1323"/>
      <c r="O2191" s="1323"/>
      <c r="P2191" s="1323"/>
      <c r="Q2191" s="1323"/>
      <c r="R2191" s="1304"/>
      <c r="S2191" s="1304"/>
      <c r="T2191" s="1304"/>
    </row>
    <row r="2192" spans="1:20">
      <c r="A2192" s="1303"/>
      <c r="B2192" s="1322" t="s">
        <v>6566</v>
      </c>
      <c r="C2192" s="1323" t="s">
        <v>6567</v>
      </c>
      <c r="D2192" s="1324">
        <f t="shared" si="234"/>
        <v>38688</v>
      </c>
      <c r="E2192" s="1323">
        <f t="shared" si="230"/>
        <v>6.4283999999999999</v>
      </c>
      <c r="F2192" s="1323">
        <f t="shared" si="235"/>
        <v>6.4465985763084195</v>
      </c>
      <c r="G2192" s="1323">
        <f t="shared" si="231"/>
        <v>2005</v>
      </c>
      <c r="H2192" s="1323">
        <f t="shared" si="232"/>
        <v>12</v>
      </c>
      <c r="I2192" s="1323">
        <f t="shared" si="233"/>
        <v>2</v>
      </c>
      <c r="J2192" s="1323"/>
      <c r="K2192" s="1323"/>
      <c r="L2192" s="1323"/>
      <c r="M2192" s="1323"/>
      <c r="N2192" s="1323"/>
      <c r="O2192" s="1323"/>
      <c r="P2192" s="1323"/>
      <c r="Q2192" s="1323"/>
      <c r="R2192" s="1304"/>
      <c r="S2192" s="1304"/>
      <c r="T2192" s="1304"/>
    </row>
    <row r="2193" spans="1:20">
      <c r="A2193" s="1303"/>
      <c r="B2193" s="1322" t="s">
        <v>6568</v>
      </c>
      <c r="C2193" s="1323" t="s">
        <v>6569</v>
      </c>
      <c r="D2193" s="1324">
        <f t="shared" si="234"/>
        <v>38687</v>
      </c>
      <c r="E2193" s="1323">
        <f t="shared" si="230"/>
        <v>6.4691999999999998</v>
      </c>
      <c r="F2193" s="1323">
        <f t="shared" si="235"/>
        <v>6.4453624793945625</v>
      </c>
      <c r="G2193" s="1323">
        <f t="shared" si="231"/>
        <v>2005</v>
      </c>
      <c r="H2193" s="1323">
        <f t="shared" si="232"/>
        <v>12</v>
      </c>
      <c r="I2193" s="1323">
        <f t="shared" si="233"/>
        <v>1</v>
      </c>
      <c r="J2193" s="1323"/>
      <c r="K2193" s="1323"/>
      <c r="L2193" s="1323"/>
      <c r="M2193" s="1323"/>
      <c r="N2193" s="1323"/>
      <c r="O2193" s="1323"/>
      <c r="P2193" s="1323"/>
      <c r="Q2193" s="1323"/>
      <c r="R2193" s="1304"/>
      <c r="S2193" s="1304"/>
      <c r="T2193" s="1304"/>
    </row>
    <row r="2194" spans="1:20">
      <c r="A2194" s="1303"/>
      <c r="B2194" s="1322" t="s">
        <v>6570</v>
      </c>
      <c r="C2194" s="1323" t="s">
        <v>6571</v>
      </c>
      <c r="D2194" s="1324">
        <f t="shared" si="234"/>
        <v>38686</v>
      </c>
      <c r="E2194" s="1323">
        <f t="shared" si="230"/>
        <v>6.4752999999999998</v>
      </c>
      <c r="F2194" s="1323">
        <f t="shared" si="235"/>
        <v>6.4441266194949334</v>
      </c>
      <c r="G2194" s="1323">
        <f t="shared" si="231"/>
        <v>2005</v>
      </c>
      <c r="H2194" s="1323">
        <f t="shared" si="232"/>
        <v>11</v>
      </c>
      <c r="I2194" s="1323">
        <f t="shared" si="233"/>
        <v>30</v>
      </c>
      <c r="J2194" s="1323"/>
      <c r="K2194" s="1323"/>
      <c r="L2194" s="1323"/>
      <c r="M2194" s="1323"/>
      <c r="N2194" s="1323"/>
      <c r="O2194" s="1323"/>
      <c r="P2194" s="1323"/>
      <c r="Q2194" s="1323"/>
      <c r="R2194" s="1304"/>
      <c r="S2194" s="1304"/>
      <c r="T2194" s="1304"/>
    </row>
    <row r="2195" spans="1:20">
      <c r="A2195" s="1303"/>
      <c r="B2195" s="1322" t="s">
        <v>6572</v>
      </c>
      <c r="C2195" s="1323" t="s">
        <v>6573</v>
      </c>
      <c r="D2195" s="1324">
        <f t="shared" si="234"/>
        <v>38685</v>
      </c>
      <c r="E2195" s="1323">
        <f t="shared" si="230"/>
        <v>6.4836999999999998</v>
      </c>
      <c r="F2195" s="1323">
        <f t="shared" si="235"/>
        <v>6.4428909965640848</v>
      </c>
      <c r="G2195" s="1323">
        <f t="shared" si="231"/>
        <v>2005</v>
      </c>
      <c r="H2195" s="1323">
        <f t="shared" si="232"/>
        <v>11</v>
      </c>
      <c r="I2195" s="1323">
        <f t="shared" si="233"/>
        <v>29</v>
      </c>
      <c r="J2195" s="1323"/>
      <c r="K2195" s="1323"/>
      <c r="L2195" s="1323"/>
      <c r="M2195" s="1323"/>
      <c r="N2195" s="1323"/>
      <c r="O2195" s="1323"/>
      <c r="P2195" s="1323"/>
      <c r="Q2195" s="1323"/>
      <c r="R2195" s="1304"/>
      <c r="S2195" s="1304"/>
      <c r="T2195" s="1304"/>
    </row>
    <row r="2196" spans="1:20">
      <c r="A2196" s="1303"/>
      <c r="B2196" s="1322" t="s">
        <v>6574</v>
      </c>
      <c r="C2196" s="1323" t="s">
        <v>6575</v>
      </c>
      <c r="D2196" s="1324">
        <f t="shared" si="234"/>
        <v>38684</v>
      </c>
      <c r="E2196" s="1323">
        <f t="shared" si="230"/>
        <v>6.5340999999999996</v>
      </c>
      <c r="F2196" s="1323">
        <f t="shared" si="235"/>
        <v>6.4416556105565803</v>
      </c>
      <c r="G2196" s="1323">
        <f t="shared" si="231"/>
        <v>2005</v>
      </c>
      <c r="H2196" s="1323">
        <f t="shared" si="232"/>
        <v>11</v>
      </c>
      <c r="I2196" s="1323">
        <f t="shared" si="233"/>
        <v>28</v>
      </c>
      <c r="J2196" s="1323"/>
      <c r="K2196" s="1323"/>
      <c r="L2196" s="1323"/>
      <c r="M2196" s="1323"/>
      <c r="N2196" s="1323"/>
      <c r="O2196" s="1323"/>
      <c r="P2196" s="1323"/>
      <c r="Q2196" s="1323"/>
      <c r="R2196" s="1304"/>
      <c r="S2196" s="1304"/>
      <c r="T2196" s="1304"/>
    </row>
    <row r="2197" spans="1:20">
      <c r="A2197" s="1303"/>
      <c r="B2197" s="1322" t="s">
        <v>6576</v>
      </c>
      <c r="C2197" s="1323" t="s">
        <v>6577</v>
      </c>
      <c r="D2197" s="1324">
        <f t="shared" si="234"/>
        <v>38681</v>
      </c>
      <c r="E2197" s="1323">
        <f t="shared" si="230"/>
        <v>6.5256999999999996</v>
      </c>
      <c r="F2197" s="1323">
        <f t="shared" si="235"/>
        <v>6.4404204614269913</v>
      </c>
      <c r="G2197" s="1323">
        <f t="shared" si="231"/>
        <v>2005</v>
      </c>
      <c r="H2197" s="1323">
        <f t="shared" si="232"/>
        <v>11</v>
      </c>
      <c r="I2197" s="1323">
        <f t="shared" si="233"/>
        <v>25</v>
      </c>
      <c r="J2197" s="1323"/>
      <c r="K2197" s="1323"/>
      <c r="L2197" s="1323"/>
      <c r="M2197" s="1323"/>
      <c r="N2197" s="1323"/>
      <c r="O2197" s="1323"/>
      <c r="P2197" s="1323"/>
      <c r="Q2197" s="1323"/>
      <c r="R2197" s="1304"/>
      <c r="S2197" s="1304"/>
      <c r="T2197" s="1304"/>
    </row>
    <row r="2198" spans="1:20">
      <c r="A2198" s="1303"/>
      <c r="B2198" s="1322" t="s">
        <v>6578</v>
      </c>
      <c r="C2198" s="1323" t="s">
        <v>6579</v>
      </c>
      <c r="D2198" s="1324">
        <f t="shared" si="234"/>
        <v>38680</v>
      </c>
      <c r="E2198" s="1323">
        <f t="shared" ref="E2198:E2261" si="236">VALUE(C2199)</f>
        <v>6.5175000000000001</v>
      </c>
      <c r="F2198" s="1323">
        <f t="shared" si="235"/>
        <v>6.4391855491298973</v>
      </c>
      <c r="G2198" s="1323">
        <f t="shared" ref="G2198:G2261" si="237">YEAR(B2199)</f>
        <v>2005</v>
      </c>
      <c r="H2198" s="1323">
        <f t="shared" ref="H2198:H2261" si="238">MONTH(B2199)</f>
        <v>11</v>
      </c>
      <c r="I2198" s="1323">
        <f t="shared" ref="I2198:I2261" si="239">DAY(B2199)</f>
        <v>24</v>
      </c>
      <c r="J2198" s="1323"/>
      <c r="K2198" s="1323"/>
      <c r="L2198" s="1323"/>
      <c r="M2198" s="1323"/>
      <c r="N2198" s="1323"/>
      <c r="O2198" s="1323"/>
      <c r="P2198" s="1323"/>
      <c r="Q2198" s="1323"/>
      <c r="R2198" s="1304"/>
      <c r="S2198" s="1304"/>
      <c r="T2198" s="1304"/>
    </row>
    <row r="2199" spans="1:20">
      <c r="A2199" s="1303"/>
      <c r="B2199" s="1322" t="s">
        <v>6580</v>
      </c>
      <c r="C2199" s="1323" t="s">
        <v>6581</v>
      </c>
      <c r="D2199" s="1324">
        <f t="shared" si="234"/>
        <v>38679</v>
      </c>
      <c r="E2199" s="1323">
        <f t="shared" si="236"/>
        <v>6.5869</v>
      </c>
      <c r="F2199" s="1323">
        <f t="shared" si="235"/>
        <v>6.4379508736198874</v>
      </c>
      <c r="G2199" s="1323">
        <f t="shared" si="237"/>
        <v>2005</v>
      </c>
      <c r="H2199" s="1323">
        <f t="shared" si="238"/>
        <v>11</v>
      </c>
      <c r="I2199" s="1323">
        <f t="shared" si="239"/>
        <v>23</v>
      </c>
      <c r="J2199" s="1323"/>
      <c r="K2199" s="1323"/>
      <c r="L2199" s="1323"/>
      <c r="M2199" s="1323"/>
      <c r="N2199" s="1323"/>
      <c r="O2199" s="1323"/>
      <c r="P2199" s="1323"/>
      <c r="Q2199" s="1323"/>
      <c r="R2199" s="1304"/>
      <c r="S2199" s="1304"/>
      <c r="T2199" s="1304"/>
    </row>
    <row r="2200" spans="1:20">
      <c r="A2200" s="1303"/>
      <c r="B2200" s="1322" t="s">
        <v>6582</v>
      </c>
      <c r="C2200" s="1323" t="s">
        <v>6583</v>
      </c>
      <c r="D2200" s="1324">
        <f t="shared" si="234"/>
        <v>38678</v>
      </c>
      <c r="E2200" s="1323">
        <f t="shared" si="236"/>
        <v>6.6196000000000002</v>
      </c>
      <c r="F2200" s="1323">
        <f t="shared" si="235"/>
        <v>6.4367164348515598</v>
      </c>
      <c r="G2200" s="1323">
        <f t="shared" si="237"/>
        <v>2005</v>
      </c>
      <c r="H2200" s="1323">
        <f t="shared" si="238"/>
        <v>11</v>
      </c>
      <c r="I2200" s="1323">
        <f t="shared" si="239"/>
        <v>22</v>
      </c>
      <c r="J2200" s="1323"/>
      <c r="K2200" s="1323"/>
      <c r="L2200" s="1323"/>
      <c r="M2200" s="1323"/>
      <c r="N2200" s="1323"/>
      <c r="O2200" s="1323"/>
      <c r="P2200" s="1323"/>
      <c r="Q2200" s="1323"/>
      <c r="R2200" s="1304"/>
      <c r="S2200" s="1304"/>
      <c r="T2200" s="1304"/>
    </row>
    <row r="2201" spans="1:20">
      <c r="A2201" s="1303"/>
      <c r="B2201" s="1322" t="s">
        <v>6584</v>
      </c>
      <c r="C2201" s="1323" t="s">
        <v>6585</v>
      </c>
      <c r="D2201" s="1324">
        <f t="shared" si="234"/>
        <v>38677</v>
      </c>
      <c r="E2201" s="1323">
        <f t="shared" si="236"/>
        <v>6.6582999999999997</v>
      </c>
      <c r="F2201" s="1323">
        <f t="shared" si="235"/>
        <v>6.4354822327795196</v>
      </c>
      <c r="G2201" s="1323">
        <f t="shared" si="237"/>
        <v>2005</v>
      </c>
      <c r="H2201" s="1323">
        <f t="shared" si="238"/>
        <v>11</v>
      </c>
      <c r="I2201" s="1323">
        <f t="shared" si="239"/>
        <v>21</v>
      </c>
      <c r="J2201" s="1323"/>
      <c r="K2201" s="1323"/>
      <c r="L2201" s="1323"/>
      <c r="M2201" s="1323"/>
      <c r="N2201" s="1323"/>
      <c r="O2201" s="1323"/>
      <c r="P2201" s="1323"/>
      <c r="Q2201" s="1323"/>
      <c r="R2201" s="1304"/>
      <c r="S2201" s="1304"/>
      <c r="T2201" s="1304"/>
    </row>
    <row r="2202" spans="1:20">
      <c r="A2202" s="1303"/>
      <c r="B2202" s="1322" t="s">
        <v>6586</v>
      </c>
      <c r="C2202" s="1323" t="s">
        <v>6587</v>
      </c>
      <c r="D2202" s="1324">
        <f t="shared" si="234"/>
        <v>38674</v>
      </c>
      <c r="E2202" s="1323">
        <f t="shared" si="236"/>
        <v>6.7141000000000002</v>
      </c>
      <c r="F2202" s="1323">
        <f t="shared" si="235"/>
        <v>6.4342482673583818</v>
      </c>
      <c r="G2202" s="1323">
        <f t="shared" si="237"/>
        <v>2005</v>
      </c>
      <c r="H2202" s="1323">
        <f t="shared" si="238"/>
        <v>11</v>
      </c>
      <c r="I2202" s="1323">
        <f t="shared" si="239"/>
        <v>18</v>
      </c>
      <c r="J2202" s="1323"/>
      <c r="K2202" s="1323"/>
      <c r="L2202" s="1323"/>
      <c r="M2202" s="1323"/>
      <c r="N2202" s="1323"/>
      <c r="O2202" s="1323"/>
      <c r="P2202" s="1323"/>
      <c r="Q2202" s="1323"/>
      <c r="R2202" s="1304"/>
      <c r="S2202" s="1304"/>
      <c r="T2202" s="1304"/>
    </row>
    <row r="2203" spans="1:20">
      <c r="A2203" s="1303"/>
      <c r="B2203" s="1322" t="s">
        <v>6588</v>
      </c>
      <c r="C2203" s="1323" t="s">
        <v>6589</v>
      </c>
      <c r="D2203" s="1324">
        <f t="shared" si="234"/>
        <v>38673</v>
      </c>
      <c r="E2203" s="1323">
        <f t="shared" si="236"/>
        <v>6.7374999999999998</v>
      </c>
      <c r="F2203" s="1323">
        <f t="shared" si="235"/>
        <v>6.4330145385427704</v>
      </c>
      <c r="G2203" s="1323">
        <f t="shared" si="237"/>
        <v>2005</v>
      </c>
      <c r="H2203" s="1323">
        <f t="shared" si="238"/>
        <v>11</v>
      </c>
      <c r="I2203" s="1323">
        <f t="shared" si="239"/>
        <v>17</v>
      </c>
      <c r="J2203" s="1323"/>
      <c r="K2203" s="1323"/>
      <c r="L2203" s="1323"/>
      <c r="M2203" s="1323"/>
      <c r="N2203" s="1323"/>
      <c r="O2203" s="1323"/>
      <c r="P2203" s="1323"/>
      <c r="Q2203" s="1323"/>
      <c r="R2203" s="1304"/>
      <c r="S2203" s="1304"/>
      <c r="T2203" s="1304"/>
    </row>
    <row r="2204" spans="1:20">
      <c r="A2204" s="1303"/>
      <c r="B2204" s="1322" t="s">
        <v>6590</v>
      </c>
      <c r="C2204" s="1323" t="s">
        <v>6591</v>
      </c>
      <c r="D2204" s="1324">
        <f t="shared" si="234"/>
        <v>38672</v>
      </c>
      <c r="E2204" s="1323">
        <f t="shared" si="236"/>
        <v>6.76</v>
      </c>
      <c r="F2204" s="1323">
        <f t="shared" si="235"/>
        <v>6.4317810462873179</v>
      </c>
      <c r="G2204" s="1323">
        <f t="shared" si="237"/>
        <v>2005</v>
      </c>
      <c r="H2204" s="1323">
        <f t="shared" si="238"/>
        <v>11</v>
      </c>
      <c r="I2204" s="1323">
        <f t="shared" si="239"/>
        <v>16</v>
      </c>
      <c r="J2204" s="1323"/>
      <c r="K2204" s="1323"/>
      <c r="L2204" s="1323"/>
      <c r="M2204" s="1323"/>
      <c r="N2204" s="1323"/>
      <c r="O2204" s="1323"/>
      <c r="P2204" s="1323"/>
      <c r="Q2204" s="1323"/>
      <c r="R2204" s="1304"/>
      <c r="S2204" s="1304"/>
      <c r="T2204" s="1304"/>
    </row>
    <row r="2205" spans="1:20">
      <c r="A2205" s="1303"/>
      <c r="B2205" s="1322" t="s">
        <v>6592</v>
      </c>
      <c r="C2205" s="1323" t="s">
        <v>6593</v>
      </c>
      <c r="D2205" s="1324">
        <f t="shared" si="234"/>
        <v>38671</v>
      </c>
      <c r="E2205" s="1323">
        <f t="shared" si="236"/>
        <v>6.7732999999999999</v>
      </c>
      <c r="F2205" s="1323">
        <f t="shared" si="235"/>
        <v>6.4305477905466653</v>
      </c>
      <c r="G2205" s="1323">
        <f t="shared" si="237"/>
        <v>2005</v>
      </c>
      <c r="H2205" s="1323">
        <f t="shared" si="238"/>
        <v>11</v>
      </c>
      <c r="I2205" s="1323">
        <f t="shared" si="239"/>
        <v>15</v>
      </c>
      <c r="J2205" s="1323"/>
      <c r="K2205" s="1323"/>
      <c r="L2205" s="1323"/>
      <c r="M2205" s="1323"/>
      <c r="N2205" s="1323"/>
      <c r="O2205" s="1323"/>
      <c r="P2205" s="1323"/>
      <c r="Q2205" s="1323"/>
      <c r="R2205" s="1304"/>
      <c r="S2205" s="1304"/>
      <c r="T2205" s="1304"/>
    </row>
    <row r="2206" spans="1:20">
      <c r="A2206" s="1303"/>
      <c r="B2206" s="1322" t="s">
        <v>6594</v>
      </c>
      <c r="C2206" s="1323" t="s">
        <v>6595</v>
      </c>
      <c r="D2206" s="1324">
        <f t="shared" si="234"/>
        <v>38670</v>
      </c>
      <c r="E2206" s="1323">
        <f t="shared" si="236"/>
        <v>6.718</v>
      </c>
      <c r="F2206" s="1323">
        <f t="shared" si="235"/>
        <v>6.4293147712754619</v>
      </c>
      <c r="G2206" s="1323">
        <f t="shared" si="237"/>
        <v>2005</v>
      </c>
      <c r="H2206" s="1323">
        <f t="shared" si="238"/>
        <v>11</v>
      </c>
      <c r="I2206" s="1323">
        <f t="shared" si="239"/>
        <v>14</v>
      </c>
      <c r="J2206" s="1323"/>
      <c r="K2206" s="1323"/>
      <c r="L2206" s="1323"/>
      <c r="M2206" s="1323"/>
      <c r="N2206" s="1323"/>
      <c r="O2206" s="1323"/>
      <c r="P2206" s="1323"/>
      <c r="Q2206" s="1323"/>
      <c r="R2206" s="1304"/>
      <c r="S2206" s="1304"/>
      <c r="T2206" s="1304"/>
    </row>
    <row r="2207" spans="1:20">
      <c r="A2207" s="1303"/>
      <c r="B2207" s="1322" t="s">
        <v>6596</v>
      </c>
      <c r="C2207" s="1323" t="s">
        <v>6597</v>
      </c>
      <c r="D2207" s="1324">
        <f t="shared" si="234"/>
        <v>38667</v>
      </c>
      <c r="E2207" s="1323">
        <f t="shared" si="236"/>
        <v>6.7668999999999997</v>
      </c>
      <c r="F2207" s="1323">
        <f t="shared" si="235"/>
        <v>6.4280819884283655</v>
      </c>
      <c r="G2207" s="1323">
        <f t="shared" si="237"/>
        <v>2005</v>
      </c>
      <c r="H2207" s="1323">
        <f t="shared" si="238"/>
        <v>11</v>
      </c>
      <c r="I2207" s="1323">
        <f t="shared" si="239"/>
        <v>11</v>
      </c>
      <c r="J2207" s="1323"/>
      <c r="K2207" s="1323"/>
      <c r="L2207" s="1323"/>
      <c r="M2207" s="1323"/>
      <c r="N2207" s="1323"/>
      <c r="O2207" s="1323"/>
      <c r="P2207" s="1323"/>
      <c r="Q2207" s="1323"/>
      <c r="R2207" s="1304"/>
      <c r="S2207" s="1304"/>
      <c r="T2207" s="1304"/>
    </row>
    <row r="2208" spans="1:20">
      <c r="A2208" s="1303"/>
      <c r="B2208" s="1322" t="s">
        <v>6598</v>
      </c>
      <c r="C2208" s="1323" t="s">
        <v>6599</v>
      </c>
      <c r="D2208" s="1324">
        <f t="shared" si="234"/>
        <v>38666</v>
      </c>
      <c r="E2208" s="1323">
        <f t="shared" si="236"/>
        <v>6.7560000000000002</v>
      </c>
      <c r="F2208" s="1323">
        <f t="shared" si="235"/>
        <v>6.4268494419600444</v>
      </c>
      <c r="G2208" s="1323">
        <f t="shared" si="237"/>
        <v>2005</v>
      </c>
      <c r="H2208" s="1323">
        <f t="shared" si="238"/>
        <v>11</v>
      </c>
      <c r="I2208" s="1323">
        <f t="shared" si="239"/>
        <v>10</v>
      </c>
      <c r="J2208" s="1323"/>
      <c r="K2208" s="1323"/>
      <c r="L2208" s="1323"/>
      <c r="M2208" s="1323"/>
      <c r="N2208" s="1323"/>
      <c r="O2208" s="1323"/>
      <c r="P2208" s="1323"/>
      <c r="Q2208" s="1323"/>
      <c r="R2208" s="1304"/>
      <c r="S2208" s="1304"/>
      <c r="T2208" s="1304"/>
    </row>
    <row r="2209" spans="1:20">
      <c r="A2209" s="1303"/>
      <c r="B2209" s="1322" t="s">
        <v>6600</v>
      </c>
      <c r="C2209" s="1323" t="s">
        <v>6601</v>
      </c>
      <c r="D2209" s="1324">
        <f t="shared" si="234"/>
        <v>38665</v>
      </c>
      <c r="E2209" s="1323">
        <f t="shared" si="236"/>
        <v>6.7161</v>
      </c>
      <c r="F2209" s="1323">
        <f t="shared" si="235"/>
        <v>6.4256171318251738</v>
      </c>
      <c r="G2209" s="1323">
        <f t="shared" si="237"/>
        <v>2005</v>
      </c>
      <c r="H2209" s="1323">
        <f t="shared" si="238"/>
        <v>11</v>
      </c>
      <c r="I2209" s="1323">
        <f t="shared" si="239"/>
        <v>9</v>
      </c>
      <c r="J2209" s="1323"/>
      <c r="K2209" s="1323"/>
      <c r="L2209" s="1323"/>
      <c r="M2209" s="1323"/>
      <c r="N2209" s="1323"/>
      <c r="O2209" s="1323"/>
      <c r="P2209" s="1323"/>
      <c r="Q2209" s="1323"/>
      <c r="R2209" s="1304"/>
      <c r="S2209" s="1304"/>
      <c r="T2209" s="1304"/>
    </row>
    <row r="2210" spans="1:20">
      <c r="A2210" s="1303"/>
      <c r="B2210" s="1322" t="s">
        <v>6602</v>
      </c>
      <c r="C2210" s="1323" t="s">
        <v>6603</v>
      </c>
      <c r="D2210" s="1324">
        <f t="shared" si="234"/>
        <v>38664</v>
      </c>
      <c r="E2210" s="1323">
        <f t="shared" si="236"/>
        <v>6.7674000000000003</v>
      </c>
      <c r="F2210" s="1323">
        <f t="shared" si="235"/>
        <v>6.4243850579784381</v>
      </c>
      <c r="G2210" s="1323">
        <f t="shared" si="237"/>
        <v>2005</v>
      </c>
      <c r="H2210" s="1323">
        <f t="shared" si="238"/>
        <v>11</v>
      </c>
      <c r="I2210" s="1323">
        <f t="shared" si="239"/>
        <v>8</v>
      </c>
      <c r="J2210" s="1323"/>
      <c r="K2210" s="1323"/>
      <c r="L2210" s="1323"/>
      <c r="M2210" s="1323"/>
      <c r="N2210" s="1323"/>
      <c r="O2210" s="1323"/>
      <c r="P2210" s="1323"/>
      <c r="Q2210" s="1323"/>
      <c r="R2210" s="1304"/>
      <c r="S2210" s="1304"/>
      <c r="T2210" s="1304"/>
    </row>
    <row r="2211" spans="1:20">
      <c r="A2211" s="1303"/>
      <c r="B2211" s="1322" t="s">
        <v>6604</v>
      </c>
      <c r="C2211" s="1323" t="s">
        <v>6605</v>
      </c>
      <c r="D2211" s="1324">
        <f t="shared" si="234"/>
        <v>38663</v>
      </c>
      <c r="E2211" s="1323">
        <f t="shared" si="236"/>
        <v>6.7066999999999997</v>
      </c>
      <c r="F2211" s="1323">
        <f t="shared" si="235"/>
        <v>6.4231532203745303</v>
      </c>
      <c r="G2211" s="1323">
        <f t="shared" si="237"/>
        <v>2005</v>
      </c>
      <c r="H2211" s="1323">
        <f t="shared" si="238"/>
        <v>11</v>
      </c>
      <c r="I2211" s="1323">
        <f t="shared" si="239"/>
        <v>7</v>
      </c>
      <c r="J2211" s="1323"/>
      <c r="K2211" s="1323"/>
      <c r="L2211" s="1323"/>
      <c r="M2211" s="1323"/>
      <c r="N2211" s="1323"/>
      <c r="O2211" s="1323"/>
      <c r="P2211" s="1323"/>
      <c r="Q2211" s="1323"/>
      <c r="R2211" s="1304"/>
      <c r="S2211" s="1304"/>
      <c r="T2211" s="1304"/>
    </row>
    <row r="2212" spans="1:20">
      <c r="A2212" s="1303"/>
      <c r="B2212" s="1322" t="s">
        <v>6606</v>
      </c>
      <c r="C2212" s="1323" t="s">
        <v>6607</v>
      </c>
      <c r="D2212" s="1324">
        <f t="shared" si="234"/>
        <v>38660</v>
      </c>
      <c r="E2212" s="1323">
        <f t="shared" si="236"/>
        <v>6.6485000000000003</v>
      </c>
      <c r="F2212" s="1323">
        <f t="shared" si="235"/>
        <v>6.4219216189681525</v>
      </c>
      <c r="G2212" s="1323">
        <f t="shared" si="237"/>
        <v>2005</v>
      </c>
      <c r="H2212" s="1323">
        <f t="shared" si="238"/>
        <v>11</v>
      </c>
      <c r="I2212" s="1323">
        <f t="shared" si="239"/>
        <v>4</v>
      </c>
      <c r="J2212" s="1323"/>
      <c r="K2212" s="1323"/>
      <c r="L2212" s="1323"/>
      <c r="M2212" s="1323"/>
      <c r="N2212" s="1323"/>
      <c r="O2212" s="1323"/>
      <c r="P2212" s="1323"/>
      <c r="Q2212" s="1323"/>
      <c r="R2212" s="1304"/>
      <c r="S2212" s="1304"/>
      <c r="T2212" s="1304"/>
    </row>
    <row r="2213" spans="1:20">
      <c r="A2213" s="1303"/>
      <c r="B2213" s="1322" t="s">
        <v>6608</v>
      </c>
      <c r="C2213" s="1323" t="s">
        <v>6609</v>
      </c>
      <c r="D2213" s="1324">
        <f t="shared" si="234"/>
        <v>38659</v>
      </c>
      <c r="E2213" s="1323">
        <f t="shared" si="236"/>
        <v>6.6333000000000002</v>
      </c>
      <c r="F2213" s="1323">
        <f t="shared" si="235"/>
        <v>6.4206902537140156</v>
      </c>
      <c r="G2213" s="1323">
        <f t="shared" si="237"/>
        <v>2005</v>
      </c>
      <c r="H2213" s="1323">
        <f t="shared" si="238"/>
        <v>11</v>
      </c>
      <c r="I2213" s="1323">
        <f t="shared" si="239"/>
        <v>3</v>
      </c>
      <c r="J2213" s="1323"/>
      <c r="K2213" s="1323"/>
      <c r="L2213" s="1323"/>
      <c r="M2213" s="1323"/>
      <c r="N2213" s="1323"/>
      <c r="O2213" s="1323"/>
      <c r="P2213" s="1323"/>
      <c r="Q2213" s="1323"/>
      <c r="R2213" s="1304"/>
      <c r="S2213" s="1304"/>
      <c r="T2213" s="1304"/>
    </row>
    <row r="2214" spans="1:20">
      <c r="A2214" s="1303"/>
      <c r="B2214" s="1322" t="s">
        <v>6610</v>
      </c>
      <c r="C2214" s="1323" t="s">
        <v>6611</v>
      </c>
      <c r="D2214" s="1324">
        <f t="shared" si="234"/>
        <v>38658</v>
      </c>
      <c r="E2214" s="1323">
        <f t="shared" si="236"/>
        <v>6.6547999999999998</v>
      </c>
      <c r="F2214" s="1323">
        <f t="shared" si="235"/>
        <v>6.4194591245668384</v>
      </c>
      <c r="G2214" s="1323">
        <f t="shared" si="237"/>
        <v>2005</v>
      </c>
      <c r="H2214" s="1323">
        <f t="shared" si="238"/>
        <v>11</v>
      </c>
      <c r="I2214" s="1323">
        <f t="shared" si="239"/>
        <v>2</v>
      </c>
      <c r="J2214" s="1323"/>
      <c r="K2214" s="1323"/>
      <c r="L2214" s="1323"/>
      <c r="M2214" s="1323"/>
      <c r="N2214" s="1323"/>
      <c r="O2214" s="1323"/>
      <c r="P2214" s="1323"/>
      <c r="Q2214" s="1323"/>
      <c r="R2214" s="1304"/>
      <c r="S2214" s="1304"/>
      <c r="T2214" s="1304"/>
    </row>
    <row r="2215" spans="1:20">
      <c r="A2215" s="1303"/>
      <c r="B2215" s="1322" t="s">
        <v>6612</v>
      </c>
      <c r="C2215" s="1323" t="s">
        <v>6613</v>
      </c>
      <c r="D2215" s="1324">
        <f t="shared" si="234"/>
        <v>38657</v>
      </c>
      <c r="E2215" s="1323">
        <f t="shared" si="236"/>
        <v>6.7190000000000003</v>
      </c>
      <c r="F2215" s="1323">
        <f t="shared" si="235"/>
        <v>6.4182282314813488</v>
      </c>
      <c r="G2215" s="1323">
        <f t="shared" si="237"/>
        <v>2005</v>
      </c>
      <c r="H2215" s="1323">
        <f t="shared" si="238"/>
        <v>11</v>
      </c>
      <c r="I2215" s="1323">
        <f t="shared" si="239"/>
        <v>1</v>
      </c>
      <c r="J2215" s="1323"/>
      <c r="K2215" s="1323"/>
      <c r="L2215" s="1323"/>
      <c r="M2215" s="1323"/>
      <c r="N2215" s="1323"/>
      <c r="O2215" s="1323"/>
      <c r="P2215" s="1323"/>
      <c r="Q2215" s="1323"/>
      <c r="R2215" s="1304"/>
      <c r="S2215" s="1304"/>
      <c r="T2215" s="1304"/>
    </row>
    <row r="2216" spans="1:20">
      <c r="A2216" s="1303"/>
      <c r="B2216" s="1322" t="s">
        <v>6614</v>
      </c>
      <c r="C2216" s="1323" t="s">
        <v>6615</v>
      </c>
      <c r="D2216" s="1324">
        <f t="shared" si="234"/>
        <v>38656</v>
      </c>
      <c r="E2216" s="1323">
        <f t="shared" si="236"/>
        <v>6.7121000000000004</v>
      </c>
      <c r="F2216" s="1323">
        <f t="shared" si="235"/>
        <v>6.4169975744122834</v>
      </c>
      <c r="G2216" s="1323">
        <f t="shared" si="237"/>
        <v>2005</v>
      </c>
      <c r="H2216" s="1323">
        <f t="shared" si="238"/>
        <v>10</v>
      </c>
      <c r="I2216" s="1323">
        <f t="shared" si="239"/>
        <v>31</v>
      </c>
      <c r="J2216" s="1323"/>
      <c r="K2216" s="1323"/>
      <c r="L2216" s="1323"/>
      <c r="M2216" s="1323"/>
      <c r="N2216" s="1323"/>
      <c r="O2216" s="1323"/>
      <c r="P2216" s="1323"/>
      <c r="Q2216" s="1323"/>
      <c r="R2216" s="1304"/>
      <c r="S2216" s="1304"/>
      <c r="T2216" s="1304"/>
    </row>
    <row r="2217" spans="1:20">
      <c r="A2217" s="1303"/>
      <c r="B2217" s="1322" t="s">
        <v>6616</v>
      </c>
      <c r="C2217" s="1323" t="s">
        <v>6617</v>
      </c>
      <c r="D2217" s="1324">
        <f t="shared" si="234"/>
        <v>38653</v>
      </c>
      <c r="E2217" s="1323">
        <f t="shared" si="236"/>
        <v>6.6936</v>
      </c>
      <c r="F2217" s="1323">
        <f t="shared" si="235"/>
        <v>6.4157671533143876</v>
      </c>
      <c r="G2217" s="1323">
        <f t="shared" si="237"/>
        <v>2005</v>
      </c>
      <c r="H2217" s="1323">
        <f t="shared" si="238"/>
        <v>10</v>
      </c>
      <c r="I2217" s="1323">
        <f t="shared" si="239"/>
        <v>28</v>
      </c>
      <c r="J2217" s="1323"/>
      <c r="K2217" s="1323"/>
      <c r="L2217" s="1323"/>
      <c r="M2217" s="1323"/>
      <c r="N2217" s="1323"/>
      <c r="O2217" s="1323"/>
      <c r="P2217" s="1323"/>
      <c r="Q2217" s="1323"/>
      <c r="R2217" s="1304"/>
      <c r="S2217" s="1304"/>
      <c r="T2217" s="1304"/>
    </row>
    <row r="2218" spans="1:20">
      <c r="A2218" s="1303"/>
      <c r="B2218" s="1322" t="s">
        <v>6618</v>
      </c>
      <c r="C2218" s="1323" t="s">
        <v>6619</v>
      </c>
      <c r="D2218" s="1324">
        <f t="shared" si="234"/>
        <v>38652</v>
      </c>
      <c r="E2218" s="1323">
        <f t="shared" si="236"/>
        <v>6.7041000000000004</v>
      </c>
      <c r="F2218" s="1323">
        <f t="shared" si="235"/>
        <v>6.4145369681424151</v>
      </c>
      <c r="G2218" s="1323">
        <f t="shared" si="237"/>
        <v>2005</v>
      </c>
      <c r="H2218" s="1323">
        <f t="shared" si="238"/>
        <v>10</v>
      </c>
      <c r="I2218" s="1323">
        <f t="shared" si="239"/>
        <v>27</v>
      </c>
      <c r="J2218" s="1323"/>
      <c r="K2218" s="1323"/>
      <c r="L2218" s="1323"/>
      <c r="M2218" s="1323"/>
      <c r="N2218" s="1323"/>
      <c r="O2218" s="1323"/>
      <c r="P2218" s="1323"/>
      <c r="Q2218" s="1323"/>
      <c r="R2218" s="1304"/>
      <c r="S2218" s="1304"/>
      <c r="T2218" s="1304"/>
    </row>
    <row r="2219" spans="1:20">
      <c r="A2219" s="1303"/>
      <c r="B2219" s="1322" t="s">
        <v>6620</v>
      </c>
      <c r="C2219" s="1323" t="s">
        <v>6621</v>
      </c>
      <c r="D2219" s="1324">
        <f t="shared" si="234"/>
        <v>38651</v>
      </c>
      <c r="E2219" s="1323">
        <f t="shared" si="236"/>
        <v>6.6234999999999999</v>
      </c>
      <c r="F2219" s="1323">
        <f t="shared" si="235"/>
        <v>6.4133070188511283</v>
      </c>
      <c r="G2219" s="1323">
        <f t="shared" si="237"/>
        <v>2005</v>
      </c>
      <c r="H2219" s="1323">
        <f t="shared" si="238"/>
        <v>10</v>
      </c>
      <c r="I2219" s="1323">
        <f t="shared" si="239"/>
        <v>26</v>
      </c>
      <c r="J2219" s="1323"/>
      <c r="K2219" s="1323"/>
      <c r="L2219" s="1323"/>
      <c r="M2219" s="1323"/>
      <c r="N2219" s="1323"/>
      <c r="O2219" s="1323"/>
      <c r="P2219" s="1323"/>
      <c r="Q2219" s="1323"/>
      <c r="R2219" s="1304"/>
      <c r="S2219" s="1304"/>
      <c r="T2219" s="1304"/>
    </row>
    <row r="2220" spans="1:20">
      <c r="A2220" s="1303"/>
      <c r="B2220" s="1322" t="s">
        <v>6622</v>
      </c>
      <c r="C2220" s="1323" t="s">
        <v>6623</v>
      </c>
      <c r="D2220" s="1324">
        <f t="shared" si="234"/>
        <v>38650</v>
      </c>
      <c r="E2220" s="1323">
        <f t="shared" si="236"/>
        <v>6.6391999999999998</v>
      </c>
      <c r="F2220" s="1323">
        <f t="shared" si="235"/>
        <v>6.4120773053952984</v>
      </c>
      <c r="G2220" s="1323">
        <f t="shared" si="237"/>
        <v>2005</v>
      </c>
      <c r="H2220" s="1323">
        <f t="shared" si="238"/>
        <v>10</v>
      </c>
      <c r="I2220" s="1323">
        <f t="shared" si="239"/>
        <v>25</v>
      </c>
      <c r="J2220" s="1323"/>
      <c r="K2220" s="1323"/>
      <c r="L2220" s="1323"/>
      <c r="M2220" s="1323"/>
      <c r="N2220" s="1323"/>
      <c r="O2220" s="1323"/>
      <c r="P2220" s="1323"/>
      <c r="Q2220" s="1323"/>
      <c r="R2220" s="1304"/>
      <c r="S2220" s="1304"/>
      <c r="T2220" s="1304"/>
    </row>
    <row r="2221" spans="1:20">
      <c r="A2221" s="1303"/>
      <c r="B2221" s="1322" t="s">
        <v>6624</v>
      </c>
      <c r="C2221" s="1323" t="s">
        <v>6625</v>
      </c>
      <c r="D2221" s="1324">
        <f t="shared" si="234"/>
        <v>38649</v>
      </c>
      <c r="E2221" s="1323">
        <f t="shared" si="236"/>
        <v>6.6323999999999996</v>
      </c>
      <c r="F2221" s="1323">
        <f t="shared" si="235"/>
        <v>6.4108478277297065</v>
      </c>
      <c r="G2221" s="1323">
        <f t="shared" si="237"/>
        <v>2005</v>
      </c>
      <c r="H2221" s="1323">
        <f t="shared" si="238"/>
        <v>10</v>
      </c>
      <c r="I2221" s="1323">
        <f t="shared" si="239"/>
        <v>24</v>
      </c>
      <c r="J2221" s="1323"/>
      <c r="K2221" s="1323"/>
      <c r="L2221" s="1323"/>
      <c r="M2221" s="1323"/>
      <c r="N2221" s="1323"/>
      <c r="O2221" s="1323"/>
      <c r="P2221" s="1323"/>
      <c r="Q2221" s="1323"/>
      <c r="R2221" s="1304"/>
      <c r="S2221" s="1304"/>
      <c r="T2221" s="1304"/>
    </row>
    <row r="2222" spans="1:20">
      <c r="A2222" s="1303"/>
      <c r="B2222" s="1322" t="s">
        <v>6626</v>
      </c>
      <c r="C2222" s="1323" t="s">
        <v>6627</v>
      </c>
      <c r="D2222" s="1324">
        <f t="shared" si="234"/>
        <v>38646</v>
      </c>
      <c r="E2222" s="1323">
        <f t="shared" si="236"/>
        <v>6.5865999999999998</v>
      </c>
      <c r="F2222" s="1323">
        <f t="shared" si="235"/>
        <v>6.4096185858091399</v>
      </c>
      <c r="G2222" s="1323">
        <f t="shared" si="237"/>
        <v>2005</v>
      </c>
      <c r="H2222" s="1323">
        <f t="shared" si="238"/>
        <v>10</v>
      </c>
      <c r="I2222" s="1323">
        <f t="shared" si="239"/>
        <v>21</v>
      </c>
      <c r="J2222" s="1323"/>
      <c r="K2222" s="1323"/>
      <c r="L2222" s="1323"/>
      <c r="M2222" s="1323"/>
      <c r="N2222" s="1323"/>
      <c r="O2222" s="1323"/>
      <c r="P2222" s="1323"/>
      <c r="Q2222" s="1323"/>
      <c r="R2222" s="1304"/>
      <c r="S2222" s="1304"/>
      <c r="T2222" s="1304"/>
    </row>
    <row r="2223" spans="1:20">
      <c r="A2223" s="1303"/>
      <c r="B2223" s="1322" t="s">
        <v>6628</v>
      </c>
      <c r="C2223" s="1323" t="s">
        <v>6629</v>
      </c>
      <c r="D2223" s="1324">
        <f t="shared" si="234"/>
        <v>38645</v>
      </c>
      <c r="E2223" s="1323">
        <f t="shared" si="236"/>
        <v>6.5762</v>
      </c>
      <c r="F2223" s="1323">
        <f t="shared" si="235"/>
        <v>6.4083895795883965</v>
      </c>
      <c r="G2223" s="1323">
        <f t="shared" si="237"/>
        <v>2005</v>
      </c>
      <c r="H2223" s="1323">
        <f t="shared" si="238"/>
        <v>10</v>
      </c>
      <c r="I2223" s="1323">
        <f t="shared" si="239"/>
        <v>20</v>
      </c>
      <c r="J2223" s="1323"/>
      <c r="K2223" s="1323"/>
      <c r="L2223" s="1323"/>
      <c r="M2223" s="1323"/>
      <c r="N2223" s="1323"/>
      <c r="O2223" s="1323"/>
      <c r="P2223" s="1323"/>
      <c r="Q2223" s="1323"/>
      <c r="R2223" s="1304"/>
      <c r="S2223" s="1304"/>
      <c r="T2223" s="1304"/>
    </row>
    <row r="2224" spans="1:20">
      <c r="A2224" s="1303"/>
      <c r="B2224" s="1322" t="s">
        <v>6630</v>
      </c>
      <c r="C2224" s="1323" t="s">
        <v>6631</v>
      </c>
      <c r="D2224" s="1324">
        <f t="shared" si="234"/>
        <v>38644</v>
      </c>
      <c r="E2224" s="1323">
        <f t="shared" si="236"/>
        <v>6.6219000000000001</v>
      </c>
      <c r="F2224" s="1323">
        <f t="shared" si="235"/>
        <v>6.4071608090222822</v>
      </c>
      <c r="G2224" s="1323">
        <f t="shared" si="237"/>
        <v>2005</v>
      </c>
      <c r="H2224" s="1323">
        <f t="shared" si="238"/>
        <v>10</v>
      </c>
      <c r="I2224" s="1323">
        <f t="shared" si="239"/>
        <v>19</v>
      </c>
      <c r="J2224" s="1323"/>
      <c r="K2224" s="1323"/>
      <c r="L2224" s="1323"/>
      <c r="M2224" s="1323"/>
      <c r="N2224" s="1323"/>
      <c r="O2224" s="1323"/>
      <c r="P2224" s="1323"/>
      <c r="Q2224" s="1323"/>
      <c r="R2224" s="1304"/>
      <c r="S2224" s="1304"/>
      <c r="T2224" s="1304"/>
    </row>
    <row r="2225" spans="1:20">
      <c r="A2225" s="1303"/>
      <c r="B2225" s="1322" t="s">
        <v>6632</v>
      </c>
      <c r="C2225" s="1323" t="s">
        <v>6633</v>
      </c>
      <c r="D2225" s="1324">
        <f t="shared" si="234"/>
        <v>38643</v>
      </c>
      <c r="E2225" s="1323">
        <f t="shared" si="236"/>
        <v>6.5704000000000002</v>
      </c>
      <c r="F2225" s="1323">
        <f t="shared" si="235"/>
        <v>6.4059322740656119</v>
      </c>
      <c r="G2225" s="1323">
        <f t="shared" si="237"/>
        <v>2005</v>
      </c>
      <c r="H2225" s="1323">
        <f t="shared" si="238"/>
        <v>10</v>
      </c>
      <c r="I2225" s="1323">
        <f t="shared" si="239"/>
        <v>18</v>
      </c>
      <c r="J2225" s="1323"/>
      <c r="K2225" s="1323"/>
      <c r="L2225" s="1323"/>
      <c r="M2225" s="1323"/>
      <c r="N2225" s="1323"/>
      <c r="O2225" s="1323"/>
      <c r="P2225" s="1323"/>
      <c r="Q2225" s="1323"/>
      <c r="R2225" s="1304"/>
      <c r="S2225" s="1304"/>
      <c r="T2225" s="1304"/>
    </row>
    <row r="2226" spans="1:20">
      <c r="A2226" s="1303"/>
      <c r="B2226" s="1322" t="s">
        <v>6634</v>
      </c>
      <c r="C2226" s="1323" t="s">
        <v>6635</v>
      </c>
      <c r="D2226" s="1324">
        <f t="shared" si="234"/>
        <v>38642</v>
      </c>
      <c r="E2226" s="1323">
        <f t="shared" si="236"/>
        <v>6.4993999999999996</v>
      </c>
      <c r="F2226" s="1323">
        <f t="shared" si="235"/>
        <v>6.4047039746732084</v>
      </c>
      <c r="G2226" s="1323">
        <f t="shared" si="237"/>
        <v>2005</v>
      </c>
      <c r="H2226" s="1323">
        <f t="shared" si="238"/>
        <v>10</v>
      </c>
      <c r="I2226" s="1323">
        <f t="shared" si="239"/>
        <v>17</v>
      </c>
      <c r="J2226" s="1323"/>
      <c r="K2226" s="1323"/>
      <c r="L2226" s="1323"/>
      <c r="M2226" s="1323"/>
      <c r="N2226" s="1323"/>
      <c r="O2226" s="1323"/>
      <c r="P2226" s="1323"/>
      <c r="Q2226" s="1323"/>
      <c r="R2226" s="1304"/>
      <c r="S2226" s="1304"/>
      <c r="T2226" s="1304"/>
    </row>
    <row r="2227" spans="1:20">
      <c r="A2227" s="1303"/>
      <c r="B2227" s="1322" t="s">
        <v>6636</v>
      </c>
      <c r="C2227" s="1323" t="s">
        <v>6637</v>
      </c>
      <c r="D2227" s="1324">
        <f t="shared" si="234"/>
        <v>38639</v>
      </c>
      <c r="E2227" s="1323">
        <f t="shared" si="236"/>
        <v>6.5915999999999997</v>
      </c>
      <c r="F2227" s="1323">
        <f t="shared" si="235"/>
        <v>6.4034759107999042</v>
      </c>
      <c r="G2227" s="1323">
        <f t="shared" si="237"/>
        <v>2005</v>
      </c>
      <c r="H2227" s="1323">
        <f t="shared" si="238"/>
        <v>10</v>
      </c>
      <c r="I2227" s="1323">
        <f t="shared" si="239"/>
        <v>14</v>
      </c>
      <c r="J2227" s="1323"/>
      <c r="K2227" s="1323"/>
      <c r="L2227" s="1323"/>
      <c r="M2227" s="1323"/>
      <c r="N2227" s="1323"/>
      <c r="O2227" s="1323"/>
      <c r="P2227" s="1323"/>
      <c r="Q2227" s="1323"/>
      <c r="R2227" s="1304"/>
      <c r="S2227" s="1304"/>
      <c r="T2227" s="1304"/>
    </row>
    <row r="2228" spans="1:20">
      <c r="A2228" s="1303"/>
      <c r="B2228" s="1322" t="s">
        <v>6638</v>
      </c>
      <c r="C2228" s="1323" t="s">
        <v>6639</v>
      </c>
      <c r="D2228" s="1324">
        <f t="shared" si="234"/>
        <v>38638</v>
      </c>
      <c r="E2228" s="1323">
        <f t="shared" si="236"/>
        <v>6.6397000000000004</v>
      </c>
      <c r="F2228" s="1323">
        <f t="shared" si="235"/>
        <v>6.4022480824005399</v>
      </c>
      <c r="G2228" s="1323">
        <f t="shared" si="237"/>
        <v>2005</v>
      </c>
      <c r="H2228" s="1323">
        <f t="shared" si="238"/>
        <v>10</v>
      </c>
      <c r="I2228" s="1323">
        <f t="shared" si="239"/>
        <v>13</v>
      </c>
      <c r="J2228" s="1323"/>
      <c r="K2228" s="1323"/>
      <c r="L2228" s="1323"/>
      <c r="M2228" s="1323"/>
      <c r="N2228" s="1323"/>
      <c r="O2228" s="1323"/>
      <c r="P2228" s="1323"/>
      <c r="Q2228" s="1323"/>
      <c r="R2228" s="1304"/>
      <c r="S2228" s="1304"/>
      <c r="T2228" s="1304"/>
    </row>
    <row r="2229" spans="1:20">
      <c r="A2229" s="1303"/>
      <c r="B2229" s="1322" t="s">
        <v>6640</v>
      </c>
      <c r="C2229" s="1323" t="s">
        <v>6641</v>
      </c>
      <c r="D2229" s="1324">
        <f t="shared" si="234"/>
        <v>38637</v>
      </c>
      <c r="E2229" s="1323">
        <f t="shared" si="236"/>
        <v>6.5625</v>
      </c>
      <c r="F2229" s="1323">
        <f t="shared" si="235"/>
        <v>6.401020489429964</v>
      </c>
      <c r="G2229" s="1323">
        <f t="shared" si="237"/>
        <v>2005</v>
      </c>
      <c r="H2229" s="1323">
        <f t="shared" si="238"/>
        <v>10</v>
      </c>
      <c r="I2229" s="1323">
        <f t="shared" si="239"/>
        <v>12</v>
      </c>
      <c r="J2229" s="1323"/>
      <c r="K2229" s="1323"/>
      <c r="L2229" s="1323"/>
      <c r="M2229" s="1323"/>
      <c r="N2229" s="1323"/>
      <c r="O2229" s="1323"/>
      <c r="P2229" s="1323"/>
      <c r="Q2229" s="1323"/>
      <c r="R2229" s="1304"/>
      <c r="S2229" s="1304"/>
      <c r="T2229" s="1304"/>
    </row>
    <row r="2230" spans="1:20">
      <c r="A2230" s="1303"/>
      <c r="B2230" s="1322" t="s">
        <v>6642</v>
      </c>
      <c r="C2230" s="1323" t="s">
        <v>6643</v>
      </c>
      <c r="D2230" s="1324">
        <f t="shared" si="234"/>
        <v>38636</v>
      </c>
      <c r="E2230" s="1323">
        <f t="shared" si="236"/>
        <v>6.5255999999999998</v>
      </c>
      <c r="F2230" s="1323">
        <f t="shared" si="235"/>
        <v>6.399793131843035</v>
      </c>
      <c r="G2230" s="1323">
        <f t="shared" si="237"/>
        <v>2005</v>
      </c>
      <c r="H2230" s="1323">
        <f t="shared" si="238"/>
        <v>10</v>
      </c>
      <c r="I2230" s="1323">
        <f t="shared" si="239"/>
        <v>11</v>
      </c>
      <c r="J2230" s="1323"/>
      <c r="K2230" s="1323"/>
      <c r="L2230" s="1323"/>
      <c r="M2230" s="1323"/>
      <c r="N2230" s="1323"/>
      <c r="O2230" s="1323"/>
      <c r="P2230" s="1323"/>
      <c r="Q2230" s="1323"/>
      <c r="R2230" s="1304"/>
      <c r="S2230" s="1304"/>
      <c r="T2230" s="1304"/>
    </row>
    <row r="2231" spans="1:20">
      <c r="A2231" s="1303"/>
      <c r="B2231" s="1322" t="s">
        <v>6644</v>
      </c>
      <c r="C2231" s="1323" t="s">
        <v>6645</v>
      </c>
      <c r="D2231" s="1324">
        <f t="shared" si="234"/>
        <v>38635</v>
      </c>
      <c r="E2231" s="1323">
        <f t="shared" si="236"/>
        <v>6.5350000000000001</v>
      </c>
      <c r="F2231" s="1323">
        <f t="shared" si="235"/>
        <v>6.3985660095946191</v>
      </c>
      <c r="G2231" s="1323">
        <f t="shared" si="237"/>
        <v>2005</v>
      </c>
      <c r="H2231" s="1323">
        <f t="shared" si="238"/>
        <v>10</v>
      </c>
      <c r="I2231" s="1323">
        <f t="shared" si="239"/>
        <v>10</v>
      </c>
      <c r="J2231" s="1323"/>
      <c r="K2231" s="1323"/>
      <c r="L2231" s="1323"/>
      <c r="M2231" s="1323"/>
      <c r="N2231" s="1323"/>
      <c r="O2231" s="1323"/>
      <c r="P2231" s="1323"/>
      <c r="Q2231" s="1323"/>
      <c r="R2231" s="1304"/>
      <c r="S2231" s="1304"/>
      <c r="T2231" s="1304"/>
    </row>
    <row r="2232" spans="1:20">
      <c r="A2232" s="1303"/>
      <c r="B2232" s="1322" t="s">
        <v>6646</v>
      </c>
      <c r="C2232" s="1323" t="s">
        <v>6647</v>
      </c>
      <c r="D2232" s="1324">
        <f t="shared" si="234"/>
        <v>38632</v>
      </c>
      <c r="E2232" s="1323">
        <f t="shared" si="236"/>
        <v>6.5475000000000003</v>
      </c>
      <c r="F2232" s="1323">
        <f t="shared" si="235"/>
        <v>6.3973391226395924</v>
      </c>
      <c r="G2232" s="1323">
        <f t="shared" si="237"/>
        <v>2005</v>
      </c>
      <c r="H2232" s="1323">
        <f t="shared" si="238"/>
        <v>10</v>
      </c>
      <c r="I2232" s="1323">
        <f t="shared" si="239"/>
        <v>7</v>
      </c>
      <c r="J2232" s="1323"/>
      <c r="K2232" s="1323"/>
      <c r="L2232" s="1323"/>
      <c r="M2232" s="1323"/>
      <c r="N2232" s="1323"/>
      <c r="O2232" s="1323"/>
      <c r="P2232" s="1323"/>
      <c r="Q2232" s="1323"/>
      <c r="R2232" s="1304"/>
      <c r="S2232" s="1304"/>
      <c r="T2232" s="1304"/>
    </row>
    <row r="2233" spans="1:20">
      <c r="A2233" s="1303"/>
      <c r="B2233" s="1322" t="s">
        <v>6648</v>
      </c>
      <c r="C2233" s="1323" t="s">
        <v>6649</v>
      </c>
      <c r="D2233" s="1324">
        <f t="shared" si="234"/>
        <v>38631</v>
      </c>
      <c r="E2233" s="1323">
        <f t="shared" si="236"/>
        <v>6.5612000000000004</v>
      </c>
      <c r="F2233" s="1323">
        <f t="shared" si="235"/>
        <v>6.3961124709328381</v>
      </c>
      <c r="G2233" s="1323">
        <f t="shared" si="237"/>
        <v>2005</v>
      </c>
      <c r="H2233" s="1323">
        <f t="shared" si="238"/>
        <v>10</v>
      </c>
      <c r="I2233" s="1323">
        <f t="shared" si="239"/>
        <v>6</v>
      </c>
      <c r="J2233" s="1323"/>
      <c r="K2233" s="1323"/>
      <c r="L2233" s="1323"/>
      <c r="M2233" s="1323"/>
      <c r="N2233" s="1323"/>
      <c r="O2233" s="1323"/>
      <c r="P2233" s="1323"/>
      <c r="Q2233" s="1323"/>
      <c r="R2233" s="1304"/>
      <c r="S2233" s="1304"/>
      <c r="T2233" s="1304"/>
    </row>
    <row r="2234" spans="1:20">
      <c r="A2234" s="1303"/>
      <c r="B2234" s="1322" t="s">
        <v>6650</v>
      </c>
      <c r="C2234" s="1323" t="s">
        <v>6651</v>
      </c>
      <c r="D2234" s="1324">
        <f t="shared" si="234"/>
        <v>38630</v>
      </c>
      <c r="E2234" s="1323">
        <f t="shared" si="236"/>
        <v>6.4555999999999996</v>
      </c>
      <c r="F2234" s="1323">
        <f t="shared" si="235"/>
        <v>6.3948860544292483</v>
      </c>
      <c r="G2234" s="1323">
        <f t="shared" si="237"/>
        <v>2005</v>
      </c>
      <c r="H2234" s="1323">
        <f t="shared" si="238"/>
        <v>10</v>
      </c>
      <c r="I2234" s="1323">
        <f t="shared" si="239"/>
        <v>5</v>
      </c>
      <c r="J2234" s="1323"/>
      <c r="K2234" s="1323"/>
      <c r="L2234" s="1323"/>
      <c r="M2234" s="1323"/>
      <c r="N2234" s="1323"/>
      <c r="O2234" s="1323"/>
      <c r="P2234" s="1323"/>
      <c r="Q2234" s="1323"/>
      <c r="R2234" s="1304"/>
      <c r="S2234" s="1304"/>
      <c r="T2234" s="1304"/>
    </row>
    <row r="2235" spans="1:20">
      <c r="A2235" s="1303"/>
      <c r="B2235" s="1322" t="s">
        <v>6652</v>
      </c>
      <c r="C2235" s="1323" t="s">
        <v>6653</v>
      </c>
      <c r="D2235" s="1324">
        <f t="shared" si="234"/>
        <v>38629</v>
      </c>
      <c r="E2235" s="1323">
        <f t="shared" si="236"/>
        <v>6.4421999999999997</v>
      </c>
      <c r="F2235" s="1323">
        <f t="shared" si="235"/>
        <v>6.3936598730837249</v>
      </c>
      <c r="G2235" s="1323">
        <f t="shared" si="237"/>
        <v>2005</v>
      </c>
      <c r="H2235" s="1323">
        <f t="shared" si="238"/>
        <v>10</v>
      </c>
      <c r="I2235" s="1323">
        <f t="shared" si="239"/>
        <v>4</v>
      </c>
      <c r="J2235" s="1323"/>
      <c r="K2235" s="1323"/>
      <c r="L2235" s="1323"/>
      <c r="M2235" s="1323"/>
      <c r="N2235" s="1323"/>
      <c r="O2235" s="1323"/>
      <c r="P2235" s="1323"/>
      <c r="Q2235" s="1323"/>
      <c r="R2235" s="1304"/>
      <c r="S2235" s="1304"/>
      <c r="T2235" s="1304"/>
    </row>
    <row r="2236" spans="1:20">
      <c r="A2236" s="1303"/>
      <c r="B2236" s="1322" t="s">
        <v>6654</v>
      </c>
      <c r="C2236" s="1323" t="s">
        <v>6655</v>
      </c>
      <c r="D2236" s="1324">
        <f t="shared" si="234"/>
        <v>38628</v>
      </c>
      <c r="E2236" s="1323">
        <f t="shared" si="236"/>
        <v>6.4093</v>
      </c>
      <c r="F2236" s="1323">
        <f t="shared" si="235"/>
        <v>6.3924339268511776</v>
      </c>
      <c r="G2236" s="1323">
        <f t="shared" si="237"/>
        <v>2005</v>
      </c>
      <c r="H2236" s="1323">
        <f t="shared" si="238"/>
        <v>10</v>
      </c>
      <c r="I2236" s="1323">
        <f t="shared" si="239"/>
        <v>3</v>
      </c>
      <c r="J2236" s="1323"/>
      <c r="K2236" s="1323"/>
      <c r="L2236" s="1323"/>
      <c r="M2236" s="1323"/>
      <c r="N2236" s="1323"/>
      <c r="O2236" s="1323"/>
      <c r="P2236" s="1323"/>
      <c r="Q2236" s="1323"/>
      <c r="R2236" s="1304"/>
      <c r="S2236" s="1304"/>
      <c r="T2236" s="1304"/>
    </row>
    <row r="2237" spans="1:20">
      <c r="A2237" s="1303"/>
      <c r="B2237" s="1322" t="s">
        <v>6656</v>
      </c>
      <c r="C2237" s="1323" t="s">
        <v>6657</v>
      </c>
      <c r="D2237" s="1324">
        <f t="shared" si="234"/>
        <v>38625</v>
      </c>
      <c r="E2237" s="1323">
        <f t="shared" si="236"/>
        <v>6.3692000000000002</v>
      </c>
      <c r="F2237" s="1323">
        <f t="shared" si="235"/>
        <v>6.3912082156865253</v>
      </c>
      <c r="G2237" s="1323">
        <f t="shared" si="237"/>
        <v>2005</v>
      </c>
      <c r="H2237" s="1323">
        <f t="shared" si="238"/>
        <v>9</v>
      </c>
      <c r="I2237" s="1323">
        <f t="shared" si="239"/>
        <v>30</v>
      </c>
      <c r="J2237" s="1323"/>
      <c r="K2237" s="1323"/>
      <c r="L2237" s="1323"/>
      <c r="M2237" s="1323"/>
      <c r="N2237" s="1323"/>
      <c r="O2237" s="1323"/>
      <c r="P2237" s="1323"/>
      <c r="Q2237" s="1323"/>
      <c r="R2237" s="1304"/>
      <c r="S2237" s="1304"/>
      <c r="T2237" s="1304"/>
    </row>
    <row r="2238" spans="1:20">
      <c r="A2238" s="1303"/>
      <c r="B2238" s="1322" t="s">
        <v>6658</v>
      </c>
      <c r="C2238" s="1323" t="s">
        <v>6659</v>
      </c>
      <c r="D2238" s="1324">
        <f t="shared" si="234"/>
        <v>38624</v>
      </c>
      <c r="E2238" s="1323">
        <f t="shared" si="236"/>
        <v>6.3869999999999996</v>
      </c>
      <c r="F2238" s="1323">
        <f t="shared" si="235"/>
        <v>6.3899827395446946</v>
      </c>
      <c r="G2238" s="1323">
        <f t="shared" si="237"/>
        <v>2005</v>
      </c>
      <c r="H2238" s="1323">
        <f t="shared" si="238"/>
        <v>9</v>
      </c>
      <c r="I2238" s="1323">
        <f t="shared" si="239"/>
        <v>29</v>
      </c>
      <c r="J2238" s="1323"/>
      <c r="K2238" s="1323"/>
      <c r="L2238" s="1323"/>
      <c r="M2238" s="1323"/>
      <c r="N2238" s="1323"/>
      <c r="O2238" s="1323"/>
      <c r="P2238" s="1323"/>
      <c r="Q2238" s="1323"/>
      <c r="R2238" s="1304"/>
      <c r="S2238" s="1304"/>
      <c r="T2238" s="1304"/>
    </row>
    <row r="2239" spans="1:20">
      <c r="A2239" s="1303"/>
      <c r="B2239" s="1322" t="s">
        <v>6660</v>
      </c>
      <c r="C2239" s="1323" t="s">
        <v>6661</v>
      </c>
      <c r="D2239" s="1324">
        <f t="shared" si="234"/>
        <v>38623</v>
      </c>
      <c r="E2239" s="1323">
        <f t="shared" si="236"/>
        <v>6.4523999999999999</v>
      </c>
      <c r="F2239" s="1323">
        <f t="shared" si="235"/>
        <v>6.3887574983806212</v>
      </c>
      <c r="G2239" s="1323">
        <f t="shared" si="237"/>
        <v>2005</v>
      </c>
      <c r="H2239" s="1323">
        <f t="shared" si="238"/>
        <v>9</v>
      </c>
      <c r="I2239" s="1323">
        <f t="shared" si="239"/>
        <v>28</v>
      </c>
      <c r="J2239" s="1323"/>
      <c r="K2239" s="1323"/>
      <c r="L2239" s="1323"/>
      <c r="M2239" s="1323"/>
      <c r="N2239" s="1323"/>
      <c r="O2239" s="1323"/>
      <c r="P2239" s="1323"/>
      <c r="Q2239" s="1323"/>
      <c r="R2239" s="1304"/>
      <c r="S2239" s="1304"/>
      <c r="T2239" s="1304"/>
    </row>
    <row r="2240" spans="1:20">
      <c r="A2240" s="1303"/>
      <c r="B2240" s="1322" t="s">
        <v>6662</v>
      </c>
      <c r="C2240" s="1323" t="s">
        <v>6663</v>
      </c>
      <c r="D2240" s="1324">
        <f t="shared" si="234"/>
        <v>38622</v>
      </c>
      <c r="E2240" s="1323">
        <f t="shared" si="236"/>
        <v>6.3796999999999997</v>
      </c>
      <c r="F2240" s="1323">
        <f t="shared" si="235"/>
        <v>6.3875324921492496</v>
      </c>
      <c r="G2240" s="1323">
        <f t="shared" si="237"/>
        <v>2005</v>
      </c>
      <c r="H2240" s="1323">
        <f t="shared" si="238"/>
        <v>9</v>
      </c>
      <c r="I2240" s="1323">
        <f t="shared" si="239"/>
        <v>27</v>
      </c>
      <c r="J2240" s="1323"/>
      <c r="K2240" s="1323"/>
      <c r="L2240" s="1323"/>
      <c r="M2240" s="1323"/>
      <c r="N2240" s="1323"/>
      <c r="O2240" s="1323"/>
      <c r="P2240" s="1323"/>
      <c r="Q2240" s="1323"/>
      <c r="R2240" s="1304"/>
      <c r="S2240" s="1304"/>
      <c r="T2240" s="1304"/>
    </row>
    <row r="2241" spans="1:20">
      <c r="A2241" s="1303"/>
      <c r="B2241" s="1322" t="s">
        <v>6664</v>
      </c>
      <c r="C2241" s="1323" t="s">
        <v>6665</v>
      </c>
      <c r="D2241" s="1324">
        <f t="shared" si="234"/>
        <v>38621</v>
      </c>
      <c r="E2241" s="1323">
        <f t="shared" si="236"/>
        <v>6.3933</v>
      </c>
      <c r="F2241" s="1323">
        <f t="shared" si="235"/>
        <v>6.386307720805533</v>
      </c>
      <c r="G2241" s="1323">
        <f t="shared" si="237"/>
        <v>2005</v>
      </c>
      <c r="H2241" s="1323">
        <f t="shared" si="238"/>
        <v>9</v>
      </c>
      <c r="I2241" s="1323">
        <f t="shared" si="239"/>
        <v>26</v>
      </c>
      <c r="J2241" s="1323"/>
      <c r="K2241" s="1323"/>
      <c r="L2241" s="1323"/>
      <c r="M2241" s="1323"/>
      <c r="N2241" s="1323"/>
      <c r="O2241" s="1323"/>
      <c r="P2241" s="1323"/>
      <c r="Q2241" s="1323"/>
      <c r="R2241" s="1304"/>
      <c r="S2241" s="1304"/>
      <c r="T2241" s="1304"/>
    </row>
    <row r="2242" spans="1:20">
      <c r="A2242" s="1303"/>
      <c r="B2242" s="1322" t="s">
        <v>6666</v>
      </c>
      <c r="C2242" s="1323" t="s">
        <v>6667</v>
      </c>
      <c r="D2242" s="1324">
        <f t="shared" si="234"/>
        <v>38618</v>
      </c>
      <c r="E2242" s="1323">
        <f t="shared" si="236"/>
        <v>6.3552</v>
      </c>
      <c r="F2242" s="1323">
        <f t="shared" si="235"/>
        <v>6.3850831843044329</v>
      </c>
      <c r="G2242" s="1323">
        <f t="shared" si="237"/>
        <v>2005</v>
      </c>
      <c r="H2242" s="1323">
        <f t="shared" si="238"/>
        <v>9</v>
      </c>
      <c r="I2242" s="1323">
        <f t="shared" si="239"/>
        <v>23</v>
      </c>
      <c r="J2242" s="1323"/>
      <c r="K2242" s="1323"/>
      <c r="L2242" s="1323"/>
      <c r="M2242" s="1323"/>
      <c r="N2242" s="1323"/>
      <c r="O2242" s="1323"/>
      <c r="P2242" s="1323"/>
      <c r="Q2242" s="1323"/>
      <c r="R2242" s="1304"/>
      <c r="S2242" s="1304"/>
      <c r="T2242" s="1304"/>
    </row>
    <row r="2243" spans="1:20">
      <c r="A2243" s="1303"/>
      <c r="B2243" s="1322" t="s">
        <v>6668</v>
      </c>
      <c r="C2243" s="1323" t="s">
        <v>6669</v>
      </c>
      <c r="D2243" s="1324">
        <f t="shared" si="234"/>
        <v>38617</v>
      </c>
      <c r="E2243" s="1323">
        <f t="shared" si="236"/>
        <v>6.3478000000000003</v>
      </c>
      <c r="F2243" s="1323">
        <f t="shared" si="235"/>
        <v>6.3838588826009204</v>
      </c>
      <c r="G2243" s="1323">
        <f t="shared" si="237"/>
        <v>2005</v>
      </c>
      <c r="H2243" s="1323">
        <f t="shared" si="238"/>
        <v>9</v>
      </c>
      <c r="I2243" s="1323">
        <f t="shared" si="239"/>
        <v>22</v>
      </c>
      <c r="J2243" s="1323"/>
      <c r="K2243" s="1323"/>
      <c r="L2243" s="1323"/>
      <c r="M2243" s="1323"/>
      <c r="N2243" s="1323"/>
      <c r="O2243" s="1323"/>
      <c r="P2243" s="1323"/>
      <c r="Q2243" s="1323"/>
      <c r="R2243" s="1304"/>
      <c r="S2243" s="1304"/>
      <c r="T2243" s="1304"/>
    </row>
    <row r="2244" spans="1:20">
      <c r="A2244" s="1303"/>
      <c r="B2244" s="1322" t="s">
        <v>6670</v>
      </c>
      <c r="C2244" s="1323" t="s">
        <v>6671</v>
      </c>
      <c r="D2244" s="1324">
        <f t="shared" si="234"/>
        <v>38616</v>
      </c>
      <c r="E2244" s="1323">
        <f t="shared" si="236"/>
        <v>6.3735999999999997</v>
      </c>
      <c r="F2244" s="1323">
        <f t="shared" si="235"/>
        <v>6.3826348156499737</v>
      </c>
      <c r="G2244" s="1323">
        <f t="shared" si="237"/>
        <v>2005</v>
      </c>
      <c r="H2244" s="1323">
        <f t="shared" si="238"/>
        <v>9</v>
      </c>
      <c r="I2244" s="1323">
        <f t="shared" si="239"/>
        <v>21</v>
      </c>
      <c r="J2244" s="1323"/>
      <c r="K2244" s="1323"/>
      <c r="L2244" s="1323"/>
      <c r="M2244" s="1323"/>
      <c r="N2244" s="1323"/>
      <c r="O2244" s="1323"/>
      <c r="P2244" s="1323"/>
      <c r="Q2244" s="1323"/>
      <c r="R2244" s="1304"/>
      <c r="S2244" s="1304"/>
      <c r="T2244" s="1304"/>
    </row>
    <row r="2245" spans="1:20">
      <c r="A2245" s="1303"/>
      <c r="B2245" s="1322" t="s">
        <v>6672</v>
      </c>
      <c r="C2245" s="1323" t="s">
        <v>6673</v>
      </c>
      <c r="D2245" s="1324">
        <f t="shared" si="234"/>
        <v>38615</v>
      </c>
      <c r="E2245" s="1323">
        <f t="shared" si="236"/>
        <v>6.4050000000000002</v>
      </c>
      <c r="F2245" s="1323">
        <f t="shared" si="235"/>
        <v>6.3814109834065809</v>
      </c>
      <c r="G2245" s="1323">
        <f t="shared" si="237"/>
        <v>2005</v>
      </c>
      <c r="H2245" s="1323">
        <f t="shared" si="238"/>
        <v>9</v>
      </c>
      <c r="I2245" s="1323">
        <f t="shared" si="239"/>
        <v>20</v>
      </c>
      <c r="J2245" s="1323"/>
      <c r="K2245" s="1323"/>
      <c r="L2245" s="1323"/>
      <c r="M2245" s="1323"/>
      <c r="N2245" s="1323"/>
      <c r="O2245" s="1323"/>
      <c r="P2245" s="1323"/>
      <c r="Q2245" s="1323"/>
      <c r="R2245" s="1304"/>
      <c r="S2245" s="1304"/>
      <c r="T2245" s="1304"/>
    </row>
    <row r="2246" spans="1:20">
      <c r="A2246" s="1303"/>
      <c r="B2246" s="1322" t="s">
        <v>6674</v>
      </c>
      <c r="C2246" s="1323" t="s">
        <v>6675</v>
      </c>
      <c r="D2246" s="1324">
        <f t="shared" si="234"/>
        <v>38614</v>
      </c>
      <c r="E2246" s="1323">
        <f t="shared" si="236"/>
        <v>6.4539</v>
      </c>
      <c r="F2246" s="1323">
        <f t="shared" si="235"/>
        <v>6.380187385825737</v>
      </c>
      <c r="G2246" s="1323">
        <f t="shared" si="237"/>
        <v>2005</v>
      </c>
      <c r="H2246" s="1323">
        <f t="shared" si="238"/>
        <v>9</v>
      </c>
      <c r="I2246" s="1323">
        <f t="shared" si="239"/>
        <v>19</v>
      </c>
      <c r="J2246" s="1323"/>
      <c r="K2246" s="1323"/>
      <c r="L2246" s="1323"/>
      <c r="M2246" s="1323"/>
      <c r="N2246" s="1323"/>
      <c r="O2246" s="1323"/>
      <c r="P2246" s="1323"/>
      <c r="Q2246" s="1323"/>
      <c r="R2246" s="1304"/>
      <c r="S2246" s="1304"/>
      <c r="T2246" s="1304"/>
    </row>
    <row r="2247" spans="1:20">
      <c r="A2247" s="1303"/>
      <c r="B2247" s="1322" t="s">
        <v>6676</v>
      </c>
      <c r="C2247" s="1323" t="s">
        <v>6677</v>
      </c>
      <c r="D2247" s="1324">
        <f t="shared" si="234"/>
        <v>38611</v>
      </c>
      <c r="E2247" s="1323">
        <f t="shared" si="236"/>
        <v>6.3642000000000003</v>
      </c>
      <c r="F2247" s="1323">
        <f t="shared" si="235"/>
        <v>6.3789640228624478</v>
      </c>
      <c r="G2247" s="1323">
        <f t="shared" si="237"/>
        <v>2005</v>
      </c>
      <c r="H2247" s="1323">
        <f t="shared" si="238"/>
        <v>9</v>
      </c>
      <c r="I2247" s="1323">
        <f t="shared" si="239"/>
        <v>16</v>
      </c>
      <c r="J2247" s="1323"/>
      <c r="K2247" s="1323"/>
      <c r="L2247" s="1323"/>
      <c r="M2247" s="1323"/>
      <c r="N2247" s="1323"/>
      <c r="O2247" s="1323"/>
      <c r="P2247" s="1323"/>
      <c r="Q2247" s="1323"/>
      <c r="R2247" s="1304"/>
      <c r="S2247" s="1304"/>
      <c r="T2247" s="1304"/>
    </row>
    <row r="2248" spans="1:20">
      <c r="A2248" s="1303"/>
      <c r="B2248" s="1322" t="s">
        <v>6678</v>
      </c>
      <c r="C2248" s="1323" t="s">
        <v>6679</v>
      </c>
      <c r="D2248" s="1324">
        <f t="shared" si="234"/>
        <v>38610</v>
      </c>
      <c r="E2248" s="1323">
        <f t="shared" si="236"/>
        <v>6.3937999999999997</v>
      </c>
      <c r="F2248" s="1323">
        <f t="shared" si="235"/>
        <v>6.3777408944717271</v>
      </c>
      <c r="G2248" s="1323">
        <f t="shared" si="237"/>
        <v>2005</v>
      </c>
      <c r="H2248" s="1323">
        <f t="shared" si="238"/>
        <v>9</v>
      </c>
      <c r="I2248" s="1323">
        <f t="shared" si="239"/>
        <v>15</v>
      </c>
      <c r="J2248" s="1323"/>
      <c r="K2248" s="1323"/>
      <c r="L2248" s="1323"/>
      <c r="M2248" s="1323"/>
      <c r="N2248" s="1323"/>
      <c r="O2248" s="1323"/>
      <c r="P2248" s="1323"/>
      <c r="Q2248" s="1323"/>
      <c r="R2248" s="1304"/>
      <c r="S2248" s="1304"/>
      <c r="T2248" s="1304"/>
    </row>
    <row r="2249" spans="1:20">
      <c r="A2249" s="1303"/>
      <c r="B2249" s="1322" t="s">
        <v>6680</v>
      </c>
      <c r="C2249" s="1323" t="s">
        <v>6681</v>
      </c>
      <c r="D2249" s="1324">
        <f t="shared" ref="D2249:D2312" si="240">DATE(G2249,H2249,I2249)</f>
        <v>38609</v>
      </c>
      <c r="E2249" s="1323">
        <f t="shared" si="236"/>
        <v>6.3589000000000002</v>
      </c>
      <c r="F2249" s="1323">
        <f t="shared" ref="F2249:F2312" si="241">F2250*(1+$F$7/365)</f>
        <v>6.3765180006085966</v>
      </c>
      <c r="G2249" s="1323">
        <f t="shared" si="237"/>
        <v>2005</v>
      </c>
      <c r="H2249" s="1323">
        <f t="shared" si="238"/>
        <v>9</v>
      </c>
      <c r="I2249" s="1323">
        <f t="shared" si="239"/>
        <v>14</v>
      </c>
      <c r="J2249" s="1323"/>
      <c r="K2249" s="1323"/>
      <c r="L2249" s="1323"/>
      <c r="M2249" s="1323"/>
      <c r="N2249" s="1323"/>
      <c r="O2249" s="1323"/>
      <c r="P2249" s="1323"/>
      <c r="Q2249" s="1323"/>
      <c r="R2249" s="1304"/>
      <c r="S2249" s="1304"/>
      <c r="T2249" s="1304"/>
    </row>
    <row r="2250" spans="1:20">
      <c r="A2250" s="1303"/>
      <c r="B2250" s="1322" t="s">
        <v>6682</v>
      </c>
      <c r="C2250" s="1323" t="s">
        <v>6683</v>
      </c>
      <c r="D2250" s="1324">
        <f t="shared" si="240"/>
        <v>38608</v>
      </c>
      <c r="E2250" s="1323">
        <f t="shared" si="236"/>
        <v>6.3750999999999998</v>
      </c>
      <c r="F2250" s="1323">
        <f t="shared" si="241"/>
        <v>6.3752953412280871</v>
      </c>
      <c r="G2250" s="1323">
        <f t="shared" si="237"/>
        <v>2005</v>
      </c>
      <c r="H2250" s="1323">
        <f t="shared" si="238"/>
        <v>9</v>
      </c>
      <c r="I2250" s="1323">
        <f t="shared" si="239"/>
        <v>13</v>
      </c>
      <c r="J2250" s="1323"/>
      <c r="K2250" s="1323"/>
      <c r="L2250" s="1323"/>
      <c r="M2250" s="1323"/>
      <c r="N2250" s="1323"/>
      <c r="O2250" s="1323"/>
      <c r="P2250" s="1323"/>
      <c r="Q2250" s="1323"/>
      <c r="R2250" s="1304"/>
      <c r="S2250" s="1304"/>
      <c r="T2250" s="1304"/>
    </row>
    <row r="2251" spans="1:20">
      <c r="A2251" s="1303"/>
      <c r="B2251" s="1322" t="s">
        <v>6684</v>
      </c>
      <c r="C2251" s="1323" t="s">
        <v>6685</v>
      </c>
      <c r="D2251" s="1324">
        <f t="shared" si="240"/>
        <v>38607</v>
      </c>
      <c r="E2251" s="1323">
        <f t="shared" si="236"/>
        <v>6.3711000000000002</v>
      </c>
      <c r="F2251" s="1323">
        <f t="shared" si="241"/>
        <v>6.3740729162852379</v>
      </c>
      <c r="G2251" s="1323">
        <f t="shared" si="237"/>
        <v>2005</v>
      </c>
      <c r="H2251" s="1323">
        <f t="shared" si="238"/>
        <v>9</v>
      </c>
      <c r="I2251" s="1323">
        <f t="shared" si="239"/>
        <v>12</v>
      </c>
      <c r="J2251" s="1323"/>
      <c r="K2251" s="1323"/>
      <c r="L2251" s="1323"/>
      <c r="M2251" s="1323"/>
      <c r="N2251" s="1323"/>
      <c r="O2251" s="1323"/>
      <c r="P2251" s="1323"/>
      <c r="Q2251" s="1323"/>
      <c r="R2251" s="1304"/>
      <c r="S2251" s="1304"/>
      <c r="T2251" s="1304"/>
    </row>
    <row r="2252" spans="1:20">
      <c r="A2252" s="1303"/>
      <c r="B2252" s="1322" t="s">
        <v>6686</v>
      </c>
      <c r="C2252" s="1323" t="s">
        <v>6687</v>
      </c>
      <c r="D2252" s="1324">
        <f t="shared" si="240"/>
        <v>38604</v>
      </c>
      <c r="E2252" s="1323">
        <f t="shared" si="236"/>
        <v>6.3159999999999998</v>
      </c>
      <c r="F2252" s="1323">
        <f t="shared" si="241"/>
        <v>6.3728507257350966</v>
      </c>
      <c r="G2252" s="1323">
        <f t="shared" si="237"/>
        <v>2005</v>
      </c>
      <c r="H2252" s="1323">
        <f t="shared" si="238"/>
        <v>9</v>
      </c>
      <c r="I2252" s="1323">
        <f t="shared" si="239"/>
        <v>9</v>
      </c>
      <c r="J2252" s="1323"/>
      <c r="K2252" s="1323"/>
      <c r="L2252" s="1323"/>
      <c r="M2252" s="1323"/>
      <c r="N2252" s="1323"/>
      <c r="O2252" s="1323"/>
      <c r="P2252" s="1323"/>
      <c r="Q2252" s="1323"/>
      <c r="R2252" s="1304"/>
      <c r="S2252" s="1304"/>
      <c r="T2252" s="1304"/>
    </row>
    <row r="2253" spans="1:20">
      <c r="A2253" s="1303"/>
      <c r="B2253" s="1322" t="s">
        <v>6688</v>
      </c>
      <c r="C2253" s="1323" t="s">
        <v>6689</v>
      </c>
      <c r="D2253" s="1324">
        <f t="shared" si="240"/>
        <v>38603</v>
      </c>
      <c r="E2253" s="1323">
        <f t="shared" si="236"/>
        <v>6.3258000000000001</v>
      </c>
      <c r="F2253" s="1323">
        <f t="shared" si="241"/>
        <v>6.3716287695327205</v>
      </c>
      <c r="G2253" s="1323">
        <f t="shared" si="237"/>
        <v>2005</v>
      </c>
      <c r="H2253" s="1323">
        <f t="shared" si="238"/>
        <v>9</v>
      </c>
      <c r="I2253" s="1323">
        <f t="shared" si="239"/>
        <v>8</v>
      </c>
      <c r="J2253" s="1323"/>
      <c r="K2253" s="1323"/>
      <c r="L2253" s="1323"/>
      <c r="M2253" s="1323"/>
      <c r="N2253" s="1323"/>
      <c r="O2253" s="1323"/>
      <c r="P2253" s="1323"/>
      <c r="Q2253" s="1323"/>
      <c r="R2253" s="1304"/>
      <c r="S2253" s="1304"/>
      <c r="T2253" s="1304"/>
    </row>
    <row r="2254" spans="1:20">
      <c r="A2254" s="1303"/>
      <c r="B2254" s="1322" t="s">
        <v>6690</v>
      </c>
      <c r="C2254" s="1323" t="s">
        <v>6691</v>
      </c>
      <c r="D2254" s="1324">
        <f t="shared" si="240"/>
        <v>38602</v>
      </c>
      <c r="E2254" s="1323">
        <f t="shared" si="236"/>
        <v>6.2976999999999999</v>
      </c>
      <c r="F2254" s="1323">
        <f t="shared" si="241"/>
        <v>6.370407047633174</v>
      </c>
      <c r="G2254" s="1323">
        <f t="shared" si="237"/>
        <v>2005</v>
      </c>
      <c r="H2254" s="1323">
        <f t="shared" si="238"/>
        <v>9</v>
      </c>
      <c r="I2254" s="1323">
        <f t="shared" si="239"/>
        <v>7</v>
      </c>
      <c r="J2254" s="1323"/>
      <c r="K2254" s="1323"/>
      <c r="L2254" s="1323"/>
      <c r="M2254" s="1323"/>
      <c r="N2254" s="1323"/>
      <c r="O2254" s="1323"/>
      <c r="P2254" s="1323"/>
      <c r="Q2254" s="1323"/>
      <c r="R2254" s="1304"/>
      <c r="S2254" s="1304"/>
      <c r="T2254" s="1304"/>
    </row>
    <row r="2255" spans="1:20">
      <c r="A2255" s="1303"/>
      <c r="B2255" s="1322" t="s">
        <v>6692</v>
      </c>
      <c r="C2255" s="1323" t="s">
        <v>6693</v>
      </c>
      <c r="D2255" s="1324">
        <f t="shared" si="240"/>
        <v>38601</v>
      </c>
      <c r="E2255" s="1323">
        <f t="shared" si="236"/>
        <v>6.2811000000000003</v>
      </c>
      <c r="F2255" s="1323">
        <f t="shared" si="241"/>
        <v>6.3691855599915312</v>
      </c>
      <c r="G2255" s="1323">
        <f t="shared" si="237"/>
        <v>2005</v>
      </c>
      <c r="H2255" s="1323">
        <f t="shared" si="238"/>
        <v>9</v>
      </c>
      <c r="I2255" s="1323">
        <f t="shared" si="239"/>
        <v>6</v>
      </c>
      <c r="J2255" s="1323"/>
      <c r="K2255" s="1323"/>
      <c r="L2255" s="1323"/>
      <c r="M2255" s="1323"/>
      <c r="N2255" s="1323"/>
      <c r="O2255" s="1323"/>
      <c r="P2255" s="1323"/>
      <c r="Q2255" s="1323"/>
      <c r="R2255" s="1304"/>
      <c r="S2255" s="1304"/>
      <c r="T2255" s="1304"/>
    </row>
    <row r="2256" spans="1:20">
      <c r="A2256" s="1303"/>
      <c r="B2256" s="1322" t="s">
        <v>6694</v>
      </c>
      <c r="C2256" s="1323" t="s">
        <v>6695</v>
      </c>
      <c r="D2256" s="1324">
        <f t="shared" si="240"/>
        <v>38600</v>
      </c>
      <c r="E2256" s="1323">
        <f t="shared" si="236"/>
        <v>6.2347000000000001</v>
      </c>
      <c r="F2256" s="1323">
        <f t="shared" si="241"/>
        <v>6.3679643065628753</v>
      </c>
      <c r="G2256" s="1323">
        <f t="shared" si="237"/>
        <v>2005</v>
      </c>
      <c r="H2256" s="1323">
        <f t="shared" si="238"/>
        <v>9</v>
      </c>
      <c r="I2256" s="1323">
        <f t="shared" si="239"/>
        <v>5</v>
      </c>
      <c r="J2256" s="1323"/>
      <c r="K2256" s="1323"/>
      <c r="L2256" s="1323"/>
      <c r="M2256" s="1323"/>
      <c r="N2256" s="1323"/>
      <c r="O2256" s="1323"/>
      <c r="P2256" s="1323"/>
      <c r="Q2256" s="1323"/>
      <c r="R2256" s="1304"/>
      <c r="S2256" s="1304"/>
      <c r="T2256" s="1304"/>
    </row>
    <row r="2257" spans="1:20">
      <c r="A2257" s="1303"/>
      <c r="B2257" s="1322" t="s">
        <v>6696</v>
      </c>
      <c r="C2257" s="1323" t="s">
        <v>6697</v>
      </c>
      <c r="D2257" s="1324">
        <f t="shared" si="240"/>
        <v>38597</v>
      </c>
      <c r="E2257" s="1323">
        <f t="shared" si="236"/>
        <v>6.2647000000000004</v>
      </c>
      <c r="F2257" s="1323">
        <f t="shared" si="241"/>
        <v>6.3667432873022962</v>
      </c>
      <c r="G2257" s="1323">
        <f t="shared" si="237"/>
        <v>2005</v>
      </c>
      <c r="H2257" s="1323">
        <f t="shared" si="238"/>
        <v>9</v>
      </c>
      <c r="I2257" s="1323">
        <f t="shared" si="239"/>
        <v>2</v>
      </c>
      <c r="J2257" s="1323"/>
      <c r="K2257" s="1323"/>
      <c r="L2257" s="1323"/>
      <c r="M2257" s="1323"/>
      <c r="N2257" s="1323"/>
      <c r="O2257" s="1323"/>
      <c r="P2257" s="1323"/>
      <c r="Q2257" s="1323"/>
      <c r="R2257" s="1304"/>
      <c r="S2257" s="1304"/>
      <c r="T2257" s="1304"/>
    </row>
    <row r="2258" spans="1:20">
      <c r="A2258" s="1303"/>
      <c r="B2258" s="1322" t="s">
        <v>6698</v>
      </c>
      <c r="C2258" s="1323" t="s">
        <v>6699</v>
      </c>
      <c r="D2258" s="1324">
        <f t="shared" si="240"/>
        <v>38596</v>
      </c>
      <c r="E2258" s="1323">
        <f t="shared" si="236"/>
        <v>6.3810000000000002</v>
      </c>
      <c r="F2258" s="1323">
        <f t="shared" si="241"/>
        <v>6.3655225021648949</v>
      </c>
      <c r="G2258" s="1323">
        <f t="shared" si="237"/>
        <v>2005</v>
      </c>
      <c r="H2258" s="1323">
        <f t="shared" si="238"/>
        <v>9</v>
      </c>
      <c r="I2258" s="1323">
        <f t="shared" si="239"/>
        <v>1</v>
      </c>
      <c r="J2258" s="1323"/>
      <c r="K2258" s="1323"/>
      <c r="L2258" s="1323"/>
      <c r="M2258" s="1323"/>
      <c r="N2258" s="1323"/>
      <c r="O2258" s="1323"/>
      <c r="P2258" s="1323"/>
      <c r="Q2258" s="1323"/>
      <c r="R2258" s="1304"/>
      <c r="S2258" s="1304"/>
      <c r="T2258" s="1304"/>
    </row>
    <row r="2259" spans="1:20">
      <c r="A2259" s="1303"/>
      <c r="B2259" s="1322" t="s">
        <v>6700</v>
      </c>
      <c r="C2259" s="1323" t="s">
        <v>6701</v>
      </c>
      <c r="D2259" s="1324">
        <f t="shared" si="240"/>
        <v>38595</v>
      </c>
      <c r="E2259" s="1323">
        <f t="shared" si="236"/>
        <v>6.5033000000000003</v>
      </c>
      <c r="F2259" s="1323">
        <f t="shared" si="241"/>
        <v>6.3643019511057783</v>
      </c>
      <c r="G2259" s="1323">
        <f t="shared" si="237"/>
        <v>2005</v>
      </c>
      <c r="H2259" s="1323">
        <f t="shared" si="238"/>
        <v>8</v>
      </c>
      <c r="I2259" s="1323">
        <f t="shared" si="239"/>
        <v>31</v>
      </c>
      <c r="J2259" s="1323"/>
      <c r="K2259" s="1323"/>
      <c r="L2259" s="1323"/>
      <c r="M2259" s="1323"/>
      <c r="N2259" s="1323"/>
      <c r="O2259" s="1323"/>
      <c r="P2259" s="1323"/>
      <c r="Q2259" s="1323"/>
      <c r="R2259" s="1304"/>
      <c r="S2259" s="1304"/>
      <c r="T2259" s="1304"/>
    </row>
    <row r="2260" spans="1:20">
      <c r="A2260" s="1303"/>
      <c r="B2260" s="1322" t="s">
        <v>6702</v>
      </c>
      <c r="C2260" s="1323" t="s">
        <v>6703</v>
      </c>
      <c r="D2260" s="1324">
        <f t="shared" si="240"/>
        <v>38594</v>
      </c>
      <c r="E2260" s="1323">
        <f t="shared" si="236"/>
        <v>6.4808000000000003</v>
      </c>
      <c r="F2260" s="1323">
        <f t="shared" si="241"/>
        <v>6.3630816340800642</v>
      </c>
      <c r="G2260" s="1323">
        <f t="shared" si="237"/>
        <v>2005</v>
      </c>
      <c r="H2260" s="1323">
        <f t="shared" si="238"/>
        <v>8</v>
      </c>
      <c r="I2260" s="1323">
        <f t="shared" si="239"/>
        <v>30</v>
      </c>
      <c r="J2260" s="1323"/>
      <c r="K2260" s="1323"/>
      <c r="L2260" s="1323"/>
      <c r="M2260" s="1323"/>
      <c r="N2260" s="1323"/>
      <c r="O2260" s="1323"/>
      <c r="P2260" s="1323"/>
      <c r="Q2260" s="1323"/>
      <c r="R2260" s="1304"/>
      <c r="S2260" s="1304"/>
      <c r="T2260" s="1304"/>
    </row>
    <row r="2261" spans="1:20">
      <c r="A2261" s="1303"/>
      <c r="B2261" s="1322" t="s">
        <v>6704</v>
      </c>
      <c r="C2261" s="1323" t="s">
        <v>6705</v>
      </c>
      <c r="D2261" s="1324">
        <f t="shared" si="240"/>
        <v>38593</v>
      </c>
      <c r="E2261" s="1323">
        <f t="shared" si="236"/>
        <v>6.4355000000000002</v>
      </c>
      <c r="F2261" s="1323">
        <f t="shared" si="241"/>
        <v>6.3618615510428773</v>
      </c>
      <c r="G2261" s="1323">
        <f t="shared" si="237"/>
        <v>2005</v>
      </c>
      <c r="H2261" s="1323">
        <f t="shared" si="238"/>
        <v>8</v>
      </c>
      <c r="I2261" s="1323">
        <f t="shared" si="239"/>
        <v>29</v>
      </c>
      <c r="J2261" s="1323"/>
      <c r="K2261" s="1323"/>
      <c r="L2261" s="1323"/>
      <c r="M2261" s="1323"/>
      <c r="N2261" s="1323"/>
      <c r="O2261" s="1323"/>
      <c r="P2261" s="1323"/>
      <c r="Q2261" s="1323"/>
      <c r="R2261" s="1304"/>
      <c r="S2261" s="1304"/>
      <c r="T2261" s="1304"/>
    </row>
    <row r="2262" spans="1:20">
      <c r="A2262" s="1303"/>
      <c r="B2262" s="1322" t="s">
        <v>6706</v>
      </c>
      <c r="C2262" s="1323" t="s">
        <v>6707</v>
      </c>
      <c r="D2262" s="1324">
        <f t="shared" si="240"/>
        <v>38590</v>
      </c>
      <c r="E2262" s="1323">
        <f t="shared" ref="E2262:E2325" si="242">VALUE(C2263)</f>
        <v>6.4561999999999999</v>
      </c>
      <c r="F2262" s="1323">
        <f t="shared" si="241"/>
        <v>6.3606417019493522</v>
      </c>
      <c r="G2262" s="1323">
        <f t="shared" ref="G2262:G2325" si="243">YEAR(B2263)</f>
        <v>2005</v>
      </c>
      <c r="H2262" s="1323">
        <f t="shared" ref="H2262:H2325" si="244">MONTH(B2263)</f>
        <v>8</v>
      </c>
      <c r="I2262" s="1323">
        <f t="shared" ref="I2262:I2325" si="245">DAY(B2263)</f>
        <v>26</v>
      </c>
      <c r="J2262" s="1323"/>
      <c r="K2262" s="1323"/>
      <c r="L2262" s="1323"/>
      <c r="M2262" s="1323"/>
      <c r="N2262" s="1323"/>
      <c r="O2262" s="1323"/>
      <c r="P2262" s="1323"/>
      <c r="Q2262" s="1323"/>
      <c r="R2262" s="1304"/>
      <c r="S2262" s="1304"/>
      <c r="T2262" s="1304"/>
    </row>
    <row r="2263" spans="1:20">
      <c r="A2263" s="1303"/>
      <c r="B2263" s="1322" t="s">
        <v>6708</v>
      </c>
      <c r="C2263" s="1323" t="s">
        <v>6709</v>
      </c>
      <c r="D2263" s="1324">
        <f t="shared" si="240"/>
        <v>38589</v>
      </c>
      <c r="E2263" s="1323">
        <f t="shared" si="242"/>
        <v>6.4565000000000001</v>
      </c>
      <c r="F2263" s="1323">
        <f t="shared" si="241"/>
        <v>6.3594220867546323</v>
      </c>
      <c r="G2263" s="1323">
        <f t="shared" si="243"/>
        <v>2005</v>
      </c>
      <c r="H2263" s="1323">
        <f t="shared" si="244"/>
        <v>8</v>
      </c>
      <c r="I2263" s="1323">
        <f t="shared" si="245"/>
        <v>25</v>
      </c>
      <c r="J2263" s="1323"/>
      <c r="K2263" s="1323"/>
      <c r="L2263" s="1323"/>
      <c r="M2263" s="1323"/>
      <c r="N2263" s="1323"/>
      <c r="O2263" s="1323"/>
      <c r="P2263" s="1323"/>
      <c r="Q2263" s="1323"/>
      <c r="R2263" s="1304"/>
      <c r="S2263" s="1304"/>
      <c r="T2263" s="1304"/>
    </row>
    <row r="2264" spans="1:20">
      <c r="A2264" s="1303"/>
      <c r="B2264" s="1322" t="s">
        <v>6710</v>
      </c>
      <c r="C2264" s="1323" t="s">
        <v>6711</v>
      </c>
      <c r="D2264" s="1324">
        <f t="shared" si="240"/>
        <v>38588</v>
      </c>
      <c r="E2264" s="1323">
        <f t="shared" si="242"/>
        <v>6.4958999999999998</v>
      </c>
      <c r="F2264" s="1323">
        <f t="shared" si="241"/>
        <v>6.3582027054138681</v>
      </c>
      <c r="G2264" s="1323">
        <f t="shared" si="243"/>
        <v>2005</v>
      </c>
      <c r="H2264" s="1323">
        <f t="shared" si="244"/>
        <v>8</v>
      </c>
      <c r="I2264" s="1323">
        <f t="shared" si="245"/>
        <v>24</v>
      </c>
      <c r="J2264" s="1323"/>
      <c r="K2264" s="1323"/>
      <c r="L2264" s="1323"/>
      <c r="M2264" s="1323"/>
      <c r="N2264" s="1323"/>
      <c r="O2264" s="1323"/>
      <c r="P2264" s="1323"/>
      <c r="Q2264" s="1323"/>
      <c r="R2264" s="1304"/>
      <c r="S2264" s="1304"/>
      <c r="T2264" s="1304"/>
    </row>
    <row r="2265" spans="1:20">
      <c r="A2265" s="1303"/>
      <c r="B2265" s="1322" t="s">
        <v>6712</v>
      </c>
      <c r="C2265" s="1323" t="s">
        <v>6713</v>
      </c>
      <c r="D2265" s="1324">
        <f t="shared" si="240"/>
        <v>38587</v>
      </c>
      <c r="E2265" s="1323">
        <f t="shared" si="242"/>
        <v>6.4882999999999997</v>
      </c>
      <c r="F2265" s="1323">
        <f t="shared" si="241"/>
        <v>6.3569835578822191</v>
      </c>
      <c r="G2265" s="1323">
        <f t="shared" si="243"/>
        <v>2005</v>
      </c>
      <c r="H2265" s="1323">
        <f t="shared" si="244"/>
        <v>8</v>
      </c>
      <c r="I2265" s="1323">
        <f t="shared" si="245"/>
        <v>23</v>
      </c>
      <c r="J2265" s="1323"/>
      <c r="K2265" s="1323"/>
      <c r="L2265" s="1323"/>
      <c r="M2265" s="1323"/>
      <c r="N2265" s="1323"/>
      <c r="O2265" s="1323"/>
      <c r="P2265" s="1323"/>
      <c r="Q2265" s="1323"/>
      <c r="R2265" s="1304"/>
      <c r="S2265" s="1304"/>
      <c r="T2265" s="1304"/>
    </row>
    <row r="2266" spans="1:20">
      <c r="A2266" s="1303"/>
      <c r="B2266" s="1322" t="s">
        <v>6714</v>
      </c>
      <c r="C2266" s="1323" t="s">
        <v>6715</v>
      </c>
      <c r="D2266" s="1324">
        <f t="shared" si="240"/>
        <v>38586</v>
      </c>
      <c r="E2266" s="1323">
        <f t="shared" si="242"/>
        <v>6.5225999999999997</v>
      </c>
      <c r="F2266" s="1323">
        <f t="shared" si="241"/>
        <v>6.3557646441148545</v>
      </c>
      <c r="G2266" s="1323">
        <f t="shared" si="243"/>
        <v>2005</v>
      </c>
      <c r="H2266" s="1323">
        <f t="shared" si="244"/>
        <v>8</v>
      </c>
      <c r="I2266" s="1323">
        <f t="shared" si="245"/>
        <v>22</v>
      </c>
      <c r="J2266" s="1323"/>
      <c r="K2266" s="1323"/>
      <c r="L2266" s="1323"/>
      <c r="M2266" s="1323"/>
      <c r="N2266" s="1323"/>
      <c r="O2266" s="1323"/>
      <c r="P2266" s="1323"/>
      <c r="Q2266" s="1323"/>
      <c r="R2266" s="1304"/>
      <c r="S2266" s="1304"/>
      <c r="T2266" s="1304"/>
    </row>
    <row r="2267" spans="1:20">
      <c r="A2267" s="1303"/>
      <c r="B2267" s="1322" t="s">
        <v>6716</v>
      </c>
      <c r="C2267" s="1323" t="s">
        <v>6717</v>
      </c>
      <c r="D2267" s="1324">
        <f t="shared" si="240"/>
        <v>38583</v>
      </c>
      <c r="E2267" s="1323">
        <f t="shared" si="242"/>
        <v>6.548</v>
      </c>
      <c r="F2267" s="1323">
        <f t="shared" si="241"/>
        <v>6.3545459640669515</v>
      </c>
      <c r="G2267" s="1323">
        <f t="shared" si="243"/>
        <v>2005</v>
      </c>
      <c r="H2267" s="1323">
        <f t="shared" si="244"/>
        <v>8</v>
      </c>
      <c r="I2267" s="1323">
        <f t="shared" si="245"/>
        <v>19</v>
      </c>
      <c r="J2267" s="1323"/>
      <c r="K2267" s="1323"/>
      <c r="L2267" s="1323"/>
      <c r="M2267" s="1323"/>
      <c r="N2267" s="1323"/>
      <c r="O2267" s="1323"/>
      <c r="P2267" s="1323"/>
      <c r="Q2267" s="1323"/>
      <c r="R2267" s="1304"/>
      <c r="S2267" s="1304"/>
      <c r="T2267" s="1304"/>
    </row>
    <row r="2268" spans="1:20">
      <c r="A2268" s="1303"/>
      <c r="B2268" s="1322" t="s">
        <v>6718</v>
      </c>
      <c r="C2268" s="1323" t="s">
        <v>6719</v>
      </c>
      <c r="D2268" s="1324">
        <f t="shared" si="240"/>
        <v>38582</v>
      </c>
      <c r="E2268" s="1323">
        <f t="shared" si="242"/>
        <v>6.4973000000000001</v>
      </c>
      <c r="F2268" s="1323">
        <f t="shared" si="241"/>
        <v>6.3533275176936952</v>
      </c>
      <c r="G2268" s="1323">
        <f t="shared" si="243"/>
        <v>2005</v>
      </c>
      <c r="H2268" s="1323">
        <f t="shared" si="244"/>
        <v>8</v>
      </c>
      <c r="I2268" s="1323">
        <f t="shared" si="245"/>
        <v>18</v>
      </c>
      <c r="J2268" s="1323"/>
      <c r="K2268" s="1323"/>
      <c r="L2268" s="1323"/>
      <c r="M2268" s="1323"/>
      <c r="N2268" s="1323"/>
      <c r="O2268" s="1323"/>
      <c r="P2268" s="1323"/>
      <c r="Q2268" s="1323"/>
      <c r="R2268" s="1304"/>
      <c r="S2268" s="1304"/>
      <c r="T2268" s="1304"/>
    </row>
    <row r="2269" spans="1:20">
      <c r="A2269" s="1303"/>
      <c r="B2269" s="1322" t="s">
        <v>6720</v>
      </c>
      <c r="C2269" s="1323" t="s">
        <v>6721</v>
      </c>
      <c r="D2269" s="1324">
        <f t="shared" si="240"/>
        <v>38581</v>
      </c>
      <c r="E2269" s="1323">
        <f t="shared" si="242"/>
        <v>6.4630000000000001</v>
      </c>
      <c r="F2269" s="1323">
        <f t="shared" si="241"/>
        <v>6.3521093049502797</v>
      </c>
      <c r="G2269" s="1323">
        <f t="shared" si="243"/>
        <v>2005</v>
      </c>
      <c r="H2269" s="1323">
        <f t="shared" si="244"/>
        <v>8</v>
      </c>
      <c r="I2269" s="1323">
        <f t="shared" si="245"/>
        <v>17</v>
      </c>
      <c r="J2269" s="1323"/>
      <c r="K2269" s="1323"/>
      <c r="L2269" s="1323"/>
      <c r="M2269" s="1323"/>
      <c r="N2269" s="1323"/>
      <c r="O2269" s="1323"/>
      <c r="P2269" s="1323"/>
      <c r="Q2269" s="1323"/>
      <c r="R2269" s="1304"/>
      <c r="S2269" s="1304"/>
      <c r="T2269" s="1304"/>
    </row>
    <row r="2270" spans="1:20">
      <c r="A2270" s="1303"/>
      <c r="B2270" s="1322" t="s">
        <v>6722</v>
      </c>
      <c r="C2270" s="1323" t="s">
        <v>6723</v>
      </c>
      <c r="D2270" s="1324">
        <f t="shared" si="240"/>
        <v>38580</v>
      </c>
      <c r="E2270" s="1323">
        <f t="shared" si="242"/>
        <v>6.4401000000000002</v>
      </c>
      <c r="F2270" s="1323">
        <f t="shared" si="241"/>
        <v>6.3508913257919088</v>
      </c>
      <c r="G2270" s="1323">
        <f t="shared" si="243"/>
        <v>2005</v>
      </c>
      <c r="H2270" s="1323">
        <f t="shared" si="244"/>
        <v>8</v>
      </c>
      <c r="I2270" s="1323">
        <f t="shared" si="245"/>
        <v>16</v>
      </c>
      <c r="J2270" s="1323"/>
      <c r="K2270" s="1323"/>
      <c r="L2270" s="1323"/>
      <c r="M2270" s="1323"/>
      <c r="N2270" s="1323"/>
      <c r="O2270" s="1323"/>
      <c r="P2270" s="1323"/>
      <c r="Q2270" s="1323"/>
      <c r="R2270" s="1304"/>
      <c r="S2270" s="1304"/>
      <c r="T2270" s="1304"/>
    </row>
    <row r="2271" spans="1:20">
      <c r="A2271" s="1303"/>
      <c r="B2271" s="1322" t="s">
        <v>6724</v>
      </c>
      <c r="C2271" s="1323" t="s">
        <v>6725</v>
      </c>
      <c r="D2271" s="1324">
        <f t="shared" si="240"/>
        <v>38579</v>
      </c>
      <c r="E2271" s="1323">
        <f t="shared" si="242"/>
        <v>6.4303999999999997</v>
      </c>
      <c r="F2271" s="1323">
        <f t="shared" si="241"/>
        <v>6.3496735801737927</v>
      </c>
      <c r="G2271" s="1323">
        <f t="shared" si="243"/>
        <v>2005</v>
      </c>
      <c r="H2271" s="1323">
        <f t="shared" si="244"/>
        <v>8</v>
      </c>
      <c r="I2271" s="1323">
        <f t="shared" si="245"/>
        <v>15</v>
      </c>
      <c r="J2271" s="1323"/>
      <c r="K2271" s="1323"/>
      <c r="L2271" s="1323"/>
      <c r="M2271" s="1323"/>
      <c r="N2271" s="1323"/>
      <c r="O2271" s="1323"/>
      <c r="P2271" s="1323"/>
      <c r="Q2271" s="1323"/>
      <c r="R2271" s="1304"/>
      <c r="S2271" s="1304"/>
      <c r="T2271" s="1304"/>
    </row>
    <row r="2272" spans="1:20">
      <c r="A2272" s="1303"/>
      <c r="B2272" s="1322" t="s">
        <v>6726</v>
      </c>
      <c r="C2272" s="1323" t="s">
        <v>6727</v>
      </c>
      <c r="D2272" s="1324">
        <f t="shared" si="240"/>
        <v>38576</v>
      </c>
      <c r="E2272" s="1323">
        <f t="shared" si="242"/>
        <v>6.3437999999999999</v>
      </c>
      <c r="F2272" s="1323">
        <f t="shared" si="241"/>
        <v>6.3484560680511528</v>
      </c>
      <c r="G2272" s="1323">
        <f t="shared" si="243"/>
        <v>2005</v>
      </c>
      <c r="H2272" s="1323">
        <f t="shared" si="244"/>
        <v>8</v>
      </c>
      <c r="I2272" s="1323">
        <f t="shared" si="245"/>
        <v>12</v>
      </c>
      <c r="J2272" s="1323"/>
      <c r="K2272" s="1323"/>
      <c r="L2272" s="1323"/>
      <c r="M2272" s="1323"/>
      <c r="N2272" s="1323"/>
      <c r="O2272" s="1323"/>
      <c r="P2272" s="1323"/>
      <c r="Q2272" s="1323"/>
      <c r="R2272" s="1304"/>
      <c r="S2272" s="1304"/>
      <c r="T2272" s="1304"/>
    </row>
    <row r="2273" spans="1:20">
      <c r="A2273" s="1303"/>
      <c r="B2273" s="1322" t="s">
        <v>6728</v>
      </c>
      <c r="C2273" s="1323" t="s">
        <v>6729</v>
      </c>
      <c r="D2273" s="1324">
        <f t="shared" si="240"/>
        <v>38575</v>
      </c>
      <c r="E2273" s="1323">
        <f t="shared" si="242"/>
        <v>6.3753000000000002</v>
      </c>
      <c r="F2273" s="1323">
        <f t="shared" si="241"/>
        <v>6.347238789379217</v>
      </c>
      <c r="G2273" s="1323">
        <f t="shared" si="243"/>
        <v>2005</v>
      </c>
      <c r="H2273" s="1323">
        <f t="shared" si="244"/>
        <v>8</v>
      </c>
      <c r="I2273" s="1323">
        <f t="shared" si="245"/>
        <v>11</v>
      </c>
      <c r="J2273" s="1323"/>
      <c r="K2273" s="1323"/>
      <c r="L2273" s="1323"/>
      <c r="M2273" s="1323"/>
      <c r="N2273" s="1323"/>
      <c r="O2273" s="1323"/>
      <c r="P2273" s="1323"/>
      <c r="Q2273" s="1323"/>
      <c r="R2273" s="1304"/>
      <c r="S2273" s="1304"/>
      <c r="T2273" s="1304"/>
    </row>
    <row r="2274" spans="1:20">
      <c r="A2274" s="1303"/>
      <c r="B2274" s="1322" t="s">
        <v>6730</v>
      </c>
      <c r="C2274" s="1323" t="s">
        <v>6731</v>
      </c>
      <c r="D2274" s="1324">
        <f t="shared" si="240"/>
        <v>38574</v>
      </c>
      <c r="E2274" s="1323">
        <f t="shared" si="242"/>
        <v>6.3983999999999996</v>
      </c>
      <c r="F2274" s="1323">
        <f t="shared" si="241"/>
        <v>6.346021744113223</v>
      </c>
      <c r="G2274" s="1323">
        <f t="shared" si="243"/>
        <v>2005</v>
      </c>
      <c r="H2274" s="1323">
        <f t="shared" si="244"/>
        <v>8</v>
      </c>
      <c r="I2274" s="1323">
        <f t="shared" si="245"/>
        <v>10</v>
      </c>
      <c r="J2274" s="1323"/>
      <c r="K2274" s="1323"/>
      <c r="L2274" s="1323"/>
      <c r="M2274" s="1323"/>
      <c r="N2274" s="1323"/>
      <c r="O2274" s="1323"/>
      <c r="P2274" s="1323"/>
      <c r="Q2274" s="1323"/>
      <c r="R2274" s="1304"/>
      <c r="S2274" s="1304"/>
      <c r="T2274" s="1304"/>
    </row>
    <row r="2275" spans="1:20">
      <c r="A2275" s="1303"/>
      <c r="B2275" s="1322" t="s">
        <v>6732</v>
      </c>
      <c r="C2275" s="1323" t="s">
        <v>6733</v>
      </c>
      <c r="D2275" s="1324">
        <f t="shared" si="240"/>
        <v>38572</v>
      </c>
      <c r="E2275" s="1323">
        <f t="shared" si="242"/>
        <v>6.4747000000000003</v>
      </c>
      <c r="F2275" s="1323">
        <f t="shared" si="241"/>
        <v>6.3448049322084152</v>
      </c>
      <c r="G2275" s="1323">
        <f t="shared" si="243"/>
        <v>2005</v>
      </c>
      <c r="H2275" s="1323">
        <f t="shared" si="244"/>
        <v>8</v>
      </c>
      <c r="I2275" s="1323">
        <f t="shared" si="245"/>
        <v>8</v>
      </c>
      <c r="J2275" s="1323"/>
      <c r="K2275" s="1323"/>
      <c r="L2275" s="1323"/>
      <c r="M2275" s="1323"/>
      <c r="N2275" s="1323"/>
      <c r="O2275" s="1323"/>
      <c r="P2275" s="1323"/>
      <c r="Q2275" s="1323"/>
      <c r="R2275" s="1304"/>
      <c r="S2275" s="1304"/>
      <c r="T2275" s="1304"/>
    </row>
    <row r="2276" spans="1:20">
      <c r="A2276" s="1303"/>
      <c r="B2276" s="1322" t="s">
        <v>6734</v>
      </c>
      <c r="C2276" s="1323" t="s">
        <v>6735</v>
      </c>
      <c r="D2276" s="1324">
        <f t="shared" si="240"/>
        <v>38569</v>
      </c>
      <c r="E2276" s="1323">
        <f t="shared" si="242"/>
        <v>6.4405000000000001</v>
      </c>
      <c r="F2276" s="1323">
        <f t="shared" si="241"/>
        <v>6.3435883536200492</v>
      </c>
      <c r="G2276" s="1323">
        <f t="shared" si="243"/>
        <v>2005</v>
      </c>
      <c r="H2276" s="1323">
        <f t="shared" si="244"/>
        <v>8</v>
      </c>
      <c r="I2276" s="1323">
        <f t="shared" si="245"/>
        <v>5</v>
      </c>
      <c r="J2276" s="1323"/>
      <c r="K2276" s="1323"/>
      <c r="L2276" s="1323"/>
      <c r="M2276" s="1323"/>
      <c r="N2276" s="1323"/>
      <c r="O2276" s="1323"/>
      <c r="P2276" s="1323"/>
      <c r="Q2276" s="1323"/>
      <c r="R2276" s="1304"/>
      <c r="S2276" s="1304"/>
      <c r="T2276" s="1304"/>
    </row>
    <row r="2277" spans="1:20">
      <c r="A2277" s="1303"/>
      <c r="B2277" s="1322" t="s">
        <v>6736</v>
      </c>
      <c r="C2277" s="1323" t="s">
        <v>6737</v>
      </c>
      <c r="D2277" s="1324">
        <f t="shared" si="240"/>
        <v>38568</v>
      </c>
      <c r="E2277" s="1323">
        <f t="shared" si="242"/>
        <v>6.4405000000000001</v>
      </c>
      <c r="F2277" s="1323">
        <f t="shared" si="241"/>
        <v>6.3423720083033883</v>
      </c>
      <c r="G2277" s="1323">
        <f t="shared" si="243"/>
        <v>2005</v>
      </c>
      <c r="H2277" s="1323">
        <f t="shared" si="244"/>
        <v>8</v>
      </c>
      <c r="I2277" s="1323">
        <f t="shared" si="245"/>
        <v>4</v>
      </c>
      <c r="J2277" s="1323"/>
      <c r="K2277" s="1323"/>
      <c r="L2277" s="1323"/>
      <c r="M2277" s="1323"/>
      <c r="N2277" s="1323"/>
      <c r="O2277" s="1323"/>
      <c r="P2277" s="1323"/>
      <c r="Q2277" s="1323"/>
      <c r="R2277" s="1304"/>
      <c r="S2277" s="1304"/>
      <c r="T2277" s="1304"/>
    </row>
    <row r="2278" spans="1:20">
      <c r="A2278" s="1303"/>
      <c r="B2278" s="1322" t="s">
        <v>6738</v>
      </c>
      <c r="C2278" s="1323" t="s">
        <v>6737</v>
      </c>
      <c r="D2278" s="1324">
        <f t="shared" si="240"/>
        <v>38567</v>
      </c>
      <c r="E2278" s="1323">
        <f t="shared" si="242"/>
        <v>6.5044000000000004</v>
      </c>
      <c r="F2278" s="1323">
        <f t="shared" si="241"/>
        <v>6.3411558962137029</v>
      </c>
      <c r="G2278" s="1323">
        <f t="shared" si="243"/>
        <v>2005</v>
      </c>
      <c r="H2278" s="1323">
        <f t="shared" si="244"/>
        <v>8</v>
      </c>
      <c r="I2278" s="1323">
        <f t="shared" si="245"/>
        <v>3</v>
      </c>
      <c r="J2278" s="1323"/>
      <c r="K2278" s="1323"/>
      <c r="L2278" s="1323"/>
      <c r="M2278" s="1323"/>
      <c r="N2278" s="1323"/>
      <c r="O2278" s="1323"/>
      <c r="P2278" s="1323"/>
      <c r="Q2278" s="1323"/>
      <c r="R2278" s="1304"/>
      <c r="S2278" s="1304"/>
      <c r="T2278" s="1304"/>
    </row>
    <row r="2279" spans="1:20">
      <c r="A2279" s="1303"/>
      <c r="B2279" s="1322" t="s">
        <v>6739</v>
      </c>
      <c r="C2279" s="1323" t="s">
        <v>6740</v>
      </c>
      <c r="D2279" s="1324">
        <f t="shared" si="240"/>
        <v>38566</v>
      </c>
      <c r="E2279" s="1323">
        <f t="shared" si="242"/>
        <v>6.4943</v>
      </c>
      <c r="F2279" s="1323">
        <f t="shared" si="241"/>
        <v>6.3399400173062741</v>
      </c>
      <c r="G2279" s="1323">
        <f t="shared" si="243"/>
        <v>2005</v>
      </c>
      <c r="H2279" s="1323">
        <f t="shared" si="244"/>
        <v>8</v>
      </c>
      <c r="I2279" s="1323">
        <f t="shared" si="245"/>
        <v>2</v>
      </c>
      <c r="J2279" s="1323"/>
      <c r="K2279" s="1323"/>
      <c r="L2279" s="1323"/>
      <c r="M2279" s="1323"/>
      <c r="N2279" s="1323"/>
      <c r="O2279" s="1323"/>
      <c r="P2279" s="1323"/>
      <c r="Q2279" s="1323"/>
      <c r="R2279" s="1304"/>
      <c r="S2279" s="1304"/>
      <c r="T2279" s="1304"/>
    </row>
    <row r="2280" spans="1:20">
      <c r="A2280" s="1303"/>
      <c r="B2280" s="1322" t="s">
        <v>6741</v>
      </c>
      <c r="C2280" s="1323" t="s">
        <v>6742</v>
      </c>
      <c r="D2280" s="1324">
        <f t="shared" si="240"/>
        <v>38565</v>
      </c>
      <c r="E2280" s="1323">
        <f t="shared" si="242"/>
        <v>6.5490000000000004</v>
      </c>
      <c r="F2280" s="1323">
        <f t="shared" si="241"/>
        <v>6.3387243715363901</v>
      </c>
      <c r="G2280" s="1323">
        <f t="shared" si="243"/>
        <v>2005</v>
      </c>
      <c r="H2280" s="1323">
        <f t="shared" si="244"/>
        <v>8</v>
      </c>
      <c r="I2280" s="1323">
        <f t="shared" si="245"/>
        <v>1</v>
      </c>
      <c r="J2280" s="1323"/>
      <c r="K2280" s="1323"/>
      <c r="L2280" s="1323"/>
      <c r="M2280" s="1323"/>
      <c r="N2280" s="1323"/>
      <c r="O2280" s="1323"/>
      <c r="P2280" s="1323"/>
      <c r="Q2280" s="1323"/>
      <c r="R2280" s="1304"/>
      <c r="S2280" s="1304"/>
      <c r="T2280" s="1304"/>
    </row>
    <row r="2281" spans="1:20">
      <c r="A2281" s="1303"/>
      <c r="B2281" s="1322" t="s">
        <v>6743</v>
      </c>
      <c r="C2281" s="1323" t="s">
        <v>6744</v>
      </c>
      <c r="D2281" s="1324">
        <f t="shared" si="240"/>
        <v>38562</v>
      </c>
      <c r="E2281" s="1323">
        <f t="shared" si="242"/>
        <v>6.6329000000000002</v>
      </c>
      <c r="F2281" s="1323">
        <f t="shared" si="241"/>
        <v>6.3375089588593481</v>
      </c>
      <c r="G2281" s="1323">
        <f t="shared" si="243"/>
        <v>2005</v>
      </c>
      <c r="H2281" s="1323">
        <f t="shared" si="244"/>
        <v>7</v>
      </c>
      <c r="I2281" s="1323">
        <f t="shared" si="245"/>
        <v>29</v>
      </c>
      <c r="J2281" s="1323"/>
      <c r="K2281" s="1323"/>
      <c r="L2281" s="1323"/>
      <c r="M2281" s="1323"/>
      <c r="N2281" s="1323"/>
      <c r="O2281" s="1323"/>
      <c r="P2281" s="1323"/>
      <c r="Q2281" s="1323"/>
      <c r="R2281" s="1304"/>
      <c r="S2281" s="1304"/>
      <c r="T2281" s="1304"/>
    </row>
    <row r="2282" spans="1:20">
      <c r="A2282" s="1303"/>
      <c r="B2282" s="1322" t="s">
        <v>6745</v>
      </c>
      <c r="C2282" s="1323" t="s">
        <v>6746</v>
      </c>
      <c r="D2282" s="1324">
        <f t="shared" si="240"/>
        <v>38561</v>
      </c>
      <c r="E2282" s="1323">
        <f t="shared" si="242"/>
        <v>6.6429</v>
      </c>
      <c r="F2282" s="1323">
        <f t="shared" si="241"/>
        <v>6.3362937792304548</v>
      </c>
      <c r="G2282" s="1323">
        <f t="shared" si="243"/>
        <v>2005</v>
      </c>
      <c r="H2282" s="1323">
        <f t="shared" si="244"/>
        <v>7</v>
      </c>
      <c r="I2282" s="1323">
        <f t="shared" si="245"/>
        <v>28</v>
      </c>
      <c r="J2282" s="1323"/>
      <c r="K2282" s="1323"/>
      <c r="L2282" s="1323"/>
      <c r="M2282" s="1323"/>
      <c r="N2282" s="1323"/>
      <c r="O2282" s="1323"/>
      <c r="P2282" s="1323"/>
      <c r="Q2282" s="1323"/>
      <c r="R2282" s="1304"/>
      <c r="S2282" s="1304"/>
      <c r="T2282" s="1304"/>
    </row>
    <row r="2283" spans="1:20">
      <c r="A2283" s="1303"/>
      <c r="B2283" s="1322" t="s">
        <v>6747</v>
      </c>
      <c r="C2283" s="1323" t="s">
        <v>6748</v>
      </c>
      <c r="D2283" s="1324">
        <f t="shared" si="240"/>
        <v>38560</v>
      </c>
      <c r="E2283" s="1323">
        <f t="shared" si="242"/>
        <v>6.6906999999999996</v>
      </c>
      <c r="F2283" s="1323">
        <f t="shared" si="241"/>
        <v>6.3350788326050234</v>
      </c>
      <c r="G2283" s="1323">
        <f t="shared" si="243"/>
        <v>2005</v>
      </c>
      <c r="H2283" s="1323">
        <f t="shared" si="244"/>
        <v>7</v>
      </c>
      <c r="I2283" s="1323">
        <f t="shared" si="245"/>
        <v>27</v>
      </c>
      <c r="J2283" s="1323"/>
      <c r="K2283" s="1323"/>
      <c r="L2283" s="1323"/>
      <c r="M2283" s="1323"/>
      <c r="N2283" s="1323"/>
      <c r="O2283" s="1323"/>
      <c r="P2283" s="1323"/>
      <c r="Q2283" s="1323"/>
      <c r="R2283" s="1304"/>
      <c r="S2283" s="1304"/>
      <c r="T2283" s="1304"/>
    </row>
    <row r="2284" spans="1:20">
      <c r="A2284" s="1303"/>
      <c r="B2284" s="1322" t="s">
        <v>6749</v>
      </c>
      <c r="C2284" s="1323" t="s">
        <v>6750</v>
      </c>
      <c r="D2284" s="1324">
        <f t="shared" si="240"/>
        <v>38559</v>
      </c>
      <c r="E2284" s="1323">
        <f t="shared" si="242"/>
        <v>6.6801000000000004</v>
      </c>
      <c r="F2284" s="1323">
        <f t="shared" si="241"/>
        <v>6.3338641189383775</v>
      </c>
      <c r="G2284" s="1323">
        <f t="shared" si="243"/>
        <v>2005</v>
      </c>
      <c r="H2284" s="1323">
        <f t="shared" si="244"/>
        <v>7</v>
      </c>
      <c r="I2284" s="1323">
        <f t="shared" si="245"/>
        <v>26</v>
      </c>
      <c r="J2284" s="1323"/>
      <c r="K2284" s="1323"/>
      <c r="L2284" s="1323"/>
      <c r="M2284" s="1323"/>
      <c r="N2284" s="1323"/>
      <c r="O2284" s="1323"/>
      <c r="P2284" s="1323"/>
      <c r="Q2284" s="1323"/>
      <c r="R2284" s="1304"/>
      <c r="S2284" s="1304"/>
      <c r="T2284" s="1304"/>
    </row>
    <row r="2285" spans="1:20">
      <c r="A2285" s="1303"/>
      <c r="B2285" s="1322" t="s">
        <v>6751</v>
      </c>
      <c r="C2285" s="1323" t="s">
        <v>6752</v>
      </c>
      <c r="D2285" s="1324">
        <f t="shared" si="240"/>
        <v>38558</v>
      </c>
      <c r="E2285" s="1323">
        <f t="shared" si="242"/>
        <v>6.6768999999999998</v>
      </c>
      <c r="F2285" s="1323">
        <f t="shared" si="241"/>
        <v>6.3326496381858481</v>
      </c>
      <c r="G2285" s="1323">
        <f t="shared" si="243"/>
        <v>2005</v>
      </c>
      <c r="H2285" s="1323">
        <f t="shared" si="244"/>
        <v>7</v>
      </c>
      <c r="I2285" s="1323">
        <f t="shared" si="245"/>
        <v>25</v>
      </c>
      <c r="J2285" s="1323"/>
      <c r="K2285" s="1323"/>
      <c r="L2285" s="1323"/>
      <c r="M2285" s="1323"/>
      <c r="N2285" s="1323"/>
      <c r="O2285" s="1323"/>
      <c r="P2285" s="1323"/>
      <c r="Q2285" s="1323"/>
      <c r="R2285" s="1304"/>
      <c r="S2285" s="1304"/>
      <c r="T2285" s="1304"/>
    </row>
    <row r="2286" spans="1:20">
      <c r="A2286" s="1303"/>
      <c r="B2286" s="1322" t="s">
        <v>6753</v>
      </c>
      <c r="C2286" s="1323" t="s">
        <v>6754</v>
      </c>
      <c r="D2286" s="1324">
        <f t="shared" si="240"/>
        <v>38555</v>
      </c>
      <c r="E2286" s="1323">
        <f t="shared" si="242"/>
        <v>6.5769000000000002</v>
      </c>
      <c r="F2286" s="1323">
        <f t="shared" si="241"/>
        <v>6.3314353903027758</v>
      </c>
      <c r="G2286" s="1323">
        <f t="shared" si="243"/>
        <v>2005</v>
      </c>
      <c r="H2286" s="1323">
        <f t="shared" si="244"/>
        <v>7</v>
      </c>
      <c r="I2286" s="1323">
        <f t="shared" si="245"/>
        <v>22</v>
      </c>
      <c r="J2286" s="1323"/>
      <c r="K2286" s="1323"/>
      <c r="L2286" s="1323"/>
      <c r="M2286" s="1323"/>
      <c r="N2286" s="1323"/>
      <c r="O2286" s="1323"/>
      <c r="P2286" s="1323"/>
      <c r="Q2286" s="1323"/>
      <c r="R2286" s="1304"/>
      <c r="S2286" s="1304"/>
      <c r="T2286" s="1304"/>
    </row>
    <row r="2287" spans="1:20">
      <c r="A2287" s="1303"/>
      <c r="B2287" s="1322" t="s">
        <v>6755</v>
      </c>
      <c r="C2287" s="1323" t="s">
        <v>6756</v>
      </c>
      <c r="D2287" s="1324">
        <f t="shared" si="240"/>
        <v>38554</v>
      </c>
      <c r="E2287" s="1323">
        <f t="shared" si="242"/>
        <v>6.5857999999999999</v>
      </c>
      <c r="F2287" s="1323">
        <f t="shared" si="241"/>
        <v>6.3302213752445091</v>
      </c>
      <c r="G2287" s="1323">
        <f t="shared" si="243"/>
        <v>2005</v>
      </c>
      <c r="H2287" s="1323">
        <f t="shared" si="244"/>
        <v>7</v>
      </c>
      <c r="I2287" s="1323">
        <f t="shared" si="245"/>
        <v>21</v>
      </c>
      <c r="J2287" s="1323"/>
      <c r="K2287" s="1323"/>
      <c r="L2287" s="1323"/>
      <c r="M2287" s="1323"/>
      <c r="N2287" s="1323"/>
      <c r="O2287" s="1323"/>
      <c r="P2287" s="1323"/>
      <c r="Q2287" s="1323"/>
      <c r="R2287" s="1304"/>
      <c r="S2287" s="1304"/>
      <c r="T2287" s="1304"/>
    </row>
    <row r="2288" spans="1:20">
      <c r="A2288" s="1303"/>
      <c r="B2288" s="1322" t="s">
        <v>6757</v>
      </c>
      <c r="C2288" s="1323" t="s">
        <v>6758</v>
      </c>
      <c r="D2288" s="1324">
        <f t="shared" si="240"/>
        <v>38553</v>
      </c>
      <c r="E2288" s="1323">
        <f t="shared" si="242"/>
        <v>6.6619000000000002</v>
      </c>
      <c r="F2288" s="1323">
        <f t="shared" si="241"/>
        <v>6.3290075929664056</v>
      </c>
      <c r="G2288" s="1323">
        <f t="shared" si="243"/>
        <v>2005</v>
      </c>
      <c r="H2288" s="1323">
        <f t="shared" si="244"/>
        <v>7</v>
      </c>
      <c r="I2288" s="1323">
        <f t="shared" si="245"/>
        <v>20</v>
      </c>
      <c r="J2288" s="1323"/>
      <c r="K2288" s="1323"/>
      <c r="L2288" s="1323"/>
      <c r="M2288" s="1323"/>
      <c r="N2288" s="1323"/>
      <c r="O2288" s="1323"/>
      <c r="P2288" s="1323"/>
      <c r="Q2288" s="1323"/>
      <c r="R2288" s="1304"/>
      <c r="S2288" s="1304"/>
      <c r="T2288" s="1304"/>
    </row>
    <row r="2289" spans="1:20">
      <c r="A2289" s="1303"/>
      <c r="B2289" s="1322" t="s">
        <v>6759</v>
      </c>
      <c r="C2289" s="1323" t="s">
        <v>6760</v>
      </c>
      <c r="D2289" s="1324">
        <f t="shared" si="240"/>
        <v>38552</v>
      </c>
      <c r="E2289" s="1323">
        <f t="shared" si="242"/>
        <v>6.7118000000000002</v>
      </c>
      <c r="F2289" s="1323">
        <f t="shared" si="241"/>
        <v>6.3277940434238307</v>
      </c>
      <c r="G2289" s="1323">
        <f t="shared" si="243"/>
        <v>2005</v>
      </c>
      <c r="H2289" s="1323">
        <f t="shared" si="244"/>
        <v>7</v>
      </c>
      <c r="I2289" s="1323">
        <f t="shared" si="245"/>
        <v>19</v>
      </c>
      <c r="J2289" s="1323"/>
      <c r="K2289" s="1323"/>
      <c r="L2289" s="1323"/>
      <c r="M2289" s="1323"/>
      <c r="N2289" s="1323"/>
      <c r="O2289" s="1323"/>
      <c r="P2289" s="1323"/>
      <c r="Q2289" s="1323"/>
      <c r="R2289" s="1304"/>
      <c r="S2289" s="1304"/>
      <c r="T2289" s="1304"/>
    </row>
    <row r="2290" spans="1:20">
      <c r="A2290" s="1303"/>
      <c r="B2290" s="1322" t="s">
        <v>6761</v>
      </c>
      <c r="C2290" s="1323" t="s">
        <v>6762</v>
      </c>
      <c r="D2290" s="1324">
        <f t="shared" si="240"/>
        <v>38551</v>
      </c>
      <c r="E2290" s="1323">
        <f t="shared" si="242"/>
        <v>6.6407999999999996</v>
      </c>
      <c r="F2290" s="1323">
        <f t="shared" si="241"/>
        <v>6.3265807265721588</v>
      </c>
      <c r="G2290" s="1323">
        <f t="shared" si="243"/>
        <v>2005</v>
      </c>
      <c r="H2290" s="1323">
        <f t="shared" si="244"/>
        <v>7</v>
      </c>
      <c r="I2290" s="1323">
        <f t="shared" si="245"/>
        <v>18</v>
      </c>
      <c r="J2290" s="1323"/>
      <c r="K2290" s="1323"/>
      <c r="L2290" s="1323"/>
      <c r="M2290" s="1323"/>
      <c r="N2290" s="1323"/>
      <c r="O2290" s="1323"/>
      <c r="P2290" s="1323"/>
      <c r="Q2290" s="1323"/>
      <c r="R2290" s="1304"/>
      <c r="S2290" s="1304"/>
      <c r="T2290" s="1304"/>
    </row>
    <row r="2291" spans="1:20">
      <c r="A2291" s="1303"/>
      <c r="B2291" s="1322" t="s">
        <v>6763</v>
      </c>
      <c r="C2291" s="1323" t="s">
        <v>6764</v>
      </c>
      <c r="D2291" s="1324">
        <f t="shared" si="240"/>
        <v>38548</v>
      </c>
      <c r="E2291" s="1323">
        <f t="shared" si="242"/>
        <v>6.5952000000000002</v>
      </c>
      <c r="F2291" s="1323">
        <f t="shared" si="241"/>
        <v>6.3253676423667731</v>
      </c>
      <c r="G2291" s="1323">
        <f t="shared" si="243"/>
        <v>2005</v>
      </c>
      <c r="H2291" s="1323">
        <f t="shared" si="244"/>
        <v>7</v>
      </c>
      <c r="I2291" s="1323">
        <f t="shared" si="245"/>
        <v>15</v>
      </c>
      <c r="J2291" s="1323"/>
      <c r="K2291" s="1323"/>
      <c r="L2291" s="1323"/>
      <c r="M2291" s="1323"/>
      <c r="N2291" s="1323"/>
      <c r="O2291" s="1323"/>
      <c r="P2291" s="1323"/>
      <c r="Q2291" s="1323"/>
      <c r="R2291" s="1304"/>
      <c r="S2291" s="1304"/>
      <c r="T2291" s="1304"/>
    </row>
    <row r="2292" spans="1:20">
      <c r="A2292" s="1303"/>
      <c r="B2292" s="1322" t="s">
        <v>6765</v>
      </c>
      <c r="C2292" s="1323" t="s">
        <v>6766</v>
      </c>
      <c r="D2292" s="1324">
        <f t="shared" si="240"/>
        <v>38547</v>
      </c>
      <c r="E2292" s="1323">
        <f t="shared" si="242"/>
        <v>6.6647999999999996</v>
      </c>
      <c r="F2292" s="1323">
        <f t="shared" si="241"/>
        <v>6.3241547907630649</v>
      </c>
      <c r="G2292" s="1323">
        <f t="shared" si="243"/>
        <v>2005</v>
      </c>
      <c r="H2292" s="1323">
        <f t="shared" si="244"/>
        <v>7</v>
      </c>
      <c r="I2292" s="1323">
        <f t="shared" si="245"/>
        <v>14</v>
      </c>
      <c r="J2292" s="1323"/>
      <c r="K2292" s="1323"/>
      <c r="L2292" s="1323"/>
      <c r="M2292" s="1323"/>
      <c r="N2292" s="1323"/>
      <c r="O2292" s="1323"/>
      <c r="P2292" s="1323"/>
      <c r="Q2292" s="1323"/>
      <c r="R2292" s="1304"/>
      <c r="S2292" s="1304"/>
      <c r="T2292" s="1304"/>
    </row>
    <row r="2293" spans="1:20">
      <c r="A2293" s="1303"/>
      <c r="B2293" s="1322" t="s">
        <v>6767</v>
      </c>
      <c r="C2293" s="1323" t="s">
        <v>6768</v>
      </c>
      <c r="D2293" s="1324">
        <f t="shared" si="240"/>
        <v>38546</v>
      </c>
      <c r="E2293" s="1323">
        <f t="shared" si="242"/>
        <v>6.5370999999999997</v>
      </c>
      <c r="F2293" s="1323">
        <f t="shared" si="241"/>
        <v>6.3229421717164342</v>
      </c>
      <c r="G2293" s="1323">
        <f t="shared" si="243"/>
        <v>2005</v>
      </c>
      <c r="H2293" s="1323">
        <f t="shared" si="244"/>
        <v>7</v>
      </c>
      <c r="I2293" s="1323">
        <f t="shared" si="245"/>
        <v>13</v>
      </c>
      <c r="J2293" s="1323"/>
      <c r="K2293" s="1323"/>
      <c r="L2293" s="1323"/>
      <c r="M2293" s="1323"/>
      <c r="N2293" s="1323"/>
      <c r="O2293" s="1323"/>
      <c r="P2293" s="1323"/>
      <c r="Q2293" s="1323"/>
      <c r="R2293" s="1304"/>
      <c r="S2293" s="1304"/>
      <c r="T2293" s="1304"/>
    </row>
    <row r="2294" spans="1:20">
      <c r="A2294" s="1303"/>
      <c r="B2294" s="1322" t="s">
        <v>6769</v>
      </c>
      <c r="C2294" s="1323" t="s">
        <v>6770</v>
      </c>
      <c r="D2294" s="1324">
        <f t="shared" si="240"/>
        <v>38545</v>
      </c>
      <c r="E2294" s="1323">
        <f t="shared" si="242"/>
        <v>6.6563999999999997</v>
      </c>
      <c r="F2294" s="1323">
        <f t="shared" si="241"/>
        <v>6.3217297851822893</v>
      </c>
      <c r="G2294" s="1323">
        <f t="shared" si="243"/>
        <v>2005</v>
      </c>
      <c r="H2294" s="1323">
        <f t="shared" si="244"/>
        <v>7</v>
      </c>
      <c r="I2294" s="1323">
        <f t="shared" si="245"/>
        <v>12</v>
      </c>
      <c r="J2294" s="1323"/>
      <c r="K2294" s="1323"/>
      <c r="L2294" s="1323"/>
      <c r="M2294" s="1323"/>
      <c r="N2294" s="1323"/>
      <c r="O2294" s="1323"/>
      <c r="P2294" s="1323"/>
      <c r="Q2294" s="1323"/>
      <c r="R2294" s="1304"/>
      <c r="S2294" s="1304"/>
      <c r="T2294" s="1304"/>
    </row>
    <row r="2295" spans="1:20">
      <c r="A2295" s="1303"/>
      <c r="B2295" s="1322" t="s">
        <v>6771</v>
      </c>
      <c r="C2295" s="1323" t="s">
        <v>6772</v>
      </c>
      <c r="D2295" s="1324">
        <f t="shared" si="240"/>
        <v>38544</v>
      </c>
      <c r="E2295" s="1323">
        <f t="shared" si="242"/>
        <v>6.8383000000000003</v>
      </c>
      <c r="F2295" s="1323">
        <f t="shared" si="241"/>
        <v>6.320517631116048</v>
      </c>
      <c r="G2295" s="1323">
        <f t="shared" si="243"/>
        <v>2005</v>
      </c>
      <c r="H2295" s="1323">
        <f t="shared" si="244"/>
        <v>7</v>
      </c>
      <c r="I2295" s="1323">
        <f t="shared" si="245"/>
        <v>11</v>
      </c>
      <c r="J2295" s="1323"/>
      <c r="K2295" s="1323"/>
      <c r="L2295" s="1323"/>
      <c r="M2295" s="1323"/>
      <c r="N2295" s="1323"/>
      <c r="O2295" s="1323"/>
      <c r="P2295" s="1323"/>
      <c r="Q2295" s="1323"/>
      <c r="R2295" s="1304"/>
      <c r="S2295" s="1304"/>
      <c r="T2295" s="1304"/>
    </row>
    <row r="2296" spans="1:20">
      <c r="A2296" s="1303"/>
      <c r="B2296" s="1322" t="s">
        <v>6773</v>
      </c>
      <c r="C2296" s="1323" t="s">
        <v>6774</v>
      </c>
      <c r="D2296" s="1324">
        <f t="shared" si="240"/>
        <v>38541</v>
      </c>
      <c r="E2296" s="1323">
        <f t="shared" si="242"/>
        <v>6.9185999999999996</v>
      </c>
      <c r="F2296" s="1323">
        <f t="shared" si="241"/>
        <v>6.3193057094731353</v>
      </c>
      <c r="G2296" s="1323">
        <f t="shared" si="243"/>
        <v>2005</v>
      </c>
      <c r="H2296" s="1323">
        <f t="shared" si="244"/>
        <v>7</v>
      </c>
      <c r="I2296" s="1323">
        <f t="shared" si="245"/>
        <v>8</v>
      </c>
      <c r="J2296" s="1323"/>
      <c r="K2296" s="1323"/>
      <c r="L2296" s="1323"/>
      <c r="M2296" s="1323"/>
      <c r="N2296" s="1323"/>
      <c r="O2296" s="1323"/>
      <c r="P2296" s="1323"/>
      <c r="Q2296" s="1323"/>
      <c r="R2296" s="1304"/>
      <c r="S2296" s="1304"/>
      <c r="T2296" s="1304"/>
    </row>
    <row r="2297" spans="1:20">
      <c r="A2297" s="1303"/>
      <c r="B2297" s="1322" t="s">
        <v>6775</v>
      </c>
      <c r="C2297" s="1323" t="s">
        <v>6776</v>
      </c>
      <c r="D2297" s="1324">
        <f t="shared" si="240"/>
        <v>38540</v>
      </c>
      <c r="E2297" s="1323">
        <f t="shared" si="242"/>
        <v>6.8558000000000003</v>
      </c>
      <c r="F2297" s="1323">
        <f t="shared" si="241"/>
        <v>6.318094020208985</v>
      </c>
      <c r="G2297" s="1323">
        <f t="shared" si="243"/>
        <v>2005</v>
      </c>
      <c r="H2297" s="1323">
        <f t="shared" si="244"/>
        <v>7</v>
      </c>
      <c r="I2297" s="1323">
        <f t="shared" si="245"/>
        <v>7</v>
      </c>
      <c r="J2297" s="1323"/>
      <c r="K2297" s="1323"/>
      <c r="L2297" s="1323"/>
      <c r="M2297" s="1323"/>
      <c r="N2297" s="1323"/>
      <c r="O2297" s="1323"/>
      <c r="P2297" s="1323"/>
      <c r="Q2297" s="1323"/>
      <c r="R2297" s="1304"/>
      <c r="S2297" s="1304"/>
      <c r="T2297" s="1304"/>
    </row>
    <row r="2298" spans="1:20">
      <c r="A2298" s="1303"/>
      <c r="B2298" s="1322" t="s">
        <v>6777</v>
      </c>
      <c r="C2298" s="1323" t="s">
        <v>6778</v>
      </c>
      <c r="D2298" s="1324">
        <f t="shared" si="240"/>
        <v>38539</v>
      </c>
      <c r="E2298" s="1323">
        <f t="shared" si="242"/>
        <v>6.8140999999999998</v>
      </c>
      <c r="F2298" s="1323">
        <f t="shared" si="241"/>
        <v>6.3168825632790409</v>
      </c>
      <c r="G2298" s="1323">
        <f t="shared" si="243"/>
        <v>2005</v>
      </c>
      <c r="H2298" s="1323">
        <f t="shared" si="244"/>
        <v>7</v>
      </c>
      <c r="I2298" s="1323">
        <f t="shared" si="245"/>
        <v>6</v>
      </c>
      <c r="J2298" s="1323"/>
      <c r="K2298" s="1323"/>
      <c r="L2298" s="1323"/>
      <c r="M2298" s="1323"/>
      <c r="N2298" s="1323"/>
      <c r="O2298" s="1323"/>
      <c r="P2298" s="1323"/>
      <c r="Q2298" s="1323"/>
      <c r="R2298" s="1304"/>
      <c r="S2298" s="1304"/>
      <c r="T2298" s="1304"/>
    </row>
    <row r="2299" spans="1:20">
      <c r="A2299" s="1303"/>
      <c r="B2299" s="1322" t="s">
        <v>6779</v>
      </c>
      <c r="C2299" s="1323" t="s">
        <v>6780</v>
      </c>
      <c r="D2299" s="1324">
        <f t="shared" si="240"/>
        <v>38538</v>
      </c>
      <c r="E2299" s="1323">
        <f t="shared" si="242"/>
        <v>6.8686999999999996</v>
      </c>
      <c r="F2299" s="1323">
        <f t="shared" si="241"/>
        <v>6.3156713386387535</v>
      </c>
      <c r="G2299" s="1323">
        <f t="shared" si="243"/>
        <v>2005</v>
      </c>
      <c r="H2299" s="1323">
        <f t="shared" si="244"/>
        <v>7</v>
      </c>
      <c r="I2299" s="1323">
        <f t="shared" si="245"/>
        <v>5</v>
      </c>
      <c r="J2299" s="1323"/>
      <c r="K2299" s="1323"/>
      <c r="L2299" s="1323"/>
      <c r="M2299" s="1323"/>
      <c r="N2299" s="1323"/>
      <c r="O2299" s="1323"/>
      <c r="P2299" s="1323"/>
      <c r="Q2299" s="1323"/>
      <c r="R2299" s="1304"/>
      <c r="S2299" s="1304"/>
      <c r="T2299" s="1304"/>
    </row>
    <row r="2300" spans="1:20">
      <c r="A2300" s="1303"/>
      <c r="B2300" s="1322" t="s">
        <v>6781</v>
      </c>
      <c r="C2300" s="1323" t="s">
        <v>6782</v>
      </c>
      <c r="D2300" s="1324">
        <f t="shared" si="240"/>
        <v>38537</v>
      </c>
      <c r="E2300" s="1323">
        <f t="shared" si="242"/>
        <v>6.8509000000000002</v>
      </c>
      <c r="F2300" s="1323">
        <f t="shared" si="241"/>
        <v>6.3144603462435835</v>
      </c>
      <c r="G2300" s="1323">
        <f t="shared" si="243"/>
        <v>2005</v>
      </c>
      <c r="H2300" s="1323">
        <f t="shared" si="244"/>
        <v>7</v>
      </c>
      <c r="I2300" s="1323">
        <f t="shared" si="245"/>
        <v>4</v>
      </c>
      <c r="J2300" s="1323"/>
      <c r="K2300" s="1323"/>
      <c r="L2300" s="1323"/>
      <c r="M2300" s="1323"/>
      <c r="N2300" s="1323"/>
      <c r="O2300" s="1323"/>
      <c r="P2300" s="1323"/>
      <c r="Q2300" s="1323"/>
      <c r="R2300" s="1304"/>
      <c r="S2300" s="1304"/>
      <c r="T2300" s="1304"/>
    </row>
    <row r="2301" spans="1:20">
      <c r="A2301" s="1303"/>
      <c r="B2301" s="1322" t="s">
        <v>6783</v>
      </c>
      <c r="C2301" s="1323" t="s">
        <v>6784</v>
      </c>
      <c r="D2301" s="1324">
        <f t="shared" si="240"/>
        <v>38534</v>
      </c>
      <c r="E2301" s="1323">
        <f t="shared" si="242"/>
        <v>6.7081</v>
      </c>
      <c r="F2301" s="1323">
        <f t="shared" si="241"/>
        <v>6.3132495860489986</v>
      </c>
      <c r="G2301" s="1323">
        <f t="shared" si="243"/>
        <v>2005</v>
      </c>
      <c r="H2301" s="1323">
        <f t="shared" si="244"/>
        <v>7</v>
      </c>
      <c r="I2301" s="1323">
        <f t="shared" si="245"/>
        <v>1</v>
      </c>
      <c r="J2301" s="1323"/>
      <c r="K2301" s="1323"/>
      <c r="L2301" s="1323"/>
      <c r="M2301" s="1323"/>
      <c r="N2301" s="1323"/>
      <c r="O2301" s="1323"/>
      <c r="P2301" s="1323"/>
      <c r="Q2301" s="1323"/>
      <c r="R2301" s="1304"/>
      <c r="S2301" s="1304"/>
      <c r="T2301" s="1304"/>
    </row>
    <row r="2302" spans="1:20">
      <c r="A2302" s="1303"/>
      <c r="B2302" s="1322" t="s">
        <v>6785</v>
      </c>
      <c r="C2302" s="1323" t="s">
        <v>6786</v>
      </c>
      <c r="D2302" s="1324">
        <f t="shared" si="240"/>
        <v>38533</v>
      </c>
      <c r="E2302" s="1323">
        <f t="shared" si="242"/>
        <v>6.6727999999999996</v>
      </c>
      <c r="F2302" s="1323">
        <f t="shared" si="241"/>
        <v>6.3120390580104759</v>
      </c>
      <c r="G2302" s="1323">
        <f t="shared" si="243"/>
        <v>2005</v>
      </c>
      <c r="H2302" s="1323">
        <f t="shared" si="244"/>
        <v>6</v>
      </c>
      <c r="I2302" s="1323">
        <f t="shared" si="245"/>
        <v>30</v>
      </c>
      <c r="J2302" s="1323"/>
      <c r="K2302" s="1323"/>
      <c r="L2302" s="1323"/>
      <c r="M2302" s="1323"/>
      <c r="N2302" s="1323"/>
      <c r="O2302" s="1323"/>
      <c r="P2302" s="1323"/>
      <c r="Q2302" s="1323"/>
      <c r="R2302" s="1304"/>
      <c r="S2302" s="1304"/>
      <c r="T2302" s="1304"/>
    </row>
    <row r="2303" spans="1:20">
      <c r="A2303" s="1303"/>
      <c r="B2303" s="1322" t="s">
        <v>6787</v>
      </c>
      <c r="C2303" s="1323" t="s">
        <v>6788</v>
      </c>
      <c r="D2303" s="1324">
        <f t="shared" si="240"/>
        <v>38532</v>
      </c>
      <c r="E2303" s="1323">
        <f t="shared" si="242"/>
        <v>6.7541000000000002</v>
      </c>
      <c r="F2303" s="1323">
        <f t="shared" si="241"/>
        <v>6.3108287620835011</v>
      </c>
      <c r="G2303" s="1323">
        <f t="shared" si="243"/>
        <v>2005</v>
      </c>
      <c r="H2303" s="1323">
        <f t="shared" si="244"/>
        <v>6</v>
      </c>
      <c r="I2303" s="1323">
        <f t="shared" si="245"/>
        <v>29</v>
      </c>
      <c r="J2303" s="1323"/>
      <c r="K2303" s="1323"/>
      <c r="L2303" s="1323"/>
      <c r="M2303" s="1323"/>
      <c r="N2303" s="1323"/>
      <c r="O2303" s="1323"/>
      <c r="P2303" s="1323"/>
      <c r="Q2303" s="1323"/>
      <c r="R2303" s="1304"/>
      <c r="S2303" s="1304"/>
      <c r="T2303" s="1304"/>
    </row>
    <row r="2304" spans="1:20">
      <c r="A2304" s="1303"/>
      <c r="B2304" s="1322" t="s">
        <v>6789</v>
      </c>
      <c r="C2304" s="1323" t="s">
        <v>6790</v>
      </c>
      <c r="D2304" s="1324">
        <f t="shared" si="240"/>
        <v>38531</v>
      </c>
      <c r="E2304" s="1323">
        <f t="shared" si="242"/>
        <v>6.6391999999999998</v>
      </c>
      <c r="F2304" s="1323">
        <f t="shared" si="241"/>
        <v>6.3096186982235674</v>
      </c>
      <c r="G2304" s="1323">
        <f t="shared" si="243"/>
        <v>2005</v>
      </c>
      <c r="H2304" s="1323">
        <f t="shared" si="244"/>
        <v>6</v>
      </c>
      <c r="I2304" s="1323">
        <f t="shared" si="245"/>
        <v>28</v>
      </c>
      <c r="J2304" s="1323"/>
      <c r="K2304" s="1323"/>
      <c r="L2304" s="1323"/>
      <c r="M2304" s="1323"/>
      <c r="N2304" s="1323"/>
      <c r="O2304" s="1323"/>
      <c r="P2304" s="1323"/>
      <c r="Q2304" s="1323"/>
      <c r="R2304" s="1304"/>
      <c r="S2304" s="1304"/>
      <c r="T2304" s="1304"/>
    </row>
    <row r="2305" spans="1:20">
      <c r="A2305" s="1303"/>
      <c r="B2305" s="1322" t="s">
        <v>6791</v>
      </c>
      <c r="C2305" s="1323" t="s">
        <v>6625</v>
      </c>
      <c r="D2305" s="1324">
        <f t="shared" si="240"/>
        <v>38530</v>
      </c>
      <c r="E2305" s="1323">
        <f t="shared" si="242"/>
        <v>6.6643999999999997</v>
      </c>
      <c r="F2305" s="1323">
        <f t="shared" si="241"/>
        <v>6.3084088663861779</v>
      </c>
      <c r="G2305" s="1323">
        <f t="shared" si="243"/>
        <v>2005</v>
      </c>
      <c r="H2305" s="1323">
        <f t="shared" si="244"/>
        <v>6</v>
      </c>
      <c r="I2305" s="1323">
        <f t="shared" si="245"/>
        <v>27</v>
      </c>
      <c r="J2305" s="1323"/>
      <c r="K2305" s="1323"/>
      <c r="L2305" s="1323"/>
      <c r="M2305" s="1323"/>
      <c r="N2305" s="1323"/>
      <c r="O2305" s="1323"/>
      <c r="P2305" s="1323"/>
      <c r="Q2305" s="1323"/>
      <c r="R2305" s="1304"/>
      <c r="S2305" s="1304"/>
      <c r="T2305" s="1304"/>
    </row>
    <row r="2306" spans="1:20">
      <c r="A2306" s="1303"/>
      <c r="B2306" s="1322" t="s">
        <v>6792</v>
      </c>
      <c r="C2306" s="1323" t="s">
        <v>6793</v>
      </c>
      <c r="D2306" s="1324">
        <f t="shared" si="240"/>
        <v>38527</v>
      </c>
      <c r="E2306" s="1323">
        <f t="shared" si="242"/>
        <v>6.7629000000000001</v>
      </c>
      <c r="F2306" s="1323">
        <f t="shared" si="241"/>
        <v>6.3071992665268439</v>
      </c>
      <c r="G2306" s="1323">
        <f t="shared" si="243"/>
        <v>2005</v>
      </c>
      <c r="H2306" s="1323">
        <f t="shared" si="244"/>
        <v>6</v>
      </c>
      <c r="I2306" s="1323">
        <f t="shared" si="245"/>
        <v>24</v>
      </c>
      <c r="J2306" s="1323"/>
      <c r="K2306" s="1323"/>
      <c r="L2306" s="1323"/>
      <c r="M2306" s="1323"/>
      <c r="N2306" s="1323"/>
      <c r="O2306" s="1323"/>
      <c r="P2306" s="1323"/>
      <c r="Q2306" s="1323"/>
      <c r="R2306" s="1304"/>
      <c r="S2306" s="1304"/>
      <c r="T2306" s="1304"/>
    </row>
    <row r="2307" spans="1:20">
      <c r="A2307" s="1303"/>
      <c r="B2307" s="1322" t="s">
        <v>6794</v>
      </c>
      <c r="C2307" s="1323" t="s">
        <v>6795</v>
      </c>
      <c r="D2307" s="1324">
        <f t="shared" si="240"/>
        <v>38526</v>
      </c>
      <c r="E2307" s="1323">
        <f t="shared" si="242"/>
        <v>6.7641</v>
      </c>
      <c r="F2307" s="1323">
        <f t="shared" si="241"/>
        <v>6.3059898986010845</v>
      </c>
      <c r="G2307" s="1323">
        <f t="shared" si="243"/>
        <v>2005</v>
      </c>
      <c r="H2307" s="1323">
        <f t="shared" si="244"/>
        <v>6</v>
      </c>
      <c r="I2307" s="1323">
        <f t="shared" si="245"/>
        <v>23</v>
      </c>
      <c r="J2307" s="1323"/>
      <c r="K2307" s="1323"/>
      <c r="L2307" s="1323"/>
      <c r="M2307" s="1323"/>
      <c r="N2307" s="1323"/>
      <c r="O2307" s="1323"/>
      <c r="P2307" s="1323"/>
      <c r="Q2307" s="1323"/>
      <c r="R2307" s="1304"/>
      <c r="S2307" s="1304"/>
      <c r="T2307" s="1304"/>
    </row>
    <row r="2308" spans="1:20">
      <c r="A2308" s="1303"/>
      <c r="B2308" s="1322" t="s">
        <v>6796</v>
      </c>
      <c r="C2308" s="1323" t="s">
        <v>6797</v>
      </c>
      <c r="D2308" s="1324">
        <f t="shared" si="240"/>
        <v>38525</v>
      </c>
      <c r="E2308" s="1323">
        <f t="shared" si="242"/>
        <v>6.7037000000000004</v>
      </c>
      <c r="F2308" s="1323">
        <f t="shared" si="241"/>
        <v>6.3047807625644277</v>
      </c>
      <c r="G2308" s="1323">
        <f t="shared" si="243"/>
        <v>2005</v>
      </c>
      <c r="H2308" s="1323">
        <f t="shared" si="244"/>
        <v>6</v>
      </c>
      <c r="I2308" s="1323">
        <f t="shared" si="245"/>
        <v>22</v>
      </c>
      <c r="J2308" s="1323"/>
      <c r="K2308" s="1323"/>
      <c r="L2308" s="1323"/>
      <c r="M2308" s="1323"/>
      <c r="N2308" s="1323"/>
      <c r="O2308" s="1323"/>
      <c r="P2308" s="1323"/>
      <c r="Q2308" s="1323"/>
      <c r="R2308" s="1304"/>
      <c r="S2308" s="1304"/>
      <c r="T2308" s="1304"/>
    </row>
    <row r="2309" spans="1:20">
      <c r="A2309" s="1303"/>
      <c r="B2309" s="1322" t="s">
        <v>6798</v>
      </c>
      <c r="C2309" s="1323" t="s">
        <v>6799</v>
      </c>
      <c r="D2309" s="1324">
        <f t="shared" si="240"/>
        <v>38524</v>
      </c>
      <c r="E2309" s="1323">
        <f t="shared" si="242"/>
        <v>6.7939999999999996</v>
      </c>
      <c r="F2309" s="1323">
        <f t="shared" si="241"/>
        <v>6.3035718583724112</v>
      </c>
      <c r="G2309" s="1323">
        <f t="shared" si="243"/>
        <v>2005</v>
      </c>
      <c r="H2309" s="1323">
        <f t="shared" si="244"/>
        <v>6</v>
      </c>
      <c r="I2309" s="1323">
        <f t="shared" si="245"/>
        <v>21</v>
      </c>
      <c r="J2309" s="1323"/>
      <c r="K2309" s="1323"/>
      <c r="L2309" s="1323"/>
      <c r="M2309" s="1323"/>
      <c r="N2309" s="1323"/>
      <c r="O2309" s="1323"/>
      <c r="P2309" s="1323"/>
      <c r="Q2309" s="1323"/>
      <c r="R2309" s="1304"/>
      <c r="S2309" s="1304"/>
      <c r="T2309" s="1304"/>
    </row>
    <row r="2310" spans="1:20">
      <c r="A2310" s="1303"/>
      <c r="B2310" s="1322" t="s">
        <v>6800</v>
      </c>
      <c r="C2310" s="1323" t="s">
        <v>6801</v>
      </c>
      <c r="D2310" s="1324">
        <f t="shared" si="240"/>
        <v>38523</v>
      </c>
      <c r="E2310" s="1323">
        <f t="shared" si="242"/>
        <v>6.6622000000000003</v>
      </c>
      <c r="F2310" s="1323">
        <f t="shared" si="241"/>
        <v>6.3023631859805791</v>
      </c>
      <c r="G2310" s="1323">
        <f t="shared" si="243"/>
        <v>2005</v>
      </c>
      <c r="H2310" s="1323">
        <f t="shared" si="244"/>
        <v>6</v>
      </c>
      <c r="I2310" s="1323">
        <f t="shared" si="245"/>
        <v>20</v>
      </c>
      <c r="J2310" s="1323"/>
      <c r="K2310" s="1323"/>
      <c r="L2310" s="1323"/>
      <c r="M2310" s="1323"/>
      <c r="N2310" s="1323"/>
      <c r="O2310" s="1323"/>
      <c r="P2310" s="1323"/>
      <c r="Q2310" s="1323"/>
      <c r="R2310" s="1304"/>
      <c r="S2310" s="1304"/>
      <c r="T2310" s="1304"/>
    </row>
    <row r="2311" spans="1:20">
      <c r="A2311" s="1303"/>
      <c r="B2311" s="1322" t="s">
        <v>6802</v>
      </c>
      <c r="C2311" s="1323" t="s">
        <v>6803</v>
      </c>
      <c r="D2311" s="1324">
        <f t="shared" si="240"/>
        <v>38520</v>
      </c>
      <c r="E2311" s="1323">
        <f t="shared" si="242"/>
        <v>6.6936999999999998</v>
      </c>
      <c r="F2311" s="1323">
        <f t="shared" si="241"/>
        <v>6.3011547453444852</v>
      </c>
      <c r="G2311" s="1323">
        <f t="shared" si="243"/>
        <v>2005</v>
      </c>
      <c r="H2311" s="1323">
        <f t="shared" si="244"/>
        <v>6</v>
      </c>
      <c r="I2311" s="1323">
        <f t="shared" si="245"/>
        <v>17</v>
      </c>
      <c r="J2311" s="1323"/>
      <c r="K2311" s="1323"/>
      <c r="L2311" s="1323"/>
      <c r="M2311" s="1323"/>
      <c r="N2311" s="1323"/>
      <c r="O2311" s="1323"/>
      <c r="P2311" s="1323"/>
      <c r="Q2311" s="1323"/>
      <c r="R2311" s="1304"/>
      <c r="S2311" s="1304"/>
      <c r="T2311" s="1304"/>
    </row>
    <row r="2312" spans="1:20">
      <c r="A2312" s="1303"/>
      <c r="B2312" s="1322" t="s">
        <v>6804</v>
      </c>
      <c r="C2312" s="1323" t="s">
        <v>6805</v>
      </c>
      <c r="D2312" s="1324">
        <f t="shared" si="240"/>
        <v>38518</v>
      </c>
      <c r="E2312" s="1323">
        <f t="shared" si="242"/>
        <v>6.8680000000000003</v>
      </c>
      <c r="F2312" s="1323">
        <f t="shared" si="241"/>
        <v>6.299946536419692</v>
      </c>
      <c r="G2312" s="1323">
        <f t="shared" si="243"/>
        <v>2005</v>
      </c>
      <c r="H2312" s="1323">
        <f t="shared" si="244"/>
        <v>6</v>
      </c>
      <c r="I2312" s="1323">
        <f t="shared" si="245"/>
        <v>15</v>
      </c>
      <c r="J2312" s="1323"/>
      <c r="K2312" s="1323"/>
      <c r="L2312" s="1323"/>
      <c r="M2312" s="1323"/>
      <c r="N2312" s="1323"/>
      <c r="O2312" s="1323"/>
      <c r="P2312" s="1323"/>
      <c r="Q2312" s="1323"/>
      <c r="R2312" s="1304"/>
      <c r="S2312" s="1304"/>
      <c r="T2312" s="1304"/>
    </row>
    <row r="2313" spans="1:20">
      <c r="A2313" s="1303"/>
      <c r="B2313" s="1322" t="s">
        <v>6806</v>
      </c>
      <c r="C2313" s="1323" t="s">
        <v>6807</v>
      </c>
      <c r="D2313" s="1324">
        <f t="shared" ref="D2313:D2376" si="246">DATE(G2313,H2313,I2313)</f>
        <v>38517</v>
      </c>
      <c r="E2313" s="1323">
        <f t="shared" si="242"/>
        <v>6.8532999999999999</v>
      </c>
      <c r="F2313" s="1323">
        <f t="shared" ref="F2313:F2376" si="247">F2314*(1+$F$7/365)</f>
        <v>6.2987385591617704</v>
      </c>
      <c r="G2313" s="1323">
        <f t="shared" si="243"/>
        <v>2005</v>
      </c>
      <c r="H2313" s="1323">
        <f t="shared" si="244"/>
        <v>6</v>
      </c>
      <c r="I2313" s="1323">
        <f t="shared" si="245"/>
        <v>14</v>
      </c>
      <c r="J2313" s="1323"/>
      <c r="K2313" s="1323"/>
      <c r="L2313" s="1323"/>
      <c r="M2313" s="1323"/>
      <c r="N2313" s="1323"/>
      <c r="O2313" s="1323"/>
      <c r="P2313" s="1323"/>
      <c r="Q2313" s="1323"/>
      <c r="R2313" s="1304"/>
      <c r="S2313" s="1304"/>
      <c r="T2313" s="1304"/>
    </row>
    <row r="2314" spans="1:20">
      <c r="A2314" s="1303"/>
      <c r="B2314" s="1322" t="s">
        <v>6808</v>
      </c>
      <c r="C2314" s="1323" t="s">
        <v>6809</v>
      </c>
      <c r="D2314" s="1324">
        <f t="shared" si="246"/>
        <v>38516</v>
      </c>
      <c r="E2314" s="1323">
        <f t="shared" si="242"/>
        <v>6.7832999999999997</v>
      </c>
      <c r="F2314" s="1323">
        <f t="shared" si="247"/>
        <v>6.2975308135262997</v>
      </c>
      <c r="G2314" s="1323">
        <f t="shared" si="243"/>
        <v>2005</v>
      </c>
      <c r="H2314" s="1323">
        <f t="shared" si="244"/>
        <v>6</v>
      </c>
      <c r="I2314" s="1323">
        <f t="shared" si="245"/>
        <v>13</v>
      </c>
      <c r="J2314" s="1323"/>
      <c r="K2314" s="1323"/>
      <c r="L2314" s="1323"/>
      <c r="M2314" s="1323"/>
      <c r="N2314" s="1323"/>
      <c r="O2314" s="1323"/>
      <c r="P2314" s="1323"/>
      <c r="Q2314" s="1323"/>
      <c r="R2314" s="1304"/>
      <c r="S2314" s="1304"/>
      <c r="T2314" s="1304"/>
    </row>
    <row r="2315" spans="1:20">
      <c r="A2315" s="1303"/>
      <c r="B2315" s="1322" t="s">
        <v>6810</v>
      </c>
      <c r="C2315" s="1323" t="s">
        <v>6811</v>
      </c>
      <c r="D2315" s="1324">
        <f t="shared" si="246"/>
        <v>38513</v>
      </c>
      <c r="E2315" s="1323">
        <f t="shared" si="242"/>
        <v>6.7248999999999999</v>
      </c>
      <c r="F2315" s="1323">
        <f t="shared" si="247"/>
        <v>6.2963232994688667</v>
      </c>
      <c r="G2315" s="1323">
        <f t="shared" si="243"/>
        <v>2005</v>
      </c>
      <c r="H2315" s="1323">
        <f t="shared" si="244"/>
        <v>6</v>
      </c>
      <c r="I2315" s="1323">
        <f t="shared" si="245"/>
        <v>10</v>
      </c>
      <c r="J2315" s="1323"/>
      <c r="K2315" s="1323"/>
      <c r="L2315" s="1323"/>
      <c r="M2315" s="1323"/>
      <c r="N2315" s="1323"/>
      <c r="O2315" s="1323"/>
      <c r="P2315" s="1323"/>
      <c r="Q2315" s="1323"/>
      <c r="R2315" s="1304"/>
      <c r="S2315" s="1304"/>
      <c r="T2315" s="1304"/>
    </row>
    <row r="2316" spans="1:20">
      <c r="A2316" s="1303"/>
      <c r="B2316" s="1322" t="s">
        <v>6812</v>
      </c>
      <c r="C2316" s="1323" t="s">
        <v>5672</v>
      </c>
      <c r="D2316" s="1324">
        <f t="shared" si="246"/>
        <v>38512</v>
      </c>
      <c r="E2316" s="1323">
        <f t="shared" si="242"/>
        <v>6.8239999999999998</v>
      </c>
      <c r="F2316" s="1323">
        <f t="shared" si="247"/>
        <v>6.2951160169450686</v>
      </c>
      <c r="G2316" s="1323">
        <f t="shared" si="243"/>
        <v>2005</v>
      </c>
      <c r="H2316" s="1323">
        <f t="shared" si="244"/>
        <v>6</v>
      </c>
      <c r="I2316" s="1323">
        <f t="shared" si="245"/>
        <v>9</v>
      </c>
      <c r="J2316" s="1323"/>
      <c r="K2316" s="1323"/>
      <c r="L2316" s="1323"/>
      <c r="M2316" s="1323"/>
      <c r="N2316" s="1323"/>
      <c r="O2316" s="1323"/>
      <c r="P2316" s="1323"/>
      <c r="Q2316" s="1323"/>
      <c r="R2316" s="1304"/>
      <c r="S2316" s="1304"/>
      <c r="T2316" s="1304"/>
    </row>
    <row r="2317" spans="1:20">
      <c r="A2317" s="1303"/>
      <c r="B2317" s="1322" t="s">
        <v>6813</v>
      </c>
      <c r="C2317" s="1323" t="s">
        <v>6814</v>
      </c>
      <c r="D2317" s="1324">
        <f t="shared" si="246"/>
        <v>38511</v>
      </c>
      <c r="E2317" s="1323">
        <f t="shared" si="242"/>
        <v>6.6664000000000003</v>
      </c>
      <c r="F2317" s="1323">
        <f t="shared" si="247"/>
        <v>6.2939089659105099</v>
      </c>
      <c r="G2317" s="1323">
        <f t="shared" si="243"/>
        <v>2005</v>
      </c>
      <c r="H2317" s="1323">
        <f t="shared" si="244"/>
        <v>6</v>
      </c>
      <c r="I2317" s="1323">
        <f t="shared" si="245"/>
        <v>8</v>
      </c>
      <c r="J2317" s="1323"/>
      <c r="K2317" s="1323"/>
      <c r="L2317" s="1323"/>
      <c r="M2317" s="1323"/>
      <c r="N2317" s="1323"/>
      <c r="O2317" s="1323"/>
      <c r="P2317" s="1323"/>
      <c r="Q2317" s="1323"/>
      <c r="R2317" s="1304"/>
      <c r="S2317" s="1304"/>
      <c r="T2317" s="1304"/>
    </row>
    <row r="2318" spans="1:20">
      <c r="A2318" s="1303"/>
      <c r="B2318" s="1322" t="s">
        <v>6815</v>
      </c>
      <c r="C2318" s="1323" t="s">
        <v>6816</v>
      </c>
      <c r="D2318" s="1324">
        <f t="shared" si="246"/>
        <v>38510</v>
      </c>
      <c r="E2318" s="1323">
        <f t="shared" si="242"/>
        <v>6.6862000000000004</v>
      </c>
      <c r="F2318" s="1323">
        <f t="shared" si="247"/>
        <v>6.2927021463208046</v>
      </c>
      <c r="G2318" s="1323">
        <f t="shared" si="243"/>
        <v>2005</v>
      </c>
      <c r="H2318" s="1323">
        <f t="shared" si="244"/>
        <v>6</v>
      </c>
      <c r="I2318" s="1323">
        <f t="shared" si="245"/>
        <v>7</v>
      </c>
      <c r="J2318" s="1323"/>
      <c r="K2318" s="1323"/>
      <c r="L2318" s="1323"/>
      <c r="M2318" s="1323"/>
      <c r="N2318" s="1323"/>
      <c r="O2318" s="1323"/>
      <c r="P2318" s="1323"/>
      <c r="Q2318" s="1323"/>
      <c r="R2318" s="1304"/>
      <c r="S2318" s="1304"/>
      <c r="T2318" s="1304"/>
    </row>
    <row r="2319" spans="1:20">
      <c r="A2319" s="1303"/>
      <c r="B2319" s="1322" t="s">
        <v>6817</v>
      </c>
      <c r="C2319" s="1323" t="s">
        <v>6818</v>
      </c>
      <c r="D2319" s="1324">
        <f t="shared" si="246"/>
        <v>38509</v>
      </c>
      <c r="E2319" s="1323">
        <f t="shared" si="242"/>
        <v>6.7695999999999996</v>
      </c>
      <c r="F2319" s="1323">
        <f t="shared" si="247"/>
        <v>6.2914955581315732</v>
      </c>
      <c r="G2319" s="1323">
        <f t="shared" si="243"/>
        <v>2005</v>
      </c>
      <c r="H2319" s="1323">
        <f t="shared" si="244"/>
        <v>6</v>
      </c>
      <c r="I2319" s="1323">
        <f t="shared" si="245"/>
        <v>6</v>
      </c>
      <c r="J2319" s="1323"/>
      <c r="K2319" s="1323"/>
      <c r="L2319" s="1323"/>
      <c r="M2319" s="1323"/>
      <c r="N2319" s="1323"/>
      <c r="O2319" s="1323"/>
      <c r="P2319" s="1323"/>
      <c r="Q2319" s="1323"/>
      <c r="R2319" s="1304"/>
      <c r="S2319" s="1304"/>
      <c r="T2319" s="1304"/>
    </row>
    <row r="2320" spans="1:20">
      <c r="A2320" s="1303"/>
      <c r="B2320" s="1322" t="s">
        <v>6819</v>
      </c>
      <c r="C2320" s="1323" t="s">
        <v>6820</v>
      </c>
      <c r="D2320" s="1324">
        <f t="shared" si="246"/>
        <v>38506</v>
      </c>
      <c r="E2320" s="1323">
        <f t="shared" si="242"/>
        <v>6.8048999999999999</v>
      </c>
      <c r="F2320" s="1323">
        <f t="shared" si="247"/>
        <v>6.2902892012984477</v>
      </c>
      <c r="G2320" s="1323">
        <f t="shared" si="243"/>
        <v>2005</v>
      </c>
      <c r="H2320" s="1323">
        <f t="shared" si="244"/>
        <v>6</v>
      </c>
      <c r="I2320" s="1323">
        <f t="shared" si="245"/>
        <v>3</v>
      </c>
      <c r="J2320" s="1323"/>
      <c r="K2320" s="1323"/>
      <c r="L2320" s="1323"/>
      <c r="M2320" s="1323"/>
      <c r="N2320" s="1323"/>
      <c r="O2320" s="1323"/>
      <c r="P2320" s="1323"/>
      <c r="Q2320" s="1323"/>
      <c r="R2320" s="1304"/>
      <c r="S2320" s="1304"/>
      <c r="T2320" s="1304"/>
    </row>
    <row r="2321" spans="1:20">
      <c r="A2321" s="1303"/>
      <c r="B2321" s="1322" t="s">
        <v>6821</v>
      </c>
      <c r="C2321" s="1323" t="s">
        <v>6822</v>
      </c>
      <c r="D2321" s="1324">
        <f t="shared" si="246"/>
        <v>38505</v>
      </c>
      <c r="E2321" s="1323">
        <f t="shared" si="242"/>
        <v>6.8606999999999996</v>
      </c>
      <c r="F2321" s="1323">
        <f t="shared" si="247"/>
        <v>6.2890830757770653</v>
      </c>
      <c r="G2321" s="1323">
        <f t="shared" si="243"/>
        <v>2005</v>
      </c>
      <c r="H2321" s="1323">
        <f t="shared" si="244"/>
        <v>6</v>
      </c>
      <c r="I2321" s="1323">
        <f t="shared" si="245"/>
        <v>2</v>
      </c>
      <c r="J2321" s="1323"/>
      <c r="K2321" s="1323"/>
      <c r="L2321" s="1323"/>
      <c r="M2321" s="1323"/>
      <c r="N2321" s="1323"/>
      <c r="O2321" s="1323"/>
      <c r="P2321" s="1323"/>
      <c r="Q2321" s="1323"/>
      <c r="R2321" s="1304"/>
      <c r="S2321" s="1304"/>
      <c r="T2321" s="1304"/>
    </row>
    <row r="2322" spans="1:20">
      <c r="A2322" s="1303"/>
      <c r="B2322" s="1322" t="s">
        <v>6823</v>
      </c>
      <c r="C2322" s="1323" t="s">
        <v>6824</v>
      </c>
      <c r="D2322" s="1324">
        <f t="shared" si="246"/>
        <v>38504</v>
      </c>
      <c r="E2322" s="1323">
        <f t="shared" si="242"/>
        <v>6.8118999999999996</v>
      </c>
      <c r="F2322" s="1323">
        <f t="shared" si="247"/>
        <v>6.2878771815230747</v>
      </c>
      <c r="G2322" s="1323">
        <f t="shared" si="243"/>
        <v>2005</v>
      </c>
      <c r="H2322" s="1323">
        <f t="shared" si="244"/>
        <v>6</v>
      </c>
      <c r="I2322" s="1323">
        <f t="shared" si="245"/>
        <v>1</v>
      </c>
      <c r="J2322" s="1323"/>
      <c r="K2322" s="1323"/>
      <c r="L2322" s="1323"/>
      <c r="M2322" s="1323"/>
      <c r="N2322" s="1323"/>
      <c r="O2322" s="1323"/>
      <c r="P2322" s="1323"/>
      <c r="Q2322" s="1323"/>
      <c r="R2322" s="1304"/>
      <c r="S2322" s="1304"/>
      <c r="T2322" s="1304"/>
    </row>
    <row r="2323" spans="1:20">
      <c r="A2323" s="1303"/>
      <c r="B2323" s="1322" t="s">
        <v>6825</v>
      </c>
      <c r="C2323" s="1323" t="s">
        <v>5605</v>
      </c>
      <c r="D2323" s="1324">
        <f t="shared" si="246"/>
        <v>38503</v>
      </c>
      <c r="E2323" s="1323">
        <f t="shared" si="242"/>
        <v>6.7072000000000003</v>
      </c>
      <c r="F2323" s="1323">
        <f t="shared" si="247"/>
        <v>6.2866715184921311</v>
      </c>
      <c r="G2323" s="1323">
        <f t="shared" si="243"/>
        <v>2005</v>
      </c>
      <c r="H2323" s="1323">
        <f t="shared" si="244"/>
        <v>5</v>
      </c>
      <c r="I2323" s="1323">
        <f t="shared" si="245"/>
        <v>31</v>
      </c>
      <c r="J2323" s="1323"/>
      <c r="K2323" s="1323"/>
      <c r="L2323" s="1323"/>
      <c r="M2323" s="1323"/>
      <c r="N2323" s="1323"/>
      <c r="O2323" s="1323"/>
      <c r="P2323" s="1323"/>
      <c r="Q2323" s="1323"/>
      <c r="R2323" s="1304"/>
      <c r="S2323" s="1304"/>
      <c r="T2323" s="1304"/>
    </row>
    <row r="2324" spans="1:20">
      <c r="A2324" s="1303"/>
      <c r="B2324" s="1322" t="s">
        <v>6826</v>
      </c>
      <c r="C2324" s="1323" t="s">
        <v>6827</v>
      </c>
      <c r="D2324" s="1324">
        <f t="shared" si="246"/>
        <v>38502</v>
      </c>
      <c r="E2324" s="1323">
        <f t="shared" si="242"/>
        <v>6.6306000000000003</v>
      </c>
      <c r="F2324" s="1323">
        <f t="shared" si="247"/>
        <v>6.2854660866398984</v>
      </c>
      <c r="G2324" s="1323">
        <f t="shared" si="243"/>
        <v>2005</v>
      </c>
      <c r="H2324" s="1323">
        <f t="shared" si="244"/>
        <v>5</v>
      </c>
      <c r="I2324" s="1323">
        <f t="shared" si="245"/>
        <v>30</v>
      </c>
      <c r="J2324" s="1323"/>
      <c r="K2324" s="1323"/>
      <c r="L2324" s="1323"/>
      <c r="M2324" s="1323"/>
      <c r="N2324" s="1323"/>
      <c r="O2324" s="1323"/>
      <c r="P2324" s="1323"/>
      <c r="Q2324" s="1323"/>
      <c r="R2324" s="1304"/>
      <c r="S2324" s="1304"/>
      <c r="T2324" s="1304"/>
    </row>
    <row r="2325" spans="1:20">
      <c r="A2325" s="1303"/>
      <c r="B2325" s="1322" t="s">
        <v>6828</v>
      </c>
      <c r="C2325" s="1323" t="s">
        <v>6829</v>
      </c>
      <c r="D2325" s="1324">
        <f t="shared" si="246"/>
        <v>38499</v>
      </c>
      <c r="E2325" s="1323">
        <f t="shared" si="242"/>
        <v>6.6355000000000004</v>
      </c>
      <c r="F2325" s="1323">
        <f t="shared" si="247"/>
        <v>6.2842608859220501</v>
      </c>
      <c r="G2325" s="1323">
        <f t="shared" si="243"/>
        <v>2005</v>
      </c>
      <c r="H2325" s="1323">
        <f t="shared" si="244"/>
        <v>5</v>
      </c>
      <c r="I2325" s="1323">
        <f t="shared" si="245"/>
        <v>27</v>
      </c>
      <c r="J2325" s="1323"/>
      <c r="K2325" s="1323"/>
      <c r="L2325" s="1323"/>
      <c r="M2325" s="1323"/>
      <c r="N2325" s="1323"/>
      <c r="O2325" s="1323"/>
      <c r="P2325" s="1323"/>
      <c r="Q2325" s="1323"/>
      <c r="R2325" s="1304"/>
      <c r="S2325" s="1304"/>
      <c r="T2325" s="1304"/>
    </row>
    <row r="2326" spans="1:20">
      <c r="A2326" s="1303"/>
      <c r="B2326" s="1322" t="s">
        <v>6830</v>
      </c>
      <c r="C2326" s="1323" t="s">
        <v>6831</v>
      </c>
      <c r="D2326" s="1324">
        <f t="shared" si="246"/>
        <v>38498</v>
      </c>
      <c r="E2326" s="1323">
        <f t="shared" ref="E2326:E2389" si="248">VALUE(C2327)</f>
        <v>6.5237999999999996</v>
      </c>
      <c r="F2326" s="1323">
        <f t="shared" si="247"/>
        <v>6.2830559162942672</v>
      </c>
      <c r="G2326" s="1323">
        <f t="shared" ref="G2326:G2389" si="249">YEAR(B2327)</f>
        <v>2005</v>
      </c>
      <c r="H2326" s="1323">
        <f t="shared" ref="H2326:H2389" si="250">MONTH(B2327)</f>
        <v>5</v>
      </c>
      <c r="I2326" s="1323">
        <f t="shared" ref="I2326:I2389" si="251">DAY(B2327)</f>
        <v>26</v>
      </c>
      <c r="J2326" s="1323"/>
      <c r="K2326" s="1323"/>
      <c r="L2326" s="1323"/>
      <c r="M2326" s="1323"/>
      <c r="N2326" s="1323"/>
      <c r="O2326" s="1323"/>
      <c r="P2326" s="1323"/>
      <c r="Q2326" s="1323"/>
      <c r="R2326" s="1304"/>
      <c r="S2326" s="1304"/>
      <c r="T2326" s="1304"/>
    </row>
    <row r="2327" spans="1:20">
      <c r="A2327" s="1303"/>
      <c r="B2327" s="1322" t="s">
        <v>6832</v>
      </c>
      <c r="C2327" s="1323" t="s">
        <v>6833</v>
      </c>
      <c r="D2327" s="1324">
        <f t="shared" si="246"/>
        <v>38497</v>
      </c>
      <c r="E2327" s="1323">
        <f t="shared" si="248"/>
        <v>6.5574000000000003</v>
      </c>
      <c r="F2327" s="1323">
        <f t="shared" si="247"/>
        <v>6.2818511777122401</v>
      </c>
      <c r="G2327" s="1323">
        <f t="shared" si="249"/>
        <v>2005</v>
      </c>
      <c r="H2327" s="1323">
        <f t="shared" si="250"/>
        <v>5</v>
      </c>
      <c r="I2327" s="1323">
        <f t="shared" si="251"/>
        <v>25</v>
      </c>
      <c r="J2327" s="1323"/>
      <c r="K2327" s="1323"/>
      <c r="L2327" s="1323"/>
      <c r="M2327" s="1323"/>
      <c r="N2327" s="1323"/>
      <c r="O2327" s="1323"/>
      <c r="P2327" s="1323"/>
      <c r="Q2327" s="1323"/>
      <c r="R2327" s="1304"/>
      <c r="S2327" s="1304"/>
      <c r="T2327" s="1304"/>
    </row>
    <row r="2328" spans="1:20">
      <c r="A2328" s="1303"/>
      <c r="B2328" s="1322" t="s">
        <v>6834</v>
      </c>
      <c r="C2328" s="1323" t="s">
        <v>6835</v>
      </c>
      <c r="D2328" s="1324">
        <f t="shared" si="246"/>
        <v>38496</v>
      </c>
      <c r="E2328" s="1323">
        <f t="shared" si="248"/>
        <v>6.5046999999999997</v>
      </c>
      <c r="F2328" s="1323">
        <f t="shared" si="247"/>
        <v>6.2806466701316666</v>
      </c>
      <c r="G2328" s="1323">
        <f t="shared" si="249"/>
        <v>2005</v>
      </c>
      <c r="H2328" s="1323">
        <f t="shared" si="250"/>
        <v>5</v>
      </c>
      <c r="I2328" s="1323">
        <f t="shared" si="251"/>
        <v>24</v>
      </c>
      <c r="J2328" s="1323"/>
      <c r="K2328" s="1323"/>
      <c r="L2328" s="1323"/>
      <c r="M2328" s="1323"/>
      <c r="N2328" s="1323"/>
      <c r="O2328" s="1323"/>
      <c r="P2328" s="1323"/>
      <c r="Q2328" s="1323"/>
      <c r="R2328" s="1304"/>
      <c r="S2328" s="1304"/>
      <c r="T2328" s="1304"/>
    </row>
    <row r="2329" spans="1:20">
      <c r="A2329" s="1303"/>
      <c r="B2329" s="1322" t="s">
        <v>6836</v>
      </c>
      <c r="C2329" s="1323" t="s">
        <v>6837</v>
      </c>
      <c r="D2329" s="1324">
        <f t="shared" si="246"/>
        <v>38495</v>
      </c>
      <c r="E2329" s="1323">
        <f t="shared" si="248"/>
        <v>6.5571999999999999</v>
      </c>
      <c r="F2329" s="1323">
        <f t="shared" si="247"/>
        <v>6.279442393508254</v>
      </c>
      <c r="G2329" s="1323">
        <f t="shared" si="249"/>
        <v>2005</v>
      </c>
      <c r="H2329" s="1323">
        <f t="shared" si="250"/>
        <v>5</v>
      </c>
      <c r="I2329" s="1323">
        <f t="shared" si="251"/>
        <v>23</v>
      </c>
      <c r="J2329" s="1323"/>
      <c r="K2329" s="1323"/>
      <c r="L2329" s="1323"/>
      <c r="M2329" s="1323"/>
      <c r="N2329" s="1323"/>
      <c r="O2329" s="1323"/>
      <c r="P2329" s="1323"/>
      <c r="Q2329" s="1323"/>
      <c r="R2329" s="1304"/>
      <c r="S2329" s="1304"/>
      <c r="T2329" s="1304"/>
    </row>
    <row r="2330" spans="1:20">
      <c r="A2330" s="1303"/>
      <c r="B2330" s="1322" t="s">
        <v>6838</v>
      </c>
      <c r="C2330" s="1323" t="s">
        <v>6839</v>
      </c>
      <c r="D2330" s="1324">
        <f t="shared" si="246"/>
        <v>38492</v>
      </c>
      <c r="E2330" s="1323">
        <f t="shared" si="248"/>
        <v>6.3789999999999996</v>
      </c>
      <c r="F2330" s="1323">
        <f t="shared" si="247"/>
        <v>6.2782383477977168</v>
      </c>
      <c r="G2330" s="1323">
        <f t="shared" si="249"/>
        <v>2005</v>
      </c>
      <c r="H2330" s="1323">
        <f t="shared" si="250"/>
        <v>5</v>
      </c>
      <c r="I2330" s="1323">
        <f t="shared" si="251"/>
        <v>20</v>
      </c>
      <c r="J2330" s="1323"/>
      <c r="K2330" s="1323"/>
      <c r="L2330" s="1323"/>
      <c r="M2330" s="1323"/>
      <c r="N2330" s="1323"/>
      <c r="O2330" s="1323"/>
      <c r="P2330" s="1323"/>
      <c r="Q2330" s="1323"/>
      <c r="R2330" s="1304"/>
      <c r="S2330" s="1304"/>
      <c r="T2330" s="1304"/>
    </row>
    <row r="2331" spans="1:20">
      <c r="A2331" s="1303"/>
      <c r="B2331" s="1322" t="s">
        <v>6840</v>
      </c>
      <c r="C2331" s="1323" t="s">
        <v>6841</v>
      </c>
      <c r="D2331" s="1324">
        <f t="shared" si="246"/>
        <v>38491</v>
      </c>
      <c r="E2331" s="1323">
        <f t="shared" si="248"/>
        <v>6.3749000000000002</v>
      </c>
      <c r="F2331" s="1323">
        <f t="shared" si="247"/>
        <v>6.2770345329557795</v>
      </c>
      <c r="G2331" s="1323">
        <f t="shared" si="249"/>
        <v>2005</v>
      </c>
      <c r="H2331" s="1323">
        <f t="shared" si="250"/>
        <v>5</v>
      </c>
      <c r="I2331" s="1323">
        <f t="shared" si="251"/>
        <v>19</v>
      </c>
      <c r="J2331" s="1323"/>
      <c r="K2331" s="1323"/>
      <c r="L2331" s="1323"/>
      <c r="M2331" s="1323"/>
      <c r="N2331" s="1323"/>
      <c r="O2331" s="1323"/>
      <c r="P2331" s="1323"/>
      <c r="Q2331" s="1323"/>
      <c r="R2331" s="1304"/>
      <c r="S2331" s="1304"/>
      <c r="T2331" s="1304"/>
    </row>
    <row r="2332" spans="1:20">
      <c r="A2332" s="1303"/>
      <c r="B2332" s="1322" t="s">
        <v>6842</v>
      </c>
      <c r="C2332" s="1323" t="s">
        <v>6843</v>
      </c>
      <c r="D2332" s="1324">
        <f t="shared" si="246"/>
        <v>38490</v>
      </c>
      <c r="E2332" s="1323">
        <f t="shared" si="248"/>
        <v>6.4398</v>
      </c>
      <c r="F2332" s="1323">
        <f t="shared" si="247"/>
        <v>6.2758309489381743</v>
      </c>
      <c r="G2332" s="1323">
        <f t="shared" si="249"/>
        <v>2005</v>
      </c>
      <c r="H2332" s="1323">
        <f t="shared" si="250"/>
        <v>5</v>
      </c>
      <c r="I2332" s="1323">
        <f t="shared" si="251"/>
        <v>18</v>
      </c>
      <c r="J2332" s="1323"/>
      <c r="K2332" s="1323"/>
      <c r="L2332" s="1323"/>
      <c r="M2332" s="1323"/>
      <c r="N2332" s="1323"/>
      <c r="O2332" s="1323"/>
      <c r="P2332" s="1323"/>
      <c r="Q2332" s="1323"/>
      <c r="R2332" s="1304"/>
      <c r="S2332" s="1304"/>
      <c r="T2332" s="1304"/>
    </row>
    <row r="2333" spans="1:20">
      <c r="A2333" s="1303"/>
      <c r="B2333" s="1322" t="s">
        <v>6844</v>
      </c>
      <c r="C2333" s="1323" t="s">
        <v>6845</v>
      </c>
      <c r="D2333" s="1324">
        <f t="shared" si="246"/>
        <v>38489</v>
      </c>
      <c r="E2333" s="1323">
        <f t="shared" si="248"/>
        <v>6.4165999999999999</v>
      </c>
      <c r="F2333" s="1323">
        <f t="shared" si="247"/>
        <v>6.2746275957006423</v>
      </c>
      <c r="G2333" s="1323">
        <f t="shared" si="249"/>
        <v>2005</v>
      </c>
      <c r="H2333" s="1323">
        <f t="shared" si="250"/>
        <v>5</v>
      </c>
      <c r="I2333" s="1323">
        <f t="shared" si="251"/>
        <v>17</v>
      </c>
      <c r="J2333" s="1323"/>
      <c r="K2333" s="1323"/>
      <c r="L2333" s="1323"/>
      <c r="M2333" s="1323"/>
      <c r="N2333" s="1323"/>
      <c r="O2333" s="1323"/>
      <c r="P2333" s="1323"/>
      <c r="Q2333" s="1323"/>
      <c r="R2333" s="1304"/>
      <c r="S2333" s="1304"/>
      <c r="T2333" s="1304"/>
    </row>
    <row r="2334" spans="1:20">
      <c r="A2334" s="1303"/>
      <c r="B2334" s="1322" t="s">
        <v>6846</v>
      </c>
      <c r="C2334" s="1323" t="s">
        <v>6847</v>
      </c>
      <c r="D2334" s="1324">
        <f t="shared" si="246"/>
        <v>38488</v>
      </c>
      <c r="E2334" s="1323">
        <f t="shared" si="248"/>
        <v>6.3376000000000001</v>
      </c>
      <c r="F2334" s="1323">
        <f t="shared" si="247"/>
        <v>6.2734244731989328</v>
      </c>
      <c r="G2334" s="1323">
        <f t="shared" si="249"/>
        <v>2005</v>
      </c>
      <c r="H2334" s="1323">
        <f t="shared" si="250"/>
        <v>5</v>
      </c>
      <c r="I2334" s="1323">
        <f t="shared" si="251"/>
        <v>16</v>
      </c>
      <c r="J2334" s="1323"/>
      <c r="K2334" s="1323"/>
      <c r="L2334" s="1323"/>
      <c r="M2334" s="1323"/>
      <c r="N2334" s="1323"/>
      <c r="O2334" s="1323"/>
      <c r="P2334" s="1323"/>
      <c r="Q2334" s="1323"/>
      <c r="R2334" s="1304"/>
      <c r="S2334" s="1304"/>
      <c r="T2334" s="1304"/>
    </row>
    <row r="2335" spans="1:20">
      <c r="A2335" s="1303"/>
      <c r="B2335" s="1322" t="s">
        <v>6848</v>
      </c>
      <c r="C2335" s="1323" t="s">
        <v>6849</v>
      </c>
      <c r="D2335" s="1324">
        <f t="shared" si="246"/>
        <v>38485</v>
      </c>
      <c r="E2335" s="1323">
        <f t="shared" si="248"/>
        <v>6.3059000000000003</v>
      </c>
      <c r="F2335" s="1323">
        <f t="shared" si="247"/>
        <v>6.2722215813888029</v>
      </c>
      <c r="G2335" s="1323">
        <f t="shared" si="249"/>
        <v>2005</v>
      </c>
      <c r="H2335" s="1323">
        <f t="shared" si="250"/>
        <v>5</v>
      </c>
      <c r="I2335" s="1323">
        <f t="shared" si="251"/>
        <v>13</v>
      </c>
      <c r="J2335" s="1323"/>
      <c r="K2335" s="1323"/>
      <c r="L2335" s="1323"/>
      <c r="M2335" s="1323"/>
      <c r="N2335" s="1323"/>
      <c r="O2335" s="1323"/>
      <c r="P2335" s="1323"/>
      <c r="Q2335" s="1323"/>
      <c r="R2335" s="1304"/>
      <c r="S2335" s="1304"/>
      <c r="T2335" s="1304"/>
    </row>
    <row r="2336" spans="1:20">
      <c r="A2336" s="1303"/>
      <c r="B2336" s="1322" t="s">
        <v>6850</v>
      </c>
      <c r="C2336" s="1323" t="s">
        <v>6851</v>
      </c>
      <c r="D2336" s="1324">
        <f t="shared" si="246"/>
        <v>38484</v>
      </c>
      <c r="E2336" s="1323">
        <f t="shared" si="248"/>
        <v>6.23</v>
      </c>
      <c r="F2336" s="1323">
        <f t="shared" si="247"/>
        <v>6.2710189202260196</v>
      </c>
      <c r="G2336" s="1323">
        <f t="shared" si="249"/>
        <v>2005</v>
      </c>
      <c r="H2336" s="1323">
        <f t="shared" si="250"/>
        <v>5</v>
      </c>
      <c r="I2336" s="1323">
        <f t="shared" si="251"/>
        <v>12</v>
      </c>
      <c r="J2336" s="1323"/>
      <c r="K2336" s="1323"/>
      <c r="L2336" s="1323"/>
      <c r="M2336" s="1323"/>
      <c r="N2336" s="1323"/>
      <c r="O2336" s="1323"/>
      <c r="P2336" s="1323"/>
      <c r="Q2336" s="1323"/>
      <c r="R2336" s="1304"/>
      <c r="S2336" s="1304"/>
      <c r="T2336" s="1304"/>
    </row>
    <row r="2337" spans="1:20">
      <c r="A2337" s="1303"/>
      <c r="B2337" s="1322" t="s">
        <v>6852</v>
      </c>
      <c r="C2337" s="1323" t="s">
        <v>6853</v>
      </c>
      <c r="D2337" s="1324">
        <f t="shared" si="246"/>
        <v>38483</v>
      </c>
      <c r="E2337" s="1323">
        <f t="shared" si="248"/>
        <v>6.1737000000000002</v>
      </c>
      <c r="F2337" s="1323">
        <f t="shared" si="247"/>
        <v>6.2698164896663577</v>
      </c>
      <c r="G2337" s="1323">
        <f t="shared" si="249"/>
        <v>2005</v>
      </c>
      <c r="H2337" s="1323">
        <f t="shared" si="250"/>
        <v>5</v>
      </c>
      <c r="I2337" s="1323">
        <f t="shared" si="251"/>
        <v>11</v>
      </c>
      <c r="J2337" s="1323"/>
      <c r="K2337" s="1323"/>
      <c r="L2337" s="1323"/>
      <c r="M2337" s="1323"/>
      <c r="N2337" s="1323"/>
      <c r="O2337" s="1323"/>
      <c r="P2337" s="1323"/>
      <c r="Q2337" s="1323"/>
      <c r="R2337" s="1304"/>
      <c r="S2337" s="1304"/>
      <c r="T2337" s="1304"/>
    </row>
    <row r="2338" spans="1:20">
      <c r="A2338" s="1303"/>
      <c r="B2338" s="1322" t="s">
        <v>6854</v>
      </c>
      <c r="C2338" s="1323" t="s">
        <v>6855</v>
      </c>
      <c r="D2338" s="1324">
        <f t="shared" si="246"/>
        <v>38482</v>
      </c>
      <c r="E2338" s="1323">
        <f t="shared" si="248"/>
        <v>6.1856999999999998</v>
      </c>
      <c r="F2338" s="1323">
        <f t="shared" si="247"/>
        <v>6.2686142896655994</v>
      </c>
      <c r="G2338" s="1323">
        <f t="shared" si="249"/>
        <v>2005</v>
      </c>
      <c r="H2338" s="1323">
        <f t="shared" si="250"/>
        <v>5</v>
      </c>
      <c r="I2338" s="1323">
        <f t="shared" si="251"/>
        <v>10</v>
      </c>
      <c r="J2338" s="1323"/>
      <c r="K2338" s="1323"/>
      <c r="L2338" s="1323"/>
      <c r="M2338" s="1323"/>
      <c r="N2338" s="1323"/>
      <c r="O2338" s="1323"/>
      <c r="P2338" s="1323"/>
      <c r="Q2338" s="1323"/>
      <c r="R2338" s="1304"/>
      <c r="S2338" s="1304"/>
      <c r="T2338" s="1304"/>
    </row>
    <row r="2339" spans="1:20">
      <c r="A2339" s="1303"/>
      <c r="B2339" s="1322" t="s">
        <v>6856</v>
      </c>
      <c r="C2339" s="1323" t="s">
        <v>6857</v>
      </c>
      <c r="D2339" s="1324">
        <f t="shared" si="246"/>
        <v>38481</v>
      </c>
      <c r="E2339" s="1323">
        <f t="shared" si="248"/>
        <v>6.0655000000000001</v>
      </c>
      <c r="F2339" s="1323">
        <f t="shared" si="247"/>
        <v>6.2674123201795373</v>
      </c>
      <c r="G2339" s="1323">
        <f t="shared" si="249"/>
        <v>2005</v>
      </c>
      <c r="H2339" s="1323">
        <f t="shared" si="250"/>
        <v>5</v>
      </c>
      <c r="I2339" s="1323">
        <f t="shared" si="251"/>
        <v>9</v>
      </c>
      <c r="J2339" s="1323"/>
      <c r="K2339" s="1323"/>
      <c r="L2339" s="1323"/>
      <c r="M2339" s="1323"/>
      <c r="N2339" s="1323"/>
      <c r="O2339" s="1323"/>
      <c r="P2339" s="1323"/>
      <c r="Q2339" s="1323"/>
      <c r="R2339" s="1304"/>
      <c r="S2339" s="1304"/>
      <c r="T2339" s="1304"/>
    </row>
    <row r="2340" spans="1:20">
      <c r="A2340" s="1303"/>
      <c r="B2340" s="1322" t="s">
        <v>6858</v>
      </c>
      <c r="C2340" s="1323" t="s">
        <v>6859</v>
      </c>
      <c r="D2340" s="1324">
        <f t="shared" si="246"/>
        <v>38478</v>
      </c>
      <c r="E2340" s="1323">
        <f t="shared" si="248"/>
        <v>5.9656000000000002</v>
      </c>
      <c r="F2340" s="1323">
        <f t="shared" si="247"/>
        <v>6.2662105811639712</v>
      </c>
      <c r="G2340" s="1323">
        <f t="shared" si="249"/>
        <v>2005</v>
      </c>
      <c r="H2340" s="1323">
        <f t="shared" si="250"/>
        <v>5</v>
      </c>
      <c r="I2340" s="1323">
        <f t="shared" si="251"/>
        <v>6</v>
      </c>
      <c r="J2340" s="1323"/>
      <c r="K2340" s="1323"/>
      <c r="L2340" s="1323"/>
      <c r="M2340" s="1323"/>
      <c r="N2340" s="1323"/>
      <c r="O2340" s="1323"/>
      <c r="P2340" s="1323"/>
      <c r="Q2340" s="1323"/>
      <c r="R2340" s="1304"/>
      <c r="S2340" s="1304"/>
      <c r="T2340" s="1304"/>
    </row>
    <row r="2341" spans="1:20">
      <c r="A2341" s="1303"/>
      <c r="B2341" s="1322" t="s">
        <v>6860</v>
      </c>
      <c r="C2341" s="1323" t="s">
        <v>6861</v>
      </c>
      <c r="D2341" s="1324">
        <f t="shared" si="246"/>
        <v>38477</v>
      </c>
      <c r="E2341" s="1323">
        <f t="shared" si="248"/>
        <v>5.9519000000000002</v>
      </c>
      <c r="F2341" s="1323">
        <f t="shared" si="247"/>
        <v>6.2650090725747098</v>
      </c>
      <c r="G2341" s="1323">
        <f t="shared" si="249"/>
        <v>2005</v>
      </c>
      <c r="H2341" s="1323">
        <f t="shared" si="250"/>
        <v>5</v>
      </c>
      <c r="I2341" s="1323">
        <f t="shared" si="251"/>
        <v>5</v>
      </c>
      <c r="J2341" s="1323"/>
      <c r="K2341" s="1323"/>
      <c r="L2341" s="1323"/>
      <c r="M2341" s="1323"/>
      <c r="N2341" s="1323"/>
      <c r="O2341" s="1323"/>
      <c r="P2341" s="1323"/>
      <c r="Q2341" s="1323"/>
      <c r="R2341" s="1304"/>
      <c r="S2341" s="1304"/>
      <c r="T2341" s="1304"/>
    </row>
    <row r="2342" spans="1:20">
      <c r="A2342" s="1303"/>
      <c r="B2342" s="1322" t="s">
        <v>6862</v>
      </c>
      <c r="C2342" s="1323" t="s">
        <v>6863</v>
      </c>
      <c r="D2342" s="1324">
        <f t="shared" si="246"/>
        <v>38476</v>
      </c>
      <c r="E2342" s="1323">
        <f t="shared" si="248"/>
        <v>6.0568999999999997</v>
      </c>
      <c r="F2342" s="1323">
        <f t="shared" si="247"/>
        <v>6.2638077943675707</v>
      </c>
      <c r="G2342" s="1323">
        <f t="shared" si="249"/>
        <v>2005</v>
      </c>
      <c r="H2342" s="1323">
        <f t="shared" si="250"/>
        <v>5</v>
      </c>
      <c r="I2342" s="1323">
        <f t="shared" si="251"/>
        <v>4</v>
      </c>
      <c r="J2342" s="1323"/>
      <c r="K2342" s="1323"/>
      <c r="L2342" s="1323"/>
      <c r="M2342" s="1323"/>
      <c r="N2342" s="1323"/>
      <c r="O2342" s="1323"/>
      <c r="P2342" s="1323"/>
      <c r="Q2342" s="1323"/>
      <c r="R2342" s="1304"/>
      <c r="S2342" s="1304"/>
      <c r="T2342" s="1304"/>
    </row>
    <row r="2343" spans="1:20">
      <c r="A2343" s="1303"/>
      <c r="B2343" s="1322" t="s">
        <v>6864</v>
      </c>
      <c r="C2343" s="1323" t="s">
        <v>6865</v>
      </c>
      <c r="D2343" s="1324">
        <f t="shared" si="246"/>
        <v>38475</v>
      </c>
      <c r="E2343" s="1323">
        <f t="shared" si="248"/>
        <v>6.1246</v>
      </c>
      <c r="F2343" s="1323">
        <f t="shared" si="247"/>
        <v>6.2626067464983795</v>
      </c>
      <c r="G2343" s="1323">
        <f t="shared" si="249"/>
        <v>2005</v>
      </c>
      <c r="H2343" s="1323">
        <f t="shared" si="250"/>
        <v>5</v>
      </c>
      <c r="I2343" s="1323">
        <f t="shared" si="251"/>
        <v>3</v>
      </c>
      <c r="J2343" s="1323"/>
      <c r="K2343" s="1323"/>
      <c r="L2343" s="1323"/>
      <c r="M2343" s="1323"/>
      <c r="N2343" s="1323"/>
      <c r="O2343" s="1323"/>
      <c r="P2343" s="1323"/>
      <c r="Q2343" s="1323"/>
      <c r="R2343" s="1304"/>
      <c r="S2343" s="1304"/>
      <c r="T2343" s="1304"/>
    </row>
    <row r="2344" spans="1:20">
      <c r="A2344" s="1303"/>
      <c r="B2344" s="1322" t="s">
        <v>6866</v>
      </c>
      <c r="C2344" s="1323" t="s">
        <v>6867</v>
      </c>
      <c r="D2344" s="1324">
        <f t="shared" si="246"/>
        <v>38471</v>
      </c>
      <c r="E2344" s="1323">
        <f t="shared" si="248"/>
        <v>6.0772000000000004</v>
      </c>
      <c r="F2344" s="1323">
        <f t="shared" si="247"/>
        <v>6.2614059289229695</v>
      </c>
      <c r="G2344" s="1323">
        <f t="shared" si="249"/>
        <v>2005</v>
      </c>
      <c r="H2344" s="1323">
        <f t="shared" si="250"/>
        <v>4</v>
      </c>
      <c r="I2344" s="1323">
        <f t="shared" si="251"/>
        <v>29</v>
      </c>
      <c r="J2344" s="1323"/>
      <c r="K2344" s="1323"/>
      <c r="L2344" s="1323"/>
      <c r="M2344" s="1323"/>
      <c r="N2344" s="1323"/>
      <c r="O2344" s="1323"/>
      <c r="P2344" s="1323"/>
      <c r="Q2344" s="1323"/>
      <c r="R2344" s="1304"/>
      <c r="S2344" s="1304"/>
      <c r="T2344" s="1304"/>
    </row>
    <row r="2345" spans="1:20">
      <c r="A2345" s="1303"/>
      <c r="B2345" s="1322" t="s">
        <v>6868</v>
      </c>
      <c r="C2345" s="1323" t="s">
        <v>6869</v>
      </c>
      <c r="D2345" s="1324">
        <f t="shared" si="246"/>
        <v>38470</v>
      </c>
      <c r="E2345" s="1323">
        <f t="shared" si="248"/>
        <v>6.0831</v>
      </c>
      <c r="F2345" s="1323">
        <f t="shared" si="247"/>
        <v>6.2602053415971834</v>
      </c>
      <c r="G2345" s="1323">
        <f t="shared" si="249"/>
        <v>2005</v>
      </c>
      <c r="H2345" s="1323">
        <f t="shared" si="250"/>
        <v>4</v>
      </c>
      <c r="I2345" s="1323">
        <f t="shared" si="251"/>
        <v>28</v>
      </c>
      <c r="J2345" s="1323"/>
      <c r="K2345" s="1323"/>
      <c r="L2345" s="1323"/>
      <c r="M2345" s="1323"/>
      <c r="N2345" s="1323"/>
      <c r="O2345" s="1323"/>
      <c r="P2345" s="1323"/>
      <c r="Q2345" s="1323"/>
      <c r="R2345" s="1304"/>
      <c r="S2345" s="1304"/>
      <c r="T2345" s="1304"/>
    </row>
    <row r="2346" spans="1:20">
      <c r="A2346" s="1303"/>
      <c r="B2346" s="1322" t="s">
        <v>6870</v>
      </c>
      <c r="C2346" s="1323" t="s">
        <v>6871</v>
      </c>
      <c r="D2346" s="1324">
        <f t="shared" si="246"/>
        <v>38468</v>
      </c>
      <c r="E2346" s="1323">
        <f t="shared" si="248"/>
        <v>6.0877999999999997</v>
      </c>
      <c r="F2346" s="1323">
        <f t="shared" si="247"/>
        <v>6.2590049844768725</v>
      </c>
      <c r="G2346" s="1323">
        <f t="shared" si="249"/>
        <v>2005</v>
      </c>
      <c r="H2346" s="1323">
        <f t="shared" si="250"/>
        <v>4</v>
      </c>
      <c r="I2346" s="1323">
        <f t="shared" si="251"/>
        <v>26</v>
      </c>
      <c r="J2346" s="1323"/>
      <c r="K2346" s="1323"/>
      <c r="L2346" s="1323"/>
      <c r="M2346" s="1323"/>
      <c r="N2346" s="1323"/>
      <c r="O2346" s="1323"/>
      <c r="P2346" s="1323"/>
      <c r="Q2346" s="1323"/>
      <c r="R2346" s="1304"/>
      <c r="S2346" s="1304"/>
      <c r="T2346" s="1304"/>
    </row>
    <row r="2347" spans="1:20">
      <c r="A2347" s="1303"/>
      <c r="B2347" s="1322" t="s">
        <v>6872</v>
      </c>
      <c r="C2347" s="1323" t="s">
        <v>6873</v>
      </c>
      <c r="D2347" s="1324">
        <f t="shared" si="246"/>
        <v>38467</v>
      </c>
      <c r="E2347" s="1323">
        <f t="shared" si="248"/>
        <v>6.0442</v>
      </c>
      <c r="F2347" s="1323">
        <f t="shared" si="247"/>
        <v>6.2578048575178959</v>
      </c>
      <c r="G2347" s="1323">
        <f t="shared" si="249"/>
        <v>2005</v>
      </c>
      <c r="H2347" s="1323">
        <f t="shared" si="250"/>
        <v>4</v>
      </c>
      <c r="I2347" s="1323">
        <f t="shared" si="251"/>
        <v>25</v>
      </c>
      <c r="J2347" s="1323"/>
      <c r="K2347" s="1323"/>
      <c r="L2347" s="1323"/>
      <c r="M2347" s="1323"/>
      <c r="N2347" s="1323"/>
      <c r="O2347" s="1323"/>
      <c r="P2347" s="1323"/>
      <c r="Q2347" s="1323"/>
      <c r="R2347" s="1304"/>
      <c r="S2347" s="1304"/>
      <c r="T2347" s="1304"/>
    </row>
    <row r="2348" spans="1:20">
      <c r="A2348" s="1303"/>
      <c r="B2348" s="1322" t="s">
        <v>6874</v>
      </c>
      <c r="C2348" s="1323" t="s">
        <v>6875</v>
      </c>
      <c r="D2348" s="1324">
        <f t="shared" si="246"/>
        <v>38464</v>
      </c>
      <c r="E2348" s="1323">
        <f t="shared" si="248"/>
        <v>6.0678000000000001</v>
      </c>
      <c r="F2348" s="1323">
        <f t="shared" si="247"/>
        <v>6.256604960676122</v>
      </c>
      <c r="G2348" s="1323">
        <f t="shared" si="249"/>
        <v>2005</v>
      </c>
      <c r="H2348" s="1323">
        <f t="shared" si="250"/>
        <v>4</v>
      </c>
      <c r="I2348" s="1323">
        <f t="shared" si="251"/>
        <v>22</v>
      </c>
      <c r="J2348" s="1323"/>
      <c r="K2348" s="1323"/>
      <c r="L2348" s="1323"/>
      <c r="M2348" s="1323"/>
      <c r="N2348" s="1323"/>
      <c r="O2348" s="1323"/>
      <c r="P2348" s="1323"/>
      <c r="Q2348" s="1323"/>
      <c r="R2348" s="1304"/>
      <c r="S2348" s="1304"/>
      <c r="T2348" s="1304"/>
    </row>
    <row r="2349" spans="1:20">
      <c r="A2349" s="1303"/>
      <c r="B2349" s="1322" t="s">
        <v>6876</v>
      </c>
      <c r="C2349" s="1323" t="s">
        <v>6877</v>
      </c>
      <c r="D2349" s="1324">
        <f t="shared" si="246"/>
        <v>38463</v>
      </c>
      <c r="E2349" s="1323">
        <f t="shared" si="248"/>
        <v>6.1002999999999998</v>
      </c>
      <c r="F2349" s="1323">
        <f t="shared" si="247"/>
        <v>6.2554052939074269</v>
      </c>
      <c r="G2349" s="1323">
        <f t="shared" si="249"/>
        <v>2005</v>
      </c>
      <c r="H2349" s="1323">
        <f t="shared" si="250"/>
        <v>4</v>
      </c>
      <c r="I2349" s="1323">
        <f t="shared" si="251"/>
        <v>21</v>
      </c>
      <c r="J2349" s="1323"/>
      <c r="K2349" s="1323"/>
      <c r="L2349" s="1323"/>
      <c r="M2349" s="1323"/>
      <c r="N2349" s="1323"/>
      <c r="O2349" s="1323"/>
      <c r="P2349" s="1323"/>
      <c r="Q2349" s="1323"/>
      <c r="R2349" s="1304"/>
      <c r="S2349" s="1304"/>
      <c r="T2349" s="1304"/>
    </row>
    <row r="2350" spans="1:20">
      <c r="A2350" s="1303"/>
      <c r="B2350" s="1322" t="s">
        <v>6878</v>
      </c>
      <c r="C2350" s="1323" t="s">
        <v>6879</v>
      </c>
      <c r="D2350" s="1324">
        <f t="shared" si="246"/>
        <v>38462</v>
      </c>
      <c r="E2350" s="1323">
        <f t="shared" si="248"/>
        <v>6.1721000000000004</v>
      </c>
      <c r="F2350" s="1323">
        <f t="shared" si="247"/>
        <v>6.2542058571676957</v>
      </c>
      <c r="G2350" s="1323">
        <f t="shared" si="249"/>
        <v>2005</v>
      </c>
      <c r="H2350" s="1323">
        <f t="shared" si="250"/>
        <v>4</v>
      </c>
      <c r="I2350" s="1323">
        <f t="shared" si="251"/>
        <v>20</v>
      </c>
      <c r="J2350" s="1323"/>
      <c r="K2350" s="1323"/>
      <c r="L2350" s="1323"/>
      <c r="M2350" s="1323"/>
      <c r="N2350" s="1323"/>
      <c r="O2350" s="1323"/>
      <c r="P2350" s="1323"/>
      <c r="Q2350" s="1323"/>
      <c r="R2350" s="1304"/>
      <c r="S2350" s="1304"/>
      <c r="T2350" s="1304"/>
    </row>
    <row r="2351" spans="1:20">
      <c r="A2351" s="1303"/>
      <c r="B2351" s="1322" t="s">
        <v>6880</v>
      </c>
      <c r="C2351" s="1323" t="s">
        <v>6881</v>
      </c>
      <c r="D2351" s="1324">
        <f t="shared" si="246"/>
        <v>38461</v>
      </c>
      <c r="E2351" s="1323">
        <f t="shared" si="248"/>
        <v>6.2354000000000003</v>
      </c>
      <c r="F2351" s="1323">
        <f t="shared" si="247"/>
        <v>6.2530066504128214</v>
      </c>
      <c r="G2351" s="1323">
        <f t="shared" si="249"/>
        <v>2005</v>
      </c>
      <c r="H2351" s="1323">
        <f t="shared" si="250"/>
        <v>4</v>
      </c>
      <c r="I2351" s="1323">
        <f t="shared" si="251"/>
        <v>19</v>
      </c>
      <c r="J2351" s="1323"/>
      <c r="K2351" s="1323"/>
      <c r="L2351" s="1323"/>
      <c r="M2351" s="1323"/>
      <c r="N2351" s="1323"/>
      <c r="O2351" s="1323"/>
      <c r="P2351" s="1323"/>
      <c r="Q2351" s="1323"/>
      <c r="R2351" s="1304"/>
      <c r="S2351" s="1304"/>
      <c r="T2351" s="1304"/>
    </row>
    <row r="2352" spans="1:20">
      <c r="A2352" s="1303"/>
      <c r="B2352" s="1322" t="s">
        <v>6882</v>
      </c>
      <c r="C2352" s="1323" t="s">
        <v>6883</v>
      </c>
      <c r="D2352" s="1324">
        <f t="shared" si="246"/>
        <v>38460</v>
      </c>
      <c r="E2352" s="1323">
        <f t="shared" si="248"/>
        <v>6.2614000000000001</v>
      </c>
      <c r="F2352" s="1323">
        <f t="shared" si="247"/>
        <v>6.251807673598706</v>
      </c>
      <c r="G2352" s="1323">
        <f t="shared" si="249"/>
        <v>2005</v>
      </c>
      <c r="H2352" s="1323">
        <f t="shared" si="250"/>
        <v>4</v>
      </c>
      <c r="I2352" s="1323">
        <f t="shared" si="251"/>
        <v>18</v>
      </c>
      <c r="J2352" s="1323"/>
      <c r="K2352" s="1323"/>
      <c r="L2352" s="1323"/>
      <c r="M2352" s="1323"/>
      <c r="N2352" s="1323"/>
      <c r="O2352" s="1323"/>
      <c r="P2352" s="1323"/>
      <c r="Q2352" s="1323"/>
      <c r="R2352" s="1304"/>
      <c r="S2352" s="1304"/>
      <c r="T2352" s="1304"/>
    </row>
    <row r="2353" spans="1:20">
      <c r="A2353" s="1303"/>
      <c r="B2353" s="1322" t="s">
        <v>6884</v>
      </c>
      <c r="C2353" s="1323" t="s">
        <v>6885</v>
      </c>
      <c r="D2353" s="1324">
        <f t="shared" si="246"/>
        <v>38457</v>
      </c>
      <c r="E2353" s="1323">
        <f t="shared" si="248"/>
        <v>6.31</v>
      </c>
      <c r="F2353" s="1323">
        <f t="shared" si="247"/>
        <v>6.2506089266812603</v>
      </c>
      <c r="G2353" s="1323">
        <f t="shared" si="249"/>
        <v>2005</v>
      </c>
      <c r="H2353" s="1323">
        <f t="shared" si="250"/>
        <v>4</v>
      </c>
      <c r="I2353" s="1323">
        <f t="shared" si="251"/>
        <v>15</v>
      </c>
      <c r="J2353" s="1323"/>
      <c r="K2353" s="1323"/>
      <c r="L2353" s="1323"/>
      <c r="M2353" s="1323"/>
      <c r="N2353" s="1323"/>
      <c r="O2353" s="1323"/>
      <c r="P2353" s="1323"/>
      <c r="Q2353" s="1323"/>
      <c r="R2353" s="1304"/>
      <c r="S2353" s="1304"/>
      <c r="T2353" s="1304"/>
    </row>
    <row r="2354" spans="1:20">
      <c r="A2354" s="1303"/>
      <c r="B2354" s="1322" t="s">
        <v>6886</v>
      </c>
      <c r="C2354" s="1323" t="s">
        <v>6887</v>
      </c>
      <c r="D2354" s="1324">
        <f t="shared" si="246"/>
        <v>38456</v>
      </c>
      <c r="E2354" s="1323">
        <f t="shared" si="248"/>
        <v>6.1577000000000002</v>
      </c>
      <c r="F2354" s="1323">
        <f t="shared" si="247"/>
        <v>6.2494104096164023</v>
      </c>
      <c r="G2354" s="1323">
        <f t="shared" si="249"/>
        <v>2005</v>
      </c>
      <c r="H2354" s="1323">
        <f t="shared" si="250"/>
        <v>4</v>
      </c>
      <c r="I2354" s="1323">
        <f t="shared" si="251"/>
        <v>14</v>
      </c>
      <c r="J2354" s="1323"/>
      <c r="K2354" s="1323"/>
      <c r="L2354" s="1323"/>
      <c r="M2354" s="1323"/>
      <c r="N2354" s="1323"/>
      <c r="O2354" s="1323"/>
      <c r="P2354" s="1323"/>
      <c r="Q2354" s="1323"/>
      <c r="R2354" s="1304"/>
      <c r="S2354" s="1304"/>
      <c r="T2354" s="1304"/>
    </row>
    <row r="2355" spans="1:20">
      <c r="A2355" s="1303"/>
      <c r="B2355" s="1322" t="s">
        <v>6888</v>
      </c>
      <c r="C2355" s="1323" t="s">
        <v>6889</v>
      </c>
      <c r="D2355" s="1324">
        <f t="shared" si="246"/>
        <v>38455</v>
      </c>
      <c r="E2355" s="1323">
        <f t="shared" si="248"/>
        <v>6.1227999999999998</v>
      </c>
      <c r="F2355" s="1323">
        <f t="shared" si="247"/>
        <v>6.2482121223600586</v>
      </c>
      <c r="G2355" s="1323">
        <f t="shared" si="249"/>
        <v>2005</v>
      </c>
      <c r="H2355" s="1323">
        <f t="shared" si="250"/>
        <v>4</v>
      </c>
      <c r="I2355" s="1323">
        <f t="shared" si="251"/>
        <v>13</v>
      </c>
      <c r="J2355" s="1323"/>
      <c r="K2355" s="1323"/>
      <c r="L2355" s="1323"/>
      <c r="M2355" s="1323"/>
      <c r="N2355" s="1323"/>
      <c r="O2355" s="1323"/>
      <c r="P2355" s="1323"/>
      <c r="Q2355" s="1323"/>
      <c r="R2355" s="1304"/>
      <c r="S2355" s="1304"/>
      <c r="T2355" s="1304"/>
    </row>
    <row r="2356" spans="1:20">
      <c r="A2356" s="1303"/>
      <c r="B2356" s="1322" t="s">
        <v>6890</v>
      </c>
      <c r="C2356" s="1323" t="s">
        <v>6891</v>
      </c>
      <c r="D2356" s="1324">
        <f t="shared" si="246"/>
        <v>38454</v>
      </c>
      <c r="E2356" s="1323">
        <f t="shared" si="248"/>
        <v>6.1475999999999997</v>
      </c>
      <c r="F2356" s="1323">
        <f t="shared" si="247"/>
        <v>6.247014064868166</v>
      </c>
      <c r="G2356" s="1323">
        <f t="shared" si="249"/>
        <v>2005</v>
      </c>
      <c r="H2356" s="1323">
        <f t="shared" si="250"/>
        <v>4</v>
      </c>
      <c r="I2356" s="1323">
        <f t="shared" si="251"/>
        <v>12</v>
      </c>
      <c r="J2356" s="1323"/>
      <c r="K2356" s="1323"/>
      <c r="L2356" s="1323"/>
      <c r="M2356" s="1323"/>
      <c r="N2356" s="1323"/>
      <c r="O2356" s="1323"/>
      <c r="P2356" s="1323"/>
      <c r="Q2356" s="1323"/>
      <c r="R2356" s="1304"/>
      <c r="S2356" s="1304"/>
      <c r="T2356" s="1304"/>
    </row>
    <row r="2357" spans="1:20">
      <c r="A2357" s="1303"/>
      <c r="B2357" s="1322" t="s">
        <v>6892</v>
      </c>
      <c r="C2357" s="1323" t="s">
        <v>6893</v>
      </c>
      <c r="D2357" s="1324">
        <f t="shared" si="246"/>
        <v>38453</v>
      </c>
      <c r="E2357" s="1323">
        <f t="shared" si="248"/>
        <v>6.1052999999999997</v>
      </c>
      <c r="F2357" s="1323">
        <f t="shared" si="247"/>
        <v>6.2458162370966681</v>
      </c>
      <c r="G2357" s="1323">
        <f t="shared" si="249"/>
        <v>2005</v>
      </c>
      <c r="H2357" s="1323">
        <f t="shared" si="250"/>
        <v>4</v>
      </c>
      <c r="I2357" s="1323">
        <f t="shared" si="251"/>
        <v>11</v>
      </c>
      <c r="J2357" s="1323"/>
      <c r="K2357" s="1323"/>
      <c r="L2357" s="1323"/>
      <c r="M2357" s="1323"/>
      <c r="N2357" s="1323"/>
      <c r="O2357" s="1323"/>
      <c r="P2357" s="1323"/>
      <c r="Q2357" s="1323"/>
      <c r="R2357" s="1304"/>
      <c r="S2357" s="1304"/>
      <c r="T2357" s="1304"/>
    </row>
    <row r="2358" spans="1:20">
      <c r="A2358" s="1303"/>
      <c r="B2358" s="1322" t="s">
        <v>6894</v>
      </c>
      <c r="C2358" s="1323" t="s">
        <v>6895</v>
      </c>
      <c r="D2358" s="1324">
        <f t="shared" si="246"/>
        <v>38450</v>
      </c>
      <c r="E2358" s="1323">
        <f t="shared" si="248"/>
        <v>6.1858000000000004</v>
      </c>
      <c r="F2358" s="1323">
        <f t="shared" si="247"/>
        <v>6.2446186390015166</v>
      </c>
      <c r="G2358" s="1323">
        <f t="shared" si="249"/>
        <v>2005</v>
      </c>
      <c r="H2358" s="1323">
        <f t="shared" si="250"/>
        <v>4</v>
      </c>
      <c r="I2358" s="1323">
        <f t="shared" si="251"/>
        <v>8</v>
      </c>
      <c r="J2358" s="1323"/>
      <c r="K2358" s="1323"/>
      <c r="L2358" s="1323"/>
      <c r="M2358" s="1323"/>
      <c r="N2358" s="1323"/>
      <c r="O2358" s="1323"/>
      <c r="P2358" s="1323"/>
      <c r="Q2358" s="1323"/>
      <c r="R2358" s="1304"/>
      <c r="S2358" s="1304"/>
      <c r="T2358" s="1304"/>
    </row>
    <row r="2359" spans="1:20">
      <c r="A2359" s="1303"/>
      <c r="B2359" s="1322" t="s">
        <v>6896</v>
      </c>
      <c r="C2359" s="1323" t="s">
        <v>6897</v>
      </c>
      <c r="D2359" s="1324">
        <f t="shared" si="246"/>
        <v>38449</v>
      </c>
      <c r="E2359" s="1323">
        <f t="shared" si="248"/>
        <v>6.1050000000000004</v>
      </c>
      <c r="F2359" s="1323">
        <f t="shared" si="247"/>
        <v>6.2434212705386729</v>
      </c>
      <c r="G2359" s="1323">
        <f t="shared" si="249"/>
        <v>2005</v>
      </c>
      <c r="H2359" s="1323">
        <f t="shared" si="250"/>
        <v>4</v>
      </c>
      <c r="I2359" s="1323">
        <f t="shared" si="251"/>
        <v>7</v>
      </c>
      <c r="J2359" s="1323"/>
      <c r="K2359" s="1323"/>
      <c r="L2359" s="1323"/>
      <c r="M2359" s="1323"/>
      <c r="N2359" s="1323"/>
      <c r="O2359" s="1323"/>
      <c r="P2359" s="1323"/>
      <c r="Q2359" s="1323"/>
      <c r="R2359" s="1304"/>
      <c r="S2359" s="1304"/>
      <c r="T2359" s="1304"/>
    </row>
    <row r="2360" spans="1:20">
      <c r="A2360" s="1303"/>
      <c r="B2360" s="1322" t="s">
        <v>6898</v>
      </c>
      <c r="C2360" s="1323" t="s">
        <v>6899</v>
      </c>
      <c r="D2360" s="1324">
        <f t="shared" si="246"/>
        <v>38448</v>
      </c>
      <c r="E2360" s="1323">
        <f t="shared" si="248"/>
        <v>6.1017000000000001</v>
      </c>
      <c r="F2360" s="1323">
        <f t="shared" si="247"/>
        <v>6.2422241316641074</v>
      </c>
      <c r="G2360" s="1323">
        <f t="shared" si="249"/>
        <v>2005</v>
      </c>
      <c r="H2360" s="1323">
        <f t="shared" si="250"/>
        <v>4</v>
      </c>
      <c r="I2360" s="1323">
        <f t="shared" si="251"/>
        <v>6</v>
      </c>
      <c r="J2360" s="1323"/>
      <c r="K2360" s="1323"/>
      <c r="L2360" s="1323"/>
      <c r="M2360" s="1323"/>
      <c r="N2360" s="1323"/>
      <c r="O2360" s="1323"/>
      <c r="P2360" s="1323"/>
      <c r="Q2360" s="1323"/>
      <c r="R2360" s="1304"/>
      <c r="S2360" s="1304"/>
      <c r="T2360" s="1304"/>
    </row>
    <row r="2361" spans="1:20">
      <c r="A2361" s="1303"/>
      <c r="B2361" s="1322" t="s">
        <v>6900</v>
      </c>
      <c r="C2361" s="1323" t="s">
        <v>6901</v>
      </c>
      <c r="D2361" s="1324">
        <f t="shared" si="246"/>
        <v>38447</v>
      </c>
      <c r="E2361" s="1323">
        <f t="shared" si="248"/>
        <v>6.2693000000000003</v>
      </c>
      <c r="F2361" s="1323">
        <f t="shared" si="247"/>
        <v>6.2410272223337966</v>
      </c>
      <c r="G2361" s="1323">
        <f t="shared" si="249"/>
        <v>2005</v>
      </c>
      <c r="H2361" s="1323">
        <f t="shared" si="250"/>
        <v>4</v>
      </c>
      <c r="I2361" s="1323">
        <f t="shared" si="251"/>
        <v>5</v>
      </c>
      <c r="J2361" s="1323"/>
      <c r="K2361" s="1323"/>
      <c r="L2361" s="1323"/>
      <c r="M2361" s="1323"/>
      <c r="N2361" s="1323"/>
      <c r="O2361" s="1323"/>
      <c r="P2361" s="1323"/>
      <c r="Q2361" s="1323"/>
      <c r="R2361" s="1304"/>
      <c r="S2361" s="1304"/>
      <c r="T2361" s="1304"/>
    </row>
    <row r="2362" spans="1:20">
      <c r="A2362" s="1303"/>
      <c r="B2362" s="1322" t="s">
        <v>6902</v>
      </c>
      <c r="C2362" s="1323" t="s">
        <v>6903</v>
      </c>
      <c r="D2362" s="1324">
        <f t="shared" si="246"/>
        <v>38446</v>
      </c>
      <c r="E2362" s="1323">
        <f t="shared" si="248"/>
        <v>6.2015000000000002</v>
      </c>
      <c r="F2362" s="1323">
        <f t="shared" si="247"/>
        <v>6.2398305425037268</v>
      </c>
      <c r="G2362" s="1323">
        <f t="shared" si="249"/>
        <v>2005</v>
      </c>
      <c r="H2362" s="1323">
        <f t="shared" si="250"/>
        <v>4</v>
      </c>
      <c r="I2362" s="1323">
        <f t="shared" si="251"/>
        <v>4</v>
      </c>
      <c r="J2362" s="1323"/>
      <c r="K2362" s="1323"/>
      <c r="L2362" s="1323"/>
      <c r="M2362" s="1323"/>
      <c r="N2362" s="1323"/>
      <c r="O2362" s="1323"/>
      <c r="P2362" s="1323"/>
      <c r="Q2362" s="1323"/>
      <c r="R2362" s="1304"/>
      <c r="S2362" s="1304"/>
      <c r="T2362" s="1304"/>
    </row>
    <row r="2363" spans="1:20">
      <c r="A2363" s="1303"/>
      <c r="B2363" s="1322" t="s">
        <v>6904</v>
      </c>
      <c r="C2363" s="1323" t="s">
        <v>6905</v>
      </c>
      <c r="D2363" s="1324">
        <f t="shared" si="246"/>
        <v>38443</v>
      </c>
      <c r="E2363" s="1323">
        <f t="shared" si="248"/>
        <v>6.2233999999999998</v>
      </c>
      <c r="F2363" s="1323">
        <f t="shared" si="247"/>
        <v>6.2386340921298933</v>
      </c>
      <c r="G2363" s="1323">
        <f t="shared" si="249"/>
        <v>2005</v>
      </c>
      <c r="H2363" s="1323">
        <f t="shared" si="250"/>
        <v>4</v>
      </c>
      <c r="I2363" s="1323">
        <f t="shared" si="251"/>
        <v>1</v>
      </c>
      <c r="J2363" s="1323"/>
      <c r="K2363" s="1323"/>
      <c r="L2363" s="1323"/>
      <c r="M2363" s="1323"/>
      <c r="N2363" s="1323"/>
      <c r="O2363" s="1323"/>
      <c r="P2363" s="1323"/>
      <c r="Q2363" s="1323"/>
      <c r="R2363" s="1304"/>
      <c r="S2363" s="1304"/>
      <c r="T2363" s="1304"/>
    </row>
    <row r="2364" spans="1:20">
      <c r="A2364" s="1303"/>
      <c r="B2364" s="1322" t="s">
        <v>6906</v>
      </c>
      <c r="C2364" s="1323" t="s">
        <v>6907</v>
      </c>
      <c r="D2364" s="1324">
        <f t="shared" si="246"/>
        <v>38442</v>
      </c>
      <c r="E2364" s="1323">
        <f t="shared" si="248"/>
        <v>6.2404000000000002</v>
      </c>
      <c r="F2364" s="1323">
        <f t="shared" si="247"/>
        <v>6.2374378711682992</v>
      </c>
      <c r="G2364" s="1323">
        <f t="shared" si="249"/>
        <v>2005</v>
      </c>
      <c r="H2364" s="1323">
        <f t="shared" si="250"/>
        <v>3</v>
      </c>
      <c r="I2364" s="1323">
        <f t="shared" si="251"/>
        <v>31</v>
      </c>
      <c r="J2364" s="1323"/>
      <c r="K2364" s="1323"/>
      <c r="L2364" s="1323"/>
      <c r="M2364" s="1323"/>
      <c r="N2364" s="1323"/>
      <c r="O2364" s="1323"/>
      <c r="P2364" s="1323"/>
      <c r="Q2364" s="1323"/>
      <c r="R2364" s="1304"/>
      <c r="S2364" s="1304"/>
      <c r="T2364" s="1304"/>
    </row>
    <row r="2365" spans="1:20">
      <c r="A2365" s="1303"/>
      <c r="B2365" s="1322" t="s">
        <v>6908</v>
      </c>
      <c r="C2365" s="1323" t="s">
        <v>6909</v>
      </c>
      <c r="D2365" s="1324">
        <f t="shared" si="246"/>
        <v>38441</v>
      </c>
      <c r="E2365" s="1323">
        <f t="shared" si="248"/>
        <v>6.2910000000000004</v>
      </c>
      <c r="F2365" s="1323">
        <f t="shared" si="247"/>
        <v>6.2362418795749557</v>
      </c>
      <c r="G2365" s="1323">
        <f t="shared" si="249"/>
        <v>2005</v>
      </c>
      <c r="H2365" s="1323">
        <f t="shared" si="250"/>
        <v>3</v>
      </c>
      <c r="I2365" s="1323">
        <f t="shared" si="251"/>
        <v>30</v>
      </c>
      <c r="J2365" s="1323"/>
      <c r="K2365" s="1323"/>
      <c r="L2365" s="1323"/>
      <c r="M2365" s="1323"/>
      <c r="N2365" s="1323"/>
      <c r="O2365" s="1323"/>
      <c r="P2365" s="1323"/>
      <c r="Q2365" s="1323"/>
      <c r="R2365" s="1304"/>
      <c r="S2365" s="1304"/>
      <c r="T2365" s="1304"/>
    </row>
    <row r="2366" spans="1:20">
      <c r="A2366" s="1303"/>
      <c r="B2366" s="1322" t="s">
        <v>6910</v>
      </c>
      <c r="C2366" s="1323" t="s">
        <v>6911</v>
      </c>
      <c r="D2366" s="1324">
        <f t="shared" si="246"/>
        <v>38440</v>
      </c>
      <c r="E2366" s="1323">
        <f t="shared" si="248"/>
        <v>6.3613</v>
      </c>
      <c r="F2366" s="1323">
        <f t="shared" si="247"/>
        <v>6.2350461173058829</v>
      </c>
      <c r="G2366" s="1323">
        <f t="shared" si="249"/>
        <v>2005</v>
      </c>
      <c r="H2366" s="1323">
        <f t="shared" si="250"/>
        <v>3</v>
      </c>
      <c r="I2366" s="1323">
        <f t="shared" si="251"/>
        <v>29</v>
      </c>
      <c r="J2366" s="1323"/>
      <c r="K2366" s="1323"/>
      <c r="L2366" s="1323"/>
      <c r="M2366" s="1323"/>
      <c r="N2366" s="1323"/>
      <c r="O2366" s="1323"/>
      <c r="P2366" s="1323"/>
      <c r="Q2366" s="1323"/>
      <c r="R2366" s="1304"/>
      <c r="S2366" s="1304"/>
      <c r="T2366" s="1304"/>
    </row>
    <row r="2367" spans="1:20">
      <c r="A2367" s="1303"/>
      <c r="B2367" s="1322" t="s">
        <v>6912</v>
      </c>
      <c r="C2367" s="1323" t="s">
        <v>6913</v>
      </c>
      <c r="D2367" s="1324">
        <f t="shared" si="246"/>
        <v>38435</v>
      </c>
      <c r="E2367" s="1323">
        <f t="shared" si="248"/>
        <v>6.1839000000000004</v>
      </c>
      <c r="F2367" s="1323">
        <f t="shared" si="247"/>
        <v>6.2338505843171097</v>
      </c>
      <c r="G2367" s="1323">
        <f t="shared" si="249"/>
        <v>2005</v>
      </c>
      <c r="H2367" s="1323">
        <f t="shared" si="250"/>
        <v>3</v>
      </c>
      <c r="I2367" s="1323">
        <f t="shared" si="251"/>
        <v>24</v>
      </c>
      <c r="J2367" s="1323"/>
      <c r="K2367" s="1323"/>
      <c r="L2367" s="1323"/>
      <c r="M2367" s="1323"/>
      <c r="N2367" s="1323"/>
      <c r="O2367" s="1323"/>
      <c r="P2367" s="1323"/>
      <c r="Q2367" s="1323"/>
      <c r="R2367" s="1304"/>
      <c r="S2367" s="1304"/>
      <c r="T2367" s="1304"/>
    </row>
    <row r="2368" spans="1:20">
      <c r="A2368" s="1303"/>
      <c r="B2368" s="1322" t="s">
        <v>6914</v>
      </c>
      <c r="C2368" s="1323" t="s">
        <v>6915</v>
      </c>
      <c r="D2368" s="1324">
        <f t="shared" si="246"/>
        <v>38434</v>
      </c>
      <c r="E2368" s="1323">
        <f t="shared" si="248"/>
        <v>6.2252000000000001</v>
      </c>
      <c r="F2368" s="1323">
        <f t="shared" si="247"/>
        <v>6.2326552805646722</v>
      </c>
      <c r="G2368" s="1323">
        <f t="shared" si="249"/>
        <v>2005</v>
      </c>
      <c r="H2368" s="1323">
        <f t="shared" si="250"/>
        <v>3</v>
      </c>
      <c r="I2368" s="1323">
        <f t="shared" si="251"/>
        <v>23</v>
      </c>
      <c r="J2368" s="1323"/>
      <c r="K2368" s="1323"/>
      <c r="L2368" s="1323"/>
      <c r="M2368" s="1323"/>
      <c r="N2368" s="1323"/>
      <c r="O2368" s="1323"/>
      <c r="P2368" s="1323"/>
      <c r="Q2368" s="1323"/>
      <c r="R2368" s="1304"/>
      <c r="S2368" s="1304"/>
      <c r="T2368" s="1304"/>
    </row>
    <row r="2369" spans="1:20">
      <c r="A2369" s="1303"/>
      <c r="B2369" s="1322" t="s">
        <v>6916</v>
      </c>
      <c r="C2369" s="1323" t="s">
        <v>6917</v>
      </c>
      <c r="D2369" s="1324">
        <f t="shared" si="246"/>
        <v>38433</v>
      </c>
      <c r="E2369" s="1323">
        <f t="shared" si="248"/>
        <v>6.0961999999999996</v>
      </c>
      <c r="F2369" s="1323">
        <f t="shared" si="247"/>
        <v>6.2314602060046163</v>
      </c>
      <c r="G2369" s="1323">
        <f t="shared" si="249"/>
        <v>2005</v>
      </c>
      <c r="H2369" s="1323">
        <f t="shared" si="250"/>
        <v>3</v>
      </c>
      <c r="I2369" s="1323">
        <f t="shared" si="251"/>
        <v>22</v>
      </c>
      <c r="J2369" s="1323"/>
      <c r="K2369" s="1323"/>
      <c r="L2369" s="1323"/>
      <c r="M2369" s="1323"/>
      <c r="N2369" s="1323"/>
      <c r="O2369" s="1323"/>
      <c r="P2369" s="1323"/>
      <c r="Q2369" s="1323"/>
      <c r="R2369" s="1304"/>
      <c r="S2369" s="1304"/>
      <c r="T2369" s="1304"/>
    </row>
    <row r="2370" spans="1:20">
      <c r="A2370" s="1303"/>
      <c r="B2370" s="1322" t="s">
        <v>6918</v>
      </c>
      <c r="C2370" s="1323" t="s">
        <v>6919</v>
      </c>
      <c r="D2370" s="1324">
        <f t="shared" si="246"/>
        <v>38429</v>
      </c>
      <c r="E2370" s="1323">
        <f t="shared" si="248"/>
        <v>6.08</v>
      </c>
      <c r="F2370" s="1323">
        <f t="shared" si="247"/>
        <v>6.2302653605929956</v>
      </c>
      <c r="G2370" s="1323">
        <f t="shared" si="249"/>
        <v>2005</v>
      </c>
      <c r="H2370" s="1323">
        <f t="shared" si="250"/>
        <v>3</v>
      </c>
      <c r="I2370" s="1323">
        <f t="shared" si="251"/>
        <v>18</v>
      </c>
      <c r="J2370" s="1323"/>
      <c r="K2370" s="1323"/>
      <c r="L2370" s="1323"/>
      <c r="M2370" s="1323"/>
      <c r="N2370" s="1323"/>
      <c r="O2370" s="1323"/>
      <c r="P2370" s="1323"/>
      <c r="Q2370" s="1323"/>
      <c r="R2370" s="1304"/>
      <c r="S2370" s="1304"/>
      <c r="T2370" s="1304"/>
    </row>
    <row r="2371" spans="1:20">
      <c r="A2371" s="1303"/>
      <c r="B2371" s="1322" t="s">
        <v>6920</v>
      </c>
      <c r="C2371" s="1323" t="s">
        <v>6921</v>
      </c>
      <c r="D2371" s="1324">
        <f t="shared" si="246"/>
        <v>38428</v>
      </c>
      <c r="E2371" s="1323">
        <f t="shared" si="248"/>
        <v>6.0929000000000002</v>
      </c>
      <c r="F2371" s="1323">
        <f t="shared" si="247"/>
        <v>6.2290707442858722</v>
      </c>
      <c r="G2371" s="1323">
        <f t="shared" si="249"/>
        <v>2005</v>
      </c>
      <c r="H2371" s="1323">
        <f t="shared" si="250"/>
        <v>3</v>
      </c>
      <c r="I2371" s="1323">
        <f t="shared" si="251"/>
        <v>17</v>
      </c>
      <c r="J2371" s="1323"/>
      <c r="K2371" s="1323"/>
      <c r="L2371" s="1323"/>
      <c r="M2371" s="1323"/>
      <c r="N2371" s="1323"/>
      <c r="O2371" s="1323"/>
      <c r="P2371" s="1323"/>
      <c r="Q2371" s="1323"/>
      <c r="R2371" s="1304"/>
      <c r="S2371" s="1304"/>
      <c r="T2371" s="1304"/>
    </row>
    <row r="2372" spans="1:20">
      <c r="A2372" s="1303"/>
      <c r="B2372" s="1322" t="s">
        <v>6922</v>
      </c>
      <c r="C2372" s="1323" t="s">
        <v>6923</v>
      </c>
      <c r="D2372" s="1324">
        <f t="shared" si="246"/>
        <v>38427</v>
      </c>
      <c r="E2372" s="1323">
        <f t="shared" si="248"/>
        <v>6.0956999999999999</v>
      </c>
      <c r="F2372" s="1323">
        <f t="shared" si="247"/>
        <v>6.2278763570393165</v>
      </c>
      <c r="G2372" s="1323">
        <f t="shared" si="249"/>
        <v>2005</v>
      </c>
      <c r="H2372" s="1323">
        <f t="shared" si="250"/>
        <v>3</v>
      </c>
      <c r="I2372" s="1323">
        <f t="shared" si="251"/>
        <v>16</v>
      </c>
      <c r="J2372" s="1323"/>
      <c r="K2372" s="1323"/>
      <c r="L2372" s="1323"/>
      <c r="M2372" s="1323"/>
      <c r="N2372" s="1323"/>
      <c r="O2372" s="1323"/>
      <c r="P2372" s="1323"/>
      <c r="Q2372" s="1323"/>
      <c r="R2372" s="1304"/>
      <c r="S2372" s="1304"/>
      <c r="T2372" s="1304"/>
    </row>
    <row r="2373" spans="1:20">
      <c r="A2373" s="1303"/>
      <c r="B2373" s="1322" t="s">
        <v>6924</v>
      </c>
      <c r="C2373" s="1323" t="s">
        <v>6925</v>
      </c>
      <c r="D2373" s="1324">
        <f t="shared" si="246"/>
        <v>38426</v>
      </c>
      <c r="E2373" s="1323">
        <f t="shared" si="248"/>
        <v>6.0400999999999998</v>
      </c>
      <c r="F2373" s="1323">
        <f t="shared" si="247"/>
        <v>6.2266821988094074</v>
      </c>
      <c r="G2373" s="1323">
        <f t="shared" si="249"/>
        <v>2005</v>
      </c>
      <c r="H2373" s="1323">
        <f t="shared" si="250"/>
        <v>3</v>
      </c>
      <c r="I2373" s="1323">
        <f t="shared" si="251"/>
        <v>15</v>
      </c>
      <c r="J2373" s="1323"/>
      <c r="K2373" s="1323"/>
      <c r="L2373" s="1323"/>
      <c r="M2373" s="1323"/>
      <c r="N2373" s="1323"/>
      <c r="O2373" s="1323"/>
      <c r="P2373" s="1323"/>
      <c r="Q2373" s="1323"/>
      <c r="R2373" s="1304"/>
      <c r="S2373" s="1304"/>
      <c r="T2373" s="1304"/>
    </row>
    <row r="2374" spans="1:20">
      <c r="A2374" s="1303"/>
      <c r="B2374" s="1322" t="s">
        <v>6926</v>
      </c>
      <c r="C2374" s="1323" t="s">
        <v>6927</v>
      </c>
      <c r="D2374" s="1324">
        <f t="shared" si="246"/>
        <v>38425</v>
      </c>
      <c r="E2374" s="1323">
        <f t="shared" si="248"/>
        <v>5.8666</v>
      </c>
      <c r="F2374" s="1323">
        <f t="shared" si="247"/>
        <v>6.2254882695522324</v>
      </c>
      <c r="G2374" s="1323">
        <f t="shared" si="249"/>
        <v>2005</v>
      </c>
      <c r="H2374" s="1323">
        <f t="shared" si="250"/>
        <v>3</v>
      </c>
      <c r="I2374" s="1323">
        <f t="shared" si="251"/>
        <v>14</v>
      </c>
      <c r="J2374" s="1323"/>
      <c r="K2374" s="1323"/>
      <c r="L2374" s="1323"/>
      <c r="M2374" s="1323"/>
      <c r="N2374" s="1323"/>
      <c r="O2374" s="1323"/>
      <c r="P2374" s="1323"/>
      <c r="Q2374" s="1323"/>
      <c r="R2374" s="1304"/>
      <c r="S2374" s="1304"/>
      <c r="T2374" s="1304"/>
    </row>
    <row r="2375" spans="1:20">
      <c r="A2375" s="1303"/>
      <c r="B2375" s="1322" t="s">
        <v>6928</v>
      </c>
      <c r="C2375" s="1323" t="s">
        <v>6929</v>
      </c>
      <c r="D2375" s="1324">
        <f t="shared" si="246"/>
        <v>38422</v>
      </c>
      <c r="E2375" s="1323">
        <f t="shared" si="248"/>
        <v>5.8501000000000003</v>
      </c>
      <c r="F2375" s="1323">
        <f t="shared" si="247"/>
        <v>6.224294569223888</v>
      </c>
      <c r="G2375" s="1323">
        <f t="shared" si="249"/>
        <v>2005</v>
      </c>
      <c r="H2375" s="1323">
        <f t="shared" si="250"/>
        <v>3</v>
      </c>
      <c r="I2375" s="1323">
        <f t="shared" si="251"/>
        <v>11</v>
      </c>
      <c r="J2375" s="1323"/>
      <c r="K2375" s="1323"/>
      <c r="L2375" s="1323"/>
      <c r="M2375" s="1323"/>
      <c r="N2375" s="1323"/>
      <c r="O2375" s="1323"/>
      <c r="P2375" s="1323"/>
      <c r="Q2375" s="1323"/>
      <c r="R2375" s="1304"/>
      <c r="S2375" s="1304"/>
      <c r="T2375" s="1304"/>
    </row>
    <row r="2376" spans="1:20">
      <c r="A2376" s="1303"/>
      <c r="B2376" s="1322" t="s">
        <v>6930</v>
      </c>
      <c r="C2376" s="1323" t="s">
        <v>6931</v>
      </c>
      <c r="D2376" s="1324">
        <f t="shared" si="246"/>
        <v>38421</v>
      </c>
      <c r="E2376" s="1323">
        <f t="shared" si="248"/>
        <v>5.7789000000000001</v>
      </c>
      <c r="F2376" s="1323">
        <f t="shared" si="247"/>
        <v>6.2231010977804777</v>
      </c>
      <c r="G2376" s="1323">
        <f t="shared" si="249"/>
        <v>2005</v>
      </c>
      <c r="H2376" s="1323">
        <f t="shared" si="250"/>
        <v>3</v>
      </c>
      <c r="I2376" s="1323">
        <f t="shared" si="251"/>
        <v>10</v>
      </c>
      <c r="J2376" s="1323"/>
      <c r="K2376" s="1323"/>
      <c r="L2376" s="1323"/>
      <c r="M2376" s="1323"/>
      <c r="N2376" s="1323"/>
      <c r="O2376" s="1323"/>
      <c r="P2376" s="1323"/>
      <c r="Q2376" s="1323"/>
      <c r="R2376" s="1304"/>
      <c r="S2376" s="1304"/>
      <c r="T2376" s="1304"/>
    </row>
    <row r="2377" spans="1:20">
      <c r="A2377" s="1303"/>
      <c r="B2377" s="1322" t="s">
        <v>6932</v>
      </c>
      <c r="C2377" s="1323" t="s">
        <v>6933</v>
      </c>
      <c r="D2377" s="1324">
        <f t="shared" ref="D2377:D2440" si="252">DATE(G2377,H2377,I2377)</f>
        <v>38420</v>
      </c>
      <c r="E2377" s="1323">
        <f t="shared" si="248"/>
        <v>5.7576999999999998</v>
      </c>
      <c r="F2377" s="1323">
        <f t="shared" ref="F2377:F2440" si="253">F2378*(1+$F$7/365)</f>
        <v>6.2219078551781148</v>
      </c>
      <c r="G2377" s="1323">
        <f t="shared" si="249"/>
        <v>2005</v>
      </c>
      <c r="H2377" s="1323">
        <f t="shared" si="250"/>
        <v>3</v>
      </c>
      <c r="I2377" s="1323">
        <f t="shared" si="251"/>
        <v>9</v>
      </c>
      <c r="J2377" s="1323"/>
      <c r="K2377" s="1323"/>
      <c r="L2377" s="1323"/>
      <c r="M2377" s="1323"/>
      <c r="N2377" s="1323"/>
      <c r="O2377" s="1323"/>
      <c r="P2377" s="1323"/>
      <c r="Q2377" s="1323"/>
      <c r="R2377" s="1304"/>
      <c r="S2377" s="1304"/>
      <c r="T2377" s="1304"/>
    </row>
    <row r="2378" spans="1:20">
      <c r="A2378" s="1303"/>
      <c r="B2378" s="1322" t="s">
        <v>6934</v>
      </c>
      <c r="C2378" s="1323" t="s">
        <v>6935</v>
      </c>
      <c r="D2378" s="1324">
        <f t="shared" si="252"/>
        <v>38419</v>
      </c>
      <c r="E2378" s="1323">
        <f t="shared" si="248"/>
        <v>5.8536999999999999</v>
      </c>
      <c r="F2378" s="1323">
        <f t="shared" si="253"/>
        <v>6.2207148413729199</v>
      </c>
      <c r="G2378" s="1323">
        <f t="shared" si="249"/>
        <v>2005</v>
      </c>
      <c r="H2378" s="1323">
        <f t="shared" si="250"/>
        <v>3</v>
      </c>
      <c r="I2378" s="1323">
        <f t="shared" si="251"/>
        <v>8</v>
      </c>
      <c r="J2378" s="1323"/>
      <c r="K2378" s="1323"/>
      <c r="L2378" s="1323"/>
      <c r="M2378" s="1323"/>
      <c r="N2378" s="1323"/>
      <c r="O2378" s="1323"/>
      <c r="P2378" s="1323"/>
      <c r="Q2378" s="1323"/>
      <c r="R2378" s="1304"/>
      <c r="S2378" s="1304"/>
      <c r="T2378" s="1304"/>
    </row>
    <row r="2379" spans="1:20">
      <c r="A2379" s="1303"/>
      <c r="B2379" s="1322" t="s">
        <v>6936</v>
      </c>
      <c r="C2379" s="1323" t="s">
        <v>6937</v>
      </c>
      <c r="D2379" s="1324">
        <f t="shared" si="252"/>
        <v>38418</v>
      </c>
      <c r="E2379" s="1323">
        <f t="shared" si="248"/>
        <v>5.8753000000000002</v>
      </c>
      <c r="F2379" s="1323">
        <f t="shared" si="253"/>
        <v>6.2195220563210221</v>
      </c>
      <c r="G2379" s="1323">
        <f t="shared" si="249"/>
        <v>2005</v>
      </c>
      <c r="H2379" s="1323">
        <f t="shared" si="250"/>
        <v>3</v>
      </c>
      <c r="I2379" s="1323">
        <f t="shared" si="251"/>
        <v>7</v>
      </c>
      <c r="J2379" s="1323"/>
      <c r="K2379" s="1323"/>
      <c r="L2379" s="1323"/>
      <c r="M2379" s="1323"/>
      <c r="N2379" s="1323"/>
      <c r="O2379" s="1323"/>
      <c r="P2379" s="1323"/>
      <c r="Q2379" s="1323"/>
      <c r="R2379" s="1304"/>
      <c r="S2379" s="1304"/>
      <c r="T2379" s="1304"/>
    </row>
    <row r="2380" spans="1:20">
      <c r="A2380" s="1303"/>
      <c r="B2380" s="1322" t="s">
        <v>6938</v>
      </c>
      <c r="C2380" s="1323" t="s">
        <v>6939</v>
      </c>
      <c r="D2380" s="1324">
        <f t="shared" si="252"/>
        <v>38415</v>
      </c>
      <c r="E2380" s="1323">
        <f t="shared" si="248"/>
        <v>5.9756999999999998</v>
      </c>
      <c r="F2380" s="1323">
        <f t="shared" si="253"/>
        <v>6.2183294999785605</v>
      </c>
      <c r="G2380" s="1323">
        <f t="shared" si="249"/>
        <v>2005</v>
      </c>
      <c r="H2380" s="1323">
        <f t="shared" si="250"/>
        <v>3</v>
      </c>
      <c r="I2380" s="1323">
        <f t="shared" si="251"/>
        <v>4</v>
      </c>
      <c r="J2380" s="1323"/>
      <c r="K2380" s="1323"/>
      <c r="L2380" s="1323"/>
      <c r="M2380" s="1323"/>
      <c r="N2380" s="1323"/>
      <c r="O2380" s="1323"/>
      <c r="P2380" s="1323"/>
      <c r="Q2380" s="1323"/>
      <c r="R2380" s="1304"/>
      <c r="S2380" s="1304"/>
      <c r="T2380" s="1304"/>
    </row>
    <row r="2381" spans="1:20">
      <c r="A2381" s="1303"/>
      <c r="B2381" s="1322" t="s">
        <v>6940</v>
      </c>
      <c r="C2381" s="1323" t="s">
        <v>6941</v>
      </c>
      <c r="D2381" s="1324">
        <f t="shared" si="252"/>
        <v>38414</v>
      </c>
      <c r="E2381" s="1323">
        <f t="shared" si="248"/>
        <v>5.9278000000000004</v>
      </c>
      <c r="F2381" s="1323">
        <f t="shared" si="253"/>
        <v>6.2171371723016806</v>
      </c>
      <c r="G2381" s="1323">
        <f t="shared" si="249"/>
        <v>2005</v>
      </c>
      <c r="H2381" s="1323">
        <f t="shared" si="250"/>
        <v>3</v>
      </c>
      <c r="I2381" s="1323">
        <f t="shared" si="251"/>
        <v>3</v>
      </c>
      <c r="J2381" s="1323"/>
      <c r="K2381" s="1323"/>
      <c r="L2381" s="1323"/>
      <c r="M2381" s="1323"/>
      <c r="N2381" s="1323"/>
      <c r="O2381" s="1323"/>
      <c r="P2381" s="1323"/>
      <c r="Q2381" s="1323"/>
      <c r="R2381" s="1304"/>
      <c r="S2381" s="1304"/>
      <c r="T2381" s="1304"/>
    </row>
    <row r="2382" spans="1:20">
      <c r="A2382" s="1303"/>
      <c r="B2382" s="1322" t="s">
        <v>6942</v>
      </c>
      <c r="C2382" s="1323" t="s">
        <v>6943</v>
      </c>
      <c r="D2382" s="1324">
        <f t="shared" si="252"/>
        <v>38413</v>
      </c>
      <c r="E2382" s="1323">
        <f t="shared" si="248"/>
        <v>5.8726000000000003</v>
      </c>
      <c r="F2382" s="1323">
        <f t="shared" si="253"/>
        <v>6.2159450732465373</v>
      </c>
      <c r="G2382" s="1323">
        <f t="shared" si="249"/>
        <v>2005</v>
      </c>
      <c r="H2382" s="1323">
        <f t="shared" si="250"/>
        <v>3</v>
      </c>
      <c r="I2382" s="1323">
        <f t="shared" si="251"/>
        <v>2</v>
      </c>
      <c r="J2382" s="1323"/>
      <c r="K2382" s="1323"/>
      <c r="L2382" s="1323"/>
      <c r="M2382" s="1323"/>
      <c r="N2382" s="1323"/>
      <c r="O2382" s="1323"/>
      <c r="P2382" s="1323"/>
      <c r="Q2382" s="1323"/>
      <c r="R2382" s="1304"/>
      <c r="S2382" s="1304"/>
      <c r="T2382" s="1304"/>
    </row>
    <row r="2383" spans="1:20">
      <c r="A2383" s="1303"/>
      <c r="B2383" s="1322" t="s">
        <v>6944</v>
      </c>
      <c r="C2383" s="1323" t="s">
        <v>6945</v>
      </c>
      <c r="D2383" s="1324">
        <f t="shared" si="252"/>
        <v>38412</v>
      </c>
      <c r="E2383" s="1323">
        <f t="shared" si="248"/>
        <v>5.8421000000000003</v>
      </c>
      <c r="F2383" s="1323">
        <f t="shared" si="253"/>
        <v>6.2147532027692938</v>
      </c>
      <c r="G2383" s="1323">
        <f t="shared" si="249"/>
        <v>2005</v>
      </c>
      <c r="H2383" s="1323">
        <f t="shared" si="250"/>
        <v>3</v>
      </c>
      <c r="I2383" s="1323">
        <f t="shared" si="251"/>
        <v>1</v>
      </c>
      <c r="J2383" s="1323"/>
      <c r="K2383" s="1323"/>
      <c r="L2383" s="1323"/>
      <c r="M2383" s="1323"/>
      <c r="N2383" s="1323"/>
      <c r="O2383" s="1323"/>
      <c r="P2383" s="1323"/>
      <c r="Q2383" s="1323"/>
      <c r="R2383" s="1304"/>
      <c r="S2383" s="1304"/>
      <c r="T2383" s="1304"/>
    </row>
    <row r="2384" spans="1:20">
      <c r="A2384" s="1303"/>
      <c r="B2384" s="1322" t="s">
        <v>6946</v>
      </c>
      <c r="C2384" s="1323" t="s">
        <v>6947</v>
      </c>
      <c r="D2384" s="1324">
        <f t="shared" si="252"/>
        <v>38411</v>
      </c>
      <c r="E2384" s="1323">
        <f t="shared" si="248"/>
        <v>5.7870999999999997</v>
      </c>
      <c r="F2384" s="1323">
        <f t="shared" si="253"/>
        <v>6.213561560826121</v>
      </c>
      <c r="G2384" s="1323">
        <f t="shared" si="249"/>
        <v>2005</v>
      </c>
      <c r="H2384" s="1323">
        <f t="shared" si="250"/>
        <v>2</v>
      </c>
      <c r="I2384" s="1323">
        <f t="shared" si="251"/>
        <v>28</v>
      </c>
      <c r="J2384" s="1323"/>
      <c r="K2384" s="1323"/>
      <c r="L2384" s="1323"/>
      <c r="M2384" s="1323"/>
      <c r="N2384" s="1323"/>
      <c r="O2384" s="1323"/>
      <c r="P2384" s="1323"/>
      <c r="Q2384" s="1323"/>
      <c r="R2384" s="1304"/>
      <c r="S2384" s="1304"/>
      <c r="T2384" s="1304"/>
    </row>
    <row r="2385" spans="1:20">
      <c r="A2385" s="1303"/>
      <c r="B2385" s="1322" t="s">
        <v>6948</v>
      </c>
      <c r="C2385" s="1323" t="s">
        <v>6949</v>
      </c>
      <c r="D2385" s="1324">
        <f t="shared" si="252"/>
        <v>38408</v>
      </c>
      <c r="E2385" s="1323">
        <f t="shared" si="248"/>
        <v>5.8506999999999998</v>
      </c>
      <c r="F2385" s="1323">
        <f t="shared" si="253"/>
        <v>6.2123701473731998</v>
      </c>
      <c r="G2385" s="1323">
        <f t="shared" si="249"/>
        <v>2005</v>
      </c>
      <c r="H2385" s="1323">
        <f t="shared" si="250"/>
        <v>2</v>
      </c>
      <c r="I2385" s="1323">
        <f t="shared" si="251"/>
        <v>25</v>
      </c>
      <c r="J2385" s="1323"/>
      <c r="K2385" s="1323"/>
      <c r="L2385" s="1323"/>
      <c r="M2385" s="1323"/>
      <c r="N2385" s="1323"/>
      <c r="O2385" s="1323"/>
      <c r="P2385" s="1323"/>
      <c r="Q2385" s="1323"/>
      <c r="R2385" s="1304"/>
      <c r="S2385" s="1304"/>
      <c r="T2385" s="1304"/>
    </row>
    <row r="2386" spans="1:20">
      <c r="A2386" s="1303"/>
      <c r="B2386" s="1322" t="s">
        <v>6950</v>
      </c>
      <c r="C2386" s="1323" t="s">
        <v>6951</v>
      </c>
      <c r="D2386" s="1324">
        <f t="shared" si="252"/>
        <v>38407</v>
      </c>
      <c r="E2386" s="1323">
        <f t="shared" si="248"/>
        <v>5.8429000000000002</v>
      </c>
      <c r="F2386" s="1323">
        <f t="shared" si="253"/>
        <v>6.2111789623667182</v>
      </c>
      <c r="G2386" s="1323">
        <f t="shared" si="249"/>
        <v>2005</v>
      </c>
      <c r="H2386" s="1323">
        <f t="shared" si="250"/>
        <v>2</v>
      </c>
      <c r="I2386" s="1323">
        <f t="shared" si="251"/>
        <v>24</v>
      </c>
      <c r="J2386" s="1323"/>
      <c r="K2386" s="1323"/>
      <c r="L2386" s="1323"/>
      <c r="M2386" s="1323"/>
      <c r="N2386" s="1323"/>
      <c r="O2386" s="1323"/>
      <c r="P2386" s="1323"/>
      <c r="Q2386" s="1323"/>
      <c r="R2386" s="1304"/>
      <c r="S2386" s="1304"/>
      <c r="T2386" s="1304"/>
    </row>
    <row r="2387" spans="1:20">
      <c r="A2387" s="1303"/>
      <c r="B2387" s="1322" t="s">
        <v>6952</v>
      </c>
      <c r="C2387" s="1323" t="s">
        <v>6953</v>
      </c>
      <c r="D2387" s="1324">
        <f t="shared" si="252"/>
        <v>38406</v>
      </c>
      <c r="E2387" s="1323">
        <f t="shared" si="248"/>
        <v>5.8160999999999996</v>
      </c>
      <c r="F2387" s="1323">
        <f t="shared" si="253"/>
        <v>6.2099880057628729</v>
      </c>
      <c r="G2387" s="1323">
        <f t="shared" si="249"/>
        <v>2005</v>
      </c>
      <c r="H2387" s="1323">
        <f t="shared" si="250"/>
        <v>2</v>
      </c>
      <c r="I2387" s="1323">
        <f t="shared" si="251"/>
        <v>23</v>
      </c>
      <c r="J2387" s="1323"/>
      <c r="K2387" s="1323"/>
      <c r="L2387" s="1323"/>
      <c r="M2387" s="1323"/>
      <c r="N2387" s="1323"/>
      <c r="O2387" s="1323"/>
      <c r="P2387" s="1323"/>
      <c r="Q2387" s="1323"/>
      <c r="R2387" s="1304"/>
      <c r="S2387" s="1304"/>
      <c r="T2387" s="1304"/>
    </row>
    <row r="2388" spans="1:20">
      <c r="A2388" s="1303"/>
      <c r="B2388" s="1322" t="s">
        <v>6954</v>
      </c>
      <c r="C2388" s="1323" t="s">
        <v>6955</v>
      </c>
      <c r="D2388" s="1324">
        <f t="shared" si="252"/>
        <v>38405</v>
      </c>
      <c r="E2388" s="1323">
        <f t="shared" si="248"/>
        <v>5.8573000000000004</v>
      </c>
      <c r="F2388" s="1323">
        <f t="shared" si="253"/>
        <v>6.2087972775178697</v>
      </c>
      <c r="G2388" s="1323">
        <f t="shared" si="249"/>
        <v>2005</v>
      </c>
      <c r="H2388" s="1323">
        <f t="shared" si="250"/>
        <v>2</v>
      </c>
      <c r="I2388" s="1323">
        <f t="shared" si="251"/>
        <v>22</v>
      </c>
      <c r="J2388" s="1323"/>
      <c r="K2388" s="1323"/>
      <c r="L2388" s="1323"/>
      <c r="M2388" s="1323"/>
      <c r="N2388" s="1323"/>
      <c r="O2388" s="1323"/>
      <c r="P2388" s="1323"/>
      <c r="Q2388" s="1323"/>
      <c r="R2388" s="1304"/>
      <c r="S2388" s="1304"/>
      <c r="T2388" s="1304"/>
    </row>
    <row r="2389" spans="1:20">
      <c r="A2389" s="1303"/>
      <c r="B2389" s="1322" t="s">
        <v>6956</v>
      </c>
      <c r="C2389" s="1323" t="s">
        <v>6957</v>
      </c>
      <c r="D2389" s="1324">
        <f t="shared" si="252"/>
        <v>38404</v>
      </c>
      <c r="E2389" s="1323">
        <f t="shared" si="248"/>
        <v>5.9385000000000003</v>
      </c>
      <c r="F2389" s="1323">
        <f t="shared" si="253"/>
        <v>6.2076067775879213</v>
      </c>
      <c r="G2389" s="1323">
        <f t="shared" si="249"/>
        <v>2005</v>
      </c>
      <c r="H2389" s="1323">
        <f t="shared" si="250"/>
        <v>2</v>
      </c>
      <c r="I2389" s="1323">
        <f t="shared" si="251"/>
        <v>21</v>
      </c>
      <c r="J2389" s="1323"/>
      <c r="K2389" s="1323"/>
      <c r="L2389" s="1323"/>
      <c r="M2389" s="1323"/>
      <c r="N2389" s="1323"/>
      <c r="O2389" s="1323"/>
      <c r="P2389" s="1323"/>
      <c r="Q2389" s="1323"/>
      <c r="R2389" s="1304"/>
      <c r="S2389" s="1304"/>
      <c r="T2389" s="1304"/>
    </row>
    <row r="2390" spans="1:20">
      <c r="A2390" s="1303"/>
      <c r="B2390" s="1322" t="s">
        <v>6958</v>
      </c>
      <c r="C2390" s="1323" t="s">
        <v>6959</v>
      </c>
      <c r="D2390" s="1324">
        <f t="shared" si="252"/>
        <v>38401</v>
      </c>
      <c r="E2390" s="1323">
        <f t="shared" ref="E2390:E2453" si="254">VALUE(C2391)</f>
        <v>5.9554</v>
      </c>
      <c r="F2390" s="1323">
        <f t="shared" si="253"/>
        <v>6.2064165059292495</v>
      </c>
      <c r="G2390" s="1323">
        <f t="shared" ref="G2390:G2453" si="255">YEAR(B2391)</f>
        <v>2005</v>
      </c>
      <c r="H2390" s="1323">
        <f t="shared" ref="H2390:H2453" si="256">MONTH(B2391)</f>
        <v>2</v>
      </c>
      <c r="I2390" s="1323">
        <f t="shared" ref="I2390:I2453" si="257">DAY(B2391)</f>
        <v>18</v>
      </c>
      <c r="J2390" s="1323"/>
      <c r="K2390" s="1323"/>
      <c r="L2390" s="1323"/>
      <c r="M2390" s="1323"/>
      <c r="N2390" s="1323"/>
      <c r="O2390" s="1323"/>
      <c r="P2390" s="1323"/>
      <c r="Q2390" s="1323"/>
      <c r="R2390" s="1304"/>
      <c r="S2390" s="1304"/>
      <c r="T2390" s="1304"/>
    </row>
    <row r="2391" spans="1:20">
      <c r="A2391" s="1303"/>
      <c r="B2391" s="1322" t="s">
        <v>6960</v>
      </c>
      <c r="C2391" s="1323" t="s">
        <v>6961</v>
      </c>
      <c r="D2391" s="1324">
        <f t="shared" si="252"/>
        <v>38400</v>
      </c>
      <c r="E2391" s="1323">
        <f t="shared" si="254"/>
        <v>5.9748999999999999</v>
      </c>
      <c r="F2391" s="1323">
        <f t="shared" si="253"/>
        <v>6.2052264624980857</v>
      </c>
      <c r="G2391" s="1323">
        <f t="shared" si="255"/>
        <v>2005</v>
      </c>
      <c r="H2391" s="1323">
        <f t="shared" si="256"/>
        <v>2</v>
      </c>
      <c r="I2391" s="1323">
        <f t="shared" si="257"/>
        <v>17</v>
      </c>
      <c r="J2391" s="1323"/>
      <c r="K2391" s="1323"/>
      <c r="L2391" s="1323"/>
      <c r="M2391" s="1323"/>
      <c r="N2391" s="1323"/>
      <c r="O2391" s="1323"/>
      <c r="P2391" s="1323"/>
      <c r="Q2391" s="1323"/>
      <c r="R2391" s="1304"/>
      <c r="S2391" s="1304"/>
      <c r="T2391" s="1304"/>
    </row>
    <row r="2392" spans="1:20">
      <c r="A2392" s="1303"/>
      <c r="B2392" s="1322" t="s">
        <v>6962</v>
      </c>
      <c r="C2392" s="1323" t="s">
        <v>6963</v>
      </c>
      <c r="D2392" s="1324">
        <f t="shared" si="252"/>
        <v>38399</v>
      </c>
      <c r="E2392" s="1323">
        <f t="shared" si="254"/>
        <v>5.9896000000000003</v>
      </c>
      <c r="F2392" s="1323">
        <f t="shared" si="253"/>
        <v>6.2040366472506676</v>
      </c>
      <c r="G2392" s="1323">
        <f t="shared" si="255"/>
        <v>2005</v>
      </c>
      <c r="H2392" s="1323">
        <f t="shared" si="256"/>
        <v>2</v>
      </c>
      <c r="I2392" s="1323">
        <f t="shared" si="257"/>
        <v>16</v>
      </c>
      <c r="J2392" s="1323"/>
      <c r="K2392" s="1323"/>
      <c r="L2392" s="1323"/>
      <c r="M2392" s="1323"/>
      <c r="N2392" s="1323"/>
      <c r="O2392" s="1323"/>
      <c r="P2392" s="1323"/>
      <c r="Q2392" s="1323"/>
      <c r="R2392" s="1304"/>
      <c r="S2392" s="1304"/>
      <c r="T2392" s="1304"/>
    </row>
    <row r="2393" spans="1:20">
      <c r="A2393" s="1303"/>
      <c r="B2393" s="1322" t="s">
        <v>6964</v>
      </c>
      <c r="C2393" s="1323" t="s">
        <v>6965</v>
      </c>
      <c r="D2393" s="1324">
        <f t="shared" si="252"/>
        <v>38398</v>
      </c>
      <c r="E2393" s="1323">
        <f t="shared" si="254"/>
        <v>6.0446</v>
      </c>
      <c r="F2393" s="1323">
        <f t="shared" si="253"/>
        <v>6.2028470601432426</v>
      </c>
      <c r="G2393" s="1323">
        <f t="shared" si="255"/>
        <v>2005</v>
      </c>
      <c r="H2393" s="1323">
        <f t="shared" si="256"/>
        <v>2</v>
      </c>
      <c r="I2393" s="1323">
        <f t="shared" si="257"/>
        <v>15</v>
      </c>
      <c r="J2393" s="1323"/>
      <c r="K2393" s="1323"/>
      <c r="L2393" s="1323"/>
      <c r="M2393" s="1323"/>
      <c r="N2393" s="1323"/>
      <c r="O2393" s="1323"/>
      <c r="P2393" s="1323"/>
      <c r="Q2393" s="1323"/>
      <c r="R2393" s="1304"/>
      <c r="S2393" s="1304"/>
      <c r="T2393" s="1304"/>
    </row>
    <row r="2394" spans="1:20">
      <c r="A2394" s="1303"/>
      <c r="B2394" s="1322" t="s">
        <v>6966</v>
      </c>
      <c r="C2394" s="1323" t="s">
        <v>6967</v>
      </c>
      <c r="D2394" s="1324">
        <f t="shared" si="252"/>
        <v>38397</v>
      </c>
      <c r="E2394" s="1323">
        <f t="shared" si="254"/>
        <v>6.0621999999999998</v>
      </c>
      <c r="F2394" s="1323">
        <f t="shared" si="253"/>
        <v>6.2016577011320662</v>
      </c>
      <c r="G2394" s="1323">
        <f t="shared" si="255"/>
        <v>2005</v>
      </c>
      <c r="H2394" s="1323">
        <f t="shared" si="256"/>
        <v>2</v>
      </c>
      <c r="I2394" s="1323">
        <f t="shared" si="257"/>
        <v>14</v>
      </c>
      <c r="J2394" s="1323"/>
      <c r="K2394" s="1323"/>
      <c r="L2394" s="1323"/>
      <c r="M2394" s="1323"/>
      <c r="N2394" s="1323"/>
      <c r="O2394" s="1323"/>
      <c r="P2394" s="1323"/>
      <c r="Q2394" s="1323"/>
      <c r="R2394" s="1304"/>
      <c r="S2394" s="1304"/>
      <c r="T2394" s="1304"/>
    </row>
    <row r="2395" spans="1:20">
      <c r="A2395" s="1303"/>
      <c r="B2395" s="1322" t="s">
        <v>6968</v>
      </c>
      <c r="C2395" s="1323" t="s">
        <v>6969</v>
      </c>
      <c r="D2395" s="1324">
        <f t="shared" si="252"/>
        <v>38394</v>
      </c>
      <c r="E2395" s="1323">
        <f t="shared" si="254"/>
        <v>6.1355000000000004</v>
      </c>
      <c r="F2395" s="1323">
        <f t="shared" si="253"/>
        <v>6.2004685701734026</v>
      </c>
      <c r="G2395" s="1323">
        <f t="shared" si="255"/>
        <v>2005</v>
      </c>
      <c r="H2395" s="1323">
        <f t="shared" si="256"/>
        <v>2</v>
      </c>
      <c r="I2395" s="1323">
        <f t="shared" si="257"/>
        <v>11</v>
      </c>
      <c r="J2395" s="1323"/>
      <c r="K2395" s="1323"/>
      <c r="L2395" s="1323"/>
      <c r="M2395" s="1323"/>
      <c r="N2395" s="1323"/>
      <c r="O2395" s="1323"/>
      <c r="P2395" s="1323"/>
      <c r="Q2395" s="1323"/>
      <c r="R2395" s="1304"/>
      <c r="S2395" s="1304"/>
      <c r="T2395" s="1304"/>
    </row>
    <row r="2396" spans="1:20">
      <c r="A2396" s="1303"/>
      <c r="B2396" s="1322" t="s">
        <v>6970</v>
      </c>
      <c r="C2396" s="1323" t="s">
        <v>6971</v>
      </c>
      <c r="D2396" s="1324">
        <f t="shared" si="252"/>
        <v>38393</v>
      </c>
      <c r="E2396" s="1323">
        <f t="shared" si="254"/>
        <v>6.2302</v>
      </c>
      <c r="F2396" s="1323">
        <f t="shared" si="253"/>
        <v>6.1992796672235242</v>
      </c>
      <c r="G2396" s="1323">
        <f t="shared" si="255"/>
        <v>2005</v>
      </c>
      <c r="H2396" s="1323">
        <f t="shared" si="256"/>
        <v>2</v>
      </c>
      <c r="I2396" s="1323">
        <f t="shared" si="257"/>
        <v>10</v>
      </c>
      <c r="J2396" s="1323"/>
      <c r="K2396" s="1323"/>
      <c r="L2396" s="1323"/>
      <c r="M2396" s="1323"/>
      <c r="N2396" s="1323"/>
      <c r="O2396" s="1323"/>
      <c r="P2396" s="1323"/>
      <c r="Q2396" s="1323"/>
      <c r="R2396" s="1304"/>
      <c r="S2396" s="1304"/>
      <c r="T2396" s="1304"/>
    </row>
    <row r="2397" spans="1:20">
      <c r="A2397" s="1303"/>
      <c r="B2397" s="1322" t="s">
        <v>6972</v>
      </c>
      <c r="C2397" s="1323" t="s">
        <v>6973</v>
      </c>
      <c r="D2397" s="1324">
        <f t="shared" si="252"/>
        <v>38392</v>
      </c>
      <c r="E2397" s="1323">
        <f t="shared" si="254"/>
        <v>6.2518000000000002</v>
      </c>
      <c r="F2397" s="1323">
        <f t="shared" si="253"/>
        <v>6.1980909922387113</v>
      </c>
      <c r="G2397" s="1323">
        <f t="shared" si="255"/>
        <v>2005</v>
      </c>
      <c r="H2397" s="1323">
        <f t="shared" si="256"/>
        <v>2</v>
      </c>
      <c r="I2397" s="1323">
        <f t="shared" si="257"/>
        <v>9</v>
      </c>
      <c r="J2397" s="1323"/>
      <c r="K2397" s="1323"/>
      <c r="L2397" s="1323"/>
      <c r="M2397" s="1323"/>
      <c r="N2397" s="1323"/>
      <c r="O2397" s="1323"/>
      <c r="P2397" s="1323"/>
      <c r="Q2397" s="1323"/>
      <c r="R2397" s="1304"/>
      <c r="S2397" s="1304"/>
      <c r="T2397" s="1304"/>
    </row>
    <row r="2398" spans="1:20">
      <c r="A2398" s="1303"/>
      <c r="B2398" s="1322" t="s">
        <v>6974</v>
      </c>
      <c r="C2398" s="1323" t="s">
        <v>6975</v>
      </c>
      <c r="D2398" s="1324">
        <f t="shared" si="252"/>
        <v>38391</v>
      </c>
      <c r="E2398" s="1323">
        <f t="shared" si="254"/>
        <v>6.2392000000000003</v>
      </c>
      <c r="F2398" s="1323">
        <f t="shared" si="253"/>
        <v>6.1969025451752531</v>
      </c>
      <c r="G2398" s="1323">
        <f t="shared" si="255"/>
        <v>2005</v>
      </c>
      <c r="H2398" s="1323">
        <f t="shared" si="256"/>
        <v>2</v>
      </c>
      <c r="I2398" s="1323">
        <f t="shared" si="257"/>
        <v>8</v>
      </c>
      <c r="J2398" s="1323"/>
      <c r="K2398" s="1323"/>
      <c r="L2398" s="1323"/>
      <c r="M2398" s="1323"/>
      <c r="N2398" s="1323"/>
      <c r="O2398" s="1323"/>
      <c r="P2398" s="1323"/>
      <c r="Q2398" s="1323"/>
      <c r="R2398" s="1304"/>
      <c r="S2398" s="1304"/>
      <c r="T2398" s="1304"/>
    </row>
    <row r="2399" spans="1:20">
      <c r="A2399" s="1303"/>
      <c r="B2399" s="1322" t="s">
        <v>6976</v>
      </c>
      <c r="C2399" s="1323" t="s">
        <v>6977</v>
      </c>
      <c r="D2399" s="1324">
        <f t="shared" si="252"/>
        <v>38390</v>
      </c>
      <c r="E2399" s="1323">
        <f t="shared" si="254"/>
        <v>6.1852</v>
      </c>
      <c r="F2399" s="1323">
        <f t="shared" si="253"/>
        <v>6.1957143259894467</v>
      </c>
      <c r="G2399" s="1323">
        <f t="shared" si="255"/>
        <v>2005</v>
      </c>
      <c r="H2399" s="1323">
        <f t="shared" si="256"/>
        <v>2</v>
      </c>
      <c r="I2399" s="1323">
        <f t="shared" si="257"/>
        <v>7</v>
      </c>
      <c r="J2399" s="1323"/>
      <c r="K2399" s="1323"/>
      <c r="L2399" s="1323"/>
      <c r="M2399" s="1323"/>
      <c r="N2399" s="1323"/>
      <c r="O2399" s="1323"/>
      <c r="P2399" s="1323"/>
      <c r="Q2399" s="1323"/>
      <c r="R2399" s="1304"/>
      <c r="S2399" s="1304"/>
      <c r="T2399" s="1304"/>
    </row>
    <row r="2400" spans="1:20">
      <c r="A2400" s="1303"/>
      <c r="B2400" s="1322" t="s">
        <v>6978</v>
      </c>
      <c r="C2400" s="1323" t="s">
        <v>6979</v>
      </c>
      <c r="D2400" s="1324">
        <f t="shared" si="252"/>
        <v>38387</v>
      </c>
      <c r="E2400" s="1323">
        <f t="shared" si="254"/>
        <v>6.1612999999999998</v>
      </c>
      <c r="F2400" s="1323">
        <f t="shared" si="253"/>
        <v>6.1945263346375983</v>
      </c>
      <c r="G2400" s="1323">
        <f t="shared" si="255"/>
        <v>2005</v>
      </c>
      <c r="H2400" s="1323">
        <f t="shared" si="256"/>
        <v>2</v>
      </c>
      <c r="I2400" s="1323">
        <f t="shared" si="257"/>
        <v>4</v>
      </c>
      <c r="J2400" s="1323"/>
      <c r="K2400" s="1323"/>
      <c r="L2400" s="1323"/>
      <c r="M2400" s="1323"/>
      <c r="N2400" s="1323"/>
      <c r="O2400" s="1323"/>
      <c r="P2400" s="1323"/>
      <c r="Q2400" s="1323"/>
      <c r="R2400" s="1304"/>
      <c r="S2400" s="1304"/>
      <c r="T2400" s="1304"/>
    </row>
    <row r="2401" spans="1:20">
      <c r="A2401" s="1303"/>
      <c r="B2401" s="1322" t="s">
        <v>6980</v>
      </c>
      <c r="C2401" s="1323" t="s">
        <v>6981</v>
      </c>
      <c r="D2401" s="1324">
        <f t="shared" si="252"/>
        <v>38386</v>
      </c>
      <c r="E2401" s="1323">
        <f t="shared" si="254"/>
        <v>6.0274000000000001</v>
      </c>
      <c r="F2401" s="1323">
        <f t="shared" si="253"/>
        <v>6.1933385710760218</v>
      </c>
      <c r="G2401" s="1323">
        <f t="shared" si="255"/>
        <v>2005</v>
      </c>
      <c r="H2401" s="1323">
        <f t="shared" si="256"/>
        <v>2</v>
      </c>
      <c r="I2401" s="1323">
        <f t="shared" si="257"/>
        <v>3</v>
      </c>
      <c r="J2401" s="1323"/>
      <c r="K2401" s="1323"/>
      <c r="L2401" s="1323"/>
      <c r="M2401" s="1323"/>
      <c r="N2401" s="1323"/>
      <c r="O2401" s="1323"/>
      <c r="P2401" s="1323"/>
      <c r="Q2401" s="1323"/>
      <c r="R2401" s="1304"/>
      <c r="S2401" s="1304"/>
      <c r="T2401" s="1304"/>
    </row>
    <row r="2402" spans="1:20">
      <c r="A2402" s="1303"/>
      <c r="B2402" s="1322" t="s">
        <v>6982</v>
      </c>
      <c r="C2402" s="1323" t="s">
        <v>6983</v>
      </c>
      <c r="D2402" s="1324">
        <f t="shared" si="252"/>
        <v>38385</v>
      </c>
      <c r="E2402" s="1323">
        <f t="shared" si="254"/>
        <v>6.0152000000000001</v>
      </c>
      <c r="F2402" s="1323">
        <f t="shared" si="253"/>
        <v>6.1921510352610403</v>
      </c>
      <c r="G2402" s="1323">
        <f t="shared" si="255"/>
        <v>2005</v>
      </c>
      <c r="H2402" s="1323">
        <f t="shared" si="256"/>
        <v>2</v>
      </c>
      <c r="I2402" s="1323">
        <f t="shared" si="257"/>
        <v>2</v>
      </c>
      <c r="J2402" s="1323"/>
      <c r="K2402" s="1323"/>
      <c r="L2402" s="1323"/>
      <c r="M2402" s="1323"/>
      <c r="N2402" s="1323"/>
      <c r="O2402" s="1323"/>
      <c r="P2402" s="1323"/>
      <c r="Q2402" s="1323"/>
      <c r="R2402" s="1304"/>
      <c r="S2402" s="1304"/>
      <c r="T2402" s="1304"/>
    </row>
    <row r="2403" spans="1:20">
      <c r="A2403" s="1303"/>
      <c r="B2403" s="1322" t="s">
        <v>6984</v>
      </c>
      <c r="C2403" s="1323" t="s">
        <v>6501</v>
      </c>
      <c r="D2403" s="1324">
        <f t="shared" si="252"/>
        <v>38384</v>
      </c>
      <c r="E2403" s="1323">
        <f t="shared" si="254"/>
        <v>6.0244999999999997</v>
      </c>
      <c r="F2403" s="1323">
        <f t="shared" si="253"/>
        <v>6.1909637271489837</v>
      </c>
      <c r="G2403" s="1323">
        <f t="shared" si="255"/>
        <v>2005</v>
      </c>
      <c r="H2403" s="1323">
        <f t="shared" si="256"/>
        <v>2</v>
      </c>
      <c r="I2403" s="1323">
        <f t="shared" si="257"/>
        <v>1</v>
      </c>
      <c r="J2403" s="1323"/>
      <c r="K2403" s="1323"/>
      <c r="L2403" s="1323"/>
      <c r="M2403" s="1323"/>
      <c r="N2403" s="1323"/>
      <c r="O2403" s="1323"/>
      <c r="P2403" s="1323"/>
      <c r="Q2403" s="1323"/>
      <c r="R2403" s="1304"/>
      <c r="S2403" s="1304"/>
      <c r="T2403" s="1304"/>
    </row>
    <row r="2404" spans="1:20">
      <c r="A2404" s="1303"/>
      <c r="B2404" s="1322" t="s">
        <v>6985</v>
      </c>
      <c r="C2404" s="1323" t="s">
        <v>6986</v>
      </c>
      <c r="D2404" s="1324">
        <f t="shared" si="252"/>
        <v>38383</v>
      </c>
      <c r="E2404" s="1323">
        <f t="shared" si="254"/>
        <v>5.9829999999999997</v>
      </c>
      <c r="F2404" s="1323">
        <f t="shared" si="253"/>
        <v>6.1897766466961928</v>
      </c>
      <c r="G2404" s="1323">
        <f t="shared" si="255"/>
        <v>2005</v>
      </c>
      <c r="H2404" s="1323">
        <f t="shared" si="256"/>
        <v>1</v>
      </c>
      <c r="I2404" s="1323">
        <f t="shared" si="257"/>
        <v>31</v>
      </c>
      <c r="J2404" s="1323"/>
      <c r="K2404" s="1323"/>
      <c r="L2404" s="1323"/>
      <c r="M2404" s="1323"/>
      <c r="N2404" s="1323"/>
      <c r="O2404" s="1323"/>
      <c r="P2404" s="1323"/>
      <c r="Q2404" s="1323"/>
      <c r="R2404" s="1304"/>
      <c r="S2404" s="1304"/>
      <c r="T2404" s="1304"/>
    </row>
    <row r="2405" spans="1:20">
      <c r="A2405" s="1303"/>
      <c r="B2405" s="1322" t="s">
        <v>6987</v>
      </c>
      <c r="C2405" s="1323" t="s">
        <v>6988</v>
      </c>
      <c r="D2405" s="1324">
        <f t="shared" si="252"/>
        <v>38380</v>
      </c>
      <c r="E2405" s="1323">
        <f t="shared" si="254"/>
        <v>5.9374000000000002</v>
      </c>
      <c r="F2405" s="1323">
        <f t="shared" si="253"/>
        <v>6.1885897938590144</v>
      </c>
      <c r="G2405" s="1323">
        <f t="shared" si="255"/>
        <v>2005</v>
      </c>
      <c r="H2405" s="1323">
        <f t="shared" si="256"/>
        <v>1</v>
      </c>
      <c r="I2405" s="1323">
        <f t="shared" si="257"/>
        <v>28</v>
      </c>
      <c r="J2405" s="1323"/>
      <c r="K2405" s="1323"/>
      <c r="L2405" s="1323"/>
      <c r="M2405" s="1323"/>
      <c r="N2405" s="1323"/>
      <c r="O2405" s="1323"/>
      <c r="P2405" s="1323"/>
      <c r="Q2405" s="1323"/>
      <c r="R2405" s="1304"/>
      <c r="S2405" s="1304"/>
      <c r="T2405" s="1304"/>
    </row>
    <row r="2406" spans="1:20">
      <c r="A2406" s="1303"/>
      <c r="B2406" s="1322" t="s">
        <v>6989</v>
      </c>
      <c r="C2406" s="1323" t="s">
        <v>6990</v>
      </c>
      <c r="D2406" s="1324">
        <f t="shared" si="252"/>
        <v>38379</v>
      </c>
      <c r="E2406" s="1323">
        <f t="shared" si="254"/>
        <v>5.9051999999999998</v>
      </c>
      <c r="F2406" s="1323">
        <f t="shared" si="253"/>
        <v>6.1874031685938045</v>
      </c>
      <c r="G2406" s="1323">
        <f t="shared" si="255"/>
        <v>2005</v>
      </c>
      <c r="H2406" s="1323">
        <f t="shared" si="256"/>
        <v>1</v>
      </c>
      <c r="I2406" s="1323">
        <f t="shared" si="257"/>
        <v>27</v>
      </c>
      <c r="J2406" s="1323"/>
      <c r="K2406" s="1323"/>
      <c r="L2406" s="1323"/>
      <c r="M2406" s="1323"/>
      <c r="N2406" s="1323"/>
      <c r="O2406" s="1323"/>
      <c r="P2406" s="1323"/>
      <c r="Q2406" s="1323"/>
      <c r="R2406" s="1304"/>
      <c r="S2406" s="1304"/>
      <c r="T2406" s="1304"/>
    </row>
    <row r="2407" spans="1:20">
      <c r="A2407" s="1303"/>
      <c r="B2407" s="1322" t="s">
        <v>6991</v>
      </c>
      <c r="C2407" s="1323" t="s">
        <v>6992</v>
      </c>
      <c r="D2407" s="1324">
        <f t="shared" si="252"/>
        <v>38378</v>
      </c>
      <c r="E2407" s="1323">
        <f t="shared" si="254"/>
        <v>5.9724000000000004</v>
      </c>
      <c r="F2407" s="1323">
        <f t="shared" si="253"/>
        <v>6.1862167708569276</v>
      </c>
      <c r="G2407" s="1323">
        <f t="shared" si="255"/>
        <v>2005</v>
      </c>
      <c r="H2407" s="1323">
        <f t="shared" si="256"/>
        <v>1</v>
      </c>
      <c r="I2407" s="1323">
        <f t="shared" si="257"/>
        <v>26</v>
      </c>
      <c r="J2407" s="1323"/>
      <c r="K2407" s="1323"/>
      <c r="L2407" s="1323"/>
      <c r="M2407" s="1323"/>
      <c r="N2407" s="1323"/>
      <c r="O2407" s="1323"/>
      <c r="P2407" s="1323"/>
      <c r="Q2407" s="1323"/>
      <c r="R2407" s="1304"/>
      <c r="S2407" s="1304"/>
      <c r="T2407" s="1304"/>
    </row>
    <row r="2408" spans="1:20">
      <c r="A2408" s="1303"/>
      <c r="B2408" s="1322" t="s">
        <v>6993</v>
      </c>
      <c r="C2408" s="1323" t="s">
        <v>6994</v>
      </c>
      <c r="D2408" s="1324">
        <f t="shared" si="252"/>
        <v>38377</v>
      </c>
      <c r="E2408" s="1323">
        <f t="shared" si="254"/>
        <v>5.9553000000000003</v>
      </c>
      <c r="F2408" s="1323">
        <f t="shared" si="253"/>
        <v>6.1850306006047564</v>
      </c>
      <c r="G2408" s="1323">
        <f t="shared" si="255"/>
        <v>2005</v>
      </c>
      <c r="H2408" s="1323">
        <f t="shared" si="256"/>
        <v>1</v>
      </c>
      <c r="I2408" s="1323">
        <f t="shared" si="257"/>
        <v>25</v>
      </c>
      <c r="J2408" s="1323"/>
      <c r="K2408" s="1323"/>
      <c r="L2408" s="1323"/>
      <c r="M2408" s="1323"/>
      <c r="N2408" s="1323"/>
      <c r="O2408" s="1323"/>
      <c r="P2408" s="1323"/>
      <c r="Q2408" s="1323"/>
      <c r="R2408" s="1304"/>
      <c r="S2408" s="1304"/>
      <c r="T2408" s="1304"/>
    </row>
    <row r="2409" spans="1:20">
      <c r="A2409" s="1303"/>
      <c r="B2409" s="1322" t="s">
        <v>6995</v>
      </c>
      <c r="C2409" s="1323" t="s">
        <v>6996</v>
      </c>
      <c r="D2409" s="1324">
        <f t="shared" si="252"/>
        <v>38376</v>
      </c>
      <c r="E2409" s="1323">
        <f t="shared" si="254"/>
        <v>5.9603000000000002</v>
      </c>
      <c r="F2409" s="1323">
        <f t="shared" si="253"/>
        <v>6.1838446577936725</v>
      </c>
      <c r="G2409" s="1323">
        <f t="shared" si="255"/>
        <v>2005</v>
      </c>
      <c r="H2409" s="1323">
        <f t="shared" si="256"/>
        <v>1</v>
      </c>
      <c r="I2409" s="1323">
        <f t="shared" si="257"/>
        <v>24</v>
      </c>
      <c r="J2409" s="1323"/>
      <c r="K2409" s="1323"/>
      <c r="L2409" s="1323"/>
      <c r="M2409" s="1323"/>
      <c r="N2409" s="1323"/>
      <c r="O2409" s="1323"/>
      <c r="P2409" s="1323"/>
      <c r="Q2409" s="1323"/>
      <c r="R2409" s="1304"/>
      <c r="S2409" s="1304"/>
      <c r="T2409" s="1304"/>
    </row>
    <row r="2410" spans="1:20">
      <c r="A2410" s="1303"/>
      <c r="B2410" s="1322" t="s">
        <v>6997</v>
      </c>
      <c r="C2410" s="1323" t="s">
        <v>6998</v>
      </c>
      <c r="D2410" s="1324">
        <f t="shared" si="252"/>
        <v>38373</v>
      </c>
      <c r="E2410" s="1323">
        <f t="shared" si="254"/>
        <v>6.0651999999999999</v>
      </c>
      <c r="F2410" s="1323">
        <f t="shared" si="253"/>
        <v>6.1826589423800655</v>
      </c>
      <c r="G2410" s="1323">
        <f t="shared" si="255"/>
        <v>2005</v>
      </c>
      <c r="H2410" s="1323">
        <f t="shared" si="256"/>
        <v>1</v>
      </c>
      <c r="I2410" s="1323">
        <f t="shared" si="257"/>
        <v>21</v>
      </c>
      <c r="J2410" s="1323"/>
      <c r="K2410" s="1323"/>
      <c r="L2410" s="1323"/>
      <c r="M2410" s="1323"/>
      <c r="N2410" s="1323"/>
      <c r="O2410" s="1323"/>
      <c r="P2410" s="1323"/>
      <c r="Q2410" s="1323"/>
      <c r="R2410" s="1304"/>
      <c r="S2410" s="1304"/>
      <c r="T2410" s="1304"/>
    </row>
    <row r="2411" spans="1:20">
      <c r="A2411" s="1303"/>
      <c r="B2411" s="1322" t="s">
        <v>6999</v>
      </c>
      <c r="C2411" s="1323" t="s">
        <v>7000</v>
      </c>
      <c r="D2411" s="1324">
        <f t="shared" si="252"/>
        <v>38372</v>
      </c>
      <c r="E2411" s="1323">
        <f t="shared" si="254"/>
        <v>6.0669000000000004</v>
      </c>
      <c r="F2411" s="1323">
        <f t="shared" si="253"/>
        <v>6.1814734543203329</v>
      </c>
      <c r="G2411" s="1323">
        <f t="shared" si="255"/>
        <v>2005</v>
      </c>
      <c r="H2411" s="1323">
        <f t="shared" si="256"/>
        <v>1</v>
      </c>
      <c r="I2411" s="1323">
        <f t="shared" si="257"/>
        <v>20</v>
      </c>
      <c r="J2411" s="1323"/>
      <c r="K2411" s="1323"/>
      <c r="L2411" s="1323"/>
      <c r="M2411" s="1323"/>
      <c r="N2411" s="1323"/>
      <c r="O2411" s="1323"/>
      <c r="P2411" s="1323"/>
      <c r="Q2411" s="1323"/>
      <c r="R2411" s="1304"/>
      <c r="S2411" s="1304"/>
      <c r="T2411" s="1304"/>
    </row>
    <row r="2412" spans="1:20">
      <c r="A2412" s="1303"/>
      <c r="B2412" s="1322" t="s">
        <v>7001</v>
      </c>
      <c r="C2412" s="1323" t="s">
        <v>7002</v>
      </c>
      <c r="D2412" s="1324">
        <f t="shared" si="252"/>
        <v>38371</v>
      </c>
      <c r="E2412" s="1323">
        <f t="shared" si="254"/>
        <v>6.0453000000000001</v>
      </c>
      <c r="F2412" s="1323">
        <f t="shared" si="253"/>
        <v>6.1802881935708811</v>
      </c>
      <c r="G2412" s="1323">
        <f t="shared" si="255"/>
        <v>2005</v>
      </c>
      <c r="H2412" s="1323">
        <f t="shared" si="256"/>
        <v>1</v>
      </c>
      <c r="I2412" s="1323">
        <f t="shared" si="257"/>
        <v>19</v>
      </c>
      <c r="J2412" s="1323"/>
      <c r="K2412" s="1323"/>
      <c r="L2412" s="1323"/>
      <c r="M2412" s="1323"/>
      <c r="N2412" s="1323"/>
      <c r="O2412" s="1323"/>
      <c r="P2412" s="1323"/>
      <c r="Q2412" s="1323"/>
      <c r="R2412" s="1304"/>
      <c r="S2412" s="1304"/>
      <c r="T2412" s="1304"/>
    </row>
    <row r="2413" spans="1:20">
      <c r="A2413" s="1303"/>
      <c r="B2413" s="1322" t="s">
        <v>7003</v>
      </c>
      <c r="C2413" s="1323" t="s">
        <v>7004</v>
      </c>
      <c r="D2413" s="1324">
        <f t="shared" si="252"/>
        <v>38370</v>
      </c>
      <c r="E2413" s="1323">
        <f t="shared" si="254"/>
        <v>6.1031000000000004</v>
      </c>
      <c r="F2413" s="1323">
        <f t="shared" si="253"/>
        <v>6.1791031600881245</v>
      </c>
      <c r="G2413" s="1323">
        <f t="shared" si="255"/>
        <v>2005</v>
      </c>
      <c r="H2413" s="1323">
        <f t="shared" si="256"/>
        <v>1</v>
      </c>
      <c r="I2413" s="1323">
        <f t="shared" si="257"/>
        <v>18</v>
      </c>
      <c r="J2413" s="1323"/>
      <c r="K2413" s="1323"/>
      <c r="L2413" s="1323"/>
      <c r="M2413" s="1323"/>
      <c r="N2413" s="1323"/>
      <c r="O2413" s="1323"/>
      <c r="P2413" s="1323"/>
      <c r="Q2413" s="1323"/>
      <c r="R2413" s="1304"/>
      <c r="S2413" s="1304"/>
      <c r="T2413" s="1304"/>
    </row>
    <row r="2414" spans="1:20">
      <c r="A2414" s="1303"/>
      <c r="B2414" s="1322" t="s">
        <v>7005</v>
      </c>
      <c r="C2414" s="1323" t="s">
        <v>7006</v>
      </c>
      <c r="D2414" s="1324">
        <f t="shared" si="252"/>
        <v>38369</v>
      </c>
      <c r="E2414" s="1323">
        <f t="shared" si="254"/>
        <v>6.0648999999999997</v>
      </c>
      <c r="F2414" s="1323">
        <f t="shared" si="253"/>
        <v>6.1779183538284856</v>
      </c>
      <c r="G2414" s="1323">
        <f t="shared" si="255"/>
        <v>2005</v>
      </c>
      <c r="H2414" s="1323">
        <f t="shared" si="256"/>
        <v>1</v>
      </c>
      <c r="I2414" s="1323">
        <f t="shared" si="257"/>
        <v>17</v>
      </c>
      <c r="J2414" s="1323"/>
      <c r="K2414" s="1323"/>
      <c r="L2414" s="1323"/>
      <c r="M2414" s="1323"/>
      <c r="N2414" s="1323"/>
      <c r="O2414" s="1323"/>
      <c r="P2414" s="1323"/>
      <c r="Q2414" s="1323"/>
      <c r="R2414" s="1304"/>
      <c r="S2414" s="1304"/>
      <c r="T2414" s="1304"/>
    </row>
    <row r="2415" spans="1:20">
      <c r="A2415" s="1303"/>
      <c r="B2415" s="1322" t="s">
        <v>7007</v>
      </c>
      <c r="C2415" s="1323" t="s">
        <v>7008</v>
      </c>
      <c r="D2415" s="1324">
        <f t="shared" si="252"/>
        <v>38366</v>
      </c>
      <c r="E2415" s="1323">
        <f t="shared" si="254"/>
        <v>6.0876999999999999</v>
      </c>
      <c r="F2415" s="1323">
        <f t="shared" si="253"/>
        <v>6.1767337747483966</v>
      </c>
      <c r="G2415" s="1323">
        <f t="shared" si="255"/>
        <v>2005</v>
      </c>
      <c r="H2415" s="1323">
        <f t="shared" si="256"/>
        <v>1</v>
      </c>
      <c r="I2415" s="1323">
        <f t="shared" si="257"/>
        <v>14</v>
      </c>
      <c r="J2415" s="1323"/>
      <c r="K2415" s="1323"/>
      <c r="L2415" s="1323"/>
      <c r="M2415" s="1323"/>
      <c r="N2415" s="1323"/>
      <c r="O2415" s="1323"/>
      <c r="P2415" s="1323"/>
      <c r="Q2415" s="1323"/>
      <c r="R2415" s="1304"/>
      <c r="S2415" s="1304"/>
      <c r="T2415" s="1304"/>
    </row>
    <row r="2416" spans="1:20">
      <c r="A2416" s="1303"/>
      <c r="B2416" s="1322" t="s">
        <v>7009</v>
      </c>
      <c r="C2416" s="1323" t="s">
        <v>7010</v>
      </c>
      <c r="D2416" s="1324">
        <f t="shared" si="252"/>
        <v>38365</v>
      </c>
      <c r="E2416" s="1323">
        <f t="shared" si="254"/>
        <v>5.9928999999999997</v>
      </c>
      <c r="F2416" s="1323">
        <f t="shared" si="253"/>
        <v>6.1755494228042966</v>
      </c>
      <c r="G2416" s="1323">
        <f t="shared" si="255"/>
        <v>2005</v>
      </c>
      <c r="H2416" s="1323">
        <f t="shared" si="256"/>
        <v>1</v>
      </c>
      <c r="I2416" s="1323">
        <f t="shared" si="257"/>
        <v>13</v>
      </c>
      <c r="J2416" s="1323"/>
      <c r="K2416" s="1323"/>
      <c r="L2416" s="1323"/>
      <c r="M2416" s="1323"/>
      <c r="N2416" s="1323"/>
      <c r="O2416" s="1323"/>
      <c r="P2416" s="1323"/>
      <c r="Q2416" s="1323"/>
      <c r="R2416" s="1304"/>
      <c r="S2416" s="1304"/>
      <c r="T2416" s="1304"/>
    </row>
    <row r="2417" spans="1:20">
      <c r="A2417" s="1303"/>
      <c r="B2417" s="1322" t="s">
        <v>7011</v>
      </c>
      <c r="C2417" s="1323" t="s">
        <v>6505</v>
      </c>
      <c r="D2417" s="1324">
        <f t="shared" si="252"/>
        <v>38364</v>
      </c>
      <c r="E2417" s="1323">
        <f t="shared" si="254"/>
        <v>6.0186999999999999</v>
      </c>
      <c r="F2417" s="1323">
        <f t="shared" si="253"/>
        <v>6.174365297952634</v>
      </c>
      <c r="G2417" s="1323">
        <f t="shared" si="255"/>
        <v>2005</v>
      </c>
      <c r="H2417" s="1323">
        <f t="shared" si="256"/>
        <v>1</v>
      </c>
      <c r="I2417" s="1323">
        <f t="shared" si="257"/>
        <v>12</v>
      </c>
      <c r="J2417" s="1323"/>
      <c r="K2417" s="1323"/>
      <c r="L2417" s="1323"/>
      <c r="M2417" s="1323"/>
      <c r="N2417" s="1323"/>
      <c r="O2417" s="1323"/>
      <c r="P2417" s="1323"/>
      <c r="Q2417" s="1323"/>
      <c r="R2417" s="1304"/>
      <c r="S2417" s="1304"/>
      <c r="T2417" s="1304"/>
    </row>
    <row r="2418" spans="1:20">
      <c r="A2418" s="1303"/>
      <c r="B2418" s="1322" t="s">
        <v>7012</v>
      </c>
      <c r="C2418" s="1323" t="s">
        <v>7013</v>
      </c>
      <c r="D2418" s="1324">
        <f t="shared" si="252"/>
        <v>38363</v>
      </c>
      <c r="E2418" s="1323">
        <f t="shared" si="254"/>
        <v>5.9585999999999997</v>
      </c>
      <c r="F2418" s="1323">
        <f t="shared" si="253"/>
        <v>6.1731814001498657</v>
      </c>
      <c r="G2418" s="1323">
        <f t="shared" si="255"/>
        <v>2005</v>
      </c>
      <c r="H2418" s="1323">
        <f t="shared" si="256"/>
        <v>1</v>
      </c>
      <c r="I2418" s="1323">
        <f t="shared" si="257"/>
        <v>11</v>
      </c>
      <c r="J2418" s="1323"/>
      <c r="K2418" s="1323"/>
      <c r="L2418" s="1323"/>
      <c r="M2418" s="1323"/>
      <c r="N2418" s="1323"/>
      <c r="O2418" s="1323"/>
      <c r="P2418" s="1323"/>
      <c r="Q2418" s="1323"/>
      <c r="R2418" s="1304"/>
      <c r="S2418" s="1304"/>
      <c r="T2418" s="1304"/>
    </row>
    <row r="2419" spans="1:20">
      <c r="A2419" s="1303"/>
      <c r="B2419" s="1322" t="s">
        <v>7014</v>
      </c>
      <c r="C2419" s="1323" t="s">
        <v>7015</v>
      </c>
      <c r="D2419" s="1324">
        <f t="shared" si="252"/>
        <v>38362</v>
      </c>
      <c r="E2419" s="1323">
        <f t="shared" si="254"/>
        <v>6.0518000000000001</v>
      </c>
      <c r="F2419" s="1323">
        <f t="shared" si="253"/>
        <v>6.1719977293524551</v>
      </c>
      <c r="G2419" s="1323">
        <f t="shared" si="255"/>
        <v>2005</v>
      </c>
      <c r="H2419" s="1323">
        <f t="shared" si="256"/>
        <v>1</v>
      </c>
      <c r="I2419" s="1323">
        <f t="shared" si="257"/>
        <v>10</v>
      </c>
      <c r="J2419" s="1323"/>
      <c r="K2419" s="1323"/>
      <c r="L2419" s="1323"/>
      <c r="M2419" s="1323"/>
      <c r="N2419" s="1323"/>
      <c r="O2419" s="1323"/>
      <c r="P2419" s="1323"/>
      <c r="Q2419" s="1323"/>
      <c r="R2419" s="1304"/>
      <c r="S2419" s="1304"/>
      <c r="T2419" s="1304"/>
    </row>
    <row r="2420" spans="1:20">
      <c r="A2420" s="1303"/>
      <c r="B2420" s="1322" t="s">
        <v>7016</v>
      </c>
      <c r="C2420" s="1323" t="s">
        <v>7017</v>
      </c>
      <c r="D2420" s="1324">
        <f t="shared" si="252"/>
        <v>38359</v>
      </c>
      <c r="E2420" s="1323">
        <f t="shared" si="254"/>
        <v>6.0795000000000003</v>
      </c>
      <c r="F2420" s="1323">
        <f t="shared" si="253"/>
        <v>6.1708142855168759</v>
      </c>
      <c r="G2420" s="1323">
        <f t="shared" si="255"/>
        <v>2005</v>
      </c>
      <c r="H2420" s="1323">
        <f t="shared" si="256"/>
        <v>1</v>
      </c>
      <c r="I2420" s="1323">
        <f t="shared" si="257"/>
        <v>7</v>
      </c>
      <c r="J2420" s="1323"/>
      <c r="K2420" s="1323"/>
      <c r="L2420" s="1323"/>
      <c r="M2420" s="1323"/>
      <c r="N2420" s="1323"/>
      <c r="O2420" s="1323"/>
      <c r="P2420" s="1323"/>
      <c r="Q2420" s="1323"/>
      <c r="R2420" s="1304"/>
      <c r="S2420" s="1304"/>
      <c r="T2420" s="1304"/>
    </row>
    <row r="2421" spans="1:20">
      <c r="A2421" s="1303"/>
      <c r="B2421" s="1322" t="s">
        <v>7018</v>
      </c>
      <c r="C2421" s="1323" t="s">
        <v>7019</v>
      </c>
      <c r="D2421" s="1324">
        <f t="shared" si="252"/>
        <v>38358</v>
      </c>
      <c r="E2421" s="1323">
        <f t="shared" si="254"/>
        <v>6.0006000000000004</v>
      </c>
      <c r="F2421" s="1323">
        <f t="shared" si="253"/>
        <v>6.1696310685996103</v>
      </c>
      <c r="G2421" s="1323">
        <f t="shared" si="255"/>
        <v>2005</v>
      </c>
      <c r="H2421" s="1323">
        <f t="shared" si="256"/>
        <v>1</v>
      </c>
      <c r="I2421" s="1323">
        <f t="shared" si="257"/>
        <v>6</v>
      </c>
      <c r="J2421" s="1323"/>
      <c r="K2421" s="1323"/>
      <c r="L2421" s="1323"/>
      <c r="M2421" s="1323"/>
      <c r="N2421" s="1323"/>
      <c r="O2421" s="1323"/>
      <c r="P2421" s="1323"/>
      <c r="Q2421" s="1323"/>
      <c r="R2421" s="1304"/>
      <c r="S2421" s="1304"/>
      <c r="T2421" s="1304"/>
    </row>
    <row r="2422" spans="1:20">
      <c r="A2422" s="1303"/>
      <c r="B2422" s="1322" t="s">
        <v>7020</v>
      </c>
      <c r="C2422" s="1323" t="s">
        <v>7021</v>
      </c>
      <c r="D2422" s="1324">
        <f t="shared" si="252"/>
        <v>38357</v>
      </c>
      <c r="E2422" s="1323">
        <f t="shared" si="254"/>
        <v>5.8459000000000003</v>
      </c>
      <c r="F2422" s="1323">
        <f t="shared" si="253"/>
        <v>6.1684480785571472</v>
      </c>
      <c r="G2422" s="1323">
        <f t="shared" si="255"/>
        <v>2005</v>
      </c>
      <c r="H2422" s="1323">
        <f t="shared" si="256"/>
        <v>1</v>
      </c>
      <c r="I2422" s="1323">
        <f t="shared" si="257"/>
        <v>5</v>
      </c>
      <c r="J2422" s="1323"/>
      <c r="K2422" s="1323"/>
      <c r="L2422" s="1323"/>
      <c r="M2422" s="1323"/>
      <c r="N2422" s="1323"/>
      <c r="O2422" s="1323"/>
      <c r="P2422" s="1323"/>
      <c r="Q2422" s="1323"/>
      <c r="R2422" s="1304"/>
      <c r="S2422" s="1304"/>
      <c r="T2422" s="1304"/>
    </row>
    <row r="2423" spans="1:20">
      <c r="A2423" s="1303"/>
      <c r="B2423" s="1322" t="s">
        <v>7022</v>
      </c>
      <c r="C2423" s="1323" t="s">
        <v>7023</v>
      </c>
      <c r="D2423" s="1324">
        <f t="shared" si="252"/>
        <v>38356</v>
      </c>
      <c r="E2423" s="1323">
        <f t="shared" si="254"/>
        <v>5.6736000000000004</v>
      </c>
      <c r="F2423" s="1323">
        <f t="shared" si="253"/>
        <v>6.1672653153459844</v>
      </c>
      <c r="G2423" s="1323">
        <f t="shared" si="255"/>
        <v>2005</v>
      </c>
      <c r="H2423" s="1323">
        <f t="shared" si="256"/>
        <v>1</v>
      </c>
      <c r="I2423" s="1323">
        <f t="shared" si="257"/>
        <v>4</v>
      </c>
      <c r="J2423" s="1323"/>
      <c r="K2423" s="1323"/>
      <c r="L2423" s="1323"/>
      <c r="M2423" s="1323"/>
      <c r="N2423" s="1323"/>
      <c r="O2423" s="1323"/>
      <c r="P2423" s="1323"/>
      <c r="Q2423" s="1323"/>
      <c r="R2423" s="1304"/>
      <c r="S2423" s="1304"/>
      <c r="T2423" s="1304"/>
    </row>
    <row r="2424" spans="1:20">
      <c r="A2424" s="1303"/>
      <c r="B2424" s="1322" t="s">
        <v>7024</v>
      </c>
      <c r="C2424" s="1323" t="s">
        <v>7025</v>
      </c>
      <c r="D2424" s="1324">
        <f t="shared" si="252"/>
        <v>38355</v>
      </c>
      <c r="E2424" s="1323">
        <f t="shared" si="254"/>
        <v>5.6497000000000002</v>
      </c>
      <c r="F2424" s="1323">
        <f t="shared" si="253"/>
        <v>6.1660827789226289</v>
      </c>
      <c r="G2424" s="1323">
        <f t="shared" si="255"/>
        <v>2005</v>
      </c>
      <c r="H2424" s="1323">
        <f t="shared" si="256"/>
        <v>1</v>
      </c>
      <c r="I2424" s="1323">
        <f t="shared" si="257"/>
        <v>3</v>
      </c>
      <c r="J2424" s="1323"/>
      <c r="K2424" s="1323"/>
      <c r="L2424" s="1323"/>
      <c r="M2424" s="1323"/>
      <c r="N2424" s="1323"/>
      <c r="O2424" s="1323"/>
      <c r="P2424" s="1323"/>
      <c r="Q2424" s="1323"/>
      <c r="R2424" s="1304"/>
      <c r="S2424" s="1304"/>
      <c r="T2424" s="1304"/>
    </row>
    <row r="2425" spans="1:20">
      <c r="A2425" s="1303"/>
      <c r="B2425" s="1322" t="s">
        <v>7026</v>
      </c>
      <c r="C2425" s="1323" t="s">
        <v>7027</v>
      </c>
      <c r="D2425" s="1324">
        <f t="shared" si="252"/>
        <v>38352</v>
      </c>
      <c r="E2425" s="1323">
        <f t="shared" si="254"/>
        <v>5.6356000000000002</v>
      </c>
      <c r="F2425" s="1323">
        <f t="shared" si="253"/>
        <v>6.1649004692435954</v>
      </c>
      <c r="G2425" s="1323">
        <f t="shared" si="255"/>
        <v>2004</v>
      </c>
      <c r="H2425" s="1323">
        <f t="shared" si="256"/>
        <v>12</v>
      </c>
      <c r="I2425" s="1323">
        <f t="shared" si="257"/>
        <v>31</v>
      </c>
      <c r="J2425" s="1323"/>
      <c r="K2425" s="1323"/>
      <c r="L2425" s="1323"/>
      <c r="M2425" s="1323"/>
      <c r="N2425" s="1323"/>
      <c r="O2425" s="1323"/>
      <c r="P2425" s="1323"/>
      <c r="Q2425" s="1323"/>
      <c r="R2425" s="1304"/>
      <c r="S2425" s="1304"/>
      <c r="T2425" s="1304"/>
    </row>
    <row r="2426" spans="1:20">
      <c r="A2426" s="1303"/>
      <c r="B2426" s="1322" t="s">
        <v>7028</v>
      </c>
      <c r="C2426" s="1323" t="s">
        <v>7029</v>
      </c>
      <c r="D2426" s="1324">
        <f t="shared" si="252"/>
        <v>38351</v>
      </c>
      <c r="E2426" s="1323">
        <f t="shared" si="254"/>
        <v>5.6902999999999997</v>
      </c>
      <c r="F2426" s="1323">
        <f t="shared" si="253"/>
        <v>6.1637183862654075</v>
      </c>
      <c r="G2426" s="1323">
        <f t="shared" si="255"/>
        <v>2004</v>
      </c>
      <c r="H2426" s="1323">
        <f t="shared" si="256"/>
        <v>12</v>
      </c>
      <c r="I2426" s="1323">
        <f t="shared" si="257"/>
        <v>30</v>
      </c>
      <c r="J2426" s="1323"/>
      <c r="K2426" s="1323"/>
      <c r="L2426" s="1323"/>
      <c r="M2426" s="1323"/>
      <c r="N2426" s="1323"/>
      <c r="O2426" s="1323"/>
      <c r="P2426" s="1323"/>
      <c r="Q2426" s="1323"/>
      <c r="R2426" s="1304"/>
      <c r="S2426" s="1304"/>
      <c r="T2426" s="1304"/>
    </row>
    <row r="2427" spans="1:20">
      <c r="A2427" s="1303"/>
      <c r="B2427" s="1322" t="s">
        <v>7030</v>
      </c>
      <c r="C2427" s="1323" t="s">
        <v>7031</v>
      </c>
      <c r="D2427" s="1324">
        <f t="shared" si="252"/>
        <v>38350</v>
      </c>
      <c r="E2427" s="1323">
        <f t="shared" si="254"/>
        <v>5.6147999999999998</v>
      </c>
      <c r="F2427" s="1323">
        <f t="shared" si="253"/>
        <v>6.162536529944596</v>
      </c>
      <c r="G2427" s="1323">
        <f t="shared" si="255"/>
        <v>2004</v>
      </c>
      <c r="H2427" s="1323">
        <f t="shared" si="256"/>
        <v>12</v>
      </c>
      <c r="I2427" s="1323">
        <f t="shared" si="257"/>
        <v>29</v>
      </c>
      <c r="J2427" s="1323"/>
      <c r="K2427" s="1323"/>
      <c r="L2427" s="1323"/>
      <c r="M2427" s="1323"/>
      <c r="N2427" s="1323"/>
      <c r="O2427" s="1323"/>
      <c r="P2427" s="1323"/>
      <c r="Q2427" s="1323"/>
      <c r="R2427" s="1304"/>
      <c r="S2427" s="1304"/>
      <c r="T2427" s="1304"/>
    </row>
    <row r="2428" spans="1:20">
      <c r="A2428" s="1303"/>
      <c r="B2428" s="1322" t="s">
        <v>7032</v>
      </c>
      <c r="C2428" s="1323" t="s">
        <v>7033</v>
      </c>
      <c r="D2428" s="1324">
        <f t="shared" si="252"/>
        <v>38349</v>
      </c>
      <c r="E2428" s="1323">
        <f t="shared" si="254"/>
        <v>5.6332000000000004</v>
      </c>
      <c r="F2428" s="1323">
        <f t="shared" si="253"/>
        <v>6.1613549002377006</v>
      </c>
      <c r="G2428" s="1323">
        <f t="shared" si="255"/>
        <v>2004</v>
      </c>
      <c r="H2428" s="1323">
        <f t="shared" si="256"/>
        <v>12</v>
      </c>
      <c r="I2428" s="1323">
        <f t="shared" si="257"/>
        <v>28</v>
      </c>
      <c r="J2428" s="1323"/>
      <c r="K2428" s="1323"/>
      <c r="L2428" s="1323"/>
      <c r="M2428" s="1323"/>
      <c r="N2428" s="1323"/>
      <c r="O2428" s="1323"/>
      <c r="P2428" s="1323"/>
      <c r="Q2428" s="1323"/>
      <c r="R2428" s="1304"/>
      <c r="S2428" s="1304"/>
      <c r="T2428" s="1304"/>
    </row>
    <row r="2429" spans="1:20">
      <c r="A2429" s="1303"/>
      <c r="B2429" s="1322" t="s">
        <v>7034</v>
      </c>
      <c r="C2429" s="1323" t="s">
        <v>7035</v>
      </c>
      <c r="D2429" s="1324">
        <f t="shared" si="252"/>
        <v>38345</v>
      </c>
      <c r="E2429" s="1323">
        <f t="shared" si="254"/>
        <v>5.6486999999999998</v>
      </c>
      <c r="F2429" s="1323">
        <f t="shared" si="253"/>
        <v>6.1601734971012698</v>
      </c>
      <c r="G2429" s="1323">
        <f t="shared" si="255"/>
        <v>2004</v>
      </c>
      <c r="H2429" s="1323">
        <f t="shared" si="256"/>
        <v>12</v>
      </c>
      <c r="I2429" s="1323">
        <f t="shared" si="257"/>
        <v>24</v>
      </c>
      <c r="J2429" s="1323"/>
      <c r="K2429" s="1323"/>
      <c r="L2429" s="1323"/>
      <c r="M2429" s="1323"/>
      <c r="N2429" s="1323"/>
      <c r="O2429" s="1323"/>
      <c r="P2429" s="1323"/>
      <c r="Q2429" s="1323"/>
      <c r="R2429" s="1304"/>
      <c r="S2429" s="1304"/>
      <c r="T2429" s="1304"/>
    </row>
    <row r="2430" spans="1:20">
      <c r="A2430" s="1303"/>
      <c r="B2430" s="1322" t="s">
        <v>7036</v>
      </c>
      <c r="C2430" s="1323" t="s">
        <v>7037</v>
      </c>
      <c r="D2430" s="1324">
        <f t="shared" si="252"/>
        <v>38344</v>
      </c>
      <c r="E2430" s="1323">
        <f t="shared" si="254"/>
        <v>5.6418999999999997</v>
      </c>
      <c r="F2430" s="1323">
        <f t="shared" si="253"/>
        <v>6.1589923204918602</v>
      </c>
      <c r="G2430" s="1323">
        <f t="shared" si="255"/>
        <v>2004</v>
      </c>
      <c r="H2430" s="1323">
        <f t="shared" si="256"/>
        <v>12</v>
      </c>
      <c r="I2430" s="1323">
        <f t="shared" si="257"/>
        <v>23</v>
      </c>
      <c r="J2430" s="1323"/>
      <c r="K2430" s="1323"/>
      <c r="L2430" s="1323"/>
      <c r="M2430" s="1323"/>
      <c r="N2430" s="1323"/>
      <c r="O2430" s="1323"/>
      <c r="P2430" s="1323"/>
      <c r="Q2430" s="1323"/>
      <c r="R2430" s="1304"/>
      <c r="S2430" s="1304"/>
      <c r="T2430" s="1304"/>
    </row>
    <row r="2431" spans="1:20">
      <c r="A2431" s="1303"/>
      <c r="B2431" s="1322" t="s">
        <v>7038</v>
      </c>
      <c r="C2431" s="1323" t="s">
        <v>7039</v>
      </c>
      <c r="D2431" s="1324">
        <f t="shared" si="252"/>
        <v>38343</v>
      </c>
      <c r="E2431" s="1323">
        <f t="shared" si="254"/>
        <v>5.6634000000000002</v>
      </c>
      <c r="F2431" s="1323">
        <f t="shared" si="253"/>
        <v>6.1578113703660362</v>
      </c>
      <c r="G2431" s="1323">
        <f t="shared" si="255"/>
        <v>2004</v>
      </c>
      <c r="H2431" s="1323">
        <f t="shared" si="256"/>
        <v>12</v>
      </c>
      <c r="I2431" s="1323">
        <f t="shared" si="257"/>
        <v>22</v>
      </c>
      <c r="J2431" s="1323"/>
      <c r="K2431" s="1323"/>
      <c r="L2431" s="1323"/>
      <c r="M2431" s="1323"/>
      <c r="N2431" s="1323"/>
      <c r="O2431" s="1323"/>
      <c r="P2431" s="1323"/>
      <c r="Q2431" s="1323"/>
      <c r="R2431" s="1304"/>
      <c r="S2431" s="1304"/>
      <c r="T2431" s="1304"/>
    </row>
    <row r="2432" spans="1:20">
      <c r="A2432" s="1303"/>
      <c r="B2432" s="1322" t="s">
        <v>7040</v>
      </c>
      <c r="C2432" s="1323" t="s">
        <v>7041</v>
      </c>
      <c r="D2432" s="1324">
        <f t="shared" si="252"/>
        <v>38342</v>
      </c>
      <c r="E2432" s="1323">
        <f t="shared" si="254"/>
        <v>5.7043999999999997</v>
      </c>
      <c r="F2432" s="1323">
        <f t="shared" si="253"/>
        <v>6.1566306466803713</v>
      </c>
      <c r="G2432" s="1323">
        <f t="shared" si="255"/>
        <v>2004</v>
      </c>
      <c r="H2432" s="1323">
        <f t="shared" si="256"/>
        <v>12</v>
      </c>
      <c r="I2432" s="1323">
        <f t="shared" si="257"/>
        <v>21</v>
      </c>
      <c r="J2432" s="1323"/>
      <c r="K2432" s="1323"/>
      <c r="L2432" s="1323"/>
      <c r="M2432" s="1323"/>
      <c r="N2432" s="1323"/>
      <c r="O2432" s="1323"/>
      <c r="P2432" s="1323"/>
      <c r="Q2432" s="1323"/>
      <c r="R2432" s="1304"/>
      <c r="S2432" s="1304"/>
      <c r="T2432" s="1304"/>
    </row>
    <row r="2433" spans="1:20">
      <c r="A2433" s="1303"/>
      <c r="B2433" s="1322" t="s">
        <v>7042</v>
      </c>
      <c r="C2433" s="1323" t="s">
        <v>7043</v>
      </c>
      <c r="D2433" s="1324">
        <f t="shared" si="252"/>
        <v>38341</v>
      </c>
      <c r="E2433" s="1323">
        <f t="shared" si="254"/>
        <v>5.7514000000000003</v>
      </c>
      <c r="F2433" s="1323">
        <f t="shared" si="253"/>
        <v>6.1554501493914469</v>
      </c>
      <c r="G2433" s="1323">
        <f t="shared" si="255"/>
        <v>2004</v>
      </c>
      <c r="H2433" s="1323">
        <f t="shared" si="256"/>
        <v>12</v>
      </c>
      <c r="I2433" s="1323">
        <f t="shared" si="257"/>
        <v>20</v>
      </c>
      <c r="J2433" s="1323"/>
      <c r="K2433" s="1323"/>
      <c r="L2433" s="1323"/>
      <c r="M2433" s="1323"/>
      <c r="N2433" s="1323"/>
      <c r="O2433" s="1323"/>
      <c r="P2433" s="1323"/>
      <c r="Q2433" s="1323"/>
      <c r="R2433" s="1304"/>
      <c r="S2433" s="1304"/>
      <c r="T2433" s="1304"/>
    </row>
    <row r="2434" spans="1:20">
      <c r="A2434" s="1303"/>
      <c r="B2434" s="1322" t="s">
        <v>7044</v>
      </c>
      <c r="C2434" s="1323" t="s">
        <v>7045</v>
      </c>
      <c r="D2434" s="1324">
        <f t="shared" si="252"/>
        <v>38338</v>
      </c>
      <c r="E2434" s="1323">
        <f t="shared" si="254"/>
        <v>5.7680999999999996</v>
      </c>
      <c r="F2434" s="1323">
        <f t="shared" si="253"/>
        <v>6.1542698784558523</v>
      </c>
      <c r="G2434" s="1323">
        <f t="shared" si="255"/>
        <v>2004</v>
      </c>
      <c r="H2434" s="1323">
        <f t="shared" si="256"/>
        <v>12</v>
      </c>
      <c r="I2434" s="1323">
        <f t="shared" si="257"/>
        <v>17</v>
      </c>
      <c r="J2434" s="1323"/>
      <c r="K2434" s="1323"/>
      <c r="L2434" s="1323"/>
      <c r="M2434" s="1323"/>
      <c r="N2434" s="1323"/>
      <c r="O2434" s="1323"/>
      <c r="P2434" s="1323"/>
      <c r="Q2434" s="1323"/>
      <c r="R2434" s="1304"/>
      <c r="S2434" s="1304"/>
      <c r="T2434" s="1304"/>
    </row>
    <row r="2435" spans="1:20">
      <c r="A2435" s="1303"/>
      <c r="B2435" s="1322" t="s">
        <v>7046</v>
      </c>
      <c r="C2435" s="1323" t="s">
        <v>7047</v>
      </c>
      <c r="D2435" s="1324">
        <f t="shared" si="252"/>
        <v>38336</v>
      </c>
      <c r="E2435" s="1323">
        <f t="shared" si="254"/>
        <v>5.7317999999999998</v>
      </c>
      <c r="F2435" s="1323">
        <f t="shared" si="253"/>
        <v>6.1530898338301858</v>
      </c>
      <c r="G2435" s="1323">
        <f t="shared" si="255"/>
        <v>2004</v>
      </c>
      <c r="H2435" s="1323">
        <f t="shared" si="256"/>
        <v>12</v>
      </c>
      <c r="I2435" s="1323">
        <f t="shared" si="257"/>
        <v>15</v>
      </c>
      <c r="J2435" s="1323"/>
      <c r="K2435" s="1323"/>
      <c r="L2435" s="1323"/>
      <c r="M2435" s="1323"/>
      <c r="N2435" s="1323"/>
      <c r="O2435" s="1323"/>
      <c r="P2435" s="1323"/>
      <c r="Q2435" s="1323"/>
      <c r="R2435" s="1304"/>
      <c r="S2435" s="1304"/>
      <c r="T2435" s="1304"/>
    </row>
    <row r="2436" spans="1:20">
      <c r="A2436" s="1303"/>
      <c r="B2436" s="1322" t="s">
        <v>7048</v>
      </c>
      <c r="C2436" s="1323" t="s">
        <v>7049</v>
      </c>
      <c r="D2436" s="1324">
        <f t="shared" si="252"/>
        <v>38335</v>
      </c>
      <c r="E2436" s="1323">
        <f t="shared" si="254"/>
        <v>5.6986999999999997</v>
      </c>
      <c r="F2436" s="1323">
        <f t="shared" si="253"/>
        <v>6.1519100154710538</v>
      </c>
      <c r="G2436" s="1323">
        <f t="shared" si="255"/>
        <v>2004</v>
      </c>
      <c r="H2436" s="1323">
        <f t="shared" si="256"/>
        <v>12</v>
      </c>
      <c r="I2436" s="1323">
        <f t="shared" si="257"/>
        <v>14</v>
      </c>
      <c r="J2436" s="1323"/>
      <c r="K2436" s="1323"/>
      <c r="L2436" s="1323"/>
      <c r="M2436" s="1323"/>
      <c r="N2436" s="1323"/>
      <c r="O2436" s="1323"/>
      <c r="P2436" s="1323"/>
      <c r="Q2436" s="1323"/>
      <c r="R2436" s="1304"/>
      <c r="S2436" s="1304"/>
      <c r="T2436" s="1304"/>
    </row>
    <row r="2437" spans="1:20">
      <c r="A2437" s="1303"/>
      <c r="B2437" s="1322" t="s">
        <v>7050</v>
      </c>
      <c r="C2437" s="1323" t="s">
        <v>7051</v>
      </c>
      <c r="D2437" s="1324">
        <f t="shared" si="252"/>
        <v>38334</v>
      </c>
      <c r="E2437" s="1323">
        <f t="shared" si="254"/>
        <v>5.7858999999999998</v>
      </c>
      <c r="F2437" s="1323">
        <f t="shared" si="253"/>
        <v>6.1507304233350713</v>
      </c>
      <c r="G2437" s="1323">
        <f t="shared" si="255"/>
        <v>2004</v>
      </c>
      <c r="H2437" s="1323">
        <f t="shared" si="256"/>
        <v>12</v>
      </c>
      <c r="I2437" s="1323">
        <f t="shared" si="257"/>
        <v>13</v>
      </c>
      <c r="J2437" s="1323"/>
      <c r="K2437" s="1323"/>
      <c r="L2437" s="1323"/>
      <c r="M2437" s="1323"/>
      <c r="N2437" s="1323"/>
      <c r="O2437" s="1323"/>
      <c r="P2437" s="1323"/>
      <c r="Q2437" s="1323"/>
      <c r="R2437" s="1304"/>
      <c r="S2437" s="1304"/>
      <c r="T2437" s="1304"/>
    </row>
    <row r="2438" spans="1:20">
      <c r="A2438" s="1303"/>
      <c r="B2438" s="1322" t="s">
        <v>7052</v>
      </c>
      <c r="C2438" s="1323" t="s">
        <v>7053</v>
      </c>
      <c r="D2438" s="1324">
        <f t="shared" si="252"/>
        <v>38331</v>
      </c>
      <c r="E2438" s="1323">
        <f t="shared" si="254"/>
        <v>5.8841999999999999</v>
      </c>
      <c r="F2438" s="1323">
        <f t="shared" si="253"/>
        <v>6.1495510573788614</v>
      </c>
      <c r="G2438" s="1323">
        <f t="shared" si="255"/>
        <v>2004</v>
      </c>
      <c r="H2438" s="1323">
        <f t="shared" si="256"/>
        <v>12</v>
      </c>
      <c r="I2438" s="1323">
        <f t="shared" si="257"/>
        <v>10</v>
      </c>
      <c r="J2438" s="1323"/>
      <c r="K2438" s="1323"/>
      <c r="L2438" s="1323"/>
      <c r="M2438" s="1323"/>
      <c r="N2438" s="1323"/>
      <c r="O2438" s="1323"/>
      <c r="P2438" s="1323"/>
      <c r="Q2438" s="1323"/>
      <c r="R2438" s="1304"/>
      <c r="S2438" s="1304"/>
      <c r="T2438" s="1304"/>
    </row>
    <row r="2439" spans="1:20">
      <c r="A2439" s="1303"/>
      <c r="B2439" s="1322" t="s">
        <v>7054</v>
      </c>
      <c r="C2439" s="1323" t="s">
        <v>7055</v>
      </c>
      <c r="D2439" s="1324">
        <f t="shared" si="252"/>
        <v>38330</v>
      </c>
      <c r="E2439" s="1323">
        <f t="shared" si="254"/>
        <v>5.8535000000000004</v>
      </c>
      <c r="F2439" s="1323">
        <f t="shared" si="253"/>
        <v>6.1483719175590554</v>
      </c>
      <c r="G2439" s="1323">
        <f t="shared" si="255"/>
        <v>2004</v>
      </c>
      <c r="H2439" s="1323">
        <f t="shared" si="256"/>
        <v>12</v>
      </c>
      <c r="I2439" s="1323">
        <f t="shared" si="257"/>
        <v>9</v>
      </c>
      <c r="J2439" s="1323"/>
      <c r="K2439" s="1323"/>
      <c r="L2439" s="1323"/>
      <c r="M2439" s="1323"/>
      <c r="N2439" s="1323"/>
      <c r="O2439" s="1323"/>
      <c r="P2439" s="1323"/>
      <c r="Q2439" s="1323"/>
      <c r="R2439" s="1304"/>
      <c r="S2439" s="1304"/>
      <c r="T2439" s="1304"/>
    </row>
    <row r="2440" spans="1:20">
      <c r="A2440" s="1303"/>
      <c r="B2440" s="1322" t="s">
        <v>7056</v>
      </c>
      <c r="C2440" s="1323" t="s">
        <v>7057</v>
      </c>
      <c r="D2440" s="1324">
        <f t="shared" si="252"/>
        <v>38329</v>
      </c>
      <c r="E2440" s="1323">
        <f t="shared" si="254"/>
        <v>5.8593000000000002</v>
      </c>
      <c r="F2440" s="1323">
        <f t="shared" si="253"/>
        <v>6.1471930038322933</v>
      </c>
      <c r="G2440" s="1323">
        <f t="shared" si="255"/>
        <v>2004</v>
      </c>
      <c r="H2440" s="1323">
        <f t="shared" si="256"/>
        <v>12</v>
      </c>
      <c r="I2440" s="1323">
        <f t="shared" si="257"/>
        <v>8</v>
      </c>
      <c r="J2440" s="1323"/>
      <c r="K2440" s="1323"/>
      <c r="L2440" s="1323"/>
      <c r="M2440" s="1323"/>
      <c r="N2440" s="1323"/>
      <c r="O2440" s="1323"/>
      <c r="P2440" s="1323"/>
      <c r="Q2440" s="1323"/>
      <c r="R2440" s="1304"/>
      <c r="S2440" s="1304"/>
      <c r="T2440" s="1304"/>
    </row>
    <row r="2441" spans="1:20">
      <c r="A2441" s="1303"/>
      <c r="B2441" s="1322" t="s">
        <v>7058</v>
      </c>
      <c r="C2441" s="1323" t="s">
        <v>7059</v>
      </c>
      <c r="D2441" s="1324">
        <f t="shared" ref="D2441:D2504" si="258">DATE(G2441,H2441,I2441)</f>
        <v>38328</v>
      </c>
      <c r="E2441" s="1323">
        <f t="shared" si="254"/>
        <v>5.7262000000000004</v>
      </c>
      <c r="F2441" s="1323">
        <f t="shared" ref="F2441:F2504" si="259">F2442*(1+$F$7/365)</f>
        <v>6.1460143161552221</v>
      </c>
      <c r="G2441" s="1323">
        <f t="shared" si="255"/>
        <v>2004</v>
      </c>
      <c r="H2441" s="1323">
        <f t="shared" si="256"/>
        <v>12</v>
      </c>
      <c r="I2441" s="1323">
        <f t="shared" si="257"/>
        <v>7</v>
      </c>
      <c r="J2441" s="1323"/>
      <c r="K2441" s="1323"/>
      <c r="L2441" s="1323"/>
      <c r="M2441" s="1323"/>
      <c r="N2441" s="1323"/>
      <c r="O2441" s="1323"/>
      <c r="P2441" s="1323"/>
      <c r="Q2441" s="1323"/>
      <c r="R2441" s="1304"/>
      <c r="S2441" s="1304"/>
      <c r="T2441" s="1304"/>
    </row>
    <row r="2442" spans="1:20">
      <c r="A2442" s="1303"/>
      <c r="B2442" s="1322" t="s">
        <v>7060</v>
      </c>
      <c r="C2442" s="1323" t="s">
        <v>7061</v>
      </c>
      <c r="D2442" s="1324">
        <f t="shared" si="258"/>
        <v>38327</v>
      </c>
      <c r="E2442" s="1323">
        <f t="shared" si="254"/>
        <v>5.7344999999999997</v>
      </c>
      <c r="F2442" s="1323">
        <f t="shared" si="259"/>
        <v>6.1448358544844988</v>
      </c>
      <c r="G2442" s="1323">
        <f t="shared" si="255"/>
        <v>2004</v>
      </c>
      <c r="H2442" s="1323">
        <f t="shared" si="256"/>
        <v>12</v>
      </c>
      <c r="I2442" s="1323">
        <f t="shared" si="257"/>
        <v>6</v>
      </c>
      <c r="J2442" s="1323"/>
      <c r="K2442" s="1323"/>
      <c r="L2442" s="1323"/>
      <c r="M2442" s="1323"/>
      <c r="N2442" s="1323"/>
      <c r="O2442" s="1323"/>
      <c r="P2442" s="1323"/>
      <c r="Q2442" s="1323"/>
      <c r="R2442" s="1304"/>
      <c r="S2442" s="1304"/>
      <c r="T2442" s="1304"/>
    </row>
    <row r="2443" spans="1:20">
      <c r="A2443" s="1303"/>
      <c r="B2443" s="1322" t="s">
        <v>7062</v>
      </c>
      <c r="C2443" s="1323" t="s">
        <v>7063</v>
      </c>
      <c r="D2443" s="1324">
        <f t="shared" si="258"/>
        <v>38324</v>
      </c>
      <c r="E2443" s="1323">
        <f t="shared" si="254"/>
        <v>5.8388</v>
      </c>
      <c r="F2443" s="1323">
        <f t="shared" si="259"/>
        <v>6.1436576187767882</v>
      </c>
      <c r="G2443" s="1323">
        <f t="shared" si="255"/>
        <v>2004</v>
      </c>
      <c r="H2443" s="1323">
        <f t="shared" si="256"/>
        <v>12</v>
      </c>
      <c r="I2443" s="1323">
        <f t="shared" si="257"/>
        <v>3</v>
      </c>
      <c r="J2443" s="1323"/>
      <c r="K2443" s="1323"/>
      <c r="L2443" s="1323"/>
      <c r="M2443" s="1323"/>
      <c r="N2443" s="1323"/>
      <c r="O2443" s="1323"/>
      <c r="P2443" s="1323"/>
      <c r="Q2443" s="1323"/>
      <c r="R2443" s="1304"/>
      <c r="S2443" s="1304"/>
      <c r="T2443" s="1304"/>
    </row>
    <row r="2444" spans="1:20">
      <c r="A2444" s="1303"/>
      <c r="B2444" s="1322" t="s">
        <v>7064</v>
      </c>
      <c r="C2444" s="1323" t="s">
        <v>7065</v>
      </c>
      <c r="D2444" s="1324">
        <f t="shared" si="258"/>
        <v>38323</v>
      </c>
      <c r="E2444" s="1323">
        <f t="shared" si="254"/>
        <v>5.7427000000000001</v>
      </c>
      <c r="F2444" s="1323">
        <f t="shared" si="259"/>
        <v>6.1424796089887623</v>
      </c>
      <c r="G2444" s="1323">
        <f t="shared" si="255"/>
        <v>2004</v>
      </c>
      <c r="H2444" s="1323">
        <f t="shared" si="256"/>
        <v>12</v>
      </c>
      <c r="I2444" s="1323">
        <f t="shared" si="257"/>
        <v>2</v>
      </c>
      <c r="J2444" s="1323"/>
      <c r="K2444" s="1323"/>
      <c r="L2444" s="1323"/>
      <c r="M2444" s="1323"/>
      <c r="N2444" s="1323"/>
      <c r="O2444" s="1323"/>
      <c r="P2444" s="1323"/>
      <c r="Q2444" s="1323"/>
      <c r="R2444" s="1304"/>
      <c r="S2444" s="1304"/>
      <c r="T2444" s="1304"/>
    </row>
    <row r="2445" spans="1:20">
      <c r="A2445" s="1303"/>
      <c r="B2445" s="1322" t="s">
        <v>7066</v>
      </c>
      <c r="C2445" s="1323" t="s">
        <v>7067</v>
      </c>
      <c r="D2445" s="1324">
        <f t="shared" si="258"/>
        <v>38322</v>
      </c>
      <c r="E2445" s="1323">
        <f t="shared" si="254"/>
        <v>5.7934999999999999</v>
      </c>
      <c r="F2445" s="1323">
        <f t="shared" si="259"/>
        <v>6.1413018250771039</v>
      </c>
      <c r="G2445" s="1323">
        <f t="shared" si="255"/>
        <v>2004</v>
      </c>
      <c r="H2445" s="1323">
        <f t="shared" si="256"/>
        <v>12</v>
      </c>
      <c r="I2445" s="1323">
        <f t="shared" si="257"/>
        <v>1</v>
      </c>
      <c r="J2445" s="1323"/>
      <c r="K2445" s="1323"/>
      <c r="L2445" s="1323"/>
      <c r="M2445" s="1323"/>
      <c r="N2445" s="1323"/>
      <c r="O2445" s="1323"/>
      <c r="P2445" s="1323"/>
      <c r="Q2445" s="1323"/>
      <c r="R2445" s="1304"/>
      <c r="S2445" s="1304"/>
      <c r="T2445" s="1304"/>
    </row>
    <row r="2446" spans="1:20">
      <c r="A2446" s="1303"/>
      <c r="B2446" s="1322" t="s">
        <v>7068</v>
      </c>
      <c r="C2446" s="1323" t="s">
        <v>7069</v>
      </c>
      <c r="D2446" s="1324">
        <f t="shared" si="258"/>
        <v>38321</v>
      </c>
      <c r="E2446" s="1323">
        <f t="shared" si="254"/>
        <v>5.7945000000000002</v>
      </c>
      <c r="F2446" s="1323">
        <f t="shared" si="259"/>
        <v>6.1401242669985008</v>
      </c>
      <c r="G2446" s="1323">
        <f t="shared" si="255"/>
        <v>2004</v>
      </c>
      <c r="H2446" s="1323">
        <f t="shared" si="256"/>
        <v>11</v>
      </c>
      <c r="I2446" s="1323">
        <f t="shared" si="257"/>
        <v>30</v>
      </c>
      <c r="J2446" s="1323"/>
      <c r="K2446" s="1323"/>
      <c r="L2446" s="1323"/>
      <c r="M2446" s="1323"/>
      <c r="N2446" s="1323"/>
      <c r="O2446" s="1323"/>
      <c r="P2446" s="1323"/>
      <c r="Q2446" s="1323"/>
      <c r="R2446" s="1304"/>
      <c r="S2446" s="1304"/>
      <c r="T2446" s="1304"/>
    </row>
    <row r="2447" spans="1:20">
      <c r="A2447" s="1303"/>
      <c r="B2447" s="1322" t="s">
        <v>7070</v>
      </c>
      <c r="C2447" s="1323" t="s">
        <v>7071</v>
      </c>
      <c r="D2447" s="1324">
        <f t="shared" si="258"/>
        <v>38320</v>
      </c>
      <c r="E2447" s="1323">
        <f t="shared" si="254"/>
        <v>5.8493000000000004</v>
      </c>
      <c r="F2447" s="1323">
        <f t="shared" si="259"/>
        <v>6.1389469347096526</v>
      </c>
      <c r="G2447" s="1323">
        <f t="shared" si="255"/>
        <v>2004</v>
      </c>
      <c r="H2447" s="1323">
        <f t="shared" si="256"/>
        <v>11</v>
      </c>
      <c r="I2447" s="1323">
        <f t="shared" si="257"/>
        <v>29</v>
      </c>
      <c r="J2447" s="1323"/>
      <c r="K2447" s="1323"/>
      <c r="L2447" s="1323"/>
      <c r="M2447" s="1323"/>
      <c r="N2447" s="1323"/>
      <c r="O2447" s="1323"/>
      <c r="P2447" s="1323"/>
      <c r="Q2447" s="1323"/>
      <c r="R2447" s="1304"/>
      <c r="S2447" s="1304"/>
      <c r="T2447" s="1304"/>
    </row>
    <row r="2448" spans="1:20">
      <c r="A2448" s="1303"/>
      <c r="B2448" s="1322" t="s">
        <v>7072</v>
      </c>
      <c r="C2448" s="1323" t="s">
        <v>7073</v>
      </c>
      <c r="D2448" s="1324">
        <f t="shared" si="258"/>
        <v>38317</v>
      </c>
      <c r="E2448" s="1323">
        <f t="shared" si="254"/>
        <v>5.8851000000000004</v>
      </c>
      <c r="F2448" s="1323">
        <f t="shared" si="259"/>
        <v>6.1377698281672641</v>
      </c>
      <c r="G2448" s="1323">
        <f t="shared" si="255"/>
        <v>2004</v>
      </c>
      <c r="H2448" s="1323">
        <f t="shared" si="256"/>
        <v>11</v>
      </c>
      <c r="I2448" s="1323">
        <f t="shared" si="257"/>
        <v>26</v>
      </c>
      <c r="J2448" s="1323"/>
      <c r="K2448" s="1323"/>
      <c r="L2448" s="1323"/>
      <c r="M2448" s="1323"/>
      <c r="N2448" s="1323"/>
      <c r="O2448" s="1323"/>
      <c r="P2448" s="1323"/>
      <c r="Q2448" s="1323"/>
      <c r="R2448" s="1304"/>
      <c r="S2448" s="1304"/>
      <c r="T2448" s="1304"/>
    </row>
    <row r="2449" spans="1:20">
      <c r="A2449" s="1303"/>
      <c r="B2449" s="1322" t="s">
        <v>7074</v>
      </c>
      <c r="C2449" s="1323" t="s">
        <v>7075</v>
      </c>
      <c r="D2449" s="1324">
        <f t="shared" si="258"/>
        <v>38316</v>
      </c>
      <c r="E2449" s="1323">
        <f t="shared" si="254"/>
        <v>5.9086999999999996</v>
      </c>
      <c r="F2449" s="1323">
        <f t="shared" si="259"/>
        <v>6.1365929473280501</v>
      </c>
      <c r="G2449" s="1323">
        <f t="shared" si="255"/>
        <v>2004</v>
      </c>
      <c r="H2449" s="1323">
        <f t="shared" si="256"/>
        <v>11</v>
      </c>
      <c r="I2449" s="1323">
        <f t="shared" si="257"/>
        <v>25</v>
      </c>
      <c r="J2449" s="1323"/>
      <c r="K2449" s="1323"/>
      <c r="L2449" s="1323"/>
      <c r="M2449" s="1323"/>
      <c r="N2449" s="1323"/>
      <c r="O2449" s="1323"/>
      <c r="P2449" s="1323"/>
      <c r="Q2449" s="1323"/>
      <c r="R2449" s="1304"/>
      <c r="S2449" s="1304"/>
      <c r="T2449" s="1304"/>
    </row>
    <row r="2450" spans="1:20">
      <c r="A2450" s="1303"/>
      <c r="B2450" s="1322" t="s">
        <v>7076</v>
      </c>
      <c r="C2450" s="1323" t="s">
        <v>7077</v>
      </c>
      <c r="D2450" s="1324">
        <f t="shared" si="258"/>
        <v>38315</v>
      </c>
      <c r="E2450" s="1323">
        <f t="shared" si="254"/>
        <v>5.9579000000000004</v>
      </c>
      <c r="F2450" s="1323">
        <f t="shared" si="259"/>
        <v>6.1354162921487339</v>
      </c>
      <c r="G2450" s="1323">
        <f t="shared" si="255"/>
        <v>2004</v>
      </c>
      <c r="H2450" s="1323">
        <f t="shared" si="256"/>
        <v>11</v>
      </c>
      <c r="I2450" s="1323">
        <f t="shared" si="257"/>
        <v>24</v>
      </c>
      <c r="J2450" s="1323"/>
      <c r="K2450" s="1323"/>
      <c r="L2450" s="1323"/>
      <c r="M2450" s="1323"/>
      <c r="N2450" s="1323"/>
      <c r="O2450" s="1323"/>
      <c r="P2450" s="1323"/>
      <c r="Q2450" s="1323"/>
      <c r="R2450" s="1304"/>
      <c r="S2450" s="1304"/>
      <c r="T2450" s="1304"/>
    </row>
    <row r="2451" spans="1:20">
      <c r="A2451" s="1303"/>
      <c r="B2451" s="1322" t="s">
        <v>7078</v>
      </c>
      <c r="C2451" s="1323" t="s">
        <v>7079</v>
      </c>
      <c r="D2451" s="1324">
        <f t="shared" si="258"/>
        <v>38314</v>
      </c>
      <c r="E2451" s="1323">
        <f t="shared" si="254"/>
        <v>6.0228999999999999</v>
      </c>
      <c r="F2451" s="1323">
        <f t="shared" si="259"/>
        <v>6.1342398625860461</v>
      </c>
      <c r="G2451" s="1323">
        <f t="shared" si="255"/>
        <v>2004</v>
      </c>
      <c r="H2451" s="1323">
        <f t="shared" si="256"/>
        <v>11</v>
      </c>
      <c r="I2451" s="1323">
        <f t="shared" si="257"/>
        <v>23</v>
      </c>
      <c r="J2451" s="1323"/>
      <c r="K2451" s="1323"/>
      <c r="L2451" s="1323"/>
      <c r="M2451" s="1323"/>
      <c r="N2451" s="1323"/>
      <c r="O2451" s="1323"/>
      <c r="P2451" s="1323"/>
      <c r="Q2451" s="1323"/>
      <c r="R2451" s="1304"/>
      <c r="S2451" s="1304"/>
      <c r="T2451" s="1304"/>
    </row>
    <row r="2452" spans="1:20">
      <c r="A2452" s="1303"/>
      <c r="B2452" s="1322" t="s">
        <v>7080</v>
      </c>
      <c r="C2452" s="1323" t="s">
        <v>7081</v>
      </c>
      <c r="D2452" s="1324">
        <f t="shared" si="258"/>
        <v>38313</v>
      </c>
      <c r="E2452" s="1323">
        <f t="shared" si="254"/>
        <v>6.0377000000000001</v>
      </c>
      <c r="F2452" s="1323">
        <f t="shared" si="259"/>
        <v>6.1330636585967264</v>
      </c>
      <c r="G2452" s="1323">
        <f t="shared" si="255"/>
        <v>2004</v>
      </c>
      <c r="H2452" s="1323">
        <f t="shared" si="256"/>
        <v>11</v>
      </c>
      <c r="I2452" s="1323">
        <f t="shared" si="257"/>
        <v>22</v>
      </c>
      <c r="J2452" s="1323"/>
      <c r="K2452" s="1323"/>
      <c r="L2452" s="1323"/>
      <c r="M2452" s="1323"/>
      <c r="N2452" s="1323"/>
      <c r="O2452" s="1323"/>
      <c r="P2452" s="1323"/>
      <c r="Q2452" s="1323"/>
      <c r="R2452" s="1304"/>
      <c r="S2452" s="1304"/>
      <c r="T2452" s="1304"/>
    </row>
    <row r="2453" spans="1:20">
      <c r="A2453" s="1303"/>
      <c r="B2453" s="1322" t="s">
        <v>7082</v>
      </c>
      <c r="C2453" s="1323" t="s">
        <v>7083</v>
      </c>
      <c r="D2453" s="1324">
        <f t="shared" si="258"/>
        <v>38310</v>
      </c>
      <c r="E2453" s="1323">
        <f t="shared" si="254"/>
        <v>6.0202999999999998</v>
      </c>
      <c r="F2453" s="1323">
        <f t="shared" si="259"/>
        <v>6.1318876801375222</v>
      </c>
      <c r="G2453" s="1323">
        <f t="shared" si="255"/>
        <v>2004</v>
      </c>
      <c r="H2453" s="1323">
        <f t="shared" si="256"/>
        <v>11</v>
      </c>
      <c r="I2453" s="1323">
        <f t="shared" si="257"/>
        <v>19</v>
      </c>
      <c r="J2453" s="1323"/>
      <c r="K2453" s="1323"/>
      <c r="L2453" s="1323"/>
      <c r="M2453" s="1323"/>
      <c r="N2453" s="1323"/>
      <c r="O2453" s="1323"/>
      <c r="P2453" s="1323"/>
      <c r="Q2453" s="1323"/>
      <c r="R2453" s="1304"/>
      <c r="S2453" s="1304"/>
      <c r="T2453" s="1304"/>
    </row>
    <row r="2454" spans="1:20">
      <c r="A2454" s="1303"/>
      <c r="B2454" s="1322" t="s">
        <v>7084</v>
      </c>
      <c r="C2454" s="1323" t="s">
        <v>7085</v>
      </c>
      <c r="D2454" s="1324">
        <f t="shared" si="258"/>
        <v>38309</v>
      </c>
      <c r="E2454" s="1323">
        <f t="shared" ref="E2454:E2517" si="260">VALUE(C2455)</f>
        <v>5.96</v>
      </c>
      <c r="F2454" s="1323">
        <f t="shared" si="259"/>
        <v>6.1307119271651889</v>
      </c>
      <c r="G2454" s="1323">
        <f t="shared" ref="G2454:G2517" si="261">YEAR(B2455)</f>
        <v>2004</v>
      </c>
      <c r="H2454" s="1323">
        <f t="shared" ref="H2454:H2517" si="262">MONTH(B2455)</f>
        <v>11</v>
      </c>
      <c r="I2454" s="1323">
        <f t="shared" ref="I2454:I2517" si="263">DAY(B2455)</f>
        <v>18</v>
      </c>
      <c r="J2454" s="1323"/>
      <c r="K2454" s="1323"/>
      <c r="L2454" s="1323"/>
      <c r="M2454" s="1323"/>
      <c r="N2454" s="1323"/>
      <c r="O2454" s="1323"/>
      <c r="P2454" s="1323"/>
      <c r="Q2454" s="1323"/>
      <c r="R2454" s="1304"/>
      <c r="S2454" s="1304"/>
      <c r="T2454" s="1304"/>
    </row>
    <row r="2455" spans="1:20">
      <c r="A2455" s="1303"/>
      <c r="B2455" s="1322" t="s">
        <v>7086</v>
      </c>
      <c r="C2455" s="1323" t="s">
        <v>7087</v>
      </c>
      <c r="D2455" s="1324">
        <f t="shared" si="258"/>
        <v>38308</v>
      </c>
      <c r="E2455" s="1323">
        <f t="shared" si="260"/>
        <v>6.0231000000000003</v>
      </c>
      <c r="F2455" s="1323">
        <f t="shared" si="259"/>
        <v>6.1295363996364909</v>
      </c>
      <c r="G2455" s="1323">
        <f t="shared" si="261"/>
        <v>2004</v>
      </c>
      <c r="H2455" s="1323">
        <f t="shared" si="262"/>
        <v>11</v>
      </c>
      <c r="I2455" s="1323">
        <f t="shared" si="263"/>
        <v>17</v>
      </c>
      <c r="J2455" s="1323"/>
      <c r="K2455" s="1323"/>
      <c r="L2455" s="1323"/>
      <c r="M2455" s="1323"/>
      <c r="N2455" s="1323"/>
      <c r="O2455" s="1323"/>
      <c r="P2455" s="1323"/>
      <c r="Q2455" s="1323"/>
      <c r="R2455" s="1304"/>
      <c r="S2455" s="1304"/>
      <c r="T2455" s="1304"/>
    </row>
    <row r="2456" spans="1:20">
      <c r="A2456" s="1303"/>
      <c r="B2456" s="1322" t="s">
        <v>7088</v>
      </c>
      <c r="C2456" s="1323" t="s">
        <v>7089</v>
      </c>
      <c r="D2456" s="1324">
        <f t="shared" si="258"/>
        <v>38307</v>
      </c>
      <c r="E2456" s="1323">
        <f t="shared" si="260"/>
        <v>6.0849000000000002</v>
      </c>
      <c r="F2456" s="1323">
        <f t="shared" si="259"/>
        <v>6.1283610975082015</v>
      </c>
      <c r="G2456" s="1323">
        <f t="shared" si="261"/>
        <v>2004</v>
      </c>
      <c r="H2456" s="1323">
        <f t="shared" si="262"/>
        <v>11</v>
      </c>
      <c r="I2456" s="1323">
        <f t="shared" si="263"/>
        <v>16</v>
      </c>
      <c r="J2456" s="1323"/>
      <c r="K2456" s="1323"/>
      <c r="L2456" s="1323"/>
      <c r="M2456" s="1323"/>
      <c r="N2456" s="1323"/>
      <c r="O2456" s="1323"/>
      <c r="P2456" s="1323"/>
      <c r="Q2456" s="1323"/>
      <c r="R2456" s="1304"/>
      <c r="S2456" s="1304"/>
      <c r="T2456" s="1304"/>
    </row>
    <row r="2457" spans="1:20">
      <c r="A2457" s="1303"/>
      <c r="B2457" s="1322" t="s">
        <v>7090</v>
      </c>
      <c r="C2457" s="1323" t="s">
        <v>7091</v>
      </c>
      <c r="D2457" s="1324">
        <f t="shared" si="258"/>
        <v>38306</v>
      </c>
      <c r="E2457" s="1323">
        <f t="shared" si="260"/>
        <v>6.0698999999999996</v>
      </c>
      <c r="F2457" s="1323">
        <f t="shared" si="259"/>
        <v>6.1271860207371009</v>
      </c>
      <c r="G2457" s="1323">
        <f t="shared" si="261"/>
        <v>2004</v>
      </c>
      <c r="H2457" s="1323">
        <f t="shared" si="262"/>
        <v>11</v>
      </c>
      <c r="I2457" s="1323">
        <f t="shared" si="263"/>
        <v>15</v>
      </c>
      <c r="J2457" s="1323"/>
      <c r="K2457" s="1323"/>
      <c r="L2457" s="1323"/>
      <c r="M2457" s="1323"/>
      <c r="N2457" s="1323"/>
      <c r="O2457" s="1323"/>
      <c r="P2457" s="1323"/>
      <c r="Q2457" s="1323"/>
      <c r="R2457" s="1304"/>
      <c r="S2457" s="1304"/>
      <c r="T2457" s="1304"/>
    </row>
    <row r="2458" spans="1:20">
      <c r="A2458" s="1303"/>
      <c r="B2458" s="1322" t="s">
        <v>7092</v>
      </c>
      <c r="C2458" s="1323" t="s">
        <v>7093</v>
      </c>
      <c r="D2458" s="1324">
        <f t="shared" si="258"/>
        <v>38303</v>
      </c>
      <c r="E2458" s="1323">
        <f t="shared" si="260"/>
        <v>6.1877000000000004</v>
      </c>
      <c r="F2458" s="1323">
        <f t="shared" si="259"/>
        <v>6.1260111692799786</v>
      </c>
      <c r="G2458" s="1323">
        <f t="shared" si="261"/>
        <v>2004</v>
      </c>
      <c r="H2458" s="1323">
        <f t="shared" si="262"/>
        <v>11</v>
      </c>
      <c r="I2458" s="1323">
        <f t="shared" si="263"/>
        <v>12</v>
      </c>
      <c r="J2458" s="1323"/>
      <c r="K2458" s="1323"/>
      <c r="L2458" s="1323"/>
      <c r="M2458" s="1323"/>
      <c r="N2458" s="1323"/>
      <c r="O2458" s="1323"/>
      <c r="P2458" s="1323"/>
      <c r="Q2458" s="1323"/>
      <c r="R2458" s="1304"/>
      <c r="S2458" s="1304"/>
      <c r="T2458" s="1304"/>
    </row>
    <row r="2459" spans="1:20">
      <c r="A2459" s="1303"/>
      <c r="B2459" s="1322" t="s">
        <v>7094</v>
      </c>
      <c r="C2459" s="1323" t="s">
        <v>7095</v>
      </c>
      <c r="D2459" s="1324">
        <f t="shared" si="258"/>
        <v>38302</v>
      </c>
      <c r="E2459" s="1323">
        <f t="shared" si="260"/>
        <v>6.1993999999999998</v>
      </c>
      <c r="F2459" s="1323">
        <f t="shared" si="259"/>
        <v>6.1248365430936316</v>
      </c>
      <c r="G2459" s="1323">
        <f t="shared" si="261"/>
        <v>2004</v>
      </c>
      <c r="H2459" s="1323">
        <f t="shared" si="262"/>
        <v>11</v>
      </c>
      <c r="I2459" s="1323">
        <f t="shared" si="263"/>
        <v>11</v>
      </c>
      <c r="J2459" s="1323"/>
      <c r="K2459" s="1323"/>
      <c r="L2459" s="1323"/>
      <c r="M2459" s="1323"/>
      <c r="N2459" s="1323"/>
      <c r="O2459" s="1323"/>
      <c r="P2459" s="1323"/>
      <c r="Q2459" s="1323"/>
      <c r="R2459" s="1304"/>
      <c r="S2459" s="1304"/>
      <c r="T2459" s="1304"/>
    </row>
    <row r="2460" spans="1:20">
      <c r="A2460" s="1303"/>
      <c r="B2460" s="1322" t="s">
        <v>7096</v>
      </c>
      <c r="C2460" s="1323" t="s">
        <v>7097</v>
      </c>
      <c r="D2460" s="1324">
        <f t="shared" si="258"/>
        <v>38301</v>
      </c>
      <c r="E2460" s="1323">
        <f t="shared" si="260"/>
        <v>6.2237999999999998</v>
      </c>
      <c r="F2460" s="1323">
        <f t="shared" si="259"/>
        <v>6.123662142134866</v>
      </c>
      <c r="G2460" s="1323">
        <f t="shared" si="261"/>
        <v>2004</v>
      </c>
      <c r="H2460" s="1323">
        <f t="shared" si="262"/>
        <v>11</v>
      </c>
      <c r="I2460" s="1323">
        <f t="shared" si="263"/>
        <v>10</v>
      </c>
      <c r="J2460" s="1323"/>
      <c r="K2460" s="1323"/>
      <c r="L2460" s="1323"/>
      <c r="M2460" s="1323"/>
      <c r="N2460" s="1323"/>
      <c r="O2460" s="1323"/>
      <c r="P2460" s="1323"/>
      <c r="Q2460" s="1323"/>
      <c r="R2460" s="1304"/>
      <c r="S2460" s="1304"/>
      <c r="T2460" s="1304"/>
    </row>
    <row r="2461" spans="1:20">
      <c r="A2461" s="1303"/>
      <c r="B2461" s="1322" t="s">
        <v>7098</v>
      </c>
      <c r="C2461" s="1323" t="s">
        <v>7099</v>
      </c>
      <c r="D2461" s="1324">
        <f t="shared" si="258"/>
        <v>38300</v>
      </c>
      <c r="E2461" s="1323">
        <f t="shared" si="260"/>
        <v>6.2209000000000003</v>
      </c>
      <c r="F2461" s="1323">
        <f t="shared" si="259"/>
        <v>6.1224879663604952</v>
      </c>
      <c r="G2461" s="1323">
        <f t="shared" si="261"/>
        <v>2004</v>
      </c>
      <c r="H2461" s="1323">
        <f t="shared" si="262"/>
        <v>11</v>
      </c>
      <c r="I2461" s="1323">
        <f t="shared" si="263"/>
        <v>9</v>
      </c>
      <c r="J2461" s="1323"/>
      <c r="K2461" s="1323"/>
      <c r="L2461" s="1323"/>
      <c r="M2461" s="1323"/>
      <c r="N2461" s="1323"/>
      <c r="O2461" s="1323"/>
      <c r="P2461" s="1323"/>
      <c r="Q2461" s="1323"/>
      <c r="R2461" s="1304"/>
      <c r="S2461" s="1304"/>
      <c r="T2461" s="1304"/>
    </row>
    <row r="2462" spans="1:20">
      <c r="A2462" s="1303"/>
      <c r="B2462" s="1322" t="s">
        <v>7100</v>
      </c>
      <c r="C2462" s="1323" t="s">
        <v>7101</v>
      </c>
      <c r="D2462" s="1324">
        <f t="shared" si="258"/>
        <v>38299</v>
      </c>
      <c r="E2462" s="1323">
        <f t="shared" si="260"/>
        <v>6.1395</v>
      </c>
      <c r="F2462" s="1323">
        <f t="shared" si="259"/>
        <v>6.121314015727342</v>
      </c>
      <c r="G2462" s="1323">
        <f t="shared" si="261"/>
        <v>2004</v>
      </c>
      <c r="H2462" s="1323">
        <f t="shared" si="262"/>
        <v>11</v>
      </c>
      <c r="I2462" s="1323">
        <f t="shared" si="263"/>
        <v>8</v>
      </c>
      <c r="J2462" s="1323"/>
      <c r="K2462" s="1323"/>
      <c r="L2462" s="1323"/>
      <c r="M2462" s="1323"/>
      <c r="N2462" s="1323"/>
      <c r="O2462" s="1323"/>
      <c r="P2462" s="1323"/>
      <c r="Q2462" s="1323"/>
      <c r="R2462" s="1304"/>
      <c r="S2462" s="1304"/>
      <c r="T2462" s="1304"/>
    </row>
    <row r="2463" spans="1:20">
      <c r="A2463" s="1303"/>
      <c r="B2463" s="1322" t="s">
        <v>7102</v>
      </c>
      <c r="C2463" s="1323" t="s">
        <v>7103</v>
      </c>
      <c r="D2463" s="1324">
        <f t="shared" si="258"/>
        <v>38296</v>
      </c>
      <c r="E2463" s="1323">
        <f t="shared" si="260"/>
        <v>6.1490999999999998</v>
      </c>
      <c r="F2463" s="1323">
        <f t="shared" si="259"/>
        <v>6.1201402901922366</v>
      </c>
      <c r="G2463" s="1323">
        <f t="shared" si="261"/>
        <v>2004</v>
      </c>
      <c r="H2463" s="1323">
        <f t="shared" si="262"/>
        <v>11</v>
      </c>
      <c r="I2463" s="1323">
        <f t="shared" si="263"/>
        <v>5</v>
      </c>
      <c r="J2463" s="1323"/>
      <c r="K2463" s="1323"/>
      <c r="L2463" s="1323"/>
      <c r="M2463" s="1323"/>
      <c r="N2463" s="1323"/>
      <c r="O2463" s="1323"/>
      <c r="P2463" s="1323"/>
      <c r="Q2463" s="1323"/>
      <c r="R2463" s="1304"/>
      <c r="S2463" s="1304"/>
      <c r="T2463" s="1304"/>
    </row>
    <row r="2464" spans="1:20">
      <c r="A2464" s="1303"/>
      <c r="B2464" s="1322" t="s">
        <v>7104</v>
      </c>
      <c r="C2464" s="1323" t="s">
        <v>7105</v>
      </c>
      <c r="D2464" s="1324">
        <f t="shared" si="258"/>
        <v>38295</v>
      </c>
      <c r="E2464" s="1323">
        <f t="shared" si="260"/>
        <v>6.1029</v>
      </c>
      <c r="F2464" s="1323">
        <f t="shared" si="259"/>
        <v>6.1189667897120179</v>
      </c>
      <c r="G2464" s="1323">
        <f t="shared" si="261"/>
        <v>2004</v>
      </c>
      <c r="H2464" s="1323">
        <f t="shared" si="262"/>
        <v>11</v>
      </c>
      <c r="I2464" s="1323">
        <f t="shared" si="263"/>
        <v>4</v>
      </c>
      <c r="J2464" s="1323"/>
      <c r="K2464" s="1323"/>
      <c r="L2464" s="1323"/>
      <c r="M2464" s="1323"/>
      <c r="N2464" s="1323"/>
      <c r="O2464" s="1323"/>
      <c r="P2464" s="1323"/>
      <c r="Q2464" s="1323"/>
      <c r="R2464" s="1304"/>
      <c r="S2464" s="1304"/>
      <c r="T2464" s="1304"/>
    </row>
    <row r="2465" spans="1:20">
      <c r="A2465" s="1303"/>
      <c r="B2465" s="1322" t="s">
        <v>7106</v>
      </c>
      <c r="C2465" s="1323" t="s">
        <v>7107</v>
      </c>
      <c r="D2465" s="1324">
        <f t="shared" si="258"/>
        <v>38294</v>
      </c>
      <c r="E2465" s="1323">
        <f t="shared" si="260"/>
        <v>6.1528999999999998</v>
      </c>
      <c r="F2465" s="1323">
        <f t="shared" si="259"/>
        <v>6.1177935142435329</v>
      </c>
      <c r="G2465" s="1323">
        <f t="shared" si="261"/>
        <v>2004</v>
      </c>
      <c r="H2465" s="1323">
        <f t="shared" si="262"/>
        <v>11</v>
      </c>
      <c r="I2465" s="1323">
        <f t="shared" si="263"/>
        <v>3</v>
      </c>
      <c r="J2465" s="1323"/>
      <c r="K2465" s="1323"/>
      <c r="L2465" s="1323"/>
      <c r="M2465" s="1323"/>
      <c r="N2465" s="1323"/>
      <c r="O2465" s="1323"/>
      <c r="P2465" s="1323"/>
      <c r="Q2465" s="1323"/>
      <c r="R2465" s="1304"/>
      <c r="S2465" s="1304"/>
      <c r="T2465" s="1304"/>
    </row>
    <row r="2466" spans="1:20">
      <c r="A2466" s="1303"/>
      <c r="B2466" s="1322" t="s">
        <v>7108</v>
      </c>
      <c r="C2466" s="1323" t="s">
        <v>7109</v>
      </c>
      <c r="D2466" s="1324">
        <f t="shared" si="258"/>
        <v>38293</v>
      </c>
      <c r="E2466" s="1323">
        <f t="shared" si="260"/>
        <v>6.1638000000000002</v>
      </c>
      <c r="F2466" s="1323">
        <f t="shared" si="259"/>
        <v>6.1166204637436365</v>
      </c>
      <c r="G2466" s="1323">
        <f t="shared" si="261"/>
        <v>2004</v>
      </c>
      <c r="H2466" s="1323">
        <f t="shared" si="262"/>
        <v>11</v>
      </c>
      <c r="I2466" s="1323">
        <f t="shared" si="263"/>
        <v>2</v>
      </c>
      <c r="J2466" s="1323"/>
      <c r="K2466" s="1323"/>
      <c r="L2466" s="1323"/>
      <c r="M2466" s="1323"/>
      <c r="N2466" s="1323"/>
      <c r="O2466" s="1323"/>
      <c r="P2466" s="1323"/>
      <c r="Q2466" s="1323"/>
      <c r="R2466" s="1304"/>
      <c r="S2466" s="1304"/>
      <c r="T2466" s="1304"/>
    </row>
    <row r="2467" spans="1:20">
      <c r="A2467" s="1303"/>
      <c r="B2467" s="1322" t="s">
        <v>7110</v>
      </c>
      <c r="C2467" s="1323" t="s">
        <v>7111</v>
      </c>
      <c r="D2467" s="1324">
        <f t="shared" si="258"/>
        <v>38292</v>
      </c>
      <c r="E2467" s="1323">
        <f t="shared" si="260"/>
        <v>6.1272000000000002</v>
      </c>
      <c r="F2467" s="1323">
        <f t="shared" si="259"/>
        <v>6.1154476381691927</v>
      </c>
      <c r="G2467" s="1323">
        <f t="shared" si="261"/>
        <v>2004</v>
      </c>
      <c r="H2467" s="1323">
        <f t="shared" si="262"/>
        <v>11</v>
      </c>
      <c r="I2467" s="1323">
        <f t="shared" si="263"/>
        <v>1</v>
      </c>
      <c r="J2467" s="1323"/>
      <c r="K2467" s="1323"/>
      <c r="L2467" s="1323"/>
      <c r="M2467" s="1323"/>
      <c r="N2467" s="1323"/>
      <c r="O2467" s="1323"/>
      <c r="P2467" s="1323"/>
      <c r="Q2467" s="1323"/>
      <c r="R2467" s="1304"/>
      <c r="S2467" s="1304"/>
      <c r="T2467" s="1304"/>
    </row>
    <row r="2468" spans="1:20">
      <c r="A2468" s="1303"/>
      <c r="B2468" s="1322" t="s">
        <v>7112</v>
      </c>
      <c r="C2468" s="1323" t="s">
        <v>7113</v>
      </c>
      <c r="D2468" s="1324">
        <f t="shared" si="258"/>
        <v>38289</v>
      </c>
      <c r="E2468" s="1323">
        <f t="shared" si="260"/>
        <v>6.0865</v>
      </c>
      <c r="F2468" s="1323">
        <f t="shared" si="259"/>
        <v>6.114275037477074</v>
      </c>
      <c r="G2468" s="1323">
        <f t="shared" si="261"/>
        <v>2004</v>
      </c>
      <c r="H2468" s="1323">
        <f t="shared" si="262"/>
        <v>10</v>
      </c>
      <c r="I2468" s="1323">
        <f t="shared" si="263"/>
        <v>29</v>
      </c>
      <c r="J2468" s="1323"/>
      <c r="K2468" s="1323"/>
      <c r="L2468" s="1323"/>
      <c r="M2468" s="1323"/>
      <c r="N2468" s="1323"/>
      <c r="O2468" s="1323"/>
      <c r="P2468" s="1323"/>
      <c r="Q2468" s="1323"/>
      <c r="R2468" s="1304"/>
      <c r="S2468" s="1304"/>
      <c r="T2468" s="1304"/>
    </row>
    <row r="2469" spans="1:20">
      <c r="A2469" s="1303"/>
      <c r="B2469" s="1322" t="s">
        <v>7114</v>
      </c>
      <c r="C2469" s="1323" t="s">
        <v>7115</v>
      </c>
      <c r="D2469" s="1324">
        <f t="shared" si="258"/>
        <v>38288</v>
      </c>
      <c r="E2469" s="1323">
        <f t="shared" si="260"/>
        <v>6.1601999999999997</v>
      </c>
      <c r="F2469" s="1323">
        <f t="shared" si="259"/>
        <v>6.1131026616241595</v>
      </c>
      <c r="G2469" s="1323">
        <f t="shared" si="261"/>
        <v>2004</v>
      </c>
      <c r="H2469" s="1323">
        <f t="shared" si="262"/>
        <v>10</v>
      </c>
      <c r="I2469" s="1323">
        <f t="shared" si="263"/>
        <v>28</v>
      </c>
      <c r="J2469" s="1323"/>
      <c r="K2469" s="1323"/>
      <c r="L2469" s="1323"/>
      <c r="M2469" s="1323"/>
      <c r="N2469" s="1323"/>
      <c r="O2469" s="1323"/>
      <c r="P2469" s="1323"/>
      <c r="Q2469" s="1323"/>
      <c r="R2469" s="1304"/>
      <c r="S2469" s="1304"/>
      <c r="T2469" s="1304"/>
    </row>
    <row r="2470" spans="1:20">
      <c r="A2470" s="1303"/>
      <c r="B2470" s="1322" t="s">
        <v>7116</v>
      </c>
      <c r="C2470" s="1323" t="s">
        <v>7117</v>
      </c>
      <c r="D2470" s="1324">
        <f t="shared" si="258"/>
        <v>38287</v>
      </c>
      <c r="E2470" s="1323">
        <f t="shared" si="260"/>
        <v>6.2361000000000004</v>
      </c>
      <c r="F2470" s="1323">
        <f t="shared" si="259"/>
        <v>6.1119305105673378</v>
      </c>
      <c r="G2470" s="1323">
        <f t="shared" si="261"/>
        <v>2004</v>
      </c>
      <c r="H2470" s="1323">
        <f t="shared" si="262"/>
        <v>10</v>
      </c>
      <c r="I2470" s="1323">
        <f t="shared" si="263"/>
        <v>27</v>
      </c>
      <c r="J2470" s="1323"/>
      <c r="K2470" s="1323"/>
      <c r="L2470" s="1323"/>
      <c r="M2470" s="1323"/>
      <c r="N2470" s="1323"/>
      <c r="O2470" s="1323"/>
      <c r="P2470" s="1323"/>
      <c r="Q2470" s="1323"/>
      <c r="R2470" s="1304"/>
      <c r="S2470" s="1304"/>
      <c r="T2470" s="1304"/>
    </row>
    <row r="2471" spans="1:20">
      <c r="A2471" s="1303"/>
      <c r="B2471" s="1322" t="s">
        <v>7118</v>
      </c>
      <c r="C2471" s="1323" t="s">
        <v>7119</v>
      </c>
      <c r="D2471" s="1324">
        <f t="shared" si="258"/>
        <v>38286</v>
      </c>
      <c r="E2471" s="1323">
        <f t="shared" si="260"/>
        <v>6.2069000000000001</v>
      </c>
      <c r="F2471" s="1323">
        <f t="shared" si="259"/>
        <v>6.1107585842635066</v>
      </c>
      <c r="G2471" s="1323">
        <f t="shared" si="261"/>
        <v>2004</v>
      </c>
      <c r="H2471" s="1323">
        <f t="shared" si="262"/>
        <v>10</v>
      </c>
      <c r="I2471" s="1323">
        <f t="shared" si="263"/>
        <v>26</v>
      </c>
      <c r="J2471" s="1323"/>
      <c r="K2471" s="1323"/>
      <c r="L2471" s="1323"/>
      <c r="M2471" s="1323"/>
      <c r="N2471" s="1323"/>
      <c r="O2471" s="1323"/>
      <c r="P2471" s="1323"/>
      <c r="Q2471" s="1323"/>
      <c r="R2471" s="1304"/>
      <c r="S2471" s="1304"/>
      <c r="T2471" s="1304"/>
    </row>
    <row r="2472" spans="1:20">
      <c r="A2472" s="1303"/>
      <c r="B2472" s="1322" t="s">
        <v>7120</v>
      </c>
      <c r="C2472" s="1323" t="s">
        <v>7121</v>
      </c>
      <c r="D2472" s="1324">
        <f t="shared" si="258"/>
        <v>38285</v>
      </c>
      <c r="E2472" s="1323">
        <f t="shared" si="260"/>
        <v>6.1204000000000001</v>
      </c>
      <c r="F2472" s="1323">
        <f t="shared" si="259"/>
        <v>6.1095868826695696</v>
      </c>
      <c r="G2472" s="1323">
        <f t="shared" si="261"/>
        <v>2004</v>
      </c>
      <c r="H2472" s="1323">
        <f t="shared" si="262"/>
        <v>10</v>
      </c>
      <c r="I2472" s="1323">
        <f t="shared" si="263"/>
        <v>25</v>
      </c>
      <c r="J2472" s="1323"/>
      <c r="K2472" s="1323"/>
      <c r="L2472" s="1323"/>
      <c r="M2472" s="1323"/>
      <c r="N2472" s="1323"/>
      <c r="O2472" s="1323"/>
      <c r="P2472" s="1323"/>
      <c r="Q2472" s="1323"/>
      <c r="R2472" s="1304"/>
      <c r="S2472" s="1304"/>
      <c r="T2472" s="1304"/>
    </row>
    <row r="2473" spans="1:20">
      <c r="A2473" s="1303"/>
      <c r="B2473" s="1322" t="s">
        <v>7122</v>
      </c>
      <c r="C2473" s="1323" t="s">
        <v>7123</v>
      </c>
      <c r="D2473" s="1324">
        <f t="shared" si="258"/>
        <v>38282</v>
      </c>
      <c r="E2473" s="1323">
        <f t="shared" si="260"/>
        <v>6.1894</v>
      </c>
      <c r="F2473" s="1323">
        <f t="shared" si="259"/>
        <v>6.1084154057424405</v>
      </c>
      <c r="G2473" s="1323">
        <f t="shared" si="261"/>
        <v>2004</v>
      </c>
      <c r="H2473" s="1323">
        <f t="shared" si="262"/>
        <v>10</v>
      </c>
      <c r="I2473" s="1323">
        <f t="shared" si="263"/>
        <v>22</v>
      </c>
      <c r="J2473" s="1323"/>
      <c r="K2473" s="1323"/>
      <c r="L2473" s="1323"/>
      <c r="M2473" s="1323"/>
      <c r="N2473" s="1323"/>
      <c r="O2473" s="1323"/>
      <c r="P2473" s="1323"/>
      <c r="Q2473" s="1323"/>
      <c r="R2473" s="1304"/>
      <c r="S2473" s="1304"/>
      <c r="T2473" s="1304"/>
    </row>
    <row r="2474" spans="1:20">
      <c r="A2474" s="1303"/>
      <c r="B2474" s="1322" t="s">
        <v>7124</v>
      </c>
      <c r="C2474" s="1323" t="s">
        <v>7125</v>
      </c>
      <c r="D2474" s="1324">
        <f t="shared" si="258"/>
        <v>38281</v>
      </c>
      <c r="E2474" s="1323">
        <f t="shared" si="260"/>
        <v>6.2977999999999996</v>
      </c>
      <c r="F2474" s="1323">
        <f t="shared" si="259"/>
        <v>6.1072441534390407</v>
      </c>
      <c r="G2474" s="1323">
        <f t="shared" si="261"/>
        <v>2004</v>
      </c>
      <c r="H2474" s="1323">
        <f t="shared" si="262"/>
        <v>10</v>
      </c>
      <c r="I2474" s="1323">
        <f t="shared" si="263"/>
        <v>21</v>
      </c>
      <c r="J2474" s="1323"/>
      <c r="K2474" s="1323"/>
      <c r="L2474" s="1323"/>
      <c r="M2474" s="1323"/>
      <c r="N2474" s="1323"/>
      <c r="O2474" s="1323"/>
      <c r="P2474" s="1323"/>
      <c r="Q2474" s="1323"/>
      <c r="R2474" s="1304"/>
      <c r="S2474" s="1304"/>
      <c r="T2474" s="1304"/>
    </row>
    <row r="2475" spans="1:20">
      <c r="A2475" s="1303"/>
      <c r="B2475" s="1322" t="s">
        <v>7126</v>
      </c>
      <c r="C2475" s="1323" t="s">
        <v>7127</v>
      </c>
      <c r="D2475" s="1324">
        <f t="shared" si="258"/>
        <v>38280</v>
      </c>
      <c r="E2475" s="1323">
        <f t="shared" si="260"/>
        <v>6.2746000000000004</v>
      </c>
      <c r="F2475" s="1323">
        <f t="shared" si="259"/>
        <v>6.1060731257163008</v>
      </c>
      <c r="G2475" s="1323">
        <f t="shared" si="261"/>
        <v>2004</v>
      </c>
      <c r="H2475" s="1323">
        <f t="shared" si="262"/>
        <v>10</v>
      </c>
      <c r="I2475" s="1323">
        <f t="shared" si="263"/>
        <v>20</v>
      </c>
      <c r="J2475" s="1323"/>
      <c r="K2475" s="1323"/>
      <c r="L2475" s="1323"/>
      <c r="M2475" s="1323"/>
      <c r="N2475" s="1323"/>
      <c r="O2475" s="1323"/>
      <c r="P2475" s="1323"/>
      <c r="Q2475" s="1323"/>
      <c r="R2475" s="1304"/>
      <c r="S2475" s="1304"/>
      <c r="T2475" s="1304"/>
    </row>
    <row r="2476" spans="1:20">
      <c r="A2476" s="1303"/>
      <c r="B2476" s="1322" t="s">
        <v>7128</v>
      </c>
      <c r="C2476" s="1323" t="s">
        <v>7129</v>
      </c>
      <c r="D2476" s="1324">
        <f t="shared" si="258"/>
        <v>38279</v>
      </c>
      <c r="E2476" s="1323">
        <f t="shared" si="260"/>
        <v>6.3724999999999996</v>
      </c>
      <c r="F2476" s="1323">
        <f t="shared" si="259"/>
        <v>6.1049023225311574</v>
      </c>
      <c r="G2476" s="1323">
        <f t="shared" si="261"/>
        <v>2004</v>
      </c>
      <c r="H2476" s="1323">
        <f t="shared" si="262"/>
        <v>10</v>
      </c>
      <c r="I2476" s="1323">
        <f t="shared" si="263"/>
        <v>19</v>
      </c>
      <c r="J2476" s="1323"/>
      <c r="K2476" s="1323"/>
      <c r="L2476" s="1323"/>
      <c r="M2476" s="1323"/>
      <c r="N2476" s="1323"/>
      <c r="O2476" s="1323"/>
      <c r="P2476" s="1323"/>
      <c r="Q2476" s="1323"/>
      <c r="R2476" s="1304"/>
      <c r="S2476" s="1304"/>
      <c r="T2476" s="1304"/>
    </row>
    <row r="2477" spans="1:20">
      <c r="A2477" s="1303"/>
      <c r="B2477" s="1322" t="s">
        <v>7130</v>
      </c>
      <c r="C2477" s="1323" t="s">
        <v>7131</v>
      </c>
      <c r="D2477" s="1324">
        <f t="shared" si="258"/>
        <v>38278</v>
      </c>
      <c r="E2477" s="1323">
        <f t="shared" si="260"/>
        <v>6.4138000000000002</v>
      </c>
      <c r="F2477" s="1323">
        <f t="shared" si="259"/>
        <v>6.1037317438405578</v>
      </c>
      <c r="G2477" s="1323">
        <f t="shared" si="261"/>
        <v>2004</v>
      </c>
      <c r="H2477" s="1323">
        <f t="shared" si="262"/>
        <v>10</v>
      </c>
      <c r="I2477" s="1323">
        <f t="shared" si="263"/>
        <v>18</v>
      </c>
      <c r="J2477" s="1323"/>
      <c r="K2477" s="1323"/>
      <c r="L2477" s="1323"/>
      <c r="M2477" s="1323"/>
      <c r="N2477" s="1323"/>
      <c r="O2477" s="1323"/>
      <c r="P2477" s="1323"/>
      <c r="Q2477" s="1323"/>
      <c r="R2477" s="1304"/>
      <c r="S2477" s="1304"/>
      <c r="T2477" s="1304"/>
    </row>
    <row r="2478" spans="1:20">
      <c r="A2478" s="1303"/>
      <c r="B2478" s="1322" t="s">
        <v>7132</v>
      </c>
      <c r="C2478" s="1323" t="s">
        <v>7133</v>
      </c>
      <c r="D2478" s="1324">
        <f t="shared" si="258"/>
        <v>38275</v>
      </c>
      <c r="E2478" s="1323">
        <f t="shared" si="260"/>
        <v>6.4917999999999996</v>
      </c>
      <c r="F2478" s="1323">
        <f t="shared" si="259"/>
        <v>6.1025613896014557</v>
      </c>
      <c r="G2478" s="1323">
        <f t="shared" si="261"/>
        <v>2004</v>
      </c>
      <c r="H2478" s="1323">
        <f t="shared" si="262"/>
        <v>10</v>
      </c>
      <c r="I2478" s="1323">
        <f t="shared" si="263"/>
        <v>15</v>
      </c>
      <c r="J2478" s="1323"/>
      <c r="K2478" s="1323"/>
      <c r="L2478" s="1323"/>
      <c r="M2478" s="1323"/>
      <c r="N2478" s="1323"/>
      <c r="O2478" s="1323"/>
      <c r="P2478" s="1323"/>
      <c r="Q2478" s="1323"/>
      <c r="R2478" s="1304"/>
      <c r="S2478" s="1304"/>
      <c r="T2478" s="1304"/>
    </row>
    <row r="2479" spans="1:20">
      <c r="A2479" s="1303"/>
      <c r="B2479" s="1322" t="s">
        <v>7134</v>
      </c>
      <c r="C2479" s="1323" t="s">
        <v>7135</v>
      </c>
      <c r="D2479" s="1324">
        <f t="shared" si="258"/>
        <v>38274</v>
      </c>
      <c r="E2479" s="1323">
        <f t="shared" si="260"/>
        <v>6.5749000000000004</v>
      </c>
      <c r="F2479" s="1323">
        <f t="shared" si="259"/>
        <v>6.1013912597708142</v>
      </c>
      <c r="G2479" s="1323">
        <f t="shared" si="261"/>
        <v>2004</v>
      </c>
      <c r="H2479" s="1323">
        <f t="shared" si="262"/>
        <v>10</v>
      </c>
      <c r="I2479" s="1323">
        <f t="shared" si="263"/>
        <v>14</v>
      </c>
      <c r="J2479" s="1323"/>
      <c r="K2479" s="1323"/>
      <c r="L2479" s="1323"/>
      <c r="M2479" s="1323"/>
      <c r="N2479" s="1323"/>
      <c r="O2479" s="1323"/>
      <c r="P2479" s="1323"/>
      <c r="Q2479" s="1323"/>
      <c r="R2479" s="1304"/>
      <c r="S2479" s="1304"/>
      <c r="T2479" s="1304"/>
    </row>
    <row r="2480" spans="1:20">
      <c r="A2480" s="1303"/>
      <c r="B2480" s="1322" t="s">
        <v>7136</v>
      </c>
      <c r="C2480" s="1323" t="s">
        <v>7137</v>
      </c>
      <c r="D2480" s="1324">
        <f t="shared" si="258"/>
        <v>38273</v>
      </c>
      <c r="E2480" s="1323">
        <f t="shared" si="260"/>
        <v>6.5640000000000001</v>
      </c>
      <c r="F2480" s="1323">
        <f t="shared" si="259"/>
        <v>6.1002213543056047</v>
      </c>
      <c r="G2480" s="1323">
        <f t="shared" si="261"/>
        <v>2004</v>
      </c>
      <c r="H2480" s="1323">
        <f t="shared" si="262"/>
        <v>10</v>
      </c>
      <c r="I2480" s="1323">
        <f t="shared" si="263"/>
        <v>13</v>
      </c>
      <c r="J2480" s="1323"/>
      <c r="K2480" s="1323"/>
      <c r="L2480" s="1323"/>
      <c r="M2480" s="1323"/>
      <c r="N2480" s="1323"/>
      <c r="O2480" s="1323"/>
      <c r="P2480" s="1323"/>
      <c r="Q2480" s="1323"/>
      <c r="R2480" s="1304"/>
      <c r="S2480" s="1304"/>
      <c r="T2480" s="1304"/>
    </row>
    <row r="2481" spans="1:20">
      <c r="A2481" s="1303"/>
      <c r="B2481" s="1322" t="s">
        <v>7138</v>
      </c>
      <c r="C2481" s="1323" t="s">
        <v>7139</v>
      </c>
      <c r="D2481" s="1324">
        <f t="shared" si="258"/>
        <v>38272</v>
      </c>
      <c r="E2481" s="1323">
        <f t="shared" si="260"/>
        <v>6.5377999999999998</v>
      </c>
      <c r="F2481" s="1323">
        <f t="shared" si="259"/>
        <v>6.0990516731628066</v>
      </c>
      <c r="G2481" s="1323">
        <f t="shared" si="261"/>
        <v>2004</v>
      </c>
      <c r="H2481" s="1323">
        <f t="shared" si="262"/>
        <v>10</v>
      </c>
      <c r="I2481" s="1323">
        <f t="shared" si="263"/>
        <v>12</v>
      </c>
      <c r="J2481" s="1323"/>
      <c r="K2481" s="1323"/>
      <c r="L2481" s="1323"/>
      <c r="M2481" s="1323"/>
      <c r="N2481" s="1323"/>
      <c r="O2481" s="1323"/>
      <c r="P2481" s="1323"/>
      <c r="Q2481" s="1323"/>
      <c r="R2481" s="1304"/>
      <c r="S2481" s="1304"/>
      <c r="T2481" s="1304"/>
    </row>
    <row r="2482" spans="1:20">
      <c r="A2482" s="1303"/>
      <c r="B2482" s="1322" t="s">
        <v>7140</v>
      </c>
      <c r="C2482" s="1323" t="s">
        <v>6339</v>
      </c>
      <c r="D2482" s="1324">
        <f t="shared" si="258"/>
        <v>38271</v>
      </c>
      <c r="E2482" s="1323">
        <f t="shared" si="260"/>
        <v>6.5564</v>
      </c>
      <c r="F2482" s="1323">
        <f t="shared" si="259"/>
        <v>6.0978822162994062</v>
      </c>
      <c r="G2482" s="1323">
        <f t="shared" si="261"/>
        <v>2004</v>
      </c>
      <c r="H2482" s="1323">
        <f t="shared" si="262"/>
        <v>10</v>
      </c>
      <c r="I2482" s="1323">
        <f t="shared" si="263"/>
        <v>11</v>
      </c>
      <c r="J2482" s="1323"/>
      <c r="K2482" s="1323"/>
      <c r="L2482" s="1323"/>
      <c r="M2482" s="1323"/>
      <c r="N2482" s="1323"/>
      <c r="O2482" s="1323"/>
      <c r="P2482" s="1323"/>
      <c r="Q2482" s="1323"/>
      <c r="R2482" s="1304"/>
      <c r="S2482" s="1304"/>
      <c r="T2482" s="1304"/>
    </row>
    <row r="2483" spans="1:20">
      <c r="A2483" s="1303"/>
      <c r="B2483" s="1322" t="s">
        <v>7141</v>
      </c>
      <c r="C2483" s="1323" t="s">
        <v>7142</v>
      </c>
      <c r="D2483" s="1324">
        <f t="shared" si="258"/>
        <v>38268</v>
      </c>
      <c r="E2483" s="1323">
        <f t="shared" si="260"/>
        <v>6.5925000000000002</v>
      </c>
      <c r="F2483" s="1323">
        <f t="shared" si="259"/>
        <v>6.0967129836724006</v>
      </c>
      <c r="G2483" s="1323">
        <f t="shared" si="261"/>
        <v>2004</v>
      </c>
      <c r="H2483" s="1323">
        <f t="shared" si="262"/>
        <v>10</v>
      </c>
      <c r="I2483" s="1323">
        <f t="shared" si="263"/>
        <v>8</v>
      </c>
      <c r="J2483" s="1323"/>
      <c r="K2483" s="1323"/>
      <c r="L2483" s="1323"/>
      <c r="M2483" s="1323"/>
      <c r="N2483" s="1323"/>
      <c r="O2483" s="1323"/>
      <c r="P2483" s="1323"/>
      <c r="Q2483" s="1323"/>
      <c r="R2483" s="1304"/>
      <c r="S2483" s="1304"/>
      <c r="T2483" s="1304"/>
    </row>
    <row r="2484" spans="1:20">
      <c r="A2484" s="1303"/>
      <c r="B2484" s="1322" t="s">
        <v>7143</v>
      </c>
      <c r="C2484" s="1323" t="s">
        <v>7144</v>
      </c>
      <c r="D2484" s="1324">
        <f t="shared" si="258"/>
        <v>38267</v>
      </c>
      <c r="E2484" s="1323">
        <f t="shared" si="260"/>
        <v>6.5850999999999997</v>
      </c>
      <c r="F2484" s="1323">
        <f t="shared" si="259"/>
        <v>6.095543975238793</v>
      </c>
      <c r="G2484" s="1323">
        <f t="shared" si="261"/>
        <v>2004</v>
      </c>
      <c r="H2484" s="1323">
        <f t="shared" si="262"/>
        <v>10</v>
      </c>
      <c r="I2484" s="1323">
        <f t="shared" si="263"/>
        <v>7</v>
      </c>
      <c r="J2484" s="1323"/>
      <c r="K2484" s="1323"/>
      <c r="L2484" s="1323"/>
      <c r="M2484" s="1323"/>
      <c r="N2484" s="1323"/>
      <c r="O2484" s="1323"/>
      <c r="P2484" s="1323"/>
      <c r="Q2484" s="1323"/>
      <c r="R2484" s="1304"/>
      <c r="S2484" s="1304"/>
      <c r="T2484" s="1304"/>
    </row>
    <row r="2485" spans="1:20">
      <c r="A2485" s="1303"/>
      <c r="B2485" s="1322" t="s">
        <v>7145</v>
      </c>
      <c r="C2485" s="1323" t="s">
        <v>7146</v>
      </c>
      <c r="D2485" s="1324">
        <f t="shared" si="258"/>
        <v>38266</v>
      </c>
      <c r="E2485" s="1323">
        <f t="shared" si="260"/>
        <v>6.524</v>
      </c>
      <c r="F2485" s="1323">
        <f t="shared" si="259"/>
        <v>6.0943751909555957</v>
      </c>
      <c r="G2485" s="1323">
        <f t="shared" si="261"/>
        <v>2004</v>
      </c>
      <c r="H2485" s="1323">
        <f t="shared" si="262"/>
        <v>10</v>
      </c>
      <c r="I2485" s="1323">
        <f t="shared" si="263"/>
        <v>6</v>
      </c>
      <c r="J2485" s="1323"/>
      <c r="K2485" s="1323"/>
      <c r="L2485" s="1323"/>
      <c r="M2485" s="1323"/>
      <c r="N2485" s="1323"/>
      <c r="O2485" s="1323"/>
      <c r="P2485" s="1323"/>
      <c r="Q2485" s="1323"/>
      <c r="R2485" s="1304"/>
      <c r="S2485" s="1304"/>
      <c r="T2485" s="1304"/>
    </row>
    <row r="2486" spans="1:20">
      <c r="A2486" s="1303"/>
      <c r="B2486" s="1322" t="s">
        <v>7147</v>
      </c>
      <c r="C2486" s="1323" t="s">
        <v>7148</v>
      </c>
      <c r="D2486" s="1324">
        <f t="shared" si="258"/>
        <v>38265</v>
      </c>
      <c r="E2486" s="1323">
        <f t="shared" si="260"/>
        <v>6.5148999999999999</v>
      </c>
      <c r="F2486" s="1323">
        <f t="shared" si="259"/>
        <v>6.0932066307798296</v>
      </c>
      <c r="G2486" s="1323">
        <f t="shared" si="261"/>
        <v>2004</v>
      </c>
      <c r="H2486" s="1323">
        <f t="shared" si="262"/>
        <v>10</v>
      </c>
      <c r="I2486" s="1323">
        <f t="shared" si="263"/>
        <v>5</v>
      </c>
      <c r="J2486" s="1323"/>
      <c r="K2486" s="1323"/>
      <c r="L2486" s="1323"/>
      <c r="M2486" s="1323"/>
      <c r="N2486" s="1323"/>
      <c r="O2486" s="1323"/>
      <c r="P2486" s="1323"/>
      <c r="Q2486" s="1323"/>
      <c r="R2486" s="1304"/>
      <c r="S2486" s="1304"/>
      <c r="T2486" s="1304"/>
    </row>
    <row r="2487" spans="1:20">
      <c r="A2487" s="1303"/>
      <c r="B2487" s="1322" t="s">
        <v>7149</v>
      </c>
      <c r="C2487" s="1323" t="s">
        <v>7150</v>
      </c>
      <c r="D2487" s="1324">
        <f t="shared" si="258"/>
        <v>38264</v>
      </c>
      <c r="E2487" s="1323">
        <f t="shared" si="260"/>
        <v>6.4748000000000001</v>
      </c>
      <c r="F2487" s="1323">
        <f t="shared" si="259"/>
        <v>6.092038294668523</v>
      </c>
      <c r="G2487" s="1323">
        <f t="shared" si="261"/>
        <v>2004</v>
      </c>
      <c r="H2487" s="1323">
        <f t="shared" si="262"/>
        <v>10</v>
      </c>
      <c r="I2487" s="1323">
        <f t="shared" si="263"/>
        <v>4</v>
      </c>
      <c r="J2487" s="1323"/>
      <c r="K2487" s="1323"/>
      <c r="L2487" s="1323"/>
      <c r="M2487" s="1323"/>
      <c r="N2487" s="1323"/>
      <c r="O2487" s="1323"/>
      <c r="P2487" s="1323"/>
      <c r="Q2487" s="1323"/>
      <c r="R2487" s="1304"/>
      <c r="S2487" s="1304"/>
      <c r="T2487" s="1304"/>
    </row>
    <row r="2488" spans="1:20">
      <c r="A2488" s="1303"/>
      <c r="B2488" s="1322" t="s">
        <v>7151</v>
      </c>
      <c r="C2488" s="1323" t="s">
        <v>7152</v>
      </c>
      <c r="D2488" s="1324">
        <f t="shared" si="258"/>
        <v>38261</v>
      </c>
      <c r="E2488" s="1323">
        <f t="shared" si="260"/>
        <v>6.4569999999999999</v>
      </c>
      <c r="F2488" s="1323">
        <f t="shared" si="259"/>
        <v>6.0908701825787128</v>
      </c>
      <c r="G2488" s="1323">
        <f t="shared" si="261"/>
        <v>2004</v>
      </c>
      <c r="H2488" s="1323">
        <f t="shared" si="262"/>
        <v>10</v>
      </c>
      <c r="I2488" s="1323">
        <f t="shared" si="263"/>
        <v>1</v>
      </c>
      <c r="J2488" s="1323"/>
      <c r="K2488" s="1323"/>
      <c r="L2488" s="1323"/>
      <c r="M2488" s="1323"/>
      <c r="N2488" s="1323"/>
      <c r="O2488" s="1323"/>
      <c r="P2488" s="1323"/>
      <c r="Q2488" s="1323"/>
      <c r="R2488" s="1304"/>
      <c r="S2488" s="1304"/>
      <c r="T2488" s="1304"/>
    </row>
    <row r="2489" spans="1:20">
      <c r="A2489" s="1303"/>
      <c r="B2489" s="1322" t="s">
        <v>7153</v>
      </c>
      <c r="C2489" s="1323" t="s">
        <v>7154</v>
      </c>
      <c r="D2489" s="1324">
        <f t="shared" si="258"/>
        <v>38260</v>
      </c>
      <c r="E2489" s="1323">
        <f t="shared" si="260"/>
        <v>6.4398999999999997</v>
      </c>
      <c r="F2489" s="1323">
        <f t="shared" si="259"/>
        <v>6.089702294467445</v>
      </c>
      <c r="G2489" s="1323">
        <f t="shared" si="261"/>
        <v>2004</v>
      </c>
      <c r="H2489" s="1323">
        <f t="shared" si="262"/>
        <v>9</v>
      </c>
      <c r="I2489" s="1323">
        <f t="shared" si="263"/>
        <v>30</v>
      </c>
      <c r="J2489" s="1323"/>
      <c r="K2489" s="1323"/>
      <c r="L2489" s="1323"/>
      <c r="M2489" s="1323"/>
      <c r="N2489" s="1323"/>
      <c r="O2489" s="1323"/>
      <c r="P2489" s="1323"/>
      <c r="Q2489" s="1323"/>
      <c r="R2489" s="1304"/>
      <c r="S2489" s="1304"/>
      <c r="T2489" s="1304"/>
    </row>
    <row r="2490" spans="1:20">
      <c r="A2490" s="1303"/>
      <c r="B2490" s="1322" t="s">
        <v>7155</v>
      </c>
      <c r="C2490" s="1323" t="s">
        <v>7156</v>
      </c>
      <c r="D2490" s="1324">
        <f t="shared" si="258"/>
        <v>38259</v>
      </c>
      <c r="E2490" s="1323">
        <f t="shared" si="260"/>
        <v>6.4458000000000002</v>
      </c>
      <c r="F2490" s="1323">
        <f t="shared" si="259"/>
        <v>6.0885346302917727</v>
      </c>
      <c r="G2490" s="1323">
        <f t="shared" si="261"/>
        <v>2004</v>
      </c>
      <c r="H2490" s="1323">
        <f t="shared" si="262"/>
        <v>9</v>
      </c>
      <c r="I2490" s="1323">
        <f t="shared" si="263"/>
        <v>29</v>
      </c>
      <c r="J2490" s="1323"/>
      <c r="K2490" s="1323"/>
      <c r="L2490" s="1323"/>
      <c r="M2490" s="1323"/>
      <c r="N2490" s="1323"/>
      <c r="O2490" s="1323"/>
      <c r="P2490" s="1323"/>
      <c r="Q2490" s="1323"/>
      <c r="R2490" s="1304"/>
      <c r="S2490" s="1304"/>
      <c r="T2490" s="1304"/>
    </row>
    <row r="2491" spans="1:20">
      <c r="A2491" s="1303"/>
      <c r="B2491" s="1322" t="s">
        <v>7157</v>
      </c>
      <c r="C2491" s="1323" t="s">
        <v>7158</v>
      </c>
      <c r="D2491" s="1324">
        <f t="shared" si="258"/>
        <v>38258</v>
      </c>
      <c r="E2491" s="1323">
        <f t="shared" si="260"/>
        <v>6.4119999999999999</v>
      </c>
      <c r="F2491" s="1323">
        <f t="shared" si="259"/>
        <v>6.0873671900087567</v>
      </c>
      <c r="G2491" s="1323">
        <f t="shared" si="261"/>
        <v>2004</v>
      </c>
      <c r="H2491" s="1323">
        <f t="shared" si="262"/>
        <v>9</v>
      </c>
      <c r="I2491" s="1323">
        <f t="shared" si="263"/>
        <v>28</v>
      </c>
      <c r="J2491" s="1323"/>
      <c r="K2491" s="1323"/>
      <c r="L2491" s="1323"/>
      <c r="M2491" s="1323"/>
      <c r="N2491" s="1323"/>
      <c r="O2491" s="1323"/>
      <c r="P2491" s="1323"/>
      <c r="Q2491" s="1323"/>
      <c r="R2491" s="1304"/>
      <c r="S2491" s="1304"/>
      <c r="T2491" s="1304"/>
    </row>
    <row r="2492" spans="1:20">
      <c r="A2492" s="1303"/>
      <c r="B2492" s="1322" t="s">
        <v>7159</v>
      </c>
      <c r="C2492" s="1323" t="s">
        <v>7160</v>
      </c>
      <c r="D2492" s="1324">
        <f t="shared" si="258"/>
        <v>38257</v>
      </c>
      <c r="E2492" s="1323">
        <f t="shared" si="260"/>
        <v>6.4245000000000001</v>
      </c>
      <c r="F2492" s="1323">
        <f t="shared" si="259"/>
        <v>6.0861999735754679</v>
      </c>
      <c r="G2492" s="1323">
        <f t="shared" si="261"/>
        <v>2004</v>
      </c>
      <c r="H2492" s="1323">
        <f t="shared" si="262"/>
        <v>9</v>
      </c>
      <c r="I2492" s="1323">
        <f t="shared" si="263"/>
        <v>27</v>
      </c>
      <c r="J2492" s="1323"/>
      <c r="K2492" s="1323"/>
      <c r="L2492" s="1323"/>
      <c r="M2492" s="1323"/>
      <c r="N2492" s="1323"/>
      <c r="O2492" s="1323"/>
      <c r="P2492" s="1323"/>
      <c r="Q2492" s="1323"/>
      <c r="R2492" s="1304"/>
      <c r="S2492" s="1304"/>
      <c r="T2492" s="1304"/>
    </row>
    <row r="2493" spans="1:20">
      <c r="A2493" s="1303"/>
      <c r="B2493" s="1322" t="s">
        <v>7161</v>
      </c>
      <c r="C2493" s="1323" t="s">
        <v>7162</v>
      </c>
      <c r="D2493" s="1324">
        <f t="shared" si="258"/>
        <v>38253</v>
      </c>
      <c r="E2493" s="1323">
        <f t="shared" si="260"/>
        <v>6.4789000000000003</v>
      </c>
      <c r="F2493" s="1323">
        <f t="shared" si="259"/>
        <v>6.0850329809489843</v>
      </c>
      <c r="G2493" s="1323">
        <f t="shared" si="261"/>
        <v>2004</v>
      </c>
      <c r="H2493" s="1323">
        <f t="shared" si="262"/>
        <v>9</v>
      </c>
      <c r="I2493" s="1323">
        <f t="shared" si="263"/>
        <v>23</v>
      </c>
      <c r="J2493" s="1323"/>
      <c r="K2493" s="1323"/>
      <c r="L2493" s="1323"/>
      <c r="M2493" s="1323"/>
      <c r="N2493" s="1323"/>
      <c r="O2493" s="1323"/>
      <c r="P2493" s="1323"/>
      <c r="Q2493" s="1323"/>
      <c r="R2493" s="1304"/>
      <c r="S2493" s="1304"/>
      <c r="T2493" s="1304"/>
    </row>
    <row r="2494" spans="1:20">
      <c r="A2494" s="1303"/>
      <c r="B2494" s="1322" t="s">
        <v>7163</v>
      </c>
      <c r="C2494" s="1323" t="s">
        <v>7164</v>
      </c>
      <c r="D2494" s="1324">
        <f t="shared" si="258"/>
        <v>38252</v>
      </c>
      <c r="E2494" s="1323">
        <f t="shared" si="260"/>
        <v>6.4580000000000002</v>
      </c>
      <c r="F2494" s="1323">
        <f t="shared" si="259"/>
        <v>6.0838662120863924</v>
      </c>
      <c r="G2494" s="1323">
        <f t="shared" si="261"/>
        <v>2004</v>
      </c>
      <c r="H2494" s="1323">
        <f t="shared" si="262"/>
        <v>9</v>
      </c>
      <c r="I2494" s="1323">
        <f t="shared" si="263"/>
        <v>22</v>
      </c>
      <c r="J2494" s="1323"/>
      <c r="K2494" s="1323"/>
      <c r="L2494" s="1323"/>
      <c r="M2494" s="1323"/>
      <c r="N2494" s="1323"/>
      <c r="O2494" s="1323"/>
      <c r="P2494" s="1323"/>
      <c r="Q2494" s="1323"/>
      <c r="R2494" s="1304"/>
      <c r="S2494" s="1304"/>
      <c r="T2494" s="1304"/>
    </row>
    <row r="2495" spans="1:20">
      <c r="A2495" s="1303"/>
      <c r="B2495" s="1322" t="s">
        <v>7165</v>
      </c>
      <c r="C2495" s="1323" t="s">
        <v>7166</v>
      </c>
      <c r="D2495" s="1324">
        <f t="shared" si="258"/>
        <v>38251</v>
      </c>
      <c r="E2495" s="1323">
        <f t="shared" si="260"/>
        <v>6.4748999999999999</v>
      </c>
      <c r="F2495" s="1323">
        <f t="shared" si="259"/>
        <v>6.0826996669447864</v>
      </c>
      <c r="G2495" s="1323">
        <f t="shared" si="261"/>
        <v>2004</v>
      </c>
      <c r="H2495" s="1323">
        <f t="shared" si="262"/>
        <v>9</v>
      </c>
      <c r="I2495" s="1323">
        <f t="shared" si="263"/>
        <v>21</v>
      </c>
      <c r="J2495" s="1323"/>
      <c r="K2495" s="1323"/>
      <c r="L2495" s="1323"/>
      <c r="M2495" s="1323"/>
      <c r="N2495" s="1323"/>
      <c r="O2495" s="1323"/>
      <c r="P2495" s="1323"/>
      <c r="Q2495" s="1323"/>
      <c r="R2495" s="1304"/>
      <c r="S2495" s="1304"/>
      <c r="T2495" s="1304"/>
    </row>
    <row r="2496" spans="1:20">
      <c r="A2496" s="1303"/>
      <c r="B2496" s="1322" t="s">
        <v>7167</v>
      </c>
      <c r="C2496" s="1323" t="s">
        <v>7168</v>
      </c>
      <c r="D2496" s="1324">
        <f t="shared" si="258"/>
        <v>38250</v>
      </c>
      <c r="E2496" s="1323">
        <f t="shared" si="260"/>
        <v>6.54</v>
      </c>
      <c r="F2496" s="1323">
        <f t="shared" si="259"/>
        <v>6.0815333454812688</v>
      </c>
      <c r="G2496" s="1323">
        <f t="shared" si="261"/>
        <v>2004</v>
      </c>
      <c r="H2496" s="1323">
        <f t="shared" si="262"/>
        <v>9</v>
      </c>
      <c r="I2496" s="1323">
        <f t="shared" si="263"/>
        <v>20</v>
      </c>
      <c r="J2496" s="1323"/>
      <c r="K2496" s="1323"/>
      <c r="L2496" s="1323"/>
      <c r="M2496" s="1323"/>
      <c r="N2496" s="1323"/>
      <c r="O2496" s="1323"/>
      <c r="P2496" s="1323"/>
      <c r="Q2496" s="1323"/>
      <c r="R2496" s="1304"/>
      <c r="S2496" s="1304"/>
      <c r="T2496" s="1304"/>
    </row>
    <row r="2497" spans="1:20">
      <c r="A2497" s="1303"/>
      <c r="B2497" s="1322" t="s">
        <v>7169</v>
      </c>
      <c r="C2497" s="1323" t="s">
        <v>7170</v>
      </c>
      <c r="D2497" s="1324">
        <f t="shared" si="258"/>
        <v>38247</v>
      </c>
      <c r="E2497" s="1323">
        <f t="shared" si="260"/>
        <v>6.5594999999999999</v>
      </c>
      <c r="F2497" s="1323">
        <f t="shared" si="259"/>
        <v>6.0803672476529513</v>
      </c>
      <c r="G2497" s="1323">
        <f t="shared" si="261"/>
        <v>2004</v>
      </c>
      <c r="H2497" s="1323">
        <f t="shared" si="262"/>
        <v>9</v>
      </c>
      <c r="I2497" s="1323">
        <f t="shared" si="263"/>
        <v>17</v>
      </c>
      <c r="J2497" s="1323"/>
      <c r="K2497" s="1323"/>
      <c r="L2497" s="1323"/>
      <c r="M2497" s="1323"/>
      <c r="N2497" s="1323"/>
      <c r="O2497" s="1323"/>
      <c r="P2497" s="1323"/>
      <c r="Q2497" s="1323"/>
      <c r="R2497" s="1304"/>
      <c r="S2497" s="1304"/>
      <c r="T2497" s="1304"/>
    </row>
    <row r="2498" spans="1:20">
      <c r="A2498" s="1303"/>
      <c r="B2498" s="1322" t="s">
        <v>7171</v>
      </c>
      <c r="C2498" s="1323" t="s">
        <v>7172</v>
      </c>
      <c r="D2498" s="1324">
        <f t="shared" si="258"/>
        <v>38246</v>
      </c>
      <c r="E2498" s="1323">
        <f t="shared" si="260"/>
        <v>6.5529999999999999</v>
      </c>
      <c r="F2498" s="1323">
        <f t="shared" si="259"/>
        <v>6.0792013734169537</v>
      </c>
      <c r="G2498" s="1323">
        <f t="shared" si="261"/>
        <v>2004</v>
      </c>
      <c r="H2498" s="1323">
        <f t="shared" si="262"/>
        <v>9</v>
      </c>
      <c r="I2498" s="1323">
        <f t="shared" si="263"/>
        <v>16</v>
      </c>
      <c r="J2498" s="1323"/>
      <c r="K2498" s="1323"/>
      <c r="L2498" s="1323"/>
      <c r="M2498" s="1323"/>
      <c r="N2498" s="1323"/>
      <c r="O2498" s="1323"/>
      <c r="P2498" s="1323"/>
      <c r="Q2498" s="1323"/>
      <c r="R2498" s="1304"/>
      <c r="S2498" s="1304"/>
      <c r="T2498" s="1304"/>
    </row>
    <row r="2499" spans="1:20">
      <c r="A2499" s="1303"/>
      <c r="B2499" s="1322" t="s">
        <v>7173</v>
      </c>
      <c r="C2499" s="1323" t="s">
        <v>7174</v>
      </c>
      <c r="D2499" s="1324">
        <f t="shared" si="258"/>
        <v>38245</v>
      </c>
      <c r="E2499" s="1323">
        <f t="shared" si="260"/>
        <v>6.5349000000000004</v>
      </c>
      <c r="F2499" s="1323">
        <f t="shared" si="259"/>
        <v>6.0780357227304025</v>
      </c>
      <c r="G2499" s="1323">
        <f t="shared" si="261"/>
        <v>2004</v>
      </c>
      <c r="H2499" s="1323">
        <f t="shared" si="262"/>
        <v>9</v>
      </c>
      <c r="I2499" s="1323">
        <f t="shared" si="263"/>
        <v>15</v>
      </c>
      <c r="J2499" s="1323"/>
      <c r="K2499" s="1323"/>
      <c r="L2499" s="1323"/>
      <c r="M2499" s="1323"/>
      <c r="N2499" s="1323"/>
      <c r="O2499" s="1323"/>
      <c r="P2499" s="1323"/>
      <c r="Q2499" s="1323"/>
      <c r="R2499" s="1304"/>
      <c r="S2499" s="1304"/>
      <c r="T2499" s="1304"/>
    </row>
    <row r="2500" spans="1:20">
      <c r="A2500" s="1303"/>
      <c r="B2500" s="1322" t="s">
        <v>7175</v>
      </c>
      <c r="C2500" s="1323" t="s">
        <v>7176</v>
      </c>
      <c r="D2500" s="1324">
        <f t="shared" si="258"/>
        <v>38244</v>
      </c>
      <c r="E2500" s="1323">
        <f t="shared" si="260"/>
        <v>6.5220000000000002</v>
      </c>
      <c r="F2500" s="1323">
        <f t="shared" si="259"/>
        <v>6.0768702955504335</v>
      </c>
      <c r="G2500" s="1323">
        <f t="shared" si="261"/>
        <v>2004</v>
      </c>
      <c r="H2500" s="1323">
        <f t="shared" si="262"/>
        <v>9</v>
      </c>
      <c r="I2500" s="1323">
        <f t="shared" si="263"/>
        <v>14</v>
      </c>
      <c r="J2500" s="1323"/>
      <c r="K2500" s="1323"/>
      <c r="L2500" s="1323"/>
      <c r="M2500" s="1323"/>
      <c r="N2500" s="1323"/>
      <c r="O2500" s="1323"/>
      <c r="P2500" s="1323"/>
      <c r="Q2500" s="1323"/>
      <c r="R2500" s="1304"/>
      <c r="S2500" s="1304"/>
      <c r="T2500" s="1304"/>
    </row>
    <row r="2501" spans="1:20">
      <c r="A2501" s="1303"/>
      <c r="B2501" s="1322" t="s">
        <v>7177</v>
      </c>
      <c r="C2501" s="1323" t="s">
        <v>7178</v>
      </c>
      <c r="D2501" s="1324">
        <f t="shared" si="258"/>
        <v>38243</v>
      </c>
      <c r="E2501" s="1323">
        <f t="shared" si="260"/>
        <v>6.5755999999999997</v>
      </c>
      <c r="F2501" s="1323">
        <f t="shared" si="259"/>
        <v>6.0757050918341911</v>
      </c>
      <c r="G2501" s="1323">
        <f t="shared" si="261"/>
        <v>2004</v>
      </c>
      <c r="H2501" s="1323">
        <f t="shared" si="262"/>
        <v>9</v>
      </c>
      <c r="I2501" s="1323">
        <f t="shared" si="263"/>
        <v>13</v>
      </c>
      <c r="J2501" s="1323"/>
      <c r="K2501" s="1323"/>
      <c r="L2501" s="1323"/>
      <c r="M2501" s="1323"/>
      <c r="N2501" s="1323"/>
      <c r="O2501" s="1323"/>
      <c r="P2501" s="1323"/>
      <c r="Q2501" s="1323"/>
      <c r="R2501" s="1304"/>
      <c r="S2501" s="1304"/>
      <c r="T2501" s="1304"/>
    </row>
    <row r="2502" spans="1:20">
      <c r="A2502" s="1303"/>
      <c r="B2502" s="1322" t="s">
        <v>7179</v>
      </c>
      <c r="C2502" s="1323" t="s">
        <v>7180</v>
      </c>
      <c r="D2502" s="1324">
        <f t="shared" si="258"/>
        <v>38240</v>
      </c>
      <c r="E2502" s="1323">
        <f t="shared" si="260"/>
        <v>6.6768999999999998</v>
      </c>
      <c r="F2502" s="1323">
        <f t="shared" si="259"/>
        <v>6.0745401115388269</v>
      </c>
      <c r="G2502" s="1323">
        <f t="shared" si="261"/>
        <v>2004</v>
      </c>
      <c r="H2502" s="1323">
        <f t="shared" si="262"/>
        <v>9</v>
      </c>
      <c r="I2502" s="1323">
        <f t="shared" si="263"/>
        <v>10</v>
      </c>
      <c r="J2502" s="1323"/>
      <c r="K2502" s="1323"/>
      <c r="L2502" s="1323"/>
      <c r="M2502" s="1323"/>
      <c r="N2502" s="1323"/>
      <c r="O2502" s="1323"/>
      <c r="P2502" s="1323"/>
      <c r="Q2502" s="1323"/>
      <c r="R2502" s="1304"/>
      <c r="S2502" s="1304"/>
      <c r="T2502" s="1304"/>
    </row>
    <row r="2503" spans="1:20">
      <c r="A2503" s="1303"/>
      <c r="B2503" s="1322" t="s">
        <v>7181</v>
      </c>
      <c r="C2503" s="1323" t="s">
        <v>6754</v>
      </c>
      <c r="D2503" s="1324">
        <f t="shared" si="258"/>
        <v>38239</v>
      </c>
      <c r="E2503" s="1323">
        <f t="shared" si="260"/>
        <v>6.6318000000000001</v>
      </c>
      <c r="F2503" s="1323">
        <f t="shared" si="259"/>
        <v>6.0733753546215024</v>
      </c>
      <c r="G2503" s="1323">
        <f t="shared" si="261"/>
        <v>2004</v>
      </c>
      <c r="H2503" s="1323">
        <f t="shared" si="262"/>
        <v>9</v>
      </c>
      <c r="I2503" s="1323">
        <f t="shared" si="263"/>
        <v>9</v>
      </c>
      <c r="J2503" s="1323"/>
      <c r="K2503" s="1323"/>
      <c r="L2503" s="1323"/>
      <c r="M2503" s="1323"/>
      <c r="N2503" s="1323"/>
      <c r="O2503" s="1323"/>
      <c r="P2503" s="1323"/>
      <c r="Q2503" s="1323"/>
      <c r="R2503" s="1304"/>
      <c r="S2503" s="1304"/>
      <c r="T2503" s="1304"/>
    </row>
    <row r="2504" spans="1:20">
      <c r="A2504" s="1303"/>
      <c r="B2504" s="1322" t="s">
        <v>7182</v>
      </c>
      <c r="C2504" s="1323" t="s">
        <v>7183</v>
      </c>
      <c r="D2504" s="1324">
        <f t="shared" si="258"/>
        <v>38238</v>
      </c>
      <c r="E2504" s="1323">
        <f t="shared" si="260"/>
        <v>6.6451000000000002</v>
      </c>
      <c r="F2504" s="1323">
        <f t="shared" si="259"/>
        <v>6.072210821039385</v>
      </c>
      <c r="G2504" s="1323">
        <f t="shared" si="261"/>
        <v>2004</v>
      </c>
      <c r="H2504" s="1323">
        <f t="shared" si="262"/>
        <v>9</v>
      </c>
      <c r="I2504" s="1323">
        <f t="shared" si="263"/>
        <v>8</v>
      </c>
      <c r="J2504" s="1323"/>
      <c r="K2504" s="1323"/>
      <c r="L2504" s="1323"/>
      <c r="M2504" s="1323"/>
      <c r="N2504" s="1323"/>
      <c r="O2504" s="1323"/>
      <c r="P2504" s="1323"/>
      <c r="Q2504" s="1323"/>
      <c r="R2504" s="1304"/>
      <c r="S2504" s="1304"/>
      <c r="T2504" s="1304"/>
    </row>
    <row r="2505" spans="1:20">
      <c r="A2505" s="1303"/>
      <c r="B2505" s="1322" t="s">
        <v>7184</v>
      </c>
      <c r="C2505" s="1323" t="s">
        <v>7185</v>
      </c>
      <c r="D2505" s="1324">
        <f t="shared" ref="D2505:D2568" si="264">DATE(G2505,H2505,I2505)</f>
        <v>38237</v>
      </c>
      <c r="E2505" s="1323">
        <f t="shared" si="260"/>
        <v>6.6318000000000001</v>
      </c>
      <c r="F2505" s="1323">
        <f t="shared" ref="F2505:F2568" si="265">F2506*(1+$F$7/365)</f>
        <v>6.0710465107496523</v>
      </c>
      <c r="G2505" s="1323">
        <f t="shared" si="261"/>
        <v>2004</v>
      </c>
      <c r="H2505" s="1323">
        <f t="shared" si="262"/>
        <v>9</v>
      </c>
      <c r="I2505" s="1323">
        <f t="shared" si="263"/>
        <v>7</v>
      </c>
      <c r="J2505" s="1323"/>
      <c r="K2505" s="1323"/>
      <c r="L2505" s="1323"/>
      <c r="M2505" s="1323"/>
      <c r="N2505" s="1323"/>
      <c r="O2505" s="1323"/>
      <c r="P2505" s="1323"/>
      <c r="Q2505" s="1323"/>
      <c r="R2505" s="1304"/>
      <c r="S2505" s="1304"/>
      <c r="T2505" s="1304"/>
    </row>
    <row r="2506" spans="1:20">
      <c r="A2506" s="1303"/>
      <c r="B2506" s="1322" t="s">
        <v>7186</v>
      </c>
      <c r="C2506" s="1323" t="s">
        <v>7183</v>
      </c>
      <c r="D2506" s="1324">
        <f t="shared" si="264"/>
        <v>38236</v>
      </c>
      <c r="E2506" s="1323">
        <f t="shared" si="260"/>
        <v>6.6388999999999996</v>
      </c>
      <c r="F2506" s="1323">
        <f t="shared" si="265"/>
        <v>6.0698824237094886</v>
      </c>
      <c r="G2506" s="1323">
        <f t="shared" si="261"/>
        <v>2004</v>
      </c>
      <c r="H2506" s="1323">
        <f t="shared" si="262"/>
        <v>9</v>
      </c>
      <c r="I2506" s="1323">
        <f t="shared" si="263"/>
        <v>6</v>
      </c>
      <c r="J2506" s="1323"/>
      <c r="K2506" s="1323"/>
      <c r="L2506" s="1323"/>
      <c r="M2506" s="1323"/>
      <c r="N2506" s="1323"/>
      <c r="O2506" s="1323"/>
      <c r="P2506" s="1323"/>
      <c r="Q2506" s="1323"/>
      <c r="R2506" s="1304"/>
      <c r="S2506" s="1304"/>
      <c r="T2506" s="1304"/>
    </row>
    <row r="2507" spans="1:20">
      <c r="A2507" s="1303"/>
      <c r="B2507" s="1322" t="s">
        <v>7187</v>
      </c>
      <c r="C2507" s="1323" t="s">
        <v>7188</v>
      </c>
      <c r="D2507" s="1324">
        <f t="shared" si="264"/>
        <v>38233</v>
      </c>
      <c r="E2507" s="1323">
        <f t="shared" si="260"/>
        <v>6.5876999999999999</v>
      </c>
      <c r="F2507" s="1323">
        <f t="shared" si="265"/>
        <v>6.0687185598760873</v>
      </c>
      <c r="G2507" s="1323">
        <f t="shared" si="261"/>
        <v>2004</v>
      </c>
      <c r="H2507" s="1323">
        <f t="shared" si="262"/>
        <v>9</v>
      </c>
      <c r="I2507" s="1323">
        <f t="shared" si="263"/>
        <v>3</v>
      </c>
      <c r="J2507" s="1323"/>
      <c r="K2507" s="1323"/>
      <c r="L2507" s="1323"/>
      <c r="M2507" s="1323"/>
      <c r="N2507" s="1323"/>
      <c r="O2507" s="1323"/>
      <c r="P2507" s="1323"/>
      <c r="Q2507" s="1323"/>
      <c r="R2507" s="1304"/>
      <c r="S2507" s="1304"/>
      <c r="T2507" s="1304"/>
    </row>
    <row r="2508" spans="1:20">
      <c r="A2508" s="1303"/>
      <c r="B2508" s="1322" t="s">
        <v>7189</v>
      </c>
      <c r="C2508" s="1323" t="s">
        <v>7190</v>
      </c>
      <c r="D2508" s="1324">
        <f t="shared" si="264"/>
        <v>38232</v>
      </c>
      <c r="E2508" s="1323">
        <f t="shared" si="260"/>
        <v>6.6223999999999998</v>
      </c>
      <c r="F2508" s="1323">
        <f t="shared" si="265"/>
        <v>6.0675549192066498</v>
      </c>
      <c r="G2508" s="1323">
        <f t="shared" si="261"/>
        <v>2004</v>
      </c>
      <c r="H2508" s="1323">
        <f t="shared" si="262"/>
        <v>9</v>
      </c>
      <c r="I2508" s="1323">
        <f t="shared" si="263"/>
        <v>2</v>
      </c>
      <c r="J2508" s="1323"/>
      <c r="K2508" s="1323"/>
      <c r="L2508" s="1323"/>
      <c r="M2508" s="1323"/>
      <c r="N2508" s="1323"/>
      <c r="O2508" s="1323"/>
      <c r="P2508" s="1323"/>
      <c r="Q2508" s="1323"/>
      <c r="R2508" s="1304"/>
      <c r="S2508" s="1304"/>
      <c r="T2508" s="1304"/>
    </row>
    <row r="2509" spans="1:20">
      <c r="A2509" s="1303"/>
      <c r="B2509" s="1322" t="s">
        <v>7191</v>
      </c>
      <c r="C2509" s="1323" t="s">
        <v>4101</v>
      </c>
      <c r="D2509" s="1324">
        <f t="shared" si="264"/>
        <v>38231</v>
      </c>
      <c r="E2509" s="1323">
        <f t="shared" si="260"/>
        <v>6.6528999999999998</v>
      </c>
      <c r="F2509" s="1323">
        <f t="shared" si="265"/>
        <v>6.0663915016583863</v>
      </c>
      <c r="G2509" s="1323">
        <f t="shared" si="261"/>
        <v>2004</v>
      </c>
      <c r="H2509" s="1323">
        <f t="shared" si="262"/>
        <v>9</v>
      </c>
      <c r="I2509" s="1323">
        <f t="shared" si="263"/>
        <v>1</v>
      </c>
      <c r="J2509" s="1323"/>
      <c r="K2509" s="1323"/>
      <c r="L2509" s="1323"/>
      <c r="M2509" s="1323"/>
      <c r="N2509" s="1323"/>
      <c r="O2509" s="1323"/>
      <c r="P2509" s="1323"/>
      <c r="Q2509" s="1323"/>
      <c r="R2509" s="1304"/>
      <c r="S2509" s="1304"/>
      <c r="T2509" s="1304"/>
    </row>
    <row r="2510" spans="1:20">
      <c r="A2510" s="1303"/>
      <c r="B2510" s="1322" t="s">
        <v>7192</v>
      </c>
      <c r="C2510" s="1323" t="s">
        <v>7193</v>
      </c>
      <c r="D2510" s="1324">
        <f t="shared" si="264"/>
        <v>38230</v>
      </c>
      <c r="E2510" s="1323">
        <f t="shared" si="260"/>
        <v>6.7008999999999999</v>
      </c>
      <c r="F2510" s="1323">
        <f t="shared" si="265"/>
        <v>6.065228307188514</v>
      </c>
      <c r="G2510" s="1323">
        <f t="shared" si="261"/>
        <v>2004</v>
      </c>
      <c r="H2510" s="1323">
        <f t="shared" si="262"/>
        <v>8</v>
      </c>
      <c r="I2510" s="1323">
        <f t="shared" si="263"/>
        <v>31</v>
      </c>
      <c r="J2510" s="1323"/>
      <c r="K2510" s="1323"/>
      <c r="L2510" s="1323"/>
      <c r="M2510" s="1323"/>
      <c r="N2510" s="1323"/>
      <c r="O2510" s="1323"/>
      <c r="P2510" s="1323"/>
      <c r="Q2510" s="1323"/>
      <c r="R2510" s="1304"/>
      <c r="S2510" s="1304"/>
      <c r="T2510" s="1304"/>
    </row>
    <row r="2511" spans="1:20">
      <c r="A2511" s="1303"/>
      <c r="B2511" s="1322" t="s">
        <v>7194</v>
      </c>
      <c r="C2511" s="1323" t="s">
        <v>7195</v>
      </c>
      <c r="D2511" s="1324">
        <f t="shared" si="264"/>
        <v>38229</v>
      </c>
      <c r="E2511" s="1323">
        <f t="shared" si="260"/>
        <v>6.6948999999999996</v>
      </c>
      <c r="F2511" s="1323">
        <f t="shared" si="265"/>
        <v>6.0640653357542593</v>
      </c>
      <c r="G2511" s="1323">
        <f t="shared" si="261"/>
        <v>2004</v>
      </c>
      <c r="H2511" s="1323">
        <f t="shared" si="262"/>
        <v>8</v>
      </c>
      <c r="I2511" s="1323">
        <f t="shared" si="263"/>
        <v>30</v>
      </c>
      <c r="J2511" s="1323"/>
      <c r="K2511" s="1323"/>
      <c r="L2511" s="1323"/>
      <c r="M2511" s="1323"/>
      <c r="N2511" s="1323"/>
      <c r="O2511" s="1323"/>
      <c r="P2511" s="1323"/>
      <c r="Q2511" s="1323"/>
      <c r="R2511" s="1304"/>
      <c r="S2511" s="1304"/>
      <c r="T2511" s="1304"/>
    </row>
    <row r="2512" spans="1:20">
      <c r="A2512" s="1303"/>
      <c r="B2512" s="1322" t="s">
        <v>7196</v>
      </c>
      <c r="C2512" s="1323" t="s">
        <v>7197</v>
      </c>
      <c r="D2512" s="1324">
        <f t="shared" si="264"/>
        <v>38226</v>
      </c>
      <c r="E2512" s="1323">
        <f t="shared" si="260"/>
        <v>6.6429</v>
      </c>
      <c r="F2512" s="1323">
        <f t="shared" si="265"/>
        <v>6.0629025873128564</v>
      </c>
      <c r="G2512" s="1323">
        <f t="shared" si="261"/>
        <v>2004</v>
      </c>
      <c r="H2512" s="1323">
        <f t="shared" si="262"/>
        <v>8</v>
      </c>
      <c r="I2512" s="1323">
        <f t="shared" si="263"/>
        <v>27</v>
      </c>
      <c r="J2512" s="1323"/>
      <c r="K2512" s="1323"/>
      <c r="L2512" s="1323"/>
      <c r="M2512" s="1323"/>
      <c r="N2512" s="1323"/>
      <c r="O2512" s="1323"/>
      <c r="P2512" s="1323"/>
      <c r="Q2512" s="1323"/>
      <c r="R2512" s="1304"/>
      <c r="S2512" s="1304"/>
      <c r="T2512" s="1304"/>
    </row>
    <row r="2513" spans="1:20">
      <c r="A2513" s="1303"/>
      <c r="B2513" s="1322" t="s">
        <v>7198</v>
      </c>
      <c r="C2513" s="1323" t="s">
        <v>6748</v>
      </c>
      <c r="D2513" s="1324">
        <f t="shared" si="264"/>
        <v>38225</v>
      </c>
      <c r="E2513" s="1323">
        <f t="shared" si="260"/>
        <v>6.6729000000000003</v>
      </c>
      <c r="F2513" s="1323">
        <f t="shared" si="265"/>
        <v>6.0617400618215482</v>
      </c>
      <c r="G2513" s="1323">
        <f t="shared" si="261"/>
        <v>2004</v>
      </c>
      <c r="H2513" s="1323">
        <f t="shared" si="262"/>
        <v>8</v>
      </c>
      <c r="I2513" s="1323">
        <f t="shared" si="263"/>
        <v>26</v>
      </c>
      <c r="J2513" s="1323"/>
      <c r="K2513" s="1323"/>
      <c r="L2513" s="1323"/>
      <c r="M2513" s="1323"/>
      <c r="N2513" s="1323"/>
      <c r="O2513" s="1323"/>
      <c r="P2513" s="1323"/>
      <c r="Q2513" s="1323"/>
      <c r="R2513" s="1304"/>
      <c r="S2513" s="1304"/>
      <c r="T2513" s="1304"/>
    </row>
    <row r="2514" spans="1:20">
      <c r="A2514" s="1303"/>
      <c r="B2514" s="1322" t="s">
        <v>7199</v>
      </c>
      <c r="C2514" s="1323" t="s">
        <v>7200</v>
      </c>
      <c r="D2514" s="1324">
        <f t="shared" si="264"/>
        <v>38224</v>
      </c>
      <c r="E2514" s="1323">
        <f t="shared" si="260"/>
        <v>6.7119999999999997</v>
      </c>
      <c r="F2514" s="1323">
        <f t="shared" si="265"/>
        <v>6.0605777592375842</v>
      </c>
      <c r="G2514" s="1323">
        <f t="shared" si="261"/>
        <v>2004</v>
      </c>
      <c r="H2514" s="1323">
        <f t="shared" si="262"/>
        <v>8</v>
      </c>
      <c r="I2514" s="1323">
        <f t="shared" si="263"/>
        <v>25</v>
      </c>
      <c r="J2514" s="1323"/>
      <c r="K2514" s="1323"/>
      <c r="L2514" s="1323"/>
      <c r="M2514" s="1323"/>
      <c r="N2514" s="1323"/>
      <c r="O2514" s="1323"/>
      <c r="P2514" s="1323"/>
      <c r="Q2514" s="1323"/>
      <c r="R2514" s="1304"/>
      <c r="S2514" s="1304"/>
      <c r="T2514" s="1304"/>
    </row>
    <row r="2515" spans="1:20">
      <c r="A2515" s="1303"/>
      <c r="B2515" s="1322" t="s">
        <v>7201</v>
      </c>
      <c r="C2515" s="1323" t="s">
        <v>7202</v>
      </c>
      <c r="D2515" s="1324">
        <f t="shared" si="264"/>
        <v>38223</v>
      </c>
      <c r="E2515" s="1323">
        <f t="shared" si="260"/>
        <v>6.7107999999999999</v>
      </c>
      <c r="F2515" s="1323">
        <f t="shared" si="265"/>
        <v>6.0594156795182244</v>
      </c>
      <c r="G2515" s="1323">
        <f t="shared" si="261"/>
        <v>2004</v>
      </c>
      <c r="H2515" s="1323">
        <f t="shared" si="262"/>
        <v>8</v>
      </c>
      <c r="I2515" s="1323">
        <f t="shared" si="263"/>
        <v>24</v>
      </c>
      <c r="J2515" s="1323"/>
      <c r="K2515" s="1323"/>
      <c r="L2515" s="1323"/>
      <c r="M2515" s="1323"/>
      <c r="N2515" s="1323"/>
      <c r="O2515" s="1323"/>
      <c r="P2515" s="1323"/>
      <c r="Q2515" s="1323"/>
      <c r="R2515" s="1304"/>
      <c r="S2515" s="1304"/>
      <c r="T2515" s="1304"/>
    </row>
    <row r="2516" spans="1:20">
      <c r="A2516" s="1303"/>
      <c r="B2516" s="1322" t="s">
        <v>7203</v>
      </c>
      <c r="C2516" s="1323" t="s">
        <v>7204</v>
      </c>
      <c r="D2516" s="1324">
        <f t="shared" si="264"/>
        <v>38222</v>
      </c>
      <c r="E2516" s="1323">
        <f t="shared" si="260"/>
        <v>6.6437999999999997</v>
      </c>
      <c r="F2516" s="1323">
        <f t="shared" si="265"/>
        <v>6.0582538226207356</v>
      </c>
      <c r="G2516" s="1323">
        <f t="shared" si="261"/>
        <v>2004</v>
      </c>
      <c r="H2516" s="1323">
        <f t="shared" si="262"/>
        <v>8</v>
      </c>
      <c r="I2516" s="1323">
        <f t="shared" si="263"/>
        <v>23</v>
      </c>
      <c r="J2516" s="1323"/>
      <c r="K2516" s="1323"/>
      <c r="L2516" s="1323"/>
      <c r="M2516" s="1323"/>
      <c r="N2516" s="1323"/>
      <c r="O2516" s="1323"/>
      <c r="P2516" s="1323"/>
      <c r="Q2516" s="1323"/>
      <c r="R2516" s="1304"/>
      <c r="S2516" s="1304"/>
      <c r="T2516" s="1304"/>
    </row>
    <row r="2517" spans="1:20">
      <c r="A2517" s="1303"/>
      <c r="B2517" s="1322" t="s">
        <v>7205</v>
      </c>
      <c r="C2517" s="1323" t="s">
        <v>7206</v>
      </c>
      <c r="D2517" s="1324">
        <f t="shared" si="264"/>
        <v>38219</v>
      </c>
      <c r="E2517" s="1323">
        <f t="shared" si="260"/>
        <v>6.5659000000000001</v>
      </c>
      <c r="F2517" s="1323">
        <f t="shared" si="265"/>
        <v>6.0570921885023923</v>
      </c>
      <c r="G2517" s="1323">
        <f t="shared" si="261"/>
        <v>2004</v>
      </c>
      <c r="H2517" s="1323">
        <f t="shared" si="262"/>
        <v>8</v>
      </c>
      <c r="I2517" s="1323">
        <f t="shared" si="263"/>
        <v>20</v>
      </c>
      <c r="J2517" s="1323"/>
      <c r="K2517" s="1323"/>
      <c r="L2517" s="1323"/>
      <c r="M2517" s="1323"/>
      <c r="N2517" s="1323"/>
      <c r="O2517" s="1323"/>
      <c r="P2517" s="1323"/>
      <c r="Q2517" s="1323"/>
      <c r="R2517" s="1304"/>
      <c r="S2517" s="1304"/>
      <c r="T2517" s="1304"/>
    </row>
    <row r="2518" spans="1:20">
      <c r="A2518" s="1303"/>
      <c r="B2518" s="1322" t="s">
        <v>7207</v>
      </c>
      <c r="C2518" s="1323" t="s">
        <v>7208</v>
      </c>
      <c r="D2518" s="1324">
        <f t="shared" si="264"/>
        <v>38218</v>
      </c>
      <c r="E2518" s="1323">
        <f t="shared" ref="E2518:E2581" si="266">VALUE(C2519)</f>
        <v>6.49</v>
      </c>
      <c r="F2518" s="1323">
        <f t="shared" si="265"/>
        <v>6.0559307771204782</v>
      </c>
      <c r="G2518" s="1323">
        <f t="shared" ref="G2518:G2581" si="267">YEAR(B2519)</f>
        <v>2004</v>
      </c>
      <c r="H2518" s="1323">
        <f t="shared" ref="H2518:H2581" si="268">MONTH(B2519)</f>
        <v>8</v>
      </c>
      <c r="I2518" s="1323">
        <f t="shared" ref="I2518:I2581" si="269">DAY(B2519)</f>
        <v>19</v>
      </c>
      <c r="J2518" s="1323"/>
      <c r="K2518" s="1323"/>
      <c r="L2518" s="1323"/>
      <c r="M2518" s="1323"/>
      <c r="N2518" s="1323"/>
      <c r="O2518" s="1323"/>
      <c r="P2518" s="1323"/>
      <c r="Q2518" s="1323"/>
      <c r="R2518" s="1304"/>
      <c r="S2518" s="1304"/>
      <c r="T2518" s="1304"/>
    </row>
    <row r="2519" spans="1:20">
      <c r="A2519" s="1303"/>
      <c r="B2519" s="1322" t="s">
        <v>7209</v>
      </c>
      <c r="C2519" s="1323" t="s">
        <v>7210</v>
      </c>
      <c r="D2519" s="1324">
        <f t="shared" si="264"/>
        <v>38217</v>
      </c>
      <c r="E2519" s="1323">
        <f t="shared" si="266"/>
        <v>6.5133000000000001</v>
      </c>
      <c r="F2519" s="1323">
        <f t="shared" si="265"/>
        <v>6.0547695884322854</v>
      </c>
      <c r="G2519" s="1323">
        <f t="shared" si="267"/>
        <v>2004</v>
      </c>
      <c r="H2519" s="1323">
        <f t="shared" si="268"/>
        <v>8</v>
      </c>
      <c r="I2519" s="1323">
        <f t="shared" si="269"/>
        <v>18</v>
      </c>
      <c r="J2519" s="1323"/>
      <c r="K2519" s="1323"/>
      <c r="L2519" s="1323"/>
      <c r="M2519" s="1323"/>
      <c r="N2519" s="1323"/>
      <c r="O2519" s="1323"/>
      <c r="P2519" s="1323"/>
      <c r="Q2519" s="1323"/>
      <c r="R2519" s="1304"/>
      <c r="S2519" s="1304"/>
      <c r="T2519" s="1304"/>
    </row>
    <row r="2520" spans="1:20">
      <c r="A2520" s="1303"/>
      <c r="B2520" s="1322" t="s">
        <v>7211</v>
      </c>
      <c r="C2520" s="1323" t="s">
        <v>7212</v>
      </c>
      <c r="D2520" s="1324">
        <f t="shared" si="264"/>
        <v>38216</v>
      </c>
      <c r="E2520" s="1323">
        <f t="shared" si="266"/>
        <v>6.57</v>
      </c>
      <c r="F2520" s="1323">
        <f t="shared" si="265"/>
        <v>6.0536086223951138</v>
      </c>
      <c r="G2520" s="1323">
        <f t="shared" si="267"/>
        <v>2004</v>
      </c>
      <c r="H2520" s="1323">
        <f t="shared" si="268"/>
        <v>8</v>
      </c>
      <c r="I2520" s="1323">
        <f t="shared" si="269"/>
        <v>17</v>
      </c>
      <c r="J2520" s="1323"/>
      <c r="K2520" s="1323"/>
      <c r="L2520" s="1323"/>
      <c r="M2520" s="1323"/>
      <c r="N2520" s="1323"/>
      <c r="O2520" s="1323"/>
      <c r="P2520" s="1323"/>
      <c r="Q2520" s="1323"/>
      <c r="R2520" s="1304"/>
      <c r="S2520" s="1304"/>
      <c r="T2520" s="1304"/>
    </row>
    <row r="2521" spans="1:20">
      <c r="A2521" s="1303"/>
      <c r="B2521" s="1322" t="s">
        <v>7213</v>
      </c>
      <c r="C2521" s="1323" t="s">
        <v>7214</v>
      </c>
      <c r="D2521" s="1324">
        <f t="shared" si="264"/>
        <v>38215</v>
      </c>
      <c r="E2521" s="1323">
        <f t="shared" si="266"/>
        <v>6.5050999999999997</v>
      </c>
      <c r="F2521" s="1323">
        <f t="shared" si="265"/>
        <v>6.0524478789662703</v>
      </c>
      <c r="G2521" s="1323">
        <f t="shared" si="267"/>
        <v>2004</v>
      </c>
      <c r="H2521" s="1323">
        <f t="shared" si="268"/>
        <v>8</v>
      </c>
      <c r="I2521" s="1323">
        <f t="shared" si="269"/>
        <v>16</v>
      </c>
      <c r="J2521" s="1323"/>
      <c r="K2521" s="1323"/>
      <c r="L2521" s="1323"/>
      <c r="M2521" s="1323"/>
      <c r="N2521" s="1323"/>
      <c r="O2521" s="1323"/>
      <c r="P2521" s="1323"/>
      <c r="Q2521" s="1323"/>
      <c r="R2521" s="1304"/>
      <c r="S2521" s="1304"/>
      <c r="T2521" s="1304"/>
    </row>
    <row r="2522" spans="1:20">
      <c r="A2522" s="1303"/>
      <c r="B2522" s="1322" t="s">
        <v>7215</v>
      </c>
      <c r="C2522" s="1323" t="s">
        <v>7216</v>
      </c>
      <c r="D2522" s="1324">
        <f t="shared" si="264"/>
        <v>38212</v>
      </c>
      <c r="E2522" s="1323">
        <f t="shared" si="266"/>
        <v>6.52</v>
      </c>
      <c r="F2522" s="1323">
        <f t="shared" si="265"/>
        <v>6.0512873581030719</v>
      </c>
      <c r="G2522" s="1323">
        <f t="shared" si="267"/>
        <v>2004</v>
      </c>
      <c r="H2522" s="1323">
        <f t="shared" si="268"/>
        <v>8</v>
      </c>
      <c r="I2522" s="1323">
        <f t="shared" si="269"/>
        <v>13</v>
      </c>
      <c r="J2522" s="1323"/>
      <c r="K2522" s="1323"/>
      <c r="L2522" s="1323"/>
      <c r="M2522" s="1323"/>
      <c r="N2522" s="1323"/>
      <c r="O2522" s="1323"/>
      <c r="P2522" s="1323"/>
      <c r="Q2522" s="1323"/>
      <c r="R2522" s="1304"/>
      <c r="S2522" s="1304"/>
      <c r="T2522" s="1304"/>
    </row>
    <row r="2523" spans="1:20">
      <c r="A2523" s="1303"/>
      <c r="B2523" s="1322" t="s">
        <v>7217</v>
      </c>
      <c r="C2523" s="1323" t="s">
        <v>7218</v>
      </c>
      <c r="D2523" s="1324">
        <f t="shared" si="264"/>
        <v>38211</v>
      </c>
      <c r="E2523" s="1323">
        <f t="shared" si="266"/>
        <v>6.1914999999999996</v>
      </c>
      <c r="F2523" s="1323">
        <f t="shared" si="265"/>
        <v>6.0501270597628434</v>
      </c>
      <c r="G2523" s="1323">
        <f t="shared" si="267"/>
        <v>2004</v>
      </c>
      <c r="H2523" s="1323">
        <f t="shared" si="268"/>
        <v>8</v>
      </c>
      <c r="I2523" s="1323">
        <f t="shared" si="269"/>
        <v>12</v>
      </c>
      <c r="J2523" s="1323"/>
      <c r="K2523" s="1323"/>
      <c r="L2523" s="1323"/>
      <c r="M2523" s="1323"/>
      <c r="N2523" s="1323"/>
      <c r="O2523" s="1323"/>
      <c r="P2523" s="1323"/>
      <c r="Q2523" s="1323"/>
      <c r="R2523" s="1304"/>
      <c r="S2523" s="1304"/>
      <c r="T2523" s="1304"/>
    </row>
    <row r="2524" spans="1:20">
      <c r="A2524" s="1303"/>
      <c r="B2524" s="1322" t="s">
        <v>7219</v>
      </c>
      <c r="C2524" s="1323" t="s">
        <v>7220</v>
      </c>
      <c r="D2524" s="1324">
        <f t="shared" si="264"/>
        <v>38210</v>
      </c>
      <c r="E2524" s="1323">
        <f t="shared" si="266"/>
        <v>6.2077999999999998</v>
      </c>
      <c r="F2524" s="1323">
        <f t="shared" si="265"/>
        <v>6.0489669839029165</v>
      </c>
      <c r="G2524" s="1323">
        <f t="shared" si="267"/>
        <v>2004</v>
      </c>
      <c r="H2524" s="1323">
        <f t="shared" si="268"/>
        <v>8</v>
      </c>
      <c r="I2524" s="1323">
        <f t="shared" si="269"/>
        <v>11</v>
      </c>
      <c r="J2524" s="1323"/>
      <c r="K2524" s="1323"/>
      <c r="L2524" s="1323"/>
      <c r="M2524" s="1323"/>
      <c r="N2524" s="1323"/>
      <c r="O2524" s="1323"/>
      <c r="P2524" s="1323"/>
      <c r="Q2524" s="1323"/>
      <c r="R2524" s="1304"/>
      <c r="S2524" s="1304"/>
      <c r="T2524" s="1304"/>
    </row>
    <row r="2525" spans="1:20">
      <c r="A2525" s="1303"/>
      <c r="B2525" s="1322" t="s">
        <v>7221</v>
      </c>
      <c r="C2525" s="1323" t="s">
        <v>7222</v>
      </c>
      <c r="D2525" s="1324">
        <f t="shared" si="264"/>
        <v>38209</v>
      </c>
      <c r="E2525" s="1323">
        <f t="shared" si="266"/>
        <v>6.1069000000000004</v>
      </c>
      <c r="F2525" s="1323">
        <f t="shared" si="265"/>
        <v>6.0478071304806322</v>
      </c>
      <c r="G2525" s="1323">
        <f t="shared" si="267"/>
        <v>2004</v>
      </c>
      <c r="H2525" s="1323">
        <f t="shared" si="268"/>
        <v>8</v>
      </c>
      <c r="I2525" s="1323">
        <f t="shared" si="269"/>
        <v>10</v>
      </c>
      <c r="J2525" s="1323"/>
      <c r="K2525" s="1323"/>
      <c r="L2525" s="1323"/>
      <c r="M2525" s="1323"/>
      <c r="N2525" s="1323"/>
      <c r="O2525" s="1323"/>
      <c r="P2525" s="1323"/>
      <c r="Q2525" s="1323"/>
      <c r="R2525" s="1304"/>
      <c r="S2525" s="1304"/>
      <c r="T2525" s="1304"/>
    </row>
    <row r="2526" spans="1:20">
      <c r="A2526" s="1303"/>
      <c r="B2526" s="1322" t="s">
        <v>7223</v>
      </c>
      <c r="C2526" s="1323" t="s">
        <v>7224</v>
      </c>
      <c r="D2526" s="1324">
        <f t="shared" si="264"/>
        <v>38205</v>
      </c>
      <c r="E2526" s="1323">
        <f t="shared" si="266"/>
        <v>6.2563000000000004</v>
      </c>
      <c r="F2526" s="1323">
        <f t="shared" si="265"/>
        <v>6.0466474994533392</v>
      </c>
      <c r="G2526" s="1323">
        <f t="shared" si="267"/>
        <v>2004</v>
      </c>
      <c r="H2526" s="1323">
        <f t="shared" si="268"/>
        <v>8</v>
      </c>
      <c r="I2526" s="1323">
        <f t="shared" si="269"/>
        <v>6</v>
      </c>
      <c r="J2526" s="1323"/>
      <c r="K2526" s="1323"/>
      <c r="L2526" s="1323"/>
      <c r="M2526" s="1323"/>
      <c r="N2526" s="1323"/>
      <c r="O2526" s="1323"/>
      <c r="P2526" s="1323"/>
      <c r="Q2526" s="1323"/>
      <c r="R2526" s="1304"/>
      <c r="S2526" s="1304"/>
      <c r="T2526" s="1304"/>
    </row>
    <row r="2527" spans="1:20">
      <c r="A2527" s="1303"/>
      <c r="B2527" s="1322" t="s">
        <v>7225</v>
      </c>
      <c r="C2527" s="1323" t="s">
        <v>7226</v>
      </c>
      <c r="D2527" s="1324">
        <f t="shared" si="264"/>
        <v>38204</v>
      </c>
      <c r="E2527" s="1323">
        <f t="shared" si="266"/>
        <v>6.2324999999999999</v>
      </c>
      <c r="F2527" s="1323">
        <f t="shared" si="265"/>
        <v>6.0454880907783952</v>
      </c>
      <c r="G2527" s="1323">
        <f t="shared" si="267"/>
        <v>2004</v>
      </c>
      <c r="H2527" s="1323">
        <f t="shared" si="268"/>
        <v>8</v>
      </c>
      <c r="I2527" s="1323">
        <f t="shared" si="269"/>
        <v>5</v>
      </c>
      <c r="J2527" s="1323"/>
      <c r="K2527" s="1323"/>
      <c r="L2527" s="1323"/>
      <c r="M2527" s="1323"/>
      <c r="N2527" s="1323"/>
      <c r="O2527" s="1323"/>
      <c r="P2527" s="1323"/>
      <c r="Q2527" s="1323"/>
      <c r="R2527" s="1304"/>
      <c r="S2527" s="1304"/>
      <c r="T2527" s="1304"/>
    </row>
    <row r="2528" spans="1:20">
      <c r="A2528" s="1303"/>
      <c r="B2528" s="1322" t="s">
        <v>7227</v>
      </c>
      <c r="C2528" s="1323" t="s">
        <v>7228</v>
      </c>
      <c r="D2528" s="1324">
        <f t="shared" si="264"/>
        <v>38203</v>
      </c>
      <c r="E2528" s="1323">
        <f t="shared" si="266"/>
        <v>6.2591000000000001</v>
      </c>
      <c r="F2528" s="1323">
        <f t="shared" si="265"/>
        <v>6.0443289044131649</v>
      </c>
      <c r="G2528" s="1323">
        <f t="shared" si="267"/>
        <v>2004</v>
      </c>
      <c r="H2528" s="1323">
        <f t="shared" si="268"/>
        <v>8</v>
      </c>
      <c r="I2528" s="1323">
        <f t="shared" si="269"/>
        <v>4</v>
      </c>
      <c r="J2528" s="1323"/>
      <c r="K2528" s="1323"/>
      <c r="L2528" s="1323"/>
      <c r="M2528" s="1323"/>
      <c r="N2528" s="1323"/>
      <c r="O2528" s="1323"/>
      <c r="P2528" s="1323"/>
      <c r="Q2528" s="1323"/>
      <c r="R2528" s="1304"/>
      <c r="S2528" s="1304"/>
      <c r="T2528" s="1304"/>
    </row>
    <row r="2529" spans="1:20">
      <c r="A2529" s="1303"/>
      <c r="B2529" s="1322" t="s">
        <v>7229</v>
      </c>
      <c r="C2529" s="1323" t="s">
        <v>7230</v>
      </c>
      <c r="D2529" s="1324">
        <f t="shared" si="264"/>
        <v>38202</v>
      </c>
      <c r="E2529" s="1323">
        <f t="shared" si="266"/>
        <v>6.3269000000000002</v>
      </c>
      <c r="F2529" s="1323">
        <f t="shared" si="265"/>
        <v>6.0431699403150221</v>
      </c>
      <c r="G2529" s="1323">
        <f t="shared" si="267"/>
        <v>2004</v>
      </c>
      <c r="H2529" s="1323">
        <f t="shared" si="268"/>
        <v>8</v>
      </c>
      <c r="I2529" s="1323">
        <f t="shared" si="269"/>
        <v>3</v>
      </c>
      <c r="J2529" s="1323"/>
      <c r="K2529" s="1323"/>
      <c r="L2529" s="1323"/>
      <c r="M2529" s="1323"/>
      <c r="N2529" s="1323"/>
      <c r="O2529" s="1323"/>
      <c r="P2529" s="1323"/>
      <c r="Q2529" s="1323"/>
      <c r="R2529" s="1304"/>
      <c r="S2529" s="1304"/>
      <c r="T2529" s="1304"/>
    </row>
    <row r="2530" spans="1:20">
      <c r="A2530" s="1303"/>
      <c r="B2530" s="1322" t="s">
        <v>7231</v>
      </c>
      <c r="C2530" s="1323" t="s">
        <v>7232</v>
      </c>
      <c r="D2530" s="1324">
        <f t="shared" si="264"/>
        <v>38201</v>
      </c>
      <c r="E2530" s="1323">
        <f t="shared" si="266"/>
        <v>6.2171000000000003</v>
      </c>
      <c r="F2530" s="1323">
        <f t="shared" si="265"/>
        <v>6.0420111984413483</v>
      </c>
      <c r="G2530" s="1323">
        <f t="shared" si="267"/>
        <v>2004</v>
      </c>
      <c r="H2530" s="1323">
        <f t="shared" si="268"/>
        <v>8</v>
      </c>
      <c r="I2530" s="1323">
        <f t="shared" si="269"/>
        <v>2</v>
      </c>
      <c r="J2530" s="1323"/>
      <c r="K2530" s="1323"/>
      <c r="L2530" s="1323"/>
      <c r="M2530" s="1323"/>
      <c r="N2530" s="1323"/>
      <c r="O2530" s="1323"/>
      <c r="P2530" s="1323"/>
      <c r="Q2530" s="1323"/>
      <c r="R2530" s="1304"/>
      <c r="S2530" s="1304"/>
      <c r="T2530" s="1304"/>
    </row>
    <row r="2531" spans="1:20">
      <c r="A2531" s="1303"/>
      <c r="B2531" s="1322" t="s">
        <v>7233</v>
      </c>
      <c r="C2531" s="1323" t="s">
        <v>7234</v>
      </c>
      <c r="D2531" s="1324">
        <f t="shared" si="264"/>
        <v>38198</v>
      </c>
      <c r="E2531" s="1323">
        <f t="shared" si="266"/>
        <v>6.2394999999999996</v>
      </c>
      <c r="F2531" s="1323">
        <f t="shared" si="265"/>
        <v>6.0408526787495331</v>
      </c>
      <c r="G2531" s="1323">
        <f t="shared" si="267"/>
        <v>2004</v>
      </c>
      <c r="H2531" s="1323">
        <f t="shared" si="268"/>
        <v>7</v>
      </c>
      <c r="I2531" s="1323">
        <f t="shared" si="269"/>
        <v>30</v>
      </c>
      <c r="J2531" s="1323"/>
      <c r="K2531" s="1323"/>
      <c r="L2531" s="1323"/>
      <c r="M2531" s="1323"/>
      <c r="N2531" s="1323"/>
      <c r="O2531" s="1323"/>
      <c r="P2531" s="1323"/>
      <c r="Q2531" s="1323"/>
      <c r="R2531" s="1304"/>
      <c r="S2531" s="1304"/>
      <c r="T2531" s="1304"/>
    </row>
    <row r="2532" spans="1:20">
      <c r="A2532" s="1303"/>
      <c r="B2532" s="1322" t="s">
        <v>7235</v>
      </c>
      <c r="C2532" s="1323" t="s">
        <v>7236</v>
      </c>
      <c r="D2532" s="1324">
        <f t="shared" si="264"/>
        <v>38197</v>
      </c>
      <c r="E2532" s="1323">
        <f t="shared" si="266"/>
        <v>6.2512999999999996</v>
      </c>
      <c r="F2532" s="1323">
        <f t="shared" si="265"/>
        <v>6.0396943811969743</v>
      </c>
      <c r="G2532" s="1323">
        <f t="shared" si="267"/>
        <v>2004</v>
      </c>
      <c r="H2532" s="1323">
        <f t="shared" si="268"/>
        <v>7</v>
      </c>
      <c r="I2532" s="1323">
        <f t="shared" si="269"/>
        <v>29</v>
      </c>
      <c r="J2532" s="1323"/>
      <c r="K2532" s="1323"/>
      <c r="L2532" s="1323"/>
      <c r="M2532" s="1323"/>
      <c r="N2532" s="1323"/>
      <c r="O2532" s="1323"/>
      <c r="P2532" s="1323"/>
      <c r="Q2532" s="1323"/>
      <c r="R2532" s="1304"/>
      <c r="S2532" s="1304"/>
      <c r="T2532" s="1304"/>
    </row>
    <row r="2533" spans="1:20">
      <c r="A2533" s="1303"/>
      <c r="B2533" s="1322" t="s">
        <v>7237</v>
      </c>
      <c r="C2533" s="1323" t="s">
        <v>7238</v>
      </c>
      <c r="D2533" s="1324">
        <f t="shared" si="264"/>
        <v>38196</v>
      </c>
      <c r="E2533" s="1323">
        <f t="shared" si="266"/>
        <v>6.3148999999999997</v>
      </c>
      <c r="F2533" s="1323">
        <f t="shared" si="265"/>
        <v>6.0385363057410784</v>
      </c>
      <c r="G2533" s="1323">
        <f t="shared" si="267"/>
        <v>2004</v>
      </c>
      <c r="H2533" s="1323">
        <f t="shared" si="268"/>
        <v>7</v>
      </c>
      <c r="I2533" s="1323">
        <f t="shared" si="269"/>
        <v>28</v>
      </c>
      <c r="J2533" s="1323"/>
      <c r="K2533" s="1323"/>
      <c r="L2533" s="1323"/>
      <c r="M2533" s="1323"/>
      <c r="N2533" s="1323"/>
      <c r="O2533" s="1323"/>
      <c r="P2533" s="1323"/>
      <c r="Q2533" s="1323"/>
      <c r="R2533" s="1304"/>
      <c r="S2533" s="1304"/>
      <c r="T2533" s="1304"/>
    </row>
    <row r="2534" spans="1:20">
      <c r="A2534" s="1303"/>
      <c r="B2534" s="1322" t="s">
        <v>7239</v>
      </c>
      <c r="C2534" s="1323" t="s">
        <v>7240</v>
      </c>
      <c r="D2534" s="1324">
        <f t="shared" si="264"/>
        <v>38195</v>
      </c>
      <c r="E2534" s="1323">
        <f t="shared" si="266"/>
        <v>6.258</v>
      </c>
      <c r="F2534" s="1323">
        <f t="shared" si="265"/>
        <v>6.0373784523392597</v>
      </c>
      <c r="G2534" s="1323">
        <f t="shared" si="267"/>
        <v>2004</v>
      </c>
      <c r="H2534" s="1323">
        <f t="shared" si="268"/>
        <v>7</v>
      </c>
      <c r="I2534" s="1323">
        <f t="shared" si="269"/>
        <v>27</v>
      </c>
      <c r="J2534" s="1323"/>
      <c r="K2534" s="1323"/>
      <c r="L2534" s="1323"/>
      <c r="M2534" s="1323"/>
      <c r="N2534" s="1323"/>
      <c r="O2534" s="1323"/>
      <c r="P2534" s="1323"/>
      <c r="Q2534" s="1323"/>
      <c r="R2534" s="1304"/>
      <c r="S2534" s="1304"/>
      <c r="T2534" s="1304"/>
    </row>
    <row r="2535" spans="1:20">
      <c r="A2535" s="1303"/>
      <c r="B2535" s="1322" t="s">
        <v>7241</v>
      </c>
      <c r="C2535" s="1323" t="s">
        <v>7242</v>
      </c>
      <c r="D2535" s="1324">
        <f t="shared" si="264"/>
        <v>38194</v>
      </c>
      <c r="E2535" s="1323">
        <f t="shared" si="266"/>
        <v>6.1649000000000003</v>
      </c>
      <c r="F2535" s="1323">
        <f t="shared" si="265"/>
        <v>6.036220820948941</v>
      </c>
      <c r="G2535" s="1323">
        <f t="shared" si="267"/>
        <v>2004</v>
      </c>
      <c r="H2535" s="1323">
        <f t="shared" si="268"/>
        <v>7</v>
      </c>
      <c r="I2535" s="1323">
        <f t="shared" si="269"/>
        <v>26</v>
      </c>
      <c r="J2535" s="1323"/>
      <c r="K2535" s="1323"/>
      <c r="L2535" s="1323"/>
      <c r="M2535" s="1323"/>
      <c r="N2535" s="1323"/>
      <c r="O2535" s="1323"/>
      <c r="P2535" s="1323"/>
      <c r="Q2535" s="1323"/>
      <c r="R2535" s="1304"/>
      <c r="S2535" s="1304"/>
      <c r="T2535" s="1304"/>
    </row>
    <row r="2536" spans="1:20">
      <c r="A2536" s="1303"/>
      <c r="B2536" s="1322" t="s">
        <v>7243</v>
      </c>
      <c r="C2536" s="1323" t="s">
        <v>7244</v>
      </c>
      <c r="D2536" s="1324">
        <f t="shared" si="264"/>
        <v>38191</v>
      </c>
      <c r="E2536" s="1323">
        <f t="shared" si="266"/>
        <v>6.1718000000000002</v>
      </c>
      <c r="F2536" s="1323">
        <f t="shared" si="265"/>
        <v>6.0350634115275517</v>
      </c>
      <c r="G2536" s="1323">
        <f t="shared" si="267"/>
        <v>2004</v>
      </c>
      <c r="H2536" s="1323">
        <f t="shared" si="268"/>
        <v>7</v>
      </c>
      <c r="I2536" s="1323">
        <f t="shared" si="269"/>
        <v>23</v>
      </c>
      <c r="J2536" s="1323"/>
      <c r="K2536" s="1323"/>
      <c r="L2536" s="1323"/>
      <c r="M2536" s="1323"/>
      <c r="N2536" s="1323"/>
      <c r="O2536" s="1323"/>
      <c r="P2536" s="1323"/>
      <c r="Q2536" s="1323"/>
      <c r="R2536" s="1304"/>
      <c r="S2536" s="1304"/>
      <c r="T2536" s="1304"/>
    </row>
    <row r="2537" spans="1:20">
      <c r="A2537" s="1303"/>
      <c r="B2537" s="1322" t="s">
        <v>7245</v>
      </c>
      <c r="C2537" s="1323" t="s">
        <v>7246</v>
      </c>
      <c r="D2537" s="1324">
        <f t="shared" si="264"/>
        <v>38190</v>
      </c>
      <c r="E2537" s="1323">
        <f t="shared" si="266"/>
        <v>6.0770999999999997</v>
      </c>
      <c r="F2537" s="1323">
        <f t="shared" si="265"/>
        <v>6.0339062240325312</v>
      </c>
      <c r="G2537" s="1323">
        <f t="shared" si="267"/>
        <v>2004</v>
      </c>
      <c r="H2537" s="1323">
        <f t="shared" si="268"/>
        <v>7</v>
      </c>
      <c r="I2537" s="1323">
        <f t="shared" si="269"/>
        <v>22</v>
      </c>
      <c r="J2537" s="1323"/>
      <c r="K2537" s="1323"/>
      <c r="L2537" s="1323"/>
      <c r="M2537" s="1323"/>
      <c r="N2537" s="1323"/>
      <c r="O2537" s="1323"/>
      <c r="P2537" s="1323"/>
      <c r="Q2537" s="1323"/>
      <c r="R2537" s="1304"/>
      <c r="S2537" s="1304"/>
      <c r="T2537" s="1304"/>
    </row>
    <row r="2538" spans="1:20">
      <c r="A2538" s="1303"/>
      <c r="B2538" s="1322" t="s">
        <v>7247</v>
      </c>
      <c r="C2538" s="1323" t="s">
        <v>6521</v>
      </c>
      <c r="D2538" s="1324">
        <f t="shared" si="264"/>
        <v>38189</v>
      </c>
      <c r="E2538" s="1323">
        <f t="shared" si="266"/>
        <v>5.9720000000000004</v>
      </c>
      <c r="F2538" s="1323">
        <f t="shared" si="265"/>
        <v>6.0327492584213269</v>
      </c>
      <c r="G2538" s="1323">
        <f t="shared" si="267"/>
        <v>2004</v>
      </c>
      <c r="H2538" s="1323">
        <f t="shared" si="268"/>
        <v>7</v>
      </c>
      <c r="I2538" s="1323">
        <f t="shared" si="269"/>
        <v>21</v>
      </c>
      <c r="J2538" s="1323"/>
      <c r="K2538" s="1323"/>
      <c r="L2538" s="1323"/>
      <c r="M2538" s="1323"/>
      <c r="N2538" s="1323"/>
      <c r="O2538" s="1323"/>
      <c r="P2538" s="1323"/>
      <c r="Q2538" s="1323"/>
      <c r="R2538" s="1304"/>
      <c r="S2538" s="1304"/>
      <c r="T2538" s="1304"/>
    </row>
    <row r="2539" spans="1:20">
      <c r="A2539" s="1303"/>
      <c r="B2539" s="1322" t="s">
        <v>7248</v>
      </c>
      <c r="C2539" s="1323" t="s">
        <v>7249</v>
      </c>
      <c r="D2539" s="1324">
        <f t="shared" si="264"/>
        <v>38188</v>
      </c>
      <c r="E2539" s="1323">
        <f t="shared" si="266"/>
        <v>5.9359999999999999</v>
      </c>
      <c r="F2539" s="1323">
        <f t="shared" si="265"/>
        <v>6.0315925146513933</v>
      </c>
      <c r="G2539" s="1323">
        <f t="shared" si="267"/>
        <v>2004</v>
      </c>
      <c r="H2539" s="1323">
        <f t="shared" si="268"/>
        <v>7</v>
      </c>
      <c r="I2539" s="1323">
        <f t="shared" si="269"/>
        <v>20</v>
      </c>
      <c r="J2539" s="1323"/>
      <c r="K2539" s="1323"/>
      <c r="L2539" s="1323"/>
      <c r="M2539" s="1323"/>
      <c r="N2539" s="1323"/>
      <c r="O2539" s="1323"/>
      <c r="P2539" s="1323"/>
      <c r="Q2539" s="1323"/>
      <c r="R2539" s="1304"/>
      <c r="S2539" s="1304"/>
      <c r="T2539" s="1304"/>
    </row>
    <row r="2540" spans="1:20">
      <c r="A2540" s="1303"/>
      <c r="B2540" s="1322" t="s">
        <v>7250</v>
      </c>
      <c r="C2540" s="1323" t="s">
        <v>7251</v>
      </c>
      <c r="D2540" s="1324">
        <f t="shared" si="264"/>
        <v>38187</v>
      </c>
      <c r="E2540" s="1323">
        <f t="shared" si="266"/>
        <v>5.9439000000000002</v>
      </c>
      <c r="F2540" s="1323">
        <f t="shared" si="265"/>
        <v>6.0304359926801938</v>
      </c>
      <c r="G2540" s="1323">
        <f t="shared" si="267"/>
        <v>2004</v>
      </c>
      <c r="H2540" s="1323">
        <f t="shared" si="268"/>
        <v>7</v>
      </c>
      <c r="I2540" s="1323">
        <f t="shared" si="269"/>
        <v>19</v>
      </c>
      <c r="J2540" s="1323"/>
      <c r="K2540" s="1323"/>
      <c r="L2540" s="1323"/>
      <c r="M2540" s="1323"/>
      <c r="N2540" s="1323"/>
      <c r="O2540" s="1323"/>
      <c r="P2540" s="1323"/>
      <c r="Q2540" s="1323"/>
      <c r="R2540" s="1304"/>
      <c r="S2540" s="1304"/>
      <c r="T2540" s="1304"/>
    </row>
    <row r="2541" spans="1:20">
      <c r="A2541" s="1303"/>
      <c r="B2541" s="1322" t="s">
        <v>7252</v>
      </c>
      <c r="C2541" s="1323" t="s">
        <v>7253</v>
      </c>
      <c r="D2541" s="1324">
        <f t="shared" si="264"/>
        <v>38184</v>
      </c>
      <c r="E2541" s="1323">
        <f t="shared" si="266"/>
        <v>6.0814000000000004</v>
      </c>
      <c r="F2541" s="1323">
        <f t="shared" si="265"/>
        <v>6.0292796924652006</v>
      </c>
      <c r="G2541" s="1323">
        <f t="shared" si="267"/>
        <v>2004</v>
      </c>
      <c r="H2541" s="1323">
        <f t="shared" si="268"/>
        <v>7</v>
      </c>
      <c r="I2541" s="1323">
        <f t="shared" si="269"/>
        <v>16</v>
      </c>
      <c r="J2541" s="1323"/>
      <c r="K2541" s="1323"/>
      <c r="L2541" s="1323"/>
      <c r="M2541" s="1323"/>
      <c r="N2541" s="1323"/>
      <c r="O2541" s="1323"/>
      <c r="P2541" s="1323"/>
      <c r="Q2541" s="1323"/>
      <c r="R2541" s="1304"/>
      <c r="S2541" s="1304"/>
      <c r="T2541" s="1304"/>
    </row>
    <row r="2542" spans="1:20">
      <c r="A2542" s="1303"/>
      <c r="B2542" s="1322" t="s">
        <v>7254</v>
      </c>
      <c r="C2542" s="1323" t="s">
        <v>7255</v>
      </c>
      <c r="D2542" s="1324">
        <f t="shared" si="264"/>
        <v>38183</v>
      </c>
      <c r="E2542" s="1323">
        <f t="shared" si="266"/>
        <v>6.1073000000000004</v>
      </c>
      <c r="F2542" s="1323">
        <f t="shared" si="265"/>
        <v>6.0281236139638921</v>
      </c>
      <c r="G2542" s="1323">
        <f t="shared" si="267"/>
        <v>2004</v>
      </c>
      <c r="H2542" s="1323">
        <f t="shared" si="268"/>
        <v>7</v>
      </c>
      <c r="I2542" s="1323">
        <f t="shared" si="269"/>
        <v>15</v>
      </c>
      <c r="J2542" s="1323"/>
      <c r="K2542" s="1323"/>
      <c r="L2542" s="1323"/>
      <c r="M2542" s="1323"/>
      <c r="N2542" s="1323"/>
      <c r="O2542" s="1323"/>
      <c r="P2542" s="1323"/>
      <c r="Q2542" s="1323"/>
      <c r="R2542" s="1304"/>
      <c r="S2542" s="1304"/>
      <c r="T2542" s="1304"/>
    </row>
    <row r="2543" spans="1:20">
      <c r="A2543" s="1303"/>
      <c r="B2543" s="1322" t="s">
        <v>7256</v>
      </c>
      <c r="C2543" s="1323" t="s">
        <v>7257</v>
      </c>
      <c r="D2543" s="1324">
        <f t="shared" si="264"/>
        <v>38182</v>
      </c>
      <c r="E2543" s="1323">
        <f t="shared" si="266"/>
        <v>6.1048999999999998</v>
      </c>
      <c r="F2543" s="1323">
        <f t="shared" si="265"/>
        <v>6.0269677571337565</v>
      </c>
      <c r="G2543" s="1323">
        <f t="shared" si="267"/>
        <v>2004</v>
      </c>
      <c r="H2543" s="1323">
        <f t="shared" si="268"/>
        <v>7</v>
      </c>
      <c r="I2543" s="1323">
        <f t="shared" si="269"/>
        <v>14</v>
      </c>
      <c r="J2543" s="1323"/>
      <c r="K2543" s="1323"/>
      <c r="L2543" s="1323"/>
      <c r="M2543" s="1323"/>
      <c r="N2543" s="1323"/>
      <c r="O2543" s="1323"/>
      <c r="P2543" s="1323"/>
      <c r="Q2543" s="1323"/>
      <c r="R2543" s="1304"/>
      <c r="S2543" s="1304"/>
      <c r="T2543" s="1304"/>
    </row>
    <row r="2544" spans="1:20">
      <c r="A2544" s="1303"/>
      <c r="B2544" s="1322" t="s">
        <v>7258</v>
      </c>
      <c r="C2544" s="1323" t="s">
        <v>7259</v>
      </c>
      <c r="D2544" s="1324">
        <f t="shared" si="264"/>
        <v>38181</v>
      </c>
      <c r="E2544" s="1323">
        <f t="shared" si="266"/>
        <v>6.0644</v>
      </c>
      <c r="F2544" s="1323">
        <f t="shared" si="265"/>
        <v>6.0258121219322902</v>
      </c>
      <c r="G2544" s="1323">
        <f t="shared" si="267"/>
        <v>2004</v>
      </c>
      <c r="H2544" s="1323">
        <f t="shared" si="268"/>
        <v>7</v>
      </c>
      <c r="I2544" s="1323">
        <f t="shared" si="269"/>
        <v>13</v>
      </c>
      <c r="J2544" s="1323"/>
      <c r="K2544" s="1323"/>
      <c r="L2544" s="1323"/>
      <c r="M2544" s="1323"/>
      <c r="N2544" s="1323"/>
      <c r="O2544" s="1323"/>
      <c r="P2544" s="1323"/>
      <c r="Q2544" s="1323"/>
      <c r="R2544" s="1304"/>
      <c r="S2544" s="1304"/>
      <c r="T2544" s="1304"/>
    </row>
    <row r="2545" spans="1:20">
      <c r="A2545" s="1303"/>
      <c r="B2545" s="1322" t="s">
        <v>7260</v>
      </c>
      <c r="C2545" s="1323" t="s">
        <v>7261</v>
      </c>
      <c r="D2545" s="1324">
        <f t="shared" si="264"/>
        <v>38180</v>
      </c>
      <c r="E2545" s="1323">
        <f t="shared" si="266"/>
        <v>6.0498000000000003</v>
      </c>
      <c r="F2545" s="1323">
        <f t="shared" si="265"/>
        <v>6.0246567083169964</v>
      </c>
      <c r="G2545" s="1323">
        <f t="shared" si="267"/>
        <v>2004</v>
      </c>
      <c r="H2545" s="1323">
        <f t="shared" si="268"/>
        <v>7</v>
      </c>
      <c r="I2545" s="1323">
        <f t="shared" si="269"/>
        <v>12</v>
      </c>
      <c r="J2545" s="1323"/>
      <c r="K2545" s="1323"/>
      <c r="L2545" s="1323"/>
      <c r="M2545" s="1323"/>
      <c r="N2545" s="1323"/>
      <c r="O2545" s="1323"/>
      <c r="P2545" s="1323"/>
      <c r="Q2545" s="1323"/>
      <c r="R2545" s="1304"/>
      <c r="S2545" s="1304"/>
      <c r="T2545" s="1304"/>
    </row>
    <row r="2546" spans="1:20">
      <c r="A2546" s="1303"/>
      <c r="B2546" s="1322" t="s">
        <v>7262</v>
      </c>
      <c r="C2546" s="1323" t="s">
        <v>7263</v>
      </c>
      <c r="D2546" s="1324">
        <f t="shared" si="264"/>
        <v>38177</v>
      </c>
      <c r="E2546" s="1323">
        <f t="shared" si="266"/>
        <v>6.0797999999999996</v>
      </c>
      <c r="F2546" s="1323">
        <f t="shared" si="265"/>
        <v>6.0235015162453873</v>
      </c>
      <c r="G2546" s="1323">
        <f t="shared" si="267"/>
        <v>2004</v>
      </c>
      <c r="H2546" s="1323">
        <f t="shared" si="268"/>
        <v>7</v>
      </c>
      <c r="I2546" s="1323">
        <f t="shared" si="269"/>
        <v>9</v>
      </c>
      <c r="J2546" s="1323"/>
      <c r="K2546" s="1323"/>
      <c r="L2546" s="1323"/>
      <c r="M2546" s="1323"/>
      <c r="N2546" s="1323"/>
      <c r="O2546" s="1323"/>
      <c r="P2546" s="1323"/>
      <c r="Q2546" s="1323"/>
      <c r="R2546" s="1304"/>
      <c r="S2546" s="1304"/>
      <c r="T2546" s="1304"/>
    </row>
    <row r="2547" spans="1:20">
      <c r="A2547" s="1303"/>
      <c r="B2547" s="1322" t="s">
        <v>7264</v>
      </c>
      <c r="C2547" s="1323" t="s">
        <v>7265</v>
      </c>
      <c r="D2547" s="1324">
        <f t="shared" si="264"/>
        <v>38176</v>
      </c>
      <c r="E2547" s="1323">
        <f t="shared" si="266"/>
        <v>6.0829000000000004</v>
      </c>
      <c r="F2547" s="1323">
        <f t="shared" si="265"/>
        <v>6.0223465456749841</v>
      </c>
      <c r="G2547" s="1323">
        <f t="shared" si="267"/>
        <v>2004</v>
      </c>
      <c r="H2547" s="1323">
        <f t="shared" si="268"/>
        <v>7</v>
      </c>
      <c r="I2547" s="1323">
        <f t="shared" si="269"/>
        <v>8</v>
      </c>
      <c r="J2547" s="1323"/>
      <c r="K2547" s="1323"/>
      <c r="L2547" s="1323"/>
      <c r="M2547" s="1323"/>
      <c r="N2547" s="1323"/>
      <c r="O2547" s="1323"/>
      <c r="P2547" s="1323"/>
      <c r="Q2547" s="1323"/>
      <c r="R2547" s="1304"/>
      <c r="S2547" s="1304"/>
      <c r="T2547" s="1304"/>
    </row>
    <row r="2548" spans="1:20">
      <c r="A2548" s="1303"/>
      <c r="B2548" s="1322" t="s">
        <v>7266</v>
      </c>
      <c r="C2548" s="1323" t="s">
        <v>7267</v>
      </c>
      <c r="D2548" s="1324">
        <f t="shared" si="264"/>
        <v>38175</v>
      </c>
      <c r="E2548" s="1323">
        <f t="shared" si="266"/>
        <v>6.2141999999999999</v>
      </c>
      <c r="F2548" s="1323">
        <f t="shared" si="265"/>
        <v>6.0211917965633139</v>
      </c>
      <c r="G2548" s="1323">
        <f t="shared" si="267"/>
        <v>2004</v>
      </c>
      <c r="H2548" s="1323">
        <f t="shared" si="268"/>
        <v>7</v>
      </c>
      <c r="I2548" s="1323">
        <f t="shared" si="269"/>
        <v>7</v>
      </c>
      <c r="J2548" s="1323"/>
      <c r="K2548" s="1323"/>
      <c r="L2548" s="1323"/>
      <c r="M2548" s="1323"/>
      <c r="N2548" s="1323"/>
      <c r="O2548" s="1323"/>
      <c r="P2548" s="1323"/>
      <c r="Q2548" s="1323"/>
      <c r="R2548" s="1304"/>
      <c r="S2548" s="1304"/>
      <c r="T2548" s="1304"/>
    </row>
    <row r="2549" spans="1:20">
      <c r="A2549" s="1303"/>
      <c r="B2549" s="1322" t="s">
        <v>7268</v>
      </c>
      <c r="C2549" s="1323" t="s">
        <v>7269</v>
      </c>
      <c r="D2549" s="1324">
        <f t="shared" si="264"/>
        <v>38174</v>
      </c>
      <c r="E2549" s="1323">
        <f t="shared" si="266"/>
        <v>6.1943000000000001</v>
      </c>
      <c r="F2549" s="1323">
        <f t="shared" si="265"/>
        <v>6.020037268867914</v>
      </c>
      <c r="G2549" s="1323">
        <f t="shared" si="267"/>
        <v>2004</v>
      </c>
      <c r="H2549" s="1323">
        <f t="shared" si="268"/>
        <v>7</v>
      </c>
      <c r="I2549" s="1323">
        <f t="shared" si="269"/>
        <v>6</v>
      </c>
      <c r="J2549" s="1323"/>
      <c r="K2549" s="1323"/>
      <c r="L2549" s="1323"/>
      <c r="M2549" s="1323"/>
      <c r="N2549" s="1323"/>
      <c r="O2549" s="1323"/>
      <c r="P2549" s="1323"/>
      <c r="Q2549" s="1323"/>
      <c r="R2549" s="1304"/>
      <c r="S2549" s="1304"/>
      <c r="T2549" s="1304"/>
    </row>
    <row r="2550" spans="1:20">
      <c r="A2550" s="1303"/>
      <c r="B2550" s="1322" t="s">
        <v>7270</v>
      </c>
      <c r="C2550" s="1323" t="s">
        <v>7271</v>
      </c>
      <c r="D2550" s="1324">
        <f t="shared" si="264"/>
        <v>38173</v>
      </c>
      <c r="E2550" s="1323">
        <f t="shared" si="266"/>
        <v>6.1616</v>
      </c>
      <c r="F2550" s="1323">
        <f t="shared" si="265"/>
        <v>6.0188829625463294</v>
      </c>
      <c r="G2550" s="1323">
        <f t="shared" si="267"/>
        <v>2004</v>
      </c>
      <c r="H2550" s="1323">
        <f t="shared" si="268"/>
        <v>7</v>
      </c>
      <c r="I2550" s="1323">
        <f t="shared" si="269"/>
        <v>5</v>
      </c>
      <c r="J2550" s="1323"/>
      <c r="K2550" s="1323"/>
      <c r="L2550" s="1323"/>
      <c r="M2550" s="1323"/>
      <c r="N2550" s="1323"/>
      <c r="O2550" s="1323"/>
      <c r="P2550" s="1323"/>
      <c r="Q2550" s="1323"/>
      <c r="R2550" s="1304"/>
      <c r="S2550" s="1304"/>
      <c r="T2550" s="1304"/>
    </row>
    <row r="2551" spans="1:20">
      <c r="A2551" s="1303"/>
      <c r="B2551" s="1322" t="s">
        <v>7272</v>
      </c>
      <c r="C2551" s="1323" t="s">
        <v>7273</v>
      </c>
      <c r="D2551" s="1324">
        <f t="shared" si="264"/>
        <v>38170</v>
      </c>
      <c r="E2551" s="1323">
        <f t="shared" si="266"/>
        <v>6.2049000000000003</v>
      </c>
      <c r="F2551" s="1323">
        <f t="shared" si="265"/>
        <v>6.0177288775561131</v>
      </c>
      <c r="G2551" s="1323">
        <f t="shared" si="267"/>
        <v>2004</v>
      </c>
      <c r="H2551" s="1323">
        <f t="shared" si="268"/>
        <v>7</v>
      </c>
      <c r="I2551" s="1323">
        <f t="shared" si="269"/>
        <v>2</v>
      </c>
      <c r="J2551" s="1323"/>
      <c r="K2551" s="1323"/>
      <c r="L2551" s="1323"/>
      <c r="M2551" s="1323"/>
      <c r="N2551" s="1323"/>
      <c r="O2551" s="1323"/>
      <c r="P2551" s="1323"/>
      <c r="Q2551" s="1323"/>
      <c r="R2551" s="1304"/>
      <c r="S2551" s="1304"/>
      <c r="T2551" s="1304"/>
    </row>
    <row r="2552" spans="1:20">
      <c r="A2552" s="1303"/>
      <c r="B2552" s="1322" t="s">
        <v>7274</v>
      </c>
      <c r="C2552" s="1323" t="s">
        <v>7275</v>
      </c>
      <c r="D2552" s="1324">
        <f t="shared" si="264"/>
        <v>38169</v>
      </c>
      <c r="E2552" s="1323">
        <f t="shared" si="266"/>
        <v>6.1925999999999997</v>
      </c>
      <c r="F2552" s="1323">
        <f t="shared" si="265"/>
        <v>6.0165750138548253</v>
      </c>
      <c r="G2552" s="1323">
        <f t="shared" si="267"/>
        <v>2004</v>
      </c>
      <c r="H2552" s="1323">
        <f t="shared" si="268"/>
        <v>7</v>
      </c>
      <c r="I2552" s="1323">
        <f t="shared" si="269"/>
        <v>1</v>
      </c>
      <c r="J2552" s="1323"/>
      <c r="K2552" s="1323"/>
      <c r="L2552" s="1323"/>
      <c r="M2552" s="1323"/>
      <c r="N2552" s="1323"/>
      <c r="O2552" s="1323"/>
      <c r="P2552" s="1323"/>
      <c r="Q2552" s="1323"/>
      <c r="R2552" s="1304"/>
      <c r="S2552" s="1304"/>
      <c r="T2552" s="1304"/>
    </row>
    <row r="2553" spans="1:20">
      <c r="A2553" s="1303"/>
      <c r="B2553" s="1322" t="s">
        <v>7276</v>
      </c>
      <c r="C2553" s="1323" t="s">
        <v>7277</v>
      </c>
      <c r="D2553" s="1324">
        <f t="shared" si="264"/>
        <v>38168</v>
      </c>
      <c r="E2553" s="1323">
        <f t="shared" si="266"/>
        <v>6.2709000000000001</v>
      </c>
      <c r="F2553" s="1323">
        <f t="shared" si="265"/>
        <v>6.015421371400036</v>
      </c>
      <c r="G2553" s="1323">
        <f t="shared" si="267"/>
        <v>2004</v>
      </c>
      <c r="H2553" s="1323">
        <f t="shared" si="268"/>
        <v>6</v>
      </c>
      <c r="I2553" s="1323">
        <f t="shared" si="269"/>
        <v>30</v>
      </c>
      <c r="J2553" s="1323"/>
      <c r="K2553" s="1323"/>
      <c r="L2553" s="1323"/>
      <c r="M2553" s="1323"/>
      <c r="N2553" s="1323"/>
      <c r="O2553" s="1323"/>
      <c r="P2553" s="1323"/>
      <c r="Q2553" s="1323"/>
      <c r="R2553" s="1304"/>
      <c r="S2553" s="1304"/>
      <c r="T2553" s="1304"/>
    </row>
    <row r="2554" spans="1:20">
      <c r="A2554" s="1303"/>
      <c r="B2554" s="1322" t="s">
        <v>7278</v>
      </c>
      <c r="C2554" s="1323" t="s">
        <v>6412</v>
      </c>
      <c r="D2554" s="1324">
        <f t="shared" si="264"/>
        <v>38167</v>
      </c>
      <c r="E2554" s="1323">
        <f t="shared" si="266"/>
        <v>6.2298</v>
      </c>
      <c r="F2554" s="1323">
        <f t="shared" si="265"/>
        <v>6.0142679501493221</v>
      </c>
      <c r="G2554" s="1323">
        <f t="shared" si="267"/>
        <v>2004</v>
      </c>
      <c r="H2554" s="1323">
        <f t="shared" si="268"/>
        <v>6</v>
      </c>
      <c r="I2554" s="1323">
        <f t="shared" si="269"/>
        <v>29</v>
      </c>
      <c r="J2554" s="1323"/>
      <c r="K2554" s="1323"/>
      <c r="L2554" s="1323"/>
      <c r="M2554" s="1323"/>
      <c r="N2554" s="1323"/>
      <c r="O2554" s="1323"/>
      <c r="P2554" s="1323"/>
      <c r="Q2554" s="1323"/>
      <c r="R2554" s="1304"/>
      <c r="S2554" s="1304"/>
      <c r="T2554" s="1304"/>
    </row>
    <row r="2555" spans="1:20">
      <c r="A2555" s="1303"/>
      <c r="B2555" s="1322" t="s">
        <v>7279</v>
      </c>
      <c r="C2555" s="1323" t="s">
        <v>7280</v>
      </c>
      <c r="D2555" s="1324">
        <f t="shared" si="264"/>
        <v>38166</v>
      </c>
      <c r="E2555" s="1323">
        <f t="shared" si="266"/>
        <v>6.3117999999999999</v>
      </c>
      <c r="F2555" s="1323">
        <f t="shared" si="265"/>
        <v>6.0131147500602689</v>
      </c>
      <c r="G2555" s="1323">
        <f t="shared" si="267"/>
        <v>2004</v>
      </c>
      <c r="H2555" s="1323">
        <f t="shared" si="268"/>
        <v>6</v>
      </c>
      <c r="I2555" s="1323">
        <f t="shared" si="269"/>
        <v>28</v>
      </c>
      <c r="J2555" s="1323"/>
      <c r="K2555" s="1323"/>
      <c r="L2555" s="1323"/>
      <c r="M2555" s="1323"/>
      <c r="N2555" s="1323"/>
      <c r="O2555" s="1323"/>
      <c r="P2555" s="1323"/>
      <c r="Q2555" s="1323"/>
      <c r="R2555" s="1304"/>
      <c r="S2555" s="1304"/>
      <c r="T2555" s="1304"/>
    </row>
    <row r="2556" spans="1:20">
      <c r="A2556" s="1303"/>
      <c r="B2556" s="1322" t="s">
        <v>7281</v>
      </c>
      <c r="C2556" s="1323" t="s">
        <v>7282</v>
      </c>
      <c r="D2556" s="1324">
        <f t="shared" si="264"/>
        <v>38163</v>
      </c>
      <c r="E2556" s="1323">
        <f t="shared" si="266"/>
        <v>6.3277999999999999</v>
      </c>
      <c r="F2556" s="1323">
        <f t="shared" si="265"/>
        <v>6.0119617710904709</v>
      </c>
      <c r="G2556" s="1323">
        <f t="shared" si="267"/>
        <v>2004</v>
      </c>
      <c r="H2556" s="1323">
        <f t="shared" si="268"/>
        <v>6</v>
      </c>
      <c r="I2556" s="1323">
        <f t="shared" si="269"/>
        <v>25</v>
      </c>
      <c r="J2556" s="1323"/>
      <c r="K2556" s="1323"/>
      <c r="L2556" s="1323"/>
      <c r="M2556" s="1323"/>
      <c r="N2556" s="1323"/>
      <c r="O2556" s="1323"/>
      <c r="P2556" s="1323"/>
      <c r="Q2556" s="1323"/>
      <c r="R2556" s="1304"/>
      <c r="S2556" s="1304"/>
      <c r="T2556" s="1304"/>
    </row>
    <row r="2557" spans="1:20">
      <c r="A2557" s="1303"/>
      <c r="B2557" s="1322" t="s">
        <v>7283</v>
      </c>
      <c r="C2557" s="1323" t="s">
        <v>7284</v>
      </c>
      <c r="D2557" s="1324">
        <f t="shared" si="264"/>
        <v>38162</v>
      </c>
      <c r="E2557" s="1323">
        <f t="shared" si="266"/>
        <v>6.3068999999999997</v>
      </c>
      <c r="F2557" s="1323">
        <f t="shared" si="265"/>
        <v>6.0108090131975285</v>
      </c>
      <c r="G2557" s="1323">
        <f t="shared" si="267"/>
        <v>2004</v>
      </c>
      <c r="H2557" s="1323">
        <f t="shared" si="268"/>
        <v>6</v>
      </c>
      <c r="I2557" s="1323">
        <f t="shared" si="269"/>
        <v>24</v>
      </c>
      <c r="J2557" s="1323"/>
      <c r="K2557" s="1323"/>
      <c r="L2557" s="1323"/>
      <c r="M2557" s="1323"/>
      <c r="N2557" s="1323"/>
      <c r="O2557" s="1323"/>
      <c r="P2557" s="1323"/>
      <c r="Q2557" s="1323"/>
      <c r="R2557" s="1304"/>
      <c r="S2557" s="1304"/>
      <c r="T2557" s="1304"/>
    </row>
    <row r="2558" spans="1:20">
      <c r="A2558" s="1303"/>
      <c r="B2558" s="1322" t="s">
        <v>7285</v>
      </c>
      <c r="C2558" s="1323" t="s">
        <v>7286</v>
      </c>
      <c r="D2558" s="1324">
        <f t="shared" si="264"/>
        <v>38161</v>
      </c>
      <c r="E2558" s="1323">
        <f t="shared" si="266"/>
        <v>6.29</v>
      </c>
      <c r="F2558" s="1323">
        <f t="shared" si="265"/>
        <v>6.0096564763390523</v>
      </c>
      <c r="G2558" s="1323">
        <f t="shared" si="267"/>
        <v>2004</v>
      </c>
      <c r="H2558" s="1323">
        <f t="shared" si="268"/>
        <v>6</v>
      </c>
      <c r="I2558" s="1323">
        <f t="shared" si="269"/>
        <v>23</v>
      </c>
      <c r="J2558" s="1323"/>
      <c r="K2558" s="1323"/>
      <c r="L2558" s="1323"/>
      <c r="M2558" s="1323"/>
      <c r="N2558" s="1323"/>
      <c r="O2558" s="1323"/>
      <c r="P2558" s="1323"/>
      <c r="Q2558" s="1323"/>
      <c r="R2558" s="1304"/>
      <c r="S2558" s="1304"/>
      <c r="T2558" s="1304"/>
    </row>
    <row r="2559" spans="1:20">
      <c r="A2559" s="1303"/>
      <c r="B2559" s="1322" t="s">
        <v>7287</v>
      </c>
      <c r="C2559" s="1323" t="s">
        <v>7288</v>
      </c>
      <c r="D2559" s="1324">
        <f t="shared" si="264"/>
        <v>38160</v>
      </c>
      <c r="E2559" s="1323">
        <f t="shared" si="266"/>
        <v>6.3089000000000004</v>
      </c>
      <c r="F2559" s="1323">
        <f t="shared" si="265"/>
        <v>6.0085041604726603</v>
      </c>
      <c r="G2559" s="1323">
        <f t="shared" si="267"/>
        <v>2004</v>
      </c>
      <c r="H2559" s="1323">
        <f t="shared" si="268"/>
        <v>6</v>
      </c>
      <c r="I2559" s="1323">
        <f t="shared" si="269"/>
        <v>22</v>
      </c>
      <c r="J2559" s="1323"/>
      <c r="K2559" s="1323"/>
      <c r="L2559" s="1323"/>
      <c r="M2559" s="1323"/>
      <c r="N2559" s="1323"/>
      <c r="O2559" s="1323"/>
      <c r="P2559" s="1323"/>
      <c r="Q2559" s="1323"/>
      <c r="R2559" s="1304"/>
      <c r="S2559" s="1304"/>
      <c r="T2559" s="1304"/>
    </row>
    <row r="2560" spans="1:20">
      <c r="A2560" s="1303"/>
      <c r="B2560" s="1322" t="s">
        <v>7289</v>
      </c>
      <c r="C2560" s="1323" t="s">
        <v>7290</v>
      </c>
      <c r="D2560" s="1324">
        <f t="shared" si="264"/>
        <v>38159</v>
      </c>
      <c r="E2560" s="1323">
        <f t="shared" si="266"/>
        <v>6.3853999999999997</v>
      </c>
      <c r="F2560" s="1323">
        <f t="shared" si="265"/>
        <v>6.0073520655559784</v>
      </c>
      <c r="G2560" s="1323">
        <f t="shared" si="267"/>
        <v>2004</v>
      </c>
      <c r="H2560" s="1323">
        <f t="shared" si="268"/>
        <v>6</v>
      </c>
      <c r="I2560" s="1323">
        <f t="shared" si="269"/>
        <v>21</v>
      </c>
      <c r="J2560" s="1323"/>
      <c r="K2560" s="1323"/>
      <c r="L2560" s="1323"/>
      <c r="M2560" s="1323"/>
      <c r="N2560" s="1323"/>
      <c r="O2560" s="1323"/>
      <c r="P2560" s="1323"/>
      <c r="Q2560" s="1323"/>
      <c r="R2560" s="1304"/>
      <c r="S2560" s="1304"/>
      <c r="T2560" s="1304"/>
    </row>
    <row r="2561" spans="1:20">
      <c r="A2561" s="1303"/>
      <c r="B2561" s="1322" t="s">
        <v>7291</v>
      </c>
      <c r="C2561" s="1323" t="s">
        <v>7292</v>
      </c>
      <c r="D2561" s="1324">
        <f t="shared" si="264"/>
        <v>38156</v>
      </c>
      <c r="E2561" s="1323">
        <f t="shared" si="266"/>
        <v>6.5011000000000001</v>
      </c>
      <c r="F2561" s="1323">
        <f t="shared" si="265"/>
        <v>6.0062001915466405</v>
      </c>
      <c r="G2561" s="1323">
        <f t="shared" si="267"/>
        <v>2004</v>
      </c>
      <c r="H2561" s="1323">
        <f t="shared" si="268"/>
        <v>6</v>
      </c>
      <c r="I2561" s="1323">
        <f t="shared" si="269"/>
        <v>18</v>
      </c>
      <c r="J2561" s="1323"/>
      <c r="K2561" s="1323"/>
      <c r="L2561" s="1323"/>
      <c r="M2561" s="1323"/>
      <c r="N2561" s="1323"/>
      <c r="O2561" s="1323"/>
      <c r="P2561" s="1323"/>
      <c r="Q2561" s="1323"/>
      <c r="R2561" s="1304"/>
      <c r="S2561" s="1304"/>
      <c r="T2561" s="1304"/>
    </row>
    <row r="2562" spans="1:20">
      <c r="A2562" s="1303"/>
      <c r="B2562" s="1322" t="s">
        <v>7293</v>
      </c>
      <c r="C2562" s="1323" t="s">
        <v>7294</v>
      </c>
      <c r="D2562" s="1324">
        <f t="shared" si="264"/>
        <v>38155</v>
      </c>
      <c r="E2562" s="1323">
        <f t="shared" si="266"/>
        <v>6.4702999999999999</v>
      </c>
      <c r="F2562" s="1323">
        <f t="shared" si="265"/>
        <v>6.0050485384022894</v>
      </c>
      <c r="G2562" s="1323">
        <f t="shared" si="267"/>
        <v>2004</v>
      </c>
      <c r="H2562" s="1323">
        <f t="shared" si="268"/>
        <v>6</v>
      </c>
      <c r="I2562" s="1323">
        <f t="shared" si="269"/>
        <v>17</v>
      </c>
      <c r="J2562" s="1323"/>
      <c r="K2562" s="1323"/>
      <c r="L2562" s="1323"/>
      <c r="M2562" s="1323"/>
      <c r="N2562" s="1323"/>
      <c r="O2562" s="1323"/>
      <c r="P2562" s="1323"/>
      <c r="Q2562" s="1323"/>
      <c r="R2562" s="1304"/>
      <c r="S2562" s="1304"/>
      <c r="T2562" s="1304"/>
    </row>
    <row r="2563" spans="1:20">
      <c r="A2563" s="1303"/>
      <c r="B2563" s="1322" t="s">
        <v>7295</v>
      </c>
      <c r="C2563" s="1323" t="s">
        <v>7296</v>
      </c>
      <c r="D2563" s="1324">
        <f t="shared" si="264"/>
        <v>38153</v>
      </c>
      <c r="E2563" s="1323">
        <f t="shared" si="266"/>
        <v>6.6159999999999997</v>
      </c>
      <c r="F2563" s="1323">
        <f t="shared" si="265"/>
        <v>6.0038971060805748</v>
      </c>
      <c r="G2563" s="1323">
        <f t="shared" si="267"/>
        <v>2004</v>
      </c>
      <c r="H2563" s="1323">
        <f t="shared" si="268"/>
        <v>6</v>
      </c>
      <c r="I2563" s="1323">
        <f t="shared" si="269"/>
        <v>15</v>
      </c>
      <c r="J2563" s="1323"/>
      <c r="K2563" s="1323"/>
      <c r="L2563" s="1323"/>
      <c r="M2563" s="1323"/>
      <c r="N2563" s="1323"/>
      <c r="O2563" s="1323"/>
      <c r="P2563" s="1323"/>
      <c r="Q2563" s="1323"/>
      <c r="R2563" s="1304"/>
      <c r="S2563" s="1304"/>
      <c r="T2563" s="1304"/>
    </row>
    <row r="2564" spans="1:20">
      <c r="A2564" s="1303"/>
      <c r="B2564" s="1322" t="s">
        <v>7297</v>
      </c>
      <c r="C2564" s="1323" t="s">
        <v>7298</v>
      </c>
      <c r="D2564" s="1324">
        <f t="shared" si="264"/>
        <v>38152</v>
      </c>
      <c r="E2564" s="1323">
        <f t="shared" si="266"/>
        <v>6.5716999999999999</v>
      </c>
      <c r="F2564" s="1323">
        <f t="shared" si="265"/>
        <v>6.0027458945391565</v>
      </c>
      <c r="G2564" s="1323">
        <f t="shared" si="267"/>
        <v>2004</v>
      </c>
      <c r="H2564" s="1323">
        <f t="shared" si="268"/>
        <v>6</v>
      </c>
      <c r="I2564" s="1323">
        <f t="shared" si="269"/>
        <v>14</v>
      </c>
      <c r="J2564" s="1323"/>
      <c r="K2564" s="1323"/>
      <c r="L2564" s="1323"/>
      <c r="M2564" s="1323"/>
      <c r="N2564" s="1323"/>
      <c r="O2564" s="1323"/>
      <c r="P2564" s="1323"/>
      <c r="Q2564" s="1323"/>
      <c r="R2564" s="1304"/>
      <c r="S2564" s="1304"/>
      <c r="T2564" s="1304"/>
    </row>
    <row r="2565" spans="1:20">
      <c r="A2565" s="1303"/>
      <c r="B2565" s="1322" t="s">
        <v>7299</v>
      </c>
      <c r="C2565" s="1323" t="s">
        <v>7300</v>
      </c>
      <c r="D2565" s="1324">
        <f t="shared" si="264"/>
        <v>38149</v>
      </c>
      <c r="E2565" s="1323">
        <f t="shared" si="266"/>
        <v>6.5439999999999996</v>
      </c>
      <c r="F2565" s="1323">
        <f t="shared" si="265"/>
        <v>6.0015949037357004</v>
      </c>
      <c r="G2565" s="1323">
        <f t="shared" si="267"/>
        <v>2004</v>
      </c>
      <c r="H2565" s="1323">
        <f t="shared" si="268"/>
        <v>6</v>
      </c>
      <c r="I2565" s="1323">
        <f t="shared" si="269"/>
        <v>11</v>
      </c>
      <c r="J2565" s="1323"/>
      <c r="K2565" s="1323"/>
      <c r="L2565" s="1323"/>
      <c r="M2565" s="1323"/>
      <c r="N2565" s="1323"/>
      <c r="O2565" s="1323"/>
      <c r="P2565" s="1323"/>
      <c r="Q2565" s="1323"/>
      <c r="R2565" s="1304"/>
      <c r="S2565" s="1304"/>
      <c r="T2565" s="1304"/>
    </row>
    <row r="2566" spans="1:20">
      <c r="A2566" s="1303"/>
      <c r="B2566" s="1322" t="s">
        <v>7301</v>
      </c>
      <c r="C2566" s="1323" t="s">
        <v>7302</v>
      </c>
      <c r="D2566" s="1324">
        <f t="shared" si="264"/>
        <v>38148</v>
      </c>
      <c r="E2566" s="1323">
        <f t="shared" si="266"/>
        <v>6.6822999999999997</v>
      </c>
      <c r="F2566" s="1323">
        <f t="shared" si="265"/>
        <v>6.0004441336278811</v>
      </c>
      <c r="G2566" s="1323">
        <f t="shared" si="267"/>
        <v>2004</v>
      </c>
      <c r="H2566" s="1323">
        <f t="shared" si="268"/>
        <v>6</v>
      </c>
      <c r="I2566" s="1323">
        <f t="shared" si="269"/>
        <v>10</v>
      </c>
      <c r="J2566" s="1323"/>
      <c r="K2566" s="1323"/>
      <c r="L2566" s="1323"/>
      <c r="M2566" s="1323"/>
      <c r="N2566" s="1323"/>
      <c r="O2566" s="1323"/>
      <c r="P2566" s="1323"/>
      <c r="Q2566" s="1323"/>
      <c r="R2566" s="1304"/>
      <c r="S2566" s="1304"/>
      <c r="T2566" s="1304"/>
    </row>
    <row r="2567" spans="1:20">
      <c r="A2567" s="1303"/>
      <c r="B2567" s="1322" t="s">
        <v>7303</v>
      </c>
      <c r="C2567" s="1323" t="s">
        <v>7304</v>
      </c>
      <c r="D2567" s="1324">
        <f t="shared" si="264"/>
        <v>38147</v>
      </c>
      <c r="E2567" s="1323">
        <f t="shared" si="266"/>
        <v>6.6219999999999999</v>
      </c>
      <c r="F2567" s="1323">
        <f t="shared" si="265"/>
        <v>5.9992935841733823</v>
      </c>
      <c r="G2567" s="1323">
        <f t="shared" si="267"/>
        <v>2004</v>
      </c>
      <c r="H2567" s="1323">
        <f t="shared" si="268"/>
        <v>6</v>
      </c>
      <c r="I2567" s="1323">
        <f t="shared" si="269"/>
        <v>9</v>
      </c>
      <c r="J2567" s="1323"/>
      <c r="K2567" s="1323"/>
      <c r="L2567" s="1323"/>
      <c r="M2567" s="1323"/>
      <c r="N2567" s="1323"/>
      <c r="O2567" s="1323"/>
      <c r="P2567" s="1323"/>
      <c r="Q2567" s="1323"/>
      <c r="R2567" s="1304"/>
      <c r="S2567" s="1304"/>
      <c r="T2567" s="1304"/>
    </row>
    <row r="2568" spans="1:20">
      <c r="A2568" s="1303"/>
      <c r="B2568" s="1322" t="s">
        <v>7305</v>
      </c>
      <c r="C2568" s="1323" t="s">
        <v>7306</v>
      </c>
      <c r="D2568" s="1324">
        <f t="shared" si="264"/>
        <v>38146</v>
      </c>
      <c r="E2568" s="1323">
        <f t="shared" si="266"/>
        <v>6.4629000000000003</v>
      </c>
      <c r="F2568" s="1323">
        <f t="shared" si="265"/>
        <v>5.9981432553298939</v>
      </c>
      <c r="G2568" s="1323">
        <f t="shared" si="267"/>
        <v>2004</v>
      </c>
      <c r="H2568" s="1323">
        <f t="shared" si="268"/>
        <v>6</v>
      </c>
      <c r="I2568" s="1323">
        <f t="shared" si="269"/>
        <v>8</v>
      </c>
      <c r="J2568" s="1323"/>
      <c r="K2568" s="1323"/>
      <c r="L2568" s="1323"/>
      <c r="M2568" s="1323"/>
      <c r="N2568" s="1323"/>
      <c r="O2568" s="1323"/>
      <c r="P2568" s="1323"/>
      <c r="Q2568" s="1323"/>
      <c r="R2568" s="1304"/>
      <c r="S2568" s="1304"/>
      <c r="T2568" s="1304"/>
    </row>
    <row r="2569" spans="1:20">
      <c r="A2569" s="1303"/>
      <c r="B2569" s="1322" t="s">
        <v>7307</v>
      </c>
      <c r="C2569" s="1323" t="s">
        <v>7308</v>
      </c>
      <c r="D2569" s="1324">
        <f t="shared" ref="D2569:D2632" si="270">DATE(G2569,H2569,I2569)</f>
        <v>38145</v>
      </c>
      <c r="E2569" s="1323">
        <f t="shared" si="266"/>
        <v>6.4569000000000001</v>
      </c>
      <c r="F2569" s="1323">
        <f t="shared" ref="F2569:F2632" si="271">F2570*(1+$F$7/365)</f>
        <v>5.9969931470551163</v>
      </c>
      <c r="G2569" s="1323">
        <f t="shared" si="267"/>
        <v>2004</v>
      </c>
      <c r="H2569" s="1323">
        <f t="shared" si="268"/>
        <v>6</v>
      </c>
      <c r="I2569" s="1323">
        <f t="shared" si="269"/>
        <v>7</v>
      </c>
      <c r="J2569" s="1323"/>
      <c r="K2569" s="1323"/>
      <c r="L2569" s="1323"/>
      <c r="M2569" s="1323"/>
      <c r="N2569" s="1323"/>
      <c r="O2569" s="1323"/>
      <c r="P2569" s="1323"/>
      <c r="Q2569" s="1323"/>
      <c r="R2569" s="1304"/>
      <c r="S2569" s="1304"/>
      <c r="T2569" s="1304"/>
    </row>
    <row r="2570" spans="1:20">
      <c r="A2570" s="1303"/>
      <c r="B2570" s="1322" t="s">
        <v>7309</v>
      </c>
      <c r="C2570" s="1323" t="s">
        <v>7310</v>
      </c>
      <c r="D2570" s="1324">
        <f t="shared" si="270"/>
        <v>38142</v>
      </c>
      <c r="E2570" s="1323">
        <f t="shared" si="266"/>
        <v>6.4619999999999997</v>
      </c>
      <c r="F2570" s="1323">
        <f t="shared" si="271"/>
        <v>5.9958432593067563</v>
      </c>
      <c r="G2570" s="1323">
        <f t="shared" si="267"/>
        <v>2004</v>
      </c>
      <c r="H2570" s="1323">
        <f t="shared" si="268"/>
        <v>6</v>
      </c>
      <c r="I2570" s="1323">
        <f t="shared" si="269"/>
        <v>4</v>
      </c>
      <c r="J2570" s="1323"/>
      <c r="K2570" s="1323"/>
      <c r="L2570" s="1323"/>
      <c r="M2570" s="1323"/>
      <c r="N2570" s="1323"/>
      <c r="O2570" s="1323"/>
      <c r="P2570" s="1323"/>
      <c r="Q2570" s="1323"/>
      <c r="R2570" s="1304"/>
      <c r="S2570" s="1304"/>
      <c r="T2570" s="1304"/>
    </row>
    <row r="2571" spans="1:20">
      <c r="A2571" s="1303"/>
      <c r="B2571" s="1322" t="s">
        <v>7311</v>
      </c>
      <c r="C2571" s="1323" t="s">
        <v>7312</v>
      </c>
      <c r="D2571" s="1324">
        <f t="shared" si="270"/>
        <v>38141</v>
      </c>
      <c r="E2571" s="1323">
        <f t="shared" si="266"/>
        <v>6.4928999999999997</v>
      </c>
      <c r="F2571" s="1323">
        <f t="shared" si="271"/>
        <v>5.9946935920425286</v>
      </c>
      <c r="G2571" s="1323">
        <f t="shared" si="267"/>
        <v>2004</v>
      </c>
      <c r="H2571" s="1323">
        <f t="shared" si="268"/>
        <v>6</v>
      </c>
      <c r="I2571" s="1323">
        <f t="shared" si="269"/>
        <v>3</v>
      </c>
      <c r="J2571" s="1323"/>
      <c r="K2571" s="1323"/>
      <c r="L2571" s="1323"/>
      <c r="M2571" s="1323"/>
      <c r="N2571" s="1323"/>
      <c r="O2571" s="1323"/>
      <c r="P2571" s="1323"/>
      <c r="Q2571" s="1323"/>
      <c r="R2571" s="1304"/>
      <c r="S2571" s="1304"/>
      <c r="T2571" s="1304"/>
    </row>
    <row r="2572" spans="1:20">
      <c r="A2572" s="1303"/>
      <c r="B2572" s="1322" t="s">
        <v>7313</v>
      </c>
      <c r="C2572" s="1323" t="s">
        <v>7314</v>
      </c>
      <c r="D2572" s="1324">
        <f t="shared" si="270"/>
        <v>38140</v>
      </c>
      <c r="E2572" s="1323">
        <f t="shared" si="266"/>
        <v>6.4009</v>
      </c>
      <c r="F2572" s="1323">
        <f t="shared" si="271"/>
        <v>5.9935441452201577</v>
      </c>
      <c r="G2572" s="1323">
        <f t="shared" si="267"/>
        <v>2004</v>
      </c>
      <c r="H2572" s="1323">
        <f t="shared" si="268"/>
        <v>6</v>
      </c>
      <c r="I2572" s="1323">
        <f t="shared" si="269"/>
        <v>2</v>
      </c>
      <c r="J2572" s="1323"/>
      <c r="K2572" s="1323"/>
      <c r="L2572" s="1323"/>
      <c r="M2572" s="1323"/>
      <c r="N2572" s="1323"/>
      <c r="O2572" s="1323"/>
      <c r="P2572" s="1323"/>
      <c r="Q2572" s="1323"/>
      <c r="R2572" s="1304"/>
      <c r="S2572" s="1304"/>
      <c r="T2572" s="1304"/>
    </row>
    <row r="2573" spans="1:20">
      <c r="A2573" s="1303"/>
      <c r="B2573" s="1322" t="s">
        <v>7315</v>
      </c>
      <c r="C2573" s="1323" t="s">
        <v>7316</v>
      </c>
      <c r="D2573" s="1324">
        <f t="shared" si="270"/>
        <v>38139</v>
      </c>
      <c r="E2573" s="1323">
        <f t="shared" si="266"/>
        <v>6.4737999999999998</v>
      </c>
      <c r="F2573" s="1323">
        <f t="shared" si="271"/>
        <v>5.9923949187973742</v>
      </c>
      <c r="G2573" s="1323">
        <f t="shared" si="267"/>
        <v>2004</v>
      </c>
      <c r="H2573" s="1323">
        <f t="shared" si="268"/>
        <v>6</v>
      </c>
      <c r="I2573" s="1323">
        <f t="shared" si="269"/>
        <v>1</v>
      </c>
      <c r="J2573" s="1323"/>
      <c r="K2573" s="1323"/>
      <c r="L2573" s="1323"/>
      <c r="M2573" s="1323"/>
      <c r="N2573" s="1323"/>
      <c r="O2573" s="1323"/>
      <c r="P2573" s="1323"/>
      <c r="Q2573" s="1323"/>
      <c r="R2573" s="1304"/>
      <c r="S2573" s="1304"/>
      <c r="T2573" s="1304"/>
    </row>
    <row r="2574" spans="1:20">
      <c r="A2574" s="1303"/>
      <c r="B2574" s="1322" t="s">
        <v>7317</v>
      </c>
      <c r="C2574" s="1323" t="s">
        <v>7318</v>
      </c>
      <c r="D2574" s="1324">
        <f t="shared" si="270"/>
        <v>38138</v>
      </c>
      <c r="E2574" s="1323">
        <f t="shared" si="266"/>
        <v>6.5109000000000004</v>
      </c>
      <c r="F2574" s="1323">
        <f t="shared" si="271"/>
        <v>5.9912459127319186</v>
      </c>
      <c r="G2574" s="1323">
        <f t="shared" si="267"/>
        <v>2004</v>
      </c>
      <c r="H2574" s="1323">
        <f t="shared" si="268"/>
        <v>5</v>
      </c>
      <c r="I2574" s="1323">
        <f t="shared" si="269"/>
        <v>31</v>
      </c>
      <c r="J2574" s="1323"/>
      <c r="K2574" s="1323"/>
      <c r="L2574" s="1323"/>
      <c r="M2574" s="1323"/>
      <c r="N2574" s="1323"/>
      <c r="O2574" s="1323"/>
      <c r="P2574" s="1323"/>
      <c r="Q2574" s="1323"/>
      <c r="R2574" s="1304"/>
      <c r="S2574" s="1304"/>
      <c r="T2574" s="1304"/>
    </row>
    <row r="2575" spans="1:20">
      <c r="A2575" s="1303"/>
      <c r="B2575" s="1322" t="s">
        <v>7319</v>
      </c>
      <c r="C2575" s="1323" t="s">
        <v>7320</v>
      </c>
      <c r="D2575" s="1324">
        <f t="shared" si="270"/>
        <v>38135</v>
      </c>
      <c r="E2575" s="1323">
        <f t="shared" si="266"/>
        <v>6.5178000000000003</v>
      </c>
      <c r="F2575" s="1323">
        <f t="shared" si="271"/>
        <v>5.9900971269815386</v>
      </c>
      <c r="G2575" s="1323">
        <f t="shared" si="267"/>
        <v>2004</v>
      </c>
      <c r="H2575" s="1323">
        <f t="shared" si="268"/>
        <v>5</v>
      </c>
      <c r="I2575" s="1323">
        <f t="shared" si="269"/>
        <v>28</v>
      </c>
      <c r="J2575" s="1323"/>
      <c r="K2575" s="1323"/>
      <c r="L2575" s="1323"/>
      <c r="M2575" s="1323"/>
      <c r="N2575" s="1323"/>
      <c r="O2575" s="1323"/>
      <c r="P2575" s="1323"/>
      <c r="Q2575" s="1323"/>
      <c r="R2575" s="1304"/>
      <c r="S2575" s="1304"/>
      <c r="T2575" s="1304"/>
    </row>
    <row r="2576" spans="1:20">
      <c r="A2576" s="1303"/>
      <c r="B2576" s="1322" t="s">
        <v>7321</v>
      </c>
      <c r="C2576" s="1323" t="s">
        <v>7322</v>
      </c>
      <c r="D2576" s="1324">
        <f t="shared" si="270"/>
        <v>38134</v>
      </c>
      <c r="E2576" s="1323">
        <f t="shared" si="266"/>
        <v>6.5724</v>
      </c>
      <c r="F2576" s="1323">
        <f t="shared" si="271"/>
        <v>5.9889485615039897</v>
      </c>
      <c r="G2576" s="1323">
        <f t="shared" si="267"/>
        <v>2004</v>
      </c>
      <c r="H2576" s="1323">
        <f t="shared" si="268"/>
        <v>5</v>
      </c>
      <c r="I2576" s="1323">
        <f t="shared" si="269"/>
        <v>27</v>
      </c>
      <c r="J2576" s="1323"/>
      <c r="K2576" s="1323"/>
      <c r="L2576" s="1323"/>
      <c r="M2576" s="1323"/>
      <c r="N2576" s="1323"/>
      <c r="O2576" s="1323"/>
      <c r="P2576" s="1323"/>
      <c r="Q2576" s="1323"/>
      <c r="R2576" s="1304"/>
      <c r="S2576" s="1304"/>
      <c r="T2576" s="1304"/>
    </row>
    <row r="2577" spans="1:20">
      <c r="A2577" s="1303"/>
      <c r="B2577" s="1322" t="s">
        <v>7323</v>
      </c>
      <c r="C2577" s="1323" t="s">
        <v>7324</v>
      </c>
      <c r="D2577" s="1324">
        <f t="shared" si="270"/>
        <v>38133</v>
      </c>
      <c r="E2577" s="1323">
        <f t="shared" si="266"/>
        <v>6.5894000000000004</v>
      </c>
      <c r="F2577" s="1323">
        <f t="shared" si="271"/>
        <v>5.9878002162570363</v>
      </c>
      <c r="G2577" s="1323">
        <f t="shared" si="267"/>
        <v>2004</v>
      </c>
      <c r="H2577" s="1323">
        <f t="shared" si="268"/>
        <v>5</v>
      </c>
      <c r="I2577" s="1323">
        <f t="shared" si="269"/>
        <v>26</v>
      </c>
      <c r="J2577" s="1323"/>
      <c r="K2577" s="1323"/>
      <c r="L2577" s="1323"/>
      <c r="M2577" s="1323"/>
      <c r="N2577" s="1323"/>
      <c r="O2577" s="1323"/>
      <c r="P2577" s="1323"/>
      <c r="Q2577" s="1323"/>
      <c r="R2577" s="1304"/>
      <c r="S2577" s="1304"/>
      <c r="T2577" s="1304"/>
    </row>
    <row r="2578" spans="1:20">
      <c r="A2578" s="1303"/>
      <c r="B2578" s="1322" t="s">
        <v>7325</v>
      </c>
      <c r="C2578" s="1323" t="s">
        <v>7326</v>
      </c>
      <c r="D2578" s="1324">
        <f t="shared" si="270"/>
        <v>38132</v>
      </c>
      <c r="E2578" s="1323">
        <f t="shared" si="266"/>
        <v>6.6548999999999996</v>
      </c>
      <c r="F2578" s="1323">
        <f t="shared" si="271"/>
        <v>5.98665209119845</v>
      </c>
      <c r="G2578" s="1323">
        <f t="shared" si="267"/>
        <v>2004</v>
      </c>
      <c r="H2578" s="1323">
        <f t="shared" si="268"/>
        <v>5</v>
      </c>
      <c r="I2578" s="1323">
        <f t="shared" si="269"/>
        <v>25</v>
      </c>
      <c r="J2578" s="1323"/>
      <c r="K2578" s="1323"/>
      <c r="L2578" s="1323"/>
      <c r="M2578" s="1323"/>
      <c r="N2578" s="1323"/>
      <c r="O2578" s="1323"/>
      <c r="P2578" s="1323"/>
      <c r="Q2578" s="1323"/>
      <c r="R2578" s="1304"/>
      <c r="S2578" s="1304"/>
      <c r="T2578" s="1304"/>
    </row>
    <row r="2579" spans="1:20">
      <c r="A2579" s="1303"/>
      <c r="B2579" s="1322" t="s">
        <v>7327</v>
      </c>
      <c r="C2579" s="1323" t="s">
        <v>7328</v>
      </c>
      <c r="D2579" s="1324">
        <f t="shared" si="270"/>
        <v>38131</v>
      </c>
      <c r="E2579" s="1323">
        <f t="shared" si="266"/>
        <v>6.7477999999999998</v>
      </c>
      <c r="F2579" s="1323">
        <f t="shared" si="271"/>
        <v>5.9855041862860112</v>
      </c>
      <c r="G2579" s="1323">
        <f t="shared" si="267"/>
        <v>2004</v>
      </c>
      <c r="H2579" s="1323">
        <f t="shared" si="268"/>
        <v>5</v>
      </c>
      <c r="I2579" s="1323">
        <f t="shared" si="269"/>
        <v>24</v>
      </c>
      <c r="J2579" s="1323"/>
      <c r="K2579" s="1323"/>
      <c r="L2579" s="1323"/>
      <c r="M2579" s="1323"/>
      <c r="N2579" s="1323"/>
      <c r="O2579" s="1323"/>
      <c r="P2579" s="1323"/>
      <c r="Q2579" s="1323"/>
      <c r="R2579" s="1304"/>
      <c r="S2579" s="1304"/>
      <c r="T2579" s="1304"/>
    </row>
    <row r="2580" spans="1:20">
      <c r="A2580" s="1303"/>
      <c r="B2580" s="1322" t="s">
        <v>7329</v>
      </c>
      <c r="C2580" s="1323" t="s">
        <v>5587</v>
      </c>
      <c r="D2580" s="1324">
        <f t="shared" si="270"/>
        <v>38128</v>
      </c>
      <c r="E2580" s="1323">
        <f t="shared" si="266"/>
        <v>6.7549000000000001</v>
      </c>
      <c r="F2580" s="1323">
        <f t="shared" si="271"/>
        <v>5.9843565014775084</v>
      </c>
      <c r="G2580" s="1323">
        <f t="shared" si="267"/>
        <v>2004</v>
      </c>
      <c r="H2580" s="1323">
        <f t="shared" si="268"/>
        <v>5</v>
      </c>
      <c r="I2580" s="1323">
        <f t="shared" si="269"/>
        <v>21</v>
      </c>
      <c r="J2580" s="1323"/>
      <c r="K2580" s="1323"/>
      <c r="L2580" s="1323"/>
      <c r="M2580" s="1323"/>
      <c r="N2580" s="1323"/>
      <c r="O2580" s="1323"/>
      <c r="P2580" s="1323"/>
      <c r="Q2580" s="1323"/>
      <c r="R2580" s="1304"/>
      <c r="S2580" s="1304"/>
      <c r="T2580" s="1304"/>
    </row>
    <row r="2581" spans="1:20">
      <c r="A2581" s="1303"/>
      <c r="B2581" s="1322" t="s">
        <v>7330</v>
      </c>
      <c r="C2581" s="1323" t="s">
        <v>7331</v>
      </c>
      <c r="D2581" s="1324">
        <f t="shared" si="270"/>
        <v>38127</v>
      </c>
      <c r="E2581" s="1323">
        <f t="shared" si="266"/>
        <v>6.7625000000000002</v>
      </c>
      <c r="F2581" s="1323">
        <f t="shared" si="271"/>
        <v>5.983209036730738</v>
      </c>
      <c r="G2581" s="1323">
        <f t="shared" si="267"/>
        <v>2004</v>
      </c>
      <c r="H2581" s="1323">
        <f t="shared" si="268"/>
        <v>5</v>
      </c>
      <c r="I2581" s="1323">
        <f t="shared" si="269"/>
        <v>20</v>
      </c>
      <c r="J2581" s="1323"/>
      <c r="K2581" s="1323"/>
      <c r="L2581" s="1323"/>
      <c r="M2581" s="1323"/>
      <c r="N2581" s="1323"/>
      <c r="O2581" s="1323"/>
      <c r="P2581" s="1323"/>
      <c r="Q2581" s="1323"/>
      <c r="R2581" s="1304"/>
      <c r="S2581" s="1304"/>
      <c r="T2581" s="1304"/>
    </row>
    <row r="2582" spans="1:20">
      <c r="A2582" s="1303"/>
      <c r="B2582" s="1322" t="s">
        <v>7332</v>
      </c>
      <c r="C2582" s="1323" t="s">
        <v>3886</v>
      </c>
      <c r="D2582" s="1324">
        <f t="shared" si="270"/>
        <v>38126</v>
      </c>
      <c r="E2582" s="1323">
        <f t="shared" ref="E2582:E2645" si="272">VALUE(C2583)</f>
        <v>6.73</v>
      </c>
      <c r="F2582" s="1323">
        <f t="shared" si="271"/>
        <v>5.9820617920035044</v>
      </c>
      <c r="G2582" s="1323">
        <f t="shared" ref="G2582:G2645" si="273">YEAR(B2583)</f>
        <v>2004</v>
      </c>
      <c r="H2582" s="1323">
        <f t="shared" ref="H2582:H2645" si="274">MONTH(B2583)</f>
        <v>5</v>
      </c>
      <c r="I2582" s="1323">
        <f t="shared" ref="I2582:I2645" si="275">DAY(B2583)</f>
        <v>19</v>
      </c>
      <c r="J2582" s="1323"/>
      <c r="K2582" s="1323"/>
      <c r="L2582" s="1323"/>
      <c r="M2582" s="1323"/>
      <c r="N2582" s="1323"/>
      <c r="O2582" s="1323"/>
      <c r="P2582" s="1323"/>
      <c r="Q2582" s="1323"/>
      <c r="R2582" s="1304"/>
      <c r="S2582" s="1304"/>
      <c r="T2582" s="1304"/>
    </row>
    <row r="2583" spans="1:20">
      <c r="A2583" s="1303"/>
      <c r="B2583" s="1322" t="s">
        <v>7333</v>
      </c>
      <c r="C2583" s="1323" t="s">
        <v>7334</v>
      </c>
      <c r="D2583" s="1324">
        <f t="shared" si="270"/>
        <v>38125</v>
      </c>
      <c r="E2583" s="1323">
        <f t="shared" si="272"/>
        <v>6.7938000000000001</v>
      </c>
      <c r="F2583" s="1323">
        <f t="shared" si="271"/>
        <v>5.98091476725362</v>
      </c>
      <c r="G2583" s="1323">
        <f t="shared" si="273"/>
        <v>2004</v>
      </c>
      <c r="H2583" s="1323">
        <f t="shared" si="274"/>
        <v>5</v>
      </c>
      <c r="I2583" s="1323">
        <f t="shared" si="275"/>
        <v>18</v>
      </c>
      <c r="J2583" s="1323"/>
      <c r="K2583" s="1323"/>
      <c r="L2583" s="1323"/>
      <c r="M2583" s="1323"/>
      <c r="N2583" s="1323"/>
      <c r="O2583" s="1323"/>
      <c r="P2583" s="1323"/>
      <c r="Q2583" s="1323"/>
      <c r="R2583" s="1304"/>
      <c r="S2583" s="1304"/>
      <c r="T2583" s="1304"/>
    </row>
    <row r="2584" spans="1:20">
      <c r="A2584" s="1303"/>
      <c r="B2584" s="1322" t="s">
        <v>7335</v>
      </c>
      <c r="C2584" s="1323" t="s">
        <v>7336</v>
      </c>
      <c r="D2584" s="1324">
        <f t="shared" si="270"/>
        <v>38124</v>
      </c>
      <c r="E2584" s="1323">
        <f t="shared" si="272"/>
        <v>6.7213000000000003</v>
      </c>
      <c r="F2584" s="1323">
        <f t="shared" si="271"/>
        <v>5.9797679624389053</v>
      </c>
      <c r="G2584" s="1323">
        <f t="shared" si="273"/>
        <v>2004</v>
      </c>
      <c r="H2584" s="1323">
        <f t="shared" si="274"/>
        <v>5</v>
      </c>
      <c r="I2584" s="1323">
        <f t="shared" si="275"/>
        <v>17</v>
      </c>
      <c r="J2584" s="1323"/>
      <c r="K2584" s="1323"/>
      <c r="L2584" s="1323"/>
      <c r="M2584" s="1323"/>
      <c r="N2584" s="1323"/>
      <c r="O2584" s="1323"/>
      <c r="P2584" s="1323"/>
      <c r="Q2584" s="1323"/>
      <c r="R2584" s="1304"/>
      <c r="S2584" s="1304"/>
      <c r="T2584" s="1304"/>
    </row>
    <row r="2585" spans="1:20">
      <c r="A2585" s="1303"/>
      <c r="B2585" s="1322" t="s">
        <v>7337</v>
      </c>
      <c r="C2585" s="1323" t="s">
        <v>7338</v>
      </c>
      <c r="D2585" s="1324">
        <f t="shared" si="270"/>
        <v>38121</v>
      </c>
      <c r="E2585" s="1323">
        <f t="shared" si="272"/>
        <v>6.9279999999999999</v>
      </c>
      <c r="F2585" s="1323">
        <f t="shared" si="271"/>
        <v>5.9786213775171895</v>
      </c>
      <c r="G2585" s="1323">
        <f t="shared" si="273"/>
        <v>2004</v>
      </c>
      <c r="H2585" s="1323">
        <f t="shared" si="274"/>
        <v>5</v>
      </c>
      <c r="I2585" s="1323">
        <f t="shared" si="275"/>
        <v>14</v>
      </c>
      <c r="J2585" s="1323"/>
      <c r="K2585" s="1323"/>
      <c r="L2585" s="1323"/>
      <c r="M2585" s="1323"/>
      <c r="N2585" s="1323"/>
      <c r="O2585" s="1323"/>
      <c r="P2585" s="1323"/>
      <c r="Q2585" s="1323"/>
      <c r="R2585" s="1304"/>
      <c r="S2585" s="1304"/>
      <c r="T2585" s="1304"/>
    </row>
    <row r="2586" spans="1:20">
      <c r="A2586" s="1303"/>
      <c r="B2586" s="1322" t="s">
        <v>7339</v>
      </c>
      <c r="C2586" s="1323" t="s">
        <v>3917</v>
      </c>
      <c r="D2586" s="1324">
        <f t="shared" si="270"/>
        <v>38120</v>
      </c>
      <c r="E2586" s="1323">
        <f t="shared" si="272"/>
        <v>6.9413</v>
      </c>
      <c r="F2586" s="1323">
        <f t="shared" si="271"/>
        <v>5.977475012446309</v>
      </c>
      <c r="G2586" s="1323">
        <f t="shared" si="273"/>
        <v>2004</v>
      </c>
      <c r="H2586" s="1323">
        <f t="shared" si="274"/>
        <v>5</v>
      </c>
      <c r="I2586" s="1323">
        <f t="shared" si="275"/>
        <v>13</v>
      </c>
      <c r="J2586" s="1323"/>
      <c r="K2586" s="1323"/>
      <c r="L2586" s="1323"/>
      <c r="M2586" s="1323"/>
      <c r="N2586" s="1323"/>
      <c r="O2586" s="1323"/>
      <c r="P2586" s="1323"/>
      <c r="Q2586" s="1323"/>
      <c r="R2586" s="1304"/>
      <c r="S2586" s="1304"/>
      <c r="T2586" s="1304"/>
    </row>
    <row r="2587" spans="1:20">
      <c r="A2587" s="1303"/>
      <c r="B2587" s="1322" t="s">
        <v>7340</v>
      </c>
      <c r="C2587" s="1323" t="s">
        <v>7341</v>
      </c>
      <c r="D2587" s="1324">
        <f t="shared" si="270"/>
        <v>38119</v>
      </c>
      <c r="E2587" s="1323">
        <f t="shared" si="272"/>
        <v>6.8377999999999997</v>
      </c>
      <c r="F2587" s="1323">
        <f t="shared" si="271"/>
        <v>5.9763288671841091</v>
      </c>
      <c r="G2587" s="1323">
        <f t="shared" si="273"/>
        <v>2004</v>
      </c>
      <c r="H2587" s="1323">
        <f t="shared" si="274"/>
        <v>5</v>
      </c>
      <c r="I2587" s="1323">
        <f t="shared" si="275"/>
        <v>12</v>
      </c>
      <c r="J2587" s="1323"/>
      <c r="K2587" s="1323"/>
      <c r="L2587" s="1323"/>
      <c r="M2587" s="1323"/>
      <c r="N2587" s="1323"/>
      <c r="O2587" s="1323"/>
      <c r="P2587" s="1323"/>
      <c r="Q2587" s="1323"/>
      <c r="R2587" s="1304"/>
      <c r="S2587" s="1304"/>
      <c r="T2587" s="1304"/>
    </row>
    <row r="2588" spans="1:20">
      <c r="A2588" s="1303"/>
      <c r="B2588" s="1322" t="s">
        <v>7342</v>
      </c>
      <c r="C2588" s="1323" t="s">
        <v>7343</v>
      </c>
      <c r="D2588" s="1324">
        <f t="shared" si="270"/>
        <v>38118</v>
      </c>
      <c r="E2588" s="1323">
        <f t="shared" si="272"/>
        <v>6.9302999999999999</v>
      </c>
      <c r="F2588" s="1323">
        <f t="shared" si="271"/>
        <v>5.975182941688443</v>
      </c>
      <c r="G2588" s="1323">
        <f t="shared" si="273"/>
        <v>2004</v>
      </c>
      <c r="H2588" s="1323">
        <f t="shared" si="274"/>
        <v>5</v>
      </c>
      <c r="I2588" s="1323">
        <f t="shared" si="275"/>
        <v>11</v>
      </c>
      <c r="J2588" s="1323"/>
      <c r="K2588" s="1323"/>
      <c r="L2588" s="1323"/>
      <c r="M2588" s="1323"/>
      <c r="N2588" s="1323"/>
      <c r="O2588" s="1323"/>
      <c r="P2588" s="1323"/>
      <c r="Q2588" s="1323"/>
      <c r="R2588" s="1304"/>
      <c r="S2588" s="1304"/>
      <c r="T2588" s="1304"/>
    </row>
    <row r="2589" spans="1:20">
      <c r="A2589" s="1303"/>
      <c r="B2589" s="1322" t="s">
        <v>7344</v>
      </c>
      <c r="C2589" s="1323" t="s">
        <v>7345</v>
      </c>
      <c r="D2589" s="1324">
        <f t="shared" si="270"/>
        <v>38117</v>
      </c>
      <c r="E2589" s="1323">
        <f t="shared" si="272"/>
        <v>7.0876000000000001</v>
      </c>
      <c r="F2589" s="1323">
        <f t="shared" si="271"/>
        <v>5.9740372359171712</v>
      </c>
      <c r="G2589" s="1323">
        <f t="shared" si="273"/>
        <v>2004</v>
      </c>
      <c r="H2589" s="1323">
        <f t="shared" si="274"/>
        <v>5</v>
      </c>
      <c r="I2589" s="1323">
        <f t="shared" si="275"/>
        <v>10</v>
      </c>
      <c r="J2589" s="1323"/>
      <c r="K2589" s="1323"/>
      <c r="L2589" s="1323"/>
      <c r="M2589" s="1323"/>
      <c r="N2589" s="1323"/>
      <c r="O2589" s="1323"/>
      <c r="P2589" s="1323"/>
      <c r="Q2589" s="1323"/>
      <c r="R2589" s="1304"/>
      <c r="S2589" s="1304"/>
      <c r="T2589" s="1304"/>
    </row>
    <row r="2590" spans="1:20">
      <c r="A2590" s="1303"/>
      <c r="B2590" s="1322" t="s">
        <v>7346</v>
      </c>
      <c r="C2590" s="1323" t="s">
        <v>7347</v>
      </c>
      <c r="D2590" s="1324">
        <f t="shared" si="270"/>
        <v>38114</v>
      </c>
      <c r="E2590" s="1323">
        <f t="shared" si="272"/>
        <v>6.8922999999999996</v>
      </c>
      <c r="F2590" s="1323">
        <f t="shared" si="271"/>
        <v>5.9728917498281628</v>
      </c>
      <c r="G2590" s="1323">
        <f t="shared" si="273"/>
        <v>2004</v>
      </c>
      <c r="H2590" s="1323">
        <f t="shared" si="274"/>
        <v>5</v>
      </c>
      <c r="I2590" s="1323">
        <f t="shared" si="275"/>
        <v>7</v>
      </c>
      <c r="J2590" s="1323"/>
      <c r="K2590" s="1323"/>
      <c r="L2590" s="1323"/>
      <c r="M2590" s="1323"/>
      <c r="N2590" s="1323"/>
      <c r="O2590" s="1323"/>
      <c r="P2590" s="1323"/>
      <c r="Q2590" s="1323"/>
      <c r="R2590" s="1304"/>
      <c r="S2590" s="1304"/>
      <c r="T2590" s="1304"/>
    </row>
    <row r="2591" spans="1:20">
      <c r="A2591" s="1303"/>
      <c r="B2591" s="1322" t="s">
        <v>7348</v>
      </c>
      <c r="C2591" s="1323" t="s">
        <v>7349</v>
      </c>
      <c r="D2591" s="1324">
        <f t="shared" si="270"/>
        <v>38113</v>
      </c>
      <c r="E2591" s="1323">
        <f t="shared" si="272"/>
        <v>6.8</v>
      </c>
      <c r="F2591" s="1323">
        <f t="shared" si="271"/>
        <v>5.9717464833792953</v>
      </c>
      <c r="G2591" s="1323">
        <f t="shared" si="273"/>
        <v>2004</v>
      </c>
      <c r="H2591" s="1323">
        <f t="shared" si="274"/>
        <v>5</v>
      </c>
      <c r="I2591" s="1323">
        <f t="shared" si="275"/>
        <v>6</v>
      </c>
      <c r="J2591" s="1323"/>
      <c r="K2591" s="1323"/>
      <c r="L2591" s="1323"/>
      <c r="M2591" s="1323"/>
      <c r="N2591" s="1323"/>
      <c r="O2591" s="1323"/>
      <c r="P2591" s="1323"/>
      <c r="Q2591" s="1323"/>
      <c r="R2591" s="1304"/>
      <c r="S2591" s="1304"/>
      <c r="T2591" s="1304"/>
    </row>
    <row r="2592" spans="1:20">
      <c r="A2592" s="1303"/>
      <c r="B2592" s="1322" t="s">
        <v>7350</v>
      </c>
      <c r="C2592" s="1323" t="s">
        <v>7351</v>
      </c>
      <c r="D2592" s="1324">
        <f t="shared" si="270"/>
        <v>38112</v>
      </c>
      <c r="E2592" s="1323">
        <f t="shared" si="272"/>
        <v>6.86</v>
      </c>
      <c r="F2592" s="1323">
        <f t="shared" si="271"/>
        <v>5.9706014365284537</v>
      </c>
      <c r="G2592" s="1323">
        <f t="shared" si="273"/>
        <v>2004</v>
      </c>
      <c r="H2592" s="1323">
        <f t="shared" si="274"/>
        <v>5</v>
      </c>
      <c r="I2592" s="1323">
        <f t="shared" si="275"/>
        <v>5</v>
      </c>
      <c r="J2592" s="1323"/>
      <c r="K2592" s="1323"/>
      <c r="L2592" s="1323"/>
      <c r="M2592" s="1323"/>
      <c r="N2592" s="1323"/>
      <c r="O2592" s="1323"/>
      <c r="P2592" s="1323"/>
      <c r="Q2592" s="1323"/>
      <c r="R2592" s="1304"/>
      <c r="S2592" s="1304"/>
      <c r="T2592" s="1304"/>
    </row>
    <row r="2593" spans="1:20">
      <c r="A2593" s="1303"/>
      <c r="B2593" s="1322" t="s">
        <v>7352</v>
      </c>
      <c r="C2593" s="1323" t="s">
        <v>7353</v>
      </c>
      <c r="D2593" s="1324">
        <f t="shared" si="270"/>
        <v>38111</v>
      </c>
      <c r="E2593" s="1323">
        <f t="shared" si="272"/>
        <v>6.9664999999999999</v>
      </c>
      <c r="F2593" s="1323">
        <f t="shared" si="271"/>
        <v>5.9694566092335322</v>
      </c>
      <c r="G2593" s="1323">
        <f t="shared" si="273"/>
        <v>2004</v>
      </c>
      <c r="H2593" s="1323">
        <f t="shared" si="274"/>
        <v>5</v>
      </c>
      <c r="I2593" s="1323">
        <f t="shared" si="275"/>
        <v>4</v>
      </c>
      <c r="J2593" s="1323"/>
      <c r="K2593" s="1323"/>
      <c r="L2593" s="1323"/>
      <c r="M2593" s="1323"/>
      <c r="N2593" s="1323"/>
      <c r="O2593" s="1323"/>
      <c r="P2593" s="1323"/>
      <c r="Q2593" s="1323"/>
      <c r="R2593" s="1304"/>
      <c r="S2593" s="1304"/>
      <c r="T2593" s="1304"/>
    </row>
    <row r="2594" spans="1:20">
      <c r="A2594" s="1303"/>
      <c r="B2594" s="1322" t="s">
        <v>7354</v>
      </c>
      <c r="C2594" s="1323" t="s">
        <v>7355</v>
      </c>
      <c r="D2594" s="1324">
        <f t="shared" si="270"/>
        <v>38110</v>
      </c>
      <c r="E2594" s="1323">
        <f t="shared" si="272"/>
        <v>6.8949999999999996</v>
      </c>
      <c r="F2594" s="1323">
        <f t="shared" si="271"/>
        <v>5.9683120014524311</v>
      </c>
      <c r="G2594" s="1323">
        <f t="shared" si="273"/>
        <v>2004</v>
      </c>
      <c r="H2594" s="1323">
        <f t="shared" si="274"/>
        <v>5</v>
      </c>
      <c r="I2594" s="1323">
        <f t="shared" si="275"/>
        <v>3</v>
      </c>
      <c r="J2594" s="1323"/>
      <c r="K2594" s="1323"/>
      <c r="L2594" s="1323"/>
      <c r="M2594" s="1323"/>
      <c r="N2594" s="1323"/>
      <c r="O2594" s="1323"/>
      <c r="P2594" s="1323"/>
      <c r="Q2594" s="1323"/>
      <c r="R2594" s="1304"/>
      <c r="S2594" s="1304"/>
      <c r="T2594" s="1304"/>
    </row>
    <row r="2595" spans="1:20">
      <c r="A2595" s="1303"/>
      <c r="B2595" s="1322" t="s">
        <v>7356</v>
      </c>
      <c r="C2595" s="1323" t="s">
        <v>7357</v>
      </c>
      <c r="D2595" s="1324">
        <f t="shared" si="270"/>
        <v>38107</v>
      </c>
      <c r="E2595" s="1323">
        <f t="shared" si="272"/>
        <v>6.8520000000000003</v>
      </c>
      <c r="F2595" s="1323">
        <f t="shared" si="271"/>
        <v>5.9671676131430607</v>
      </c>
      <c r="G2595" s="1323">
        <f t="shared" si="273"/>
        <v>2004</v>
      </c>
      <c r="H2595" s="1323">
        <f t="shared" si="274"/>
        <v>4</v>
      </c>
      <c r="I2595" s="1323">
        <f t="shared" si="275"/>
        <v>30</v>
      </c>
      <c r="J2595" s="1323"/>
      <c r="K2595" s="1323"/>
      <c r="L2595" s="1323"/>
      <c r="M2595" s="1323"/>
      <c r="N2595" s="1323"/>
      <c r="O2595" s="1323"/>
      <c r="P2595" s="1323"/>
      <c r="Q2595" s="1323"/>
      <c r="R2595" s="1304"/>
      <c r="S2595" s="1304"/>
      <c r="T2595" s="1304"/>
    </row>
    <row r="2596" spans="1:20">
      <c r="A2596" s="1303"/>
      <c r="B2596" s="1322" t="s">
        <v>7358</v>
      </c>
      <c r="C2596" s="1323" t="s">
        <v>4123</v>
      </c>
      <c r="D2596" s="1324">
        <f t="shared" si="270"/>
        <v>38106</v>
      </c>
      <c r="E2596" s="1323">
        <f t="shared" si="272"/>
        <v>6.9664000000000001</v>
      </c>
      <c r="F2596" s="1323">
        <f t="shared" si="271"/>
        <v>5.9660234442633389</v>
      </c>
      <c r="G2596" s="1323">
        <f t="shared" si="273"/>
        <v>2004</v>
      </c>
      <c r="H2596" s="1323">
        <f t="shared" si="274"/>
        <v>4</v>
      </c>
      <c r="I2596" s="1323">
        <f t="shared" si="275"/>
        <v>29</v>
      </c>
      <c r="J2596" s="1323"/>
      <c r="K2596" s="1323"/>
      <c r="L2596" s="1323"/>
      <c r="M2596" s="1323"/>
      <c r="N2596" s="1323"/>
      <c r="O2596" s="1323"/>
      <c r="P2596" s="1323"/>
      <c r="Q2596" s="1323"/>
      <c r="R2596" s="1304"/>
      <c r="S2596" s="1304"/>
      <c r="T2596" s="1304"/>
    </row>
    <row r="2597" spans="1:20">
      <c r="A2597" s="1303"/>
      <c r="B2597" s="1322" t="s">
        <v>7359</v>
      </c>
      <c r="C2597" s="1323" t="s">
        <v>7360</v>
      </c>
      <c r="D2597" s="1324">
        <f t="shared" si="270"/>
        <v>38105</v>
      </c>
      <c r="E2597" s="1323">
        <f t="shared" si="272"/>
        <v>6.7121000000000004</v>
      </c>
      <c r="F2597" s="1323">
        <f t="shared" si="271"/>
        <v>5.9648794947711909</v>
      </c>
      <c r="G2597" s="1323">
        <f t="shared" si="273"/>
        <v>2004</v>
      </c>
      <c r="H2597" s="1323">
        <f t="shared" si="274"/>
        <v>4</v>
      </c>
      <c r="I2597" s="1323">
        <f t="shared" si="275"/>
        <v>28</v>
      </c>
      <c r="J2597" s="1323"/>
      <c r="K2597" s="1323"/>
      <c r="L2597" s="1323"/>
      <c r="M2597" s="1323"/>
      <c r="N2597" s="1323"/>
      <c r="O2597" s="1323"/>
      <c r="P2597" s="1323"/>
      <c r="Q2597" s="1323"/>
      <c r="R2597" s="1304"/>
      <c r="S2597" s="1304"/>
      <c r="T2597" s="1304"/>
    </row>
    <row r="2598" spans="1:20">
      <c r="A2598" s="1303"/>
      <c r="B2598" s="1322" t="s">
        <v>7361</v>
      </c>
      <c r="C2598" s="1323" t="s">
        <v>6617</v>
      </c>
      <c r="D2598" s="1324">
        <f t="shared" si="270"/>
        <v>38103</v>
      </c>
      <c r="E2598" s="1323">
        <f t="shared" si="272"/>
        <v>6.69</v>
      </c>
      <c r="F2598" s="1323">
        <f t="shared" si="271"/>
        <v>5.9637357646245501</v>
      </c>
      <c r="G2598" s="1323">
        <f t="shared" si="273"/>
        <v>2004</v>
      </c>
      <c r="H2598" s="1323">
        <f t="shared" si="274"/>
        <v>4</v>
      </c>
      <c r="I2598" s="1323">
        <f t="shared" si="275"/>
        <v>26</v>
      </c>
      <c r="J2598" s="1323"/>
      <c r="K2598" s="1323"/>
      <c r="L2598" s="1323"/>
      <c r="M2598" s="1323"/>
      <c r="N2598" s="1323"/>
      <c r="O2598" s="1323"/>
      <c r="P2598" s="1323"/>
      <c r="Q2598" s="1323"/>
      <c r="R2598" s="1304"/>
      <c r="S2598" s="1304"/>
      <c r="T2598" s="1304"/>
    </row>
    <row r="2599" spans="1:20">
      <c r="A2599" s="1303"/>
      <c r="B2599" s="1322" t="s">
        <v>7362</v>
      </c>
      <c r="C2599" s="1323" t="s">
        <v>7363</v>
      </c>
      <c r="D2599" s="1324">
        <f t="shared" si="270"/>
        <v>38100</v>
      </c>
      <c r="E2599" s="1323">
        <f t="shared" si="272"/>
        <v>6.7751000000000001</v>
      </c>
      <c r="F2599" s="1323">
        <f t="shared" si="271"/>
        <v>5.9625922537813594</v>
      </c>
      <c r="G2599" s="1323">
        <f t="shared" si="273"/>
        <v>2004</v>
      </c>
      <c r="H2599" s="1323">
        <f t="shared" si="274"/>
        <v>4</v>
      </c>
      <c r="I2599" s="1323">
        <f t="shared" si="275"/>
        <v>23</v>
      </c>
      <c r="J2599" s="1323"/>
      <c r="K2599" s="1323"/>
      <c r="L2599" s="1323"/>
      <c r="M2599" s="1323"/>
      <c r="N2599" s="1323"/>
      <c r="O2599" s="1323"/>
      <c r="P2599" s="1323"/>
      <c r="Q2599" s="1323"/>
      <c r="R2599" s="1304"/>
      <c r="S2599" s="1304"/>
      <c r="T2599" s="1304"/>
    </row>
    <row r="2600" spans="1:20">
      <c r="A2600" s="1303"/>
      <c r="B2600" s="1322" t="s">
        <v>7364</v>
      </c>
      <c r="C2600" s="1323" t="s">
        <v>7365</v>
      </c>
      <c r="D2600" s="1324">
        <f t="shared" si="270"/>
        <v>38099</v>
      </c>
      <c r="E2600" s="1323">
        <f t="shared" si="272"/>
        <v>6.8459000000000003</v>
      </c>
      <c r="F2600" s="1323">
        <f t="shared" si="271"/>
        <v>5.9614489621995679</v>
      </c>
      <c r="G2600" s="1323">
        <f t="shared" si="273"/>
        <v>2004</v>
      </c>
      <c r="H2600" s="1323">
        <f t="shared" si="274"/>
        <v>4</v>
      </c>
      <c r="I2600" s="1323">
        <f t="shared" si="275"/>
        <v>22</v>
      </c>
      <c r="J2600" s="1323"/>
      <c r="K2600" s="1323"/>
      <c r="L2600" s="1323"/>
      <c r="M2600" s="1323"/>
      <c r="N2600" s="1323"/>
      <c r="O2600" s="1323"/>
      <c r="P2600" s="1323"/>
      <c r="Q2600" s="1323"/>
      <c r="R2600" s="1304"/>
      <c r="S2600" s="1304"/>
      <c r="T2600" s="1304"/>
    </row>
    <row r="2601" spans="1:20">
      <c r="A2601" s="1303"/>
      <c r="B2601" s="1322" t="s">
        <v>7366</v>
      </c>
      <c r="C2601" s="1323" t="s">
        <v>7367</v>
      </c>
      <c r="D2601" s="1324">
        <f t="shared" si="270"/>
        <v>38098</v>
      </c>
      <c r="E2601" s="1323">
        <f t="shared" si="272"/>
        <v>6.6448999999999998</v>
      </c>
      <c r="F2601" s="1323">
        <f t="shared" si="271"/>
        <v>5.9603058898371328</v>
      </c>
      <c r="G2601" s="1323">
        <f t="shared" si="273"/>
        <v>2004</v>
      </c>
      <c r="H2601" s="1323">
        <f t="shared" si="274"/>
        <v>4</v>
      </c>
      <c r="I2601" s="1323">
        <f t="shared" si="275"/>
        <v>21</v>
      </c>
      <c r="J2601" s="1323"/>
      <c r="K2601" s="1323"/>
      <c r="L2601" s="1323"/>
      <c r="M2601" s="1323"/>
      <c r="N2601" s="1323"/>
      <c r="O2601" s="1323"/>
      <c r="P2601" s="1323"/>
      <c r="Q2601" s="1323"/>
      <c r="R2601" s="1304"/>
      <c r="S2601" s="1304"/>
      <c r="T2601" s="1304"/>
    </row>
    <row r="2602" spans="1:20">
      <c r="A2602" s="1303"/>
      <c r="B2602" s="1322" t="s">
        <v>7368</v>
      </c>
      <c r="C2602" s="1323" t="s">
        <v>6329</v>
      </c>
      <c r="D2602" s="1324">
        <f t="shared" si="270"/>
        <v>38097</v>
      </c>
      <c r="E2602" s="1323">
        <f t="shared" si="272"/>
        <v>6.5168999999999997</v>
      </c>
      <c r="F2602" s="1323">
        <f t="shared" si="271"/>
        <v>5.9591630366520212</v>
      </c>
      <c r="G2602" s="1323">
        <f t="shared" si="273"/>
        <v>2004</v>
      </c>
      <c r="H2602" s="1323">
        <f t="shared" si="274"/>
        <v>4</v>
      </c>
      <c r="I2602" s="1323">
        <f t="shared" si="275"/>
        <v>20</v>
      </c>
      <c r="J2602" s="1323"/>
      <c r="K2602" s="1323"/>
      <c r="L2602" s="1323"/>
      <c r="M2602" s="1323"/>
      <c r="N2602" s="1323"/>
      <c r="O2602" s="1323"/>
      <c r="P2602" s="1323"/>
      <c r="Q2602" s="1323"/>
      <c r="R2602" s="1304"/>
      <c r="S2602" s="1304"/>
      <c r="T2602" s="1304"/>
    </row>
    <row r="2603" spans="1:20">
      <c r="A2603" s="1303"/>
      <c r="B2603" s="1322" t="s">
        <v>7369</v>
      </c>
      <c r="C2603" s="1323" t="s">
        <v>7370</v>
      </c>
      <c r="D2603" s="1324">
        <f t="shared" si="270"/>
        <v>38096</v>
      </c>
      <c r="E2603" s="1323">
        <f t="shared" si="272"/>
        <v>6.44</v>
      </c>
      <c r="F2603" s="1323">
        <f t="shared" si="271"/>
        <v>5.958020402602207</v>
      </c>
      <c r="G2603" s="1323">
        <f t="shared" si="273"/>
        <v>2004</v>
      </c>
      <c r="H2603" s="1323">
        <f t="shared" si="274"/>
        <v>4</v>
      </c>
      <c r="I2603" s="1323">
        <f t="shared" si="275"/>
        <v>19</v>
      </c>
      <c r="J2603" s="1323"/>
      <c r="K2603" s="1323"/>
      <c r="L2603" s="1323"/>
      <c r="M2603" s="1323"/>
      <c r="N2603" s="1323"/>
      <c r="O2603" s="1323"/>
      <c r="P2603" s="1323"/>
      <c r="Q2603" s="1323"/>
      <c r="R2603" s="1304"/>
      <c r="S2603" s="1304"/>
      <c r="T2603" s="1304"/>
    </row>
    <row r="2604" spans="1:20">
      <c r="A2604" s="1303"/>
      <c r="B2604" s="1322" t="s">
        <v>7371</v>
      </c>
      <c r="C2604" s="1323" t="s">
        <v>7372</v>
      </c>
      <c r="D2604" s="1324">
        <f t="shared" si="270"/>
        <v>38093</v>
      </c>
      <c r="E2604" s="1323">
        <f t="shared" si="272"/>
        <v>6.4630999999999998</v>
      </c>
      <c r="F2604" s="1323">
        <f t="shared" si="271"/>
        <v>5.9568779876456723</v>
      </c>
      <c r="G2604" s="1323">
        <f t="shared" si="273"/>
        <v>2004</v>
      </c>
      <c r="H2604" s="1323">
        <f t="shared" si="274"/>
        <v>4</v>
      </c>
      <c r="I2604" s="1323">
        <f t="shared" si="275"/>
        <v>16</v>
      </c>
      <c r="J2604" s="1323"/>
      <c r="K2604" s="1323"/>
      <c r="L2604" s="1323"/>
      <c r="M2604" s="1323"/>
      <c r="N2604" s="1323"/>
      <c r="O2604" s="1323"/>
      <c r="P2604" s="1323"/>
      <c r="Q2604" s="1323"/>
      <c r="R2604" s="1304"/>
      <c r="S2604" s="1304"/>
      <c r="T2604" s="1304"/>
    </row>
    <row r="2605" spans="1:20">
      <c r="A2605" s="1303"/>
      <c r="B2605" s="1322" t="s">
        <v>7373</v>
      </c>
      <c r="C2605" s="1323" t="s">
        <v>7374</v>
      </c>
      <c r="D2605" s="1324">
        <f t="shared" si="270"/>
        <v>38092</v>
      </c>
      <c r="E2605" s="1323">
        <f t="shared" si="272"/>
        <v>6.5780000000000003</v>
      </c>
      <c r="F2605" s="1323">
        <f t="shared" si="271"/>
        <v>5.9557357917404072</v>
      </c>
      <c r="G2605" s="1323">
        <f t="shared" si="273"/>
        <v>2004</v>
      </c>
      <c r="H2605" s="1323">
        <f t="shared" si="274"/>
        <v>4</v>
      </c>
      <c r="I2605" s="1323">
        <f t="shared" si="275"/>
        <v>15</v>
      </c>
      <c r="J2605" s="1323"/>
      <c r="K2605" s="1323"/>
      <c r="L2605" s="1323"/>
      <c r="M2605" s="1323"/>
      <c r="N2605" s="1323"/>
      <c r="O2605" s="1323"/>
      <c r="P2605" s="1323"/>
      <c r="Q2605" s="1323"/>
      <c r="R2605" s="1304"/>
      <c r="S2605" s="1304"/>
      <c r="T2605" s="1304"/>
    </row>
    <row r="2606" spans="1:20">
      <c r="A2606" s="1303"/>
      <c r="B2606" s="1322" t="s">
        <v>7375</v>
      </c>
      <c r="C2606" s="1323" t="s">
        <v>7376</v>
      </c>
      <c r="D2606" s="1324">
        <f t="shared" si="270"/>
        <v>38090</v>
      </c>
      <c r="E2606" s="1323">
        <f t="shared" si="272"/>
        <v>6.3811</v>
      </c>
      <c r="F2606" s="1323">
        <f t="shared" si="271"/>
        <v>5.9545938148444097</v>
      </c>
      <c r="G2606" s="1323">
        <f t="shared" si="273"/>
        <v>2004</v>
      </c>
      <c r="H2606" s="1323">
        <f t="shared" si="274"/>
        <v>4</v>
      </c>
      <c r="I2606" s="1323">
        <f t="shared" si="275"/>
        <v>13</v>
      </c>
      <c r="J2606" s="1323"/>
      <c r="K2606" s="1323"/>
      <c r="L2606" s="1323"/>
      <c r="M2606" s="1323"/>
      <c r="N2606" s="1323"/>
      <c r="O2606" s="1323"/>
      <c r="P2606" s="1323"/>
      <c r="Q2606" s="1323"/>
      <c r="R2606" s="1304"/>
      <c r="S2606" s="1304"/>
      <c r="T2606" s="1304"/>
    </row>
    <row r="2607" spans="1:20">
      <c r="A2607" s="1303"/>
      <c r="B2607" s="1322" t="s">
        <v>7377</v>
      </c>
      <c r="C2607" s="1323" t="s">
        <v>7378</v>
      </c>
      <c r="D2607" s="1324">
        <f t="shared" si="270"/>
        <v>38085</v>
      </c>
      <c r="E2607" s="1323">
        <f t="shared" si="272"/>
        <v>6.3170999999999999</v>
      </c>
      <c r="F2607" s="1323">
        <f t="shared" si="271"/>
        <v>5.9534520569156859</v>
      </c>
      <c r="G2607" s="1323">
        <f t="shared" si="273"/>
        <v>2004</v>
      </c>
      <c r="H2607" s="1323">
        <f t="shared" si="274"/>
        <v>4</v>
      </c>
      <c r="I2607" s="1323">
        <f t="shared" si="275"/>
        <v>8</v>
      </c>
      <c r="J2607" s="1323"/>
      <c r="K2607" s="1323"/>
      <c r="L2607" s="1323"/>
      <c r="M2607" s="1323"/>
      <c r="N2607" s="1323"/>
      <c r="O2607" s="1323"/>
      <c r="P2607" s="1323"/>
      <c r="Q2607" s="1323"/>
      <c r="R2607" s="1304"/>
      <c r="S2607" s="1304"/>
      <c r="T2607" s="1304"/>
    </row>
    <row r="2608" spans="1:20">
      <c r="A2608" s="1303"/>
      <c r="B2608" s="1322" t="s">
        <v>7379</v>
      </c>
      <c r="C2608" s="1323" t="s">
        <v>7380</v>
      </c>
      <c r="D2608" s="1324">
        <f t="shared" si="270"/>
        <v>38084</v>
      </c>
      <c r="E2608" s="1323">
        <f t="shared" si="272"/>
        <v>6.3357999999999999</v>
      </c>
      <c r="F2608" s="1323">
        <f t="shared" si="271"/>
        <v>5.9523105179122506</v>
      </c>
      <c r="G2608" s="1323">
        <f t="shared" si="273"/>
        <v>2004</v>
      </c>
      <c r="H2608" s="1323">
        <f t="shared" si="274"/>
        <v>4</v>
      </c>
      <c r="I2608" s="1323">
        <f t="shared" si="275"/>
        <v>7</v>
      </c>
      <c r="J2608" s="1323"/>
      <c r="K2608" s="1323"/>
      <c r="L2608" s="1323"/>
      <c r="M2608" s="1323"/>
      <c r="N2608" s="1323"/>
      <c r="O2608" s="1323"/>
      <c r="P2608" s="1323"/>
      <c r="Q2608" s="1323"/>
      <c r="R2608" s="1304"/>
      <c r="S2608" s="1304"/>
      <c r="T2608" s="1304"/>
    </row>
    <row r="2609" spans="1:20">
      <c r="A2609" s="1303"/>
      <c r="B2609" s="1322" t="s">
        <v>7381</v>
      </c>
      <c r="C2609" s="1323" t="s">
        <v>7382</v>
      </c>
      <c r="D2609" s="1324">
        <f t="shared" si="270"/>
        <v>38083</v>
      </c>
      <c r="E2609" s="1323">
        <f t="shared" si="272"/>
        <v>6.4592000000000001</v>
      </c>
      <c r="F2609" s="1323">
        <f t="shared" si="271"/>
        <v>5.9511691977921259</v>
      </c>
      <c r="G2609" s="1323">
        <f t="shared" si="273"/>
        <v>2004</v>
      </c>
      <c r="H2609" s="1323">
        <f t="shared" si="274"/>
        <v>4</v>
      </c>
      <c r="I2609" s="1323">
        <f t="shared" si="275"/>
        <v>6</v>
      </c>
      <c r="J2609" s="1323"/>
      <c r="K2609" s="1323"/>
      <c r="L2609" s="1323"/>
      <c r="M2609" s="1323"/>
      <c r="N2609" s="1323"/>
      <c r="O2609" s="1323"/>
      <c r="P2609" s="1323"/>
      <c r="Q2609" s="1323"/>
      <c r="R2609" s="1304"/>
      <c r="S2609" s="1304"/>
      <c r="T2609" s="1304"/>
    </row>
    <row r="2610" spans="1:20">
      <c r="A2610" s="1303"/>
      <c r="B2610" s="1322" t="s">
        <v>7383</v>
      </c>
      <c r="C2610" s="1323" t="s">
        <v>7384</v>
      </c>
      <c r="D2610" s="1324">
        <f t="shared" si="270"/>
        <v>38082</v>
      </c>
      <c r="E2610" s="1323">
        <f t="shared" si="272"/>
        <v>6.43</v>
      </c>
      <c r="F2610" s="1323">
        <f t="shared" si="271"/>
        <v>5.9500280965133427</v>
      </c>
      <c r="G2610" s="1323">
        <f t="shared" si="273"/>
        <v>2004</v>
      </c>
      <c r="H2610" s="1323">
        <f t="shared" si="274"/>
        <v>4</v>
      </c>
      <c r="I2610" s="1323">
        <f t="shared" si="275"/>
        <v>5</v>
      </c>
      <c r="J2610" s="1323"/>
      <c r="K2610" s="1323"/>
      <c r="L2610" s="1323"/>
      <c r="M2610" s="1323"/>
      <c r="N2610" s="1323"/>
      <c r="O2610" s="1323"/>
      <c r="P2610" s="1323"/>
      <c r="Q2610" s="1323"/>
      <c r="R2610" s="1304"/>
      <c r="S2610" s="1304"/>
      <c r="T2610" s="1304"/>
    </row>
    <row r="2611" spans="1:20">
      <c r="A2611" s="1303"/>
      <c r="B2611" s="1322" t="s">
        <v>7385</v>
      </c>
      <c r="C2611" s="1323" t="s">
        <v>7386</v>
      </c>
      <c r="D2611" s="1324">
        <f t="shared" si="270"/>
        <v>38079</v>
      </c>
      <c r="E2611" s="1323">
        <f t="shared" si="272"/>
        <v>6.3548999999999998</v>
      </c>
      <c r="F2611" s="1323">
        <f t="shared" si="271"/>
        <v>5.9488872140339391</v>
      </c>
      <c r="G2611" s="1323">
        <f t="shared" si="273"/>
        <v>2004</v>
      </c>
      <c r="H2611" s="1323">
        <f t="shared" si="274"/>
        <v>4</v>
      </c>
      <c r="I2611" s="1323">
        <f t="shared" si="275"/>
        <v>2</v>
      </c>
      <c r="J2611" s="1323"/>
      <c r="K2611" s="1323"/>
      <c r="L2611" s="1323"/>
      <c r="M2611" s="1323"/>
      <c r="N2611" s="1323"/>
      <c r="O2611" s="1323"/>
      <c r="P2611" s="1323"/>
      <c r="Q2611" s="1323"/>
      <c r="R2611" s="1304"/>
      <c r="S2611" s="1304"/>
      <c r="T2611" s="1304"/>
    </row>
    <row r="2612" spans="1:20">
      <c r="A2612" s="1303"/>
      <c r="B2612" s="1322" t="s">
        <v>7387</v>
      </c>
      <c r="C2612" s="1323" t="s">
        <v>7388</v>
      </c>
      <c r="D2612" s="1324">
        <f t="shared" si="270"/>
        <v>38078</v>
      </c>
      <c r="E2612" s="1323">
        <f t="shared" si="272"/>
        <v>6.3135000000000003</v>
      </c>
      <c r="F2612" s="1323">
        <f t="shared" si="271"/>
        <v>5.9477465503119609</v>
      </c>
      <c r="G2612" s="1323">
        <f t="shared" si="273"/>
        <v>2004</v>
      </c>
      <c r="H2612" s="1323">
        <f t="shared" si="274"/>
        <v>4</v>
      </c>
      <c r="I2612" s="1323">
        <f t="shared" si="275"/>
        <v>1</v>
      </c>
      <c r="J2612" s="1323"/>
      <c r="K2612" s="1323"/>
      <c r="L2612" s="1323"/>
      <c r="M2612" s="1323"/>
      <c r="N2612" s="1323"/>
      <c r="O2612" s="1323"/>
      <c r="P2612" s="1323"/>
      <c r="Q2612" s="1323"/>
      <c r="R2612" s="1304"/>
      <c r="S2612" s="1304"/>
      <c r="T2612" s="1304"/>
    </row>
    <row r="2613" spans="1:20">
      <c r="A2613" s="1303"/>
      <c r="B2613" s="1322" t="s">
        <v>7389</v>
      </c>
      <c r="C2613" s="1323" t="s">
        <v>7390</v>
      </c>
      <c r="D2613" s="1324">
        <f t="shared" si="270"/>
        <v>38077</v>
      </c>
      <c r="E2613" s="1323">
        <f t="shared" si="272"/>
        <v>6.3352000000000004</v>
      </c>
      <c r="F2613" s="1323">
        <f t="shared" si="271"/>
        <v>5.946606105305464</v>
      </c>
      <c r="G2613" s="1323">
        <f t="shared" si="273"/>
        <v>2004</v>
      </c>
      <c r="H2613" s="1323">
        <f t="shared" si="274"/>
        <v>3</v>
      </c>
      <c r="I2613" s="1323">
        <f t="shared" si="275"/>
        <v>31</v>
      </c>
      <c r="J2613" s="1323"/>
      <c r="K2613" s="1323"/>
      <c r="L2613" s="1323"/>
      <c r="M2613" s="1323"/>
      <c r="N2613" s="1323"/>
      <c r="O2613" s="1323"/>
      <c r="P2613" s="1323"/>
      <c r="Q2613" s="1323"/>
      <c r="R2613" s="1304"/>
      <c r="S2613" s="1304"/>
      <c r="T2613" s="1304"/>
    </row>
    <row r="2614" spans="1:20">
      <c r="A2614" s="1303"/>
      <c r="B2614" s="1322" t="s">
        <v>7391</v>
      </c>
      <c r="C2614" s="1323" t="s">
        <v>7392</v>
      </c>
      <c r="D2614" s="1324">
        <f t="shared" si="270"/>
        <v>38076</v>
      </c>
      <c r="E2614" s="1323">
        <f t="shared" si="272"/>
        <v>6.3400999999999996</v>
      </c>
      <c r="F2614" s="1323">
        <f t="shared" si="271"/>
        <v>5.9454658789725103</v>
      </c>
      <c r="G2614" s="1323">
        <f t="shared" si="273"/>
        <v>2004</v>
      </c>
      <c r="H2614" s="1323">
        <f t="shared" si="274"/>
        <v>3</v>
      </c>
      <c r="I2614" s="1323">
        <f t="shared" si="275"/>
        <v>30</v>
      </c>
      <c r="J2614" s="1323"/>
      <c r="K2614" s="1323"/>
      <c r="L2614" s="1323"/>
      <c r="M2614" s="1323"/>
      <c r="N2614" s="1323"/>
      <c r="O2614" s="1323"/>
      <c r="P2614" s="1323"/>
      <c r="Q2614" s="1323"/>
      <c r="R2614" s="1304"/>
      <c r="S2614" s="1304"/>
      <c r="T2614" s="1304"/>
    </row>
    <row r="2615" spans="1:20">
      <c r="A2615" s="1303"/>
      <c r="B2615" s="1322" t="s">
        <v>7393</v>
      </c>
      <c r="C2615" s="1323" t="s">
        <v>7394</v>
      </c>
      <c r="D2615" s="1324">
        <f t="shared" si="270"/>
        <v>38075</v>
      </c>
      <c r="E2615" s="1323">
        <f t="shared" si="272"/>
        <v>6.5106000000000002</v>
      </c>
      <c r="F2615" s="1323">
        <f t="shared" si="271"/>
        <v>5.9443258712711708</v>
      </c>
      <c r="G2615" s="1323">
        <f t="shared" si="273"/>
        <v>2004</v>
      </c>
      <c r="H2615" s="1323">
        <f t="shared" si="274"/>
        <v>3</v>
      </c>
      <c r="I2615" s="1323">
        <f t="shared" si="275"/>
        <v>29</v>
      </c>
      <c r="J2615" s="1323"/>
      <c r="K2615" s="1323"/>
      <c r="L2615" s="1323"/>
      <c r="M2615" s="1323"/>
      <c r="N2615" s="1323"/>
      <c r="O2615" s="1323"/>
      <c r="P2615" s="1323"/>
      <c r="Q2615" s="1323"/>
      <c r="R2615" s="1304"/>
      <c r="S2615" s="1304"/>
      <c r="T2615" s="1304"/>
    </row>
    <row r="2616" spans="1:20">
      <c r="A2616" s="1303"/>
      <c r="B2616" s="1322" t="s">
        <v>7395</v>
      </c>
      <c r="C2616" s="1323" t="s">
        <v>7396</v>
      </c>
      <c r="D2616" s="1324">
        <f t="shared" si="270"/>
        <v>38072</v>
      </c>
      <c r="E2616" s="1323">
        <f t="shared" si="272"/>
        <v>6.6106999999999996</v>
      </c>
      <c r="F2616" s="1323">
        <f t="shared" si="271"/>
        <v>5.9431860821595235</v>
      </c>
      <c r="G2616" s="1323">
        <f t="shared" si="273"/>
        <v>2004</v>
      </c>
      <c r="H2616" s="1323">
        <f t="shared" si="274"/>
        <v>3</v>
      </c>
      <c r="I2616" s="1323">
        <f t="shared" si="275"/>
        <v>26</v>
      </c>
      <c r="J2616" s="1323"/>
      <c r="K2616" s="1323"/>
      <c r="L2616" s="1323"/>
      <c r="M2616" s="1323"/>
      <c r="N2616" s="1323"/>
      <c r="O2616" s="1323"/>
      <c r="P2616" s="1323"/>
      <c r="Q2616" s="1323"/>
      <c r="R2616" s="1304"/>
      <c r="S2616" s="1304"/>
      <c r="T2616" s="1304"/>
    </row>
    <row r="2617" spans="1:20">
      <c r="A2617" s="1303"/>
      <c r="B2617" s="1322" t="s">
        <v>7397</v>
      </c>
      <c r="C2617" s="1323" t="s">
        <v>7398</v>
      </c>
      <c r="D2617" s="1324">
        <f t="shared" si="270"/>
        <v>38071</v>
      </c>
      <c r="E2617" s="1323">
        <f t="shared" si="272"/>
        <v>6.6078000000000001</v>
      </c>
      <c r="F2617" s="1323">
        <f t="shared" si="271"/>
        <v>5.942046511595656</v>
      </c>
      <c r="G2617" s="1323">
        <f t="shared" si="273"/>
        <v>2004</v>
      </c>
      <c r="H2617" s="1323">
        <f t="shared" si="274"/>
        <v>3</v>
      </c>
      <c r="I2617" s="1323">
        <f t="shared" si="275"/>
        <v>25</v>
      </c>
      <c r="J2617" s="1323"/>
      <c r="K2617" s="1323"/>
      <c r="L2617" s="1323"/>
      <c r="M2617" s="1323"/>
      <c r="N2617" s="1323"/>
      <c r="O2617" s="1323"/>
      <c r="P2617" s="1323"/>
      <c r="Q2617" s="1323"/>
      <c r="R2617" s="1304"/>
      <c r="S2617" s="1304"/>
      <c r="T2617" s="1304"/>
    </row>
    <row r="2618" spans="1:20">
      <c r="A2618" s="1303"/>
      <c r="B2618" s="1322" t="s">
        <v>7399</v>
      </c>
      <c r="C2618" s="1323" t="s">
        <v>7400</v>
      </c>
      <c r="D2618" s="1324">
        <f t="shared" si="270"/>
        <v>38070</v>
      </c>
      <c r="E2618" s="1323">
        <f t="shared" si="272"/>
        <v>6.5457999999999998</v>
      </c>
      <c r="F2618" s="1323">
        <f t="shared" si="271"/>
        <v>5.9409071595376624</v>
      </c>
      <c r="G2618" s="1323">
        <f t="shared" si="273"/>
        <v>2004</v>
      </c>
      <c r="H2618" s="1323">
        <f t="shared" si="274"/>
        <v>3</v>
      </c>
      <c r="I2618" s="1323">
        <f t="shared" si="275"/>
        <v>24</v>
      </c>
      <c r="J2618" s="1323"/>
      <c r="K2618" s="1323"/>
      <c r="L2618" s="1323"/>
      <c r="M2618" s="1323"/>
      <c r="N2618" s="1323"/>
      <c r="O2618" s="1323"/>
      <c r="P2618" s="1323"/>
      <c r="Q2618" s="1323"/>
      <c r="R2618" s="1304"/>
      <c r="S2618" s="1304"/>
      <c r="T2618" s="1304"/>
    </row>
    <row r="2619" spans="1:20">
      <c r="A2619" s="1303"/>
      <c r="B2619" s="1322" t="s">
        <v>7401</v>
      </c>
      <c r="C2619" s="1323" t="s">
        <v>7402</v>
      </c>
      <c r="D2619" s="1324">
        <f t="shared" si="270"/>
        <v>38069</v>
      </c>
      <c r="E2619" s="1323">
        <f t="shared" si="272"/>
        <v>6.5294999999999996</v>
      </c>
      <c r="F2619" s="1323">
        <f t="shared" si="271"/>
        <v>5.9397680259436454</v>
      </c>
      <c r="G2619" s="1323">
        <f t="shared" si="273"/>
        <v>2004</v>
      </c>
      <c r="H2619" s="1323">
        <f t="shared" si="274"/>
        <v>3</v>
      </c>
      <c r="I2619" s="1323">
        <f t="shared" si="275"/>
        <v>23</v>
      </c>
      <c r="J2619" s="1323"/>
      <c r="K2619" s="1323"/>
      <c r="L2619" s="1323"/>
      <c r="M2619" s="1323"/>
      <c r="N2619" s="1323"/>
      <c r="O2619" s="1323"/>
      <c r="P2619" s="1323"/>
      <c r="Q2619" s="1323"/>
      <c r="R2619" s="1304"/>
      <c r="S2619" s="1304"/>
      <c r="T2619" s="1304"/>
    </row>
    <row r="2620" spans="1:20">
      <c r="A2620" s="1303"/>
      <c r="B2620" s="1322" t="s">
        <v>7403</v>
      </c>
      <c r="C2620" s="1323" t="s">
        <v>7404</v>
      </c>
      <c r="D2620" s="1324">
        <f t="shared" si="270"/>
        <v>38065</v>
      </c>
      <c r="E2620" s="1323">
        <f t="shared" si="272"/>
        <v>6.6497000000000002</v>
      </c>
      <c r="F2620" s="1323">
        <f t="shared" si="271"/>
        <v>5.938629110771716</v>
      </c>
      <c r="G2620" s="1323">
        <f t="shared" si="273"/>
        <v>2004</v>
      </c>
      <c r="H2620" s="1323">
        <f t="shared" si="274"/>
        <v>3</v>
      </c>
      <c r="I2620" s="1323">
        <f t="shared" si="275"/>
        <v>19</v>
      </c>
      <c r="J2620" s="1323"/>
      <c r="K2620" s="1323"/>
      <c r="L2620" s="1323"/>
      <c r="M2620" s="1323"/>
      <c r="N2620" s="1323"/>
      <c r="O2620" s="1323"/>
      <c r="P2620" s="1323"/>
      <c r="Q2620" s="1323"/>
      <c r="R2620" s="1304"/>
      <c r="S2620" s="1304"/>
      <c r="T2620" s="1304"/>
    </row>
    <row r="2621" spans="1:20">
      <c r="A2621" s="1303"/>
      <c r="B2621" s="1322" t="s">
        <v>7405</v>
      </c>
      <c r="C2621" s="1323" t="s">
        <v>7406</v>
      </c>
      <c r="D2621" s="1324">
        <f t="shared" si="270"/>
        <v>38064</v>
      </c>
      <c r="E2621" s="1323">
        <f t="shared" si="272"/>
        <v>6.6826999999999996</v>
      </c>
      <c r="F2621" s="1323">
        <f t="shared" si="271"/>
        <v>5.9374904139799938</v>
      </c>
      <c r="G2621" s="1323">
        <f t="shared" si="273"/>
        <v>2004</v>
      </c>
      <c r="H2621" s="1323">
        <f t="shared" si="274"/>
        <v>3</v>
      </c>
      <c r="I2621" s="1323">
        <f t="shared" si="275"/>
        <v>18</v>
      </c>
      <c r="J2621" s="1323"/>
      <c r="K2621" s="1323"/>
      <c r="L2621" s="1323"/>
      <c r="M2621" s="1323"/>
      <c r="N2621" s="1323"/>
      <c r="O2621" s="1323"/>
      <c r="P2621" s="1323"/>
      <c r="Q2621" s="1323"/>
      <c r="R2621" s="1304"/>
      <c r="S2621" s="1304"/>
      <c r="T2621" s="1304"/>
    </row>
    <row r="2622" spans="1:20">
      <c r="A2622" s="1303"/>
      <c r="B2622" s="1322" t="s">
        <v>7407</v>
      </c>
      <c r="C2622" s="1323" t="s">
        <v>7408</v>
      </c>
      <c r="D2622" s="1324">
        <f t="shared" si="270"/>
        <v>38063</v>
      </c>
      <c r="E2622" s="1323">
        <f t="shared" si="272"/>
        <v>6.7346000000000004</v>
      </c>
      <c r="F2622" s="1323">
        <f t="shared" si="271"/>
        <v>5.9363519355266048</v>
      </c>
      <c r="G2622" s="1323">
        <f t="shared" si="273"/>
        <v>2004</v>
      </c>
      <c r="H2622" s="1323">
        <f t="shared" si="274"/>
        <v>3</v>
      </c>
      <c r="I2622" s="1323">
        <f t="shared" si="275"/>
        <v>17</v>
      </c>
      <c r="J2622" s="1323"/>
      <c r="K2622" s="1323"/>
      <c r="L2622" s="1323"/>
      <c r="M2622" s="1323"/>
      <c r="N2622" s="1323"/>
      <c r="O2622" s="1323"/>
      <c r="P2622" s="1323"/>
      <c r="Q2622" s="1323"/>
      <c r="R2622" s="1304"/>
      <c r="S2622" s="1304"/>
      <c r="T2622" s="1304"/>
    </row>
    <row r="2623" spans="1:20">
      <c r="A2623" s="1303"/>
      <c r="B2623" s="1322" t="s">
        <v>7409</v>
      </c>
      <c r="C2623" s="1323" t="s">
        <v>7410</v>
      </c>
      <c r="D2623" s="1324">
        <f t="shared" si="270"/>
        <v>38062</v>
      </c>
      <c r="E2623" s="1323">
        <f t="shared" si="272"/>
        <v>6.6772999999999998</v>
      </c>
      <c r="F2623" s="1323">
        <f t="shared" si="271"/>
        <v>5.9352136753696847</v>
      </c>
      <c r="G2623" s="1323">
        <f t="shared" si="273"/>
        <v>2004</v>
      </c>
      <c r="H2623" s="1323">
        <f t="shared" si="274"/>
        <v>3</v>
      </c>
      <c r="I2623" s="1323">
        <f t="shared" si="275"/>
        <v>16</v>
      </c>
      <c r="J2623" s="1323"/>
      <c r="K2623" s="1323"/>
      <c r="L2623" s="1323"/>
      <c r="M2623" s="1323"/>
      <c r="N2623" s="1323"/>
      <c r="O2623" s="1323"/>
      <c r="P2623" s="1323"/>
      <c r="Q2623" s="1323"/>
      <c r="R2623" s="1304"/>
      <c r="S2623" s="1304"/>
      <c r="T2623" s="1304"/>
    </row>
    <row r="2624" spans="1:20">
      <c r="A2624" s="1303"/>
      <c r="B2624" s="1322" t="s">
        <v>7411</v>
      </c>
      <c r="C2624" s="1323" t="s">
        <v>7412</v>
      </c>
      <c r="D2624" s="1324">
        <f t="shared" si="270"/>
        <v>38061</v>
      </c>
      <c r="E2624" s="1323">
        <f t="shared" si="272"/>
        <v>6.7428999999999997</v>
      </c>
      <c r="F2624" s="1323">
        <f t="shared" si="271"/>
        <v>5.9340756334673754</v>
      </c>
      <c r="G2624" s="1323">
        <f t="shared" si="273"/>
        <v>2004</v>
      </c>
      <c r="H2624" s="1323">
        <f t="shared" si="274"/>
        <v>3</v>
      </c>
      <c r="I2624" s="1323">
        <f t="shared" si="275"/>
        <v>15</v>
      </c>
      <c r="J2624" s="1323"/>
      <c r="K2624" s="1323"/>
      <c r="L2624" s="1323"/>
      <c r="M2624" s="1323"/>
      <c r="N2624" s="1323"/>
      <c r="O2624" s="1323"/>
      <c r="P2624" s="1323"/>
      <c r="Q2624" s="1323"/>
      <c r="R2624" s="1304"/>
      <c r="S2624" s="1304"/>
      <c r="T2624" s="1304"/>
    </row>
    <row r="2625" spans="1:20">
      <c r="A2625" s="1303"/>
      <c r="B2625" s="1322" t="s">
        <v>7413</v>
      </c>
      <c r="C2625" s="1323" t="s">
        <v>7414</v>
      </c>
      <c r="D2625" s="1324">
        <f t="shared" si="270"/>
        <v>38058</v>
      </c>
      <c r="E2625" s="1323">
        <f t="shared" si="272"/>
        <v>6.6750999999999996</v>
      </c>
      <c r="F2625" s="1323">
        <f t="shared" si="271"/>
        <v>5.9329378097778287</v>
      </c>
      <c r="G2625" s="1323">
        <f t="shared" si="273"/>
        <v>2004</v>
      </c>
      <c r="H2625" s="1323">
        <f t="shared" si="274"/>
        <v>3</v>
      </c>
      <c r="I2625" s="1323">
        <f t="shared" si="275"/>
        <v>12</v>
      </c>
      <c r="J2625" s="1323"/>
      <c r="K2625" s="1323"/>
      <c r="L2625" s="1323"/>
      <c r="M2625" s="1323"/>
      <c r="N2625" s="1323"/>
      <c r="O2625" s="1323"/>
      <c r="P2625" s="1323"/>
      <c r="Q2625" s="1323"/>
      <c r="R2625" s="1304"/>
      <c r="S2625" s="1304"/>
      <c r="T2625" s="1304"/>
    </row>
    <row r="2626" spans="1:20">
      <c r="A2626" s="1303"/>
      <c r="B2626" s="1322" t="s">
        <v>7415</v>
      </c>
      <c r="C2626" s="1323" t="s">
        <v>7416</v>
      </c>
      <c r="D2626" s="1324">
        <f t="shared" si="270"/>
        <v>38057</v>
      </c>
      <c r="E2626" s="1323">
        <f t="shared" si="272"/>
        <v>6.7149000000000001</v>
      </c>
      <c r="F2626" s="1323">
        <f t="shared" si="271"/>
        <v>5.9318002042592033</v>
      </c>
      <c r="G2626" s="1323">
        <f t="shared" si="273"/>
        <v>2004</v>
      </c>
      <c r="H2626" s="1323">
        <f t="shared" si="274"/>
        <v>3</v>
      </c>
      <c r="I2626" s="1323">
        <f t="shared" si="275"/>
        <v>11</v>
      </c>
      <c r="J2626" s="1323"/>
      <c r="K2626" s="1323"/>
      <c r="L2626" s="1323"/>
      <c r="M2626" s="1323"/>
      <c r="N2626" s="1323"/>
      <c r="O2626" s="1323"/>
      <c r="P2626" s="1323"/>
      <c r="Q2626" s="1323"/>
      <c r="R2626" s="1304"/>
      <c r="S2626" s="1304"/>
      <c r="T2626" s="1304"/>
    </row>
    <row r="2627" spans="1:20">
      <c r="A2627" s="1303"/>
      <c r="B2627" s="1322" t="s">
        <v>7417</v>
      </c>
      <c r="C2627" s="1323" t="s">
        <v>7418</v>
      </c>
      <c r="D2627" s="1324">
        <f t="shared" si="270"/>
        <v>38056</v>
      </c>
      <c r="E2627" s="1323">
        <f t="shared" si="272"/>
        <v>6.6269</v>
      </c>
      <c r="F2627" s="1323">
        <f t="shared" si="271"/>
        <v>5.930662816869666</v>
      </c>
      <c r="G2627" s="1323">
        <f t="shared" si="273"/>
        <v>2004</v>
      </c>
      <c r="H2627" s="1323">
        <f t="shared" si="274"/>
        <v>3</v>
      </c>
      <c r="I2627" s="1323">
        <f t="shared" si="275"/>
        <v>10</v>
      </c>
      <c r="J2627" s="1323"/>
      <c r="K2627" s="1323"/>
      <c r="L2627" s="1323"/>
      <c r="M2627" s="1323"/>
      <c r="N2627" s="1323"/>
      <c r="O2627" s="1323"/>
      <c r="P2627" s="1323"/>
      <c r="Q2627" s="1323"/>
      <c r="R2627" s="1304"/>
      <c r="S2627" s="1304"/>
      <c r="T2627" s="1304"/>
    </row>
    <row r="2628" spans="1:20">
      <c r="A2628" s="1303"/>
      <c r="B2628" s="1322" t="s">
        <v>7419</v>
      </c>
      <c r="C2628" s="1323" t="s">
        <v>7420</v>
      </c>
      <c r="D2628" s="1324">
        <f t="shared" si="270"/>
        <v>38055</v>
      </c>
      <c r="E2628" s="1323">
        <f t="shared" si="272"/>
        <v>6.5537999999999998</v>
      </c>
      <c r="F2628" s="1323">
        <f t="shared" si="271"/>
        <v>5.9295256475673925</v>
      </c>
      <c r="G2628" s="1323">
        <f t="shared" si="273"/>
        <v>2004</v>
      </c>
      <c r="H2628" s="1323">
        <f t="shared" si="274"/>
        <v>3</v>
      </c>
      <c r="I2628" s="1323">
        <f t="shared" si="275"/>
        <v>9</v>
      </c>
      <c r="J2628" s="1323"/>
      <c r="K2628" s="1323"/>
      <c r="L2628" s="1323"/>
      <c r="M2628" s="1323"/>
      <c r="N2628" s="1323"/>
      <c r="O2628" s="1323"/>
      <c r="P2628" s="1323"/>
      <c r="Q2628" s="1323"/>
      <c r="R2628" s="1304"/>
      <c r="S2628" s="1304"/>
      <c r="T2628" s="1304"/>
    </row>
    <row r="2629" spans="1:20">
      <c r="A2629" s="1303"/>
      <c r="B2629" s="1322" t="s">
        <v>7421</v>
      </c>
      <c r="C2629" s="1323" t="s">
        <v>7422</v>
      </c>
      <c r="D2629" s="1324">
        <f t="shared" si="270"/>
        <v>38054</v>
      </c>
      <c r="E2629" s="1323">
        <f t="shared" si="272"/>
        <v>6.6375999999999999</v>
      </c>
      <c r="F2629" s="1323">
        <f t="shared" si="271"/>
        <v>5.9283886963105656</v>
      </c>
      <c r="G2629" s="1323">
        <f t="shared" si="273"/>
        <v>2004</v>
      </c>
      <c r="H2629" s="1323">
        <f t="shared" si="274"/>
        <v>3</v>
      </c>
      <c r="I2629" s="1323">
        <f t="shared" si="275"/>
        <v>8</v>
      </c>
      <c r="J2629" s="1323"/>
      <c r="K2629" s="1323"/>
      <c r="L2629" s="1323"/>
      <c r="M2629" s="1323"/>
      <c r="N2629" s="1323"/>
      <c r="O2629" s="1323"/>
      <c r="P2629" s="1323"/>
      <c r="Q2629" s="1323"/>
      <c r="R2629" s="1304"/>
      <c r="S2629" s="1304"/>
      <c r="T2629" s="1304"/>
    </row>
    <row r="2630" spans="1:20">
      <c r="A2630" s="1303"/>
      <c r="B2630" s="1322" t="s">
        <v>7423</v>
      </c>
      <c r="C2630" s="1323" t="s">
        <v>7424</v>
      </c>
      <c r="D2630" s="1324">
        <f t="shared" si="270"/>
        <v>38051</v>
      </c>
      <c r="E2630" s="1323">
        <f t="shared" si="272"/>
        <v>6.8460000000000001</v>
      </c>
      <c r="F2630" s="1323">
        <f t="shared" si="271"/>
        <v>5.9272519630573761</v>
      </c>
      <c r="G2630" s="1323">
        <f t="shared" si="273"/>
        <v>2004</v>
      </c>
      <c r="H2630" s="1323">
        <f t="shared" si="274"/>
        <v>3</v>
      </c>
      <c r="I2630" s="1323">
        <f t="shared" si="275"/>
        <v>5</v>
      </c>
      <c r="J2630" s="1323"/>
      <c r="K2630" s="1323"/>
      <c r="L2630" s="1323"/>
      <c r="M2630" s="1323"/>
      <c r="N2630" s="1323"/>
      <c r="O2630" s="1323"/>
      <c r="P2630" s="1323"/>
      <c r="Q2630" s="1323"/>
      <c r="R2630" s="1304"/>
      <c r="S2630" s="1304"/>
      <c r="T2630" s="1304"/>
    </row>
    <row r="2631" spans="1:20">
      <c r="A2631" s="1303"/>
      <c r="B2631" s="1322" t="s">
        <v>7425</v>
      </c>
      <c r="C2631" s="1323" t="s">
        <v>7426</v>
      </c>
      <c r="D2631" s="1324">
        <f t="shared" si="270"/>
        <v>38050</v>
      </c>
      <c r="E2631" s="1323">
        <f t="shared" si="272"/>
        <v>6.7857000000000003</v>
      </c>
      <c r="F2631" s="1323">
        <f t="shared" si="271"/>
        <v>5.9261154477660236</v>
      </c>
      <c r="G2631" s="1323">
        <f t="shared" si="273"/>
        <v>2004</v>
      </c>
      <c r="H2631" s="1323">
        <f t="shared" si="274"/>
        <v>3</v>
      </c>
      <c r="I2631" s="1323">
        <f t="shared" si="275"/>
        <v>4</v>
      </c>
      <c r="J2631" s="1323"/>
      <c r="K2631" s="1323"/>
      <c r="L2631" s="1323"/>
      <c r="M2631" s="1323"/>
      <c r="N2631" s="1323"/>
      <c r="O2631" s="1323"/>
      <c r="P2631" s="1323"/>
      <c r="Q2631" s="1323"/>
      <c r="R2631" s="1304"/>
      <c r="S2631" s="1304"/>
      <c r="T2631" s="1304"/>
    </row>
    <row r="2632" spans="1:20">
      <c r="A2632" s="1303"/>
      <c r="B2632" s="1322" t="s">
        <v>7427</v>
      </c>
      <c r="C2632" s="1323" t="s">
        <v>7428</v>
      </c>
      <c r="D2632" s="1324">
        <f t="shared" si="270"/>
        <v>38049</v>
      </c>
      <c r="E2632" s="1323">
        <f t="shared" si="272"/>
        <v>6.9101999999999997</v>
      </c>
      <c r="F2632" s="1323">
        <f t="shared" si="271"/>
        <v>5.9249791503947149</v>
      </c>
      <c r="G2632" s="1323">
        <f t="shared" si="273"/>
        <v>2004</v>
      </c>
      <c r="H2632" s="1323">
        <f t="shared" si="274"/>
        <v>3</v>
      </c>
      <c r="I2632" s="1323">
        <f t="shared" si="275"/>
        <v>3</v>
      </c>
      <c r="J2632" s="1323"/>
      <c r="K2632" s="1323"/>
      <c r="L2632" s="1323"/>
      <c r="M2632" s="1323"/>
      <c r="N2632" s="1323"/>
      <c r="O2632" s="1323"/>
      <c r="P2632" s="1323"/>
      <c r="Q2632" s="1323"/>
      <c r="R2632" s="1304"/>
      <c r="S2632" s="1304"/>
      <c r="T2632" s="1304"/>
    </row>
    <row r="2633" spans="1:20">
      <c r="A2633" s="1303"/>
      <c r="B2633" s="1322" t="s">
        <v>7429</v>
      </c>
      <c r="C2633" s="1323" t="s">
        <v>7430</v>
      </c>
      <c r="D2633" s="1324">
        <f t="shared" ref="D2633:D2696" si="276">DATE(G2633,H2633,I2633)</f>
        <v>38048</v>
      </c>
      <c r="E2633" s="1323">
        <f t="shared" si="272"/>
        <v>6.6494</v>
      </c>
      <c r="F2633" s="1323">
        <f t="shared" ref="F2633:F2696" si="277">F2634*(1+$F$7/365)</f>
        <v>5.9238430709016647</v>
      </c>
      <c r="G2633" s="1323">
        <f t="shared" si="273"/>
        <v>2004</v>
      </c>
      <c r="H2633" s="1323">
        <f t="shared" si="274"/>
        <v>3</v>
      </c>
      <c r="I2633" s="1323">
        <f t="shared" si="275"/>
        <v>2</v>
      </c>
      <c r="J2633" s="1323"/>
      <c r="K2633" s="1323"/>
      <c r="L2633" s="1323"/>
      <c r="M2633" s="1323"/>
      <c r="N2633" s="1323"/>
      <c r="O2633" s="1323"/>
      <c r="P2633" s="1323"/>
      <c r="Q2633" s="1323"/>
      <c r="R2633" s="1304"/>
      <c r="S2633" s="1304"/>
      <c r="T2633" s="1304"/>
    </row>
    <row r="2634" spans="1:20">
      <c r="A2634" s="1303"/>
      <c r="B2634" s="1322" t="s">
        <v>7431</v>
      </c>
      <c r="C2634" s="1323" t="s">
        <v>7432</v>
      </c>
      <c r="D2634" s="1324">
        <f t="shared" si="276"/>
        <v>38047</v>
      </c>
      <c r="E2634" s="1323">
        <f t="shared" si="272"/>
        <v>6.6158999999999999</v>
      </c>
      <c r="F2634" s="1323">
        <f t="shared" si="277"/>
        <v>5.9227072092450967</v>
      </c>
      <c r="G2634" s="1323">
        <f t="shared" si="273"/>
        <v>2004</v>
      </c>
      <c r="H2634" s="1323">
        <f t="shared" si="274"/>
        <v>3</v>
      </c>
      <c r="I2634" s="1323">
        <f t="shared" si="275"/>
        <v>1</v>
      </c>
      <c r="J2634" s="1323"/>
      <c r="K2634" s="1323"/>
      <c r="L2634" s="1323"/>
      <c r="M2634" s="1323"/>
      <c r="N2634" s="1323"/>
      <c r="O2634" s="1323"/>
      <c r="P2634" s="1323"/>
      <c r="Q2634" s="1323"/>
      <c r="R2634" s="1304"/>
      <c r="S2634" s="1304"/>
      <c r="T2634" s="1304"/>
    </row>
    <row r="2635" spans="1:20">
      <c r="A2635" s="1303"/>
      <c r="B2635" s="1322" t="s">
        <v>7433</v>
      </c>
      <c r="C2635" s="1323" t="s">
        <v>7434</v>
      </c>
      <c r="D2635" s="1324">
        <f t="shared" si="276"/>
        <v>38044</v>
      </c>
      <c r="E2635" s="1323">
        <f t="shared" si="272"/>
        <v>6.6418999999999997</v>
      </c>
      <c r="F2635" s="1323">
        <f t="shared" si="277"/>
        <v>5.9215715653832426</v>
      </c>
      <c r="G2635" s="1323">
        <f t="shared" si="273"/>
        <v>2004</v>
      </c>
      <c r="H2635" s="1323">
        <f t="shared" si="274"/>
        <v>2</v>
      </c>
      <c r="I2635" s="1323">
        <f t="shared" si="275"/>
        <v>27</v>
      </c>
      <c r="J2635" s="1323"/>
      <c r="K2635" s="1323"/>
      <c r="L2635" s="1323"/>
      <c r="M2635" s="1323"/>
      <c r="N2635" s="1323"/>
      <c r="O2635" s="1323"/>
      <c r="P2635" s="1323"/>
      <c r="Q2635" s="1323"/>
      <c r="R2635" s="1304"/>
      <c r="S2635" s="1304"/>
      <c r="T2635" s="1304"/>
    </row>
    <row r="2636" spans="1:20">
      <c r="A2636" s="1303"/>
      <c r="B2636" s="1322" t="s">
        <v>7435</v>
      </c>
      <c r="C2636" s="1323" t="s">
        <v>7436</v>
      </c>
      <c r="D2636" s="1324">
        <f t="shared" si="276"/>
        <v>38043</v>
      </c>
      <c r="E2636" s="1323">
        <f t="shared" si="272"/>
        <v>6.6319999999999997</v>
      </c>
      <c r="F2636" s="1323">
        <f t="shared" si="277"/>
        <v>5.9204361392743401</v>
      </c>
      <c r="G2636" s="1323">
        <f t="shared" si="273"/>
        <v>2004</v>
      </c>
      <c r="H2636" s="1323">
        <f t="shared" si="274"/>
        <v>2</v>
      </c>
      <c r="I2636" s="1323">
        <f t="shared" si="275"/>
        <v>26</v>
      </c>
      <c r="J2636" s="1323"/>
      <c r="K2636" s="1323"/>
      <c r="L2636" s="1323"/>
      <c r="M2636" s="1323"/>
      <c r="N2636" s="1323"/>
      <c r="O2636" s="1323"/>
      <c r="P2636" s="1323"/>
      <c r="Q2636" s="1323"/>
      <c r="R2636" s="1304"/>
      <c r="S2636" s="1304"/>
      <c r="T2636" s="1304"/>
    </row>
    <row r="2637" spans="1:20">
      <c r="A2637" s="1303"/>
      <c r="B2637" s="1322" t="s">
        <v>7437</v>
      </c>
      <c r="C2637" s="1323" t="s">
        <v>7438</v>
      </c>
      <c r="D2637" s="1324">
        <f t="shared" si="276"/>
        <v>38042</v>
      </c>
      <c r="E2637" s="1323">
        <f t="shared" si="272"/>
        <v>6.5670999999999999</v>
      </c>
      <c r="F2637" s="1323">
        <f t="shared" si="277"/>
        <v>5.9193009308766378</v>
      </c>
      <c r="G2637" s="1323">
        <f t="shared" si="273"/>
        <v>2004</v>
      </c>
      <c r="H2637" s="1323">
        <f t="shared" si="274"/>
        <v>2</v>
      </c>
      <c r="I2637" s="1323">
        <f t="shared" si="275"/>
        <v>25</v>
      </c>
      <c r="J2637" s="1323"/>
      <c r="K2637" s="1323"/>
      <c r="L2637" s="1323"/>
      <c r="M2637" s="1323"/>
      <c r="N2637" s="1323"/>
      <c r="O2637" s="1323"/>
      <c r="P2637" s="1323"/>
      <c r="Q2637" s="1323"/>
      <c r="R2637" s="1304"/>
      <c r="S2637" s="1304"/>
      <c r="T2637" s="1304"/>
    </row>
    <row r="2638" spans="1:20">
      <c r="A2638" s="1303"/>
      <c r="B2638" s="1322" t="s">
        <v>7439</v>
      </c>
      <c r="C2638" s="1323" t="s">
        <v>7440</v>
      </c>
      <c r="D2638" s="1324">
        <f t="shared" si="276"/>
        <v>38041</v>
      </c>
      <c r="E2638" s="1323">
        <f t="shared" si="272"/>
        <v>6.6879</v>
      </c>
      <c r="F2638" s="1323">
        <f t="shared" si="277"/>
        <v>5.9181659401483904</v>
      </c>
      <c r="G2638" s="1323">
        <f t="shared" si="273"/>
        <v>2004</v>
      </c>
      <c r="H2638" s="1323">
        <f t="shared" si="274"/>
        <v>2</v>
      </c>
      <c r="I2638" s="1323">
        <f t="shared" si="275"/>
        <v>24</v>
      </c>
      <c r="J2638" s="1323"/>
      <c r="K2638" s="1323"/>
      <c r="L2638" s="1323"/>
      <c r="M2638" s="1323"/>
      <c r="N2638" s="1323"/>
      <c r="O2638" s="1323"/>
      <c r="P2638" s="1323"/>
      <c r="Q2638" s="1323"/>
      <c r="R2638" s="1304"/>
      <c r="S2638" s="1304"/>
      <c r="T2638" s="1304"/>
    </row>
    <row r="2639" spans="1:20">
      <c r="A2639" s="1303"/>
      <c r="B2639" s="1322" t="s">
        <v>7441</v>
      </c>
      <c r="C2639" s="1323" t="s">
        <v>7442</v>
      </c>
      <c r="D2639" s="1324">
        <f t="shared" si="276"/>
        <v>38040</v>
      </c>
      <c r="E2639" s="1323">
        <f t="shared" si="272"/>
        <v>6.7576000000000001</v>
      </c>
      <c r="F2639" s="1323">
        <f t="shared" si="277"/>
        <v>5.9170311670478606</v>
      </c>
      <c r="G2639" s="1323">
        <f t="shared" si="273"/>
        <v>2004</v>
      </c>
      <c r="H2639" s="1323">
        <f t="shared" si="274"/>
        <v>2</v>
      </c>
      <c r="I2639" s="1323">
        <f t="shared" si="275"/>
        <v>23</v>
      </c>
      <c r="J2639" s="1323"/>
      <c r="K2639" s="1323"/>
      <c r="L2639" s="1323"/>
      <c r="M2639" s="1323"/>
      <c r="N2639" s="1323"/>
      <c r="O2639" s="1323"/>
      <c r="P2639" s="1323"/>
      <c r="Q2639" s="1323"/>
      <c r="R2639" s="1304"/>
      <c r="S2639" s="1304"/>
      <c r="T2639" s="1304"/>
    </row>
    <row r="2640" spans="1:20">
      <c r="A2640" s="1303"/>
      <c r="B2640" s="1322" t="s">
        <v>7443</v>
      </c>
      <c r="C2640" s="1323" t="s">
        <v>7444</v>
      </c>
      <c r="D2640" s="1324">
        <f t="shared" si="276"/>
        <v>38037</v>
      </c>
      <c r="E2640" s="1323">
        <f t="shared" si="272"/>
        <v>6.6726000000000001</v>
      </c>
      <c r="F2640" s="1323">
        <f t="shared" si="277"/>
        <v>5.91589661153332</v>
      </c>
      <c r="G2640" s="1323">
        <f t="shared" si="273"/>
        <v>2004</v>
      </c>
      <c r="H2640" s="1323">
        <f t="shared" si="274"/>
        <v>2</v>
      </c>
      <c r="I2640" s="1323">
        <f t="shared" si="275"/>
        <v>20</v>
      </c>
      <c r="J2640" s="1323"/>
      <c r="K2640" s="1323"/>
      <c r="L2640" s="1323"/>
      <c r="M2640" s="1323"/>
      <c r="N2640" s="1323"/>
      <c r="O2640" s="1323"/>
      <c r="P2640" s="1323"/>
      <c r="Q2640" s="1323"/>
      <c r="R2640" s="1304"/>
      <c r="S2640" s="1304"/>
      <c r="T2640" s="1304"/>
    </row>
    <row r="2641" spans="1:20">
      <c r="A2641" s="1303"/>
      <c r="B2641" s="1322" t="s">
        <v>7445</v>
      </c>
      <c r="C2641" s="1323" t="s">
        <v>7446</v>
      </c>
      <c r="D2641" s="1324">
        <f t="shared" si="276"/>
        <v>38036</v>
      </c>
      <c r="E2641" s="1323">
        <f t="shared" si="272"/>
        <v>6.6672000000000002</v>
      </c>
      <c r="F2641" s="1323">
        <f t="shared" si="277"/>
        <v>5.9147622735630474</v>
      </c>
      <c r="G2641" s="1323">
        <f t="shared" si="273"/>
        <v>2004</v>
      </c>
      <c r="H2641" s="1323">
        <f t="shared" si="274"/>
        <v>2</v>
      </c>
      <c r="I2641" s="1323">
        <f t="shared" si="275"/>
        <v>19</v>
      </c>
      <c r="J2641" s="1323"/>
      <c r="K2641" s="1323"/>
      <c r="L2641" s="1323"/>
      <c r="M2641" s="1323"/>
      <c r="N2641" s="1323"/>
      <c r="O2641" s="1323"/>
      <c r="P2641" s="1323"/>
      <c r="Q2641" s="1323"/>
      <c r="R2641" s="1304"/>
      <c r="S2641" s="1304"/>
      <c r="T2641" s="1304"/>
    </row>
    <row r="2642" spans="1:20">
      <c r="A2642" s="1303"/>
      <c r="B2642" s="1322" t="s">
        <v>7447</v>
      </c>
      <c r="C2642" s="1323" t="s">
        <v>7448</v>
      </c>
      <c r="D2642" s="1324">
        <f t="shared" si="276"/>
        <v>38035</v>
      </c>
      <c r="E2642" s="1323">
        <f t="shared" si="272"/>
        <v>6.5602999999999998</v>
      </c>
      <c r="F2642" s="1323">
        <f t="shared" si="277"/>
        <v>5.9136281530953303</v>
      </c>
      <c r="G2642" s="1323">
        <f t="shared" si="273"/>
        <v>2004</v>
      </c>
      <c r="H2642" s="1323">
        <f t="shared" si="274"/>
        <v>2</v>
      </c>
      <c r="I2642" s="1323">
        <f t="shared" si="275"/>
        <v>18</v>
      </c>
      <c r="J2642" s="1323"/>
      <c r="K2642" s="1323"/>
      <c r="L2642" s="1323"/>
      <c r="M2642" s="1323"/>
      <c r="N2642" s="1323"/>
      <c r="O2642" s="1323"/>
      <c r="P2642" s="1323"/>
      <c r="Q2642" s="1323"/>
      <c r="R2642" s="1304"/>
      <c r="S2642" s="1304"/>
      <c r="T2642" s="1304"/>
    </row>
    <row r="2643" spans="1:20">
      <c r="A2643" s="1303"/>
      <c r="B2643" s="1322" t="s">
        <v>7449</v>
      </c>
      <c r="C2643" s="1323" t="s">
        <v>7450</v>
      </c>
      <c r="D2643" s="1324">
        <f t="shared" si="276"/>
        <v>38034</v>
      </c>
      <c r="E2643" s="1323">
        <f t="shared" si="272"/>
        <v>6.66</v>
      </c>
      <c r="F2643" s="1323">
        <f t="shared" si="277"/>
        <v>5.9124942500884634</v>
      </c>
      <c r="G2643" s="1323">
        <f t="shared" si="273"/>
        <v>2004</v>
      </c>
      <c r="H2643" s="1323">
        <f t="shared" si="274"/>
        <v>2</v>
      </c>
      <c r="I2643" s="1323">
        <f t="shared" si="275"/>
        <v>17</v>
      </c>
      <c r="J2643" s="1323"/>
      <c r="K2643" s="1323"/>
      <c r="L2643" s="1323"/>
      <c r="M2643" s="1323"/>
      <c r="N2643" s="1323"/>
      <c r="O2643" s="1323"/>
      <c r="P2643" s="1323"/>
      <c r="Q2643" s="1323"/>
      <c r="R2643" s="1304"/>
      <c r="S2643" s="1304"/>
      <c r="T2643" s="1304"/>
    </row>
    <row r="2644" spans="1:20">
      <c r="A2644" s="1303"/>
      <c r="B2644" s="1322" t="s">
        <v>7451</v>
      </c>
      <c r="C2644" s="1323" t="s">
        <v>7452</v>
      </c>
      <c r="D2644" s="1324">
        <f t="shared" si="276"/>
        <v>38033</v>
      </c>
      <c r="E2644" s="1323">
        <f t="shared" si="272"/>
        <v>6.6093999999999999</v>
      </c>
      <c r="F2644" s="1323">
        <f t="shared" si="277"/>
        <v>5.9113605645007503</v>
      </c>
      <c r="G2644" s="1323">
        <f t="shared" si="273"/>
        <v>2004</v>
      </c>
      <c r="H2644" s="1323">
        <f t="shared" si="274"/>
        <v>2</v>
      </c>
      <c r="I2644" s="1323">
        <f t="shared" si="275"/>
        <v>16</v>
      </c>
      <c r="J2644" s="1323"/>
      <c r="K2644" s="1323"/>
      <c r="L2644" s="1323"/>
      <c r="M2644" s="1323"/>
      <c r="N2644" s="1323"/>
      <c r="O2644" s="1323"/>
      <c r="P2644" s="1323"/>
      <c r="Q2644" s="1323"/>
      <c r="R2644" s="1304"/>
      <c r="S2644" s="1304"/>
      <c r="T2644" s="1304"/>
    </row>
    <row r="2645" spans="1:20">
      <c r="A2645" s="1303"/>
      <c r="B2645" s="1322" t="s">
        <v>7453</v>
      </c>
      <c r="C2645" s="1323" t="s">
        <v>7454</v>
      </c>
      <c r="D2645" s="1324">
        <f t="shared" si="276"/>
        <v>38030</v>
      </c>
      <c r="E2645" s="1323">
        <f t="shared" si="272"/>
        <v>6.6180000000000003</v>
      </c>
      <c r="F2645" s="1323">
        <f t="shared" si="277"/>
        <v>5.9102270962905026</v>
      </c>
      <c r="G2645" s="1323">
        <f t="shared" si="273"/>
        <v>2004</v>
      </c>
      <c r="H2645" s="1323">
        <f t="shared" si="274"/>
        <v>2</v>
      </c>
      <c r="I2645" s="1323">
        <f t="shared" si="275"/>
        <v>13</v>
      </c>
      <c r="J2645" s="1323"/>
      <c r="K2645" s="1323"/>
      <c r="L2645" s="1323"/>
      <c r="M2645" s="1323"/>
      <c r="N2645" s="1323"/>
      <c r="O2645" s="1323"/>
      <c r="P2645" s="1323"/>
      <c r="Q2645" s="1323"/>
      <c r="R2645" s="1304"/>
      <c r="S2645" s="1304"/>
      <c r="T2645" s="1304"/>
    </row>
    <row r="2646" spans="1:20">
      <c r="A2646" s="1303"/>
      <c r="B2646" s="1322" t="s">
        <v>7455</v>
      </c>
      <c r="C2646" s="1323" t="s">
        <v>7456</v>
      </c>
      <c r="D2646" s="1324">
        <f t="shared" si="276"/>
        <v>38029</v>
      </c>
      <c r="E2646" s="1323">
        <f t="shared" ref="E2646:E2709" si="278">VALUE(C2647)</f>
        <v>6.7640000000000002</v>
      </c>
      <c r="F2646" s="1323">
        <f t="shared" si="277"/>
        <v>5.9090938454160389</v>
      </c>
      <c r="G2646" s="1323">
        <f t="shared" ref="G2646:G2709" si="279">YEAR(B2647)</f>
        <v>2004</v>
      </c>
      <c r="H2646" s="1323">
        <f t="shared" ref="H2646:H2709" si="280">MONTH(B2647)</f>
        <v>2</v>
      </c>
      <c r="I2646" s="1323">
        <f t="shared" ref="I2646:I2709" si="281">DAY(B2647)</f>
        <v>12</v>
      </c>
      <c r="J2646" s="1323"/>
      <c r="K2646" s="1323"/>
      <c r="L2646" s="1323"/>
      <c r="M2646" s="1323"/>
      <c r="N2646" s="1323"/>
      <c r="O2646" s="1323"/>
      <c r="P2646" s="1323"/>
      <c r="Q2646" s="1323"/>
      <c r="R2646" s="1304"/>
      <c r="S2646" s="1304"/>
      <c r="T2646" s="1304"/>
    </row>
    <row r="2647" spans="1:20">
      <c r="A2647" s="1303"/>
      <c r="B2647" s="1322" t="s">
        <v>7457</v>
      </c>
      <c r="C2647" s="1323" t="s">
        <v>7458</v>
      </c>
      <c r="D2647" s="1324">
        <f t="shared" si="276"/>
        <v>38028</v>
      </c>
      <c r="E2647" s="1323">
        <f t="shared" si="278"/>
        <v>6.9084000000000003</v>
      </c>
      <c r="F2647" s="1323">
        <f t="shared" si="277"/>
        <v>5.9079608118356868</v>
      </c>
      <c r="G2647" s="1323">
        <f t="shared" si="279"/>
        <v>2004</v>
      </c>
      <c r="H2647" s="1323">
        <f t="shared" si="280"/>
        <v>2</v>
      </c>
      <c r="I2647" s="1323">
        <f t="shared" si="281"/>
        <v>11</v>
      </c>
      <c r="J2647" s="1323"/>
      <c r="K2647" s="1323"/>
      <c r="L2647" s="1323"/>
      <c r="M2647" s="1323"/>
      <c r="N2647" s="1323"/>
      <c r="O2647" s="1323"/>
      <c r="P2647" s="1323"/>
      <c r="Q2647" s="1323"/>
      <c r="R2647" s="1304"/>
      <c r="S2647" s="1304"/>
      <c r="T2647" s="1304"/>
    </row>
    <row r="2648" spans="1:20">
      <c r="A2648" s="1303"/>
      <c r="B2648" s="1322" t="s">
        <v>7459</v>
      </c>
      <c r="C2648" s="1323" t="s">
        <v>7460</v>
      </c>
      <c r="D2648" s="1324">
        <f t="shared" si="276"/>
        <v>38027</v>
      </c>
      <c r="E2648" s="1323">
        <f t="shared" si="278"/>
        <v>6.9229000000000003</v>
      </c>
      <c r="F2648" s="1323">
        <f t="shared" si="277"/>
        <v>5.9068279955077809</v>
      </c>
      <c r="G2648" s="1323">
        <f t="shared" si="279"/>
        <v>2004</v>
      </c>
      <c r="H2648" s="1323">
        <f t="shared" si="280"/>
        <v>2</v>
      </c>
      <c r="I2648" s="1323">
        <f t="shared" si="281"/>
        <v>10</v>
      </c>
      <c r="J2648" s="1323"/>
      <c r="K2648" s="1323"/>
      <c r="L2648" s="1323"/>
      <c r="M2648" s="1323"/>
      <c r="N2648" s="1323"/>
      <c r="O2648" s="1323"/>
      <c r="P2648" s="1323"/>
      <c r="Q2648" s="1323"/>
      <c r="R2648" s="1304"/>
      <c r="S2648" s="1304"/>
      <c r="T2648" s="1304"/>
    </row>
    <row r="2649" spans="1:20">
      <c r="A2649" s="1303"/>
      <c r="B2649" s="1322" t="s">
        <v>7461</v>
      </c>
      <c r="C2649" s="1323" t="s">
        <v>7462</v>
      </c>
      <c r="D2649" s="1324">
        <f t="shared" si="276"/>
        <v>38026</v>
      </c>
      <c r="E2649" s="1323">
        <f t="shared" si="278"/>
        <v>6.9862000000000002</v>
      </c>
      <c r="F2649" s="1323">
        <f t="shared" si="277"/>
        <v>5.9056953963906649</v>
      </c>
      <c r="G2649" s="1323">
        <f t="shared" si="279"/>
        <v>2004</v>
      </c>
      <c r="H2649" s="1323">
        <f t="shared" si="280"/>
        <v>2</v>
      </c>
      <c r="I2649" s="1323">
        <f t="shared" si="281"/>
        <v>9</v>
      </c>
      <c r="J2649" s="1323"/>
      <c r="K2649" s="1323"/>
      <c r="L2649" s="1323"/>
      <c r="M2649" s="1323"/>
      <c r="N2649" s="1323"/>
      <c r="O2649" s="1323"/>
      <c r="P2649" s="1323"/>
      <c r="Q2649" s="1323"/>
      <c r="R2649" s="1304"/>
      <c r="S2649" s="1304"/>
      <c r="T2649" s="1304"/>
    </row>
    <row r="2650" spans="1:20">
      <c r="A2650" s="1303"/>
      <c r="B2650" s="1322" t="s">
        <v>7463</v>
      </c>
      <c r="C2650" s="1323" t="s">
        <v>7464</v>
      </c>
      <c r="D2650" s="1324">
        <f t="shared" si="276"/>
        <v>38023</v>
      </c>
      <c r="E2650" s="1323">
        <f t="shared" si="278"/>
        <v>7.0289000000000001</v>
      </c>
      <c r="F2650" s="1323">
        <f t="shared" si="277"/>
        <v>5.9045630144426893</v>
      </c>
      <c r="G2650" s="1323">
        <f t="shared" si="279"/>
        <v>2004</v>
      </c>
      <c r="H2650" s="1323">
        <f t="shared" si="280"/>
        <v>2</v>
      </c>
      <c r="I2650" s="1323">
        <f t="shared" si="281"/>
        <v>6</v>
      </c>
      <c r="J2650" s="1323"/>
      <c r="K2650" s="1323"/>
      <c r="L2650" s="1323"/>
      <c r="M2650" s="1323"/>
      <c r="N2650" s="1323"/>
      <c r="O2650" s="1323"/>
      <c r="P2650" s="1323"/>
      <c r="Q2650" s="1323"/>
      <c r="R2650" s="1304"/>
      <c r="S2650" s="1304"/>
      <c r="T2650" s="1304"/>
    </row>
    <row r="2651" spans="1:20">
      <c r="A2651" s="1303"/>
      <c r="B2651" s="1322" t="s">
        <v>7465</v>
      </c>
      <c r="C2651" s="1323" t="s">
        <v>7466</v>
      </c>
      <c r="D2651" s="1324">
        <f t="shared" si="276"/>
        <v>38022</v>
      </c>
      <c r="E2651" s="1323">
        <f t="shared" si="278"/>
        <v>6.8548999999999998</v>
      </c>
      <c r="F2651" s="1323">
        <f t="shared" si="277"/>
        <v>5.9034308496222136</v>
      </c>
      <c r="G2651" s="1323">
        <f t="shared" si="279"/>
        <v>2004</v>
      </c>
      <c r="H2651" s="1323">
        <f t="shared" si="280"/>
        <v>2</v>
      </c>
      <c r="I2651" s="1323">
        <f t="shared" si="281"/>
        <v>5</v>
      </c>
      <c r="J2651" s="1323"/>
      <c r="K2651" s="1323"/>
      <c r="L2651" s="1323"/>
      <c r="M2651" s="1323"/>
      <c r="N2651" s="1323"/>
      <c r="O2651" s="1323"/>
      <c r="P2651" s="1323"/>
      <c r="Q2651" s="1323"/>
      <c r="R2651" s="1304"/>
      <c r="S2651" s="1304"/>
      <c r="T2651" s="1304"/>
    </row>
    <row r="2652" spans="1:20">
      <c r="A2652" s="1303"/>
      <c r="B2652" s="1322" t="s">
        <v>7467</v>
      </c>
      <c r="C2652" s="1323" t="s">
        <v>7468</v>
      </c>
      <c r="D2652" s="1324">
        <f t="shared" si="276"/>
        <v>38021</v>
      </c>
      <c r="E2652" s="1323">
        <f t="shared" si="278"/>
        <v>6.9309000000000003</v>
      </c>
      <c r="F2652" s="1323">
        <f t="shared" si="277"/>
        <v>5.9022989018876046</v>
      </c>
      <c r="G2652" s="1323">
        <f t="shared" si="279"/>
        <v>2004</v>
      </c>
      <c r="H2652" s="1323">
        <f t="shared" si="280"/>
        <v>2</v>
      </c>
      <c r="I2652" s="1323">
        <f t="shared" si="281"/>
        <v>4</v>
      </c>
      <c r="J2652" s="1323"/>
      <c r="K2652" s="1323"/>
      <c r="L2652" s="1323"/>
      <c r="M2652" s="1323"/>
      <c r="N2652" s="1323"/>
      <c r="O2652" s="1323"/>
      <c r="P2652" s="1323"/>
      <c r="Q2652" s="1323"/>
      <c r="R2652" s="1304"/>
      <c r="S2652" s="1304"/>
      <c r="T2652" s="1304"/>
    </row>
    <row r="2653" spans="1:20">
      <c r="A2653" s="1303"/>
      <c r="B2653" s="1322" t="s">
        <v>7469</v>
      </c>
      <c r="C2653" s="1323" t="s">
        <v>7470</v>
      </c>
      <c r="D2653" s="1324">
        <f t="shared" si="276"/>
        <v>38020</v>
      </c>
      <c r="E2653" s="1323">
        <f t="shared" si="278"/>
        <v>6.9154999999999998</v>
      </c>
      <c r="F2653" s="1323">
        <f t="shared" si="277"/>
        <v>5.9011671711972378</v>
      </c>
      <c r="G2653" s="1323">
        <f t="shared" si="279"/>
        <v>2004</v>
      </c>
      <c r="H2653" s="1323">
        <f t="shared" si="280"/>
        <v>2</v>
      </c>
      <c r="I2653" s="1323">
        <f t="shared" si="281"/>
        <v>3</v>
      </c>
      <c r="J2653" s="1323"/>
      <c r="K2653" s="1323"/>
      <c r="L2653" s="1323"/>
      <c r="M2653" s="1323"/>
      <c r="N2653" s="1323"/>
      <c r="O2653" s="1323"/>
      <c r="P2653" s="1323"/>
      <c r="Q2653" s="1323"/>
      <c r="R2653" s="1304"/>
      <c r="S2653" s="1304"/>
      <c r="T2653" s="1304"/>
    </row>
    <row r="2654" spans="1:20">
      <c r="A2654" s="1303"/>
      <c r="B2654" s="1322" t="s">
        <v>7471</v>
      </c>
      <c r="C2654" s="1323" t="s">
        <v>7472</v>
      </c>
      <c r="D2654" s="1324">
        <f t="shared" si="276"/>
        <v>38019</v>
      </c>
      <c r="E2654" s="1323">
        <f t="shared" si="278"/>
        <v>7.0598000000000001</v>
      </c>
      <c r="F2654" s="1323">
        <f t="shared" si="277"/>
        <v>5.9000356575094957</v>
      </c>
      <c r="G2654" s="1323">
        <f t="shared" si="279"/>
        <v>2004</v>
      </c>
      <c r="H2654" s="1323">
        <f t="shared" si="280"/>
        <v>2</v>
      </c>
      <c r="I2654" s="1323">
        <f t="shared" si="281"/>
        <v>2</v>
      </c>
      <c r="J2654" s="1323"/>
      <c r="K2654" s="1323"/>
      <c r="L2654" s="1323"/>
      <c r="M2654" s="1323"/>
      <c r="N2654" s="1323"/>
      <c r="O2654" s="1323"/>
      <c r="P2654" s="1323"/>
      <c r="Q2654" s="1323"/>
      <c r="R2654" s="1304"/>
      <c r="S2654" s="1304"/>
      <c r="T2654" s="1304"/>
    </row>
    <row r="2655" spans="1:20">
      <c r="A2655" s="1303"/>
      <c r="B2655" s="1322" t="s">
        <v>7473</v>
      </c>
      <c r="C2655" s="1323" t="s">
        <v>7474</v>
      </c>
      <c r="D2655" s="1324">
        <f t="shared" si="276"/>
        <v>38016</v>
      </c>
      <c r="E2655" s="1323">
        <f t="shared" si="278"/>
        <v>7.1125999999999996</v>
      </c>
      <c r="F2655" s="1323">
        <f t="shared" si="277"/>
        <v>5.8989043607827698</v>
      </c>
      <c r="G2655" s="1323">
        <f t="shared" si="279"/>
        <v>2004</v>
      </c>
      <c r="H2655" s="1323">
        <f t="shared" si="280"/>
        <v>1</v>
      </c>
      <c r="I2655" s="1323">
        <f t="shared" si="281"/>
        <v>30</v>
      </c>
      <c r="J2655" s="1323"/>
      <c r="K2655" s="1323"/>
      <c r="L2655" s="1323"/>
      <c r="M2655" s="1323"/>
      <c r="N2655" s="1323"/>
      <c r="O2655" s="1323"/>
      <c r="P2655" s="1323"/>
      <c r="Q2655" s="1323"/>
      <c r="R2655" s="1304"/>
      <c r="S2655" s="1304"/>
      <c r="T2655" s="1304"/>
    </row>
    <row r="2656" spans="1:20">
      <c r="A2656" s="1303"/>
      <c r="B2656" s="1322" t="s">
        <v>7475</v>
      </c>
      <c r="C2656" s="1323" t="s">
        <v>7476</v>
      </c>
      <c r="D2656" s="1324">
        <f t="shared" si="276"/>
        <v>38015</v>
      </c>
      <c r="E2656" s="1323">
        <f t="shared" si="278"/>
        <v>7.0380000000000003</v>
      </c>
      <c r="F2656" s="1323">
        <f t="shared" si="277"/>
        <v>5.8977732809754588</v>
      </c>
      <c r="G2656" s="1323">
        <f t="shared" si="279"/>
        <v>2004</v>
      </c>
      <c r="H2656" s="1323">
        <f t="shared" si="280"/>
        <v>1</v>
      </c>
      <c r="I2656" s="1323">
        <f t="shared" si="281"/>
        <v>29</v>
      </c>
      <c r="J2656" s="1323"/>
      <c r="K2656" s="1323"/>
      <c r="L2656" s="1323"/>
      <c r="M2656" s="1323"/>
      <c r="N2656" s="1323"/>
      <c r="O2656" s="1323"/>
      <c r="P2656" s="1323"/>
      <c r="Q2656" s="1323"/>
      <c r="R2656" s="1304"/>
      <c r="S2656" s="1304"/>
      <c r="T2656" s="1304"/>
    </row>
    <row r="2657" spans="1:20">
      <c r="A2657" s="1303"/>
      <c r="B2657" s="1322" t="s">
        <v>7477</v>
      </c>
      <c r="C2657" s="1323" t="s">
        <v>7478</v>
      </c>
      <c r="D2657" s="1324">
        <f t="shared" si="276"/>
        <v>38014</v>
      </c>
      <c r="E2657" s="1323">
        <f t="shared" si="278"/>
        <v>7.0646000000000004</v>
      </c>
      <c r="F2657" s="1323">
        <f t="shared" si="277"/>
        <v>5.8966424180459702</v>
      </c>
      <c r="G2657" s="1323">
        <f t="shared" si="279"/>
        <v>2004</v>
      </c>
      <c r="H2657" s="1323">
        <f t="shared" si="280"/>
        <v>1</v>
      </c>
      <c r="I2657" s="1323">
        <f t="shared" si="281"/>
        <v>28</v>
      </c>
      <c r="J2657" s="1323"/>
      <c r="K2657" s="1323"/>
      <c r="L2657" s="1323"/>
      <c r="M2657" s="1323"/>
      <c r="N2657" s="1323"/>
      <c r="O2657" s="1323"/>
      <c r="P2657" s="1323"/>
      <c r="Q2657" s="1323"/>
      <c r="R2657" s="1304"/>
      <c r="S2657" s="1304"/>
      <c r="T2657" s="1304"/>
    </row>
    <row r="2658" spans="1:20">
      <c r="A2658" s="1303"/>
      <c r="B2658" s="1322" t="s">
        <v>7479</v>
      </c>
      <c r="C2658" s="1323" t="s">
        <v>7480</v>
      </c>
      <c r="D2658" s="1324">
        <f t="shared" si="276"/>
        <v>38013</v>
      </c>
      <c r="E2658" s="1323">
        <f t="shared" si="278"/>
        <v>7.1688000000000001</v>
      </c>
      <c r="F2658" s="1323">
        <f t="shared" si="277"/>
        <v>5.8955117719527186</v>
      </c>
      <c r="G2658" s="1323">
        <f t="shared" si="279"/>
        <v>2004</v>
      </c>
      <c r="H2658" s="1323">
        <f t="shared" si="280"/>
        <v>1</v>
      </c>
      <c r="I2658" s="1323">
        <f t="shared" si="281"/>
        <v>27</v>
      </c>
      <c r="J2658" s="1323"/>
      <c r="K2658" s="1323"/>
      <c r="L2658" s="1323"/>
      <c r="M2658" s="1323"/>
      <c r="N2658" s="1323"/>
      <c r="O2658" s="1323"/>
      <c r="P2658" s="1323"/>
      <c r="Q2658" s="1323"/>
      <c r="R2658" s="1304"/>
      <c r="S2658" s="1304"/>
      <c r="T2658" s="1304"/>
    </row>
    <row r="2659" spans="1:20">
      <c r="A2659" s="1303"/>
      <c r="B2659" s="1322" t="s">
        <v>7481</v>
      </c>
      <c r="C2659" s="1323" t="s">
        <v>7482</v>
      </c>
      <c r="D2659" s="1324">
        <f t="shared" si="276"/>
        <v>38012</v>
      </c>
      <c r="E2659" s="1323">
        <f t="shared" si="278"/>
        <v>7.2611999999999997</v>
      </c>
      <c r="F2659" s="1323">
        <f t="shared" si="277"/>
        <v>5.8943813426541274</v>
      </c>
      <c r="G2659" s="1323">
        <f t="shared" si="279"/>
        <v>2004</v>
      </c>
      <c r="H2659" s="1323">
        <f t="shared" si="280"/>
        <v>1</v>
      </c>
      <c r="I2659" s="1323">
        <f t="shared" si="281"/>
        <v>26</v>
      </c>
      <c r="J2659" s="1323"/>
      <c r="K2659" s="1323"/>
      <c r="L2659" s="1323"/>
      <c r="M2659" s="1323"/>
      <c r="N2659" s="1323"/>
      <c r="O2659" s="1323"/>
      <c r="P2659" s="1323"/>
      <c r="Q2659" s="1323"/>
      <c r="R2659" s="1304"/>
      <c r="S2659" s="1304"/>
      <c r="T2659" s="1304"/>
    </row>
    <row r="2660" spans="1:20">
      <c r="A2660" s="1303"/>
      <c r="B2660" s="1322" t="s">
        <v>7483</v>
      </c>
      <c r="C2660" s="1323" t="s">
        <v>7484</v>
      </c>
      <c r="D2660" s="1324">
        <f t="shared" si="276"/>
        <v>38009</v>
      </c>
      <c r="E2660" s="1323">
        <f t="shared" si="278"/>
        <v>7.1463999999999999</v>
      </c>
      <c r="F2660" s="1323">
        <f t="shared" si="277"/>
        <v>5.8932511301086272</v>
      </c>
      <c r="G2660" s="1323">
        <f t="shared" si="279"/>
        <v>2004</v>
      </c>
      <c r="H2660" s="1323">
        <f t="shared" si="280"/>
        <v>1</v>
      </c>
      <c r="I2660" s="1323">
        <f t="shared" si="281"/>
        <v>23</v>
      </c>
      <c r="J2660" s="1323"/>
      <c r="K2660" s="1323"/>
      <c r="L2660" s="1323"/>
      <c r="M2660" s="1323"/>
      <c r="N2660" s="1323"/>
      <c r="O2660" s="1323"/>
      <c r="P2660" s="1323"/>
      <c r="Q2660" s="1323"/>
      <c r="R2660" s="1304"/>
      <c r="S2660" s="1304"/>
      <c r="T2660" s="1304"/>
    </row>
    <row r="2661" spans="1:20">
      <c r="A2661" s="1303"/>
      <c r="B2661" s="1322" t="s">
        <v>7485</v>
      </c>
      <c r="C2661" s="1323" t="s">
        <v>7486</v>
      </c>
      <c r="D2661" s="1324">
        <f t="shared" si="276"/>
        <v>38008</v>
      </c>
      <c r="E2661" s="1323">
        <f t="shared" si="278"/>
        <v>7.1600999999999999</v>
      </c>
      <c r="F2661" s="1323">
        <f t="shared" si="277"/>
        <v>5.8921211342746567</v>
      </c>
      <c r="G2661" s="1323">
        <f t="shared" si="279"/>
        <v>2004</v>
      </c>
      <c r="H2661" s="1323">
        <f t="shared" si="280"/>
        <v>1</v>
      </c>
      <c r="I2661" s="1323">
        <f t="shared" si="281"/>
        <v>22</v>
      </c>
      <c r="J2661" s="1323"/>
      <c r="K2661" s="1323"/>
      <c r="L2661" s="1323"/>
      <c r="M2661" s="1323"/>
      <c r="N2661" s="1323"/>
      <c r="O2661" s="1323"/>
      <c r="P2661" s="1323"/>
      <c r="Q2661" s="1323"/>
      <c r="R2661" s="1304"/>
      <c r="S2661" s="1304"/>
      <c r="T2661" s="1304"/>
    </row>
    <row r="2662" spans="1:20">
      <c r="A2662" s="1303"/>
      <c r="B2662" s="1322" t="s">
        <v>7487</v>
      </c>
      <c r="C2662" s="1323" t="s">
        <v>7488</v>
      </c>
      <c r="D2662" s="1324">
        <f t="shared" si="276"/>
        <v>38007</v>
      </c>
      <c r="E2662" s="1323">
        <f t="shared" si="278"/>
        <v>7.0707000000000004</v>
      </c>
      <c r="F2662" s="1323">
        <f t="shared" si="277"/>
        <v>5.8909913551106623</v>
      </c>
      <c r="G2662" s="1323">
        <f t="shared" si="279"/>
        <v>2004</v>
      </c>
      <c r="H2662" s="1323">
        <f t="shared" si="280"/>
        <v>1</v>
      </c>
      <c r="I2662" s="1323">
        <f t="shared" si="281"/>
        <v>21</v>
      </c>
      <c r="J2662" s="1323"/>
      <c r="K2662" s="1323"/>
      <c r="L2662" s="1323"/>
      <c r="M2662" s="1323"/>
      <c r="N2662" s="1323"/>
      <c r="O2662" s="1323"/>
      <c r="P2662" s="1323"/>
      <c r="Q2662" s="1323"/>
      <c r="R2662" s="1304"/>
      <c r="S2662" s="1304"/>
      <c r="T2662" s="1304"/>
    </row>
    <row r="2663" spans="1:20">
      <c r="A2663" s="1303"/>
      <c r="B2663" s="1322" t="s">
        <v>7489</v>
      </c>
      <c r="C2663" s="1323" t="s">
        <v>7490</v>
      </c>
      <c r="D2663" s="1324">
        <f t="shared" si="276"/>
        <v>38006</v>
      </c>
      <c r="E2663" s="1323">
        <f t="shared" si="278"/>
        <v>7.29</v>
      </c>
      <c r="F2663" s="1323">
        <f t="shared" si="277"/>
        <v>5.8898617925750996</v>
      </c>
      <c r="G2663" s="1323">
        <f t="shared" si="279"/>
        <v>2004</v>
      </c>
      <c r="H2663" s="1323">
        <f t="shared" si="280"/>
        <v>1</v>
      </c>
      <c r="I2663" s="1323">
        <f t="shared" si="281"/>
        <v>20</v>
      </c>
      <c r="J2663" s="1323"/>
      <c r="K2663" s="1323"/>
      <c r="L2663" s="1323"/>
      <c r="M2663" s="1323"/>
      <c r="N2663" s="1323"/>
      <c r="O2663" s="1323"/>
      <c r="P2663" s="1323"/>
      <c r="Q2663" s="1323"/>
      <c r="R2663" s="1304"/>
      <c r="S2663" s="1304"/>
      <c r="T2663" s="1304"/>
    </row>
    <row r="2664" spans="1:20">
      <c r="A2664" s="1303"/>
      <c r="B2664" s="1322" t="s">
        <v>7491</v>
      </c>
      <c r="C2664" s="1323" t="s">
        <v>7492</v>
      </c>
      <c r="D2664" s="1324">
        <f t="shared" si="276"/>
        <v>38005</v>
      </c>
      <c r="E2664" s="1323">
        <f t="shared" si="278"/>
        <v>7.1790000000000003</v>
      </c>
      <c r="F2664" s="1323">
        <f t="shared" si="277"/>
        <v>5.888732446626431</v>
      </c>
      <c r="G2664" s="1323">
        <f t="shared" si="279"/>
        <v>2004</v>
      </c>
      <c r="H2664" s="1323">
        <f t="shared" si="280"/>
        <v>1</v>
      </c>
      <c r="I2664" s="1323">
        <f t="shared" si="281"/>
        <v>19</v>
      </c>
      <c r="J2664" s="1323"/>
      <c r="K2664" s="1323"/>
      <c r="L2664" s="1323"/>
      <c r="M2664" s="1323"/>
      <c r="N2664" s="1323"/>
      <c r="O2664" s="1323"/>
      <c r="P2664" s="1323"/>
      <c r="Q2664" s="1323"/>
      <c r="R2664" s="1304"/>
      <c r="S2664" s="1304"/>
      <c r="T2664" s="1304"/>
    </row>
    <row r="2665" spans="1:20">
      <c r="A2665" s="1303"/>
      <c r="B2665" s="1322" t="s">
        <v>7493</v>
      </c>
      <c r="C2665" s="1323" t="s">
        <v>7494</v>
      </c>
      <c r="D2665" s="1324">
        <f t="shared" si="276"/>
        <v>38002</v>
      </c>
      <c r="E2665" s="1323">
        <f t="shared" si="278"/>
        <v>7.5197000000000003</v>
      </c>
      <c r="F2665" s="1323">
        <f t="shared" si="277"/>
        <v>5.8876033172231281</v>
      </c>
      <c r="G2665" s="1323">
        <f t="shared" si="279"/>
        <v>2004</v>
      </c>
      <c r="H2665" s="1323">
        <f t="shared" si="280"/>
        <v>1</v>
      </c>
      <c r="I2665" s="1323">
        <f t="shared" si="281"/>
        <v>16</v>
      </c>
      <c r="J2665" s="1323"/>
      <c r="K2665" s="1323"/>
      <c r="L2665" s="1323"/>
      <c r="M2665" s="1323"/>
      <c r="N2665" s="1323"/>
      <c r="O2665" s="1323"/>
      <c r="P2665" s="1323"/>
      <c r="Q2665" s="1323"/>
      <c r="R2665" s="1304"/>
      <c r="S2665" s="1304"/>
      <c r="T2665" s="1304"/>
    </row>
    <row r="2666" spans="1:20">
      <c r="A2666" s="1303"/>
      <c r="B2666" s="1322" t="s">
        <v>7495</v>
      </c>
      <c r="C2666" s="1323" t="s">
        <v>7496</v>
      </c>
      <c r="D2666" s="1324">
        <f t="shared" si="276"/>
        <v>38001</v>
      </c>
      <c r="E2666" s="1323">
        <f t="shared" si="278"/>
        <v>7.1778000000000004</v>
      </c>
      <c r="F2666" s="1323">
        <f t="shared" si="277"/>
        <v>5.8864744043236685</v>
      </c>
      <c r="G2666" s="1323">
        <f t="shared" si="279"/>
        <v>2004</v>
      </c>
      <c r="H2666" s="1323">
        <f t="shared" si="280"/>
        <v>1</v>
      </c>
      <c r="I2666" s="1323">
        <f t="shared" si="281"/>
        <v>15</v>
      </c>
      <c r="J2666" s="1323"/>
      <c r="K2666" s="1323"/>
      <c r="L2666" s="1323"/>
      <c r="M2666" s="1323"/>
      <c r="N2666" s="1323"/>
      <c r="O2666" s="1323"/>
      <c r="P2666" s="1323"/>
      <c r="Q2666" s="1323"/>
      <c r="R2666" s="1304"/>
      <c r="S2666" s="1304"/>
      <c r="T2666" s="1304"/>
    </row>
    <row r="2667" spans="1:20">
      <c r="A2667" s="1303"/>
      <c r="B2667" s="1322" t="s">
        <v>7497</v>
      </c>
      <c r="C2667" s="1323" t="s">
        <v>7498</v>
      </c>
      <c r="D2667" s="1324">
        <f t="shared" si="276"/>
        <v>38000</v>
      </c>
      <c r="E2667" s="1323">
        <f t="shared" si="278"/>
        <v>6.9374000000000002</v>
      </c>
      <c r="F2667" s="1323">
        <f t="shared" si="277"/>
        <v>5.8853457078865397</v>
      </c>
      <c r="G2667" s="1323">
        <f t="shared" si="279"/>
        <v>2004</v>
      </c>
      <c r="H2667" s="1323">
        <f t="shared" si="280"/>
        <v>1</v>
      </c>
      <c r="I2667" s="1323">
        <f t="shared" si="281"/>
        <v>14</v>
      </c>
      <c r="J2667" s="1323"/>
      <c r="K2667" s="1323"/>
      <c r="L2667" s="1323"/>
      <c r="M2667" s="1323"/>
      <c r="N2667" s="1323"/>
      <c r="O2667" s="1323"/>
      <c r="P2667" s="1323"/>
      <c r="Q2667" s="1323"/>
      <c r="R2667" s="1304"/>
      <c r="S2667" s="1304"/>
      <c r="T2667" s="1304"/>
    </row>
    <row r="2668" spans="1:20">
      <c r="A2668" s="1303"/>
      <c r="B2668" s="1322" t="s">
        <v>7499</v>
      </c>
      <c r="C2668" s="1323" t="s">
        <v>7500</v>
      </c>
      <c r="D2668" s="1324">
        <f t="shared" si="276"/>
        <v>37999</v>
      </c>
      <c r="E2668" s="1323">
        <f t="shared" si="278"/>
        <v>6.8570000000000002</v>
      </c>
      <c r="F2668" s="1323">
        <f t="shared" si="277"/>
        <v>5.8842172278702352</v>
      </c>
      <c r="G2668" s="1323">
        <f t="shared" si="279"/>
        <v>2004</v>
      </c>
      <c r="H2668" s="1323">
        <f t="shared" si="280"/>
        <v>1</v>
      </c>
      <c r="I2668" s="1323">
        <f t="shared" si="281"/>
        <v>13</v>
      </c>
      <c r="J2668" s="1323"/>
      <c r="K2668" s="1323"/>
      <c r="L2668" s="1323"/>
      <c r="M2668" s="1323"/>
      <c r="N2668" s="1323"/>
      <c r="O2668" s="1323"/>
      <c r="P2668" s="1323"/>
      <c r="Q2668" s="1323"/>
      <c r="R2668" s="1304"/>
      <c r="S2668" s="1304"/>
      <c r="T2668" s="1304"/>
    </row>
    <row r="2669" spans="1:20">
      <c r="A2669" s="1303"/>
      <c r="B2669" s="1322" t="s">
        <v>7501</v>
      </c>
      <c r="C2669" s="1323" t="s">
        <v>7502</v>
      </c>
      <c r="D2669" s="1324">
        <f t="shared" si="276"/>
        <v>37998</v>
      </c>
      <c r="E2669" s="1323">
        <f t="shared" si="278"/>
        <v>6.6111000000000004</v>
      </c>
      <c r="F2669" s="1323">
        <f t="shared" si="277"/>
        <v>5.8830889642332584</v>
      </c>
      <c r="G2669" s="1323">
        <f t="shared" si="279"/>
        <v>2004</v>
      </c>
      <c r="H2669" s="1323">
        <f t="shared" si="280"/>
        <v>1</v>
      </c>
      <c r="I2669" s="1323">
        <f t="shared" si="281"/>
        <v>12</v>
      </c>
      <c r="J2669" s="1323"/>
      <c r="K2669" s="1323"/>
      <c r="L2669" s="1323"/>
      <c r="M2669" s="1323"/>
      <c r="N2669" s="1323"/>
      <c r="O2669" s="1323"/>
      <c r="P2669" s="1323"/>
      <c r="Q2669" s="1323"/>
      <c r="R2669" s="1304"/>
      <c r="S2669" s="1304"/>
      <c r="T2669" s="1304"/>
    </row>
    <row r="2670" spans="1:20">
      <c r="A2670" s="1303"/>
      <c r="B2670" s="1322" t="s">
        <v>7503</v>
      </c>
      <c r="C2670" s="1323" t="s">
        <v>7504</v>
      </c>
      <c r="D2670" s="1324">
        <f t="shared" si="276"/>
        <v>37995</v>
      </c>
      <c r="E2670" s="1323">
        <f t="shared" si="278"/>
        <v>6.5922999999999998</v>
      </c>
      <c r="F2670" s="1323">
        <f t="shared" si="277"/>
        <v>5.88196091693412</v>
      </c>
      <c r="G2670" s="1323">
        <f t="shared" si="279"/>
        <v>2004</v>
      </c>
      <c r="H2670" s="1323">
        <f t="shared" si="280"/>
        <v>1</v>
      </c>
      <c r="I2670" s="1323">
        <f t="shared" si="281"/>
        <v>9</v>
      </c>
      <c r="J2670" s="1323"/>
      <c r="K2670" s="1323"/>
      <c r="L2670" s="1323"/>
      <c r="M2670" s="1323"/>
      <c r="N2670" s="1323"/>
      <c r="O2670" s="1323"/>
      <c r="P2670" s="1323"/>
      <c r="Q2670" s="1323"/>
      <c r="R2670" s="1304"/>
      <c r="S2670" s="1304"/>
      <c r="T2670" s="1304"/>
    </row>
    <row r="2671" spans="1:20">
      <c r="A2671" s="1303"/>
      <c r="B2671" s="1322" t="s">
        <v>7505</v>
      </c>
      <c r="C2671" s="1323" t="s">
        <v>7506</v>
      </c>
      <c r="D2671" s="1324">
        <f t="shared" si="276"/>
        <v>37994</v>
      </c>
      <c r="E2671" s="1323">
        <f t="shared" si="278"/>
        <v>6.5586000000000002</v>
      </c>
      <c r="F2671" s="1323">
        <f t="shared" si="277"/>
        <v>5.8808330859313385</v>
      </c>
      <c r="G2671" s="1323">
        <f t="shared" si="279"/>
        <v>2004</v>
      </c>
      <c r="H2671" s="1323">
        <f t="shared" si="280"/>
        <v>1</v>
      </c>
      <c r="I2671" s="1323">
        <f t="shared" si="281"/>
        <v>8</v>
      </c>
      <c r="J2671" s="1323"/>
      <c r="K2671" s="1323"/>
      <c r="L2671" s="1323"/>
      <c r="M2671" s="1323"/>
      <c r="N2671" s="1323"/>
      <c r="O2671" s="1323"/>
      <c r="P2671" s="1323"/>
      <c r="Q2671" s="1323"/>
      <c r="R2671" s="1304"/>
      <c r="S2671" s="1304"/>
      <c r="T2671" s="1304"/>
    </row>
    <row r="2672" spans="1:20">
      <c r="A2672" s="1303"/>
      <c r="B2672" s="1322" t="s">
        <v>7507</v>
      </c>
      <c r="C2672" s="1323" t="s">
        <v>7508</v>
      </c>
      <c r="D2672" s="1324">
        <f t="shared" si="276"/>
        <v>37993</v>
      </c>
      <c r="E2672" s="1323">
        <f t="shared" si="278"/>
        <v>6.5109000000000004</v>
      </c>
      <c r="F2672" s="1323">
        <f t="shared" si="277"/>
        <v>5.8797054711834402</v>
      </c>
      <c r="G2672" s="1323">
        <f t="shared" si="279"/>
        <v>2004</v>
      </c>
      <c r="H2672" s="1323">
        <f t="shared" si="280"/>
        <v>1</v>
      </c>
      <c r="I2672" s="1323">
        <f t="shared" si="281"/>
        <v>7</v>
      </c>
      <c r="J2672" s="1323"/>
      <c r="K2672" s="1323"/>
      <c r="L2672" s="1323"/>
      <c r="M2672" s="1323"/>
      <c r="N2672" s="1323"/>
      <c r="O2672" s="1323"/>
      <c r="P2672" s="1323"/>
      <c r="Q2672" s="1323"/>
      <c r="R2672" s="1304"/>
      <c r="S2672" s="1304"/>
      <c r="T2672" s="1304"/>
    </row>
    <row r="2673" spans="1:20">
      <c r="A2673" s="1303"/>
      <c r="B2673" s="1322" t="s">
        <v>7509</v>
      </c>
      <c r="C2673" s="1323" t="s">
        <v>7320</v>
      </c>
      <c r="D2673" s="1324">
        <f t="shared" si="276"/>
        <v>37992</v>
      </c>
      <c r="E2673" s="1323">
        <f t="shared" si="278"/>
        <v>6.2827000000000002</v>
      </c>
      <c r="F2673" s="1323">
        <f t="shared" si="277"/>
        <v>5.8785780726489598</v>
      </c>
      <c r="G2673" s="1323">
        <f t="shared" si="279"/>
        <v>2004</v>
      </c>
      <c r="H2673" s="1323">
        <f t="shared" si="280"/>
        <v>1</v>
      </c>
      <c r="I2673" s="1323">
        <f t="shared" si="281"/>
        <v>6</v>
      </c>
      <c r="J2673" s="1323"/>
      <c r="K2673" s="1323"/>
      <c r="L2673" s="1323"/>
      <c r="M2673" s="1323"/>
      <c r="N2673" s="1323"/>
      <c r="O2673" s="1323"/>
      <c r="P2673" s="1323"/>
      <c r="Q2673" s="1323"/>
      <c r="R2673" s="1304"/>
      <c r="S2673" s="1304"/>
      <c r="T2673" s="1304"/>
    </row>
    <row r="2674" spans="1:20">
      <c r="A2674" s="1303"/>
      <c r="B2674" s="1322" t="s">
        <v>7510</v>
      </c>
      <c r="C2674" s="1323" t="s">
        <v>7511</v>
      </c>
      <c r="D2674" s="1324">
        <f t="shared" si="276"/>
        <v>37991</v>
      </c>
      <c r="E2674" s="1323">
        <f t="shared" si="278"/>
        <v>6.4316000000000004</v>
      </c>
      <c r="F2674" s="1323">
        <f t="shared" si="277"/>
        <v>5.8774508902864389</v>
      </c>
      <c r="G2674" s="1323">
        <f t="shared" si="279"/>
        <v>2004</v>
      </c>
      <c r="H2674" s="1323">
        <f t="shared" si="280"/>
        <v>1</v>
      </c>
      <c r="I2674" s="1323">
        <f t="shared" si="281"/>
        <v>5</v>
      </c>
      <c r="J2674" s="1323"/>
      <c r="K2674" s="1323"/>
      <c r="L2674" s="1323"/>
      <c r="M2674" s="1323"/>
      <c r="N2674" s="1323"/>
      <c r="O2674" s="1323"/>
      <c r="P2674" s="1323"/>
      <c r="Q2674" s="1323"/>
      <c r="R2674" s="1304"/>
      <c r="S2674" s="1304"/>
      <c r="T2674" s="1304"/>
    </row>
    <row r="2675" spans="1:20">
      <c r="A2675" s="1303"/>
      <c r="B2675" s="1322" t="s">
        <v>7512</v>
      </c>
      <c r="C2675" s="1323" t="s">
        <v>7513</v>
      </c>
      <c r="D2675" s="1324">
        <f t="shared" si="276"/>
        <v>37988</v>
      </c>
      <c r="E2675" s="1323">
        <f t="shared" si="278"/>
        <v>6.6356999999999999</v>
      </c>
      <c r="F2675" s="1323">
        <f t="shared" si="277"/>
        <v>5.8763239240544278</v>
      </c>
      <c r="G2675" s="1323">
        <f t="shared" si="279"/>
        <v>2004</v>
      </c>
      <c r="H2675" s="1323">
        <f t="shared" si="280"/>
        <v>1</v>
      </c>
      <c r="I2675" s="1323">
        <f t="shared" si="281"/>
        <v>2</v>
      </c>
      <c r="J2675" s="1323"/>
      <c r="K2675" s="1323"/>
      <c r="L2675" s="1323"/>
      <c r="M2675" s="1323"/>
      <c r="N2675" s="1323"/>
      <c r="O2675" s="1323"/>
      <c r="P2675" s="1323"/>
      <c r="Q2675" s="1323"/>
      <c r="R2675" s="1304"/>
      <c r="S2675" s="1304"/>
      <c r="T2675" s="1304"/>
    </row>
    <row r="2676" spans="1:20">
      <c r="A2676" s="1303"/>
      <c r="B2676" s="1322" t="s">
        <v>7514</v>
      </c>
      <c r="C2676" s="1323" t="s">
        <v>7515</v>
      </c>
      <c r="D2676" s="1324">
        <f t="shared" si="276"/>
        <v>37986</v>
      </c>
      <c r="E2676" s="1323">
        <f t="shared" si="278"/>
        <v>6.6558000000000002</v>
      </c>
      <c r="F2676" s="1323">
        <f t="shared" si="277"/>
        <v>5.8751971739114861</v>
      </c>
      <c r="G2676" s="1323">
        <f t="shared" si="279"/>
        <v>2003</v>
      </c>
      <c r="H2676" s="1323">
        <f t="shared" si="280"/>
        <v>12</v>
      </c>
      <c r="I2676" s="1323">
        <f t="shared" si="281"/>
        <v>31</v>
      </c>
      <c r="J2676" s="1323"/>
      <c r="K2676" s="1323"/>
      <c r="L2676" s="1323"/>
      <c r="M2676" s="1323"/>
      <c r="N2676" s="1323"/>
      <c r="O2676" s="1323"/>
      <c r="P2676" s="1323"/>
      <c r="Q2676" s="1323"/>
      <c r="R2676" s="1304"/>
      <c r="S2676" s="1304"/>
      <c r="T2676" s="1304"/>
    </row>
    <row r="2677" spans="1:20">
      <c r="A2677" s="1303"/>
      <c r="B2677" s="1322" t="s">
        <v>7516</v>
      </c>
      <c r="C2677" s="1323" t="s">
        <v>4097</v>
      </c>
      <c r="D2677" s="1324">
        <f t="shared" si="276"/>
        <v>37985</v>
      </c>
      <c r="E2677" s="1323">
        <f t="shared" si="278"/>
        <v>6.7039999999999997</v>
      </c>
      <c r="F2677" s="1323">
        <f t="shared" si="277"/>
        <v>5.8740706398161784</v>
      </c>
      <c r="G2677" s="1323">
        <f t="shared" si="279"/>
        <v>2003</v>
      </c>
      <c r="H2677" s="1323">
        <f t="shared" si="280"/>
        <v>12</v>
      </c>
      <c r="I2677" s="1323">
        <f t="shared" si="281"/>
        <v>30</v>
      </c>
      <c r="J2677" s="1323"/>
      <c r="K2677" s="1323"/>
      <c r="L2677" s="1323"/>
      <c r="M2677" s="1323"/>
      <c r="N2677" s="1323"/>
      <c r="O2677" s="1323"/>
      <c r="P2677" s="1323"/>
      <c r="Q2677" s="1323"/>
      <c r="R2677" s="1304"/>
      <c r="S2677" s="1304"/>
      <c r="T2677" s="1304"/>
    </row>
    <row r="2678" spans="1:20">
      <c r="A2678" s="1303"/>
      <c r="B2678" s="1322" t="s">
        <v>7517</v>
      </c>
      <c r="C2678" s="1323" t="s">
        <v>7518</v>
      </c>
      <c r="D2678" s="1324">
        <f t="shared" si="276"/>
        <v>37984</v>
      </c>
      <c r="E2678" s="1323">
        <f t="shared" si="278"/>
        <v>6.7473999999999998</v>
      </c>
      <c r="F2678" s="1323">
        <f t="shared" si="277"/>
        <v>5.87294432172708</v>
      </c>
      <c r="G2678" s="1323">
        <f t="shared" si="279"/>
        <v>2003</v>
      </c>
      <c r="H2678" s="1323">
        <f t="shared" si="280"/>
        <v>12</v>
      </c>
      <c r="I2678" s="1323">
        <f t="shared" si="281"/>
        <v>29</v>
      </c>
      <c r="J2678" s="1323"/>
      <c r="K2678" s="1323"/>
      <c r="L2678" s="1323"/>
      <c r="M2678" s="1323"/>
      <c r="N2678" s="1323"/>
      <c r="O2678" s="1323"/>
      <c r="P2678" s="1323"/>
      <c r="Q2678" s="1323"/>
      <c r="R2678" s="1304"/>
      <c r="S2678" s="1304"/>
      <c r="T2678" s="1304"/>
    </row>
    <row r="2679" spans="1:20">
      <c r="A2679" s="1303"/>
      <c r="B2679" s="1322" t="s">
        <v>7519</v>
      </c>
      <c r="C2679" s="1323" t="s">
        <v>7520</v>
      </c>
      <c r="D2679" s="1324">
        <f t="shared" si="276"/>
        <v>37979</v>
      </c>
      <c r="E2679" s="1323">
        <f t="shared" si="278"/>
        <v>6.9009</v>
      </c>
      <c r="F2679" s="1323">
        <f t="shared" si="277"/>
        <v>5.8718182196027726</v>
      </c>
      <c r="G2679" s="1323">
        <f t="shared" si="279"/>
        <v>2003</v>
      </c>
      <c r="H2679" s="1323">
        <f t="shared" si="280"/>
        <v>12</v>
      </c>
      <c r="I2679" s="1323">
        <f t="shared" si="281"/>
        <v>24</v>
      </c>
      <c r="J2679" s="1323"/>
      <c r="K2679" s="1323"/>
      <c r="L2679" s="1323"/>
      <c r="M2679" s="1323"/>
      <c r="N2679" s="1323"/>
      <c r="O2679" s="1323"/>
      <c r="P2679" s="1323"/>
      <c r="Q2679" s="1323"/>
      <c r="R2679" s="1304"/>
      <c r="S2679" s="1304"/>
      <c r="T2679" s="1304"/>
    </row>
    <row r="2680" spans="1:20">
      <c r="A2680" s="1303"/>
      <c r="B2680" s="1322" t="s">
        <v>7521</v>
      </c>
      <c r="C2680" s="1323" t="s">
        <v>7522</v>
      </c>
      <c r="D2680" s="1324">
        <f t="shared" si="276"/>
        <v>37978</v>
      </c>
      <c r="E2680" s="1323">
        <f t="shared" si="278"/>
        <v>6.9207999999999998</v>
      </c>
      <c r="F2680" s="1323">
        <f t="shared" si="277"/>
        <v>5.8706923334018457</v>
      </c>
      <c r="G2680" s="1323">
        <f t="shared" si="279"/>
        <v>2003</v>
      </c>
      <c r="H2680" s="1323">
        <f t="shared" si="280"/>
        <v>12</v>
      </c>
      <c r="I2680" s="1323">
        <f t="shared" si="281"/>
        <v>23</v>
      </c>
      <c r="J2680" s="1323"/>
      <c r="K2680" s="1323"/>
      <c r="L2680" s="1323"/>
      <c r="M2680" s="1323"/>
      <c r="N2680" s="1323"/>
      <c r="O2680" s="1323"/>
      <c r="P2680" s="1323"/>
      <c r="Q2680" s="1323"/>
      <c r="R2680" s="1304"/>
      <c r="S2680" s="1304"/>
      <c r="T2680" s="1304"/>
    </row>
    <row r="2681" spans="1:20">
      <c r="A2681" s="1303"/>
      <c r="B2681" s="1322" t="s">
        <v>7523</v>
      </c>
      <c r="C2681" s="1323" t="s">
        <v>7524</v>
      </c>
      <c r="D2681" s="1324">
        <f t="shared" si="276"/>
        <v>37977</v>
      </c>
      <c r="E2681" s="1323">
        <f t="shared" si="278"/>
        <v>6.9362000000000004</v>
      </c>
      <c r="F2681" s="1323">
        <f t="shared" si="277"/>
        <v>5.8695666630828978</v>
      </c>
      <c r="G2681" s="1323">
        <f t="shared" si="279"/>
        <v>2003</v>
      </c>
      <c r="H2681" s="1323">
        <f t="shared" si="280"/>
        <v>12</v>
      </c>
      <c r="I2681" s="1323">
        <f t="shared" si="281"/>
        <v>22</v>
      </c>
      <c r="J2681" s="1323"/>
      <c r="K2681" s="1323"/>
      <c r="L2681" s="1323"/>
      <c r="M2681" s="1323"/>
      <c r="N2681" s="1323"/>
      <c r="O2681" s="1323"/>
      <c r="P2681" s="1323"/>
      <c r="Q2681" s="1323"/>
      <c r="R2681" s="1304"/>
      <c r="S2681" s="1304"/>
      <c r="T2681" s="1304"/>
    </row>
    <row r="2682" spans="1:20">
      <c r="A2682" s="1303"/>
      <c r="B2682" s="1322" t="s">
        <v>7525</v>
      </c>
      <c r="C2682" s="1323" t="s">
        <v>7526</v>
      </c>
      <c r="D2682" s="1324">
        <f t="shared" si="276"/>
        <v>37974</v>
      </c>
      <c r="E2682" s="1323">
        <f t="shared" si="278"/>
        <v>6.6414999999999997</v>
      </c>
      <c r="F2682" s="1323">
        <f t="shared" si="277"/>
        <v>5.8684412086045352</v>
      </c>
      <c r="G2682" s="1323">
        <f t="shared" si="279"/>
        <v>2003</v>
      </c>
      <c r="H2682" s="1323">
        <f t="shared" si="280"/>
        <v>12</v>
      </c>
      <c r="I2682" s="1323">
        <f t="shared" si="281"/>
        <v>19</v>
      </c>
      <c r="J2682" s="1323"/>
      <c r="K2682" s="1323"/>
      <c r="L2682" s="1323"/>
      <c r="M2682" s="1323"/>
      <c r="N2682" s="1323"/>
      <c r="O2682" s="1323"/>
      <c r="P2682" s="1323"/>
      <c r="Q2682" s="1323"/>
      <c r="R2682" s="1304"/>
      <c r="S2682" s="1304"/>
      <c r="T2682" s="1304"/>
    </row>
    <row r="2683" spans="1:20">
      <c r="A2683" s="1303"/>
      <c r="B2683" s="1322" t="s">
        <v>7527</v>
      </c>
      <c r="C2683" s="1323" t="s">
        <v>7528</v>
      </c>
      <c r="D2683" s="1324">
        <f t="shared" si="276"/>
        <v>37973</v>
      </c>
      <c r="E2683" s="1323">
        <f t="shared" si="278"/>
        <v>6.5355999999999996</v>
      </c>
      <c r="F2683" s="1323">
        <f t="shared" si="277"/>
        <v>5.8673159699253716</v>
      </c>
      <c r="G2683" s="1323">
        <f t="shared" si="279"/>
        <v>2003</v>
      </c>
      <c r="H2683" s="1323">
        <f t="shared" si="280"/>
        <v>12</v>
      </c>
      <c r="I2683" s="1323">
        <f t="shared" si="281"/>
        <v>18</v>
      </c>
      <c r="J2683" s="1323"/>
      <c r="K2683" s="1323"/>
      <c r="L2683" s="1323"/>
      <c r="M2683" s="1323"/>
      <c r="N2683" s="1323"/>
      <c r="O2683" s="1323"/>
      <c r="P2683" s="1323"/>
      <c r="Q2683" s="1323"/>
      <c r="R2683" s="1304"/>
      <c r="S2683" s="1304"/>
      <c r="T2683" s="1304"/>
    </row>
    <row r="2684" spans="1:20">
      <c r="A2684" s="1303"/>
      <c r="B2684" s="1322" t="s">
        <v>7529</v>
      </c>
      <c r="C2684" s="1323" t="s">
        <v>7530</v>
      </c>
      <c r="D2684" s="1324">
        <f t="shared" si="276"/>
        <v>37972</v>
      </c>
      <c r="E2684" s="1323">
        <f t="shared" si="278"/>
        <v>6.3864000000000001</v>
      </c>
      <c r="F2684" s="1323">
        <f t="shared" si="277"/>
        <v>5.8661909470040285</v>
      </c>
      <c r="G2684" s="1323">
        <f t="shared" si="279"/>
        <v>2003</v>
      </c>
      <c r="H2684" s="1323">
        <f t="shared" si="280"/>
        <v>12</v>
      </c>
      <c r="I2684" s="1323">
        <f t="shared" si="281"/>
        <v>17</v>
      </c>
      <c r="J2684" s="1323"/>
      <c r="K2684" s="1323"/>
      <c r="L2684" s="1323"/>
      <c r="M2684" s="1323"/>
      <c r="N2684" s="1323"/>
      <c r="O2684" s="1323"/>
      <c r="P2684" s="1323"/>
      <c r="Q2684" s="1323"/>
      <c r="R2684" s="1304"/>
      <c r="S2684" s="1304"/>
      <c r="T2684" s="1304"/>
    </row>
    <row r="2685" spans="1:20">
      <c r="A2685" s="1303"/>
      <c r="B2685" s="1322" t="s">
        <v>7531</v>
      </c>
      <c r="C2685" s="1323" t="s">
        <v>7532</v>
      </c>
      <c r="D2685" s="1324">
        <f t="shared" si="276"/>
        <v>37970</v>
      </c>
      <c r="E2685" s="1323">
        <f t="shared" si="278"/>
        <v>6.3968999999999996</v>
      </c>
      <c r="F2685" s="1323">
        <f t="shared" si="277"/>
        <v>5.8650661397991355</v>
      </c>
      <c r="G2685" s="1323">
        <f t="shared" si="279"/>
        <v>2003</v>
      </c>
      <c r="H2685" s="1323">
        <f t="shared" si="280"/>
        <v>12</v>
      </c>
      <c r="I2685" s="1323">
        <f t="shared" si="281"/>
        <v>15</v>
      </c>
      <c r="J2685" s="1323"/>
      <c r="K2685" s="1323"/>
      <c r="L2685" s="1323"/>
      <c r="M2685" s="1323"/>
      <c r="N2685" s="1323"/>
      <c r="O2685" s="1323"/>
      <c r="P2685" s="1323"/>
      <c r="Q2685" s="1323"/>
      <c r="R2685" s="1304"/>
      <c r="S2685" s="1304"/>
      <c r="T2685" s="1304"/>
    </row>
    <row r="2686" spans="1:20">
      <c r="A2686" s="1303"/>
      <c r="B2686" s="1322" t="s">
        <v>7533</v>
      </c>
      <c r="C2686" s="1323" t="s">
        <v>7534</v>
      </c>
      <c r="D2686" s="1324">
        <f t="shared" si="276"/>
        <v>37967</v>
      </c>
      <c r="E2686" s="1323">
        <f t="shared" si="278"/>
        <v>6.3989000000000003</v>
      </c>
      <c r="F2686" s="1323">
        <f t="shared" si="277"/>
        <v>5.86394154826933</v>
      </c>
      <c r="G2686" s="1323">
        <f t="shared" si="279"/>
        <v>2003</v>
      </c>
      <c r="H2686" s="1323">
        <f t="shared" si="280"/>
        <v>12</v>
      </c>
      <c r="I2686" s="1323">
        <f t="shared" si="281"/>
        <v>12</v>
      </c>
      <c r="J2686" s="1323"/>
      <c r="K2686" s="1323"/>
      <c r="L2686" s="1323"/>
      <c r="M2686" s="1323"/>
      <c r="N2686" s="1323"/>
      <c r="O2686" s="1323"/>
      <c r="P2686" s="1323"/>
      <c r="Q2686" s="1323"/>
      <c r="R2686" s="1304"/>
      <c r="S2686" s="1304"/>
      <c r="T2686" s="1304"/>
    </row>
    <row r="2687" spans="1:20">
      <c r="A2687" s="1303"/>
      <c r="B2687" s="1322" t="s">
        <v>7535</v>
      </c>
      <c r="C2687" s="1323" t="s">
        <v>7536</v>
      </c>
      <c r="D2687" s="1324">
        <f t="shared" si="276"/>
        <v>37966</v>
      </c>
      <c r="E2687" s="1323">
        <f t="shared" si="278"/>
        <v>6.4352999999999998</v>
      </c>
      <c r="F2687" s="1323">
        <f t="shared" si="277"/>
        <v>5.8628171723732585</v>
      </c>
      <c r="G2687" s="1323">
        <f t="shared" si="279"/>
        <v>2003</v>
      </c>
      <c r="H2687" s="1323">
        <f t="shared" si="280"/>
        <v>12</v>
      </c>
      <c r="I2687" s="1323">
        <f t="shared" si="281"/>
        <v>11</v>
      </c>
      <c r="J2687" s="1323"/>
      <c r="K2687" s="1323"/>
      <c r="L2687" s="1323"/>
      <c r="M2687" s="1323"/>
      <c r="N2687" s="1323"/>
      <c r="O2687" s="1323"/>
      <c r="P2687" s="1323"/>
      <c r="Q2687" s="1323"/>
      <c r="R2687" s="1304"/>
      <c r="S2687" s="1304"/>
      <c r="T2687" s="1304"/>
    </row>
    <row r="2688" spans="1:20">
      <c r="A2688" s="1303"/>
      <c r="B2688" s="1322" t="s">
        <v>7537</v>
      </c>
      <c r="C2688" s="1323" t="s">
        <v>7538</v>
      </c>
      <c r="D2688" s="1324">
        <f t="shared" si="276"/>
        <v>37965</v>
      </c>
      <c r="E2688" s="1323">
        <f t="shared" si="278"/>
        <v>6.4358000000000004</v>
      </c>
      <c r="F2688" s="1323">
        <f t="shared" si="277"/>
        <v>5.8616930120695736</v>
      </c>
      <c r="G2688" s="1323">
        <f t="shared" si="279"/>
        <v>2003</v>
      </c>
      <c r="H2688" s="1323">
        <f t="shared" si="280"/>
        <v>12</v>
      </c>
      <c r="I2688" s="1323">
        <f t="shared" si="281"/>
        <v>10</v>
      </c>
      <c r="J2688" s="1323"/>
      <c r="K2688" s="1323"/>
      <c r="L2688" s="1323"/>
      <c r="M2688" s="1323"/>
      <c r="N2688" s="1323"/>
      <c r="O2688" s="1323"/>
      <c r="P2688" s="1323"/>
      <c r="Q2688" s="1323"/>
      <c r="R2688" s="1304"/>
      <c r="S2688" s="1304"/>
      <c r="T2688" s="1304"/>
    </row>
    <row r="2689" spans="1:20">
      <c r="A2689" s="1303"/>
      <c r="B2689" s="1322" t="s">
        <v>7539</v>
      </c>
      <c r="C2689" s="1323" t="s">
        <v>7540</v>
      </c>
      <c r="D2689" s="1324">
        <f t="shared" si="276"/>
        <v>37964</v>
      </c>
      <c r="E2689" s="1323">
        <f t="shared" si="278"/>
        <v>6.4139999999999997</v>
      </c>
      <c r="F2689" s="1323">
        <f t="shared" si="277"/>
        <v>5.8605690673169377</v>
      </c>
      <c r="G2689" s="1323">
        <f t="shared" si="279"/>
        <v>2003</v>
      </c>
      <c r="H2689" s="1323">
        <f t="shared" si="280"/>
        <v>12</v>
      </c>
      <c r="I2689" s="1323">
        <f t="shared" si="281"/>
        <v>9</v>
      </c>
      <c r="J2689" s="1323"/>
      <c r="K2689" s="1323"/>
      <c r="L2689" s="1323"/>
      <c r="M2689" s="1323"/>
      <c r="N2689" s="1323"/>
      <c r="O2689" s="1323"/>
      <c r="P2689" s="1323"/>
      <c r="Q2689" s="1323"/>
      <c r="R2689" s="1304"/>
      <c r="S2689" s="1304"/>
      <c r="T2689" s="1304"/>
    </row>
    <row r="2690" spans="1:20">
      <c r="A2690" s="1303"/>
      <c r="B2690" s="1322" t="s">
        <v>7541</v>
      </c>
      <c r="C2690" s="1323" t="s">
        <v>7542</v>
      </c>
      <c r="D2690" s="1324">
        <f t="shared" si="276"/>
        <v>37963</v>
      </c>
      <c r="E2690" s="1323">
        <f t="shared" si="278"/>
        <v>6.2786999999999997</v>
      </c>
      <c r="F2690" s="1323">
        <f t="shared" si="277"/>
        <v>5.8594453380740195</v>
      </c>
      <c r="G2690" s="1323">
        <f t="shared" si="279"/>
        <v>2003</v>
      </c>
      <c r="H2690" s="1323">
        <f t="shared" si="280"/>
        <v>12</v>
      </c>
      <c r="I2690" s="1323">
        <f t="shared" si="281"/>
        <v>8</v>
      </c>
      <c r="J2690" s="1323"/>
      <c r="K2690" s="1323"/>
      <c r="L2690" s="1323"/>
      <c r="M2690" s="1323"/>
      <c r="N2690" s="1323"/>
      <c r="O2690" s="1323"/>
      <c r="P2690" s="1323"/>
      <c r="Q2690" s="1323"/>
      <c r="R2690" s="1304"/>
      <c r="S2690" s="1304"/>
      <c r="T2690" s="1304"/>
    </row>
    <row r="2691" spans="1:20">
      <c r="A2691" s="1303"/>
      <c r="B2691" s="1322" t="s">
        <v>7543</v>
      </c>
      <c r="C2691" s="1323" t="s">
        <v>7544</v>
      </c>
      <c r="D2691" s="1324">
        <f t="shared" si="276"/>
        <v>37960</v>
      </c>
      <c r="E2691" s="1323">
        <f t="shared" si="278"/>
        <v>6.3154000000000003</v>
      </c>
      <c r="F2691" s="1323">
        <f t="shared" si="277"/>
        <v>5.8583218242994963</v>
      </c>
      <c r="G2691" s="1323">
        <f t="shared" si="279"/>
        <v>2003</v>
      </c>
      <c r="H2691" s="1323">
        <f t="shared" si="280"/>
        <v>12</v>
      </c>
      <c r="I2691" s="1323">
        <f t="shared" si="281"/>
        <v>5</v>
      </c>
      <c r="J2691" s="1323"/>
      <c r="K2691" s="1323"/>
      <c r="L2691" s="1323"/>
      <c r="M2691" s="1323"/>
      <c r="N2691" s="1323"/>
      <c r="O2691" s="1323"/>
      <c r="P2691" s="1323"/>
      <c r="Q2691" s="1323"/>
      <c r="R2691" s="1304"/>
      <c r="S2691" s="1304"/>
      <c r="T2691" s="1304"/>
    </row>
    <row r="2692" spans="1:20">
      <c r="A2692" s="1303"/>
      <c r="B2692" s="1322" t="s">
        <v>7545</v>
      </c>
      <c r="C2692" s="1323" t="s">
        <v>7546</v>
      </c>
      <c r="D2692" s="1324">
        <f t="shared" si="276"/>
        <v>37959</v>
      </c>
      <c r="E2692" s="1323">
        <f t="shared" si="278"/>
        <v>6.2576999999999998</v>
      </c>
      <c r="F2692" s="1323">
        <f t="shared" si="277"/>
        <v>5.8571985259520529</v>
      </c>
      <c r="G2692" s="1323">
        <f t="shared" si="279"/>
        <v>2003</v>
      </c>
      <c r="H2692" s="1323">
        <f t="shared" si="280"/>
        <v>12</v>
      </c>
      <c r="I2692" s="1323">
        <f t="shared" si="281"/>
        <v>4</v>
      </c>
      <c r="J2692" s="1323"/>
      <c r="K2692" s="1323"/>
      <c r="L2692" s="1323"/>
      <c r="M2692" s="1323"/>
      <c r="N2692" s="1323"/>
      <c r="O2692" s="1323"/>
      <c r="P2692" s="1323"/>
      <c r="Q2692" s="1323"/>
      <c r="R2692" s="1304"/>
      <c r="S2692" s="1304"/>
      <c r="T2692" s="1304"/>
    </row>
    <row r="2693" spans="1:20">
      <c r="A2693" s="1303"/>
      <c r="B2693" s="1322" t="s">
        <v>7547</v>
      </c>
      <c r="C2693" s="1323" t="s">
        <v>7548</v>
      </c>
      <c r="D2693" s="1324">
        <f t="shared" si="276"/>
        <v>37958</v>
      </c>
      <c r="E2693" s="1323">
        <f t="shared" si="278"/>
        <v>6.3287000000000004</v>
      </c>
      <c r="F2693" s="1323">
        <f t="shared" si="277"/>
        <v>5.8560754429903836</v>
      </c>
      <c r="G2693" s="1323">
        <f t="shared" si="279"/>
        <v>2003</v>
      </c>
      <c r="H2693" s="1323">
        <f t="shared" si="280"/>
        <v>12</v>
      </c>
      <c r="I2693" s="1323">
        <f t="shared" si="281"/>
        <v>3</v>
      </c>
      <c r="J2693" s="1323"/>
      <c r="K2693" s="1323"/>
      <c r="L2693" s="1323"/>
      <c r="M2693" s="1323"/>
      <c r="N2693" s="1323"/>
      <c r="O2693" s="1323"/>
      <c r="P2693" s="1323"/>
      <c r="Q2693" s="1323"/>
      <c r="R2693" s="1304"/>
      <c r="S2693" s="1304"/>
      <c r="T2693" s="1304"/>
    </row>
    <row r="2694" spans="1:20">
      <c r="A2694" s="1303"/>
      <c r="B2694" s="1322" t="s">
        <v>7549</v>
      </c>
      <c r="C2694" s="1323" t="s">
        <v>7550</v>
      </c>
      <c r="D2694" s="1324">
        <f t="shared" si="276"/>
        <v>37957</v>
      </c>
      <c r="E2694" s="1323">
        <f t="shared" si="278"/>
        <v>6.3719999999999999</v>
      </c>
      <c r="F2694" s="1323">
        <f t="shared" si="277"/>
        <v>5.8549525753731881</v>
      </c>
      <c r="G2694" s="1323">
        <f t="shared" si="279"/>
        <v>2003</v>
      </c>
      <c r="H2694" s="1323">
        <f t="shared" si="280"/>
        <v>12</v>
      </c>
      <c r="I2694" s="1323">
        <f t="shared" si="281"/>
        <v>2</v>
      </c>
      <c r="J2694" s="1323"/>
      <c r="K2694" s="1323"/>
      <c r="L2694" s="1323"/>
      <c r="M2694" s="1323"/>
      <c r="N2694" s="1323"/>
      <c r="O2694" s="1323"/>
      <c r="P2694" s="1323"/>
      <c r="Q2694" s="1323"/>
      <c r="R2694" s="1304"/>
      <c r="S2694" s="1304"/>
      <c r="T2694" s="1304"/>
    </row>
    <row r="2695" spans="1:20">
      <c r="A2695" s="1303"/>
      <c r="B2695" s="1322" t="s">
        <v>7551</v>
      </c>
      <c r="C2695" s="1323" t="s">
        <v>7552</v>
      </c>
      <c r="D2695" s="1324">
        <f t="shared" si="276"/>
        <v>37956</v>
      </c>
      <c r="E2695" s="1323">
        <f t="shared" si="278"/>
        <v>6.3932000000000002</v>
      </c>
      <c r="F2695" s="1323">
        <f t="shared" si="277"/>
        <v>5.8538299230591768</v>
      </c>
      <c r="G2695" s="1323">
        <f t="shared" si="279"/>
        <v>2003</v>
      </c>
      <c r="H2695" s="1323">
        <f t="shared" si="280"/>
        <v>12</v>
      </c>
      <c r="I2695" s="1323">
        <f t="shared" si="281"/>
        <v>1</v>
      </c>
      <c r="J2695" s="1323"/>
      <c r="K2695" s="1323"/>
      <c r="L2695" s="1323"/>
      <c r="M2695" s="1323"/>
      <c r="N2695" s="1323"/>
      <c r="O2695" s="1323"/>
      <c r="P2695" s="1323"/>
      <c r="Q2695" s="1323"/>
      <c r="R2695" s="1304"/>
      <c r="S2695" s="1304"/>
      <c r="T2695" s="1304"/>
    </row>
    <row r="2696" spans="1:20">
      <c r="A2696" s="1303"/>
      <c r="B2696" s="1322" t="s">
        <v>7553</v>
      </c>
      <c r="C2696" s="1323" t="s">
        <v>7554</v>
      </c>
      <c r="D2696" s="1324">
        <f t="shared" si="276"/>
        <v>37953</v>
      </c>
      <c r="E2696" s="1323">
        <f t="shared" si="278"/>
        <v>6.4048999999999996</v>
      </c>
      <c r="F2696" s="1323">
        <f t="shared" si="277"/>
        <v>5.8527074860070654</v>
      </c>
      <c r="G2696" s="1323">
        <f t="shared" si="279"/>
        <v>2003</v>
      </c>
      <c r="H2696" s="1323">
        <f t="shared" si="280"/>
        <v>11</v>
      </c>
      <c r="I2696" s="1323">
        <f t="shared" si="281"/>
        <v>28</v>
      </c>
      <c r="J2696" s="1323"/>
      <c r="K2696" s="1323"/>
      <c r="L2696" s="1323"/>
      <c r="M2696" s="1323"/>
      <c r="N2696" s="1323"/>
      <c r="O2696" s="1323"/>
      <c r="P2696" s="1323"/>
      <c r="Q2696" s="1323"/>
      <c r="R2696" s="1304"/>
      <c r="S2696" s="1304"/>
      <c r="T2696" s="1304"/>
    </row>
    <row r="2697" spans="1:20">
      <c r="A2697" s="1303"/>
      <c r="B2697" s="1322" t="s">
        <v>7555</v>
      </c>
      <c r="C2697" s="1323" t="s">
        <v>7556</v>
      </c>
      <c r="D2697" s="1324">
        <f t="shared" ref="D2697:D2760" si="282">DATE(G2697,H2697,I2697)</f>
        <v>37952</v>
      </c>
      <c r="E2697" s="1323">
        <f t="shared" si="278"/>
        <v>6.4078999999999997</v>
      </c>
      <c r="F2697" s="1323">
        <f t="shared" ref="F2697:F2760" si="283">F2698*(1+$F$7/365)</f>
        <v>5.8515852641755792</v>
      </c>
      <c r="G2697" s="1323">
        <f t="shared" si="279"/>
        <v>2003</v>
      </c>
      <c r="H2697" s="1323">
        <f t="shared" si="280"/>
        <v>11</v>
      </c>
      <c r="I2697" s="1323">
        <f t="shared" si="281"/>
        <v>27</v>
      </c>
      <c r="J2697" s="1323"/>
      <c r="K2697" s="1323"/>
      <c r="L2697" s="1323"/>
      <c r="M2697" s="1323"/>
      <c r="N2697" s="1323"/>
      <c r="O2697" s="1323"/>
      <c r="P2697" s="1323"/>
      <c r="Q2697" s="1323"/>
      <c r="R2697" s="1304"/>
      <c r="S2697" s="1304"/>
      <c r="T2697" s="1304"/>
    </row>
    <row r="2698" spans="1:20">
      <c r="A2698" s="1303"/>
      <c r="B2698" s="1322" t="s">
        <v>7557</v>
      </c>
      <c r="C2698" s="1323" t="s">
        <v>7558</v>
      </c>
      <c r="D2698" s="1324">
        <f t="shared" si="282"/>
        <v>37951</v>
      </c>
      <c r="E2698" s="1323">
        <f t="shared" si="278"/>
        <v>6.4828999999999999</v>
      </c>
      <c r="F2698" s="1323">
        <f t="shared" si="283"/>
        <v>5.850463257523451</v>
      </c>
      <c r="G2698" s="1323">
        <f t="shared" si="279"/>
        <v>2003</v>
      </c>
      <c r="H2698" s="1323">
        <f t="shared" si="280"/>
        <v>11</v>
      </c>
      <c r="I2698" s="1323">
        <f t="shared" si="281"/>
        <v>26</v>
      </c>
      <c r="J2698" s="1323"/>
      <c r="K2698" s="1323"/>
      <c r="L2698" s="1323"/>
      <c r="M2698" s="1323"/>
      <c r="N2698" s="1323"/>
      <c r="O2698" s="1323"/>
      <c r="P2698" s="1323"/>
      <c r="Q2698" s="1323"/>
      <c r="R2698" s="1304"/>
      <c r="S2698" s="1304"/>
      <c r="T2698" s="1304"/>
    </row>
    <row r="2699" spans="1:20">
      <c r="A2699" s="1303"/>
      <c r="B2699" s="1322" t="s">
        <v>7559</v>
      </c>
      <c r="C2699" s="1323" t="s">
        <v>7560</v>
      </c>
      <c r="D2699" s="1324">
        <f t="shared" si="282"/>
        <v>37950</v>
      </c>
      <c r="E2699" s="1323">
        <f t="shared" si="278"/>
        <v>6.5818000000000003</v>
      </c>
      <c r="F2699" s="1323">
        <f t="shared" si="283"/>
        <v>5.8493414660094212</v>
      </c>
      <c r="G2699" s="1323">
        <f t="shared" si="279"/>
        <v>2003</v>
      </c>
      <c r="H2699" s="1323">
        <f t="shared" si="280"/>
        <v>11</v>
      </c>
      <c r="I2699" s="1323">
        <f t="shared" si="281"/>
        <v>25</v>
      </c>
      <c r="J2699" s="1323"/>
      <c r="K2699" s="1323"/>
      <c r="L2699" s="1323"/>
      <c r="M2699" s="1323"/>
      <c r="N2699" s="1323"/>
      <c r="O2699" s="1323"/>
      <c r="P2699" s="1323"/>
      <c r="Q2699" s="1323"/>
      <c r="R2699" s="1304"/>
      <c r="S2699" s="1304"/>
      <c r="T2699" s="1304"/>
    </row>
    <row r="2700" spans="1:20">
      <c r="A2700" s="1303"/>
      <c r="B2700" s="1322" t="s">
        <v>7561</v>
      </c>
      <c r="C2700" s="1323" t="s">
        <v>7562</v>
      </c>
      <c r="D2700" s="1324">
        <f t="shared" si="282"/>
        <v>37949</v>
      </c>
      <c r="E2700" s="1323">
        <f t="shared" si="278"/>
        <v>6.5258000000000003</v>
      </c>
      <c r="F2700" s="1323">
        <f t="shared" si="283"/>
        <v>5.8482198895922393</v>
      </c>
      <c r="G2700" s="1323">
        <f t="shared" si="279"/>
        <v>2003</v>
      </c>
      <c r="H2700" s="1323">
        <f t="shared" si="280"/>
        <v>11</v>
      </c>
      <c r="I2700" s="1323">
        <f t="shared" si="281"/>
        <v>24</v>
      </c>
      <c r="J2700" s="1323"/>
      <c r="K2700" s="1323"/>
      <c r="L2700" s="1323"/>
      <c r="M2700" s="1323"/>
      <c r="N2700" s="1323"/>
      <c r="O2700" s="1323"/>
      <c r="P2700" s="1323"/>
      <c r="Q2700" s="1323"/>
      <c r="R2700" s="1304"/>
      <c r="S2700" s="1304"/>
      <c r="T2700" s="1304"/>
    </row>
    <row r="2701" spans="1:20">
      <c r="A2701" s="1303"/>
      <c r="B2701" s="1322" t="s">
        <v>7563</v>
      </c>
      <c r="C2701" s="1323" t="s">
        <v>7564</v>
      </c>
      <c r="D2701" s="1324">
        <f t="shared" si="282"/>
        <v>37946</v>
      </c>
      <c r="E2701" s="1323">
        <f t="shared" si="278"/>
        <v>6.5488999999999997</v>
      </c>
      <c r="F2701" s="1323">
        <f t="shared" si="283"/>
        <v>5.8470985282306609</v>
      </c>
      <c r="G2701" s="1323">
        <f t="shared" si="279"/>
        <v>2003</v>
      </c>
      <c r="H2701" s="1323">
        <f t="shared" si="280"/>
        <v>11</v>
      </c>
      <c r="I2701" s="1323">
        <f t="shared" si="281"/>
        <v>21</v>
      </c>
      <c r="J2701" s="1323"/>
      <c r="K2701" s="1323"/>
      <c r="L2701" s="1323"/>
      <c r="M2701" s="1323"/>
      <c r="N2701" s="1323"/>
      <c r="O2701" s="1323"/>
      <c r="P2701" s="1323"/>
      <c r="Q2701" s="1323"/>
      <c r="R2701" s="1304"/>
      <c r="S2701" s="1304"/>
      <c r="T2701" s="1304"/>
    </row>
    <row r="2702" spans="1:20">
      <c r="A2702" s="1303"/>
      <c r="B2702" s="1322" t="s">
        <v>7565</v>
      </c>
      <c r="C2702" s="1323" t="s">
        <v>7566</v>
      </c>
      <c r="D2702" s="1324">
        <f t="shared" si="282"/>
        <v>37945</v>
      </c>
      <c r="E2702" s="1323">
        <f t="shared" si="278"/>
        <v>6.5930999999999997</v>
      </c>
      <c r="F2702" s="1323">
        <f t="shared" si="283"/>
        <v>5.8459773818834506</v>
      </c>
      <c r="G2702" s="1323">
        <f t="shared" si="279"/>
        <v>2003</v>
      </c>
      <c r="H2702" s="1323">
        <f t="shared" si="280"/>
        <v>11</v>
      </c>
      <c r="I2702" s="1323">
        <f t="shared" si="281"/>
        <v>20</v>
      </c>
      <c r="J2702" s="1323"/>
      <c r="K2702" s="1323"/>
      <c r="L2702" s="1323"/>
      <c r="M2702" s="1323"/>
      <c r="N2702" s="1323"/>
      <c r="O2702" s="1323"/>
      <c r="P2702" s="1323"/>
      <c r="Q2702" s="1323"/>
      <c r="R2702" s="1304"/>
      <c r="S2702" s="1304"/>
      <c r="T2702" s="1304"/>
    </row>
    <row r="2703" spans="1:20">
      <c r="A2703" s="1303"/>
      <c r="B2703" s="1322" t="s">
        <v>7567</v>
      </c>
      <c r="C2703" s="1323" t="s">
        <v>7568</v>
      </c>
      <c r="D2703" s="1324">
        <f t="shared" si="282"/>
        <v>37944</v>
      </c>
      <c r="E2703" s="1323">
        <f t="shared" si="278"/>
        <v>6.57</v>
      </c>
      <c r="F2703" s="1323">
        <f t="shared" si="283"/>
        <v>5.8448564505093801</v>
      </c>
      <c r="G2703" s="1323">
        <f t="shared" si="279"/>
        <v>2003</v>
      </c>
      <c r="H2703" s="1323">
        <f t="shared" si="280"/>
        <v>11</v>
      </c>
      <c r="I2703" s="1323">
        <f t="shared" si="281"/>
        <v>19</v>
      </c>
      <c r="J2703" s="1323"/>
      <c r="K2703" s="1323"/>
      <c r="L2703" s="1323"/>
      <c r="M2703" s="1323"/>
      <c r="N2703" s="1323"/>
      <c r="O2703" s="1323"/>
      <c r="P2703" s="1323"/>
      <c r="Q2703" s="1323"/>
      <c r="R2703" s="1304"/>
      <c r="S2703" s="1304"/>
      <c r="T2703" s="1304"/>
    </row>
    <row r="2704" spans="1:20">
      <c r="A2704" s="1303"/>
      <c r="B2704" s="1322" t="s">
        <v>7569</v>
      </c>
      <c r="C2704" s="1323" t="s">
        <v>7214</v>
      </c>
      <c r="D2704" s="1324">
        <f t="shared" si="282"/>
        <v>37943</v>
      </c>
      <c r="E2704" s="1323">
        <f t="shared" si="278"/>
        <v>6.7317999999999998</v>
      </c>
      <c r="F2704" s="1323">
        <f t="shared" si="283"/>
        <v>5.8437357340672298</v>
      </c>
      <c r="G2704" s="1323">
        <f t="shared" si="279"/>
        <v>2003</v>
      </c>
      <c r="H2704" s="1323">
        <f t="shared" si="280"/>
        <v>11</v>
      </c>
      <c r="I2704" s="1323">
        <f t="shared" si="281"/>
        <v>18</v>
      </c>
      <c r="J2704" s="1323"/>
      <c r="K2704" s="1323"/>
      <c r="L2704" s="1323"/>
      <c r="M2704" s="1323"/>
      <c r="N2704" s="1323"/>
      <c r="O2704" s="1323"/>
      <c r="P2704" s="1323"/>
      <c r="Q2704" s="1323"/>
      <c r="R2704" s="1304"/>
      <c r="S2704" s="1304"/>
      <c r="T2704" s="1304"/>
    </row>
    <row r="2705" spans="1:20">
      <c r="A2705" s="1303"/>
      <c r="B2705" s="1322" t="s">
        <v>7570</v>
      </c>
      <c r="C2705" s="1323" t="s">
        <v>7571</v>
      </c>
      <c r="D2705" s="1324">
        <f t="shared" si="282"/>
        <v>37942</v>
      </c>
      <c r="E2705" s="1323">
        <f t="shared" si="278"/>
        <v>6.7340999999999998</v>
      </c>
      <c r="F2705" s="1323">
        <f t="shared" si="283"/>
        <v>5.8426152325157883</v>
      </c>
      <c r="G2705" s="1323">
        <f t="shared" si="279"/>
        <v>2003</v>
      </c>
      <c r="H2705" s="1323">
        <f t="shared" si="280"/>
        <v>11</v>
      </c>
      <c r="I2705" s="1323">
        <f t="shared" si="281"/>
        <v>17</v>
      </c>
      <c r="J2705" s="1323"/>
      <c r="K2705" s="1323"/>
      <c r="L2705" s="1323"/>
      <c r="M2705" s="1323"/>
      <c r="N2705" s="1323"/>
      <c r="O2705" s="1323"/>
      <c r="P2705" s="1323"/>
      <c r="Q2705" s="1323"/>
      <c r="R2705" s="1304"/>
      <c r="S2705" s="1304"/>
      <c r="T2705" s="1304"/>
    </row>
    <row r="2706" spans="1:20">
      <c r="A2706" s="1303"/>
      <c r="B2706" s="1322" t="s">
        <v>7572</v>
      </c>
      <c r="C2706" s="1323" t="s">
        <v>7573</v>
      </c>
      <c r="D2706" s="1324">
        <f t="shared" si="282"/>
        <v>37939</v>
      </c>
      <c r="E2706" s="1323">
        <f t="shared" si="278"/>
        <v>6.7370999999999999</v>
      </c>
      <c r="F2706" s="1323">
        <f t="shared" si="283"/>
        <v>5.8414949458138512</v>
      </c>
      <c r="G2706" s="1323">
        <f t="shared" si="279"/>
        <v>2003</v>
      </c>
      <c r="H2706" s="1323">
        <f t="shared" si="280"/>
        <v>11</v>
      </c>
      <c r="I2706" s="1323">
        <f t="shared" si="281"/>
        <v>14</v>
      </c>
      <c r="J2706" s="1323"/>
      <c r="K2706" s="1323"/>
      <c r="L2706" s="1323"/>
      <c r="M2706" s="1323"/>
      <c r="N2706" s="1323"/>
      <c r="O2706" s="1323"/>
      <c r="P2706" s="1323"/>
      <c r="Q2706" s="1323"/>
      <c r="R2706" s="1304"/>
      <c r="S2706" s="1304"/>
      <c r="T2706" s="1304"/>
    </row>
    <row r="2707" spans="1:20">
      <c r="A2707" s="1303"/>
      <c r="B2707" s="1322" t="s">
        <v>7574</v>
      </c>
      <c r="C2707" s="1323" t="s">
        <v>7575</v>
      </c>
      <c r="D2707" s="1324">
        <f t="shared" si="282"/>
        <v>37938</v>
      </c>
      <c r="E2707" s="1323">
        <f t="shared" si="278"/>
        <v>6.8727999999999998</v>
      </c>
      <c r="F2707" s="1323">
        <f t="shared" si="283"/>
        <v>5.8403748739202221</v>
      </c>
      <c r="G2707" s="1323">
        <f t="shared" si="279"/>
        <v>2003</v>
      </c>
      <c r="H2707" s="1323">
        <f t="shared" si="280"/>
        <v>11</v>
      </c>
      <c r="I2707" s="1323">
        <f t="shared" si="281"/>
        <v>13</v>
      </c>
      <c r="J2707" s="1323"/>
      <c r="K2707" s="1323"/>
      <c r="L2707" s="1323"/>
      <c r="M2707" s="1323"/>
      <c r="N2707" s="1323"/>
      <c r="O2707" s="1323"/>
      <c r="P2707" s="1323"/>
      <c r="Q2707" s="1323"/>
      <c r="R2707" s="1304"/>
      <c r="S2707" s="1304"/>
      <c r="T2707" s="1304"/>
    </row>
    <row r="2708" spans="1:20">
      <c r="A2708" s="1303"/>
      <c r="B2708" s="1322" t="s">
        <v>7576</v>
      </c>
      <c r="C2708" s="1323" t="s">
        <v>7577</v>
      </c>
      <c r="D2708" s="1324">
        <f t="shared" si="282"/>
        <v>37937</v>
      </c>
      <c r="E2708" s="1323">
        <f t="shared" si="278"/>
        <v>6.91</v>
      </c>
      <c r="F2708" s="1323">
        <f t="shared" si="283"/>
        <v>5.8392550167937136</v>
      </c>
      <c r="G2708" s="1323">
        <f t="shared" si="279"/>
        <v>2003</v>
      </c>
      <c r="H2708" s="1323">
        <f t="shared" si="280"/>
        <v>11</v>
      </c>
      <c r="I2708" s="1323">
        <f t="shared" si="281"/>
        <v>12</v>
      </c>
      <c r="J2708" s="1323"/>
      <c r="K2708" s="1323"/>
      <c r="L2708" s="1323"/>
      <c r="M2708" s="1323"/>
      <c r="N2708" s="1323"/>
      <c r="O2708" s="1323"/>
      <c r="P2708" s="1323"/>
      <c r="Q2708" s="1323"/>
      <c r="R2708" s="1304"/>
      <c r="S2708" s="1304"/>
      <c r="T2708" s="1304"/>
    </row>
    <row r="2709" spans="1:20">
      <c r="A2709" s="1303"/>
      <c r="B2709" s="1322" t="s">
        <v>7578</v>
      </c>
      <c r="C2709" s="1323" t="s">
        <v>7579</v>
      </c>
      <c r="D2709" s="1324">
        <f t="shared" si="282"/>
        <v>37936</v>
      </c>
      <c r="E2709" s="1323">
        <f t="shared" si="278"/>
        <v>6.9649000000000001</v>
      </c>
      <c r="F2709" s="1323">
        <f t="shared" si="283"/>
        <v>5.8381353743931452</v>
      </c>
      <c r="G2709" s="1323">
        <f t="shared" si="279"/>
        <v>2003</v>
      </c>
      <c r="H2709" s="1323">
        <f t="shared" si="280"/>
        <v>11</v>
      </c>
      <c r="I2709" s="1323">
        <f t="shared" si="281"/>
        <v>11</v>
      </c>
      <c r="J2709" s="1323"/>
      <c r="K2709" s="1323"/>
      <c r="L2709" s="1323"/>
      <c r="M2709" s="1323"/>
      <c r="N2709" s="1323"/>
      <c r="O2709" s="1323"/>
      <c r="P2709" s="1323"/>
      <c r="Q2709" s="1323"/>
      <c r="R2709" s="1304"/>
      <c r="S2709" s="1304"/>
      <c r="T2709" s="1304"/>
    </row>
    <row r="2710" spans="1:20">
      <c r="A2710" s="1303"/>
      <c r="B2710" s="1322" t="s">
        <v>7580</v>
      </c>
      <c r="C2710" s="1323" t="s">
        <v>7581</v>
      </c>
      <c r="D2710" s="1324">
        <f t="shared" si="282"/>
        <v>37935</v>
      </c>
      <c r="E2710" s="1323">
        <f t="shared" ref="E2710:E2773" si="284">VALUE(C2711)</f>
        <v>6.9541000000000004</v>
      </c>
      <c r="F2710" s="1323">
        <f t="shared" si="283"/>
        <v>5.8370159466773437</v>
      </c>
      <c r="G2710" s="1323">
        <f t="shared" ref="G2710:G2773" si="285">YEAR(B2711)</f>
        <v>2003</v>
      </c>
      <c r="H2710" s="1323">
        <f t="shared" ref="H2710:H2773" si="286">MONTH(B2711)</f>
        <v>11</v>
      </c>
      <c r="I2710" s="1323">
        <f t="shared" ref="I2710:I2773" si="287">DAY(B2711)</f>
        <v>10</v>
      </c>
      <c r="J2710" s="1323"/>
      <c r="K2710" s="1323"/>
      <c r="L2710" s="1323"/>
      <c r="M2710" s="1323"/>
      <c r="N2710" s="1323"/>
      <c r="O2710" s="1323"/>
      <c r="P2710" s="1323"/>
      <c r="Q2710" s="1323"/>
      <c r="R2710" s="1304"/>
      <c r="S2710" s="1304"/>
      <c r="T2710" s="1304"/>
    </row>
    <row r="2711" spans="1:20">
      <c r="A2711" s="1303"/>
      <c r="B2711" s="1322" t="s">
        <v>7582</v>
      </c>
      <c r="C2711" s="1323" t="s">
        <v>7583</v>
      </c>
      <c r="D2711" s="1324">
        <f t="shared" si="282"/>
        <v>37932</v>
      </c>
      <c r="E2711" s="1323">
        <f t="shared" si="284"/>
        <v>7.0191999999999997</v>
      </c>
      <c r="F2711" s="1323">
        <f t="shared" si="283"/>
        <v>5.8358967336051455</v>
      </c>
      <c r="G2711" s="1323">
        <f t="shared" si="285"/>
        <v>2003</v>
      </c>
      <c r="H2711" s="1323">
        <f t="shared" si="286"/>
        <v>11</v>
      </c>
      <c r="I2711" s="1323">
        <f t="shared" si="287"/>
        <v>7</v>
      </c>
      <c r="J2711" s="1323"/>
      <c r="K2711" s="1323"/>
      <c r="L2711" s="1323"/>
      <c r="M2711" s="1323"/>
      <c r="N2711" s="1323"/>
      <c r="O2711" s="1323"/>
      <c r="P2711" s="1323"/>
      <c r="Q2711" s="1323"/>
      <c r="R2711" s="1304"/>
      <c r="S2711" s="1304"/>
      <c r="T2711" s="1304"/>
    </row>
    <row r="2712" spans="1:20">
      <c r="A2712" s="1303"/>
      <c r="B2712" s="1322" t="s">
        <v>7584</v>
      </c>
      <c r="C2712" s="1323" t="s">
        <v>7585</v>
      </c>
      <c r="D2712" s="1324">
        <f t="shared" si="282"/>
        <v>37931</v>
      </c>
      <c r="E2712" s="1323">
        <f t="shared" si="284"/>
        <v>6.9379</v>
      </c>
      <c r="F2712" s="1323">
        <f t="shared" si="283"/>
        <v>5.8347777351353933</v>
      </c>
      <c r="G2712" s="1323">
        <f t="shared" si="285"/>
        <v>2003</v>
      </c>
      <c r="H2712" s="1323">
        <f t="shared" si="286"/>
        <v>11</v>
      </c>
      <c r="I2712" s="1323">
        <f t="shared" si="287"/>
        <v>6</v>
      </c>
      <c r="J2712" s="1323"/>
      <c r="K2712" s="1323"/>
      <c r="L2712" s="1323"/>
      <c r="M2712" s="1323"/>
      <c r="N2712" s="1323"/>
      <c r="O2712" s="1323"/>
      <c r="P2712" s="1323"/>
      <c r="Q2712" s="1323"/>
      <c r="R2712" s="1304"/>
      <c r="S2712" s="1304"/>
      <c r="T2712" s="1304"/>
    </row>
    <row r="2713" spans="1:20">
      <c r="A2713" s="1303"/>
      <c r="B2713" s="1322" t="s">
        <v>7586</v>
      </c>
      <c r="C2713" s="1323" t="s">
        <v>7587</v>
      </c>
      <c r="D2713" s="1324">
        <f t="shared" si="282"/>
        <v>37930</v>
      </c>
      <c r="E2713" s="1323">
        <f t="shared" si="284"/>
        <v>6.8948999999999998</v>
      </c>
      <c r="F2713" s="1323">
        <f t="shared" si="283"/>
        <v>5.8336589512269388</v>
      </c>
      <c r="G2713" s="1323">
        <f t="shared" si="285"/>
        <v>2003</v>
      </c>
      <c r="H2713" s="1323">
        <f t="shared" si="286"/>
        <v>11</v>
      </c>
      <c r="I2713" s="1323">
        <f t="shared" si="287"/>
        <v>5</v>
      </c>
      <c r="J2713" s="1323"/>
      <c r="K2713" s="1323"/>
      <c r="L2713" s="1323"/>
      <c r="M2713" s="1323"/>
      <c r="N2713" s="1323"/>
      <c r="O2713" s="1323"/>
      <c r="P2713" s="1323"/>
      <c r="Q2713" s="1323"/>
      <c r="R2713" s="1304"/>
      <c r="S2713" s="1304"/>
      <c r="T2713" s="1304"/>
    </row>
    <row r="2714" spans="1:20">
      <c r="A2714" s="1303"/>
      <c r="B2714" s="1322" t="s">
        <v>7588</v>
      </c>
      <c r="C2714" s="1323" t="s">
        <v>7589</v>
      </c>
      <c r="D2714" s="1324">
        <f t="shared" si="282"/>
        <v>37929</v>
      </c>
      <c r="E2714" s="1323">
        <f t="shared" si="284"/>
        <v>6.9188999999999998</v>
      </c>
      <c r="F2714" s="1323">
        <f t="shared" si="283"/>
        <v>5.8325403818386405</v>
      </c>
      <c r="G2714" s="1323">
        <f t="shared" si="285"/>
        <v>2003</v>
      </c>
      <c r="H2714" s="1323">
        <f t="shared" si="286"/>
        <v>11</v>
      </c>
      <c r="I2714" s="1323">
        <f t="shared" si="287"/>
        <v>4</v>
      </c>
      <c r="J2714" s="1323"/>
      <c r="K2714" s="1323"/>
      <c r="L2714" s="1323"/>
      <c r="M2714" s="1323"/>
      <c r="N2714" s="1323"/>
      <c r="O2714" s="1323"/>
      <c r="P2714" s="1323"/>
      <c r="Q2714" s="1323"/>
      <c r="R2714" s="1304"/>
      <c r="S2714" s="1304"/>
      <c r="T2714" s="1304"/>
    </row>
    <row r="2715" spans="1:20">
      <c r="A2715" s="1303"/>
      <c r="B2715" s="1322" t="s">
        <v>7590</v>
      </c>
      <c r="C2715" s="1323" t="s">
        <v>7591</v>
      </c>
      <c r="D2715" s="1324">
        <f t="shared" si="282"/>
        <v>37928</v>
      </c>
      <c r="E2715" s="1323">
        <f t="shared" si="284"/>
        <v>6.9009</v>
      </c>
      <c r="F2715" s="1323">
        <f t="shared" si="283"/>
        <v>5.8314220269293662</v>
      </c>
      <c r="G2715" s="1323">
        <f t="shared" si="285"/>
        <v>2003</v>
      </c>
      <c r="H2715" s="1323">
        <f t="shared" si="286"/>
        <v>11</v>
      </c>
      <c r="I2715" s="1323">
        <f t="shared" si="287"/>
        <v>3</v>
      </c>
      <c r="J2715" s="1323"/>
      <c r="K2715" s="1323"/>
      <c r="L2715" s="1323"/>
      <c r="M2715" s="1323"/>
      <c r="N2715" s="1323"/>
      <c r="O2715" s="1323"/>
      <c r="P2715" s="1323"/>
      <c r="Q2715" s="1323"/>
      <c r="R2715" s="1304"/>
      <c r="S2715" s="1304"/>
      <c r="T2715" s="1304"/>
    </row>
    <row r="2716" spans="1:20">
      <c r="A2716" s="1303"/>
      <c r="B2716" s="1322" t="s">
        <v>7592</v>
      </c>
      <c r="C2716" s="1323" t="s">
        <v>7522</v>
      </c>
      <c r="D2716" s="1324">
        <f t="shared" si="282"/>
        <v>37925</v>
      </c>
      <c r="E2716" s="1323">
        <f t="shared" si="284"/>
        <v>6.9194000000000004</v>
      </c>
      <c r="F2716" s="1323">
        <f t="shared" si="283"/>
        <v>5.8303038864579904</v>
      </c>
      <c r="G2716" s="1323">
        <f t="shared" si="285"/>
        <v>2003</v>
      </c>
      <c r="H2716" s="1323">
        <f t="shared" si="286"/>
        <v>10</v>
      </c>
      <c r="I2716" s="1323">
        <f t="shared" si="287"/>
        <v>31</v>
      </c>
      <c r="J2716" s="1323"/>
      <c r="K2716" s="1323"/>
      <c r="L2716" s="1323"/>
      <c r="M2716" s="1323"/>
      <c r="N2716" s="1323"/>
      <c r="O2716" s="1323"/>
      <c r="P2716" s="1323"/>
      <c r="Q2716" s="1323"/>
      <c r="R2716" s="1304"/>
      <c r="S2716" s="1304"/>
      <c r="T2716" s="1304"/>
    </row>
    <row r="2717" spans="1:20">
      <c r="A2717" s="1303"/>
      <c r="B2717" s="1322" t="s">
        <v>7593</v>
      </c>
      <c r="C2717" s="1323" t="s">
        <v>7594</v>
      </c>
      <c r="D2717" s="1324">
        <f t="shared" si="282"/>
        <v>37924</v>
      </c>
      <c r="E2717" s="1323">
        <f t="shared" si="284"/>
        <v>6.9013</v>
      </c>
      <c r="F2717" s="1323">
        <f t="shared" si="283"/>
        <v>5.8291859603833958</v>
      </c>
      <c r="G2717" s="1323">
        <f t="shared" si="285"/>
        <v>2003</v>
      </c>
      <c r="H2717" s="1323">
        <f t="shared" si="286"/>
        <v>10</v>
      </c>
      <c r="I2717" s="1323">
        <f t="shared" si="287"/>
        <v>30</v>
      </c>
      <c r="J2717" s="1323"/>
      <c r="K2717" s="1323"/>
      <c r="L2717" s="1323"/>
      <c r="M2717" s="1323"/>
      <c r="N2717" s="1323"/>
      <c r="O2717" s="1323"/>
      <c r="P2717" s="1323"/>
      <c r="Q2717" s="1323"/>
      <c r="R2717" s="1304"/>
      <c r="S2717" s="1304"/>
      <c r="T2717" s="1304"/>
    </row>
    <row r="2718" spans="1:20">
      <c r="A2718" s="1303"/>
      <c r="B2718" s="1322" t="s">
        <v>7595</v>
      </c>
      <c r="C2718" s="1323" t="s">
        <v>7596</v>
      </c>
      <c r="D2718" s="1324">
        <f t="shared" si="282"/>
        <v>37923</v>
      </c>
      <c r="E2718" s="1323">
        <f t="shared" si="284"/>
        <v>6.9589999999999996</v>
      </c>
      <c r="F2718" s="1323">
        <f t="shared" si="283"/>
        <v>5.8280682486644739</v>
      </c>
      <c r="G2718" s="1323">
        <f t="shared" si="285"/>
        <v>2003</v>
      </c>
      <c r="H2718" s="1323">
        <f t="shared" si="286"/>
        <v>10</v>
      </c>
      <c r="I2718" s="1323">
        <f t="shared" si="287"/>
        <v>29</v>
      </c>
      <c r="J2718" s="1323"/>
      <c r="K2718" s="1323"/>
      <c r="L2718" s="1323"/>
      <c r="M2718" s="1323"/>
      <c r="N2718" s="1323"/>
      <c r="O2718" s="1323"/>
      <c r="P2718" s="1323"/>
      <c r="Q2718" s="1323"/>
      <c r="R2718" s="1304"/>
      <c r="S2718" s="1304"/>
      <c r="T2718" s="1304"/>
    </row>
    <row r="2719" spans="1:20">
      <c r="A2719" s="1303"/>
      <c r="B2719" s="1322" t="s">
        <v>7597</v>
      </c>
      <c r="C2719" s="1323" t="s">
        <v>7598</v>
      </c>
      <c r="D2719" s="1324">
        <f t="shared" si="282"/>
        <v>37922</v>
      </c>
      <c r="E2719" s="1323">
        <f t="shared" si="284"/>
        <v>6.9240000000000004</v>
      </c>
      <c r="F2719" s="1323">
        <f t="shared" si="283"/>
        <v>5.8269507512601226</v>
      </c>
      <c r="G2719" s="1323">
        <f t="shared" si="285"/>
        <v>2003</v>
      </c>
      <c r="H2719" s="1323">
        <f t="shared" si="286"/>
        <v>10</v>
      </c>
      <c r="I2719" s="1323">
        <f t="shared" si="287"/>
        <v>28</v>
      </c>
      <c r="J2719" s="1323"/>
      <c r="K2719" s="1323"/>
      <c r="L2719" s="1323"/>
      <c r="M2719" s="1323"/>
      <c r="N2719" s="1323"/>
      <c r="O2719" s="1323"/>
      <c r="P2719" s="1323"/>
      <c r="Q2719" s="1323"/>
      <c r="R2719" s="1304"/>
      <c r="S2719" s="1304"/>
      <c r="T2719" s="1304"/>
    </row>
    <row r="2720" spans="1:20">
      <c r="A2720" s="1303"/>
      <c r="B2720" s="1322" t="s">
        <v>7599</v>
      </c>
      <c r="C2720" s="1323" t="s">
        <v>7600</v>
      </c>
      <c r="D2720" s="1324">
        <f t="shared" si="282"/>
        <v>37921</v>
      </c>
      <c r="E2720" s="1323">
        <f t="shared" si="284"/>
        <v>6.9225000000000003</v>
      </c>
      <c r="F2720" s="1323">
        <f t="shared" si="283"/>
        <v>5.8258334681292485</v>
      </c>
      <c r="G2720" s="1323">
        <f t="shared" si="285"/>
        <v>2003</v>
      </c>
      <c r="H2720" s="1323">
        <f t="shared" si="286"/>
        <v>10</v>
      </c>
      <c r="I2720" s="1323">
        <f t="shared" si="287"/>
        <v>27</v>
      </c>
      <c r="J2720" s="1323"/>
      <c r="K2720" s="1323"/>
      <c r="L2720" s="1323"/>
      <c r="M2720" s="1323"/>
      <c r="N2720" s="1323"/>
      <c r="O2720" s="1323"/>
      <c r="P2720" s="1323"/>
      <c r="Q2720" s="1323"/>
      <c r="R2720" s="1304"/>
      <c r="S2720" s="1304"/>
      <c r="T2720" s="1304"/>
    </row>
    <row r="2721" spans="1:20">
      <c r="A2721" s="1303"/>
      <c r="B2721" s="1322" t="s">
        <v>7601</v>
      </c>
      <c r="C2721" s="1323" t="s">
        <v>4196</v>
      </c>
      <c r="D2721" s="1324">
        <f t="shared" si="282"/>
        <v>37918</v>
      </c>
      <c r="E2721" s="1323">
        <f t="shared" si="284"/>
        <v>6.9686000000000003</v>
      </c>
      <c r="F2721" s="1323">
        <f t="shared" si="283"/>
        <v>5.8247163992307653</v>
      </c>
      <c r="G2721" s="1323">
        <f t="shared" si="285"/>
        <v>2003</v>
      </c>
      <c r="H2721" s="1323">
        <f t="shared" si="286"/>
        <v>10</v>
      </c>
      <c r="I2721" s="1323">
        <f t="shared" si="287"/>
        <v>24</v>
      </c>
      <c r="J2721" s="1323"/>
      <c r="K2721" s="1323"/>
      <c r="L2721" s="1323"/>
      <c r="M2721" s="1323"/>
      <c r="N2721" s="1323"/>
      <c r="O2721" s="1323"/>
      <c r="P2721" s="1323"/>
      <c r="Q2721" s="1323"/>
      <c r="R2721" s="1304"/>
      <c r="S2721" s="1304"/>
      <c r="T2721" s="1304"/>
    </row>
    <row r="2722" spans="1:20">
      <c r="A2722" s="1303"/>
      <c r="B2722" s="1322" t="s">
        <v>7602</v>
      </c>
      <c r="C2722" s="1323" t="s">
        <v>7603</v>
      </c>
      <c r="D2722" s="1324">
        <f t="shared" si="282"/>
        <v>37917</v>
      </c>
      <c r="E2722" s="1323">
        <f t="shared" si="284"/>
        <v>6.9880000000000004</v>
      </c>
      <c r="F2722" s="1323">
        <f t="shared" si="283"/>
        <v>5.8235995445235966</v>
      </c>
      <c r="G2722" s="1323">
        <f t="shared" si="285"/>
        <v>2003</v>
      </c>
      <c r="H2722" s="1323">
        <f t="shared" si="286"/>
        <v>10</v>
      </c>
      <c r="I2722" s="1323">
        <f t="shared" si="287"/>
        <v>23</v>
      </c>
      <c r="J2722" s="1323"/>
      <c r="K2722" s="1323"/>
      <c r="L2722" s="1323"/>
      <c r="M2722" s="1323"/>
      <c r="N2722" s="1323"/>
      <c r="O2722" s="1323"/>
      <c r="P2722" s="1323"/>
      <c r="Q2722" s="1323"/>
      <c r="R2722" s="1304"/>
      <c r="S2722" s="1304"/>
      <c r="T2722" s="1304"/>
    </row>
    <row r="2723" spans="1:20">
      <c r="A2723" s="1303"/>
      <c r="B2723" s="1322" t="s">
        <v>7604</v>
      </c>
      <c r="C2723" s="1323" t="s">
        <v>4020</v>
      </c>
      <c r="D2723" s="1324">
        <f t="shared" si="282"/>
        <v>37916</v>
      </c>
      <c r="E2723" s="1323">
        <f t="shared" si="284"/>
        <v>7.1429999999999998</v>
      </c>
      <c r="F2723" s="1323">
        <f t="shared" si="283"/>
        <v>5.8224829039666712</v>
      </c>
      <c r="G2723" s="1323">
        <f t="shared" si="285"/>
        <v>2003</v>
      </c>
      <c r="H2723" s="1323">
        <f t="shared" si="286"/>
        <v>10</v>
      </c>
      <c r="I2723" s="1323">
        <f t="shared" si="287"/>
        <v>22</v>
      </c>
      <c r="J2723" s="1323"/>
      <c r="K2723" s="1323"/>
      <c r="L2723" s="1323"/>
      <c r="M2723" s="1323"/>
      <c r="N2723" s="1323"/>
      <c r="O2723" s="1323"/>
      <c r="P2723" s="1323"/>
      <c r="Q2723" s="1323"/>
      <c r="R2723" s="1304"/>
      <c r="S2723" s="1304"/>
      <c r="T2723" s="1304"/>
    </row>
    <row r="2724" spans="1:20">
      <c r="A2724" s="1303"/>
      <c r="B2724" s="1322" t="s">
        <v>7605</v>
      </c>
      <c r="C2724" s="1323" t="s">
        <v>7606</v>
      </c>
      <c r="D2724" s="1324">
        <f t="shared" si="282"/>
        <v>37915</v>
      </c>
      <c r="E2724" s="1323">
        <f t="shared" si="284"/>
        <v>7.1543000000000001</v>
      </c>
      <c r="F2724" s="1323">
        <f t="shared" si="283"/>
        <v>5.8213664775189278</v>
      </c>
      <c r="G2724" s="1323">
        <f t="shared" si="285"/>
        <v>2003</v>
      </c>
      <c r="H2724" s="1323">
        <f t="shared" si="286"/>
        <v>10</v>
      </c>
      <c r="I2724" s="1323">
        <f t="shared" si="287"/>
        <v>21</v>
      </c>
      <c r="J2724" s="1323"/>
      <c r="K2724" s="1323"/>
      <c r="L2724" s="1323"/>
      <c r="M2724" s="1323"/>
      <c r="N2724" s="1323"/>
      <c r="O2724" s="1323"/>
      <c r="P2724" s="1323"/>
      <c r="Q2724" s="1323"/>
      <c r="R2724" s="1304"/>
      <c r="S2724" s="1304"/>
      <c r="T2724" s="1304"/>
    </row>
    <row r="2725" spans="1:20">
      <c r="A2725" s="1303"/>
      <c r="B2725" s="1322" t="s">
        <v>7607</v>
      </c>
      <c r="C2725" s="1323" t="s">
        <v>7608</v>
      </c>
      <c r="D2725" s="1324">
        <f t="shared" si="282"/>
        <v>37914</v>
      </c>
      <c r="E2725" s="1323">
        <f t="shared" si="284"/>
        <v>7.1958000000000002</v>
      </c>
      <c r="F2725" s="1323">
        <f t="shared" si="283"/>
        <v>5.820250265139312</v>
      </c>
      <c r="G2725" s="1323">
        <f t="shared" si="285"/>
        <v>2003</v>
      </c>
      <c r="H2725" s="1323">
        <f t="shared" si="286"/>
        <v>10</v>
      </c>
      <c r="I2725" s="1323">
        <f t="shared" si="287"/>
        <v>20</v>
      </c>
      <c r="J2725" s="1323"/>
      <c r="K2725" s="1323"/>
      <c r="L2725" s="1323"/>
      <c r="M2725" s="1323"/>
      <c r="N2725" s="1323"/>
      <c r="O2725" s="1323"/>
      <c r="P2725" s="1323"/>
      <c r="Q2725" s="1323"/>
      <c r="R2725" s="1304"/>
      <c r="S2725" s="1304"/>
      <c r="T2725" s="1304"/>
    </row>
    <row r="2726" spans="1:20">
      <c r="A2726" s="1303"/>
      <c r="B2726" s="1322" t="s">
        <v>7609</v>
      </c>
      <c r="C2726" s="1323" t="s">
        <v>7610</v>
      </c>
      <c r="D2726" s="1324">
        <f t="shared" si="282"/>
        <v>37911</v>
      </c>
      <c r="E2726" s="1323">
        <f t="shared" si="284"/>
        <v>7.0533999999999999</v>
      </c>
      <c r="F2726" s="1323">
        <f t="shared" si="283"/>
        <v>5.8191342667867776</v>
      </c>
      <c r="G2726" s="1323">
        <f t="shared" si="285"/>
        <v>2003</v>
      </c>
      <c r="H2726" s="1323">
        <f t="shared" si="286"/>
        <v>10</v>
      </c>
      <c r="I2726" s="1323">
        <f t="shared" si="287"/>
        <v>17</v>
      </c>
      <c r="J2726" s="1323"/>
      <c r="K2726" s="1323"/>
      <c r="L2726" s="1323"/>
      <c r="M2726" s="1323"/>
      <c r="N2726" s="1323"/>
      <c r="O2726" s="1323"/>
      <c r="P2726" s="1323"/>
      <c r="Q2726" s="1323"/>
      <c r="R2726" s="1304"/>
      <c r="S2726" s="1304"/>
      <c r="T2726" s="1304"/>
    </row>
    <row r="2727" spans="1:20">
      <c r="A2727" s="1303"/>
      <c r="B2727" s="1322" t="s">
        <v>7611</v>
      </c>
      <c r="C2727" s="1323" t="s">
        <v>7612</v>
      </c>
      <c r="D2727" s="1324">
        <f t="shared" si="282"/>
        <v>37910</v>
      </c>
      <c r="E2727" s="1323">
        <f t="shared" si="284"/>
        <v>6.9980000000000002</v>
      </c>
      <c r="F2727" s="1323">
        <f t="shared" si="283"/>
        <v>5.8180184824202854</v>
      </c>
      <c r="G2727" s="1323">
        <f t="shared" si="285"/>
        <v>2003</v>
      </c>
      <c r="H2727" s="1323">
        <f t="shared" si="286"/>
        <v>10</v>
      </c>
      <c r="I2727" s="1323">
        <f t="shared" si="287"/>
        <v>16</v>
      </c>
      <c r="J2727" s="1323"/>
      <c r="K2727" s="1323"/>
      <c r="L2727" s="1323"/>
      <c r="M2727" s="1323"/>
      <c r="N2727" s="1323"/>
      <c r="O2727" s="1323"/>
      <c r="P2727" s="1323"/>
      <c r="Q2727" s="1323"/>
      <c r="R2727" s="1304"/>
      <c r="S2727" s="1304"/>
      <c r="T2727" s="1304"/>
    </row>
    <row r="2728" spans="1:20">
      <c r="A2728" s="1303"/>
      <c r="B2728" s="1322" t="s">
        <v>7613</v>
      </c>
      <c r="C2728" s="1323" t="s">
        <v>7614</v>
      </c>
      <c r="D2728" s="1324">
        <f t="shared" si="282"/>
        <v>37909</v>
      </c>
      <c r="E2728" s="1323">
        <f t="shared" si="284"/>
        <v>6.9618000000000002</v>
      </c>
      <c r="F2728" s="1323">
        <f t="shared" si="283"/>
        <v>5.816902911998806</v>
      </c>
      <c r="G2728" s="1323">
        <f t="shared" si="285"/>
        <v>2003</v>
      </c>
      <c r="H2728" s="1323">
        <f t="shared" si="286"/>
        <v>10</v>
      </c>
      <c r="I2728" s="1323">
        <f t="shared" si="287"/>
        <v>15</v>
      </c>
      <c r="J2728" s="1323"/>
      <c r="K2728" s="1323"/>
      <c r="L2728" s="1323"/>
      <c r="M2728" s="1323"/>
      <c r="N2728" s="1323"/>
      <c r="O2728" s="1323"/>
      <c r="P2728" s="1323"/>
      <c r="Q2728" s="1323"/>
      <c r="R2728" s="1304"/>
      <c r="S2728" s="1304"/>
      <c r="T2728" s="1304"/>
    </row>
    <row r="2729" spans="1:20">
      <c r="A2729" s="1303"/>
      <c r="B2729" s="1322" t="s">
        <v>7615</v>
      </c>
      <c r="C2729" s="1323" t="s">
        <v>7616</v>
      </c>
      <c r="D2729" s="1324">
        <f t="shared" si="282"/>
        <v>37908</v>
      </c>
      <c r="E2729" s="1323">
        <f t="shared" si="284"/>
        <v>7.0362</v>
      </c>
      <c r="F2729" s="1323">
        <f t="shared" si="283"/>
        <v>5.8157875554813163</v>
      </c>
      <c r="G2729" s="1323">
        <f t="shared" si="285"/>
        <v>2003</v>
      </c>
      <c r="H2729" s="1323">
        <f t="shared" si="286"/>
        <v>10</v>
      </c>
      <c r="I2729" s="1323">
        <f t="shared" si="287"/>
        <v>14</v>
      </c>
      <c r="J2729" s="1323"/>
      <c r="K2729" s="1323"/>
      <c r="L2729" s="1323"/>
      <c r="M2729" s="1323"/>
      <c r="N2729" s="1323"/>
      <c r="O2729" s="1323"/>
      <c r="P2729" s="1323"/>
      <c r="Q2729" s="1323"/>
      <c r="R2729" s="1304"/>
      <c r="S2729" s="1304"/>
      <c r="T2729" s="1304"/>
    </row>
    <row r="2730" spans="1:20">
      <c r="A2730" s="1303"/>
      <c r="B2730" s="1322" t="s">
        <v>7617</v>
      </c>
      <c r="C2730" s="1323" t="s">
        <v>7618</v>
      </c>
      <c r="D2730" s="1324">
        <f t="shared" si="282"/>
        <v>37907</v>
      </c>
      <c r="E2730" s="1323">
        <f t="shared" si="284"/>
        <v>6.9848999999999997</v>
      </c>
      <c r="F2730" s="1323">
        <f t="shared" si="283"/>
        <v>5.814672412826801</v>
      </c>
      <c r="G2730" s="1323">
        <f t="shared" si="285"/>
        <v>2003</v>
      </c>
      <c r="H2730" s="1323">
        <f t="shared" si="286"/>
        <v>10</v>
      </c>
      <c r="I2730" s="1323">
        <f t="shared" si="287"/>
        <v>13</v>
      </c>
      <c r="J2730" s="1323"/>
      <c r="K2730" s="1323"/>
      <c r="L2730" s="1323"/>
      <c r="M2730" s="1323"/>
      <c r="N2730" s="1323"/>
      <c r="O2730" s="1323"/>
      <c r="P2730" s="1323"/>
      <c r="Q2730" s="1323"/>
      <c r="R2730" s="1304"/>
      <c r="S2730" s="1304"/>
      <c r="T2730" s="1304"/>
    </row>
    <row r="2731" spans="1:20">
      <c r="A2731" s="1303"/>
      <c r="B2731" s="1322" t="s">
        <v>7619</v>
      </c>
      <c r="C2731" s="1323" t="s">
        <v>7620</v>
      </c>
      <c r="D2731" s="1324">
        <f t="shared" si="282"/>
        <v>37904</v>
      </c>
      <c r="E2731" s="1323">
        <f t="shared" si="284"/>
        <v>6.9058000000000002</v>
      </c>
      <c r="F2731" s="1323">
        <f t="shared" si="283"/>
        <v>5.8135574839942539</v>
      </c>
      <c r="G2731" s="1323">
        <f t="shared" si="285"/>
        <v>2003</v>
      </c>
      <c r="H2731" s="1323">
        <f t="shared" si="286"/>
        <v>10</v>
      </c>
      <c r="I2731" s="1323">
        <f t="shared" si="287"/>
        <v>10</v>
      </c>
      <c r="J2731" s="1323"/>
      <c r="K2731" s="1323"/>
      <c r="L2731" s="1323"/>
      <c r="M2731" s="1323"/>
      <c r="N2731" s="1323"/>
      <c r="O2731" s="1323"/>
      <c r="P2731" s="1323"/>
      <c r="Q2731" s="1323"/>
      <c r="R2731" s="1304"/>
      <c r="S2731" s="1304"/>
      <c r="T2731" s="1304"/>
    </row>
    <row r="2732" spans="1:20">
      <c r="A2732" s="1303"/>
      <c r="B2732" s="1322" t="s">
        <v>7621</v>
      </c>
      <c r="C2732" s="1323" t="s">
        <v>7622</v>
      </c>
      <c r="D2732" s="1324">
        <f t="shared" si="282"/>
        <v>37903</v>
      </c>
      <c r="E2732" s="1323">
        <f t="shared" si="284"/>
        <v>6.8559999999999999</v>
      </c>
      <c r="F2732" s="1323">
        <f t="shared" si="283"/>
        <v>5.8124427689426756</v>
      </c>
      <c r="G2732" s="1323">
        <f t="shared" si="285"/>
        <v>2003</v>
      </c>
      <c r="H2732" s="1323">
        <f t="shared" si="286"/>
        <v>10</v>
      </c>
      <c r="I2732" s="1323">
        <f t="shared" si="287"/>
        <v>9</v>
      </c>
      <c r="J2732" s="1323"/>
      <c r="K2732" s="1323"/>
      <c r="L2732" s="1323"/>
      <c r="M2732" s="1323"/>
      <c r="N2732" s="1323"/>
      <c r="O2732" s="1323"/>
      <c r="P2732" s="1323"/>
      <c r="Q2732" s="1323"/>
      <c r="R2732" s="1304"/>
      <c r="S2732" s="1304"/>
      <c r="T2732" s="1304"/>
    </row>
    <row r="2733" spans="1:20">
      <c r="A2733" s="1303"/>
      <c r="B2733" s="1322" t="s">
        <v>7623</v>
      </c>
      <c r="C2733" s="1323" t="s">
        <v>7624</v>
      </c>
      <c r="D2733" s="1324">
        <f t="shared" si="282"/>
        <v>37902</v>
      </c>
      <c r="E2733" s="1323">
        <f t="shared" si="284"/>
        <v>6.8648999999999996</v>
      </c>
      <c r="F2733" s="1323">
        <f t="shared" si="283"/>
        <v>5.8113282676310751</v>
      </c>
      <c r="G2733" s="1323">
        <f t="shared" si="285"/>
        <v>2003</v>
      </c>
      <c r="H2733" s="1323">
        <f t="shared" si="286"/>
        <v>10</v>
      </c>
      <c r="I2733" s="1323">
        <f t="shared" si="287"/>
        <v>8</v>
      </c>
      <c r="J2733" s="1323"/>
      <c r="K2733" s="1323"/>
      <c r="L2733" s="1323"/>
      <c r="M2733" s="1323"/>
      <c r="N2733" s="1323"/>
      <c r="O2733" s="1323"/>
      <c r="P2733" s="1323"/>
      <c r="Q2733" s="1323"/>
      <c r="R2733" s="1304"/>
      <c r="S2733" s="1304"/>
      <c r="T2733" s="1304"/>
    </row>
    <row r="2734" spans="1:20">
      <c r="A2734" s="1303"/>
      <c r="B2734" s="1322" t="s">
        <v>7625</v>
      </c>
      <c r="C2734" s="1323" t="s">
        <v>7626</v>
      </c>
      <c r="D2734" s="1324">
        <f t="shared" si="282"/>
        <v>37901</v>
      </c>
      <c r="E2734" s="1323">
        <f t="shared" si="284"/>
        <v>6.8128000000000002</v>
      </c>
      <c r="F2734" s="1323">
        <f t="shared" si="283"/>
        <v>5.8102139800184682</v>
      </c>
      <c r="G2734" s="1323">
        <f t="shared" si="285"/>
        <v>2003</v>
      </c>
      <c r="H2734" s="1323">
        <f t="shared" si="286"/>
        <v>10</v>
      </c>
      <c r="I2734" s="1323">
        <f t="shared" si="287"/>
        <v>7</v>
      </c>
      <c r="J2734" s="1323"/>
      <c r="K2734" s="1323"/>
      <c r="L2734" s="1323"/>
      <c r="M2734" s="1323"/>
      <c r="N2734" s="1323"/>
      <c r="O2734" s="1323"/>
      <c r="P2734" s="1323"/>
      <c r="Q2734" s="1323"/>
      <c r="R2734" s="1304"/>
      <c r="S2734" s="1304"/>
      <c r="T2734" s="1304"/>
    </row>
    <row r="2735" spans="1:20">
      <c r="A2735" s="1303"/>
      <c r="B2735" s="1322" t="s">
        <v>7627</v>
      </c>
      <c r="C2735" s="1323" t="s">
        <v>7628</v>
      </c>
      <c r="D2735" s="1324">
        <f t="shared" si="282"/>
        <v>37900</v>
      </c>
      <c r="E2735" s="1323">
        <f t="shared" si="284"/>
        <v>6.9427000000000003</v>
      </c>
      <c r="F2735" s="1323">
        <f t="shared" si="283"/>
        <v>5.8090999060638806</v>
      </c>
      <c r="G2735" s="1323">
        <f t="shared" si="285"/>
        <v>2003</v>
      </c>
      <c r="H2735" s="1323">
        <f t="shared" si="286"/>
        <v>10</v>
      </c>
      <c r="I2735" s="1323">
        <f t="shared" si="287"/>
        <v>6</v>
      </c>
      <c r="J2735" s="1323"/>
      <c r="K2735" s="1323"/>
      <c r="L2735" s="1323"/>
      <c r="M2735" s="1323"/>
      <c r="N2735" s="1323"/>
      <c r="O2735" s="1323"/>
      <c r="P2735" s="1323"/>
      <c r="Q2735" s="1323"/>
      <c r="R2735" s="1304"/>
      <c r="S2735" s="1304"/>
      <c r="T2735" s="1304"/>
    </row>
    <row r="2736" spans="1:20">
      <c r="A2736" s="1303"/>
      <c r="B2736" s="1322" t="s">
        <v>7629</v>
      </c>
      <c r="C2736" s="1323" t="s">
        <v>7630</v>
      </c>
      <c r="D2736" s="1324">
        <f t="shared" si="282"/>
        <v>37897</v>
      </c>
      <c r="E2736" s="1323">
        <f t="shared" si="284"/>
        <v>6.8589000000000002</v>
      </c>
      <c r="F2736" s="1323">
        <f t="shared" si="283"/>
        <v>5.8079860457263441</v>
      </c>
      <c r="G2736" s="1323">
        <f t="shared" si="285"/>
        <v>2003</v>
      </c>
      <c r="H2736" s="1323">
        <f t="shared" si="286"/>
        <v>10</v>
      </c>
      <c r="I2736" s="1323">
        <f t="shared" si="287"/>
        <v>3</v>
      </c>
      <c r="J2736" s="1323"/>
      <c r="K2736" s="1323"/>
      <c r="L2736" s="1323"/>
      <c r="M2736" s="1323"/>
      <c r="N2736" s="1323"/>
      <c r="O2736" s="1323"/>
      <c r="P2736" s="1323"/>
      <c r="Q2736" s="1323"/>
      <c r="R2736" s="1304"/>
      <c r="S2736" s="1304"/>
      <c r="T2736" s="1304"/>
    </row>
    <row r="2737" spans="1:20">
      <c r="A2737" s="1303"/>
      <c r="B2737" s="1322" t="s">
        <v>7631</v>
      </c>
      <c r="C2737" s="1323" t="s">
        <v>7632</v>
      </c>
      <c r="D2737" s="1324">
        <f t="shared" si="282"/>
        <v>37896</v>
      </c>
      <c r="E2737" s="1323">
        <f t="shared" si="284"/>
        <v>6.8940000000000001</v>
      </c>
      <c r="F2737" s="1323">
        <f t="shared" si="283"/>
        <v>5.8068723989648987</v>
      </c>
      <c r="G2737" s="1323">
        <f t="shared" si="285"/>
        <v>2003</v>
      </c>
      <c r="H2737" s="1323">
        <f t="shared" si="286"/>
        <v>10</v>
      </c>
      <c r="I2737" s="1323">
        <f t="shared" si="287"/>
        <v>2</v>
      </c>
      <c r="J2737" s="1323"/>
      <c r="K2737" s="1323"/>
      <c r="L2737" s="1323"/>
      <c r="M2737" s="1323"/>
      <c r="N2737" s="1323"/>
      <c r="O2737" s="1323"/>
      <c r="P2737" s="1323"/>
      <c r="Q2737" s="1323"/>
      <c r="R2737" s="1304"/>
      <c r="S2737" s="1304"/>
      <c r="T2737" s="1304"/>
    </row>
    <row r="2738" spans="1:20">
      <c r="A2738" s="1303"/>
      <c r="B2738" s="1322" t="s">
        <v>7633</v>
      </c>
      <c r="C2738" s="1323" t="s">
        <v>7634</v>
      </c>
      <c r="D2738" s="1324">
        <f t="shared" si="282"/>
        <v>37895</v>
      </c>
      <c r="E2738" s="1323">
        <f t="shared" si="284"/>
        <v>6.9489000000000001</v>
      </c>
      <c r="F2738" s="1323">
        <f t="shared" si="283"/>
        <v>5.8057589657385922</v>
      </c>
      <c r="G2738" s="1323">
        <f t="shared" si="285"/>
        <v>2003</v>
      </c>
      <c r="H2738" s="1323">
        <f t="shared" si="286"/>
        <v>10</v>
      </c>
      <c r="I2738" s="1323">
        <f t="shared" si="287"/>
        <v>1</v>
      </c>
      <c r="J2738" s="1323"/>
      <c r="K2738" s="1323"/>
      <c r="L2738" s="1323"/>
      <c r="M2738" s="1323"/>
      <c r="N2738" s="1323"/>
      <c r="O2738" s="1323"/>
      <c r="P2738" s="1323"/>
      <c r="Q2738" s="1323"/>
      <c r="R2738" s="1304"/>
      <c r="S2738" s="1304"/>
      <c r="T2738" s="1304"/>
    </row>
    <row r="2739" spans="1:20">
      <c r="A2739" s="1303"/>
      <c r="B2739" s="1322" t="s">
        <v>7635</v>
      </c>
      <c r="C2739" s="1323" t="s">
        <v>7636</v>
      </c>
      <c r="D2739" s="1324">
        <f t="shared" si="282"/>
        <v>37894</v>
      </c>
      <c r="E2739" s="1323">
        <f t="shared" si="284"/>
        <v>7.0048000000000004</v>
      </c>
      <c r="F2739" s="1323">
        <f t="shared" si="283"/>
        <v>5.8046457460064813</v>
      </c>
      <c r="G2739" s="1323">
        <f t="shared" si="285"/>
        <v>2003</v>
      </c>
      <c r="H2739" s="1323">
        <f t="shared" si="286"/>
        <v>9</v>
      </c>
      <c r="I2739" s="1323">
        <f t="shared" si="287"/>
        <v>30</v>
      </c>
      <c r="J2739" s="1323"/>
      <c r="K2739" s="1323"/>
      <c r="L2739" s="1323"/>
      <c r="M2739" s="1323"/>
      <c r="N2739" s="1323"/>
      <c r="O2739" s="1323"/>
      <c r="P2739" s="1323"/>
      <c r="Q2739" s="1323"/>
      <c r="R2739" s="1304"/>
      <c r="S2739" s="1304"/>
      <c r="T2739" s="1304"/>
    </row>
    <row r="2740" spans="1:20">
      <c r="A2740" s="1303"/>
      <c r="B2740" s="1322" t="s">
        <v>7637</v>
      </c>
      <c r="C2740" s="1323" t="s">
        <v>7638</v>
      </c>
      <c r="D2740" s="1324">
        <f t="shared" si="282"/>
        <v>37893</v>
      </c>
      <c r="E2740" s="1323">
        <f t="shared" si="284"/>
        <v>7.1665000000000001</v>
      </c>
      <c r="F2740" s="1323">
        <f t="shared" si="283"/>
        <v>5.8035327397276291</v>
      </c>
      <c r="G2740" s="1323">
        <f t="shared" si="285"/>
        <v>2003</v>
      </c>
      <c r="H2740" s="1323">
        <f t="shared" si="286"/>
        <v>9</v>
      </c>
      <c r="I2740" s="1323">
        <f t="shared" si="287"/>
        <v>29</v>
      </c>
      <c r="J2740" s="1323"/>
      <c r="K2740" s="1323"/>
      <c r="L2740" s="1323"/>
      <c r="M2740" s="1323"/>
      <c r="N2740" s="1323"/>
      <c r="O2740" s="1323"/>
      <c r="P2740" s="1323"/>
      <c r="Q2740" s="1323"/>
      <c r="R2740" s="1304"/>
      <c r="S2740" s="1304"/>
      <c r="T2740" s="1304"/>
    </row>
    <row r="2741" spans="1:20">
      <c r="A2741" s="1303"/>
      <c r="B2741" s="1322" t="s">
        <v>7639</v>
      </c>
      <c r="C2741" s="1323" t="s">
        <v>7640</v>
      </c>
      <c r="D2741" s="1324">
        <f t="shared" si="282"/>
        <v>37890</v>
      </c>
      <c r="E2741" s="1323">
        <f t="shared" si="284"/>
        <v>7.1216999999999997</v>
      </c>
      <c r="F2741" s="1323">
        <f t="shared" si="283"/>
        <v>5.8024199468611073</v>
      </c>
      <c r="G2741" s="1323">
        <f t="shared" si="285"/>
        <v>2003</v>
      </c>
      <c r="H2741" s="1323">
        <f t="shared" si="286"/>
        <v>9</v>
      </c>
      <c r="I2741" s="1323">
        <f t="shared" si="287"/>
        <v>26</v>
      </c>
      <c r="J2741" s="1323"/>
      <c r="K2741" s="1323"/>
      <c r="L2741" s="1323"/>
      <c r="M2741" s="1323"/>
      <c r="N2741" s="1323"/>
      <c r="O2741" s="1323"/>
      <c r="P2741" s="1323"/>
      <c r="Q2741" s="1323"/>
      <c r="R2741" s="1304"/>
      <c r="S2741" s="1304"/>
      <c r="T2741" s="1304"/>
    </row>
    <row r="2742" spans="1:20">
      <c r="A2742" s="1303"/>
      <c r="B2742" s="1322" t="s">
        <v>7641</v>
      </c>
      <c r="C2742" s="1323" t="s">
        <v>7642</v>
      </c>
      <c r="D2742" s="1324">
        <f t="shared" si="282"/>
        <v>37889</v>
      </c>
      <c r="E2742" s="1323">
        <f t="shared" si="284"/>
        <v>7.1106999999999996</v>
      </c>
      <c r="F2742" s="1323">
        <f t="shared" si="283"/>
        <v>5.8013073673659958</v>
      </c>
      <c r="G2742" s="1323">
        <f t="shared" si="285"/>
        <v>2003</v>
      </c>
      <c r="H2742" s="1323">
        <f t="shared" si="286"/>
        <v>9</v>
      </c>
      <c r="I2742" s="1323">
        <f t="shared" si="287"/>
        <v>25</v>
      </c>
      <c r="J2742" s="1323"/>
      <c r="K2742" s="1323"/>
      <c r="L2742" s="1323"/>
      <c r="M2742" s="1323"/>
      <c r="N2742" s="1323"/>
      <c r="O2742" s="1323"/>
      <c r="P2742" s="1323"/>
      <c r="Q2742" s="1323"/>
      <c r="R2742" s="1304"/>
      <c r="S2742" s="1304"/>
      <c r="T2742" s="1304"/>
    </row>
    <row r="2743" spans="1:20">
      <c r="A2743" s="1303"/>
      <c r="B2743" s="1322" t="s">
        <v>7643</v>
      </c>
      <c r="C2743" s="1323" t="s">
        <v>7644</v>
      </c>
      <c r="D2743" s="1324">
        <f t="shared" si="282"/>
        <v>37887</v>
      </c>
      <c r="E2743" s="1323">
        <f t="shared" si="284"/>
        <v>7.1942000000000004</v>
      </c>
      <c r="F2743" s="1323">
        <f t="shared" si="283"/>
        <v>5.8001950012013817</v>
      </c>
      <c r="G2743" s="1323">
        <f t="shared" si="285"/>
        <v>2003</v>
      </c>
      <c r="H2743" s="1323">
        <f t="shared" si="286"/>
        <v>9</v>
      </c>
      <c r="I2743" s="1323">
        <f t="shared" si="287"/>
        <v>23</v>
      </c>
      <c r="J2743" s="1323"/>
      <c r="K2743" s="1323"/>
      <c r="L2743" s="1323"/>
      <c r="M2743" s="1323"/>
      <c r="N2743" s="1323"/>
      <c r="O2743" s="1323"/>
      <c r="P2743" s="1323"/>
      <c r="Q2743" s="1323"/>
      <c r="R2743" s="1304"/>
      <c r="S2743" s="1304"/>
      <c r="T2743" s="1304"/>
    </row>
    <row r="2744" spans="1:20">
      <c r="A2744" s="1303"/>
      <c r="B2744" s="1322" t="s">
        <v>7645</v>
      </c>
      <c r="C2744" s="1323" t="s">
        <v>7646</v>
      </c>
      <c r="D2744" s="1324">
        <f t="shared" si="282"/>
        <v>37886</v>
      </c>
      <c r="E2744" s="1323">
        <f t="shared" si="284"/>
        <v>7.2786</v>
      </c>
      <c r="F2744" s="1323">
        <f t="shared" si="283"/>
        <v>5.7990828483263597</v>
      </c>
      <c r="G2744" s="1323">
        <f t="shared" si="285"/>
        <v>2003</v>
      </c>
      <c r="H2744" s="1323">
        <f t="shared" si="286"/>
        <v>9</v>
      </c>
      <c r="I2744" s="1323">
        <f t="shared" si="287"/>
        <v>22</v>
      </c>
      <c r="J2744" s="1323"/>
      <c r="K2744" s="1323"/>
      <c r="L2744" s="1323"/>
      <c r="M2744" s="1323"/>
      <c r="N2744" s="1323"/>
      <c r="O2744" s="1323"/>
      <c r="P2744" s="1323"/>
      <c r="Q2744" s="1323"/>
      <c r="R2744" s="1304"/>
      <c r="S2744" s="1304"/>
      <c r="T2744" s="1304"/>
    </row>
    <row r="2745" spans="1:20">
      <c r="A2745" s="1303"/>
      <c r="B2745" s="1322" t="s">
        <v>7647</v>
      </c>
      <c r="C2745" s="1323" t="s">
        <v>7648</v>
      </c>
      <c r="D2745" s="1324">
        <f t="shared" si="282"/>
        <v>37883</v>
      </c>
      <c r="E2745" s="1323">
        <f t="shared" si="284"/>
        <v>7.3571</v>
      </c>
      <c r="F2745" s="1323">
        <f t="shared" si="283"/>
        <v>5.7979709087000337</v>
      </c>
      <c r="G2745" s="1323">
        <f t="shared" si="285"/>
        <v>2003</v>
      </c>
      <c r="H2745" s="1323">
        <f t="shared" si="286"/>
        <v>9</v>
      </c>
      <c r="I2745" s="1323">
        <f t="shared" si="287"/>
        <v>19</v>
      </c>
      <c r="J2745" s="1323"/>
      <c r="K2745" s="1323"/>
      <c r="L2745" s="1323"/>
      <c r="M2745" s="1323"/>
      <c r="N2745" s="1323"/>
      <c r="O2745" s="1323"/>
      <c r="P2745" s="1323"/>
      <c r="Q2745" s="1323"/>
      <c r="R2745" s="1304"/>
      <c r="S2745" s="1304"/>
      <c r="T2745" s="1304"/>
    </row>
    <row r="2746" spans="1:20">
      <c r="A2746" s="1303"/>
      <c r="B2746" s="1322" t="s">
        <v>7649</v>
      </c>
      <c r="C2746" s="1323" t="s">
        <v>7650</v>
      </c>
      <c r="D2746" s="1324">
        <f t="shared" si="282"/>
        <v>37882</v>
      </c>
      <c r="E2746" s="1323">
        <f t="shared" si="284"/>
        <v>7.4131</v>
      </c>
      <c r="F2746" s="1323">
        <f t="shared" si="283"/>
        <v>5.7968591822815139</v>
      </c>
      <c r="G2746" s="1323">
        <f t="shared" si="285"/>
        <v>2003</v>
      </c>
      <c r="H2746" s="1323">
        <f t="shared" si="286"/>
        <v>9</v>
      </c>
      <c r="I2746" s="1323">
        <f t="shared" si="287"/>
        <v>18</v>
      </c>
      <c r="J2746" s="1323"/>
      <c r="K2746" s="1323"/>
      <c r="L2746" s="1323"/>
      <c r="M2746" s="1323"/>
      <c r="N2746" s="1323"/>
      <c r="O2746" s="1323"/>
      <c r="P2746" s="1323"/>
      <c r="Q2746" s="1323"/>
      <c r="R2746" s="1304"/>
      <c r="S2746" s="1304"/>
      <c r="T2746" s="1304"/>
    </row>
    <row r="2747" spans="1:20">
      <c r="A2747" s="1303"/>
      <c r="B2747" s="1322" t="s">
        <v>7651</v>
      </c>
      <c r="C2747" s="1323" t="s">
        <v>7652</v>
      </c>
      <c r="D2747" s="1324">
        <f t="shared" si="282"/>
        <v>37881</v>
      </c>
      <c r="E2747" s="1323">
        <f t="shared" si="284"/>
        <v>7.4809000000000001</v>
      </c>
      <c r="F2747" s="1323">
        <f t="shared" si="283"/>
        <v>5.795747669029919</v>
      </c>
      <c r="G2747" s="1323">
        <f t="shared" si="285"/>
        <v>2003</v>
      </c>
      <c r="H2747" s="1323">
        <f t="shared" si="286"/>
        <v>9</v>
      </c>
      <c r="I2747" s="1323">
        <f t="shared" si="287"/>
        <v>17</v>
      </c>
      <c r="J2747" s="1323"/>
      <c r="K2747" s="1323"/>
      <c r="L2747" s="1323"/>
      <c r="M2747" s="1323"/>
      <c r="N2747" s="1323"/>
      <c r="O2747" s="1323"/>
      <c r="P2747" s="1323"/>
      <c r="Q2747" s="1323"/>
      <c r="R2747" s="1304"/>
      <c r="S2747" s="1304"/>
      <c r="T2747" s="1304"/>
    </row>
    <row r="2748" spans="1:20">
      <c r="A2748" s="1303"/>
      <c r="B2748" s="1322" t="s">
        <v>7653</v>
      </c>
      <c r="C2748" s="1323" t="s">
        <v>7654</v>
      </c>
      <c r="D2748" s="1324">
        <f t="shared" si="282"/>
        <v>37880</v>
      </c>
      <c r="E2748" s="1323">
        <f t="shared" si="284"/>
        <v>7.4431000000000003</v>
      </c>
      <c r="F2748" s="1323">
        <f t="shared" si="283"/>
        <v>5.7946363689043752</v>
      </c>
      <c r="G2748" s="1323">
        <f t="shared" si="285"/>
        <v>2003</v>
      </c>
      <c r="H2748" s="1323">
        <f t="shared" si="286"/>
        <v>9</v>
      </c>
      <c r="I2748" s="1323">
        <f t="shared" si="287"/>
        <v>16</v>
      </c>
      <c r="J2748" s="1323"/>
      <c r="K2748" s="1323"/>
      <c r="L2748" s="1323"/>
      <c r="M2748" s="1323"/>
      <c r="N2748" s="1323"/>
      <c r="O2748" s="1323"/>
      <c r="P2748" s="1323"/>
      <c r="Q2748" s="1323"/>
      <c r="R2748" s="1304"/>
      <c r="S2748" s="1304"/>
      <c r="T2748" s="1304"/>
    </row>
    <row r="2749" spans="1:20">
      <c r="A2749" s="1303"/>
      <c r="B2749" s="1322" t="s">
        <v>7655</v>
      </c>
      <c r="C2749" s="1323" t="s">
        <v>7656</v>
      </c>
      <c r="D2749" s="1324">
        <f t="shared" si="282"/>
        <v>37879</v>
      </c>
      <c r="E2749" s="1323">
        <f t="shared" si="284"/>
        <v>7.3587999999999996</v>
      </c>
      <c r="F2749" s="1323">
        <f t="shared" si="283"/>
        <v>5.7935252818640173</v>
      </c>
      <c r="G2749" s="1323">
        <f t="shared" si="285"/>
        <v>2003</v>
      </c>
      <c r="H2749" s="1323">
        <f t="shared" si="286"/>
        <v>9</v>
      </c>
      <c r="I2749" s="1323">
        <f t="shared" si="287"/>
        <v>15</v>
      </c>
      <c r="J2749" s="1323"/>
      <c r="K2749" s="1323"/>
      <c r="L2749" s="1323"/>
      <c r="M2749" s="1323"/>
      <c r="N2749" s="1323"/>
      <c r="O2749" s="1323"/>
      <c r="P2749" s="1323"/>
      <c r="Q2749" s="1323"/>
      <c r="R2749" s="1304"/>
      <c r="S2749" s="1304"/>
      <c r="T2749" s="1304"/>
    </row>
    <row r="2750" spans="1:20">
      <c r="A2750" s="1303"/>
      <c r="B2750" s="1322" t="s">
        <v>7657</v>
      </c>
      <c r="C2750" s="1323" t="s">
        <v>7658</v>
      </c>
      <c r="D2750" s="1324">
        <f t="shared" si="282"/>
        <v>37876</v>
      </c>
      <c r="E2750" s="1323">
        <f t="shared" si="284"/>
        <v>7.3948999999999998</v>
      </c>
      <c r="F2750" s="1323">
        <f t="shared" si="283"/>
        <v>5.7924144078679873</v>
      </c>
      <c r="G2750" s="1323">
        <f t="shared" si="285"/>
        <v>2003</v>
      </c>
      <c r="H2750" s="1323">
        <f t="shared" si="286"/>
        <v>9</v>
      </c>
      <c r="I2750" s="1323">
        <f t="shared" si="287"/>
        <v>12</v>
      </c>
      <c r="J2750" s="1323"/>
      <c r="K2750" s="1323"/>
      <c r="L2750" s="1323"/>
      <c r="M2750" s="1323"/>
      <c r="N2750" s="1323"/>
      <c r="O2750" s="1323"/>
      <c r="P2750" s="1323"/>
      <c r="Q2750" s="1323"/>
      <c r="R2750" s="1304"/>
      <c r="S2750" s="1304"/>
      <c r="T2750" s="1304"/>
    </row>
    <row r="2751" spans="1:20">
      <c r="A2751" s="1303"/>
      <c r="B2751" s="1322" t="s">
        <v>7659</v>
      </c>
      <c r="C2751" s="1323" t="s">
        <v>7660</v>
      </c>
      <c r="D2751" s="1324">
        <f t="shared" si="282"/>
        <v>37875</v>
      </c>
      <c r="E2751" s="1323">
        <f t="shared" si="284"/>
        <v>7.3960999999999997</v>
      </c>
      <c r="F2751" s="1323">
        <f t="shared" si="283"/>
        <v>5.7913037468754354</v>
      </c>
      <c r="G2751" s="1323">
        <f t="shared" si="285"/>
        <v>2003</v>
      </c>
      <c r="H2751" s="1323">
        <f t="shared" si="286"/>
        <v>9</v>
      </c>
      <c r="I2751" s="1323">
        <f t="shared" si="287"/>
        <v>11</v>
      </c>
      <c r="J2751" s="1323"/>
      <c r="K2751" s="1323"/>
      <c r="L2751" s="1323"/>
      <c r="M2751" s="1323"/>
      <c r="N2751" s="1323"/>
      <c r="O2751" s="1323"/>
      <c r="P2751" s="1323"/>
      <c r="Q2751" s="1323"/>
      <c r="R2751" s="1304"/>
      <c r="S2751" s="1304"/>
      <c r="T2751" s="1304"/>
    </row>
    <row r="2752" spans="1:20">
      <c r="A2752" s="1303"/>
      <c r="B2752" s="1322" t="s">
        <v>7661</v>
      </c>
      <c r="C2752" s="1323" t="s">
        <v>7662</v>
      </c>
      <c r="D2752" s="1324">
        <f t="shared" si="282"/>
        <v>37874</v>
      </c>
      <c r="E2752" s="1323">
        <f t="shared" si="284"/>
        <v>7.4878</v>
      </c>
      <c r="F2752" s="1323">
        <f t="shared" si="283"/>
        <v>5.7901932988455194</v>
      </c>
      <c r="G2752" s="1323">
        <f t="shared" si="285"/>
        <v>2003</v>
      </c>
      <c r="H2752" s="1323">
        <f t="shared" si="286"/>
        <v>9</v>
      </c>
      <c r="I2752" s="1323">
        <f t="shared" si="287"/>
        <v>10</v>
      </c>
      <c r="J2752" s="1323"/>
      <c r="K2752" s="1323"/>
      <c r="L2752" s="1323"/>
      <c r="M2752" s="1323"/>
      <c r="N2752" s="1323"/>
      <c r="O2752" s="1323"/>
      <c r="P2752" s="1323"/>
      <c r="Q2752" s="1323"/>
      <c r="R2752" s="1304"/>
      <c r="S2752" s="1304"/>
      <c r="T2752" s="1304"/>
    </row>
    <row r="2753" spans="1:20">
      <c r="A2753" s="1303"/>
      <c r="B2753" s="1322" t="s">
        <v>7663</v>
      </c>
      <c r="C2753" s="1323" t="s">
        <v>7664</v>
      </c>
      <c r="D2753" s="1324">
        <f t="shared" si="282"/>
        <v>37873</v>
      </c>
      <c r="E2753" s="1323">
        <f t="shared" si="284"/>
        <v>7.5498000000000003</v>
      </c>
      <c r="F2753" s="1323">
        <f t="shared" si="283"/>
        <v>5.7890830637374053</v>
      </c>
      <c r="G2753" s="1323">
        <f t="shared" si="285"/>
        <v>2003</v>
      </c>
      <c r="H2753" s="1323">
        <f t="shared" si="286"/>
        <v>9</v>
      </c>
      <c r="I2753" s="1323">
        <f t="shared" si="287"/>
        <v>9</v>
      </c>
      <c r="J2753" s="1323"/>
      <c r="K2753" s="1323"/>
      <c r="L2753" s="1323"/>
      <c r="M2753" s="1323"/>
      <c r="N2753" s="1323"/>
      <c r="O2753" s="1323"/>
      <c r="P2753" s="1323"/>
      <c r="Q2753" s="1323"/>
      <c r="R2753" s="1304"/>
      <c r="S2753" s="1304"/>
      <c r="T2753" s="1304"/>
    </row>
    <row r="2754" spans="1:20">
      <c r="A2754" s="1303"/>
      <c r="B2754" s="1322" t="s">
        <v>7665</v>
      </c>
      <c r="C2754" s="1323" t="s">
        <v>7666</v>
      </c>
      <c r="D2754" s="1324">
        <f t="shared" si="282"/>
        <v>37872</v>
      </c>
      <c r="E2754" s="1323">
        <f t="shared" si="284"/>
        <v>7.5091000000000001</v>
      </c>
      <c r="F2754" s="1323">
        <f t="shared" si="283"/>
        <v>5.7879730415102664</v>
      </c>
      <c r="G2754" s="1323">
        <f t="shared" si="285"/>
        <v>2003</v>
      </c>
      <c r="H2754" s="1323">
        <f t="shared" si="286"/>
        <v>9</v>
      </c>
      <c r="I2754" s="1323">
        <f t="shared" si="287"/>
        <v>8</v>
      </c>
      <c r="J2754" s="1323"/>
      <c r="K2754" s="1323"/>
      <c r="L2754" s="1323"/>
      <c r="M2754" s="1323"/>
      <c r="N2754" s="1323"/>
      <c r="O2754" s="1323"/>
      <c r="P2754" s="1323"/>
      <c r="Q2754" s="1323"/>
      <c r="R2754" s="1304"/>
      <c r="S2754" s="1304"/>
      <c r="T2754" s="1304"/>
    </row>
    <row r="2755" spans="1:20">
      <c r="A2755" s="1303"/>
      <c r="B2755" s="1322" t="s">
        <v>7667</v>
      </c>
      <c r="C2755" s="1323" t="s">
        <v>7668</v>
      </c>
      <c r="D2755" s="1324">
        <f t="shared" si="282"/>
        <v>37869</v>
      </c>
      <c r="E2755" s="1323">
        <f t="shared" si="284"/>
        <v>7.3563000000000001</v>
      </c>
      <c r="F2755" s="1323">
        <f t="shared" si="283"/>
        <v>5.7868632321232836</v>
      </c>
      <c r="G2755" s="1323">
        <f t="shared" si="285"/>
        <v>2003</v>
      </c>
      <c r="H2755" s="1323">
        <f t="shared" si="286"/>
        <v>9</v>
      </c>
      <c r="I2755" s="1323">
        <f t="shared" si="287"/>
        <v>5</v>
      </c>
      <c r="J2755" s="1323"/>
      <c r="K2755" s="1323"/>
      <c r="L2755" s="1323"/>
      <c r="M2755" s="1323"/>
      <c r="N2755" s="1323"/>
      <c r="O2755" s="1323"/>
      <c r="P2755" s="1323"/>
      <c r="Q2755" s="1323"/>
      <c r="R2755" s="1304"/>
      <c r="S2755" s="1304"/>
      <c r="T2755" s="1304"/>
    </row>
    <row r="2756" spans="1:20">
      <c r="A2756" s="1303"/>
      <c r="B2756" s="1322" t="s">
        <v>7669</v>
      </c>
      <c r="C2756" s="1323" t="s">
        <v>7670</v>
      </c>
      <c r="D2756" s="1324">
        <f t="shared" si="282"/>
        <v>37868</v>
      </c>
      <c r="E2756" s="1323">
        <f t="shared" si="284"/>
        <v>7.2469000000000001</v>
      </c>
      <c r="F2756" s="1323">
        <f t="shared" si="283"/>
        <v>5.785753635535646</v>
      </c>
      <c r="G2756" s="1323">
        <f t="shared" si="285"/>
        <v>2003</v>
      </c>
      <c r="H2756" s="1323">
        <f t="shared" si="286"/>
        <v>9</v>
      </c>
      <c r="I2756" s="1323">
        <f t="shared" si="287"/>
        <v>4</v>
      </c>
      <c r="J2756" s="1323"/>
      <c r="K2756" s="1323"/>
      <c r="L2756" s="1323"/>
      <c r="M2756" s="1323"/>
      <c r="N2756" s="1323"/>
      <c r="O2756" s="1323"/>
      <c r="P2756" s="1323"/>
      <c r="Q2756" s="1323"/>
      <c r="R2756" s="1304"/>
      <c r="S2756" s="1304"/>
      <c r="T2756" s="1304"/>
    </row>
    <row r="2757" spans="1:20">
      <c r="A2757" s="1303"/>
      <c r="B2757" s="1322" t="s">
        <v>7671</v>
      </c>
      <c r="C2757" s="1323" t="s">
        <v>7672</v>
      </c>
      <c r="D2757" s="1324">
        <f t="shared" si="282"/>
        <v>37867</v>
      </c>
      <c r="E2757" s="1323">
        <f t="shared" si="284"/>
        <v>7.3040000000000003</v>
      </c>
      <c r="F2757" s="1323">
        <f t="shared" si="283"/>
        <v>5.7846442517065517</v>
      </c>
      <c r="G2757" s="1323">
        <f t="shared" si="285"/>
        <v>2003</v>
      </c>
      <c r="H2757" s="1323">
        <f t="shared" si="286"/>
        <v>9</v>
      </c>
      <c r="I2757" s="1323">
        <f t="shared" si="287"/>
        <v>3</v>
      </c>
      <c r="J2757" s="1323"/>
      <c r="K2757" s="1323"/>
      <c r="L2757" s="1323"/>
      <c r="M2757" s="1323"/>
      <c r="N2757" s="1323"/>
      <c r="O2757" s="1323"/>
      <c r="P2757" s="1323"/>
      <c r="Q2757" s="1323"/>
      <c r="R2757" s="1304"/>
      <c r="S2757" s="1304"/>
      <c r="T2757" s="1304"/>
    </row>
    <row r="2758" spans="1:20">
      <c r="A2758" s="1303"/>
      <c r="B2758" s="1322" t="s">
        <v>7673</v>
      </c>
      <c r="C2758" s="1323" t="s">
        <v>5542</v>
      </c>
      <c r="D2758" s="1324">
        <f t="shared" si="282"/>
        <v>37866</v>
      </c>
      <c r="E2758" s="1323">
        <f t="shared" si="284"/>
        <v>7.3677999999999999</v>
      </c>
      <c r="F2758" s="1323">
        <f t="shared" si="283"/>
        <v>5.7835350805952048</v>
      </c>
      <c r="G2758" s="1323">
        <f t="shared" si="285"/>
        <v>2003</v>
      </c>
      <c r="H2758" s="1323">
        <f t="shared" si="286"/>
        <v>9</v>
      </c>
      <c r="I2758" s="1323">
        <f t="shared" si="287"/>
        <v>2</v>
      </c>
      <c r="J2758" s="1323"/>
      <c r="K2758" s="1323"/>
      <c r="L2758" s="1323"/>
      <c r="M2758" s="1323"/>
      <c r="N2758" s="1323"/>
      <c r="O2758" s="1323"/>
      <c r="P2758" s="1323"/>
      <c r="Q2758" s="1323"/>
      <c r="R2758" s="1304"/>
      <c r="S2758" s="1304"/>
      <c r="T2758" s="1304"/>
    </row>
    <row r="2759" spans="1:20">
      <c r="A2759" s="1303"/>
      <c r="B2759" s="1322" t="s">
        <v>7674</v>
      </c>
      <c r="C2759" s="1323" t="s">
        <v>7675</v>
      </c>
      <c r="D2759" s="1324">
        <f t="shared" si="282"/>
        <v>37865</v>
      </c>
      <c r="E2759" s="1323">
        <f t="shared" si="284"/>
        <v>7.3311000000000002</v>
      </c>
      <c r="F2759" s="1323">
        <f t="shared" si="283"/>
        <v>5.7824261221608175</v>
      </c>
      <c r="G2759" s="1323">
        <f t="shared" si="285"/>
        <v>2003</v>
      </c>
      <c r="H2759" s="1323">
        <f t="shared" si="286"/>
        <v>9</v>
      </c>
      <c r="I2759" s="1323">
        <f t="shared" si="287"/>
        <v>1</v>
      </c>
      <c r="J2759" s="1323"/>
      <c r="K2759" s="1323"/>
      <c r="L2759" s="1323"/>
      <c r="M2759" s="1323"/>
      <c r="N2759" s="1323"/>
      <c r="O2759" s="1323"/>
      <c r="P2759" s="1323"/>
      <c r="Q2759" s="1323"/>
      <c r="R2759" s="1304"/>
      <c r="S2759" s="1304"/>
      <c r="T2759" s="1304"/>
    </row>
    <row r="2760" spans="1:20">
      <c r="A2760" s="1303"/>
      <c r="B2760" s="1322" t="s">
        <v>7676</v>
      </c>
      <c r="C2760" s="1323" t="s">
        <v>7677</v>
      </c>
      <c r="D2760" s="1324">
        <f t="shared" si="282"/>
        <v>37862</v>
      </c>
      <c r="E2760" s="1323">
        <f t="shared" si="284"/>
        <v>7.3388</v>
      </c>
      <c r="F2760" s="1323">
        <f t="shared" si="283"/>
        <v>5.7813173763626109</v>
      </c>
      <c r="G2760" s="1323">
        <f t="shared" si="285"/>
        <v>2003</v>
      </c>
      <c r="H2760" s="1323">
        <f t="shared" si="286"/>
        <v>8</v>
      </c>
      <c r="I2760" s="1323">
        <f t="shared" si="287"/>
        <v>29</v>
      </c>
      <c r="J2760" s="1323"/>
      <c r="K2760" s="1323"/>
      <c r="L2760" s="1323"/>
      <c r="M2760" s="1323"/>
      <c r="N2760" s="1323"/>
      <c r="O2760" s="1323"/>
      <c r="P2760" s="1323"/>
      <c r="Q2760" s="1323"/>
      <c r="R2760" s="1304"/>
      <c r="S2760" s="1304"/>
      <c r="T2760" s="1304"/>
    </row>
    <row r="2761" spans="1:20">
      <c r="A2761" s="1303"/>
      <c r="B2761" s="1322" t="s">
        <v>7678</v>
      </c>
      <c r="C2761" s="1323" t="s">
        <v>7679</v>
      </c>
      <c r="D2761" s="1324">
        <f t="shared" ref="D2761:D2824" si="288">DATE(G2761,H2761,I2761)</f>
        <v>37861</v>
      </c>
      <c r="E2761" s="1323">
        <f t="shared" si="284"/>
        <v>7.3569000000000004</v>
      </c>
      <c r="F2761" s="1323">
        <f t="shared" ref="F2761:F2824" si="289">F2762*(1+$F$7/365)</f>
        <v>5.7802088431598131</v>
      </c>
      <c r="G2761" s="1323">
        <f t="shared" si="285"/>
        <v>2003</v>
      </c>
      <c r="H2761" s="1323">
        <f t="shared" si="286"/>
        <v>8</v>
      </c>
      <c r="I2761" s="1323">
        <f t="shared" si="287"/>
        <v>28</v>
      </c>
      <c r="J2761" s="1323"/>
      <c r="K2761" s="1323"/>
      <c r="L2761" s="1323"/>
      <c r="M2761" s="1323"/>
      <c r="N2761" s="1323"/>
      <c r="O2761" s="1323"/>
      <c r="P2761" s="1323"/>
      <c r="Q2761" s="1323"/>
      <c r="R2761" s="1304"/>
      <c r="S2761" s="1304"/>
      <c r="T2761" s="1304"/>
    </row>
    <row r="2762" spans="1:20">
      <c r="A2762" s="1303"/>
      <c r="B2762" s="1322" t="s">
        <v>7680</v>
      </c>
      <c r="C2762" s="1323" t="s">
        <v>7681</v>
      </c>
      <c r="D2762" s="1324">
        <f t="shared" si="288"/>
        <v>37860</v>
      </c>
      <c r="E2762" s="1323">
        <f t="shared" si="284"/>
        <v>7.3727</v>
      </c>
      <c r="F2762" s="1323">
        <f t="shared" si="289"/>
        <v>5.7791005225116603</v>
      </c>
      <c r="G2762" s="1323">
        <f t="shared" si="285"/>
        <v>2003</v>
      </c>
      <c r="H2762" s="1323">
        <f t="shared" si="286"/>
        <v>8</v>
      </c>
      <c r="I2762" s="1323">
        <f t="shared" si="287"/>
        <v>27</v>
      </c>
      <c r="J2762" s="1323"/>
      <c r="K2762" s="1323"/>
      <c r="L2762" s="1323"/>
      <c r="M2762" s="1323"/>
      <c r="N2762" s="1323"/>
      <c r="O2762" s="1323"/>
      <c r="P2762" s="1323"/>
      <c r="Q2762" s="1323"/>
      <c r="R2762" s="1304"/>
      <c r="S2762" s="1304"/>
      <c r="T2762" s="1304"/>
    </row>
    <row r="2763" spans="1:20">
      <c r="A2763" s="1303"/>
      <c r="B2763" s="1322" t="s">
        <v>7682</v>
      </c>
      <c r="C2763" s="1323" t="s">
        <v>7683</v>
      </c>
      <c r="D2763" s="1324">
        <f t="shared" si="288"/>
        <v>37859</v>
      </c>
      <c r="E2763" s="1323">
        <f t="shared" si="284"/>
        <v>7.4885000000000002</v>
      </c>
      <c r="F2763" s="1323">
        <f t="shared" si="289"/>
        <v>5.7779924143773957</v>
      </c>
      <c r="G2763" s="1323">
        <f t="shared" si="285"/>
        <v>2003</v>
      </c>
      <c r="H2763" s="1323">
        <f t="shared" si="286"/>
        <v>8</v>
      </c>
      <c r="I2763" s="1323">
        <f t="shared" si="287"/>
        <v>26</v>
      </c>
      <c r="J2763" s="1323"/>
      <c r="K2763" s="1323"/>
      <c r="L2763" s="1323"/>
      <c r="M2763" s="1323"/>
      <c r="N2763" s="1323"/>
      <c r="O2763" s="1323"/>
      <c r="P2763" s="1323"/>
      <c r="Q2763" s="1323"/>
      <c r="R2763" s="1304"/>
      <c r="S2763" s="1304"/>
      <c r="T2763" s="1304"/>
    </row>
    <row r="2764" spans="1:20">
      <c r="A2764" s="1303"/>
      <c r="B2764" s="1322" t="s">
        <v>7684</v>
      </c>
      <c r="C2764" s="1323" t="s">
        <v>7685</v>
      </c>
      <c r="D2764" s="1324">
        <f t="shared" si="288"/>
        <v>37858</v>
      </c>
      <c r="E2764" s="1323">
        <f t="shared" si="284"/>
        <v>7.4640000000000004</v>
      </c>
      <c r="F2764" s="1323">
        <f t="shared" si="289"/>
        <v>5.7768845187162716</v>
      </c>
      <c r="G2764" s="1323">
        <f t="shared" si="285"/>
        <v>2003</v>
      </c>
      <c r="H2764" s="1323">
        <f t="shared" si="286"/>
        <v>8</v>
      </c>
      <c r="I2764" s="1323">
        <f t="shared" si="287"/>
        <v>25</v>
      </c>
      <c r="J2764" s="1323"/>
      <c r="K2764" s="1323"/>
      <c r="L2764" s="1323"/>
      <c r="M2764" s="1323"/>
      <c r="N2764" s="1323"/>
      <c r="O2764" s="1323"/>
      <c r="P2764" s="1323"/>
      <c r="Q2764" s="1323"/>
      <c r="R2764" s="1304"/>
      <c r="S2764" s="1304"/>
      <c r="T2764" s="1304"/>
    </row>
    <row r="2765" spans="1:20">
      <c r="A2765" s="1303"/>
      <c r="B2765" s="1322" t="s">
        <v>7686</v>
      </c>
      <c r="C2765" s="1323" t="s">
        <v>7687</v>
      </c>
      <c r="D2765" s="1324">
        <f t="shared" si="288"/>
        <v>37855</v>
      </c>
      <c r="E2765" s="1323">
        <f t="shared" si="284"/>
        <v>7.5008999999999997</v>
      </c>
      <c r="F2765" s="1323">
        <f t="shared" si="289"/>
        <v>5.7757768354875481</v>
      </c>
      <c r="G2765" s="1323">
        <f t="shared" si="285"/>
        <v>2003</v>
      </c>
      <c r="H2765" s="1323">
        <f t="shared" si="286"/>
        <v>8</v>
      </c>
      <c r="I2765" s="1323">
        <f t="shared" si="287"/>
        <v>22</v>
      </c>
      <c r="J2765" s="1323"/>
      <c r="K2765" s="1323"/>
      <c r="L2765" s="1323"/>
      <c r="M2765" s="1323"/>
      <c r="N2765" s="1323"/>
      <c r="O2765" s="1323"/>
      <c r="P2765" s="1323"/>
      <c r="Q2765" s="1323"/>
      <c r="R2765" s="1304"/>
      <c r="S2765" s="1304"/>
      <c r="T2765" s="1304"/>
    </row>
    <row r="2766" spans="1:20">
      <c r="A2766" s="1303"/>
      <c r="B2766" s="1322" t="s">
        <v>7688</v>
      </c>
      <c r="C2766" s="1323" t="s">
        <v>7689</v>
      </c>
      <c r="D2766" s="1324">
        <f t="shared" si="288"/>
        <v>37854</v>
      </c>
      <c r="E2766" s="1323">
        <f t="shared" si="284"/>
        <v>7.4187000000000003</v>
      </c>
      <c r="F2766" s="1323">
        <f t="shared" si="289"/>
        <v>5.7746693646504914</v>
      </c>
      <c r="G2766" s="1323">
        <f t="shared" si="285"/>
        <v>2003</v>
      </c>
      <c r="H2766" s="1323">
        <f t="shared" si="286"/>
        <v>8</v>
      </c>
      <c r="I2766" s="1323">
        <f t="shared" si="287"/>
        <v>21</v>
      </c>
      <c r="J2766" s="1323"/>
      <c r="K2766" s="1323"/>
      <c r="L2766" s="1323"/>
      <c r="M2766" s="1323"/>
      <c r="N2766" s="1323"/>
      <c r="O2766" s="1323"/>
      <c r="P2766" s="1323"/>
      <c r="Q2766" s="1323"/>
      <c r="R2766" s="1304"/>
      <c r="S2766" s="1304"/>
      <c r="T2766" s="1304"/>
    </row>
    <row r="2767" spans="1:20">
      <c r="A2767" s="1303"/>
      <c r="B2767" s="1322" t="s">
        <v>7690</v>
      </c>
      <c r="C2767" s="1323" t="s">
        <v>7691</v>
      </c>
      <c r="D2767" s="1324">
        <f t="shared" si="288"/>
        <v>37853</v>
      </c>
      <c r="E2767" s="1323">
        <f t="shared" si="284"/>
        <v>7.3728999999999996</v>
      </c>
      <c r="F2767" s="1323">
        <f t="shared" si="289"/>
        <v>5.7735621061643778</v>
      </c>
      <c r="G2767" s="1323">
        <f t="shared" si="285"/>
        <v>2003</v>
      </c>
      <c r="H2767" s="1323">
        <f t="shared" si="286"/>
        <v>8</v>
      </c>
      <c r="I2767" s="1323">
        <f t="shared" si="287"/>
        <v>20</v>
      </c>
      <c r="J2767" s="1323"/>
      <c r="K2767" s="1323"/>
      <c r="L2767" s="1323"/>
      <c r="M2767" s="1323"/>
      <c r="N2767" s="1323"/>
      <c r="O2767" s="1323"/>
      <c r="P2767" s="1323"/>
      <c r="Q2767" s="1323"/>
      <c r="R2767" s="1304"/>
      <c r="S2767" s="1304"/>
      <c r="T2767" s="1304"/>
    </row>
    <row r="2768" spans="1:20">
      <c r="A2768" s="1303"/>
      <c r="B2768" s="1322" t="s">
        <v>7692</v>
      </c>
      <c r="C2768" s="1323" t="s">
        <v>7693</v>
      </c>
      <c r="D2768" s="1324">
        <f t="shared" si="288"/>
        <v>37852</v>
      </c>
      <c r="E2768" s="1323">
        <f t="shared" si="284"/>
        <v>7.3140000000000001</v>
      </c>
      <c r="F2768" s="1323">
        <f t="shared" si="289"/>
        <v>5.7724550599884896</v>
      </c>
      <c r="G2768" s="1323">
        <f t="shared" si="285"/>
        <v>2003</v>
      </c>
      <c r="H2768" s="1323">
        <f t="shared" si="286"/>
        <v>8</v>
      </c>
      <c r="I2768" s="1323">
        <f t="shared" si="287"/>
        <v>19</v>
      </c>
      <c r="J2768" s="1323"/>
      <c r="K2768" s="1323"/>
      <c r="L2768" s="1323"/>
      <c r="M2768" s="1323"/>
      <c r="N2768" s="1323"/>
      <c r="O2768" s="1323"/>
      <c r="P2768" s="1323"/>
      <c r="Q2768" s="1323"/>
      <c r="R2768" s="1304"/>
      <c r="S2768" s="1304"/>
      <c r="T2768" s="1304"/>
    </row>
    <row r="2769" spans="1:20">
      <c r="A2769" s="1303"/>
      <c r="B2769" s="1322" t="s">
        <v>7694</v>
      </c>
      <c r="C2769" s="1323" t="s">
        <v>7695</v>
      </c>
      <c r="D2769" s="1324">
        <f t="shared" si="288"/>
        <v>37851</v>
      </c>
      <c r="E2769" s="1323">
        <f t="shared" si="284"/>
        <v>7.2899000000000003</v>
      </c>
      <c r="F2769" s="1323">
        <f t="shared" si="289"/>
        <v>5.7713482260821172</v>
      </c>
      <c r="G2769" s="1323">
        <f t="shared" si="285"/>
        <v>2003</v>
      </c>
      <c r="H2769" s="1323">
        <f t="shared" si="286"/>
        <v>8</v>
      </c>
      <c r="I2769" s="1323">
        <f t="shared" si="287"/>
        <v>18</v>
      </c>
      <c r="J2769" s="1323"/>
      <c r="K2769" s="1323"/>
      <c r="L2769" s="1323"/>
      <c r="M2769" s="1323"/>
      <c r="N2769" s="1323"/>
      <c r="O2769" s="1323"/>
      <c r="P2769" s="1323"/>
      <c r="Q2769" s="1323"/>
      <c r="R2769" s="1304"/>
      <c r="S2769" s="1304"/>
      <c r="T2769" s="1304"/>
    </row>
    <row r="2770" spans="1:20">
      <c r="A2770" s="1303"/>
      <c r="B2770" s="1322" t="s">
        <v>7696</v>
      </c>
      <c r="C2770" s="1323" t="s">
        <v>7697</v>
      </c>
      <c r="D2770" s="1324">
        <f t="shared" si="288"/>
        <v>37848</v>
      </c>
      <c r="E2770" s="1323">
        <f t="shared" si="284"/>
        <v>7.3547000000000002</v>
      </c>
      <c r="F2770" s="1323">
        <f t="shared" si="289"/>
        <v>5.7702416044045597</v>
      </c>
      <c r="G2770" s="1323">
        <f t="shared" si="285"/>
        <v>2003</v>
      </c>
      <c r="H2770" s="1323">
        <f t="shared" si="286"/>
        <v>8</v>
      </c>
      <c r="I2770" s="1323">
        <f t="shared" si="287"/>
        <v>15</v>
      </c>
      <c r="J2770" s="1323"/>
      <c r="K2770" s="1323"/>
      <c r="L2770" s="1323"/>
      <c r="M2770" s="1323"/>
      <c r="N2770" s="1323"/>
      <c r="O2770" s="1323"/>
      <c r="P2770" s="1323"/>
      <c r="Q2770" s="1323"/>
      <c r="R2770" s="1304"/>
      <c r="S2770" s="1304"/>
      <c r="T2770" s="1304"/>
    </row>
    <row r="2771" spans="1:20">
      <c r="A2771" s="1303"/>
      <c r="B2771" s="1322" t="s">
        <v>7698</v>
      </c>
      <c r="C2771" s="1323" t="s">
        <v>7699</v>
      </c>
      <c r="D2771" s="1324">
        <f t="shared" si="288"/>
        <v>37847</v>
      </c>
      <c r="E2771" s="1323">
        <f t="shared" si="284"/>
        <v>7.3868999999999998</v>
      </c>
      <c r="F2771" s="1323">
        <f t="shared" si="289"/>
        <v>5.7691351949151235</v>
      </c>
      <c r="G2771" s="1323">
        <f t="shared" si="285"/>
        <v>2003</v>
      </c>
      <c r="H2771" s="1323">
        <f t="shared" si="286"/>
        <v>8</v>
      </c>
      <c r="I2771" s="1323">
        <f t="shared" si="287"/>
        <v>14</v>
      </c>
      <c r="J2771" s="1323"/>
      <c r="K2771" s="1323"/>
      <c r="L2771" s="1323"/>
      <c r="M2771" s="1323"/>
      <c r="N2771" s="1323"/>
      <c r="O2771" s="1323"/>
      <c r="P2771" s="1323"/>
      <c r="Q2771" s="1323"/>
      <c r="R2771" s="1304"/>
      <c r="S2771" s="1304"/>
      <c r="T2771" s="1304"/>
    </row>
    <row r="2772" spans="1:20">
      <c r="A2772" s="1303"/>
      <c r="B2772" s="1322" t="s">
        <v>7700</v>
      </c>
      <c r="C2772" s="1323" t="s">
        <v>7701</v>
      </c>
      <c r="D2772" s="1324">
        <f t="shared" si="288"/>
        <v>37846</v>
      </c>
      <c r="E2772" s="1323">
        <f t="shared" si="284"/>
        <v>7.4219999999999997</v>
      </c>
      <c r="F2772" s="1323">
        <f t="shared" si="289"/>
        <v>5.7680289975731229</v>
      </c>
      <c r="G2772" s="1323">
        <f t="shared" si="285"/>
        <v>2003</v>
      </c>
      <c r="H2772" s="1323">
        <f t="shared" si="286"/>
        <v>8</v>
      </c>
      <c r="I2772" s="1323">
        <f t="shared" si="287"/>
        <v>13</v>
      </c>
      <c r="J2772" s="1323"/>
      <c r="K2772" s="1323"/>
      <c r="L2772" s="1323"/>
      <c r="M2772" s="1323"/>
      <c r="N2772" s="1323"/>
      <c r="O2772" s="1323"/>
      <c r="P2772" s="1323"/>
      <c r="Q2772" s="1323"/>
      <c r="R2772" s="1304"/>
      <c r="S2772" s="1304"/>
      <c r="T2772" s="1304"/>
    </row>
    <row r="2773" spans="1:20">
      <c r="A2773" s="1303"/>
      <c r="B2773" s="1322" t="s">
        <v>7702</v>
      </c>
      <c r="C2773" s="1323" t="s">
        <v>7703</v>
      </c>
      <c r="D2773" s="1324">
        <f t="shared" si="288"/>
        <v>37845</v>
      </c>
      <c r="E2773" s="1323">
        <f t="shared" si="284"/>
        <v>7.3701999999999996</v>
      </c>
      <c r="F2773" s="1323">
        <f t="shared" si="289"/>
        <v>5.7669230123378803</v>
      </c>
      <c r="G2773" s="1323">
        <f t="shared" si="285"/>
        <v>2003</v>
      </c>
      <c r="H2773" s="1323">
        <f t="shared" si="286"/>
        <v>8</v>
      </c>
      <c r="I2773" s="1323">
        <f t="shared" si="287"/>
        <v>12</v>
      </c>
      <c r="J2773" s="1323"/>
      <c r="K2773" s="1323"/>
      <c r="L2773" s="1323"/>
      <c r="M2773" s="1323"/>
      <c r="N2773" s="1323"/>
      <c r="O2773" s="1323"/>
      <c r="P2773" s="1323"/>
      <c r="Q2773" s="1323"/>
      <c r="R2773" s="1304"/>
      <c r="S2773" s="1304"/>
      <c r="T2773" s="1304"/>
    </row>
    <row r="2774" spans="1:20">
      <c r="A2774" s="1303"/>
      <c r="B2774" s="1322" t="s">
        <v>7704</v>
      </c>
      <c r="C2774" s="1323" t="s">
        <v>7705</v>
      </c>
      <c r="D2774" s="1324">
        <f t="shared" si="288"/>
        <v>37844</v>
      </c>
      <c r="E2774" s="1323">
        <f t="shared" ref="E2774:E2837" si="290">VALUE(C2775)</f>
        <v>7.4028999999999998</v>
      </c>
      <c r="F2774" s="1323">
        <f t="shared" si="289"/>
        <v>5.7658172391687241</v>
      </c>
      <c r="G2774" s="1323">
        <f t="shared" ref="G2774:G2837" si="291">YEAR(B2775)</f>
        <v>2003</v>
      </c>
      <c r="H2774" s="1323">
        <f t="shared" ref="H2774:H2837" si="292">MONTH(B2775)</f>
        <v>8</v>
      </c>
      <c r="I2774" s="1323">
        <f t="shared" ref="I2774:I2837" si="293">DAY(B2775)</f>
        <v>11</v>
      </c>
      <c r="J2774" s="1323"/>
      <c r="K2774" s="1323"/>
      <c r="L2774" s="1323"/>
      <c r="M2774" s="1323"/>
      <c r="N2774" s="1323"/>
      <c r="O2774" s="1323"/>
      <c r="P2774" s="1323"/>
      <c r="Q2774" s="1323"/>
      <c r="R2774" s="1304"/>
      <c r="S2774" s="1304"/>
      <c r="T2774" s="1304"/>
    </row>
    <row r="2775" spans="1:20">
      <c r="A2775" s="1303"/>
      <c r="B2775" s="1322" t="s">
        <v>7706</v>
      </c>
      <c r="C2775" s="1323" t="s">
        <v>7707</v>
      </c>
      <c r="D2775" s="1324">
        <f t="shared" si="288"/>
        <v>37841</v>
      </c>
      <c r="E2775" s="1323">
        <f t="shared" si="290"/>
        <v>7.2611999999999997</v>
      </c>
      <c r="F2775" s="1323">
        <f t="shared" si="289"/>
        <v>5.7647116780249927</v>
      </c>
      <c r="G2775" s="1323">
        <f t="shared" si="291"/>
        <v>2003</v>
      </c>
      <c r="H2775" s="1323">
        <f t="shared" si="292"/>
        <v>8</v>
      </c>
      <c r="I2775" s="1323">
        <f t="shared" si="293"/>
        <v>8</v>
      </c>
      <c r="J2775" s="1323"/>
      <c r="K2775" s="1323"/>
      <c r="L2775" s="1323"/>
      <c r="M2775" s="1323"/>
      <c r="N2775" s="1323"/>
      <c r="O2775" s="1323"/>
      <c r="P2775" s="1323"/>
      <c r="Q2775" s="1323"/>
      <c r="R2775" s="1304"/>
      <c r="S2775" s="1304"/>
      <c r="T2775" s="1304"/>
    </row>
    <row r="2776" spans="1:20">
      <c r="A2776" s="1303"/>
      <c r="B2776" s="1322" t="s">
        <v>7708</v>
      </c>
      <c r="C2776" s="1323" t="s">
        <v>7484</v>
      </c>
      <c r="D2776" s="1324">
        <f t="shared" si="288"/>
        <v>37840</v>
      </c>
      <c r="E2776" s="1323">
        <f t="shared" si="290"/>
        <v>7.3605</v>
      </c>
      <c r="F2776" s="1323">
        <f t="shared" si="289"/>
        <v>5.7636063288660315</v>
      </c>
      <c r="G2776" s="1323">
        <f t="shared" si="291"/>
        <v>2003</v>
      </c>
      <c r="H2776" s="1323">
        <f t="shared" si="292"/>
        <v>8</v>
      </c>
      <c r="I2776" s="1323">
        <f t="shared" si="293"/>
        <v>7</v>
      </c>
      <c r="J2776" s="1323"/>
      <c r="K2776" s="1323"/>
      <c r="L2776" s="1323"/>
      <c r="M2776" s="1323"/>
      <c r="N2776" s="1323"/>
      <c r="O2776" s="1323"/>
      <c r="P2776" s="1323"/>
      <c r="Q2776" s="1323"/>
      <c r="R2776" s="1304"/>
      <c r="S2776" s="1304"/>
      <c r="T2776" s="1304"/>
    </row>
    <row r="2777" spans="1:20">
      <c r="A2777" s="1303"/>
      <c r="B2777" s="1322" t="s">
        <v>7709</v>
      </c>
      <c r="C2777" s="1323" t="s">
        <v>7710</v>
      </c>
      <c r="D2777" s="1324">
        <f t="shared" si="288"/>
        <v>37839</v>
      </c>
      <c r="E2777" s="1323">
        <f t="shared" si="290"/>
        <v>7.3638000000000003</v>
      </c>
      <c r="F2777" s="1323">
        <f t="shared" si="289"/>
        <v>5.7625011916511939</v>
      </c>
      <c r="G2777" s="1323">
        <f t="shared" si="291"/>
        <v>2003</v>
      </c>
      <c r="H2777" s="1323">
        <f t="shared" si="292"/>
        <v>8</v>
      </c>
      <c r="I2777" s="1323">
        <f t="shared" si="293"/>
        <v>6</v>
      </c>
      <c r="J2777" s="1323"/>
      <c r="K2777" s="1323"/>
      <c r="L2777" s="1323"/>
      <c r="M2777" s="1323"/>
      <c r="N2777" s="1323"/>
      <c r="O2777" s="1323"/>
      <c r="P2777" s="1323"/>
      <c r="Q2777" s="1323"/>
      <c r="R2777" s="1304"/>
      <c r="S2777" s="1304"/>
      <c r="T2777" s="1304"/>
    </row>
    <row r="2778" spans="1:20">
      <c r="A2778" s="1303"/>
      <c r="B2778" s="1322" t="s">
        <v>7711</v>
      </c>
      <c r="C2778" s="1323" t="s">
        <v>7712</v>
      </c>
      <c r="D2778" s="1324">
        <f t="shared" si="288"/>
        <v>37838</v>
      </c>
      <c r="E2778" s="1323">
        <f t="shared" si="290"/>
        <v>7.4790999999999999</v>
      </c>
      <c r="F2778" s="1323">
        <f t="shared" si="289"/>
        <v>5.7613962663398413</v>
      </c>
      <c r="G2778" s="1323">
        <f t="shared" si="291"/>
        <v>2003</v>
      </c>
      <c r="H2778" s="1323">
        <f t="shared" si="292"/>
        <v>8</v>
      </c>
      <c r="I2778" s="1323">
        <f t="shared" si="293"/>
        <v>5</v>
      </c>
      <c r="J2778" s="1323"/>
      <c r="K2778" s="1323"/>
      <c r="L2778" s="1323"/>
      <c r="M2778" s="1323"/>
      <c r="N2778" s="1323"/>
      <c r="O2778" s="1323"/>
      <c r="P2778" s="1323"/>
      <c r="Q2778" s="1323"/>
      <c r="R2778" s="1304"/>
      <c r="S2778" s="1304"/>
      <c r="T2778" s="1304"/>
    </row>
    <row r="2779" spans="1:20">
      <c r="A2779" s="1303"/>
      <c r="B2779" s="1322" t="s">
        <v>7713</v>
      </c>
      <c r="C2779" s="1323" t="s">
        <v>7714</v>
      </c>
      <c r="D2779" s="1324">
        <f t="shared" si="288"/>
        <v>37837</v>
      </c>
      <c r="E2779" s="1323">
        <f t="shared" si="290"/>
        <v>7.4991000000000003</v>
      </c>
      <c r="F2779" s="1323">
        <f t="shared" si="289"/>
        <v>5.7602915528913412</v>
      </c>
      <c r="G2779" s="1323">
        <f t="shared" si="291"/>
        <v>2003</v>
      </c>
      <c r="H2779" s="1323">
        <f t="shared" si="292"/>
        <v>8</v>
      </c>
      <c r="I2779" s="1323">
        <f t="shared" si="293"/>
        <v>4</v>
      </c>
      <c r="J2779" s="1323"/>
      <c r="K2779" s="1323"/>
      <c r="L2779" s="1323"/>
      <c r="M2779" s="1323"/>
      <c r="N2779" s="1323"/>
      <c r="O2779" s="1323"/>
      <c r="P2779" s="1323"/>
      <c r="Q2779" s="1323"/>
      <c r="R2779" s="1304"/>
      <c r="S2779" s="1304"/>
      <c r="T2779" s="1304"/>
    </row>
    <row r="2780" spans="1:20">
      <c r="A2780" s="1303"/>
      <c r="B2780" s="1322" t="s">
        <v>7715</v>
      </c>
      <c r="C2780" s="1323" t="s">
        <v>7716</v>
      </c>
      <c r="D2780" s="1324">
        <f t="shared" si="288"/>
        <v>37834</v>
      </c>
      <c r="E2780" s="1323">
        <f t="shared" si="290"/>
        <v>7.4314999999999998</v>
      </c>
      <c r="F2780" s="1323">
        <f t="shared" si="289"/>
        <v>5.7591870512650711</v>
      </c>
      <c r="G2780" s="1323">
        <f t="shared" si="291"/>
        <v>2003</v>
      </c>
      <c r="H2780" s="1323">
        <f t="shared" si="292"/>
        <v>8</v>
      </c>
      <c r="I2780" s="1323">
        <f t="shared" si="293"/>
        <v>1</v>
      </c>
      <c r="J2780" s="1323"/>
      <c r="K2780" s="1323"/>
      <c r="L2780" s="1323"/>
      <c r="M2780" s="1323"/>
      <c r="N2780" s="1323"/>
      <c r="O2780" s="1323"/>
      <c r="P2780" s="1323"/>
      <c r="Q2780" s="1323"/>
      <c r="R2780" s="1304"/>
      <c r="S2780" s="1304"/>
      <c r="T2780" s="1304"/>
    </row>
    <row r="2781" spans="1:20">
      <c r="A2781" s="1303"/>
      <c r="B2781" s="1322" t="s">
        <v>7717</v>
      </c>
      <c r="C2781" s="1323" t="s">
        <v>5957</v>
      </c>
      <c r="D2781" s="1324">
        <f t="shared" si="288"/>
        <v>37833</v>
      </c>
      <c r="E2781" s="1323">
        <f t="shared" si="290"/>
        <v>7.4668999999999999</v>
      </c>
      <c r="F2781" s="1323">
        <f t="shared" si="289"/>
        <v>5.7580827614204146</v>
      </c>
      <c r="G2781" s="1323">
        <f t="shared" si="291"/>
        <v>2003</v>
      </c>
      <c r="H2781" s="1323">
        <f t="shared" si="292"/>
        <v>7</v>
      </c>
      <c r="I2781" s="1323">
        <f t="shared" si="293"/>
        <v>31</v>
      </c>
      <c r="J2781" s="1323"/>
      <c r="K2781" s="1323"/>
      <c r="L2781" s="1323"/>
      <c r="M2781" s="1323"/>
      <c r="N2781" s="1323"/>
      <c r="O2781" s="1323"/>
      <c r="P2781" s="1323"/>
      <c r="Q2781" s="1323"/>
      <c r="R2781" s="1304"/>
      <c r="S2781" s="1304"/>
      <c r="T2781" s="1304"/>
    </row>
    <row r="2782" spans="1:20">
      <c r="A2782" s="1303"/>
      <c r="B2782" s="1322" t="s">
        <v>7718</v>
      </c>
      <c r="C2782" s="1323" t="s">
        <v>7719</v>
      </c>
      <c r="D2782" s="1324">
        <f t="shared" si="288"/>
        <v>37832</v>
      </c>
      <c r="E2782" s="1323">
        <f t="shared" si="290"/>
        <v>7.4138000000000002</v>
      </c>
      <c r="F2782" s="1323">
        <f t="shared" si="289"/>
        <v>5.7569786833167651</v>
      </c>
      <c r="G2782" s="1323">
        <f t="shared" si="291"/>
        <v>2003</v>
      </c>
      <c r="H2782" s="1323">
        <f t="shared" si="292"/>
        <v>7</v>
      </c>
      <c r="I2782" s="1323">
        <f t="shared" si="293"/>
        <v>30</v>
      </c>
      <c r="J2782" s="1323"/>
      <c r="K2782" s="1323"/>
      <c r="L2782" s="1323"/>
      <c r="M2782" s="1323"/>
      <c r="N2782" s="1323"/>
      <c r="O2782" s="1323"/>
      <c r="P2782" s="1323"/>
      <c r="Q2782" s="1323"/>
      <c r="R2782" s="1304"/>
      <c r="S2782" s="1304"/>
      <c r="T2782" s="1304"/>
    </row>
    <row r="2783" spans="1:20">
      <c r="A2783" s="1303"/>
      <c r="B2783" s="1322" t="s">
        <v>7720</v>
      </c>
      <c r="C2783" s="1323" t="s">
        <v>7721</v>
      </c>
      <c r="D2783" s="1324">
        <f t="shared" si="288"/>
        <v>37831</v>
      </c>
      <c r="E2783" s="1323">
        <f t="shared" si="290"/>
        <v>7.2519</v>
      </c>
      <c r="F2783" s="1323">
        <f t="shared" si="289"/>
        <v>5.7558748169135212</v>
      </c>
      <c r="G2783" s="1323">
        <f t="shared" si="291"/>
        <v>2003</v>
      </c>
      <c r="H2783" s="1323">
        <f t="shared" si="292"/>
        <v>7</v>
      </c>
      <c r="I2783" s="1323">
        <f t="shared" si="293"/>
        <v>29</v>
      </c>
      <c r="J2783" s="1323"/>
      <c r="K2783" s="1323"/>
      <c r="L2783" s="1323"/>
      <c r="M2783" s="1323"/>
      <c r="N2783" s="1323"/>
      <c r="O2783" s="1323"/>
      <c r="P2783" s="1323"/>
      <c r="Q2783" s="1323"/>
      <c r="R2783" s="1304"/>
      <c r="S2783" s="1304"/>
      <c r="T2783" s="1304"/>
    </row>
    <row r="2784" spans="1:20">
      <c r="A2784" s="1303"/>
      <c r="B2784" s="1322" t="s">
        <v>7722</v>
      </c>
      <c r="C2784" s="1323" t="s">
        <v>7723</v>
      </c>
      <c r="D2784" s="1324">
        <f t="shared" si="288"/>
        <v>37830</v>
      </c>
      <c r="E2784" s="1323">
        <f t="shared" si="290"/>
        <v>7.3749000000000002</v>
      </c>
      <c r="F2784" s="1323">
        <f t="shared" si="289"/>
        <v>5.7547711621700914</v>
      </c>
      <c r="G2784" s="1323">
        <f t="shared" si="291"/>
        <v>2003</v>
      </c>
      <c r="H2784" s="1323">
        <f t="shared" si="292"/>
        <v>7</v>
      </c>
      <c r="I2784" s="1323">
        <f t="shared" si="293"/>
        <v>28</v>
      </c>
      <c r="J2784" s="1323"/>
      <c r="K2784" s="1323"/>
      <c r="L2784" s="1323"/>
      <c r="M2784" s="1323"/>
      <c r="N2784" s="1323"/>
      <c r="O2784" s="1323"/>
      <c r="P2784" s="1323"/>
      <c r="Q2784" s="1323"/>
      <c r="R2784" s="1304"/>
      <c r="S2784" s="1304"/>
      <c r="T2784" s="1304"/>
    </row>
    <row r="2785" spans="1:20">
      <c r="A2785" s="1303"/>
      <c r="B2785" s="1322" t="s">
        <v>7724</v>
      </c>
      <c r="C2785" s="1323" t="s">
        <v>7725</v>
      </c>
      <c r="D2785" s="1324">
        <f t="shared" si="288"/>
        <v>37827</v>
      </c>
      <c r="E2785" s="1323">
        <f t="shared" si="290"/>
        <v>7.5457999999999998</v>
      </c>
      <c r="F2785" s="1323">
        <f t="shared" si="289"/>
        <v>5.7536677190458905</v>
      </c>
      <c r="G2785" s="1323">
        <f t="shared" si="291"/>
        <v>2003</v>
      </c>
      <c r="H2785" s="1323">
        <f t="shared" si="292"/>
        <v>7</v>
      </c>
      <c r="I2785" s="1323">
        <f t="shared" si="293"/>
        <v>25</v>
      </c>
      <c r="J2785" s="1323"/>
      <c r="K2785" s="1323"/>
      <c r="L2785" s="1323"/>
      <c r="M2785" s="1323"/>
      <c r="N2785" s="1323"/>
      <c r="O2785" s="1323"/>
      <c r="P2785" s="1323"/>
      <c r="Q2785" s="1323"/>
      <c r="R2785" s="1304"/>
      <c r="S2785" s="1304"/>
      <c r="T2785" s="1304"/>
    </row>
    <row r="2786" spans="1:20">
      <c r="A2786" s="1303"/>
      <c r="B2786" s="1322" t="s">
        <v>7726</v>
      </c>
      <c r="C2786" s="1323" t="s">
        <v>7727</v>
      </c>
      <c r="D2786" s="1324">
        <f t="shared" si="288"/>
        <v>37826</v>
      </c>
      <c r="E2786" s="1323">
        <f t="shared" si="290"/>
        <v>7.4847000000000001</v>
      </c>
      <c r="F2786" s="1323">
        <f t="shared" si="289"/>
        <v>5.7525644875003419</v>
      </c>
      <c r="G2786" s="1323">
        <f t="shared" si="291"/>
        <v>2003</v>
      </c>
      <c r="H2786" s="1323">
        <f t="shared" si="292"/>
        <v>7</v>
      </c>
      <c r="I2786" s="1323">
        <f t="shared" si="293"/>
        <v>24</v>
      </c>
      <c r="J2786" s="1323"/>
      <c r="K2786" s="1323"/>
      <c r="L2786" s="1323"/>
      <c r="M2786" s="1323"/>
      <c r="N2786" s="1323"/>
      <c r="O2786" s="1323"/>
      <c r="P2786" s="1323"/>
      <c r="Q2786" s="1323"/>
      <c r="R2786" s="1304"/>
      <c r="S2786" s="1304"/>
      <c r="T2786" s="1304"/>
    </row>
    <row r="2787" spans="1:20">
      <c r="A2787" s="1303"/>
      <c r="B2787" s="1322" t="s">
        <v>7728</v>
      </c>
      <c r="C2787" s="1323" t="s">
        <v>7729</v>
      </c>
      <c r="D2787" s="1324">
        <f t="shared" si="288"/>
        <v>37825</v>
      </c>
      <c r="E2787" s="1323">
        <f t="shared" si="290"/>
        <v>7.5919999999999996</v>
      </c>
      <c r="F2787" s="1323">
        <f t="shared" si="289"/>
        <v>5.7514614674928772</v>
      </c>
      <c r="G2787" s="1323">
        <f t="shared" si="291"/>
        <v>2003</v>
      </c>
      <c r="H2787" s="1323">
        <f t="shared" si="292"/>
        <v>7</v>
      </c>
      <c r="I2787" s="1323">
        <f t="shared" si="293"/>
        <v>23</v>
      </c>
      <c r="J2787" s="1323"/>
      <c r="K2787" s="1323"/>
      <c r="L2787" s="1323"/>
      <c r="M2787" s="1323"/>
      <c r="N2787" s="1323"/>
      <c r="O2787" s="1323"/>
      <c r="P2787" s="1323"/>
      <c r="Q2787" s="1323"/>
      <c r="R2787" s="1304"/>
      <c r="S2787" s="1304"/>
      <c r="T2787" s="1304"/>
    </row>
    <row r="2788" spans="1:20">
      <c r="A2788" s="1303"/>
      <c r="B2788" s="1322" t="s">
        <v>7730</v>
      </c>
      <c r="C2788" s="1323" t="s">
        <v>7731</v>
      </c>
      <c r="D2788" s="1324">
        <f t="shared" si="288"/>
        <v>37824</v>
      </c>
      <c r="E2788" s="1323">
        <f t="shared" si="290"/>
        <v>7.5652999999999997</v>
      </c>
      <c r="F2788" s="1323">
        <f t="shared" si="289"/>
        <v>5.7503586589829352</v>
      </c>
      <c r="G2788" s="1323">
        <f t="shared" si="291"/>
        <v>2003</v>
      </c>
      <c r="H2788" s="1323">
        <f t="shared" si="292"/>
        <v>7</v>
      </c>
      <c r="I2788" s="1323">
        <f t="shared" si="293"/>
        <v>22</v>
      </c>
      <c r="J2788" s="1323"/>
      <c r="K2788" s="1323"/>
      <c r="L2788" s="1323"/>
      <c r="M2788" s="1323"/>
      <c r="N2788" s="1323"/>
      <c r="O2788" s="1323"/>
      <c r="P2788" s="1323"/>
      <c r="Q2788" s="1323"/>
      <c r="R2788" s="1304"/>
      <c r="S2788" s="1304"/>
      <c r="T2788" s="1304"/>
    </row>
    <row r="2789" spans="1:20">
      <c r="A2789" s="1303"/>
      <c r="B2789" s="1322" t="s">
        <v>7732</v>
      </c>
      <c r="C2789" s="1323" t="s">
        <v>7733</v>
      </c>
      <c r="D2789" s="1324">
        <f t="shared" si="288"/>
        <v>37823</v>
      </c>
      <c r="E2789" s="1323">
        <f t="shared" si="290"/>
        <v>7.6349</v>
      </c>
      <c r="F2789" s="1323">
        <f t="shared" si="289"/>
        <v>5.7492560619299624</v>
      </c>
      <c r="G2789" s="1323">
        <f t="shared" si="291"/>
        <v>2003</v>
      </c>
      <c r="H2789" s="1323">
        <f t="shared" si="292"/>
        <v>7</v>
      </c>
      <c r="I2789" s="1323">
        <f t="shared" si="293"/>
        <v>21</v>
      </c>
      <c r="J2789" s="1323"/>
      <c r="K2789" s="1323"/>
      <c r="L2789" s="1323"/>
      <c r="M2789" s="1323"/>
      <c r="N2789" s="1323"/>
      <c r="O2789" s="1323"/>
      <c r="P2789" s="1323"/>
      <c r="Q2789" s="1323"/>
      <c r="R2789" s="1304"/>
      <c r="S2789" s="1304"/>
      <c r="T2789" s="1304"/>
    </row>
    <row r="2790" spans="1:20">
      <c r="A2790" s="1303"/>
      <c r="B2790" s="1322" t="s">
        <v>7734</v>
      </c>
      <c r="C2790" s="1323" t="s">
        <v>7735</v>
      </c>
      <c r="D2790" s="1324">
        <f t="shared" si="288"/>
        <v>37820</v>
      </c>
      <c r="E2790" s="1323">
        <f t="shared" si="290"/>
        <v>7.7058</v>
      </c>
      <c r="F2790" s="1323">
        <f t="shared" si="289"/>
        <v>5.7481536762934127</v>
      </c>
      <c r="G2790" s="1323">
        <f t="shared" si="291"/>
        <v>2003</v>
      </c>
      <c r="H2790" s="1323">
        <f t="shared" si="292"/>
        <v>7</v>
      </c>
      <c r="I2790" s="1323">
        <f t="shared" si="293"/>
        <v>18</v>
      </c>
      <c r="J2790" s="1323"/>
      <c r="K2790" s="1323"/>
      <c r="L2790" s="1323"/>
      <c r="M2790" s="1323"/>
      <c r="N2790" s="1323"/>
      <c r="O2790" s="1323"/>
      <c r="P2790" s="1323"/>
      <c r="Q2790" s="1323"/>
      <c r="R2790" s="1304"/>
      <c r="S2790" s="1304"/>
      <c r="T2790" s="1304"/>
    </row>
    <row r="2791" spans="1:20">
      <c r="A2791" s="1303"/>
      <c r="B2791" s="1322" t="s">
        <v>7736</v>
      </c>
      <c r="C2791" s="1323" t="s">
        <v>7737</v>
      </c>
      <c r="D2791" s="1324">
        <f t="shared" si="288"/>
        <v>37819</v>
      </c>
      <c r="E2791" s="1323">
        <f t="shared" si="290"/>
        <v>7.7119999999999997</v>
      </c>
      <c r="F2791" s="1323">
        <f t="shared" si="289"/>
        <v>5.7470515020327486</v>
      </c>
      <c r="G2791" s="1323">
        <f t="shared" si="291"/>
        <v>2003</v>
      </c>
      <c r="H2791" s="1323">
        <f t="shared" si="292"/>
        <v>7</v>
      </c>
      <c r="I2791" s="1323">
        <f t="shared" si="293"/>
        <v>17</v>
      </c>
      <c r="J2791" s="1323"/>
      <c r="K2791" s="1323"/>
      <c r="L2791" s="1323"/>
      <c r="M2791" s="1323"/>
      <c r="N2791" s="1323"/>
      <c r="O2791" s="1323"/>
      <c r="P2791" s="1323"/>
      <c r="Q2791" s="1323"/>
      <c r="R2791" s="1304"/>
      <c r="S2791" s="1304"/>
      <c r="T2791" s="1304"/>
    </row>
    <row r="2792" spans="1:20">
      <c r="A2792" s="1303"/>
      <c r="B2792" s="1322" t="s">
        <v>7738</v>
      </c>
      <c r="C2792" s="1323" t="s">
        <v>4392</v>
      </c>
      <c r="D2792" s="1324">
        <f t="shared" si="288"/>
        <v>37818</v>
      </c>
      <c r="E2792" s="1323">
        <f t="shared" si="290"/>
        <v>7.7907000000000002</v>
      </c>
      <c r="F2792" s="1323">
        <f t="shared" si="289"/>
        <v>5.74594953910744</v>
      </c>
      <c r="G2792" s="1323">
        <f t="shared" si="291"/>
        <v>2003</v>
      </c>
      <c r="H2792" s="1323">
        <f t="shared" si="292"/>
        <v>7</v>
      </c>
      <c r="I2792" s="1323">
        <f t="shared" si="293"/>
        <v>16</v>
      </c>
      <c r="J2792" s="1323"/>
      <c r="K2792" s="1323"/>
      <c r="L2792" s="1323"/>
      <c r="M2792" s="1323"/>
      <c r="N2792" s="1323"/>
      <c r="O2792" s="1323"/>
      <c r="P2792" s="1323"/>
      <c r="Q2792" s="1323"/>
      <c r="R2792" s="1304"/>
      <c r="S2792" s="1304"/>
      <c r="T2792" s="1304"/>
    </row>
    <row r="2793" spans="1:20">
      <c r="A2793" s="1303"/>
      <c r="B2793" s="1322" t="s">
        <v>7739</v>
      </c>
      <c r="C2793" s="1323" t="s">
        <v>7740</v>
      </c>
      <c r="D2793" s="1324">
        <f t="shared" si="288"/>
        <v>37817</v>
      </c>
      <c r="E2793" s="1323">
        <f t="shared" si="290"/>
        <v>7.6897000000000002</v>
      </c>
      <c r="F2793" s="1323">
        <f t="shared" si="289"/>
        <v>5.7448477874769646</v>
      </c>
      <c r="G2793" s="1323">
        <f t="shared" si="291"/>
        <v>2003</v>
      </c>
      <c r="H2793" s="1323">
        <f t="shared" si="292"/>
        <v>7</v>
      </c>
      <c r="I2793" s="1323">
        <f t="shared" si="293"/>
        <v>15</v>
      </c>
      <c r="J2793" s="1323"/>
      <c r="K2793" s="1323"/>
      <c r="L2793" s="1323"/>
      <c r="M2793" s="1323"/>
      <c r="N2793" s="1323"/>
      <c r="O2793" s="1323"/>
      <c r="P2793" s="1323"/>
      <c r="Q2793" s="1323"/>
      <c r="R2793" s="1304"/>
      <c r="S2793" s="1304"/>
      <c r="T2793" s="1304"/>
    </row>
    <row r="2794" spans="1:20">
      <c r="A2794" s="1303"/>
      <c r="B2794" s="1322" t="s">
        <v>7741</v>
      </c>
      <c r="C2794" s="1323" t="s">
        <v>7742</v>
      </c>
      <c r="D2794" s="1324">
        <f t="shared" si="288"/>
        <v>37816</v>
      </c>
      <c r="E2794" s="1323">
        <f t="shared" si="290"/>
        <v>7.5749000000000004</v>
      </c>
      <c r="F2794" s="1323">
        <f t="shared" si="289"/>
        <v>5.7437462471008081</v>
      </c>
      <c r="G2794" s="1323">
        <f t="shared" si="291"/>
        <v>2003</v>
      </c>
      <c r="H2794" s="1323">
        <f t="shared" si="292"/>
        <v>7</v>
      </c>
      <c r="I2794" s="1323">
        <f t="shared" si="293"/>
        <v>14</v>
      </c>
      <c r="J2794" s="1323"/>
      <c r="K2794" s="1323"/>
      <c r="L2794" s="1323"/>
      <c r="M2794" s="1323"/>
      <c r="N2794" s="1323"/>
      <c r="O2794" s="1323"/>
      <c r="P2794" s="1323"/>
      <c r="Q2794" s="1323"/>
      <c r="R2794" s="1304"/>
      <c r="S2794" s="1304"/>
      <c r="T2794" s="1304"/>
    </row>
    <row r="2795" spans="1:20">
      <c r="A2795" s="1303"/>
      <c r="B2795" s="1322" t="s">
        <v>7743</v>
      </c>
      <c r="C2795" s="1323" t="s">
        <v>7744</v>
      </c>
      <c r="D2795" s="1324">
        <f t="shared" si="288"/>
        <v>37813</v>
      </c>
      <c r="E2795" s="1323">
        <f t="shared" si="290"/>
        <v>7.6199000000000003</v>
      </c>
      <c r="F2795" s="1323">
        <f t="shared" si="289"/>
        <v>5.7426449179384633</v>
      </c>
      <c r="G2795" s="1323">
        <f t="shared" si="291"/>
        <v>2003</v>
      </c>
      <c r="H2795" s="1323">
        <f t="shared" si="292"/>
        <v>7</v>
      </c>
      <c r="I2795" s="1323">
        <f t="shared" si="293"/>
        <v>11</v>
      </c>
      <c r="J2795" s="1323"/>
      <c r="K2795" s="1323"/>
      <c r="L2795" s="1323"/>
      <c r="M2795" s="1323"/>
      <c r="N2795" s="1323"/>
      <c r="O2795" s="1323"/>
      <c r="P2795" s="1323"/>
      <c r="Q2795" s="1323"/>
      <c r="R2795" s="1304"/>
      <c r="S2795" s="1304"/>
      <c r="T2795" s="1304"/>
    </row>
    <row r="2796" spans="1:20">
      <c r="A2796" s="1303"/>
      <c r="B2796" s="1322" t="s">
        <v>7745</v>
      </c>
      <c r="C2796" s="1323" t="s">
        <v>5311</v>
      </c>
      <c r="D2796" s="1324">
        <f t="shared" si="288"/>
        <v>37812</v>
      </c>
      <c r="E2796" s="1323">
        <f t="shared" si="290"/>
        <v>7.5936000000000003</v>
      </c>
      <c r="F2796" s="1323">
        <f t="shared" si="289"/>
        <v>5.7415437999494321</v>
      </c>
      <c r="G2796" s="1323">
        <f t="shared" si="291"/>
        <v>2003</v>
      </c>
      <c r="H2796" s="1323">
        <f t="shared" si="292"/>
        <v>7</v>
      </c>
      <c r="I2796" s="1323">
        <f t="shared" si="293"/>
        <v>10</v>
      </c>
      <c r="J2796" s="1323"/>
      <c r="K2796" s="1323"/>
      <c r="L2796" s="1323"/>
      <c r="M2796" s="1323"/>
      <c r="N2796" s="1323"/>
      <c r="O2796" s="1323"/>
      <c r="P2796" s="1323"/>
      <c r="Q2796" s="1323"/>
      <c r="R2796" s="1304"/>
      <c r="S2796" s="1304"/>
      <c r="T2796" s="1304"/>
    </row>
    <row r="2797" spans="1:20">
      <c r="A2797" s="1303"/>
      <c r="B2797" s="1322" t="s">
        <v>7746</v>
      </c>
      <c r="C2797" s="1323" t="s">
        <v>7747</v>
      </c>
      <c r="D2797" s="1324">
        <f t="shared" si="288"/>
        <v>37811</v>
      </c>
      <c r="E2797" s="1323">
        <f t="shared" si="290"/>
        <v>7.6788999999999996</v>
      </c>
      <c r="F2797" s="1323">
        <f t="shared" si="289"/>
        <v>5.7404428930932223</v>
      </c>
      <c r="G2797" s="1323">
        <f t="shared" si="291"/>
        <v>2003</v>
      </c>
      <c r="H2797" s="1323">
        <f t="shared" si="292"/>
        <v>7</v>
      </c>
      <c r="I2797" s="1323">
        <f t="shared" si="293"/>
        <v>9</v>
      </c>
      <c r="J2797" s="1323"/>
      <c r="K2797" s="1323"/>
      <c r="L2797" s="1323"/>
      <c r="M2797" s="1323"/>
      <c r="N2797" s="1323"/>
      <c r="O2797" s="1323"/>
      <c r="P2797" s="1323"/>
      <c r="Q2797" s="1323"/>
      <c r="R2797" s="1304"/>
      <c r="S2797" s="1304"/>
      <c r="T2797" s="1304"/>
    </row>
    <row r="2798" spans="1:20">
      <c r="A2798" s="1303"/>
      <c r="B2798" s="1322" t="s">
        <v>7748</v>
      </c>
      <c r="C2798" s="1323" t="s">
        <v>7749</v>
      </c>
      <c r="D2798" s="1324">
        <f t="shared" si="288"/>
        <v>37810</v>
      </c>
      <c r="E2798" s="1323">
        <f t="shared" si="290"/>
        <v>7.5853999999999999</v>
      </c>
      <c r="F2798" s="1323">
        <f t="shared" si="289"/>
        <v>5.7393421973293508</v>
      </c>
      <c r="G2798" s="1323">
        <f t="shared" si="291"/>
        <v>2003</v>
      </c>
      <c r="H2798" s="1323">
        <f t="shared" si="292"/>
        <v>7</v>
      </c>
      <c r="I2798" s="1323">
        <f t="shared" si="293"/>
        <v>8</v>
      </c>
      <c r="J2798" s="1323"/>
      <c r="K2798" s="1323"/>
      <c r="L2798" s="1323"/>
      <c r="M2798" s="1323"/>
      <c r="N2798" s="1323"/>
      <c r="O2798" s="1323"/>
      <c r="P2798" s="1323"/>
      <c r="Q2798" s="1323"/>
      <c r="R2798" s="1304"/>
      <c r="S2798" s="1304"/>
      <c r="T2798" s="1304"/>
    </row>
    <row r="2799" spans="1:20">
      <c r="A2799" s="1303"/>
      <c r="B2799" s="1322" t="s">
        <v>7750</v>
      </c>
      <c r="C2799" s="1323" t="s">
        <v>7751</v>
      </c>
      <c r="D2799" s="1324">
        <f t="shared" si="288"/>
        <v>37809</v>
      </c>
      <c r="E2799" s="1323">
        <f t="shared" si="290"/>
        <v>7.5058999999999996</v>
      </c>
      <c r="F2799" s="1323">
        <f t="shared" si="289"/>
        <v>5.7382417126173415</v>
      </c>
      <c r="G2799" s="1323">
        <f t="shared" si="291"/>
        <v>2003</v>
      </c>
      <c r="H2799" s="1323">
        <f t="shared" si="292"/>
        <v>7</v>
      </c>
      <c r="I2799" s="1323">
        <f t="shared" si="293"/>
        <v>7</v>
      </c>
      <c r="J2799" s="1323"/>
      <c r="K2799" s="1323"/>
      <c r="L2799" s="1323"/>
      <c r="M2799" s="1323"/>
      <c r="N2799" s="1323"/>
      <c r="O2799" s="1323"/>
      <c r="P2799" s="1323"/>
      <c r="Q2799" s="1323"/>
      <c r="R2799" s="1304"/>
      <c r="S2799" s="1304"/>
      <c r="T2799" s="1304"/>
    </row>
    <row r="2800" spans="1:20">
      <c r="A2800" s="1303"/>
      <c r="B2800" s="1322" t="s">
        <v>7752</v>
      </c>
      <c r="C2800" s="1323" t="s">
        <v>7753</v>
      </c>
      <c r="D2800" s="1324">
        <f t="shared" si="288"/>
        <v>37806</v>
      </c>
      <c r="E2800" s="1323">
        <f t="shared" si="290"/>
        <v>7.5217999999999998</v>
      </c>
      <c r="F2800" s="1323">
        <f t="shared" si="289"/>
        <v>5.7371414389167272</v>
      </c>
      <c r="G2800" s="1323">
        <f t="shared" si="291"/>
        <v>2003</v>
      </c>
      <c r="H2800" s="1323">
        <f t="shared" si="292"/>
        <v>7</v>
      </c>
      <c r="I2800" s="1323">
        <f t="shared" si="293"/>
        <v>4</v>
      </c>
      <c r="J2800" s="1323"/>
      <c r="K2800" s="1323"/>
      <c r="L2800" s="1323"/>
      <c r="M2800" s="1323"/>
      <c r="N2800" s="1323"/>
      <c r="O2800" s="1323"/>
      <c r="P2800" s="1323"/>
      <c r="Q2800" s="1323"/>
      <c r="R2800" s="1304"/>
      <c r="S2800" s="1304"/>
      <c r="T2800" s="1304"/>
    </row>
    <row r="2801" spans="1:20">
      <c r="A2801" s="1303"/>
      <c r="B2801" s="1322" t="s">
        <v>7754</v>
      </c>
      <c r="C2801" s="1323" t="s">
        <v>7755</v>
      </c>
      <c r="D2801" s="1324">
        <f t="shared" si="288"/>
        <v>37805</v>
      </c>
      <c r="E2801" s="1323">
        <f t="shared" si="290"/>
        <v>7.484</v>
      </c>
      <c r="F2801" s="1323">
        <f t="shared" si="289"/>
        <v>5.736041376187047</v>
      </c>
      <c r="G2801" s="1323">
        <f t="shared" si="291"/>
        <v>2003</v>
      </c>
      <c r="H2801" s="1323">
        <f t="shared" si="292"/>
        <v>7</v>
      </c>
      <c r="I2801" s="1323">
        <f t="shared" si="293"/>
        <v>3</v>
      </c>
      <c r="J2801" s="1323"/>
      <c r="K2801" s="1323"/>
      <c r="L2801" s="1323"/>
      <c r="M2801" s="1323"/>
      <c r="N2801" s="1323"/>
      <c r="O2801" s="1323"/>
      <c r="P2801" s="1323"/>
      <c r="Q2801" s="1323"/>
      <c r="R2801" s="1304"/>
      <c r="S2801" s="1304"/>
      <c r="T2801" s="1304"/>
    </row>
    <row r="2802" spans="1:20">
      <c r="A2802" s="1303"/>
      <c r="B2802" s="1322" t="s">
        <v>7756</v>
      </c>
      <c r="C2802" s="1323" t="s">
        <v>5752</v>
      </c>
      <c r="D2802" s="1324">
        <f t="shared" si="288"/>
        <v>37804</v>
      </c>
      <c r="E2802" s="1323">
        <f t="shared" si="290"/>
        <v>7.4378000000000002</v>
      </c>
      <c r="F2802" s="1323">
        <f t="shared" si="289"/>
        <v>5.7349415243878488</v>
      </c>
      <c r="G2802" s="1323">
        <f t="shared" si="291"/>
        <v>2003</v>
      </c>
      <c r="H2802" s="1323">
        <f t="shared" si="292"/>
        <v>7</v>
      </c>
      <c r="I2802" s="1323">
        <f t="shared" si="293"/>
        <v>2</v>
      </c>
      <c r="J2802" s="1323"/>
      <c r="K2802" s="1323"/>
      <c r="L2802" s="1323"/>
      <c r="M2802" s="1323"/>
      <c r="N2802" s="1323"/>
      <c r="O2802" s="1323"/>
      <c r="P2802" s="1323"/>
      <c r="Q2802" s="1323"/>
      <c r="R2802" s="1304"/>
      <c r="S2802" s="1304"/>
      <c r="T2802" s="1304"/>
    </row>
    <row r="2803" spans="1:20">
      <c r="A2803" s="1303"/>
      <c r="B2803" s="1322" t="s">
        <v>7757</v>
      </c>
      <c r="C2803" s="1323" t="s">
        <v>7758</v>
      </c>
      <c r="D2803" s="1324">
        <f t="shared" si="288"/>
        <v>37803</v>
      </c>
      <c r="E2803" s="1323">
        <f t="shared" si="290"/>
        <v>7.4229000000000003</v>
      </c>
      <c r="F2803" s="1323">
        <f t="shared" si="289"/>
        <v>5.7338418834786884</v>
      </c>
      <c r="G2803" s="1323">
        <f t="shared" si="291"/>
        <v>2003</v>
      </c>
      <c r="H2803" s="1323">
        <f t="shared" si="292"/>
        <v>7</v>
      </c>
      <c r="I2803" s="1323">
        <f t="shared" si="293"/>
        <v>1</v>
      </c>
      <c r="J2803" s="1323"/>
      <c r="K2803" s="1323"/>
      <c r="L2803" s="1323"/>
      <c r="M2803" s="1323"/>
      <c r="N2803" s="1323"/>
      <c r="O2803" s="1323"/>
      <c r="P2803" s="1323"/>
      <c r="Q2803" s="1323"/>
      <c r="R2803" s="1304"/>
      <c r="S2803" s="1304"/>
      <c r="T2803" s="1304"/>
    </row>
    <row r="2804" spans="1:20">
      <c r="A2804" s="1303"/>
      <c r="B2804" s="1322" t="s">
        <v>7759</v>
      </c>
      <c r="C2804" s="1323" t="s">
        <v>7760</v>
      </c>
      <c r="D2804" s="1324">
        <f t="shared" si="288"/>
        <v>37802</v>
      </c>
      <c r="E2804" s="1323">
        <f t="shared" si="290"/>
        <v>7.3868999999999998</v>
      </c>
      <c r="F2804" s="1323">
        <f t="shared" si="289"/>
        <v>5.732742453419128</v>
      </c>
      <c r="G2804" s="1323">
        <f t="shared" si="291"/>
        <v>2003</v>
      </c>
      <c r="H2804" s="1323">
        <f t="shared" si="292"/>
        <v>6</v>
      </c>
      <c r="I2804" s="1323">
        <f t="shared" si="293"/>
        <v>30</v>
      </c>
      <c r="J2804" s="1323"/>
      <c r="K2804" s="1323"/>
      <c r="L2804" s="1323"/>
      <c r="M2804" s="1323"/>
      <c r="N2804" s="1323"/>
      <c r="O2804" s="1323"/>
      <c r="P2804" s="1323"/>
      <c r="Q2804" s="1323"/>
      <c r="R2804" s="1304"/>
      <c r="S2804" s="1304"/>
      <c r="T2804" s="1304"/>
    </row>
    <row r="2805" spans="1:20">
      <c r="A2805" s="1303"/>
      <c r="B2805" s="1322" t="s">
        <v>7761</v>
      </c>
      <c r="C2805" s="1323" t="s">
        <v>7701</v>
      </c>
      <c r="D2805" s="1324">
        <f t="shared" si="288"/>
        <v>37799</v>
      </c>
      <c r="E2805" s="1323">
        <f t="shared" si="290"/>
        <v>7.4469000000000003</v>
      </c>
      <c r="F2805" s="1323">
        <f t="shared" si="289"/>
        <v>5.7316432341687396</v>
      </c>
      <c r="G2805" s="1323">
        <f t="shared" si="291"/>
        <v>2003</v>
      </c>
      <c r="H2805" s="1323">
        <f t="shared" si="292"/>
        <v>6</v>
      </c>
      <c r="I2805" s="1323">
        <f t="shared" si="293"/>
        <v>27</v>
      </c>
      <c r="J2805" s="1323"/>
      <c r="K2805" s="1323"/>
      <c r="L2805" s="1323"/>
      <c r="M2805" s="1323"/>
      <c r="N2805" s="1323"/>
      <c r="O2805" s="1323"/>
      <c r="P2805" s="1323"/>
      <c r="Q2805" s="1323"/>
      <c r="R2805" s="1304"/>
      <c r="S2805" s="1304"/>
      <c r="T2805" s="1304"/>
    </row>
    <row r="2806" spans="1:20">
      <c r="A2806" s="1303"/>
      <c r="B2806" s="1322" t="s">
        <v>7762</v>
      </c>
      <c r="C2806" s="1323" t="s">
        <v>7763</v>
      </c>
      <c r="D2806" s="1324">
        <f t="shared" si="288"/>
        <v>37798</v>
      </c>
      <c r="E2806" s="1323">
        <f t="shared" si="290"/>
        <v>7.7290000000000001</v>
      </c>
      <c r="F2806" s="1323">
        <f t="shared" si="289"/>
        <v>5.7305442256871011</v>
      </c>
      <c r="G2806" s="1323">
        <f t="shared" si="291"/>
        <v>2003</v>
      </c>
      <c r="H2806" s="1323">
        <f t="shared" si="292"/>
        <v>6</v>
      </c>
      <c r="I2806" s="1323">
        <f t="shared" si="293"/>
        <v>26</v>
      </c>
      <c r="J2806" s="1323"/>
      <c r="K2806" s="1323"/>
      <c r="L2806" s="1323"/>
      <c r="M2806" s="1323"/>
      <c r="N2806" s="1323"/>
      <c r="O2806" s="1323"/>
      <c r="P2806" s="1323"/>
      <c r="Q2806" s="1323"/>
      <c r="R2806" s="1304"/>
      <c r="S2806" s="1304"/>
      <c r="T2806" s="1304"/>
    </row>
    <row r="2807" spans="1:20">
      <c r="A2807" s="1303"/>
      <c r="B2807" s="1322" t="s">
        <v>7764</v>
      </c>
      <c r="C2807" s="1323" t="s">
        <v>7765</v>
      </c>
      <c r="D2807" s="1324">
        <f t="shared" si="288"/>
        <v>37797</v>
      </c>
      <c r="E2807" s="1323">
        <f t="shared" si="290"/>
        <v>7.7758000000000003</v>
      </c>
      <c r="F2807" s="1323">
        <f t="shared" si="289"/>
        <v>5.7294454279337987</v>
      </c>
      <c r="G2807" s="1323">
        <f t="shared" si="291"/>
        <v>2003</v>
      </c>
      <c r="H2807" s="1323">
        <f t="shared" si="292"/>
        <v>6</v>
      </c>
      <c r="I2807" s="1323">
        <f t="shared" si="293"/>
        <v>25</v>
      </c>
      <c r="J2807" s="1323"/>
      <c r="K2807" s="1323"/>
      <c r="L2807" s="1323"/>
      <c r="M2807" s="1323"/>
      <c r="N2807" s="1323"/>
      <c r="O2807" s="1323"/>
      <c r="P2807" s="1323"/>
      <c r="Q2807" s="1323"/>
      <c r="R2807" s="1304"/>
      <c r="S2807" s="1304"/>
      <c r="T2807" s="1304"/>
    </row>
    <row r="2808" spans="1:20">
      <c r="A2808" s="1303"/>
      <c r="B2808" s="1322" t="s">
        <v>7766</v>
      </c>
      <c r="C2808" s="1323" t="s">
        <v>7767</v>
      </c>
      <c r="D2808" s="1324">
        <f t="shared" si="288"/>
        <v>37796</v>
      </c>
      <c r="E2808" s="1323">
        <f t="shared" si="290"/>
        <v>7.9668999999999999</v>
      </c>
      <c r="F2808" s="1323">
        <f t="shared" si="289"/>
        <v>5.7283468408684266</v>
      </c>
      <c r="G2808" s="1323">
        <f t="shared" si="291"/>
        <v>2003</v>
      </c>
      <c r="H2808" s="1323">
        <f t="shared" si="292"/>
        <v>6</v>
      </c>
      <c r="I2808" s="1323">
        <f t="shared" si="293"/>
        <v>24</v>
      </c>
      <c r="J2808" s="1323"/>
      <c r="K2808" s="1323"/>
      <c r="L2808" s="1323"/>
      <c r="M2808" s="1323"/>
      <c r="N2808" s="1323"/>
      <c r="O2808" s="1323"/>
      <c r="P2808" s="1323"/>
      <c r="Q2808" s="1323"/>
      <c r="R2808" s="1304"/>
      <c r="S2808" s="1304"/>
      <c r="T2808" s="1304"/>
    </row>
    <row r="2809" spans="1:20">
      <c r="A2809" s="1303"/>
      <c r="B2809" s="1322" t="s">
        <v>7768</v>
      </c>
      <c r="C2809" s="1323" t="s">
        <v>7769</v>
      </c>
      <c r="D2809" s="1324">
        <f t="shared" si="288"/>
        <v>37795</v>
      </c>
      <c r="E2809" s="1323">
        <f t="shared" si="290"/>
        <v>7.9208999999999996</v>
      </c>
      <c r="F2809" s="1323">
        <f t="shared" si="289"/>
        <v>5.7272484644505868</v>
      </c>
      <c r="G2809" s="1323">
        <f t="shared" si="291"/>
        <v>2003</v>
      </c>
      <c r="H2809" s="1323">
        <f t="shared" si="292"/>
        <v>6</v>
      </c>
      <c r="I2809" s="1323">
        <f t="shared" si="293"/>
        <v>23</v>
      </c>
      <c r="J2809" s="1323"/>
      <c r="K2809" s="1323"/>
      <c r="L2809" s="1323"/>
      <c r="M2809" s="1323"/>
      <c r="N2809" s="1323"/>
      <c r="O2809" s="1323"/>
      <c r="P2809" s="1323"/>
      <c r="Q2809" s="1323"/>
      <c r="R2809" s="1304"/>
      <c r="S2809" s="1304"/>
      <c r="T2809" s="1304"/>
    </row>
    <row r="2810" spans="1:20">
      <c r="A2810" s="1303"/>
      <c r="B2810" s="1322" t="s">
        <v>7770</v>
      </c>
      <c r="C2810" s="1323" t="s">
        <v>7771</v>
      </c>
      <c r="D2810" s="1324">
        <f t="shared" si="288"/>
        <v>37792</v>
      </c>
      <c r="E2810" s="1323">
        <f t="shared" si="290"/>
        <v>7.9518000000000004</v>
      </c>
      <c r="F2810" s="1323">
        <f t="shared" si="289"/>
        <v>5.7261502986398884</v>
      </c>
      <c r="G2810" s="1323">
        <f t="shared" si="291"/>
        <v>2003</v>
      </c>
      <c r="H2810" s="1323">
        <f t="shared" si="292"/>
        <v>6</v>
      </c>
      <c r="I2810" s="1323">
        <f t="shared" si="293"/>
        <v>20</v>
      </c>
      <c r="J2810" s="1323"/>
      <c r="K2810" s="1323"/>
      <c r="L2810" s="1323"/>
      <c r="M2810" s="1323"/>
      <c r="N2810" s="1323"/>
      <c r="O2810" s="1323"/>
      <c r="P2810" s="1323"/>
      <c r="Q2810" s="1323"/>
      <c r="R2810" s="1304"/>
      <c r="S2810" s="1304"/>
      <c r="T2810" s="1304"/>
    </row>
    <row r="2811" spans="1:20">
      <c r="A2811" s="1303"/>
      <c r="B2811" s="1322" t="s">
        <v>7772</v>
      </c>
      <c r="C2811" s="1323" t="s">
        <v>7773</v>
      </c>
      <c r="D2811" s="1324">
        <f t="shared" si="288"/>
        <v>37791</v>
      </c>
      <c r="E2811" s="1323">
        <f t="shared" si="290"/>
        <v>7.9949000000000003</v>
      </c>
      <c r="F2811" s="1323">
        <f t="shared" si="289"/>
        <v>5.7250523433959497</v>
      </c>
      <c r="G2811" s="1323">
        <f t="shared" si="291"/>
        <v>2003</v>
      </c>
      <c r="H2811" s="1323">
        <f t="shared" si="292"/>
        <v>6</v>
      </c>
      <c r="I2811" s="1323">
        <f t="shared" si="293"/>
        <v>19</v>
      </c>
      <c r="J2811" s="1323"/>
      <c r="K2811" s="1323"/>
      <c r="L2811" s="1323"/>
      <c r="M2811" s="1323"/>
      <c r="N2811" s="1323"/>
      <c r="O2811" s="1323"/>
      <c r="P2811" s="1323"/>
      <c r="Q2811" s="1323"/>
      <c r="R2811" s="1304"/>
      <c r="S2811" s="1304"/>
      <c r="T2811" s="1304"/>
    </row>
    <row r="2812" spans="1:20">
      <c r="A2812" s="1303"/>
      <c r="B2812" s="1322" t="s">
        <v>7774</v>
      </c>
      <c r="C2812" s="1323" t="s">
        <v>7775</v>
      </c>
      <c r="D2812" s="1324">
        <f t="shared" si="288"/>
        <v>37790</v>
      </c>
      <c r="E2812" s="1323">
        <f t="shared" si="290"/>
        <v>7.8819999999999997</v>
      </c>
      <c r="F2812" s="1323">
        <f t="shared" si="289"/>
        <v>5.7239545986783948</v>
      </c>
      <c r="G2812" s="1323">
        <f t="shared" si="291"/>
        <v>2003</v>
      </c>
      <c r="H2812" s="1323">
        <f t="shared" si="292"/>
        <v>6</v>
      </c>
      <c r="I2812" s="1323">
        <f t="shared" si="293"/>
        <v>18</v>
      </c>
      <c r="J2812" s="1323"/>
      <c r="K2812" s="1323"/>
      <c r="L2812" s="1323"/>
      <c r="M2812" s="1323"/>
      <c r="N2812" s="1323"/>
      <c r="O2812" s="1323"/>
      <c r="P2812" s="1323"/>
      <c r="Q2812" s="1323"/>
      <c r="R2812" s="1304"/>
      <c r="S2812" s="1304"/>
      <c r="T2812" s="1304"/>
    </row>
    <row r="2813" spans="1:20">
      <c r="A2813" s="1303"/>
      <c r="B2813" s="1322" t="s">
        <v>7776</v>
      </c>
      <c r="C2813" s="1323" t="s">
        <v>7777</v>
      </c>
      <c r="D2813" s="1324">
        <f t="shared" si="288"/>
        <v>37789</v>
      </c>
      <c r="E2813" s="1323">
        <f t="shared" si="290"/>
        <v>7.8238000000000003</v>
      </c>
      <c r="F2813" s="1323">
        <f t="shared" si="289"/>
        <v>5.722857064446857</v>
      </c>
      <c r="G2813" s="1323">
        <f t="shared" si="291"/>
        <v>2003</v>
      </c>
      <c r="H2813" s="1323">
        <f t="shared" si="292"/>
        <v>6</v>
      </c>
      <c r="I2813" s="1323">
        <f t="shared" si="293"/>
        <v>17</v>
      </c>
      <c r="J2813" s="1323"/>
      <c r="K2813" s="1323"/>
      <c r="L2813" s="1323"/>
      <c r="M2813" s="1323"/>
      <c r="N2813" s="1323"/>
      <c r="O2813" s="1323"/>
      <c r="P2813" s="1323"/>
      <c r="Q2813" s="1323"/>
      <c r="R2813" s="1304"/>
      <c r="S2813" s="1304"/>
      <c r="T2813" s="1304"/>
    </row>
    <row r="2814" spans="1:20">
      <c r="A2814" s="1303"/>
      <c r="B2814" s="1322" t="s">
        <v>7778</v>
      </c>
      <c r="C2814" s="1323" t="s">
        <v>7779</v>
      </c>
      <c r="D2814" s="1324">
        <f t="shared" si="288"/>
        <v>37785</v>
      </c>
      <c r="E2814" s="1323">
        <f t="shared" si="290"/>
        <v>7.8190999999999997</v>
      </c>
      <c r="F2814" s="1323">
        <f t="shared" si="289"/>
        <v>5.7217597406609766</v>
      </c>
      <c r="G2814" s="1323">
        <f t="shared" si="291"/>
        <v>2003</v>
      </c>
      <c r="H2814" s="1323">
        <f t="shared" si="292"/>
        <v>6</v>
      </c>
      <c r="I2814" s="1323">
        <f t="shared" si="293"/>
        <v>13</v>
      </c>
      <c r="J2814" s="1323"/>
      <c r="K2814" s="1323"/>
      <c r="L2814" s="1323"/>
      <c r="M2814" s="1323"/>
      <c r="N2814" s="1323"/>
      <c r="O2814" s="1323"/>
      <c r="P2814" s="1323"/>
      <c r="Q2814" s="1323"/>
      <c r="R2814" s="1304"/>
      <c r="S2814" s="1304"/>
      <c r="T2814" s="1304"/>
    </row>
    <row r="2815" spans="1:20">
      <c r="A2815" s="1303"/>
      <c r="B2815" s="1322" t="s">
        <v>7780</v>
      </c>
      <c r="C2815" s="1323" t="s">
        <v>7781</v>
      </c>
      <c r="D2815" s="1324">
        <f t="shared" si="288"/>
        <v>37784</v>
      </c>
      <c r="E2815" s="1323">
        <f t="shared" si="290"/>
        <v>7.952</v>
      </c>
      <c r="F2815" s="1323">
        <f t="shared" si="289"/>
        <v>5.7206626272804018</v>
      </c>
      <c r="G2815" s="1323">
        <f t="shared" si="291"/>
        <v>2003</v>
      </c>
      <c r="H2815" s="1323">
        <f t="shared" si="292"/>
        <v>6</v>
      </c>
      <c r="I2815" s="1323">
        <f t="shared" si="293"/>
        <v>12</v>
      </c>
      <c r="J2815" s="1323"/>
      <c r="K2815" s="1323"/>
      <c r="L2815" s="1323"/>
      <c r="M2815" s="1323"/>
      <c r="N2815" s="1323"/>
      <c r="O2815" s="1323"/>
      <c r="P2815" s="1323"/>
      <c r="Q2815" s="1323"/>
      <c r="R2815" s="1304"/>
      <c r="S2815" s="1304"/>
      <c r="T2815" s="1304"/>
    </row>
    <row r="2816" spans="1:20">
      <c r="A2816" s="1303"/>
      <c r="B2816" s="1322" t="s">
        <v>7782</v>
      </c>
      <c r="C2816" s="1323" t="s">
        <v>7783</v>
      </c>
      <c r="D2816" s="1324">
        <f t="shared" si="288"/>
        <v>37783</v>
      </c>
      <c r="E2816" s="1323">
        <f t="shared" si="290"/>
        <v>7.9271000000000003</v>
      </c>
      <c r="F2816" s="1323">
        <f t="shared" si="289"/>
        <v>5.7195657242647888</v>
      </c>
      <c r="G2816" s="1323">
        <f t="shared" si="291"/>
        <v>2003</v>
      </c>
      <c r="H2816" s="1323">
        <f t="shared" si="292"/>
        <v>6</v>
      </c>
      <c r="I2816" s="1323">
        <f t="shared" si="293"/>
        <v>11</v>
      </c>
      <c r="J2816" s="1323"/>
      <c r="K2816" s="1323"/>
      <c r="L2816" s="1323"/>
      <c r="M2816" s="1323"/>
      <c r="N2816" s="1323"/>
      <c r="O2816" s="1323"/>
      <c r="P2816" s="1323"/>
      <c r="Q2816" s="1323"/>
      <c r="R2816" s="1304"/>
      <c r="S2816" s="1304"/>
      <c r="T2816" s="1304"/>
    </row>
    <row r="2817" spans="1:20">
      <c r="A2817" s="1303"/>
      <c r="B2817" s="1322" t="s">
        <v>7784</v>
      </c>
      <c r="C2817" s="1323" t="s">
        <v>7785</v>
      </c>
      <c r="D2817" s="1324">
        <f t="shared" si="288"/>
        <v>37782</v>
      </c>
      <c r="E2817" s="1323">
        <f t="shared" si="290"/>
        <v>8.0065000000000008</v>
      </c>
      <c r="F2817" s="1323">
        <f t="shared" si="289"/>
        <v>5.718469031573802</v>
      </c>
      <c r="G2817" s="1323">
        <f t="shared" si="291"/>
        <v>2003</v>
      </c>
      <c r="H2817" s="1323">
        <f t="shared" si="292"/>
        <v>6</v>
      </c>
      <c r="I2817" s="1323">
        <f t="shared" si="293"/>
        <v>10</v>
      </c>
      <c r="J2817" s="1323"/>
      <c r="K2817" s="1323"/>
      <c r="L2817" s="1323"/>
      <c r="M2817" s="1323"/>
      <c r="N2817" s="1323"/>
      <c r="O2817" s="1323"/>
      <c r="P2817" s="1323"/>
      <c r="Q2817" s="1323"/>
      <c r="R2817" s="1304"/>
      <c r="S2817" s="1304"/>
      <c r="T2817" s="1304"/>
    </row>
    <row r="2818" spans="1:20">
      <c r="A2818" s="1303"/>
      <c r="B2818" s="1322" t="s">
        <v>7786</v>
      </c>
      <c r="C2818" s="1323" t="s">
        <v>3640</v>
      </c>
      <c r="D2818" s="1324">
        <f t="shared" si="288"/>
        <v>37781</v>
      </c>
      <c r="E2818" s="1323">
        <f t="shared" si="290"/>
        <v>8.0680999999999994</v>
      </c>
      <c r="F2818" s="1323">
        <f t="shared" si="289"/>
        <v>5.7173725491671119</v>
      </c>
      <c r="G2818" s="1323">
        <f t="shared" si="291"/>
        <v>2003</v>
      </c>
      <c r="H2818" s="1323">
        <f t="shared" si="292"/>
        <v>6</v>
      </c>
      <c r="I2818" s="1323">
        <f t="shared" si="293"/>
        <v>9</v>
      </c>
      <c r="J2818" s="1323"/>
      <c r="K2818" s="1323"/>
      <c r="L2818" s="1323"/>
      <c r="M2818" s="1323"/>
      <c r="N2818" s="1323"/>
      <c r="O2818" s="1323"/>
      <c r="P2818" s="1323"/>
      <c r="Q2818" s="1323"/>
      <c r="R2818" s="1304"/>
      <c r="S2818" s="1304"/>
      <c r="T2818" s="1304"/>
    </row>
    <row r="2819" spans="1:20">
      <c r="A2819" s="1303"/>
      <c r="B2819" s="1322" t="s">
        <v>7787</v>
      </c>
      <c r="C2819" s="1323" t="s">
        <v>7788</v>
      </c>
      <c r="D2819" s="1324">
        <f t="shared" si="288"/>
        <v>37778</v>
      </c>
      <c r="E2819" s="1323">
        <f t="shared" si="290"/>
        <v>7.9794999999999998</v>
      </c>
      <c r="F2819" s="1323">
        <f t="shared" si="289"/>
        <v>5.7162762770043987</v>
      </c>
      <c r="G2819" s="1323">
        <f t="shared" si="291"/>
        <v>2003</v>
      </c>
      <c r="H2819" s="1323">
        <f t="shared" si="292"/>
        <v>6</v>
      </c>
      <c r="I2819" s="1323">
        <f t="shared" si="293"/>
        <v>6</v>
      </c>
      <c r="J2819" s="1323"/>
      <c r="K2819" s="1323"/>
      <c r="L2819" s="1323"/>
      <c r="M2819" s="1323"/>
      <c r="N2819" s="1323"/>
      <c r="O2819" s="1323"/>
      <c r="P2819" s="1323"/>
      <c r="Q2819" s="1323"/>
      <c r="R2819" s="1304"/>
      <c r="S2819" s="1304"/>
      <c r="T2819" s="1304"/>
    </row>
    <row r="2820" spans="1:20">
      <c r="A2820" s="1303"/>
      <c r="B2820" s="1322" t="s">
        <v>7789</v>
      </c>
      <c r="C2820" s="1323" t="s">
        <v>4884</v>
      </c>
      <c r="D2820" s="1324">
        <f t="shared" si="288"/>
        <v>37777</v>
      </c>
      <c r="E2820" s="1323">
        <f t="shared" si="290"/>
        <v>8.2314000000000007</v>
      </c>
      <c r="F2820" s="1323">
        <f t="shared" si="289"/>
        <v>5.7151802150453488</v>
      </c>
      <c r="G2820" s="1323">
        <f t="shared" si="291"/>
        <v>2003</v>
      </c>
      <c r="H2820" s="1323">
        <f t="shared" si="292"/>
        <v>6</v>
      </c>
      <c r="I2820" s="1323">
        <f t="shared" si="293"/>
        <v>5</v>
      </c>
      <c r="J2820" s="1323"/>
      <c r="K2820" s="1323"/>
      <c r="L2820" s="1323"/>
      <c r="M2820" s="1323"/>
      <c r="N2820" s="1323"/>
      <c r="O2820" s="1323"/>
      <c r="P2820" s="1323"/>
      <c r="Q2820" s="1323"/>
      <c r="R2820" s="1304"/>
      <c r="S2820" s="1304"/>
      <c r="T2820" s="1304"/>
    </row>
    <row r="2821" spans="1:20">
      <c r="A2821" s="1303"/>
      <c r="B2821" s="1322" t="s">
        <v>7790</v>
      </c>
      <c r="C2821" s="1323" t="s">
        <v>7791</v>
      </c>
      <c r="D2821" s="1324">
        <f t="shared" si="288"/>
        <v>37776</v>
      </c>
      <c r="E2821" s="1323">
        <f t="shared" si="290"/>
        <v>8.0719999999999992</v>
      </c>
      <c r="F2821" s="1323">
        <f t="shared" si="289"/>
        <v>5.7140843632496567</v>
      </c>
      <c r="G2821" s="1323">
        <f t="shared" si="291"/>
        <v>2003</v>
      </c>
      <c r="H2821" s="1323">
        <f t="shared" si="292"/>
        <v>6</v>
      </c>
      <c r="I2821" s="1323">
        <f t="shared" si="293"/>
        <v>4</v>
      </c>
      <c r="J2821" s="1323"/>
      <c r="K2821" s="1323"/>
      <c r="L2821" s="1323"/>
      <c r="M2821" s="1323"/>
      <c r="N2821" s="1323"/>
      <c r="O2821" s="1323"/>
      <c r="P2821" s="1323"/>
      <c r="Q2821" s="1323"/>
      <c r="R2821" s="1304"/>
      <c r="S2821" s="1304"/>
      <c r="T2821" s="1304"/>
    </row>
    <row r="2822" spans="1:20">
      <c r="A2822" s="1303"/>
      <c r="B2822" s="1322" t="s">
        <v>7792</v>
      </c>
      <c r="C2822" s="1323" t="s">
        <v>7793</v>
      </c>
      <c r="D2822" s="1324">
        <f t="shared" si="288"/>
        <v>37775</v>
      </c>
      <c r="E2822" s="1323">
        <f t="shared" si="290"/>
        <v>8.0678000000000001</v>
      </c>
      <c r="F2822" s="1323">
        <f t="shared" si="289"/>
        <v>5.712988721577025</v>
      </c>
      <c r="G2822" s="1323">
        <f t="shared" si="291"/>
        <v>2003</v>
      </c>
      <c r="H2822" s="1323">
        <f t="shared" si="292"/>
        <v>6</v>
      </c>
      <c r="I2822" s="1323">
        <f t="shared" si="293"/>
        <v>3</v>
      </c>
      <c r="J2822" s="1323"/>
      <c r="K2822" s="1323"/>
      <c r="L2822" s="1323"/>
      <c r="M2822" s="1323"/>
      <c r="N2822" s="1323"/>
      <c r="O2822" s="1323"/>
      <c r="P2822" s="1323"/>
      <c r="Q2822" s="1323"/>
      <c r="R2822" s="1304"/>
      <c r="S2822" s="1304"/>
      <c r="T2822" s="1304"/>
    </row>
    <row r="2823" spans="1:20">
      <c r="A2823" s="1303"/>
      <c r="B2823" s="1322" t="s">
        <v>7794</v>
      </c>
      <c r="C2823" s="1323" t="s">
        <v>7795</v>
      </c>
      <c r="D2823" s="1324">
        <f t="shared" si="288"/>
        <v>37774</v>
      </c>
      <c r="E2823" s="1323">
        <f t="shared" si="290"/>
        <v>8.1598000000000006</v>
      </c>
      <c r="F2823" s="1323">
        <f t="shared" si="289"/>
        <v>5.7118932899871639</v>
      </c>
      <c r="G2823" s="1323">
        <f t="shared" si="291"/>
        <v>2003</v>
      </c>
      <c r="H2823" s="1323">
        <f t="shared" si="292"/>
        <v>6</v>
      </c>
      <c r="I2823" s="1323">
        <f t="shared" si="293"/>
        <v>2</v>
      </c>
      <c r="J2823" s="1323"/>
      <c r="K2823" s="1323"/>
      <c r="L2823" s="1323"/>
      <c r="M2823" s="1323"/>
      <c r="N2823" s="1323"/>
      <c r="O2823" s="1323"/>
      <c r="P2823" s="1323"/>
      <c r="Q2823" s="1323"/>
      <c r="R2823" s="1304"/>
      <c r="S2823" s="1304"/>
      <c r="T2823" s="1304"/>
    </row>
    <row r="2824" spans="1:20">
      <c r="A2824" s="1303"/>
      <c r="B2824" s="1322" t="s">
        <v>7796</v>
      </c>
      <c r="C2824" s="1323" t="s">
        <v>7797</v>
      </c>
      <c r="D2824" s="1324">
        <f t="shared" si="288"/>
        <v>37771</v>
      </c>
      <c r="E2824" s="1323">
        <f t="shared" si="290"/>
        <v>8.0748999999999995</v>
      </c>
      <c r="F2824" s="1323">
        <f t="shared" si="289"/>
        <v>5.7107980684397921</v>
      </c>
      <c r="G2824" s="1323">
        <f t="shared" si="291"/>
        <v>2003</v>
      </c>
      <c r="H2824" s="1323">
        <f t="shared" si="292"/>
        <v>5</v>
      </c>
      <c r="I2824" s="1323">
        <f t="shared" si="293"/>
        <v>30</v>
      </c>
      <c r="J2824" s="1323"/>
      <c r="K2824" s="1323"/>
      <c r="L2824" s="1323"/>
      <c r="M2824" s="1323"/>
      <c r="N2824" s="1323"/>
      <c r="O2824" s="1323"/>
      <c r="P2824" s="1323"/>
      <c r="Q2824" s="1323"/>
      <c r="R2824" s="1304"/>
      <c r="S2824" s="1304"/>
      <c r="T2824" s="1304"/>
    </row>
    <row r="2825" spans="1:20">
      <c r="A2825" s="1303"/>
      <c r="B2825" s="1322" t="s">
        <v>7798</v>
      </c>
      <c r="C2825" s="1323" t="s">
        <v>5466</v>
      </c>
      <c r="D2825" s="1324">
        <f t="shared" ref="D2825:D2888" si="294">DATE(G2825,H2825,I2825)</f>
        <v>37770</v>
      </c>
      <c r="E2825" s="1323">
        <f t="shared" si="290"/>
        <v>8.2489000000000008</v>
      </c>
      <c r="F2825" s="1323">
        <f t="shared" ref="F2825:F2888" si="295">F2826*(1+$F$7/365)</f>
        <v>5.7097030568946341</v>
      </c>
      <c r="G2825" s="1323">
        <f t="shared" si="291"/>
        <v>2003</v>
      </c>
      <c r="H2825" s="1323">
        <f t="shared" si="292"/>
        <v>5</v>
      </c>
      <c r="I2825" s="1323">
        <f t="shared" si="293"/>
        <v>29</v>
      </c>
      <c r="J2825" s="1323"/>
      <c r="K2825" s="1323"/>
      <c r="L2825" s="1323"/>
      <c r="M2825" s="1323"/>
      <c r="N2825" s="1323"/>
      <c r="O2825" s="1323"/>
      <c r="P2825" s="1323"/>
      <c r="Q2825" s="1323"/>
      <c r="R2825" s="1304"/>
      <c r="S2825" s="1304"/>
      <c r="T2825" s="1304"/>
    </row>
    <row r="2826" spans="1:20">
      <c r="A2826" s="1303"/>
      <c r="B2826" s="1322" t="s">
        <v>7799</v>
      </c>
      <c r="C2826" s="1323" t="s">
        <v>7800</v>
      </c>
      <c r="D2826" s="1324">
        <f t="shared" si="294"/>
        <v>37769</v>
      </c>
      <c r="E2826" s="1323">
        <f t="shared" si="290"/>
        <v>8.202</v>
      </c>
      <c r="F2826" s="1323">
        <f t="shared" si="295"/>
        <v>5.7086082553114235</v>
      </c>
      <c r="G2826" s="1323">
        <f t="shared" si="291"/>
        <v>2003</v>
      </c>
      <c r="H2826" s="1323">
        <f t="shared" si="292"/>
        <v>5</v>
      </c>
      <c r="I2826" s="1323">
        <f t="shared" si="293"/>
        <v>28</v>
      </c>
      <c r="J2826" s="1323"/>
      <c r="K2826" s="1323"/>
      <c r="L2826" s="1323"/>
      <c r="M2826" s="1323"/>
      <c r="N2826" s="1323"/>
      <c r="O2826" s="1323"/>
      <c r="P2826" s="1323"/>
      <c r="Q2826" s="1323"/>
      <c r="R2826" s="1304"/>
      <c r="S2826" s="1304"/>
      <c r="T2826" s="1304"/>
    </row>
    <row r="2827" spans="1:20">
      <c r="A2827" s="1303"/>
      <c r="B2827" s="1322" t="s">
        <v>7801</v>
      </c>
      <c r="C2827" s="1323" t="s">
        <v>7802</v>
      </c>
      <c r="D2827" s="1324">
        <f t="shared" si="294"/>
        <v>37768</v>
      </c>
      <c r="E2827" s="1323">
        <f t="shared" si="290"/>
        <v>7.9592000000000001</v>
      </c>
      <c r="F2827" s="1323">
        <f t="shared" si="295"/>
        <v>5.7075136636499018</v>
      </c>
      <c r="G2827" s="1323">
        <f t="shared" si="291"/>
        <v>2003</v>
      </c>
      <c r="H2827" s="1323">
        <f t="shared" si="292"/>
        <v>5</v>
      </c>
      <c r="I2827" s="1323">
        <f t="shared" si="293"/>
        <v>27</v>
      </c>
      <c r="J2827" s="1323"/>
      <c r="K2827" s="1323"/>
      <c r="L2827" s="1323"/>
      <c r="M2827" s="1323"/>
      <c r="N2827" s="1323"/>
      <c r="O2827" s="1323"/>
      <c r="P2827" s="1323"/>
      <c r="Q2827" s="1323"/>
      <c r="R2827" s="1304"/>
      <c r="S2827" s="1304"/>
      <c r="T2827" s="1304"/>
    </row>
    <row r="2828" spans="1:20">
      <c r="A2828" s="1303"/>
      <c r="B2828" s="1322" t="s">
        <v>7803</v>
      </c>
      <c r="C2828" s="1323" t="s">
        <v>7804</v>
      </c>
      <c r="D2828" s="1324">
        <f t="shared" si="294"/>
        <v>37767</v>
      </c>
      <c r="E2828" s="1323">
        <f t="shared" si="290"/>
        <v>7.9013</v>
      </c>
      <c r="F2828" s="1323">
        <f t="shared" si="295"/>
        <v>5.7064192818698167</v>
      </c>
      <c r="G2828" s="1323">
        <f t="shared" si="291"/>
        <v>2003</v>
      </c>
      <c r="H2828" s="1323">
        <f t="shared" si="292"/>
        <v>5</v>
      </c>
      <c r="I2828" s="1323">
        <f t="shared" si="293"/>
        <v>26</v>
      </c>
      <c r="J2828" s="1323"/>
      <c r="K2828" s="1323"/>
      <c r="L2828" s="1323"/>
      <c r="M2828" s="1323"/>
      <c r="N2828" s="1323"/>
      <c r="O2828" s="1323"/>
      <c r="P2828" s="1323"/>
      <c r="Q2828" s="1323"/>
      <c r="R2828" s="1304"/>
      <c r="S2828" s="1304"/>
      <c r="T2828" s="1304"/>
    </row>
    <row r="2829" spans="1:20">
      <c r="A2829" s="1303"/>
      <c r="B2829" s="1322" t="s">
        <v>7805</v>
      </c>
      <c r="C2829" s="1323" t="s">
        <v>7806</v>
      </c>
      <c r="D2829" s="1324">
        <f t="shared" si="294"/>
        <v>37764</v>
      </c>
      <c r="E2829" s="1323">
        <f t="shared" si="290"/>
        <v>7.8316999999999997</v>
      </c>
      <c r="F2829" s="1323">
        <f t="shared" si="295"/>
        <v>5.7053251099309259</v>
      </c>
      <c r="G2829" s="1323">
        <f t="shared" si="291"/>
        <v>2003</v>
      </c>
      <c r="H2829" s="1323">
        <f t="shared" si="292"/>
        <v>5</v>
      </c>
      <c r="I2829" s="1323">
        <f t="shared" si="293"/>
        <v>23</v>
      </c>
      <c r="J2829" s="1323"/>
      <c r="K2829" s="1323"/>
      <c r="L2829" s="1323"/>
      <c r="M2829" s="1323"/>
      <c r="N2829" s="1323"/>
      <c r="O2829" s="1323"/>
      <c r="P2829" s="1323"/>
      <c r="Q2829" s="1323"/>
      <c r="R2829" s="1304"/>
      <c r="S2829" s="1304"/>
      <c r="T2829" s="1304"/>
    </row>
    <row r="2830" spans="1:20">
      <c r="A2830" s="1303"/>
      <c r="B2830" s="1322" t="s">
        <v>7807</v>
      </c>
      <c r="C2830" s="1323" t="s">
        <v>7808</v>
      </c>
      <c r="D2830" s="1324">
        <f t="shared" si="294"/>
        <v>37763</v>
      </c>
      <c r="E2830" s="1323">
        <f t="shared" si="290"/>
        <v>7.8856999999999999</v>
      </c>
      <c r="F2830" s="1323">
        <f t="shared" si="295"/>
        <v>5.704231147792993</v>
      </c>
      <c r="G2830" s="1323">
        <f t="shared" si="291"/>
        <v>2003</v>
      </c>
      <c r="H2830" s="1323">
        <f t="shared" si="292"/>
        <v>5</v>
      </c>
      <c r="I2830" s="1323">
        <f t="shared" si="293"/>
        <v>22</v>
      </c>
      <c r="J2830" s="1323"/>
      <c r="K2830" s="1323"/>
      <c r="L2830" s="1323"/>
      <c r="M2830" s="1323"/>
      <c r="N2830" s="1323"/>
      <c r="O2830" s="1323"/>
      <c r="P2830" s="1323"/>
      <c r="Q2830" s="1323"/>
      <c r="R2830" s="1304"/>
      <c r="S2830" s="1304"/>
      <c r="T2830" s="1304"/>
    </row>
    <row r="2831" spans="1:20">
      <c r="A2831" s="1303"/>
      <c r="B2831" s="1322" t="s">
        <v>7809</v>
      </c>
      <c r="C2831" s="1323" t="s">
        <v>7810</v>
      </c>
      <c r="D2831" s="1324">
        <f t="shared" si="294"/>
        <v>37762</v>
      </c>
      <c r="E2831" s="1323">
        <f t="shared" si="290"/>
        <v>7.7805999999999997</v>
      </c>
      <c r="F2831" s="1323">
        <f t="shared" si="295"/>
        <v>5.7031373954157898</v>
      </c>
      <c r="G2831" s="1323">
        <f t="shared" si="291"/>
        <v>2003</v>
      </c>
      <c r="H2831" s="1323">
        <f t="shared" si="292"/>
        <v>5</v>
      </c>
      <c r="I2831" s="1323">
        <f t="shared" si="293"/>
        <v>21</v>
      </c>
      <c r="J2831" s="1323"/>
      <c r="K2831" s="1323"/>
      <c r="L2831" s="1323"/>
      <c r="M2831" s="1323"/>
      <c r="N2831" s="1323"/>
      <c r="O2831" s="1323"/>
      <c r="P2831" s="1323"/>
      <c r="Q2831" s="1323"/>
      <c r="R2831" s="1304"/>
      <c r="S2831" s="1304"/>
      <c r="T2831" s="1304"/>
    </row>
    <row r="2832" spans="1:20">
      <c r="A2832" s="1303"/>
      <c r="B2832" s="1322" t="s">
        <v>7811</v>
      </c>
      <c r="C2832" s="1323" t="s">
        <v>7812</v>
      </c>
      <c r="D2832" s="1324">
        <f t="shared" si="294"/>
        <v>37761</v>
      </c>
      <c r="E2832" s="1323">
        <f t="shared" si="290"/>
        <v>7.8021000000000003</v>
      </c>
      <c r="F2832" s="1323">
        <f t="shared" si="295"/>
        <v>5.702043852759096</v>
      </c>
      <c r="G2832" s="1323">
        <f t="shared" si="291"/>
        <v>2003</v>
      </c>
      <c r="H2832" s="1323">
        <f t="shared" si="292"/>
        <v>5</v>
      </c>
      <c r="I2832" s="1323">
        <f t="shared" si="293"/>
        <v>20</v>
      </c>
      <c r="J2832" s="1323"/>
      <c r="K2832" s="1323"/>
      <c r="L2832" s="1323"/>
      <c r="M2832" s="1323"/>
      <c r="N2832" s="1323"/>
      <c r="O2832" s="1323"/>
      <c r="P2832" s="1323"/>
      <c r="Q2832" s="1323"/>
      <c r="R2832" s="1304"/>
      <c r="S2832" s="1304"/>
      <c r="T2832" s="1304"/>
    </row>
    <row r="2833" spans="1:20">
      <c r="A2833" s="1303"/>
      <c r="B2833" s="1322" t="s">
        <v>7813</v>
      </c>
      <c r="C2833" s="1323" t="s">
        <v>5244</v>
      </c>
      <c r="D2833" s="1324">
        <f t="shared" si="294"/>
        <v>37760</v>
      </c>
      <c r="E2833" s="1323">
        <f t="shared" si="290"/>
        <v>7.7199</v>
      </c>
      <c r="F2833" s="1323">
        <f t="shared" si="295"/>
        <v>5.7009505197826993</v>
      </c>
      <c r="G2833" s="1323">
        <f t="shared" si="291"/>
        <v>2003</v>
      </c>
      <c r="H2833" s="1323">
        <f t="shared" si="292"/>
        <v>5</v>
      </c>
      <c r="I2833" s="1323">
        <f t="shared" si="293"/>
        <v>19</v>
      </c>
      <c r="J2833" s="1323"/>
      <c r="K2833" s="1323"/>
      <c r="L2833" s="1323"/>
      <c r="M2833" s="1323"/>
      <c r="N2833" s="1323"/>
      <c r="O2833" s="1323"/>
      <c r="P2833" s="1323"/>
      <c r="Q2833" s="1323"/>
      <c r="R2833" s="1304"/>
      <c r="S2833" s="1304"/>
      <c r="T2833" s="1304"/>
    </row>
    <row r="2834" spans="1:20">
      <c r="A2834" s="1303"/>
      <c r="B2834" s="1322" t="s">
        <v>7814</v>
      </c>
      <c r="C2834" s="1323" t="s">
        <v>7815</v>
      </c>
      <c r="D2834" s="1324">
        <f t="shared" si="294"/>
        <v>37757</v>
      </c>
      <c r="E2834" s="1323">
        <f t="shared" si="290"/>
        <v>7.9267000000000003</v>
      </c>
      <c r="F2834" s="1323">
        <f t="shared" si="295"/>
        <v>5.6998573964463946</v>
      </c>
      <c r="G2834" s="1323">
        <f t="shared" si="291"/>
        <v>2003</v>
      </c>
      <c r="H2834" s="1323">
        <f t="shared" si="292"/>
        <v>5</v>
      </c>
      <c r="I2834" s="1323">
        <f t="shared" si="293"/>
        <v>16</v>
      </c>
      <c r="J2834" s="1323"/>
      <c r="K2834" s="1323"/>
      <c r="L2834" s="1323"/>
      <c r="M2834" s="1323"/>
      <c r="N2834" s="1323"/>
      <c r="O2834" s="1323"/>
      <c r="P2834" s="1323"/>
      <c r="Q2834" s="1323"/>
      <c r="R2834" s="1304"/>
      <c r="S2834" s="1304"/>
      <c r="T2834" s="1304"/>
    </row>
    <row r="2835" spans="1:20">
      <c r="A2835" s="1303"/>
      <c r="B2835" s="1322" t="s">
        <v>7816</v>
      </c>
      <c r="C2835" s="1323" t="s">
        <v>7817</v>
      </c>
      <c r="D2835" s="1324">
        <f t="shared" si="294"/>
        <v>37756</v>
      </c>
      <c r="E2835" s="1323">
        <f t="shared" si="290"/>
        <v>7.6858000000000004</v>
      </c>
      <c r="F2835" s="1323">
        <f t="shared" si="295"/>
        <v>5.6987644827099846</v>
      </c>
      <c r="G2835" s="1323">
        <f t="shared" si="291"/>
        <v>2003</v>
      </c>
      <c r="H2835" s="1323">
        <f t="shared" si="292"/>
        <v>5</v>
      </c>
      <c r="I2835" s="1323">
        <f t="shared" si="293"/>
        <v>15</v>
      </c>
      <c r="J2835" s="1323"/>
      <c r="K2835" s="1323"/>
      <c r="L2835" s="1323"/>
      <c r="M2835" s="1323"/>
      <c r="N2835" s="1323"/>
      <c r="O2835" s="1323"/>
      <c r="P2835" s="1323"/>
      <c r="Q2835" s="1323"/>
      <c r="R2835" s="1304"/>
      <c r="S2835" s="1304"/>
      <c r="T2835" s="1304"/>
    </row>
    <row r="2836" spans="1:20">
      <c r="A2836" s="1303"/>
      <c r="B2836" s="1322" t="s">
        <v>7818</v>
      </c>
      <c r="C2836" s="1323" t="s">
        <v>3532</v>
      </c>
      <c r="D2836" s="1324">
        <f t="shared" si="294"/>
        <v>37755</v>
      </c>
      <c r="E2836" s="1323">
        <f t="shared" si="290"/>
        <v>7.4549000000000003</v>
      </c>
      <c r="F2836" s="1323">
        <f t="shared" si="295"/>
        <v>5.6976717785332793</v>
      </c>
      <c r="G2836" s="1323">
        <f t="shared" si="291"/>
        <v>2003</v>
      </c>
      <c r="H2836" s="1323">
        <f t="shared" si="292"/>
        <v>5</v>
      </c>
      <c r="I2836" s="1323">
        <f t="shared" si="293"/>
        <v>14</v>
      </c>
      <c r="J2836" s="1323"/>
      <c r="K2836" s="1323"/>
      <c r="L2836" s="1323"/>
      <c r="M2836" s="1323"/>
      <c r="N2836" s="1323"/>
      <c r="O2836" s="1323"/>
      <c r="P2836" s="1323"/>
      <c r="Q2836" s="1323"/>
      <c r="R2836" s="1304"/>
      <c r="S2836" s="1304"/>
      <c r="T2836" s="1304"/>
    </row>
    <row r="2837" spans="1:20">
      <c r="A2837" s="1303"/>
      <c r="B2837" s="1322" t="s">
        <v>7819</v>
      </c>
      <c r="C2837" s="1323" t="s">
        <v>7820</v>
      </c>
      <c r="D2837" s="1324">
        <f t="shared" si="294"/>
        <v>37754</v>
      </c>
      <c r="E2837" s="1323">
        <f t="shared" si="290"/>
        <v>7.3612000000000002</v>
      </c>
      <c r="F2837" s="1323">
        <f t="shared" si="295"/>
        <v>5.6965792838760976</v>
      </c>
      <c r="G2837" s="1323">
        <f t="shared" si="291"/>
        <v>2003</v>
      </c>
      <c r="H2837" s="1323">
        <f t="shared" si="292"/>
        <v>5</v>
      </c>
      <c r="I2837" s="1323">
        <f t="shared" si="293"/>
        <v>13</v>
      </c>
      <c r="J2837" s="1323"/>
      <c r="K2837" s="1323"/>
      <c r="L2837" s="1323"/>
      <c r="M2837" s="1323"/>
      <c r="N2837" s="1323"/>
      <c r="O2837" s="1323"/>
      <c r="P2837" s="1323"/>
      <c r="Q2837" s="1323"/>
      <c r="R2837" s="1304"/>
      <c r="S2837" s="1304"/>
      <c r="T2837" s="1304"/>
    </row>
    <row r="2838" spans="1:20">
      <c r="A2838" s="1303"/>
      <c r="B2838" s="1322" t="s">
        <v>7821</v>
      </c>
      <c r="C2838" s="1323" t="s">
        <v>7822</v>
      </c>
      <c r="D2838" s="1324">
        <f t="shared" si="294"/>
        <v>37753</v>
      </c>
      <c r="E2838" s="1323">
        <f t="shared" ref="E2838:E2901" si="296">VALUE(C2839)</f>
        <v>7.2302999999999997</v>
      </c>
      <c r="F2838" s="1323">
        <f t="shared" si="295"/>
        <v>5.6954869986982652</v>
      </c>
      <c r="G2838" s="1323">
        <f t="shared" ref="G2838:G2901" si="297">YEAR(B2839)</f>
        <v>2003</v>
      </c>
      <c r="H2838" s="1323">
        <f t="shared" ref="H2838:H2901" si="298">MONTH(B2839)</f>
        <v>5</v>
      </c>
      <c r="I2838" s="1323">
        <f t="shared" ref="I2838:I2901" si="299">DAY(B2839)</f>
        <v>12</v>
      </c>
      <c r="J2838" s="1323"/>
      <c r="K2838" s="1323"/>
      <c r="L2838" s="1323"/>
      <c r="M2838" s="1323"/>
      <c r="N2838" s="1323"/>
      <c r="O2838" s="1323"/>
      <c r="P2838" s="1323"/>
      <c r="Q2838" s="1323"/>
      <c r="R2838" s="1304"/>
      <c r="S2838" s="1304"/>
      <c r="T2838" s="1304"/>
    </row>
    <row r="2839" spans="1:20">
      <c r="A2839" s="1303"/>
      <c r="B2839" s="1322" t="s">
        <v>7823</v>
      </c>
      <c r="C2839" s="1323" t="s">
        <v>7824</v>
      </c>
      <c r="D2839" s="1324">
        <f t="shared" si="294"/>
        <v>37750</v>
      </c>
      <c r="E2839" s="1323">
        <f t="shared" si="296"/>
        <v>7.2396000000000003</v>
      </c>
      <c r="F2839" s="1323">
        <f t="shared" si="295"/>
        <v>5.6943949229596154</v>
      </c>
      <c r="G2839" s="1323">
        <f t="shared" si="297"/>
        <v>2003</v>
      </c>
      <c r="H2839" s="1323">
        <f t="shared" si="298"/>
        <v>5</v>
      </c>
      <c r="I2839" s="1323">
        <f t="shared" si="299"/>
        <v>9</v>
      </c>
      <c r="J2839" s="1323"/>
      <c r="K2839" s="1323"/>
      <c r="L2839" s="1323"/>
      <c r="M2839" s="1323"/>
      <c r="N2839" s="1323"/>
      <c r="O2839" s="1323"/>
      <c r="P2839" s="1323"/>
      <c r="Q2839" s="1323"/>
      <c r="R2839" s="1304"/>
      <c r="S2839" s="1304"/>
      <c r="T2839" s="1304"/>
    </row>
    <row r="2840" spans="1:20">
      <c r="A2840" s="1303"/>
      <c r="B2840" s="1322" t="s">
        <v>7825</v>
      </c>
      <c r="C2840" s="1323" t="s">
        <v>7826</v>
      </c>
      <c r="D2840" s="1324">
        <f t="shared" si="294"/>
        <v>37749</v>
      </c>
      <c r="E2840" s="1323">
        <f t="shared" si="296"/>
        <v>7.34</v>
      </c>
      <c r="F2840" s="1323">
        <f t="shared" si="295"/>
        <v>5.6933030566199898</v>
      </c>
      <c r="G2840" s="1323">
        <f t="shared" si="297"/>
        <v>2003</v>
      </c>
      <c r="H2840" s="1323">
        <f t="shared" si="298"/>
        <v>5</v>
      </c>
      <c r="I2840" s="1323">
        <f t="shared" si="299"/>
        <v>8</v>
      </c>
      <c r="J2840" s="1323"/>
      <c r="K2840" s="1323"/>
      <c r="L2840" s="1323"/>
      <c r="M2840" s="1323"/>
      <c r="N2840" s="1323"/>
      <c r="O2840" s="1323"/>
      <c r="P2840" s="1323"/>
      <c r="Q2840" s="1323"/>
      <c r="R2840" s="1304"/>
      <c r="S2840" s="1304"/>
      <c r="T2840" s="1304"/>
    </row>
    <row r="2841" spans="1:20">
      <c r="A2841" s="1303"/>
      <c r="B2841" s="1322" t="s">
        <v>7827</v>
      </c>
      <c r="C2841" s="1323" t="s">
        <v>7828</v>
      </c>
      <c r="D2841" s="1324">
        <f t="shared" si="294"/>
        <v>37748</v>
      </c>
      <c r="E2841" s="1323">
        <f t="shared" si="296"/>
        <v>7.3749000000000002</v>
      </c>
      <c r="F2841" s="1323">
        <f t="shared" si="295"/>
        <v>5.6922113996392367</v>
      </c>
      <c r="G2841" s="1323">
        <f t="shared" si="297"/>
        <v>2003</v>
      </c>
      <c r="H2841" s="1323">
        <f t="shared" si="298"/>
        <v>5</v>
      </c>
      <c r="I2841" s="1323">
        <f t="shared" si="299"/>
        <v>7</v>
      </c>
      <c r="J2841" s="1323"/>
      <c r="K2841" s="1323"/>
      <c r="L2841" s="1323"/>
      <c r="M2841" s="1323"/>
      <c r="N2841" s="1323"/>
      <c r="O2841" s="1323"/>
      <c r="P2841" s="1323"/>
      <c r="Q2841" s="1323"/>
      <c r="R2841" s="1304"/>
      <c r="S2841" s="1304"/>
      <c r="T2841" s="1304"/>
    </row>
    <row r="2842" spans="1:20">
      <c r="A2842" s="1303"/>
      <c r="B2842" s="1322" t="s">
        <v>7829</v>
      </c>
      <c r="C2842" s="1323" t="s">
        <v>7725</v>
      </c>
      <c r="D2842" s="1324">
        <f t="shared" si="294"/>
        <v>37747</v>
      </c>
      <c r="E2842" s="1323">
        <f t="shared" si="296"/>
        <v>7.3273000000000001</v>
      </c>
      <c r="F2842" s="1323">
        <f t="shared" si="295"/>
        <v>5.6911199519772131</v>
      </c>
      <c r="G2842" s="1323">
        <f t="shared" si="297"/>
        <v>2003</v>
      </c>
      <c r="H2842" s="1323">
        <f t="shared" si="298"/>
        <v>5</v>
      </c>
      <c r="I2842" s="1323">
        <f t="shared" si="299"/>
        <v>6</v>
      </c>
      <c r="J2842" s="1323"/>
      <c r="K2842" s="1323"/>
      <c r="L2842" s="1323"/>
      <c r="M2842" s="1323"/>
      <c r="N2842" s="1323"/>
      <c r="O2842" s="1323"/>
      <c r="P2842" s="1323"/>
      <c r="Q2842" s="1323"/>
      <c r="R2842" s="1304"/>
      <c r="S2842" s="1304"/>
      <c r="T2842" s="1304"/>
    </row>
    <row r="2843" spans="1:20">
      <c r="A2843" s="1303"/>
      <c r="B2843" s="1322" t="s">
        <v>7830</v>
      </c>
      <c r="C2843" s="1323" t="s">
        <v>4474</v>
      </c>
      <c r="D2843" s="1324">
        <f t="shared" si="294"/>
        <v>37746</v>
      </c>
      <c r="E2843" s="1323">
        <f t="shared" si="296"/>
        <v>7.4829999999999997</v>
      </c>
      <c r="F2843" s="1323">
        <f t="shared" si="295"/>
        <v>5.6900287135937839</v>
      </c>
      <c r="G2843" s="1323">
        <f t="shared" si="297"/>
        <v>2003</v>
      </c>
      <c r="H2843" s="1323">
        <f t="shared" si="298"/>
        <v>5</v>
      </c>
      <c r="I2843" s="1323">
        <f t="shared" si="299"/>
        <v>5</v>
      </c>
      <c r="J2843" s="1323"/>
      <c r="K2843" s="1323"/>
      <c r="L2843" s="1323"/>
      <c r="M2843" s="1323"/>
      <c r="N2843" s="1323"/>
      <c r="O2843" s="1323"/>
      <c r="P2843" s="1323"/>
      <c r="Q2843" s="1323"/>
      <c r="R2843" s="1304"/>
      <c r="S2843" s="1304"/>
      <c r="T2843" s="1304"/>
    </row>
    <row r="2844" spans="1:20">
      <c r="A2844" s="1303"/>
      <c r="B2844" s="1322" t="s">
        <v>7831</v>
      </c>
      <c r="C2844" s="1323" t="s">
        <v>7832</v>
      </c>
      <c r="D2844" s="1324">
        <f t="shared" si="294"/>
        <v>37743</v>
      </c>
      <c r="E2844" s="1323">
        <f t="shared" si="296"/>
        <v>7.4016000000000002</v>
      </c>
      <c r="F2844" s="1323">
        <f t="shared" si="295"/>
        <v>5.6889376844488213</v>
      </c>
      <c r="G2844" s="1323">
        <f t="shared" si="297"/>
        <v>2003</v>
      </c>
      <c r="H2844" s="1323">
        <f t="shared" si="298"/>
        <v>5</v>
      </c>
      <c r="I2844" s="1323">
        <f t="shared" si="299"/>
        <v>2</v>
      </c>
      <c r="J2844" s="1323"/>
      <c r="K2844" s="1323"/>
      <c r="L2844" s="1323"/>
      <c r="M2844" s="1323"/>
      <c r="N2844" s="1323"/>
      <c r="O2844" s="1323"/>
      <c r="P2844" s="1323"/>
      <c r="Q2844" s="1323"/>
      <c r="R2844" s="1304"/>
      <c r="S2844" s="1304"/>
      <c r="T2844" s="1304"/>
    </row>
    <row r="2845" spans="1:20">
      <c r="A2845" s="1303"/>
      <c r="B2845" s="1322" t="s">
        <v>7833</v>
      </c>
      <c r="C2845" s="1323" t="s">
        <v>7834</v>
      </c>
      <c r="D2845" s="1324">
        <f t="shared" si="294"/>
        <v>37741</v>
      </c>
      <c r="E2845" s="1323">
        <f t="shared" si="296"/>
        <v>7.1327999999999996</v>
      </c>
      <c r="F2845" s="1323">
        <f t="shared" si="295"/>
        <v>5.6878468645022044</v>
      </c>
      <c r="G2845" s="1323">
        <f t="shared" si="297"/>
        <v>2003</v>
      </c>
      <c r="H2845" s="1323">
        <f t="shared" si="298"/>
        <v>4</v>
      </c>
      <c r="I2845" s="1323">
        <f t="shared" si="299"/>
        <v>30</v>
      </c>
      <c r="J2845" s="1323"/>
      <c r="K2845" s="1323"/>
      <c r="L2845" s="1323"/>
      <c r="M2845" s="1323"/>
      <c r="N2845" s="1323"/>
      <c r="O2845" s="1323"/>
      <c r="P2845" s="1323"/>
      <c r="Q2845" s="1323"/>
      <c r="R2845" s="1304"/>
      <c r="S2845" s="1304"/>
      <c r="T2845" s="1304"/>
    </row>
    <row r="2846" spans="1:20">
      <c r="A2846" s="1303"/>
      <c r="B2846" s="1322" t="s">
        <v>7835</v>
      </c>
      <c r="C2846" s="1323" t="s">
        <v>7836</v>
      </c>
      <c r="D2846" s="1324">
        <f t="shared" si="294"/>
        <v>37740</v>
      </c>
      <c r="E2846" s="1323">
        <f t="shared" si="296"/>
        <v>7.2560000000000002</v>
      </c>
      <c r="F2846" s="1323">
        <f t="shared" si="295"/>
        <v>5.6867562537138205</v>
      </c>
      <c r="G2846" s="1323">
        <f t="shared" si="297"/>
        <v>2003</v>
      </c>
      <c r="H2846" s="1323">
        <f t="shared" si="298"/>
        <v>4</v>
      </c>
      <c r="I2846" s="1323">
        <f t="shared" si="299"/>
        <v>29</v>
      </c>
      <c r="J2846" s="1323"/>
      <c r="K2846" s="1323"/>
      <c r="L2846" s="1323"/>
      <c r="M2846" s="1323"/>
      <c r="N2846" s="1323"/>
      <c r="O2846" s="1323"/>
      <c r="P2846" s="1323"/>
      <c r="Q2846" s="1323"/>
      <c r="R2846" s="1304"/>
      <c r="S2846" s="1304"/>
      <c r="T2846" s="1304"/>
    </row>
    <row r="2847" spans="1:20">
      <c r="A2847" s="1303"/>
      <c r="B2847" s="1322" t="s">
        <v>7837</v>
      </c>
      <c r="C2847" s="1323" t="s">
        <v>7838</v>
      </c>
      <c r="D2847" s="1324">
        <f t="shared" si="294"/>
        <v>37736</v>
      </c>
      <c r="E2847" s="1323">
        <f t="shared" si="296"/>
        <v>7.3122999999999996</v>
      </c>
      <c r="F2847" s="1323">
        <f t="shared" si="295"/>
        <v>5.6856658520435657</v>
      </c>
      <c r="G2847" s="1323">
        <f t="shared" si="297"/>
        <v>2003</v>
      </c>
      <c r="H2847" s="1323">
        <f t="shared" si="298"/>
        <v>4</v>
      </c>
      <c r="I2847" s="1323">
        <f t="shared" si="299"/>
        <v>25</v>
      </c>
      <c r="J2847" s="1323"/>
      <c r="K2847" s="1323"/>
      <c r="L2847" s="1323"/>
      <c r="M2847" s="1323"/>
      <c r="N2847" s="1323"/>
      <c r="O2847" s="1323"/>
      <c r="P2847" s="1323"/>
      <c r="Q2847" s="1323"/>
      <c r="R2847" s="1304"/>
      <c r="S2847" s="1304"/>
      <c r="T2847" s="1304"/>
    </row>
    <row r="2848" spans="1:20">
      <c r="A2848" s="1303"/>
      <c r="B2848" s="1322" t="s">
        <v>7839</v>
      </c>
      <c r="C2848" s="1323" t="s">
        <v>7840</v>
      </c>
      <c r="D2848" s="1324">
        <f t="shared" si="294"/>
        <v>37735</v>
      </c>
      <c r="E2848" s="1323">
        <f t="shared" si="296"/>
        <v>7.3929</v>
      </c>
      <c r="F2848" s="1323">
        <f t="shared" si="295"/>
        <v>5.6845756594513421</v>
      </c>
      <c r="G2848" s="1323">
        <f t="shared" si="297"/>
        <v>2003</v>
      </c>
      <c r="H2848" s="1323">
        <f t="shared" si="298"/>
        <v>4</v>
      </c>
      <c r="I2848" s="1323">
        <f t="shared" si="299"/>
        <v>24</v>
      </c>
      <c r="J2848" s="1323"/>
      <c r="K2848" s="1323"/>
      <c r="L2848" s="1323"/>
      <c r="M2848" s="1323"/>
      <c r="N2848" s="1323"/>
      <c r="O2848" s="1323"/>
      <c r="P2848" s="1323"/>
      <c r="Q2848" s="1323"/>
      <c r="R2848" s="1304"/>
      <c r="S2848" s="1304"/>
      <c r="T2848" s="1304"/>
    </row>
    <row r="2849" spans="1:20">
      <c r="A2849" s="1303"/>
      <c r="B2849" s="1322" t="s">
        <v>7841</v>
      </c>
      <c r="C2849" s="1323" t="s">
        <v>7842</v>
      </c>
      <c r="D2849" s="1324">
        <f t="shared" si="294"/>
        <v>37734</v>
      </c>
      <c r="E2849" s="1323">
        <f t="shared" si="296"/>
        <v>7.5888999999999998</v>
      </c>
      <c r="F2849" s="1323">
        <f t="shared" si="295"/>
        <v>5.6834856758970602</v>
      </c>
      <c r="G2849" s="1323">
        <f t="shared" si="297"/>
        <v>2003</v>
      </c>
      <c r="H2849" s="1323">
        <f t="shared" si="298"/>
        <v>4</v>
      </c>
      <c r="I2849" s="1323">
        <f t="shared" si="299"/>
        <v>23</v>
      </c>
      <c r="J2849" s="1323"/>
      <c r="K2849" s="1323"/>
      <c r="L2849" s="1323"/>
      <c r="M2849" s="1323"/>
      <c r="N2849" s="1323"/>
      <c r="O2849" s="1323"/>
      <c r="P2849" s="1323"/>
      <c r="Q2849" s="1323"/>
      <c r="R2849" s="1304"/>
      <c r="S2849" s="1304"/>
      <c r="T2849" s="1304"/>
    </row>
    <row r="2850" spans="1:20">
      <c r="A2850" s="1303"/>
      <c r="B2850" s="1322" t="s">
        <v>7843</v>
      </c>
      <c r="C2850" s="1323" t="s">
        <v>7844</v>
      </c>
      <c r="D2850" s="1324">
        <f t="shared" si="294"/>
        <v>37733</v>
      </c>
      <c r="E2850" s="1323">
        <f t="shared" si="296"/>
        <v>7.6197999999999997</v>
      </c>
      <c r="F2850" s="1323">
        <f t="shared" si="295"/>
        <v>5.6823959013406382</v>
      </c>
      <c r="G2850" s="1323">
        <f t="shared" si="297"/>
        <v>2003</v>
      </c>
      <c r="H2850" s="1323">
        <f t="shared" si="298"/>
        <v>4</v>
      </c>
      <c r="I2850" s="1323">
        <f t="shared" si="299"/>
        <v>22</v>
      </c>
      <c r="J2850" s="1323"/>
      <c r="K2850" s="1323"/>
      <c r="L2850" s="1323"/>
      <c r="M2850" s="1323"/>
      <c r="N2850" s="1323"/>
      <c r="O2850" s="1323"/>
      <c r="P2850" s="1323"/>
      <c r="Q2850" s="1323"/>
      <c r="R2850" s="1304"/>
      <c r="S2850" s="1304"/>
      <c r="T2850" s="1304"/>
    </row>
    <row r="2851" spans="1:20">
      <c r="A2851" s="1303"/>
      <c r="B2851" s="1322" t="s">
        <v>7845</v>
      </c>
      <c r="C2851" s="1323" t="s">
        <v>4328</v>
      </c>
      <c r="D2851" s="1324">
        <f t="shared" si="294"/>
        <v>37728</v>
      </c>
      <c r="E2851" s="1323">
        <f t="shared" si="296"/>
        <v>7.6228999999999996</v>
      </c>
      <c r="F2851" s="1323">
        <f t="shared" si="295"/>
        <v>5.6813063357420024</v>
      </c>
      <c r="G2851" s="1323">
        <f t="shared" si="297"/>
        <v>2003</v>
      </c>
      <c r="H2851" s="1323">
        <f t="shared" si="298"/>
        <v>4</v>
      </c>
      <c r="I2851" s="1323">
        <f t="shared" si="299"/>
        <v>17</v>
      </c>
      <c r="J2851" s="1323"/>
      <c r="K2851" s="1323"/>
      <c r="L2851" s="1323"/>
      <c r="M2851" s="1323"/>
      <c r="N2851" s="1323"/>
      <c r="O2851" s="1323"/>
      <c r="P2851" s="1323"/>
      <c r="Q2851" s="1323"/>
      <c r="R2851" s="1304"/>
      <c r="S2851" s="1304"/>
      <c r="T2851" s="1304"/>
    </row>
    <row r="2852" spans="1:20">
      <c r="A2852" s="1303"/>
      <c r="B2852" s="1322" t="s">
        <v>7846</v>
      </c>
      <c r="C2852" s="1323" t="s">
        <v>7847</v>
      </c>
      <c r="D2852" s="1324">
        <f t="shared" si="294"/>
        <v>37727</v>
      </c>
      <c r="E2852" s="1323">
        <f t="shared" si="296"/>
        <v>7.6768999999999998</v>
      </c>
      <c r="F2852" s="1323">
        <f t="shared" si="295"/>
        <v>5.6802169790610861</v>
      </c>
      <c r="G2852" s="1323">
        <f t="shared" si="297"/>
        <v>2003</v>
      </c>
      <c r="H2852" s="1323">
        <f t="shared" si="298"/>
        <v>4</v>
      </c>
      <c r="I2852" s="1323">
        <f t="shared" si="299"/>
        <v>16</v>
      </c>
      <c r="J2852" s="1323"/>
      <c r="K2852" s="1323"/>
      <c r="L2852" s="1323"/>
      <c r="M2852" s="1323"/>
      <c r="N2852" s="1323"/>
      <c r="O2852" s="1323"/>
      <c r="P2852" s="1323"/>
      <c r="Q2852" s="1323"/>
      <c r="R2852" s="1304"/>
      <c r="S2852" s="1304"/>
      <c r="T2852" s="1304"/>
    </row>
    <row r="2853" spans="1:20">
      <c r="A2853" s="1303"/>
      <c r="B2853" s="1322" t="s">
        <v>7848</v>
      </c>
      <c r="C2853" s="1323" t="s">
        <v>7849</v>
      </c>
      <c r="D2853" s="1324">
        <f t="shared" si="294"/>
        <v>37726</v>
      </c>
      <c r="E2853" s="1323">
        <f t="shared" si="296"/>
        <v>7.8334000000000001</v>
      </c>
      <c r="F2853" s="1323">
        <f t="shared" si="295"/>
        <v>5.6791278312578308</v>
      </c>
      <c r="G2853" s="1323">
        <f t="shared" si="297"/>
        <v>2003</v>
      </c>
      <c r="H2853" s="1323">
        <f t="shared" si="298"/>
        <v>4</v>
      </c>
      <c r="I2853" s="1323">
        <f t="shared" si="299"/>
        <v>15</v>
      </c>
      <c r="J2853" s="1323"/>
      <c r="K2853" s="1323"/>
      <c r="L2853" s="1323"/>
      <c r="M2853" s="1323"/>
      <c r="N2853" s="1323"/>
      <c r="O2853" s="1323"/>
      <c r="P2853" s="1323"/>
      <c r="Q2853" s="1323"/>
      <c r="R2853" s="1304"/>
      <c r="S2853" s="1304"/>
      <c r="T2853" s="1304"/>
    </row>
    <row r="2854" spans="1:20">
      <c r="A2854" s="1303"/>
      <c r="B2854" s="1322" t="s">
        <v>7850</v>
      </c>
      <c r="C2854" s="1323" t="s">
        <v>7851</v>
      </c>
      <c r="D2854" s="1324">
        <f t="shared" si="294"/>
        <v>37725</v>
      </c>
      <c r="E2854" s="1323">
        <f t="shared" si="296"/>
        <v>7.8948</v>
      </c>
      <c r="F2854" s="1323">
        <f t="shared" si="295"/>
        <v>5.6780388922921858</v>
      </c>
      <c r="G2854" s="1323">
        <f t="shared" si="297"/>
        <v>2003</v>
      </c>
      <c r="H2854" s="1323">
        <f t="shared" si="298"/>
        <v>4</v>
      </c>
      <c r="I2854" s="1323">
        <f t="shared" si="299"/>
        <v>14</v>
      </c>
      <c r="J2854" s="1323"/>
      <c r="K2854" s="1323"/>
      <c r="L2854" s="1323"/>
      <c r="M2854" s="1323"/>
      <c r="N2854" s="1323"/>
      <c r="O2854" s="1323"/>
      <c r="P2854" s="1323"/>
      <c r="Q2854" s="1323"/>
      <c r="R2854" s="1304"/>
      <c r="S2854" s="1304"/>
      <c r="T2854" s="1304"/>
    </row>
    <row r="2855" spans="1:20">
      <c r="A2855" s="1303"/>
      <c r="B2855" s="1322" t="s">
        <v>7852</v>
      </c>
      <c r="C2855" s="1323" t="s">
        <v>7853</v>
      </c>
      <c r="D2855" s="1324">
        <f t="shared" si="294"/>
        <v>37722</v>
      </c>
      <c r="E2855" s="1323">
        <f t="shared" si="296"/>
        <v>7.7709000000000001</v>
      </c>
      <c r="F2855" s="1323">
        <f t="shared" si="295"/>
        <v>5.6769501621241067</v>
      </c>
      <c r="G2855" s="1323">
        <f t="shared" si="297"/>
        <v>2003</v>
      </c>
      <c r="H2855" s="1323">
        <f t="shared" si="298"/>
        <v>4</v>
      </c>
      <c r="I2855" s="1323">
        <f t="shared" si="299"/>
        <v>11</v>
      </c>
      <c r="J2855" s="1323"/>
      <c r="K2855" s="1323"/>
      <c r="L2855" s="1323"/>
      <c r="M2855" s="1323"/>
      <c r="N2855" s="1323"/>
      <c r="O2855" s="1323"/>
      <c r="P2855" s="1323"/>
      <c r="Q2855" s="1323"/>
      <c r="R2855" s="1304"/>
      <c r="S2855" s="1304"/>
      <c r="T2855" s="1304"/>
    </row>
    <row r="2856" spans="1:20">
      <c r="A2856" s="1303"/>
      <c r="B2856" s="1322" t="s">
        <v>7854</v>
      </c>
      <c r="C2856" s="1323" t="s">
        <v>3540</v>
      </c>
      <c r="D2856" s="1324">
        <f t="shared" si="294"/>
        <v>37721</v>
      </c>
      <c r="E2856" s="1323">
        <f t="shared" si="296"/>
        <v>7.8018999999999998</v>
      </c>
      <c r="F2856" s="1323">
        <f t="shared" si="295"/>
        <v>5.6758616407135589</v>
      </c>
      <c r="G2856" s="1323">
        <f t="shared" si="297"/>
        <v>2003</v>
      </c>
      <c r="H2856" s="1323">
        <f t="shared" si="298"/>
        <v>4</v>
      </c>
      <c r="I2856" s="1323">
        <f t="shared" si="299"/>
        <v>10</v>
      </c>
      <c r="J2856" s="1323"/>
      <c r="K2856" s="1323"/>
      <c r="L2856" s="1323"/>
      <c r="M2856" s="1323"/>
      <c r="N2856" s="1323"/>
      <c r="O2856" s="1323"/>
      <c r="P2856" s="1323"/>
      <c r="Q2856" s="1323"/>
      <c r="R2856" s="1304"/>
      <c r="S2856" s="1304"/>
      <c r="T2856" s="1304"/>
    </row>
    <row r="2857" spans="1:20">
      <c r="A2857" s="1303"/>
      <c r="B2857" s="1322" t="s">
        <v>7855</v>
      </c>
      <c r="C2857" s="1323" t="s">
        <v>7856</v>
      </c>
      <c r="D2857" s="1324">
        <f t="shared" si="294"/>
        <v>37720</v>
      </c>
      <c r="E2857" s="1323">
        <f t="shared" si="296"/>
        <v>8.0149000000000008</v>
      </c>
      <c r="F2857" s="1323">
        <f t="shared" si="295"/>
        <v>5.6747733280205139</v>
      </c>
      <c r="G2857" s="1323">
        <f t="shared" si="297"/>
        <v>2003</v>
      </c>
      <c r="H2857" s="1323">
        <f t="shared" si="298"/>
        <v>4</v>
      </c>
      <c r="I2857" s="1323">
        <f t="shared" si="299"/>
        <v>9</v>
      </c>
      <c r="J2857" s="1323"/>
      <c r="K2857" s="1323"/>
      <c r="L2857" s="1323"/>
      <c r="M2857" s="1323"/>
      <c r="N2857" s="1323"/>
      <c r="O2857" s="1323"/>
      <c r="P2857" s="1323"/>
      <c r="Q2857" s="1323"/>
      <c r="R2857" s="1304"/>
      <c r="S2857" s="1304"/>
      <c r="T2857" s="1304"/>
    </row>
    <row r="2858" spans="1:20">
      <c r="A2858" s="1303"/>
      <c r="B2858" s="1322" t="s">
        <v>7857</v>
      </c>
      <c r="C2858" s="1323" t="s">
        <v>7858</v>
      </c>
      <c r="D2858" s="1324">
        <f t="shared" si="294"/>
        <v>37719</v>
      </c>
      <c r="E2858" s="1323">
        <f t="shared" si="296"/>
        <v>8.0061</v>
      </c>
      <c r="F2858" s="1323">
        <f t="shared" si="295"/>
        <v>5.6736852240049513</v>
      </c>
      <c r="G2858" s="1323">
        <f t="shared" si="297"/>
        <v>2003</v>
      </c>
      <c r="H2858" s="1323">
        <f t="shared" si="298"/>
        <v>4</v>
      </c>
      <c r="I2858" s="1323">
        <f t="shared" si="299"/>
        <v>8</v>
      </c>
      <c r="J2858" s="1323"/>
      <c r="K2858" s="1323"/>
      <c r="L2858" s="1323"/>
      <c r="M2858" s="1323"/>
      <c r="N2858" s="1323"/>
      <c r="O2858" s="1323"/>
      <c r="P2858" s="1323"/>
      <c r="Q2858" s="1323"/>
      <c r="R2858" s="1304"/>
      <c r="S2858" s="1304"/>
      <c r="T2858" s="1304"/>
    </row>
    <row r="2859" spans="1:20">
      <c r="A2859" s="1303"/>
      <c r="B2859" s="1322" t="s">
        <v>7859</v>
      </c>
      <c r="C2859" s="1323" t="s">
        <v>7860</v>
      </c>
      <c r="D2859" s="1324">
        <f t="shared" si="294"/>
        <v>37718</v>
      </c>
      <c r="E2859" s="1323">
        <f t="shared" si="296"/>
        <v>8.0578000000000003</v>
      </c>
      <c r="F2859" s="1323">
        <f t="shared" si="295"/>
        <v>5.6725973286268587</v>
      </c>
      <c r="G2859" s="1323">
        <f t="shared" si="297"/>
        <v>2003</v>
      </c>
      <c r="H2859" s="1323">
        <f t="shared" si="298"/>
        <v>4</v>
      </c>
      <c r="I2859" s="1323">
        <f t="shared" si="299"/>
        <v>7</v>
      </c>
      <c r="J2859" s="1323"/>
      <c r="K2859" s="1323"/>
      <c r="L2859" s="1323"/>
      <c r="M2859" s="1323"/>
      <c r="N2859" s="1323"/>
      <c r="O2859" s="1323"/>
      <c r="P2859" s="1323"/>
      <c r="Q2859" s="1323"/>
      <c r="R2859" s="1304"/>
      <c r="S2859" s="1304"/>
      <c r="T2859" s="1304"/>
    </row>
    <row r="2860" spans="1:20">
      <c r="A2860" s="1303"/>
      <c r="B2860" s="1322" t="s">
        <v>7861</v>
      </c>
      <c r="C2860" s="1323" t="s">
        <v>7862</v>
      </c>
      <c r="D2860" s="1324">
        <f t="shared" si="294"/>
        <v>37715</v>
      </c>
      <c r="E2860" s="1323">
        <f t="shared" si="296"/>
        <v>7.8979999999999997</v>
      </c>
      <c r="F2860" s="1323">
        <f t="shared" si="295"/>
        <v>5.6715096418462307</v>
      </c>
      <c r="G2860" s="1323">
        <f t="shared" si="297"/>
        <v>2003</v>
      </c>
      <c r="H2860" s="1323">
        <f t="shared" si="298"/>
        <v>4</v>
      </c>
      <c r="I2860" s="1323">
        <f t="shared" si="299"/>
        <v>4</v>
      </c>
      <c r="J2860" s="1323"/>
      <c r="K2860" s="1323"/>
      <c r="L2860" s="1323"/>
      <c r="M2860" s="1323"/>
      <c r="N2860" s="1323"/>
      <c r="O2860" s="1323"/>
      <c r="P2860" s="1323"/>
      <c r="Q2860" s="1323"/>
      <c r="R2860" s="1304"/>
      <c r="S2860" s="1304"/>
      <c r="T2860" s="1304"/>
    </row>
    <row r="2861" spans="1:20">
      <c r="A2861" s="1303"/>
      <c r="B2861" s="1322" t="s">
        <v>7863</v>
      </c>
      <c r="C2861" s="1323" t="s">
        <v>7864</v>
      </c>
      <c r="D2861" s="1324">
        <f t="shared" si="294"/>
        <v>37714</v>
      </c>
      <c r="E2861" s="1323">
        <f t="shared" si="296"/>
        <v>7.9371999999999998</v>
      </c>
      <c r="F2861" s="1323">
        <f t="shared" si="295"/>
        <v>5.6704221636230701</v>
      </c>
      <c r="G2861" s="1323">
        <f t="shared" si="297"/>
        <v>2003</v>
      </c>
      <c r="H2861" s="1323">
        <f t="shared" si="298"/>
        <v>4</v>
      </c>
      <c r="I2861" s="1323">
        <f t="shared" si="299"/>
        <v>3</v>
      </c>
      <c r="J2861" s="1323"/>
      <c r="K2861" s="1323"/>
      <c r="L2861" s="1323"/>
      <c r="M2861" s="1323"/>
      <c r="N2861" s="1323"/>
      <c r="O2861" s="1323"/>
      <c r="P2861" s="1323"/>
      <c r="Q2861" s="1323"/>
      <c r="R2861" s="1304"/>
      <c r="S2861" s="1304"/>
      <c r="T2861" s="1304"/>
    </row>
    <row r="2862" spans="1:20">
      <c r="A2862" s="1303"/>
      <c r="B2862" s="1322" t="s">
        <v>7865</v>
      </c>
      <c r="C2862" s="1323" t="s">
        <v>7866</v>
      </c>
      <c r="D2862" s="1324">
        <f t="shared" si="294"/>
        <v>37713</v>
      </c>
      <c r="E2862" s="1323">
        <f t="shared" si="296"/>
        <v>7.9189999999999996</v>
      </c>
      <c r="F2862" s="1323">
        <f t="shared" si="295"/>
        <v>5.6693348939173873</v>
      </c>
      <c r="G2862" s="1323">
        <f t="shared" si="297"/>
        <v>2003</v>
      </c>
      <c r="H2862" s="1323">
        <f t="shared" si="298"/>
        <v>4</v>
      </c>
      <c r="I2862" s="1323">
        <f t="shared" si="299"/>
        <v>2</v>
      </c>
      <c r="J2862" s="1323"/>
      <c r="K2862" s="1323"/>
      <c r="L2862" s="1323"/>
      <c r="M2862" s="1323"/>
      <c r="N2862" s="1323"/>
      <c r="O2862" s="1323"/>
      <c r="P2862" s="1323"/>
      <c r="Q2862" s="1323"/>
      <c r="R2862" s="1304"/>
      <c r="S2862" s="1304"/>
      <c r="T2862" s="1304"/>
    </row>
    <row r="2863" spans="1:20">
      <c r="A2863" s="1303"/>
      <c r="B2863" s="1322" t="s">
        <v>7867</v>
      </c>
      <c r="C2863" s="1323" t="s">
        <v>7868</v>
      </c>
      <c r="D2863" s="1324">
        <f t="shared" si="294"/>
        <v>37712</v>
      </c>
      <c r="E2863" s="1323">
        <f t="shared" si="296"/>
        <v>7.8731</v>
      </c>
      <c r="F2863" s="1323">
        <f t="shared" si="295"/>
        <v>5.6682478326892003</v>
      </c>
      <c r="G2863" s="1323">
        <f t="shared" si="297"/>
        <v>2003</v>
      </c>
      <c r="H2863" s="1323">
        <f t="shared" si="298"/>
        <v>4</v>
      </c>
      <c r="I2863" s="1323">
        <f t="shared" si="299"/>
        <v>1</v>
      </c>
      <c r="J2863" s="1323"/>
      <c r="K2863" s="1323"/>
      <c r="L2863" s="1323"/>
      <c r="M2863" s="1323"/>
      <c r="N2863" s="1323"/>
      <c r="O2863" s="1323"/>
      <c r="P2863" s="1323"/>
      <c r="Q2863" s="1323"/>
      <c r="R2863" s="1304"/>
      <c r="S2863" s="1304"/>
      <c r="T2863" s="1304"/>
    </row>
    <row r="2864" spans="1:20">
      <c r="A2864" s="1303"/>
      <c r="B2864" s="1322" t="s">
        <v>7869</v>
      </c>
      <c r="C2864" s="1323" t="s">
        <v>7870</v>
      </c>
      <c r="D2864" s="1324">
        <f t="shared" si="294"/>
        <v>37711</v>
      </c>
      <c r="E2864" s="1323">
        <f t="shared" si="296"/>
        <v>7.952</v>
      </c>
      <c r="F2864" s="1323">
        <f t="shared" si="295"/>
        <v>5.6671609798985347</v>
      </c>
      <c r="G2864" s="1323">
        <f t="shared" si="297"/>
        <v>2003</v>
      </c>
      <c r="H2864" s="1323">
        <f t="shared" si="298"/>
        <v>3</v>
      </c>
      <c r="I2864" s="1323">
        <f t="shared" si="299"/>
        <v>31</v>
      </c>
      <c r="J2864" s="1323"/>
      <c r="K2864" s="1323"/>
      <c r="L2864" s="1323"/>
      <c r="M2864" s="1323"/>
      <c r="N2864" s="1323"/>
      <c r="O2864" s="1323"/>
      <c r="P2864" s="1323"/>
      <c r="Q2864" s="1323"/>
      <c r="R2864" s="1304"/>
      <c r="S2864" s="1304"/>
      <c r="T2864" s="1304"/>
    </row>
    <row r="2865" spans="1:20">
      <c r="A2865" s="1303"/>
      <c r="B2865" s="1322" t="s">
        <v>7871</v>
      </c>
      <c r="C2865" s="1323" t="s">
        <v>7783</v>
      </c>
      <c r="D2865" s="1324">
        <f t="shared" si="294"/>
        <v>37708</v>
      </c>
      <c r="E2865" s="1323">
        <f t="shared" si="296"/>
        <v>7.9858000000000002</v>
      </c>
      <c r="F2865" s="1323">
        <f t="shared" si="295"/>
        <v>5.6660743355054235</v>
      </c>
      <c r="G2865" s="1323">
        <f t="shared" si="297"/>
        <v>2003</v>
      </c>
      <c r="H2865" s="1323">
        <f t="shared" si="298"/>
        <v>3</v>
      </c>
      <c r="I2865" s="1323">
        <f t="shared" si="299"/>
        <v>28</v>
      </c>
      <c r="J2865" s="1323"/>
      <c r="K2865" s="1323"/>
      <c r="L2865" s="1323"/>
      <c r="M2865" s="1323"/>
      <c r="N2865" s="1323"/>
      <c r="O2865" s="1323"/>
      <c r="P2865" s="1323"/>
      <c r="Q2865" s="1323"/>
      <c r="R2865" s="1304"/>
      <c r="S2865" s="1304"/>
      <c r="T2865" s="1304"/>
    </row>
    <row r="2866" spans="1:20">
      <c r="A2866" s="1303"/>
      <c r="B2866" s="1322" t="s">
        <v>7872</v>
      </c>
      <c r="C2866" s="1323" t="s">
        <v>7873</v>
      </c>
      <c r="D2866" s="1324">
        <f t="shared" si="294"/>
        <v>37707</v>
      </c>
      <c r="E2866" s="1323">
        <f t="shared" si="296"/>
        <v>7.9341999999999997</v>
      </c>
      <c r="F2866" s="1323">
        <f t="shared" si="295"/>
        <v>5.6649878994699083</v>
      </c>
      <c r="G2866" s="1323">
        <f t="shared" si="297"/>
        <v>2003</v>
      </c>
      <c r="H2866" s="1323">
        <f t="shared" si="298"/>
        <v>3</v>
      </c>
      <c r="I2866" s="1323">
        <f t="shared" si="299"/>
        <v>27</v>
      </c>
      <c r="J2866" s="1323"/>
      <c r="K2866" s="1323"/>
      <c r="L2866" s="1323"/>
      <c r="M2866" s="1323"/>
      <c r="N2866" s="1323"/>
      <c r="O2866" s="1323"/>
      <c r="P2866" s="1323"/>
      <c r="Q2866" s="1323"/>
      <c r="R2866" s="1304"/>
      <c r="S2866" s="1304"/>
      <c r="T2866" s="1304"/>
    </row>
    <row r="2867" spans="1:20">
      <c r="A2867" s="1303"/>
      <c r="B2867" s="1322" t="s">
        <v>7874</v>
      </c>
      <c r="C2867" s="1323" t="s">
        <v>7875</v>
      </c>
      <c r="D2867" s="1324">
        <f t="shared" si="294"/>
        <v>37706</v>
      </c>
      <c r="E2867" s="1323">
        <f t="shared" si="296"/>
        <v>8.0481999999999996</v>
      </c>
      <c r="F2867" s="1323">
        <f t="shared" si="295"/>
        <v>5.6639016717520381</v>
      </c>
      <c r="G2867" s="1323">
        <f t="shared" si="297"/>
        <v>2003</v>
      </c>
      <c r="H2867" s="1323">
        <f t="shared" si="298"/>
        <v>3</v>
      </c>
      <c r="I2867" s="1323">
        <f t="shared" si="299"/>
        <v>26</v>
      </c>
      <c r="J2867" s="1323"/>
      <c r="K2867" s="1323"/>
      <c r="L2867" s="1323"/>
      <c r="M2867" s="1323"/>
      <c r="N2867" s="1323"/>
      <c r="O2867" s="1323"/>
      <c r="P2867" s="1323"/>
      <c r="Q2867" s="1323"/>
      <c r="R2867" s="1304"/>
      <c r="S2867" s="1304"/>
      <c r="T2867" s="1304"/>
    </row>
    <row r="2868" spans="1:20">
      <c r="A2868" s="1303"/>
      <c r="B2868" s="1322" t="s">
        <v>7876</v>
      </c>
      <c r="C2868" s="1323" t="s">
        <v>7877</v>
      </c>
      <c r="D2868" s="1324">
        <f t="shared" si="294"/>
        <v>37705</v>
      </c>
      <c r="E2868" s="1323">
        <f t="shared" si="296"/>
        <v>8.0375999999999994</v>
      </c>
      <c r="F2868" s="1323">
        <f t="shared" si="295"/>
        <v>5.6628156523118687</v>
      </c>
      <c r="G2868" s="1323">
        <f t="shared" si="297"/>
        <v>2003</v>
      </c>
      <c r="H2868" s="1323">
        <f t="shared" si="298"/>
        <v>3</v>
      </c>
      <c r="I2868" s="1323">
        <f t="shared" si="299"/>
        <v>25</v>
      </c>
      <c r="J2868" s="1323"/>
      <c r="K2868" s="1323"/>
      <c r="L2868" s="1323"/>
      <c r="M2868" s="1323"/>
      <c r="N2868" s="1323"/>
      <c r="O2868" s="1323"/>
      <c r="P2868" s="1323"/>
      <c r="Q2868" s="1323"/>
      <c r="R2868" s="1304"/>
      <c r="S2868" s="1304"/>
      <c r="T2868" s="1304"/>
    </row>
    <row r="2869" spans="1:20">
      <c r="A2869" s="1303"/>
      <c r="B2869" s="1322" t="s">
        <v>7878</v>
      </c>
      <c r="C2869" s="1323" t="s">
        <v>7879</v>
      </c>
      <c r="D2869" s="1324">
        <f t="shared" si="294"/>
        <v>37704</v>
      </c>
      <c r="E2869" s="1323">
        <f t="shared" si="296"/>
        <v>8.1789000000000005</v>
      </c>
      <c r="F2869" s="1323">
        <f t="shared" si="295"/>
        <v>5.6617298411094641</v>
      </c>
      <c r="G2869" s="1323">
        <f t="shared" si="297"/>
        <v>2003</v>
      </c>
      <c r="H2869" s="1323">
        <f t="shared" si="298"/>
        <v>3</v>
      </c>
      <c r="I2869" s="1323">
        <f t="shared" si="299"/>
        <v>24</v>
      </c>
      <c r="J2869" s="1323"/>
      <c r="K2869" s="1323"/>
      <c r="L2869" s="1323"/>
      <c r="M2869" s="1323"/>
      <c r="N2869" s="1323"/>
      <c r="O2869" s="1323"/>
      <c r="P2869" s="1323"/>
      <c r="Q2869" s="1323"/>
      <c r="R2869" s="1304"/>
      <c r="S2869" s="1304"/>
      <c r="T2869" s="1304"/>
    </row>
    <row r="2870" spans="1:20">
      <c r="A2870" s="1303"/>
      <c r="B2870" s="1322" t="s">
        <v>7880</v>
      </c>
      <c r="C2870" s="1323" t="s">
        <v>7881</v>
      </c>
      <c r="D2870" s="1324">
        <f t="shared" si="294"/>
        <v>37700</v>
      </c>
      <c r="E2870" s="1323">
        <f t="shared" si="296"/>
        <v>8.1757000000000009</v>
      </c>
      <c r="F2870" s="1323">
        <f t="shared" si="295"/>
        <v>5.6606442381048963</v>
      </c>
      <c r="G2870" s="1323">
        <f t="shared" si="297"/>
        <v>2003</v>
      </c>
      <c r="H2870" s="1323">
        <f t="shared" si="298"/>
        <v>3</v>
      </c>
      <c r="I2870" s="1323">
        <f t="shared" si="299"/>
        <v>20</v>
      </c>
      <c r="J2870" s="1323"/>
      <c r="K2870" s="1323"/>
      <c r="L2870" s="1323"/>
      <c r="M2870" s="1323"/>
      <c r="N2870" s="1323"/>
      <c r="O2870" s="1323"/>
      <c r="P2870" s="1323"/>
      <c r="Q2870" s="1323"/>
      <c r="R2870" s="1304"/>
      <c r="S2870" s="1304"/>
      <c r="T2870" s="1304"/>
    </row>
    <row r="2871" spans="1:20">
      <c r="A2871" s="1303"/>
      <c r="B2871" s="1322" t="s">
        <v>7882</v>
      </c>
      <c r="C2871" s="1323" t="s">
        <v>7883</v>
      </c>
      <c r="D2871" s="1324">
        <f t="shared" si="294"/>
        <v>37699</v>
      </c>
      <c r="E2871" s="1323">
        <f t="shared" si="296"/>
        <v>8.1768000000000001</v>
      </c>
      <c r="F2871" s="1323">
        <f t="shared" si="295"/>
        <v>5.6595588432582442</v>
      </c>
      <c r="G2871" s="1323">
        <f t="shared" si="297"/>
        <v>2003</v>
      </c>
      <c r="H2871" s="1323">
        <f t="shared" si="298"/>
        <v>3</v>
      </c>
      <c r="I2871" s="1323">
        <f t="shared" si="299"/>
        <v>19</v>
      </c>
      <c r="J2871" s="1323"/>
      <c r="K2871" s="1323"/>
      <c r="L2871" s="1323"/>
      <c r="M2871" s="1323"/>
      <c r="N2871" s="1323"/>
      <c r="O2871" s="1323"/>
      <c r="P2871" s="1323"/>
      <c r="Q2871" s="1323"/>
      <c r="R2871" s="1304"/>
      <c r="S2871" s="1304"/>
      <c r="T2871" s="1304"/>
    </row>
    <row r="2872" spans="1:20">
      <c r="A2872" s="1303"/>
      <c r="B2872" s="1322" t="s">
        <v>7884</v>
      </c>
      <c r="C2872" s="1323" t="s">
        <v>7885</v>
      </c>
      <c r="D2872" s="1324">
        <f t="shared" si="294"/>
        <v>37698</v>
      </c>
      <c r="E2872" s="1323">
        <f t="shared" si="296"/>
        <v>8.1981000000000002</v>
      </c>
      <c r="F2872" s="1323">
        <f t="shared" si="295"/>
        <v>5.6584736565295941</v>
      </c>
      <c r="G2872" s="1323">
        <f t="shared" si="297"/>
        <v>2003</v>
      </c>
      <c r="H2872" s="1323">
        <f t="shared" si="298"/>
        <v>3</v>
      </c>
      <c r="I2872" s="1323">
        <f t="shared" si="299"/>
        <v>18</v>
      </c>
      <c r="J2872" s="1323"/>
      <c r="K2872" s="1323"/>
      <c r="L2872" s="1323"/>
      <c r="M2872" s="1323"/>
      <c r="N2872" s="1323"/>
      <c r="O2872" s="1323"/>
      <c r="P2872" s="1323"/>
      <c r="Q2872" s="1323"/>
      <c r="R2872" s="1304"/>
      <c r="S2872" s="1304"/>
      <c r="T2872" s="1304"/>
    </row>
    <row r="2873" spans="1:20">
      <c r="A2873" s="1303"/>
      <c r="B2873" s="1322" t="s">
        <v>7886</v>
      </c>
      <c r="C2873" s="1323" t="s">
        <v>7887</v>
      </c>
      <c r="D2873" s="1324">
        <f t="shared" si="294"/>
        <v>37697</v>
      </c>
      <c r="E2873" s="1323">
        <f t="shared" si="296"/>
        <v>8.1137999999999995</v>
      </c>
      <c r="F2873" s="1323">
        <f t="shared" si="295"/>
        <v>5.6573886778790419</v>
      </c>
      <c r="G2873" s="1323">
        <f t="shared" si="297"/>
        <v>2003</v>
      </c>
      <c r="H2873" s="1323">
        <f t="shared" si="298"/>
        <v>3</v>
      </c>
      <c r="I2873" s="1323">
        <f t="shared" si="299"/>
        <v>17</v>
      </c>
      <c r="J2873" s="1323"/>
      <c r="K2873" s="1323"/>
      <c r="L2873" s="1323"/>
      <c r="M2873" s="1323"/>
      <c r="N2873" s="1323"/>
      <c r="O2873" s="1323"/>
      <c r="P2873" s="1323"/>
      <c r="Q2873" s="1323"/>
      <c r="R2873" s="1304"/>
      <c r="S2873" s="1304"/>
      <c r="T2873" s="1304"/>
    </row>
    <row r="2874" spans="1:20">
      <c r="A2874" s="1303"/>
      <c r="B2874" s="1322" t="s">
        <v>7888</v>
      </c>
      <c r="C2874" s="1323" t="s">
        <v>5222</v>
      </c>
      <c r="D2874" s="1324">
        <f t="shared" si="294"/>
        <v>37694</v>
      </c>
      <c r="E2874" s="1323">
        <f t="shared" si="296"/>
        <v>8.1672999999999991</v>
      </c>
      <c r="F2874" s="1323">
        <f t="shared" si="295"/>
        <v>5.6563039072666887</v>
      </c>
      <c r="G2874" s="1323">
        <f t="shared" si="297"/>
        <v>2003</v>
      </c>
      <c r="H2874" s="1323">
        <f t="shared" si="298"/>
        <v>3</v>
      </c>
      <c r="I2874" s="1323">
        <f t="shared" si="299"/>
        <v>14</v>
      </c>
      <c r="J2874" s="1323"/>
      <c r="K2874" s="1323"/>
      <c r="L2874" s="1323"/>
      <c r="M2874" s="1323"/>
      <c r="N2874" s="1323"/>
      <c r="O2874" s="1323"/>
      <c r="P2874" s="1323"/>
      <c r="Q2874" s="1323"/>
      <c r="R2874" s="1304"/>
      <c r="S2874" s="1304"/>
      <c r="T2874" s="1304"/>
    </row>
    <row r="2875" spans="1:20">
      <c r="A2875" s="1303"/>
      <c r="B2875" s="1322" t="s">
        <v>7889</v>
      </c>
      <c r="C2875" s="1323" t="s">
        <v>7890</v>
      </c>
      <c r="D2875" s="1324">
        <f t="shared" si="294"/>
        <v>37693</v>
      </c>
      <c r="E2875" s="1323">
        <f t="shared" si="296"/>
        <v>8.0688999999999993</v>
      </c>
      <c r="F2875" s="1323">
        <f t="shared" si="295"/>
        <v>5.6552193446526458</v>
      </c>
      <c r="G2875" s="1323">
        <f t="shared" si="297"/>
        <v>2003</v>
      </c>
      <c r="H2875" s="1323">
        <f t="shared" si="298"/>
        <v>3</v>
      </c>
      <c r="I2875" s="1323">
        <f t="shared" si="299"/>
        <v>13</v>
      </c>
      <c r="J2875" s="1323"/>
      <c r="K2875" s="1323"/>
      <c r="L2875" s="1323"/>
      <c r="M2875" s="1323"/>
      <c r="N2875" s="1323"/>
      <c r="O2875" s="1323"/>
      <c r="P2875" s="1323"/>
      <c r="Q2875" s="1323"/>
      <c r="R2875" s="1304"/>
      <c r="S2875" s="1304"/>
      <c r="T2875" s="1304"/>
    </row>
    <row r="2876" spans="1:20">
      <c r="A2876" s="1303"/>
      <c r="B2876" s="1322" t="s">
        <v>7891</v>
      </c>
      <c r="C2876" s="1323" t="s">
        <v>7892</v>
      </c>
      <c r="D2876" s="1324">
        <f t="shared" si="294"/>
        <v>37692</v>
      </c>
      <c r="E2876" s="1323">
        <f t="shared" si="296"/>
        <v>7.9889999999999999</v>
      </c>
      <c r="F2876" s="1323">
        <f t="shared" si="295"/>
        <v>5.6541349899970301</v>
      </c>
      <c r="G2876" s="1323">
        <f t="shared" si="297"/>
        <v>2003</v>
      </c>
      <c r="H2876" s="1323">
        <f t="shared" si="298"/>
        <v>3</v>
      </c>
      <c r="I2876" s="1323">
        <f t="shared" si="299"/>
        <v>12</v>
      </c>
      <c r="J2876" s="1323"/>
      <c r="K2876" s="1323"/>
      <c r="L2876" s="1323"/>
      <c r="M2876" s="1323"/>
      <c r="N2876" s="1323"/>
      <c r="O2876" s="1323"/>
      <c r="P2876" s="1323"/>
      <c r="Q2876" s="1323"/>
      <c r="R2876" s="1304"/>
      <c r="S2876" s="1304"/>
      <c r="T2876" s="1304"/>
    </row>
    <row r="2877" spans="1:20">
      <c r="A2877" s="1303"/>
      <c r="B2877" s="1322" t="s">
        <v>7893</v>
      </c>
      <c r="C2877" s="1323" t="s">
        <v>7894</v>
      </c>
      <c r="D2877" s="1324">
        <f t="shared" si="294"/>
        <v>37691</v>
      </c>
      <c r="E2877" s="1323">
        <f t="shared" si="296"/>
        <v>7.9128999999999996</v>
      </c>
      <c r="F2877" s="1323">
        <f t="shared" si="295"/>
        <v>5.6530508432599662</v>
      </c>
      <c r="G2877" s="1323">
        <f t="shared" si="297"/>
        <v>2003</v>
      </c>
      <c r="H2877" s="1323">
        <f t="shared" si="298"/>
        <v>3</v>
      </c>
      <c r="I2877" s="1323">
        <f t="shared" si="299"/>
        <v>11</v>
      </c>
      <c r="J2877" s="1323"/>
      <c r="K2877" s="1323"/>
      <c r="L2877" s="1323"/>
      <c r="M2877" s="1323"/>
      <c r="N2877" s="1323"/>
      <c r="O2877" s="1323"/>
      <c r="P2877" s="1323"/>
      <c r="Q2877" s="1323"/>
      <c r="R2877" s="1304"/>
      <c r="S2877" s="1304"/>
      <c r="T2877" s="1304"/>
    </row>
    <row r="2878" spans="1:20">
      <c r="A2878" s="1303"/>
      <c r="B2878" s="1322" t="s">
        <v>7895</v>
      </c>
      <c r="C2878" s="1323" t="s">
        <v>7896</v>
      </c>
      <c r="D2878" s="1324">
        <f t="shared" si="294"/>
        <v>37690</v>
      </c>
      <c r="E2878" s="1323">
        <f t="shared" si="296"/>
        <v>7.9390000000000001</v>
      </c>
      <c r="F2878" s="1323">
        <f t="shared" si="295"/>
        <v>5.6519669044015872</v>
      </c>
      <c r="G2878" s="1323">
        <f t="shared" si="297"/>
        <v>2003</v>
      </c>
      <c r="H2878" s="1323">
        <f t="shared" si="298"/>
        <v>3</v>
      </c>
      <c r="I2878" s="1323">
        <f t="shared" si="299"/>
        <v>10</v>
      </c>
      <c r="J2878" s="1323"/>
      <c r="K2878" s="1323"/>
      <c r="L2878" s="1323"/>
      <c r="M2878" s="1323"/>
      <c r="N2878" s="1323"/>
      <c r="O2878" s="1323"/>
      <c r="P2878" s="1323"/>
      <c r="Q2878" s="1323"/>
      <c r="R2878" s="1304"/>
      <c r="S2878" s="1304"/>
      <c r="T2878" s="1304"/>
    </row>
    <row r="2879" spans="1:20">
      <c r="A2879" s="1303"/>
      <c r="B2879" s="1322" t="s">
        <v>7897</v>
      </c>
      <c r="C2879" s="1323" t="s">
        <v>7898</v>
      </c>
      <c r="D2879" s="1324">
        <f t="shared" si="294"/>
        <v>37687</v>
      </c>
      <c r="E2879" s="1323">
        <f t="shared" si="296"/>
        <v>8.0047999999999995</v>
      </c>
      <c r="F2879" s="1323">
        <f t="shared" si="295"/>
        <v>5.6508831733820344</v>
      </c>
      <c r="G2879" s="1323">
        <f t="shared" si="297"/>
        <v>2003</v>
      </c>
      <c r="H2879" s="1323">
        <f t="shared" si="298"/>
        <v>3</v>
      </c>
      <c r="I2879" s="1323">
        <f t="shared" si="299"/>
        <v>7</v>
      </c>
      <c r="J2879" s="1323"/>
      <c r="K2879" s="1323"/>
      <c r="L2879" s="1323"/>
      <c r="M2879" s="1323"/>
      <c r="N2879" s="1323"/>
      <c r="O2879" s="1323"/>
      <c r="P2879" s="1323"/>
      <c r="Q2879" s="1323"/>
      <c r="R2879" s="1304"/>
      <c r="S2879" s="1304"/>
      <c r="T2879" s="1304"/>
    </row>
    <row r="2880" spans="1:20">
      <c r="A2880" s="1303"/>
      <c r="B2880" s="1322" t="s">
        <v>7899</v>
      </c>
      <c r="C2880" s="1323" t="s">
        <v>7900</v>
      </c>
      <c r="D2880" s="1324">
        <f t="shared" si="294"/>
        <v>37686</v>
      </c>
      <c r="E2880" s="1323">
        <f t="shared" si="296"/>
        <v>8.0228999999999999</v>
      </c>
      <c r="F2880" s="1323">
        <f t="shared" si="295"/>
        <v>5.6497996501614551</v>
      </c>
      <c r="G2880" s="1323">
        <f t="shared" si="297"/>
        <v>2003</v>
      </c>
      <c r="H2880" s="1323">
        <f t="shared" si="298"/>
        <v>3</v>
      </c>
      <c r="I2880" s="1323">
        <f t="shared" si="299"/>
        <v>6</v>
      </c>
      <c r="J2880" s="1323"/>
      <c r="K2880" s="1323"/>
      <c r="L2880" s="1323"/>
      <c r="M2880" s="1323"/>
      <c r="N2880" s="1323"/>
      <c r="O2880" s="1323"/>
      <c r="P2880" s="1323"/>
      <c r="Q2880" s="1323"/>
      <c r="R2880" s="1304"/>
      <c r="S2880" s="1304"/>
      <c r="T2880" s="1304"/>
    </row>
    <row r="2881" spans="1:20">
      <c r="A2881" s="1303"/>
      <c r="B2881" s="1322" t="s">
        <v>7901</v>
      </c>
      <c r="C2881" s="1323" t="s">
        <v>7902</v>
      </c>
      <c r="D2881" s="1324">
        <f t="shared" si="294"/>
        <v>37685</v>
      </c>
      <c r="E2881" s="1323">
        <f t="shared" si="296"/>
        <v>7.9290000000000003</v>
      </c>
      <c r="F2881" s="1323">
        <f t="shared" si="295"/>
        <v>5.6487163347000058</v>
      </c>
      <c r="G2881" s="1323">
        <f t="shared" si="297"/>
        <v>2003</v>
      </c>
      <c r="H2881" s="1323">
        <f t="shared" si="298"/>
        <v>3</v>
      </c>
      <c r="I2881" s="1323">
        <f t="shared" si="299"/>
        <v>5</v>
      </c>
      <c r="J2881" s="1323"/>
      <c r="K2881" s="1323"/>
      <c r="L2881" s="1323"/>
      <c r="M2881" s="1323"/>
      <c r="N2881" s="1323"/>
      <c r="O2881" s="1323"/>
      <c r="P2881" s="1323"/>
      <c r="Q2881" s="1323"/>
      <c r="R2881" s="1304"/>
      <c r="S2881" s="1304"/>
      <c r="T2881" s="1304"/>
    </row>
    <row r="2882" spans="1:20">
      <c r="A2882" s="1303"/>
      <c r="B2882" s="1322" t="s">
        <v>7903</v>
      </c>
      <c r="C2882" s="1323" t="s">
        <v>7904</v>
      </c>
      <c r="D2882" s="1324">
        <f t="shared" si="294"/>
        <v>37684</v>
      </c>
      <c r="E2882" s="1323">
        <f t="shared" si="296"/>
        <v>7.9579000000000004</v>
      </c>
      <c r="F2882" s="1323">
        <f t="shared" si="295"/>
        <v>5.6476332269578489</v>
      </c>
      <c r="G2882" s="1323">
        <f t="shared" si="297"/>
        <v>2003</v>
      </c>
      <c r="H2882" s="1323">
        <f t="shared" si="298"/>
        <v>3</v>
      </c>
      <c r="I2882" s="1323">
        <f t="shared" si="299"/>
        <v>4</v>
      </c>
      <c r="J2882" s="1323"/>
      <c r="K2882" s="1323"/>
      <c r="L2882" s="1323"/>
      <c r="M2882" s="1323"/>
      <c r="N2882" s="1323"/>
      <c r="O2882" s="1323"/>
      <c r="P2882" s="1323"/>
      <c r="Q2882" s="1323"/>
      <c r="R2882" s="1304"/>
      <c r="S2882" s="1304"/>
      <c r="T2882" s="1304"/>
    </row>
    <row r="2883" spans="1:20">
      <c r="A2883" s="1303"/>
      <c r="B2883" s="1322" t="s">
        <v>7905</v>
      </c>
      <c r="C2883" s="1323" t="s">
        <v>7906</v>
      </c>
      <c r="D2883" s="1324">
        <f t="shared" si="294"/>
        <v>37683</v>
      </c>
      <c r="E2883" s="1323">
        <f t="shared" si="296"/>
        <v>8.1077999999999992</v>
      </c>
      <c r="F2883" s="1323">
        <f t="shared" si="295"/>
        <v>5.6465503268951567</v>
      </c>
      <c r="G2883" s="1323">
        <f t="shared" si="297"/>
        <v>2003</v>
      </c>
      <c r="H2883" s="1323">
        <f t="shared" si="298"/>
        <v>3</v>
      </c>
      <c r="I2883" s="1323">
        <f t="shared" si="299"/>
        <v>3</v>
      </c>
      <c r="J2883" s="1323"/>
      <c r="K2883" s="1323"/>
      <c r="L2883" s="1323"/>
      <c r="M2883" s="1323"/>
      <c r="N2883" s="1323"/>
      <c r="O2883" s="1323"/>
      <c r="P2883" s="1323"/>
      <c r="Q2883" s="1323"/>
      <c r="R2883" s="1304"/>
      <c r="S2883" s="1304"/>
      <c r="T2883" s="1304"/>
    </row>
    <row r="2884" spans="1:20">
      <c r="A2884" s="1303"/>
      <c r="B2884" s="1322" t="s">
        <v>7907</v>
      </c>
      <c r="C2884" s="1323" t="s">
        <v>7908</v>
      </c>
      <c r="D2884" s="1324">
        <f t="shared" si="294"/>
        <v>37680</v>
      </c>
      <c r="E2884" s="1323">
        <f t="shared" si="296"/>
        <v>7.9908999999999999</v>
      </c>
      <c r="F2884" s="1323">
        <f t="shared" si="295"/>
        <v>5.6454676344721069</v>
      </c>
      <c r="G2884" s="1323">
        <f t="shared" si="297"/>
        <v>2003</v>
      </c>
      <c r="H2884" s="1323">
        <f t="shared" si="298"/>
        <v>2</v>
      </c>
      <c r="I2884" s="1323">
        <f t="shared" si="299"/>
        <v>28</v>
      </c>
      <c r="J2884" s="1323"/>
      <c r="K2884" s="1323"/>
      <c r="L2884" s="1323"/>
      <c r="M2884" s="1323"/>
      <c r="N2884" s="1323"/>
      <c r="O2884" s="1323"/>
      <c r="P2884" s="1323"/>
      <c r="Q2884" s="1323"/>
      <c r="R2884" s="1304"/>
      <c r="S2884" s="1304"/>
      <c r="T2884" s="1304"/>
    </row>
    <row r="2885" spans="1:20">
      <c r="A2885" s="1303"/>
      <c r="B2885" s="1322" t="s">
        <v>7909</v>
      </c>
      <c r="C2885" s="1323" t="s">
        <v>7910</v>
      </c>
      <c r="D2885" s="1324">
        <f t="shared" si="294"/>
        <v>37679</v>
      </c>
      <c r="E2885" s="1323">
        <f t="shared" si="296"/>
        <v>8.1151</v>
      </c>
      <c r="F2885" s="1323">
        <f t="shared" si="295"/>
        <v>5.6443851496488859</v>
      </c>
      <c r="G2885" s="1323">
        <f t="shared" si="297"/>
        <v>2003</v>
      </c>
      <c r="H2885" s="1323">
        <f t="shared" si="298"/>
        <v>2</v>
      </c>
      <c r="I2885" s="1323">
        <f t="shared" si="299"/>
        <v>27</v>
      </c>
      <c r="J2885" s="1323"/>
      <c r="K2885" s="1323"/>
      <c r="L2885" s="1323"/>
      <c r="M2885" s="1323"/>
      <c r="N2885" s="1323"/>
      <c r="O2885" s="1323"/>
      <c r="P2885" s="1323"/>
      <c r="Q2885" s="1323"/>
      <c r="R2885" s="1304"/>
      <c r="S2885" s="1304"/>
      <c r="T2885" s="1304"/>
    </row>
    <row r="2886" spans="1:20">
      <c r="A2886" s="1303"/>
      <c r="B2886" s="1322" t="s">
        <v>7911</v>
      </c>
      <c r="C2886" s="1323" t="s">
        <v>7912</v>
      </c>
      <c r="D2886" s="1324">
        <f t="shared" si="294"/>
        <v>37678</v>
      </c>
      <c r="E2886" s="1323">
        <f t="shared" si="296"/>
        <v>8.1019000000000005</v>
      </c>
      <c r="F2886" s="1323">
        <f t="shared" si="295"/>
        <v>5.6433028723856884</v>
      </c>
      <c r="G2886" s="1323">
        <f t="shared" si="297"/>
        <v>2003</v>
      </c>
      <c r="H2886" s="1323">
        <f t="shared" si="298"/>
        <v>2</v>
      </c>
      <c r="I2886" s="1323">
        <f t="shared" si="299"/>
        <v>26</v>
      </c>
      <c r="J2886" s="1323"/>
      <c r="K2886" s="1323"/>
      <c r="L2886" s="1323"/>
      <c r="M2886" s="1323"/>
      <c r="N2886" s="1323"/>
      <c r="O2886" s="1323"/>
      <c r="P2886" s="1323"/>
      <c r="Q2886" s="1323"/>
      <c r="R2886" s="1304"/>
      <c r="S2886" s="1304"/>
      <c r="T2886" s="1304"/>
    </row>
    <row r="2887" spans="1:20">
      <c r="A2887" s="1303"/>
      <c r="B2887" s="1322" t="s">
        <v>7913</v>
      </c>
      <c r="C2887" s="1323" t="s">
        <v>7914</v>
      </c>
      <c r="D2887" s="1324">
        <f t="shared" si="294"/>
        <v>37677</v>
      </c>
      <c r="E2887" s="1323">
        <f t="shared" si="296"/>
        <v>8.1059999999999999</v>
      </c>
      <c r="F2887" s="1323">
        <f t="shared" si="295"/>
        <v>5.6422208026427159</v>
      </c>
      <c r="G2887" s="1323">
        <f t="shared" si="297"/>
        <v>2003</v>
      </c>
      <c r="H2887" s="1323">
        <f t="shared" si="298"/>
        <v>2</v>
      </c>
      <c r="I2887" s="1323">
        <f t="shared" si="299"/>
        <v>25</v>
      </c>
      <c r="J2887" s="1323"/>
      <c r="K2887" s="1323"/>
      <c r="L2887" s="1323"/>
      <c r="M2887" s="1323"/>
      <c r="N2887" s="1323"/>
      <c r="O2887" s="1323"/>
      <c r="P2887" s="1323"/>
      <c r="Q2887" s="1323"/>
      <c r="R2887" s="1304"/>
      <c r="S2887" s="1304"/>
      <c r="T2887" s="1304"/>
    </row>
    <row r="2888" spans="1:20">
      <c r="A2888" s="1303"/>
      <c r="B2888" s="1322" t="s">
        <v>7915</v>
      </c>
      <c r="C2888" s="1323" t="s">
        <v>7916</v>
      </c>
      <c r="D2888" s="1324">
        <f t="shared" si="294"/>
        <v>37676</v>
      </c>
      <c r="E2888" s="1323">
        <f t="shared" si="296"/>
        <v>8.0810999999999993</v>
      </c>
      <c r="F2888" s="1323">
        <f t="shared" si="295"/>
        <v>5.641138940380177</v>
      </c>
      <c r="G2888" s="1323">
        <f t="shared" si="297"/>
        <v>2003</v>
      </c>
      <c r="H2888" s="1323">
        <f t="shared" si="298"/>
        <v>2</v>
      </c>
      <c r="I2888" s="1323">
        <f t="shared" si="299"/>
        <v>24</v>
      </c>
      <c r="J2888" s="1323"/>
      <c r="K2888" s="1323"/>
      <c r="L2888" s="1323"/>
      <c r="M2888" s="1323"/>
      <c r="N2888" s="1323"/>
      <c r="O2888" s="1323"/>
      <c r="P2888" s="1323"/>
      <c r="Q2888" s="1323"/>
      <c r="R2888" s="1304"/>
      <c r="S2888" s="1304"/>
      <c r="T2888" s="1304"/>
    </row>
    <row r="2889" spans="1:20">
      <c r="A2889" s="1303"/>
      <c r="B2889" s="1322" t="s">
        <v>7917</v>
      </c>
      <c r="C2889" s="1323" t="s">
        <v>7918</v>
      </c>
      <c r="D2889" s="1324">
        <f t="shared" ref="D2889:D2952" si="300">DATE(G2889,H2889,I2889)</f>
        <v>37673</v>
      </c>
      <c r="E2889" s="1323">
        <f t="shared" si="296"/>
        <v>8.0960000000000001</v>
      </c>
      <c r="F2889" s="1323">
        <f t="shared" ref="F2889:F2952" si="301">F2890*(1+$F$7/365)</f>
        <v>5.6400572855582887</v>
      </c>
      <c r="G2889" s="1323">
        <f t="shared" si="297"/>
        <v>2003</v>
      </c>
      <c r="H2889" s="1323">
        <f t="shared" si="298"/>
        <v>2</v>
      </c>
      <c r="I2889" s="1323">
        <f t="shared" si="299"/>
        <v>21</v>
      </c>
      <c r="J2889" s="1323"/>
      <c r="K2889" s="1323"/>
      <c r="L2889" s="1323"/>
      <c r="M2889" s="1323"/>
      <c r="N2889" s="1323"/>
      <c r="O2889" s="1323"/>
      <c r="P2889" s="1323"/>
      <c r="Q2889" s="1323"/>
      <c r="R2889" s="1304"/>
      <c r="S2889" s="1304"/>
      <c r="T2889" s="1304"/>
    </row>
    <row r="2890" spans="1:20">
      <c r="A2890" s="1303"/>
      <c r="B2890" s="1322" t="s">
        <v>7919</v>
      </c>
      <c r="C2890" s="1323" t="s">
        <v>7920</v>
      </c>
      <c r="D2890" s="1324">
        <f t="shared" si="300"/>
        <v>37672</v>
      </c>
      <c r="E2890" s="1323">
        <f t="shared" si="296"/>
        <v>8.2248000000000001</v>
      </c>
      <c r="F2890" s="1323">
        <f t="shared" si="301"/>
        <v>5.6389758381372754</v>
      </c>
      <c r="G2890" s="1323">
        <f t="shared" si="297"/>
        <v>2003</v>
      </c>
      <c r="H2890" s="1323">
        <f t="shared" si="298"/>
        <v>2</v>
      </c>
      <c r="I2890" s="1323">
        <f t="shared" si="299"/>
        <v>20</v>
      </c>
      <c r="J2890" s="1323"/>
      <c r="K2890" s="1323"/>
      <c r="L2890" s="1323"/>
      <c r="M2890" s="1323"/>
      <c r="N2890" s="1323"/>
      <c r="O2890" s="1323"/>
      <c r="P2890" s="1323"/>
      <c r="Q2890" s="1323"/>
      <c r="R2890" s="1304"/>
      <c r="S2890" s="1304"/>
      <c r="T2890" s="1304"/>
    </row>
    <row r="2891" spans="1:20">
      <c r="A2891" s="1303"/>
      <c r="B2891" s="1322" t="s">
        <v>7921</v>
      </c>
      <c r="C2891" s="1323" t="s">
        <v>7922</v>
      </c>
      <c r="D2891" s="1324">
        <f t="shared" si="300"/>
        <v>37671</v>
      </c>
      <c r="E2891" s="1323">
        <f t="shared" si="296"/>
        <v>8.3943999999999992</v>
      </c>
      <c r="F2891" s="1323">
        <f t="shared" si="301"/>
        <v>5.63789459807737</v>
      </c>
      <c r="G2891" s="1323">
        <f t="shared" si="297"/>
        <v>2003</v>
      </c>
      <c r="H2891" s="1323">
        <f t="shared" si="298"/>
        <v>2</v>
      </c>
      <c r="I2891" s="1323">
        <f t="shared" si="299"/>
        <v>19</v>
      </c>
      <c r="J2891" s="1323"/>
      <c r="K2891" s="1323"/>
      <c r="L2891" s="1323"/>
      <c r="M2891" s="1323"/>
      <c r="N2891" s="1323"/>
      <c r="O2891" s="1323"/>
      <c r="P2891" s="1323"/>
      <c r="Q2891" s="1323"/>
      <c r="R2891" s="1304"/>
      <c r="S2891" s="1304"/>
      <c r="T2891" s="1304"/>
    </row>
    <row r="2892" spans="1:20">
      <c r="A2892" s="1303"/>
      <c r="B2892" s="1322" t="s">
        <v>7923</v>
      </c>
      <c r="C2892" s="1323" t="s">
        <v>7924</v>
      </c>
      <c r="D2892" s="1324">
        <f t="shared" si="300"/>
        <v>37670</v>
      </c>
      <c r="E2892" s="1323">
        <f t="shared" si="296"/>
        <v>8.3879999999999999</v>
      </c>
      <c r="F2892" s="1323">
        <f t="shared" si="301"/>
        <v>5.6368135653388114</v>
      </c>
      <c r="G2892" s="1323">
        <f t="shared" si="297"/>
        <v>2003</v>
      </c>
      <c r="H2892" s="1323">
        <f t="shared" si="298"/>
        <v>2</v>
      </c>
      <c r="I2892" s="1323">
        <f t="shared" si="299"/>
        <v>18</v>
      </c>
      <c r="J2892" s="1323"/>
      <c r="K2892" s="1323"/>
      <c r="L2892" s="1323"/>
      <c r="M2892" s="1323"/>
      <c r="N2892" s="1323"/>
      <c r="O2892" s="1323"/>
      <c r="P2892" s="1323"/>
      <c r="Q2892" s="1323"/>
      <c r="R2892" s="1304"/>
      <c r="S2892" s="1304"/>
      <c r="T2892" s="1304"/>
    </row>
    <row r="2893" spans="1:20">
      <c r="A2893" s="1303"/>
      <c r="B2893" s="1322" t="s">
        <v>7925</v>
      </c>
      <c r="C2893" s="1323" t="s">
        <v>7926</v>
      </c>
      <c r="D2893" s="1324">
        <f t="shared" si="300"/>
        <v>37669</v>
      </c>
      <c r="E2893" s="1323">
        <f t="shared" si="296"/>
        <v>8.4008000000000003</v>
      </c>
      <c r="F2893" s="1323">
        <f t="shared" si="301"/>
        <v>5.6357327398818473</v>
      </c>
      <c r="G2893" s="1323">
        <f t="shared" si="297"/>
        <v>2003</v>
      </c>
      <c r="H2893" s="1323">
        <f t="shared" si="298"/>
        <v>2</v>
      </c>
      <c r="I2893" s="1323">
        <f t="shared" si="299"/>
        <v>17</v>
      </c>
      <c r="J2893" s="1323"/>
      <c r="K2893" s="1323"/>
      <c r="L2893" s="1323"/>
      <c r="M2893" s="1323"/>
      <c r="N2893" s="1323"/>
      <c r="O2893" s="1323"/>
      <c r="P2893" s="1323"/>
      <c r="Q2893" s="1323"/>
      <c r="R2893" s="1304"/>
      <c r="S2893" s="1304"/>
      <c r="T2893" s="1304"/>
    </row>
    <row r="2894" spans="1:20">
      <c r="A2894" s="1303"/>
      <c r="B2894" s="1322" t="s">
        <v>7927</v>
      </c>
      <c r="C2894" s="1323" t="s">
        <v>7928</v>
      </c>
      <c r="D2894" s="1324">
        <f t="shared" si="300"/>
        <v>37666</v>
      </c>
      <c r="E2894" s="1323">
        <f t="shared" si="296"/>
        <v>8.3088999999999995</v>
      </c>
      <c r="F2894" s="1323">
        <f t="shared" si="301"/>
        <v>5.6346521216667327</v>
      </c>
      <c r="G2894" s="1323">
        <f t="shared" si="297"/>
        <v>2003</v>
      </c>
      <c r="H2894" s="1323">
        <f t="shared" si="298"/>
        <v>2</v>
      </c>
      <c r="I2894" s="1323">
        <f t="shared" si="299"/>
        <v>14</v>
      </c>
      <c r="J2894" s="1323"/>
      <c r="K2894" s="1323"/>
      <c r="L2894" s="1323"/>
      <c r="M2894" s="1323"/>
      <c r="N2894" s="1323"/>
      <c r="O2894" s="1323"/>
      <c r="P2894" s="1323"/>
      <c r="Q2894" s="1323"/>
      <c r="R2894" s="1304"/>
      <c r="S2894" s="1304"/>
      <c r="T2894" s="1304"/>
    </row>
    <row r="2895" spans="1:20">
      <c r="A2895" s="1303"/>
      <c r="B2895" s="1322" t="s">
        <v>7929</v>
      </c>
      <c r="C2895" s="1323" t="s">
        <v>7930</v>
      </c>
      <c r="D2895" s="1324">
        <f t="shared" si="300"/>
        <v>37665</v>
      </c>
      <c r="E2895" s="1323">
        <f t="shared" si="296"/>
        <v>8.3690999999999995</v>
      </c>
      <c r="F2895" s="1323">
        <f t="shared" si="301"/>
        <v>5.6335717106537304</v>
      </c>
      <c r="G2895" s="1323">
        <f t="shared" si="297"/>
        <v>2003</v>
      </c>
      <c r="H2895" s="1323">
        <f t="shared" si="298"/>
        <v>2</v>
      </c>
      <c r="I2895" s="1323">
        <f t="shared" si="299"/>
        <v>13</v>
      </c>
      <c r="J2895" s="1323"/>
      <c r="K2895" s="1323"/>
      <c r="L2895" s="1323"/>
      <c r="M2895" s="1323"/>
      <c r="N2895" s="1323"/>
      <c r="O2895" s="1323"/>
      <c r="P2895" s="1323"/>
      <c r="Q2895" s="1323"/>
      <c r="R2895" s="1304"/>
      <c r="S2895" s="1304"/>
      <c r="T2895" s="1304"/>
    </row>
    <row r="2896" spans="1:20">
      <c r="A2896" s="1303"/>
      <c r="B2896" s="1322" t="s">
        <v>7931</v>
      </c>
      <c r="C2896" s="1323" t="s">
        <v>7932</v>
      </c>
      <c r="D2896" s="1324">
        <f t="shared" si="300"/>
        <v>37664</v>
      </c>
      <c r="E2896" s="1323">
        <f t="shared" si="296"/>
        <v>8.4036000000000008</v>
      </c>
      <c r="F2896" s="1323">
        <f t="shared" si="301"/>
        <v>5.6324915068031105</v>
      </c>
      <c r="G2896" s="1323">
        <f t="shared" si="297"/>
        <v>2003</v>
      </c>
      <c r="H2896" s="1323">
        <f t="shared" si="298"/>
        <v>2</v>
      </c>
      <c r="I2896" s="1323">
        <f t="shared" si="299"/>
        <v>12</v>
      </c>
      <c r="J2896" s="1323"/>
      <c r="K2896" s="1323"/>
      <c r="L2896" s="1323"/>
      <c r="M2896" s="1323"/>
      <c r="N2896" s="1323"/>
      <c r="O2896" s="1323"/>
      <c r="P2896" s="1323"/>
      <c r="Q2896" s="1323"/>
      <c r="R2896" s="1304"/>
      <c r="S2896" s="1304"/>
      <c r="T2896" s="1304"/>
    </row>
    <row r="2897" spans="1:20">
      <c r="A2897" s="1303"/>
      <c r="B2897" s="1322" t="s">
        <v>7933</v>
      </c>
      <c r="C2897" s="1323" t="s">
        <v>7934</v>
      </c>
      <c r="D2897" s="1324">
        <f t="shared" si="300"/>
        <v>37663</v>
      </c>
      <c r="E2897" s="1323">
        <f t="shared" si="296"/>
        <v>8.5619999999999994</v>
      </c>
      <c r="F2897" s="1323">
        <f t="shared" si="301"/>
        <v>5.631411510075151</v>
      </c>
      <c r="G2897" s="1323">
        <f t="shared" si="297"/>
        <v>2003</v>
      </c>
      <c r="H2897" s="1323">
        <f t="shared" si="298"/>
        <v>2</v>
      </c>
      <c r="I2897" s="1323">
        <f t="shared" si="299"/>
        <v>11</v>
      </c>
      <c r="J2897" s="1323"/>
      <c r="K2897" s="1323"/>
      <c r="L2897" s="1323"/>
      <c r="M2897" s="1323"/>
      <c r="N2897" s="1323"/>
      <c r="O2897" s="1323"/>
      <c r="P2897" s="1323"/>
      <c r="Q2897" s="1323"/>
      <c r="R2897" s="1304"/>
      <c r="S2897" s="1304"/>
      <c r="T2897" s="1304"/>
    </row>
    <row r="2898" spans="1:20">
      <c r="A2898" s="1303"/>
      <c r="B2898" s="1322" t="s">
        <v>7935</v>
      </c>
      <c r="C2898" s="1323" t="s">
        <v>7936</v>
      </c>
      <c r="D2898" s="1324">
        <f t="shared" si="300"/>
        <v>37662</v>
      </c>
      <c r="E2898" s="1323">
        <f t="shared" si="296"/>
        <v>8.3946000000000005</v>
      </c>
      <c r="F2898" s="1323">
        <f t="shared" si="301"/>
        <v>5.6303317204301369</v>
      </c>
      <c r="G2898" s="1323">
        <f t="shared" si="297"/>
        <v>2003</v>
      </c>
      <c r="H2898" s="1323">
        <f t="shared" si="298"/>
        <v>2</v>
      </c>
      <c r="I2898" s="1323">
        <f t="shared" si="299"/>
        <v>10</v>
      </c>
      <c r="J2898" s="1323"/>
      <c r="K2898" s="1323"/>
      <c r="L2898" s="1323"/>
      <c r="M2898" s="1323"/>
      <c r="N2898" s="1323"/>
      <c r="O2898" s="1323"/>
      <c r="P2898" s="1323"/>
      <c r="Q2898" s="1323"/>
      <c r="R2898" s="1304"/>
      <c r="S2898" s="1304"/>
      <c r="T2898" s="1304"/>
    </row>
    <row r="2899" spans="1:20">
      <c r="A2899" s="1303"/>
      <c r="B2899" s="1322" t="s">
        <v>7937</v>
      </c>
      <c r="C2899" s="1323" t="s">
        <v>7938</v>
      </c>
      <c r="D2899" s="1324">
        <f t="shared" si="300"/>
        <v>37659</v>
      </c>
      <c r="E2899" s="1323">
        <f t="shared" si="296"/>
        <v>8.4347999999999992</v>
      </c>
      <c r="F2899" s="1323">
        <f t="shared" si="301"/>
        <v>5.6292521378283613</v>
      </c>
      <c r="G2899" s="1323">
        <f t="shared" si="297"/>
        <v>2003</v>
      </c>
      <c r="H2899" s="1323">
        <f t="shared" si="298"/>
        <v>2</v>
      </c>
      <c r="I2899" s="1323">
        <f t="shared" si="299"/>
        <v>7</v>
      </c>
      <c r="J2899" s="1323"/>
      <c r="K2899" s="1323"/>
      <c r="L2899" s="1323"/>
      <c r="M2899" s="1323"/>
      <c r="N2899" s="1323"/>
      <c r="O2899" s="1323"/>
      <c r="P2899" s="1323"/>
      <c r="Q2899" s="1323"/>
      <c r="R2899" s="1304"/>
      <c r="S2899" s="1304"/>
      <c r="T2899" s="1304"/>
    </row>
    <row r="2900" spans="1:20">
      <c r="A2900" s="1303"/>
      <c r="B2900" s="1322" t="s">
        <v>7939</v>
      </c>
      <c r="C2900" s="1323" t="s">
        <v>7940</v>
      </c>
      <c r="D2900" s="1324">
        <f t="shared" si="300"/>
        <v>37658</v>
      </c>
      <c r="E2900" s="1323">
        <f t="shared" si="296"/>
        <v>8.4337</v>
      </c>
      <c r="F2900" s="1323">
        <f t="shared" si="301"/>
        <v>5.6281727622301254</v>
      </c>
      <c r="G2900" s="1323">
        <f t="shared" si="297"/>
        <v>2003</v>
      </c>
      <c r="H2900" s="1323">
        <f t="shared" si="298"/>
        <v>2</v>
      </c>
      <c r="I2900" s="1323">
        <f t="shared" si="299"/>
        <v>6</v>
      </c>
      <c r="J2900" s="1323"/>
      <c r="K2900" s="1323"/>
      <c r="L2900" s="1323"/>
      <c r="M2900" s="1323"/>
      <c r="N2900" s="1323"/>
      <c r="O2900" s="1323"/>
      <c r="P2900" s="1323"/>
      <c r="Q2900" s="1323"/>
      <c r="R2900" s="1304"/>
      <c r="S2900" s="1304"/>
      <c r="T2900" s="1304"/>
    </row>
    <row r="2901" spans="1:20">
      <c r="A2901" s="1303"/>
      <c r="B2901" s="1322" t="s">
        <v>7941</v>
      </c>
      <c r="C2901" s="1323" t="s">
        <v>7942</v>
      </c>
      <c r="D2901" s="1324">
        <f t="shared" si="300"/>
        <v>37657</v>
      </c>
      <c r="E2901" s="1323">
        <f t="shared" si="296"/>
        <v>8.3057999999999996</v>
      </c>
      <c r="F2901" s="1323">
        <f t="shared" si="301"/>
        <v>5.6270935935957374</v>
      </c>
      <c r="G2901" s="1323">
        <f t="shared" si="297"/>
        <v>2003</v>
      </c>
      <c r="H2901" s="1323">
        <f t="shared" si="298"/>
        <v>2</v>
      </c>
      <c r="I2901" s="1323">
        <f t="shared" si="299"/>
        <v>5</v>
      </c>
      <c r="J2901" s="1323"/>
      <c r="K2901" s="1323"/>
      <c r="L2901" s="1323"/>
      <c r="M2901" s="1323"/>
      <c r="N2901" s="1323"/>
      <c r="O2901" s="1323"/>
      <c r="P2901" s="1323"/>
      <c r="Q2901" s="1323"/>
      <c r="R2901" s="1304"/>
      <c r="S2901" s="1304"/>
      <c r="T2901" s="1304"/>
    </row>
    <row r="2902" spans="1:20">
      <c r="A2902" s="1303"/>
      <c r="B2902" s="1322" t="s">
        <v>7943</v>
      </c>
      <c r="C2902" s="1323" t="s">
        <v>7944</v>
      </c>
      <c r="D2902" s="1324">
        <f t="shared" si="300"/>
        <v>37656</v>
      </c>
      <c r="E2902" s="1323">
        <f t="shared" ref="E2902:E2965" si="302">VALUE(C2903)</f>
        <v>8.4819999999999993</v>
      </c>
      <c r="F2902" s="1323">
        <f t="shared" si="301"/>
        <v>5.6260146318855124</v>
      </c>
      <c r="G2902" s="1323">
        <f t="shared" ref="G2902:G2965" si="303">YEAR(B2903)</f>
        <v>2003</v>
      </c>
      <c r="H2902" s="1323">
        <f t="shared" ref="H2902:H2965" si="304">MONTH(B2903)</f>
        <v>2</v>
      </c>
      <c r="I2902" s="1323">
        <f t="shared" ref="I2902:I2965" si="305">DAY(B2903)</f>
        <v>4</v>
      </c>
      <c r="J2902" s="1323"/>
      <c r="K2902" s="1323"/>
      <c r="L2902" s="1323"/>
      <c r="M2902" s="1323"/>
      <c r="N2902" s="1323"/>
      <c r="O2902" s="1323"/>
      <c r="P2902" s="1323"/>
      <c r="Q2902" s="1323"/>
      <c r="R2902" s="1304"/>
      <c r="S2902" s="1304"/>
      <c r="T2902" s="1304"/>
    </row>
    <row r="2903" spans="1:20">
      <c r="A2903" s="1303"/>
      <c r="B2903" s="1322" t="s">
        <v>7945</v>
      </c>
      <c r="C2903" s="1323" t="s">
        <v>7946</v>
      </c>
      <c r="D2903" s="1324">
        <f t="shared" si="300"/>
        <v>37655</v>
      </c>
      <c r="E2903" s="1323">
        <f t="shared" si="302"/>
        <v>8.5348000000000006</v>
      </c>
      <c r="F2903" s="1323">
        <f t="shared" si="301"/>
        <v>5.6249358770597748</v>
      </c>
      <c r="G2903" s="1323">
        <f t="shared" si="303"/>
        <v>2003</v>
      </c>
      <c r="H2903" s="1323">
        <f t="shared" si="304"/>
        <v>2</v>
      </c>
      <c r="I2903" s="1323">
        <f t="shared" si="305"/>
        <v>3</v>
      </c>
      <c r="J2903" s="1323"/>
      <c r="K2903" s="1323"/>
      <c r="L2903" s="1323"/>
      <c r="M2903" s="1323"/>
      <c r="N2903" s="1323"/>
      <c r="O2903" s="1323"/>
      <c r="P2903" s="1323"/>
      <c r="Q2903" s="1323"/>
      <c r="R2903" s="1304"/>
      <c r="S2903" s="1304"/>
      <c r="T2903" s="1304"/>
    </row>
    <row r="2904" spans="1:20">
      <c r="A2904" s="1303"/>
      <c r="B2904" s="1322" t="s">
        <v>7947</v>
      </c>
      <c r="C2904" s="1323" t="s">
        <v>7948</v>
      </c>
      <c r="D2904" s="1324">
        <f t="shared" si="300"/>
        <v>37652</v>
      </c>
      <c r="E2904" s="1323">
        <f t="shared" si="302"/>
        <v>8.5779999999999994</v>
      </c>
      <c r="F2904" s="1323">
        <f t="shared" si="301"/>
        <v>5.6238573290788558</v>
      </c>
      <c r="G2904" s="1323">
        <f t="shared" si="303"/>
        <v>2003</v>
      </c>
      <c r="H2904" s="1323">
        <f t="shared" si="304"/>
        <v>1</v>
      </c>
      <c r="I2904" s="1323">
        <f t="shared" si="305"/>
        <v>31</v>
      </c>
      <c r="J2904" s="1323"/>
      <c r="K2904" s="1323"/>
      <c r="L2904" s="1323"/>
      <c r="M2904" s="1323"/>
      <c r="N2904" s="1323"/>
      <c r="O2904" s="1323"/>
      <c r="P2904" s="1323"/>
      <c r="Q2904" s="1323"/>
      <c r="R2904" s="1304"/>
      <c r="S2904" s="1304"/>
      <c r="T2904" s="1304"/>
    </row>
    <row r="2905" spans="1:20">
      <c r="A2905" s="1303"/>
      <c r="B2905" s="1322" t="s">
        <v>7949</v>
      </c>
      <c r="C2905" s="1323" t="s">
        <v>7950</v>
      </c>
      <c r="D2905" s="1324">
        <f t="shared" si="300"/>
        <v>37651</v>
      </c>
      <c r="E2905" s="1323">
        <f t="shared" si="302"/>
        <v>8.5825999999999993</v>
      </c>
      <c r="F2905" s="1323">
        <f t="shared" si="301"/>
        <v>5.6227789879030938</v>
      </c>
      <c r="G2905" s="1323">
        <f t="shared" si="303"/>
        <v>2003</v>
      </c>
      <c r="H2905" s="1323">
        <f t="shared" si="304"/>
        <v>1</v>
      </c>
      <c r="I2905" s="1323">
        <f t="shared" si="305"/>
        <v>30</v>
      </c>
      <c r="J2905" s="1323"/>
      <c r="K2905" s="1323"/>
      <c r="L2905" s="1323"/>
      <c r="M2905" s="1323"/>
      <c r="N2905" s="1323"/>
      <c r="O2905" s="1323"/>
      <c r="P2905" s="1323"/>
      <c r="Q2905" s="1323"/>
      <c r="R2905" s="1304"/>
      <c r="S2905" s="1304"/>
      <c r="T2905" s="1304"/>
    </row>
    <row r="2906" spans="1:20">
      <c r="A2906" s="1303"/>
      <c r="B2906" s="1322" t="s">
        <v>7951</v>
      </c>
      <c r="C2906" s="1323" t="s">
        <v>7952</v>
      </c>
      <c r="D2906" s="1324">
        <f t="shared" si="300"/>
        <v>37650</v>
      </c>
      <c r="E2906" s="1323">
        <f t="shared" si="302"/>
        <v>8.7459000000000007</v>
      </c>
      <c r="F2906" s="1323">
        <f t="shared" si="301"/>
        <v>5.6217008534928343</v>
      </c>
      <c r="G2906" s="1323">
        <f t="shared" si="303"/>
        <v>2003</v>
      </c>
      <c r="H2906" s="1323">
        <f t="shared" si="304"/>
        <v>1</v>
      </c>
      <c r="I2906" s="1323">
        <f t="shared" si="305"/>
        <v>29</v>
      </c>
      <c r="J2906" s="1323"/>
      <c r="K2906" s="1323"/>
      <c r="L2906" s="1323"/>
      <c r="M2906" s="1323"/>
      <c r="N2906" s="1323"/>
      <c r="O2906" s="1323"/>
      <c r="P2906" s="1323"/>
      <c r="Q2906" s="1323"/>
      <c r="R2906" s="1304"/>
      <c r="S2906" s="1304"/>
      <c r="T2906" s="1304"/>
    </row>
    <row r="2907" spans="1:20">
      <c r="A2907" s="1303"/>
      <c r="B2907" s="1322" t="s">
        <v>7953</v>
      </c>
      <c r="C2907" s="1323" t="s">
        <v>7954</v>
      </c>
      <c r="D2907" s="1324">
        <f t="shared" si="300"/>
        <v>37649</v>
      </c>
      <c r="E2907" s="1323">
        <f t="shared" si="302"/>
        <v>8.7309000000000001</v>
      </c>
      <c r="F2907" s="1323">
        <f t="shared" si="301"/>
        <v>5.6206229258084326</v>
      </c>
      <c r="G2907" s="1323">
        <f t="shared" si="303"/>
        <v>2003</v>
      </c>
      <c r="H2907" s="1323">
        <f t="shared" si="304"/>
        <v>1</v>
      </c>
      <c r="I2907" s="1323">
        <f t="shared" si="305"/>
        <v>28</v>
      </c>
      <c r="J2907" s="1323"/>
      <c r="K2907" s="1323"/>
      <c r="L2907" s="1323"/>
      <c r="M2907" s="1323"/>
      <c r="N2907" s="1323"/>
      <c r="O2907" s="1323"/>
      <c r="P2907" s="1323"/>
      <c r="Q2907" s="1323"/>
      <c r="R2907" s="1304"/>
      <c r="S2907" s="1304"/>
      <c r="T2907" s="1304"/>
    </row>
    <row r="2908" spans="1:20">
      <c r="A2908" s="1303"/>
      <c r="B2908" s="1322" t="s">
        <v>7955</v>
      </c>
      <c r="C2908" s="1323" t="s">
        <v>7956</v>
      </c>
      <c r="D2908" s="1324">
        <f t="shared" si="300"/>
        <v>37648</v>
      </c>
      <c r="E2908" s="1323">
        <f t="shared" si="302"/>
        <v>8.7294999999999998</v>
      </c>
      <c r="F2908" s="1323">
        <f t="shared" si="301"/>
        <v>5.6195452048102492</v>
      </c>
      <c r="G2908" s="1323">
        <f t="shared" si="303"/>
        <v>2003</v>
      </c>
      <c r="H2908" s="1323">
        <f t="shared" si="304"/>
        <v>1</v>
      </c>
      <c r="I2908" s="1323">
        <f t="shared" si="305"/>
        <v>27</v>
      </c>
      <c r="J2908" s="1323"/>
      <c r="K2908" s="1323"/>
      <c r="L2908" s="1323"/>
      <c r="M2908" s="1323"/>
      <c r="N2908" s="1323"/>
      <c r="O2908" s="1323"/>
      <c r="P2908" s="1323"/>
      <c r="Q2908" s="1323"/>
      <c r="R2908" s="1304"/>
      <c r="S2908" s="1304"/>
      <c r="T2908" s="1304"/>
    </row>
    <row r="2909" spans="1:20">
      <c r="A2909" s="1303"/>
      <c r="B2909" s="1322" t="s">
        <v>7957</v>
      </c>
      <c r="C2909" s="1323" t="s">
        <v>7958</v>
      </c>
      <c r="D2909" s="1324">
        <f t="shared" si="300"/>
        <v>37645</v>
      </c>
      <c r="E2909" s="1323">
        <f t="shared" si="302"/>
        <v>8.7436000000000007</v>
      </c>
      <c r="F2909" s="1323">
        <f t="shared" si="301"/>
        <v>5.6184676904586546</v>
      </c>
      <c r="G2909" s="1323">
        <f t="shared" si="303"/>
        <v>2003</v>
      </c>
      <c r="H2909" s="1323">
        <f t="shared" si="304"/>
        <v>1</v>
      </c>
      <c r="I2909" s="1323">
        <f t="shared" si="305"/>
        <v>24</v>
      </c>
      <c r="J2909" s="1323"/>
      <c r="K2909" s="1323"/>
      <c r="L2909" s="1323"/>
      <c r="M2909" s="1323"/>
      <c r="N2909" s="1323"/>
      <c r="O2909" s="1323"/>
      <c r="P2909" s="1323"/>
      <c r="Q2909" s="1323"/>
      <c r="R2909" s="1304"/>
      <c r="S2909" s="1304"/>
      <c r="T2909" s="1304"/>
    </row>
    <row r="2910" spans="1:20">
      <c r="A2910" s="1303"/>
      <c r="B2910" s="1322" t="s">
        <v>7959</v>
      </c>
      <c r="C2910" s="1323" t="s">
        <v>7960</v>
      </c>
      <c r="D2910" s="1324">
        <f t="shared" si="300"/>
        <v>37644</v>
      </c>
      <c r="E2910" s="1323">
        <f t="shared" si="302"/>
        <v>8.9077000000000002</v>
      </c>
      <c r="F2910" s="1323">
        <f t="shared" si="301"/>
        <v>5.6173903827140244</v>
      </c>
      <c r="G2910" s="1323">
        <f t="shared" si="303"/>
        <v>2003</v>
      </c>
      <c r="H2910" s="1323">
        <f t="shared" si="304"/>
        <v>1</v>
      </c>
      <c r="I2910" s="1323">
        <f t="shared" si="305"/>
        <v>23</v>
      </c>
      <c r="J2910" s="1323"/>
      <c r="K2910" s="1323"/>
      <c r="L2910" s="1323"/>
      <c r="M2910" s="1323"/>
      <c r="N2910" s="1323"/>
      <c r="O2910" s="1323"/>
      <c r="P2910" s="1323"/>
      <c r="Q2910" s="1323"/>
      <c r="R2910" s="1304"/>
      <c r="S2910" s="1304"/>
      <c r="T2910" s="1304"/>
    </row>
    <row r="2911" spans="1:20">
      <c r="A2911" s="1303"/>
      <c r="B2911" s="1322" t="s">
        <v>7961</v>
      </c>
      <c r="C2911" s="1323" t="s">
        <v>7962</v>
      </c>
      <c r="D2911" s="1324">
        <f t="shared" si="300"/>
        <v>37643</v>
      </c>
      <c r="E2911" s="1323">
        <f t="shared" si="302"/>
        <v>9.0397999999999996</v>
      </c>
      <c r="F2911" s="1323">
        <f t="shared" si="301"/>
        <v>5.6163132815367431</v>
      </c>
      <c r="G2911" s="1323">
        <f t="shared" si="303"/>
        <v>2003</v>
      </c>
      <c r="H2911" s="1323">
        <f t="shared" si="304"/>
        <v>1</v>
      </c>
      <c r="I2911" s="1323">
        <f t="shared" si="305"/>
        <v>22</v>
      </c>
      <c r="J2911" s="1323"/>
      <c r="K2911" s="1323"/>
      <c r="L2911" s="1323"/>
      <c r="M2911" s="1323"/>
      <c r="N2911" s="1323"/>
      <c r="O2911" s="1323"/>
      <c r="P2911" s="1323"/>
      <c r="Q2911" s="1323"/>
      <c r="R2911" s="1304"/>
      <c r="S2911" s="1304"/>
      <c r="T2911" s="1304"/>
    </row>
    <row r="2912" spans="1:20">
      <c r="A2912" s="1303"/>
      <c r="B2912" s="1322" t="s">
        <v>7963</v>
      </c>
      <c r="C2912" s="1323" t="s">
        <v>7964</v>
      </c>
      <c r="D2912" s="1324">
        <f t="shared" si="300"/>
        <v>37642</v>
      </c>
      <c r="E2912" s="1323">
        <f t="shared" si="302"/>
        <v>8.9149999999999991</v>
      </c>
      <c r="F2912" s="1323">
        <f t="shared" si="301"/>
        <v>5.6152363868872026</v>
      </c>
      <c r="G2912" s="1323">
        <f t="shared" si="303"/>
        <v>2003</v>
      </c>
      <c r="H2912" s="1323">
        <f t="shared" si="304"/>
        <v>1</v>
      </c>
      <c r="I2912" s="1323">
        <f t="shared" si="305"/>
        <v>21</v>
      </c>
      <c r="J2912" s="1323"/>
      <c r="K2912" s="1323"/>
      <c r="L2912" s="1323"/>
      <c r="M2912" s="1323"/>
      <c r="N2912" s="1323"/>
      <c r="O2912" s="1323"/>
      <c r="P2912" s="1323"/>
      <c r="Q2912" s="1323"/>
      <c r="R2912" s="1304"/>
      <c r="S2912" s="1304"/>
      <c r="T2912" s="1304"/>
    </row>
    <row r="2913" spans="1:20">
      <c r="A2913" s="1303"/>
      <c r="B2913" s="1322" t="s">
        <v>7965</v>
      </c>
      <c r="C2913" s="1323" t="s">
        <v>7966</v>
      </c>
      <c r="D2913" s="1324">
        <f t="shared" si="300"/>
        <v>37641</v>
      </c>
      <c r="E2913" s="1323">
        <f t="shared" si="302"/>
        <v>8.8481000000000005</v>
      </c>
      <c r="F2913" s="1323">
        <f t="shared" si="301"/>
        <v>5.6141596987258033</v>
      </c>
      <c r="G2913" s="1323">
        <f t="shared" si="303"/>
        <v>2003</v>
      </c>
      <c r="H2913" s="1323">
        <f t="shared" si="304"/>
        <v>1</v>
      </c>
      <c r="I2913" s="1323">
        <f t="shared" si="305"/>
        <v>20</v>
      </c>
      <c r="J2913" s="1323"/>
      <c r="K2913" s="1323"/>
      <c r="L2913" s="1323"/>
      <c r="M2913" s="1323"/>
      <c r="N2913" s="1323"/>
      <c r="O2913" s="1323"/>
      <c r="P2913" s="1323"/>
      <c r="Q2913" s="1323"/>
      <c r="R2913" s="1304"/>
      <c r="S2913" s="1304"/>
      <c r="T2913" s="1304"/>
    </row>
    <row r="2914" spans="1:20">
      <c r="A2914" s="1303"/>
      <c r="B2914" s="1322" t="s">
        <v>7967</v>
      </c>
      <c r="C2914" s="1323" t="s">
        <v>7968</v>
      </c>
      <c r="D2914" s="1324">
        <f t="shared" si="300"/>
        <v>37638</v>
      </c>
      <c r="E2914" s="1323">
        <f t="shared" si="302"/>
        <v>8.8370999999999995</v>
      </c>
      <c r="F2914" s="1323">
        <f t="shared" si="301"/>
        <v>5.6130832170129512</v>
      </c>
      <c r="G2914" s="1323">
        <f t="shared" si="303"/>
        <v>2003</v>
      </c>
      <c r="H2914" s="1323">
        <f t="shared" si="304"/>
        <v>1</v>
      </c>
      <c r="I2914" s="1323">
        <f t="shared" si="305"/>
        <v>17</v>
      </c>
      <c r="J2914" s="1323"/>
      <c r="K2914" s="1323"/>
      <c r="L2914" s="1323"/>
      <c r="M2914" s="1323"/>
      <c r="N2914" s="1323"/>
      <c r="O2914" s="1323"/>
      <c r="P2914" s="1323"/>
      <c r="Q2914" s="1323"/>
      <c r="R2914" s="1304"/>
      <c r="S2914" s="1304"/>
      <c r="T2914" s="1304"/>
    </row>
    <row r="2915" spans="1:20">
      <c r="A2915" s="1303"/>
      <c r="B2915" s="1322" t="s">
        <v>7969</v>
      </c>
      <c r="C2915" s="1323" t="s">
        <v>7970</v>
      </c>
      <c r="D2915" s="1324">
        <f t="shared" si="300"/>
        <v>37637</v>
      </c>
      <c r="E2915" s="1323">
        <f t="shared" si="302"/>
        <v>8.8087</v>
      </c>
      <c r="F2915" s="1323">
        <f t="shared" si="301"/>
        <v>5.6120069417090619</v>
      </c>
      <c r="G2915" s="1323">
        <f t="shared" si="303"/>
        <v>2003</v>
      </c>
      <c r="H2915" s="1323">
        <f t="shared" si="304"/>
        <v>1</v>
      </c>
      <c r="I2915" s="1323">
        <f t="shared" si="305"/>
        <v>16</v>
      </c>
      <c r="J2915" s="1323"/>
      <c r="K2915" s="1323"/>
      <c r="L2915" s="1323"/>
      <c r="M2915" s="1323"/>
      <c r="N2915" s="1323"/>
      <c r="O2915" s="1323"/>
      <c r="P2915" s="1323"/>
      <c r="Q2915" s="1323"/>
      <c r="R2915" s="1304"/>
      <c r="S2915" s="1304"/>
      <c r="T2915" s="1304"/>
    </row>
    <row r="2916" spans="1:20">
      <c r="A2916" s="1303"/>
      <c r="B2916" s="1322" t="s">
        <v>7971</v>
      </c>
      <c r="C2916" s="1323" t="s">
        <v>7972</v>
      </c>
      <c r="D2916" s="1324">
        <f t="shared" si="300"/>
        <v>37636</v>
      </c>
      <c r="E2916" s="1323">
        <f t="shared" si="302"/>
        <v>8.8611000000000004</v>
      </c>
      <c r="F2916" s="1323">
        <f t="shared" si="301"/>
        <v>5.6109308727745573</v>
      </c>
      <c r="G2916" s="1323">
        <f t="shared" si="303"/>
        <v>2003</v>
      </c>
      <c r="H2916" s="1323">
        <f t="shared" si="304"/>
        <v>1</v>
      </c>
      <c r="I2916" s="1323">
        <f t="shared" si="305"/>
        <v>15</v>
      </c>
      <c r="J2916" s="1323"/>
      <c r="K2916" s="1323"/>
      <c r="L2916" s="1323"/>
      <c r="M2916" s="1323"/>
      <c r="N2916" s="1323"/>
      <c r="O2916" s="1323"/>
      <c r="P2916" s="1323"/>
      <c r="Q2916" s="1323"/>
      <c r="R2916" s="1304"/>
      <c r="S2916" s="1304"/>
      <c r="T2916" s="1304"/>
    </row>
    <row r="2917" spans="1:20">
      <c r="A2917" s="1303"/>
      <c r="B2917" s="1322" t="s">
        <v>7973</v>
      </c>
      <c r="C2917" s="1323" t="s">
        <v>7974</v>
      </c>
      <c r="D2917" s="1324">
        <f t="shared" si="300"/>
        <v>37635</v>
      </c>
      <c r="E2917" s="1323">
        <f t="shared" si="302"/>
        <v>8.6234000000000002</v>
      </c>
      <c r="F2917" s="1323">
        <f t="shared" si="301"/>
        <v>5.6098550101698672</v>
      </c>
      <c r="G2917" s="1323">
        <f t="shared" si="303"/>
        <v>2003</v>
      </c>
      <c r="H2917" s="1323">
        <f t="shared" si="304"/>
        <v>1</v>
      </c>
      <c r="I2917" s="1323">
        <f t="shared" si="305"/>
        <v>14</v>
      </c>
      <c r="J2917" s="1323"/>
      <c r="K2917" s="1323"/>
      <c r="L2917" s="1323"/>
      <c r="M2917" s="1323"/>
      <c r="N2917" s="1323"/>
      <c r="O2917" s="1323"/>
      <c r="P2917" s="1323"/>
      <c r="Q2917" s="1323"/>
      <c r="R2917" s="1304"/>
      <c r="S2917" s="1304"/>
      <c r="T2917" s="1304"/>
    </row>
    <row r="2918" spans="1:20">
      <c r="A2918" s="1303"/>
      <c r="B2918" s="1322" t="s">
        <v>7975</v>
      </c>
      <c r="C2918" s="1323" t="s">
        <v>7976</v>
      </c>
      <c r="D2918" s="1324">
        <f t="shared" si="300"/>
        <v>37634</v>
      </c>
      <c r="E2918" s="1323">
        <f t="shared" si="302"/>
        <v>8.5471000000000004</v>
      </c>
      <c r="F2918" s="1323">
        <f t="shared" si="301"/>
        <v>5.6087793538554287</v>
      </c>
      <c r="G2918" s="1323">
        <f t="shared" si="303"/>
        <v>2003</v>
      </c>
      <c r="H2918" s="1323">
        <f t="shared" si="304"/>
        <v>1</v>
      </c>
      <c r="I2918" s="1323">
        <f t="shared" si="305"/>
        <v>13</v>
      </c>
      <c r="J2918" s="1323"/>
      <c r="K2918" s="1323"/>
      <c r="L2918" s="1323"/>
      <c r="M2918" s="1323"/>
      <c r="N2918" s="1323"/>
      <c r="O2918" s="1323"/>
      <c r="P2918" s="1323"/>
      <c r="Q2918" s="1323"/>
      <c r="R2918" s="1304"/>
      <c r="S2918" s="1304"/>
      <c r="T2918" s="1304"/>
    </row>
    <row r="2919" spans="1:20">
      <c r="A2919" s="1303"/>
      <c r="B2919" s="1322" t="s">
        <v>7977</v>
      </c>
      <c r="C2919" s="1323" t="s">
        <v>7978</v>
      </c>
      <c r="D2919" s="1324">
        <f t="shared" si="300"/>
        <v>37631</v>
      </c>
      <c r="E2919" s="1323">
        <f t="shared" si="302"/>
        <v>8.5129000000000001</v>
      </c>
      <c r="F2919" s="1323">
        <f t="shared" si="301"/>
        <v>5.6077039037916876</v>
      </c>
      <c r="G2919" s="1323">
        <f t="shared" si="303"/>
        <v>2003</v>
      </c>
      <c r="H2919" s="1323">
        <f t="shared" si="304"/>
        <v>1</v>
      </c>
      <c r="I2919" s="1323">
        <f t="shared" si="305"/>
        <v>10</v>
      </c>
      <c r="J2919" s="1323"/>
      <c r="K2919" s="1323"/>
      <c r="L2919" s="1323"/>
      <c r="M2919" s="1323"/>
      <c r="N2919" s="1323"/>
      <c r="O2919" s="1323"/>
      <c r="P2919" s="1323"/>
      <c r="Q2919" s="1323"/>
      <c r="R2919" s="1304"/>
      <c r="S2919" s="1304"/>
      <c r="T2919" s="1304"/>
    </row>
    <row r="2920" spans="1:20">
      <c r="A2920" s="1303"/>
      <c r="B2920" s="1322" t="s">
        <v>7979</v>
      </c>
      <c r="C2920" s="1323" t="s">
        <v>7980</v>
      </c>
      <c r="D2920" s="1324">
        <f t="shared" si="300"/>
        <v>37630</v>
      </c>
      <c r="E2920" s="1323">
        <f t="shared" si="302"/>
        <v>8.5177999999999994</v>
      </c>
      <c r="F2920" s="1323">
        <f t="shared" si="301"/>
        <v>5.606628659939096</v>
      </c>
      <c r="G2920" s="1323">
        <f t="shared" si="303"/>
        <v>2003</v>
      </c>
      <c r="H2920" s="1323">
        <f t="shared" si="304"/>
        <v>1</v>
      </c>
      <c r="I2920" s="1323">
        <f t="shared" si="305"/>
        <v>9</v>
      </c>
      <c r="J2920" s="1323"/>
      <c r="K2920" s="1323"/>
      <c r="L2920" s="1323"/>
      <c r="M2920" s="1323"/>
      <c r="N2920" s="1323"/>
      <c r="O2920" s="1323"/>
      <c r="P2920" s="1323"/>
      <c r="Q2920" s="1323"/>
      <c r="R2920" s="1304"/>
      <c r="S2920" s="1304"/>
      <c r="T2920" s="1304"/>
    </row>
    <row r="2921" spans="1:20">
      <c r="A2921" s="1303"/>
      <c r="B2921" s="1322" t="s">
        <v>7981</v>
      </c>
      <c r="C2921" s="1323" t="s">
        <v>7982</v>
      </c>
      <c r="D2921" s="1324">
        <f t="shared" si="300"/>
        <v>37629</v>
      </c>
      <c r="E2921" s="1323">
        <f t="shared" si="302"/>
        <v>8.6510999999999996</v>
      </c>
      <c r="F2921" s="1323">
        <f t="shared" si="301"/>
        <v>5.6055536222581148</v>
      </c>
      <c r="G2921" s="1323">
        <f t="shared" si="303"/>
        <v>2003</v>
      </c>
      <c r="H2921" s="1323">
        <f t="shared" si="304"/>
        <v>1</v>
      </c>
      <c r="I2921" s="1323">
        <f t="shared" si="305"/>
        <v>8</v>
      </c>
      <c r="J2921" s="1323"/>
      <c r="K2921" s="1323"/>
      <c r="L2921" s="1323"/>
      <c r="M2921" s="1323"/>
      <c r="N2921" s="1323"/>
      <c r="O2921" s="1323"/>
      <c r="P2921" s="1323"/>
      <c r="Q2921" s="1323"/>
      <c r="R2921" s="1304"/>
      <c r="S2921" s="1304"/>
      <c r="T2921" s="1304"/>
    </row>
    <row r="2922" spans="1:20">
      <c r="A2922" s="1303"/>
      <c r="B2922" s="1322" t="s">
        <v>7983</v>
      </c>
      <c r="C2922" s="1323" t="s">
        <v>7984</v>
      </c>
      <c r="D2922" s="1324">
        <f t="shared" si="300"/>
        <v>37628</v>
      </c>
      <c r="E2922" s="1323">
        <f t="shared" si="302"/>
        <v>8.5218000000000007</v>
      </c>
      <c r="F2922" s="1323">
        <f t="shared" si="301"/>
        <v>5.6044787907092113</v>
      </c>
      <c r="G2922" s="1323">
        <f t="shared" si="303"/>
        <v>2003</v>
      </c>
      <c r="H2922" s="1323">
        <f t="shared" si="304"/>
        <v>1</v>
      </c>
      <c r="I2922" s="1323">
        <f t="shared" si="305"/>
        <v>7</v>
      </c>
      <c r="J2922" s="1323"/>
      <c r="K2922" s="1323"/>
      <c r="L2922" s="1323"/>
      <c r="M2922" s="1323"/>
      <c r="N2922" s="1323"/>
      <c r="O2922" s="1323"/>
      <c r="P2922" s="1323"/>
      <c r="Q2922" s="1323"/>
      <c r="R2922" s="1304"/>
      <c r="S2922" s="1304"/>
      <c r="T2922" s="1304"/>
    </row>
    <row r="2923" spans="1:20">
      <c r="A2923" s="1303"/>
      <c r="B2923" s="1322" t="s">
        <v>7985</v>
      </c>
      <c r="C2923" s="1323" t="s">
        <v>7986</v>
      </c>
      <c r="D2923" s="1324">
        <f t="shared" si="300"/>
        <v>37627</v>
      </c>
      <c r="E2923" s="1323">
        <f t="shared" si="302"/>
        <v>8.3749000000000002</v>
      </c>
      <c r="F2923" s="1323">
        <f t="shared" si="301"/>
        <v>5.6034041652528614</v>
      </c>
      <c r="G2923" s="1323">
        <f t="shared" si="303"/>
        <v>2003</v>
      </c>
      <c r="H2923" s="1323">
        <f t="shared" si="304"/>
        <v>1</v>
      </c>
      <c r="I2923" s="1323">
        <f t="shared" si="305"/>
        <v>6</v>
      </c>
      <c r="J2923" s="1323"/>
      <c r="K2923" s="1323"/>
      <c r="L2923" s="1323"/>
      <c r="M2923" s="1323"/>
      <c r="N2923" s="1323"/>
      <c r="O2923" s="1323"/>
      <c r="P2923" s="1323"/>
      <c r="Q2923" s="1323"/>
      <c r="R2923" s="1304"/>
      <c r="S2923" s="1304"/>
      <c r="T2923" s="1304"/>
    </row>
    <row r="2924" spans="1:20">
      <c r="A2924" s="1303"/>
      <c r="B2924" s="1322" t="s">
        <v>7987</v>
      </c>
      <c r="C2924" s="1323" t="s">
        <v>5202</v>
      </c>
      <c r="D2924" s="1324">
        <f t="shared" si="300"/>
        <v>37624</v>
      </c>
      <c r="E2924" s="1323">
        <f t="shared" si="302"/>
        <v>8.4217999999999993</v>
      </c>
      <c r="F2924" s="1323">
        <f t="shared" si="301"/>
        <v>5.6023297458495476</v>
      </c>
      <c r="G2924" s="1323">
        <f t="shared" si="303"/>
        <v>2003</v>
      </c>
      <c r="H2924" s="1323">
        <f t="shared" si="304"/>
        <v>1</v>
      </c>
      <c r="I2924" s="1323">
        <f t="shared" si="305"/>
        <v>3</v>
      </c>
      <c r="J2924" s="1323"/>
      <c r="K2924" s="1323"/>
      <c r="L2924" s="1323"/>
      <c r="M2924" s="1323"/>
      <c r="N2924" s="1323"/>
      <c r="O2924" s="1323"/>
      <c r="P2924" s="1323"/>
      <c r="Q2924" s="1323"/>
      <c r="R2924" s="1304"/>
      <c r="S2924" s="1304"/>
      <c r="T2924" s="1304"/>
    </row>
    <row r="2925" spans="1:20">
      <c r="A2925" s="1303"/>
      <c r="B2925" s="1322" t="s">
        <v>7988</v>
      </c>
      <c r="C2925" s="1323" t="s">
        <v>7989</v>
      </c>
      <c r="D2925" s="1324">
        <f t="shared" si="300"/>
        <v>37623</v>
      </c>
      <c r="E2925" s="1323">
        <f t="shared" si="302"/>
        <v>8.5711999999999993</v>
      </c>
      <c r="F2925" s="1323">
        <f t="shared" si="301"/>
        <v>5.6012555324597608</v>
      </c>
      <c r="G2925" s="1323">
        <f t="shared" si="303"/>
        <v>2003</v>
      </c>
      <c r="H2925" s="1323">
        <f t="shared" si="304"/>
        <v>1</v>
      </c>
      <c r="I2925" s="1323">
        <f t="shared" si="305"/>
        <v>2</v>
      </c>
      <c r="J2925" s="1323"/>
      <c r="K2925" s="1323"/>
      <c r="L2925" s="1323"/>
      <c r="M2925" s="1323"/>
      <c r="N2925" s="1323"/>
      <c r="O2925" s="1323"/>
      <c r="P2925" s="1323"/>
      <c r="Q2925" s="1323"/>
      <c r="R2925" s="1304"/>
      <c r="S2925" s="1304"/>
      <c r="T2925" s="1304"/>
    </row>
    <row r="2926" spans="1:20">
      <c r="A2926" s="1303"/>
      <c r="B2926" s="1322" t="s">
        <v>7990</v>
      </c>
      <c r="C2926" s="1323" t="s">
        <v>7991</v>
      </c>
      <c r="D2926" s="1324">
        <f t="shared" si="300"/>
        <v>37621</v>
      </c>
      <c r="E2926" s="1323">
        <f t="shared" si="302"/>
        <v>8.6579999999999995</v>
      </c>
      <c r="F2926" s="1323">
        <f t="shared" si="301"/>
        <v>5.6001815250439986</v>
      </c>
      <c r="G2926" s="1323">
        <f t="shared" si="303"/>
        <v>2002</v>
      </c>
      <c r="H2926" s="1323">
        <f t="shared" si="304"/>
        <v>12</v>
      </c>
      <c r="I2926" s="1323">
        <f t="shared" si="305"/>
        <v>31</v>
      </c>
      <c r="J2926" s="1323"/>
      <c r="K2926" s="1323"/>
      <c r="L2926" s="1323"/>
      <c r="M2926" s="1323"/>
      <c r="N2926" s="1323"/>
      <c r="O2926" s="1323"/>
      <c r="P2926" s="1323"/>
      <c r="Q2926" s="1323"/>
      <c r="R2926" s="1304"/>
      <c r="S2926" s="1304"/>
      <c r="T2926" s="1304"/>
    </row>
    <row r="2927" spans="1:20">
      <c r="A2927" s="1303"/>
      <c r="B2927" s="1322" t="s">
        <v>7992</v>
      </c>
      <c r="C2927" s="1323" t="s">
        <v>7993</v>
      </c>
      <c r="D2927" s="1324">
        <f t="shared" si="300"/>
        <v>37620</v>
      </c>
      <c r="E2927" s="1323">
        <f t="shared" si="302"/>
        <v>8.7384000000000004</v>
      </c>
      <c r="F2927" s="1323">
        <f t="shared" si="301"/>
        <v>5.5991077235627671</v>
      </c>
      <c r="G2927" s="1323">
        <f t="shared" si="303"/>
        <v>2002</v>
      </c>
      <c r="H2927" s="1323">
        <f t="shared" si="304"/>
        <v>12</v>
      </c>
      <c r="I2927" s="1323">
        <f t="shared" si="305"/>
        <v>30</v>
      </c>
      <c r="J2927" s="1323"/>
      <c r="K2927" s="1323"/>
      <c r="L2927" s="1323"/>
      <c r="M2927" s="1323"/>
      <c r="N2927" s="1323"/>
      <c r="O2927" s="1323"/>
      <c r="P2927" s="1323"/>
      <c r="Q2927" s="1323"/>
      <c r="R2927" s="1304"/>
      <c r="S2927" s="1304"/>
      <c r="T2927" s="1304"/>
    </row>
    <row r="2928" spans="1:20">
      <c r="A2928" s="1303"/>
      <c r="B2928" s="1322" t="s">
        <v>7994</v>
      </c>
      <c r="C2928" s="1323" t="s">
        <v>7995</v>
      </c>
      <c r="D2928" s="1324">
        <f t="shared" si="300"/>
        <v>37617</v>
      </c>
      <c r="E2928" s="1323">
        <f t="shared" si="302"/>
        <v>8.7933000000000003</v>
      </c>
      <c r="F2928" s="1323">
        <f t="shared" si="301"/>
        <v>5.5980341279765797</v>
      </c>
      <c r="G2928" s="1323">
        <f t="shared" si="303"/>
        <v>2002</v>
      </c>
      <c r="H2928" s="1323">
        <f t="shared" si="304"/>
        <v>12</v>
      </c>
      <c r="I2928" s="1323">
        <f t="shared" si="305"/>
        <v>27</v>
      </c>
      <c r="J2928" s="1323"/>
      <c r="K2928" s="1323"/>
      <c r="L2928" s="1323"/>
      <c r="M2928" s="1323"/>
      <c r="N2928" s="1323"/>
      <c r="O2928" s="1323"/>
      <c r="P2928" s="1323"/>
      <c r="Q2928" s="1323"/>
      <c r="R2928" s="1304"/>
      <c r="S2928" s="1304"/>
      <c r="T2928" s="1304"/>
    </row>
    <row r="2929" spans="1:20">
      <c r="A2929" s="1303"/>
      <c r="B2929" s="1322" t="s">
        <v>7996</v>
      </c>
      <c r="C2929" s="1323" t="s">
        <v>7997</v>
      </c>
      <c r="D2929" s="1324">
        <f t="shared" si="300"/>
        <v>37614</v>
      </c>
      <c r="E2929" s="1323">
        <f t="shared" si="302"/>
        <v>8.7668999999999997</v>
      </c>
      <c r="F2929" s="1323">
        <f t="shared" si="301"/>
        <v>5.596960738245957</v>
      </c>
      <c r="G2929" s="1323">
        <f t="shared" si="303"/>
        <v>2002</v>
      </c>
      <c r="H2929" s="1323">
        <f t="shared" si="304"/>
        <v>12</v>
      </c>
      <c r="I2929" s="1323">
        <f t="shared" si="305"/>
        <v>24</v>
      </c>
      <c r="J2929" s="1323"/>
      <c r="K2929" s="1323"/>
      <c r="L2929" s="1323"/>
      <c r="M2929" s="1323"/>
      <c r="N2929" s="1323"/>
      <c r="O2929" s="1323"/>
      <c r="P2929" s="1323"/>
      <c r="Q2929" s="1323"/>
      <c r="R2929" s="1304"/>
      <c r="S2929" s="1304"/>
      <c r="T2929" s="1304"/>
    </row>
    <row r="2930" spans="1:20">
      <c r="A2930" s="1303"/>
      <c r="B2930" s="1322" t="s">
        <v>7998</v>
      </c>
      <c r="C2930" s="1323" t="s">
        <v>7999</v>
      </c>
      <c r="D2930" s="1324">
        <f t="shared" si="300"/>
        <v>37613</v>
      </c>
      <c r="E2930" s="1323">
        <f t="shared" si="302"/>
        <v>8.8899000000000008</v>
      </c>
      <c r="F2930" s="1323">
        <f t="shared" si="301"/>
        <v>5.5958875543314273</v>
      </c>
      <c r="G2930" s="1323">
        <f t="shared" si="303"/>
        <v>2002</v>
      </c>
      <c r="H2930" s="1323">
        <f t="shared" si="304"/>
        <v>12</v>
      </c>
      <c r="I2930" s="1323">
        <f t="shared" si="305"/>
        <v>23</v>
      </c>
      <c r="J2930" s="1323"/>
      <c r="K2930" s="1323"/>
      <c r="L2930" s="1323"/>
      <c r="M2930" s="1323"/>
      <c r="N2930" s="1323"/>
      <c r="O2930" s="1323"/>
      <c r="P2930" s="1323"/>
      <c r="Q2930" s="1323"/>
      <c r="R2930" s="1304"/>
      <c r="S2930" s="1304"/>
      <c r="T2930" s="1304"/>
    </row>
    <row r="2931" spans="1:20">
      <c r="A2931" s="1303"/>
      <c r="B2931" s="1322" t="s">
        <v>8000</v>
      </c>
      <c r="C2931" s="1323" t="s">
        <v>8001</v>
      </c>
      <c r="D2931" s="1324">
        <f t="shared" si="300"/>
        <v>37610</v>
      </c>
      <c r="E2931" s="1323">
        <f t="shared" si="302"/>
        <v>9.0785</v>
      </c>
      <c r="F2931" s="1323">
        <f t="shared" si="301"/>
        <v>5.5948145761935271</v>
      </c>
      <c r="G2931" s="1323">
        <f t="shared" si="303"/>
        <v>2002</v>
      </c>
      <c r="H2931" s="1323">
        <f t="shared" si="304"/>
        <v>12</v>
      </c>
      <c r="I2931" s="1323">
        <f t="shared" si="305"/>
        <v>20</v>
      </c>
      <c r="J2931" s="1323"/>
      <c r="K2931" s="1323"/>
      <c r="L2931" s="1323"/>
      <c r="M2931" s="1323"/>
      <c r="N2931" s="1323"/>
      <c r="O2931" s="1323"/>
      <c r="P2931" s="1323"/>
      <c r="Q2931" s="1323"/>
      <c r="R2931" s="1304"/>
      <c r="S2931" s="1304"/>
      <c r="T2931" s="1304"/>
    </row>
    <row r="2932" spans="1:20">
      <c r="A2932" s="1303"/>
      <c r="B2932" s="1322" t="s">
        <v>8002</v>
      </c>
      <c r="C2932" s="1323" t="s">
        <v>8003</v>
      </c>
      <c r="D2932" s="1324">
        <f t="shared" si="300"/>
        <v>37609</v>
      </c>
      <c r="E2932" s="1323">
        <f t="shared" si="302"/>
        <v>8.8488000000000007</v>
      </c>
      <c r="F2932" s="1323">
        <f t="shared" si="301"/>
        <v>5.5937418037927991</v>
      </c>
      <c r="G2932" s="1323">
        <f t="shared" si="303"/>
        <v>2002</v>
      </c>
      <c r="H2932" s="1323">
        <f t="shared" si="304"/>
        <v>12</v>
      </c>
      <c r="I2932" s="1323">
        <f t="shared" si="305"/>
        <v>19</v>
      </c>
      <c r="J2932" s="1323"/>
      <c r="K2932" s="1323"/>
      <c r="L2932" s="1323"/>
      <c r="M2932" s="1323"/>
      <c r="N2932" s="1323"/>
      <c r="O2932" s="1323"/>
      <c r="P2932" s="1323"/>
      <c r="Q2932" s="1323"/>
      <c r="R2932" s="1304"/>
      <c r="S2932" s="1304"/>
      <c r="T2932" s="1304"/>
    </row>
    <row r="2933" spans="1:20">
      <c r="A2933" s="1303"/>
      <c r="B2933" s="1322" t="s">
        <v>8004</v>
      </c>
      <c r="C2933" s="1323" t="s">
        <v>8005</v>
      </c>
      <c r="D2933" s="1324">
        <f t="shared" si="300"/>
        <v>37608</v>
      </c>
      <c r="E2933" s="1323">
        <f t="shared" si="302"/>
        <v>9.0995000000000008</v>
      </c>
      <c r="F2933" s="1323">
        <f t="shared" si="301"/>
        <v>5.5926692370897957</v>
      </c>
      <c r="G2933" s="1323">
        <f t="shared" si="303"/>
        <v>2002</v>
      </c>
      <c r="H2933" s="1323">
        <f t="shared" si="304"/>
        <v>12</v>
      </c>
      <c r="I2933" s="1323">
        <f t="shared" si="305"/>
        <v>18</v>
      </c>
      <c r="J2933" s="1323"/>
      <c r="K2933" s="1323"/>
      <c r="L2933" s="1323"/>
      <c r="M2933" s="1323"/>
      <c r="N2933" s="1323"/>
      <c r="O2933" s="1323"/>
      <c r="P2933" s="1323"/>
      <c r="Q2933" s="1323"/>
      <c r="R2933" s="1304"/>
      <c r="S2933" s="1304"/>
      <c r="T2933" s="1304"/>
    </row>
    <row r="2934" spans="1:20">
      <c r="A2934" s="1303"/>
      <c r="B2934" s="1322" t="s">
        <v>8006</v>
      </c>
      <c r="C2934" s="1323" t="s">
        <v>8007</v>
      </c>
      <c r="D2934" s="1324">
        <f t="shared" si="300"/>
        <v>37607</v>
      </c>
      <c r="E2934" s="1323">
        <f t="shared" si="302"/>
        <v>8.7178000000000004</v>
      </c>
      <c r="F2934" s="1323">
        <f t="shared" si="301"/>
        <v>5.5915968760450747</v>
      </c>
      <c r="G2934" s="1323">
        <f t="shared" si="303"/>
        <v>2002</v>
      </c>
      <c r="H2934" s="1323">
        <f t="shared" si="304"/>
        <v>12</v>
      </c>
      <c r="I2934" s="1323">
        <f t="shared" si="305"/>
        <v>17</v>
      </c>
      <c r="J2934" s="1323"/>
      <c r="K2934" s="1323"/>
      <c r="L2934" s="1323"/>
      <c r="M2934" s="1323"/>
      <c r="N2934" s="1323"/>
      <c r="O2934" s="1323"/>
      <c r="P2934" s="1323"/>
      <c r="Q2934" s="1323"/>
      <c r="R2934" s="1304"/>
      <c r="S2934" s="1304"/>
      <c r="T2934" s="1304"/>
    </row>
    <row r="2935" spans="1:20">
      <c r="A2935" s="1303"/>
      <c r="B2935" s="1322" t="s">
        <v>8008</v>
      </c>
      <c r="C2935" s="1323" t="s">
        <v>8009</v>
      </c>
      <c r="D2935" s="1324">
        <f t="shared" si="300"/>
        <v>37603</v>
      </c>
      <c r="E2935" s="1323">
        <f t="shared" si="302"/>
        <v>8.7739999999999991</v>
      </c>
      <c r="F2935" s="1323">
        <f t="shared" si="301"/>
        <v>5.5905247206192019</v>
      </c>
      <c r="G2935" s="1323">
        <f t="shared" si="303"/>
        <v>2002</v>
      </c>
      <c r="H2935" s="1323">
        <f t="shared" si="304"/>
        <v>12</v>
      </c>
      <c r="I2935" s="1323">
        <f t="shared" si="305"/>
        <v>13</v>
      </c>
      <c r="J2935" s="1323"/>
      <c r="K2935" s="1323"/>
      <c r="L2935" s="1323"/>
      <c r="M2935" s="1323"/>
      <c r="N2935" s="1323"/>
      <c r="O2935" s="1323"/>
      <c r="P2935" s="1323"/>
      <c r="Q2935" s="1323"/>
      <c r="R2935" s="1304"/>
      <c r="S2935" s="1304"/>
      <c r="T2935" s="1304"/>
    </row>
    <row r="2936" spans="1:20">
      <c r="A2936" s="1303"/>
      <c r="B2936" s="1322" t="s">
        <v>8010</v>
      </c>
      <c r="C2936" s="1323" t="s">
        <v>8011</v>
      </c>
      <c r="D2936" s="1324">
        <f t="shared" si="300"/>
        <v>37602</v>
      </c>
      <c r="E2936" s="1323">
        <f t="shared" si="302"/>
        <v>8.8937000000000008</v>
      </c>
      <c r="F2936" s="1323">
        <f t="shared" si="301"/>
        <v>5.5894527707727519</v>
      </c>
      <c r="G2936" s="1323">
        <f t="shared" si="303"/>
        <v>2002</v>
      </c>
      <c r="H2936" s="1323">
        <f t="shared" si="304"/>
        <v>12</v>
      </c>
      <c r="I2936" s="1323">
        <f t="shared" si="305"/>
        <v>12</v>
      </c>
      <c r="J2936" s="1323"/>
      <c r="K2936" s="1323"/>
      <c r="L2936" s="1323"/>
      <c r="M2936" s="1323"/>
      <c r="N2936" s="1323"/>
      <c r="O2936" s="1323"/>
      <c r="P2936" s="1323"/>
      <c r="Q2936" s="1323"/>
      <c r="R2936" s="1304"/>
      <c r="S2936" s="1304"/>
      <c r="T2936" s="1304"/>
    </row>
    <row r="2937" spans="1:20">
      <c r="A2937" s="1303"/>
      <c r="B2937" s="1322" t="s">
        <v>8012</v>
      </c>
      <c r="C2937" s="1323" t="s">
        <v>8013</v>
      </c>
      <c r="D2937" s="1324">
        <f t="shared" si="300"/>
        <v>37601</v>
      </c>
      <c r="E2937" s="1323">
        <f t="shared" si="302"/>
        <v>8.9372000000000007</v>
      </c>
      <c r="F2937" s="1323">
        <f t="shared" si="301"/>
        <v>5.5883810264663065</v>
      </c>
      <c r="G2937" s="1323">
        <f t="shared" si="303"/>
        <v>2002</v>
      </c>
      <c r="H2937" s="1323">
        <f t="shared" si="304"/>
        <v>12</v>
      </c>
      <c r="I2937" s="1323">
        <f t="shared" si="305"/>
        <v>11</v>
      </c>
      <c r="J2937" s="1323"/>
      <c r="K2937" s="1323"/>
      <c r="L2937" s="1323"/>
      <c r="M2937" s="1323"/>
      <c r="N2937" s="1323"/>
      <c r="O2937" s="1323"/>
      <c r="P2937" s="1323"/>
      <c r="Q2937" s="1323"/>
      <c r="R2937" s="1304"/>
      <c r="S2937" s="1304"/>
      <c r="T2937" s="1304"/>
    </row>
    <row r="2938" spans="1:20">
      <c r="A2938" s="1303"/>
      <c r="B2938" s="1322" t="s">
        <v>8014</v>
      </c>
      <c r="C2938" s="1323" t="s">
        <v>8015</v>
      </c>
      <c r="D2938" s="1324">
        <f t="shared" si="300"/>
        <v>37600</v>
      </c>
      <c r="E2938" s="1323">
        <f t="shared" si="302"/>
        <v>8.9962</v>
      </c>
      <c r="F2938" s="1323">
        <f t="shared" si="301"/>
        <v>5.5873094876604537</v>
      </c>
      <c r="G2938" s="1323">
        <f t="shared" si="303"/>
        <v>2002</v>
      </c>
      <c r="H2938" s="1323">
        <f t="shared" si="304"/>
        <v>12</v>
      </c>
      <c r="I2938" s="1323">
        <f t="shared" si="305"/>
        <v>10</v>
      </c>
      <c r="J2938" s="1323"/>
      <c r="K2938" s="1323"/>
      <c r="L2938" s="1323"/>
      <c r="M2938" s="1323"/>
      <c r="N2938" s="1323"/>
      <c r="O2938" s="1323"/>
      <c r="P2938" s="1323"/>
      <c r="Q2938" s="1323"/>
      <c r="R2938" s="1304"/>
      <c r="S2938" s="1304"/>
      <c r="T2938" s="1304"/>
    </row>
    <row r="2939" spans="1:20">
      <c r="A2939" s="1303"/>
      <c r="B2939" s="1322" t="s">
        <v>8016</v>
      </c>
      <c r="C2939" s="1323" t="s">
        <v>8017</v>
      </c>
      <c r="D2939" s="1324">
        <f t="shared" si="300"/>
        <v>37599</v>
      </c>
      <c r="E2939" s="1323">
        <f t="shared" si="302"/>
        <v>9.1960999999999995</v>
      </c>
      <c r="F2939" s="1323">
        <f t="shared" si="301"/>
        <v>5.5862381543157902</v>
      </c>
      <c r="G2939" s="1323">
        <f t="shared" si="303"/>
        <v>2002</v>
      </c>
      <c r="H2939" s="1323">
        <f t="shared" si="304"/>
        <v>12</v>
      </c>
      <c r="I2939" s="1323">
        <f t="shared" si="305"/>
        <v>9</v>
      </c>
      <c r="J2939" s="1323"/>
      <c r="K2939" s="1323"/>
      <c r="L2939" s="1323"/>
      <c r="M2939" s="1323"/>
      <c r="N2939" s="1323"/>
      <c r="O2939" s="1323"/>
      <c r="P2939" s="1323"/>
      <c r="Q2939" s="1323"/>
      <c r="R2939" s="1304"/>
      <c r="S2939" s="1304"/>
      <c r="T2939" s="1304"/>
    </row>
    <row r="2940" spans="1:20">
      <c r="A2940" s="1303"/>
      <c r="B2940" s="1322" t="s">
        <v>8018</v>
      </c>
      <c r="C2940" s="1323" t="s">
        <v>8019</v>
      </c>
      <c r="D2940" s="1324">
        <f t="shared" si="300"/>
        <v>37596</v>
      </c>
      <c r="E2940" s="1323">
        <f t="shared" si="302"/>
        <v>9.1513000000000009</v>
      </c>
      <c r="F2940" s="1323">
        <f t="shared" si="301"/>
        <v>5.5851670263929201</v>
      </c>
      <c r="G2940" s="1323">
        <f t="shared" si="303"/>
        <v>2002</v>
      </c>
      <c r="H2940" s="1323">
        <f t="shared" si="304"/>
        <v>12</v>
      </c>
      <c r="I2940" s="1323">
        <f t="shared" si="305"/>
        <v>6</v>
      </c>
      <c r="J2940" s="1323"/>
      <c r="K2940" s="1323"/>
      <c r="L2940" s="1323"/>
      <c r="M2940" s="1323"/>
      <c r="N2940" s="1323"/>
      <c r="O2940" s="1323"/>
      <c r="P2940" s="1323"/>
      <c r="Q2940" s="1323"/>
      <c r="R2940" s="1304"/>
      <c r="S2940" s="1304"/>
      <c r="T2940" s="1304"/>
    </row>
    <row r="2941" spans="1:20">
      <c r="A2941" s="1303"/>
      <c r="B2941" s="1322" t="s">
        <v>8020</v>
      </c>
      <c r="C2941" s="1323" t="s">
        <v>8021</v>
      </c>
      <c r="D2941" s="1324">
        <f t="shared" si="300"/>
        <v>37595</v>
      </c>
      <c r="E2941" s="1323">
        <f t="shared" si="302"/>
        <v>9.1180000000000003</v>
      </c>
      <c r="F2941" s="1323">
        <f t="shared" si="301"/>
        <v>5.5840961038524553</v>
      </c>
      <c r="G2941" s="1323">
        <f t="shared" si="303"/>
        <v>2002</v>
      </c>
      <c r="H2941" s="1323">
        <f t="shared" si="304"/>
        <v>12</v>
      </c>
      <c r="I2941" s="1323">
        <f t="shared" si="305"/>
        <v>5</v>
      </c>
      <c r="J2941" s="1323"/>
      <c r="K2941" s="1323"/>
      <c r="L2941" s="1323"/>
      <c r="M2941" s="1323"/>
      <c r="N2941" s="1323"/>
      <c r="O2941" s="1323"/>
      <c r="P2941" s="1323"/>
      <c r="Q2941" s="1323"/>
      <c r="R2941" s="1304"/>
      <c r="S2941" s="1304"/>
      <c r="T2941" s="1304"/>
    </row>
    <row r="2942" spans="1:20">
      <c r="A2942" s="1303"/>
      <c r="B2942" s="1322" t="s">
        <v>8022</v>
      </c>
      <c r="C2942" s="1323" t="s">
        <v>8023</v>
      </c>
      <c r="D2942" s="1324">
        <f t="shared" si="300"/>
        <v>37594</v>
      </c>
      <c r="E2942" s="1323">
        <f t="shared" si="302"/>
        <v>9.2309999999999999</v>
      </c>
      <c r="F2942" s="1323">
        <f t="shared" si="301"/>
        <v>5.5830253866550148</v>
      </c>
      <c r="G2942" s="1323">
        <f t="shared" si="303"/>
        <v>2002</v>
      </c>
      <c r="H2942" s="1323">
        <f t="shared" si="304"/>
        <v>12</v>
      </c>
      <c r="I2942" s="1323">
        <f t="shared" si="305"/>
        <v>4</v>
      </c>
      <c r="J2942" s="1323"/>
      <c r="K2942" s="1323"/>
      <c r="L2942" s="1323"/>
      <c r="M2942" s="1323"/>
      <c r="N2942" s="1323"/>
      <c r="O2942" s="1323"/>
      <c r="P2942" s="1323"/>
      <c r="Q2942" s="1323"/>
      <c r="R2942" s="1304"/>
      <c r="S2942" s="1304"/>
      <c r="T2942" s="1304"/>
    </row>
    <row r="2943" spans="1:20">
      <c r="A2943" s="1303"/>
      <c r="B2943" s="1322" t="s">
        <v>8024</v>
      </c>
      <c r="C2943" s="1323" t="s">
        <v>8025</v>
      </c>
      <c r="D2943" s="1324">
        <f t="shared" si="300"/>
        <v>37593</v>
      </c>
      <c r="E2943" s="1323">
        <f t="shared" si="302"/>
        <v>9.2001000000000008</v>
      </c>
      <c r="F2943" s="1323">
        <f t="shared" si="301"/>
        <v>5.5819548747612249</v>
      </c>
      <c r="G2943" s="1323">
        <f t="shared" si="303"/>
        <v>2002</v>
      </c>
      <c r="H2943" s="1323">
        <f t="shared" si="304"/>
        <v>12</v>
      </c>
      <c r="I2943" s="1323">
        <f t="shared" si="305"/>
        <v>3</v>
      </c>
      <c r="J2943" s="1323"/>
      <c r="K2943" s="1323"/>
      <c r="L2943" s="1323"/>
      <c r="M2943" s="1323"/>
      <c r="N2943" s="1323"/>
      <c r="O2943" s="1323"/>
      <c r="P2943" s="1323"/>
      <c r="Q2943" s="1323"/>
      <c r="R2943" s="1304"/>
      <c r="S2943" s="1304"/>
      <c r="T2943" s="1304"/>
    </row>
    <row r="2944" spans="1:20">
      <c r="A2944" s="1303"/>
      <c r="B2944" s="1322" t="s">
        <v>8026</v>
      </c>
      <c r="C2944" s="1323" t="s">
        <v>8027</v>
      </c>
      <c r="D2944" s="1324">
        <f t="shared" si="300"/>
        <v>37592</v>
      </c>
      <c r="E2944" s="1323">
        <f t="shared" si="302"/>
        <v>9.2202000000000002</v>
      </c>
      <c r="F2944" s="1323">
        <f t="shared" si="301"/>
        <v>5.5808845681317196</v>
      </c>
      <c r="G2944" s="1323">
        <f t="shared" si="303"/>
        <v>2002</v>
      </c>
      <c r="H2944" s="1323">
        <f t="shared" si="304"/>
        <v>12</v>
      </c>
      <c r="I2944" s="1323">
        <f t="shared" si="305"/>
        <v>2</v>
      </c>
      <c r="J2944" s="1323"/>
      <c r="K2944" s="1323"/>
      <c r="L2944" s="1323"/>
      <c r="M2944" s="1323"/>
      <c r="N2944" s="1323"/>
      <c r="O2944" s="1323"/>
      <c r="P2944" s="1323"/>
      <c r="Q2944" s="1323"/>
      <c r="R2944" s="1304"/>
      <c r="S2944" s="1304"/>
      <c r="T2944" s="1304"/>
    </row>
    <row r="2945" spans="1:20">
      <c r="A2945" s="1303"/>
      <c r="B2945" s="1322" t="s">
        <v>8028</v>
      </c>
      <c r="C2945" s="1323" t="s">
        <v>8029</v>
      </c>
      <c r="D2945" s="1324">
        <f t="shared" si="300"/>
        <v>37589</v>
      </c>
      <c r="E2945" s="1323">
        <f t="shared" si="302"/>
        <v>9.2716999999999992</v>
      </c>
      <c r="F2945" s="1323">
        <f t="shared" si="301"/>
        <v>5.5798144667271412</v>
      </c>
      <c r="G2945" s="1323">
        <f t="shared" si="303"/>
        <v>2002</v>
      </c>
      <c r="H2945" s="1323">
        <f t="shared" si="304"/>
        <v>11</v>
      </c>
      <c r="I2945" s="1323">
        <f t="shared" si="305"/>
        <v>29</v>
      </c>
      <c r="J2945" s="1323"/>
      <c r="K2945" s="1323"/>
      <c r="L2945" s="1323"/>
      <c r="M2945" s="1323"/>
      <c r="N2945" s="1323"/>
      <c r="O2945" s="1323"/>
      <c r="P2945" s="1323"/>
      <c r="Q2945" s="1323"/>
      <c r="R2945" s="1304"/>
      <c r="S2945" s="1304"/>
      <c r="T2945" s="1304"/>
    </row>
    <row r="2946" spans="1:20">
      <c r="A2946" s="1303"/>
      <c r="B2946" s="1322" t="s">
        <v>8030</v>
      </c>
      <c r="C2946" s="1323" t="s">
        <v>8031</v>
      </c>
      <c r="D2946" s="1324">
        <f t="shared" si="300"/>
        <v>37588</v>
      </c>
      <c r="E2946" s="1323">
        <f t="shared" si="302"/>
        <v>9.2036999999999995</v>
      </c>
      <c r="F2946" s="1323">
        <f t="shared" si="301"/>
        <v>5.5787445705081398</v>
      </c>
      <c r="G2946" s="1323">
        <f t="shared" si="303"/>
        <v>2002</v>
      </c>
      <c r="H2946" s="1323">
        <f t="shared" si="304"/>
        <v>11</v>
      </c>
      <c r="I2946" s="1323">
        <f t="shared" si="305"/>
        <v>28</v>
      </c>
      <c r="J2946" s="1323"/>
      <c r="K2946" s="1323"/>
      <c r="L2946" s="1323"/>
      <c r="M2946" s="1323"/>
      <c r="N2946" s="1323"/>
      <c r="O2946" s="1323"/>
      <c r="P2946" s="1323"/>
      <c r="Q2946" s="1323"/>
      <c r="R2946" s="1304"/>
      <c r="S2946" s="1304"/>
      <c r="T2946" s="1304"/>
    </row>
    <row r="2947" spans="1:20">
      <c r="A2947" s="1303"/>
      <c r="B2947" s="1322" t="s">
        <v>8032</v>
      </c>
      <c r="C2947" s="1323" t="s">
        <v>8033</v>
      </c>
      <c r="D2947" s="1324">
        <f t="shared" si="300"/>
        <v>37587</v>
      </c>
      <c r="E2947" s="1323">
        <f t="shared" si="302"/>
        <v>9.1942000000000004</v>
      </c>
      <c r="F2947" s="1323">
        <f t="shared" si="301"/>
        <v>5.5776748794353708</v>
      </c>
      <c r="G2947" s="1323">
        <f t="shared" si="303"/>
        <v>2002</v>
      </c>
      <c r="H2947" s="1323">
        <f t="shared" si="304"/>
        <v>11</v>
      </c>
      <c r="I2947" s="1323">
        <f t="shared" si="305"/>
        <v>27</v>
      </c>
      <c r="J2947" s="1323"/>
      <c r="K2947" s="1323"/>
      <c r="L2947" s="1323"/>
      <c r="M2947" s="1323"/>
      <c r="N2947" s="1323"/>
      <c r="O2947" s="1323"/>
      <c r="P2947" s="1323"/>
      <c r="Q2947" s="1323"/>
      <c r="R2947" s="1304"/>
      <c r="S2947" s="1304"/>
      <c r="T2947" s="1304"/>
    </row>
    <row r="2948" spans="1:20">
      <c r="A2948" s="1303"/>
      <c r="B2948" s="1322" t="s">
        <v>8034</v>
      </c>
      <c r="C2948" s="1323" t="s">
        <v>8035</v>
      </c>
      <c r="D2948" s="1324">
        <f t="shared" si="300"/>
        <v>37586</v>
      </c>
      <c r="E2948" s="1323">
        <f t="shared" si="302"/>
        <v>9.2193000000000005</v>
      </c>
      <c r="F2948" s="1323">
        <f t="shared" si="301"/>
        <v>5.5766053934694995</v>
      </c>
      <c r="G2948" s="1323">
        <f t="shared" si="303"/>
        <v>2002</v>
      </c>
      <c r="H2948" s="1323">
        <f t="shared" si="304"/>
        <v>11</v>
      </c>
      <c r="I2948" s="1323">
        <f t="shared" si="305"/>
        <v>26</v>
      </c>
      <c r="J2948" s="1323"/>
      <c r="K2948" s="1323"/>
      <c r="L2948" s="1323"/>
      <c r="M2948" s="1323"/>
      <c r="N2948" s="1323"/>
      <c r="O2948" s="1323"/>
      <c r="P2948" s="1323"/>
      <c r="Q2948" s="1323"/>
      <c r="R2948" s="1304"/>
      <c r="S2948" s="1304"/>
      <c r="T2948" s="1304"/>
    </row>
    <row r="2949" spans="1:20">
      <c r="A2949" s="1303"/>
      <c r="B2949" s="1322" t="s">
        <v>8036</v>
      </c>
      <c r="C2949" s="1323" t="s">
        <v>8037</v>
      </c>
      <c r="D2949" s="1324">
        <f t="shared" si="300"/>
        <v>37585</v>
      </c>
      <c r="E2949" s="1323">
        <f t="shared" si="302"/>
        <v>9.4954000000000001</v>
      </c>
      <c r="F2949" s="1323">
        <f t="shared" si="301"/>
        <v>5.5755361125711982</v>
      </c>
      <c r="G2949" s="1323">
        <f t="shared" si="303"/>
        <v>2002</v>
      </c>
      <c r="H2949" s="1323">
        <f t="shared" si="304"/>
        <v>11</v>
      </c>
      <c r="I2949" s="1323">
        <f t="shared" si="305"/>
        <v>25</v>
      </c>
      <c r="J2949" s="1323"/>
      <c r="K2949" s="1323"/>
      <c r="L2949" s="1323"/>
      <c r="M2949" s="1323"/>
      <c r="N2949" s="1323"/>
      <c r="O2949" s="1323"/>
      <c r="P2949" s="1323"/>
      <c r="Q2949" s="1323"/>
      <c r="R2949" s="1304"/>
      <c r="S2949" s="1304"/>
      <c r="T2949" s="1304"/>
    </row>
    <row r="2950" spans="1:20">
      <c r="A2950" s="1303"/>
      <c r="B2950" s="1322" t="s">
        <v>8038</v>
      </c>
      <c r="C2950" s="1323" t="s">
        <v>8039</v>
      </c>
      <c r="D2950" s="1324">
        <f t="shared" si="300"/>
        <v>37582</v>
      </c>
      <c r="E2950" s="1323">
        <f t="shared" si="302"/>
        <v>9.5588999999999995</v>
      </c>
      <c r="F2950" s="1323">
        <f t="shared" si="301"/>
        <v>5.5744670367011455</v>
      </c>
      <c r="G2950" s="1323">
        <f t="shared" si="303"/>
        <v>2002</v>
      </c>
      <c r="H2950" s="1323">
        <f t="shared" si="304"/>
        <v>11</v>
      </c>
      <c r="I2950" s="1323">
        <f t="shared" si="305"/>
        <v>22</v>
      </c>
      <c r="J2950" s="1323"/>
      <c r="K2950" s="1323"/>
      <c r="L2950" s="1323"/>
      <c r="M2950" s="1323"/>
      <c r="N2950" s="1323"/>
      <c r="O2950" s="1323"/>
      <c r="P2950" s="1323"/>
      <c r="Q2950" s="1323"/>
      <c r="R2950" s="1304"/>
      <c r="S2950" s="1304"/>
      <c r="T2950" s="1304"/>
    </row>
    <row r="2951" spans="1:20">
      <c r="A2951" s="1303"/>
      <c r="B2951" s="1322" t="s">
        <v>8040</v>
      </c>
      <c r="C2951" s="1323" t="s">
        <v>8041</v>
      </c>
      <c r="D2951" s="1324">
        <f t="shared" si="300"/>
        <v>37581</v>
      </c>
      <c r="E2951" s="1323">
        <f t="shared" si="302"/>
        <v>9.6766000000000005</v>
      </c>
      <c r="F2951" s="1323">
        <f t="shared" si="301"/>
        <v>5.5733981658200289</v>
      </c>
      <c r="G2951" s="1323">
        <f t="shared" si="303"/>
        <v>2002</v>
      </c>
      <c r="H2951" s="1323">
        <f t="shared" si="304"/>
        <v>11</v>
      </c>
      <c r="I2951" s="1323">
        <f t="shared" si="305"/>
        <v>21</v>
      </c>
      <c r="J2951" s="1323"/>
      <c r="K2951" s="1323"/>
      <c r="L2951" s="1323"/>
      <c r="M2951" s="1323"/>
      <c r="N2951" s="1323"/>
      <c r="O2951" s="1323"/>
      <c r="P2951" s="1323"/>
      <c r="Q2951" s="1323"/>
      <c r="R2951" s="1304"/>
      <c r="S2951" s="1304"/>
      <c r="T2951" s="1304"/>
    </row>
    <row r="2952" spans="1:20">
      <c r="A2952" s="1303"/>
      <c r="B2952" s="1322" t="s">
        <v>8042</v>
      </c>
      <c r="C2952" s="1323" t="s">
        <v>8043</v>
      </c>
      <c r="D2952" s="1324">
        <f t="shared" si="300"/>
        <v>37580</v>
      </c>
      <c r="E2952" s="1323">
        <f t="shared" si="302"/>
        <v>9.6560000000000006</v>
      </c>
      <c r="F2952" s="1323">
        <f t="shared" si="301"/>
        <v>5.5723294998885429</v>
      </c>
      <c r="G2952" s="1323">
        <f t="shared" si="303"/>
        <v>2002</v>
      </c>
      <c r="H2952" s="1323">
        <f t="shared" si="304"/>
        <v>11</v>
      </c>
      <c r="I2952" s="1323">
        <f t="shared" si="305"/>
        <v>20</v>
      </c>
      <c r="J2952" s="1323"/>
      <c r="K2952" s="1323"/>
      <c r="L2952" s="1323"/>
      <c r="M2952" s="1323"/>
      <c r="N2952" s="1323"/>
      <c r="O2952" s="1323"/>
      <c r="P2952" s="1323"/>
      <c r="Q2952" s="1323"/>
      <c r="R2952" s="1304"/>
      <c r="S2952" s="1304"/>
      <c r="T2952" s="1304"/>
    </row>
    <row r="2953" spans="1:20">
      <c r="A2953" s="1303"/>
      <c r="B2953" s="1322" t="s">
        <v>8044</v>
      </c>
      <c r="C2953" s="1323" t="s">
        <v>8045</v>
      </c>
      <c r="D2953" s="1324">
        <f t="shared" ref="D2953:D3016" si="306">DATE(G2953,H2953,I2953)</f>
        <v>37579</v>
      </c>
      <c r="E2953" s="1323">
        <f t="shared" si="302"/>
        <v>9.6157000000000004</v>
      </c>
      <c r="F2953" s="1323">
        <f t="shared" ref="F2953:F3016" si="307">F2954*(1+$F$7/365)</f>
        <v>5.57126103886739</v>
      </c>
      <c r="G2953" s="1323">
        <f t="shared" si="303"/>
        <v>2002</v>
      </c>
      <c r="H2953" s="1323">
        <f t="shared" si="304"/>
        <v>11</v>
      </c>
      <c r="I2953" s="1323">
        <f t="shared" si="305"/>
        <v>19</v>
      </c>
      <c r="J2953" s="1323"/>
      <c r="K2953" s="1323"/>
      <c r="L2953" s="1323"/>
      <c r="M2953" s="1323"/>
      <c r="N2953" s="1323"/>
      <c r="O2953" s="1323"/>
      <c r="P2953" s="1323"/>
      <c r="Q2953" s="1323"/>
      <c r="R2953" s="1304"/>
      <c r="S2953" s="1304"/>
      <c r="T2953" s="1304"/>
    </row>
    <row r="2954" spans="1:20">
      <c r="A2954" s="1303"/>
      <c r="B2954" s="1322" t="s">
        <v>8046</v>
      </c>
      <c r="C2954" s="1323" t="s">
        <v>8047</v>
      </c>
      <c r="D2954" s="1324">
        <f t="shared" si="306"/>
        <v>37578</v>
      </c>
      <c r="E2954" s="1323">
        <f t="shared" si="302"/>
        <v>9.5916999999999994</v>
      </c>
      <c r="F2954" s="1323">
        <f t="shared" si="307"/>
        <v>5.5701927827172799</v>
      </c>
      <c r="G2954" s="1323">
        <f t="shared" si="303"/>
        <v>2002</v>
      </c>
      <c r="H2954" s="1323">
        <f t="shared" si="304"/>
        <v>11</v>
      </c>
      <c r="I2954" s="1323">
        <f t="shared" si="305"/>
        <v>18</v>
      </c>
      <c r="J2954" s="1323"/>
      <c r="K2954" s="1323"/>
      <c r="L2954" s="1323"/>
      <c r="M2954" s="1323"/>
      <c r="N2954" s="1323"/>
      <c r="O2954" s="1323"/>
      <c r="P2954" s="1323"/>
      <c r="Q2954" s="1323"/>
      <c r="R2954" s="1304"/>
      <c r="S2954" s="1304"/>
      <c r="T2954" s="1304"/>
    </row>
    <row r="2955" spans="1:20">
      <c r="A2955" s="1303"/>
      <c r="B2955" s="1322" t="s">
        <v>8048</v>
      </c>
      <c r="C2955" s="1323" t="s">
        <v>8049</v>
      </c>
      <c r="D2955" s="1324">
        <f t="shared" si="306"/>
        <v>37575</v>
      </c>
      <c r="E2955" s="1323">
        <f t="shared" si="302"/>
        <v>9.6807999999999996</v>
      </c>
      <c r="F2955" s="1323">
        <f t="shared" si="307"/>
        <v>5.5691247313989294</v>
      </c>
      <c r="G2955" s="1323">
        <f t="shared" si="303"/>
        <v>2002</v>
      </c>
      <c r="H2955" s="1323">
        <f t="shared" si="304"/>
        <v>11</v>
      </c>
      <c r="I2955" s="1323">
        <f t="shared" si="305"/>
        <v>15</v>
      </c>
      <c r="J2955" s="1323"/>
      <c r="K2955" s="1323"/>
      <c r="L2955" s="1323"/>
      <c r="M2955" s="1323"/>
      <c r="N2955" s="1323"/>
      <c r="O2955" s="1323"/>
      <c r="P2955" s="1323"/>
      <c r="Q2955" s="1323"/>
      <c r="R2955" s="1304"/>
      <c r="S2955" s="1304"/>
      <c r="T2955" s="1304"/>
    </row>
    <row r="2956" spans="1:20">
      <c r="A2956" s="1303"/>
      <c r="B2956" s="1322" t="s">
        <v>8050</v>
      </c>
      <c r="C2956" s="1323" t="s">
        <v>8051</v>
      </c>
      <c r="D2956" s="1324">
        <f t="shared" si="306"/>
        <v>37574</v>
      </c>
      <c r="E2956" s="1323">
        <f t="shared" si="302"/>
        <v>9.8109000000000002</v>
      </c>
      <c r="F2956" s="1323">
        <f t="shared" si="307"/>
        <v>5.5680568848730632</v>
      </c>
      <c r="G2956" s="1323">
        <f t="shared" si="303"/>
        <v>2002</v>
      </c>
      <c r="H2956" s="1323">
        <f t="shared" si="304"/>
        <v>11</v>
      </c>
      <c r="I2956" s="1323">
        <f t="shared" si="305"/>
        <v>14</v>
      </c>
      <c r="J2956" s="1323"/>
      <c r="K2956" s="1323"/>
      <c r="L2956" s="1323"/>
      <c r="M2956" s="1323"/>
      <c r="N2956" s="1323"/>
      <c r="O2956" s="1323"/>
      <c r="P2956" s="1323"/>
      <c r="Q2956" s="1323"/>
      <c r="R2956" s="1304"/>
      <c r="S2956" s="1304"/>
      <c r="T2956" s="1304"/>
    </row>
    <row r="2957" spans="1:20">
      <c r="A2957" s="1303"/>
      <c r="B2957" s="1322" t="s">
        <v>8052</v>
      </c>
      <c r="C2957" s="1323" t="s">
        <v>8053</v>
      </c>
      <c r="D2957" s="1324">
        <f t="shared" si="306"/>
        <v>37573</v>
      </c>
      <c r="E2957" s="1323">
        <f t="shared" si="302"/>
        <v>9.7878000000000007</v>
      </c>
      <c r="F2957" s="1323">
        <f t="shared" si="307"/>
        <v>5.566989243100414</v>
      </c>
      <c r="G2957" s="1323">
        <f t="shared" si="303"/>
        <v>2002</v>
      </c>
      <c r="H2957" s="1323">
        <f t="shared" si="304"/>
        <v>11</v>
      </c>
      <c r="I2957" s="1323">
        <f t="shared" si="305"/>
        <v>13</v>
      </c>
      <c r="J2957" s="1323"/>
      <c r="K2957" s="1323"/>
      <c r="L2957" s="1323"/>
      <c r="M2957" s="1323"/>
      <c r="N2957" s="1323"/>
      <c r="O2957" s="1323"/>
      <c r="P2957" s="1323"/>
      <c r="Q2957" s="1323"/>
      <c r="R2957" s="1304"/>
      <c r="S2957" s="1304"/>
      <c r="T2957" s="1304"/>
    </row>
    <row r="2958" spans="1:20">
      <c r="A2958" s="1303"/>
      <c r="B2958" s="1322" t="s">
        <v>8054</v>
      </c>
      <c r="C2958" s="1323" t="s">
        <v>8055</v>
      </c>
      <c r="D2958" s="1324">
        <f t="shared" si="306"/>
        <v>37572</v>
      </c>
      <c r="E2958" s="1323">
        <f t="shared" si="302"/>
        <v>9.91</v>
      </c>
      <c r="F2958" s="1323">
        <f t="shared" si="307"/>
        <v>5.5659218060417208</v>
      </c>
      <c r="G2958" s="1323">
        <f t="shared" si="303"/>
        <v>2002</v>
      </c>
      <c r="H2958" s="1323">
        <f t="shared" si="304"/>
        <v>11</v>
      </c>
      <c r="I2958" s="1323">
        <f t="shared" si="305"/>
        <v>12</v>
      </c>
      <c r="J2958" s="1323"/>
      <c r="K2958" s="1323"/>
      <c r="L2958" s="1323"/>
      <c r="M2958" s="1323"/>
      <c r="N2958" s="1323"/>
      <c r="O2958" s="1323"/>
      <c r="P2958" s="1323"/>
      <c r="Q2958" s="1323"/>
      <c r="R2958" s="1304"/>
      <c r="S2958" s="1304"/>
      <c r="T2958" s="1304"/>
    </row>
    <row r="2959" spans="1:20">
      <c r="A2959" s="1303"/>
      <c r="B2959" s="1322" t="s">
        <v>8056</v>
      </c>
      <c r="C2959" s="1323" t="s">
        <v>8057</v>
      </c>
      <c r="D2959" s="1324">
        <f t="shared" si="306"/>
        <v>37571</v>
      </c>
      <c r="E2959" s="1323">
        <f t="shared" si="302"/>
        <v>9.8278999999999996</v>
      </c>
      <c r="F2959" s="1323">
        <f t="shared" si="307"/>
        <v>5.5648545736577315</v>
      </c>
      <c r="G2959" s="1323">
        <f t="shared" si="303"/>
        <v>2002</v>
      </c>
      <c r="H2959" s="1323">
        <f t="shared" si="304"/>
        <v>11</v>
      </c>
      <c r="I2959" s="1323">
        <f t="shared" si="305"/>
        <v>11</v>
      </c>
      <c r="J2959" s="1323"/>
      <c r="K2959" s="1323"/>
      <c r="L2959" s="1323"/>
      <c r="M2959" s="1323"/>
      <c r="N2959" s="1323"/>
      <c r="O2959" s="1323"/>
      <c r="P2959" s="1323"/>
      <c r="Q2959" s="1323"/>
      <c r="R2959" s="1304"/>
      <c r="S2959" s="1304"/>
      <c r="T2959" s="1304"/>
    </row>
    <row r="2960" spans="1:20">
      <c r="A2960" s="1303"/>
      <c r="B2960" s="1322" t="s">
        <v>8058</v>
      </c>
      <c r="C2960" s="1323" t="s">
        <v>8059</v>
      </c>
      <c r="D2960" s="1324">
        <f t="shared" si="306"/>
        <v>37568</v>
      </c>
      <c r="E2960" s="1323">
        <f t="shared" si="302"/>
        <v>9.74</v>
      </c>
      <c r="F2960" s="1323">
        <f t="shared" si="307"/>
        <v>5.563787545909201</v>
      </c>
      <c r="G2960" s="1323">
        <f t="shared" si="303"/>
        <v>2002</v>
      </c>
      <c r="H2960" s="1323">
        <f t="shared" si="304"/>
        <v>11</v>
      </c>
      <c r="I2960" s="1323">
        <f t="shared" si="305"/>
        <v>8</v>
      </c>
      <c r="J2960" s="1323"/>
      <c r="K2960" s="1323"/>
      <c r="L2960" s="1323"/>
      <c r="M2960" s="1323"/>
      <c r="N2960" s="1323"/>
      <c r="O2960" s="1323"/>
      <c r="P2960" s="1323"/>
      <c r="Q2960" s="1323"/>
      <c r="R2960" s="1304"/>
      <c r="S2960" s="1304"/>
      <c r="T2960" s="1304"/>
    </row>
    <row r="2961" spans="1:20">
      <c r="A2961" s="1303"/>
      <c r="B2961" s="1322" t="s">
        <v>8060</v>
      </c>
      <c r="C2961" s="1323" t="s">
        <v>8061</v>
      </c>
      <c r="D2961" s="1324">
        <f t="shared" si="306"/>
        <v>37567</v>
      </c>
      <c r="E2961" s="1323">
        <f t="shared" si="302"/>
        <v>9.8188999999999993</v>
      </c>
      <c r="F2961" s="1323">
        <f t="shared" si="307"/>
        <v>5.5627207227568913</v>
      </c>
      <c r="G2961" s="1323">
        <f t="shared" si="303"/>
        <v>2002</v>
      </c>
      <c r="H2961" s="1323">
        <f t="shared" si="304"/>
        <v>11</v>
      </c>
      <c r="I2961" s="1323">
        <f t="shared" si="305"/>
        <v>7</v>
      </c>
      <c r="J2961" s="1323"/>
      <c r="K2961" s="1323"/>
      <c r="L2961" s="1323"/>
      <c r="M2961" s="1323"/>
      <c r="N2961" s="1323"/>
      <c r="O2961" s="1323"/>
      <c r="P2961" s="1323"/>
      <c r="Q2961" s="1323"/>
      <c r="R2961" s="1304"/>
      <c r="S2961" s="1304"/>
      <c r="T2961" s="1304"/>
    </row>
    <row r="2962" spans="1:20">
      <c r="A2962" s="1303"/>
      <c r="B2962" s="1322" t="s">
        <v>8062</v>
      </c>
      <c r="C2962" s="1323" t="s">
        <v>8063</v>
      </c>
      <c r="D2962" s="1324">
        <f t="shared" si="306"/>
        <v>37566</v>
      </c>
      <c r="E2962" s="1323">
        <f t="shared" si="302"/>
        <v>9.9662000000000006</v>
      </c>
      <c r="F2962" s="1323">
        <f t="shared" si="307"/>
        <v>5.5616541041615726</v>
      </c>
      <c r="G2962" s="1323">
        <f t="shared" si="303"/>
        <v>2002</v>
      </c>
      <c r="H2962" s="1323">
        <f t="shared" si="304"/>
        <v>11</v>
      </c>
      <c r="I2962" s="1323">
        <f t="shared" si="305"/>
        <v>6</v>
      </c>
      <c r="J2962" s="1323"/>
      <c r="K2962" s="1323"/>
      <c r="L2962" s="1323"/>
      <c r="M2962" s="1323"/>
      <c r="N2962" s="1323"/>
      <c r="O2962" s="1323"/>
      <c r="P2962" s="1323"/>
      <c r="Q2962" s="1323"/>
      <c r="R2962" s="1304"/>
      <c r="S2962" s="1304"/>
      <c r="T2962" s="1304"/>
    </row>
    <row r="2963" spans="1:20">
      <c r="A2963" s="1303"/>
      <c r="B2963" s="1322" t="s">
        <v>8064</v>
      </c>
      <c r="C2963" s="1323" t="s">
        <v>2713</v>
      </c>
      <c r="D2963" s="1324">
        <f t="shared" si="306"/>
        <v>37565</v>
      </c>
      <c r="E2963" s="1323">
        <f t="shared" si="302"/>
        <v>9.8755000000000006</v>
      </c>
      <c r="F2963" s="1323">
        <f t="shared" si="307"/>
        <v>5.5605876900840219</v>
      </c>
      <c r="G2963" s="1323">
        <f t="shared" si="303"/>
        <v>2002</v>
      </c>
      <c r="H2963" s="1323">
        <f t="shared" si="304"/>
        <v>11</v>
      </c>
      <c r="I2963" s="1323">
        <f t="shared" si="305"/>
        <v>5</v>
      </c>
      <c r="J2963" s="1323"/>
      <c r="K2963" s="1323"/>
      <c r="L2963" s="1323"/>
      <c r="M2963" s="1323"/>
      <c r="N2963" s="1323"/>
      <c r="O2963" s="1323"/>
      <c r="P2963" s="1323"/>
      <c r="Q2963" s="1323"/>
      <c r="R2963" s="1304"/>
      <c r="S2963" s="1304"/>
      <c r="T2963" s="1304"/>
    </row>
    <row r="2964" spans="1:20">
      <c r="A2964" s="1303"/>
      <c r="B2964" s="1322" t="s">
        <v>8065</v>
      </c>
      <c r="C2964" s="1323" t="s">
        <v>8066</v>
      </c>
      <c r="D2964" s="1324">
        <f t="shared" si="306"/>
        <v>37564</v>
      </c>
      <c r="E2964" s="1323">
        <f t="shared" si="302"/>
        <v>9.9248999999999992</v>
      </c>
      <c r="F2964" s="1323">
        <f t="shared" si="307"/>
        <v>5.5595214804850244</v>
      </c>
      <c r="G2964" s="1323">
        <f t="shared" si="303"/>
        <v>2002</v>
      </c>
      <c r="H2964" s="1323">
        <f t="shared" si="304"/>
        <v>11</v>
      </c>
      <c r="I2964" s="1323">
        <f t="shared" si="305"/>
        <v>4</v>
      </c>
      <c r="J2964" s="1323"/>
      <c r="K2964" s="1323"/>
      <c r="L2964" s="1323"/>
      <c r="M2964" s="1323"/>
      <c r="N2964" s="1323"/>
      <c r="O2964" s="1323"/>
      <c r="P2964" s="1323"/>
      <c r="Q2964" s="1323"/>
      <c r="R2964" s="1304"/>
      <c r="S2964" s="1304"/>
      <c r="T2964" s="1304"/>
    </row>
    <row r="2965" spans="1:20">
      <c r="A2965" s="1303"/>
      <c r="B2965" s="1322" t="s">
        <v>8067</v>
      </c>
      <c r="C2965" s="1323" t="s">
        <v>8068</v>
      </c>
      <c r="D2965" s="1324">
        <f t="shared" si="306"/>
        <v>37561</v>
      </c>
      <c r="E2965" s="1323">
        <f t="shared" si="302"/>
        <v>9.9787999999999997</v>
      </c>
      <c r="F2965" s="1323">
        <f t="shared" si="307"/>
        <v>5.5584554753253723</v>
      </c>
      <c r="G2965" s="1323">
        <f t="shared" si="303"/>
        <v>2002</v>
      </c>
      <c r="H2965" s="1323">
        <f t="shared" si="304"/>
        <v>11</v>
      </c>
      <c r="I2965" s="1323">
        <f t="shared" si="305"/>
        <v>1</v>
      </c>
      <c r="J2965" s="1323"/>
      <c r="K2965" s="1323"/>
      <c r="L2965" s="1323"/>
      <c r="M2965" s="1323"/>
      <c r="N2965" s="1323"/>
      <c r="O2965" s="1323"/>
      <c r="P2965" s="1323"/>
      <c r="Q2965" s="1323"/>
      <c r="R2965" s="1304"/>
      <c r="S2965" s="1304"/>
      <c r="T2965" s="1304"/>
    </row>
    <row r="2966" spans="1:20">
      <c r="A2966" s="1303"/>
      <c r="B2966" s="1322" t="s">
        <v>8069</v>
      </c>
      <c r="C2966" s="1323" t="s">
        <v>8070</v>
      </c>
      <c r="D2966" s="1324">
        <f t="shared" si="306"/>
        <v>37560</v>
      </c>
      <c r="E2966" s="1323">
        <f t="shared" ref="E2966:E3029" si="308">VALUE(C2967)</f>
        <v>10.0619</v>
      </c>
      <c r="F2966" s="1323">
        <f t="shared" si="307"/>
        <v>5.557389674565866</v>
      </c>
      <c r="G2966" s="1323">
        <f t="shared" ref="G2966:G3029" si="309">YEAR(B2967)</f>
        <v>2002</v>
      </c>
      <c r="H2966" s="1323">
        <f t="shared" ref="H2966:H3029" si="310">MONTH(B2967)</f>
        <v>10</v>
      </c>
      <c r="I2966" s="1323">
        <f t="shared" ref="I2966:I3029" si="311">DAY(B2967)</f>
        <v>31</v>
      </c>
      <c r="J2966" s="1323"/>
      <c r="K2966" s="1323"/>
      <c r="L2966" s="1323"/>
      <c r="M2966" s="1323"/>
      <c r="N2966" s="1323"/>
      <c r="O2966" s="1323"/>
      <c r="P2966" s="1323"/>
      <c r="Q2966" s="1323"/>
      <c r="R2966" s="1304"/>
      <c r="S2966" s="1304"/>
      <c r="T2966" s="1304"/>
    </row>
    <row r="2967" spans="1:20">
      <c r="A2967" s="1303"/>
      <c r="B2967" s="1322" t="s">
        <v>8071</v>
      </c>
      <c r="C2967" s="1323" t="s">
        <v>8072</v>
      </c>
      <c r="D2967" s="1324">
        <f t="shared" si="306"/>
        <v>37559</v>
      </c>
      <c r="E2967" s="1323">
        <f t="shared" si="308"/>
        <v>10.146800000000001</v>
      </c>
      <c r="F2967" s="1323">
        <f t="shared" si="307"/>
        <v>5.5563240781673136</v>
      </c>
      <c r="G2967" s="1323">
        <f t="shared" si="309"/>
        <v>2002</v>
      </c>
      <c r="H2967" s="1323">
        <f t="shared" si="310"/>
        <v>10</v>
      </c>
      <c r="I2967" s="1323">
        <f t="shared" si="311"/>
        <v>30</v>
      </c>
      <c r="J2967" s="1323"/>
      <c r="K2967" s="1323"/>
      <c r="L2967" s="1323"/>
      <c r="M2967" s="1323"/>
      <c r="N2967" s="1323"/>
      <c r="O2967" s="1323"/>
      <c r="P2967" s="1323"/>
      <c r="Q2967" s="1323"/>
      <c r="R2967" s="1304"/>
      <c r="S2967" s="1304"/>
      <c r="T2967" s="1304"/>
    </row>
    <row r="2968" spans="1:20">
      <c r="A2968" s="1303"/>
      <c r="B2968" s="1322" t="s">
        <v>8073</v>
      </c>
      <c r="C2968" s="1323" t="s">
        <v>8074</v>
      </c>
      <c r="D2968" s="1324">
        <f t="shared" si="306"/>
        <v>37558</v>
      </c>
      <c r="E2968" s="1323">
        <f t="shared" si="308"/>
        <v>10.0604</v>
      </c>
      <c r="F2968" s="1323">
        <f t="shared" si="307"/>
        <v>5.5552586860905286</v>
      </c>
      <c r="G2968" s="1323">
        <f t="shared" si="309"/>
        <v>2002</v>
      </c>
      <c r="H2968" s="1323">
        <f t="shared" si="310"/>
        <v>10</v>
      </c>
      <c r="I2968" s="1323">
        <f t="shared" si="311"/>
        <v>29</v>
      </c>
      <c r="J2968" s="1323"/>
      <c r="K2968" s="1323"/>
      <c r="L2968" s="1323"/>
      <c r="M2968" s="1323"/>
      <c r="N2968" s="1323"/>
      <c r="O2968" s="1323"/>
      <c r="P2968" s="1323"/>
      <c r="Q2968" s="1323"/>
      <c r="R2968" s="1304"/>
      <c r="S2968" s="1304"/>
      <c r="T2968" s="1304"/>
    </row>
    <row r="2969" spans="1:20">
      <c r="A2969" s="1303"/>
      <c r="B2969" s="1322" t="s">
        <v>8075</v>
      </c>
      <c r="C2969" s="1323" t="s">
        <v>2867</v>
      </c>
      <c r="D2969" s="1324">
        <f t="shared" si="306"/>
        <v>37557</v>
      </c>
      <c r="E2969" s="1323">
        <f t="shared" si="308"/>
        <v>10.1189</v>
      </c>
      <c r="F2969" s="1323">
        <f t="shared" si="307"/>
        <v>5.5541934982963346</v>
      </c>
      <c r="G2969" s="1323">
        <f t="shared" si="309"/>
        <v>2002</v>
      </c>
      <c r="H2969" s="1323">
        <f t="shared" si="310"/>
        <v>10</v>
      </c>
      <c r="I2969" s="1323">
        <f t="shared" si="311"/>
        <v>28</v>
      </c>
      <c r="J2969" s="1323"/>
      <c r="K2969" s="1323"/>
      <c r="L2969" s="1323"/>
      <c r="M2969" s="1323"/>
      <c r="N2969" s="1323"/>
      <c r="O2969" s="1323"/>
      <c r="P2969" s="1323"/>
      <c r="Q2969" s="1323"/>
      <c r="R2969" s="1304"/>
      <c r="S2969" s="1304"/>
      <c r="T2969" s="1304"/>
    </row>
    <row r="2970" spans="1:20">
      <c r="A2970" s="1303"/>
      <c r="B2970" s="1322" t="s">
        <v>8076</v>
      </c>
      <c r="C2970" s="1323" t="s">
        <v>8077</v>
      </c>
      <c r="D2970" s="1324">
        <f t="shared" si="306"/>
        <v>37554</v>
      </c>
      <c r="E2970" s="1323">
        <f t="shared" si="308"/>
        <v>10.1257</v>
      </c>
      <c r="F2970" s="1323">
        <f t="shared" si="307"/>
        <v>5.5531285147455609</v>
      </c>
      <c r="G2970" s="1323">
        <f t="shared" si="309"/>
        <v>2002</v>
      </c>
      <c r="H2970" s="1323">
        <f t="shared" si="310"/>
        <v>10</v>
      </c>
      <c r="I2970" s="1323">
        <f t="shared" si="311"/>
        <v>25</v>
      </c>
      <c r="J2970" s="1323"/>
      <c r="K2970" s="1323"/>
      <c r="L2970" s="1323"/>
      <c r="M2970" s="1323"/>
      <c r="N2970" s="1323"/>
      <c r="O2970" s="1323"/>
      <c r="P2970" s="1323"/>
      <c r="Q2970" s="1323"/>
      <c r="R2970" s="1304"/>
      <c r="S2970" s="1304"/>
      <c r="T2970" s="1304"/>
    </row>
    <row r="2971" spans="1:20">
      <c r="A2971" s="1303"/>
      <c r="B2971" s="1322" t="s">
        <v>8078</v>
      </c>
      <c r="C2971" s="1323" t="s">
        <v>8079</v>
      </c>
      <c r="D2971" s="1324">
        <f t="shared" si="306"/>
        <v>37553</v>
      </c>
      <c r="E2971" s="1323">
        <f t="shared" si="308"/>
        <v>10.1662</v>
      </c>
      <c r="F2971" s="1323">
        <f t="shared" si="307"/>
        <v>5.5520637353990461</v>
      </c>
      <c r="G2971" s="1323">
        <f t="shared" si="309"/>
        <v>2002</v>
      </c>
      <c r="H2971" s="1323">
        <f t="shared" si="310"/>
        <v>10</v>
      </c>
      <c r="I2971" s="1323">
        <f t="shared" si="311"/>
        <v>24</v>
      </c>
      <c r="J2971" s="1323"/>
      <c r="K2971" s="1323"/>
      <c r="L2971" s="1323"/>
      <c r="M2971" s="1323"/>
      <c r="N2971" s="1323"/>
      <c r="O2971" s="1323"/>
      <c r="P2971" s="1323"/>
      <c r="Q2971" s="1323"/>
      <c r="R2971" s="1304"/>
      <c r="S2971" s="1304"/>
      <c r="T2971" s="1304"/>
    </row>
    <row r="2972" spans="1:20">
      <c r="A2972" s="1303"/>
      <c r="B2972" s="1322" t="s">
        <v>8080</v>
      </c>
      <c r="C2972" s="1323" t="s">
        <v>8081</v>
      </c>
      <c r="D2972" s="1324">
        <f t="shared" si="306"/>
        <v>37552</v>
      </c>
      <c r="E2972" s="1323">
        <f t="shared" si="308"/>
        <v>10.206899999999999</v>
      </c>
      <c r="F2972" s="1323">
        <f t="shared" si="307"/>
        <v>5.5509991602176338</v>
      </c>
      <c r="G2972" s="1323">
        <f t="shared" si="309"/>
        <v>2002</v>
      </c>
      <c r="H2972" s="1323">
        <f t="shared" si="310"/>
        <v>10</v>
      </c>
      <c r="I2972" s="1323">
        <f t="shared" si="311"/>
        <v>23</v>
      </c>
      <c r="J2972" s="1323"/>
      <c r="K2972" s="1323"/>
      <c r="L2972" s="1323"/>
      <c r="M2972" s="1323"/>
      <c r="N2972" s="1323"/>
      <c r="O2972" s="1323"/>
      <c r="P2972" s="1323"/>
      <c r="Q2972" s="1323"/>
      <c r="R2972" s="1304"/>
      <c r="S2972" s="1304"/>
      <c r="T2972" s="1304"/>
    </row>
    <row r="2973" spans="1:20">
      <c r="A2973" s="1303"/>
      <c r="B2973" s="1322" t="s">
        <v>8082</v>
      </c>
      <c r="C2973" s="1323" t="s">
        <v>8083</v>
      </c>
      <c r="D2973" s="1324">
        <f t="shared" si="306"/>
        <v>37551</v>
      </c>
      <c r="E2973" s="1323">
        <f t="shared" si="308"/>
        <v>10.222</v>
      </c>
      <c r="F2973" s="1323">
        <f t="shared" si="307"/>
        <v>5.5499347891621778</v>
      </c>
      <c r="G2973" s="1323">
        <f t="shared" si="309"/>
        <v>2002</v>
      </c>
      <c r="H2973" s="1323">
        <f t="shared" si="310"/>
        <v>10</v>
      </c>
      <c r="I2973" s="1323">
        <f t="shared" si="311"/>
        <v>22</v>
      </c>
      <c r="J2973" s="1323"/>
      <c r="K2973" s="1323"/>
      <c r="L2973" s="1323"/>
      <c r="M2973" s="1323"/>
      <c r="N2973" s="1323"/>
      <c r="O2973" s="1323"/>
      <c r="P2973" s="1323"/>
      <c r="Q2973" s="1323"/>
      <c r="R2973" s="1304"/>
      <c r="S2973" s="1304"/>
      <c r="T2973" s="1304"/>
    </row>
    <row r="2974" spans="1:20">
      <c r="A2974" s="1303"/>
      <c r="B2974" s="1322" t="s">
        <v>8084</v>
      </c>
      <c r="C2974" s="1323" t="s">
        <v>8085</v>
      </c>
      <c r="D2974" s="1324">
        <f t="shared" si="306"/>
        <v>37550</v>
      </c>
      <c r="E2974" s="1323">
        <f t="shared" si="308"/>
        <v>10.3523</v>
      </c>
      <c r="F2974" s="1323">
        <f t="shared" si="307"/>
        <v>5.5488706221935375</v>
      </c>
      <c r="G2974" s="1323">
        <f t="shared" si="309"/>
        <v>2002</v>
      </c>
      <c r="H2974" s="1323">
        <f t="shared" si="310"/>
        <v>10</v>
      </c>
      <c r="I2974" s="1323">
        <f t="shared" si="311"/>
        <v>21</v>
      </c>
      <c r="J2974" s="1323"/>
      <c r="K2974" s="1323"/>
      <c r="L2974" s="1323"/>
      <c r="M2974" s="1323"/>
      <c r="N2974" s="1323"/>
      <c r="O2974" s="1323"/>
      <c r="P2974" s="1323"/>
      <c r="Q2974" s="1323"/>
      <c r="R2974" s="1304"/>
      <c r="S2974" s="1304"/>
      <c r="T2974" s="1304"/>
    </row>
    <row r="2975" spans="1:20">
      <c r="A2975" s="1303"/>
      <c r="B2975" s="1322" t="s">
        <v>8086</v>
      </c>
      <c r="C2975" s="1323" t="s">
        <v>8087</v>
      </c>
      <c r="D2975" s="1324">
        <f t="shared" si="306"/>
        <v>37547</v>
      </c>
      <c r="E2975" s="1323">
        <f t="shared" si="308"/>
        <v>10.355</v>
      </c>
      <c r="F2975" s="1323">
        <f t="shared" si="307"/>
        <v>5.547806659272581</v>
      </c>
      <c r="G2975" s="1323">
        <f t="shared" si="309"/>
        <v>2002</v>
      </c>
      <c r="H2975" s="1323">
        <f t="shared" si="310"/>
        <v>10</v>
      </c>
      <c r="I2975" s="1323">
        <f t="shared" si="311"/>
        <v>18</v>
      </c>
      <c r="J2975" s="1323"/>
      <c r="K2975" s="1323"/>
      <c r="L2975" s="1323"/>
      <c r="M2975" s="1323"/>
      <c r="N2975" s="1323"/>
      <c r="O2975" s="1323"/>
      <c r="P2975" s="1323"/>
      <c r="Q2975" s="1323"/>
      <c r="R2975" s="1304"/>
      <c r="S2975" s="1304"/>
      <c r="T2975" s="1304"/>
    </row>
    <row r="2976" spans="1:20">
      <c r="A2976" s="1303"/>
      <c r="B2976" s="1322" t="s">
        <v>8088</v>
      </c>
      <c r="C2976" s="1323" t="s">
        <v>8089</v>
      </c>
      <c r="D2976" s="1324">
        <f t="shared" si="306"/>
        <v>37546</v>
      </c>
      <c r="E2976" s="1323">
        <f t="shared" si="308"/>
        <v>10.364800000000001</v>
      </c>
      <c r="F2976" s="1323">
        <f t="shared" si="307"/>
        <v>5.5467429003601829</v>
      </c>
      <c r="G2976" s="1323">
        <f t="shared" si="309"/>
        <v>2002</v>
      </c>
      <c r="H2976" s="1323">
        <f t="shared" si="310"/>
        <v>10</v>
      </c>
      <c r="I2976" s="1323">
        <f t="shared" si="311"/>
        <v>17</v>
      </c>
      <c r="J2976" s="1323"/>
      <c r="K2976" s="1323"/>
      <c r="L2976" s="1323"/>
      <c r="M2976" s="1323"/>
      <c r="N2976" s="1323"/>
      <c r="O2976" s="1323"/>
      <c r="P2976" s="1323"/>
      <c r="Q2976" s="1323"/>
      <c r="R2976" s="1304"/>
      <c r="S2976" s="1304"/>
      <c r="T2976" s="1304"/>
    </row>
    <row r="2977" spans="1:20">
      <c r="A2977" s="1303"/>
      <c r="B2977" s="1322" t="s">
        <v>8090</v>
      </c>
      <c r="C2977" s="1323" t="s">
        <v>8091</v>
      </c>
      <c r="D2977" s="1324">
        <f t="shared" si="306"/>
        <v>37545</v>
      </c>
      <c r="E2977" s="1323">
        <f t="shared" si="308"/>
        <v>10.430999999999999</v>
      </c>
      <c r="F2977" s="1323">
        <f t="shared" si="307"/>
        <v>5.5456793454172262</v>
      </c>
      <c r="G2977" s="1323">
        <f t="shared" si="309"/>
        <v>2002</v>
      </c>
      <c r="H2977" s="1323">
        <f t="shared" si="310"/>
        <v>10</v>
      </c>
      <c r="I2977" s="1323">
        <f t="shared" si="311"/>
        <v>16</v>
      </c>
      <c r="J2977" s="1323"/>
      <c r="K2977" s="1323"/>
      <c r="L2977" s="1323"/>
      <c r="M2977" s="1323"/>
      <c r="N2977" s="1323"/>
      <c r="O2977" s="1323"/>
      <c r="P2977" s="1323"/>
      <c r="Q2977" s="1323"/>
      <c r="R2977" s="1304"/>
      <c r="S2977" s="1304"/>
      <c r="T2977" s="1304"/>
    </row>
    <row r="2978" spans="1:20">
      <c r="A2978" s="1303"/>
      <c r="B2978" s="1322" t="s">
        <v>8092</v>
      </c>
      <c r="C2978" s="1323" t="s">
        <v>8093</v>
      </c>
      <c r="D2978" s="1324">
        <f t="shared" si="306"/>
        <v>37544</v>
      </c>
      <c r="E2978" s="1323">
        <f t="shared" si="308"/>
        <v>10.4686</v>
      </c>
      <c r="F2978" s="1323">
        <f t="shared" si="307"/>
        <v>5.5446159944046007</v>
      </c>
      <c r="G2978" s="1323">
        <f t="shared" si="309"/>
        <v>2002</v>
      </c>
      <c r="H2978" s="1323">
        <f t="shared" si="310"/>
        <v>10</v>
      </c>
      <c r="I2978" s="1323">
        <f t="shared" si="311"/>
        <v>15</v>
      </c>
      <c r="J2978" s="1323"/>
      <c r="K2978" s="1323"/>
      <c r="L2978" s="1323"/>
      <c r="M2978" s="1323"/>
      <c r="N2978" s="1323"/>
      <c r="O2978" s="1323"/>
      <c r="P2978" s="1323"/>
      <c r="Q2978" s="1323"/>
      <c r="R2978" s="1304"/>
      <c r="S2978" s="1304"/>
      <c r="T2978" s="1304"/>
    </row>
    <row r="2979" spans="1:20">
      <c r="A2979" s="1303"/>
      <c r="B2979" s="1322" t="s">
        <v>8094</v>
      </c>
      <c r="C2979" s="1323" t="s">
        <v>8095</v>
      </c>
      <c r="D2979" s="1324">
        <f t="shared" si="306"/>
        <v>37543</v>
      </c>
      <c r="E2979" s="1323">
        <f t="shared" si="308"/>
        <v>10.4231</v>
      </c>
      <c r="F2979" s="1323">
        <f t="shared" si="307"/>
        <v>5.5435528472832036</v>
      </c>
      <c r="G2979" s="1323">
        <f t="shared" si="309"/>
        <v>2002</v>
      </c>
      <c r="H2979" s="1323">
        <f t="shared" si="310"/>
        <v>10</v>
      </c>
      <c r="I2979" s="1323">
        <f t="shared" si="311"/>
        <v>14</v>
      </c>
      <c r="J2979" s="1323"/>
      <c r="K2979" s="1323"/>
      <c r="L2979" s="1323"/>
      <c r="M2979" s="1323"/>
      <c r="N2979" s="1323"/>
      <c r="O2979" s="1323"/>
      <c r="P2979" s="1323"/>
      <c r="Q2979" s="1323"/>
      <c r="R2979" s="1304"/>
      <c r="S2979" s="1304"/>
      <c r="T2979" s="1304"/>
    </row>
    <row r="2980" spans="1:20">
      <c r="A2980" s="1303"/>
      <c r="B2980" s="1322" t="s">
        <v>8096</v>
      </c>
      <c r="C2980" s="1323" t="s">
        <v>8097</v>
      </c>
      <c r="D2980" s="1324">
        <f t="shared" si="306"/>
        <v>37540</v>
      </c>
      <c r="E2980" s="1323">
        <f t="shared" si="308"/>
        <v>10.4307</v>
      </c>
      <c r="F2980" s="1323">
        <f t="shared" si="307"/>
        <v>5.5424899040139408</v>
      </c>
      <c r="G2980" s="1323">
        <f t="shared" si="309"/>
        <v>2002</v>
      </c>
      <c r="H2980" s="1323">
        <f t="shared" si="310"/>
        <v>10</v>
      </c>
      <c r="I2980" s="1323">
        <f t="shared" si="311"/>
        <v>11</v>
      </c>
      <c r="J2980" s="1323"/>
      <c r="K2980" s="1323"/>
      <c r="L2980" s="1323"/>
      <c r="M2980" s="1323"/>
      <c r="N2980" s="1323"/>
      <c r="O2980" s="1323"/>
      <c r="P2980" s="1323"/>
      <c r="Q2980" s="1323"/>
      <c r="R2980" s="1304"/>
      <c r="S2980" s="1304"/>
      <c r="T2980" s="1304"/>
    </row>
    <row r="2981" spans="1:20">
      <c r="A2981" s="1303"/>
      <c r="B2981" s="1322" t="s">
        <v>8098</v>
      </c>
      <c r="C2981" s="1323" t="s">
        <v>8099</v>
      </c>
      <c r="D2981" s="1324">
        <f t="shared" si="306"/>
        <v>37539</v>
      </c>
      <c r="E2981" s="1323">
        <f t="shared" si="308"/>
        <v>10.47</v>
      </c>
      <c r="F2981" s="1323">
        <f t="shared" si="307"/>
        <v>5.5414271645577244</v>
      </c>
      <c r="G2981" s="1323">
        <f t="shared" si="309"/>
        <v>2002</v>
      </c>
      <c r="H2981" s="1323">
        <f t="shared" si="310"/>
        <v>10</v>
      </c>
      <c r="I2981" s="1323">
        <f t="shared" si="311"/>
        <v>10</v>
      </c>
      <c r="J2981" s="1323"/>
      <c r="K2981" s="1323"/>
      <c r="L2981" s="1323"/>
      <c r="M2981" s="1323"/>
      <c r="N2981" s="1323"/>
      <c r="O2981" s="1323"/>
      <c r="P2981" s="1323"/>
      <c r="Q2981" s="1323"/>
      <c r="R2981" s="1304"/>
      <c r="S2981" s="1304"/>
      <c r="T2981" s="1304"/>
    </row>
    <row r="2982" spans="1:20">
      <c r="A2982" s="1303"/>
      <c r="B2982" s="1322" t="s">
        <v>8100</v>
      </c>
      <c r="C2982" s="1323" t="s">
        <v>8101</v>
      </c>
      <c r="D2982" s="1324">
        <f t="shared" si="306"/>
        <v>37538</v>
      </c>
      <c r="E2982" s="1323">
        <f t="shared" si="308"/>
        <v>10.5061</v>
      </c>
      <c r="F2982" s="1323">
        <f t="shared" si="307"/>
        <v>5.5403646288754738</v>
      </c>
      <c r="G2982" s="1323">
        <f t="shared" si="309"/>
        <v>2002</v>
      </c>
      <c r="H2982" s="1323">
        <f t="shared" si="310"/>
        <v>10</v>
      </c>
      <c r="I2982" s="1323">
        <f t="shared" si="311"/>
        <v>9</v>
      </c>
      <c r="J2982" s="1323"/>
      <c r="K2982" s="1323"/>
      <c r="L2982" s="1323"/>
      <c r="M2982" s="1323"/>
      <c r="N2982" s="1323"/>
      <c r="O2982" s="1323"/>
      <c r="P2982" s="1323"/>
      <c r="Q2982" s="1323"/>
      <c r="R2982" s="1304"/>
      <c r="S2982" s="1304"/>
      <c r="T2982" s="1304"/>
    </row>
    <row r="2983" spans="1:20">
      <c r="A2983" s="1303"/>
      <c r="B2983" s="1322" t="s">
        <v>8102</v>
      </c>
      <c r="C2983" s="1323" t="s">
        <v>8103</v>
      </c>
      <c r="D2983" s="1324">
        <f t="shared" si="306"/>
        <v>37537</v>
      </c>
      <c r="E2983" s="1323">
        <f t="shared" si="308"/>
        <v>10.516400000000001</v>
      </c>
      <c r="F2983" s="1323">
        <f t="shared" si="307"/>
        <v>5.5393022969281178</v>
      </c>
      <c r="G2983" s="1323">
        <f t="shared" si="309"/>
        <v>2002</v>
      </c>
      <c r="H2983" s="1323">
        <f t="shared" si="310"/>
        <v>10</v>
      </c>
      <c r="I2983" s="1323">
        <f t="shared" si="311"/>
        <v>8</v>
      </c>
      <c r="J2983" s="1323"/>
      <c r="K2983" s="1323"/>
      <c r="L2983" s="1323"/>
      <c r="M2983" s="1323"/>
      <c r="N2983" s="1323"/>
      <c r="O2983" s="1323"/>
      <c r="P2983" s="1323"/>
      <c r="Q2983" s="1323"/>
      <c r="R2983" s="1304"/>
      <c r="S2983" s="1304"/>
      <c r="T2983" s="1304"/>
    </row>
    <row r="2984" spans="1:20">
      <c r="A2984" s="1303"/>
      <c r="B2984" s="1322" t="s">
        <v>8104</v>
      </c>
      <c r="C2984" s="1323" t="s">
        <v>8105</v>
      </c>
      <c r="D2984" s="1324">
        <f t="shared" si="306"/>
        <v>37536</v>
      </c>
      <c r="E2984" s="1323">
        <f t="shared" si="308"/>
        <v>10.4359</v>
      </c>
      <c r="F2984" s="1323">
        <f t="shared" si="307"/>
        <v>5.538240168676591</v>
      </c>
      <c r="G2984" s="1323">
        <f t="shared" si="309"/>
        <v>2002</v>
      </c>
      <c r="H2984" s="1323">
        <f t="shared" si="310"/>
        <v>10</v>
      </c>
      <c r="I2984" s="1323">
        <f t="shared" si="311"/>
        <v>7</v>
      </c>
      <c r="J2984" s="1323"/>
      <c r="K2984" s="1323"/>
      <c r="L2984" s="1323"/>
      <c r="M2984" s="1323"/>
      <c r="N2984" s="1323"/>
      <c r="O2984" s="1323"/>
      <c r="P2984" s="1323"/>
      <c r="Q2984" s="1323"/>
      <c r="R2984" s="1304"/>
      <c r="S2984" s="1304"/>
      <c r="T2984" s="1304"/>
    </row>
    <row r="2985" spans="1:20">
      <c r="A2985" s="1303"/>
      <c r="B2985" s="1322" t="s">
        <v>8106</v>
      </c>
      <c r="C2985" s="1323" t="s">
        <v>2480</v>
      </c>
      <c r="D2985" s="1324">
        <f t="shared" si="306"/>
        <v>37533</v>
      </c>
      <c r="E2985" s="1323">
        <f t="shared" si="308"/>
        <v>10.3758</v>
      </c>
      <c r="F2985" s="1323">
        <f t="shared" si="307"/>
        <v>5.5371782440818356</v>
      </c>
      <c r="G2985" s="1323">
        <f t="shared" si="309"/>
        <v>2002</v>
      </c>
      <c r="H2985" s="1323">
        <f t="shared" si="310"/>
        <v>10</v>
      </c>
      <c r="I2985" s="1323">
        <f t="shared" si="311"/>
        <v>4</v>
      </c>
      <c r="J2985" s="1323"/>
      <c r="K2985" s="1323"/>
      <c r="L2985" s="1323"/>
      <c r="M2985" s="1323"/>
      <c r="N2985" s="1323"/>
      <c r="O2985" s="1323"/>
      <c r="P2985" s="1323"/>
      <c r="Q2985" s="1323"/>
      <c r="R2985" s="1304"/>
      <c r="S2985" s="1304"/>
      <c r="T2985" s="1304"/>
    </row>
    <row r="2986" spans="1:20">
      <c r="A2986" s="1303"/>
      <c r="B2986" s="1322" t="s">
        <v>8107</v>
      </c>
      <c r="C2986" s="1323" t="s">
        <v>8108</v>
      </c>
      <c r="D2986" s="1324">
        <f t="shared" si="306"/>
        <v>37532</v>
      </c>
      <c r="E2986" s="1323">
        <f t="shared" si="308"/>
        <v>10.4338</v>
      </c>
      <c r="F2986" s="1323">
        <f t="shared" si="307"/>
        <v>5.536116523104802</v>
      </c>
      <c r="G2986" s="1323">
        <f t="shared" si="309"/>
        <v>2002</v>
      </c>
      <c r="H2986" s="1323">
        <f t="shared" si="310"/>
        <v>10</v>
      </c>
      <c r="I2986" s="1323">
        <f t="shared" si="311"/>
        <v>3</v>
      </c>
      <c r="J2986" s="1323"/>
      <c r="K2986" s="1323"/>
      <c r="L2986" s="1323"/>
      <c r="M2986" s="1323"/>
      <c r="N2986" s="1323"/>
      <c r="O2986" s="1323"/>
      <c r="P2986" s="1323"/>
      <c r="Q2986" s="1323"/>
      <c r="R2986" s="1304"/>
      <c r="S2986" s="1304"/>
      <c r="T2986" s="1304"/>
    </row>
    <row r="2987" spans="1:20">
      <c r="A2987" s="1303"/>
      <c r="B2987" s="1322" t="s">
        <v>8109</v>
      </c>
      <c r="C2987" s="1323" t="s">
        <v>8110</v>
      </c>
      <c r="D2987" s="1324">
        <f t="shared" si="306"/>
        <v>37531</v>
      </c>
      <c r="E2987" s="1323">
        <f t="shared" si="308"/>
        <v>10.3857</v>
      </c>
      <c r="F2987" s="1323">
        <f t="shared" si="307"/>
        <v>5.5350550057064467</v>
      </c>
      <c r="G2987" s="1323">
        <f t="shared" si="309"/>
        <v>2002</v>
      </c>
      <c r="H2987" s="1323">
        <f t="shared" si="310"/>
        <v>10</v>
      </c>
      <c r="I2987" s="1323">
        <f t="shared" si="311"/>
        <v>2</v>
      </c>
      <c r="J2987" s="1323"/>
      <c r="K2987" s="1323"/>
      <c r="L2987" s="1323"/>
      <c r="M2987" s="1323"/>
      <c r="N2987" s="1323"/>
      <c r="O2987" s="1323"/>
      <c r="P2987" s="1323"/>
      <c r="Q2987" s="1323"/>
      <c r="R2987" s="1304"/>
      <c r="S2987" s="1304"/>
      <c r="T2987" s="1304"/>
    </row>
    <row r="2988" spans="1:20">
      <c r="A2988" s="1303"/>
      <c r="B2988" s="1322" t="s">
        <v>8111</v>
      </c>
      <c r="C2988" s="1323" t="s">
        <v>8112</v>
      </c>
      <c r="D2988" s="1324">
        <f t="shared" si="306"/>
        <v>37530</v>
      </c>
      <c r="E2988" s="1323">
        <f t="shared" si="308"/>
        <v>10.537100000000001</v>
      </c>
      <c r="F2988" s="1323">
        <f t="shared" si="307"/>
        <v>5.5339936918477362</v>
      </c>
      <c r="G2988" s="1323">
        <f t="shared" si="309"/>
        <v>2002</v>
      </c>
      <c r="H2988" s="1323">
        <f t="shared" si="310"/>
        <v>10</v>
      </c>
      <c r="I2988" s="1323">
        <f t="shared" si="311"/>
        <v>1</v>
      </c>
      <c r="J2988" s="1323"/>
      <c r="K2988" s="1323"/>
      <c r="L2988" s="1323"/>
      <c r="M2988" s="1323"/>
      <c r="N2988" s="1323"/>
      <c r="O2988" s="1323"/>
      <c r="P2988" s="1323"/>
      <c r="Q2988" s="1323"/>
      <c r="R2988" s="1304"/>
      <c r="S2988" s="1304"/>
      <c r="T2988" s="1304"/>
    </row>
    <row r="2989" spans="1:20">
      <c r="A2989" s="1303"/>
      <c r="B2989" s="1322" t="s">
        <v>8113</v>
      </c>
      <c r="C2989" s="1323" t="s">
        <v>8114</v>
      </c>
      <c r="D2989" s="1324">
        <f t="shared" si="306"/>
        <v>37529</v>
      </c>
      <c r="E2989" s="1323">
        <f t="shared" si="308"/>
        <v>10.5687</v>
      </c>
      <c r="F2989" s="1323">
        <f t="shared" si="307"/>
        <v>5.532932581489642</v>
      </c>
      <c r="G2989" s="1323">
        <f t="shared" si="309"/>
        <v>2002</v>
      </c>
      <c r="H2989" s="1323">
        <f t="shared" si="310"/>
        <v>9</v>
      </c>
      <c r="I2989" s="1323">
        <f t="shared" si="311"/>
        <v>30</v>
      </c>
      <c r="J2989" s="1323"/>
      <c r="K2989" s="1323"/>
      <c r="L2989" s="1323"/>
      <c r="M2989" s="1323"/>
      <c r="N2989" s="1323"/>
      <c r="O2989" s="1323"/>
      <c r="P2989" s="1323"/>
      <c r="Q2989" s="1323"/>
      <c r="R2989" s="1304"/>
      <c r="S2989" s="1304"/>
      <c r="T2989" s="1304"/>
    </row>
    <row r="2990" spans="1:20">
      <c r="A2990" s="1303"/>
      <c r="B2990" s="1322" t="s">
        <v>8115</v>
      </c>
      <c r="C2990" s="1323" t="s">
        <v>8116</v>
      </c>
      <c r="D2990" s="1324">
        <f t="shared" si="306"/>
        <v>37526</v>
      </c>
      <c r="E2990" s="1323">
        <f t="shared" si="308"/>
        <v>10.562200000000001</v>
      </c>
      <c r="F2990" s="1323">
        <f t="shared" si="307"/>
        <v>5.5318716745931447</v>
      </c>
      <c r="G2990" s="1323">
        <f t="shared" si="309"/>
        <v>2002</v>
      </c>
      <c r="H2990" s="1323">
        <f t="shared" si="310"/>
        <v>9</v>
      </c>
      <c r="I2990" s="1323">
        <f t="shared" si="311"/>
        <v>27</v>
      </c>
      <c r="J2990" s="1323"/>
      <c r="K2990" s="1323"/>
      <c r="L2990" s="1323"/>
      <c r="M2990" s="1323"/>
      <c r="N2990" s="1323"/>
      <c r="O2990" s="1323"/>
      <c r="P2990" s="1323"/>
      <c r="Q2990" s="1323"/>
      <c r="R2990" s="1304"/>
      <c r="S2990" s="1304"/>
      <c r="T2990" s="1304"/>
    </row>
    <row r="2991" spans="1:20">
      <c r="A2991" s="1303"/>
      <c r="B2991" s="1322" t="s">
        <v>8117</v>
      </c>
      <c r="C2991" s="1323" t="s">
        <v>2474</v>
      </c>
      <c r="D2991" s="1324">
        <f t="shared" si="306"/>
        <v>37525</v>
      </c>
      <c r="E2991" s="1323">
        <f t="shared" si="308"/>
        <v>10.588900000000001</v>
      </c>
      <c r="F2991" s="1323">
        <f t="shared" si="307"/>
        <v>5.530810971119231</v>
      </c>
      <c r="G2991" s="1323">
        <f t="shared" si="309"/>
        <v>2002</v>
      </c>
      <c r="H2991" s="1323">
        <f t="shared" si="310"/>
        <v>9</v>
      </c>
      <c r="I2991" s="1323">
        <f t="shared" si="311"/>
        <v>26</v>
      </c>
      <c r="J2991" s="1323"/>
      <c r="K2991" s="1323"/>
      <c r="L2991" s="1323"/>
      <c r="M2991" s="1323"/>
      <c r="N2991" s="1323"/>
      <c r="O2991" s="1323"/>
      <c r="P2991" s="1323"/>
      <c r="Q2991" s="1323"/>
      <c r="R2991" s="1304"/>
      <c r="S2991" s="1304"/>
      <c r="T2991" s="1304"/>
    </row>
    <row r="2992" spans="1:20">
      <c r="A2992" s="1303"/>
      <c r="B2992" s="1322" t="s">
        <v>8118</v>
      </c>
      <c r="C2992" s="1323" t="s">
        <v>8119</v>
      </c>
      <c r="D2992" s="1324">
        <f t="shared" si="306"/>
        <v>37524</v>
      </c>
      <c r="E2992" s="1323">
        <f t="shared" si="308"/>
        <v>10.711</v>
      </c>
      <c r="F2992" s="1323">
        <f t="shared" si="307"/>
        <v>5.5297504710288967</v>
      </c>
      <c r="G2992" s="1323">
        <f t="shared" si="309"/>
        <v>2002</v>
      </c>
      <c r="H2992" s="1323">
        <f t="shared" si="310"/>
        <v>9</v>
      </c>
      <c r="I2992" s="1323">
        <f t="shared" si="311"/>
        <v>25</v>
      </c>
      <c r="J2992" s="1323"/>
      <c r="K2992" s="1323"/>
      <c r="L2992" s="1323"/>
      <c r="M2992" s="1323"/>
      <c r="N2992" s="1323"/>
      <c r="O2992" s="1323"/>
      <c r="P2992" s="1323"/>
      <c r="Q2992" s="1323"/>
      <c r="R2992" s="1304"/>
      <c r="S2992" s="1304"/>
      <c r="T2992" s="1304"/>
    </row>
    <row r="2993" spans="1:20">
      <c r="A2993" s="1303"/>
      <c r="B2993" s="1322" t="s">
        <v>8120</v>
      </c>
      <c r="C2993" s="1323" t="s">
        <v>8121</v>
      </c>
      <c r="D2993" s="1324">
        <f t="shared" si="306"/>
        <v>37522</v>
      </c>
      <c r="E2993" s="1323">
        <f t="shared" si="308"/>
        <v>10.6075</v>
      </c>
      <c r="F2993" s="1323">
        <f t="shared" si="307"/>
        <v>5.5286901742831436</v>
      </c>
      <c r="G2993" s="1323">
        <f t="shared" si="309"/>
        <v>2002</v>
      </c>
      <c r="H2993" s="1323">
        <f t="shared" si="310"/>
        <v>9</v>
      </c>
      <c r="I2993" s="1323">
        <f t="shared" si="311"/>
        <v>23</v>
      </c>
      <c r="J2993" s="1323"/>
      <c r="K2993" s="1323"/>
      <c r="L2993" s="1323"/>
      <c r="M2993" s="1323"/>
      <c r="N2993" s="1323"/>
      <c r="O2993" s="1323"/>
      <c r="P2993" s="1323"/>
      <c r="Q2993" s="1323"/>
      <c r="R2993" s="1304"/>
      <c r="S2993" s="1304"/>
      <c r="T2993" s="1304"/>
    </row>
    <row r="2994" spans="1:20">
      <c r="A2994" s="1303"/>
      <c r="B2994" s="1322" t="s">
        <v>8122</v>
      </c>
      <c r="C2994" s="1323" t="s">
        <v>8123</v>
      </c>
      <c r="D2994" s="1324">
        <f t="shared" si="306"/>
        <v>37519</v>
      </c>
      <c r="E2994" s="1323">
        <f t="shared" si="308"/>
        <v>10.5771</v>
      </c>
      <c r="F2994" s="1323">
        <f t="shared" si="307"/>
        <v>5.5276300808429815</v>
      </c>
      <c r="G2994" s="1323">
        <f t="shared" si="309"/>
        <v>2002</v>
      </c>
      <c r="H2994" s="1323">
        <f t="shared" si="310"/>
        <v>9</v>
      </c>
      <c r="I2994" s="1323">
        <f t="shared" si="311"/>
        <v>20</v>
      </c>
      <c r="J2994" s="1323"/>
      <c r="K2994" s="1323"/>
      <c r="L2994" s="1323"/>
      <c r="M2994" s="1323"/>
      <c r="N2994" s="1323"/>
      <c r="O2994" s="1323"/>
      <c r="P2994" s="1323"/>
      <c r="Q2994" s="1323"/>
      <c r="R2994" s="1304"/>
      <c r="S2994" s="1304"/>
      <c r="T2994" s="1304"/>
    </row>
    <row r="2995" spans="1:20">
      <c r="A2995" s="1303"/>
      <c r="B2995" s="1322" t="s">
        <v>8124</v>
      </c>
      <c r="C2995" s="1323" t="s">
        <v>8125</v>
      </c>
      <c r="D2995" s="1324">
        <f t="shared" si="306"/>
        <v>37518</v>
      </c>
      <c r="E2995" s="1323">
        <f t="shared" si="308"/>
        <v>10.5504</v>
      </c>
      <c r="F2995" s="1323">
        <f t="shared" si="307"/>
        <v>5.5265701906694282</v>
      </c>
      <c r="G2995" s="1323">
        <f t="shared" si="309"/>
        <v>2002</v>
      </c>
      <c r="H2995" s="1323">
        <f t="shared" si="310"/>
        <v>9</v>
      </c>
      <c r="I2995" s="1323">
        <f t="shared" si="311"/>
        <v>19</v>
      </c>
      <c r="J2995" s="1323"/>
      <c r="K2995" s="1323"/>
      <c r="L2995" s="1323"/>
      <c r="M2995" s="1323"/>
      <c r="N2995" s="1323"/>
      <c r="O2995" s="1323"/>
      <c r="P2995" s="1323"/>
      <c r="Q2995" s="1323"/>
      <c r="R2995" s="1304"/>
      <c r="S2995" s="1304"/>
      <c r="T2995" s="1304"/>
    </row>
    <row r="2996" spans="1:20">
      <c r="A2996" s="1303"/>
      <c r="B2996" s="1322" t="s">
        <v>8126</v>
      </c>
      <c r="C2996" s="1323" t="s">
        <v>8127</v>
      </c>
      <c r="D2996" s="1324">
        <f t="shared" si="306"/>
        <v>37517</v>
      </c>
      <c r="E2996" s="1323">
        <f t="shared" si="308"/>
        <v>10.5367</v>
      </c>
      <c r="F2996" s="1323">
        <f t="shared" si="307"/>
        <v>5.5255105037235088</v>
      </c>
      <c r="G2996" s="1323">
        <f t="shared" si="309"/>
        <v>2002</v>
      </c>
      <c r="H2996" s="1323">
        <f t="shared" si="310"/>
        <v>9</v>
      </c>
      <c r="I2996" s="1323">
        <f t="shared" si="311"/>
        <v>18</v>
      </c>
      <c r="J2996" s="1323"/>
      <c r="K2996" s="1323"/>
      <c r="L2996" s="1323"/>
      <c r="M2996" s="1323"/>
      <c r="N2996" s="1323"/>
      <c r="O2996" s="1323"/>
      <c r="P2996" s="1323"/>
      <c r="Q2996" s="1323"/>
      <c r="R2996" s="1304"/>
      <c r="S2996" s="1304"/>
      <c r="T2996" s="1304"/>
    </row>
    <row r="2997" spans="1:20">
      <c r="A2997" s="1303"/>
      <c r="B2997" s="1322" t="s">
        <v>8128</v>
      </c>
      <c r="C2997" s="1323" t="s">
        <v>8129</v>
      </c>
      <c r="D2997" s="1324">
        <f t="shared" si="306"/>
        <v>37516</v>
      </c>
      <c r="E2997" s="1323">
        <f t="shared" si="308"/>
        <v>10.697100000000001</v>
      </c>
      <c r="F2997" s="1323">
        <f t="shared" si="307"/>
        <v>5.5244510199662544</v>
      </c>
      <c r="G2997" s="1323">
        <f t="shared" si="309"/>
        <v>2002</v>
      </c>
      <c r="H2997" s="1323">
        <f t="shared" si="310"/>
        <v>9</v>
      </c>
      <c r="I2997" s="1323">
        <f t="shared" si="311"/>
        <v>17</v>
      </c>
      <c r="J2997" s="1323"/>
      <c r="K2997" s="1323"/>
      <c r="L2997" s="1323"/>
      <c r="M2997" s="1323"/>
      <c r="N2997" s="1323"/>
      <c r="O2997" s="1323"/>
      <c r="P2997" s="1323"/>
      <c r="Q2997" s="1323"/>
      <c r="R2997" s="1304"/>
      <c r="S2997" s="1304"/>
      <c r="T2997" s="1304"/>
    </row>
    <row r="2998" spans="1:20">
      <c r="A2998" s="1303"/>
      <c r="B2998" s="1322" t="s">
        <v>8130</v>
      </c>
      <c r="C2998" s="1323" t="s">
        <v>8131</v>
      </c>
      <c r="D2998" s="1324">
        <f t="shared" si="306"/>
        <v>37515</v>
      </c>
      <c r="E2998" s="1323">
        <f t="shared" si="308"/>
        <v>10.6271</v>
      </c>
      <c r="F2998" s="1323">
        <f t="shared" si="307"/>
        <v>5.523391739358706</v>
      </c>
      <c r="G2998" s="1323">
        <f t="shared" si="309"/>
        <v>2002</v>
      </c>
      <c r="H2998" s="1323">
        <f t="shared" si="310"/>
        <v>9</v>
      </c>
      <c r="I2998" s="1323">
        <f t="shared" si="311"/>
        <v>16</v>
      </c>
      <c r="J2998" s="1323"/>
      <c r="K2998" s="1323"/>
      <c r="L2998" s="1323"/>
      <c r="M2998" s="1323"/>
      <c r="N2998" s="1323"/>
      <c r="O2998" s="1323"/>
      <c r="P2998" s="1323"/>
      <c r="Q2998" s="1323"/>
      <c r="R2998" s="1304"/>
      <c r="S2998" s="1304"/>
      <c r="T2998" s="1304"/>
    </row>
    <row r="2999" spans="1:20">
      <c r="A2999" s="1303"/>
      <c r="B2999" s="1322" t="s">
        <v>8132</v>
      </c>
      <c r="C2999" s="1323" t="s">
        <v>8133</v>
      </c>
      <c r="D2999" s="1324">
        <f t="shared" si="306"/>
        <v>37512</v>
      </c>
      <c r="E2999" s="1323">
        <f t="shared" si="308"/>
        <v>10.5017</v>
      </c>
      <c r="F2999" s="1323">
        <f t="shared" si="307"/>
        <v>5.5223326618619106</v>
      </c>
      <c r="G2999" s="1323">
        <f t="shared" si="309"/>
        <v>2002</v>
      </c>
      <c r="H2999" s="1323">
        <f t="shared" si="310"/>
        <v>9</v>
      </c>
      <c r="I2999" s="1323">
        <f t="shared" si="311"/>
        <v>13</v>
      </c>
      <c r="J2999" s="1323"/>
      <c r="K2999" s="1323"/>
      <c r="L2999" s="1323"/>
      <c r="M2999" s="1323"/>
      <c r="N2999" s="1323"/>
      <c r="O2999" s="1323"/>
      <c r="P2999" s="1323"/>
      <c r="Q2999" s="1323"/>
      <c r="R2999" s="1304"/>
      <c r="S2999" s="1304"/>
      <c r="T2999" s="1304"/>
    </row>
    <row r="3000" spans="1:20">
      <c r="A3000" s="1303"/>
      <c r="B3000" s="1322" t="s">
        <v>8134</v>
      </c>
      <c r="C3000" s="1323" t="s">
        <v>8135</v>
      </c>
      <c r="D3000" s="1324">
        <f t="shared" si="306"/>
        <v>37511</v>
      </c>
      <c r="E3000" s="1323">
        <f t="shared" si="308"/>
        <v>10.6219</v>
      </c>
      <c r="F3000" s="1323">
        <f t="shared" si="307"/>
        <v>5.5212737874369227</v>
      </c>
      <c r="G3000" s="1323">
        <f t="shared" si="309"/>
        <v>2002</v>
      </c>
      <c r="H3000" s="1323">
        <f t="shared" si="310"/>
        <v>9</v>
      </c>
      <c r="I3000" s="1323">
        <f t="shared" si="311"/>
        <v>12</v>
      </c>
      <c r="J3000" s="1323"/>
      <c r="K3000" s="1323"/>
      <c r="L3000" s="1323"/>
      <c r="M3000" s="1323"/>
      <c r="N3000" s="1323"/>
      <c r="O3000" s="1323"/>
      <c r="P3000" s="1323"/>
      <c r="Q3000" s="1323"/>
      <c r="R3000" s="1304"/>
      <c r="S3000" s="1304"/>
      <c r="T3000" s="1304"/>
    </row>
    <row r="3001" spans="1:20">
      <c r="A3001" s="1303"/>
      <c r="B3001" s="1322" t="s">
        <v>8136</v>
      </c>
      <c r="C3001" s="1323" t="s">
        <v>8137</v>
      </c>
      <c r="D3001" s="1324">
        <f t="shared" si="306"/>
        <v>37510</v>
      </c>
      <c r="E3001" s="1323">
        <f t="shared" si="308"/>
        <v>10.597099999999999</v>
      </c>
      <c r="F3001" s="1323">
        <f t="shared" si="307"/>
        <v>5.5202151160448043</v>
      </c>
      <c r="G3001" s="1323">
        <f t="shared" si="309"/>
        <v>2002</v>
      </c>
      <c r="H3001" s="1323">
        <f t="shared" si="310"/>
        <v>9</v>
      </c>
      <c r="I3001" s="1323">
        <f t="shared" si="311"/>
        <v>11</v>
      </c>
      <c r="J3001" s="1323"/>
      <c r="K3001" s="1323"/>
      <c r="L3001" s="1323"/>
      <c r="M3001" s="1323"/>
      <c r="N3001" s="1323"/>
      <c r="O3001" s="1323"/>
      <c r="P3001" s="1323"/>
      <c r="Q3001" s="1323"/>
      <c r="R3001" s="1304"/>
      <c r="S3001" s="1304"/>
      <c r="T3001" s="1304"/>
    </row>
    <row r="3002" spans="1:20">
      <c r="A3002" s="1303"/>
      <c r="B3002" s="1322" t="s">
        <v>8138</v>
      </c>
      <c r="C3002" s="1323" t="s">
        <v>8139</v>
      </c>
      <c r="D3002" s="1324">
        <f t="shared" si="306"/>
        <v>37509</v>
      </c>
      <c r="E3002" s="1323">
        <f t="shared" si="308"/>
        <v>10.5047</v>
      </c>
      <c r="F3002" s="1323">
        <f t="shared" si="307"/>
        <v>5.5191566476466249</v>
      </c>
      <c r="G3002" s="1323">
        <f t="shared" si="309"/>
        <v>2002</v>
      </c>
      <c r="H3002" s="1323">
        <f t="shared" si="310"/>
        <v>9</v>
      </c>
      <c r="I3002" s="1323">
        <f t="shared" si="311"/>
        <v>10</v>
      </c>
      <c r="J3002" s="1323"/>
      <c r="K3002" s="1323"/>
      <c r="L3002" s="1323"/>
      <c r="M3002" s="1323"/>
      <c r="N3002" s="1323"/>
      <c r="O3002" s="1323"/>
      <c r="P3002" s="1323"/>
      <c r="Q3002" s="1323"/>
      <c r="R3002" s="1304"/>
      <c r="S3002" s="1304"/>
      <c r="T3002" s="1304"/>
    </row>
    <row r="3003" spans="1:20">
      <c r="A3003" s="1303"/>
      <c r="B3003" s="1322" t="s">
        <v>8140</v>
      </c>
      <c r="C3003" s="1323" t="s">
        <v>8141</v>
      </c>
      <c r="D3003" s="1324">
        <f t="shared" si="306"/>
        <v>37508</v>
      </c>
      <c r="E3003" s="1323">
        <f t="shared" si="308"/>
        <v>10.5151</v>
      </c>
      <c r="F3003" s="1323">
        <f t="shared" si="307"/>
        <v>5.5180983822034628</v>
      </c>
      <c r="G3003" s="1323">
        <f t="shared" si="309"/>
        <v>2002</v>
      </c>
      <c r="H3003" s="1323">
        <f t="shared" si="310"/>
        <v>9</v>
      </c>
      <c r="I3003" s="1323">
        <f t="shared" si="311"/>
        <v>9</v>
      </c>
      <c r="J3003" s="1323"/>
      <c r="K3003" s="1323"/>
      <c r="L3003" s="1323"/>
      <c r="M3003" s="1323"/>
      <c r="N3003" s="1323"/>
      <c r="O3003" s="1323"/>
      <c r="P3003" s="1323"/>
      <c r="Q3003" s="1323"/>
      <c r="R3003" s="1304"/>
      <c r="S3003" s="1304"/>
      <c r="T3003" s="1304"/>
    </row>
    <row r="3004" spans="1:20">
      <c r="A3004" s="1303"/>
      <c r="B3004" s="1322" t="s">
        <v>8142</v>
      </c>
      <c r="C3004" s="1323" t="s">
        <v>8143</v>
      </c>
      <c r="D3004" s="1324">
        <f t="shared" si="306"/>
        <v>37505</v>
      </c>
      <c r="E3004" s="1323">
        <f t="shared" si="308"/>
        <v>10.5488</v>
      </c>
      <c r="F3004" s="1323">
        <f t="shared" si="307"/>
        <v>5.5170403196764015</v>
      </c>
      <c r="G3004" s="1323">
        <f t="shared" si="309"/>
        <v>2002</v>
      </c>
      <c r="H3004" s="1323">
        <f t="shared" si="310"/>
        <v>9</v>
      </c>
      <c r="I3004" s="1323">
        <f t="shared" si="311"/>
        <v>6</v>
      </c>
      <c r="J3004" s="1323"/>
      <c r="K3004" s="1323"/>
      <c r="L3004" s="1323"/>
      <c r="M3004" s="1323"/>
      <c r="N3004" s="1323"/>
      <c r="O3004" s="1323"/>
      <c r="P3004" s="1323"/>
      <c r="Q3004" s="1323"/>
      <c r="R3004" s="1304"/>
      <c r="S3004" s="1304"/>
      <c r="T3004" s="1304"/>
    </row>
    <row r="3005" spans="1:20">
      <c r="A3005" s="1303"/>
      <c r="B3005" s="1322" t="s">
        <v>8144</v>
      </c>
      <c r="C3005" s="1323" t="s">
        <v>8145</v>
      </c>
      <c r="D3005" s="1324">
        <f t="shared" si="306"/>
        <v>37504</v>
      </c>
      <c r="E3005" s="1323">
        <f t="shared" si="308"/>
        <v>10.6938</v>
      </c>
      <c r="F3005" s="1323">
        <f t="shared" si="307"/>
        <v>5.5159824600265335</v>
      </c>
      <c r="G3005" s="1323">
        <f t="shared" si="309"/>
        <v>2002</v>
      </c>
      <c r="H3005" s="1323">
        <f t="shared" si="310"/>
        <v>9</v>
      </c>
      <c r="I3005" s="1323">
        <f t="shared" si="311"/>
        <v>5</v>
      </c>
      <c r="J3005" s="1323"/>
      <c r="K3005" s="1323"/>
      <c r="L3005" s="1323"/>
      <c r="M3005" s="1323"/>
      <c r="N3005" s="1323"/>
      <c r="O3005" s="1323"/>
      <c r="P3005" s="1323"/>
      <c r="Q3005" s="1323"/>
      <c r="R3005" s="1304"/>
      <c r="S3005" s="1304"/>
      <c r="T3005" s="1304"/>
    </row>
    <row r="3006" spans="1:20">
      <c r="A3006" s="1303"/>
      <c r="B3006" s="1322" t="s">
        <v>8146</v>
      </c>
      <c r="C3006" s="1323" t="s">
        <v>8147</v>
      </c>
      <c r="D3006" s="1324">
        <f t="shared" si="306"/>
        <v>37503</v>
      </c>
      <c r="E3006" s="1323">
        <f t="shared" si="308"/>
        <v>10.839600000000001</v>
      </c>
      <c r="F3006" s="1323">
        <f t="shared" si="307"/>
        <v>5.5149248032149583</v>
      </c>
      <c r="G3006" s="1323">
        <f t="shared" si="309"/>
        <v>2002</v>
      </c>
      <c r="H3006" s="1323">
        <f t="shared" si="310"/>
        <v>9</v>
      </c>
      <c r="I3006" s="1323">
        <f t="shared" si="311"/>
        <v>4</v>
      </c>
      <c r="J3006" s="1323"/>
      <c r="K3006" s="1323"/>
      <c r="L3006" s="1323"/>
      <c r="M3006" s="1323"/>
      <c r="N3006" s="1323"/>
      <c r="O3006" s="1323"/>
      <c r="P3006" s="1323"/>
      <c r="Q3006" s="1323"/>
      <c r="R3006" s="1304"/>
      <c r="S3006" s="1304"/>
      <c r="T3006" s="1304"/>
    </row>
    <row r="3007" spans="1:20">
      <c r="A3007" s="1303"/>
      <c r="B3007" s="1322" t="s">
        <v>8148</v>
      </c>
      <c r="C3007" s="1323" t="s">
        <v>8149</v>
      </c>
      <c r="D3007" s="1324">
        <f t="shared" si="306"/>
        <v>37502</v>
      </c>
      <c r="E3007" s="1323">
        <f t="shared" si="308"/>
        <v>10.6608</v>
      </c>
      <c r="F3007" s="1323">
        <f t="shared" si="307"/>
        <v>5.5138673492027825</v>
      </c>
      <c r="G3007" s="1323">
        <f t="shared" si="309"/>
        <v>2002</v>
      </c>
      <c r="H3007" s="1323">
        <f t="shared" si="310"/>
        <v>9</v>
      </c>
      <c r="I3007" s="1323">
        <f t="shared" si="311"/>
        <v>3</v>
      </c>
      <c r="J3007" s="1323"/>
      <c r="K3007" s="1323"/>
      <c r="L3007" s="1323"/>
      <c r="M3007" s="1323"/>
      <c r="N3007" s="1323"/>
      <c r="O3007" s="1323"/>
      <c r="P3007" s="1323"/>
      <c r="Q3007" s="1323"/>
      <c r="R3007" s="1304"/>
      <c r="S3007" s="1304"/>
      <c r="T3007" s="1304"/>
    </row>
    <row r="3008" spans="1:20">
      <c r="A3008" s="1303"/>
      <c r="B3008" s="1322" t="s">
        <v>8150</v>
      </c>
      <c r="C3008" s="1323" t="s">
        <v>8151</v>
      </c>
      <c r="D3008" s="1324">
        <f t="shared" si="306"/>
        <v>37501</v>
      </c>
      <c r="E3008" s="1323">
        <f t="shared" si="308"/>
        <v>10.589</v>
      </c>
      <c r="F3008" s="1323">
        <f t="shared" si="307"/>
        <v>5.5128100979511201</v>
      </c>
      <c r="G3008" s="1323">
        <f t="shared" si="309"/>
        <v>2002</v>
      </c>
      <c r="H3008" s="1323">
        <f t="shared" si="310"/>
        <v>9</v>
      </c>
      <c r="I3008" s="1323">
        <f t="shared" si="311"/>
        <v>2</v>
      </c>
      <c r="J3008" s="1323"/>
      <c r="K3008" s="1323"/>
      <c r="L3008" s="1323"/>
      <c r="M3008" s="1323"/>
      <c r="N3008" s="1323"/>
      <c r="O3008" s="1323"/>
      <c r="P3008" s="1323"/>
      <c r="Q3008" s="1323"/>
      <c r="R3008" s="1304"/>
      <c r="S3008" s="1304"/>
      <c r="T3008" s="1304"/>
    </row>
    <row r="3009" spans="1:20">
      <c r="A3009" s="1303"/>
      <c r="B3009" s="1322" t="s">
        <v>8152</v>
      </c>
      <c r="C3009" s="1323" t="s">
        <v>8153</v>
      </c>
      <c r="D3009" s="1324">
        <f t="shared" si="306"/>
        <v>37498</v>
      </c>
      <c r="E3009" s="1323">
        <f t="shared" si="308"/>
        <v>10.629899999999999</v>
      </c>
      <c r="F3009" s="1323">
        <f t="shared" si="307"/>
        <v>5.5117530494210936</v>
      </c>
      <c r="G3009" s="1323">
        <f t="shared" si="309"/>
        <v>2002</v>
      </c>
      <c r="H3009" s="1323">
        <f t="shared" si="310"/>
        <v>8</v>
      </c>
      <c r="I3009" s="1323">
        <f t="shared" si="311"/>
        <v>30</v>
      </c>
      <c r="J3009" s="1323"/>
      <c r="K3009" s="1323"/>
      <c r="L3009" s="1323"/>
      <c r="M3009" s="1323"/>
      <c r="N3009" s="1323"/>
      <c r="O3009" s="1323"/>
      <c r="P3009" s="1323"/>
      <c r="Q3009" s="1323"/>
      <c r="R3009" s="1304"/>
      <c r="S3009" s="1304"/>
      <c r="T3009" s="1304"/>
    </row>
    <row r="3010" spans="1:20">
      <c r="A3010" s="1303"/>
      <c r="B3010" s="1322" t="s">
        <v>8154</v>
      </c>
      <c r="C3010" s="1323" t="s">
        <v>8155</v>
      </c>
      <c r="D3010" s="1324">
        <f t="shared" si="306"/>
        <v>37497</v>
      </c>
      <c r="E3010" s="1323">
        <f t="shared" si="308"/>
        <v>10.6249</v>
      </c>
      <c r="F3010" s="1323">
        <f t="shared" si="307"/>
        <v>5.5106962035738327</v>
      </c>
      <c r="G3010" s="1323">
        <f t="shared" si="309"/>
        <v>2002</v>
      </c>
      <c r="H3010" s="1323">
        <f t="shared" si="310"/>
        <v>8</v>
      </c>
      <c r="I3010" s="1323">
        <f t="shared" si="311"/>
        <v>29</v>
      </c>
      <c r="J3010" s="1323"/>
      <c r="K3010" s="1323"/>
      <c r="L3010" s="1323"/>
      <c r="M3010" s="1323"/>
      <c r="N3010" s="1323"/>
      <c r="O3010" s="1323"/>
      <c r="P3010" s="1323"/>
      <c r="Q3010" s="1323"/>
      <c r="R3010" s="1304"/>
      <c r="S3010" s="1304"/>
      <c r="T3010" s="1304"/>
    </row>
    <row r="3011" spans="1:20">
      <c r="A3011" s="1303"/>
      <c r="B3011" s="1322" t="s">
        <v>8156</v>
      </c>
      <c r="C3011" s="1323" t="s">
        <v>8157</v>
      </c>
      <c r="D3011" s="1324">
        <f t="shared" si="306"/>
        <v>37496</v>
      </c>
      <c r="E3011" s="1323">
        <f t="shared" si="308"/>
        <v>10.494899999999999</v>
      </c>
      <c r="F3011" s="1323">
        <f t="shared" si="307"/>
        <v>5.5096395603704735</v>
      </c>
      <c r="G3011" s="1323">
        <f t="shared" si="309"/>
        <v>2002</v>
      </c>
      <c r="H3011" s="1323">
        <f t="shared" si="310"/>
        <v>8</v>
      </c>
      <c r="I3011" s="1323">
        <f t="shared" si="311"/>
        <v>28</v>
      </c>
      <c r="J3011" s="1323"/>
      <c r="K3011" s="1323"/>
      <c r="L3011" s="1323"/>
      <c r="M3011" s="1323"/>
      <c r="N3011" s="1323"/>
      <c r="O3011" s="1323"/>
      <c r="P3011" s="1323"/>
      <c r="Q3011" s="1323"/>
      <c r="R3011" s="1304"/>
      <c r="S3011" s="1304"/>
      <c r="T3011" s="1304"/>
    </row>
    <row r="3012" spans="1:20">
      <c r="A3012" s="1303"/>
      <c r="B3012" s="1322" t="s">
        <v>8158</v>
      </c>
      <c r="C3012" s="1323" t="s">
        <v>8159</v>
      </c>
      <c r="D3012" s="1324">
        <f t="shared" si="306"/>
        <v>37495</v>
      </c>
      <c r="E3012" s="1323">
        <f t="shared" si="308"/>
        <v>10.749599999999999</v>
      </c>
      <c r="F3012" s="1323">
        <f t="shared" si="307"/>
        <v>5.5085831197721609</v>
      </c>
      <c r="G3012" s="1323">
        <f t="shared" si="309"/>
        <v>2002</v>
      </c>
      <c r="H3012" s="1323">
        <f t="shared" si="310"/>
        <v>8</v>
      </c>
      <c r="I3012" s="1323">
        <f t="shared" si="311"/>
        <v>27</v>
      </c>
      <c r="J3012" s="1323"/>
      <c r="K3012" s="1323"/>
      <c r="L3012" s="1323"/>
      <c r="M3012" s="1323"/>
      <c r="N3012" s="1323"/>
      <c r="O3012" s="1323"/>
      <c r="P3012" s="1323"/>
      <c r="Q3012" s="1323"/>
      <c r="R3012" s="1304"/>
      <c r="S3012" s="1304"/>
      <c r="T3012" s="1304"/>
    </row>
    <row r="3013" spans="1:20">
      <c r="A3013" s="1303"/>
      <c r="B3013" s="1322" t="s">
        <v>8160</v>
      </c>
      <c r="C3013" s="1323" t="s">
        <v>8161</v>
      </c>
      <c r="D3013" s="1324">
        <f t="shared" si="306"/>
        <v>37494</v>
      </c>
      <c r="E3013" s="1323">
        <f t="shared" si="308"/>
        <v>10.821199999999999</v>
      </c>
      <c r="F3013" s="1323">
        <f t="shared" si="307"/>
        <v>5.5075268817400458</v>
      </c>
      <c r="G3013" s="1323">
        <f t="shared" si="309"/>
        <v>2002</v>
      </c>
      <c r="H3013" s="1323">
        <f t="shared" si="310"/>
        <v>8</v>
      </c>
      <c r="I3013" s="1323">
        <f t="shared" si="311"/>
        <v>26</v>
      </c>
      <c r="J3013" s="1323"/>
      <c r="K3013" s="1323"/>
      <c r="L3013" s="1323"/>
      <c r="M3013" s="1323"/>
      <c r="N3013" s="1323"/>
      <c r="O3013" s="1323"/>
      <c r="P3013" s="1323"/>
      <c r="Q3013" s="1323"/>
      <c r="R3013" s="1304"/>
      <c r="S3013" s="1304"/>
      <c r="T3013" s="1304"/>
    </row>
    <row r="3014" spans="1:20">
      <c r="A3014" s="1303"/>
      <c r="B3014" s="1322" t="s">
        <v>8162</v>
      </c>
      <c r="C3014" s="1323" t="s">
        <v>8163</v>
      </c>
      <c r="D3014" s="1324">
        <f t="shared" si="306"/>
        <v>37491</v>
      </c>
      <c r="E3014" s="1323">
        <f t="shared" si="308"/>
        <v>10.861499999999999</v>
      </c>
      <c r="F3014" s="1323">
        <f t="shared" si="307"/>
        <v>5.5064708462352883</v>
      </c>
      <c r="G3014" s="1323">
        <f t="shared" si="309"/>
        <v>2002</v>
      </c>
      <c r="H3014" s="1323">
        <f t="shared" si="310"/>
        <v>8</v>
      </c>
      <c r="I3014" s="1323">
        <f t="shared" si="311"/>
        <v>23</v>
      </c>
      <c r="J3014" s="1323"/>
      <c r="K3014" s="1323"/>
      <c r="L3014" s="1323"/>
      <c r="M3014" s="1323"/>
      <c r="N3014" s="1323"/>
      <c r="O3014" s="1323"/>
      <c r="P3014" s="1323"/>
      <c r="Q3014" s="1323"/>
      <c r="R3014" s="1304"/>
      <c r="S3014" s="1304"/>
      <c r="T3014" s="1304"/>
    </row>
    <row r="3015" spans="1:20">
      <c r="A3015" s="1303"/>
      <c r="B3015" s="1322" t="s">
        <v>8164</v>
      </c>
      <c r="C3015" s="1323" t="s">
        <v>8165</v>
      </c>
      <c r="D3015" s="1324">
        <f t="shared" si="306"/>
        <v>37490</v>
      </c>
      <c r="E3015" s="1323">
        <f t="shared" si="308"/>
        <v>10.9038</v>
      </c>
      <c r="F3015" s="1323">
        <f t="shared" si="307"/>
        <v>5.5054150132190545</v>
      </c>
      <c r="G3015" s="1323">
        <f t="shared" si="309"/>
        <v>2002</v>
      </c>
      <c r="H3015" s="1323">
        <f t="shared" si="310"/>
        <v>8</v>
      </c>
      <c r="I3015" s="1323">
        <f t="shared" si="311"/>
        <v>22</v>
      </c>
      <c r="J3015" s="1323"/>
      <c r="K3015" s="1323"/>
      <c r="L3015" s="1323"/>
      <c r="M3015" s="1323"/>
      <c r="N3015" s="1323"/>
      <c r="O3015" s="1323"/>
      <c r="P3015" s="1323"/>
      <c r="Q3015" s="1323"/>
      <c r="R3015" s="1304"/>
      <c r="S3015" s="1304"/>
      <c r="T3015" s="1304"/>
    </row>
    <row r="3016" spans="1:20">
      <c r="A3016" s="1303"/>
      <c r="B3016" s="1322" t="s">
        <v>8166</v>
      </c>
      <c r="C3016" s="1323" t="s">
        <v>8167</v>
      </c>
      <c r="D3016" s="1324">
        <f t="shared" si="306"/>
        <v>37489</v>
      </c>
      <c r="E3016" s="1323">
        <f t="shared" si="308"/>
        <v>10.905099999999999</v>
      </c>
      <c r="F3016" s="1323">
        <f t="shared" si="307"/>
        <v>5.5043593826525186</v>
      </c>
      <c r="G3016" s="1323">
        <f t="shared" si="309"/>
        <v>2002</v>
      </c>
      <c r="H3016" s="1323">
        <f t="shared" si="310"/>
        <v>8</v>
      </c>
      <c r="I3016" s="1323">
        <f t="shared" si="311"/>
        <v>21</v>
      </c>
      <c r="J3016" s="1323"/>
      <c r="K3016" s="1323"/>
      <c r="L3016" s="1323"/>
      <c r="M3016" s="1323"/>
      <c r="N3016" s="1323"/>
      <c r="O3016" s="1323"/>
      <c r="P3016" s="1323"/>
      <c r="Q3016" s="1323"/>
      <c r="R3016" s="1304"/>
      <c r="S3016" s="1304"/>
      <c r="T3016" s="1304"/>
    </row>
    <row r="3017" spans="1:20">
      <c r="A3017" s="1303"/>
      <c r="B3017" s="1322" t="s">
        <v>8168</v>
      </c>
      <c r="C3017" s="1323" t="s">
        <v>8169</v>
      </c>
      <c r="D3017" s="1324">
        <f t="shared" ref="D3017:D3080" si="312">DATE(G3017,H3017,I3017)</f>
        <v>37488</v>
      </c>
      <c r="E3017" s="1323">
        <f t="shared" si="308"/>
        <v>10.628</v>
      </c>
      <c r="F3017" s="1323">
        <f t="shared" ref="F3017:F3080" si="313">F3018*(1+$F$7/365)</f>
        <v>5.5033039544968618</v>
      </c>
      <c r="G3017" s="1323">
        <f t="shared" si="309"/>
        <v>2002</v>
      </c>
      <c r="H3017" s="1323">
        <f t="shared" si="310"/>
        <v>8</v>
      </c>
      <c r="I3017" s="1323">
        <f t="shared" si="311"/>
        <v>20</v>
      </c>
      <c r="J3017" s="1323"/>
      <c r="K3017" s="1323"/>
      <c r="L3017" s="1323"/>
      <c r="M3017" s="1323"/>
      <c r="N3017" s="1323"/>
      <c r="O3017" s="1323"/>
      <c r="P3017" s="1323"/>
      <c r="Q3017" s="1323"/>
      <c r="R3017" s="1304"/>
      <c r="S3017" s="1304"/>
      <c r="T3017" s="1304"/>
    </row>
    <row r="3018" spans="1:20">
      <c r="A3018" s="1303"/>
      <c r="B3018" s="1322" t="s">
        <v>8170</v>
      </c>
      <c r="C3018" s="1323" t="s">
        <v>8171</v>
      </c>
      <c r="D3018" s="1324">
        <f t="shared" si="312"/>
        <v>37487</v>
      </c>
      <c r="E3018" s="1323">
        <f t="shared" si="308"/>
        <v>10.6249</v>
      </c>
      <c r="F3018" s="1323">
        <f t="shared" si="313"/>
        <v>5.5022487287132726</v>
      </c>
      <c r="G3018" s="1323">
        <f t="shared" si="309"/>
        <v>2002</v>
      </c>
      <c r="H3018" s="1323">
        <f t="shared" si="310"/>
        <v>8</v>
      </c>
      <c r="I3018" s="1323">
        <f t="shared" si="311"/>
        <v>19</v>
      </c>
      <c r="J3018" s="1323"/>
      <c r="K3018" s="1323"/>
      <c r="L3018" s="1323"/>
      <c r="M3018" s="1323"/>
      <c r="N3018" s="1323"/>
      <c r="O3018" s="1323"/>
      <c r="P3018" s="1323"/>
      <c r="Q3018" s="1323"/>
      <c r="R3018" s="1304"/>
      <c r="S3018" s="1304"/>
      <c r="T3018" s="1304"/>
    </row>
    <row r="3019" spans="1:20">
      <c r="A3019" s="1303"/>
      <c r="B3019" s="1322" t="s">
        <v>8172</v>
      </c>
      <c r="C3019" s="1323" t="s">
        <v>8157</v>
      </c>
      <c r="D3019" s="1324">
        <f t="shared" si="312"/>
        <v>37484</v>
      </c>
      <c r="E3019" s="1323">
        <f t="shared" si="308"/>
        <v>10.645899999999999</v>
      </c>
      <c r="F3019" s="1323">
        <f t="shared" si="313"/>
        <v>5.5011937052629483</v>
      </c>
      <c r="G3019" s="1323">
        <f t="shared" si="309"/>
        <v>2002</v>
      </c>
      <c r="H3019" s="1323">
        <f t="shared" si="310"/>
        <v>8</v>
      </c>
      <c r="I3019" s="1323">
        <f t="shared" si="311"/>
        <v>16</v>
      </c>
      <c r="J3019" s="1323"/>
      <c r="K3019" s="1323"/>
      <c r="L3019" s="1323"/>
      <c r="M3019" s="1323"/>
      <c r="N3019" s="1323"/>
      <c r="O3019" s="1323"/>
      <c r="P3019" s="1323"/>
      <c r="Q3019" s="1323"/>
      <c r="R3019" s="1304"/>
      <c r="S3019" s="1304"/>
      <c r="T3019" s="1304"/>
    </row>
    <row r="3020" spans="1:20">
      <c r="A3020" s="1303"/>
      <c r="B3020" s="1322" t="s">
        <v>8173</v>
      </c>
      <c r="C3020" s="1323" t="s">
        <v>8174</v>
      </c>
      <c r="D3020" s="1324">
        <f t="shared" si="312"/>
        <v>37483</v>
      </c>
      <c r="E3020" s="1323">
        <f t="shared" si="308"/>
        <v>10.5695</v>
      </c>
      <c r="F3020" s="1323">
        <f t="shared" si="313"/>
        <v>5.5001388841070922</v>
      </c>
      <c r="G3020" s="1323">
        <f t="shared" si="309"/>
        <v>2002</v>
      </c>
      <c r="H3020" s="1323">
        <f t="shared" si="310"/>
        <v>8</v>
      </c>
      <c r="I3020" s="1323">
        <f t="shared" si="311"/>
        <v>15</v>
      </c>
      <c r="J3020" s="1323"/>
      <c r="K3020" s="1323"/>
      <c r="L3020" s="1323"/>
      <c r="M3020" s="1323"/>
      <c r="N3020" s="1323"/>
      <c r="O3020" s="1323"/>
      <c r="P3020" s="1323"/>
      <c r="Q3020" s="1323"/>
      <c r="R3020" s="1304"/>
      <c r="S3020" s="1304"/>
      <c r="T3020" s="1304"/>
    </row>
    <row r="3021" spans="1:20">
      <c r="A3021" s="1303"/>
      <c r="B3021" s="1322" t="s">
        <v>8175</v>
      </c>
      <c r="C3021" s="1323" t="s">
        <v>8176</v>
      </c>
      <c r="D3021" s="1324">
        <f t="shared" si="312"/>
        <v>37482</v>
      </c>
      <c r="E3021" s="1323">
        <f t="shared" si="308"/>
        <v>10.5609</v>
      </c>
      <c r="F3021" s="1323">
        <f t="shared" si="313"/>
        <v>5.499084265206915</v>
      </c>
      <c r="G3021" s="1323">
        <f t="shared" si="309"/>
        <v>2002</v>
      </c>
      <c r="H3021" s="1323">
        <f t="shared" si="310"/>
        <v>8</v>
      </c>
      <c r="I3021" s="1323">
        <f t="shared" si="311"/>
        <v>14</v>
      </c>
      <c r="J3021" s="1323"/>
      <c r="K3021" s="1323"/>
      <c r="L3021" s="1323"/>
      <c r="M3021" s="1323"/>
      <c r="N3021" s="1323"/>
      <c r="O3021" s="1323"/>
      <c r="P3021" s="1323"/>
      <c r="Q3021" s="1323"/>
      <c r="R3021" s="1304"/>
      <c r="S3021" s="1304"/>
      <c r="T3021" s="1304"/>
    </row>
    <row r="3022" spans="1:20">
      <c r="A3022" s="1303"/>
      <c r="B3022" s="1322" t="s">
        <v>8177</v>
      </c>
      <c r="C3022" s="1323" t="s">
        <v>8178</v>
      </c>
      <c r="D3022" s="1324">
        <f t="shared" si="312"/>
        <v>37481</v>
      </c>
      <c r="E3022" s="1323">
        <f t="shared" si="308"/>
        <v>10.536</v>
      </c>
      <c r="F3022" s="1323">
        <f t="shared" si="313"/>
        <v>5.4980298485236361</v>
      </c>
      <c r="G3022" s="1323">
        <f t="shared" si="309"/>
        <v>2002</v>
      </c>
      <c r="H3022" s="1323">
        <f t="shared" si="310"/>
        <v>8</v>
      </c>
      <c r="I3022" s="1323">
        <f t="shared" si="311"/>
        <v>13</v>
      </c>
      <c r="J3022" s="1323"/>
      <c r="K3022" s="1323"/>
      <c r="L3022" s="1323"/>
      <c r="M3022" s="1323"/>
      <c r="N3022" s="1323"/>
      <c r="O3022" s="1323"/>
      <c r="P3022" s="1323"/>
      <c r="Q3022" s="1323"/>
      <c r="R3022" s="1304"/>
      <c r="S3022" s="1304"/>
      <c r="T3022" s="1304"/>
    </row>
    <row r="3023" spans="1:20">
      <c r="A3023" s="1303"/>
      <c r="B3023" s="1322" t="s">
        <v>8179</v>
      </c>
      <c r="C3023" s="1323" t="s">
        <v>8180</v>
      </c>
      <c r="D3023" s="1324">
        <f t="shared" si="312"/>
        <v>37480</v>
      </c>
      <c r="E3023" s="1323">
        <f t="shared" si="308"/>
        <v>10.4377</v>
      </c>
      <c r="F3023" s="1323">
        <f t="shared" si="313"/>
        <v>5.4969756340184821</v>
      </c>
      <c r="G3023" s="1323">
        <f t="shared" si="309"/>
        <v>2002</v>
      </c>
      <c r="H3023" s="1323">
        <f t="shared" si="310"/>
        <v>8</v>
      </c>
      <c r="I3023" s="1323">
        <f t="shared" si="311"/>
        <v>12</v>
      </c>
      <c r="J3023" s="1323"/>
      <c r="K3023" s="1323"/>
      <c r="L3023" s="1323"/>
      <c r="M3023" s="1323"/>
      <c r="N3023" s="1323"/>
      <c r="O3023" s="1323"/>
      <c r="P3023" s="1323"/>
      <c r="Q3023" s="1323"/>
      <c r="R3023" s="1304"/>
      <c r="S3023" s="1304"/>
      <c r="T3023" s="1304"/>
    </row>
    <row r="3024" spans="1:20">
      <c r="A3024" s="1303"/>
      <c r="B3024" s="1322" t="s">
        <v>8181</v>
      </c>
      <c r="C3024" s="1323" t="s">
        <v>8182</v>
      </c>
      <c r="D3024" s="1324">
        <f t="shared" si="312"/>
        <v>37476</v>
      </c>
      <c r="E3024" s="1323">
        <f t="shared" si="308"/>
        <v>10.407</v>
      </c>
      <c r="F3024" s="1323">
        <f t="shared" si="313"/>
        <v>5.4959216216526858</v>
      </c>
      <c r="G3024" s="1323">
        <f t="shared" si="309"/>
        <v>2002</v>
      </c>
      <c r="H3024" s="1323">
        <f t="shared" si="310"/>
        <v>8</v>
      </c>
      <c r="I3024" s="1323">
        <f t="shared" si="311"/>
        <v>8</v>
      </c>
      <c r="J3024" s="1323"/>
      <c r="K3024" s="1323"/>
      <c r="L3024" s="1323"/>
      <c r="M3024" s="1323"/>
      <c r="N3024" s="1323"/>
      <c r="O3024" s="1323"/>
      <c r="P3024" s="1323"/>
      <c r="Q3024" s="1323"/>
      <c r="R3024" s="1304"/>
      <c r="S3024" s="1304"/>
      <c r="T3024" s="1304"/>
    </row>
    <row r="3025" spans="1:20">
      <c r="A3025" s="1303"/>
      <c r="B3025" s="1322" t="s">
        <v>8183</v>
      </c>
      <c r="C3025" s="1323" t="s">
        <v>8184</v>
      </c>
      <c r="D3025" s="1324">
        <f t="shared" si="312"/>
        <v>37475</v>
      </c>
      <c r="E3025" s="1323">
        <f t="shared" si="308"/>
        <v>10.5686</v>
      </c>
      <c r="F3025" s="1323">
        <f t="shared" si="313"/>
        <v>5.494867811387488</v>
      </c>
      <c r="G3025" s="1323">
        <f t="shared" si="309"/>
        <v>2002</v>
      </c>
      <c r="H3025" s="1323">
        <f t="shared" si="310"/>
        <v>8</v>
      </c>
      <c r="I3025" s="1323">
        <f t="shared" si="311"/>
        <v>7</v>
      </c>
      <c r="J3025" s="1323"/>
      <c r="K3025" s="1323"/>
      <c r="L3025" s="1323"/>
      <c r="M3025" s="1323"/>
      <c r="N3025" s="1323"/>
      <c r="O3025" s="1323"/>
      <c r="P3025" s="1323"/>
      <c r="Q3025" s="1323"/>
      <c r="R3025" s="1304"/>
      <c r="S3025" s="1304"/>
      <c r="T3025" s="1304"/>
    </row>
    <row r="3026" spans="1:20">
      <c r="A3026" s="1303"/>
      <c r="B3026" s="1322" t="s">
        <v>8185</v>
      </c>
      <c r="C3026" s="1323" t="s">
        <v>8186</v>
      </c>
      <c r="D3026" s="1324">
        <f t="shared" si="312"/>
        <v>37474</v>
      </c>
      <c r="E3026" s="1323">
        <f t="shared" si="308"/>
        <v>10.700100000000001</v>
      </c>
      <c r="F3026" s="1323">
        <f t="shared" si="313"/>
        <v>5.4938142031841375</v>
      </c>
      <c r="G3026" s="1323">
        <f t="shared" si="309"/>
        <v>2002</v>
      </c>
      <c r="H3026" s="1323">
        <f t="shared" si="310"/>
        <v>8</v>
      </c>
      <c r="I3026" s="1323">
        <f t="shared" si="311"/>
        <v>6</v>
      </c>
      <c r="J3026" s="1323"/>
      <c r="K3026" s="1323"/>
      <c r="L3026" s="1323"/>
      <c r="M3026" s="1323"/>
      <c r="N3026" s="1323"/>
      <c r="O3026" s="1323"/>
      <c r="P3026" s="1323"/>
      <c r="Q3026" s="1323"/>
      <c r="R3026" s="1304"/>
      <c r="S3026" s="1304"/>
      <c r="T3026" s="1304"/>
    </row>
    <row r="3027" spans="1:20">
      <c r="A3027" s="1303"/>
      <c r="B3027" s="1322" t="s">
        <v>8187</v>
      </c>
      <c r="C3027" s="1323" t="s">
        <v>8188</v>
      </c>
      <c r="D3027" s="1324">
        <f t="shared" si="312"/>
        <v>37473</v>
      </c>
      <c r="E3027" s="1323">
        <f t="shared" si="308"/>
        <v>10.331</v>
      </c>
      <c r="F3027" s="1323">
        <f t="shared" si="313"/>
        <v>5.4927607970038901</v>
      </c>
      <c r="G3027" s="1323">
        <f t="shared" si="309"/>
        <v>2002</v>
      </c>
      <c r="H3027" s="1323">
        <f t="shared" si="310"/>
        <v>8</v>
      </c>
      <c r="I3027" s="1323">
        <f t="shared" si="311"/>
        <v>5</v>
      </c>
      <c r="J3027" s="1323"/>
      <c r="K3027" s="1323"/>
      <c r="L3027" s="1323"/>
      <c r="M3027" s="1323"/>
      <c r="N3027" s="1323"/>
      <c r="O3027" s="1323"/>
      <c r="P3027" s="1323"/>
      <c r="Q3027" s="1323"/>
      <c r="R3027" s="1304"/>
      <c r="S3027" s="1304"/>
      <c r="T3027" s="1304"/>
    </row>
    <row r="3028" spans="1:20">
      <c r="A3028" s="1303"/>
      <c r="B3028" s="1322" t="s">
        <v>8189</v>
      </c>
      <c r="C3028" s="1323" t="s">
        <v>8190</v>
      </c>
      <c r="D3028" s="1324">
        <f t="shared" si="312"/>
        <v>37470</v>
      </c>
      <c r="E3028" s="1323">
        <f t="shared" si="308"/>
        <v>10.198</v>
      </c>
      <c r="F3028" s="1323">
        <f t="shared" si="313"/>
        <v>5.4917075928080088</v>
      </c>
      <c r="G3028" s="1323">
        <f t="shared" si="309"/>
        <v>2002</v>
      </c>
      <c r="H3028" s="1323">
        <f t="shared" si="310"/>
        <v>8</v>
      </c>
      <c r="I3028" s="1323">
        <f t="shared" si="311"/>
        <v>2</v>
      </c>
      <c r="J3028" s="1323"/>
      <c r="K3028" s="1323"/>
      <c r="L3028" s="1323"/>
      <c r="M3028" s="1323"/>
      <c r="N3028" s="1323"/>
      <c r="O3028" s="1323"/>
      <c r="P3028" s="1323"/>
      <c r="Q3028" s="1323"/>
      <c r="R3028" s="1304"/>
      <c r="S3028" s="1304"/>
      <c r="T3028" s="1304"/>
    </row>
    <row r="3029" spans="1:20">
      <c r="A3029" s="1303"/>
      <c r="B3029" s="1322" t="s">
        <v>8191</v>
      </c>
      <c r="C3029" s="1323" t="s">
        <v>8192</v>
      </c>
      <c r="D3029" s="1324">
        <f t="shared" si="312"/>
        <v>37469</v>
      </c>
      <c r="E3029" s="1323">
        <f t="shared" si="308"/>
        <v>10.253</v>
      </c>
      <c r="F3029" s="1323">
        <f t="shared" si="313"/>
        <v>5.4906545905577646</v>
      </c>
      <c r="G3029" s="1323">
        <f t="shared" si="309"/>
        <v>2002</v>
      </c>
      <c r="H3029" s="1323">
        <f t="shared" si="310"/>
        <v>8</v>
      </c>
      <c r="I3029" s="1323">
        <f t="shared" si="311"/>
        <v>1</v>
      </c>
      <c r="J3029" s="1323"/>
      <c r="K3029" s="1323"/>
      <c r="L3029" s="1323"/>
      <c r="M3029" s="1323"/>
      <c r="N3029" s="1323"/>
      <c r="O3029" s="1323"/>
      <c r="P3029" s="1323"/>
      <c r="Q3029" s="1323"/>
      <c r="R3029" s="1304"/>
      <c r="S3029" s="1304"/>
      <c r="T3029" s="1304"/>
    </row>
    <row r="3030" spans="1:20">
      <c r="A3030" s="1303"/>
      <c r="B3030" s="1322" t="s">
        <v>8193</v>
      </c>
      <c r="C3030" s="1323" t="s">
        <v>8194</v>
      </c>
      <c r="D3030" s="1324">
        <f t="shared" si="312"/>
        <v>37468</v>
      </c>
      <c r="E3030" s="1323">
        <f t="shared" ref="E3030:E3093" si="314">VALUE(C3031)</f>
        <v>10.158899999999999</v>
      </c>
      <c r="F3030" s="1323">
        <f t="shared" si="313"/>
        <v>5.4896017902144356</v>
      </c>
      <c r="G3030" s="1323">
        <f t="shared" ref="G3030:G3093" si="315">YEAR(B3031)</f>
        <v>2002</v>
      </c>
      <c r="H3030" s="1323">
        <f t="shared" ref="H3030:H3093" si="316">MONTH(B3031)</f>
        <v>7</v>
      </c>
      <c r="I3030" s="1323">
        <f t="shared" ref="I3030:I3093" si="317">DAY(B3031)</f>
        <v>31</v>
      </c>
      <c r="J3030" s="1323"/>
      <c r="K3030" s="1323"/>
      <c r="L3030" s="1323"/>
      <c r="M3030" s="1323"/>
      <c r="N3030" s="1323"/>
      <c r="O3030" s="1323"/>
      <c r="P3030" s="1323"/>
      <c r="Q3030" s="1323"/>
      <c r="R3030" s="1304"/>
      <c r="S3030" s="1304"/>
      <c r="T3030" s="1304"/>
    </row>
    <row r="3031" spans="1:20">
      <c r="A3031" s="1303"/>
      <c r="B3031" s="1322" t="s">
        <v>8195</v>
      </c>
      <c r="C3031" s="1323" t="s">
        <v>8196</v>
      </c>
      <c r="D3031" s="1324">
        <f t="shared" si="312"/>
        <v>37467</v>
      </c>
      <c r="E3031" s="1323">
        <f t="shared" si="314"/>
        <v>10.170500000000001</v>
      </c>
      <c r="F3031" s="1323">
        <f t="shared" si="313"/>
        <v>5.488549191739307</v>
      </c>
      <c r="G3031" s="1323">
        <f t="shared" si="315"/>
        <v>2002</v>
      </c>
      <c r="H3031" s="1323">
        <f t="shared" si="316"/>
        <v>7</v>
      </c>
      <c r="I3031" s="1323">
        <f t="shared" si="317"/>
        <v>30</v>
      </c>
      <c r="J3031" s="1323"/>
      <c r="K3031" s="1323"/>
      <c r="L3031" s="1323"/>
      <c r="M3031" s="1323"/>
      <c r="N3031" s="1323"/>
      <c r="O3031" s="1323"/>
      <c r="P3031" s="1323"/>
      <c r="Q3031" s="1323"/>
      <c r="R3031" s="1304"/>
      <c r="S3031" s="1304"/>
      <c r="T3031" s="1304"/>
    </row>
    <row r="3032" spans="1:20">
      <c r="A3032" s="1303"/>
      <c r="B3032" s="1322" t="s">
        <v>8197</v>
      </c>
      <c r="C3032" s="1323" t="s">
        <v>8198</v>
      </c>
      <c r="D3032" s="1324">
        <f t="shared" si="312"/>
        <v>37466</v>
      </c>
      <c r="E3032" s="1323">
        <f t="shared" si="314"/>
        <v>10.206</v>
      </c>
      <c r="F3032" s="1323">
        <f t="shared" si="313"/>
        <v>5.4874967950936728</v>
      </c>
      <c r="G3032" s="1323">
        <f t="shared" si="315"/>
        <v>2002</v>
      </c>
      <c r="H3032" s="1323">
        <f t="shared" si="316"/>
        <v>7</v>
      </c>
      <c r="I3032" s="1323">
        <f t="shared" si="317"/>
        <v>29</v>
      </c>
      <c r="J3032" s="1323"/>
      <c r="K3032" s="1323"/>
      <c r="L3032" s="1323"/>
      <c r="M3032" s="1323"/>
      <c r="N3032" s="1323"/>
      <c r="O3032" s="1323"/>
      <c r="P3032" s="1323"/>
      <c r="Q3032" s="1323"/>
      <c r="R3032" s="1304"/>
      <c r="S3032" s="1304"/>
      <c r="T3032" s="1304"/>
    </row>
    <row r="3033" spans="1:20">
      <c r="A3033" s="1303"/>
      <c r="B3033" s="1322" t="s">
        <v>8199</v>
      </c>
      <c r="C3033" s="1323" t="s">
        <v>8200</v>
      </c>
      <c r="D3033" s="1324">
        <f t="shared" si="312"/>
        <v>37463</v>
      </c>
      <c r="E3033" s="1323">
        <f t="shared" si="314"/>
        <v>10.155900000000001</v>
      </c>
      <c r="F3033" s="1323">
        <f t="shared" si="313"/>
        <v>5.4864446002388325</v>
      </c>
      <c r="G3033" s="1323">
        <f t="shared" si="315"/>
        <v>2002</v>
      </c>
      <c r="H3033" s="1323">
        <f t="shared" si="316"/>
        <v>7</v>
      </c>
      <c r="I3033" s="1323">
        <f t="shared" si="317"/>
        <v>26</v>
      </c>
      <c r="J3033" s="1323"/>
      <c r="K3033" s="1323"/>
      <c r="L3033" s="1323"/>
      <c r="M3033" s="1323"/>
      <c r="N3033" s="1323"/>
      <c r="O3033" s="1323"/>
      <c r="P3033" s="1323"/>
      <c r="Q3033" s="1323"/>
      <c r="R3033" s="1304"/>
      <c r="S3033" s="1304"/>
      <c r="T3033" s="1304"/>
    </row>
    <row r="3034" spans="1:20">
      <c r="A3034" s="1303"/>
      <c r="B3034" s="1322" t="s">
        <v>8201</v>
      </c>
      <c r="C3034" s="1323" t="s">
        <v>8202</v>
      </c>
      <c r="D3034" s="1324">
        <f t="shared" si="312"/>
        <v>37462</v>
      </c>
      <c r="E3034" s="1323">
        <f t="shared" si="314"/>
        <v>10.245799999999999</v>
      </c>
      <c r="F3034" s="1323">
        <f t="shared" si="313"/>
        <v>5.4853926071360943</v>
      </c>
      <c r="G3034" s="1323">
        <f t="shared" si="315"/>
        <v>2002</v>
      </c>
      <c r="H3034" s="1323">
        <f t="shared" si="316"/>
        <v>7</v>
      </c>
      <c r="I3034" s="1323">
        <f t="shared" si="317"/>
        <v>25</v>
      </c>
      <c r="J3034" s="1323"/>
      <c r="K3034" s="1323"/>
      <c r="L3034" s="1323"/>
      <c r="M3034" s="1323"/>
      <c r="N3034" s="1323"/>
      <c r="O3034" s="1323"/>
      <c r="P3034" s="1323"/>
      <c r="Q3034" s="1323"/>
      <c r="R3034" s="1304"/>
      <c r="S3034" s="1304"/>
      <c r="T3034" s="1304"/>
    </row>
    <row r="3035" spans="1:20">
      <c r="A3035" s="1303"/>
      <c r="B3035" s="1322" t="s">
        <v>8203</v>
      </c>
      <c r="C3035" s="1323" t="s">
        <v>8204</v>
      </c>
      <c r="D3035" s="1324">
        <f t="shared" si="312"/>
        <v>37461</v>
      </c>
      <c r="E3035" s="1323">
        <f t="shared" si="314"/>
        <v>10.1791</v>
      </c>
      <c r="F3035" s="1323">
        <f t="shared" si="313"/>
        <v>5.4843408157467728</v>
      </c>
      <c r="G3035" s="1323">
        <f t="shared" si="315"/>
        <v>2002</v>
      </c>
      <c r="H3035" s="1323">
        <f t="shared" si="316"/>
        <v>7</v>
      </c>
      <c r="I3035" s="1323">
        <f t="shared" si="317"/>
        <v>24</v>
      </c>
      <c r="J3035" s="1323"/>
      <c r="K3035" s="1323"/>
      <c r="L3035" s="1323"/>
      <c r="M3035" s="1323"/>
      <c r="N3035" s="1323"/>
      <c r="O3035" s="1323"/>
      <c r="P3035" s="1323"/>
      <c r="Q3035" s="1323"/>
      <c r="R3035" s="1304"/>
      <c r="S3035" s="1304"/>
      <c r="T3035" s="1304"/>
    </row>
    <row r="3036" spans="1:20">
      <c r="A3036" s="1303"/>
      <c r="B3036" s="1322" t="s">
        <v>8205</v>
      </c>
      <c r="C3036" s="1323" t="s">
        <v>8206</v>
      </c>
      <c r="D3036" s="1324">
        <f t="shared" si="312"/>
        <v>37460</v>
      </c>
      <c r="E3036" s="1323">
        <f t="shared" si="314"/>
        <v>10.081</v>
      </c>
      <c r="F3036" s="1323">
        <f t="shared" si="313"/>
        <v>5.4832892260321913</v>
      </c>
      <c r="G3036" s="1323">
        <f t="shared" si="315"/>
        <v>2002</v>
      </c>
      <c r="H3036" s="1323">
        <f t="shared" si="316"/>
        <v>7</v>
      </c>
      <c r="I3036" s="1323">
        <f t="shared" si="317"/>
        <v>23</v>
      </c>
      <c r="J3036" s="1323"/>
      <c r="K3036" s="1323"/>
      <c r="L3036" s="1323"/>
      <c r="M3036" s="1323"/>
      <c r="N3036" s="1323"/>
      <c r="O3036" s="1323"/>
      <c r="P3036" s="1323"/>
      <c r="Q3036" s="1323"/>
      <c r="R3036" s="1304"/>
      <c r="S3036" s="1304"/>
      <c r="T3036" s="1304"/>
    </row>
    <row r="3037" spans="1:20">
      <c r="A3037" s="1303"/>
      <c r="B3037" s="1322" t="s">
        <v>8207</v>
      </c>
      <c r="C3037" s="1323" t="s">
        <v>8208</v>
      </c>
      <c r="D3037" s="1324">
        <f t="shared" si="312"/>
        <v>37459</v>
      </c>
      <c r="E3037" s="1323">
        <f t="shared" si="314"/>
        <v>9.9791000000000007</v>
      </c>
      <c r="F3037" s="1323">
        <f t="shared" si="313"/>
        <v>5.4822378379536794</v>
      </c>
      <c r="G3037" s="1323">
        <f t="shared" si="315"/>
        <v>2002</v>
      </c>
      <c r="H3037" s="1323">
        <f t="shared" si="316"/>
        <v>7</v>
      </c>
      <c r="I3037" s="1323">
        <f t="shared" si="317"/>
        <v>22</v>
      </c>
      <c r="J3037" s="1323"/>
      <c r="K3037" s="1323"/>
      <c r="L3037" s="1323"/>
      <c r="M3037" s="1323"/>
      <c r="N3037" s="1323"/>
      <c r="O3037" s="1323"/>
      <c r="P3037" s="1323"/>
      <c r="Q3037" s="1323"/>
      <c r="R3037" s="1304"/>
      <c r="S3037" s="1304"/>
      <c r="T3037" s="1304"/>
    </row>
    <row r="3038" spans="1:20">
      <c r="A3038" s="1303"/>
      <c r="B3038" s="1322" t="s">
        <v>8209</v>
      </c>
      <c r="C3038" s="1323" t="s">
        <v>8210</v>
      </c>
      <c r="D3038" s="1324">
        <f t="shared" si="312"/>
        <v>37456</v>
      </c>
      <c r="E3038" s="1323">
        <f t="shared" si="314"/>
        <v>9.9731000000000005</v>
      </c>
      <c r="F3038" s="1323">
        <f t="shared" si="313"/>
        <v>5.4811866514725747</v>
      </c>
      <c r="G3038" s="1323">
        <f t="shared" si="315"/>
        <v>2002</v>
      </c>
      <c r="H3038" s="1323">
        <f t="shared" si="316"/>
        <v>7</v>
      </c>
      <c r="I3038" s="1323">
        <f t="shared" si="317"/>
        <v>19</v>
      </c>
      <c r="J3038" s="1323"/>
      <c r="K3038" s="1323"/>
      <c r="L3038" s="1323"/>
      <c r="M3038" s="1323"/>
      <c r="N3038" s="1323"/>
      <c r="O3038" s="1323"/>
      <c r="P3038" s="1323"/>
      <c r="Q3038" s="1323"/>
      <c r="R3038" s="1304"/>
      <c r="S3038" s="1304"/>
      <c r="T3038" s="1304"/>
    </row>
    <row r="3039" spans="1:20">
      <c r="A3039" s="1303"/>
      <c r="B3039" s="1322" t="s">
        <v>8211</v>
      </c>
      <c r="C3039" s="1323" t="s">
        <v>8212</v>
      </c>
      <c r="D3039" s="1324">
        <f t="shared" si="312"/>
        <v>37455</v>
      </c>
      <c r="E3039" s="1323">
        <f t="shared" si="314"/>
        <v>10.117100000000001</v>
      </c>
      <c r="F3039" s="1323">
        <f t="shared" si="313"/>
        <v>5.4801356665502228</v>
      </c>
      <c r="G3039" s="1323">
        <f t="shared" si="315"/>
        <v>2002</v>
      </c>
      <c r="H3039" s="1323">
        <f t="shared" si="316"/>
        <v>7</v>
      </c>
      <c r="I3039" s="1323">
        <f t="shared" si="317"/>
        <v>18</v>
      </c>
      <c r="J3039" s="1323"/>
      <c r="K3039" s="1323"/>
      <c r="L3039" s="1323"/>
      <c r="M3039" s="1323"/>
      <c r="N3039" s="1323"/>
      <c r="O3039" s="1323"/>
      <c r="P3039" s="1323"/>
      <c r="Q3039" s="1323"/>
      <c r="R3039" s="1304"/>
      <c r="S3039" s="1304"/>
      <c r="T3039" s="1304"/>
    </row>
    <row r="3040" spans="1:20">
      <c r="A3040" s="1303"/>
      <c r="B3040" s="1322" t="s">
        <v>8213</v>
      </c>
      <c r="C3040" s="1323" t="s">
        <v>8214</v>
      </c>
      <c r="D3040" s="1324">
        <f t="shared" si="312"/>
        <v>37454</v>
      </c>
      <c r="E3040" s="1323">
        <f t="shared" si="314"/>
        <v>10.126899999999999</v>
      </c>
      <c r="F3040" s="1323">
        <f t="shared" si="313"/>
        <v>5.4790848831479746</v>
      </c>
      <c r="G3040" s="1323">
        <f t="shared" si="315"/>
        <v>2002</v>
      </c>
      <c r="H3040" s="1323">
        <f t="shared" si="316"/>
        <v>7</v>
      </c>
      <c r="I3040" s="1323">
        <f t="shared" si="317"/>
        <v>17</v>
      </c>
      <c r="J3040" s="1323"/>
      <c r="K3040" s="1323"/>
      <c r="L3040" s="1323"/>
      <c r="M3040" s="1323"/>
      <c r="N3040" s="1323"/>
      <c r="O3040" s="1323"/>
      <c r="P3040" s="1323"/>
      <c r="Q3040" s="1323"/>
      <c r="R3040" s="1304"/>
      <c r="S3040" s="1304"/>
      <c r="T3040" s="1304"/>
    </row>
    <row r="3041" spans="1:20">
      <c r="A3041" s="1303"/>
      <c r="B3041" s="1322" t="s">
        <v>8215</v>
      </c>
      <c r="C3041" s="1323" t="s">
        <v>8216</v>
      </c>
      <c r="D3041" s="1324">
        <f t="shared" si="312"/>
        <v>37453</v>
      </c>
      <c r="E3041" s="1323">
        <f t="shared" si="314"/>
        <v>10.0749</v>
      </c>
      <c r="F3041" s="1323">
        <f t="shared" si="313"/>
        <v>5.4780343012271908</v>
      </c>
      <c r="G3041" s="1323">
        <f t="shared" si="315"/>
        <v>2002</v>
      </c>
      <c r="H3041" s="1323">
        <f t="shared" si="316"/>
        <v>7</v>
      </c>
      <c r="I3041" s="1323">
        <f t="shared" si="317"/>
        <v>16</v>
      </c>
      <c r="J3041" s="1323"/>
      <c r="K3041" s="1323"/>
      <c r="L3041" s="1323"/>
      <c r="M3041" s="1323"/>
      <c r="N3041" s="1323"/>
      <c r="O3041" s="1323"/>
      <c r="P3041" s="1323"/>
      <c r="Q3041" s="1323"/>
      <c r="R3041" s="1304"/>
      <c r="S3041" s="1304"/>
      <c r="T3041" s="1304"/>
    </row>
    <row r="3042" spans="1:20">
      <c r="A3042" s="1303"/>
      <c r="B3042" s="1322" t="s">
        <v>8217</v>
      </c>
      <c r="C3042" s="1323" t="s">
        <v>8218</v>
      </c>
      <c r="D3042" s="1324">
        <f t="shared" si="312"/>
        <v>37452</v>
      </c>
      <c r="E3042" s="1323">
        <f t="shared" si="314"/>
        <v>10.044700000000001</v>
      </c>
      <c r="F3042" s="1323">
        <f t="shared" si="313"/>
        <v>5.4769839207492383</v>
      </c>
      <c r="G3042" s="1323">
        <f t="shared" si="315"/>
        <v>2002</v>
      </c>
      <c r="H3042" s="1323">
        <f t="shared" si="316"/>
        <v>7</v>
      </c>
      <c r="I3042" s="1323">
        <f t="shared" si="317"/>
        <v>15</v>
      </c>
      <c r="J3042" s="1323"/>
      <c r="K3042" s="1323"/>
      <c r="L3042" s="1323"/>
      <c r="M3042" s="1323"/>
      <c r="N3042" s="1323"/>
      <c r="O3042" s="1323"/>
      <c r="P3042" s="1323"/>
      <c r="Q3042" s="1323"/>
      <c r="R3042" s="1304"/>
      <c r="S3042" s="1304"/>
      <c r="T3042" s="1304"/>
    </row>
    <row r="3043" spans="1:20">
      <c r="A3043" s="1303"/>
      <c r="B3043" s="1322" t="s">
        <v>8219</v>
      </c>
      <c r="C3043" s="1323" t="s">
        <v>8220</v>
      </c>
      <c r="D3043" s="1324">
        <f t="shared" si="312"/>
        <v>37449</v>
      </c>
      <c r="E3043" s="1323">
        <f t="shared" si="314"/>
        <v>10.0814</v>
      </c>
      <c r="F3043" s="1323">
        <f t="shared" si="313"/>
        <v>5.4759337416754921</v>
      </c>
      <c r="G3043" s="1323">
        <f t="shared" si="315"/>
        <v>2002</v>
      </c>
      <c r="H3043" s="1323">
        <f t="shared" si="316"/>
        <v>7</v>
      </c>
      <c r="I3043" s="1323">
        <f t="shared" si="317"/>
        <v>12</v>
      </c>
      <c r="J3043" s="1323"/>
      <c r="K3043" s="1323"/>
      <c r="L3043" s="1323"/>
      <c r="M3043" s="1323"/>
      <c r="N3043" s="1323"/>
      <c r="O3043" s="1323"/>
      <c r="P3043" s="1323"/>
      <c r="Q3043" s="1323"/>
      <c r="R3043" s="1304"/>
      <c r="S3043" s="1304"/>
      <c r="T3043" s="1304"/>
    </row>
    <row r="3044" spans="1:20">
      <c r="A3044" s="1303"/>
      <c r="B3044" s="1322" t="s">
        <v>8221</v>
      </c>
      <c r="C3044" s="1323" t="s">
        <v>8222</v>
      </c>
      <c r="D3044" s="1324">
        <f t="shared" si="312"/>
        <v>37448</v>
      </c>
      <c r="E3044" s="1323">
        <f t="shared" si="314"/>
        <v>10.0062</v>
      </c>
      <c r="F3044" s="1323">
        <f t="shared" si="313"/>
        <v>5.474883763967334</v>
      </c>
      <c r="G3044" s="1323">
        <f t="shared" si="315"/>
        <v>2002</v>
      </c>
      <c r="H3044" s="1323">
        <f t="shared" si="316"/>
        <v>7</v>
      </c>
      <c r="I3044" s="1323">
        <f t="shared" si="317"/>
        <v>11</v>
      </c>
      <c r="J3044" s="1323"/>
      <c r="K3044" s="1323"/>
      <c r="L3044" s="1323"/>
      <c r="M3044" s="1323"/>
      <c r="N3044" s="1323"/>
      <c r="O3044" s="1323"/>
      <c r="P3044" s="1323"/>
      <c r="Q3044" s="1323"/>
      <c r="R3044" s="1304"/>
      <c r="S3044" s="1304"/>
      <c r="T3044" s="1304"/>
    </row>
    <row r="3045" spans="1:20">
      <c r="A3045" s="1303"/>
      <c r="B3045" s="1322" t="s">
        <v>8223</v>
      </c>
      <c r="C3045" s="1323" t="s">
        <v>8224</v>
      </c>
      <c r="D3045" s="1324">
        <f t="shared" si="312"/>
        <v>37447</v>
      </c>
      <c r="E3045" s="1323">
        <f t="shared" si="314"/>
        <v>9.9702000000000002</v>
      </c>
      <c r="F3045" s="1323">
        <f t="shared" si="313"/>
        <v>5.4738339875861532</v>
      </c>
      <c r="G3045" s="1323">
        <f t="shared" si="315"/>
        <v>2002</v>
      </c>
      <c r="H3045" s="1323">
        <f t="shared" si="316"/>
        <v>7</v>
      </c>
      <c r="I3045" s="1323">
        <f t="shared" si="317"/>
        <v>10</v>
      </c>
      <c r="J3045" s="1323"/>
      <c r="K3045" s="1323"/>
      <c r="L3045" s="1323"/>
      <c r="M3045" s="1323"/>
      <c r="N3045" s="1323"/>
      <c r="O3045" s="1323"/>
      <c r="P3045" s="1323"/>
      <c r="Q3045" s="1323"/>
      <c r="R3045" s="1304"/>
      <c r="S3045" s="1304"/>
      <c r="T3045" s="1304"/>
    </row>
    <row r="3046" spans="1:20">
      <c r="A3046" s="1303"/>
      <c r="B3046" s="1322" t="s">
        <v>8225</v>
      </c>
      <c r="C3046" s="1323" t="s">
        <v>8226</v>
      </c>
      <c r="D3046" s="1324">
        <f t="shared" si="312"/>
        <v>37446</v>
      </c>
      <c r="E3046" s="1323">
        <f t="shared" si="314"/>
        <v>10.0748</v>
      </c>
      <c r="F3046" s="1323">
        <f t="shared" si="313"/>
        <v>5.472784412493346</v>
      </c>
      <c r="G3046" s="1323">
        <f t="shared" si="315"/>
        <v>2002</v>
      </c>
      <c r="H3046" s="1323">
        <f t="shared" si="316"/>
        <v>7</v>
      </c>
      <c r="I3046" s="1323">
        <f t="shared" si="317"/>
        <v>9</v>
      </c>
      <c r="J3046" s="1323"/>
      <c r="K3046" s="1323"/>
      <c r="L3046" s="1323"/>
      <c r="M3046" s="1323"/>
      <c r="N3046" s="1323"/>
      <c r="O3046" s="1323"/>
      <c r="P3046" s="1323"/>
      <c r="Q3046" s="1323"/>
      <c r="R3046" s="1304"/>
      <c r="S3046" s="1304"/>
      <c r="T3046" s="1304"/>
    </row>
    <row r="3047" spans="1:20">
      <c r="A3047" s="1303"/>
      <c r="B3047" s="1322" t="s">
        <v>8227</v>
      </c>
      <c r="C3047" s="1323" t="s">
        <v>8228</v>
      </c>
      <c r="D3047" s="1324">
        <f t="shared" si="312"/>
        <v>37445</v>
      </c>
      <c r="E3047" s="1323">
        <f t="shared" si="314"/>
        <v>10.0862</v>
      </c>
      <c r="F3047" s="1323">
        <f t="shared" si="313"/>
        <v>5.4717350386503174</v>
      </c>
      <c r="G3047" s="1323">
        <f t="shared" si="315"/>
        <v>2002</v>
      </c>
      <c r="H3047" s="1323">
        <f t="shared" si="316"/>
        <v>7</v>
      </c>
      <c r="I3047" s="1323">
        <f t="shared" si="317"/>
        <v>8</v>
      </c>
      <c r="J3047" s="1323"/>
      <c r="K3047" s="1323"/>
      <c r="L3047" s="1323"/>
      <c r="M3047" s="1323"/>
      <c r="N3047" s="1323"/>
      <c r="O3047" s="1323"/>
      <c r="P3047" s="1323"/>
      <c r="Q3047" s="1323"/>
      <c r="R3047" s="1304"/>
      <c r="S3047" s="1304"/>
      <c r="T3047" s="1304"/>
    </row>
    <row r="3048" spans="1:20">
      <c r="A3048" s="1303"/>
      <c r="B3048" s="1322" t="s">
        <v>8229</v>
      </c>
      <c r="C3048" s="1323" t="s">
        <v>8230</v>
      </c>
      <c r="D3048" s="1324">
        <f t="shared" si="312"/>
        <v>37442</v>
      </c>
      <c r="E3048" s="1323">
        <f t="shared" si="314"/>
        <v>10.1943</v>
      </c>
      <c r="F3048" s="1323">
        <f t="shared" si="313"/>
        <v>5.4706858660184778</v>
      </c>
      <c r="G3048" s="1323">
        <f t="shared" si="315"/>
        <v>2002</v>
      </c>
      <c r="H3048" s="1323">
        <f t="shared" si="316"/>
        <v>7</v>
      </c>
      <c r="I3048" s="1323">
        <f t="shared" si="317"/>
        <v>5</v>
      </c>
      <c r="J3048" s="1323"/>
      <c r="K3048" s="1323"/>
      <c r="L3048" s="1323"/>
      <c r="M3048" s="1323"/>
      <c r="N3048" s="1323"/>
      <c r="O3048" s="1323"/>
      <c r="P3048" s="1323"/>
      <c r="Q3048" s="1323"/>
      <c r="R3048" s="1304"/>
      <c r="S3048" s="1304"/>
      <c r="T3048" s="1304"/>
    </row>
    <row r="3049" spans="1:20">
      <c r="A3049" s="1303"/>
      <c r="B3049" s="1322" t="s">
        <v>8231</v>
      </c>
      <c r="C3049" s="1323" t="s">
        <v>8232</v>
      </c>
      <c r="D3049" s="1324">
        <f t="shared" si="312"/>
        <v>37441</v>
      </c>
      <c r="E3049" s="1323">
        <f t="shared" si="314"/>
        <v>10.208399999999999</v>
      </c>
      <c r="F3049" s="1323">
        <f t="shared" si="313"/>
        <v>5.4696368945592475</v>
      </c>
      <c r="G3049" s="1323">
        <f t="shared" si="315"/>
        <v>2002</v>
      </c>
      <c r="H3049" s="1323">
        <f t="shared" si="316"/>
        <v>7</v>
      </c>
      <c r="I3049" s="1323">
        <f t="shared" si="317"/>
        <v>4</v>
      </c>
      <c r="J3049" s="1323"/>
      <c r="K3049" s="1323"/>
      <c r="L3049" s="1323"/>
      <c r="M3049" s="1323"/>
      <c r="N3049" s="1323"/>
      <c r="O3049" s="1323"/>
      <c r="P3049" s="1323"/>
      <c r="Q3049" s="1323"/>
      <c r="R3049" s="1304"/>
      <c r="S3049" s="1304"/>
      <c r="T3049" s="1304"/>
    </row>
    <row r="3050" spans="1:20">
      <c r="A3050" s="1303"/>
      <c r="B3050" s="1322" t="s">
        <v>8233</v>
      </c>
      <c r="C3050" s="1323" t="s">
        <v>8234</v>
      </c>
      <c r="D3050" s="1324">
        <f t="shared" si="312"/>
        <v>37440</v>
      </c>
      <c r="E3050" s="1323">
        <f t="shared" si="314"/>
        <v>10.1419</v>
      </c>
      <c r="F3050" s="1323">
        <f t="shared" si="313"/>
        <v>5.4685881242340519</v>
      </c>
      <c r="G3050" s="1323">
        <f t="shared" si="315"/>
        <v>2002</v>
      </c>
      <c r="H3050" s="1323">
        <f t="shared" si="316"/>
        <v>7</v>
      </c>
      <c r="I3050" s="1323">
        <f t="shared" si="317"/>
        <v>3</v>
      </c>
      <c r="J3050" s="1323"/>
      <c r="K3050" s="1323"/>
      <c r="L3050" s="1323"/>
      <c r="M3050" s="1323"/>
      <c r="N3050" s="1323"/>
      <c r="O3050" s="1323"/>
      <c r="P3050" s="1323"/>
      <c r="Q3050" s="1323"/>
      <c r="R3050" s="1304"/>
      <c r="S3050" s="1304"/>
      <c r="T3050" s="1304"/>
    </row>
    <row r="3051" spans="1:20">
      <c r="A3051" s="1303"/>
      <c r="B3051" s="1322" t="s">
        <v>8235</v>
      </c>
      <c r="C3051" s="1323" t="s">
        <v>8236</v>
      </c>
      <c r="D3051" s="1324">
        <f t="shared" si="312"/>
        <v>37439</v>
      </c>
      <c r="E3051" s="1323">
        <f t="shared" si="314"/>
        <v>10.096</v>
      </c>
      <c r="F3051" s="1323">
        <f t="shared" si="313"/>
        <v>5.4675395550043246</v>
      </c>
      <c r="G3051" s="1323">
        <f t="shared" si="315"/>
        <v>2002</v>
      </c>
      <c r="H3051" s="1323">
        <f t="shared" si="316"/>
        <v>7</v>
      </c>
      <c r="I3051" s="1323">
        <f t="shared" si="317"/>
        <v>2</v>
      </c>
      <c r="J3051" s="1323"/>
      <c r="K3051" s="1323"/>
      <c r="L3051" s="1323"/>
      <c r="M3051" s="1323"/>
      <c r="N3051" s="1323"/>
      <c r="O3051" s="1323"/>
      <c r="P3051" s="1323"/>
      <c r="Q3051" s="1323"/>
      <c r="R3051" s="1304"/>
      <c r="S3051" s="1304"/>
      <c r="T3051" s="1304"/>
    </row>
    <row r="3052" spans="1:20">
      <c r="A3052" s="1303"/>
      <c r="B3052" s="1322" t="s">
        <v>8237</v>
      </c>
      <c r="C3052" s="1323" t="s">
        <v>8238</v>
      </c>
      <c r="D3052" s="1324">
        <f t="shared" si="312"/>
        <v>37438</v>
      </c>
      <c r="E3052" s="1323">
        <f t="shared" si="314"/>
        <v>10.257899999999999</v>
      </c>
      <c r="F3052" s="1323">
        <f t="shared" si="313"/>
        <v>5.4664911868315071</v>
      </c>
      <c r="G3052" s="1323">
        <f t="shared" si="315"/>
        <v>2002</v>
      </c>
      <c r="H3052" s="1323">
        <f t="shared" si="316"/>
        <v>7</v>
      </c>
      <c r="I3052" s="1323">
        <f t="shared" si="317"/>
        <v>1</v>
      </c>
      <c r="J3052" s="1323"/>
      <c r="K3052" s="1323"/>
      <c r="L3052" s="1323"/>
      <c r="M3052" s="1323"/>
      <c r="N3052" s="1323"/>
      <c r="O3052" s="1323"/>
      <c r="P3052" s="1323"/>
      <c r="Q3052" s="1323"/>
      <c r="R3052" s="1304"/>
      <c r="S3052" s="1304"/>
      <c r="T3052" s="1304"/>
    </row>
    <row r="3053" spans="1:20">
      <c r="A3053" s="1303"/>
      <c r="B3053" s="1322" t="s">
        <v>8239</v>
      </c>
      <c r="C3053" s="1323" t="s">
        <v>8240</v>
      </c>
      <c r="D3053" s="1324">
        <f t="shared" si="312"/>
        <v>37435</v>
      </c>
      <c r="E3053" s="1323">
        <f t="shared" si="314"/>
        <v>10.3749</v>
      </c>
      <c r="F3053" s="1323">
        <f t="shared" si="313"/>
        <v>5.465443019677048</v>
      </c>
      <c r="G3053" s="1323">
        <f t="shared" si="315"/>
        <v>2002</v>
      </c>
      <c r="H3053" s="1323">
        <f t="shared" si="316"/>
        <v>6</v>
      </c>
      <c r="I3053" s="1323">
        <f t="shared" si="317"/>
        <v>28</v>
      </c>
      <c r="J3053" s="1323"/>
      <c r="K3053" s="1323"/>
      <c r="L3053" s="1323"/>
      <c r="M3053" s="1323"/>
      <c r="N3053" s="1323"/>
      <c r="O3053" s="1323"/>
      <c r="P3053" s="1323"/>
      <c r="Q3053" s="1323"/>
      <c r="R3053" s="1304"/>
      <c r="S3053" s="1304"/>
      <c r="T3053" s="1304"/>
    </row>
    <row r="3054" spans="1:20">
      <c r="A3054" s="1303"/>
      <c r="B3054" s="1322" t="s">
        <v>8241</v>
      </c>
      <c r="C3054" s="1323" t="s">
        <v>8242</v>
      </c>
      <c r="D3054" s="1324">
        <f t="shared" si="312"/>
        <v>37434</v>
      </c>
      <c r="E3054" s="1323">
        <f t="shared" si="314"/>
        <v>10.343</v>
      </c>
      <c r="F3054" s="1323">
        <f t="shared" si="313"/>
        <v>5.464395053502404</v>
      </c>
      <c r="G3054" s="1323">
        <f t="shared" si="315"/>
        <v>2002</v>
      </c>
      <c r="H3054" s="1323">
        <f t="shared" si="316"/>
        <v>6</v>
      </c>
      <c r="I3054" s="1323">
        <f t="shared" si="317"/>
        <v>27</v>
      </c>
      <c r="J3054" s="1323"/>
      <c r="K3054" s="1323"/>
      <c r="L3054" s="1323"/>
      <c r="M3054" s="1323"/>
      <c r="N3054" s="1323"/>
      <c r="O3054" s="1323"/>
      <c r="P3054" s="1323"/>
      <c r="Q3054" s="1323"/>
      <c r="R3054" s="1304"/>
      <c r="S3054" s="1304"/>
      <c r="T3054" s="1304"/>
    </row>
    <row r="3055" spans="1:20">
      <c r="A3055" s="1303"/>
      <c r="B3055" s="1322" t="s">
        <v>8243</v>
      </c>
      <c r="C3055" s="1323" t="s">
        <v>8244</v>
      </c>
      <c r="D3055" s="1324">
        <f t="shared" si="312"/>
        <v>37433</v>
      </c>
      <c r="E3055" s="1323">
        <f t="shared" si="314"/>
        <v>10.3475</v>
      </c>
      <c r="F3055" s="1323">
        <f t="shared" si="313"/>
        <v>5.4633472882690368</v>
      </c>
      <c r="G3055" s="1323">
        <f t="shared" si="315"/>
        <v>2002</v>
      </c>
      <c r="H3055" s="1323">
        <f t="shared" si="316"/>
        <v>6</v>
      </c>
      <c r="I3055" s="1323">
        <f t="shared" si="317"/>
        <v>26</v>
      </c>
      <c r="J3055" s="1323"/>
      <c r="K3055" s="1323"/>
      <c r="L3055" s="1323"/>
      <c r="M3055" s="1323"/>
      <c r="N3055" s="1323"/>
      <c r="O3055" s="1323"/>
      <c r="P3055" s="1323"/>
      <c r="Q3055" s="1323"/>
      <c r="R3055" s="1304"/>
      <c r="S3055" s="1304"/>
      <c r="T3055" s="1304"/>
    </row>
    <row r="3056" spans="1:20">
      <c r="A3056" s="1303"/>
      <c r="B3056" s="1322" t="s">
        <v>8245</v>
      </c>
      <c r="C3056" s="1323" t="s">
        <v>8246</v>
      </c>
      <c r="D3056" s="1324">
        <f t="shared" si="312"/>
        <v>37432</v>
      </c>
      <c r="E3056" s="1323">
        <f t="shared" si="314"/>
        <v>10.332800000000001</v>
      </c>
      <c r="F3056" s="1323">
        <f t="shared" si="313"/>
        <v>5.4622997239384183</v>
      </c>
      <c r="G3056" s="1323">
        <f t="shared" si="315"/>
        <v>2002</v>
      </c>
      <c r="H3056" s="1323">
        <f t="shared" si="316"/>
        <v>6</v>
      </c>
      <c r="I3056" s="1323">
        <f t="shared" si="317"/>
        <v>25</v>
      </c>
      <c r="J3056" s="1323"/>
      <c r="K3056" s="1323"/>
      <c r="L3056" s="1323"/>
      <c r="M3056" s="1323"/>
      <c r="N3056" s="1323"/>
      <c r="O3056" s="1323"/>
      <c r="P3056" s="1323"/>
      <c r="Q3056" s="1323"/>
      <c r="R3056" s="1304"/>
      <c r="S3056" s="1304"/>
      <c r="T3056" s="1304"/>
    </row>
    <row r="3057" spans="1:20">
      <c r="A3057" s="1303"/>
      <c r="B3057" s="1322" t="s">
        <v>8247</v>
      </c>
      <c r="C3057" s="1323" t="s">
        <v>8248</v>
      </c>
      <c r="D3057" s="1324">
        <f t="shared" si="312"/>
        <v>37431</v>
      </c>
      <c r="E3057" s="1323">
        <f t="shared" si="314"/>
        <v>10.356299999999999</v>
      </c>
      <c r="F3057" s="1323">
        <f t="shared" si="313"/>
        <v>5.4612523604720264</v>
      </c>
      <c r="G3057" s="1323">
        <f t="shared" si="315"/>
        <v>2002</v>
      </c>
      <c r="H3057" s="1323">
        <f t="shared" si="316"/>
        <v>6</v>
      </c>
      <c r="I3057" s="1323">
        <f t="shared" si="317"/>
        <v>24</v>
      </c>
      <c r="J3057" s="1323"/>
      <c r="K3057" s="1323"/>
      <c r="L3057" s="1323"/>
      <c r="M3057" s="1323"/>
      <c r="N3057" s="1323"/>
      <c r="O3057" s="1323"/>
      <c r="P3057" s="1323"/>
      <c r="Q3057" s="1323"/>
      <c r="R3057" s="1304"/>
      <c r="S3057" s="1304"/>
      <c r="T3057" s="1304"/>
    </row>
    <row r="3058" spans="1:20">
      <c r="A3058" s="1303"/>
      <c r="B3058" s="1322" t="s">
        <v>8249</v>
      </c>
      <c r="C3058" s="1323" t="s">
        <v>8250</v>
      </c>
      <c r="D3058" s="1324">
        <f t="shared" si="312"/>
        <v>37428</v>
      </c>
      <c r="E3058" s="1323">
        <f t="shared" si="314"/>
        <v>10.477</v>
      </c>
      <c r="F3058" s="1323">
        <f t="shared" si="313"/>
        <v>5.4602051978313462</v>
      </c>
      <c r="G3058" s="1323">
        <f t="shared" si="315"/>
        <v>2002</v>
      </c>
      <c r="H3058" s="1323">
        <f t="shared" si="316"/>
        <v>6</v>
      </c>
      <c r="I3058" s="1323">
        <f t="shared" si="317"/>
        <v>21</v>
      </c>
      <c r="J3058" s="1323"/>
      <c r="K3058" s="1323"/>
      <c r="L3058" s="1323"/>
      <c r="M3058" s="1323"/>
      <c r="N3058" s="1323"/>
      <c r="O3058" s="1323"/>
      <c r="P3058" s="1323"/>
      <c r="Q3058" s="1323"/>
      <c r="R3058" s="1304"/>
      <c r="S3058" s="1304"/>
      <c r="T3058" s="1304"/>
    </row>
    <row r="3059" spans="1:20">
      <c r="A3059" s="1303"/>
      <c r="B3059" s="1322" t="s">
        <v>8251</v>
      </c>
      <c r="C3059" s="1323" t="s">
        <v>8252</v>
      </c>
      <c r="D3059" s="1324">
        <f t="shared" si="312"/>
        <v>37427</v>
      </c>
      <c r="E3059" s="1323">
        <f t="shared" si="314"/>
        <v>10.2059</v>
      </c>
      <c r="F3059" s="1323">
        <f t="shared" si="313"/>
        <v>5.4591582359778705</v>
      </c>
      <c r="G3059" s="1323">
        <f t="shared" si="315"/>
        <v>2002</v>
      </c>
      <c r="H3059" s="1323">
        <f t="shared" si="316"/>
        <v>6</v>
      </c>
      <c r="I3059" s="1323">
        <f t="shared" si="317"/>
        <v>20</v>
      </c>
      <c r="J3059" s="1323"/>
      <c r="K3059" s="1323"/>
      <c r="L3059" s="1323"/>
      <c r="M3059" s="1323"/>
      <c r="N3059" s="1323"/>
      <c r="O3059" s="1323"/>
      <c r="P3059" s="1323"/>
      <c r="Q3059" s="1323"/>
      <c r="R3059" s="1304"/>
      <c r="S3059" s="1304"/>
      <c r="T3059" s="1304"/>
    </row>
    <row r="3060" spans="1:20">
      <c r="A3060" s="1303"/>
      <c r="B3060" s="1322" t="s">
        <v>8253</v>
      </c>
      <c r="C3060" s="1323" t="s">
        <v>2775</v>
      </c>
      <c r="D3060" s="1324">
        <f t="shared" si="312"/>
        <v>37426</v>
      </c>
      <c r="E3060" s="1323">
        <f t="shared" si="314"/>
        <v>10.225</v>
      </c>
      <c r="F3060" s="1323">
        <f t="shared" si="313"/>
        <v>5.4581114748731006</v>
      </c>
      <c r="G3060" s="1323">
        <f t="shared" si="315"/>
        <v>2002</v>
      </c>
      <c r="H3060" s="1323">
        <f t="shared" si="316"/>
        <v>6</v>
      </c>
      <c r="I3060" s="1323">
        <f t="shared" si="317"/>
        <v>19</v>
      </c>
      <c r="J3060" s="1323"/>
      <c r="K3060" s="1323"/>
      <c r="L3060" s="1323"/>
      <c r="M3060" s="1323"/>
      <c r="N3060" s="1323"/>
      <c r="O3060" s="1323"/>
      <c r="P3060" s="1323"/>
      <c r="Q3060" s="1323"/>
      <c r="R3060" s="1304"/>
      <c r="S3060" s="1304"/>
      <c r="T3060" s="1304"/>
    </row>
    <row r="3061" spans="1:20">
      <c r="A3061" s="1303"/>
      <c r="B3061" s="1322" t="s">
        <v>8254</v>
      </c>
      <c r="C3061" s="1323" t="s">
        <v>8255</v>
      </c>
      <c r="D3061" s="1324">
        <f t="shared" si="312"/>
        <v>37425</v>
      </c>
      <c r="E3061" s="1323">
        <f t="shared" si="314"/>
        <v>10.5479</v>
      </c>
      <c r="F3061" s="1323">
        <f t="shared" si="313"/>
        <v>5.4570649144785426</v>
      </c>
      <c r="G3061" s="1323">
        <f t="shared" si="315"/>
        <v>2002</v>
      </c>
      <c r="H3061" s="1323">
        <f t="shared" si="316"/>
        <v>6</v>
      </c>
      <c r="I3061" s="1323">
        <f t="shared" si="317"/>
        <v>18</v>
      </c>
      <c r="J3061" s="1323"/>
      <c r="K3061" s="1323"/>
      <c r="L3061" s="1323"/>
      <c r="M3061" s="1323"/>
      <c r="N3061" s="1323"/>
      <c r="O3061" s="1323"/>
      <c r="P3061" s="1323"/>
      <c r="Q3061" s="1323"/>
      <c r="R3061" s="1304"/>
      <c r="S3061" s="1304"/>
      <c r="T3061" s="1304"/>
    </row>
    <row r="3062" spans="1:20">
      <c r="A3062" s="1303"/>
      <c r="B3062" s="1322" t="s">
        <v>8256</v>
      </c>
      <c r="C3062" s="1323" t="s">
        <v>8257</v>
      </c>
      <c r="D3062" s="1324">
        <f t="shared" si="312"/>
        <v>37421</v>
      </c>
      <c r="E3062" s="1323">
        <f t="shared" si="314"/>
        <v>10.353899999999999</v>
      </c>
      <c r="F3062" s="1323">
        <f t="shared" si="313"/>
        <v>5.4560185547557127</v>
      </c>
      <c r="G3062" s="1323">
        <f t="shared" si="315"/>
        <v>2002</v>
      </c>
      <c r="H3062" s="1323">
        <f t="shared" si="316"/>
        <v>6</v>
      </c>
      <c r="I3062" s="1323">
        <f t="shared" si="317"/>
        <v>14</v>
      </c>
      <c r="J3062" s="1323"/>
      <c r="K3062" s="1323"/>
      <c r="L3062" s="1323"/>
      <c r="M3062" s="1323"/>
      <c r="N3062" s="1323"/>
      <c r="O3062" s="1323"/>
      <c r="P3062" s="1323"/>
      <c r="Q3062" s="1323"/>
      <c r="R3062" s="1304"/>
      <c r="S3062" s="1304"/>
      <c r="T3062" s="1304"/>
    </row>
    <row r="3063" spans="1:20">
      <c r="A3063" s="1303"/>
      <c r="B3063" s="1322" t="s">
        <v>8258</v>
      </c>
      <c r="C3063" s="1323" t="s">
        <v>8259</v>
      </c>
      <c r="D3063" s="1324">
        <f t="shared" si="312"/>
        <v>37420</v>
      </c>
      <c r="E3063" s="1323">
        <f t="shared" si="314"/>
        <v>10.1991</v>
      </c>
      <c r="F3063" s="1323">
        <f t="shared" si="313"/>
        <v>5.4549723956661325</v>
      </c>
      <c r="G3063" s="1323">
        <f t="shared" si="315"/>
        <v>2002</v>
      </c>
      <c r="H3063" s="1323">
        <f t="shared" si="316"/>
        <v>6</v>
      </c>
      <c r="I3063" s="1323">
        <f t="shared" si="317"/>
        <v>13</v>
      </c>
      <c r="J3063" s="1323"/>
      <c r="K3063" s="1323"/>
      <c r="L3063" s="1323"/>
      <c r="M3063" s="1323"/>
      <c r="N3063" s="1323"/>
      <c r="O3063" s="1323"/>
      <c r="P3063" s="1323"/>
      <c r="Q3063" s="1323"/>
      <c r="R3063" s="1304"/>
      <c r="S3063" s="1304"/>
      <c r="T3063" s="1304"/>
    </row>
    <row r="3064" spans="1:20">
      <c r="A3064" s="1303"/>
      <c r="B3064" s="1322" t="s">
        <v>8260</v>
      </c>
      <c r="C3064" s="1323" t="s">
        <v>8261</v>
      </c>
      <c r="D3064" s="1324">
        <f t="shared" si="312"/>
        <v>37419</v>
      </c>
      <c r="E3064" s="1323">
        <f t="shared" si="314"/>
        <v>10.0289</v>
      </c>
      <c r="F3064" s="1323">
        <f t="shared" si="313"/>
        <v>5.4539264371713321</v>
      </c>
      <c r="G3064" s="1323">
        <f t="shared" si="315"/>
        <v>2002</v>
      </c>
      <c r="H3064" s="1323">
        <f t="shared" si="316"/>
        <v>6</v>
      </c>
      <c r="I3064" s="1323">
        <f t="shared" si="317"/>
        <v>12</v>
      </c>
      <c r="J3064" s="1323"/>
      <c r="K3064" s="1323"/>
      <c r="L3064" s="1323"/>
      <c r="M3064" s="1323"/>
      <c r="N3064" s="1323"/>
      <c r="O3064" s="1323"/>
      <c r="P3064" s="1323"/>
      <c r="Q3064" s="1323"/>
      <c r="R3064" s="1304"/>
      <c r="S3064" s="1304"/>
      <c r="T3064" s="1304"/>
    </row>
    <row r="3065" spans="1:20">
      <c r="A3065" s="1303"/>
      <c r="B3065" s="1322" t="s">
        <v>8262</v>
      </c>
      <c r="C3065" s="1323" t="s">
        <v>8263</v>
      </c>
      <c r="D3065" s="1324">
        <f t="shared" si="312"/>
        <v>37418</v>
      </c>
      <c r="E3065" s="1323">
        <f t="shared" si="314"/>
        <v>10.011900000000001</v>
      </c>
      <c r="F3065" s="1323">
        <f t="shared" si="313"/>
        <v>5.452880679232849</v>
      </c>
      <c r="G3065" s="1323">
        <f t="shared" si="315"/>
        <v>2002</v>
      </c>
      <c r="H3065" s="1323">
        <f t="shared" si="316"/>
        <v>6</v>
      </c>
      <c r="I3065" s="1323">
        <f t="shared" si="317"/>
        <v>11</v>
      </c>
      <c r="J3065" s="1323"/>
      <c r="K3065" s="1323"/>
      <c r="L3065" s="1323"/>
      <c r="M3065" s="1323"/>
      <c r="N3065" s="1323"/>
      <c r="O3065" s="1323"/>
      <c r="P3065" s="1323"/>
      <c r="Q3065" s="1323"/>
      <c r="R3065" s="1304"/>
      <c r="S3065" s="1304"/>
      <c r="T3065" s="1304"/>
    </row>
    <row r="3066" spans="1:20">
      <c r="A3066" s="1303"/>
      <c r="B3066" s="1322" t="s">
        <v>8264</v>
      </c>
      <c r="C3066" s="1323" t="s">
        <v>8265</v>
      </c>
      <c r="D3066" s="1324">
        <f t="shared" si="312"/>
        <v>37417</v>
      </c>
      <c r="E3066" s="1323">
        <f t="shared" si="314"/>
        <v>9.9922000000000004</v>
      </c>
      <c r="F3066" s="1323">
        <f t="shared" si="313"/>
        <v>5.451835121812227</v>
      </c>
      <c r="G3066" s="1323">
        <f t="shared" si="315"/>
        <v>2002</v>
      </c>
      <c r="H3066" s="1323">
        <f t="shared" si="316"/>
        <v>6</v>
      </c>
      <c r="I3066" s="1323">
        <f t="shared" si="317"/>
        <v>10</v>
      </c>
      <c r="J3066" s="1323"/>
      <c r="K3066" s="1323"/>
      <c r="L3066" s="1323"/>
      <c r="M3066" s="1323"/>
      <c r="N3066" s="1323"/>
      <c r="O3066" s="1323"/>
      <c r="P3066" s="1323"/>
      <c r="Q3066" s="1323"/>
      <c r="R3066" s="1304"/>
      <c r="S3066" s="1304"/>
      <c r="T3066" s="1304"/>
    </row>
    <row r="3067" spans="1:20">
      <c r="A3067" s="1303"/>
      <c r="B3067" s="1322" t="s">
        <v>8266</v>
      </c>
      <c r="C3067" s="1323" t="s">
        <v>8267</v>
      </c>
      <c r="D3067" s="1324">
        <f t="shared" si="312"/>
        <v>37414</v>
      </c>
      <c r="E3067" s="1323">
        <f t="shared" si="314"/>
        <v>9.8086000000000002</v>
      </c>
      <c r="F3067" s="1323">
        <f t="shared" si="313"/>
        <v>5.4507897648710184</v>
      </c>
      <c r="G3067" s="1323">
        <f t="shared" si="315"/>
        <v>2002</v>
      </c>
      <c r="H3067" s="1323">
        <f t="shared" si="316"/>
        <v>6</v>
      </c>
      <c r="I3067" s="1323">
        <f t="shared" si="317"/>
        <v>7</v>
      </c>
      <c r="J3067" s="1323"/>
      <c r="K3067" s="1323"/>
      <c r="L3067" s="1323"/>
      <c r="M3067" s="1323"/>
      <c r="N3067" s="1323"/>
      <c r="O3067" s="1323"/>
      <c r="P3067" s="1323"/>
      <c r="Q3067" s="1323"/>
      <c r="R3067" s="1304"/>
      <c r="S3067" s="1304"/>
      <c r="T3067" s="1304"/>
    </row>
    <row r="3068" spans="1:20">
      <c r="A3068" s="1303"/>
      <c r="B3068" s="1322" t="s">
        <v>8268</v>
      </c>
      <c r="C3068" s="1323" t="s">
        <v>8269</v>
      </c>
      <c r="D3068" s="1324">
        <f t="shared" si="312"/>
        <v>37413</v>
      </c>
      <c r="E3068" s="1323">
        <f t="shared" si="314"/>
        <v>9.8529</v>
      </c>
      <c r="F3068" s="1323">
        <f t="shared" si="313"/>
        <v>5.449744608370783</v>
      </c>
      <c r="G3068" s="1323">
        <f t="shared" si="315"/>
        <v>2002</v>
      </c>
      <c r="H3068" s="1323">
        <f t="shared" si="316"/>
        <v>6</v>
      </c>
      <c r="I3068" s="1323">
        <f t="shared" si="317"/>
        <v>6</v>
      </c>
      <c r="J3068" s="1323"/>
      <c r="K3068" s="1323"/>
      <c r="L3068" s="1323"/>
      <c r="M3068" s="1323"/>
      <c r="N3068" s="1323"/>
      <c r="O3068" s="1323"/>
      <c r="P3068" s="1323"/>
      <c r="Q3068" s="1323"/>
      <c r="R3068" s="1304"/>
      <c r="S3068" s="1304"/>
      <c r="T3068" s="1304"/>
    </row>
    <row r="3069" spans="1:20">
      <c r="A3069" s="1303"/>
      <c r="B3069" s="1322" t="s">
        <v>8270</v>
      </c>
      <c r="C3069" s="1323" t="s">
        <v>8271</v>
      </c>
      <c r="D3069" s="1324">
        <f t="shared" si="312"/>
        <v>37412</v>
      </c>
      <c r="E3069" s="1323">
        <f t="shared" si="314"/>
        <v>9.7571999999999992</v>
      </c>
      <c r="F3069" s="1323">
        <f t="shared" si="313"/>
        <v>5.4486996522730866</v>
      </c>
      <c r="G3069" s="1323">
        <f t="shared" si="315"/>
        <v>2002</v>
      </c>
      <c r="H3069" s="1323">
        <f t="shared" si="316"/>
        <v>6</v>
      </c>
      <c r="I3069" s="1323">
        <f t="shared" si="317"/>
        <v>5</v>
      </c>
      <c r="J3069" s="1323"/>
      <c r="K3069" s="1323"/>
      <c r="L3069" s="1323"/>
      <c r="M3069" s="1323"/>
      <c r="N3069" s="1323"/>
      <c r="O3069" s="1323"/>
      <c r="P3069" s="1323"/>
      <c r="Q3069" s="1323"/>
      <c r="R3069" s="1304"/>
      <c r="S3069" s="1304"/>
      <c r="T3069" s="1304"/>
    </row>
    <row r="3070" spans="1:20">
      <c r="A3070" s="1303"/>
      <c r="B3070" s="1322" t="s">
        <v>8272</v>
      </c>
      <c r="C3070" s="1323" t="s">
        <v>8273</v>
      </c>
      <c r="D3070" s="1324">
        <f t="shared" si="312"/>
        <v>37411</v>
      </c>
      <c r="E3070" s="1323">
        <f t="shared" si="314"/>
        <v>9.7408000000000001</v>
      </c>
      <c r="F3070" s="1323">
        <f t="shared" si="313"/>
        <v>5.4476548965395031</v>
      </c>
      <c r="G3070" s="1323">
        <f t="shared" si="315"/>
        <v>2002</v>
      </c>
      <c r="H3070" s="1323">
        <f t="shared" si="316"/>
        <v>6</v>
      </c>
      <c r="I3070" s="1323">
        <f t="shared" si="317"/>
        <v>4</v>
      </c>
      <c r="J3070" s="1323"/>
      <c r="K3070" s="1323"/>
      <c r="L3070" s="1323"/>
      <c r="M3070" s="1323"/>
      <c r="N3070" s="1323"/>
      <c r="O3070" s="1323"/>
      <c r="P3070" s="1323"/>
      <c r="Q3070" s="1323"/>
      <c r="R3070" s="1304"/>
      <c r="S3070" s="1304"/>
      <c r="T3070" s="1304"/>
    </row>
    <row r="3071" spans="1:20">
      <c r="A3071" s="1303"/>
      <c r="B3071" s="1322" t="s">
        <v>8274</v>
      </c>
      <c r="C3071" s="1323" t="s">
        <v>8275</v>
      </c>
      <c r="D3071" s="1324">
        <f t="shared" si="312"/>
        <v>37410</v>
      </c>
      <c r="E3071" s="1323">
        <f t="shared" si="314"/>
        <v>9.8101000000000003</v>
      </c>
      <c r="F3071" s="1323">
        <f t="shared" si="313"/>
        <v>5.4466103411316142</v>
      </c>
      <c r="G3071" s="1323">
        <f t="shared" si="315"/>
        <v>2002</v>
      </c>
      <c r="H3071" s="1323">
        <f t="shared" si="316"/>
        <v>6</v>
      </c>
      <c r="I3071" s="1323">
        <f t="shared" si="317"/>
        <v>3</v>
      </c>
      <c r="J3071" s="1323"/>
      <c r="K3071" s="1323"/>
      <c r="L3071" s="1323"/>
      <c r="M3071" s="1323"/>
      <c r="N3071" s="1323"/>
      <c r="O3071" s="1323"/>
      <c r="P3071" s="1323"/>
      <c r="Q3071" s="1323"/>
      <c r="R3071" s="1304"/>
      <c r="S3071" s="1304"/>
      <c r="T3071" s="1304"/>
    </row>
    <row r="3072" spans="1:20">
      <c r="A3072" s="1303"/>
      <c r="B3072" s="1322" t="s">
        <v>8276</v>
      </c>
      <c r="C3072" s="1323" t="s">
        <v>8277</v>
      </c>
      <c r="D3072" s="1324">
        <f t="shared" si="312"/>
        <v>37407</v>
      </c>
      <c r="E3072" s="1323">
        <f t="shared" si="314"/>
        <v>9.7367000000000008</v>
      </c>
      <c r="F3072" s="1323">
        <f t="shared" si="313"/>
        <v>5.4455659860110091</v>
      </c>
      <c r="G3072" s="1323">
        <f t="shared" si="315"/>
        <v>2002</v>
      </c>
      <c r="H3072" s="1323">
        <f t="shared" si="316"/>
        <v>5</v>
      </c>
      <c r="I3072" s="1323">
        <f t="shared" si="317"/>
        <v>31</v>
      </c>
      <c r="J3072" s="1323"/>
      <c r="K3072" s="1323"/>
      <c r="L3072" s="1323"/>
      <c r="M3072" s="1323"/>
      <c r="N3072" s="1323"/>
      <c r="O3072" s="1323"/>
      <c r="P3072" s="1323"/>
      <c r="Q3072" s="1323"/>
      <c r="R3072" s="1304"/>
      <c r="S3072" s="1304"/>
      <c r="T3072" s="1304"/>
    </row>
    <row r="3073" spans="1:20">
      <c r="A3073" s="1303"/>
      <c r="B3073" s="1322" t="s">
        <v>8278</v>
      </c>
      <c r="C3073" s="1323" t="s">
        <v>8279</v>
      </c>
      <c r="D3073" s="1324">
        <f t="shared" si="312"/>
        <v>37406</v>
      </c>
      <c r="E3073" s="1323">
        <f t="shared" si="314"/>
        <v>9.7690000000000001</v>
      </c>
      <c r="F3073" s="1323">
        <f t="shared" si="313"/>
        <v>5.4445218311392836</v>
      </c>
      <c r="G3073" s="1323">
        <f t="shared" si="315"/>
        <v>2002</v>
      </c>
      <c r="H3073" s="1323">
        <f t="shared" si="316"/>
        <v>5</v>
      </c>
      <c r="I3073" s="1323">
        <f t="shared" si="317"/>
        <v>30</v>
      </c>
      <c r="J3073" s="1323"/>
      <c r="K3073" s="1323"/>
      <c r="L3073" s="1323"/>
      <c r="M3073" s="1323"/>
      <c r="N3073" s="1323"/>
      <c r="O3073" s="1323"/>
      <c r="P3073" s="1323"/>
      <c r="Q3073" s="1323"/>
      <c r="R3073" s="1304"/>
      <c r="S3073" s="1304"/>
      <c r="T3073" s="1304"/>
    </row>
    <row r="3074" spans="1:20">
      <c r="A3074" s="1303"/>
      <c r="B3074" s="1322" t="s">
        <v>8280</v>
      </c>
      <c r="C3074" s="1323" t="s">
        <v>8281</v>
      </c>
      <c r="D3074" s="1324">
        <f t="shared" si="312"/>
        <v>37405</v>
      </c>
      <c r="E3074" s="1323">
        <f t="shared" si="314"/>
        <v>9.9268999999999998</v>
      </c>
      <c r="F3074" s="1323">
        <f t="shared" si="313"/>
        <v>5.4434778764780409</v>
      </c>
      <c r="G3074" s="1323">
        <f t="shared" si="315"/>
        <v>2002</v>
      </c>
      <c r="H3074" s="1323">
        <f t="shared" si="316"/>
        <v>5</v>
      </c>
      <c r="I3074" s="1323">
        <f t="shared" si="317"/>
        <v>29</v>
      </c>
      <c r="J3074" s="1323"/>
      <c r="K3074" s="1323"/>
      <c r="L3074" s="1323"/>
      <c r="M3074" s="1323"/>
      <c r="N3074" s="1323"/>
      <c r="O3074" s="1323"/>
      <c r="P3074" s="1323"/>
      <c r="Q3074" s="1323"/>
      <c r="R3074" s="1304"/>
      <c r="S3074" s="1304"/>
      <c r="T3074" s="1304"/>
    </row>
    <row r="3075" spans="1:20">
      <c r="A3075" s="1303"/>
      <c r="B3075" s="1322" t="s">
        <v>8282</v>
      </c>
      <c r="C3075" s="1323" t="s">
        <v>8283</v>
      </c>
      <c r="D3075" s="1324">
        <f t="shared" si="312"/>
        <v>37404</v>
      </c>
      <c r="E3075" s="1323">
        <f t="shared" si="314"/>
        <v>9.9160000000000004</v>
      </c>
      <c r="F3075" s="1323">
        <f t="shared" si="313"/>
        <v>5.4424341219888923</v>
      </c>
      <c r="G3075" s="1323">
        <f t="shared" si="315"/>
        <v>2002</v>
      </c>
      <c r="H3075" s="1323">
        <f t="shared" si="316"/>
        <v>5</v>
      </c>
      <c r="I3075" s="1323">
        <f t="shared" si="317"/>
        <v>28</v>
      </c>
      <c r="J3075" s="1323"/>
      <c r="K3075" s="1323"/>
      <c r="L3075" s="1323"/>
      <c r="M3075" s="1323"/>
      <c r="N3075" s="1323"/>
      <c r="O3075" s="1323"/>
      <c r="P3075" s="1323"/>
      <c r="Q3075" s="1323"/>
      <c r="R3075" s="1304"/>
      <c r="S3075" s="1304"/>
      <c r="T3075" s="1304"/>
    </row>
    <row r="3076" spans="1:20">
      <c r="A3076" s="1303"/>
      <c r="B3076" s="1322" t="s">
        <v>8284</v>
      </c>
      <c r="C3076" s="1323" t="s">
        <v>8285</v>
      </c>
      <c r="D3076" s="1324">
        <f t="shared" si="312"/>
        <v>37403</v>
      </c>
      <c r="E3076" s="1323">
        <f t="shared" si="314"/>
        <v>10.004799999999999</v>
      </c>
      <c r="F3076" s="1323">
        <f t="shared" si="313"/>
        <v>5.441390567633456</v>
      </c>
      <c r="G3076" s="1323">
        <f t="shared" si="315"/>
        <v>2002</v>
      </c>
      <c r="H3076" s="1323">
        <f t="shared" si="316"/>
        <v>5</v>
      </c>
      <c r="I3076" s="1323">
        <f t="shared" si="317"/>
        <v>27</v>
      </c>
      <c r="J3076" s="1323"/>
      <c r="K3076" s="1323"/>
      <c r="L3076" s="1323"/>
      <c r="M3076" s="1323"/>
      <c r="N3076" s="1323"/>
      <c r="O3076" s="1323"/>
      <c r="P3076" s="1323"/>
      <c r="Q3076" s="1323"/>
      <c r="R3076" s="1304"/>
      <c r="S3076" s="1304"/>
      <c r="T3076" s="1304"/>
    </row>
    <row r="3077" spans="1:20">
      <c r="A3077" s="1303"/>
      <c r="B3077" s="1322" t="s">
        <v>8286</v>
      </c>
      <c r="C3077" s="1323" t="s">
        <v>8287</v>
      </c>
      <c r="D3077" s="1324">
        <f t="shared" si="312"/>
        <v>37400</v>
      </c>
      <c r="E3077" s="1323">
        <f t="shared" si="314"/>
        <v>10.1219</v>
      </c>
      <c r="F3077" s="1323">
        <f t="shared" si="313"/>
        <v>5.4403472133733564</v>
      </c>
      <c r="G3077" s="1323">
        <f t="shared" si="315"/>
        <v>2002</v>
      </c>
      <c r="H3077" s="1323">
        <f t="shared" si="316"/>
        <v>5</v>
      </c>
      <c r="I3077" s="1323">
        <f t="shared" si="317"/>
        <v>24</v>
      </c>
      <c r="J3077" s="1323"/>
      <c r="K3077" s="1323"/>
      <c r="L3077" s="1323"/>
      <c r="M3077" s="1323"/>
      <c r="N3077" s="1323"/>
      <c r="O3077" s="1323"/>
      <c r="P3077" s="1323"/>
      <c r="Q3077" s="1323"/>
      <c r="R3077" s="1304"/>
      <c r="S3077" s="1304"/>
      <c r="T3077" s="1304"/>
    </row>
    <row r="3078" spans="1:20">
      <c r="A3078" s="1303"/>
      <c r="B3078" s="1322" t="s">
        <v>8288</v>
      </c>
      <c r="C3078" s="1323" t="s">
        <v>8289</v>
      </c>
      <c r="D3078" s="1324">
        <f t="shared" si="312"/>
        <v>37399</v>
      </c>
      <c r="E3078" s="1323">
        <f t="shared" si="314"/>
        <v>10.124000000000001</v>
      </c>
      <c r="F3078" s="1323">
        <f t="shared" si="313"/>
        <v>5.4393040591702277</v>
      </c>
      <c r="G3078" s="1323">
        <f t="shared" si="315"/>
        <v>2002</v>
      </c>
      <c r="H3078" s="1323">
        <f t="shared" si="316"/>
        <v>5</v>
      </c>
      <c r="I3078" s="1323">
        <f t="shared" si="317"/>
        <v>23</v>
      </c>
      <c r="J3078" s="1323"/>
      <c r="K3078" s="1323"/>
      <c r="L3078" s="1323"/>
      <c r="M3078" s="1323"/>
      <c r="N3078" s="1323"/>
      <c r="O3078" s="1323"/>
      <c r="P3078" s="1323"/>
      <c r="Q3078" s="1323"/>
      <c r="R3078" s="1304"/>
      <c r="S3078" s="1304"/>
      <c r="T3078" s="1304"/>
    </row>
    <row r="3079" spans="1:20">
      <c r="A3079" s="1303"/>
      <c r="B3079" s="1322" t="s">
        <v>8290</v>
      </c>
      <c r="C3079" s="1323" t="s">
        <v>8291</v>
      </c>
      <c r="D3079" s="1324">
        <f t="shared" si="312"/>
        <v>37398</v>
      </c>
      <c r="E3079" s="1323">
        <f t="shared" si="314"/>
        <v>10.1121</v>
      </c>
      <c r="F3079" s="1323">
        <f t="shared" si="313"/>
        <v>5.4382611049857097</v>
      </c>
      <c r="G3079" s="1323">
        <f t="shared" si="315"/>
        <v>2002</v>
      </c>
      <c r="H3079" s="1323">
        <f t="shared" si="316"/>
        <v>5</v>
      </c>
      <c r="I3079" s="1323">
        <f t="shared" si="317"/>
        <v>22</v>
      </c>
      <c r="J3079" s="1323"/>
      <c r="K3079" s="1323"/>
      <c r="L3079" s="1323"/>
      <c r="M3079" s="1323"/>
      <c r="N3079" s="1323"/>
      <c r="O3079" s="1323"/>
      <c r="P3079" s="1323"/>
      <c r="Q3079" s="1323"/>
      <c r="R3079" s="1304"/>
      <c r="S3079" s="1304"/>
      <c r="T3079" s="1304"/>
    </row>
    <row r="3080" spans="1:20">
      <c r="A3080" s="1303"/>
      <c r="B3080" s="1322" t="s">
        <v>8292</v>
      </c>
      <c r="C3080" s="1323" t="s">
        <v>8293</v>
      </c>
      <c r="D3080" s="1324">
        <f t="shared" si="312"/>
        <v>37397</v>
      </c>
      <c r="E3080" s="1323">
        <f t="shared" si="314"/>
        <v>10.0501</v>
      </c>
      <c r="F3080" s="1323">
        <f t="shared" si="313"/>
        <v>5.4372183507814498</v>
      </c>
      <c r="G3080" s="1323">
        <f t="shared" si="315"/>
        <v>2002</v>
      </c>
      <c r="H3080" s="1323">
        <f t="shared" si="316"/>
        <v>5</v>
      </c>
      <c r="I3080" s="1323">
        <f t="shared" si="317"/>
        <v>21</v>
      </c>
      <c r="J3080" s="1323"/>
      <c r="K3080" s="1323"/>
      <c r="L3080" s="1323"/>
      <c r="M3080" s="1323"/>
      <c r="N3080" s="1323"/>
      <c r="O3080" s="1323"/>
      <c r="P3080" s="1323"/>
      <c r="Q3080" s="1323"/>
      <c r="R3080" s="1304"/>
      <c r="S3080" s="1304"/>
      <c r="T3080" s="1304"/>
    </row>
    <row r="3081" spans="1:20">
      <c r="A3081" s="1303"/>
      <c r="B3081" s="1322" t="s">
        <v>8294</v>
      </c>
      <c r="C3081" s="1323" t="s">
        <v>8295</v>
      </c>
      <c r="D3081" s="1324">
        <f t="shared" ref="D3081:D3144" si="318">DATE(G3081,H3081,I3081)</f>
        <v>37396</v>
      </c>
      <c r="E3081" s="1323">
        <f t="shared" si="314"/>
        <v>10.0359</v>
      </c>
      <c r="F3081" s="1323">
        <f t="shared" ref="F3081:F3144" si="319">F3082*(1+$F$7/365)</f>
        <v>5.4361757965191035</v>
      </c>
      <c r="G3081" s="1323">
        <f t="shared" si="315"/>
        <v>2002</v>
      </c>
      <c r="H3081" s="1323">
        <f t="shared" si="316"/>
        <v>5</v>
      </c>
      <c r="I3081" s="1323">
        <f t="shared" si="317"/>
        <v>20</v>
      </c>
      <c r="J3081" s="1323"/>
      <c r="K3081" s="1323"/>
      <c r="L3081" s="1323"/>
      <c r="M3081" s="1323"/>
      <c r="N3081" s="1323"/>
      <c r="O3081" s="1323"/>
      <c r="P3081" s="1323"/>
      <c r="Q3081" s="1323"/>
      <c r="R3081" s="1304"/>
      <c r="S3081" s="1304"/>
      <c r="T3081" s="1304"/>
    </row>
    <row r="3082" spans="1:20">
      <c r="A3082" s="1303"/>
      <c r="B3082" s="1322" t="s">
        <v>8296</v>
      </c>
      <c r="C3082" s="1323" t="s">
        <v>8297</v>
      </c>
      <c r="D3082" s="1324">
        <f t="shared" si="318"/>
        <v>37393</v>
      </c>
      <c r="E3082" s="1323">
        <f t="shared" si="314"/>
        <v>10.091100000000001</v>
      </c>
      <c r="F3082" s="1323">
        <f t="shared" si="319"/>
        <v>5.4351334421603328</v>
      </c>
      <c r="G3082" s="1323">
        <f t="shared" si="315"/>
        <v>2002</v>
      </c>
      <c r="H3082" s="1323">
        <f t="shared" si="316"/>
        <v>5</v>
      </c>
      <c r="I3082" s="1323">
        <f t="shared" si="317"/>
        <v>17</v>
      </c>
      <c r="J3082" s="1323"/>
      <c r="K3082" s="1323"/>
      <c r="L3082" s="1323"/>
      <c r="M3082" s="1323"/>
      <c r="N3082" s="1323"/>
      <c r="O3082" s="1323"/>
      <c r="P3082" s="1323"/>
      <c r="Q3082" s="1323"/>
      <c r="R3082" s="1304"/>
      <c r="S3082" s="1304"/>
      <c r="T3082" s="1304"/>
    </row>
    <row r="3083" spans="1:20">
      <c r="A3083" s="1303"/>
      <c r="B3083" s="1322" t="s">
        <v>8298</v>
      </c>
      <c r="C3083" s="1323" t="s">
        <v>8299</v>
      </c>
      <c r="D3083" s="1324">
        <f t="shared" si="318"/>
        <v>37392</v>
      </c>
      <c r="E3083" s="1323">
        <f t="shared" si="314"/>
        <v>10.172499999999999</v>
      </c>
      <c r="F3083" s="1323">
        <f t="shared" si="319"/>
        <v>5.4340912876668073</v>
      </c>
      <c r="G3083" s="1323">
        <f t="shared" si="315"/>
        <v>2002</v>
      </c>
      <c r="H3083" s="1323">
        <f t="shared" si="316"/>
        <v>5</v>
      </c>
      <c r="I3083" s="1323">
        <f t="shared" si="317"/>
        <v>16</v>
      </c>
      <c r="J3083" s="1323"/>
      <c r="K3083" s="1323"/>
      <c r="L3083" s="1323"/>
      <c r="M3083" s="1323"/>
      <c r="N3083" s="1323"/>
      <c r="O3083" s="1323"/>
      <c r="P3083" s="1323"/>
      <c r="Q3083" s="1323"/>
      <c r="R3083" s="1304"/>
      <c r="S3083" s="1304"/>
      <c r="T3083" s="1304"/>
    </row>
    <row r="3084" spans="1:20">
      <c r="A3084" s="1303"/>
      <c r="B3084" s="1322" t="s">
        <v>8300</v>
      </c>
      <c r="C3084" s="1323" t="s">
        <v>8301</v>
      </c>
      <c r="D3084" s="1324">
        <f t="shared" si="318"/>
        <v>37391</v>
      </c>
      <c r="E3084" s="1323">
        <f t="shared" si="314"/>
        <v>10.2919</v>
      </c>
      <c r="F3084" s="1323">
        <f t="shared" si="319"/>
        <v>5.4330493330002039</v>
      </c>
      <c r="G3084" s="1323">
        <f t="shared" si="315"/>
        <v>2002</v>
      </c>
      <c r="H3084" s="1323">
        <f t="shared" si="316"/>
        <v>5</v>
      </c>
      <c r="I3084" s="1323">
        <f t="shared" si="317"/>
        <v>15</v>
      </c>
      <c r="J3084" s="1323"/>
      <c r="K3084" s="1323"/>
      <c r="L3084" s="1323"/>
      <c r="M3084" s="1323"/>
      <c r="N3084" s="1323"/>
      <c r="O3084" s="1323"/>
      <c r="P3084" s="1323"/>
      <c r="Q3084" s="1323"/>
      <c r="R3084" s="1304"/>
      <c r="S3084" s="1304"/>
      <c r="T3084" s="1304"/>
    </row>
    <row r="3085" spans="1:20">
      <c r="A3085" s="1303"/>
      <c r="B3085" s="1322" t="s">
        <v>8302</v>
      </c>
      <c r="C3085" s="1323" t="s">
        <v>8303</v>
      </c>
      <c r="D3085" s="1324">
        <f t="shared" si="318"/>
        <v>37390</v>
      </c>
      <c r="E3085" s="1323">
        <f t="shared" si="314"/>
        <v>10.153</v>
      </c>
      <c r="F3085" s="1323">
        <f t="shared" si="319"/>
        <v>5.4320075781222075</v>
      </c>
      <c r="G3085" s="1323">
        <f t="shared" si="315"/>
        <v>2002</v>
      </c>
      <c r="H3085" s="1323">
        <f t="shared" si="316"/>
        <v>5</v>
      </c>
      <c r="I3085" s="1323">
        <f t="shared" si="317"/>
        <v>14</v>
      </c>
      <c r="J3085" s="1323"/>
      <c r="K3085" s="1323"/>
      <c r="L3085" s="1323"/>
      <c r="M3085" s="1323"/>
      <c r="N3085" s="1323"/>
      <c r="O3085" s="1323"/>
      <c r="P3085" s="1323"/>
      <c r="Q3085" s="1323"/>
      <c r="R3085" s="1304"/>
      <c r="S3085" s="1304"/>
      <c r="T3085" s="1304"/>
    </row>
    <row r="3086" spans="1:20">
      <c r="A3086" s="1303"/>
      <c r="B3086" s="1322" t="s">
        <v>8304</v>
      </c>
      <c r="C3086" s="1323" t="s">
        <v>8305</v>
      </c>
      <c r="D3086" s="1324">
        <f t="shared" si="318"/>
        <v>37389</v>
      </c>
      <c r="E3086" s="1323">
        <f t="shared" si="314"/>
        <v>10.184100000000001</v>
      </c>
      <c r="F3086" s="1323">
        <f t="shared" si="319"/>
        <v>5.43096602299451</v>
      </c>
      <c r="G3086" s="1323">
        <f t="shared" si="315"/>
        <v>2002</v>
      </c>
      <c r="H3086" s="1323">
        <f t="shared" si="316"/>
        <v>5</v>
      </c>
      <c r="I3086" s="1323">
        <f t="shared" si="317"/>
        <v>13</v>
      </c>
      <c r="J3086" s="1323"/>
      <c r="K3086" s="1323"/>
      <c r="L3086" s="1323"/>
      <c r="M3086" s="1323"/>
      <c r="N3086" s="1323"/>
      <c r="O3086" s="1323"/>
      <c r="P3086" s="1323"/>
      <c r="Q3086" s="1323"/>
      <c r="R3086" s="1304"/>
      <c r="S3086" s="1304"/>
      <c r="T3086" s="1304"/>
    </row>
    <row r="3087" spans="1:20">
      <c r="A3087" s="1303"/>
      <c r="B3087" s="1322" t="s">
        <v>8306</v>
      </c>
      <c r="C3087" s="1323" t="s">
        <v>8307</v>
      </c>
      <c r="D3087" s="1324">
        <f t="shared" si="318"/>
        <v>37386</v>
      </c>
      <c r="E3087" s="1323">
        <f t="shared" si="314"/>
        <v>10.3063</v>
      </c>
      <c r="F3087" s="1323">
        <f t="shared" si="319"/>
        <v>5.4299246675788098</v>
      </c>
      <c r="G3087" s="1323">
        <f t="shared" si="315"/>
        <v>2002</v>
      </c>
      <c r="H3087" s="1323">
        <f t="shared" si="316"/>
        <v>5</v>
      </c>
      <c r="I3087" s="1323">
        <f t="shared" si="317"/>
        <v>10</v>
      </c>
      <c r="J3087" s="1323"/>
      <c r="K3087" s="1323"/>
      <c r="L3087" s="1323"/>
      <c r="M3087" s="1323"/>
      <c r="N3087" s="1323"/>
      <c r="O3087" s="1323"/>
      <c r="P3087" s="1323"/>
      <c r="Q3087" s="1323"/>
      <c r="R3087" s="1304"/>
      <c r="S3087" s="1304"/>
      <c r="T3087" s="1304"/>
    </row>
    <row r="3088" spans="1:20">
      <c r="A3088" s="1303"/>
      <c r="B3088" s="1322" t="s">
        <v>8308</v>
      </c>
      <c r="C3088" s="1323" t="s">
        <v>8309</v>
      </c>
      <c r="D3088" s="1324">
        <f t="shared" si="318"/>
        <v>37385</v>
      </c>
      <c r="E3088" s="1323">
        <f t="shared" si="314"/>
        <v>10.368</v>
      </c>
      <c r="F3088" s="1323">
        <f t="shared" si="319"/>
        <v>5.4288835118368137</v>
      </c>
      <c r="G3088" s="1323">
        <f t="shared" si="315"/>
        <v>2002</v>
      </c>
      <c r="H3088" s="1323">
        <f t="shared" si="316"/>
        <v>5</v>
      </c>
      <c r="I3088" s="1323">
        <f t="shared" si="317"/>
        <v>9</v>
      </c>
      <c r="J3088" s="1323"/>
      <c r="K3088" s="1323"/>
      <c r="L3088" s="1323"/>
      <c r="M3088" s="1323"/>
      <c r="N3088" s="1323"/>
      <c r="O3088" s="1323"/>
      <c r="P3088" s="1323"/>
      <c r="Q3088" s="1323"/>
      <c r="R3088" s="1304"/>
      <c r="S3088" s="1304"/>
      <c r="T3088" s="1304"/>
    </row>
    <row r="3089" spans="1:20">
      <c r="A3089" s="1303"/>
      <c r="B3089" s="1322" t="s">
        <v>8310</v>
      </c>
      <c r="C3089" s="1323" t="s">
        <v>8311</v>
      </c>
      <c r="D3089" s="1324">
        <f t="shared" si="318"/>
        <v>37384</v>
      </c>
      <c r="E3089" s="1323">
        <f t="shared" si="314"/>
        <v>10.1282</v>
      </c>
      <c r="F3089" s="1323">
        <f t="shared" si="319"/>
        <v>5.4278425557302352</v>
      </c>
      <c r="G3089" s="1323">
        <f t="shared" si="315"/>
        <v>2002</v>
      </c>
      <c r="H3089" s="1323">
        <f t="shared" si="316"/>
        <v>5</v>
      </c>
      <c r="I3089" s="1323">
        <f t="shared" si="317"/>
        <v>8</v>
      </c>
      <c r="J3089" s="1323"/>
      <c r="K3089" s="1323"/>
      <c r="L3089" s="1323"/>
      <c r="M3089" s="1323"/>
      <c r="N3089" s="1323"/>
      <c r="O3089" s="1323"/>
      <c r="P3089" s="1323"/>
      <c r="Q3089" s="1323"/>
      <c r="R3089" s="1304"/>
      <c r="S3089" s="1304"/>
      <c r="T3089" s="1304"/>
    </row>
    <row r="3090" spans="1:20">
      <c r="A3090" s="1303"/>
      <c r="B3090" s="1322" t="s">
        <v>8312</v>
      </c>
      <c r="C3090" s="1323" t="s">
        <v>8313</v>
      </c>
      <c r="D3090" s="1324">
        <f t="shared" si="318"/>
        <v>37383</v>
      </c>
      <c r="E3090" s="1323">
        <f t="shared" si="314"/>
        <v>10.436999999999999</v>
      </c>
      <c r="F3090" s="1323">
        <f t="shared" si="319"/>
        <v>5.4268017992207955</v>
      </c>
      <c r="G3090" s="1323">
        <f t="shared" si="315"/>
        <v>2002</v>
      </c>
      <c r="H3090" s="1323">
        <f t="shared" si="316"/>
        <v>5</v>
      </c>
      <c r="I3090" s="1323">
        <f t="shared" si="317"/>
        <v>7</v>
      </c>
      <c r="J3090" s="1323"/>
      <c r="K3090" s="1323"/>
      <c r="L3090" s="1323"/>
      <c r="M3090" s="1323"/>
      <c r="N3090" s="1323"/>
      <c r="O3090" s="1323"/>
      <c r="P3090" s="1323"/>
      <c r="Q3090" s="1323"/>
      <c r="R3090" s="1304"/>
      <c r="S3090" s="1304"/>
      <c r="T3090" s="1304"/>
    </row>
    <row r="3091" spans="1:20">
      <c r="A3091" s="1303"/>
      <c r="B3091" s="1322" t="s">
        <v>8314</v>
      </c>
      <c r="C3091" s="1323" t="s">
        <v>8315</v>
      </c>
      <c r="D3091" s="1324">
        <f t="shared" si="318"/>
        <v>37382</v>
      </c>
      <c r="E3091" s="1323">
        <f t="shared" si="314"/>
        <v>10.3749</v>
      </c>
      <c r="F3091" s="1323">
        <f t="shared" si="319"/>
        <v>5.4257612422702231</v>
      </c>
      <c r="G3091" s="1323">
        <f t="shared" si="315"/>
        <v>2002</v>
      </c>
      <c r="H3091" s="1323">
        <f t="shared" si="316"/>
        <v>5</v>
      </c>
      <c r="I3091" s="1323">
        <f t="shared" si="317"/>
        <v>6</v>
      </c>
      <c r="J3091" s="1323"/>
      <c r="K3091" s="1323"/>
      <c r="L3091" s="1323"/>
      <c r="M3091" s="1323"/>
      <c r="N3091" s="1323"/>
      <c r="O3091" s="1323"/>
      <c r="P3091" s="1323"/>
      <c r="Q3091" s="1323"/>
      <c r="R3091" s="1304"/>
      <c r="S3091" s="1304"/>
      <c r="T3091" s="1304"/>
    </row>
    <row r="3092" spans="1:20">
      <c r="A3092" s="1303"/>
      <c r="B3092" s="1322" t="s">
        <v>8316</v>
      </c>
      <c r="C3092" s="1323" t="s">
        <v>8242</v>
      </c>
      <c r="D3092" s="1324">
        <f t="shared" si="318"/>
        <v>37379</v>
      </c>
      <c r="E3092" s="1323">
        <f t="shared" si="314"/>
        <v>10.491099999999999</v>
      </c>
      <c r="F3092" s="1323">
        <f t="shared" si="319"/>
        <v>5.4247208848402533</v>
      </c>
      <c r="G3092" s="1323">
        <f t="shared" si="315"/>
        <v>2002</v>
      </c>
      <c r="H3092" s="1323">
        <f t="shared" si="316"/>
        <v>5</v>
      </c>
      <c r="I3092" s="1323">
        <f t="shared" si="317"/>
        <v>3</v>
      </c>
      <c r="J3092" s="1323"/>
      <c r="K3092" s="1323"/>
      <c r="L3092" s="1323"/>
      <c r="M3092" s="1323"/>
      <c r="N3092" s="1323"/>
      <c r="O3092" s="1323"/>
      <c r="P3092" s="1323"/>
      <c r="Q3092" s="1323"/>
      <c r="R3092" s="1304"/>
      <c r="S3092" s="1304"/>
      <c r="T3092" s="1304"/>
    </row>
    <row r="3093" spans="1:20">
      <c r="A3093" s="1303"/>
      <c r="B3093" s="1322" t="s">
        <v>8317</v>
      </c>
      <c r="C3093" s="1323" t="s">
        <v>8318</v>
      </c>
      <c r="D3093" s="1324">
        <f t="shared" si="318"/>
        <v>37378</v>
      </c>
      <c r="E3093" s="1323">
        <f t="shared" si="314"/>
        <v>10.539</v>
      </c>
      <c r="F3093" s="1323">
        <f t="shared" si="319"/>
        <v>5.4236807268926297</v>
      </c>
      <c r="G3093" s="1323">
        <f t="shared" si="315"/>
        <v>2002</v>
      </c>
      <c r="H3093" s="1323">
        <f t="shared" si="316"/>
        <v>5</v>
      </c>
      <c r="I3093" s="1323">
        <f t="shared" si="317"/>
        <v>2</v>
      </c>
      <c r="J3093" s="1323"/>
      <c r="K3093" s="1323"/>
      <c r="L3093" s="1323"/>
      <c r="M3093" s="1323"/>
      <c r="N3093" s="1323"/>
      <c r="O3093" s="1323"/>
      <c r="P3093" s="1323"/>
      <c r="Q3093" s="1323"/>
      <c r="R3093" s="1304"/>
      <c r="S3093" s="1304"/>
      <c r="T3093" s="1304"/>
    </row>
    <row r="3094" spans="1:20">
      <c r="A3094" s="1303"/>
      <c r="B3094" s="1322" t="s">
        <v>8319</v>
      </c>
      <c r="C3094" s="1323" t="s">
        <v>8320</v>
      </c>
      <c r="D3094" s="1324">
        <f t="shared" si="318"/>
        <v>37376</v>
      </c>
      <c r="E3094" s="1323">
        <f t="shared" ref="E3094:E3157" si="320">VALUE(C3095)</f>
        <v>10.634399999999999</v>
      </c>
      <c r="F3094" s="1323">
        <f t="shared" si="319"/>
        <v>5.4226407683891029</v>
      </c>
      <c r="G3094" s="1323">
        <f t="shared" ref="G3094:G3157" si="321">YEAR(B3095)</f>
        <v>2002</v>
      </c>
      <c r="H3094" s="1323">
        <f t="shared" ref="H3094:H3157" si="322">MONTH(B3095)</f>
        <v>4</v>
      </c>
      <c r="I3094" s="1323">
        <f t="shared" ref="I3094:I3157" si="323">DAY(B3095)</f>
        <v>30</v>
      </c>
      <c r="J3094" s="1323"/>
      <c r="K3094" s="1323"/>
      <c r="L3094" s="1323"/>
      <c r="M3094" s="1323"/>
      <c r="N3094" s="1323"/>
      <c r="O3094" s="1323"/>
      <c r="P3094" s="1323"/>
      <c r="Q3094" s="1323"/>
      <c r="R3094" s="1304"/>
      <c r="S3094" s="1304"/>
      <c r="T3094" s="1304"/>
    </row>
    <row r="3095" spans="1:20">
      <c r="A3095" s="1303"/>
      <c r="B3095" s="1322" t="s">
        <v>8321</v>
      </c>
      <c r="C3095" s="1323" t="s">
        <v>8322</v>
      </c>
      <c r="D3095" s="1324">
        <f t="shared" si="318"/>
        <v>37375</v>
      </c>
      <c r="E3095" s="1323">
        <f t="shared" si="320"/>
        <v>10.6189</v>
      </c>
      <c r="F3095" s="1323">
        <f t="shared" si="319"/>
        <v>5.4216010092914306</v>
      </c>
      <c r="G3095" s="1323">
        <f t="shared" si="321"/>
        <v>2002</v>
      </c>
      <c r="H3095" s="1323">
        <f t="shared" si="322"/>
        <v>4</v>
      </c>
      <c r="I3095" s="1323">
        <f t="shared" si="323"/>
        <v>29</v>
      </c>
      <c r="J3095" s="1323"/>
      <c r="K3095" s="1323"/>
      <c r="L3095" s="1323"/>
      <c r="M3095" s="1323"/>
      <c r="N3095" s="1323"/>
      <c r="O3095" s="1323"/>
      <c r="P3095" s="1323"/>
      <c r="Q3095" s="1323"/>
      <c r="R3095" s="1304"/>
      <c r="S3095" s="1304"/>
      <c r="T3095" s="1304"/>
    </row>
    <row r="3096" spans="1:20">
      <c r="A3096" s="1303"/>
      <c r="B3096" s="1322" t="s">
        <v>8323</v>
      </c>
      <c r="C3096" s="1323" t="s">
        <v>8324</v>
      </c>
      <c r="D3096" s="1324">
        <f t="shared" si="318"/>
        <v>37372</v>
      </c>
      <c r="E3096" s="1323">
        <f t="shared" si="320"/>
        <v>10.8872</v>
      </c>
      <c r="F3096" s="1323">
        <f t="shared" si="319"/>
        <v>5.4205614495613776</v>
      </c>
      <c r="G3096" s="1323">
        <f t="shared" si="321"/>
        <v>2002</v>
      </c>
      <c r="H3096" s="1323">
        <f t="shared" si="322"/>
        <v>4</v>
      </c>
      <c r="I3096" s="1323">
        <f t="shared" si="323"/>
        <v>26</v>
      </c>
      <c r="J3096" s="1323"/>
      <c r="K3096" s="1323"/>
      <c r="L3096" s="1323"/>
      <c r="M3096" s="1323"/>
      <c r="N3096" s="1323"/>
      <c r="O3096" s="1323"/>
      <c r="P3096" s="1323"/>
      <c r="Q3096" s="1323"/>
      <c r="R3096" s="1304"/>
      <c r="S3096" s="1304"/>
      <c r="T3096" s="1304"/>
    </row>
    <row r="3097" spans="1:20">
      <c r="A3097" s="1303"/>
      <c r="B3097" s="1322" t="s">
        <v>8325</v>
      </c>
      <c r="C3097" s="1323" t="s">
        <v>8326</v>
      </c>
      <c r="D3097" s="1324">
        <f t="shared" si="318"/>
        <v>37371</v>
      </c>
      <c r="E3097" s="1323">
        <f t="shared" si="320"/>
        <v>10.8948</v>
      </c>
      <c r="F3097" s="1323">
        <f t="shared" si="319"/>
        <v>5.4195220891607168</v>
      </c>
      <c r="G3097" s="1323">
        <f t="shared" si="321"/>
        <v>2002</v>
      </c>
      <c r="H3097" s="1323">
        <f t="shared" si="322"/>
        <v>4</v>
      </c>
      <c r="I3097" s="1323">
        <f t="shared" si="323"/>
        <v>25</v>
      </c>
      <c r="J3097" s="1323"/>
      <c r="K3097" s="1323"/>
      <c r="L3097" s="1323"/>
      <c r="M3097" s="1323"/>
      <c r="N3097" s="1323"/>
      <c r="O3097" s="1323"/>
      <c r="P3097" s="1323"/>
      <c r="Q3097" s="1323"/>
      <c r="R3097" s="1304"/>
      <c r="S3097" s="1304"/>
      <c r="T3097" s="1304"/>
    </row>
    <row r="3098" spans="1:20">
      <c r="A3098" s="1303"/>
      <c r="B3098" s="1322" t="s">
        <v>8327</v>
      </c>
      <c r="C3098" s="1323" t="s">
        <v>8328</v>
      </c>
      <c r="D3098" s="1324">
        <f t="shared" si="318"/>
        <v>37370</v>
      </c>
      <c r="E3098" s="1323">
        <f t="shared" si="320"/>
        <v>10.962899999999999</v>
      </c>
      <c r="F3098" s="1323">
        <f t="shared" si="319"/>
        <v>5.418482928051227</v>
      </c>
      <c r="G3098" s="1323">
        <f t="shared" si="321"/>
        <v>2002</v>
      </c>
      <c r="H3098" s="1323">
        <f t="shared" si="322"/>
        <v>4</v>
      </c>
      <c r="I3098" s="1323">
        <f t="shared" si="323"/>
        <v>24</v>
      </c>
      <c r="J3098" s="1323"/>
      <c r="K3098" s="1323"/>
      <c r="L3098" s="1323"/>
      <c r="M3098" s="1323"/>
      <c r="N3098" s="1323"/>
      <c r="O3098" s="1323"/>
      <c r="P3098" s="1323"/>
      <c r="Q3098" s="1323"/>
      <c r="R3098" s="1304"/>
      <c r="S3098" s="1304"/>
      <c r="T3098" s="1304"/>
    </row>
    <row r="3099" spans="1:20">
      <c r="A3099" s="1303"/>
      <c r="B3099" s="1322" t="s">
        <v>8329</v>
      </c>
      <c r="C3099" s="1323" t="s">
        <v>8330</v>
      </c>
      <c r="D3099" s="1324">
        <f t="shared" si="318"/>
        <v>37369</v>
      </c>
      <c r="E3099" s="1323">
        <f t="shared" si="320"/>
        <v>10.942299999999999</v>
      </c>
      <c r="F3099" s="1323">
        <f t="shared" si="319"/>
        <v>5.4174439661946963</v>
      </c>
      <c r="G3099" s="1323">
        <f t="shared" si="321"/>
        <v>2002</v>
      </c>
      <c r="H3099" s="1323">
        <f t="shared" si="322"/>
        <v>4</v>
      </c>
      <c r="I3099" s="1323">
        <f t="shared" si="323"/>
        <v>23</v>
      </c>
      <c r="J3099" s="1323"/>
      <c r="K3099" s="1323"/>
      <c r="L3099" s="1323"/>
      <c r="M3099" s="1323"/>
      <c r="N3099" s="1323"/>
      <c r="O3099" s="1323"/>
      <c r="P3099" s="1323"/>
      <c r="Q3099" s="1323"/>
      <c r="R3099" s="1304"/>
      <c r="S3099" s="1304"/>
      <c r="T3099" s="1304"/>
    </row>
    <row r="3100" spans="1:20">
      <c r="A3100" s="1303"/>
      <c r="B3100" s="1322" t="s">
        <v>8331</v>
      </c>
      <c r="C3100" s="1323" t="s">
        <v>8332</v>
      </c>
      <c r="D3100" s="1324">
        <f t="shared" si="318"/>
        <v>37368</v>
      </c>
      <c r="E3100" s="1323">
        <f t="shared" si="320"/>
        <v>11.091100000000001</v>
      </c>
      <c r="F3100" s="1323">
        <f t="shared" si="319"/>
        <v>5.4164052035529187</v>
      </c>
      <c r="G3100" s="1323">
        <f t="shared" si="321"/>
        <v>2002</v>
      </c>
      <c r="H3100" s="1323">
        <f t="shared" si="322"/>
        <v>4</v>
      </c>
      <c r="I3100" s="1323">
        <f t="shared" si="323"/>
        <v>22</v>
      </c>
      <c r="J3100" s="1323"/>
      <c r="K3100" s="1323"/>
      <c r="L3100" s="1323"/>
      <c r="M3100" s="1323"/>
      <c r="N3100" s="1323"/>
      <c r="O3100" s="1323"/>
      <c r="P3100" s="1323"/>
      <c r="Q3100" s="1323"/>
      <c r="R3100" s="1304"/>
      <c r="S3100" s="1304"/>
      <c r="T3100" s="1304"/>
    </row>
    <row r="3101" spans="1:20">
      <c r="A3101" s="1303"/>
      <c r="B3101" s="1322" t="s">
        <v>8333</v>
      </c>
      <c r="C3101" s="1323" t="s">
        <v>8334</v>
      </c>
      <c r="D3101" s="1324">
        <f t="shared" si="318"/>
        <v>37365</v>
      </c>
      <c r="E3101" s="1323">
        <f t="shared" si="320"/>
        <v>11.110799999999999</v>
      </c>
      <c r="F3101" s="1323">
        <f t="shared" si="319"/>
        <v>5.4153666400876963</v>
      </c>
      <c r="G3101" s="1323">
        <f t="shared" si="321"/>
        <v>2002</v>
      </c>
      <c r="H3101" s="1323">
        <f t="shared" si="322"/>
        <v>4</v>
      </c>
      <c r="I3101" s="1323">
        <f t="shared" si="323"/>
        <v>19</v>
      </c>
      <c r="J3101" s="1323"/>
      <c r="K3101" s="1323"/>
      <c r="L3101" s="1323"/>
      <c r="M3101" s="1323"/>
      <c r="N3101" s="1323"/>
      <c r="O3101" s="1323"/>
      <c r="P3101" s="1323"/>
      <c r="Q3101" s="1323"/>
      <c r="R3101" s="1304"/>
      <c r="S3101" s="1304"/>
      <c r="T3101" s="1304"/>
    </row>
    <row r="3102" spans="1:20">
      <c r="A3102" s="1303"/>
      <c r="B3102" s="1322" t="s">
        <v>8335</v>
      </c>
      <c r="C3102" s="1323" t="s">
        <v>8336</v>
      </c>
      <c r="D3102" s="1324">
        <f t="shared" si="318"/>
        <v>37364</v>
      </c>
      <c r="E3102" s="1323">
        <f t="shared" si="320"/>
        <v>11.115</v>
      </c>
      <c r="F3102" s="1323">
        <f t="shared" si="319"/>
        <v>5.4143282757608375</v>
      </c>
      <c r="G3102" s="1323">
        <f t="shared" si="321"/>
        <v>2002</v>
      </c>
      <c r="H3102" s="1323">
        <f t="shared" si="322"/>
        <v>4</v>
      </c>
      <c r="I3102" s="1323">
        <f t="shared" si="323"/>
        <v>18</v>
      </c>
      <c r="J3102" s="1323"/>
      <c r="K3102" s="1323"/>
      <c r="L3102" s="1323"/>
      <c r="M3102" s="1323"/>
      <c r="N3102" s="1323"/>
      <c r="O3102" s="1323"/>
      <c r="P3102" s="1323"/>
      <c r="Q3102" s="1323"/>
      <c r="R3102" s="1304"/>
      <c r="S3102" s="1304"/>
      <c r="T3102" s="1304"/>
    </row>
    <row r="3103" spans="1:20">
      <c r="A3103" s="1303"/>
      <c r="B3103" s="1322" t="s">
        <v>8337</v>
      </c>
      <c r="C3103" s="1323" t="s">
        <v>8338</v>
      </c>
      <c r="D3103" s="1324">
        <f t="shared" si="318"/>
        <v>37363</v>
      </c>
      <c r="E3103" s="1323">
        <f t="shared" si="320"/>
        <v>11.222899999999999</v>
      </c>
      <c r="F3103" s="1323">
        <f t="shared" si="319"/>
        <v>5.4132901105341595</v>
      </c>
      <c r="G3103" s="1323">
        <f t="shared" si="321"/>
        <v>2002</v>
      </c>
      <c r="H3103" s="1323">
        <f t="shared" si="322"/>
        <v>4</v>
      </c>
      <c r="I3103" s="1323">
        <f t="shared" si="323"/>
        <v>17</v>
      </c>
      <c r="J3103" s="1323"/>
      <c r="K3103" s="1323"/>
      <c r="L3103" s="1323"/>
      <c r="M3103" s="1323"/>
      <c r="N3103" s="1323"/>
      <c r="O3103" s="1323"/>
      <c r="P3103" s="1323"/>
      <c r="Q3103" s="1323"/>
      <c r="R3103" s="1304"/>
      <c r="S3103" s="1304"/>
      <c r="T3103" s="1304"/>
    </row>
    <row r="3104" spans="1:20">
      <c r="A3104" s="1303"/>
      <c r="B3104" s="1322" t="s">
        <v>8339</v>
      </c>
      <c r="C3104" s="1323" t="s">
        <v>8340</v>
      </c>
      <c r="D3104" s="1324">
        <f t="shared" si="318"/>
        <v>37362</v>
      </c>
      <c r="E3104" s="1323">
        <f t="shared" si="320"/>
        <v>11.1838</v>
      </c>
      <c r="F3104" s="1323">
        <f t="shared" si="319"/>
        <v>5.4122521443694858</v>
      </c>
      <c r="G3104" s="1323">
        <f t="shared" si="321"/>
        <v>2002</v>
      </c>
      <c r="H3104" s="1323">
        <f t="shared" si="322"/>
        <v>4</v>
      </c>
      <c r="I3104" s="1323">
        <f t="shared" si="323"/>
        <v>16</v>
      </c>
      <c r="J3104" s="1323"/>
      <c r="K3104" s="1323"/>
      <c r="L3104" s="1323"/>
      <c r="M3104" s="1323"/>
      <c r="N3104" s="1323"/>
      <c r="O3104" s="1323"/>
      <c r="P3104" s="1323"/>
      <c r="Q3104" s="1323"/>
      <c r="R3104" s="1304"/>
      <c r="S3104" s="1304"/>
      <c r="T3104" s="1304"/>
    </row>
    <row r="3105" spans="1:20">
      <c r="A3105" s="1303"/>
      <c r="B3105" s="1322" t="s">
        <v>8341</v>
      </c>
      <c r="C3105" s="1323" t="s">
        <v>8342</v>
      </c>
      <c r="D3105" s="1324">
        <f t="shared" si="318"/>
        <v>37361</v>
      </c>
      <c r="E3105" s="1323">
        <f t="shared" si="320"/>
        <v>11.188800000000001</v>
      </c>
      <c r="F3105" s="1323">
        <f t="shared" si="319"/>
        <v>5.4112143772286476</v>
      </c>
      <c r="G3105" s="1323">
        <f t="shared" si="321"/>
        <v>2002</v>
      </c>
      <c r="H3105" s="1323">
        <f t="shared" si="322"/>
        <v>4</v>
      </c>
      <c r="I3105" s="1323">
        <f t="shared" si="323"/>
        <v>15</v>
      </c>
      <c r="J3105" s="1323"/>
      <c r="K3105" s="1323"/>
      <c r="L3105" s="1323"/>
      <c r="M3105" s="1323"/>
      <c r="N3105" s="1323"/>
      <c r="O3105" s="1323"/>
      <c r="P3105" s="1323"/>
      <c r="Q3105" s="1323"/>
      <c r="R3105" s="1304"/>
      <c r="S3105" s="1304"/>
      <c r="T3105" s="1304"/>
    </row>
    <row r="3106" spans="1:20">
      <c r="A3106" s="1303"/>
      <c r="B3106" s="1322" t="s">
        <v>8343</v>
      </c>
      <c r="C3106" s="1323" t="s">
        <v>8344</v>
      </c>
      <c r="D3106" s="1324">
        <f t="shared" si="318"/>
        <v>37358</v>
      </c>
      <c r="E3106" s="1323">
        <f t="shared" si="320"/>
        <v>11.2171</v>
      </c>
      <c r="F3106" s="1323">
        <f t="shared" si="319"/>
        <v>5.4101768090734828</v>
      </c>
      <c r="G3106" s="1323">
        <f t="shared" si="321"/>
        <v>2002</v>
      </c>
      <c r="H3106" s="1323">
        <f t="shared" si="322"/>
        <v>4</v>
      </c>
      <c r="I3106" s="1323">
        <f t="shared" si="323"/>
        <v>12</v>
      </c>
      <c r="J3106" s="1323"/>
      <c r="K3106" s="1323"/>
      <c r="L3106" s="1323"/>
      <c r="M3106" s="1323"/>
      <c r="N3106" s="1323"/>
      <c r="O3106" s="1323"/>
      <c r="P3106" s="1323"/>
      <c r="Q3106" s="1323"/>
      <c r="R3106" s="1304"/>
      <c r="S3106" s="1304"/>
      <c r="T3106" s="1304"/>
    </row>
    <row r="3107" spans="1:20">
      <c r="A3107" s="1303"/>
      <c r="B3107" s="1322" t="s">
        <v>8345</v>
      </c>
      <c r="C3107" s="1323" t="s">
        <v>8346</v>
      </c>
      <c r="D3107" s="1324">
        <f t="shared" si="318"/>
        <v>37357</v>
      </c>
      <c r="E3107" s="1323">
        <f t="shared" si="320"/>
        <v>11.2371</v>
      </c>
      <c r="F3107" s="1323">
        <f t="shared" si="319"/>
        <v>5.4091394398658368</v>
      </c>
      <c r="G3107" s="1323">
        <f t="shared" si="321"/>
        <v>2002</v>
      </c>
      <c r="H3107" s="1323">
        <f t="shared" si="322"/>
        <v>4</v>
      </c>
      <c r="I3107" s="1323">
        <f t="shared" si="323"/>
        <v>11</v>
      </c>
      <c r="J3107" s="1323"/>
      <c r="K3107" s="1323"/>
      <c r="L3107" s="1323"/>
      <c r="M3107" s="1323"/>
      <c r="N3107" s="1323"/>
      <c r="O3107" s="1323"/>
      <c r="P3107" s="1323"/>
      <c r="Q3107" s="1323"/>
      <c r="R3107" s="1304"/>
      <c r="S3107" s="1304"/>
      <c r="T3107" s="1304"/>
    </row>
    <row r="3108" spans="1:20">
      <c r="A3108" s="1303"/>
      <c r="B3108" s="1322" t="s">
        <v>8347</v>
      </c>
      <c r="C3108" s="1323" t="s">
        <v>8348</v>
      </c>
      <c r="D3108" s="1324">
        <f t="shared" si="318"/>
        <v>37356</v>
      </c>
      <c r="E3108" s="1323">
        <f t="shared" si="320"/>
        <v>11.2211</v>
      </c>
      <c r="F3108" s="1323">
        <f t="shared" si="319"/>
        <v>5.4081022695675633</v>
      </c>
      <c r="G3108" s="1323">
        <f t="shared" si="321"/>
        <v>2002</v>
      </c>
      <c r="H3108" s="1323">
        <f t="shared" si="322"/>
        <v>4</v>
      </c>
      <c r="I3108" s="1323">
        <f t="shared" si="323"/>
        <v>10</v>
      </c>
      <c r="J3108" s="1323"/>
      <c r="K3108" s="1323"/>
      <c r="L3108" s="1323"/>
      <c r="M3108" s="1323"/>
      <c r="N3108" s="1323"/>
      <c r="O3108" s="1323"/>
      <c r="P3108" s="1323"/>
      <c r="Q3108" s="1323"/>
      <c r="R3108" s="1304"/>
      <c r="S3108" s="1304"/>
      <c r="T3108" s="1304"/>
    </row>
    <row r="3109" spans="1:20">
      <c r="A3109" s="1303"/>
      <c r="B3109" s="1322" t="s">
        <v>8349</v>
      </c>
      <c r="C3109" s="1323" t="s">
        <v>8350</v>
      </c>
      <c r="D3109" s="1324">
        <f t="shared" si="318"/>
        <v>37355</v>
      </c>
      <c r="E3109" s="1323">
        <f t="shared" si="320"/>
        <v>11.185</v>
      </c>
      <c r="F3109" s="1323">
        <f t="shared" si="319"/>
        <v>5.4070652981405223</v>
      </c>
      <c r="G3109" s="1323">
        <f t="shared" si="321"/>
        <v>2002</v>
      </c>
      <c r="H3109" s="1323">
        <f t="shared" si="322"/>
        <v>4</v>
      </c>
      <c r="I3109" s="1323">
        <f t="shared" si="323"/>
        <v>9</v>
      </c>
      <c r="J3109" s="1323"/>
      <c r="K3109" s="1323"/>
      <c r="L3109" s="1323"/>
      <c r="M3109" s="1323"/>
      <c r="N3109" s="1323"/>
      <c r="O3109" s="1323"/>
      <c r="P3109" s="1323"/>
      <c r="Q3109" s="1323"/>
      <c r="R3109" s="1304"/>
      <c r="S3109" s="1304"/>
      <c r="T3109" s="1304"/>
    </row>
    <row r="3110" spans="1:20">
      <c r="A3110" s="1303"/>
      <c r="B3110" s="1322" t="s">
        <v>8351</v>
      </c>
      <c r="C3110" s="1323" t="s">
        <v>8352</v>
      </c>
      <c r="D3110" s="1324">
        <f t="shared" si="318"/>
        <v>37354</v>
      </c>
      <c r="E3110" s="1323">
        <f t="shared" si="320"/>
        <v>11.1129</v>
      </c>
      <c r="F3110" s="1323">
        <f t="shared" si="319"/>
        <v>5.4060285255465814</v>
      </c>
      <c r="G3110" s="1323">
        <f t="shared" si="321"/>
        <v>2002</v>
      </c>
      <c r="H3110" s="1323">
        <f t="shared" si="322"/>
        <v>4</v>
      </c>
      <c r="I3110" s="1323">
        <f t="shared" si="323"/>
        <v>8</v>
      </c>
      <c r="J3110" s="1323"/>
      <c r="K3110" s="1323"/>
      <c r="L3110" s="1323"/>
      <c r="M3110" s="1323"/>
      <c r="N3110" s="1323"/>
      <c r="O3110" s="1323"/>
      <c r="P3110" s="1323"/>
      <c r="Q3110" s="1323"/>
      <c r="R3110" s="1304"/>
      <c r="S3110" s="1304"/>
      <c r="T3110" s="1304"/>
    </row>
    <row r="3111" spans="1:20">
      <c r="A3111" s="1303"/>
      <c r="B3111" s="1322" t="s">
        <v>8353</v>
      </c>
      <c r="C3111" s="1323" t="s">
        <v>8354</v>
      </c>
      <c r="D3111" s="1324">
        <f t="shared" si="318"/>
        <v>37351</v>
      </c>
      <c r="E3111" s="1323">
        <f t="shared" si="320"/>
        <v>11.2491</v>
      </c>
      <c r="F3111" s="1323">
        <f t="shared" si="319"/>
        <v>5.4049919517476157</v>
      </c>
      <c r="G3111" s="1323">
        <f t="shared" si="321"/>
        <v>2002</v>
      </c>
      <c r="H3111" s="1323">
        <f t="shared" si="322"/>
        <v>4</v>
      </c>
      <c r="I3111" s="1323">
        <f t="shared" si="323"/>
        <v>5</v>
      </c>
      <c r="J3111" s="1323"/>
      <c r="K3111" s="1323"/>
      <c r="L3111" s="1323"/>
      <c r="M3111" s="1323"/>
      <c r="N3111" s="1323"/>
      <c r="O3111" s="1323"/>
      <c r="P3111" s="1323"/>
      <c r="Q3111" s="1323"/>
      <c r="R3111" s="1304"/>
      <c r="S3111" s="1304"/>
      <c r="T3111" s="1304"/>
    </row>
    <row r="3112" spans="1:20">
      <c r="A3112" s="1303"/>
      <c r="B3112" s="1322" t="s">
        <v>8355</v>
      </c>
      <c r="C3112" s="1323" t="s">
        <v>8356</v>
      </c>
      <c r="D3112" s="1324">
        <f t="shared" si="318"/>
        <v>37350</v>
      </c>
      <c r="E3112" s="1323">
        <f t="shared" si="320"/>
        <v>11.1494</v>
      </c>
      <c r="F3112" s="1323">
        <f t="shared" si="319"/>
        <v>5.4039555767055072</v>
      </c>
      <c r="G3112" s="1323">
        <f t="shared" si="321"/>
        <v>2002</v>
      </c>
      <c r="H3112" s="1323">
        <f t="shared" si="322"/>
        <v>4</v>
      </c>
      <c r="I3112" s="1323">
        <f t="shared" si="323"/>
        <v>4</v>
      </c>
      <c r="J3112" s="1323"/>
      <c r="K3112" s="1323"/>
      <c r="L3112" s="1323"/>
      <c r="M3112" s="1323"/>
      <c r="N3112" s="1323"/>
      <c r="O3112" s="1323"/>
      <c r="P3112" s="1323"/>
      <c r="Q3112" s="1323"/>
      <c r="R3112" s="1304"/>
      <c r="S3112" s="1304"/>
      <c r="T3112" s="1304"/>
    </row>
    <row r="3113" spans="1:20">
      <c r="A3113" s="1303"/>
      <c r="B3113" s="1322" t="s">
        <v>8357</v>
      </c>
      <c r="C3113" s="1323" t="s">
        <v>8358</v>
      </c>
      <c r="D3113" s="1324">
        <f t="shared" si="318"/>
        <v>37349</v>
      </c>
      <c r="E3113" s="1323">
        <f t="shared" si="320"/>
        <v>11.2294</v>
      </c>
      <c r="F3113" s="1323">
        <f t="shared" si="319"/>
        <v>5.4029194003821459</v>
      </c>
      <c r="G3113" s="1323">
        <f t="shared" si="321"/>
        <v>2002</v>
      </c>
      <c r="H3113" s="1323">
        <f t="shared" si="322"/>
        <v>4</v>
      </c>
      <c r="I3113" s="1323">
        <f t="shared" si="323"/>
        <v>3</v>
      </c>
      <c r="J3113" s="1323"/>
      <c r="K3113" s="1323"/>
      <c r="L3113" s="1323"/>
      <c r="M3113" s="1323"/>
      <c r="N3113" s="1323"/>
      <c r="O3113" s="1323"/>
      <c r="P3113" s="1323"/>
      <c r="Q3113" s="1323"/>
      <c r="R3113" s="1304"/>
      <c r="S3113" s="1304"/>
      <c r="T3113" s="1304"/>
    </row>
    <row r="3114" spans="1:20">
      <c r="A3114" s="1303"/>
      <c r="B3114" s="1322" t="s">
        <v>8359</v>
      </c>
      <c r="C3114" s="1323" t="s">
        <v>8360</v>
      </c>
      <c r="D3114" s="1324">
        <f t="shared" si="318"/>
        <v>37348</v>
      </c>
      <c r="E3114" s="1323">
        <f t="shared" si="320"/>
        <v>11.284800000000001</v>
      </c>
      <c r="F3114" s="1323">
        <f t="shared" si="319"/>
        <v>5.401883422739429</v>
      </c>
      <c r="G3114" s="1323">
        <f t="shared" si="321"/>
        <v>2002</v>
      </c>
      <c r="H3114" s="1323">
        <f t="shared" si="322"/>
        <v>4</v>
      </c>
      <c r="I3114" s="1323">
        <f t="shared" si="323"/>
        <v>2</v>
      </c>
      <c r="J3114" s="1323"/>
      <c r="K3114" s="1323"/>
      <c r="L3114" s="1323"/>
      <c r="M3114" s="1323"/>
      <c r="N3114" s="1323"/>
      <c r="O3114" s="1323"/>
      <c r="P3114" s="1323"/>
      <c r="Q3114" s="1323"/>
      <c r="R3114" s="1304"/>
      <c r="S3114" s="1304"/>
      <c r="T3114" s="1304"/>
    </row>
    <row r="3115" spans="1:20">
      <c r="A3115" s="1303"/>
      <c r="B3115" s="1322" t="s">
        <v>8361</v>
      </c>
      <c r="C3115" s="1323" t="s">
        <v>8362</v>
      </c>
      <c r="D3115" s="1324">
        <f t="shared" si="318"/>
        <v>37343</v>
      </c>
      <c r="E3115" s="1323">
        <f t="shared" si="320"/>
        <v>11.4038</v>
      </c>
      <c r="F3115" s="1323">
        <f t="shared" si="319"/>
        <v>5.4008476437392599</v>
      </c>
      <c r="G3115" s="1323">
        <f t="shared" si="321"/>
        <v>2002</v>
      </c>
      <c r="H3115" s="1323">
        <f t="shared" si="322"/>
        <v>3</v>
      </c>
      <c r="I3115" s="1323">
        <f t="shared" si="323"/>
        <v>28</v>
      </c>
      <c r="J3115" s="1323"/>
      <c r="K3115" s="1323"/>
      <c r="L3115" s="1323"/>
      <c r="M3115" s="1323"/>
      <c r="N3115" s="1323"/>
      <c r="O3115" s="1323"/>
      <c r="P3115" s="1323"/>
      <c r="Q3115" s="1323"/>
      <c r="R3115" s="1304"/>
      <c r="S3115" s="1304"/>
      <c r="T3115" s="1304"/>
    </row>
    <row r="3116" spans="1:20">
      <c r="A3116" s="1303"/>
      <c r="B3116" s="1322" t="s">
        <v>8363</v>
      </c>
      <c r="C3116" s="1323" t="s">
        <v>8364</v>
      </c>
      <c r="D3116" s="1324">
        <f t="shared" si="318"/>
        <v>37342</v>
      </c>
      <c r="E3116" s="1323">
        <f t="shared" si="320"/>
        <v>11.4788</v>
      </c>
      <c r="F3116" s="1323">
        <f t="shared" si="319"/>
        <v>5.3998120633435498</v>
      </c>
      <c r="G3116" s="1323">
        <f t="shared" si="321"/>
        <v>2002</v>
      </c>
      <c r="H3116" s="1323">
        <f t="shared" si="322"/>
        <v>3</v>
      </c>
      <c r="I3116" s="1323">
        <f t="shared" si="323"/>
        <v>27</v>
      </c>
      <c r="J3116" s="1323"/>
      <c r="K3116" s="1323"/>
      <c r="L3116" s="1323"/>
      <c r="M3116" s="1323"/>
      <c r="N3116" s="1323"/>
      <c r="O3116" s="1323"/>
      <c r="P3116" s="1323"/>
      <c r="Q3116" s="1323"/>
      <c r="R3116" s="1304"/>
      <c r="S3116" s="1304"/>
      <c r="T3116" s="1304"/>
    </row>
    <row r="3117" spans="1:20">
      <c r="A3117" s="1303"/>
      <c r="B3117" s="1322" t="s">
        <v>8365</v>
      </c>
      <c r="C3117" s="1323" t="s">
        <v>8366</v>
      </c>
      <c r="D3117" s="1324">
        <f t="shared" si="318"/>
        <v>37341</v>
      </c>
      <c r="E3117" s="1323">
        <f t="shared" si="320"/>
        <v>11.575699999999999</v>
      </c>
      <c r="F3117" s="1323">
        <f t="shared" si="319"/>
        <v>5.3987766815142182</v>
      </c>
      <c r="G3117" s="1323">
        <f t="shared" si="321"/>
        <v>2002</v>
      </c>
      <c r="H3117" s="1323">
        <f t="shared" si="322"/>
        <v>3</v>
      </c>
      <c r="I3117" s="1323">
        <f t="shared" si="323"/>
        <v>26</v>
      </c>
      <c r="J3117" s="1323"/>
      <c r="K3117" s="1323"/>
      <c r="L3117" s="1323"/>
      <c r="M3117" s="1323"/>
      <c r="N3117" s="1323"/>
      <c r="O3117" s="1323"/>
      <c r="P3117" s="1323"/>
      <c r="Q3117" s="1323"/>
      <c r="R3117" s="1304"/>
      <c r="S3117" s="1304"/>
      <c r="T3117" s="1304"/>
    </row>
    <row r="3118" spans="1:20">
      <c r="A3118" s="1303"/>
      <c r="B3118" s="1322" t="s">
        <v>8367</v>
      </c>
      <c r="C3118" s="1323" t="s">
        <v>8368</v>
      </c>
      <c r="D3118" s="1324">
        <f t="shared" si="318"/>
        <v>37340</v>
      </c>
      <c r="E3118" s="1323">
        <f t="shared" si="320"/>
        <v>11.5611</v>
      </c>
      <c r="F3118" s="1323">
        <f t="shared" si="319"/>
        <v>5.3977414982131906</v>
      </c>
      <c r="G3118" s="1323">
        <f t="shared" si="321"/>
        <v>2002</v>
      </c>
      <c r="H3118" s="1323">
        <f t="shared" si="322"/>
        <v>3</v>
      </c>
      <c r="I3118" s="1323">
        <f t="shared" si="323"/>
        <v>25</v>
      </c>
      <c r="J3118" s="1323"/>
      <c r="K3118" s="1323"/>
      <c r="L3118" s="1323"/>
      <c r="M3118" s="1323"/>
      <c r="N3118" s="1323"/>
      <c r="O3118" s="1323"/>
      <c r="P3118" s="1323"/>
      <c r="Q3118" s="1323"/>
      <c r="R3118" s="1304"/>
      <c r="S3118" s="1304"/>
      <c r="T3118" s="1304"/>
    </row>
    <row r="3119" spans="1:20">
      <c r="A3119" s="1303"/>
      <c r="B3119" s="1322" t="s">
        <v>8369</v>
      </c>
      <c r="C3119" s="1323" t="s">
        <v>8370</v>
      </c>
      <c r="D3119" s="1324">
        <f t="shared" si="318"/>
        <v>37337</v>
      </c>
      <c r="E3119" s="1323">
        <f t="shared" si="320"/>
        <v>11.548500000000001</v>
      </c>
      <c r="F3119" s="1323">
        <f t="shared" si="319"/>
        <v>5.3967065134024006</v>
      </c>
      <c r="G3119" s="1323">
        <f t="shared" si="321"/>
        <v>2002</v>
      </c>
      <c r="H3119" s="1323">
        <f t="shared" si="322"/>
        <v>3</v>
      </c>
      <c r="I3119" s="1323">
        <f t="shared" si="323"/>
        <v>22</v>
      </c>
      <c r="J3119" s="1323"/>
      <c r="K3119" s="1323"/>
      <c r="L3119" s="1323"/>
      <c r="M3119" s="1323"/>
      <c r="N3119" s="1323"/>
      <c r="O3119" s="1323"/>
      <c r="P3119" s="1323"/>
      <c r="Q3119" s="1323"/>
      <c r="R3119" s="1304"/>
      <c r="S3119" s="1304"/>
      <c r="T3119" s="1304"/>
    </row>
    <row r="3120" spans="1:20">
      <c r="A3120" s="1303"/>
      <c r="B3120" s="1322" t="s">
        <v>8371</v>
      </c>
      <c r="C3120" s="1323" t="s">
        <v>8372</v>
      </c>
      <c r="D3120" s="1324">
        <f t="shared" si="318"/>
        <v>37335</v>
      </c>
      <c r="E3120" s="1323">
        <f t="shared" si="320"/>
        <v>11.503</v>
      </c>
      <c r="F3120" s="1323">
        <f t="shared" si="319"/>
        <v>5.3956717270437888</v>
      </c>
      <c r="G3120" s="1323">
        <f t="shared" si="321"/>
        <v>2002</v>
      </c>
      <c r="H3120" s="1323">
        <f t="shared" si="322"/>
        <v>3</v>
      </c>
      <c r="I3120" s="1323">
        <f t="shared" si="323"/>
        <v>20</v>
      </c>
      <c r="J3120" s="1323"/>
      <c r="K3120" s="1323"/>
      <c r="L3120" s="1323"/>
      <c r="M3120" s="1323"/>
      <c r="N3120" s="1323"/>
      <c r="O3120" s="1323"/>
      <c r="P3120" s="1323"/>
      <c r="Q3120" s="1323"/>
      <c r="R3120" s="1304"/>
      <c r="S3120" s="1304"/>
      <c r="T3120" s="1304"/>
    </row>
    <row r="3121" spans="1:20">
      <c r="A3121" s="1303"/>
      <c r="B3121" s="1322" t="s">
        <v>8373</v>
      </c>
      <c r="C3121" s="1323" t="s">
        <v>8374</v>
      </c>
      <c r="D3121" s="1324">
        <f t="shared" si="318"/>
        <v>37334</v>
      </c>
      <c r="E3121" s="1323">
        <f t="shared" si="320"/>
        <v>11.7789</v>
      </c>
      <c r="F3121" s="1323">
        <f t="shared" si="319"/>
        <v>5.394637139099304</v>
      </c>
      <c r="G3121" s="1323">
        <f t="shared" si="321"/>
        <v>2002</v>
      </c>
      <c r="H3121" s="1323">
        <f t="shared" si="322"/>
        <v>3</v>
      </c>
      <c r="I3121" s="1323">
        <f t="shared" si="323"/>
        <v>19</v>
      </c>
      <c r="J3121" s="1323"/>
      <c r="K3121" s="1323"/>
      <c r="L3121" s="1323"/>
      <c r="M3121" s="1323"/>
      <c r="N3121" s="1323"/>
      <c r="O3121" s="1323"/>
      <c r="P3121" s="1323"/>
      <c r="Q3121" s="1323"/>
      <c r="R3121" s="1304"/>
      <c r="S3121" s="1304"/>
      <c r="T3121" s="1304"/>
    </row>
    <row r="3122" spans="1:20">
      <c r="A3122" s="1303"/>
      <c r="B3122" s="1322" t="s">
        <v>8375</v>
      </c>
      <c r="C3122" s="1323" t="s">
        <v>8376</v>
      </c>
      <c r="D3122" s="1324">
        <f t="shared" si="318"/>
        <v>37333</v>
      </c>
      <c r="E3122" s="1323">
        <f t="shared" si="320"/>
        <v>11.922800000000001</v>
      </c>
      <c r="F3122" s="1323">
        <f t="shared" si="319"/>
        <v>5.3936027495309009</v>
      </c>
      <c r="G3122" s="1323">
        <f t="shared" si="321"/>
        <v>2002</v>
      </c>
      <c r="H3122" s="1323">
        <f t="shared" si="322"/>
        <v>3</v>
      </c>
      <c r="I3122" s="1323">
        <f t="shared" si="323"/>
        <v>18</v>
      </c>
      <c r="J3122" s="1323"/>
      <c r="K3122" s="1323"/>
      <c r="L3122" s="1323"/>
      <c r="M3122" s="1323"/>
      <c r="N3122" s="1323"/>
      <c r="O3122" s="1323"/>
      <c r="P3122" s="1323"/>
      <c r="Q3122" s="1323"/>
      <c r="R3122" s="1304"/>
      <c r="S3122" s="1304"/>
      <c r="T3122" s="1304"/>
    </row>
    <row r="3123" spans="1:20">
      <c r="A3123" s="1303"/>
      <c r="B3123" s="1322" t="s">
        <v>8377</v>
      </c>
      <c r="C3123" s="1323" t="s">
        <v>8378</v>
      </c>
      <c r="D3123" s="1324">
        <f t="shared" si="318"/>
        <v>37330</v>
      </c>
      <c r="E3123" s="1323">
        <f t="shared" si="320"/>
        <v>11.676</v>
      </c>
      <c r="F3123" s="1323">
        <f t="shared" si="319"/>
        <v>5.3925685583005416</v>
      </c>
      <c r="G3123" s="1323">
        <f t="shared" si="321"/>
        <v>2002</v>
      </c>
      <c r="H3123" s="1323">
        <f t="shared" si="322"/>
        <v>3</v>
      </c>
      <c r="I3123" s="1323">
        <f t="shared" si="323"/>
        <v>15</v>
      </c>
      <c r="J3123" s="1323"/>
      <c r="K3123" s="1323"/>
      <c r="L3123" s="1323"/>
      <c r="M3123" s="1323"/>
      <c r="N3123" s="1323"/>
      <c r="O3123" s="1323"/>
      <c r="P3123" s="1323"/>
      <c r="Q3123" s="1323"/>
      <c r="R3123" s="1304"/>
      <c r="S3123" s="1304"/>
      <c r="T3123" s="1304"/>
    </row>
    <row r="3124" spans="1:20">
      <c r="A3124" s="1303"/>
      <c r="B3124" s="1322" t="s">
        <v>8379</v>
      </c>
      <c r="C3124" s="1323" t="s">
        <v>8380</v>
      </c>
      <c r="D3124" s="1324">
        <f t="shared" si="318"/>
        <v>37329</v>
      </c>
      <c r="E3124" s="1323">
        <f t="shared" si="320"/>
        <v>11.671200000000001</v>
      </c>
      <c r="F3124" s="1323">
        <f t="shared" si="319"/>
        <v>5.391534565370196</v>
      </c>
      <c r="G3124" s="1323">
        <f t="shared" si="321"/>
        <v>2002</v>
      </c>
      <c r="H3124" s="1323">
        <f t="shared" si="322"/>
        <v>3</v>
      </c>
      <c r="I3124" s="1323">
        <f t="shared" si="323"/>
        <v>14</v>
      </c>
      <c r="J3124" s="1323"/>
      <c r="K3124" s="1323"/>
      <c r="L3124" s="1323"/>
      <c r="M3124" s="1323"/>
      <c r="N3124" s="1323"/>
      <c r="O3124" s="1323"/>
      <c r="P3124" s="1323"/>
      <c r="Q3124" s="1323"/>
      <c r="R3124" s="1304"/>
      <c r="S3124" s="1304"/>
      <c r="T3124" s="1304"/>
    </row>
    <row r="3125" spans="1:20">
      <c r="A3125" s="1303"/>
      <c r="B3125" s="1322" t="s">
        <v>8381</v>
      </c>
      <c r="C3125" s="1323" t="s">
        <v>8382</v>
      </c>
      <c r="D3125" s="1324">
        <f t="shared" si="318"/>
        <v>37328</v>
      </c>
      <c r="E3125" s="1323">
        <f t="shared" si="320"/>
        <v>11.6808</v>
      </c>
      <c r="F3125" s="1323">
        <f t="shared" si="319"/>
        <v>5.3905007707018422</v>
      </c>
      <c r="G3125" s="1323">
        <f t="shared" si="321"/>
        <v>2002</v>
      </c>
      <c r="H3125" s="1323">
        <f t="shared" si="322"/>
        <v>3</v>
      </c>
      <c r="I3125" s="1323">
        <f t="shared" si="323"/>
        <v>13</v>
      </c>
      <c r="J3125" s="1323"/>
      <c r="K3125" s="1323"/>
      <c r="L3125" s="1323"/>
      <c r="M3125" s="1323"/>
      <c r="N3125" s="1323"/>
      <c r="O3125" s="1323"/>
      <c r="P3125" s="1323"/>
      <c r="Q3125" s="1323"/>
      <c r="R3125" s="1304"/>
      <c r="S3125" s="1304"/>
      <c r="T3125" s="1304"/>
    </row>
    <row r="3126" spans="1:20">
      <c r="A3126" s="1303"/>
      <c r="B3126" s="1322" t="s">
        <v>8383</v>
      </c>
      <c r="C3126" s="1323" t="s">
        <v>8384</v>
      </c>
      <c r="D3126" s="1324">
        <f t="shared" si="318"/>
        <v>37327</v>
      </c>
      <c r="E3126" s="1323">
        <f t="shared" si="320"/>
        <v>11.542199999999999</v>
      </c>
      <c r="F3126" s="1323">
        <f t="shared" si="319"/>
        <v>5.3894671742574642</v>
      </c>
      <c r="G3126" s="1323">
        <f t="shared" si="321"/>
        <v>2002</v>
      </c>
      <c r="H3126" s="1323">
        <f t="shared" si="322"/>
        <v>3</v>
      </c>
      <c r="I3126" s="1323">
        <f t="shared" si="323"/>
        <v>12</v>
      </c>
      <c r="J3126" s="1323"/>
      <c r="K3126" s="1323"/>
      <c r="L3126" s="1323"/>
      <c r="M3126" s="1323"/>
      <c r="N3126" s="1323"/>
      <c r="O3126" s="1323"/>
      <c r="P3126" s="1323"/>
      <c r="Q3126" s="1323"/>
      <c r="R3126" s="1304"/>
      <c r="S3126" s="1304"/>
      <c r="T3126" s="1304"/>
    </row>
    <row r="3127" spans="1:20">
      <c r="A3127" s="1303"/>
      <c r="B3127" s="1322" t="s">
        <v>8385</v>
      </c>
      <c r="C3127" s="1323" t="s">
        <v>8386</v>
      </c>
      <c r="D3127" s="1324">
        <f t="shared" si="318"/>
        <v>37326</v>
      </c>
      <c r="E3127" s="1323">
        <f t="shared" si="320"/>
        <v>11.472</v>
      </c>
      <c r="F3127" s="1323">
        <f t="shared" si="319"/>
        <v>5.3884337759990535</v>
      </c>
      <c r="G3127" s="1323">
        <f t="shared" si="321"/>
        <v>2002</v>
      </c>
      <c r="H3127" s="1323">
        <f t="shared" si="322"/>
        <v>3</v>
      </c>
      <c r="I3127" s="1323">
        <f t="shared" si="323"/>
        <v>11</v>
      </c>
      <c r="J3127" s="1323"/>
      <c r="K3127" s="1323"/>
      <c r="L3127" s="1323"/>
      <c r="M3127" s="1323"/>
      <c r="N3127" s="1323"/>
      <c r="O3127" s="1323"/>
      <c r="P3127" s="1323"/>
      <c r="Q3127" s="1323"/>
      <c r="R3127" s="1304"/>
      <c r="S3127" s="1304"/>
      <c r="T3127" s="1304"/>
    </row>
    <row r="3128" spans="1:20">
      <c r="A3128" s="1303"/>
      <c r="B3128" s="1322" t="s">
        <v>8387</v>
      </c>
      <c r="C3128" s="1323" t="s">
        <v>8388</v>
      </c>
      <c r="D3128" s="1324">
        <f t="shared" si="318"/>
        <v>37323</v>
      </c>
      <c r="E3128" s="1323">
        <f t="shared" si="320"/>
        <v>11.9116</v>
      </c>
      <c r="F3128" s="1323">
        <f t="shared" si="319"/>
        <v>5.3874005758886092</v>
      </c>
      <c r="G3128" s="1323">
        <f t="shared" si="321"/>
        <v>2002</v>
      </c>
      <c r="H3128" s="1323">
        <f t="shared" si="322"/>
        <v>3</v>
      </c>
      <c r="I3128" s="1323">
        <f t="shared" si="323"/>
        <v>8</v>
      </c>
      <c r="J3128" s="1323"/>
      <c r="K3128" s="1323"/>
      <c r="L3128" s="1323"/>
      <c r="M3128" s="1323"/>
      <c r="N3128" s="1323"/>
      <c r="O3128" s="1323"/>
      <c r="P3128" s="1323"/>
      <c r="Q3128" s="1323"/>
      <c r="R3128" s="1304"/>
      <c r="S3128" s="1304"/>
      <c r="T3128" s="1304"/>
    </row>
    <row r="3129" spans="1:20">
      <c r="A3129" s="1303"/>
      <c r="B3129" s="1322" t="s">
        <v>8389</v>
      </c>
      <c r="C3129" s="1323" t="s">
        <v>8390</v>
      </c>
      <c r="D3129" s="1324">
        <f t="shared" si="318"/>
        <v>37322</v>
      </c>
      <c r="E3129" s="1323">
        <f t="shared" si="320"/>
        <v>11.094900000000001</v>
      </c>
      <c r="F3129" s="1323">
        <f t="shared" si="319"/>
        <v>5.3863675738881369</v>
      </c>
      <c r="G3129" s="1323">
        <f t="shared" si="321"/>
        <v>2002</v>
      </c>
      <c r="H3129" s="1323">
        <f t="shared" si="322"/>
        <v>3</v>
      </c>
      <c r="I3129" s="1323">
        <f t="shared" si="323"/>
        <v>7</v>
      </c>
      <c r="J3129" s="1323"/>
      <c r="K3129" s="1323"/>
      <c r="L3129" s="1323"/>
      <c r="M3129" s="1323"/>
      <c r="N3129" s="1323"/>
      <c r="O3129" s="1323"/>
      <c r="P3129" s="1323"/>
      <c r="Q3129" s="1323"/>
      <c r="R3129" s="1304"/>
      <c r="S3129" s="1304"/>
      <c r="T3129" s="1304"/>
    </row>
    <row r="3130" spans="1:20">
      <c r="A3130" s="1303"/>
      <c r="B3130" s="1322" t="s">
        <v>8391</v>
      </c>
      <c r="C3130" s="1323" t="s">
        <v>8392</v>
      </c>
      <c r="D3130" s="1324">
        <f t="shared" si="318"/>
        <v>37321</v>
      </c>
      <c r="E3130" s="1323">
        <f t="shared" si="320"/>
        <v>11.0175</v>
      </c>
      <c r="F3130" s="1323">
        <f t="shared" si="319"/>
        <v>5.385334769959651</v>
      </c>
      <c r="G3130" s="1323">
        <f t="shared" si="321"/>
        <v>2002</v>
      </c>
      <c r="H3130" s="1323">
        <f t="shared" si="322"/>
        <v>3</v>
      </c>
      <c r="I3130" s="1323">
        <f t="shared" si="323"/>
        <v>6</v>
      </c>
      <c r="J3130" s="1323"/>
      <c r="K3130" s="1323"/>
      <c r="L3130" s="1323"/>
      <c r="M3130" s="1323"/>
      <c r="N3130" s="1323"/>
      <c r="O3130" s="1323"/>
      <c r="P3130" s="1323"/>
      <c r="Q3130" s="1323"/>
      <c r="R3130" s="1304"/>
      <c r="S3130" s="1304"/>
      <c r="T3130" s="1304"/>
    </row>
    <row r="3131" spans="1:20">
      <c r="A3131" s="1303"/>
      <c r="B3131" s="1322" t="s">
        <v>8393</v>
      </c>
      <c r="C3131" s="1323" t="s">
        <v>8394</v>
      </c>
      <c r="D3131" s="1324">
        <f t="shared" si="318"/>
        <v>37320</v>
      </c>
      <c r="E3131" s="1323">
        <f t="shared" si="320"/>
        <v>10.9779</v>
      </c>
      <c r="F3131" s="1323">
        <f t="shared" si="319"/>
        <v>5.3843021640651729</v>
      </c>
      <c r="G3131" s="1323">
        <f t="shared" si="321"/>
        <v>2002</v>
      </c>
      <c r="H3131" s="1323">
        <f t="shared" si="322"/>
        <v>3</v>
      </c>
      <c r="I3131" s="1323">
        <f t="shared" si="323"/>
        <v>5</v>
      </c>
      <c r="J3131" s="1323"/>
      <c r="K3131" s="1323"/>
      <c r="L3131" s="1323"/>
      <c r="M3131" s="1323"/>
      <c r="N3131" s="1323"/>
      <c r="O3131" s="1323"/>
      <c r="P3131" s="1323"/>
      <c r="Q3131" s="1323"/>
      <c r="R3131" s="1304"/>
      <c r="S3131" s="1304"/>
      <c r="T3131" s="1304"/>
    </row>
    <row r="3132" spans="1:20">
      <c r="A3132" s="1303"/>
      <c r="B3132" s="1322" t="s">
        <v>8395</v>
      </c>
      <c r="C3132" s="1323" t="s">
        <v>8396</v>
      </c>
      <c r="D3132" s="1324">
        <f t="shared" si="318"/>
        <v>37319</v>
      </c>
      <c r="E3132" s="1323">
        <f t="shared" si="320"/>
        <v>11.3055</v>
      </c>
      <c r="F3132" s="1323">
        <f t="shared" si="319"/>
        <v>5.3832697561667295</v>
      </c>
      <c r="G3132" s="1323">
        <f t="shared" si="321"/>
        <v>2002</v>
      </c>
      <c r="H3132" s="1323">
        <f t="shared" si="322"/>
        <v>3</v>
      </c>
      <c r="I3132" s="1323">
        <f t="shared" si="323"/>
        <v>4</v>
      </c>
      <c r="J3132" s="1323"/>
      <c r="K3132" s="1323"/>
      <c r="L3132" s="1323"/>
      <c r="M3132" s="1323"/>
      <c r="N3132" s="1323"/>
      <c r="O3132" s="1323"/>
      <c r="P3132" s="1323"/>
      <c r="Q3132" s="1323"/>
      <c r="R3132" s="1304"/>
      <c r="S3132" s="1304"/>
      <c r="T3132" s="1304"/>
    </row>
    <row r="3133" spans="1:20">
      <c r="A3133" s="1303"/>
      <c r="B3133" s="1322" t="s">
        <v>8397</v>
      </c>
      <c r="C3133" s="1323" t="s">
        <v>8398</v>
      </c>
      <c r="D3133" s="1324">
        <f t="shared" si="318"/>
        <v>37316</v>
      </c>
      <c r="E3133" s="1323">
        <f t="shared" si="320"/>
        <v>11.3713</v>
      </c>
      <c r="F3133" s="1323">
        <f t="shared" si="319"/>
        <v>5.3822375462263574</v>
      </c>
      <c r="G3133" s="1323">
        <f t="shared" si="321"/>
        <v>2002</v>
      </c>
      <c r="H3133" s="1323">
        <f t="shared" si="322"/>
        <v>3</v>
      </c>
      <c r="I3133" s="1323">
        <f t="shared" si="323"/>
        <v>1</v>
      </c>
      <c r="J3133" s="1323"/>
      <c r="K3133" s="1323"/>
      <c r="L3133" s="1323"/>
      <c r="M3133" s="1323"/>
      <c r="N3133" s="1323"/>
      <c r="O3133" s="1323"/>
      <c r="P3133" s="1323"/>
      <c r="Q3133" s="1323"/>
      <c r="R3133" s="1304"/>
      <c r="S3133" s="1304"/>
      <c r="T3133" s="1304"/>
    </row>
    <row r="3134" spans="1:20">
      <c r="A3134" s="1303"/>
      <c r="B3134" s="1322" t="s">
        <v>8399</v>
      </c>
      <c r="C3134" s="1323" t="s">
        <v>8400</v>
      </c>
      <c r="D3134" s="1324">
        <f t="shared" si="318"/>
        <v>37315</v>
      </c>
      <c r="E3134" s="1323">
        <f t="shared" si="320"/>
        <v>11.4521</v>
      </c>
      <c r="F3134" s="1323">
        <f t="shared" si="319"/>
        <v>5.3812055342060985</v>
      </c>
      <c r="G3134" s="1323">
        <f t="shared" si="321"/>
        <v>2002</v>
      </c>
      <c r="H3134" s="1323">
        <f t="shared" si="322"/>
        <v>2</v>
      </c>
      <c r="I3134" s="1323">
        <f t="shared" si="323"/>
        <v>28</v>
      </c>
      <c r="J3134" s="1323"/>
      <c r="K3134" s="1323"/>
      <c r="L3134" s="1323"/>
      <c r="M3134" s="1323"/>
      <c r="N3134" s="1323"/>
      <c r="O3134" s="1323"/>
      <c r="P3134" s="1323"/>
      <c r="Q3134" s="1323"/>
      <c r="R3134" s="1304"/>
      <c r="S3134" s="1304"/>
      <c r="T3134" s="1304"/>
    </row>
    <row r="3135" spans="1:20">
      <c r="A3135" s="1303"/>
      <c r="B3135" s="1322" t="s">
        <v>8401</v>
      </c>
      <c r="C3135" s="1323" t="s">
        <v>8402</v>
      </c>
      <c r="D3135" s="1324">
        <f t="shared" si="318"/>
        <v>37314</v>
      </c>
      <c r="E3135" s="1323">
        <f t="shared" si="320"/>
        <v>11.408099999999999</v>
      </c>
      <c r="F3135" s="1323">
        <f t="shared" si="319"/>
        <v>5.3801737200680027</v>
      </c>
      <c r="G3135" s="1323">
        <f t="shared" si="321"/>
        <v>2002</v>
      </c>
      <c r="H3135" s="1323">
        <f t="shared" si="322"/>
        <v>2</v>
      </c>
      <c r="I3135" s="1323">
        <f t="shared" si="323"/>
        <v>27</v>
      </c>
      <c r="J3135" s="1323"/>
      <c r="K3135" s="1323"/>
      <c r="L3135" s="1323"/>
      <c r="M3135" s="1323"/>
      <c r="N3135" s="1323"/>
      <c r="O3135" s="1323"/>
      <c r="P3135" s="1323"/>
      <c r="Q3135" s="1323"/>
      <c r="R3135" s="1304"/>
      <c r="S3135" s="1304"/>
      <c r="T3135" s="1304"/>
    </row>
    <row r="3136" spans="1:20">
      <c r="A3136" s="1303"/>
      <c r="B3136" s="1322" t="s">
        <v>8403</v>
      </c>
      <c r="C3136" s="1323" t="s">
        <v>8404</v>
      </c>
      <c r="D3136" s="1324">
        <f t="shared" si="318"/>
        <v>37313</v>
      </c>
      <c r="E3136" s="1323">
        <f t="shared" si="320"/>
        <v>11.433</v>
      </c>
      <c r="F3136" s="1323">
        <f t="shared" si="319"/>
        <v>5.3791421037741278</v>
      </c>
      <c r="G3136" s="1323">
        <f t="shared" si="321"/>
        <v>2002</v>
      </c>
      <c r="H3136" s="1323">
        <f t="shared" si="322"/>
        <v>2</v>
      </c>
      <c r="I3136" s="1323">
        <f t="shared" si="323"/>
        <v>26</v>
      </c>
      <c r="J3136" s="1323"/>
      <c r="K3136" s="1323"/>
      <c r="L3136" s="1323"/>
      <c r="M3136" s="1323"/>
      <c r="N3136" s="1323"/>
      <c r="O3136" s="1323"/>
      <c r="P3136" s="1323"/>
      <c r="Q3136" s="1323"/>
      <c r="R3136" s="1304"/>
      <c r="S3136" s="1304"/>
      <c r="T3136" s="1304"/>
    </row>
    <row r="3137" spans="1:20">
      <c r="A3137" s="1303"/>
      <c r="B3137" s="1322" t="s">
        <v>8405</v>
      </c>
      <c r="C3137" s="1323" t="s">
        <v>8406</v>
      </c>
      <c r="D3137" s="1324">
        <f t="shared" si="318"/>
        <v>37312</v>
      </c>
      <c r="E3137" s="1323">
        <f t="shared" si="320"/>
        <v>11.3818</v>
      </c>
      <c r="F3137" s="1323">
        <f t="shared" si="319"/>
        <v>5.3781106852865381</v>
      </c>
      <c r="G3137" s="1323">
        <f t="shared" si="321"/>
        <v>2002</v>
      </c>
      <c r="H3137" s="1323">
        <f t="shared" si="322"/>
        <v>2</v>
      </c>
      <c r="I3137" s="1323">
        <f t="shared" si="323"/>
        <v>25</v>
      </c>
      <c r="J3137" s="1323"/>
      <c r="K3137" s="1323"/>
      <c r="L3137" s="1323"/>
      <c r="M3137" s="1323"/>
      <c r="N3137" s="1323"/>
      <c r="O3137" s="1323"/>
      <c r="P3137" s="1323"/>
      <c r="Q3137" s="1323"/>
      <c r="R3137" s="1304"/>
      <c r="S3137" s="1304"/>
      <c r="T3137" s="1304"/>
    </row>
    <row r="3138" spans="1:20">
      <c r="A3138" s="1303"/>
      <c r="B3138" s="1322" t="s">
        <v>8407</v>
      </c>
      <c r="C3138" s="1323" t="s">
        <v>8408</v>
      </c>
      <c r="D3138" s="1324">
        <f t="shared" si="318"/>
        <v>37309</v>
      </c>
      <c r="E3138" s="1323">
        <f t="shared" si="320"/>
        <v>11.4686</v>
      </c>
      <c r="F3138" s="1323">
        <f t="shared" si="319"/>
        <v>5.3770794645673057</v>
      </c>
      <c r="G3138" s="1323">
        <f t="shared" si="321"/>
        <v>2002</v>
      </c>
      <c r="H3138" s="1323">
        <f t="shared" si="322"/>
        <v>2</v>
      </c>
      <c r="I3138" s="1323">
        <f t="shared" si="323"/>
        <v>22</v>
      </c>
      <c r="J3138" s="1323"/>
      <c r="K3138" s="1323"/>
      <c r="L3138" s="1323"/>
      <c r="M3138" s="1323"/>
      <c r="N3138" s="1323"/>
      <c r="O3138" s="1323"/>
      <c r="P3138" s="1323"/>
      <c r="Q3138" s="1323"/>
      <c r="R3138" s="1304"/>
      <c r="S3138" s="1304"/>
      <c r="T3138" s="1304"/>
    </row>
    <row r="3139" spans="1:20">
      <c r="A3139" s="1303"/>
      <c r="B3139" s="1322" t="s">
        <v>8409</v>
      </c>
      <c r="C3139" s="1323" t="s">
        <v>8410</v>
      </c>
      <c r="D3139" s="1324">
        <f t="shared" si="318"/>
        <v>37308</v>
      </c>
      <c r="E3139" s="1323">
        <f t="shared" si="320"/>
        <v>11.4259</v>
      </c>
      <c r="F3139" s="1323">
        <f t="shared" si="319"/>
        <v>5.3760484415785097</v>
      </c>
      <c r="G3139" s="1323">
        <f t="shared" si="321"/>
        <v>2002</v>
      </c>
      <c r="H3139" s="1323">
        <f t="shared" si="322"/>
        <v>2</v>
      </c>
      <c r="I3139" s="1323">
        <f t="shared" si="323"/>
        <v>21</v>
      </c>
      <c r="J3139" s="1323"/>
      <c r="K3139" s="1323"/>
      <c r="L3139" s="1323"/>
      <c r="M3139" s="1323"/>
      <c r="N3139" s="1323"/>
      <c r="O3139" s="1323"/>
      <c r="P3139" s="1323"/>
      <c r="Q3139" s="1323"/>
      <c r="R3139" s="1304"/>
      <c r="S3139" s="1304"/>
      <c r="T3139" s="1304"/>
    </row>
    <row r="3140" spans="1:20">
      <c r="A3140" s="1303"/>
      <c r="B3140" s="1322" t="s">
        <v>8411</v>
      </c>
      <c r="C3140" s="1323" t="s">
        <v>8412</v>
      </c>
      <c r="D3140" s="1324">
        <f t="shared" si="318"/>
        <v>37307</v>
      </c>
      <c r="E3140" s="1323">
        <f t="shared" si="320"/>
        <v>11.4884</v>
      </c>
      <c r="F3140" s="1323">
        <f t="shared" si="319"/>
        <v>5.3750176162822365</v>
      </c>
      <c r="G3140" s="1323">
        <f t="shared" si="321"/>
        <v>2002</v>
      </c>
      <c r="H3140" s="1323">
        <f t="shared" si="322"/>
        <v>2</v>
      </c>
      <c r="I3140" s="1323">
        <f t="shared" si="323"/>
        <v>20</v>
      </c>
      <c r="J3140" s="1323"/>
      <c r="K3140" s="1323"/>
      <c r="L3140" s="1323"/>
      <c r="M3140" s="1323"/>
      <c r="N3140" s="1323"/>
      <c r="O3140" s="1323"/>
      <c r="P3140" s="1323"/>
      <c r="Q3140" s="1323"/>
      <c r="R3140" s="1304"/>
      <c r="S3140" s="1304"/>
      <c r="T3140" s="1304"/>
    </row>
    <row r="3141" spans="1:20">
      <c r="A3141" s="1303"/>
      <c r="B3141" s="1322" t="s">
        <v>8413</v>
      </c>
      <c r="C3141" s="1323" t="s">
        <v>8414</v>
      </c>
      <c r="D3141" s="1324">
        <f t="shared" si="318"/>
        <v>37306</v>
      </c>
      <c r="E3141" s="1323">
        <f t="shared" si="320"/>
        <v>11.532999999999999</v>
      </c>
      <c r="F3141" s="1323">
        <f t="shared" si="319"/>
        <v>5.3739869886405796</v>
      </c>
      <c r="G3141" s="1323">
        <f t="shared" si="321"/>
        <v>2002</v>
      </c>
      <c r="H3141" s="1323">
        <f t="shared" si="322"/>
        <v>2</v>
      </c>
      <c r="I3141" s="1323">
        <f t="shared" si="323"/>
        <v>19</v>
      </c>
      <c r="J3141" s="1323"/>
      <c r="K3141" s="1323"/>
      <c r="L3141" s="1323"/>
      <c r="M3141" s="1323"/>
      <c r="N3141" s="1323"/>
      <c r="O3141" s="1323"/>
      <c r="P3141" s="1323"/>
      <c r="Q3141" s="1323"/>
      <c r="R3141" s="1304"/>
      <c r="S3141" s="1304"/>
      <c r="T3141" s="1304"/>
    </row>
    <row r="3142" spans="1:20">
      <c r="A3142" s="1303"/>
      <c r="B3142" s="1322" t="s">
        <v>8415</v>
      </c>
      <c r="C3142" s="1323" t="s">
        <v>8416</v>
      </c>
      <c r="D3142" s="1324">
        <f t="shared" si="318"/>
        <v>37305</v>
      </c>
      <c r="E3142" s="1323">
        <f t="shared" si="320"/>
        <v>11.3619</v>
      </c>
      <c r="F3142" s="1323">
        <f t="shared" si="319"/>
        <v>5.3729565586156394</v>
      </c>
      <c r="G3142" s="1323">
        <f t="shared" si="321"/>
        <v>2002</v>
      </c>
      <c r="H3142" s="1323">
        <f t="shared" si="322"/>
        <v>2</v>
      </c>
      <c r="I3142" s="1323">
        <f t="shared" si="323"/>
        <v>18</v>
      </c>
      <c r="J3142" s="1323"/>
      <c r="K3142" s="1323"/>
      <c r="L3142" s="1323"/>
      <c r="M3142" s="1323"/>
      <c r="N3142" s="1323"/>
      <c r="O3142" s="1323"/>
      <c r="P3142" s="1323"/>
      <c r="Q3142" s="1323"/>
      <c r="R3142" s="1304"/>
      <c r="S3142" s="1304"/>
      <c r="T3142" s="1304"/>
    </row>
    <row r="3143" spans="1:20">
      <c r="A3143" s="1303"/>
      <c r="B3143" s="1322" t="s">
        <v>8417</v>
      </c>
      <c r="C3143" s="1323" t="s">
        <v>8418</v>
      </c>
      <c r="D3143" s="1324">
        <f t="shared" si="318"/>
        <v>37302</v>
      </c>
      <c r="E3143" s="1323">
        <f t="shared" si="320"/>
        <v>11.5061</v>
      </c>
      <c r="F3143" s="1323">
        <f t="shared" si="319"/>
        <v>5.3719263261695245</v>
      </c>
      <c r="G3143" s="1323">
        <f t="shared" si="321"/>
        <v>2002</v>
      </c>
      <c r="H3143" s="1323">
        <f t="shared" si="322"/>
        <v>2</v>
      </c>
      <c r="I3143" s="1323">
        <f t="shared" si="323"/>
        <v>15</v>
      </c>
      <c r="J3143" s="1323"/>
      <c r="K3143" s="1323"/>
      <c r="L3143" s="1323"/>
      <c r="M3143" s="1323"/>
      <c r="N3143" s="1323"/>
      <c r="O3143" s="1323"/>
      <c r="P3143" s="1323"/>
      <c r="Q3143" s="1323"/>
      <c r="R3143" s="1304"/>
      <c r="S3143" s="1304"/>
      <c r="T3143" s="1304"/>
    </row>
    <row r="3144" spans="1:20">
      <c r="A3144" s="1303"/>
      <c r="B3144" s="1322" t="s">
        <v>8419</v>
      </c>
      <c r="C3144" s="1323" t="s">
        <v>8420</v>
      </c>
      <c r="D3144" s="1324">
        <f t="shared" si="318"/>
        <v>37301</v>
      </c>
      <c r="E3144" s="1323">
        <f t="shared" si="320"/>
        <v>11.486000000000001</v>
      </c>
      <c r="F3144" s="1323">
        <f t="shared" si="319"/>
        <v>5.3708962912643505</v>
      </c>
      <c r="G3144" s="1323">
        <f t="shared" si="321"/>
        <v>2002</v>
      </c>
      <c r="H3144" s="1323">
        <f t="shared" si="322"/>
        <v>2</v>
      </c>
      <c r="I3144" s="1323">
        <f t="shared" si="323"/>
        <v>14</v>
      </c>
      <c r="J3144" s="1323"/>
      <c r="K3144" s="1323"/>
      <c r="L3144" s="1323"/>
      <c r="M3144" s="1323"/>
      <c r="N3144" s="1323"/>
      <c r="O3144" s="1323"/>
      <c r="P3144" s="1323"/>
      <c r="Q3144" s="1323"/>
      <c r="R3144" s="1304"/>
      <c r="S3144" s="1304"/>
      <c r="T3144" s="1304"/>
    </row>
    <row r="3145" spans="1:20">
      <c r="A3145" s="1303"/>
      <c r="B3145" s="1322" t="s">
        <v>8421</v>
      </c>
      <c r="C3145" s="1323" t="s">
        <v>8422</v>
      </c>
      <c r="D3145" s="1324">
        <f t="shared" ref="D3145:D3208" si="324">DATE(G3145,H3145,I3145)</f>
        <v>37300</v>
      </c>
      <c r="E3145" s="1323">
        <f t="shared" si="320"/>
        <v>11.4848</v>
      </c>
      <c r="F3145" s="1323">
        <f t="shared" ref="F3145:F3208" si="325">F3146*(1+$F$7/365)</f>
        <v>5.3698664538622394</v>
      </c>
      <c r="G3145" s="1323">
        <f t="shared" si="321"/>
        <v>2002</v>
      </c>
      <c r="H3145" s="1323">
        <f t="shared" si="322"/>
        <v>2</v>
      </c>
      <c r="I3145" s="1323">
        <f t="shared" si="323"/>
        <v>13</v>
      </c>
      <c r="J3145" s="1323"/>
      <c r="K3145" s="1323"/>
      <c r="L3145" s="1323"/>
      <c r="M3145" s="1323"/>
      <c r="N3145" s="1323"/>
      <c r="O3145" s="1323"/>
      <c r="P3145" s="1323"/>
      <c r="Q3145" s="1323"/>
      <c r="R3145" s="1304"/>
      <c r="S3145" s="1304"/>
      <c r="T3145" s="1304"/>
    </row>
    <row r="3146" spans="1:20">
      <c r="A3146" s="1303"/>
      <c r="B3146" s="1322" t="s">
        <v>8423</v>
      </c>
      <c r="C3146" s="1323" t="s">
        <v>8424</v>
      </c>
      <c r="D3146" s="1324">
        <f t="shared" si="324"/>
        <v>37299</v>
      </c>
      <c r="E3146" s="1323">
        <f t="shared" si="320"/>
        <v>11.582000000000001</v>
      </c>
      <c r="F3146" s="1323">
        <f t="shared" si="325"/>
        <v>5.3688368139253217</v>
      </c>
      <c r="G3146" s="1323">
        <f t="shared" si="321"/>
        <v>2002</v>
      </c>
      <c r="H3146" s="1323">
        <f t="shared" si="322"/>
        <v>2</v>
      </c>
      <c r="I3146" s="1323">
        <f t="shared" si="323"/>
        <v>12</v>
      </c>
      <c r="J3146" s="1323"/>
      <c r="K3146" s="1323"/>
      <c r="L3146" s="1323"/>
      <c r="M3146" s="1323"/>
      <c r="N3146" s="1323"/>
      <c r="O3146" s="1323"/>
      <c r="P3146" s="1323"/>
      <c r="Q3146" s="1323"/>
      <c r="R3146" s="1304"/>
      <c r="S3146" s="1304"/>
      <c r="T3146" s="1304"/>
    </row>
    <row r="3147" spans="1:20">
      <c r="A3147" s="1303"/>
      <c r="B3147" s="1322" t="s">
        <v>8425</v>
      </c>
      <c r="C3147" s="1323" t="s">
        <v>8426</v>
      </c>
      <c r="D3147" s="1324">
        <f t="shared" si="324"/>
        <v>37298</v>
      </c>
      <c r="E3147" s="1323">
        <f t="shared" si="320"/>
        <v>11.5175</v>
      </c>
      <c r="F3147" s="1323">
        <f t="shared" si="325"/>
        <v>5.3678073714157346</v>
      </c>
      <c r="G3147" s="1323">
        <f t="shared" si="321"/>
        <v>2002</v>
      </c>
      <c r="H3147" s="1323">
        <f t="shared" si="322"/>
        <v>2</v>
      </c>
      <c r="I3147" s="1323">
        <f t="shared" si="323"/>
        <v>11</v>
      </c>
      <c r="J3147" s="1323"/>
      <c r="K3147" s="1323"/>
      <c r="L3147" s="1323"/>
      <c r="M3147" s="1323"/>
      <c r="N3147" s="1323"/>
      <c r="O3147" s="1323"/>
      <c r="P3147" s="1323"/>
      <c r="Q3147" s="1323"/>
      <c r="R3147" s="1304"/>
      <c r="S3147" s="1304"/>
      <c r="T3147" s="1304"/>
    </row>
    <row r="3148" spans="1:20">
      <c r="A3148" s="1303"/>
      <c r="B3148" s="1322" t="s">
        <v>8427</v>
      </c>
      <c r="C3148" s="1323" t="s">
        <v>8428</v>
      </c>
      <c r="D3148" s="1324">
        <f t="shared" si="324"/>
        <v>37295</v>
      </c>
      <c r="E3148" s="1323">
        <f t="shared" si="320"/>
        <v>11.430999999999999</v>
      </c>
      <c r="F3148" s="1323">
        <f t="shared" si="325"/>
        <v>5.3667781262956229</v>
      </c>
      <c r="G3148" s="1323">
        <f t="shared" si="321"/>
        <v>2002</v>
      </c>
      <c r="H3148" s="1323">
        <f t="shared" si="322"/>
        <v>2</v>
      </c>
      <c r="I3148" s="1323">
        <f t="shared" si="323"/>
        <v>8</v>
      </c>
      <c r="J3148" s="1323"/>
      <c r="K3148" s="1323"/>
      <c r="L3148" s="1323"/>
      <c r="M3148" s="1323"/>
      <c r="N3148" s="1323"/>
      <c r="O3148" s="1323"/>
      <c r="P3148" s="1323"/>
      <c r="Q3148" s="1323"/>
      <c r="R3148" s="1304"/>
      <c r="S3148" s="1304"/>
      <c r="T3148" s="1304"/>
    </row>
    <row r="3149" spans="1:20">
      <c r="A3149" s="1303"/>
      <c r="B3149" s="1322" t="s">
        <v>8429</v>
      </c>
      <c r="C3149" s="1323" t="s">
        <v>8430</v>
      </c>
      <c r="D3149" s="1324">
        <f t="shared" si="324"/>
        <v>37294</v>
      </c>
      <c r="E3149" s="1323">
        <f t="shared" si="320"/>
        <v>11.562099999999999</v>
      </c>
      <c r="F3149" s="1323">
        <f t="shared" si="325"/>
        <v>5.3657490785271378</v>
      </c>
      <c r="G3149" s="1323">
        <f t="shared" si="321"/>
        <v>2002</v>
      </c>
      <c r="H3149" s="1323">
        <f t="shared" si="322"/>
        <v>2</v>
      </c>
      <c r="I3149" s="1323">
        <f t="shared" si="323"/>
        <v>7</v>
      </c>
      <c r="J3149" s="1323"/>
      <c r="K3149" s="1323"/>
      <c r="L3149" s="1323"/>
      <c r="M3149" s="1323"/>
      <c r="N3149" s="1323"/>
      <c r="O3149" s="1323"/>
      <c r="P3149" s="1323"/>
      <c r="Q3149" s="1323"/>
      <c r="R3149" s="1304"/>
      <c r="S3149" s="1304"/>
      <c r="T3149" s="1304"/>
    </row>
    <row r="3150" spans="1:20">
      <c r="A3150" s="1303"/>
      <c r="B3150" s="1322" t="s">
        <v>8431</v>
      </c>
      <c r="C3150" s="1323" t="s">
        <v>8432</v>
      </c>
      <c r="D3150" s="1324">
        <f t="shared" si="324"/>
        <v>37293</v>
      </c>
      <c r="E3150" s="1323">
        <f t="shared" si="320"/>
        <v>11.469799999999999</v>
      </c>
      <c r="F3150" s="1323">
        <f t="shared" si="325"/>
        <v>5.3647202280724384</v>
      </c>
      <c r="G3150" s="1323">
        <f t="shared" si="321"/>
        <v>2002</v>
      </c>
      <c r="H3150" s="1323">
        <f t="shared" si="322"/>
        <v>2</v>
      </c>
      <c r="I3150" s="1323">
        <f t="shared" si="323"/>
        <v>6</v>
      </c>
      <c r="J3150" s="1323"/>
      <c r="K3150" s="1323"/>
      <c r="L3150" s="1323"/>
      <c r="M3150" s="1323"/>
      <c r="N3150" s="1323"/>
      <c r="O3150" s="1323"/>
      <c r="P3150" s="1323"/>
      <c r="Q3150" s="1323"/>
      <c r="R3150" s="1304"/>
      <c r="S3150" s="1304"/>
      <c r="T3150" s="1304"/>
    </row>
    <row r="3151" spans="1:20">
      <c r="A3151" s="1303"/>
      <c r="B3151" s="1322" t="s">
        <v>8433</v>
      </c>
      <c r="C3151" s="1323" t="s">
        <v>8434</v>
      </c>
      <c r="D3151" s="1324">
        <f t="shared" si="324"/>
        <v>37292</v>
      </c>
      <c r="E3151" s="1323">
        <f t="shared" si="320"/>
        <v>11.6145</v>
      </c>
      <c r="F3151" s="1323">
        <f t="shared" si="325"/>
        <v>5.3636915748936911</v>
      </c>
      <c r="G3151" s="1323">
        <f t="shared" si="321"/>
        <v>2002</v>
      </c>
      <c r="H3151" s="1323">
        <f t="shared" si="322"/>
        <v>2</v>
      </c>
      <c r="I3151" s="1323">
        <f t="shared" si="323"/>
        <v>5</v>
      </c>
      <c r="J3151" s="1323"/>
      <c r="K3151" s="1323"/>
      <c r="L3151" s="1323"/>
      <c r="M3151" s="1323"/>
      <c r="N3151" s="1323"/>
      <c r="O3151" s="1323"/>
      <c r="P3151" s="1323"/>
      <c r="Q3151" s="1323"/>
      <c r="R3151" s="1304"/>
      <c r="S3151" s="1304"/>
      <c r="T3151" s="1304"/>
    </row>
    <row r="3152" spans="1:20">
      <c r="A3152" s="1303"/>
      <c r="B3152" s="1322" t="s">
        <v>8435</v>
      </c>
      <c r="C3152" s="1323" t="s">
        <v>8436</v>
      </c>
      <c r="D3152" s="1324">
        <f t="shared" si="324"/>
        <v>37291</v>
      </c>
      <c r="E3152" s="1323">
        <f t="shared" si="320"/>
        <v>11.6104</v>
      </c>
      <c r="F3152" s="1323">
        <f t="shared" si="325"/>
        <v>5.36266311895307</v>
      </c>
      <c r="G3152" s="1323">
        <f t="shared" si="321"/>
        <v>2002</v>
      </c>
      <c r="H3152" s="1323">
        <f t="shared" si="322"/>
        <v>2</v>
      </c>
      <c r="I3152" s="1323">
        <f t="shared" si="323"/>
        <v>4</v>
      </c>
      <c r="J3152" s="1323"/>
      <c r="K3152" s="1323"/>
      <c r="L3152" s="1323"/>
      <c r="M3152" s="1323"/>
      <c r="N3152" s="1323"/>
      <c r="O3152" s="1323"/>
      <c r="P3152" s="1323"/>
      <c r="Q3152" s="1323"/>
      <c r="R3152" s="1304"/>
      <c r="S3152" s="1304"/>
      <c r="T3152" s="1304"/>
    </row>
    <row r="3153" spans="1:20">
      <c r="A3153" s="1303"/>
      <c r="B3153" s="1322" t="s">
        <v>8437</v>
      </c>
      <c r="C3153" s="1323" t="s">
        <v>8438</v>
      </c>
      <c r="D3153" s="1324">
        <f t="shared" si="324"/>
        <v>37288</v>
      </c>
      <c r="E3153" s="1323">
        <f t="shared" si="320"/>
        <v>11.476800000000001</v>
      </c>
      <c r="F3153" s="1323">
        <f t="shared" si="325"/>
        <v>5.3616348602127548</v>
      </c>
      <c r="G3153" s="1323">
        <f t="shared" si="321"/>
        <v>2002</v>
      </c>
      <c r="H3153" s="1323">
        <f t="shared" si="322"/>
        <v>2</v>
      </c>
      <c r="I3153" s="1323">
        <f t="shared" si="323"/>
        <v>1</v>
      </c>
      <c r="J3153" s="1323"/>
      <c r="K3153" s="1323"/>
      <c r="L3153" s="1323"/>
      <c r="M3153" s="1323"/>
      <c r="N3153" s="1323"/>
      <c r="O3153" s="1323"/>
      <c r="P3153" s="1323"/>
      <c r="Q3153" s="1323"/>
      <c r="R3153" s="1304"/>
      <c r="S3153" s="1304"/>
      <c r="T3153" s="1304"/>
    </row>
    <row r="3154" spans="1:20">
      <c r="A3154" s="1303"/>
      <c r="B3154" s="1322" t="s">
        <v>8439</v>
      </c>
      <c r="C3154" s="1323" t="s">
        <v>8440</v>
      </c>
      <c r="D3154" s="1324">
        <f t="shared" si="324"/>
        <v>37287</v>
      </c>
      <c r="E3154" s="1323">
        <f t="shared" si="320"/>
        <v>11.449199999999999</v>
      </c>
      <c r="F3154" s="1323">
        <f t="shared" si="325"/>
        <v>5.3606067986349339</v>
      </c>
      <c r="G3154" s="1323">
        <f t="shared" si="321"/>
        <v>2002</v>
      </c>
      <c r="H3154" s="1323">
        <f t="shared" si="322"/>
        <v>1</v>
      </c>
      <c r="I3154" s="1323">
        <f t="shared" si="323"/>
        <v>31</v>
      </c>
      <c r="J3154" s="1323"/>
      <c r="K3154" s="1323"/>
      <c r="L3154" s="1323"/>
      <c r="M3154" s="1323"/>
      <c r="N3154" s="1323"/>
      <c r="O3154" s="1323"/>
      <c r="P3154" s="1323"/>
      <c r="Q3154" s="1323"/>
      <c r="R3154" s="1304"/>
      <c r="S3154" s="1304"/>
      <c r="T3154" s="1304"/>
    </row>
    <row r="3155" spans="1:20">
      <c r="A3155" s="1303"/>
      <c r="B3155" s="1322" t="s">
        <v>8441</v>
      </c>
      <c r="C3155" s="1323" t="s">
        <v>8442</v>
      </c>
      <c r="D3155" s="1324">
        <f t="shared" si="324"/>
        <v>37286</v>
      </c>
      <c r="E3155" s="1323">
        <f t="shared" si="320"/>
        <v>11.4649</v>
      </c>
      <c r="F3155" s="1323">
        <f t="shared" si="325"/>
        <v>5.359578934181803</v>
      </c>
      <c r="G3155" s="1323">
        <f t="shared" si="321"/>
        <v>2002</v>
      </c>
      <c r="H3155" s="1323">
        <f t="shared" si="322"/>
        <v>1</v>
      </c>
      <c r="I3155" s="1323">
        <f t="shared" si="323"/>
        <v>30</v>
      </c>
      <c r="J3155" s="1323"/>
      <c r="K3155" s="1323"/>
      <c r="L3155" s="1323"/>
      <c r="M3155" s="1323"/>
      <c r="N3155" s="1323"/>
      <c r="O3155" s="1323"/>
      <c r="P3155" s="1323"/>
      <c r="Q3155" s="1323"/>
      <c r="R3155" s="1304"/>
      <c r="S3155" s="1304"/>
      <c r="T3155" s="1304"/>
    </row>
    <row r="3156" spans="1:20">
      <c r="A3156" s="1303"/>
      <c r="B3156" s="1322" t="s">
        <v>8443</v>
      </c>
      <c r="C3156" s="1323" t="s">
        <v>8444</v>
      </c>
      <c r="D3156" s="1324">
        <f t="shared" si="324"/>
        <v>37285</v>
      </c>
      <c r="E3156" s="1323">
        <f t="shared" si="320"/>
        <v>11.5192</v>
      </c>
      <c r="F3156" s="1323">
        <f t="shared" si="325"/>
        <v>5.3585512668155646</v>
      </c>
      <c r="G3156" s="1323">
        <f t="shared" si="321"/>
        <v>2002</v>
      </c>
      <c r="H3156" s="1323">
        <f t="shared" si="322"/>
        <v>1</v>
      </c>
      <c r="I3156" s="1323">
        <f t="shared" si="323"/>
        <v>29</v>
      </c>
      <c r="J3156" s="1323"/>
      <c r="K3156" s="1323"/>
      <c r="L3156" s="1323"/>
      <c r="M3156" s="1323"/>
      <c r="N3156" s="1323"/>
      <c r="O3156" s="1323"/>
      <c r="P3156" s="1323"/>
      <c r="Q3156" s="1323"/>
      <c r="R3156" s="1304"/>
      <c r="S3156" s="1304"/>
      <c r="T3156" s="1304"/>
    </row>
    <row r="3157" spans="1:20">
      <c r="A3157" s="1303"/>
      <c r="B3157" s="1322" t="s">
        <v>8445</v>
      </c>
      <c r="C3157" s="1323" t="s">
        <v>8446</v>
      </c>
      <c r="D3157" s="1324">
        <f t="shared" si="324"/>
        <v>37284</v>
      </c>
      <c r="E3157" s="1323">
        <f t="shared" si="320"/>
        <v>11.4778</v>
      </c>
      <c r="F3157" s="1323">
        <f t="shared" si="325"/>
        <v>5.3575237964984277</v>
      </c>
      <c r="G3157" s="1323">
        <f t="shared" si="321"/>
        <v>2002</v>
      </c>
      <c r="H3157" s="1323">
        <f t="shared" si="322"/>
        <v>1</v>
      </c>
      <c r="I3157" s="1323">
        <f t="shared" si="323"/>
        <v>28</v>
      </c>
      <c r="J3157" s="1323"/>
      <c r="K3157" s="1323"/>
      <c r="L3157" s="1323"/>
      <c r="M3157" s="1323"/>
      <c r="N3157" s="1323"/>
      <c r="O3157" s="1323"/>
      <c r="P3157" s="1323"/>
      <c r="Q3157" s="1323"/>
      <c r="R3157" s="1304"/>
      <c r="S3157" s="1304"/>
      <c r="T3157" s="1304"/>
    </row>
    <row r="3158" spans="1:20">
      <c r="A3158" s="1303"/>
      <c r="B3158" s="1322" t="s">
        <v>8447</v>
      </c>
      <c r="C3158" s="1323" t="s">
        <v>8448</v>
      </c>
      <c r="D3158" s="1324">
        <f t="shared" si="324"/>
        <v>37281</v>
      </c>
      <c r="E3158" s="1323">
        <f t="shared" ref="E3158:E3221" si="326">VALUE(C3159)</f>
        <v>11.167199999999999</v>
      </c>
      <c r="F3158" s="1323">
        <f t="shared" si="325"/>
        <v>5.35649652319261</v>
      </c>
      <c r="G3158" s="1323">
        <f t="shared" ref="G3158:G3221" si="327">YEAR(B3159)</f>
        <v>2002</v>
      </c>
      <c r="H3158" s="1323">
        <f t="shared" ref="H3158:H3221" si="328">MONTH(B3159)</f>
        <v>1</v>
      </c>
      <c r="I3158" s="1323">
        <f t="shared" ref="I3158:I3221" si="329">DAY(B3159)</f>
        <v>25</v>
      </c>
      <c r="J3158" s="1323"/>
      <c r="K3158" s="1323"/>
      <c r="L3158" s="1323"/>
      <c r="M3158" s="1323"/>
      <c r="N3158" s="1323"/>
      <c r="O3158" s="1323"/>
      <c r="P3158" s="1323"/>
      <c r="Q3158" s="1323"/>
      <c r="R3158" s="1304"/>
      <c r="S3158" s="1304"/>
      <c r="T3158" s="1304"/>
    </row>
    <row r="3159" spans="1:20">
      <c r="A3159" s="1303"/>
      <c r="B3159" s="1322" t="s">
        <v>8449</v>
      </c>
      <c r="C3159" s="1323" t="s">
        <v>8450</v>
      </c>
      <c r="D3159" s="1324">
        <f t="shared" si="324"/>
        <v>37280</v>
      </c>
      <c r="E3159" s="1323">
        <f t="shared" si="326"/>
        <v>11.290800000000001</v>
      </c>
      <c r="F3159" s="1323">
        <f t="shared" si="325"/>
        <v>5.3554694468603357</v>
      </c>
      <c r="G3159" s="1323">
        <f t="shared" si="327"/>
        <v>2002</v>
      </c>
      <c r="H3159" s="1323">
        <f t="shared" si="328"/>
        <v>1</v>
      </c>
      <c r="I3159" s="1323">
        <f t="shared" si="329"/>
        <v>24</v>
      </c>
      <c r="J3159" s="1323"/>
      <c r="K3159" s="1323"/>
      <c r="L3159" s="1323"/>
      <c r="M3159" s="1323"/>
      <c r="N3159" s="1323"/>
      <c r="O3159" s="1323"/>
      <c r="P3159" s="1323"/>
      <c r="Q3159" s="1323"/>
      <c r="R3159" s="1304"/>
      <c r="S3159" s="1304"/>
      <c r="T3159" s="1304"/>
    </row>
    <row r="3160" spans="1:20">
      <c r="A3160" s="1303"/>
      <c r="B3160" s="1322" t="s">
        <v>8451</v>
      </c>
      <c r="C3160" s="1323" t="s">
        <v>8452</v>
      </c>
      <c r="D3160" s="1324">
        <f t="shared" si="324"/>
        <v>37279</v>
      </c>
      <c r="E3160" s="1323">
        <f t="shared" si="326"/>
        <v>11.642799999999999</v>
      </c>
      <c r="F3160" s="1323">
        <f t="shared" si="325"/>
        <v>5.3544425674638356</v>
      </c>
      <c r="G3160" s="1323">
        <f t="shared" si="327"/>
        <v>2002</v>
      </c>
      <c r="H3160" s="1323">
        <f t="shared" si="328"/>
        <v>1</v>
      </c>
      <c r="I3160" s="1323">
        <f t="shared" si="329"/>
        <v>23</v>
      </c>
      <c r="J3160" s="1323"/>
      <c r="K3160" s="1323"/>
      <c r="L3160" s="1323"/>
      <c r="M3160" s="1323"/>
      <c r="N3160" s="1323"/>
      <c r="O3160" s="1323"/>
      <c r="P3160" s="1323"/>
      <c r="Q3160" s="1323"/>
      <c r="R3160" s="1304"/>
      <c r="S3160" s="1304"/>
      <c r="T3160" s="1304"/>
    </row>
    <row r="3161" spans="1:20">
      <c r="A3161" s="1303"/>
      <c r="B3161" s="1322" t="s">
        <v>8453</v>
      </c>
      <c r="C3161" s="1323" t="s">
        <v>8454</v>
      </c>
      <c r="D3161" s="1324">
        <f t="shared" si="324"/>
        <v>37278</v>
      </c>
      <c r="E3161" s="1323">
        <f t="shared" si="326"/>
        <v>11.441800000000001</v>
      </c>
      <c r="F3161" s="1323">
        <f t="shared" si="325"/>
        <v>5.353415884965349</v>
      </c>
      <c r="G3161" s="1323">
        <f t="shared" si="327"/>
        <v>2002</v>
      </c>
      <c r="H3161" s="1323">
        <f t="shared" si="328"/>
        <v>1</v>
      </c>
      <c r="I3161" s="1323">
        <f t="shared" si="329"/>
        <v>22</v>
      </c>
      <c r="J3161" s="1323"/>
      <c r="K3161" s="1323"/>
      <c r="L3161" s="1323"/>
      <c r="M3161" s="1323"/>
      <c r="N3161" s="1323"/>
      <c r="O3161" s="1323"/>
      <c r="P3161" s="1323"/>
      <c r="Q3161" s="1323"/>
      <c r="R3161" s="1304"/>
      <c r="S3161" s="1304"/>
      <c r="T3161" s="1304"/>
    </row>
    <row r="3162" spans="1:20">
      <c r="A3162" s="1303"/>
      <c r="B3162" s="1322" t="s">
        <v>8455</v>
      </c>
      <c r="C3162" s="1323" t="s">
        <v>8456</v>
      </c>
      <c r="D3162" s="1324">
        <f t="shared" si="324"/>
        <v>37277</v>
      </c>
      <c r="E3162" s="1323">
        <f t="shared" si="326"/>
        <v>11.5091</v>
      </c>
      <c r="F3162" s="1323">
        <f t="shared" si="325"/>
        <v>5.3523893993271221</v>
      </c>
      <c r="G3162" s="1323">
        <f t="shared" si="327"/>
        <v>2002</v>
      </c>
      <c r="H3162" s="1323">
        <f t="shared" si="328"/>
        <v>1</v>
      </c>
      <c r="I3162" s="1323">
        <f t="shared" si="329"/>
        <v>21</v>
      </c>
      <c r="J3162" s="1323"/>
      <c r="K3162" s="1323"/>
      <c r="L3162" s="1323"/>
      <c r="M3162" s="1323"/>
      <c r="N3162" s="1323"/>
      <c r="O3162" s="1323"/>
      <c r="P3162" s="1323"/>
      <c r="Q3162" s="1323"/>
      <c r="R3162" s="1304"/>
      <c r="S3162" s="1304"/>
      <c r="T3162" s="1304"/>
    </row>
    <row r="3163" spans="1:20">
      <c r="A3163" s="1303"/>
      <c r="B3163" s="1322" t="s">
        <v>8457</v>
      </c>
      <c r="C3163" s="1323" t="s">
        <v>8458</v>
      </c>
      <c r="D3163" s="1324">
        <f t="shared" si="324"/>
        <v>37274</v>
      </c>
      <c r="E3163" s="1323">
        <f t="shared" si="326"/>
        <v>11.3728</v>
      </c>
      <c r="F3163" s="1323">
        <f t="shared" si="325"/>
        <v>5.3513631105114072</v>
      </c>
      <c r="G3163" s="1323">
        <f t="shared" si="327"/>
        <v>2002</v>
      </c>
      <c r="H3163" s="1323">
        <f t="shared" si="328"/>
        <v>1</v>
      </c>
      <c r="I3163" s="1323">
        <f t="shared" si="329"/>
        <v>18</v>
      </c>
      <c r="J3163" s="1323"/>
      <c r="K3163" s="1323"/>
      <c r="L3163" s="1323"/>
      <c r="M3163" s="1323"/>
      <c r="N3163" s="1323"/>
      <c r="O3163" s="1323"/>
      <c r="P3163" s="1323"/>
      <c r="Q3163" s="1323"/>
      <c r="R3163" s="1304"/>
      <c r="S3163" s="1304"/>
      <c r="T3163" s="1304"/>
    </row>
    <row r="3164" spans="1:20">
      <c r="A3164" s="1303"/>
      <c r="B3164" s="1322" t="s">
        <v>8459</v>
      </c>
      <c r="C3164" s="1323" t="s">
        <v>8460</v>
      </c>
      <c r="D3164" s="1324">
        <f t="shared" si="324"/>
        <v>37273</v>
      </c>
      <c r="E3164" s="1323">
        <f t="shared" si="326"/>
        <v>11.6159</v>
      </c>
      <c r="F3164" s="1323">
        <f t="shared" si="325"/>
        <v>5.3503370184804657</v>
      </c>
      <c r="G3164" s="1323">
        <f t="shared" si="327"/>
        <v>2002</v>
      </c>
      <c r="H3164" s="1323">
        <f t="shared" si="328"/>
        <v>1</v>
      </c>
      <c r="I3164" s="1323">
        <f t="shared" si="329"/>
        <v>17</v>
      </c>
      <c r="J3164" s="1323"/>
      <c r="K3164" s="1323"/>
      <c r="L3164" s="1323"/>
      <c r="M3164" s="1323"/>
      <c r="N3164" s="1323"/>
      <c r="O3164" s="1323"/>
      <c r="P3164" s="1323"/>
      <c r="Q3164" s="1323"/>
      <c r="R3164" s="1304"/>
      <c r="S3164" s="1304"/>
      <c r="T3164" s="1304"/>
    </row>
    <row r="3165" spans="1:20">
      <c r="A3165" s="1303"/>
      <c r="B3165" s="1322" t="s">
        <v>8461</v>
      </c>
      <c r="C3165" s="1323" t="s">
        <v>8462</v>
      </c>
      <c r="D3165" s="1324">
        <f t="shared" si="324"/>
        <v>37272</v>
      </c>
      <c r="E3165" s="1323">
        <f t="shared" si="326"/>
        <v>11.7997</v>
      </c>
      <c r="F3165" s="1323">
        <f t="shared" si="325"/>
        <v>5.3493111231965651</v>
      </c>
      <c r="G3165" s="1323">
        <f t="shared" si="327"/>
        <v>2002</v>
      </c>
      <c r="H3165" s="1323">
        <f t="shared" si="328"/>
        <v>1</v>
      </c>
      <c r="I3165" s="1323">
        <f t="shared" si="329"/>
        <v>16</v>
      </c>
      <c r="J3165" s="1323"/>
      <c r="K3165" s="1323"/>
      <c r="L3165" s="1323"/>
      <c r="M3165" s="1323"/>
      <c r="N3165" s="1323"/>
      <c r="O3165" s="1323"/>
      <c r="P3165" s="1323"/>
      <c r="Q3165" s="1323"/>
      <c r="R3165" s="1304"/>
      <c r="S3165" s="1304"/>
      <c r="T3165" s="1304"/>
    </row>
    <row r="3166" spans="1:20">
      <c r="A3166" s="1303"/>
      <c r="B3166" s="1322" t="s">
        <v>8463</v>
      </c>
      <c r="C3166" s="1323" t="s">
        <v>8464</v>
      </c>
      <c r="D3166" s="1324">
        <f t="shared" si="324"/>
        <v>37271</v>
      </c>
      <c r="E3166" s="1323">
        <f t="shared" si="326"/>
        <v>11.4771</v>
      </c>
      <c r="F3166" s="1323">
        <f t="shared" si="325"/>
        <v>5.34828542462198</v>
      </c>
      <c r="G3166" s="1323">
        <f t="shared" si="327"/>
        <v>2002</v>
      </c>
      <c r="H3166" s="1323">
        <f t="shared" si="328"/>
        <v>1</v>
      </c>
      <c r="I3166" s="1323">
        <f t="shared" si="329"/>
        <v>15</v>
      </c>
      <c r="J3166" s="1323"/>
      <c r="K3166" s="1323"/>
      <c r="L3166" s="1323"/>
      <c r="M3166" s="1323"/>
      <c r="N3166" s="1323"/>
      <c r="O3166" s="1323"/>
      <c r="P3166" s="1323"/>
      <c r="Q3166" s="1323"/>
      <c r="R3166" s="1304"/>
      <c r="S3166" s="1304"/>
      <c r="T3166" s="1304"/>
    </row>
    <row r="3167" spans="1:20">
      <c r="A3167" s="1303"/>
      <c r="B3167" s="1322" t="s">
        <v>8465</v>
      </c>
      <c r="C3167" s="1323" t="s">
        <v>8466</v>
      </c>
      <c r="D3167" s="1324">
        <f t="shared" si="324"/>
        <v>37270</v>
      </c>
      <c r="E3167" s="1323">
        <f t="shared" si="326"/>
        <v>11.447800000000001</v>
      </c>
      <c r="F3167" s="1323">
        <f t="shared" si="325"/>
        <v>5.347259922718993</v>
      </c>
      <c r="G3167" s="1323">
        <f t="shared" si="327"/>
        <v>2002</v>
      </c>
      <c r="H3167" s="1323">
        <f t="shared" si="328"/>
        <v>1</v>
      </c>
      <c r="I3167" s="1323">
        <f t="shared" si="329"/>
        <v>14</v>
      </c>
      <c r="J3167" s="1323"/>
      <c r="K3167" s="1323"/>
      <c r="L3167" s="1323"/>
      <c r="M3167" s="1323"/>
      <c r="N3167" s="1323"/>
      <c r="O3167" s="1323"/>
      <c r="P3167" s="1323"/>
      <c r="Q3167" s="1323"/>
      <c r="R3167" s="1304"/>
      <c r="S3167" s="1304"/>
      <c r="T3167" s="1304"/>
    </row>
    <row r="3168" spans="1:20">
      <c r="A3168" s="1303"/>
      <c r="B3168" s="1322" t="s">
        <v>8467</v>
      </c>
      <c r="C3168" s="1323" t="s">
        <v>8468</v>
      </c>
      <c r="D3168" s="1324">
        <f t="shared" si="324"/>
        <v>37267</v>
      </c>
      <c r="E3168" s="1323">
        <f t="shared" si="326"/>
        <v>11.5946</v>
      </c>
      <c r="F3168" s="1323">
        <f t="shared" si="325"/>
        <v>5.3462346174498929</v>
      </c>
      <c r="G3168" s="1323">
        <f t="shared" si="327"/>
        <v>2002</v>
      </c>
      <c r="H3168" s="1323">
        <f t="shared" si="328"/>
        <v>1</v>
      </c>
      <c r="I3168" s="1323">
        <f t="shared" si="329"/>
        <v>11</v>
      </c>
      <c r="J3168" s="1323"/>
      <c r="K3168" s="1323"/>
      <c r="L3168" s="1323"/>
      <c r="M3168" s="1323"/>
      <c r="N3168" s="1323"/>
      <c r="O3168" s="1323"/>
      <c r="P3168" s="1323"/>
      <c r="Q3168" s="1323"/>
      <c r="R3168" s="1304"/>
      <c r="S3168" s="1304"/>
      <c r="T3168" s="1304"/>
    </row>
    <row r="3169" spans="1:20">
      <c r="A3169" s="1303"/>
      <c r="B3169" s="1322" t="s">
        <v>8469</v>
      </c>
      <c r="C3169" s="1323" t="s">
        <v>8470</v>
      </c>
      <c r="D3169" s="1324">
        <f t="shared" si="324"/>
        <v>37266</v>
      </c>
      <c r="E3169" s="1323">
        <f t="shared" si="326"/>
        <v>11.398899999999999</v>
      </c>
      <c r="F3169" s="1323">
        <f t="shared" si="325"/>
        <v>5.3452095087769766</v>
      </c>
      <c r="G3169" s="1323">
        <f t="shared" si="327"/>
        <v>2002</v>
      </c>
      <c r="H3169" s="1323">
        <f t="shared" si="328"/>
        <v>1</v>
      </c>
      <c r="I3169" s="1323">
        <f t="shared" si="329"/>
        <v>10</v>
      </c>
      <c r="J3169" s="1323"/>
      <c r="K3169" s="1323"/>
      <c r="L3169" s="1323"/>
      <c r="M3169" s="1323"/>
      <c r="N3169" s="1323"/>
      <c r="O3169" s="1323"/>
      <c r="P3169" s="1323"/>
      <c r="Q3169" s="1323"/>
      <c r="R3169" s="1304"/>
      <c r="S3169" s="1304"/>
      <c r="T3169" s="1304"/>
    </row>
    <row r="3170" spans="1:20">
      <c r="A3170" s="1303"/>
      <c r="B3170" s="1322" t="s">
        <v>8471</v>
      </c>
      <c r="C3170" s="1323" t="s">
        <v>8472</v>
      </c>
      <c r="D3170" s="1324">
        <f t="shared" si="324"/>
        <v>37265</v>
      </c>
      <c r="E3170" s="1323">
        <f t="shared" si="326"/>
        <v>11.423999999999999</v>
      </c>
      <c r="F3170" s="1323">
        <f t="shared" si="325"/>
        <v>5.3441845966625481</v>
      </c>
      <c r="G3170" s="1323">
        <f t="shared" si="327"/>
        <v>2002</v>
      </c>
      <c r="H3170" s="1323">
        <f t="shared" si="328"/>
        <v>1</v>
      </c>
      <c r="I3170" s="1323">
        <f t="shared" si="329"/>
        <v>9</v>
      </c>
      <c r="J3170" s="1323"/>
      <c r="K3170" s="1323"/>
      <c r="L3170" s="1323"/>
      <c r="M3170" s="1323"/>
      <c r="N3170" s="1323"/>
      <c r="O3170" s="1323"/>
      <c r="P3170" s="1323"/>
      <c r="Q3170" s="1323"/>
      <c r="R3170" s="1304"/>
      <c r="S3170" s="1304"/>
      <c r="T3170" s="1304"/>
    </row>
    <row r="3171" spans="1:20">
      <c r="A3171" s="1303"/>
      <c r="B3171" s="1322" t="s">
        <v>8473</v>
      </c>
      <c r="C3171" s="1323" t="s">
        <v>8474</v>
      </c>
      <c r="D3171" s="1324">
        <f t="shared" si="324"/>
        <v>37264</v>
      </c>
      <c r="E3171" s="1323">
        <f t="shared" si="326"/>
        <v>11.611800000000001</v>
      </c>
      <c r="F3171" s="1323">
        <f t="shared" si="325"/>
        <v>5.3431598810689183</v>
      </c>
      <c r="G3171" s="1323">
        <f t="shared" si="327"/>
        <v>2002</v>
      </c>
      <c r="H3171" s="1323">
        <f t="shared" si="328"/>
        <v>1</v>
      </c>
      <c r="I3171" s="1323">
        <f t="shared" si="329"/>
        <v>8</v>
      </c>
      <c r="J3171" s="1323"/>
      <c r="K3171" s="1323"/>
      <c r="L3171" s="1323"/>
      <c r="M3171" s="1323"/>
      <c r="N3171" s="1323"/>
      <c r="O3171" s="1323"/>
      <c r="P3171" s="1323"/>
      <c r="Q3171" s="1323"/>
      <c r="R3171" s="1304"/>
      <c r="S3171" s="1304"/>
      <c r="T3171" s="1304"/>
    </row>
    <row r="3172" spans="1:20">
      <c r="A3172" s="1303"/>
      <c r="B3172" s="1322" t="s">
        <v>8475</v>
      </c>
      <c r="C3172" s="1323" t="s">
        <v>8476</v>
      </c>
      <c r="D3172" s="1324">
        <f t="shared" si="324"/>
        <v>37263</v>
      </c>
      <c r="E3172" s="1323">
        <f t="shared" si="326"/>
        <v>11.9336</v>
      </c>
      <c r="F3172" s="1323">
        <f t="shared" si="325"/>
        <v>5.3421353619584053</v>
      </c>
      <c r="G3172" s="1323">
        <f t="shared" si="327"/>
        <v>2002</v>
      </c>
      <c r="H3172" s="1323">
        <f t="shared" si="328"/>
        <v>1</v>
      </c>
      <c r="I3172" s="1323">
        <f t="shared" si="329"/>
        <v>7</v>
      </c>
      <c r="J3172" s="1323"/>
      <c r="K3172" s="1323"/>
      <c r="L3172" s="1323"/>
      <c r="M3172" s="1323"/>
      <c r="N3172" s="1323"/>
      <c r="O3172" s="1323"/>
      <c r="P3172" s="1323"/>
      <c r="Q3172" s="1323"/>
      <c r="R3172" s="1304"/>
      <c r="S3172" s="1304"/>
      <c r="T3172" s="1304"/>
    </row>
    <row r="3173" spans="1:20">
      <c r="A3173" s="1303"/>
      <c r="B3173" s="1322" t="s">
        <v>8477</v>
      </c>
      <c r="C3173" s="1323" t="s">
        <v>8478</v>
      </c>
      <c r="D3173" s="1324">
        <f t="shared" si="324"/>
        <v>37260</v>
      </c>
      <c r="E3173" s="1323">
        <f t="shared" si="326"/>
        <v>12.0381</v>
      </c>
      <c r="F3173" s="1323">
        <f t="shared" si="325"/>
        <v>5.3411110392933354</v>
      </c>
      <c r="G3173" s="1323">
        <f t="shared" si="327"/>
        <v>2002</v>
      </c>
      <c r="H3173" s="1323">
        <f t="shared" si="328"/>
        <v>1</v>
      </c>
      <c r="I3173" s="1323">
        <f t="shared" si="329"/>
        <v>4</v>
      </c>
      <c r="J3173" s="1323"/>
      <c r="K3173" s="1323"/>
      <c r="L3173" s="1323"/>
      <c r="M3173" s="1323"/>
      <c r="N3173" s="1323"/>
      <c r="O3173" s="1323"/>
      <c r="P3173" s="1323"/>
      <c r="Q3173" s="1323"/>
      <c r="R3173" s="1304"/>
      <c r="S3173" s="1304"/>
      <c r="T3173" s="1304"/>
    </row>
    <row r="3174" spans="1:20">
      <c r="A3174" s="1303"/>
      <c r="B3174" s="1322" t="s">
        <v>8479</v>
      </c>
      <c r="C3174" s="1323" t="s">
        <v>8480</v>
      </c>
      <c r="D3174" s="1324">
        <f t="shared" si="324"/>
        <v>37259</v>
      </c>
      <c r="E3174" s="1323">
        <f t="shared" si="326"/>
        <v>12.5359</v>
      </c>
      <c r="F3174" s="1323">
        <f t="shared" si="325"/>
        <v>5.3400869130360409</v>
      </c>
      <c r="G3174" s="1323">
        <f t="shared" si="327"/>
        <v>2002</v>
      </c>
      <c r="H3174" s="1323">
        <f t="shared" si="328"/>
        <v>1</v>
      </c>
      <c r="I3174" s="1323">
        <f t="shared" si="329"/>
        <v>3</v>
      </c>
      <c r="J3174" s="1323"/>
      <c r="K3174" s="1323"/>
      <c r="L3174" s="1323"/>
      <c r="M3174" s="1323"/>
      <c r="N3174" s="1323"/>
      <c r="O3174" s="1323"/>
      <c r="P3174" s="1323"/>
      <c r="Q3174" s="1323"/>
      <c r="R3174" s="1304"/>
      <c r="S3174" s="1304"/>
      <c r="T3174" s="1304"/>
    </row>
    <row r="3175" spans="1:20">
      <c r="A3175" s="1303"/>
      <c r="B3175" s="1322" t="s">
        <v>8481</v>
      </c>
      <c r="C3175" s="1323" t="s">
        <v>8482</v>
      </c>
      <c r="D3175" s="1324">
        <f t="shared" si="324"/>
        <v>37258</v>
      </c>
      <c r="E3175" s="1323">
        <f t="shared" si="326"/>
        <v>12.3546</v>
      </c>
      <c r="F3175" s="1323">
        <f t="shared" si="325"/>
        <v>5.3390629831488612</v>
      </c>
      <c r="G3175" s="1323">
        <f t="shared" si="327"/>
        <v>2002</v>
      </c>
      <c r="H3175" s="1323">
        <f t="shared" si="328"/>
        <v>1</v>
      </c>
      <c r="I3175" s="1323">
        <f t="shared" si="329"/>
        <v>2</v>
      </c>
      <c r="J3175" s="1323"/>
      <c r="K3175" s="1323"/>
      <c r="L3175" s="1323"/>
      <c r="M3175" s="1323"/>
      <c r="N3175" s="1323"/>
      <c r="O3175" s="1323"/>
      <c r="P3175" s="1323"/>
      <c r="Q3175" s="1323"/>
      <c r="R3175" s="1304"/>
      <c r="S3175" s="1304"/>
      <c r="T3175" s="1304"/>
    </row>
    <row r="3176" spans="1:20">
      <c r="A3176" s="1303"/>
      <c r="B3176" s="1322" t="s">
        <v>8483</v>
      </c>
      <c r="C3176" s="1323" t="s">
        <v>8484</v>
      </c>
      <c r="D3176" s="1324">
        <f t="shared" si="324"/>
        <v>37256</v>
      </c>
      <c r="E3176" s="1323">
        <f t="shared" si="326"/>
        <v>12.0862</v>
      </c>
      <c r="F3176" s="1323">
        <f t="shared" si="325"/>
        <v>5.3380392495941447</v>
      </c>
      <c r="G3176" s="1323">
        <f t="shared" si="327"/>
        <v>2001</v>
      </c>
      <c r="H3176" s="1323">
        <f t="shared" si="328"/>
        <v>12</v>
      </c>
      <c r="I3176" s="1323">
        <f t="shared" si="329"/>
        <v>31</v>
      </c>
      <c r="J3176" s="1323"/>
      <c r="K3176" s="1323"/>
      <c r="L3176" s="1323"/>
      <c r="M3176" s="1323"/>
      <c r="N3176" s="1323"/>
      <c r="O3176" s="1323"/>
      <c r="P3176" s="1323"/>
      <c r="Q3176" s="1323"/>
      <c r="R3176" s="1304"/>
      <c r="S3176" s="1304"/>
      <c r="T3176" s="1304"/>
    </row>
    <row r="3177" spans="1:20">
      <c r="A3177" s="1303"/>
      <c r="B3177" s="1322" t="s">
        <v>8485</v>
      </c>
      <c r="C3177" s="1323" t="s">
        <v>8486</v>
      </c>
      <c r="D3177" s="1324">
        <f t="shared" si="324"/>
        <v>37253</v>
      </c>
      <c r="E3177" s="1323">
        <f t="shared" si="326"/>
        <v>11.931800000000001</v>
      </c>
      <c r="F3177" s="1323">
        <f t="shared" si="325"/>
        <v>5.337015712334245</v>
      </c>
      <c r="G3177" s="1323">
        <f t="shared" si="327"/>
        <v>2001</v>
      </c>
      <c r="H3177" s="1323">
        <f t="shared" si="328"/>
        <v>12</v>
      </c>
      <c r="I3177" s="1323">
        <f t="shared" si="329"/>
        <v>28</v>
      </c>
      <c r="J3177" s="1323"/>
      <c r="K3177" s="1323"/>
      <c r="L3177" s="1323"/>
      <c r="M3177" s="1323"/>
      <c r="N3177" s="1323"/>
      <c r="O3177" s="1323"/>
      <c r="P3177" s="1323"/>
      <c r="Q3177" s="1323"/>
      <c r="R3177" s="1304"/>
      <c r="S3177" s="1304"/>
      <c r="T3177" s="1304"/>
    </row>
    <row r="3178" spans="1:20">
      <c r="A3178" s="1303"/>
      <c r="B3178" s="1322" t="s">
        <v>8487</v>
      </c>
      <c r="C3178" s="1323" t="s">
        <v>8488</v>
      </c>
      <c r="D3178" s="1324">
        <f t="shared" si="324"/>
        <v>37252</v>
      </c>
      <c r="E3178" s="1323">
        <f t="shared" si="326"/>
        <v>12.1119</v>
      </c>
      <c r="F3178" s="1323">
        <f t="shared" si="325"/>
        <v>5.3359923713315238</v>
      </c>
      <c r="G3178" s="1323">
        <f t="shared" si="327"/>
        <v>2001</v>
      </c>
      <c r="H3178" s="1323">
        <f t="shared" si="328"/>
        <v>12</v>
      </c>
      <c r="I3178" s="1323">
        <f t="shared" si="329"/>
        <v>27</v>
      </c>
      <c r="J3178" s="1323"/>
      <c r="K3178" s="1323"/>
      <c r="L3178" s="1323"/>
      <c r="M3178" s="1323"/>
      <c r="N3178" s="1323"/>
      <c r="O3178" s="1323"/>
      <c r="P3178" s="1323"/>
      <c r="Q3178" s="1323"/>
      <c r="R3178" s="1304"/>
      <c r="S3178" s="1304"/>
      <c r="T3178" s="1304"/>
    </row>
    <row r="3179" spans="1:20">
      <c r="A3179" s="1303"/>
      <c r="B3179" s="1322" t="s">
        <v>8489</v>
      </c>
      <c r="C3179" s="1323" t="s">
        <v>8490</v>
      </c>
      <c r="D3179" s="1324">
        <f t="shared" si="324"/>
        <v>37249</v>
      </c>
      <c r="E3179" s="1323">
        <f t="shared" si="326"/>
        <v>12.201599999999999</v>
      </c>
      <c r="F3179" s="1323">
        <f t="shared" si="325"/>
        <v>5.3349692265483499</v>
      </c>
      <c r="G3179" s="1323">
        <f t="shared" si="327"/>
        <v>2001</v>
      </c>
      <c r="H3179" s="1323">
        <f t="shared" si="328"/>
        <v>12</v>
      </c>
      <c r="I3179" s="1323">
        <f t="shared" si="329"/>
        <v>24</v>
      </c>
      <c r="J3179" s="1323"/>
      <c r="K3179" s="1323"/>
      <c r="L3179" s="1323"/>
      <c r="M3179" s="1323"/>
      <c r="N3179" s="1323"/>
      <c r="O3179" s="1323"/>
      <c r="P3179" s="1323"/>
      <c r="Q3179" s="1323"/>
      <c r="R3179" s="1304"/>
      <c r="S3179" s="1304"/>
      <c r="T3179" s="1304"/>
    </row>
    <row r="3180" spans="1:20">
      <c r="A3180" s="1303"/>
      <c r="B3180" s="1322" t="s">
        <v>8491</v>
      </c>
      <c r="C3180" s="1323" t="s">
        <v>8492</v>
      </c>
      <c r="D3180" s="1324">
        <f t="shared" si="324"/>
        <v>37246</v>
      </c>
      <c r="E3180" s="1323">
        <f t="shared" si="326"/>
        <v>12.7765</v>
      </c>
      <c r="F3180" s="1323">
        <f t="shared" si="325"/>
        <v>5.3339462779470992</v>
      </c>
      <c r="G3180" s="1323">
        <f t="shared" si="327"/>
        <v>2001</v>
      </c>
      <c r="H3180" s="1323">
        <f t="shared" si="328"/>
        <v>12</v>
      </c>
      <c r="I3180" s="1323">
        <f t="shared" si="329"/>
        <v>21</v>
      </c>
      <c r="J3180" s="1323"/>
      <c r="K3180" s="1323"/>
      <c r="L3180" s="1323"/>
      <c r="M3180" s="1323"/>
      <c r="N3180" s="1323"/>
      <c r="O3180" s="1323"/>
      <c r="P3180" s="1323"/>
      <c r="Q3180" s="1323"/>
      <c r="R3180" s="1304"/>
      <c r="S3180" s="1304"/>
      <c r="T3180" s="1304"/>
    </row>
    <row r="3181" spans="1:20">
      <c r="A3181" s="1303"/>
      <c r="B3181" s="1322" t="s">
        <v>8493</v>
      </c>
      <c r="C3181" s="1323" t="s">
        <v>8494</v>
      </c>
      <c r="D3181" s="1324">
        <f t="shared" si="324"/>
        <v>37245</v>
      </c>
      <c r="E3181" s="1323">
        <f t="shared" si="326"/>
        <v>13.002800000000001</v>
      </c>
      <c r="F3181" s="1323">
        <f t="shared" si="325"/>
        <v>5.3329235254901555</v>
      </c>
      <c r="G3181" s="1323">
        <f t="shared" si="327"/>
        <v>2001</v>
      </c>
      <c r="H3181" s="1323">
        <f t="shared" si="328"/>
        <v>12</v>
      </c>
      <c r="I3181" s="1323">
        <f t="shared" si="329"/>
        <v>20</v>
      </c>
      <c r="J3181" s="1323"/>
      <c r="K3181" s="1323"/>
      <c r="L3181" s="1323"/>
      <c r="M3181" s="1323"/>
      <c r="N3181" s="1323"/>
      <c r="O3181" s="1323"/>
      <c r="P3181" s="1323"/>
      <c r="Q3181" s="1323"/>
      <c r="R3181" s="1304"/>
      <c r="S3181" s="1304"/>
      <c r="T3181" s="1304"/>
    </row>
    <row r="3182" spans="1:20">
      <c r="A3182" s="1303"/>
      <c r="B3182" s="1322" t="s">
        <v>8495</v>
      </c>
      <c r="C3182" s="1323" t="s">
        <v>8496</v>
      </c>
      <c r="D3182" s="1324">
        <f t="shared" si="324"/>
        <v>37244</v>
      </c>
      <c r="E3182" s="1323">
        <f t="shared" si="326"/>
        <v>12.502800000000001</v>
      </c>
      <c r="F3182" s="1323">
        <f t="shared" si="325"/>
        <v>5.3319009691399089</v>
      </c>
      <c r="G3182" s="1323">
        <f t="shared" si="327"/>
        <v>2001</v>
      </c>
      <c r="H3182" s="1323">
        <f t="shared" si="328"/>
        <v>12</v>
      </c>
      <c r="I3182" s="1323">
        <f t="shared" si="329"/>
        <v>19</v>
      </c>
      <c r="J3182" s="1323"/>
      <c r="K3182" s="1323"/>
      <c r="L3182" s="1323"/>
      <c r="M3182" s="1323"/>
      <c r="N3182" s="1323"/>
      <c r="O3182" s="1323"/>
      <c r="P3182" s="1323"/>
      <c r="Q3182" s="1323"/>
      <c r="R3182" s="1304"/>
      <c r="S3182" s="1304"/>
      <c r="T3182" s="1304"/>
    </row>
    <row r="3183" spans="1:20">
      <c r="A3183" s="1303"/>
      <c r="B3183" s="1322" t="s">
        <v>8497</v>
      </c>
      <c r="C3183" s="1323" t="s">
        <v>8498</v>
      </c>
      <c r="D3183" s="1324">
        <f t="shared" si="324"/>
        <v>37243</v>
      </c>
      <c r="E3183" s="1323">
        <f t="shared" si="326"/>
        <v>12.231199999999999</v>
      </c>
      <c r="F3183" s="1323">
        <f t="shared" si="325"/>
        <v>5.3308786088587574</v>
      </c>
      <c r="G3183" s="1323">
        <f t="shared" si="327"/>
        <v>2001</v>
      </c>
      <c r="H3183" s="1323">
        <f t="shared" si="328"/>
        <v>12</v>
      </c>
      <c r="I3183" s="1323">
        <f t="shared" si="329"/>
        <v>18</v>
      </c>
      <c r="J3183" s="1323"/>
      <c r="K3183" s="1323"/>
      <c r="L3183" s="1323"/>
      <c r="M3183" s="1323"/>
      <c r="N3183" s="1323"/>
      <c r="O3183" s="1323"/>
      <c r="P3183" s="1323"/>
      <c r="Q3183" s="1323"/>
      <c r="R3183" s="1304"/>
      <c r="S3183" s="1304"/>
      <c r="T3183" s="1304"/>
    </row>
    <row r="3184" spans="1:20">
      <c r="A3184" s="1303"/>
      <c r="B3184" s="1322" t="s">
        <v>8499</v>
      </c>
      <c r="C3184" s="1323" t="s">
        <v>8500</v>
      </c>
      <c r="D3184" s="1324">
        <f t="shared" si="324"/>
        <v>37239</v>
      </c>
      <c r="E3184" s="1323">
        <f t="shared" si="326"/>
        <v>11.7933</v>
      </c>
      <c r="F3184" s="1323">
        <f t="shared" si="325"/>
        <v>5.3298564446091063</v>
      </c>
      <c r="G3184" s="1323">
        <f t="shared" si="327"/>
        <v>2001</v>
      </c>
      <c r="H3184" s="1323">
        <f t="shared" si="328"/>
        <v>12</v>
      </c>
      <c r="I3184" s="1323">
        <f t="shared" si="329"/>
        <v>14</v>
      </c>
      <c r="J3184" s="1323"/>
      <c r="K3184" s="1323"/>
      <c r="L3184" s="1323"/>
      <c r="M3184" s="1323"/>
      <c r="N3184" s="1323"/>
      <c r="O3184" s="1323"/>
      <c r="P3184" s="1323"/>
      <c r="Q3184" s="1323"/>
      <c r="R3184" s="1304"/>
      <c r="S3184" s="1304"/>
      <c r="T3184" s="1304"/>
    </row>
    <row r="3185" spans="1:20">
      <c r="A3185" s="1303"/>
      <c r="B3185" s="1322" t="s">
        <v>8501</v>
      </c>
      <c r="C3185" s="1323" t="s">
        <v>8502</v>
      </c>
      <c r="D3185" s="1324">
        <f t="shared" si="324"/>
        <v>37238</v>
      </c>
      <c r="E3185" s="1323">
        <f t="shared" si="326"/>
        <v>11.2889</v>
      </c>
      <c r="F3185" s="1323">
        <f t="shared" si="325"/>
        <v>5.328834476353367</v>
      </c>
      <c r="G3185" s="1323">
        <f t="shared" si="327"/>
        <v>2001</v>
      </c>
      <c r="H3185" s="1323">
        <f t="shared" si="328"/>
        <v>12</v>
      </c>
      <c r="I3185" s="1323">
        <f t="shared" si="329"/>
        <v>13</v>
      </c>
      <c r="J3185" s="1323"/>
      <c r="K3185" s="1323"/>
      <c r="L3185" s="1323"/>
      <c r="M3185" s="1323"/>
      <c r="N3185" s="1323"/>
      <c r="O3185" s="1323"/>
      <c r="P3185" s="1323"/>
      <c r="Q3185" s="1323"/>
      <c r="R3185" s="1304"/>
      <c r="S3185" s="1304"/>
      <c r="T3185" s="1304"/>
    </row>
    <row r="3186" spans="1:20">
      <c r="A3186" s="1303"/>
      <c r="B3186" s="1322" t="s">
        <v>8503</v>
      </c>
      <c r="C3186" s="1323" t="s">
        <v>8504</v>
      </c>
      <c r="D3186" s="1324">
        <f t="shared" si="324"/>
        <v>37237</v>
      </c>
      <c r="E3186" s="1323">
        <f t="shared" si="326"/>
        <v>11.139099999999999</v>
      </c>
      <c r="F3186" s="1323">
        <f t="shared" si="325"/>
        <v>5.3278127040539589</v>
      </c>
      <c r="G3186" s="1323">
        <f t="shared" si="327"/>
        <v>2001</v>
      </c>
      <c r="H3186" s="1323">
        <f t="shared" si="328"/>
        <v>12</v>
      </c>
      <c r="I3186" s="1323">
        <f t="shared" si="329"/>
        <v>12</v>
      </c>
      <c r="J3186" s="1323"/>
      <c r="K3186" s="1323"/>
      <c r="L3186" s="1323"/>
      <c r="M3186" s="1323"/>
      <c r="N3186" s="1323"/>
      <c r="O3186" s="1323"/>
      <c r="P3186" s="1323"/>
      <c r="Q3186" s="1323"/>
      <c r="R3186" s="1304"/>
      <c r="S3186" s="1304"/>
      <c r="T3186" s="1304"/>
    </row>
    <row r="3187" spans="1:20">
      <c r="A3187" s="1303"/>
      <c r="B3187" s="1322" t="s">
        <v>8505</v>
      </c>
      <c r="C3187" s="1323" t="s">
        <v>8506</v>
      </c>
      <c r="D3187" s="1324">
        <f t="shared" si="324"/>
        <v>37236</v>
      </c>
      <c r="E3187" s="1323">
        <f t="shared" si="326"/>
        <v>11.076599999999999</v>
      </c>
      <c r="F3187" s="1323">
        <f t="shared" si="325"/>
        <v>5.3267911276733093</v>
      </c>
      <c r="G3187" s="1323">
        <f t="shared" si="327"/>
        <v>2001</v>
      </c>
      <c r="H3187" s="1323">
        <f t="shared" si="328"/>
        <v>12</v>
      </c>
      <c r="I3187" s="1323">
        <f t="shared" si="329"/>
        <v>11</v>
      </c>
      <c r="J3187" s="1323"/>
      <c r="K3187" s="1323"/>
      <c r="L3187" s="1323"/>
      <c r="M3187" s="1323"/>
      <c r="N3187" s="1323"/>
      <c r="O3187" s="1323"/>
      <c r="P3187" s="1323"/>
      <c r="Q3187" s="1323"/>
      <c r="R3187" s="1304"/>
      <c r="S3187" s="1304"/>
      <c r="T3187" s="1304"/>
    </row>
    <row r="3188" spans="1:20">
      <c r="A3188" s="1303"/>
      <c r="B3188" s="1322" t="s">
        <v>8507</v>
      </c>
      <c r="C3188" s="1323" t="s">
        <v>8508</v>
      </c>
      <c r="D3188" s="1324">
        <f t="shared" si="324"/>
        <v>37235</v>
      </c>
      <c r="E3188" s="1323">
        <f t="shared" si="326"/>
        <v>11.168699999999999</v>
      </c>
      <c r="F3188" s="1323">
        <f t="shared" si="325"/>
        <v>5.325769747173851</v>
      </c>
      <c r="G3188" s="1323">
        <f t="shared" si="327"/>
        <v>2001</v>
      </c>
      <c r="H3188" s="1323">
        <f t="shared" si="328"/>
        <v>12</v>
      </c>
      <c r="I3188" s="1323">
        <f t="shared" si="329"/>
        <v>10</v>
      </c>
      <c r="J3188" s="1323"/>
      <c r="K3188" s="1323"/>
      <c r="L3188" s="1323"/>
      <c r="M3188" s="1323"/>
      <c r="N3188" s="1323"/>
      <c r="O3188" s="1323"/>
      <c r="P3188" s="1323"/>
      <c r="Q3188" s="1323"/>
      <c r="R3188" s="1304"/>
      <c r="S3188" s="1304"/>
      <c r="T3188" s="1304"/>
    </row>
    <row r="3189" spans="1:20">
      <c r="A3189" s="1303"/>
      <c r="B3189" s="1322" t="s">
        <v>8509</v>
      </c>
      <c r="C3189" s="1323" t="s">
        <v>8510</v>
      </c>
      <c r="D3189" s="1324">
        <f t="shared" si="324"/>
        <v>37232</v>
      </c>
      <c r="E3189" s="1323">
        <f t="shared" si="326"/>
        <v>10.9404</v>
      </c>
      <c r="F3189" s="1323">
        <f t="shared" si="325"/>
        <v>5.3247485625180255</v>
      </c>
      <c r="G3189" s="1323">
        <f t="shared" si="327"/>
        <v>2001</v>
      </c>
      <c r="H3189" s="1323">
        <f t="shared" si="328"/>
        <v>12</v>
      </c>
      <c r="I3189" s="1323">
        <f t="shared" si="329"/>
        <v>7</v>
      </c>
      <c r="J3189" s="1323"/>
      <c r="K3189" s="1323"/>
      <c r="L3189" s="1323"/>
      <c r="M3189" s="1323"/>
      <c r="N3189" s="1323"/>
      <c r="O3189" s="1323"/>
      <c r="P3189" s="1323"/>
      <c r="Q3189" s="1323"/>
      <c r="R3189" s="1304"/>
      <c r="S3189" s="1304"/>
      <c r="T3189" s="1304"/>
    </row>
    <row r="3190" spans="1:20">
      <c r="A3190" s="1303"/>
      <c r="B3190" s="1322" t="s">
        <v>8511</v>
      </c>
      <c r="C3190" s="1323" t="s">
        <v>8512</v>
      </c>
      <c r="D3190" s="1324">
        <f t="shared" si="324"/>
        <v>37231</v>
      </c>
      <c r="E3190" s="1323">
        <f t="shared" si="326"/>
        <v>11.1393</v>
      </c>
      <c r="F3190" s="1323">
        <f t="shared" si="325"/>
        <v>5.3237275736682808</v>
      </c>
      <c r="G3190" s="1323">
        <f t="shared" si="327"/>
        <v>2001</v>
      </c>
      <c r="H3190" s="1323">
        <f t="shared" si="328"/>
        <v>12</v>
      </c>
      <c r="I3190" s="1323">
        <f t="shared" si="329"/>
        <v>6</v>
      </c>
      <c r="J3190" s="1323"/>
      <c r="K3190" s="1323"/>
      <c r="L3190" s="1323"/>
      <c r="M3190" s="1323"/>
      <c r="N3190" s="1323"/>
      <c r="O3190" s="1323"/>
      <c r="P3190" s="1323"/>
      <c r="Q3190" s="1323"/>
      <c r="R3190" s="1304"/>
      <c r="S3190" s="1304"/>
      <c r="T3190" s="1304"/>
    </row>
    <row r="3191" spans="1:20">
      <c r="A3191" s="1303"/>
      <c r="B3191" s="1322" t="s">
        <v>8513</v>
      </c>
      <c r="C3191" s="1323" t="s">
        <v>8514</v>
      </c>
      <c r="D3191" s="1324">
        <f t="shared" si="324"/>
        <v>37230</v>
      </c>
      <c r="E3191" s="1323">
        <f t="shared" si="326"/>
        <v>10.7219</v>
      </c>
      <c r="F3191" s="1323">
        <f t="shared" si="325"/>
        <v>5.3227067805870725</v>
      </c>
      <c r="G3191" s="1323">
        <f t="shared" si="327"/>
        <v>2001</v>
      </c>
      <c r="H3191" s="1323">
        <f t="shared" si="328"/>
        <v>12</v>
      </c>
      <c r="I3191" s="1323">
        <f t="shared" si="329"/>
        <v>5</v>
      </c>
      <c r="J3191" s="1323"/>
      <c r="K3191" s="1323"/>
      <c r="L3191" s="1323"/>
      <c r="M3191" s="1323"/>
      <c r="N3191" s="1323"/>
      <c r="O3191" s="1323"/>
      <c r="P3191" s="1323"/>
      <c r="Q3191" s="1323"/>
      <c r="R3191" s="1304"/>
      <c r="S3191" s="1304"/>
      <c r="T3191" s="1304"/>
    </row>
    <row r="3192" spans="1:20">
      <c r="A3192" s="1303"/>
      <c r="B3192" s="1322" t="s">
        <v>8515</v>
      </c>
      <c r="C3192" s="1323" t="s">
        <v>2497</v>
      </c>
      <c r="D3192" s="1324">
        <f t="shared" si="324"/>
        <v>37229</v>
      </c>
      <c r="E3192" s="1323">
        <f t="shared" si="326"/>
        <v>10.366899999999999</v>
      </c>
      <c r="F3192" s="1323">
        <f t="shared" si="325"/>
        <v>5.3216861832368627</v>
      </c>
      <c r="G3192" s="1323">
        <f t="shared" si="327"/>
        <v>2001</v>
      </c>
      <c r="H3192" s="1323">
        <f t="shared" si="328"/>
        <v>12</v>
      </c>
      <c r="I3192" s="1323">
        <f t="shared" si="329"/>
        <v>4</v>
      </c>
      <c r="J3192" s="1323"/>
      <c r="K3192" s="1323"/>
      <c r="L3192" s="1323"/>
      <c r="M3192" s="1323"/>
      <c r="N3192" s="1323"/>
      <c r="O3192" s="1323"/>
      <c r="P3192" s="1323"/>
      <c r="Q3192" s="1323"/>
      <c r="R3192" s="1304"/>
      <c r="S3192" s="1304"/>
      <c r="T3192" s="1304"/>
    </row>
    <row r="3193" spans="1:20">
      <c r="A3193" s="1303"/>
      <c r="B3193" s="1322" t="s">
        <v>8516</v>
      </c>
      <c r="C3193" s="1323" t="s">
        <v>8517</v>
      </c>
      <c r="D3193" s="1324">
        <f t="shared" si="324"/>
        <v>37228</v>
      </c>
      <c r="E3193" s="1323">
        <f t="shared" si="326"/>
        <v>10.306100000000001</v>
      </c>
      <c r="F3193" s="1323">
        <f t="shared" si="325"/>
        <v>5.3206657815801215</v>
      </c>
      <c r="G3193" s="1323">
        <f t="shared" si="327"/>
        <v>2001</v>
      </c>
      <c r="H3193" s="1323">
        <f t="shared" si="328"/>
        <v>12</v>
      </c>
      <c r="I3193" s="1323">
        <f t="shared" si="329"/>
        <v>3</v>
      </c>
      <c r="J3193" s="1323"/>
      <c r="K3193" s="1323"/>
      <c r="L3193" s="1323"/>
      <c r="M3193" s="1323"/>
      <c r="N3193" s="1323"/>
      <c r="O3193" s="1323"/>
      <c r="P3193" s="1323"/>
      <c r="Q3193" s="1323"/>
      <c r="R3193" s="1304"/>
      <c r="S3193" s="1304"/>
      <c r="T3193" s="1304"/>
    </row>
    <row r="3194" spans="1:20">
      <c r="A3194" s="1303"/>
      <c r="B3194" s="1322" t="s">
        <v>8518</v>
      </c>
      <c r="C3194" s="1323" t="s">
        <v>8519</v>
      </c>
      <c r="D3194" s="1324">
        <f t="shared" si="324"/>
        <v>37225</v>
      </c>
      <c r="E3194" s="1323">
        <f t="shared" si="326"/>
        <v>10.3492</v>
      </c>
      <c r="F3194" s="1323">
        <f t="shared" si="325"/>
        <v>5.319645575579325</v>
      </c>
      <c r="G3194" s="1323">
        <f t="shared" si="327"/>
        <v>2001</v>
      </c>
      <c r="H3194" s="1323">
        <f t="shared" si="328"/>
        <v>11</v>
      </c>
      <c r="I3194" s="1323">
        <f t="shared" si="329"/>
        <v>30</v>
      </c>
      <c r="J3194" s="1323"/>
      <c r="K3194" s="1323"/>
      <c r="L3194" s="1323"/>
      <c r="M3194" s="1323"/>
      <c r="N3194" s="1323"/>
      <c r="O3194" s="1323"/>
      <c r="P3194" s="1323"/>
      <c r="Q3194" s="1323"/>
      <c r="R3194" s="1304"/>
      <c r="S3194" s="1304"/>
      <c r="T3194" s="1304"/>
    </row>
    <row r="3195" spans="1:20">
      <c r="A3195" s="1303"/>
      <c r="B3195" s="1322" t="s">
        <v>8520</v>
      </c>
      <c r="C3195" s="1323" t="s">
        <v>8521</v>
      </c>
      <c r="D3195" s="1324">
        <f t="shared" si="324"/>
        <v>37224</v>
      </c>
      <c r="E3195" s="1323">
        <f t="shared" si="326"/>
        <v>9.8088999999999995</v>
      </c>
      <c r="F3195" s="1323">
        <f t="shared" si="325"/>
        <v>5.3186255651969585</v>
      </c>
      <c r="G3195" s="1323">
        <f t="shared" si="327"/>
        <v>2001</v>
      </c>
      <c r="H3195" s="1323">
        <f t="shared" si="328"/>
        <v>11</v>
      </c>
      <c r="I3195" s="1323">
        <f t="shared" si="329"/>
        <v>29</v>
      </c>
      <c r="J3195" s="1323"/>
      <c r="K3195" s="1323"/>
      <c r="L3195" s="1323"/>
      <c r="M3195" s="1323"/>
      <c r="N3195" s="1323"/>
      <c r="O3195" s="1323"/>
      <c r="P3195" s="1323"/>
      <c r="Q3195" s="1323"/>
      <c r="R3195" s="1304"/>
      <c r="S3195" s="1304"/>
      <c r="T3195" s="1304"/>
    </row>
    <row r="3196" spans="1:20">
      <c r="A3196" s="1303"/>
      <c r="B3196" s="1322" t="s">
        <v>8522</v>
      </c>
      <c r="C3196" s="1323" t="s">
        <v>8523</v>
      </c>
      <c r="D3196" s="1324">
        <f t="shared" si="324"/>
        <v>37223</v>
      </c>
      <c r="E3196" s="1323">
        <f t="shared" si="326"/>
        <v>9.9209999999999994</v>
      </c>
      <c r="F3196" s="1323">
        <f t="shared" si="325"/>
        <v>5.3176057503955123</v>
      </c>
      <c r="G3196" s="1323">
        <f t="shared" si="327"/>
        <v>2001</v>
      </c>
      <c r="H3196" s="1323">
        <f t="shared" si="328"/>
        <v>11</v>
      </c>
      <c r="I3196" s="1323">
        <f t="shared" si="329"/>
        <v>28</v>
      </c>
      <c r="J3196" s="1323"/>
      <c r="K3196" s="1323"/>
      <c r="L3196" s="1323"/>
      <c r="M3196" s="1323"/>
      <c r="N3196" s="1323"/>
      <c r="O3196" s="1323"/>
      <c r="P3196" s="1323"/>
      <c r="Q3196" s="1323"/>
      <c r="R3196" s="1304"/>
      <c r="S3196" s="1304"/>
      <c r="T3196" s="1304"/>
    </row>
    <row r="3197" spans="1:20">
      <c r="A3197" s="1303"/>
      <c r="B3197" s="1322" t="s">
        <v>8524</v>
      </c>
      <c r="C3197" s="1323" t="s">
        <v>8525</v>
      </c>
      <c r="D3197" s="1324">
        <f t="shared" si="324"/>
        <v>37222</v>
      </c>
      <c r="E3197" s="1323">
        <f t="shared" si="326"/>
        <v>9.8725000000000005</v>
      </c>
      <c r="F3197" s="1323">
        <f t="shared" si="325"/>
        <v>5.3165861311374858</v>
      </c>
      <c r="G3197" s="1323">
        <f t="shared" si="327"/>
        <v>2001</v>
      </c>
      <c r="H3197" s="1323">
        <f t="shared" si="328"/>
        <v>11</v>
      </c>
      <c r="I3197" s="1323">
        <f t="shared" si="329"/>
        <v>27</v>
      </c>
      <c r="J3197" s="1323"/>
      <c r="K3197" s="1323"/>
      <c r="L3197" s="1323"/>
      <c r="M3197" s="1323"/>
      <c r="N3197" s="1323"/>
      <c r="O3197" s="1323"/>
      <c r="P3197" s="1323"/>
      <c r="Q3197" s="1323"/>
      <c r="R3197" s="1304"/>
      <c r="S3197" s="1304"/>
      <c r="T3197" s="1304"/>
    </row>
    <row r="3198" spans="1:20">
      <c r="A3198" s="1303"/>
      <c r="B3198" s="1322" t="s">
        <v>8526</v>
      </c>
      <c r="C3198" s="1323" t="s">
        <v>8527</v>
      </c>
      <c r="D3198" s="1324">
        <f t="shared" si="324"/>
        <v>37221</v>
      </c>
      <c r="E3198" s="1323">
        <f t="shared" si="326"/>
        <v>9.9305000000000003</v>
      </c>
      <c r="F3198" s="1323">
        <f t="shared" si="325"/>
        <v>5.3155667073853845</v>
      </c>
      <c r="G3198" s="1323">
        <f t="shared" si="327"/>
        <v>2001</v>
      </c>
      <c r="H3198" s="1323">
        <f t="shared" si="328"/>
        <v>11</v>
      </c>
      <c r="I3198" s="1323">
        <f t="shared" si="329"/>
        <v>26</v>
      </c>
      <c r="J3198" s="1323"/>
      <c r="K3198" s="1323"/>
      <c r="L3198" s="1323"/>
      <c r="M3198" s="1323"/>
      <c r="N3198" s="1323"/>
      <c r="O3198" s="1323"/>
      <c r="P3198" s="1323"/>
      <c r="Q3198" s="1323"/>
      <c r="R3198" s="1304"/>
      <c r="S3198" s="1304"/>
      <c r="T3198" s="1304"/>
    </row>
    <row r="3199" spans="1:20">
      <c r="A3199" s="1303"/>
      <c r="B3199" s="1322" t="s">
        <v>8528</v>
      </c>
      <c r="C3199" s="1323" t="s">
        <v>8529</v>
      </c>
      <c r="D3199" s="1324">
        <f t="shared" si="324"/>
        <v>37218</v>
      </c>
      <c r="E3199" s="1323">
        <f t="shared" si="326"/>
        <v>9.9740000000000002</v>
      </c>
      <c r="F3199" s="1323">
        <f t="shared" si="325"/>
        <v>5.3145474791017211</v>
      </c>
      <c r="G3199" s="1323">
        <f t="shared" si="327"/>
        <v>2001</v>
      </c>
      <c r="H3199" s="1323">
        <f t="shared" si="328"/>
        <v>11</v>
      </c>
      <c r="I3199" s="1323">
        <f t="shared" si="329"/>
        <v>23</v>
      </c>
      <c r="J3199" s="1323"/>
      <c r="K3199" s="1323"/>
      <c r="L3199" s="1323"/>
      <c r="M3199" s="1323"/>
      <c r="N3199" s="1323"/>
      <c r="O3199" s="1323"/>
      <c r="P3199" s="1323"/>
      <c r="Q3199" s="1323"/>
      <c r="R3199" s="1304"/>
      <c r="S3199" s="1304"/>
      <c r="T3199" s="1304"/>
    </row>
    <row r="3200" spans="1:20">
      <c r="A3200" s="1303"/>
      <c r="B3200" s="1322" t="s">
        <v>8530</v>
      </c>
      <c r="C3200" s="1323" t="s">
        <v>8531</v>
      </c>
      <c r="D3200" s="1324">
        <f t="shared" si="324"/>
        <v>37217</v>
      </c>
      <c r="E3200" s="1323">
        <f t="shared" si="326"/>
        <v>9.9672999999999998</v>
      </c>
      <c r="F3200" s="1323">
        <f t="shared" si="325"/>
        <v>5.3135284462490153</v>
      </c>
      <c r="G3200" s="1323">
        <f t="shared" si="327"/>
        <v>2001</v>
      </c>
      <c r="H3200" s="1323">
        <f t="shared" si="328"/>
        <v>11</v>
      </c>
      <c r="I3200" s="1323">
        <f t="shared" si="329"/>
        <v>22</v>
      </c>
      <c r="J3200" s="1323"/>
      <c r="K3200" s="1323"/>
      <c r="L3200" s="1323"/>
      <c r="M3200" s="1323"/>
      <c r="N3200" s="1323"/>
      <c r="O3200" s="1323"/>
      <c r="P3200" s="1323"/>
      <c r="Q3200" s="1323"/>
      <c r="R3200" s="1304"/>
      <c r="S3200" s="1304"/>
      <c r="T3200" s="1304"/>
    </row>
    <row r="3201" spans="1:20">
      <c r="A3201" s="1303"/>
      <c r="B3201" s="1322" t="s">
        <v>8532</v>
      </c>
      <c r="C3201" s="1323" t="s">
        <v>8533</v>
      </c>
      <c r="D3201" s="1324">
        <f t="shared" si="324"/>
        <v>37216</v>
      </c>
      <c r="E3201" s="1323">
        <f t="shared" si="326"/>
        <v>9.7921999999999993</v>
      </c>
      <c r="F3201" s="1323">
        <f t="shared" si="325"/>
        <v>5.3125096087897949</v>
      </c>
      <c r="G3201" s="1323">
        <f t="shared" si="327"/>
        <v>2001</v>
      </c>
      <c r="H3201" s="1323">
        <f t="shared" si="328"/>
        <v>11</v>
      </c>
      <c r="I3201" s="1323">
        <f t="shared" si="329"/>
        <v>21</v>
      </c>
      <c r="J3201" s="1323"/>
      <c r="K3201" s="1323"/>
      <c r="L3201" s="1323"/>
      <c r="M3201" s="1323"/>
      <c r="N3201" s="1323"/>
      <c r="O3201" s="1323"/>
      <c r="P3201" s="1323"/>
      <c r="Q3201" s="1323"/>
      <c r="R3201" s="1304"/>
      <c r="S3201" s="1304"/>
      <c r="T3201" s="1304"/>
    </row>
    <row r="3202" spans="1:20">
      <c r="A3202" s="1303"/>
      <c r="B3202" s="1322" t="s">
        <v>8534</v>
      </c>
      <c r="C3202" s="1323" t="s">
        <v>8535</v>
      </c>
      <c r="D3202" s="1324">
        <f t="shared" si="324"/>
        <v>37215</v>
      </c>
      <c r="E3202" s="1323">
        <f t="shared" si="326"/>
        <v>9.7463999999999995</v>
      </c>
      <c r="F3202" s="1323">
        <f t="shared" si="325"/>
        <v>5.3114909666865948</v>
      </c>
      <c r="G3202" s="1323">
        <f t="shared" si="327"/>
        <v>2001</v>
      </c>
      <c r="H3202" s="1323">
        <f t="shared" si="328"/>
        <v>11</v>
      </c>
      <c r="I3202" s="1323">
        <f t="shared" si="329"/>
        <v>20</v>
      </c>
      <c r="J3202" s="1323"/>
      <c r="K3202" s="1323"/>
      <c r="L3202" s="1323"/>
      <c r="M3202" s="1323"/>
      <c r="N3202" s="1323"/>
      <c r="O3202" s="1323"/>
      <c r="P3202" s="1323"/>
      <c r="Q3202" s="1323"/>
      <c r="R3202" s="1304"/>
      <c r="S3202" s="1304"/>
      <c r="T3202" s="1304"/>
    </row>
    <row r="3203" spans="1:20">
      <c r="A3203" s="1303"/>
      <c r="B3203" s="1322" t="s">
        <v>8536</v>
      </c>
      <c r="C3203" s="1323" t="s">
        <v>8537</v>
      </c>
      <c r="D3203" s="1324">
        <f t="shared" si="324"/>
        <v>37214</v>
      </c>
      <c r="E3203" s="1323">
        <f t="shared" si="326"/>
        <v>9.6150000000000002</v>
      </c>
      <c r="F3203" s="1323">
        <f t="shared" si="325"/>
        <v>5.310472519901956</v>
      </c>
      <c r="G3203" s="1323">
        <f t="shared" si="327"/>
        <v>2001</v>
      </c>
      <c r="H3203" s="1323">
        <f t="shared" si="328"/>
        <v>11</v>
      </c>
      <c r="I3203" s="1323">
        <f t="shared" si="329"/>
        <v>19</v>
      </c>
      <c r="J3203" s="1323"/>
      <c r="K3203" s="1323"/>
      <c r="L3203" s="1323"/>
      <c r="M3203" s="1323"/>
      <c r="N3203" s="1323"/>
      <c r="O3203" s="1323"/>
      <c r="P3203" s="1323"/>
      <c r="Q3203" s="1323"/>
      <c r="R3203" s="1304"/>
      <c r="S3203" s="1304"/>
      <c r="T3203" s="1304"/>
    </row>
    <row r="3204" spans="1:20">
      <c r="A3204" s="1303"/>
      <c r="B3204" s="1322" t="s">
        <v>8538</v>
      </c>
      <c r="C3204" s="1323" t="s">
        <v>8539</v>
      </c>
      <c r="D3204" s="1324">
        <f t="shared" si="324"/>
        <v>37211</v>
      </c>
      <c r="E3204" s="1323">
        <f t="shared" si="326"/>
        <v>9.4939</v>
      </c>
      <c r="F3204" s="1323">
        <f t="shared" si="325"/>
        <v>5.3094542683984276</v>
      </c>
      <c r="G3204" s="1323">
        <f t="shared" si="327"/>
        <v>2001</v>
      </c>
      <c r="H3204" s="1323">
        <f t="shared" si="328"/>
        <v>11</v>
      </c>
      <c r="I3204" s="1323">
        <f t="shared" si="329"/>
        <v>16</v>
      </c>
      <c r="J3204" s="1323"/>
      <c r="K3204" s="1323"/>
      <c r="L3204" s="1323"/>
      <c r="M3204" s="1323"/>
      <c r="N3204" s="1323"/>
      <c r="O3204" s="1323"/>
      <c r="P3204" s="1323"/>
      <c r="Q3204" s="1323"/>
      <c r="R3204" s="1304"/>
      <c r="S3204" s="1304"/>
      <c r="T3204" s="1304"/>
    </row>
    <row r="3205" spans="1:20">
      <c r="A3205" s="1303"/>
      <c r="B3205" s="1322" t="s">
        <v>8540</v>
      </c>
      <c r="C3205" s="1323" t="s">
        <v>8541</v>
      </c>
      <c r="D3205" s="1324">
        <f t="shared" si="324"/>
        <v>37210</v>
      </c>
      <c r="E3205" s="1323">
        <f t="shared" si="326"/>
        <v>9.6458999999999993</v>
      </c>
      <c r="F3205" s="1323">
        <f t="shared" si="325"/>
        <v>5.3084362121385649</v>
      </c>
      <c r="G3205" s="1323">
        <f t="shared" si="327"/>
        <v>2001</v>
      </c>
      <c r="H3205" s="1323">
        <f t="shared" si="328"/>
        <v>11</v>
      </c>
      <c r="I3205" s="1323">
        <f t="shared" si="329"/>
        <v>15</v>
      </c>
      <c r="J3205" s="1323"/>
      <c r="K3205" s="1323"/>
      <c r="L3205" s="1323"/>
      <c r="M3205" s="1323"/>
      <c r="N3205" s="1323"/>
      <c r="O3205" s="1323"/>
      <c r="P3205" s="1323"/>
      <c r="Q3205" s="1323"/>
      <c r="R3205" s="1304"/>
      <c r="S3205" s="1304"/>
      <c r="T3205" s="1304"/>
    </row>
    <row r="3206" spans="1:20">
      <c r="A3206" s="1303"/>
      <c r="B3206" s="1322" t="s">
        <v>8542</v>
      </c>
      <c r="C3206" s="1323" t="s">
        <v>8543</v>
      </c>
      <c r="D3206" s="1324">
        <f t="shared" si="324"/>
        <v>37209</v>
      </c>
      <c r="E3206" s="1323">
        <f t="shared" si="326"/>
        <v>9.7013999999999996</v>
      </c>
      <c r="F3206" s="1323">
        <f t="shared" si="325"/>
        <v>5.307418351084932</v>
      </c>
      <c r="G3206" s="1323">
        <f t="shared" si="327"/>
        <v>2001</v>
      </c>
      <c r="H3206" s="1323">
        <f t="shared" si="328"/>
        <v>11</v>
      </c>
      <c r="I3206" s="1323">
        <f t="shared" si="329"/>
        <v>14</v>
      </c>
      <c r="J3206" s="1323"/>
      <c r="K3206" s="1323"/>
      <c r="L3206" s="1323"/>
      <c r="M3206" s="1323"/>
      <c r="N3206" s="1323"/>
      <c r="O3206" s="1323"/>
      <c r="P3206" s="1323"/>
      <c r="Q3206" s="1323"/>
      <c r="R3206" s="1304"/>
      <c r="S3206" s="1304"/>
      <c r="T3206" s="1304"/>
    </row>
    <row r="3207" spans="1:20">
      <c r="A3207" s="1303"/>
      <c r="B3207" s="1322" t="s">
        <v>8544</v>
      </c>
      <c r="C3207" s="1323" t="s">
        <v>8545</v>
      </c>
      <c r="D3207" s="1324">
        <f t="shared" si="324"/>
        <v>37208</v>
      </c>
      <c r="E3207" s="1323">
        <f t="shared" si="326"/>
        <v>9.6946999999999992</v>
      </c>
      <c r="F3207" s="1323">
        <f t="shared" si="325"/>
        <v>5.3064006852000993</v>
      </c>
      <c r="G3207" s="1323">
        <f t="shared" si="327"/>
        <v>2001</v>
      </c>
      <c r="H3207" s="1323">
        <f t="shared" si="328"/>
        <v>11</v>
      </c>
      <c r="I3207" s="1323">
        <f t="shared" si="329"/>
        <v>13</v>
      </c>
      <c r="J3207" s="1323"/>
      <c r="K3207" s="1323"/>
      <c r="L3207" s="1323"/>
      <c r="M3207" s="1323"/>
      <c r="N3207" s="1323"/>
      <c r="O3207" s="1323"/>
      <c r="P3207" s="1323"/>
      <c r="Q3207" s="1323"/>
      <c r="R3207" s="1304"/>
      <c r="S3207" s="1304"/>
      <c r="T3207" s="1304"/>
    </row>
    <row r="3208" spans="1:20">
      <c r="A3208" s="1303"/>
      <c r="B3208" s="1322" t="s">
        <v>8546</v>
      </c>
      <c r="C3208" s="1323" t="s">
        <v>8547</v>
      </c>
      <c r="D3208" s="1324">
        <f t="shared" si="324"/>
        <v>37207</v>
      </c>
      <c r="E3208" s="1323">
        <f t="shared" si="326"/>
        <v>9.6677999999999997</v>
      </c>
      <c r="F3208" s="1323">
        <f t="shared" si="325"/>
        <v>5.3053832144466435</v>
      </c>
      <c r="G3208" s="1323">
        <f t="shared" si="327"/>
        <v>2001</v>
      </c>
      <c r="H3208" s="1323">
        <f t="shared" si="328"/>
        <v>11</v>
      </c>
      <c r="I3208" s="1323">
        <f t="shared" si="329"/>
        <v>12</v>
      </c>
      <c r="J3208" s="1323"/>
      <c r="K3208" s="1323"/>
      <c r="L3208" s="1323"/>
      <c r="M3208" s="1323"/>
      <c r="N3208" s="1323"/>
      <c r="O3208" s="1323"/>
      <c r="P3208" s="1323"/>
      <c r="Q3208" s="1323"/>
      <c r="R3208" s="1304"/>
      <c r="S3208" s="1304"/>
      <c r="T3208" s="1304"/>
    </row>
    <row r="3209" spans="1:20">
      <c r="A3209" s="1303"/>
      <c r="B3209" s="1322" t="s">
        <v>8548</v>
      </c>
      <c r="C3209" s="1323" t="s">
        <v>8549</v>
      </c>
      <c r="D3209" s="1324">
        <f t="shared" ref="D3209:D3272" si="330">DATE(G3209,H3209,I3209)</f>
        <v>37204</v>
      </c>
      <c r="E3209" s="1323">
        <f t="shared" si="326"/>
        <v>9.6259999999999994</v>
      </c>
      <c r="F3209" s="1323">
        <f t="shared" ref="F3209:F3272" si="331">F3210*(1+$F$7/365)</f>
        <v>5.30436593878715</v>
      </c>
      <c r="G3209" s="1323">
        <f t="shared" si="327"/>
        <v>2001</v>
      </c>
      <c r="H3209" s="1323">
        <f t="shared" si="328"/>
        <v>11</v>
      </c>
      <c r="I3209" s="1323">
        <f t="shared" si="329"/>
        <v>9</v>
      </c>
      <c r="J3209" s="1323"/>
      <c r="K3209" s="1323"/>
      <c r="L3209" s="1323"/>
      <c r="M3209" s="1323"/>
      <c r="N3209" s="1323"/>
      <c r="O3209" s="1323"/>
      <c r="P3209" s="1323"/>
      <c r="Q3209" s="1323"/>
      <c r="R3209" s="1304"/>
      <c r="S3209" s="1304"/>
      <c r="T3209" s="1304"/>
    </row>
    <row r="3210" spans="1:20">
      <c r="A3210" s="1303"/>
      <c r="B3210" s="1322" t="s">
        <v>8550</v>
      </c>
      <c r="C3210" s="1323" t="s">
        <v>8551</v>
      </c>
      <c r="D3210" s="1324">
        <f t="shared" si="330"/>
        <v>37203</v>
      </c>
      <c r="E3210" s="1323">
        <f t="shared" si="326"/>
        <v>9.5327000000000002</v>
      </c>
      <c r="F3210" s="1323">
        <f t="shared" si="331"/>
        <v>5.3033488581842105</v>
      </c>
      <c r="G3210" s="1323">
        <f t="shared" si="327"/>
        <v>2001</v>
      </c>
      <c r="H3210" s="1323">
        <f t="shared" si="328"/>
        <v>11</v>
      </c>
      <c r="I3210" s="1323">
        <f t="shared" si="329"/>
        <v>8</v>
      </c>
      <c r="J3210" s="1323"/>
      <c r="K3210" s="1323"/>
      <c r="L3210" s="1323"/>
      <c r="M3210" s="1323"/>
      <c r="N3210" s="1323"/>
      <c r="O3210" s="1323"/>
      <c r="P3210" s="1323"/>
      <c r="Q3210" s="1323"/>
      <c r="R3210" s="1304"/>
      <c r="S3210" s="1304"/>
      <c r="T3210" s="1304"/>
    </row>
    <row r="3211" spans="1:20">
      <c r="A3211" s="1303"/>
      <c r="B3211" s="1322" t="s">
        <v>8552</v>
      </c>
      <c r="C3211" s="1323" t="s">
        <v>8553</v>
      </c>
      <c r="D3211" s="1324">
        <f t="shared" si="330"/>
        <v>37202</v>
      </c>
      <c r="E3211" s="1323">
        <f t="shared" si="326"/>
        <v>9.4757999999999996</v>
      </c>
      <c r="F3211" s="1323">
        <f t="shared" si="331"/>
        <v>5.3023319726004239</v>
      </c>
      <c r="G3211" s="1323">
        <f t="shared" si="327"/>
        <v>2001</v>
      </c>
      <c r="H3211" s="1323">
        <f t="shared" si="328"/>
        <v>11</v>
      </c>
      <c r="I3211" s="1323">
        <f t="shared" si="329"/>
        <v>7</v>
      </c>
      <c r="J3211" s="1323"/>
      <c r="K3211" s="1323"/>
      <c r="L3211" s="1323"/>
      <c r="M3211" s="1323"/>
      <c r="N3211" s="1323"/>
      <c r="O3211" s="1323"/>
      <c r="P3211" s="1323"/>
      <c r="Q3211" s="1323"/>
      <c r="R3211" s="1304"/>
      <c r="S3211" s="1304"/>
      <c r="T3211" s="1304"/>
    </row>
    <row r="3212" spans="1:20">
      <c r="A3212" s="1303"/>
      <c r="B3212" s="1322" t="s">
        <v>8554</v>
      </c>
      <c r="C3212" s="1323" t="s">
        <v>8555</v>
      </c>
      <c r="D3212" s="1324">
        <f t="shared" si="330"/>
        <v>37201</v>
      </c>
      <c r="E3212" s="1323">
        <f t="shared" si="326"/>
        <v>9.4657</v>
      </c>
      <c r="F3212" s="1323">
        <f t="shared" si="331"/>
        <v>5.3013152819983969</v>
      </c>
      <c r="G3212" s="1323">
        <f t="shared" si="327"/>
        <v>2001</v>
      </c>
      <c r="H3212" s="1323">
        <f t="shared" si="328"/>
        <v>11</v>
      </c>
      <c r="I3212" s="1323">
        <f t="shared" si="329"/>
        <v>6</v>
      </c>
      <c r="J3212" s="1323"/>
      <c r="K3212" s="1323"/>
      <c r="L3212" s="1323"/>
      <c r="M3212" s="1323"/>
      <c r="N3212" s="1323"/>
      <c r="O3212" s="1323"/>
      <c r="P3212" s="1323"/>
      <c r="Q3212" s="1323"/>
      <c r="R3212" s="1304"/>
      <c r="S3212" s="1304"/>
      <c r="T3212" s="1304"/>
    </row>
    <row r="3213" spans="1:20">
      <c r="A3213" s="1303"/>
      <c r="B3213" s="1322" t="s">
        <v>8556</v>
      </c>
      <c r="C3213" s="1323" t="s">
        <v>8557</v>
      </c>
      <c r="D3213" s="1324">
        <f t="shared" si="330"/>
        <v>37200</v>
      </c>
      <c r="E3213" s="1323">
        <f t="shared" si="326"/>
        <v>9.64</v>
      </c>
      <c r="F3213" s="1323">
        <f t="shared" si="331"/>
        <v>5.3002987863407425</v>
      </c>
      <c r="G3213" s="1323">
        <f t="shared" si="327"/>
        <v>2001</v>
      </c>
      <c r="H3213" s="1323">
        <f t="shared" si="328"/>
        <v>11</v>
      </c>
      <c r="I3213" s="1323">
        <f t="shared" si="329"/>
        <v>5</v>
      </c>
      <c r="J3213" s="1323"/>
      <c r="K3213" s="1323"/>
      <c r="L3213" s="1323"/>
      <c r="M3213" s="1323"/>
      <c r="N3213" s="1323"/>
      <c r="O3213" s="1323"/>
      <c r="P3213" s="1323"/>
      <c r="Q3213" s="1323"/>
      <c r="R3213" s="1304"/>
      <c r="S3213" s="1304"/>
      <c r="T3213" s="1304"/>
    </row>
    <row r="3214" spans="1:20">
      <c r="A3214" s="1303"/>
      <c r="B3214" s="1322" t="s">
        <v>8558</v>
      </c>
      <c r="C3214" s="1323" t="s">
        <v>8559</v>
      </c>
      <c r="D3214" s="1324">
        <f t="shared" si="330"/>
        <v>37197</v>
      </c>
      <c r="E3214" s="1323">
        <f t="shared" si="326"/>
        <v>9.5503</v>
      </c>
      <c r="F3214" s="1323">
        <f t="shared" si="331"/>
        <v>5.2992824855900809</v>
      </c>
      <c r="G3214" s="1323">
        <f t="shared" si="327"/>
        <v>2001</v>
      </c>
      <c r="H3214" s="1323">
        <f t="shared" si="328"/>
        <v>11</v>
      </c>
      <c r="I3214" s="1323">
        <f t="shared" si="329"/>
        <v>2</v>
      </c>
      <c r="J3214" s="1323"/>
      <c r="K3214" s="1323"/>
      <c r="L3214" s="1323"/>
      <c r="M3214" s="1323"/>
      <c r="N3214" s="1323"/>
      <c r="O3214" s="1323"/>
      <c r="P3214" s="1323"/>
      <c r="Q3214" s="1323"/>
      <c r="R3214" s="1304"/>
      <c r="S3214" s="1304"/>
      <c r="T3214" s="1304"/>
    </row>
    <row r="3215" spans="1:20">
      <c r="A3215" s="1303"/>
      <c r="B3215" s="1322" t="s">
        <v>8560</v>
      </c>
      <c r="C3215" s="1323" t="s">
        <v>8561</v>
      </c>
      <c r="D3215" s="1324">
        <f t="shared" si="330"/>
        <v>37196</v>
      </c>
      <c r="E3215" s="1323">
        <f t="shared" si="326"/>
        <v>9.4293999999999993</v>
      </c>
      <c r="F3215" s="1323">
        <f t="shared" si="331"/>
        <v>5.298266379709041</v>
      </c>
      <c r="G3215" s="1323">
        <f t="shared" si="327"/>
        <v>2001</v>
      </c>
      <c r="H3215" s="1323">
        <f t="shared" si="328"/>
        <v>11</v>
      </c>
      <c r="I3215" s="1323">
        <f t="shared" si="329"/>
        <v>1</v>
      </c>
      <c r="J3215" s="1323"/>
      <c r="K3215" s="1323"/>
      <c r="L3215" s="1323"/>
      <c r="M3215" s="1323"/>
      <c r="N3215" s="1323"/>
      <c r="O3215" s="1323"/>
      <c r="P3215" s="1323"/>
      <c r="Q3215" s="1323"/>
      <c r="R3215" s="1304"/>
      <c r="S3215" s="1304"/>
      <c r="T3215" s="1304"/>
    </row>
    <row r="3216" spans="1:20">
      <c r="A3216" s="1303"/>
      <c r="B3216" s="1322" t="s">
        <v>8562</v>
      </c>
      <c r="C3216" s="1323" t="s">
        <v>8563</v>
      </c>
      <c r="D3216" s="1324">
        <f t="shared" si="330"/>
        <v>37195</v>
      </c>
      <c r="E3216" s="1323">
        <f t="shared" si="326"/>
        <v>9.4379000000000008</v>
      </c>
      <c r="F3216" s="1323">
        <f t="shared" si="331"/>
        <v>5.2972504686602564</v>
      </c>
      <c r="G3216" s="1323">
        <f t="shared" si="327"/>
        <v>2001</v>
      </c>
      <c r="H3216" s="1323">
        <f t="shared" si="328"/>
        <v>10</v>
      </c>
      <c r="I3216" s="1323">
        <f t="shared" si="329"/>
        <v>31</v>
      </c>
      <c r="J3216" s="1323"/>
      <c r="K3216" s="1323"/>
      <c r="L3216" s="1323"/>
      <c r="M3216" s="1323"/>
      <c r="N3216" s="1323"/>
      <c r="O3216" s="1323"/>
      <c r="P3216" s="1323"/>
      <c r="Q3216" s="1323"/>
      <c r="R3216" s="1304"/>
      <c r="S3216" s="1304"/>
      <c r="T3216" s="1304"/>
    </row>
    <row r="3217" spans="1:20">
      <c r="A3217" s="1303"/>
      <c r="B3217" s="1322" t="s">
        <v>8564</v>
      </c>
      <c r="C3217" s="1323" t="s">
        <v>8565</v>
      </c>
      <c r="D3217" s="1324">
        <f t="shared" si="330"/>
        <v>37194</v>
      </c>
      <c r="E3217" s="1323">
        <f t="shared" si="326"/>
        <v>9.3734000000000002</v>
      </c>
      <c r="F3217" s="1323">
        <f t="shared" si="331"/>
        <v>5.2962347524063702</v>
      </c>
      <c r="G3217" s="1323">
        <f t="shared" si="327"/>
        <v>2001</v>
      </c>
      <c r="H3217" s="1323">
        <f t="shared" si="328"/>
        <v>10</v>
      </c>
      <c r="I3217" s="1323">
        <f t="shared" si="329"/>
        <v>30</v>
      </c>
      <c r="J3217" s="1323"/>
      <c r="K3217" s="1323"/>
      <c r="L3217" s="1323"/>
      <c r="M3217" s="1323"/>
      <c r="N3217" s="1323"/>
      <c r="O3217" s="1323"/>
      <c r="P3217" s="1323"/>
      <c r="Q3217" s="1323"/>
      <c r="R3217" s="1304"/>
      <c r="S3217" s="1304"/>
      <c r="T3217" s="1304"/>
    </row>
    <row r="3218" spans="1:20">
      <c r="A3218" s="1303"/>
      <c r="B3218" s="1322" t="s">
        <v>8566</v>
      </c>
      <c r="C3218" s="1323" t="s">
        <v>8567</v>
      </c>
      <c r="D3218" s="1324">
        <f t="shared" si="330"/>
        <v>37193</v>
      </c>
      <c r="E3218" s="1323">
        <f t="shared" si="326"/>
        <v>9.3183000000000007</v>
      </c>
      <c r="F3218" s="1323">
        <f t="shared" si="331"/>
        <v>5.295219230910031</v>
      </c>
      <c r="G3218" s="1323">
        <f t="shared" si="327"/>
        <v>2001</v>
      </c>
      <c r="H3218" s="1323">
        <f t="shared" si="328"/>
        <v>10</v>
      </c>
      <c r="I3218" s="1323">
        <f t="shared" si="329"/>
        <v>29</v>
      </c>
      <c r="J3218" s="1323"/>
      <c r="K3218" s="1323"/>
      <c r="L3218" s="1323"/>
      <c r="M3218" s="1323"/>
      <c r="N3218" s="1323"/>
      <c r="O3218" s="1323"/>
      <c r="P3218" s="1323"/>
      <c r="Q3218" s="1323"/>
      <c r="R3218" s="1304"/>
      <c r="S3218" s="1304"/>
      <c r="T3218" s="1304"/>
    </row>
    <row r="3219" spans="1:20">
      <c r="A3219" s="1303"/>
      <c r="B3219" s="1322" t="s">
        <v>8568</v>
      </c>
      <c r="C3219" s="1323" t="s">
        <v>8569</v>
      </c>
      <c r="D3219" s="1324">
        <f t="shared" si="330"/>
        <v>37190</v>
      </c>
      <c r="E3219" s="1323">
        <f t="shared" si="326"/>
        <v>9.3789999999999996</v>
      </c>
      <c r="F3219" s="1323">
        <f t="shared" si="331"/>
        <v>5.2942039041338953</v>
      </c>
      <c r="G3219" s="1323">
        <f t="shared" si="327"/>
        <v>2001</v>
      </c>
      <c r="H3219" s="1323">
        <f t="shared" si="328"/>
        <v>10</v>
      </c>
      <c r="I3219" s="1323">
        <f t="shared" si="329"/>
        <v>26</v>
      </c>
      <c r="J3219" s="1323"/>
      <c r="K3219" s="1323"/>
      <c r="L3219" s="1323"/>
      <c r="M3219" s="1323"/>
      <c r="N3219" s="1323"/>
      <c r="O3219" s="1323"/>
      <c r="P3219" s="1323"/>
      <c r="Q3219" s="1323"/>
      <c r="R3219" s="1304"/>
      <c r="S3219" s="1304"/>
      <c r="T3219" s="1304"/>
    </row>
    <row r="3220" spans="1:20">
      <c r="A3220" s="1303"/>
      <c r="B3220" s="1322" t="s">
        <v>8570</v>
      </c>
      <c r="C3220" s="1323" t="s">
        <v>8571</v>
      </c>
      <c r="D3220" s="1324">
        <f t="shared" si="330"/>
        <v>37189</v>
      </c>
      <c r="E3220" s="1323">
        <f t="shared" si="326"/>
        <v>9.4583999999999993</v>
      </c>
      <c r="F3220" s="1323">
        <f t="shared" si="331"/>
        <v>5.2931887720406268</v>
      </c>
      <c r="G3220" s="1323">
        <f t="shared" si="327"/>
        <v>2001</v>
      </c>
      <c r="H3220" s="1323">
        <f t="shared" si="328"/>
        <v>10</v>
      </c>
      <c r="I3220" s="1323">
        <f t="shared" si="329"/>
        <v>25</v>
      </c>
      <c r="J3220" s="1323"/>
      <c r="K3220" s="1323"/>
      <c r="L3220" s="1323"/>
      <c r="M3220" s="1323"/>
      <c r="N3220" s="1323"/>
      <c r="O3220" s="1323"/>
      <c r="P3220" s="1323"/>
      <c r="Q3220" s="1323"/>
      <c r="R3220" s="1304"/>
      <c r="S3220" s="1304"/>
      <c r="T3220" s="1304"/>
    </row>
    <row r="3221" spans="1:20">
      <c r="A3221" s="1303"/>
      <c r="B3221" s="1322" t="s">
        <v>8572</v>
      </c>
      <c r="C3221" s="1323" t="s">
        <v>8573</v>
      </c>
      <c r="D3221" s="1324">
        <f t="shared" si="330"/>
        <v>37188</v>
      </c>
      <c r="E3221" s="1323">
        <f t="shared" si="326"/>
        <v>9.4060000000000006</v>
      </c>
      <c r="F3221" s="1323">
        <f t="shared" si="331"/>
        <v>5.2921738345928961</v>
      </c>
      <c r="G3221" s="1323">
        <f t="shared" si="327"/>
        <v>2001</v>
      </c>
      <c r="H3221" s="1323">
        <f t="shared" si="328"/>
        <v>10</v>
      </c>
      <c r="I3221" s="1323">
        <f t="shared" si="329"/>
        <v>24</v>
      </c>
      <c r="J3221" s="1323"/>
      <c r="K3221" s="1323"/>
      <c r="L3221" s="1323"/>
      <c r="M3221" s="1323"/>
      <c r="N3221" s="1323"/>
      <c r="O3221" s="1323"/>
      <c r="P3221" s="1323"/>
      <c r="Q3221" s="1323"/>
      <c r="R3221" s="1304"/>
      <c r="S3221" s="1304"/>
      <c r="T3221" s="1304"/>
    </row>
    <row r="3222" spans="1:20">
      <c r="A3222" s="1303"/>
      <c r="B3222" s="1322" t="s">
        <v>8574</v>
      </c>
      <c r="C3222" s="1323" t="s">
        <v>8575</v>
      </c>
      <c r="D3222" s="1324">
        <f t="shared" si="330"/>
        <v>37187</v>
      </c>
      <c r="E3222" s="1323">
        <f t="shared" ref="E3222:E3285" si="332">VALUE(C3223)</f>
        <v>9.5572999999999997</v>
      </c>
      <c r="F3222" s="1323">
        <f t="shared" si="331"/>
        <v>5.2911590917533813</v>
      </c>
      <c r="G3222" s="1323">
        <f t="shared" ref="G3222:G3285" si="333">YEAR(B3223)</f>
        <v>2001</v>
      </c>
      <c r="H3222" s="1323">
        <f t="shared" ref="H3222:H3285" si="334">MONTH(B3223)</f>
        <v>10</v>
      </c>
      <c r="I3222" s="1323">
        <f t="shared" ref="I3222:I3285" si="335">DAY(B3223)</f>
        <v>23</v>
      </c>
      <c r="J3222" s="1323"/>
      <c r="K3222" s="1323"/>
      <c r="L3222" s="1323"/>
      <c r="M3222" s="1323"/>
      <c r="N3222" s="1323"/>
      <c r="O3222" s="1323"/>
      <c r="P3222" s="1323"/>
      <c r="Q3222" s="1323"/>
      <c r="R3222" s="1304"/>
      <c r="S3222" s="1304"/>
      <c r="T3222" s="1304"/>
    </row>
    <row r="3223" spans="1:20">
      <c r="A3223" s="1303"/>
      <c r="B3223" s="1322" t="s">
        <v>8576</v>
      </c>
      <c r="C3223" s="1323" t="s">
        <v>8577</v>
      </c>
      <c r="D3223" s="1324">
        <f t="shared" si="330"/>
        <v>37186</v>
      </c>
      <c r="E3223" s="1323">
        <f t="shared" si="332"/>
        <v>9.2886000000000006</v>
      </c>
      <c r="F3223" s="1323">
        <f t="shared" si="331"/>
        <v>5.2901445434847671</v>
      </c>
      <c r="G3223" s="1323">
        <f t="shared" si="333"/>
        <v>2001</v>
      </c>
      <c r="H3223" s="1323">
        <f t="shared" si="334"/>
        <v>10</v>
      </c>
      <c r="I3223" s="1323">
        <f t="shared" si="335"/>
        <v>22</v>
      </c>
      <c r="J3223" s="1323"/>
      <c r="K3223" s="1323"/>
      <c r="L3223" s="1323"/>
      <c r="M3223" s="1323"/>
      <c r="N3223" s="1323"/>
      <c r="O3223" s="1323"/>
      <c r="P3223" s="1323"/>
      <c r="Q3223" s="1323"/>
      <c r="R3223" s="1304"/>
      <c r="S3223" s="1304"/>
      <c r="T3223" s="1304"/>
    </row>
    <row r="3224" spans="1:20">
      <c r="A3224" s="1303"/>
      <c r="B3224" s="1322" t="s">
        <v>8578</v>
      </c>
      <c r="C3224" s="1323" t="s">
        <v>8579</v>
      </c>
      <c r="D3224" s="1324">
        <f t="shared" si="330"/>
        <v>37183</v>
      </c>
      <c r="E3224" s="1323">
        <f t="shared" si="332"/>
        <v>9.1890999999999998</v>
      </c>
      <c r="F3224" s="1323">
        <f t="shared" si="331"/>
        <v>5.2891301897497467</v>
      </c>
      <c r="G3224" s="1323">
        <f t="shared" si="333"/>
        <v>2001</v>
      </c>
      <c r="H3224" s="1323">
        <f t="shared" si="334"/>
        <v>10</v>
      </c>
      <c r="I3224" s="1323">
        <f t="shared" si="335"/>
        <v>19</v>
      </c>
      <c r="J3224" s="1323"/>
      <c r="K3224" s="1323"/>
      <c r="L3224" s="1323"/>
      <c r="M3224" s="1323"/>
      <c r="N3224" s="1323"/>
      <c r="O3224" s="1323"/>
      <c r="P3224" s="1323"/>
      <c r="Q3224" s="1323"/>
      <c r="R3224" s="1304"/>
      <c r="S3224" s="1304"/>
      <c r="T3224" s="1304"/>
    </row>
    <row r="3225" spans="1:20">
      <c r="A3225" s="1303"/>
      <c r="B3225" s="1322" t="s">
        <v>8580</v>
      </c>
      <c r="C3225" s="1323" t="s">
        <v>8581</v>
      </c>
      <c r="D3225" s="1324">
        <f t="shared" si="330"/>
        <v>37182</v>
      </c>
      <c r="E3225" s="1323">
        <f t="shared" si="332"/>
        <v>9.2586999999999993</v>
      </c>
      <c r="F3225" s="1323">
        <f t="shared" si="331"/>
        <v>5.2881160305110182</v>
      </c>
      <c r="G3225" s="1323">
        <f t="shared" si="333"/>
        <v>2001</v>
      </c>
      <c r="H3225" s="1323">
        <f t="shared" si="334"/>
        <v>10</v>
      </c>
      <c r="I3225" s="1323">
        <f t="shared" si="335"/>
        <v>18</v>
      </c>
      <c r="J3225" s="1323"/>
      <c r="K3225" s="1323"/>
      <c r="L3225" s="1323"/>
      <c r="M3225" s="1323"/>
      <c r="N3225" s="1323"/>
      <c r="O3225" s="1323"/>
      <c r="P3225" s="1323"/>
      <c r="Q3225" s="1323"/>
      <c r="R3225" s="1304"/>
      <c r="S3225" s="1304"/>
      <c r="T3225" s="1304"/>
    </row>
    <row r="3226" spans="1:20">
      <c r="A3226" s="1303"/>
      <c r="B3226" s="1322" t="s">
        <v>8582</v>
      </c>
      <c r="C3226" s="1323" t="s">
        <v>8583</v>
      </c>
      <c r="D3226" s="1324">
        <f t="shared" si="330"/>
        <v>37181</v>
      </c>
      <c r="E3226" s="1323">
        <f t="shared" si="332"/>
        <v>9.2622999999999998</v>
      </c>
      <c r="F3226" s="1323">
        <f t="shared" si="331"/>
        <v>5.2871020657312888</v>
      </c>
      <c r="G3226" s="1323">
        <f t="shared" si="333"/>
        <v>2001</v>
      </c>
      <c r="H3226" s="1323">
        <f t="shared" si="334"/>
        <v>10</v>
      </c>
      <c r="I3226" s="1323">
        <f t="shared" si="335"/>
        <v>17</v>
      </c>
      <c r="J3226" s="1323"/>
      <c r="K3226" s="1323"/>
      <c r="L3226" s="1323"/>
      <c r="M3226" s="1323"/>
      <c r="N3226" s="1323"/>
      <c r="O3226" s="1323"/>
      <c r="P3226" s="1323"/>
      <c r="Q3226" s="1323"/>
      <c r="R3226" s="1304"/>
      <c r="S3226" s="1304"/>
      <c r="T3226" s="1304"/>
    </row>
    <row r="3227" spans="1:20">
      <c r="A3227" s="1303"/>
      <c r="B3227" s="1322" t="s">
        <v>8584</v>
      </c>
      <c r="C3227" s="1323" t="s">
        <v>8585</v>
      </c>
      <c r="D3227" s="1324">
        <f t="shared" si="330"/>
        <v>37180</v>
      </c>
      <c r="E3227" s="1323">
        <f t="shared" si="332"/>
        <v>9.0632000000000001</v>
      </c>
      <c r="F3227" s="1323">
        <f t="shared" si="331"/>
        <v>5.286088295373272</v>
      </c>
      <c r="G3227" s="1323">
        <f t="shared" si="333"/>
        <v>2001</v>
      </c>
      <c r="H3227" s="1323">
        <f t="shared" si="334"/>
        <v>10</v>
      </c>
      <c r="I3227" s="1323">
        <f t="shared" si="335"/>
        <v>16</v>
      </c>
      <c r="J3227" s="1323"/>
      <c r="K3227" s="1323"/>
      <c r="L3227" s="1323"/>
      <c r="M3227" s="1323"/>
      <c r="N3227" s="1323"/>
      <c r="O3227" s="1323"/>
      <c r="P3227" s="1323"/>
      <c r="Q3227" s="1323"/>
      <c r="R3227" s="1304"/>
      <c r="S3227" s="1304"/>
      <c r="T3227" s="1304"/>
    </row>
    <row r="3228" spans="1:20">
      <c r="A3228" s="1303"/>
      <c r="B3228" s="1322" t="s">
        <v>8586</v>
      </c>
      <c r="C3228" s="1323" t="s">
        <v>8587</v>
      </c>
      <c r="D3228" s="1324">
        <f t="shared" si="330"/>
        <v>37179</v>
      </c>
      <c r="E3228" s="1323">
        <f t="shared" si="332"/>
        <v>9.0124999999999993</v>
      </c>
      <c r="F3228" s="1323">
        <f t="shared" si="331"/>
        <v>5.2850747193996881</v>
      </c>
      <c r="G3228" s="1323">
        <f t="shared" si="333"/>
        <v>2001</v>
      </c>
      <c r="H3228" s="1323">
        <f t="shared" si="334"/>
        <v>10</v>
      </c>
      <c r="I3228" s="1323">
        <f t="shared" si="335"/>
        <v>15</v>
      </c>
      <c r="J3228" s="1323"/>
      <c r="K3228" s="1323"/>
      <c r="L3228" s="1323"/>
      <c r="M3228" s="1323"/>
      <c r="N3228" s="1323"/>
      <c r="O3228" s="1323"/>
      <c r="P3228" s="1323"/>
      <c r="Q3228" s="1323"/>
      <c r="R3228" s="1304"/>
      <c r="S3228" s="1304"/>
      <c r="T3228" s="1304"/>
    </row>
    <row r="3229" spans="1:20">
      <c r="A3229" s="1303"/>
      <c r="B3229" s="1322" t="s">
        <v>8588</v>
      </c>
      <c r="C3229" s="1323" t="s">
        <v>8589</v>
      </c>
      <c r="D3229" s="1324">
        <f t="shared" si="330"/>
        <v>37176</v>
      </c>
      <c r="E3229" s="1323">
        <f t="shared" si="332"/>
        <v>9.15</v>
      </c>
      <c r="F3229" s="1323">
        <f t="shared" si="331"/>
        <v>5.2840613377732657</v>
      </c>
      <c r="G3229" s="1323">
        <f t="shared" si="333"/>
        <v>2001</v>
      </c>
      <c r="H3229" s="1323">
        <f t="shared" si="334"/>
        <v>10</v>
      </c>
      <c r="I3229" s="1323">
        <f t="shared" si="335"/>
        <v>12</v>
      </c>
      <c r="J3229" s="1323"/>
      <c r="K3229" s="1323"/>
      <c r="L3229" s="1323"/>
      <c r="M3229" s="1323"/>
      <c r="N3229" s="1323"/>
      <c r="O3229" s="1323"/>
      <c r="P3229" s="1323"/>
      <c r="Q3229" s="1323"/>
      <c r="R3229" s="1304"/>
      <c r="S3229" s="1304"/>
      <c r="T3229" s="1304"/>
    </row>
    <row r="3230" spans="1:20">
      <c r="A3230" s="1303"/>
      <c r="B3230" s="1322" t="s">
        <v>8590</v>
      </c>
      <c r="C3230" s="1323" t="s">
        <v>8591</v>
      </c>
      <c r="D3230" s="1324">
        <f t="shared" si="330"/>
        <v>37175</v>
      </c>
      <c r="E3230" s="1323">
        <f t="shared" si="332"/>
        <v>9.1775000000000002</v>
      </c>
      <c r="F3230" s="1323">
        <f t="shared" si="331"/>
        <v>5.2830481504567395</v>
      </c>
      <c r="G3230" s="1323">
        <f t="shared" si="333"/>
        <v>2001</v>
      </c>
      <c r="H3230" s="1323">
        <f t="shared" si="334"/>
        <v>10</v>
      </c>
      <c r="I3230" s="1323">
        <f t="shared" si="335"/>
        <v>11</v>
      </c>
      <c r="J3230" s="1323"/>
      <c r="K3230" s="1323"/>
      <c r="L3230" s="1323"/>
      <c r="M3230" s="1323"/>
      <c r="N3230" s="1323"/>
      <c r="O3230" s="1323"/>
      <c r="P3230" s="1323"/>
      <c r="Q3230" s="1323"/>
      <c r="R3230" s="1304"/>
      <c r="S3230" s="1304"/>
      <c r="T3230" s="1304"/>
    </row>
    <row r="3231" spans="1:20">
      <c r="A3231" s="1303"/>
      <c r="B3231" s="1322" t="s">
        <v>8592</v>
      </c>
      <c r="C3231" s="1323" t="s">
        <v>8593</v>
      </c>
      <c r="D3231" s="1324">
        <f t="shared" si="330"/>
        <v>37174</v>
      </c>
      <c r="E3231" s="1323">
        <f t="shared" si="332"/>
        <v>9.3024000000000004</v>
      </c>
      <c r="F3231" s="1323">
        <f t="shared" si="331"/>
        <v>5.2820351574128521</v>
      </c>
      <c r="G3231" s="1323">
        <f t="shared" si="333"/>
        <v>2001</v>
      </c>
      <c r="H3231" s="1323">
        <f t="shared" si="334"/>
        <v>10</v>
      </c>
      <c r="I3231" s="1323">
        <f t="shared" si="335"/>
        <v>10</v>
      </c>
      <c r="J3231" s="1323"/>
      <c r="K3231" s="1323"/>
      <c r="L3231" s="1323"/>
      <c r="M3231" s="1323"/>
      <c r="N3231" s="1323"/>
      <c r="O3231" s="1323"/>
      <c r="P3231" s="1323"/>
      <c r="Q3231" s="1323"/>
      <c r="R3231" s="1304"/>
      <c r="S3231" s="1304"/>
      <c r="T3231" s="1304"/>
    </row>
    <row r="3232" spans="1:20">
      <c r="A3232" s="1303"/>
      <c r="B3232" s="1322" t="s">
        <v>8594</v>
      </c>
      <c r="C3232" s="1323" t="s">
        <v>8595</v>
      </c>
      <c r="D3232" s="1324">
        <f t="shared" si="330"/>
        <v>37173</v>
      </c>
      <c r="E3232" s="1323">
        <f t="shared" si="332"/>
        <v>9.2910000000000004</v>
      </c>
      <c r="F3232" s="1323">
        <f t="shared" si="331"/>
        <v>5.2810223586043525</v>
      </c>
      <c r="G3232" s="1323">
        <f t="shared" si="333"/>
        <v>2001</v>
      </c>
      <c r="H3232" s="1323">
        <f t="shared" si="334"/>
        <v>10</v>
      </c>
      <c r="I3232" s="1323">
        <f t="shared" si="335"/>
        <v>9</v>
      </c>
      <c r="J3232" s="1323"/>
      <c r="K3232" s="1323"/>
      <c r="L3232" s="1323"/>
      <c r="M3232" s="1323"/>
      <c r="N3232" s="1323"/>
      <c r="O3232" s="1323"/>
      <c r="P3232" s="1323"/>
      <c r="Q3232" s="1323"/>
      <c r="R3232" s="1304"/>
      <c r="S3232" s="1304"/>
      <c r="T3232" s="1304"/>
    </row>
    <row r="3233" spans="1:20">
      <c r="A3233" s="1303"/>
      <c r="B3233" s="1322" t="s">
        <v>8596</v>
      </c>
      <c r="C3233" s="1323" t="s">
        <v>8597</v>
      </c>
      <c r="D3233" s="1324">
        <f t="shared" si="330"/>
        <v>37172</v>
      </c>
      <c r="E3233" s="1323">
        <f t="shared" si="332"/>
        <v>9.3394999999999992</v>
      </c>
      <c r="F3233" s="1323">
        <f t="shared" si="331"/>
        <v>5.2800097539939976</v>
      </c>
      <c r="G3233" s="1323">
        <f t="shared" si="333"/>
        <v>2001</v>
      </c>
      <c r="H3233" s="1323">
        <f t="shared" si="334"/>
        <v>10</v>
      </c>
      <c r="I3233" s="1323">
        <f t="shared" si="335"/>
        <v>8</v>
      </c>
      <c r="J3233" s="1323"/>
      <c r="K3233" s="1323"/>
      <c r="L3233" s="1323"/>
      <c r="M3233" s="1323"/>
      <c r="N3233" s="1323"/>
      <c r="O3233" s="1323"/>
      <c r="P3233" s="1323"/>
      <c r="Q3233" s="1323"/>
      <c r="R3233" s="1304"/>
      <c r="S3233" s="1304"/>
      <c r="T3233" s="1304"/>
    </row>
    <row r="3234" spans="1:20">
      <c r="A3234" s="1303"/>
      <c r="B3234" s="1322" t="s">
        <v>8598</v>
      </c>
      <c r="C3234" s="1323" t="s">
        <v>8599</v>
      </c>
      <c r="D3234" s="1324">
        <f t="shared" si="330"/>
        <v>37169</v>
      </c>
      <c r="E3234" s="1323">
        <f t="shared" si="332"/>
        <v>9.2593999999999994</v>
      </c>
      <c r="F3234" s="1323">
        <f t="shared" si="331"/>
        <v>5.2789973435445505</v>
      </c>
      <c r="G3234" s="1323">
        <f t="shared" si="333"/>
        <v>2001</v>
      </c>
      <c r="H3234" s="1323">
        <f t="shared" si="334"/>
        <v>10</v>
      </c>
      <c r="I3234" s="1323">
        <f t="shared" si="335"/>
        <v>5</v>
      </c>
      <c r="J3234" s="1323"/>
      <c r="K3234" s="1323"/>
      <c r="L3234" s="1323"/>
      <c r="M3234" s="1323"/>
      <c r="N3234" s="1323"/>
      <c r="O3234" s="1323"/>
      <c r="P3234" s="1323"/>
      <c r="Q3234" s="1323"/>
      <c r="R3234" s="1304"/>
      <c r="S3234" s="1304"/>
      <c r="T3234" s="1304"/>
    </row>
    <row r="3235" spans="1:20">
      <c r="A3235" s="1303"/>
      <c r="B3235" s="1322" t="s">
        <v>8600</v>
      </c>
      <c r="C3235" s="1323" t="s">
        <v>8601</v>
      </c>
      <c r="D3235" s="1324">
        <f t="shared" si="330"/>
        <v>37168</v>
      </c>
      <c r="E3235" s="1323">
        <f t="shared" si="332"/>
        <v>9.2838999999999992</v>
      </c>
      <c r="F3235" s="1323">
        <f t="shared" si="331"/>
        <v>5.2779851272187823</v>
      </c>
      <c r="G3235" s="1323">
        <f t="shared" si="333"/>
        <v>2001</v>
      </c>
      <c r="H3235" s="1323">
        <f t="shared" si="334"/>
        <v>10</v>
      </c>
      <c r="I3235" s="1323">
        <f t="shared" si="335"/>
        <v>4</v>
      </c>
      <c r="J3235" s="1323"/>
      <c r="K3235" s="1323"/>
      <c r="L3235" s="1323"/>
      <c r="M3235" s="1323"/>
      <c r="N3235" s="1323"/>
      <c r="O3235" s="1323"/>
      <c r="P3235" s="1323"/>
      <c r="Q3235" s="1323"/>
      <c r="R3235" s="1304"/>
      <c r="S3235" s="1304"/>
      <c r="T3235" s="1304"/>
    </row>
    <row r="3236" spans="1:20">
      <c r="A3236" s="1303"/>
      <c r="B3236" s="1322" t="s">
        <v>8602</v>
      </c>
      <c r="C3236" s="1323" t="s">
        <v>8603</v>
      </c>
      <c r="D3236" s="1324">
        <f t="shared" si="330"/>
        <v>37167</v>
      </c>
      <c r="E3236" s="1323">
        <f t="shared" si="332"/>
        <v>9.2454999999999998</v>
      </c>
      <c r="F3236" s="1323">
        <f t="shared" si="331"/>
        <v>5.2769731049794713</v>
      </c>
      <c r="G3236" s="1323">
        <f t="shared" si="333"/>
        <v>2001</v>
      </c>
      <c r="H3236" s="1323">
        <f t="shared" si="334"/>
        <v>10</v>
      </c>
      <c r="I3236" s="1323">
        <f t="shared" si="335"/>
        <v>3</v>
      </c>
      <c r="J3236" s="1323"/>
      <c r="K3236" s="1323"/>
      <c r="L3236" s="1323"/>
      <c r="M3236" s="1323"/>
      <c r="N3236" s="1323"/>
      <c r="O3236" s="1323"/>
      <c r="P3236" s="1323"/>
      <c r="Q3236" s="1323"/>
      <c r="R3236" s="1304"/>
      <c r="S3236" s="1304"/>
      <c r="T3236" s="1304"/>
    </row>
    <row r="3237" spans="1:20">
      <c r="A3237" s="1303"/>
      <c r="B3237" s="1322" t="s">
        <v>8604</v>
      </c>
      <c r="C3237" s="1323" t="s">
        <v>8605</v>
      </c>
      <c r="D3237" s="1324">
        <f t="shared" si="330"/>
        <v>37166</v>
      </c>
      <c r="E3237" s="1323">
        <f t="shared" si="332"/>
        <v>9.1228999999999996</v>
      </c>
      <c r="F3237" s="1323">
        <f t="shared" si="331"/>
        <v>5.2759612767894017</v>
      </c>
      <c r="G3237" s="1323">
        <f t="shared" si="333"/>
        <v>2001</v>
      </c>
      <c r="H3237" s="1323">
        <f t="shared" si="334"/>
        <v>10</v>
      </c>
      <c r="I3237" s="1323">
        <f t="shared" si="335"/>
        <v>2</v>
      </c>
      <c r="J3237" s="1323"/>
      <c r="K3237" s="1323"/>
      <c r="L3237" s="1323"/>
      <c r="M3237" s="1323"/>
      <c r="N3237" s="1323"/>
      <c r="O3237" s="1323"/>
      <c r="P3237" s="1323"/>
      <c r="Q3237" s="1323"/>
      <c r="R3237" s="1304"/>
      <c r="S3237" s="1304"/>
      <c r="T3237" s="1304"/>
    </row>
    <row r="3238" spans="1:20">
      <c r="A3238" s="1303"/>
      <c r="B3238" s="1322" t="s">
        <v>8606</v>
      </c>
      <c r="C3238" s="1323" t="s">
        <v>8607</v>
      </c>
      <c r="D3238" s="1324">
        <f t="shared" si="330"/>
        <v>37165</v>
      </c>
      <c r="E3238" s="1323">
        <f t="shared" si="332"/>
        <v>9.0395000000000003</v>
      </c>
      <c r="F3238" s="1323">
        <f t="shared" si="331"/>
        <v>5.2749496426113662</v>
      </c>
      <c r="G3238" s="1323">
        <f t="shared" si="333"/>
        <v>2001</v>
      </c>
      <c r="H3238" s="1323">
        <f t="shared" si="334"/>
        <v>10</v>
      </c>
      <c r="I3238" s="1323">
        <f t="shared" si="335"/>
        <v>1</v>
      </c>
      <c r="J3238" s="1323"/>
      <c r="K3238" s="1323"/>
      <c r="L3238" s="1323"/>
      <c r="M3238" s="1323"/>
      <c r="N3238" s="1323"/>
      <c r="O3238" s="1323"/>
      <c r="P3238" s="1323"/>
      <c r="Q3238" s="1323"/>
      <c r="R3238" s="1304"/>
      <c r="S3238" s="1304"/>
      <c r="T3238" s="1304"/>
    </row>
    <row r="3239" spans="1:20">
      <c r="A3239" s="1303"/>
      <c r="B3239" s="1322" t="s">
        <v>8608</v>
      </c>
      <c r="C3239" s="1323" t="s">
        <v>8609</v>
      </c>
      <c r="D3239" s="1324">
        <f t="shared" si="330"/>
        <v>37162</v>
      </c>
      <c r="E3239" s="1323">
        <f t="shared" si="332"/>
        <v>8.9425000000000008</v>
      </c>
      <c r="F3239" s="1323">
        <f t="shared" si="331"/>
        <v>5.2739382024081642</v>
      </c>
      <c r="G3239" s="1323">
        <f t="shared" si="333"/>
        <v>2001</v>
      </c>
      <c r="H3239" s="1323">
        <f t="shared" si="334"/>
        <v>9</v>
      </c>
      <c r="I3239" s="1323">
        <f t="shared" si="335"/>
        <v>28</v>
      </c>
      <c r="J3239" s="1323"/>
      <c r="K3239" s="1323"/>
      <c r="L3239" s="1323"/>
      <c r="M3239" s="1323"/>
      <c r="N3239" s="1323"/>
      <c r="O3239" s="1323"/>
      <c r="P3239" s="1323"/>
      <c r="Q3239" s="1323"/>
      <c r="R3239" s="1304"/>
      <c r="S3239" s="1304"/>
      <c r="T3239" s="1304"/>
    </row>
    <row r="3240" spans="1:20">
      <c r="A3240" s="1303"/>
      <c r="B3240" s="1322" t="s">
        <v>8610</v>
      </c>
      <c r="C3240" s="1323" t="s">
        <v>8611</v>
      </c>
      <c r="D3240" s="1324">
        <f t="shared" si="330"/>
        <v>37161</v>
      </c>
      <c r="E3240" s="1323">
        <f t="shared" si="332"/>
        <v>8.9749999999999996</v>
      </c>
      <c r="F3240" s="1323">
        <f t="shared" si="331"/>
        <v>5.2729269561426024</v>
      </c>
      <c r="G3240" s="1323">
        <f t="shared" si="333"/>
        <v>2001</v>
      </c>
      <c r="H3240" s="1323">
        <f t="shared" si="334"/>
        <v>9</v>
      </c>
      <c r="I3240" s="1323">
        <f t="shared" si="335"/>
        <v>27</v>
      </c>
      <c r="J3240" s="1323"/>
      <c r="K3240" s="1323"/>
      <c r="L3240" s="1323"/>
      <c r="M3240" s="1323"/>
      <c r="N3240" s="1323"/>
      <c r="O3240" s="1323"/>
      <c r="P3240" s="1323"/>
      <c r="Q3240" s="1323"/>
      <c r="R3240" s="1304"/>
      <c r="S3240" s="1304"/>
      <c r="T3240" s="1304"/>
    </row>
    <row r="3241" spans="1:20">
      <c r="A3241" s="1303"/>
      <c r="B3241" s="1322" t="s">
        <v>8612</v>
      </c>
      <c r="C3241" s="1323" t="s">
        <v>8613</v>
      </c>
      <c r="D3241" s="1324">
        <f t="shared" si="330"/>
        <v>37160</v>
      </c>
      <c r="E3241" s="1323">
        <f t="shared" si="332"/>
        <v>8.8107000000000006</v>
      </c>
      <c r="F3241" s="1323">
        <f t="shared" si="331"/>
        <v>5.2719159037774945</v>
      </c>
      <c r="G3241" s="1323">
        <f t="shared" si="333"/>
        <v>2001</v>
      </c>
      <c r="H3241" s="1323">
        <f t="shared" si="334"/>
        <v>9</v>
      </c>
      <c r="I3241" s="1323">
        <f t="shared" si="335"/>
        <v>26</v>
      </c>
      <c r="J3241" s="1323"/>
      <c r="K3241" s="1323"/>
      <c r="L3241" s="1323"/>
      <c r="M3241" s="1323"/>
      <c r="N3241" s="1323"/>
      <c r="O3241" s="1323"/>
      <c r="P3241" s="1323"/>
      <c r="Q3241" s="1323"/>
      <c r="R3241" s="1304"/>
      <c r="S3241" s="1304"/>
      <c r="T3241" s="1304"/>
    </row>
    <row r="3242" spans="1:20">
      <c r="A3242" s="1303"/>
      <c r="B3242" s="1322" t="s">
        <v>8614</v>
      </c>
      <c r="C3242" s="1323" t="s">
        <v>8615</v>
      </c>
      <c r="D3242" s="1324">
        <f t="shared" si="330"/>
        <v>37159</v>
      </c>
      <c r="E3242" s="1323">
        <f t="shared" si="332"/>
        <v>8.7528000000000006</v>
      </c>
      <c r="F3242" s="1323">
        <f t="shared" si="331"/>
        <v>5.2709050452756605</v>
      </c>
      <c r="G3242" s="1323">
        <f t="shared" si="333"/>
        <v>2001</v>
      </c>
      <c r="H3242" s="1323">
        <f t="shared" si="334"/>
        <v>9</v>
      </c>
      <c r="I3242" s="1323">
        <f t="shared" si="335"/>
        <v>25</v>
      </c>
      <c r="J3242" s="1323"/>
      <c r="K3242" s="1323"/>
      <c r="L3242" s="1323"/>
      <c r="M3242" s="1323"/>
      <c r="N3242" s="1323"/>
      <c r="O3242" s="1323"/>
      <c r="P3242" s="1323"/>
      <c r="Q3242" s="1323"/>
      <c r="R3242" s="1304"/>
      <c r="S3242" s="1304"/>
      <c r="T3242" s="1304"/>
    </row>
    <row r="3243" spans="1:20">
      <c r="A3243" s="1303"/>
      <c r="B3243" s="1322" t="s">
        <v>8616</v>
      </c>
      <c r="C3243" s="1323" t="s">
        <v>8617</v>
      </c>
      <c r="D3243" s="1324">
        <f t="shared" si="330"/>
        <v>37155</v>
      </c>
      <c r="E3243" s="1323">
        <f t="shared" si="332"/>
        <v>8.7309999999999999</v>
      </c>
      <c r="F3243" s="1323">
        <f t="shared" si="331"/>
        <v>5.2698943805999292</v>
      </c>
      <c r="G3243" s="1323">
        <f t="shared" si="333"/>
        <v>2001</v>
      </c>
      <c r="H3243" s="1323">
        <f t="shared" si="334"/>
        <v>9</v>
      </c>
      <c r="I3243" s="1323">
        <f t="shared" si="335"/>
        <v>21</v>
      </c>
      <c r="J3243" s="1323"/>
      <c r="K3243" s="1323"/>
      <c r="L3243" s="1323"/>
      <c r="M3243" s="1323"/>
      <c r="N3243" s="1323"/>
      <c r="O3243" s="1323"/>
      <c r="P3243" s="1323"/>
      <c r="Q3243" s="1323"/>
      <c r="R3243" s="1304"/>
      <c r="S3243" s="1304"/>
      <c r="T3243" s="1304"/>
    </row>
    <row r="3244" spans="1:20">
      <c r="A3244" s="1303"/>
      <c r="B3244" s="1322" t="s">
        <v>8618</v>
      </c>
      <c r="C3244" s="1323" t="s">
        <v>8619</v>
      </c>
      <c r="D3244" s="1324">
        <f t="shared" si="330"/>
        <v>37154</v>
      </c>
      <c r="E3244" s="1323">
        <f t="shared" si="332"/>
        <v>8.6549999999999994</v>
      </c>
      <c r="F3244" s="1323">
        <f t="shared" si="331"/>
        <v>5.2688839097131348</v>
      </c>
      <c r="G3244" s="1323">
        <f t="shared" si="333"/>
        <v>2001</v>
      </c>
      <c r="H3244" s="1323">
        <f t="shared" si="334"/>
        <v>9</v>
      </c>
      <c r="I3244" s="1323">
        <f t="shared" si="335"/>
        <v>20</v>
      </c>
      <c r="J3244" s="1323"/>
      <c r="K3244" s="1323"/>
      <c r="L3244" s="1323"/>
      <c r="M3244" s="1323"/>
      <c r="N3244" s="1323"/>
      <c r="O3244" s="1323"/>
      <c r="P3244" s="1323"/>
      <c r="Q3244" s="1323"/>
      <c r="R3244" s="1304"/>
      <c r="S3244" s="1304"/>
      <c r="T3244" s="1304"/>
    </row>
    <row r="3245" spans="1:20">
      <c r="A3245" s="1303"/>
      <c r="B3245" s="1322" t="s">
        <v>8620</v>
      </c>
      <c r="C3245" s="1323" t="s">
        <v>8621</v>
      </c>
      <c r="D3245" s="1324">
        <f t="shared" si="330"/>
        <v>37153</v>
      </c>
      <c r="E3245" s="1323">
        <f t="shared" si="332"/>
        <v>8.6517999999999997</v>
      </c>
      <c r="F3245" s="1323">
        <f t="shared" si="331"/>
        <v>5.2678736325781195</v>
      </c>
      <c r="G3245" s="1323">
        <f t="shared" si="333"/>
        <v>2001</v>
      </c>
      <c r="H3245" s="1323">
        <f t="shared" si="334"/>
        <v>9</v>
      </c>
      <c r="I3245" s="1323">
        <f t="shared" si="335"/>
        <v>19</v>
      </c>
      <c r="J3245" s="1323"/>
      <c r="K3245" s="1323"/>
      <c r="L3245" s="1323"/>
      <c r="M3245" s="1323"/>
      <c r="N3245" s="1323"/>
      <c r="O3245" s="1323"/>
      <c r="P3245" s="1323"/>
      <c r="Q3245" s="1323"/>
      <c r="R3245" s="1304"/>
      <c r="S3245" s="1304"/>
      <c r="T3245" s="1304"/>
    </row>
    <row r="3246" spans="1:20">
      <c r="A3246" s="1303"/>
      <c r="B3246" s="1322" t="s">
        <v>8622</v>
      </c>
      <c r="C3246" s="1323" t="s">
        <v>8623</v>
      </c>
      <c r="D3246" s="1324">
        <f t="shared" si="330"/>
        <v>37152</v>
      </c>
      <c r="E3246" s="1323">
        <f t="shared" si="332"/>
        <v>8.6593999999999998</v>
      </c>
      <c r="F3246" s="1323">
        <f t="shared" si="331"/>
        <v>5.2668635491577325</v>
      </c>
      <c r="G3246" s="1323">
        <f t="shared" si="333"/>
        <v>2001</v>
      </c>
      <c r="H3246" s="1323">
        <f t="shared" si="334"/>
        <v>9</v>
      </c>
      <c r="I3246" s="1323">
        <f t="shared" si="335"/>
        <v>18</v>
      </c>
      <c r="J3246" s="1323"/>
      <c r="K3246" s="1323"/>
      <c r="L3246" s="1323"/>
      <c r="M3246" s="1323"/>
      <c r="N3246" s="1323"/>
      <c r="O3246" s="1323"/>
      <c r="P3246" s="1323"/>
      <c r="Q3246" s="1323"/>
      <c r="R3246" s="1304"/>
      <c r="S3246" s="1304"/>
      <c r="T3246" s="1304"/>
    </row>
    <row r="3247" spans="1:20">
      <c r="A3247" s="1303"/>
      <c r="B3247" s="1322" t="s">
        <v>8624</v>
      </c>
      <c r="C3247" s="1323" t="s">
        <v>8625</v>
      </c>
      <c r="D3247" s="1324">
        <f t="shared" si="330"/>
        <v>37151</v>
      </c>
      <c r="E3247" s="1323">
        <f t="shared" si="332"/>
        <v>8.6102000000000007</v>
      </c>
      <c r="F3247" s="1323">
        <f t="shared" si="331"/>
        <v>5.2658536594148311</v>
      </c>
      <c r="G3247" s="1323">
        <f t="shared" si="333"/>
        <v>2001</v>
      </c>
      <c r="H3247" s="1323">
        <f t="shared" si="334"/>
        <v>9</v>
      </c>
      <c r="I3247" s="1323">
        <f t="shared" si="335"/>
        <v>17</v>
      </c>
      <c r="J3247" s="1323"/>
      <c r="K3247" s="1323"/>
      <c r="L3247" s="1323"/>
      <c r="M3247" s="1323"/>
      <c r="N3247" s="1323"/>
      <c r="O3247" s="1323"/>
      <c r="P3247" s="1323"/>
      <c r="Q3247" s="1323"/>
      <c r="R3247" s="1304"/>
      <c r="S3247" s="1304"/>
      <c r="T3247" s="1304"/>
    </row>
    <row r="3248" spans="1:20">
      <c r="A3248" s="1303"/>
      <c r="B3248" s="1322" t="s">
        <v>8626</v>
      </c>
      <c r="C3248" s="1323" t="s">
        <v>8627</v>
      </c>
      <c r="D3248" s="1324">
        <f t="shared" si="330"/>
        <v>37148</v>
      </c>
      <c r="E3248" s="1323">
        <f t="shared" si="332"/>
        <v>8.6220999999999997</v>
      </c>
      <c r="F3248" s="1323">
        <f t="shared" si="331"/>
        <v>5.2648439633122779</v>
      </c>
      <c r="G3248" s="1323">
        <f t="shared" si="333"/>
        <v>2001</v>
      </c>
      <c r="H3248" s="1323">
        <f t="shared" si="334"/>
        <v>9</v>
      </c>
      <c r="I3248" s="1323">
        <f t="shared" si="335"/>
        <v>14</v>
      </c>
      <c r="J3248" s="1323"/>
      <c r="K3248" s="1323"/>
      <c r="L3248" s="1323"/>
      <c r="M3248" s="1323"/>
      <c r="N3248" s="1323"/>
      <c r="O3248" s="1323"/>
      <c r="P3248" s="1323"/>
      <c r="Q3248" s="1323"/>
      <c r="R3248" s="1304"/>
      <c r="S3248" s="1304"/>
      <c r="T3248" s="1304"/>
    </row>
    <row r="3249" spans="1:20">
      <c r="A3249" s="1303"/>
      <c r="B3249" s="1322" t="s">
        <v>8628</v>
      </c>
      <c r="C3249" s="1323" t="s">
        <v>8629</v>
      </c>
      <c r="D3249" s="1324">
        <f t="shared" si="330"/>
        <v>37147</v>
      </c>
      <c r="E3249" s="1323">
        <f t="shared" si="332"/>
        <v>8.6323000000000008</v>
      </c>
      <c r="F3249" s="1323">
        <f t="shared" si="331"/>
        <v>5.2638344608129435</v>
      </c>
      <c r="G3249" s="1323">
        <f t="shared" si="333"/>
        <v>2001</v>
      </c>
      <c r="H3249" s="1323">
        <f t="shared" si="334"/>
        <v>9</v>
      </c>
      <c r="I3249" s="1323">
        <f t="shared" si="335"/>
        <v>13</v>
      </c>
      <c r="J3249" s="1323"/>
      <c r="K3249" s="1323"/>
      <c r="L3249" s="1323"/>
      <c r="M3249" s="1323"/>
      <c r="N3249" s="1323"/>
      <c r="O3249" s="1323"/>
      <c r="P3249" s="1323"/>
      <c r="Q3249" s="1323"/>
      <c r="R3249" s="1304"/>
      <c r="S3249" s="1304"/>
      <c r="T3249" s="1304"/>
    </row>
    <row r="3250" spans="1:20">
      <c r="A3250" s="1303"/>
      <c r="B3250" s="1322" t="s">
        <v>8630</v>
      </c>
      <c r="C3250" s="1323" t="s">
        <v>8631</v>
      </c>
      <c r="D3250" s="1324">
        <f t="shared" si="330"/>
        <v>37146</v>
      </c>
      <c r="E3250" s="1323">
        <f t="shared" si="332"/>
        <v>8.5797000000000008</v>
      </c>
      <c r="F3250" s="1323">
        <f t="shared" si="331"/>
        <v>5.2628251518797065</v>
      </c>
      <c r="G3250" s="1323">
        <f t="shared" si="333"/>
        <v>2001</v>
      </c>
      <c r="H3250" s="1323">
        <f t="shared" si="334"/>
        <v>9</v>
      </c>
      <c r="I3250" s="1323">
        <f t="shared" si="335"/>
        <v>12</v>
      </c>
      <c r="J3250" s="1323"/>
      <c r="K3250" s="1323"/>
      <c r="L3250" s="1323"/>
      <c r="M3250" s="1323"/>
      <c r="N3250" s="1323"/>
      <c r="O3250" s="1323"/>
      <c r="P3250" s="1323"/>
      <c r="Q3250" s="1323"/>
      <c r="R3250" s="1304"/>
      <c r="S3250" s="1304"/>
      <c r="T3250" s="1304"/>
    </row>
    <row r="3251" spans="1:20">
      <c r="A3251" s="1303"/>
      <c r="B3251" s="1322" t="s">
        <v>8632</v>
      </c>
      <c r="C3251" s="1323" t="s">
        <v>8633</v>
      </c>
      <c r="D3251" s="1324">
        <f t="shared" si="330"/>
        <v>37145</v>
      </c>
      <c r="E3251" s="1323">
        <f t="shared" si="332"/>
        <v>8.5396999999999998</v>
      </c>
      <c r="F3251" s="1323">
        <f t="shared" si="331"/>
        <v>5.2618160364754507</v>
      </c>
      <c r="G3251" s="1323">
        <f t="shared" si="333"/>
        <v>2001</v>
      </c>
      <c r="H3251" s="1323">
        <f t="shared" si="334"/>
        <v>9</v>
      </c>
      <c r="I3251" s="1323">
        <f t="shared" si="335"/>
        <v>11</v>
      </c>
      <c r="J3251" s="1323"/>
      <c r="K3251" s="1323"/>
      <c r="L3251" s="1323"/>
      <c r="M3251" s="1323"/>
      <c r="N3251" s="1323"/>
      <c r="O3251" s="1323"/>
      <c r="P3251" s="1323"/>
      <c r="Q3251" s="1323"/>
      <c r="R3251" s="1304"/>
      <c r="S3251" s="1304"/>
      <c r="T3251" s="1304"/>
    </row>
    <row r="3252" spans="1:20">
      <c r="A3252" s="1303"/>
      <c r="B3252" s="1322" t="s">
        <v>8634</v>
      </c>
      <c r="C3252" s="1323" t="s">
        <v>8635</v>
      </c>
      <c r="D3252" s="1324">
        <f t="shared" si="330"/>
        <v>37144</v>
      </c>
      <c r="E3252" s="1323">
        <f t="shared" si="332"/>
        <v>8.4709000000000003</v>
      </c>
      <c r="F3252" s="1323">
        <f t="shared" si="331"/>
        <v>5.2608071145630682</v>
      </c>
      <c r="G3252" s="1323">
        <f t="shared" si="333"/>
        <v>2001</v>
      </c>
      <c r="H3252" s="1323">
        <f t="shared" si="334"/>
        <v>9</v>
      </c>
      <c r="I3252" s="1323">
        <f t="shared" si="335"/>
        <v>10</v>
      </c>
      <c r="J3252" s="1323"/>
      <c r="K3252" s="1323"/>
      <c r="L3252" s="1323"/>
      <c r="M3252" s="1323"/>
      <c r="N3252" s="1323"/>
      <c r="O3252" s="1323"/>
      <c r="P3252" s="1323"/>
      <c r="Q3252" s="1323"/>
      <c r="R3252" s="1304"/>
      <c r="S3252" s="1304"/>
      <c r="T3252" s="1304"/>
    </row>
    <row r="3253" spans="1:20">
      <c r="A3253" s="1303"/>
      <c r="B3253" s="1322" t="s">
        <v>8636</v>
      </c>
      <c r="C3253" s="1323" t="s">
        <v>8637</v>
      </c>
      <c r="D3253" s="1324">
        <f t="shared" si="330"/>
        <v>37141</v>
      </c>
      <c r="E3253" s="1323">
        <f t="shared" si="332"/>
        <v>8.4655000000000005</v>
      </c>
      <c r="F3253" s="1323">
        <f t="shared" si="331"/>
        <v>5.2597983861054587</v>
      </c>
      <c r="G3253" s="1323">
        <f t="shared" si="333"/>
        <v>2001</v>
      </c>
      <c r="H3253" s="1323">
        <f t="shared" si="334"/>
        <v>9</v>
      </c>
      <c r="I3253" s="1323">
        <f t="shared" si="335"/>
        <v>7</v>
      </c>
      <c r="J3253" s="1323"/>
      <c r="K3253" s="1323"/>
      <c r="L3253" s="1323"/>
      <c r="M3253" s="1323"/>
      <c r="N3253" s="1323"/>
      <c r="O3253" s="1323"/>
      <c r="P3253" s="1323"/>
      <c r="Q3253" s="1323"/>
      <c r="R3253" s="1304"/>
      <c r="S3253" s="1304"/>
      <c r="T3253" s="1304"/>
    </row>
    <row r="3254" spans="1:20">
      <c r="A3254" s="1303"/>
      <c r="B3254" s="1322" t="s">
        <v>8638</v>
      </c>
      <c r="C3254" s="1323" t="s">
        <v>8639</v>
      </c>
      <c r="D3254" s="1324">
        <f t="shared" si="330"/>
        <v>37140</v>
      </c>
      <c r="E3254" s="1323">
        <f t="shared" si="332"/>
        <v>8.4745000000000008</v>
      </c>
      <c r="F3254" s="1323">
        <f t="shared" si="331"/>
        <v>5.2587898510655284</v>
      </c>
      <c r="G3254" s="1323">
        <f t="shared" si="333"/>
        <v>2001</v>
      </c>
      <c r="H3254" s="1323">
        <f t="shared" si="334"/>
        <v>9</v>
      </c>
      <c r="I3254" s="1323">
        <f t="shared" si="335"/>
        <v>6</v>
      </c>
      <c r="J3254" s="1323"/>
      <c r="K3254" s="1323"/>
      <c r="L3254" s="1323"/>
      <c r="M3254" s="1323"/>
      <c r="N3254" s="1323"/>
      <c r="O3254" s="1323"/>
      <c r="P3254" s="1323"/>
      <c r="Q3254" s="1323"/>
      <c r="R3254" s="1304"/>
      <c r="S3254" s="1304"/>
      <c r="T3254" s="1304"/>
    </row>
    <row r="3255" spans="1:20">
      <c r="A3255" s="1303"/>
      <c r="B3255" s="1322" t="s">
        <v>8640</v>
      </c>
      <c r="C3255" s="1323" t="s">
        <v>8641</v>
      </c>
      <c r="D3255" s="1324">
        <f t="shared" si="330"/>
        <v>37139</v>
      </c>
      <c r="E3255" s="1323">
        <f t="shared" si="332"/>
        <v>8.4822000000000006</v>
      </c>
      <c r="F3255" s="1323">
        <f t="shared" si="331"/>
        <v>5.2577815094061897</v>
      </c>
      <c r="G3255" s="1323">
        <f t="shared" si="333"/>
        <v>2001</v>
      </c>
      <c r="H3255" s="1323">
        <f t="shared" si="334"/>
        <v>9</v>
      </c>
      <c r="I3255" s="1323">
        <f t="shared" si="335"/>
        <v>5</v>
      </c>
      <c r="J3255" s="1323"/>
      <c r="K3255" s="1323"/>
      <c r="L3255" s="1323"/>
      <c r="M3255" s="1323"/>
      <c r="N3255" s="1323"/>
      <c r="O3255" s="1323"/>
      <c r="P3255" s="1323"/>
      <c r="Q3255" s="1323"/>
      <c r="R3255" s="1304"/>
      <c r="S3255" s="1304"/>
      <c r="T3255" s="1304"/>
    </row>
    <row r="3256" spans="1:20">
      <c r="A3256" s="1303"/>
      <c r="B3256" s="1322" t="s">
        <v>8642</v>
      </c>
      <c r="C3256" s="1323" t="s">
        <v>3121</v>
      </c>
      <c r="D3256" s="1324">
        <f t="shared" si="330"/>
        <v>37138</v>
      </c>
      <c r="E3256" s="1323">
        <f t="shared" si="332"/>
        <v>8.4712999999999994</v>
      </c>
      <c r="F3256" s="1323">
        <f t="shared" si="331"/>
        <v>5.2567733610903637</v>
      </c>
      <c r="G3256" s="1323">
        <f t="shared" si="333"/>
        <v>2001</v>
      </c>
      <c r="H3256" s="1323">
        <f t="shared" si="334"/>
        <v>9</v>
      </c>
      <c r="I3256" s="1323">
        <f t="shared" si="335"/>
        <v>4</v>
      </c>
      <c r="J3256" s="1323"/>
      <c r="K3256" s="1323"/>
      <c r="L3256" s="1323"/>
      <c r="M3256" s="1323"/>
      <c r="N3256" s="1323"/>
      <c r="O3256" s="1323"/>
      <c r="P3256" s="1323"/>
      <c r="Q3256" s="1323"/>
      <c r="R3256" s="1304"/>
      <c r="S3256" s="1304"/>
      <c r="T3256" s="1304"/>
    </row>
    <row r="3257" spans="1:20">
      <c r="A3257" s="1303"/>
      <c r="B3257" s="1322" t="s">
        <v>8643</v>
      </c>
      <c r="C3257" s="1323" t="s">
        <v>8644</v>
      </c>
      <c r="D3257" s="1324">
        <f t="shared" si="330"/>
        <v>37137</v>
      </c>
      <c r="E3257" s="1323">
        <f t="shared" si="332"/>
        <v>8.4410000000000007</v>
      </c>
      <c r="F3257" s="1323">
        <f t="shared" si="331"/>
        <v>5.255765406080978</v>
      </c>
      <c r="G3257" s="1323">
        <f t="shared" si="333"/>
        <v>2001</v>
      </c>
      <c r="H3257" s="1323">
        <f t="shared" si="334"/>
        <v>9</v>
      </c>
      <c r="I3257" s="1323">
        <f t="shared" si="335"/>
        <v>3</v>
      </c>
      <c r="J3257" s="1323"/>
      <c r="K3257" s="1323"/>
      <c r="L3257" s="1323"/>
      <c r="M3257" s="1323"/>
      <c r="N3257" s="1323"/>
      <c r="O3257" s="1323"/>
      <c r="P3257" s="1323"/>
      <c r="Q3257" s="1323"/>
      <c r="R3257" s="1304"/>
      <c r="S3257" s="1304"/>
      <c r="T3257" s="1304"/>
    </row>
    <row r="3258" spans="1:20">
      <c r="A3258" s="1303"/>
      <c r="B3258" s="1322" t="s">
        <v>8645</v>
      </c>
      <c r="C3258" s="1323" t="s">
        <v>8646</v>
      </c>
      <c r="D3258" s="1324">
        <f t="shared" si="330"/>
        <v>37134</v>
      </c>
      <c r="E3258" s="1323">
        <f t="shared" si="332"/>
        <v>8.3963000000000001</v>
      </c>
      <c r="F3258" s="1323">
        <f t="shared" si="331"/>
        <v>5.2547576443409669</v>
      </c>
      <c r="G3258" s="1323">
        <f t="shared" si="333"/>
        <v>2001</v>
      </c>
      <c r="H3258" s="1323">
        <f t="shared" si="334"/>
        <v>8</v>
      </c>
      <c r="I3258" s="1323">
        <f t="shared" si="335"/>
        <v>31</v>
      </c>
      <c r="J3258" s="1323"/>
      <c r="K3258" s="1323"/>
      <c r="L3258" s="1323"/>
      <c r="M3258" s="1323"/>
      <c r="N3258" s="1323"/>
      <c r="O3258" s="1323"/>
      <c r="P3258" s="1323"/>
      <c r="Q3258" s="1323"/>
      <c r="R3258" s="1304"/>
      <c r="S3258" s="1304"/>
      <c r="T3258" s="1304"/>
    </row>
    <row r="3259" spans="1:20">
      <c r="A3259" s="1303"/>
      <c r="B3259" s="1322" t="s">
        <v>8647</v>
      </c>
      <c r="C3259" s="1323" t="s">
        <v>8648</v>
      </c>
      <c r="D3259" s="1324">
        <f t="shared" si="330"/>
        <v>37133</v>
      </c>
      <c r="E3259" s="1323">
        <f t="shared" si="332"/>
        <v>8.3562999999999992</v>
      </c>
      <c r="F3259" s="1323">
        <f t="shared" si="331"/>
        <v>5.2537500758332731</v>
      </c>
      <c r="G3259" s="1323">
        <f t="shared" si="333"/>
        <v>2001</v>
      </c>
      <c r="H3259" s="1323">
        <f t="shared" si="334"/>
        <v>8</v>
      </c>
      <c r="I3259" s="1323">
        <f t="shared" si="335"/>
        <v>30</v>
      </c>
      <c r="J3259" s="1323"/>
      <c r="K3259" s="1323"/>
      <c r="L3259" s="1323"/>
      <c r="M3259" s="1323"/>
      <c r="N3259" s="1323"/>
      <c r="O3259" s="1323"/>
      <c r="P3259" s="1323"/>
      <c r="Q3259" s="1323"/>
      <c r="R3259" s="1304"/>
      <c r="S3259" s="1304"/>
      <c r="T3259" s="1304"/>
    </row>
    <row r="3260" spans="1:20">
      <c r="A3260" s="1303"/>
      <c r="B3260" s="1322" t="s">
        <v>8649</v>
      </c>
      <c r="C3260" s="1323" t="s">
        <v>8650</v>
      </c>
      <c r="D3260" s="1324">
        <f t="shared" si="330"/>
        <v>37132</v>
      </c>
      <c r="E3260" s="1323">
        <f t="shared" si="332"/>
        <v>8.3569999999999993</v>
      </c>
      <c r="F3260" s="1323">
        <f t="shared" si="331"/>
        <v>5.2527427005208445</v>
      </c>
      <c r="G3260" s="1323">
        <f t="shared" si="333"/>
        <v>2001</v>
      </c>
      <c r="H3260" s="1323">
        <f t="shared" si="334"/>
        <v>8</v>
      </c>
      <c r="I3260" s="1323">
        <f t="shared" si="335"/>
        <v>29</v>
      </c>
      <c r="J3260" s="1323"/>
      <c r="K3260" s="1323"/>
      <c r="L3260" s="1323"/>
      <c r="M3260" s="1323"/>
      <c r="N3260" s="1323"/>
      <c r="O3260" s="1323"/>
      <c r="P3260" s="1323"/>
      <c r="Q3260" s="1323"/>
      <c r="R3260" s="1304"/>
      <c r="S3260" s="1304"/>
      <c r="T3260" s="1304"/>
    </row>
    <row r="3261" spans="1:20">
      <c r="A3261" s="1303"/>
      <c r="B3261" s="1322" t="s">
        <v>8651</v>
      </c>
      <c r="C3261" s="1323" t="s">
        <v>8652</v>
      </c>
      <c r="D3261" s="1324">
        <f t="shared" si="330"/>
        <v>37131</v>
      </c>
      <c r="E3261" s="1323">
        <f t="shared" si="332"/>
        <v>8.4129000000000005</v>
      </c>
      <c r="F3261" s="1323">
        <f t="shared" si="331"/>
        <v>5.2517355183666368</v>
      </c>
      <c r="G3261" s="1323">
        <f t="shared" si="333"/>
        <v>2001</v>
      </c>
      <c r="H3261" s="1323">
        <f t="shared" si="334"/>
        <v>8</v>
      </c>
      <c r="I3261" s="1323">
        <f t="shared" si="335"/>
        <v>28</v>
      </c>
      <c r="J3261" s="1323"/>
      <c r="K3261" s="1323"/>
      <c r="L3261" s="1323"/>
      <c r="M3261" s="1323"/>
      <c r="N3261" s="1323"/>
      <c r="O3261" s="1323"/>
      <c r="P3261" s="1323"/>
      <c r="Q3261" s="1323"/>
      <c r="R3261" s="1304"/>
      <c r="S3261" s="1304"/>
      <c r="T3261" s="1304"/>
    </row>
    <row r="3262" spans="1:20">
      <c r="A3262" s="1303"/>
      <c r="B3262" s="1322" t="s">
        <v>8653</v>
      </c>
      <c r="C3262" s="1323" t="s">
        <v>8654</v>
      </c>
      <c r="D3262" s="1324">
        <f t="shared" si="330"/>
        <v>37130</v>
      </c>
      <c r="E3262" s="1323">
        <f t="shared" si="332"/>
        <v>8.3724000000000007</v>
      </c>
      <c r="F3262" s="1323">
        <f t="shared" si="331"/>
        <v>5.2507285293336139</v>
      </c>
      <c r="G3262" s="1323">
        <f t="shared" si="333"/>
        <v>2001</v>
      </c>
      <c r="H3262" s="1323">
        <f t="shared" si="334"/>
        <v>8</v>
      </c>
      <c r="I3262" s="1323">
        <f t="shared" si="335"/>
        <v>27</v>
      </c>
      <c r="J3262" s="1323"/>
      <c r="K3262" s="1323"/>
      <c r="L3262" s="1323"/>
      <c r="M3262" s="1323"/>
      <c r="N3262" s="1323"/>
      <c r="O3262" s="1323"/>
      <c r="P3262" s="1323"/>
      <c r="Q3262" s="1323"/>
      <c r="R3262" s="1304"/>
      <c r="S3262" s="1304"/>
      <c r="T3262" s="1304"/>
    </row>
    <row r="3263" spans="1:20">
      <c r="A3263" s="1303"/>
      <c r="B3263" s="1322" t="s">
        <v>8655</v>
      </c>
      <c r="C3263" s="1323" t="s">
        <v>3380</v>
      </c>
      <c r="D3263" s="1324">
        <f t="shared" si="330"/>
        <v>37127</v>
      </c>
      <c r="E3263" s="1323">
        <f t="shared" si="332"/>
        <v>8.3574000000000002</v>
      </c>
      <c r="F3263" s="1323">
        <f t="shared" si="331"/>
        <v>5.249721733384745</v>
      </c>
      <c r="G3263" s="1323">
        <f t="shared" si="333"/>
        <v>2001</v>
      </c>
      <c r="H3263" s="1323">
        <f t="shared" si="334"/>
        <v>8</v>
      </c>
      <c r="I3263" s="1323">
        <f t="shared" si="335"/>
        <v>24</v>
      </c>
      <c r="J3263" s="1323"/>
      <c r="K3263" s="1323"/>
      <c r="L3263" s="1323"/>
      <c r="M3263" s="1323"/>
      <c r="N3263" s="1323"/>
      <c r="O3263" s="1323"/>
      <c r="P3263" s="1323"/>
      <c r="Q3263" s="1323"/>
      <c r="R3263" s="1304"/>
      <c r="S3263" s="1304"/>
      <c r="T3263" s="1304"/>
    </row>
    <row r="3264" spans="1:20">
      <c r="A3264" s="1303"/>
      <c r="B3264" s="1322" t="s">
        <v>8656</v>
      </c>
      <c r="C3264" s="1323" t="s">
        <v>8657</v>
      </c>
      <c r="D3264" s="1324">
        <f t="shared" si="330"/>
        <v>37126</v>
      </c>
      <c r="E3264" s="1323">
        <f t="shared" si="332"/>
        <v>8.3907000000000007</v>
      </c>
      <c r="F3264" s="1323">
        <f t="shared" si="331"/>
        <v>5.2487151304830082</v>
      </c>
      <c r="G3264" s="1323">
        <f t="shared" si="333"/>
        <v>2001</v>
      </c>
      <c r="H3264" s="1323">
        <f t="shared" si="334"/>
        <v>8</v>
      </c>
      <c r="I3264" s="1323">
        <f t="shared" si="335"/>
        <v>23</v>
      </c>
      <c r="J3264" s="1323"/>
      <c r="K3264" s="1323"/>
      <c r="L3264" s="1323"/>
      <c r="M3264" s="1323"/>
      <c r="N3264" s="1323"/>
      <c r="O3264" s="1323"/>
      <c r="P3264" s="1323"/>
      <c r="Q3264" s="1323"/>
      <c r="R3264" s="1304"/>
      <c r="S3264" s="1304"/>
      <c r="T3264" s="1304"/>
    </row>
    <row r="3265" spans="1:20">
      <c r="A3265" s="1303"/>
      <c r="B3265" s="1322" t="s">
        <v>8658</v>
      </c>
      <c r="C3265" s="1323" t="s">
        <v>8659</v>
      </c>
      <c r="D3265" s="1324">
        <f t="shared" si="330"/>
        <v>37125</v>
      </c>
      <c r="E3265" s="1323">
        <f t="shared" si="332"/>
        <v>8.3790999999999993</v>
      </c>
      <c r="F3265" s="1323">
        <f t="shared" si="331"/>
        <v>5.2477087205913877</v>
      </c>
      <c r="G3265" s="1323">
        <f t="shared" si="333"/>
        <v>2001</v>
      </c>
      <c r="H3265" s="1323">
        <f t="shared" si="334"/>
        <v>8</v>
      </c>
      <c r="I3265" s="1323">
        <f t="shared" si="335"/>
        <v>22</v>
      </c>
      <c r="J3265" s="1323"/>
      <c r="K3265" s="1323"/>
      <c r="L3265" s="1323"/>
      <c r="M3265" s="1323"/>
      <c r="N3265" s="1323"/>
      <c r="O3265" s="1323"/>
      <c r="P3265" s="1323"/>
      <c r="Q3265" s="1323"/>
      <c r="R3265" s="1304"/>
      <c r="S3265" s="1304"/>
      <c r="T3265" s="1304"/>
    </row>
    <row r="3266" spans="1:20">
      <c r="A3266" s="1303"/>
      <c r="B3266" s="1322" t="s">
        <v>8660</v>
      </c>
      <c r="C3266" s="1323" t="s">
        <v>8661</v>
      </c>
      <c r="D3266" s="1324">
        <f t="shared" si="330"/>
        <v>37124</v>
      </c>
      <c r="E3266" s="1323">
        <f t="shared" si="332"/>
        <v>8.2921999999999993</v>
      </c>
      <c r="F3266" s="1323">
        <f t="shared" si="331"/>
        <v>5.2467025036728749</v>
      </c>
      <c r="G3266" s="1323">
        <f t="shared" si="333"/>
        <v>2001</v>
      </c>
      <c r="H3266" s="1323">
        <f t="shared" si="334"/>
        <v>8</v>
      </c>
      <c r="I3266" s="1323">
        <f t="shared" si="335"/>
        <v>21</v>
      </c>
      <c r="J3266" s="1323"/>
      <c r="K3266" s="1323"/>
      <c r="L3266" s="1323"/>
      <c r="M3266" s="1323"/>
      <c r="N3266" s="1323"/>
      <c r="O3266" s="1323"/>
      <c r="P3266" s="1323"/>
      <c r="Q3266" s="1323"/>
      <c r="R3266" s="1304"/>
      <c r="S3266" s="1304"/>
      <c r="T3266" s="1304"/>
    </row>
    <row r="3267" spans="1:20">
      <c r="A3267" s="1303"/>
      <c r="B3267" s="1322" t="s">
        <v>8662</v>
      </c>
      <c r="C3267" s="1323" t="s">
        <v>8663</v>
      </c>
      <c r="D3267" s="1324">
        <f t="shared" si="330"/>
        <v>37123</v>
      </c>
      <c r="E3267" s="1323">
        <f t="shared" si="332"/>
        <v>8.3108000000000004</v>
      </c>
      <c r="F3267" s="1323">
        <f t="shared" si="331"/>
        <v>5.2456964796904684</v>
      </c>
      <c r="G3267" s="1323">
        <f t="shared" si="333"/>
        <v>2001</v>
      </c>
      <c r="H3267" s="1323">
        <f t="shared" si="334"/>
        <v>8</v>
      </c>
      <c r="I3267" s="1323">
        <f t="shared" si="335"/>
        <v>20</v>
      </c>
      <c r="J3267" s="1323"/>
      <c r="K3267" s="1323"/>
      <c r="L3267" s="1323"/>
      <c r="M3267" s="1323"/>
      <c r="N3267" s="1323"/>
      <c r="O3267" s="1323"/>
      <c r="P3267" s="1323"/>
      <c r="Q3267" s="1323"/>
      <c r="R3267" s="1304"/>
      <c r="S3267" s="1304"/>
      <c r="T3267" s="1304"/>
    </row>
    <row r="3268" spans="1:20">
      <c r="A3268" s="1303"/>
      <c r="B3268" s="1322" t="s">
        <v>8664</v>
      </c>
      <c r="C3268" s="1323" t="s">
        <v>8665</v>
      </c>
      <c r="D3268" s="1324">
        <f t="shared" si="330"/>
        <v>37120</v>
      </c>
      <c r="E3268" s="1323">
        <f t="shared" si="332"/>
        <v>8.2583000000000002</v>
      </c>
      <c r="F3268" s="1323">
        <f t="shared" si="331"/>
        <v>5.2446906486071736</v>
      </c>
      <c r="G3268" s="1323">
        <f t="shared" si="333"/>
        <v>2001</v>
      </c>
      <c r="H3268" s="1323">
        <f t="shared" si="334"/>
        <v>8</v>
      </c>
      <c r="I3268" s="1323">
        <f t="shared" si="335"/>
        <v>17</v>
      </c>
      <c r="J3268" s="1323"/>
      <c r="K3268" s="1323"/>
      <c r="L3268" s="1323"/>
      <c r="M3268" s="1323"/>
      <c r="N3268" s="1323"/>
      <c r="O3268" s="1323"/>
      <c r="P3268" s="1323"/>
      <c r="Q3268" s="1323"/>
      <c r="R3268" s="1304"/>
      <c r="S3268" s="1304"/>
      <c r="T3268" s="1304"/>
    </row>
    <row r="3269" spans="1:20">
      <c r="A3269" s="1303"/>
      <c r="B3269" s="1322" t="s">
        <v>8666</v>
      </c>
      <c r="C3269" s="1323" t="s">
        <v>8667</v>
      </c>
      <c r="D3269" s="1324">
        <f t="shared" si="330"/>
        <v>37119</v>
      </c>
      <c r="E3269" s="1323">
        <f t="shared" si="332"/>
        <v>8.2291000000000007</v>
      </c>
      <c r="F3269" s="1323">
        <f t="shared" si="331"/>
        <v>5.2436850103860033</v>
      </c>
      <c r="G3269" s="1323">
        <f t="shared" si="333"/>
        <v>2001</v>
      </c>
      <c r="H3269" s="1323">
        <f t="shared" si="334"/>
        <v>8</v>
      </c>
      <c r="I3269" s="1323">
        <f t="shared" si="335"/>
        <v>16</v>
      </c>
      <c r="J3269" s="1323"/>
      <c r="K3269" s="1323"/>
      <c r="L3269" s="1323"/>
      <c r="M3269" s="1323"/>
      <c r="N3269" s="1323"/>
      <c r="O3269" s="1323"/>
      <c r="P3269" s="1323"/>
      <c r="Q3269" s="1323"/>
      <c r="R3269" s="1304"/>
      <c r="S3269" s="1304"/>
      <c r="T3269" s="1304"/>
    </row>
    <row r="3270" spans="1:20">
      <c r="A3270" s="1303"/>
      <c r="B3270" s="1322" t="s">
        <v>8668</v>
      </c>
      <c r="C3270" s="1323" t="s">
        <v>8669</v>
      </c>
      <c r="D3270" s="1324">
        <f t="shared" si="330"/>
        <v>37118</v>
      </c>
      <c r="E3270" s="1323">
        <f t="shared" si="332"/>
        <v>8.2645</v>
      </c>
      <c r="F3270" s="1323">
        <f t="shared" si="331"/>
        <v>5.2426795649899773</v>
      </c>
      <c r="G3270" s="1323">
        <f t="shared" si="333"/>
        <v>2001</v>
      </c>
      <c r="H3270" s="1323">
        <f t="shared" si="334"/>
        <v>8</v>
      </c>
      <c r="I3270" s="1323">
        <f t="shared" si="335"/>
        <v>15</v>
      </c>
      <c r="J3270" s="1323"/>
      <c r="K3270" s="1323"/>
      <c r="L3270" s="1323"/>
      <c r="M3270" s="1323"/>
      <c r="N3270" s="1323"/>
      <c r="O3270" s="1323"/>
      <c r="P3270" s="1323"/>
      <c r="Q3270" s="1323"/>
      <c r="R3270" s="1304"/>
      <c r="S3270" s="1304"/>
      <c r="T3270" s="1304"/>
    </row>
    <row r="3271" spans="1:20">
      <c r="A3271" s="1303"/>
      <c r="B3271" s="1322" t="s">
        <v>8670</v>
      </c>
      <c r="C3271" s="1323" t="s">
        <v>8671</v>
      </c>
      <c r="D3271" s="1324">
        <f t="shared" si="330"/>
        <v>37117</v>
      </c>
      <c r="E3271" s="1323">
        <f t="shared" si="332"/>
        <v>8.2767999999999997</v>
      </c>
      <c r="F3271" s="1323">
        <f t="shared" si="331"/>
        <v>5.2416743123821234</v>
      </c>
      <c r="G3271" s="1323">
        <f t="shared" si="333"/>
        <v>2001</v>
      </c>
      <c r="H3271" s="1323">
        <f t="shared" si="334"/>
        <v>8</v>
      </c>
      <c r="I3271" s="1323">
        <f t="shared" si="335"/>
        <v>14</v>
      </c>
      <c r="J3271" s="1323"/>
      <c r="K3271" s="1323"/>
      <c r="L3271" s="1323"/>
      <c r="M3271" s="1323"/>
      <c r="N3271" s="1323"/>
      <c r="O3271" s="1323"/>
      <c r="P3271" s="1323"/>
      <c r="Q3271" s="1323"/>
      <c r="R3271" s="1304"/>
      <c r="S3271" s="1304"/>
      <c r="T3271" s="1304"/>
    </row>
    <row r="3272" spans="1:20">
      <c r="A3272" s="1303"/>
      <c r="B3272" s="1322" t="s">
        <v>8672</v>
      </c>
      <c r="C3272" s="1323" t="s">
        <v>8673</v>
      </c>
      <c r="D3272" s="1324">
        <f t="shared" si="330"/>
        <v>37116</v>
      </c>
      <c r="E3272" s="1323">
        <f t="shared" si="332"/>
        <v>8.2444000000000006</v>
      </c>
      <c r="F3272" s="1323">
        <f t="shared" si="331"/>
        <v>5.2406692525254748</v>
      </c>
      <c r="G3272" s="1323">
        <f t="shared" si="333"/>
        <v>2001</v>
      </c>
      <c r="H3272" s="1323">
        <f t="shared" si="334"/>
        <v>8</v>
      </c>
      <c r="I3272" s="1323">
        <f t="shared" si="335"/>
        <v>13</v>
      </c>
      <c r="J3272" s="1323"/>
      <c r="K3272" s="1323"/>
      <c r="L3272" s="1323"/>
      <c r="M3272" s="1323"/>
      <c r="N3272" s="1323"/>
      <c r="O3272" s="1323"/>
      <c r="P3272" s="1323"/>
      <c r="Q3272" s="1323"/>
      <c r="R3272" s="1304"/>
      <c r="S3272" s="1304"/>
      <c r="T3272" s="1304"/>
    </row>
    <row r="3273" spans="1:20">
      <c r="A3273" s="1303"/>
      <c r="B3273" s="1322" t="s">
        <v>8674</v>
      </c>
      <c r="C3273" s="1323" t="s">
        <v>8675</v>
      </c>
      <c r="D3273" s="1324">
        <f t="shared" ref="D3273:D3336" si="336">DATE(G3273,H3273,I3273)</f>
        <v>37113</v>
      </c>
      <c r="E3273" s="1323">
        <f t="shared" si="332"/>
        <v>8.2515000000000001</v>
      </c>
      <c r="F3273" s="1323">
        <f t="shared" ref="F3273:F3336" si="337">F3274*(1+$F$7/365)</f>
        <v>5.2396643853830724</v>
      </c>
      <c r="G3273" s="1323">
        <f t="shared" si="333"/>
        <v>2001</v>
      </c>
      <c r="H3273" s="1323">
        <f t="shared" si="334"/>
        <v>8</v>
      </c>
      <c r="I3273" s="1323">
        <f t="shared" si="335"/>
        <v>10</v>
      </c>
      <c r="J3273" s="1323"/>
      <c r="K3273" s="1323"/>
      <c r="L3273" s="1323"/>
      <c r="M3273" s="1323"/>
      <c r="N3273" s="1323"/>
      <c r="O3273" s="1323"/>
      <c r="P3273" s="1323"/>
      <c r="Q3273" s="1323"/>
      <c r="R3273" s="1304"/>
      <c r="S3273" s="1304"/>
      <c r="T3273" s="1304"/>
    </row>
    <row r="3274" spans="1:20">
      <c r="A3274" s="1303"/>
      <c r="B3274" s="1322" t="s">
        <v>8676</v>
      </c>
      <c r="C3274" s="1323" t="s">
        <v>8677</v>
      </c>
      <c r="D3274" s="1324">
        <f t="shared" si="336"/>
        <v>37111</v>
      </c>
      <c r="E3274" s="1323">
        <f t="shared" si="332"/>
        <v>8.3042999999999996</v>
      </c>
      <c r="F3274" s="1323">
        <f t="shared" si="337"/>
        <v>5.2386597109179647</v>
      </c>
      <c r="G3274" s="1323">
        <f t="shared" si="333"/>
        <v>2001</v>
      </c>
      <c r="H3274" s="1323">
        <f t="shared" si="334"/>
        <v>8</v>
      </c>
      <c r="I3274" s="1323">
        <f t="shared" si="335"/>
        <v>8</v>
      </c>
      <c r="J3274" s="1323"/>
      <c r="K3274" s="1323"/>
      <c r="L3274" s="1323"/>
      <c r="M3274" s="1323"/>
      <c r="N3274" s="1323"/>
      <c r="O3274" s="1323"/>
      <c r="P3274" s="1323"/>
      <c r="Q3274" s="1323"/>
      <c r="R3274" s="1304"/>
      <c r="S3274" s="1304"/>
      <c r="T3274" s="1304"/>
    </row>
    <row r="3275" spans="1:20">
      <c r="A3275" s="1303"/>
      <c r="B3275" s="1322" t="s">
        <v>8678</v>
      </c>
      <c r="C3275" s="1323" t="s">
        <v>8679</v>
      </c>
      <c r="D3275" s="1324">
        <f t="shared" si="336"/>
        <v>37110</v>
      </c>
      <c r="E3275" s="1323">
        <f t="shared" si="332"/>
        <v>8.3215000000000003</v>
      </c>
      <c r="F3275" s="1323">
        <f t="shared" si="337"/>
        <v>5.2376552290932068</v>
      </c>
      <c r="G3275" s="1323">
        <f t="shared" si="333"/>
        <v>2001</v>
      </c>
      <c r="H3275" s="1323">
        <f t="shared" si="334"/>
        <v>8</v>
      </c>
      <c r="I3275" s="1323">
        <f t="shared" si="335"/>
        <v>7</v>
      </c>
      <c r="J3275" s="1323"/>
      <c r="K3275" s="1323"/>
      <c r="L3275" s="1323"/>
      <c r="M3275" s="1323"/>
      <c r="N3275" s="1323"/>
      <c r="O3275" s="1323"/>
      <c r="P3275" s="1323"/>
      <c r="Q3275" s="1323"/>
      <c r="R3275" s="1304"/>
      <c r="S3275" s="1304"/>
      <c r="T3275" s="1304"/>
    </row>
    <row r="3276" spans="1:20">
      <c r="A3276" s="1303"/>
      <c r="B3276" s="1322" t="s">
        <v>8680</v>
      </c>
      <c r="C3276" s="1323" t="s">
        <v>8681</v>
      </c>
      <c r="D3276" s="1324">
        <f t="shared" si="336"/>
        <v>37109</v>
      </c>
      <c r="E3276" s="1323">
        <f t="shared" si="332"/>
        <v>8.2668999999999997</v>
      </c>
      <c r="F3276" s="1323">
        <f t="shared" si="337"/>
        <v>5.2366509398718613</v>
      </c>
      <c r="G3276" s="1323">
        <f t="shared" si="333"/>
        <v>2001</v>
      </c>
      <c r="H3276" s="1323">
        <f t="shared" si="334"/>
        <v>8</v>
      </c>
      <c r="I3276" s="1323">
        <f t="shared" si="335"/>
        <v>6</v>
      </c>
      <c r="J3276" s="1323"/>
      <c r="K3276" s="1323"/>
      <c r="L3276" s="1323"/>
      <c r="M3276" s="1323"/>
      <c r="N3276" s="1323"/>
      <c r="O3276" s="1323"/>
      <c r="P3276" s="1323"/>
      <c r="Q3276" s="1323"/>
      <c r="R3276" s="1304"/>
      <c r="S3276" s="1304"/>
      <c r="T3276" s="1304"/>
    </row>
    <row r="3277" spans="1:20">
      <c r="A3277" s="1303"/>
      <c r="B3277" s="1322" t="s">
        <v>8682</v>
      </c>
      <c r="C3277" s="1323" t="s">
        <v>8683</v>
      </c>
      <c r="D3277" s="1324">
        <f t="shared" si="336"/>
        <v>37106</v>
      </c>
      <c r="E3277" s="1323">
        <f t="shared" si="332"/>
        <v>8.2420000000000009</v>
      </c>
      <c r="F3277" s="1323">
        <f t="shared" si="337"/>
        <v>5.2356468432169976</v>
      </c>
      <c r="G3277" s="1323">
        <f t="shared" si="333"/>
        <v>2001</v>
      </c>
      <c r="H3277" s="1323">
        <f t="shared" si="334"/>
        <v>8</v>
      </c>
      <c r="I3277" s="1323">
        <f t="shared" si="335"/>
        <v>3</v>
      </c>
      <c r="J3277" s="1323"/>
      <c r="K3277" s="1323"/>
      <c r="L3277" s="1323"/>
      <c r="M3277" s="1323"/>
      <c r="N3277" s="1323"/>
      <c r="O3277" s="1323"/>
      <c r="P3277" s="1323"/>
      <c r="Q3277" s="1323"/>
      <c r="R3277" s="1304"/>
      <c r="S3277" s="1304"/>
      <c r="T3277" s="1304"/>
    </row>
    <row r="3278" spans="1:20">
      <c r="A3278" s="1303"/>
      <c r="B3278" s="1322" t="s">
        <v>8684</v>
      </c>
      <c r="C3278" s="1323" t="s">
        <v>8685</v>
      </c>
      <c r="D3278" s="1324">
        <f t="shared" si="336"/>
        <v>37105</v>
      </c>
      <c r="E3278" s="1323">
        <f t="shared" si="332"/>
        <v>8.2202999999999999</v>
      </c>
      <c r="F3278" s="1323">
        <f t="shared" si="337"/>
        <v>5.2346429390916924</v>
      </c>
      <c r="G3278" s="1323">
        <f t="shared" si="333"/>
        <v>2001</v>
      </c>
      <c r="H3278" s="1323">
        <f t="shared" si="334"/>
        <v>8</v>
      </c>
      <c r="I3278" s="1323">
        <f t="shared" si="335"/>
        <v>2</v>
      </c>
      <c r="J3278" s="1323"/>
      <c r="K3278" s="1323"/>
      <c r="L3278" s="1323"/>
      <c r="M3278" s="1323"/>
      <c r="N3278" s="1323"/>
      <c r="O3278" s="1323"/>
      <c r="P3278" s="1323"/>
      <c r="Q3278" s="1323"/>
      <c r="R3278" s="1304"/>
      <c r="S3278" s="1304"/>
      <c r="T3278" s="1304"/>
    </row>
    <row r="3279" spans="1:20">
      <c r="A3279" s="1303"/>
      <c r="B3279" s="1322" t="s">
        <v>8686</v>
      </c>
      <c r="C3279" s="1323" t="s">
        <v>8687</v>
      </c>
      <c r="D3279" s="1324">
        <f t="shared" si="336"/>
        <v>37104</v>
      </c>
      <c r="E3279" s="1323">
        <f t="shared" si="332"/>
        <v>8.2634000000000007</v>
      </c>
      <c r="F3279" s="1323">
        <f t="shared" si="337"/>
        <v>5.2336392274590287</v>
      </c>
      <c r="G3279" s="1323">
        <f t="shared" si="333"/>
        <v>2001</v>
      </c>
      <c r="H3279" s="1323">
        <f t="shared" si="334"/>
        <v>8</v>
      </c>
      <c r="I3279" s="1323">
        <f t="shared" si="335"/>
        <v>1</v>
      </c>
      <c r="J3279" s="1323"/>
      <c r="K3279" s="1323"/>
      <c r="L3279" s="1323"/>
      <c r="M3279" s="1323"/>
      <c r="N3279" s="1323"/>
      <c r="O3279" s="1323"/>
      <c r="P3279" s="1323"/>
      <c r="Q3279" s="1323"/>
      <c r="R3279" s="1304"/>
      <c r="S3279" s="1304"/>
      <c r="T3279" s="1304"/>
    </row>
    <row r="3280" spans="1:20">
      <c r="A3280" s="1303"/>
      <c r="B3280" s="1322" t="s">
        <v>8688</v>
      </c>
      <c r="C3280" s="1323" t="s">
        <v>8689</v>
      </c>
      <c r="D3280" s="1324">
        <f t="shared" si="336"/>
        <v>37103</v>
      </c>
      <c r="E3280" s="1323">
        <f t="shared" si="332"/>
        <v>8.26</v>
      </c>
      <c r="F3280" s="1323">
        <f t="shared" si="337"/>
        <v>5.232635708282098</v>
      </c>
      <c r="G3280" s="1323">
        <f t="shared" si="333"/>
        <v>2001</v>
      </c>
      <c r="H3280" s="1323">
        <f t="shared" si="334"/>
        <v>7</v>
      </c>
      <c r="I3280" s="1323">
        <f t="shared" si="335"/>
        <v>31</v>
      </c>
      <c r="J3280" s="1323"/>
      <c r="K3280" s="1323"/>
      <c r="L3280" s="1323"/>
      <c r="M3280" s="1323"/>
      <c r="N3280" s="1323"/>
      <c r="O3280" s="1323"/>
      <c r="P3280" s="1323"/>
      <c r="Q3280" s="1323"/>
      <c r="R3280" s="1304"/>
      <c r="S3280" s="1304"/>
      <c r="T3280" s="1304"/>
    </row>
    <row r="3281" spans="1:20">
      <c r="A3281" s="1303"/>
      <c r="B3281" s="1322" t="s">
        <v>8690</v>
      </c>
      <c r="C3281" s="1323" t="s">
        <v>8691</v>
      </c>
      <c r="D3281" s="1324">
        <f t="shared" si="336"/>
        <v>37102</v>
      </c>
      <c r="E3281" s="1323">
        <f t="shared" si="332"/>
        <v>8.2139000000000006</v>
      </c>
      <c r="F3281" s="1323">
        <f t="shared" si="337"/>
        <v>5.2316323815239976</v>
      </c>
      <c r="G3281" s="1323">
        <f t="shared" si="333"/>
        <v>2001</v>
      </c>
      <c r="H3281" s="1323">
        <f t="shared" si="334"/>
        <v>7</v>
      </c>
      <c r="I3281" s="1323">
        <f t="shared" si="335"/>
        <v>30</v>
      </c>
      <c r="J3281" s="1323"/>
      <c r="K3281" s="1323"/>
      <c r="L3281" s="1323"/>
      <c r="M3281" s="1323"/>
      <c r="N3281" s="1323"/>
      <c r="O3281" s="1323"/>
      <c r="P3281" s="1323"/>
      <c r="Q3281" s="1323"/>
      <c r="R3281" s="1304"/>
      <c r="S3281" s="1304"/>
      <c r="T3281" s="1304"/>
    </row>
    <row r="3282" spans="1:20">
      <c r="A3282" s="1303"/>
      <c r="B3282" s="1322" t="s">
        <v>8692</v>
      </c>
      <c r="C3282" s="1323" t="s">
        <v>8693</v>
      </c>
      <c r="D3282" s="1324">
        <f t="shared" si="336"/>
        <v>37099</v>
      </c>
      <c r="E3282" s="1323">
        <f t="shared" si="332"/>
        <v>8.1813000000000002</v>
      </c>
      <c r="F3282" s="1323">
        <f t="shared" si="337"/>
        <v>5.2306292471478324</v>
      </c>
      <c r="G3282" s="1323">
        <f t="shared" si="333"/>
        <v>2001</v>
      </c>
      <c r="H3282" s="1323">
        <f t="shared" si="334"/>
        <v>7</v>
      </c>
      <c r="I3282" s="1323">
        <f t="shared" si="335"/>
        <v>27</v>
      </c>
      <c r="J3282" s="1323"/>
      <c r="K3282" s="1323"/>
      <c r="L3282" s="1323"/>
      <c r="M3282" s="1323"/>
      <c r="N3282" s="1323"/>
      <c r="O3282" s="1323"/>
      <c r="P3282" s="1323"/>
      <c r="Q3282" s="1323"/>
      <c r="R3282" s="1304"/>
      <c r="S3282" s="1304"/>
      <c r="T3282" s="1304"/>
    </row>
    <row r="3283" spans="1:20">
      <c r="A3283" s="1303"/>
      <c r="B3283" s="1322" t="s">
        <v>8694</v>
      </c>
      <c r="C3283" s="1323" t="s">
        <v>8695</v>
      </c>
      <c r="D3283" s="1324">
        <f t="shared" si="336"/>
        <v>37098</v>
      </c>
      <c r="E3283" s="1323">
        <f t="shared" si="332"/>
        <v>8.1959999999999997</v>
      </c>
      <c r="F3283" s="1323">
        <f t="shared" si="337"/>
        <v>5.2296263051167138</v>
      </c>
      <c r="G3283" s="1323">
        <f t="shared" si="333"/>
        <v>2001</v>
      </c>
      <c r="H3283" s="1323">
        <f t="shared" si="334"/>
        <v>7</v>
      </c>
      <c r="I3283" s="1323">
        <f t="shared" si="335"/>
        <v>26</v>
      </c>
      <c r="J3283" s="1323"/>
      <c r="K3283" s="1323"/>
      <c r="L3283" s="1323"/>
      <c r="M3283" s="1323"/>
      <c r="N3283" s="1323"/>
      <c r="O3283" s="1323"/>
      <c r="P3283" s="1323"/>
      <c r="Q3283" s="1323"/>
      <c r="R3283" s="1304"/>
      <c r="S3283" s="1304"/>
      <c r="T3283" s="1304"/>
    </row>
    <row r="3284" spans="1:20">
      <c r="A3284" s="1303"/>
      <c r="B3284" s="1322" t="s">
        <v>8696</v>
      </c>
      <c r="C3284" s="1323" t="s">
        <v>8697</v>
      </c>
      <c r="D3284" s="1324">
        <f t="shared" si="336"/>
        <v>37097</v>
      </c>
      <c r="E3284" s="1323">
        <f t="shared" si="332"/>
        <v>8.2186000000000003</v>
      </c>
      <c r="F3284" s="1323">
        <f t="shared" si="337"/>
        <v>5.228623555393761</v>
      </c>
      <c r="G3284" s="1323">
        <f t="shared" si="333"/>
        <v>2001</v>
      </c>
      <c r="H3284" s="1323">
        <f t="shared" si="334"/>
        <v>7</v>
      </c>
      <c r="I3284" s="1323">
        <f t="shared" si="335"/>
        <v>25</v>
      </c>
      <c r="J3284" s="1323"/>
      <c r="K3284" s="1323"/>
      <c r="L3284" s="1323"/>
      <c r="M3284" s="1323"/>
      <c r="N3284" s="1323"/>
      <c r="O3284" s="1323"/>
      <c r="P3284" s="1323"/>
      <c r="Q3284" s="1323"/>
      <c r="R3284" s="1304"/>
      <c r="S3284" s="1304"/>
      <c r="T3284" s="1304"/>
    </row>
    <row r="3285" spans="1:20">
      <c r="A3285" s="1303"/>
      <c r="B3285" s="1322" t="s">
        <v>8698</v>
      </c>
      <c r="C3285" s="1323" t="s">
        <v>8699</v>
      </c>
      <c r="D3285" s="1324">
        <f t="shared" si="336"/>
        <v>37096</v>
      </c>
      <c r="E3285" s="1323">
        <f t="shared" si="332"/>
        <v>8.1953999999999994</v>
      </c>
      <c r="F3285" s="1323">
        <f t="shared" si="337"/>
        <v>5.2276209979421004</v>
      </c>
      <c r="G3285" s="1323">
        <f t="shared" si="333"/>
        <v>2001</v>
      </c>
      <c r="H3285" s="1323">
        <f t="shared" si="334"/>
        <v>7</v>
      </c>
      <c r="I3285" s="1323">
        <f t="shared" si="335"/>
        <v>24</v>
      </c>
      <c r="J3285" s="1323"/>
      <c r="K3285" s="1323"/>
      <c r="L3285" s="1323"/>
      <c r="M3285" s="1323"/>
      <c r="N3285" s="1323"/>
      <c r="O3285" s="1323"/>
      <c r="P3285" s="1323"/>
      <c r="Q3285" s="1323"/>
      <c r="R3285" s="1304"/>
      <c r="S3285" s="1304"/>
      <c r="T3285" s="1304"/>
    </row>
    <row r="3286" spans="1:20">
      <c r="A3286" s="1303"/>
      <c r="B3286" s="1322" t="s">
        <v>8700</v>
      </c>
      <c r="C3286" s="1323" t="s">
        <v>8701</v>
      </c>
      <c r="D3286" s="1324">
        <f t="shared" si="336"/>
        <v>37095</v>
      </c>
      <c r="E3286" s="1323">
        <f t="shared" ref="E3286:E3349" si="338">VALUE(C3287)</f>
        <v>8.2165999999999997</v>
      </c>
      <c r="F3286" s="1323">
        <f t="shared" si="337"/>
        <v>5.2266186327248656</v>
      </c>
      <c r="G3286" s="1323">
        <f t="shared" ref="G3286:G3349" si="339">YEAR(B3287)</f>
        <v>2001</v>
      </c>
      <c r="H3286" s="1323">
        <f t="shared" ref="H3286:H3349" si="340">MONTH(B3287)</f>
        <v>7</v>
      </c>
      <c r="I3286" s="1323">
        <f t="shared" ref="I3286:I3349" si="341">DAY(B3287)</f>
        <v>23</v>
      </c>
      <c r="J3286" s="1323"/>
      <c r="K3286" s="1323"/>
      <c r="L3286" s="1323"/>
      <c r="M3286" s="1323"/>
      <c r="N3286" s="1323"/>
      <c r="O3286" s="1323"/>
      <c r="P3286" s="1323"/>
      <c r="Q3286" s="1323"/>
      <c r="R3286" s="1304"/>
      <c r="S3286" s="1304"/>
      <c r="T3286" s="1304"/>
    </row>
    <row r="3287" spans="1:20">
      <c r="A3287" s="1303"/>
      <c r="B3287" s="1322" t="s">
        <v>8702</v>
      </c>
      <c r="C3287" s="1323" t="s">
        <v>8703</v>
      </c>
      <c r="D3287" s="1324">
        <f t="shared" si="336"/>
        <v>37092</v>
      </c>
      <c r="E3287" s="1323">
        <f t="shared" si="338"/>
        <v>8.2573000000000008</v>
      </c>
      <c r="F3287" s="1323">
        <f t="shared" si="337"/>
        <v>5.2256164597051962</v>
      </c>
      <c r="G3287" s="1323">
        <f t="shared" si="339"/>
        <v>2001</v>
      </c>
      <c r="H3287" s="1323">
        <f t="shared" si="340"/>
        <v>7</v>
      </c>
      <c r="I3287" s="1323">
        <f t="shared" si="341"/>
        <v>20</v>
      </c>
      <c r="J3287" s="1323"/>
      <c r="K3287" s="1323"/>
      <c r="L3287" s="1323"/>
      <c r="M3287" s="1323"/>
      <c r="N3287" s="1323"/>
      <c r="O3287" s="1323"/>
      <c r="P3287" s="1323"/>
      <c r="Q3287" s="1323"/>
      <c r="R3287" s="1304"/>
      <c r="S3287" s="1304"/>
      <c r="T3287" s="1304"/>
    </row>
    <row r="3288" spans="1:20">
      <c r="A3288" s="1303"/>
      <c r="B3288" s="1322" t="s">
        <v>8704</v>
      </c>
      <c r="C3288" s="1323" t="s">
        <v>8705</v>
      </c>
      <c r="D3288" s="1324">
        <f t="shared" si="336"/>
        <v>37091</v>
      </c>
      <c r="E3288" s="1323">
        <f t="shared" si="338"/>
        <v>8.2477999999999998</v>
      </c>
      <c r="F3288" s="1323">
        <f t="shared" si="337"/>
        <v>5.224614478846239</v>
      </c>
      <c r="G3288" s="1323">
        <f t="shared" si="339"/>
        <v>2001</v>
      </c>
      <c r="H3288" s="1323">
        <f t="shared" si="340"/>
        <v>7</v>
      </c>
      <c r="I3288" s="1323">
        <f t="shared" si="341"/>
        <v>19</v>
      </c>
      <c r="J3288" s="1323"/>
      <c r="K3288" s="1323"/>
      <c r="L3288" s="1323"/>
      <c r="M3288" s="1323"/>
      <c r="N3288" s="1323"/>
      <c r="O3288" s="1323"/>
      <c r="P3288" s="1323"/>
      <c r="Q3288" s="1323"/>
      <c r="R3288" s="1304"/>
      <c r="S3288" s="1304"/>
      <c r="T3288" s="1304"/>
    </row>
    <row r="3289" spans="1:20">
      <c r="A3289" s="1303"/>
      <c r="B3289" s="1322" t="s">
        <v>8706</v>
      </c>
      <c r="C3289" s="1323" t="s">
        <v>8707</v>
      </c>
      <c r="D3289" s="1324">
        <f t="shared" si="336"/>
        <v>37090</v>
      </c>
      <c r="E3289" s="1323">
        <f t="shared" si="338"/>
        <v>8.2165999999999997</v>
      </c>
      <c r="F3289" s="1323">
        <f t="shared" si="337"/>
        <v>5.2236126901111488</v>
      </c>
      <c r="G3289" s="1323">
        <f t="shared" si="339"/>
        <v>2001</v>
      </c>
      <c r="H3289" s="1323">
        <f t="shared" si="340"/>
        <v>7</v>
      </c>
      <c r="I3289" s="1323">
        <f t="shared" si="341"/>
        <v>18</v>
      </c>
      <c r="J3289" s="1323"/>
      <c r="K3289" s="1323"/>
      <c r="L3289" s="1323"/>
      <c r="M3289" s="1323"/>
      <c r="N3289" s="1323"/>
      <c r="O3289" s="1323"/>
      <c r="P3289" s="1323"/>
      <c r="Q3289" s="1323"/>
      <c r="R3289" s="1304"/>
      <c r="S3289" s="1304"/>
      <c r="T3289" s="1304"/>
    </row>
    <row r="3290" spans="1:20">
      <c r="A3290" s="1303"/>
      <c r="B3290" s="1322" t="s">
        <v>8708</v>
      </c>
      <c r="C3290" s="1323" t="s">
        <v>8703</v>
      </c>
      <c r="D3290" s="1324">
        <f t="shared" si="336"/>
        <v>37089</v>
      </c>
      <c r="E3290" s="1323">
        <f t="shared" si="338"/>
        <v>8.2522000000000002</v>
      </c>
      <c r="F3290" s="1323">
        <f t="shared" si="337"/>
        <v>5.2226110934630876</v>
      </c>
      <c r="G3290" s="1323">
        <f t="shared" si="339"/>
        <v>2001</v>
      </c>
      <c r="H3290" s="1323">
        <f t="shared" si="340"/>
        <v>7</v>
      </c>
      <c r="I3290" s="1323">
        <f t="shared" si="341"/>
        <v>17</v>
      </c>
      <c r="J3290" s="1323"/>
      <c r="K3290" s="1323"/>
      <c r="L3290" s="1323"/>
      <c r="M3290" s="1323"/>
      <c r="N3290" s="1323"/>
      <c r="O3290" s="1323"/>
      <c r="P3290" s="1323"/>
      <c r="Q3290" s="1323"/>
      <c r="R3290" s="1304"/>
      <c r="S3290" s="1304"/>
      <c r="T3290" s="1304"/>
    </row>
    <row r="3291" spans="1:20">
      <c r="A3291" s="1303"/>
      <c r="B3291" s="1322" t="s">
        <v>8709</v>
      </c>
      <c r="C3291" s="1323" t="s">
        <v>8710</v>
      </c>
      <c r="D3291" s="1324">
        <f t="shared" si="336"/>
        <v>37088</v>
      </c>
      <c r="E3291" s="1323">
        <f t="shared" si="338"/>
        <v>8.2505000000000006</v>
      </c>
      <c r="F3291" s="1323">
        <f t="shared" si="337"/>
        <v>5.2216096888652226</v>
      </c>
      <c r="G3291" s="1323">
        <f t="shared" si="339"/>
        <v>2001</v>
      </c>
      <c r="H3291" s="1323">
        <f t="shared" si="340"/>
        <v>7</v>
      </c>
      <c r="I3291" s="1323">
        <f t="shared" si="341"/>
        <v>16</v>
      </c>
      <c r="J3291" s="1323"/>
      <c r="K3291" s="1323"/>
      <c r="L3291" s="1323"/>
      <c r="M3291" s="1323"/>
      <c r="N3291" s="1323"/>
      <c r="O3291" s="1323"/>
      <c r="P3291" s="1323"/>
      <c r="Q3291" s="1323"/>
      <c r="R3291" s="1304"/>
      <c r="S3291" s="1304"/>
      <c r="T3291" s="1304"/>
    </row>
    <row r="3292" spans="1:20">
      <c r="A3292" s="1303"/>
      <c r="B3292" s="1322" t="s">
        <v>8711</v>
      </c>
      <c r="C3292" s="1323" t="s">
        <v>8712</v>
      </c>
      <c r="D3292" s="1324">
        <f t="shared" si="336"/>
        <v>37085</v>
      </c>
      <c r="E3292" s="1323">
        <f t="shared" si="338"/>
        <v>8.2371999999999996</v>
      </c>
      <c r="F3292" s="1323">
        <f t="shared" si="337"/>
        <v>5.2206084762807299</v>
      </c>
      <c r="G3292" s="1323">
        <f t="shared" si="339"/>
        <v>2001</v>
      </c>
      <c r="H3292" s="1323">
        <f t="shared" si="340"/>
        <v>7</v>
      </c>
      <c r="I3292" s="1323">
        <f t="shared" si="341"/>
        <v>13</v>
      </c>
      <c r="J3292" s="1323"/>
      <c r="K3292" s="1323"/>
      <c r="L3292" s="1323"/>
      <c r="M3292" s="1323"/>
      <c r="N3292" s="1323"/>
      <c r="O3292" s="1323"/>
      <c r="P3292" s="1323"/>
      <c r="Q3292" s="1323"/>
      <c r="R3292" s="1304"/>
      <c r="S3292" s="1304"/>
      <c r="T3292" s="1304"/>
    </row>
    <row r="3293" spans="1:20">
      <c r="A3293" s="1303"/>
      <c r="B3293" s="1322" t="s">
        <v>8713</v>
      </c>
      <c r="C3293" s="1323" t="s">
        <v>8714</v>
      </c>
      <c r="D3293" s="1324">
        <f t="shared" si="336"/>
        <v>37084</v>
      </c>
      <c r="E3293" s="1323">
        <f t="shared" si="338"/>
        <v>8.2362000000000002</v>
      </c>
      <c r="F3293" s="1323">
        <f t="shared" si="337"/>
        <v>5.2196074556727927</v>
      </c>
      <c r="G3293" s="1323">
        <f t="shared" si="339"/>
        <v>2001</v>
      </c>
      <c r="H3293" s="1323">
        <f t="shared" si="340"/>
        <v>7</v>
      </c>
      <c r="I3293" s="1323">
        <f t="shared" si="341"/>
        <v>12</v>
      </c>
      <c r="J3293" s="1323"/>
      <c r="K3293" s="1323"/>
      <c r="L3293" s="1323"/>
      <c r="M3293" s="1323"/>
      <c r="N3293" s="1323"/>
      <c r="O3293" s="1323"/>
      <c r="P3293" s="1323"/>
      <c r="Q3293" s="1323"/>
      <c r="R3293" s="1304"/>
      <c r="S3293" s="1304"/>
      <c r="T3293" s="1304"/>
    </row>
    <row r="3294" spans="1:20">
      <c r="A3294" s="1303"/>
      <c r="B3294" s="1322" t="s">
        <v>8715</v>
      </c>
      <c r="C3294" s="1323" t="s">
        <v>8716</v>
      </c>
      <c r="D3294" s="1324">
        <f t="shared" si="336"/>
        <v>37083</v>
      </c>
      <c r="E3294" s="1323">
        <f t="shared" si="338"/>
        <v>8.2908000000000008</v>
      </c>
      <c r="F3294" s="1323">
        <f t="shared" si="337"/>
        <v>5.2186066270045997</v>
      </c>
      <c r="G3294" s="1323">
        <f t="shared" si="339"/>
        <v>2001</v>
      </c>
      <c r="H3294" s="1323">
        <f t="shared" si="340"/>
        <v>7</v>
      </c>
      <c r="I3294" s="1323">
        <f t="shared" si="341"/>
        <v>11</v>
      </c>
      <c r="J3294" s="1323"/>
      <c r="K3294" s="1323"/>
      <c r="L3294" s="1323"/>
      <c r="M3294" s="1323"/>
      <c r="N3294" s="1323"/>
      <c r="O3294" s="1323"/>
      <c r="P3294" s="1323"/>
      <c r="Q3294" s="1323"/>
      <c r="R3294" s="1304"/>
      <c r="S3294" s="1304"/>
      <c r="T3294" s="1304"/>
    </row>
    <row r="3295" spans="1:20">
      <c r="A3295" s="1303"/>
      <c r="B3295" s="1322" t="s">
        <v>8717</v>
      </c>
      <c r="C3295" s="1323" t="s">
        <v>8718</v>
      </c>
      <c r="D3295" s="1324">
        <f t="shared" si="336"/>
        <v>37082</v>
      </c>
      <c r="E3295" s="1323">
        <f t="shared" si="338"/>
        <v>8.1976999999999993</v>
      </c>
      <c r="F3295" s="1323">
        <f t="shared" si="337"/>
        <v>5.2176059902393481</v>
      </c>
      <c r="G3295" s="1323">
        <f t="shared" si="339"/>
        <v>2001</v>
      </c>
      <c r="H3295" s="1323">
        <f t="shared" si="340"/>
        <v>7</v>
      </c>
      <c r="I3295" s="1323">
        <f t="shared" si="341"/>
        <v>10</v>
      </c>
      <c r="J3295" s="1323"/>
      <c r="K3295" s="1323"/>
      <c r="L3295" s="1323"/>
      <c r="M3295" s="1323"/>
      <c r="N3295" s="1323"/>
      <c r="O3295" s="1323"/>
      <c r="P3295" s="1323"/>
      <c r="Q3295" s="1323"/>
      <c r="R3295" s="1304"/>
      <c r="S3295" s="1304"/>
      <c r="T3295" s="1304"/>
    </row>
    <row r="3296" spans="1:20">
      <c r="A3296" s="1303"/>
      <c r="B3296" s="1322" t="s">
        <v>8719</v>
      </c>
      <c r="C3296" s="1323" t="s">
        <v>8720</v>
      </c>
      <c r="D3296" s="1324">
        <f t="shared" si="336"/>
        <v>37081</v>
      </c>
      <c r="E3296" s="1323">
        <f t="shared" si="338"/>
        <v>8.2402999999999995</v>
      </c>
      <c r="F3296" s="1323">
        <f t="shared" si="337"/>
        <v>5.2166055453402418</v>
      </c>
      <c r="G3296" s="1323">
        <f t="shared" si="339"/>
        <v>2001</v>
      </c>
      <c r="H3296" s="1323">
        <f t="shared" si="340"/>
        <v>7</v>
      </c>
      <c r="I3296" s="1323">
        <f t="shared" si="341"/>
        <v>9</v>
      </c>
      <c r="J3296" s="1323"/>
      <c r="K3296" s="1323"/>
      <c r="L3296" s="1323"/>
      <c r="M3296" s="1323"/>
      <c r="N3296" s="1323"/>
      <c r="O3296" s="1323"/>
      <c r="P3296" s="1323"/>
      <c r="Q3296" s="1323"/>
      <c r="R3296" s="1304"/>
      <c r="S3296" s="1304"/>
      <c r="T3296" s="1304"/>
    </row>
    <row r="3297" spans="1:20">
      <c r="A3297" s="1303"/>
      <c r="B3297" s="1322" t="s">
        <v>8721</v>
      </c>
      <c r="C3297" s="1323" t="s">
        <v>8722</v>
      </c>
      <c r="D3297" s="1324">
        <f t="shared" si="336"/>
        <v>37078</v>
      </c>
      <c r="E3297" s="1323">
        <f t="shared" si="338"/>
        <v>8.1862999999999992</v>
      </c>
      <c r="F3297" s="1323">
        <f t="shared" si="337"/>
        <v>5.2156052922704914</v>
      </c>
      <c r="G3297" s="1323">
        <f t="shared" si="339"/>
        <v>2001</v>
      </c>
      <c r="H3297" s="1323">
        <f t="shared" si="340"/>
        <v>7</v>
      </c>
      <c r="I3297" s="1323">
        <f t="shared" si="341"/>
        <v>6</v>
      </c>
      <c r="J3297" s="1323"/>
      <c r="K3297" s="1323"/>
      <c r="L3297" s="1323"/>
      <c r="M3297" s="1323"/>
      <c r="N3297" s="1323"/>
      <c r="O3297" s="1323"/>
      <c r="P3297" s="1323"/>
      <c r="Q3297" s="1323"/>
      <c r="R3297" s="1304"/>
      <c r="S3297" s="1304"/>
      <c r="T3297" s="1304"/>
    </row>
    <row r="3298" spans="1:20">
      <c r="A3298" s="1303"/>
      <c r="B3298" s="1322" t="s">
        <v>8723</v>
      </c>
      <c r="C3298" s="1323" t="s">
        <v>8724</v>
      </c>
      <c r="D3298" s="1324">
        <f t="shared" si="336"/>
        <v>37077</v>
      </c>
      <c r="E3298" s="1323">
        <f t="shared" si="338"/>
        <v>8.1237999999999992</v>
      </c>
      <c r="F3298" s="1323">
        <f t="shared" si="337"/>
        <v>5.2146052309933149</v>
      </c>
      <c r="G3298" s="1323">
        <f t="shared" si="339"/>
        <v>2001</v>
      </c>
      <c r="H3298" s="1323">
        <f t="shared" si="340"/>
        <v>7</v>
      </c>
      <c r="I3298" s="1323">
        <f t="shared" si="341"/>
        <v>5</v>
      </c>
      <c r="J3298" s="1323"/>
      <c r="K3298" s="1323"/>
      <c r="L3298" s="1323"/>
      <c r="M3298" s="1323"/>
      <c r="N3298" s="1323"/>
      <c r="O3298" s="1323"/>
      <c r="P3298" s="1323"/>
      <c r="Q3298" s="1323"/>
      <c r="R3298" s="1304"/>
      <c r="S3298" s="1304"/>
      <c r="T3298" s="1304"/>
    </row>
    <row r="3299" spans="1:20">
      <c r="A3299" s="1303"/>
      <c r="B3299" s="1322" t="s">
        <v>8725</v>
      </c>
      <c r="C3299" s="1323" t="s">
        <v>8726</v>
      </c>
      <c r="D3299" s="1324">
        <f t="shared" si="336"/>
        <v>37076</v>
      </c>
      <c r="E3299" s="1323">
        <f t="shared" si="338"/>
        <v>8.0515000000000008</v>
      </c>
      <c r="F3299" s="1323">
        <f t="shared" si="337"/>
        <v>5.2136053614719362</v>
      </c>
      <c r="G3299" s="1323">
        <f t="shared" si="339"/>
        <v>2001</v>
      </c>
      <c r="H3299" s="1323">
        <f t="shared" si="340"/>
        <v>7</v>
      </c>
      <c r="I3299" s="1323">
        <f t="shared" si="341"/>
        <v>4</v>
      </c>
      <c r="J3299" s="1323"/>
      <c r="K3299" s="1323"/>
      <c r="L3299" s="1323"/>
      <c r="M3299" s="1323"/>
      <c r="N3299" s="1323"/>
      <c r="O3299" s="1323"/>
      <c r="P3299" s="1323"/>
      <c r="Q3299" s="1323"/>
      <c r="R3299" s="1304"/>
      <c r="S3299" s="1304"/>
      <c r="T3299" s="1304"/>
    </row>
    <row r="3300" spans="1:20">
      <c r="A3300" s="1303"/>
      <c r="B3300" s="1322" t="s">
        <v>8727</v>
      </c>
      <c r="C3300" s="1323" t="s">
        <v>8728</v>
      </c>
      <c r="D3300" s="1324">
        <f t="shared" si="336"/>
        <v>37075</v>
      </c>
      <c r="E3300" s="1323">
        <f t="shared" si="338"/>
        <v>8.0140999999999991</v>
      </c>
      <c r="F3300" s="1323">
        <f t="shared" si="337"/>
        <v>5.2126056836695884</v>
      </c>
      <c r="G3300" s="1323">
        <f t="shared" si="339"/>
        <v>2001</v>
      </c>
      <c r="H3300" s="1323">
        <f t="shared" si="340"/>
        <v>7</v>
      </c>
      <c r="I3300" s="1323">
        <f t="shared" si="341"/>
        <v>3</v>
      </c>
      <c r="J3300" s="1323"/>
      <c r="K3300" s="1323"/>
      <c r="L3300" s="1323"/>
      <c r="M3300" s="1323"/>
      <c r="N3300" s="1323"/>
      <c r="O3300" s="1323"/>
      <c r="P3300" s="1323"/>
      <c r="Q3300" s="1323"/>
      <c r="R3300" s="1304"/>
      <c r="S3300" s="1304"/>
      <c r="T3300" s="1304"/>
    </row>
    <row r="3301" spans="1:20">
      <c r="A3301" s="1303"/>
      <c r="B3301" s="1322" t="s">
        <v>8729</v>
      </c>
      <c r="C3301" s="1323" t="s">
        <v>8730</v>
      </c>
      <c r="D3301" s="1324">
        <f t="shared" si="336"/>
        <v>37074</v>
      </c>
      <c r="E3301" s="1323">
        <f t="shared" si="338"/>
        <v>8.0518999999999998</v>
      </c>
      <c r="F3301" s="1323">
        <f t="shared" si="337"/>
        <v>5.2116061975495107</v>
      </c>
      <c r="G3301" s="1323">
        <f t="shared" si="339"/>
        <v>2001</v>
      </c>
      <c r="H3301" s="1323">
        <f t="shared" si="340"/>
        <v>7</v>
      </c>
      <c r="I3301" s="1323">
        <f t="shared" si="341"/>
        <v>2</v>
      </c>
      <c r="J3301" s="1323"/>
      <c r="K3301" s="1323"/>
      <c r="L3301" s="1323"/>
      <c r="M3301" s="1323"/>
      <c r="N3301" s="1323"/>
      <c r="O3301" s="1323"/>
      <c r="P3301" s="1323"/>
      <c r="Q3301" s="1323"/>
      <c r="R3301" s="1304"/>
      <c r="S3301" s="1304"/>
      <c r="T3301" s="1304"/>
    </row>
    <row r="3302" spans="1:20">
      <c r="A3302" s="1303"/>
      <c r="B3302" s="1322" t="s">
        <v>8731</v>
      </c>
      <c r="C3302" s="1323" t="s">
        <v>8732</v>
      </c>
      <c r="D3302" s="1324">
        <f t="shared" si="336"/>
        <v>37071</v>
      </c>
      <c r="E3302" s="1323">
        <f t="shared" si="338"/>
        <v>8.0670999999999999</v>
      </c>
      <c r="F3302" s="1323">
        <f t="shared" si="337"/>
        <v>5.2106069030749484</v>
      </c>
      <c r="G3302" s="1323">
        <f t="shared" si="339"/>
        <v>2001</v>
      </c>
      <c r="H3302" s="1323">
        <f t="shared" si="340"/>
        <v>6</v>
      </c>
      <c r="I3302" s="1323">
        <f t="shared" si="341"/>
        <v>29</v>
      </c>
      <c r="J3302" s="1323"/>
      <c r="K3302" s="1323"/>
      <c r="L3302" s="1323"/>
      <c r="M3302" s="1323"/>
      <c r="N3302" s="1323"/>
      <c r="O3302" s="1323"/>
      <c r="P3302" s="1323"/>
      <c r="Q3302" s="1323"/>
      <c r="R3302" s="1304"/>
      <c r="S3302" s="1304"/>
      <c r="T3302" s="1304"/>
    </row>
    <row r="3303" spans="1:20">
      <c r="A3303" s="1303"/>
      <c r="B3303" s="1322" t="s">
        <v>8733</v>
      </c>
      <c r="C3303" s="1323" t="s">
        <v>8734</v>
      </c>
      <c r="D3303" s="1324">
        <f t="shared" si="336"/>
        <v>37070</v>
      </c>
      <c r="E3303" s="1323">
        <f t="shared" si="338"/>
        <v>8.0427999999999997</v>
      </c>
      <c r="F3303" s="1323">
        <f t="shared" si="337"/>
        <v>5.209607800209155</v>
      </c>
      <c r="G3303" s="1323">
        <f t="shared" si="339"/>
        <v>2001</v>
      </c>
      <c r="H3303" s="1323">
        <f t="shared" si="340"/>
        <v>6</v>
      </c>
      <c r="I3303" s="1323">
        <f t="shared" si="341"/>
        <v>28</v>
      </c>
      <c r="J3303" s="1323"/>
      <c r="K3303" s="1323"/>
      <c r="L3303" s="1323"/>
      <c r="M3303" s="1323"/>
      <c r="N3303" s="1323"/>
      <c r="O3303" s="1323"/>
      <c r="P3303" s="1323"/>
      <c r="Q3303" s="1323"/>
      <c r="R3303" s="1304"/>
      <c r="S3303" s="1304"/>
      <c r="T3303" s="1304"/>
    </row>
    <row r="3304" spans="1:20">
      <c r="A3304" s="1303"/>
      <c r="B3304" s="1322" t="s">
        <v>8735</v>
      </c>
      <c r="C3304" s="1323" t="s">
        <v>8736</v>
      </c>
      <c r="D3304" s="1324">
        <f t="shared" si="336"/>
        <v>37069</v>
      </c>
      <c r="E3304" s="1323">
        <f t="shared" si="338"/>
        <v>8.0128000000000004</v>
      </c>
      <c r="F3304" s="1323">
        <f t="shared" si="337"/>
        <v>5.2086088889153901</v>
      </c>
      <c r="G3304" s="1323">
        <f t="shared" si="339"/>
        <v>2001</v>
      </c>
      <c r="H3304" s="1323">
        <f t="shared" si="340"/>
        <v>6</v>
      </c>
      <c r="I3304" s="1323">
        <f t="shared" si="341"/>
        <v>27</v>
      </c>
      <c r="J3304" s="1323"/>
      <c r="K3304" s="1323"/>
      <c r="L3304" s="1323"/>
      <c r="M3304" s="1323"/>
      <c r="N3304" s="1323"/>
      <c r="O3304" s="1323"/>
      <c r="P3304" s="1323"/>
      <c r="Q3304" s="1323"/>
      <c r="R3304" s="1304"/>
      <c r="S3304" s="1304"/>
      <c r="T3304" s="1304"/>
    </row>
    <row r="3305" spans="1:20">
      <c r="A3305" s="1303"/>
      <c r="B3305" s="1322" t="s">
        <v>8737</v>
      </c>
      <c r="C3305" s="1323" t="s">
        <v>8738</v>
      </c>
      <c r="D3305" s="1324">
        <f t="shared" si="336"/>
        <v>37068</v>
      </c>
      <c r="E3305" s="1323">
        <f t="shared" si="338"/>
        <v>8.0157000000000007</v>
      </c>
      <c r="F3305" s="1323">
        <f t="shared" si="337"/>
        <v>5.2076101691569212</v>
      </c>
      <c r="G3305" s="1323">
        <f t="shared" si="339"/>
        <v>2001</v>
      </c>
      <c r="H3305" s="1323">
        <f t="shared" si="340"/>
        <v>6</v>
      </c>
      <c r="I3305" s="1323">
        <f t="shared" si="341"/>
        <v>26</v>
      </c>
      <c r="J3305" s="1323"/>
      <c r="K3305" s="1323"/>
      <c r="L3305" s="1323"/>
      <c r="M3305" s="1323"/>
      <c r="N3305" s="1323"/>
      <c r="O3305" s="1323"/>
      <c r="P3305" s="1323"/>
      <c r="Q3305" s="1323"/>
      <c r="R3305" s="1304"/>
      <c r="S3305" s="1304"/>
      <c r="T3305" s="1304"/>
    </row>
    <row r="3306" spans="1:20">
      <c r="A3306" s="1303"/>
      <c r="B3306" s="1322" t="s">
        <v>8739</v>
      </c>
      <c r="C3306" s="1323" t="s">
        <v>8740</v>
      </c>
      <c r="D3306" s="1324">
        <f t="shared" si="336"/>
        <v>37067</v>
      </c>
      <c r="E3306" s="1323">
        <f t="shared" si="338"/>
        <v>8.0320999999999998</v>
      </c>
      <c r="F3306" s="1323">
        <f t="shared" si="337"/>
        <v>5.2066116408970231</v>
      </c>
      <c r="G3306" s="1323">
        <f t="shared" si="339"/>
        <v>2001</v>
      </c>
      <c r="H3306" s="1323">
        <f t="shared" si="340"/>
        <v>6</v>
      </c>
      <c r="I3306" s="1323">
        <f t="shared" si="341"/>
        <v>25</v>
      </c>
      <c r="J3306" s="1323"/>
      <c r="K3306" s="1323"/>
      <c r="L3306" s="1323"/>
      <c r="M3306" s="1323"/>
      <c r="N3306" s="1323"/>
      <c r="O3306" s="1323"/>
      <c r="P3306" s="1323"/>
      <c r="Q3306" s="1323"/>
      <c r="R3306" s="1304"/>
      <c r="S3306" s="1304"/>
      <c r="T3306" s="1304"/>
    </row>
    <row r="3307" spans="1:20">
      <c r="A3307" s="1303"/>
      <c r="B3307" s="1322" t="s">
        <v>8741</v>
      </c>
      <c r="C3307" s="1323" t="s">
        <v>8742</v>
      </c>
      <c r="D3307" s="1324">
        <f t="shared" si="336"/>
        <v>37064</v>
      </c>
      <c r="E3307" s="1323">
        <f t="shared" si="338"/>
        <v>8.0703999999999994</v>
      </c>
      <c r="F3307" s="1323">
        <f t="shared" si="337"/>
        <v>5.2056133040989767</v>
      </c>
      <c r="G3307" s="1323">
        <f t="shared" si="339"/>
        <v>2001</v>
      </c>
      <c r="H3307" s="1323">
        <f t="shared" si="340"/>
        <v>6</v>
      </c>
      <c r="I3307" s="1323">
        <f t="shared" si="341"/>
        <v>22</v>
      </c>
      <c r="J3307" s="1323"/>
      <c r="K3307" s="1323"/>
      <c r="L3307" s="1323"/>
      <c r="M3307" s="1323"/>
      <c r="N3307" s="1323"/>
      <c r="O3307" s="1323"/>
      <c r="P3307" s="1323"/>
      <c r="Q3307" s="1323"/>
      <c r="R3307" s="1304"/>
      <c r="S3307" s="1304"/>
      <c r="T3307" s="1304"/>
    </row>
    <row r="3308" spans="1:20">
      <c r="A3308" s="1303"/>
      <c r="B3308" s="1322" t="s">
        <v>8743</v>
      </c>
      <c r="C3308" s="1323" t="s">
        <v>8744</v>
      </c>
      <c r="D3308" s="1324">
        <f t="shared" si="336"/>
        <v>37063</v>
      </c>
      <c r="E3308" s="1323">
        <f t="shared" si="338"/>
        <v>8.0801999999999996</v>
      </c>
      <c r="F3308" s="1323">
        <f t="shared" si="337"/>
        <v>5.2046151587260701</v>
      </c>
      <c r="G3308" s="1323">
        <f t="shared" si="339"/>
        <v>2001</v>
      </c>
      <c r="H3308" s="1323">
        <f t="shared" si="340"/>
        <v>6</v>
      </c>
      <c r="I3308" s="1323">
        <f t="shared" si="341"/>
        <v>21</v>
      </c>
      <c r="J3308" s="1323"/>
      <c r="K3308" s="1323"/>
      <c r="L3308" s="1323"/>
      <c r="M3308" s="1323"/>
      <c r="N3308" s="1323"/>
      <c r="O3308" s="1323"/>
      <c r="P3308" s="1323"/>
      <c r="Q3308" s="1323"/>
      <c r="R3308" s="1304"/>
      <c r="S3308" s="1304"/>
      <c r="T3308" s="1304"/>
    </row>
    <row r="3309" spans="1:20">
      <c r="A3309" s="1303"/>
      <c r="B3309" s="1322" t="s">
        <v>8745</v>
      </c>
      <c r="C3309" s="1323" t="s">
        <v>8746</v>
      </c>
      <c r="D3309" s="1324">
        <f t="shared" si="336"/>
        <v>37062</v>
      </c>
      <c r="E3309" s="1323">
        <f t="shared" si="338"/>
        <v>8.0886999999999993</v>
      </c>
      <c r="F3309" s="1323">
        <f t="shared" si="337"/>
        <v>5.2036172047415992</v>
      </c>
      <c r="G3309" s="1323">
        <f t="shared" si="339"/>
        <v>2001</v>
      </c>
      <c r="H3309" s="1323">
        <f t="shared" si="340"/>
        <v>6</v>
      </c>
      <c r="I3309" s="1323">
        <f t="shared" si="341"/>
        <v>20</v>
      </c>
      <c r="J3309" s="1323"/>
      <c r="K3309" s="1323"/>
      <c r="L3309" s="1323"/>
      <c r="M3309" s="1323"/>
      <c r="N3309" s="1323"/>
      <c r="O3309" s="1323"/>
      <c r="P3309" s="1323"/>
      <c r="Q3309" s="1323"/>
      <c r="R3309" s="1304"/>
      <c r="S3309" s="1304"/>
      <c r="T3309" s="1304"/>
    </row>
    <row r="3310" spans="1:20">
      <c r="A3310" s="1303"/>
      <c r="B3310" s="1322" t="s">
        <v>8747</v>
      </c>
      <c r="C3310" s="1323" t="s">
        <v>8748</v>
      </c>
      <c r="D3310" s="1324">
        <f t="shared" si="336"/>
        <v>37061</v>
      </c>
      <c r="E3310" s="1323">
        <f t="shared" si="338"/>
        <v>8.0459999999999994</v>
      </c>
      <c r="F3310" s="1323">
        <f t="shared" si="337"/>
        <v>5.2026194421088654</v>
      </c>
      <c r="G3310" s="1323">
        <f t="shared" si="339"/>
        <v>2001</v>
      </c>
      <c r="H3310" s="1323">
        <f t="shared" si="340"/>
        <v>6</v>
      </c>
      <c r="I3310" s="1323">
        <f t="shared" si="341"/>
        <v>19</v>
      </c>
      <c r="J3310" s="1323"/>
      <c r="K3310" s="1323"/>
      <c r="L3310" s="1323"/>
      <c r="M3310" s="1323"/>
      <c r="N3310" s="1323"/>
      <c r="O3310" s="1323"/>
      <c r="P3310" s="1323"/>
      <c r="Q3310" s="1323"/>
      <c r="R3310" s="1304"/>
      <c r="S3310" s="1304"/>
      <c r="T3310" s="1304"/>
    </row>
    <row r="3311" spans="1:20">
      <c r="A3311" s="1303"/>
      <c r="B3311" s="1322" t="s">
        <v>8749</v>
      </c>
      <c r="C3311" s="1323" t="s">
        <v>8750</v>
      </c>
      <c r="D3311" s="1324">
        <f t="shared" si="336"/>
        <v>37060</v>
      </c>
      <c r="E3311" s="1323">
        <f t="shared" si="338"/>
        <v>8.0175999999999998</v>
      </c>
      <c r="F3311" s="1323">
        <f t="shared" si="337"/>
        <v>5.201621870791179</v>
      </c>
      <c r="G3311" s="1323">
        <f t="shared" si="339"/>
        <v>2001</v>
      </c>
      <c r="H3311" s="1323">
        <f t="shared" si="340"/>
        <v>6</v>
      </c>
      <c r="I3311" s="1323">
        <f t="shared" si="341"/>
        <v>18</v>
      </c>
      <c r="J3311" s="1323"/>
      <c r="K3311" s="1323"/>
      <c r="L3311" s="1323"/>
      <c r="M3311" s="1323"/>
      <c r="N3311" s="1323"/>
      <c r="O3311" s="1323"/>
      <c r="P3311" s="1323"/>
      <c r="Q3311" s="1323"/>
      <c r="R3311" s="1304"/>
      <c r="S3311" s="1304"/>
      <c r="T3311" s="1304"/>
    </row>
    <row r="3312" spans="1:20">
      <c r="A3312" s="1303"/>
      <c r="B3312" s="1322" t="s">
        <v>8751</v>
      </c>
      <c r="C3312" s="1323" t="s">
        <v>8752</v>
      </c>
      <c r="D3312" s="1324">
        <f t="shared" si="336"/>
        <v>37057</v>
      </c>
      <c r="E3312" s="1323">
        <f t="shared" si="338"/>
        <v>8.0359999999999996</v>
      </c>
      <c r="F3312" s="1323">
        <f t="shared" si="337"/>
        <v>5.2006244907518564</v>
      </c>
      <c r="G3312" s="1323">
        <f t="shared" si="339"/>
        <v>2001</v>
      </c>
      <c r="H3312" s="1323">
        <f t="shared" si="340"/>
        <v>6</v>
      </c>
      <c r="I3312" s="1323">
        <f t="shared" si="341"/>
        <v>15</v>
      </c>
      <c r="J3312" s="1323"/>
      <c r="K3312" s="1323"/>
      <c r="L3312" s="1323"/>
      <c r="M3312" s="1323"/>
      <c r="N3312" s="1323"/>
      <c r="O3312" s="1323"/>
      <c r="P3312" s="1323"/>
      <c r="Q3312" s="1323"/>
      <c r="R3312" s="1304"/>
      <c r="S3312" s="1304"/>
      <c r="T3312" s="1304"/>
    </row>
    <row r="3313" spans="1:20">
      <c r="A3313" s="1303"/>
      <c r="B3313" s="1322" t="s">
        <v>8753</v>
      </c>
      <c r="C3313" s="1323" t="s">
        <v>3708</v>
      </c>
      <c r="D3313" s="1324">
        <f t="shared" si="336"/>
        <v>37056</v>
      </c>
      <c r="E3313" s="1323">
        <f t="shared" si="338"/>
        <v>8.0782000000000007</v>
      </c>
      <c r="F3313" s="1323">
        <f t="shared" si="337"/>
        <v>5.1996273019542212</v>
      </c>
      <c r="G3313" s="1323">
        <f t="shared" si="339"/>
        <v>2001</v>
      </c>
      <c r="H3313" s="1323">
        <f t="shared" si="340"/>
        <v>6</v>
      </c>
      <c r="I3313" s="1323">
        <f t="shared" si="341"/>
        <v>14</v>
      </c>
      <c r="J3313" s="1323"/>
      <c r="K3313" s="1323"/>
      <c r="L3313" s="1323"/>
      <c r="M3313" s="1323"/>
      <c r="N3313" s="1323"/>
      <c r="O3313" s="1323"/>
      <c r="P3313" s="1323"/>
      <c r="Q3313" s="1323"/>
      <c r="R3313" s="1304"/>
      <c r="S3313" s="1304"/>
      <c r="T3313" s="1304"/>
    </row>
    <row r="3314" spans="1:20">
      <c r="A3314" s="1303"/>
      <c r="B3314" s="1322" t="s">
        <v>8754</v>
      </c>
      <c r="C3314" s="1323" t="s">
        <v>8755</v>
      </c>
      <c r="D3314" s="1324">
        <f t="shared" si="336"/>
        <v>37055</v>
      </c>
      <c r="E3314" s="1323">
        <f t="shared" si="338"/>
        <v>8.1004000000000005</v>
      </c>
      <c r="F3314" s="1323">
        <f t="shared" si="337"/>
        <v>5.198630304361604</v>
      </c>
      <c r="G3314" s="1323">
        <f t="shared" si="339"/>
        <v>2001</v>
      </c>
      <c r="H3314" s="1323">
        <f t="shared" si="340"/>
        <v>6</v>
      </c>
      <c r="I3314" s="1323">
        <f t="shared" si="341"/>
        <v>13</v>
      </c>
      <c r="J3314" s="1323"/>
      <c r="K3314" s="1323"/>
      <c r="L3314" s="1323"/>
      <c r="M3314" s="1323"/>
      <c r="N3314" s="1323"/>
      <c r="O3314" s="1323"/>
      <c r="P3314" s="1323"/>
      <c r="Q3314" s="1323"/>
      <c r="R3314" s="1304"/>
      <c r="S3314" s="1304"/>
      <c r="T3314" s="1304"/>
    </row>
    <row r="3315" spans="1:20">
      <c r="A3315" s="1303"/>
      <c r="B3315" s="1322" t="s">
        <v>8756</v>
      </c>
      <c r="C3315" s="1323" t="s">
        <v>8757</v>
      </c>
      <c r="D3315" s="1324">
        <f t="shared" si="336"/>
        <v>37054</v>
      </c>
      <c r="E3315" s="1323">
        <f t="shared" si="338"/>
        <v>8.1004000000000005</v>
      </c>
      <c r="F3315" s="1323">
        <f t="shared" si="337"/>
        <v>5.1976334979373418</v>
      </c>
      <c r="G3315" s="1323">
        <f t="shared" si="339"/>
        <v>2001</v>
      </c>
      <c r="H3315" s="1323">
        <f t="shared" si="340"/>
        <v>6</v>
      </c>
      <c r="I3315" s="1323">
        <f t="shared" si="341"/>
        <v>12</v>
      </c>
      <c r="J3315" s="1323"/>
      <c r="K3315" s="1323"/>
      <c r="L3315" s="1323"/>
      <c r="M3315" s="1323"/>
      <c r="N3315" s="1323"/>
      <c r="O3315" s="1323"/>
      <c r="P3315" s="1323"/>
      <c r="Q3315" s="1323"/>
      <c r="R3315" s="1304"/>
      <c r="S3315" s="1304"/>
      <c r="T3315" s="1304"/>
    </row>
    <row r="3316" spans="1:20">
      <c r="A3316" s="1303"/>
      <c r="B3316" s="1322" t="s">
        <v>8758</v>
      </c>
      <c r="C3316" s="1323" t="s">
        <v>8757</v>
      </c>
      <c r="D3316" s="1324">
        <f t="shared" si="336"/>
        <v>37053</v>
      </c>
      <c r="E3316" s="1323">
        <f t="shared" si="338"/>
        <v>8.0693999999999999</v>
      </c>
      <c r="F3316" s="1323">
        <f t="shared" si="337"/>
        <v>5.1966368826447793</v>
      </c>
      <c r="G3316" s="1323">
        <f t="shared" si="339"/>
        <v>2001</v>
      </c>
      <c r="H3316" s="1323">
        <f t="shared" si="340"/>
        <v>6</v>
      </c>
      <c r="I3316" s="1323">
        <f t="shared" si="341"/>
        <v>11</v>
      </c>
      <c r="J3316" s="1323"/>
      <c r="K3316" s="1323"/>
      <c r="L3316" s="1323"/>
      <c r="M3316" s="1323"/>
      <c r="N3316" s="1323"/>
      <c r="O3316" s="1323"/>
      <c r="P3316" s="1323"/>
      <c r="Q3316" s="1323"/>
      <c r="R3316" s="1304"/>
      <c r="S3316" s="1304"/>
      <c r="T3316" s="1304"/>
    </row>
    <row r="3317" spans="1:20">
      <c r="A3317" s="1303"/>
      <c r="B3317" s="1322" t="s">
        <v>8759</v>
      </c>
      <c r="C3317" s="1323" t="s">
        <v>8760</v>
      </c>
      <c r="D3317" s="1324">
        <f t="shared" si="336"/>
        <v>37050</v>
      </c>
      <c r="E3317" s="1323">
        <f t="shared" si="338"/>
        <v>8.0844000000000005</v>
      </c>
      <c r="F3317" s="1323">
        <f t="shared" si="337"/>
        <v>5.1956404584472686</v>
      </c>
      <c r="G3317" s="1323">
        <f t="shared" si="339"/>
        <v>2001</v>
      </c>
      <c r="H3317" s="1323">
        <f t="shared" si="340"/>
        <v>6</v>
      </c>
      <c r="I3317" s="1323">
        <f t="shared" si="341"/>
        <v>8</v>
      </c>
      <c r="J3317" s="1323"/>
      <c r="K3317" s="1323"/>
      <c r="L3317" s="1323"/>
      <c r="M3317" s="1323"/>
      <c r="N3317" s="1323"/>
      <c r="O3317" s="1323"/>
      <c r="P3317" s="1323"/>
      <c r="Q3317" s="1323"/>
      <c r="R3317" s="1304"/>
      <c r="S3317" s="1304"/>
      <c r="T3317" s="1304"/>
    </row>
    <row r="3318" spans="1:20">
      <c r="A3318" s="1303"/>
      <c r="B3318" s="1322" t="s">
        <v>8761</v>
      </c>
      <c r="C3318" s="1323" t="s">
        <v>8762</v>
      </c>
      <c r="D3318" s="1324">
        <f t="shared" si="336"/>
        <v>37049</v>
      </c>
      <c r="E3318" s="1323">
        <f t="shared" si="338"/>
        <v>8.1288</v>
      </c>
      <c r="F3318" s="1323">
        <f t="shared" si="337"/>
        <v>5.1946442253081679</v>
      </c>
      <c r="G3318" s="1323">
        <f t="shared" si="339"/>
        <v>2001</v>
      </c>
      <c r="H3318" s="1323">
        <f t="shared" si="340"/>
        <v>6</v>
      </c>
      <c r="I3318" s="1323">
        <f t="shared" si="341"/>
        <v>7</v>
      </c>
      <c r="J3318" s="1323"/>
      <c r="K3318" s="1323"/>
      <c r="L3318" s="1323"/>
      <c r="M3318" s="1323"/>
      <c r="N3318" s="1323"/>
      <c r="O3318" s="1323"/>
      <c r="P3318" s="1323"/>
      <c r="Q3318" s="1323"/>
      <c r="R3318" s="1304"/>
      <c r="S3318" s="1304"/>
      <c r="T3318" s="1304"/>
    </row>
    <row r="3319" spans="1:20">
      <c r="A3319" s="1303"/>
      <c r="B3319" s="1322" t="s">
        <v>8763</v>
      </c>
      <c r="C3319" s="1323" t="s">
        <v>8764</v>
      </c>
      <c r="D3319" s="1324">
        <f t="shared" si="336"/>
        <v>37048</v>
      </c>
      <c r="E3319" s="1323">
        <f t="shared" si="338"/>
        <v>8.0191999999999997</v>
      </c>
      <c r="F3319" s="1323">
        <f t="shared" si="337"/>
        <v>5.1936481831908434</v>
      </c>
      <c r="G3319" s="1323">
        <f t="shared" si="339"/>
        <v>2001</v>
      </c>
      <c r="H3319" s="1323">
        <f t="shared" si="340"/>
        <v>6</v>
      </c>
      <c r="I3319" s="1323">
        <f t="shared" si="341"/>
        <v>6</v>
      </c>
      <c r="J3319" s="1323"/>
      <c r="K3319" s="1323"/>
      <c r="L3319" s="1323"/>
      <c r="M3319" s="1323"/>
      <c r="N3319" s="1323"/>
      <c r="O3319" s="1323"/>
      <c r="P3319" s="1323"/>
      <c r="Q3319" s="1323"/>
      <c r="R3319" s="1304"/>
      <c r="S3319" s="1304"/>
      <c r="T3319" s="1304"/>
    </row>
    <row r="3320" spans="1:20">
      <c r="A3320" s="1303"/>
      <c r="B3320" s="1322" t="s">
        <v>8765</v>
      </c>
      <c r="C3320" s="1323" t="s">
        <v>8766</v>
      </c>
      <c r="D3320" s="1324">
        <f t="shared" si="336"/>
        <v>37047</v>
      </c>
      <c r="E3320" s="1323">
        <f t="shared" si="338"/>
        <v>8.0860000000000003</v>
      </c>
      <c r="F3320" s="1323">
        <f t="shared" si="337"/>
        <v>5.1926523320586675</v>
      </c>
      <c r="G3320" s="1323">
        <f t="shared" si="339"/>
        <v>2001</v>
      </c>
      <c r="H3320" s="1323">
        <f t="shared" si="340"/>
        <v>6</v>
      </c>
      <c r="I3320" s="1323">
        <f t="shared" si="341"/>
        <v>5</v>
      </c>
      <c r="J3320" s="1323"/>
      <c r="K3320" s="1323"/>
      <c r="L3320" s="1323"/>
      <c r="M3320" s="1323"/>
      <c r="N3320" s="1323"/>
      <c r="O3320" s="1323"/>
      <c r="P3320" s="1323"/>
      <c r="Q3320" s="1323"/>
      <c r="R3320" s="1304"/>
      <c r="S3320" s="1304"/>
      <c r="T3320" s="1304"/>
    </row>
    <row r="3321" spans="1:20">
      <c r="A3321" s="1303"/>
      <c r="B3321" s="1322" t="s">
        <v>8767</v>
      </c>
      <c r="C3321" s="1323" t="s">
        <v>8768</v>
      </c>
      <c r="D3321" s="1324">
        <f t="shared" si="336"/>
        <v>37046</v>
      </c>
      <c r="E3321" s="1323">
        <f t="shared" si="338"/>
        <v>7.9859</v>
      </c>
      <c r="F3321" s="1323">
        <f t="shared" si="337"/>
        <v>5.1916566718750197</v>
      </c>
      <c r="G3321" s="1323">
        <f t="shared" si="339"/>
        <v>2001</v>
      </c>
      <c r="H3321" s="1323">
        <f t="shared" si="340"/>
        <v>6</v>
      </c>
      <c r="I3321" s="1323">
        <f t="shared" si="341"/>
        <v>4</v>
      </c>
      <c r="J3321" s="1323"/>
      <c r="K3321" s="1323"/>
      <c r="L3321" s="1323"/>
      <c r="M3321" s="1323"/>
      <c r="N3321" s="1323"/>
      <c r="O3321" s="1323"/>
      <c r="P3321" s="1323"/>
      <c r="Q3321" s="1323"/>
      <c r="R3321" s="1304"/>
      <c r="S3321" s="1304"/>
      <c r="T3321" s="1304"/>
    </row>
    <row r="3322" spans="1:20">
      <c r="A3322" s="1303"/>
      <c r="B3322" s="1322" t="s">
        <v>8769</v>
      </c>
      <c r="C3322" s="1323" t="s">
        <v>8770</v>
      </c>
      <c r="D3322" s="1324">
        <f t="shared" si="336"/>
        <v>37043</v>
      </c>
      <c r="E3322" s="1323">
        <f t="shared" si="338"/>
        <v>7.9970999999999997</v>
      </c>
      <c r="F3322" s="1323">
        <f t="shared" si="337"/>
        <v>5.1906612026032874</v>
      </c>
      <c r="G3322" s="1323">
        <f t="shared" si="339"/>
        <v>2001</v>
      </c>
      <c r="H3322" s="1323">
        <f t="shared" si="340"/>
        <v>6</v>
      </c>
      <c r="I3322" s="1323">
        <f t="shared" si="341"/>
        <v>1</v>
      </c>
      <c r="J3322" s="1323"/>
      <c r="K3322" s="1323"/>
      <c r="L3322" s="1323"/>
      <c r="M3322" s="1323"/>
      <c r="N3322" s="1323"/>
      <c r="O3322" s="1323"/>
      <c r="P3322" s="1323"/>
      <c r="Q3322" s="1323"/>
      <c r="R3322" s="1304"/>
      <c r="S3322" s="1304"/>
      <c r="T3322" s="1304"/>
    </row>
    <row r="3323" spans="1:20">
      <c r="A3323" s="1303"/>
      <c r="B3323" s="1322" t="s">
        <v>8771</v>
      </c>
      <c r="C3323" s="1323" t="s">
        <v>8772</v>
      </c>
      <c r="D3323" s="1324">
        <f t="shared" si="336"/>
        <v>37042</v>
      </c>
      <c r="E3323" s="1323">
        <f t="shared" si="338"/>
        <v>8.0137999999999998</v>
      </c>
      <c r="F3323" s="1323">
        <f t="shared" si="337"/>
        <v>5.1896659242068637</v>
      </c>
      <c r="G3323" s="1323">
        <f t="shared" si="339"/>
        <v>2001</v>
      </c>
      <c r="H3323" s="1323">
        <f t="shared" si="340"/>
        <v>5</v>
      </c>
      <c r="I3323" s="1323">
        <f t="shared" si="341"/>
        <v>31</v>
      </c>
      <c r="J3323" s="1323"/>
      <c r="K3323" s="1323"/>
      <c r="L3323" s="1323"/>
      <c r="M3323" s="1323"/>
      <c r="N3323" s="1323"/>
      <c r="O3323" s="1323"/>
      <c r="P3323" s="1323"/>
      <c r="Q3323" s="1323"/>
      <c r="R3323" s="1304"/>
      <c r="S3323" s="1304"/>
      <c r="T3323" s="1304"/>
    </row>
    <row r="3324" spans="1:20">
      <c r="A3324" s="1303"/>
      <c r="B3324" s="1322" t="s">
        <v>8773</v>
      </c>
      <c r="C3324" s="1323" t="s">
        <v>8774</v>
      </c>
      <c r="D3324" s="1324">
        <f t="shared" si="336"/>
        <v>37041</v>
      </c>
      <c r="E3324" s="1323">
        <f t="shared" si="338"/>
        <v>7.9528999999999996</v>
      </c>
      <c r="F3324" s="1323">
        <f t="shared" si="337"/>
        <v>5.1886708366491501</v>
      </c>
      <c r="G3324" s="1323">
        <f t="shared" si="339"/>
        <v>2001</v>
      </c>
      <c r="H3324" s="1323">
        <f t="shared" si="340"/>
        <v>5</v>
      </c>
      <c r="I3324" s="1323">
        <f t="shared" si="341"/>
        <v>30</v>
      </c>
      <c r="J3324" s="1323"/>
      <c r="K3324" s="1323"/>
      <c r="L3324" s="1323"/>
      <c r="M3324" s="1323"/>
      <c r="N3324" s="1323"/>
      <c r="O3324" s="1323"/>
      <c r="P3324" s="1323"/>
      <c r="Q3324" s="1323"/>
      <c r="R3324" s="1304"/>
      <c r="S3324" s="1304"/>
      <c r="T3324" s="1304"/>
    </row>
    <row r="3325" spans="1:20">
      <c r="A3325" s="1303"/>
      <c r="B3325" s="1322" t="s">
        <v>8775</v>
      </c>
      <c r="C3325" s="1323" t="s">
        <v>8776</v>
      </c>
      <c r="D3325" s="1324">
        <f t="shared" si="336"/>
        <v>37040</v>
      </c>
      <c r="E3325" s="1323">
        <f t="shared" si="338"/>
        <v>7.923</v>
      </c>
      <c r="F3325" s="1323">
        <f t="shared" si="337"/>
        <v>5.1876759398935537</v>
      </c>
      <c r="G3325" s="1323">
        <f t="shared" si="339"/>
        <v>2001</v>
      </c>
      <c r="H3325" s="1323">
        <f t="shared" si="340"/>
        <v>5</v>
      </c>
      <c r="I3325" s="1323">
        <f t="shared" si="341"/>
        <v>29</v>
      </c>
      <c r="J3325" s="1323"/>
      <c r="K3325" s="1323"/>
      <c r="L3325" s="1323"/>
      <c r="M3325" s="1323"/>
      <c r="N3325" s="1323"/>
      <c r="O3325" s="1323"/>
      <c r="P3325" s="1323"/>
      <c r="Q3325" s="1323"/>
      <c r="R3325" s="1304"/>
      <c r="S3325" s="1304"/>
      <c r="T3325" s="1304"/>
    </row>
    <row r="3326" spans="1:20">
      <c r="A3326" s="1303"/>
      <c r="B3326" s="1322" t="s">
        <v>8777</v>
      </c>
      <c r="C3326" s="1323" t="s">
        <v>8778</v>
      </c>
      <c r="D3326" s="1324">
        <f t="shared" si="336"/>
        <v>37039</v>
      </c>
      <c r="E3326" s="1323">
        <f t="shared" si="338"/>
        <v>7.8926999999999996</v>
      </c>
      <c r="F3326" s="1323">
        <f t="shared" si="337"/>
        <v>5.1866812339034896</v>
      </c>
      <c r="G3326" s="1323">
        <f t="shared" si="339"/>
        <v>2001</v>
      </c>
      <c r="H3326" s="1323">
        <f t="shared" si="340"/>
        <v>5</v>
      </c>
      <c r="I3326" s="1323">
        <f t="shared" si="341"/>
        <v>28</v>
      </c>
      <c r="J3326" s="1323"/>
      <c r="K3326" s="1323"/>
      <c r="L3326" s="1323"/>
      <c r="M3326" s="1323"/>
      <c r="N3326" s="1323"/>
      <c r="O3326" s="1323"/>
      <c r="P3326" s="1323"/>
      <c r="Q3326" s="1323"/>
      <c r="R3326" s="1304"/>
      <c r="S3326" s="1304"/>
      <c r="T3326" s="1304"/>
    </row>
    <row r="3327" spans="1:20">
      <c r="A3327" s="1303"/>
      <c r="B3327" s="1322" t="s">
        <v>8779</v>
      </c>
      <c r="C3327" s="1323" t="s">
        <v>8780</v>
      </c>
      <c r="D3327" s="1324">
        <f t="shared" si="336"/>
        <v>37036</v>
      </c>
      <c r="E3327" s="1323">
        <f t="shared" si="338"/>
        <v>7.9367999999999999</v>
      </c>
      <c r="F3327" s="1323">
        <f t="shared" si="337"/>
        <v>5.1856867186423798</v>
      </c>
      <c r="G3327" s="1323">
        <f t="shared" si="339"/>
        <v>2001</v>
      </c>
      <c r="H3327" s="1323">
        <f t="shared" si="340"/>
        <v>5</v>
      </c>
      <c r="I3327" s="1323">
        <f t="shared" si="341"/>
        <v>25</v>
      </c>
      <c r="J3327" s="1323"/>
      <c r="K3327" s="1323"/>
      <c r="L3327" s="1323"/>
      <c r="M3327" s="1323"/>
      <c r="N3327" s="1323"/>
      <c r="O3327" s="1323"/>
      <c r="P3327" s="1323"/>
      <c r="Q3327" s="1323"/>
      <c r="R3327" s="1304"/>
      <c r="S3327" s="1304"/>
      <c r="T3327" s="1304"/>
    </row>
    <row r="3328" spans="1:20">
      <c r="A3328" s="1303"/>
      <c r="B3328" s="1322" t="s">
        <v>8781</v>
      </c>
      <c r="C3328" s="1323" t="s">
        <v>8782</v>
      </c>
      <c r="D3328" s="1324">
        <f t="shared" si="336"/>
        <v>37035</v>
      </c>
      <c r="E3328" s="1323">
        <f t="shared" si="338"/>
        <v>7.9550999999999998</v>
      </c>
      <c r="F3328" s="1323">
        <f t="shared" si="337"/>
        <v>5.1846923940736529</v>
      </c>
      <c r="G3328" s="1323">
        <f t="shared" si="339"/>
        <v>2001</v>
      </c>
      <c r="H3328" s="1323">
        <f t="shared" si="340"/>
        <v>5</v>
      </c>
      <c r="I3328" s="1323">
        <f t="shared" si="341"/>
        <v>24</v>
      </c>
      <c r="J3328" s="1323"/>
      <c r="K3328" s="1323"/>
      <c r="L3328" s="1323"/>
      <c r="M3328" s="1323"/>
      <c r="N3328" s="1323"/>
      <c r="O3328" s="1323"/>
      <c r="P3328" s="1323"/>
      <c r="Q3328" s="1323"/>
      <c r="R3328" s="1304"/>
      <c r="S3328" s="1304"/>
      <c r="T3328" s="1304"/>
    </row>
    <row r="3329" spans="1:20">
      <c r="A3329" s="1303"/>
      <c r="B3329" s="1322" t="s">
        <v>8783</v>
      </c>
      <c r="C3329" s="1323" t="s">
        <v>8784</v>
      </c>
      <c r="D3329" s="1324">
        <f t="shared" si="336"/>
        <v>37034</v>
      </c>
      <c r="E3329" s="1323">
        <f t="shared" si="338"/>
        <v>7.8944999999999999</v>
      </c>
      <c r="F3329" s="1323">
        <f t="shared" si="337"/>
        <v>5.1836982601607451</v>
      </c>
      <c r="G3329" s="1323">
        <f t="shared" si="339"/>
        <v>2001</v>
      </c>
      <c r="H3329" s="1323">
        <f t="shared" si="340"/>
        <v>5</v>
      </c>
      <c r="I3329" s="1323">
        <f t="shared" si="341"/>
        <v>23</v>
      </c>
      <c r="J3329" s="1323"/>
      <c r="K3329" s="1323"/>
      <c r="L3329" s="1323"/>
      <c r="M3329" s="1323"/>
      <c r="N3329" s="1323"/>
      <c r="O3329" s="1323"/>
      <c r="P3329" s="1323"/>
      <c r="Q3329" s="1323"/>
      <c r="R3329" s="1304"/>
      <c r="S3329" s="1304"/>
      <c r="T3329" s="1304"/>
    </row>
    <row r="3330" spans="1:20">
      <c r="A3330" s="1303"/>
      <c r="B3330" s="1322" t="s">
        <v>8785</v>
      </c>
      <c r="C3330" s="1323" t="s">
        <v>8786</v>
      </c>
      <c r="D3330" s="1324">
        <f t="shared" si="336"/>
        <v>37033</v>
      </c>
      <c r="E3330" s="1323">
        <f t="shared" si="338"/>
        <v>7.907</v>
      </c>
      <c r="F3330" s="1323">
        <f t="shared" si="337"/>
        <v>5.182704316867099</v>
      </c>
      <c r="G3330" s="1323">
        <f t="shared" si="339"/>
        <v>2001</v>
      </c>
      <c r="H3330" s="1323">
        <f t="shared" si="340"/>
        <v>5</v>
      </c>
      <c r="I3330" s="1323">
        <f t="shared" si="341"/>
        <v>22</v>
      </c>
      <c r="J3330" s="1323"/>
      <c r="K3330" s="1323"/>
      <c r="L3330" s="1323"/>
      <c r="M3330" s="1323"/>
      <c r="N3330" s="1323"/>
      <c r="O3330" s="1323"/>
      <c r="P3330" s="1323"/>
      <c r="Q3330" s="1323"/>
      <c r="R3330" s="1304"/>
      <c r="S3330" s="1304"/>
      <c r="T3330" s="1304"/>
    </row>
    <row r="3331" spans="1:20">
      <c r="A3331" s="1303"/>
      <c r="B3331" s="1322" t="s">
        <v>8787</v>
      </c>
      <c r="C3331" s="1323" t="s">
        <v>8788</v>
      </c>
      <c r="D3331" s="1324">
        <f t="shared" si="336"/>
        <v>37032</v>
      </c>
      <c r="E3331" s="1323">
        <f t="shared" si="338"/>
        <v>7.8920000000000003</v>
      </c>
      <c r="F3331" s="1323">
        <f t="shared" si="337"/>
        <v>5.1817105641561652</v>
      </c>
      <c r="G3331" s="1323">
        <f t="shared" si="339"/>
        <v>2001</v>
      </c>
      <c r="H3331" s="1323">
        <f t="shared" si="340"/>
        <v>5</v>
      </c>
      <c r="I3331" s="1323">
        <f t="shared" si="341"/>
        <v>21</v>
      </c>
      <c r="J3331" s="1323"/>
      <c r="K3331" s="1323"/>
      <c r="L3331" s="1323"/>
      <c r="M3331" s="1323"/>
      <c r="N3331" s="1323"/>
      <c r="O3331" s="1323"/>
      <c r="P3331" s="1323"/>
      <c r="Q3331" s="1323"/>
      <c r="R3331" s="1304"/>
      <c r="S3331" s="1304"/>
      <c r="T3331" s="1304"/>
    </row>
    <row r="3332" spans="1:20">
      <c r="A3332" s="1303"/>
      <c r="B3332" s="1322" t="s">
        <v>8789</v>
      </c>
      <c r="C3332" s="1323" t="s">
        <v>8790</v>
      </c>
      <c r="D3332" s="1324">
        <f t="shared" si="336"/>
        <v>37029</v>
      </c>
      <c r="E3332" s="1323">
        <f t="shared" si="338"/>
        <v>7.9664999999999999</v>
      </c>
      <c r="F3332" s="1323">
        <f t="shared" si="337"/>
        <v>5.1807170019913995</v>
      </c>
      <c r="G3332" s="1323">
        <f t="shared" si="339"/>
        <v>2001</v>
      </c>
      <c r="H3332" s="1323">
        <f t="shared" si="340"/>
        <v>5</v>
      </c>
      <c r="I3332" s="1323">
        <f t="shared" si="341"/>
        <v>18</v>
      </c>
      <c r="J3332" s="1323"/>
      <c r="K3332" s="1323"/>
      <c r="L3332" s="1323"/>
      <c r="M3332" s="1323"/>
      <c r="N3332" s="1323"/>
      <c r="O3332" s="1323"/>
      <c r="P3332" s="1323"/>
      <c r="Q3332" s="1323"/>
      <c r="R3332" s="1304"/>
      <c r="S3332" s="1304"/>
      <c r="T3332" s="1304"/>
    </row>
    <row r="3333" spans="1:20">
      <c r="A3333" s="1303"/>
      <c r="B3333" s="1322" t="s">
        <v>8791</v>
      </c>
      <c r="C3333" s="1323" t="s">
        <v>8792</v>
      </c>
      <c r="D3333" s="1324">
        <f t="shared" si="336"/>
        <v>37028</v>
      </c>
      <c r="E3333" s="1323">
        <f t="shared" si="338"/>
        <v>7.9968000000000004</v>
      </c>
      <c r="F3333" s="1323">
        <f t="shared" si="337"/>
        <v>5.1797236303362659</v>
      </c>
      <c r="G3333" s="1323">
        <f t="shared" si="339"/>
        <v>2001</v>
      </c>
      <c r="H3333" s="1323">
        <f t="shared" si="340"/>
        <v>5</v>
      </c>
      <c r="I3333" s="1323">
        <f t="shared" si="341"/>
        <v>17</v>
      </c>
      <c r="J3333" s="1323"/>
      <c r="K3333" s="1323"/>
      <c r="L3333" s="1323"/>
      <c r="M3333" s="1323"/>
      <c r="N3333" s="1323"/>
      <c r="O3333" s="1323"/>
      <c r="P3333" s="1323"/>
      <c r="Q3333" s="1323"/>
      <c r="R3333" s="1304"/>
      <c r="S3333" s="1304"/>
      <c r="T3333" s="1304"/>
    </row>
    <row r="3334" spans="1:20">
      <c r="A3334" s="1303"/>
      <c r="B3334" s="1322" t="s">
        <v>8793</v>
      </c>
      <c r="C3334" s="1323" t="s">
        <v>8794</v>
      </c>
      <c r="D3334" s="1324">
        <f t="shared" si="336"/>
        <v>37027</v>
      </c>
      <c r="E3334" s="1323">
        <f t="shared" si="338"/>
        <v>7.9869000000000003</v>
      </c>
      <c r="F3334" s="1323">
        <f t="shared" si="337"/>
        <v>5.1787304491542363</v>
      </c>
      <c r="G3334" s="1323">
        <f t="shared" si="339"/>
        <v>2001</v>
      </c>
      <c r="H3334" s="1323">
        <f t="shared" si="340"/>
        <v>5</v>
      </c>
      <c r="I3334" s="1323">
        <f t="shared" si="341"/>
        <v>16</v>
      </c>
      <c r="J3334" s="1323"/>
      <c r="K3334" s="1323"/>
      <c r="L3334" s="1323"/>
      <c r="M3334" s="1323"/>
      <c r="N3334" s="1323"/>
      <c r="O3334" s="1323"/>
      <c r="P3334" s="1323"/>
      <c r="Q3334" s="1323"/>
      <c r="R3334" s="1304"/>
      <c r="S3334" s="1304"/>
      <c r="T3334" s="1304"/>
    </row>
    <row r="3335" spans="1:20">
      <c r="A3335" s="1303"/>
      <c r="B3335" s="1322" t="s">
        <v>8795</v>
      </c>
      <c r="C3335" s="1323" t="s">
        <v>8796</v>
      </c>
      <c r="D3335" s="1324">
        <f t="shared" si="336"/>
        <v>37026</v>
      </c>
      <c r="E3335" s="1323">
        <f t="shared" si="338"/>
        <v>7.9970999999999997</v>
      </c>
      <c r="F3335" s="1323">
        <f t="shared" si="337"/>
        <v>5.1777374584087879</v>
      </c>
      <c r="G3335" s="1323">
        <f t="shared" si="339"/>
        <v>2001</v>
      </c>
      <c r="H3335" s="1323">
        <f t="shared" si="340"/>
        <v>5</v>
      </c>
      <c r="I3335" s="1323">
        <f t="shared" si="341"/>
        <v>15</v>
      </c>
      <c r="J3335" s="1323"/>
      <c r="K3335" s="1323"/>
      <c r="L3335" s="1323"/>
      <c r="M3335" s="1323"/>
      <c r="N3335" s="1323"/>
      <c r="O3335" s="1323"/>
      <c r="P3335" s="1323"/>
      <c r="Q3335" s="1323"/>
      <c r="R3335" s="1304"/>
      <c r="S3335" s="1304"/>
      <c r="T3335" s="1304"/>
    </row>
    <row r="3336" spans="1:20">
      <c r="A3336" s="1303"/>
      <c r="B3336" s="1322" t="s">
        <v>8797</v>
      </c>
      <c r="C3336" s="1323" t="s">
        <v>8772</v>
      </c>
      <c r="D3336" s="1324">
        <f t="shared" si="336"/>
        <v>37025</v>
      </c>
      <c r="E3336" s="1323">
        <f t="shared" si="338"/>
        <v>7.9888000000000003</v>
      </c>
      <c r="F3336" s="1323">
        <f t="shared" si="337"/>
        <v>5.1767446580634058</v>
      </c>
      <c r="G3336" s="1323">
        <f t="shared" si="339"/>
        <v>2001</v>
      </c>
      <c r="H3336" s="1323">
        <f t="shared" si="340"/>
        <v>5</v>
      </c>
      <c r="I3336" s="1323">
        <f t="shared" si="341"/>
        <v>14</v>
      </c>
      <c r="J3336" s="1323"/>
      <c r="K3336" s="1323"/>
      <c r="L3336" s="1323"/>
      <c r="M3336" s="1323"/>
      <c r="N3336" s="1323"/>
      <c r="O3336" s="1323"/>
      <c r="P3336" s="1323"/>
      <c r="Q3336" s="1323"/>
      <c r="R3336" s="1304"/>
      <c r="S3336" s="1304"/>
      <c r="T3336" s="1304"/>
    </row>
    <row r="3337" spans="1:20">
      <c r="A3337" s="1303"/>
      <c r="B3337" s="1322" t="s">
        <v>8798</v>
      </c>
      <c r="C3337" s="1323" t="s">
        <v>8799</v>
      </c>
      <c r="D3337" s="1324">
        <f t="shared" ref="D3337:D3400" si="342">DATE(G3337,H3337,I3337)</f>
        <v>37022</v>
      </c>
      <c r="E3337" s="1323">
        <f t="shared" si="338"/>
        <v>7.9295999999999998</v>
      </c>
      <c r="F3337" s="1323">
        <f t="shared" ref="F3337:F3400" si="343">F3338*(1+$F$7/365)</f>
        <v>5.1757520480815815</v>
      </c>
      <c r="G3337" s="1323">
        <f t="shared" si="339"/>
        <v>2001</v>
      </c>
      <c r="H3337" s="1323">
        <f t="shared" si="340"/>
        <v>5</v>
      </c>
      <c r="I3337" s="1323">
        <f t="shared" si="341"/>
        <v>11</v>
      </c>
      <c r="J3337" s="1323"/>
      <c r="K3337" s="1323"/>
      <c r="L3337" s="1323"/>
      <c r="M3337" s="1323"/>
      <c r="N3337" s="1323"/>
      <c r="O3337" s="1323"/>
      <c r="P3337" s="1323"/>
      <c r="Q3337" s="1323"/>
      <c r="R3337" s="1304"/>
      <c r="S3337" s="1304"/>
      <c r="T3337" s="1304"/>
    </row>
    <row r="3338" spans="1:20">
      <c r="A3338" s="1303"/>
      <c r="B3338" s="1322" t="s">
        <v>8800</v>
      </c>
      <c r="C3338" s="1323" t="s">
        <v>8801</v>
      </c>
      <c r="D3338" s="1324">
        <f t="shared" si="342"/>
        <v>37021</v>
      </c>
      <c r="E3338" s="1323">
        <f t="shared" si="338"/>
        <v>7.9359000000000002</v>
      </c>
      <c r="F3338" s="1323">
        <f t="shared" si="343"/>
        <v>5.1747596284268145</v>
      </c>
      <c r="G3338" s="1323">
        <f t="shared" si="339"/>
        <v>2001</v>
      </c>
      <c r="H3338" s="1323">
        <f t="shared" si="340"/>
        <v>5</v>
      </c>
      <c r="I3338" s="1323">
        <f t="shared" si="341"/>
        <v>10</v>
      </c>
      <c r="J3338" s="1323"/>
      <c r="K3338" s="1323"/>
      <c r="L3338" s="1323"/>
      <c r="M3338" s="1323"/>
      <c r="N3338" s="1323"/>
      <c r="O3338" s="1323"/>
      <c r="P3338" s="1323"/>
      <c r="Q3338" s="1323"/>
      <c r="R3338" s="1304"/>
      <c r="S3338" s="1304"/>
      <c r="T3338" s="1304"/>
    </row>
    <row r="3339" spans="1:20">
      <c r="A3339" s="1303"/>
      <c r="B3339" s="1322" t="s">
        <v>8802</v>
      </c>
      <c r="C3339" s="1323" t="s">
        <v>8803</v>
      </c>
      <c r="D3339" s="1324">
        <f t="shared" si="342"/>
        <v>37020</v>
      </c>
      <c r="E3339" s="1323">
        <f t="shared" si="338"/>
        <v>7.9585999999999997</v>
      </c>
      <c r="F3339" s="1323">
        <f t="shared" si="343"/>
        <v>5.1737673990626103</v>
      </c>
      <c r="G3339" s="1323">
        <f t="shared" si="339"/>
        <v>2001</v>
      </c>
      <c r="H3339" s="1323">
        <f t="shared" si="340"/>
        <v>5</v>
      </c>
      <c r="I3339" s="1323">
        <f t="shared" si="341"/>
        <v>9</v>
      </c>
      <c r="J3339" s="1323"/>
      <c r="K3339" s="1323"/>
      <c r="L3339" s="1323"/>
      <c r="M3339" s="1323"/>
      <c r="N3339" s="1323"/>
      <c r="O3339" s="1323"/>
      <c r="P3339" s="1323"/>
      <c r="Q3339" s="1323"/>
      <c r="R3339" s="1304"/>
      <c r="S3339" s="1304"/>
      <c r="T3339" s="1304"/>
    </row>
    <row r="3340" spans="1:20">
      <c r="A3340" s="1303"/>
      <c r="B3340" s="1322" t="s">
        <v>8804</v>
      </c>
      <c r="C3340" s="1323" t="s">
        <v>8805</v>
      </c>
      <c r="D3340" s="1324">
        <f t="shared" si="342"/>
        <v>37019</v>
      </c>
      <c r="E3340" s="1323">
        <f t="shared" si="338"/>
        <v>8.0079999999999991</v>
      </c>
      <c r="F3340" s="1323">
        <f t="shared" si="343"/>
        <v>5.1727753599524826</v>
      </c>
      <c r="G3340" s="1323">
        <f t="shared" si="339"/>
        <v>2001</v>
      </c>
      <c r="H3340" s="1323">
        <f t="shared" si="340"/>
        <v>5</v>
      </c>
      <c r="I3340" s="1323">
        <f t="shared" si="341"/>
        <v>8</v>
      </c>
      <c r="J3340" s="1323"/>
      <c r="K3340" s="1323"/>
      <c r="L3340" s="1323"/>
      <c r="M3340" s="1323"/>
      <c r="N3340" s="1323"/>
      <c r="O3340" s="1323"/>
      <c r="P3340" s="1323"/>
      <c r="Q3340" s="1323"/>
      <c r="R3340" s="1304"/>
      <c r="S3340" s="1304"/>
      <c r="T3340" s="1304"/>
    </row>
    <row r="3341" spans="1:20">
      <c r="A3341" s="1303"/>
      <c r="B3341" s="1322" t="s">
        <v>8806</v>
      </c>
      <c r="C3341" s="1323" t="s">
        <v>8807</v>
      </c>
      <c r="D3341" s="1324">
        <f t="shared" si="342"/>
        <v>37018</v>
      </c>
      <c r="E3341" s="1323">
        <f t="shared" si="338"/>
        <v>8.0144000000000002</v>
      </c>
      <c r="F3341" s="1323">
        <f t="shared" si="343"/>
        <v>5.1717835110599504</v>
      </c>
      <c r="G3341" s="1323">
        <f t="shared" si="339"/>
        <v>2001</v>
      </c>
      <c r="H3341" s="1323">
        <f t="shared" si="340"/>
        <v>5</v>
      </c>
      <c r="I3341" s="1323">
        <f t="shared" si="341"/>
        <v>7</v>
      </c>
      <c r="J3341" s="1323"/>
      <c r="K3341" s="1323"/>
      <c r="L3341" s="1323"/>
      <c r="M3341" s="1323"/>
      <c r="N3341" s="1323"/>
      <c r="O3341" s="1323"/>
      <c r="P3341" s="1323"/>
      <c r="Q3341" s="1323"/>
      <c r="R3341" s="1304"/>
      <c r="S3341" s="1304"/>
      <c r="T3341" s="1304"/>
    </row>
    <row r="3342" spans="1:20">
      <c r="A3342" s="1303"/>
      <c r="B3342" s="1322" t="s">
        <v>8808</v>
      </c>
      <c r="C3342" s="1323" t="s">
        <v>8809</v>
      </c>
      <c r="D3342" s="1324">
        <f t="shared" si="342"/>
        <v>37015</v>
      </c>
      <c r="E3342" s="1323">
        <f t="shared" si="338"/>
        <v>8.0765999999999991</v>
      </c>
      <c r="F3342" s="1323">
        <f t="shared" si="343"/>
        <v>5.1707918523485406</v>
      </c>
      <c r="G3342" s="1323">
        <f t="shared" si="339"/>
        <v>2001</v>
      </c>
      <c r="H3342" s="1323">
        <f t="shared" si="340"/>
        <v>5</v>
      </c>
      <c r="I3342" s="1323">
        <f t="shared" si="341"/>
        <v>4</v>
      </c>
      <c r="J3342" s="1323"/>
      <c r="K3342" s="1323"/>
      <c r="L3342" s="1323"/>
      <c r="M3342" s="1323"/>
      <c r="N3342" s="1323"/>
      <c r="O3342" s="1323"/>
      <c r="P3342" s="1323"/>
      <c r="Q3342" s="1323"/>
      <c r="R3342" s="1304"/>
      <c r="S3342" s="1304"/>
      <c r="T3342" s="1304"/>
    </row>
    <row r="3343" spans="1:20">
      <c r="A3343" s="1303"/>
      <c r="B3343" s="1322" t="s">
        <v>8810</v>
      </c>
      <c r="C3343" s="1323" t="s">
        <v>8811</v>
      </c>
      <c r="D3343" s="1324">
        <f t="shared" si="342"/>
        <v>37014</v>
      </c>
      <c r="E3343" s="1323">
        <f t="shared" si="338"/>
        <v>8.0420999999999996</v>
      </c>
      <c r="F3343" s="1323">
        <f t="shared" si="343"/>
        <v>5.1698003837817881</v>
      </c>
      <c r="G3343" s="1323">
        <f t="shared" si="339"/>
        <v>2001</v>
      </c>
      <c r="H3343" s="1323">
        <f t="shared" si="340"/>
        <v>5</v>
      </c>
      <c r="I3343" s="1323">
        <f t="shared" si="341"/>
        <v>3</v>
      </c>
      <c r="J3343" s="1323"/>
      <c r="K3343" s="1323"/>
      <c r="L3343" s="1323"/>
      <c r="M3343" s="1323"/>
      <c r="N3343" s="1323"/>
      <c r="O3343" s="1323"/>
      <c r="P3343" s="1323"/>
      <c r="Q3343" s="1323"/>
      <c r="R3343" s="1304"/>
      <c r="S3343" s="1304"/>
      <c r="T3343" s="1304"/>
    </row>
    <row r="3344" spans="1:20">
      <c r="A3344" s="1303"/>
      <c r="B3344" s="1322" t="s">
        <v>8812</v>
      </c>
      <c r="C3344" s="1323" t="s">
        <v>8813</v>
      </c>
      <c r="D3344" s="1324">
        <f t="shared" si="342"/>
        <v>37013</v>
      </c>
      <c r="E3344" s="1323">
        <f t="shared" si="338"/>
        <v>8.0130999999999997</v>
      </c>
      <c r="F3344" s="1323">
        <f t="shared" si="343"/>
        <v>5.1688091053232323</v>
      </c>
      <c r="G3344" s="1323">
        <f t="shared" si="339"/>
        <v>2001</v>
      </c>
      <c r="H3344" s="1323">
        <f t="shared" si="340"/>
        <v>5</v>
      </c>
      <c r="I3344" s="1323">
        <f t="shared" si="341"/>
        <v>2</v>
      </c>
      <c r="J3344" s="1323"/>
      <c r="K3344" s="1323"/>
      <c r="L3344" s="1323"/>
      <c r="M3344" s="1323"/>
      <c r="N3344" s="1323"/>
      <c r="O3344" s="1323"/>
      <c r="P3344" s="1323"/>
      <c r="Q3344" s="1323"/>
      <c r="R3344" s="1304"/>
      <c r="S3344" s="1304"/>
      <c r="T3344" s="1304"/>
    </row>
    <row r="3345" spans="1:20">
      <c r="A3345" s="1303"/>
      <c r="B3345" s="1322" t="s">
        <v>8814</v>
      </c>
      <c r="C3345" s="1323" t="s">
        <v>8815</v>
      </c>
      <c r="D3345" s="1324">
        <f t="shared" si="342"/>
        <v>37011</v>
      </c>
      <c r="E3345" s="1323">
        <f t="shared" si="338"/>
        <v>7.9847000000000001</v>
      </c>
      <c r="F3345" s="1323">
        <f t="shared" si="343"/>
        <v>5.1678180169364225</v>
      </c>
      <c r="G3345" s="1323">
        <f t="shared" si="339"/>
        <v>2001</v>
      </c>
      <c r="H3345" s="1323">
        <f t="shared" si="340"/>
        <v>4</v>
      </c>
      <c r="I3345" s="1323">
        <f t="shared" si="341"/>
        <v>30</v>
      </c>
      <c r="J3345" s="1323"/>
      <c r="K3345" s="1323"/>
      <c r="L3345" s="1323"/>
      <c r="M3345" s="1323"/>
      <c r="N3345" s="1323"/>
      <c r="O3345" s="1323"/>
      <c r="P3345" s="1323"/>
      <c r="Q3345" s="1323"/>
      <c r="R3345" s="1304"/>
      <c r="S3345" s="1304"/>
      <c r="T3345" s="1304"/>
    </row>
    <row r="3346" spans="1:20">
      <c r="A3346" s="1303"/>
      <c r="B3346" s="1322" t="s">
        <v>8816</v>
      </c>
      <c r="C3346" s="1323" t="s">
        <v>8817</v>
      </c>
      <c r="D3346" s="1324">
        <f t="shared" si="342"/>
        <v>37007</v>
      </c>
      <c r="E3346" s="1323">
        <f t="shared" si="338"/>
        <v>8.1096000000000004</v>
      </c>
      <c r="F3346" s="1323">
        <f t="shared" si="343"/>
        <v>5.1668271185849131</v>
      </c>
      <c r="G3346" s="1323">
        <f t="shared" si="339"/>
        <v>2001</v>
      </c>
      <c r="H3346" s="1323">
        <f t="shared" si="340"/>
        <v>4</v>
      </c>
      <c r="I3346" s="1323">
        <f t="shared" si="341"/>
        <v>26</v>
      </c>
      <c r="J3346" s="1323"/>
      <c r="K3346" s="1323"/>
      <c r="L3346" s="1323"/>
      <c r="M3346" s="1323"/>
      <c r="N3346" s="1323"/>
      <c r="O3346" s="1323"/>
      <c r="P3346" s="1323"/>
      <c r="Q3346" s="1323"/>
      <c r="R3346" s="1304"/>
      <c r="S3346" s="1304"/>
      <c r="T3346" s="1304"/>
    </row>
    <row r="3347" spans="1:20">
      <c r="A3347" s="1303"/>
      <c r="B3347" s="1322" t="s">
        <v>8818</v>
      </c>
      <c r="C3347" s="1323" t="s">
        <v>8819</v>
      </c>
      <c r="D3347" s="1324">
        <f t="shared" si="342"/>
        <v>37006</v>
      </c>
      <c r="E3347" s="1323">
        <f t="shared" si="338"/>
        <v>8.0892999999999997</v>
      </c>
      <c r="F3347" s="1323">
        <f t="shared" si="343"/>
        <v>5.1658364102322656</v>
      </c>
      <c r="G3347" s="1323">
        <f t="shared" si="339"/>
        <v>2001</v>
      </c>
      <c r="H3347" s="1323">
        <f t="shared" si="340"/>
        <v>4</v>
      </c>
      <c r="I3347" s="1323">
        <f t="shared" si="341"/>
        <v>25</v>
      </c>
      <c r="J3347" s="1323"/>
      <c r="K3347" s="1323"/>
      <c r="L3347" s="1323"/>
      <c r="M3347" s="1323"/>
      <c r="N3347" s="1323"/>
      <c r="O3347" s="1323"/>
      <c r="P3347" s="1323"/>
      <c r="Q3347" s="1323"/>
      <c r="R3347" s="1304"/>
      <c r="S3347" s="1304"/>
      <c r="T3347" s="1304"/>
    </row>
    <row r="3348" spans="1:20">
      <c r="A3348" s="1303"/>
      <c r="B3348" s="1322" t="s">
        <v>8820</v>
      </c>
      <c r="C3348" s="1323" t="s">
        <v>8821</v>
      </c>
      <c r="D3348" s="1324">
        <f t="shared" si="342"/>
        <v>37005</v>
      </c>
      <c r="E3348" s="1323">
        <f t="shared" si="338"/>
        <v>8.1506000000000007</v>
      </c>
      <c r="F3348" s="1323">
        <f t="shared" si="343"/>
        <v>5.1648458918420488</v>
      </c>
      <c r="G3348" s="1323">
        <f t="shared" si="339"/>
        <v>2001</v>
      </c>
      <c r="H3348" s="1323">
        <f t="shared" si="340"/>
        <v>4</v>
      </c>
      <c r="I3348" s="1323">
        <f t="shared" si="341"/>
        <v>24</v>
      </c>
      <c r="J3348" s="1323"/>
      <c r="K3348" s="1323"/>
      <c r="L3348" s="1323"/>
      <c r="M3348" s="1323"/>
      <c r="N3348" s="1323"/>
      <c r="O3348" s="1323"/>
      <c r="P3348" s="1323"/>
      <c r="Q3348" s="1323"/>
      <c r="R3348" s="1304"/>
      <c r="S3348" s="1304"/>
      <c r="T3348" s="1304"/>
    </row>
    <row r="3349" spans="1:20">
      <c r="A3349" s="1303"/>
      <c r="B3349" s="1322" t="s">
        <v>8822</v>
      </c>
      <c r="C3349" s="1323" t="s">
        <v>8823</v>
      </c>
      <c r="D3349" s="1324">
        <f t="shared" si="342"/>
        <v>37004</v>
      </c>
      <c r="E3349" s="1323">
        <f t="shared" si="338"/>
        <v>8.1773000000000007</v>
      </c>
      <c r="F3349" s="1323">
        <f t="shared" si="343"/>
        <v>5.1638555633778394</v>
      </c>
      <c r="G3349" s="1323">
        <f t="shared" si="339"/>
        <v>2001</v>
      </c>
      <c r="H3349" s="1323">
        <f t="shared" si="340"/>
        <v>4</v>
      </c>
      <c r="I3349" s="1323">
        <f t="shared" si="341"/>
        <v>23</v>
      </c>
      <c r="J3349" s="1323"/>
      <c r="K3349" s="1323"/>
      <c r="L3349" s="1323"/>
      <c r="M3349" s="1323"/>
      <c r="N3349" s="1323"/>
      <c r="O3349" s="1323"/>
      <c r="P3349" s="1323"/>
      <c r="Q3349" s="1323"/>
      <c r="R3349" s="1304"/>
      <c r="S3349" s="1304"/>
      <c r="T3349" s="1304"/>
    </row>
    <row r="3350" spans="1:20">
      <c r="A3350" s="1303"/>
      <c r="B3350" s="1322" t="s">
        <v>8824</v>
      </c>
      <c r="C3350" s="1323" t="s">
        <v>8825</v>
      </c>
      <c r="D3350" s="1324">
        <f t="shared" si="342"/>
        <v>37001</v>
      </c>
      <c r="E3350" s="1323">
        <f t="shared" ref="E3350:E3413" si="344">VALUE(C3351)</f>
        <v>8.1189</v>
      </c>
      <c r="F3350" s="1323">
        <f t="shared" si="343"/>
        <v>5.1628654248032193</v>
      </c>
      <c r="G3350" s="1323">
        <f t="shared" ref="G3350:G3413" si="345">YEAR(B3351)</f>
        <v>2001</v>
      </c>
      <c r="H3350" s="1323">
        <f t="shared" ref="H3350:H3413" si="346">MONTH(B3351)</f>
        <v>4</v>
      </c>
      <c r="I3350" s="1323">
        <f t="shared" ref="I3350:I3413" si="347">DAY(B3351)</f>
        <v>20</v>
      </c>
      <c r="J3350" s="1323"/>
      <c r="K3350" s="1323"/>
      <c r="L3350" s="1323"/>
      <c r="M3350" s="1323"/>
      <c r="N3350" s="1323"/>
      <c r="O3350" s="1323"/>
      <c r="P3350" s="1323"/>
      <c r="Q3350" s="1323"/>
      <c r="R3350" s="1304"/>
      <c r="S3350" s="1304"/>
      <c r="T3350" s="1304"/>
    </row>
    <row r="3351" spans="1:20">
      <c r="A3351" s="1303"/>
      <c r="B3351" s="1322" t="s">
        <v>8826</v>
      </c>
      <c r="C3351" s="1323" t="s">
        <v>8827</v>
      </c>
      <c r="D3351" s="1324">
        <f t="shared" si="342"/>
        <v>37000</v>
      </c>
      <c r="E3351" s="1323">
        <f t="shared" si="344"/>
        <v>8.1460000000000008</v>
      </c>
      <c r="F3351" s="1323">
        <f t="shared" si="343"/>
        <v>5.1618754760817787</v>
      </c>
      <c r="G3351" s="1323">
        <f t="shared" si="345"/>
        <v>2001</v>
      </c>
      <c r="H3351" s="1323">
        <f t="shared" si="346"/>
        <v>4</v>
      </c>
      <c r="I3351" s="1323">
        <f t="shared" si="347"/>
        <v>19</v>
      </c>
      <c r="J3351" s="1323"/>
      <c r="K3351" s="1323"/>
      <c r="L3351" s="1323"/>
      <c r="M3351" s="1323"/>
      <c r="N3351" s="1323"/>
      <c r="O3351" s="1323"/>
      <c r="P3351" s="1323"/>
      <c r="Q3351" s="1323"/>
      <c r="R3351" s="1304"/>
      <c r="S3351" s="1304"/>
      <c r="T3351" s="1304"/>
    </row>
    <row r="3352" spans="1:20">
      <c r="A3352" s="1303"/>
      <c r="B3352" s="1322" t="s">
        <v>8828</v>
      </c>
      <c r="C3352" s="1323" t="s">
        <v>8829</v>
      </c>
      <c r="D3352" s="1324">
        <f t="shared" si="342"/>
        <v>36999</v>
      </c>
      <c r="E3352" s="1323">
        <f t="shared" si="344"/>
        <v>8.1096000000000004</v>
      </c>
      <c r="F3352" s="1323">
        <f t="shared" si="343"/>
        <v>5.1608857171771145</v>
      </c>
      <c r="G3352" s="1323">
        <f t="shared" si="345"/>
        <v>2001</v>
      </c>
      <c r="H3352" s="1323">
        <f t="shared" si="346"/>
        <v>4</v>
      </c>
      <c r="I3352" s="1323">
        <f t="shared" si="347"/>
        <v>18</v>
      </c>
      <c r="J3352" s="1323"/>
      <c r="K3352" s="1323"/>
      <c r="L3352" s="1323"/>
      <c r="M3352" s="1323"/>
      <c r="N3352" s="1323"/>
      <c r="O3352" s="1323"/>
      <c r="P3352" s="1323"/>
      <c r="Q3352" s="1323"/>
      <c r="R3352" s="1304"/>
      <c r="S3352" s="1304"/>
      <c r="T3352" s="1304"/>
    </row>
    <row r="3353" spans="1:20">
      <c r="A3353" s="1303"/>
      <c r="B3353" s="1322" t="s">
        <v>8830</v>
      </c>
      <c r="C3353" s="1323" t="s">
        <v>8819</v>
      </c>
      <c r="D3353" s="1324">
        <f t="shared" si="342"/>
        <v>36998</v>
      </c>
      <c r="E3353" s="1323">
        <f t="shared" si="344"/>
        <v>8.0873000000000008</v>
      </c>
      <c r="F3353" s="1323">
        <f t="shared" si="343"/>
        <v>5.1598961480528303</v>
      </c>
      <c r="G3353" s="1323">
        <f t="shared" si="345"/>
        <v>2001</v>
      </c>
      <c r="H3353" s="1323">
        <f t="shared" si="346"/>
        <v>4</v>
      </c>
      <c r="I3353" s="1323">
        <f t="shared" si="347"/>
        <v>17</v>
      </c>
      <c r="J3353" s="1323"/>
      <c r="K3353" s="1323"/>
      <c r="L3353" s="1323"/>
      <c r="M3353" s="1323"/>
      <c r="N3353" s="1323"/>
      <c r="O3353" s="1323"/>
      <c r="P3353" s="1323"/>
      <c r="Q3353" s="1323"/>
      <c r="R3353" s="1304"/>
      <c r="S3353" s="1304"/>
      <c r="T3353" s="1304"/>
    </row>
    <row r="3354" spans="1:20">
      <c r="A3354" s="1303"/>
      <c r="B3354" s="1322" t="s">
        <v>8831</v>
      </c>
      <c r="C3354" s="1323" t="s">
        <v>8832</v>
      </c>
      <c r="D3354" s="1324">
        <f t="shared" si="342"/>
        <v>36993</v>
      </c>
      <c r="E3354" s="1323">
        <f t="shared" si="344"/>
        <v>8.0015999999999998</v>
      </c>
      <c r="F3354" s="1323">
        <f t="shared" si="343"/>
        <v>5.1589067686725363</v>
      </c>
      <c r="G3354" s="1323">
        <f t="shared" si="345"/>
        <v>2001</v>
      </c>
      <c r="H3354" s="1323">
        <f t="shared" si="346"/>
        <v>4</v>
      </c>
      <c r="I3354" s="1323">
        <f t="shared" si="347"/>
        <v>12</v>
      </c>
      <c r="J3354" s="1323"/>
      <c r="K3354" s="1323"/>
      <c r="L3354" s="1323"/>
      <c r="M3354" s="1323"/>
      <c r="N3354" s="1323"/>
      <c r="O3354" s="1323"/>
      <c r="P3354" s="1323"/>
      <c r="Q3354" s="1323"/>
      <c r="R3354" s="1304"/>
      <c r="S3354" s="1304"/>
      <c r="T3354" s="1304"/>
    </row>
    <row r="3355" spans="1:20">
      <c r="A3355" s="1303"/>
      <c r="B3355" s="1322" t="s">
        <v>8833</v>
      </c>
      <c r="C3355" s="1323" t="s">
        <v>8834</v>
      </c>
      <c r="D3355" s="1324">
        <f t="shared" si="342"/>
        <v>36992</v>
      </c>
      <c r="E3355" s="1323">
        <f t="shared" si="344"/>
        <v>8.0454000000000008</v>
      </c>
      <c r="F3355" s="1323">
        <f t="shared" si="343"/>
        <v>5.157917578999851</v>
      </c>
      <c r="G3355" s="1323">
        <f t="shared" si="345"/>
        <v>2001</v>
      </c>
      <c r="H3355" s="1323">
        <f t="shared" si="346"/>
        <v>4</v>
      </c>
      <c r="I3355" s="1323">
        <f t="shared" si="347"/>
        <v>11</v>
      </c>
      <c r="J3355" s="1323"/>
      <c r="K3355" s="1323"/>
      <c r="L3355" s="1323"/>
      <c r="M3355" s="1323"/>
      <c r="N3355" s="1323"/>
      <c r="O3355" s="1323"/>
      <c r="P3355" s="1323"/>
      <c r="Q3355" s="1323"/>
      <c r="R3355" s="1304"/>
      <c r="S3355" s="1304"/>
      <c r="T3355" s="1304"/>
    </row>
    <row r="3356" spans="1:20">
      <c r="A3356" s="1303"/>
      <c r="B3356" s="1322" t="s">
        <v>8835</v>
      </c>
      <c r="C3356" s="1323" t="s">
        <v>8836</v>
      </c>
      <c r="D3356" s="1324">
        <f t="shared" si="342"/>
        <v>36991</v>
      </c>
      <c r="E3356" s="1323">
        <f t="shared" si="344"/>
        <v>8.0618999999999996</v>
      </c>
      <c r="F3356" s="1323">
        <f t="shared" si="343"/>
        <v>5.1569285789983992</v>
      </c>
      <c r="G3356" s="1323">
        <f t="shared" si="345"/>
        <v>2001</v>
      </c>
      <c r="H3356" s="1323">
        <f t="shared" si="346"/>
        <v>4</v>
      </c>
      <c r="I3356" s="1323">
        <f t="shared" si="347"/>
        <v>10</v>
      </c>
      <c r="J3356" s="1323"/>
      <c r="K3356" s="1323"/>
      <c r="L3356" s="1323"/>
      <c r="M3356" s="1323"/>
      <c r="N3356" s="1323"/>
      <c r="O3356" s="1323"/>
      <c r="P3356" s="1323"/>
      <c r="Q3356" s="1323"/>
      <c r="R3356" s="1304"/>
      <c r="S3356" s="1304"/>
      <c r="T3356" s="1304"/>
    </row>
    <row r="3357" spans="1:20">
      <c r="A3357" s="1303"/>
      <c r="B3357" s="1322" t="s">
        <v>8837</v>
      </c>
      <c r="C3357" s="1323" t="s">
        <v>8838</v>
      </c>
      <c r="D3357" s="1324">
        <f t="shared" si="342"/>
        <v>36990</v>
      </c>
      <c r="E3357" s="1323">
        <f t="shared" si="344"/>
        <v>8.0382999999999996</v>
      </c>
      <c r="F3357" s="1323">
        <f t="shared" si="343"/>
        <v>5.1559397686318125</v>
      </c>
      <c r="G3357" s="1323">
        <f t="shared" si="345"/>
        <v>2001</v>
      </c>
      <c r="H3357" s="1323">
        <f t="shared" si="346"/>
        <v>4</v>
      </c>
      <c r="I3357" s="1323">
        <f t="shared" si="347"/>
        <v>9</v>
      </c>
      <c r="J3357" s="1323"/>
      <c r="K3357" s="1323"/>
      <c r="L3357" s="1323"/>
      <c r="M3357" s="1323"/>
      <c r="N3357" s="1323"/>
      <c r="O3357" s="1323"/>
      <c r="P3357" s="1323"/>
      <c r="Q3357" s="1323"/>
      <c r="R3357" s="1304"/>
      <c r="S3357" s="1304"/>
      <c r="T3357" s="1304"/>
    </row>
    <row r="3358" spans="1:20">
      <c r="A3358" s="1303"/>
      <c r="B3358" s="1322" t="s">
        <v>8839</v>
      </c>
      <c r="C3358" s="1323" t="s">
        <v>8840</v>
      </c>
      <c r="D3358" s="1324">
        <f t="shared" si="342"/>
        <v>36987</v>
      </c>
      <c r="E3358" s="1323">
        <f t="shared" si="344"/>
        <v>8.1069999999999993</v>
      </c>
      <c r="F3358" s="1323">
        <f t="shared" si="343"/>
        <v>5.1549511478637289</v>
      </c>
      <c r="G3358" s="1323">
        <f t="shared" si="345"/>
        <v>2001</v>
      </c>
      <c r="H3358" s="1323">
        <f t="shared" si="346"/>
        <v>4</v>
      </c>
      <c r="I3358" s="1323">
        <f t="shared" si="347"/>
        <v>6</v>
      </c>
      <c r="J3358" s="1323"/>
      <c r="K3358" s="1323"/>
      <c r="L3358" s="1323"/>
      <c r="M3358" s="1323"/>
      <c r="N3358" s="1323"/>
      <c r="O3358" s="1323"/>
      <c r="P3358" s="1323"/>
      <c r="Q3358" s="1323"/>
      <c r="R3358" s="1304"/>
      <c r="S3358" s="1304"/>
      <c r="T3358" s="1304"/>
    </row>
    <row r="3359" spans="1:20">
      <c r="A3359" s="1303"/>
      <c r="B3359" s="1322" t="s">
        <v>8841</v>
      </c>
      <c r="C3359" s="1323" t="s">
        <v>8842</v>
      </c>
      <c r="D3359" s="1324">
        <f t="shared" si="342"/>
        <v>36986</v>
      </c>
      <c r="E3359" s="1323">
        <f t="shared" si="344"/>
        <v>8.0189000000000004</v>
      </c>
      <c r="F3359" s="1323">
        <f t="shared" si="343"/>
        <v>5.1539627166577944</v>
      </c>
      <c r="G3359" s="1323">
        <f t="shared" si="345"/>
        <v>2001</v>
      </c>
      <c r="H3359" s="1323">
        <f t="shared" si="346"/>
        <v>4</v>
      </c>
      <c r="I3359" s="1323">
        <f t="shared" si="347"/>
        <v>5</v>
      </c>
      <c r="J3359" s="1323"/>
      <c r="K3359" s="1323"/>
      <c r="L3359" s="1323"/>
      <c r="M3359" s="1323"/>
      <c r="N3359" s="1323"/>
      <c r="O3359" s="1323"/>
      <c r="P3359" s="1323"/>
      <c r="Q3359" s="1323"/>
      <c r="R3359" s="1304"/>
      <c r="S3359" s="1304"/>
      <c r="T3359" s="1304"/>
    </row>
    <row r="3360" spans="1:20">
      <c r="A3360" s="1303"/>
      <c r="B3360" s="1322" t="s">
        <v>8843</v>
      </c>
      <c r="C3360" s="1323" t="s">
        <v>8844</v>
      </c>
      <c r="D3360" s="1324">
        <f t="shared" si="342"/>
        <v>36985</v>
      </c>
      <c r="E3360" s="1323">
        <f t="shared" si="344"/>
        <v>8.0730000000000004</v>
      </c>
      <c r="F3360" s="1323">
        <f t="shared" si="343"/>
        <v>5.1529744749776611</v>
      </c>
      <c r="G3360" s="1323">
        <f t="shared" si="345"/>
        <v>2001</v>
      </c>
      <c r="H3360" s="1323">
        <f t="shared" si="346"/>
        <v>4</v>
      </c>
      <c r="I3360" s="1323">
        <f t="shared" si="347"/>
        <v>4</v>
      </c>
      <c r="J3360" s="1323"/>
      <c r="K3360" s="1323"/>
      <c r="L3360" s="1323"/>
      <c r="M3360" s="1323"/>
      <c r="N3360" s="1323"/>
      <c r="O3360" s="1323"/>
      <c r="P3360" s="1323"/>
      <c r="Q3360" s="1323"/>
      <c r="R3360" s="1304"/>
      <c r="S3360" s="1304"/>
      <c r="T3360" s="1304"/>
    </row>
    <row r="3361" spans="1:20">
      <c r="A3361" s="1303"/>
      <c r="B3361" s="1322" t="s">
        <v>8845</v>
      </c>
      <c r="C3361" s="1323" t="s">
        <v>8846</v>
      </c>
      <c r="D3361" s="1324">
        <f t="shared" si="342"/>
        <v>36984</v>
      </c>
      <c r="E3361" s="1323">
        <f t="shared" si="344"/>
        <v>8.1023999999999994</v>
      </c>
      <c r="F3361" s="1323">
        <f t="shared" si="343"/>
        <v>5.1519864227869894</v>
      </c>
      <c r="G3361" s="1323">
        <f t="shared" si="345"/>
        <v>2001</v>
      </c>
      <c r="H3361" s="1323">
        <f t="shared" si="346"/>
        <v>4</v>
      </c>
      <c r="I3361" s="1323">
        <f t="shared" si="347"/>
        <v>3</v>
      </c>
      <c r="J3361" s="1323"/>
      <c r="K3361" s="1323"/>
      <c r="L3361" s="1323"/>
      <c r="M3361" s="1323"/>
      <c r="N3361" s="1323"/>
      <c r="O3361" s="1323"/>
      <c r="P3361" s="1323"/>
      <c r="Q3361" s="1323"/>
      <c r="R3361" s="1304"/>
      <c r="S3361" s="1304"/>
      <c r="T3361" s="1304"/>
    </row>
    <row r="3362" spans="1:20">
      <c r="A3362" s="1303"/>
      <c r="B3362" s="1322" t="s">
        <v>8847</v>
      </c>
      <c r="C3362" s="1323" t="s">
        <v>8848</v>
      </c>
      <c r="D3362" s="1324">
        <f t="shared" si="342"/>
        <v>36983</v>
      </c>
      <c r="E3362" s="1323">
        <f t="shared" si="344"/>
        <v>8.048</v>
      </c>
      <c r="F3362" s="1323">
        <f t="shared" si="343"/>
        <v>5.1509985600494455</v>
      </c>
      <c r="G3362" s="1323">
        <f t="shared" si="345"/>
        <v>2001</v>
      </c>
      <c r="H3362" s="1323">
        <f t="shared" si="346"/>
        <v>4</v>
      </c>
      <c r="I3362" s="1323">
        <f t="shared" si="347"/>
        <v>2</v>
      </c>
      <c r="J3362" s="1323"/>
      <c r="K3362" s="1323"/>
      <c r="L3362" s="1323"/>
      <c r="M3362" s="1323"/>
      <c r="N3362" s="1323"/>
      <c r="O3362" s="1323"/>
      <c r="P3362" s="1323"/>
      <c r="Q3362" s="1323"/>
      <c r="R3362" s="1304"/>
      <c r="S3362" s="1304"/>
      <c r="T3362" s="1304"/>
    </row>
    <row r="3363" spans="1:20">
      <c r="A3363" s="1303"/>
      <c r="B3363" s="1322" t="s">
        <v>8849</v>
      </c>
      <c r="C3363" s="1323" t="s">
        <v>8850</v>
      </c>
      <c r="D3363" s="1324">
        <f t="shared" si="342"/>
        <v>36980</v>
      </c>
      <c r="E3363" s="1323">
        <f t="shared" si="344"/>
        <v>8.0183</v>
      </c>
      <c r="F3363" s="1323">
        <f t="shared" si="343"/>
        <v>5.1500108867287029</v>
      </c>
      <c r="G3363" s="1323">
        <f t="shared" si="345"/>
        <v>2001</v>
      </c>
      <c r="H3363" s="1323">
        <f t="shared" si="346"/>
        <v>3</v>
      </c>
      <c r="I3363" s="1323">
        <f t="shared" si="347"/>
        <v>30</v>
      </c>
      <c r="J3363" s="1323"/>
      <c r="K3363" s="1323"/>
      <c r="L3363" s="1323"/>
      <c r="M3363" s="1323"/>
      <c r="N3363" s="1323"/>
      <c r="O3363" s="1323"/>
      <c r="P3363" s="1323"/>
      <c r="Q3363" s="1323"/>
      <c r="R3363" s="1304"/>
      <c r="S3363" s="1304"/>
      <c r="T3363" s="1304"/>
    </row>
    <row r="3364" spans="1:20">
      <c r="A3364" s="1303"/>
      <c r="B3364" s="1322" t="s">
        <v>8851</v>
      </c>
      <c r="C3364" s="1323" t="s">
        <v>8852</v>
      </c>
      <c r="D3364" s="1324">
        <f t="shared" si="342"/>
        <v>36979</v>
      </c>
      <c r="E3364" s="1323">
        <f t="shared" si="344"/>
        <v>8.0225000000000009</v>
      </c>
      <c r="F3364" s="1323">
        <f t="shared" si="343"/>
        <v>5.1490234027884423</v>
      </c>
      <c r="G3364" s="1323">
        <f t="shared" si="345"/>
        <v>2001</v>
      </c>
      <c r="H3364" s="1323">
        <f t="shared" si="346"/>
        <v>3</v>
      </c>
      <c r="I3364" s="1323">
        <f t="shared" si="347"/>
        <v>29</v>
      </c>
      <c r="J3364" s="1323"/>
      <c r="K3364" s="1323"/>
      <c r="L3364" s="1323"/>
      <c r="M3364" s="1323"/>
      <c r="N3364" s="1323"/>
      <c r="O3364" s="1323"/>
      <c r="P3364" s="1323"/>
      <c r="Q3364" s="1323"/>
      <c r="R3364" s="1304"/>
      <c r="S3364" s="1304"/>
      <c r="T3364" s="1304"/>
    </row>
    <row r="3365" spans="1:20">
      <c r="A3365" s="1303"/>
      <c r="B3365" s="1322" t="s">
        <v>8853</v>
      </c>
      <c r="C3365" s="1323" t="s">
        <v>8854</v>
      </c>
      <c r="D3365" s="1324">
        <f t="shared" si="342"/>
        <v>36978</v>
      </c>
      <c r="E3365" s="1323">
        <f t="shared" si="344"/>
        <v>8.016</v>
      </c>
      <c r="F3365" s="1323">
        <f t="shared" si="343"/>
        <v>5.1480361081923505</v>
      </c>
      <c r="G3365" s="1323">
        <f t="shared" si="345"/>
        <v>2001</v>
      </c>
      <c r="H3365" s="1323">
        <f t="shared" si="346"/>
        <v>3</v>
      </c>
      <c r="I3365" s="1323">
        <f t="shared" si="347"/>
        <v>28</v>
      </c>
      <c r="J3365" s="1323"/>
      <c r="K3365" s="1323"/>
      <c r="L3365" s="1323"/>
      <c r="M3365" s="1323"/>
      <c r="N3365" s="1323"/>
      <c r="O3365" s="1323"/>
      <c r="P3365" s="1323"/>
      <c r="Q3365" s="1323"/>
      <c r="R3365" s="1304"/>
      <c r="S3365" s="1304"/>
      <c r="T3365" s="1304"/>
    </row>
    <row r="3366" spans="1:20">
      <c r="A3366" s="1303"/>
      <c r="B3366" s="1322" t="s">
        <v>8855</v>
      </c>
      <c r="C3366" s="1323" t="s">
        <v>8856</v>
      </c>
      <c r="D3366" s="1324">
        <f t="shared" si="342"/>
        <v>36977</v>
      </c>
      <c r="E3366" s="1323">
        <f t="shared" si="344"/>
        <v>7.9459999999999997</v>
      </c>
      <c r="F3366" s="1323">
        <f t="shared" si="343"/>
        <v>5.1470490029041223</v>
      </c>
      <c r="G3366" s="1323">
        <f t="shared" si="345"/>
        <v>2001</v>
      </c>
      <c r="H3366" s="1323">
        <f t="shared" si="346"/>
        <v>3</v>
      </c>
      <c r="I3366" s="1323">
        <f t="shared" si="347"/>
        <v>27</v>
      </c>
      <c r="J3366" s="1323"/>
      <c r="K3366" s="1323"/>
      <c r="L3366" s="1323"/>
      <c r="M3366" s="1323"/>
      <c r="N3366" s="1323"/>
      <c r="O3366" s="1323"/>
      <c r="P3366" s="1323"/>
      <c r="Q3366" s="1323"/>
      <c r="R3366" s="1304"/>
      <c r="S3366" s="1304"/>
      <c r="T3366" s="1304"/>
    </row>
    <row r="3367" spans="1:20">
      <c r="A3367" s="1303"/>
      <c r="B3367" s="1322" t="s">
        <v>8857</v>
      </c>
      <c r="C3367" s="1323" t="s">
        <v>8858</v>
      </c>
      <c r="D3367" s="1324">
        <f t="shared" si="342"/>
        <v>36976</v>
      </c>
      <c r="E3367" s="1323">
        <f t="shared" si="344"/>
        <v>7.9488000000000003</v>
      </c>
      <c r="F3367" s="1323">
        <f t="shared" si="343"/>
        <v>5.1460620868874587</v>
      </c>
      <c r="G3367" s="1323">
        <f t="shared" si="345"/>
        <v>2001</v>
      </c>
      <c r="H3367" s="1323">
        <f t="shared" si="346"/>
        <v>3</v>
      </c>
      <c r="I3367" s="1323">
        <f t="shared" si="347"/>
        <v>26</v>
      </c>
      <c r="J3367" s="1323"/>
      <c r="K3367" s="1323"/>
      <c r="L3367" s="1323"/>
      <c r="M3367" s="1323"/>
      <c r="N3367" s="1323"/>
      <c r="O3367" s="1323"/>
      <c r="P3367" s="1323"/>
      <c r="Q3367" s="1323"/>
      <c r="R3367" s="1304"/>
      <c r="S3367" s="1304"/>
      <c r="T3367" s="1304"/>
    </row>
    <row r="3368" spans="1:20">
      <c r="A3368" s="1303"/>
      <c r="B3368" s="1322" t="s">
        <v>8859</v>
      </c>
      <c r="C3368" s="1323" t="s">
        <v>8860</v>
      </c>
      <c r="D3368" s="1324">
        <f t="shared" si="342"/>
        <v>36973</v>
      </c>
      <c r="E3368" s="1323">
        <f t="shared" si="344"/>
        <v>7.9779999999999998</v>
      </c>
      <c r="F3368" s="1323">
        <f t="shared" si="343"/>
        <v>5.1450753601060679</v>
      </c>
      <c r="G3368" s="1323">
        <f t="shared" si="345"/>
        <v>2001</v>
      </c>
      <c r="H3368" s="1323">
        <f t="shared" si="346"/>
        <v>3</v>
      </c>
      <c r="I3368" s="1323">
        <f t="shared" si="347"/>
        <v>23</v>
      </c>
      <c r="J3368" s="1323"/>
      <c r="K3368" s="1323"/>
      <c r="L3368" s="1323"/>
      <c r="M3368" s="1323"/>
      <c r="N3368" s="1323"/>
      <c r="O3368" s="1323"/>
      <c r="P3368" s="1323"/>
      <c r="Q3368" s="1323"/>
      <c r="R3368" s="1304"/>
      <c r="S3368" s="1304"/>
      <c r="T3368" s="1304"/>
    </row>
    <row r="3369" spans="1:20">
      <c r="A3369" s="1303"/>
      <c r="B3369" s="1322" t="s">
        <v>8861</v>
      </c>
      <c r="C3369" s="1323" t="s">
        <v>8862</v>
      </c>
      <c r="D3369" s="1324">
        <f t="shared" si="342"/>
        <v>36972</v>
      </c>
      <c r="E3369" s="1323">
        <f t="shared" si="344"/>
        <v>8.0641999999999996</v>
      </c>
      <c r="F3369" s="1323">
        <f t="shared" si="343"/>
        <v>5.1440888225236661</v>
      </c>
      <c r="G3369" s="1323">
        <f t="shared" si="345"/>
        <v>2001</v>
      </c>
      <c r="H3369" s="1323">
        <f t="shared" si="346"/>
        <v>3</v>
      </c>
      <c r="I3369" s="1323">
        <f t="shared" si="347"/>
        <v>22</v>
      </c>
      <c r="J3369" s="1323"/>
      <c r="K3369" s="1323"/>
      <c r="L3369" s="1323"/>
      <c r="M3369" s="1323"/>
      <c r="N3369" s="1323"/>
      <c r="O3369" s="1323"/>
      <c r="P3369" s="1323"/>
      <c r="Q3369" s="1323"/>
      <c r="R3369" s="1304"/>
      <c r="S3369" s="1304"/>
      <c r="T3369" s="1304"/>
    </row>
    <row r="3370" spans="1:20">
      <c r="A3370" s="1303"/>
      <c r="B3370" s="1322" t="s">
        <v>8863</v>
      </c>
      <c r="C3370" s="1323" t="s">
        <v>8864</v>
      </c>
      <c r="D3370" s="1324">
        <f t="shared" si="342"/>
        <v>36970</v>
      </c>
      <c r="E3370" s="1323">
        <f t="shared" si="344"/>
        <v>7.9836999999999998</v>
      </c>
      <c r="F3370" s="1323">
        <f t="shared" si="343"/>
        <v>5.1431024741039746</v>
      </c>
      <c r="G3370" s="1323">
        <f t="shared" si="345"/>
        <v>2001</v>
      </c>
      <c r="H3370" s="1323">
        <f t="shared" si="346"/>
        <v>3</v>
      </c>
      <c r="I3370" s="1323">
        <f t="shared" si="347"/>
        <v>20</v>
      </c>
      <c r="J3370" s="1323"/>
      <c r="K3370" s="1323"/>
      <c r="L3370" s="1323"/>
      <c r="M3370" s="1323"/>
      <c r="N3370" s="1323"/>
      <c r="O3370" s="1323"/>
      <c r="P3370" s="1323"/>
      <c r="Q3370" s="1323"/>
      <c r="R3370" s="1304"/>
      <c r="S3370" s="1304"/>
      <c r="T3370" s="1304"/>
    </row>
    <row r="3371" spans="1:20">
      <c r="A3371" s="1303"/>
      <c r="B3371" s="1322" t="s">
        <v>8865</v>
      </c>
      <c r="C3371" s="1323" t="s">
        <v>8866</v>
      </c>
      <c r="D3371" s="1324">
        <f t="shared" si="342"/>
        <v>36969</v>
      </c>
      <c r="E3371" s="1323">
        <f t="shared" si="344"/>
        <v>7.9729000000000001</v>
      </c>
      <c r="F3371" s="1323">
        <f t="shared" si="343"/>
        <v>5.142116314810723</v>
      </c>
      <c r="G3371" s="1323">
        <f t="shared" si="345"/>
        <v>2001</v>
      </c>
      <c r="H3371" s="1323">
        <f t="shared" si="346"/>
        <v>3</v>
      </c>
      <c r="I3371" s="1323">
        <f t="shared" si="347"/>
        <v>19</v>
      </c>
      <c r="J3371" s="1323"/>
      <c r="K3371" s="1323"/>
      <c r="L3371" s="1323"/>
      <c r="M3371" s="1323"/>
      <c r="N3371" s="1323"/>
      <c r="O3371" s="1323"/>
      <c r="P3371" s="1323"/>
      <c r="Q3371" s="1323"/>
      <c r="R3371" s="1304"/>
      <c r="S3371" s="1304"/>
      <c r="T3371" s="1304"/>
    </row>
    <row r="3372" spans="1:20">
      <c r="A3372" s="1303"/>
      <c r="B3372" s="1322" t="s">
        <v>8867</v>
      </c>
      <c r="C3372" s="1323" t="s">
        <v>8868</v>
      </c>
      <c r="D3372" s="1324">
        <f t="shared" si="342"/>
        <v>36966</v>
      </c>
      <c r="E3372" s="1323">
        <f t="shared" si="344"/>
        <v>7.8696999999999999</v>
      </c>
      <c r="F3372" s="1323">
        <f t="shared" si="343"/>
        <v>5.1411303446076477</v>
      </c>
      <c r="G3372" s="1323">
        <f t="shared" si="345"/>
        <v>2001</v>
      </c>
      <c r="H3372" s="1323">
        <f t="shared" si="346"/>
        <v>3</v>
      </c>
      <c r="I3372" s="1323">
        <f t="shared" si="347"/>
        <v>16</v>
      </c>
      <c r="J3372" s="1323"/>
      <c r="K3372" s="1323"/>
      <c r="L3372" s="1323"/>
      <c r="M3372" s="1323"/>
      <c r="N3372" s="1323"/>
      <c r="O3372" s="1323"/>
      <c r="P3372" s="1323"/>
      <c r="Q3372" s="1323"/>
      <c r="R3372" s="1304"/>
      <c r="S3372" s="1304"/>
      <c r="T3372" s="1304"/>
    </row>
    <row r="3373" spans="1:20">
      <c r="A3373" s="1303"/>
      <c r="B3373" s="1322" t="s">
        <v>8869</v>
      </c>
      <c r="C3373" s="1323" t="s">
        <v>8870</v>
      </c>
      <c r="D3373" s="1324">
        <f t="shared" si="342"/>
        <v>36965</v>
      </c>
      <c r="E3373" s="1323">
        <f t="shared" si="344"/>
        <v>7.8802000000000003</v>
      </c>
      <c r="F3373" s="1323">
        <f t="shared" si="343"/>
        <v>5.1401445634584908</v>
      </c>
      <c r="G3373" s="1323">
        <f t="shared" si="345"/>
        <v>2001</v>
      </c>
      <c r="H3373" s="1323">
        <f t="shared" si="346"/>
        <v>3</v>
      </c>
      <c r="I3373" s="1323">
        <f t="shared" si="347"/>
        <v>15</v>
      </c>
      <c r="J3373" s="1323"/>
      <c r="K3373" s="1323"/>
      <c r="L3373" s="1323"/>
      <c r="M3373" s="1323"/>
      <c r="N3373" s="1323"/>
      <c r="O3373" s="1323"/>
      <c r="P3373" s="1323"/>
      <c r="Q3373" s="1323"/>
      <c r="R3373" s="1304"/>
      <c r="S3373" s="1304"/>
      <c r="T3373" s="1304"/>
    </row>
    <row r="3374" spans="1:20">
      <c r="A3374" s="1303"/>
      <c r="B3374" s="1322" t="s">
        <v>8871</v>
      </c>
      <c r="C3374" s="1323" t="s">
        <v>8872</v>
      </c>
      <c r="D3374" s="1324">
        <f t="shared" si="342"/>
        <v>36964</v>
      </c>
      <c r="E3374" s="1323">
        <f t="shared" si="344"/>
        <v>7.8502000000000001</v>
      </c>
      <c r="F3374" s="1323">
        <f t="shared" si="343"/>
        <v>5.1391589713270029</v>
      </c>
      <c r="G3374" s="1323">
        <f t="shared" si="345"/>
        <v>2001</v>
      </c>
      <c r="H3374" s="1323">
        <f t="shared" si="346"/>
        <v>3</v>
      </c>
      <c r="I3374" s="1323">
        <f t="shared" si="347"/>
        <v>14</v>
      </c>
      <c r="J3374" s="1323"/>
      <c r="K3374" s="1323"/>
      <c r="L3374" s="1323"/>
      <c r="M3374" s="1323"/>
      <c r="N3374" s="1323"/>
      <c r="O3374" s="1323"/>
      <c r="P3374" s="1323"/>
      <c r="Q3374" s="1323"/>
      <c r="R3374" s="1304"/>
      <c r="S3374" s="1304"/>
      <c r="T3374" s="1304"/>
    </row>
    <row r="3375" spans="1:20">
      <c r="A3375" s="1303"/>
      <c r="B3375" s="1322" t="s">
        <v>8873</v>
      </c>
      <c r="C3375" s="1323" t="s">
        <v>8874</v>
      </c>
      <c r="D3375" s="1324">
        <f t="shared" si="342"/>
        <v>36963</v>
      </c>
      <c r="E3375" s="1323">
        <f t="shared" si="344"/>
        <v>7.8216999999999999</v>
      </c>
      <c r="F3375" s="1323">
        <f t="shared" si="343"/>
        <v>5.1381735681769412</v>
      </c>
      <c r="G3375" s="1323">
        <f t="shared" si="345"/>
        <v>2001</v>
      </c>
      <c r="H3375" s="1323">
        <f t="shared" si="346"/>
        <v>3</v>
      </c>
      <c r="I3375" s="1323">
        <f t="shared" si="347"/>
        <v>13</v>
      </c>
      <c r="J3375" s="1323"/>
      <c r="K3375" s="1323"/>
      <c r="L3375" s="1323"/>
      <c r="M3375" s="1323"/>
      <c r="N3375" s="1323"/>
      <c r="O3375" s="1323"/>
      <c r="P3375" s="1323"/>
      <c r="Q3375" s="1323"/>
      <c r="R3375" s="1304"/>
      <c r="S3375" s="1304"/>
      <c r="T3375" s="1304"/>
    </row>
    <row r="3376" spans="1:20">
      <c r="A3376" s="1303"/>
      <c r="B3376" s="1322" t="s">
        <v>8875</v>
      </c>
      <c r="C3376" s="1323" t="s">
        <v>8876</v>
      </c>
      <c r="D3376" s="1324">
        <f t="shared" si="342"/>
        <v>36962</v>
      </c>
      <c r="E3376" s="1323">
        <f t="shared" si="344"/>
        <v>7.7667000000000002</v>
      </c>
      <c r="F3376" s="1323">
        <f t="shared" si="343"/>
        <v>5.1371883539720695</v>
      </c>
      <c r="G3376" s="1323">
        <f t="shared" si="345"/>
        <v>2001</v>
      </c>
      <c r="H3376" s="1323">
        <f t="shared" si="346"/>
        <v>3</v>
      </c>
      <c r="I3376" s="1323">
        <f t="shared" si="347"/>
        <v>12</v>
      </c>
      <c r="J3376" s="1323"/>
      <c r="K3376" s="1323"/>
      <c r="L3376" s="1323"/>
      <c r="M3376" s="1323"/>
      <c r="N3376" s="1323"/>
      <c r="O3376" s="1323"/>
      <c r="P3376" s="1323"/>
      <c r="Q3376" s="1323"/>
      <c r="R3376" s="1304"/>
      <c r="S3376" s="1304"/>
      <c r="T3376" s="1304"/>
    </row>
    <row r="3377" spans="1:20">
      <c r="A3377" s="1303"/>
      <c r="B3377" s="1322" t="s">
        <v>8877</v>
      </c>
      <c r="C3377" s="1323" t="s">
        <v>8878</v>
      </c>
      <c r="D3377" s="1324">
        <f t="shared" si="342"/>
        <v>36959</v>
      </c>
      <c r="E3377" s="1323">
        <f t="shared" si="344"/>
        <v>7.6928999999999998</v>
      </c>
      <c r="F3377" s="1323">
        <f t="shared" si="343"/>
        <v>5.1362033286761593</v>
      </c>
      <c r="G3377" s="1323">
        <f t="shared" si="345"/>
        <v>2001</v>
      </c>
      <c r="H3377" s="1323">
        <f t="shared" si="346"/>
        <v>3</v>
      </c>
      <c r="I3377" s="1323">
        <f t="shared" si="347"/>
        <v>9</v>
      </c>
      <c r="J3377" s="1323"/>
      <c r="K3377" s="1323"/>
      <c r="L3377" s="1323"/>
      <c r="M3377" s="1323"/>
      <c r="N3377" s="1323"/>
      <c r="O3377" s="1323"/>
      <c r="P3377" s="1323"/>
      <c r="Q3377" s="1323"/>
      <c r="R3377" s="1304"/>
      <c r="S3377" s="1304"/>
      <c r="T3377" s="1304"/>
    </row>
    <row r="3378" spans="1:20">
      <c r="A3378" s="1303"/>
      <c r="B3378" s="1322" t="s">
        <v>8879</v>
      </c>
      <c r="C3378" s="1323" t="s">
        <v>3544</v>
      </c>
      <c r="D3378" s="1324">
        <f t="shared" si="342"/>
        <v>36958</v>
      </c>
      <c r="E3378" s="1323">
        <f t="shared" si="344"/>
        <v>7.9169999999999998</v>
      </c>
      <c r="F3378" s="1323">
        <f t="shared" si="343"/>
        <v>5.1352184922529869</v>
      </c>
      <c r="G3378" s="1323">
        <f t="shared" si="345"/>
        <v>2001</v>
      </c>
      <c r="H3378" s="1323">
        <f t="shared" si="346"/>
        <v>3</v>
      </c>
      <c r="I3378" s="1323">
        <f t="shared" si="347"/>
        <v>8</v>
      </c>
      <c r="J3378" s="1323"/>
      <c r="K3378" s="1323"/>
      <c r="L3378" s="1323"/>
      <c r="M3378" s="1323"/>
      <c r="N3378" s="1323"/>
      <c r="O3378" s="1323"/>
      <c r="P3378" s="1323"/>
      <c r="Q3378" s="1323"/>
      <c r="R3378" s="1304"/>
      <c r="S3378" s="1304"/>
      <c r="T3378" s="1304"/>
    </row>
    <row r="3379" spans="1:20">
      <c r="A3379" s="1303"/>
      <c r="B3379" s="1322" t="s">
        <v>8880</v>
      </c>
      <c r="C3379" s="1323" t="s">
        <v>8881</v>
      </c>
      <c r="D3379" s="1324">
        <f t="shared" si="342"/>
        <v>36957</v>
      </c>
      <c r="E3379" s="1323">
        <f t="shared" si="344"/>
        <v>7.8758999999999997</v>
      </c>
      <c r="F3379" s="1323">
        <f t="shared" si="343"/>
        <v>5.1342338446663387</v>
      </c>
      <c r="G3379" s="1323">
        <f t="shared" si="345"/>
        <v>2001</v>
      </c>
      <c r="H3379" s="1323">
        <f t="shared" si="346"/>
        <v>3</v>
      </c>
      <c r="I3379" s="1323">
        <f t="shared" si="347"/>
        <v>7</v>
      </c>
      <c r="J3379" s="1323"/>
      <c r="K3379" s="1323"/>
      <c r="L3379" s="1323"/>
      <c r="M3379" s="1323"/>
      <c r="N3379" s="1323"/>
      <c r="O3379" s="1323"/>
      <c r="P3379" s="1323"/>
      <c r="Q3379" s="1323"/>
      <c r="R3379" s="1304"/>
      <c r="S3379" s="1304"/>
      <c r="T3379" s="1304"/>
    </row>
    <row r="3380" spans="1:20">
      <c r="A3380" s="1303"/>
      <c r="B3380" s="1322" t="s">
        <v>8882</v>
      </c>
      <c r="C3380" s="1323" t="s">
        <v>8883</v>
      </c>
      <c r="D3380" s="1324">
        <f t="shared" si="342"/>
        <v>36956</v>
      </c>
      <c r="E3380" s="1323">
        <f t="shared" si="344"/>
        <v>7.7847999999999997</v>
      </c>
      <c r="F3380" s="1323">
        <f t="shared" si="343"/>
        <v>5.1332493858800055</v>
      </c>
      <c r="G3380" s="1323">
        <f t="shared" si="345"/>
        <v>2001</v>
      </c>
      <c r="H3380" s="1323">
        <f t="shared" si="346"/>
        <v>3</v>
      </c>
      <c r="I3380" s="1323">
        <f t="shared" si="347"/>
        <v>6</v>
      </c>
      <c r="J3380" s="1323"/>
      <c r="K3380" s="1323"/>
      <c r="L3380" s="1323"/>
      <c r="M3380" s="1323"/>
      <c r="N3380" s="1323"/>
      <c r="O3380" s="1323"/>
      <c r="P3380" s="1323"/>
      <c r="Q3380" s="1323"/>
      <c r="R3380" s="1304"/>
      <c r="S3380" s="1304"/>
      <c r="T3380" s="1304"/>
    </row>
    <row r="3381" spans="1:20">
      <c r="A3381" s="1303"/>
      <c r="B3381" s="1322" t="s">
        <v>8884</v>
      </c>
      <c r="C3381" s="1323" t="s">
        <v>8885</v>
      </c>
      <c r="D3381" s="1324">
        <f t="shared" si="342"/>
        <v>36955</v>
      </c>
      <c r="E3381" s="1323">
        <f t="shared" si="344"/>
        <v>7.7411000000000003</v>
      </c>
      <c r="F3381" s="1323">
        <f t="shared" si="343"/>
        <v>5.1322651158577859</v>
      </c>
      <c r="G3381" s="1323">
        <f t="shared" si="345"/>
        <v>2001</v>
      </c>
      <c r="H3381" s="1323">
        <f t="shared" si="346"/>
        <v>3</v>
      </c>
      <c r="I3381" s="1323">
        <f t="shared" si="347"/>
        <v>5</v>
      </c>
      <c r="J3381" s="1323"/>
      <c r="K3381" s="1323"/>
      <c r="L3381" s="1323"/>
      <c r="M3381" s="1323"/>
      <c r="N3381" s="1323"/>
      <c r="O3381" s="1323"/>
      <c r="P3381" s="1323"/>
      <c r="Q3381" s="1323"/>
      <c r="R3381" s="1304"/>
      <c r="S3381" s="1304"/>
      <c r="T3381" s="1304"/>
    </row>
    <row r="3382" spans="1:20">
      <c r="A3382" s="1303"/>
      <c r="B3382" s="1322" t="s">
        <v>8886</v>
      </c>
      <c r="C3382" s="1323" t="s">
        <v>8887</v>
      </c>
      <c r="D3382" s="1324">
        <f t="shared" si="342"/>
        <v>36952</v>
      </c>
      <c r="E3382" s="1323">
        <f t="shared" si="344"/>
        <v>7.7408000000000001</v>
      </c>
      <c r="F3382" s="1323">
        <f t="shared" si="343"/>
        <v>5.1312810345634858</v>
      </c>
      <c r="G3382" s="1323">
        <f t="shared" si="345"/>
        <v>2001</v>
      </c>
      <c r="H3382" s="1323">
        <f t="shared" si="346"/>
        <v>3</v>
      </c>
      <c r="I3382" s="1323">
        <f t="shared" si="347"/>
        <v>2</v>
      </c>
      <c r="J3382" s="1323"/>
      <c r="K3382" s="1323"/>
      <c r="L3382" s="1323"/>
      <c r="M3382" s="1323"/>
      <c r="N3382" s="1323"/>
      <c r="O3382" s="1323"/>
      <c r="P3382" s="1323"/>
      <c r="Q3382" s="1323"/>
      <c r="R3382" s="1304"/>
      <c r="S3382" s="1304"/>
      <c r="T3382" s="1304"/>
    </row>
    <row r="3383" spans="1:20">
      <c r="A3383" s="1303"/>
      <c r="B3383" s="1322" t="s">
        <v>8888</v>
      </c>
      <c r="C3383" s="1323" t="s">
        <v>8889</v>
      </c>
      <c r="D3383" s="1324">
        <f t="shared" si="342"/>
        <v>36951</v>
      </c>
      <c r="E3383" s="1323">
        <f t="shared" si="344"/>
        <v>7.6910999999999996</v>
      </c>
      <c r="F3383" s="1323">
        <f t="shared" si="343"/>
        <v>5.1302971419609182</v>
      </c>
      <c r="G3383" s="1323">
        <f t="shared" si="345"/>
        <v>2001</v>
      </c>
      <c r="H3383" s="1323">
        <f t="shared" si="346"/>
        <v>3</v>
      </c>
      <c r="I3383" s="1323">
        <f t="shared" si="347"/>
        <v>1</v>
      </c>
      <c r="J3383" s="1323"/>
      <c r="K3383" s="1323"/>
      <c r="L3383" s="1323"/>
      <c r="M3383" s="1323"/>
      <c r="N3383" s="1323"/>
      <c r="O3383" s="1323"/>
      <c r="P3383" s="1323"/>
      <c r="Q3383" s="1323"/>
      <c r="R3383" s="1304"/>
      <c r="S3383" s="1304"/>
      <c r="T3383" s="1304"/>
    </row>
    <row r="3384" spans="1:20">
      <c r="A3384" s="1303"/>
      <c r="B3384" s="1322" t="s">
        <v>8890</v>
      </c>
      <c r="C3384" s="1323" t="s">
        <v>8891</v>
      </c>
      <c r="D3384" s="1324">
        <f t="shared" si="342"/>
        <v>36950</v>
      </c>
      <c r="E3384" s="1323">
        <f t="shared" si="344"/>
        <v>7.6863999999999999</v>
      </c>
      <c r="F3384" s="1323">
        <f t="shared" si="343"/>
        <v>5.1293134380139014</v>
      </c>
      <c r="G3384" s="1323">
        <f t="shared" si="345"/>
        <v>2001</v>
      </c>
      <c r="H3384" s="1323">
        <f t="shared" si="346"/>
        <v>2</v>
      </c>
      <c r="I3384" s="1323">
        <f t="shared" si="347"/>
        <v>28</v>
      </c>
      <c r="J3384" s="1323"/>
      <c r="K3384" s="1323"/>
      <c r="L3384" s="1323"/>
      <c r="M3384" s="1323"/>
      <c r="N3384" s="1323"/>
      <c r="O3384" s="1323"/>
      <c r="P3384" s="1323"/>
      <c r="Q3384" s="1323"/>
      <c r="R3384" s="1304"/>
      <c r="S3384" s="1304"/>
      <c r="T3384" s="1304"/>
    </row>
    <row r="3385" spans="1:20">
      <c r="A3385" s="1303"/>
      <c r="B3385" s="1322" t="s">
        <v>8892</v>
      </c>
      <c r="C3385" s="1323" t="s">
        <v>8893</v>
      </c>
      <c r="D3385" s="1324">
        <f t="shared" si="342"/>
        <v>36949</v>
      </c>
      <c r="E3385" s="1323">
        <f t="shared" si="344"/>
        <v>7.7220000000000004</v>
      </c>
      <c r="F3385" s="1323">
        <f t="shared" si="343"/>
        <v>5.1283299226862624</v>
      </c>
      <c r="G3385" s="1323">
        <f t="shared" si="345"/>
        <v>2001</v>
      </c>
      <c r="H3385" s="1323">
        <f t="shared" si="346"/>
        <v>2</v>
      </c>
      <c r="I3385" s="1323">
        <f t="shared" si="347"/>
        <v>27</v>
      </c>
      <c r="J3385" s="1323"/>
      <c r="K3385" s="1323"/>
      <c r="L3385" s="1323"/>
      <c r="M3385" s="1323"/>
      <c r="N3385" s="1323"/>
      <c r="O3385" s="1323"/>
      <c r="P3385" s="1323"/>
      <c r="Q3385" s="1323"/>
      <c r="R3385" s="1304"/>
      <c r="S3385" s="1304"/>
      <c r="T3385" s="1304"/>
    </row>
    <row r="3386" spans="1:20">
      <c r="A3386" s="1303"/>
      <c r="B3386" s="1322" t="s">
        <v>8894</v>
      </c>
      <c r="C3386" s="1323" t="s">
        <v>8895</v>
      </c>
      <c r="D3386" s="1324">
        <f t="shared" si="342"/>
        <v>36948</v>
      </c>
      <c r="E3386" s="1323">
        <f t="shared" si="344"/>
        <v>7.8238000000000003</v>
      </c>
      <c r="F3386" s="1323">
        <f t="shared" si="343"/>
        <v>5.1273465959418347</v>
      </c>
      <c r="G3386" s="1323">
        <f t="shared" si="345"/>
        <v>2001</v>
      </c>
      <c r="H3386" s="1323">
        <f t="shared" si="346"/>
        <v>2</v>
      </c>
      <c r="I3386" s="1323">
        <f t="shared" si="347"/>
        <v>26</v>
      </c>
      <c r="J3386" s="1323"/>
      <c r="K3386" s="1323"/>
      <c r="L3386" s="1323"/>
      <c r="M3386" s="1323"/>
      <c r="N3386" s="1323"/>
      <c r="O3386" s="1323"/>
      <c r="P3386" s="1323"/>
      <c r="Q3386" s="1323"/>
      <c r="R3386" s="1304"/>
      <c r="S3386" s="1304"/>
      <c r="T3386" s="1304"/>
    </row>
    <row r="3387" spans="1:20">
      <c r="A3387" s="1303"/>
      <c r="B3387" s="1322" t="s">
        <v>8896</v>
      </c>
      <c r="C3387" s="1323" t="s">
        <v>7779</v>
      </c>
      <c r="D3387" s="1324">
        <f t="shared" si="342"/>
        <v>36945</v>
      </c>
      <c r="E3387" s="1323">
        <f t="shared" si="344"/>
        <v>7.8011999999999997</v>
      </c>
      <c r="F3387" s="1323">
        <f t="shared" si="343"/>
        <v>5.1263634577444588</v>
      </c>
      <c r="G3387" s="1323">
        <f t="shared" si="345"/>
        <v>2001</v>
      </c>
      <c r="H3387" s="1323">
        <f t="shared" si="346"/>
        <v>2</v>
      </c>
      <c r="I3387" s="1323">
        <f t="shared" si="347"/>
        <v>23</v>
      </c>
      <c r="J3387" s="1323"/>
      <c r="K3387" s="1323"/>
      <c r="L3387" s="1323"/>
      <c r="M3387" s="1323"/>
      <c r="N3387" s="1323"/>
      <c r="O3387" s="1323"/>
      <c r="P3387" s="1323"/>
      <c r="Q3387" s="1323"/>
      <c r="R3387" s="1304"/>
      <c r="S3387" s="1304"/>
      <c r="T3387" s="1304"/>
    </row>
    <row r="3388" spans="1:20">
      <c r="A3388" s="1303"/>
      <c r="B3388" s="1322" t="s">
        <v>8897</v>
      </c>
      <c r="C3388" s="1323" t="s">
        <v>8898</v>
      </c>
      <c r="D3388" s="1324">
        <f t="shared" si="342"/>
        <v>36944</v>
      </c>
      <c r="E3388" s="1323">
        <f t="shared" si="344"/>
        <v>7.8131000000000004</v>
      </c>
      <c r="F3388" s="1323">
        <f t="shared" si="343"/>
        <v>5.1253805080579822</v>
      </c>
      <c r="G3388" s="1323">
        <f t="shared" si="345"/>
        <v>2001</v>
      </c>
      <c r="H3388" s="1323">
        <f t="shared" si="346"/>
        <v>2</v>
      </c>
      <c r="I3388" s="1323">
        <f t="shared" si="347"/>
        <v>22</v>
      </c>
      <c r="J3388" s="1323"/>
      <c r="K3388" s="1323"/>
      <c r="L3388" s="1323"/>
      <c r="M3388" s="1323"/>
      <c r="N3388" s="1323"/>
      <c r="O3388" s="1323"/>
      <c r="P3388" s="1323"/>
      <c r="Q3388" s="1323"/>
      <c r="R3388" s="1304"/>
      <c r="S3388" s="1304"/>
      <c r="T3388" s="1304"/>
    </row>
    <row r="3389" spans="1:20">
      <c r="A3389" s="1303"/>
      <c r="B3389" s="1322" t="s">
        <v>8899</v>
      </c>
      <c r="C3389" s="1323" t="s">
        <v>8900</v>
      </c>
      <c r="D3389" s="1324">
        <f t="shared" si="342"/>
        <v>36943</v>
      </c>
      <c r="E3389" s="1323">
        <f t="shared" si="344"/>
        <v>7.7751000000000001</v>
      </c>
      <c r="F3389" s="1323">
        <f t="shared" si="343"/>
        <v>5.1243977468462578</v>
      </c>
      <c r="G3389" s="1323">
        <f t="shared" si="345"/>
        <v>2001</v>
      </c>
      <c r="H3389" s="1323">
        <f t="shared" si="346"/>
        <v>2</v>
      </c>
      <c r="I3389" s="1323">
        <f t="shared" si="347"/>
        <v>21</v>
      </c>
      <c r="J3389" s="1323"/>
      <c r="K3389" s="1323"/>
      <c r="L3389" s="1323"/>
      <c r="M3389" s="1323"/>
      <c r="N3389" s="1323"/>
      <c r="O3389" s="1323"/>
      <c r="P3389" s="1323"/>
      <c r="Q3389" s="1323"/>
      <c r="R3389" s="1304"/>
      <c r="S3389" s="1304"/>
      <c r="T3389" s="1304"/>
    </row>
    <row r="3390" spans="1:20">
      <c r="A3390" s="1303"/>
      <c r="B3390" s="1322" t="s">
        <v>8901</v>
      </c>
      <c r="C3390" s="1323" t="s">
        <v>8902</v>
      </c>
      <c r="D3390" s="1324">
        <f t="shared" si="342"/>
        <v>36942</v>
      </c>
      <c r="E3390" s="1323">
        <f t="shared" si="344"/>
        <v>7.7690999999999999</v>
      </c>
      <c r="F3390" s="1323">
        <f t="shared" si="343"/>
        <v>5.1234151740731475</v>
      </c>
      <c r="G3390" s="1323">
        <f t="shared" si="345"/>
        <v>2001</v>
      </c>
      <c r="H3390" s="1323">
        <f t="shared" si="346"/>
        <v>2</v>
      </c>
      <c r="I3390" s="1323">
        <f t="shared" si="347"/>
        <v>20</v>
      </c>
      <c r="J3390" s="1323"/>
      <c r="K3390" s="1323"/>
      <c r="L3390" s="1323"/>
      <c r="M3390" s="1323"/>
      <c r="N3390" s="1323"/>
      <c r="O3390" s="1323"/>
      <c r="P3390" s="1323"/>
      <c r="Q3390" s="1323"/>
      <c r="R3390" s="1304"/>
      <c r="S3390" s="1304"/>
      <c r="T3390" s="1304"/>
    </row>
    <row r="3391" spans="1:20">
      <c r="A3391" s="1303"/>
      <c r="B3391" s="1322" t="s">
        <v>8903</v>
      </c>
      <c r="C3391" s="1323" t="s">
        <v>8904</v>
      </c>
      <c r="D3391" s="1324">
        <f t="shared" si="342"/>
        <v>36941</v>
      </c>
      <c r="E3391" s="1323">
        <f t="shared" si="344"/>
        <v>7.7648999999999999</v>
      </c>
      <c r="F3391" s="1323">
        <f t="shared" si="343"/>
        <v>5.1224327897025193</v>
      </c>
      <c r="G3391" s="1323">
        <f t="shared" si="345"/>
        <v>2001</v>
      </c>
      <c r="H3391" s="1323">
        <f t="shared" si="346"/>
        <v>2</v>
      </c>
      <c r="I3391" s="1323">
        <f t="shared" si="347"/>
        <v>19</v>
      </c>
      <c r="J3391" s="1323"/>
      <c r="K3391" s="1323"/>
      <c r="L3391" s="1323"/>
      <c r="M3391" s="1323"/>
      <c r="N3391" s="1323"/>
      <c r="O3391" s="1323"/>
      <c r="P3391" s="1323"/>
      <c r="Q3391" s="1323"/>
      <c r="R3391" s="1304"/>
      <c r="S3391" s="1304"/>
      <c r="T3391" s="1304"/>
    </row>
    <row r="3392" spans="1:20">
      <c r="A3392" s="1303"/>
      <c r="B3392" s="1322" t="s">
        <v>8905</v>
      </c>
      <c r="C3392" s="1323" t="s">
        <v>8906</v>
      </c>
      <c r="D3392" s="1324">
        <f t="shared" si="342"/>
        <v>36938</v>
      </c>
      <c r="E3392" s="1323">
        <f t="shared" si="344"/>
        <v>7.8784000000000001</v>
      </c>
      <c r="F3392" s="1323">
        <f t="shared" si="343"/>
        <v>5.1214505936982482</v>
      </c>
      <c r="G3392" s="1323">
        <f t="shared" si="345"/>
        <v>2001</v>
      </c>
      <c r="H3392" s="1323">
        <f t="shared" si="346"/>
        <v>2</v>
      </c>
      <c r="I3392" s="1323">
        <f t="shared" si="347"/>
        <v>16</v>
      </c>
      <c r="J3392" s="1323"/>
      <c r="K3392" s="1323"/>
      <c r="L3392" s="1323"/>
      <c r="M3392" s="1323"/>
      <c r="N3392" s="1323"/>
      <c r="O3392" s="1323"/>
      <c r="P3392" s="1323"/>
      <c r="Q3392" s="1323"/>
      <c r="R3392" s="1304"/>
      <c r="S3392" s="1304"/>
      <c r="T3392" s="1304"/>
    </row>
    <row r="3393" spans="1:20">
      <c r="A3393" s="1303"/>
      <c r="B3393" s="1322" t="s">
        <v>8907</v>
      </c>
      <c r="C3393" s="1323" t="s">
        <v>8908</v>
      </c>
      <c r="D3393" s="1324">
        <f t="shared" si="342"/>
        <v>36937</v>
      </c>
      <c r="E3393" s="1323">
        <f t="shared" si="344"/>
        <v>7.8802000000000003</v>
      </c>
      <c r="F3393" s="1323">
        <f t="shared" si="343"/>
        <v>5.1204685860242156</v>
      </c>
      <c r="G3393" s="1323">
        <f t="shared" si="345"/>
        <v>2001</v>
      </c>
      <c r="H3393" s="1323">
        <f t="shared" si="346"/>
        <v>2</v>
      </c>
      <c r="I3393" s="1323">
        <f t="shared" si="347"/>
        <v>15</v>
      </c>
      <c r="J3393" s="1323"/>
      <c r="K3393" s="1323"/>
      <c r="L3393" s="1323"/>
      <c r="M3393" s="1323"/>
      <c r="N3393" s="1323"/>
      <c r="O3393" s="1323"/>
      <c r="P3393" s="1323"/>
      <c r="Q3393" s="1323"/>
      <c r="R3393" s="1304"/>
      <c r="S3393" s="1304"/>
      <c r="T3393" s="1304"/>
    </row>
    <row r="3394" spans="1:20">
      <c r="A3394" s="1303"/>
      <c r="B3394" s="1322" t="s">
        <v>8909</v>
      </c>
      <c r="C3394" s="1323" t="s">
        <v>8872</v>
      </c>
      <c r="D3394" s="1324">
        <f t="shared" si="342"/>
        <v>36936</v>
      </c>
      <c r="E3394" s="1323">
        <f t="shared" si="344"/>
        <v>7.9375</v>
      </c>
      <c r="F3394" s="1323">
        <f t="shared" si="343"/>
        <v>5.1194867666443109</v>
      </c>
      <c r="G3394" s="1323">
        <f t="shared" si="345"/>
        <v>2001</v>
      </c>
      <c r="H3394" s="1323">
        <f t="shared" si="346"/>
        <v>2</v>
      </c>
      <c r="I3394" s="1323">
        <f t="shared" si="347"/>
        <v>14</v>
      </c>
      <c r="J3394" s="1323"/>
      <c r="K3394" s="1323"/>
      <c r="L3394" s="1323"/>
      <c r="M3394" s="1323"/>
      <c r="N3394" s="1323"/>
      <c r="O3394" s="1323"/>
      <c r="P3394" s="1323"/>
      <c r="Q3394" s="1323"/>
      <c r="R3394" s="1304"/>
      <c r="S3394" s="1304"/>
      <c r="T3394" s="1304"/>
    </row>
    <row r="3395" spans="1:20">
      <c r="A3395" s="1303"/>
      <c r="B3395" s="1322" t="s">
        <v>8910</v>
      </c>
      <c r="C3395" s="1323" t="s">
        <v>8911</v>
      </c>
      <c r="D3395" s="1324">
        <f t="shared" si="342"/>
        <v>36935</v>
      </c>
      <c r="E3395" s="1323">
        <f t="shared" si="344"/>
        <v>7.8428000000000004</v>
      </c>
      <c r="F3395" s="1323">
        <f t="shared" si="343"/>
        <v>5.1185051355224296</v>
      </c>
      <c r="G3395" s="1323">
        <f t="shared" si="345"/>
        <v>2001</v>
      </c>
      <c r="H3395" s="1323">
        <f t="shared" si="346"/>
        <v>2</v>
      </c>
      <c r="I3395" s="1323">
        <f t="shared" si="347"/>
        <v>13</v>
      </c>
      <c r="J3395" s="1323"/>
      <c r="K3395" s="1323"/>
      <c r="L3395" s="1323"/>
      <c r="M3395" s="1323"/>
      <c r="N3395" s="1323"/>
      <c r="O3395" s="1323"/>
      <c r="P3395" s="1323"/>
      <c r="Q3395" s="1323"/>
      <c r="R3395" s="1304"/>
      <c r="S3395" s="1304"/>
      <c r="T3395" s="1304"/>
    </row>
    <row r="3396" spans="1:20">
      <c r="A3396" s="1303"/>
      <c r="B3396" s="1322" t="s">
        <v>8912</v>
      </c>
      <c r="C3396" s="1323" t="s">
        <v>8913</v>
      </c>
      <c r="D3396" s="1324">
        <f t="shared" si="342"/>
        <v>36934</v>
      </c>
      <c r="E3396" s="1323">
        <f t="shared" si="344"/>
        <v>7.8541999999999996</v>
      </c>
      <c r="F3396" s="1323">
        <f t="shared" si="343"/>
        <v>5.1175236926224743</v>
      </c>
      <c r="G3396" s="1323">
        <f t="shared" si="345"/>
        <v>2001</v>
      </c>
      <c r="H3396" s="1323">
        <f t="shared" si="346"/>
        <v>2</v>
      </c>
      <c r="I3396" s="1323">
        <f t="shared" si="347"/>
        <v>12</v>
      </c>
      <c r="J3396" s="1323"/>
      <c r="K3396" s="1323"/>
      <c r="L3396" s="1323"/>
      <c r="M3396" s="1323"/>
      <c r="N3396" s="1323"/>
      <c r="O3396" s="1323"/>
      <c r="P3396" s="1323"/>
      <c r="Q3396" s="1323"/>
      <c r="R3396" s="1304"/>
      <c r="S3396" s="1304"/>
      <c r="T3396" s="1304"/>
    </row>
    <row r="3397" spans="1:20">
      <c r="A3397" s="1303"/>
      <c r="B3397" s="1322" t="s">
        <v>8914</v>
      </c>
      <c r="C3397" s="1323" t="s">
        <v>8915</v>
      </c>
      <c r="D3397" s="1324">
        <f t="shared" si="342"/>
        <v>36931</v>
      </c>
      <c r="E3397" s="1323">
        <f t="shared" si="344"/>
        <v>8.0029000000000003</v>
      </c>
      <c r="F3397" s="1323">
        <f t="shared" si="343"/>
        <v>5.1165424379083548</v>
      </c>
      <c r="G3397" s="1323">
        <f t="shared" si="345"/>
        <v>2001</v>
      </c>
      <c r="H3397" s="1323">
        <f t="shared" si="346"/>
        <v>2</v>
      </c>
      <c r="I3397" s="1323">
        <f t="shared" si="347"/>
        <v>9</v>
      </c>
      <c r="J3397" s="1323"/>
      <c r="K3397" s="1323"/>
      <c r="L3397" s="1323"/>
      <c r="M3397" s="1323"/>
      <c r="N3397" s="1323"/>
      <c r="O3397" s="1323"/>
      <c r="P3397" s="1323"/>
      <c r="Q3397" s="1323"/>
      <c r="R3397" s="1304"/>
      <c r="S3397" s="1304"/>
      <c r="T3397" s="1304"/>
    </row>
    <row r="3398" spans="1:20">
      <c r="A3398" s="1303"/>
      <c r="B3398" s="1322" t="s">
        <v>8916</v>
      </c>
      <c r="C3398" s="1323" t="s">
        <v>8917</v>
      </c>
      <c r="D3398" s="1324">
        <f t="shared" si="342"/>
        <v>36930</v>
      </c>
      <c r="E3398" s="1323">
        <f t="shared" si="344"/>
        <v>7.9607999999999999</v>
      </c>
      <c r="F3398" s="1323">
        <f t="shared" si="343"/>
        <v>5.1155613713439871</v>
      </c>
      <c r="G3398" s="1323">
        <f t="shared" si="345"/>
        <v>2001</v>
      </c>
      <c r="H3398" s="1323">
        <f t="shared" si="346"/>
        <v>2</v>
      </c>
      <c r="I3398" s="1323">
        <f t="shared" si="347"/>
        <v>8</v>
      </c>
      <c r="J3398" s="1323"/>
      <c r="K3398" s="1323"/>
      <c r="L3398" s="1323"/>
      <c r="M3398" s="1323"/>
      <c r="N3398" s="1323"/>
      <c r="O3398" s="1323"/>
      <c r="P3398" s="1323"/>
      <c r="Q3398" s="1323"/>
      <c r="R3398" s="1304"/>
      <c r="S3398" s="1304"/>
      <c r="T3398" s="1304"/>
    </row>
    <row r="3399" spans="1:20">
      <c r="A3399" s="1303"/>
      <c r="B3399" s="1322" t="s">
        <v>8918</v>
      </c>
      <c r="C3399" s="1323" t="s">
        <v>8919</v>
      </c>
      <c r="D3399" s="1324">
        <f t="shared" si="342"/>
        <v>36929</v>
      </c>
      <c r="E3399" s="1323">
        <f t="shared" si="344"/>
        <v>7.7618999999999998</v>
      </c>
      <c r="F3399" s="1323">
        <f t="shared" si="343"/>
        <v>5.1145804928932952</v>
      </c>
      <c r="G3399" s="1323">
        <f t="shared" si="345"/>
        <v>2001</v>
      </c>
      <c r="H3399" s="1323">
        <f t="shared" si="346"/>
        <v>2</v>
      </c>
      <c r="I3399" s="1323">
        <f t="shared" si="347"/>
        <v>7</v>
      </c>
      <c r="J3399" s="1323"/>
      <c r="K3399" s="1323"/>
      <c r="L3399" s="1323"/>
      <c r="M3399" s="1323"/>
      <c r="N3399" s="1323"/>
      <c r="O3399" s="1323"/>
      <c r="P3399" s="1323"/>
      <c r="Q3399" s="1323"/>
      <c r="R3399" s="1304"/>
      <c r="S3399" s="1304"/>
      <c r="T3399" s="1304"/>
    </row>
    <row r="3400" spans="1:20">
      <c r="A3400" s="1303"/>
      <c r="B3400" s="1322" t="s">
        <v>8920</v>
      </c>
      <c r="C3400" s="1323" t="s">
        <v>8921</v>
      </c>
      <c r="D3400" s="1324">
        <f t="shared" si="342"/>
        <v>36928</v>
      </c>
      <c r="E3400" s="1323">
        <f t="shared" si="344"/>
        <v>7.7751000000000001</v>
      </c>
      <c r="F3400" s="1323">
        <f t="shared" si="343"/>
        <v>5.1135998025202092</v>
      </c>
      <c r="G3400" s="1323">
        <f t="shared" si="345"/>
        <v>2001</v>
      </c>
      <c r="H3400" s="1323">
        <f t="shared" si="346"/>
        <v>2</v>
      </c>
      <c r="I3400" s="1323">
        <f t="shared" si="347"/>
        <v>6</v>
      </c>
      <c r="J3400" s="1323"/>
      <c r="K3400" s="1323"/>
      <c r="L3400" s="1323"/>
      <c r="M3400" s="1323"/>
      <c r="N3400" s="1323"/>
      <c r="O3400" s="1323"/>
      <c r="P3400" s="1323"/>
      <c r="Q3400" s="1323"/>
      <c r="R3400" s="1304"/>
      <c r="S3400" s="1304"/>
      <c r="T3400" s="1304"/>
    </row>
    <row r="3401" spans="1:20">
      <c r="A3401" s="1303"/>
      <c r="B3401" s="1322" t="s">
        <v>8922</v>
      </c>
      <c r="C3401" s="1323" t="s">
        <v>8902</v>
      </c>
      <c r="D3401" s="1324">
        <f t="shared" ref="D3401:D3464" si="348">DATE(G3401,H3401,I3401)</f>
        <v>36927</v>
      </c>
      <c r="E3401" s="1323">
        <f t="shared" si="344"/>
        <v>7.7732999999999999</v>
      </c>
      <c r="F3401" s="1323">
        <f t="shared" ref="F3401:F3464" si="349">F3402*(1+$F$7/365)</f>
        <v>5.1126193001886664</v>
      </c>
      <c r="G3401" s="1323">
        <f t="shared" si="345"/>
        <v>2001</v>
      </c>
      <c r="H3401" s="1323">
        <f t="shared" si="346"/>
        <v>2</v>
      </c>
      <c r="I3401" s="1323">
        <f t="shared" si="347"/>
        <v>5</v>
      </c>
      <c r="J3401" s="1323"/>
      <c r="K3401" s="1323"/>
      <c r="L3401" s="1323"/>
      <c r="M3401" s="1323"/>
      <c r="N3401" s="1323"/>
      <c r="O3401" s="1323"/>
      <c r="P3401" s="1323"/>
      <c r="Q3401" s="1323"/>
      <c r="R3401" s="1304"/>
      <c r="S3401" s="1304"/>
      <c r="T3401" s="1304"/>
    </row>
    <row r="3402" spans="1:20">
      <c r="A3402" s="1303"/>
      <c r="B3402" s="1322" t="s">
        <v>8923</v>
      </c>
      <c r="C3402" s="1323" t="s">
        <v>8924</v>
      </c>
      <c r="D3402" s="1324">
        <f t="shared" si="348"/>
        <v>36924</v>
      </c>
      <c r="E3402" s="1323">
        <f t="shared" si="344"/>
        <v>7.7393000000000001</v>
      </c>
      <c r="F3402" s="1323">
        <f t="shared" si="349"/>
        <v>5.1116389858626103</v>
      </c>
      <c r="G3402" s="1323">
        <f t="shared" si="345"/>
        <v>2001</v>
      </c>
      <c r="H3402" s="1323">
        <f t="shared" si="346"/>
        <v>2</v>
      </c>
      <c r="I3402" s="1323">
        <f t="shared" si="347"/>
        <v>2</v>
      </c>
      <c r="J3402" s="1323"/>
      <c r="K3402" s="1323"/>
      <c r="L3402" s="1323"/>
      <c r="M3402" s="1323"/>
      <c r="N3402" s="1323"/>
      <c r="O3402" s="1323"/>
      <c r="P3402" s="1323"/>
      <c r="Q3402" s="1323"/>
      <c r="R3402" s="1304"/>
      <c r="S3402" s="1304"/>
      <c r="T3402" s="1304"/>
    </row>
    <row r="3403" spans="1:20">
      <c r="A3403" s="1303"/>
      <c r="B3403" s="1322" t="s">
        <v>8925</v>
      </c>
      <c r="C3403" s="1323" t="s">
        <v>8926</v>
      </c>
      <c r="D3403" s="1324">
        <f t="shared" si="348"/>
        <v>36923</v>
      </c>
      <c r="E3403" s="1323">
        <f t="shared" si="344"/>
        <v>7.7539999999999996</v>
      </c>
      <c r="F3403" s="1323">
        <f t="shared" si="349"/>
        <v>5.1106588595059925</v>
      </c>
      <c r="G3403" s="1323">
        <f t="shared" si="345"/>
        <v>2001</v>
      </c>
      <c r="H3403" s="1323">
        <f t="shared" si="346"/>
        <v>2</v>
      </c>
      <c r="I3403" s="1323">
        <f t="shared" si="347"/>
        <v>1</v>
      </c>
      <c r="J3403" s="1323"/>
      <c r="K3403" s="1323"/>
      <c r="L3403" s="1323"/>
      <c r="M3403" s="1323"/>
      <c r="N3403" s="1323"/>
      <c r="O3403" s="1323"/>
      <c r="P3403" s="1323"/>
      <c r="Q3403" s="1323"/>
      <c r="R3403" s="1304"/>
      <c r="S3403" s="1304"/>
      <c r="T3403" s="1304"/>
    </row>
    <row r="3404" spans="1:20">
      <c r="A3404" s="1303"/>
      <c r="B3404" s="1322" t="s">
        <v>8927</v>
      </c>
      <c r="C3404" s="1323" t="s">
        <v>8928</v>
      </c>
      <c r="D3404" s="1324">
        <f t="shared" si="348"/>
        <v>36922</v>
      </c>
      <c r="E3404" s="1323">
        <f t="shared" si="344"/>
        <v>7.7915000000000001</v>
      </c>
      <c r="F3404" s="1323">
        <f t="shared" si="349"/>
        <v>5.1096789210827707</v>
      </c>
      <c r="G3404" s="1323">
        <f t="shared" si="345"/>
        <v>2001</v>
      </c>
      <c r="H3404" s="1323">
        <f t="shared" si="346"/>
        <v>1</v>
      </c>
      <c r="I3404" s="1323">
        <f t="shared" si="347"/>
        <v>31</v>
      </c>
      <c r="J3404" s="1323"/>
      <c r="K3404" s="1323"/>
      <c r="L3404" s="1323"/>
      <c r="M3404" s="1323"/>
      <c r="N3404" s="1323"/>
      <c r="O3404" s="1323"/>
      <c r="P3404" s="1323"/>
      <c r="Q3404" s="1323"/>
      <c r="R3404" s="1304"/>
      <c r="S3404" s="1304"/>
      <c r="T3404" s="1304"/>
    </row>
    <row r="3405" spans="1:20">
      <c r="A3405" s="1303"/>
      <c r="B3405" s="1322" t="s">
        <v>8929</v>
      </c>
      <c r="C3405" s="1323" t="s">
        <v>8930</v>
      </c>
      <c r="D3405" s="1324">
        <f t="shared" si="348"/>
        <v>36921</v>
      </c>
      <c r="E3405" s="1323">
        <f t="shared" si="344"/>
        <v>7.8975999999999997</v>
      </c>
      <c r="F3405" s="1323">
        <f t="shared" si="349"/>
        <v>5.1086991705569105</v>
      </c>
      <c r="G3405" s="1323">
        <f t="shared" si="345"/>
        <v>2001</v>
      </c>
      <c r="H3405" s="1323">
        <f t="shared" si="346"/>
        <v>1</v>
      </c>
      <c r="I3405" s="1323">
        <f t="shared" si="347"/>
        <v>30</v>
      </c>
      <c r="J3405" s="1323"/>
      <c r="K3405" s="1323"/>
      <c r="L3405" s="1323"/>
      <c r="M3405" s="1323"/>
      <c r="N3405" s="1323"/>
      <c r="O3405" s="1323"/>
      <c r="P3405" s="1323"/>
      <c r="Q3405" s="1323"/>
      <c r="R3405" s="1304"/>
      <c r="S3405" s="1304"/>
      <c r="T3405" s="1304"/>
    </row>
    <row r="3406" spans="1:20">
      <c r="A3406" s="1303"/>
      <c r="B3406" s="1322" t="s">
        <v>8931</v>
      </c>
      <c r="C3406" s="1323" t="s">
        <v>8932</v>
      </c>
      <c r="D3406" s="1324">
        <f t="shared" si="348"/>
        <v>36920</v>
      </c>
      <c r="E3406" s="1323">
        <f t="shared" si="344"/>
        <v>7.8686999999999996</v>
      </c>
      <c r="F3406" s="1323">
        <f t="shared" si="349"/>
        <v>5.107719607892383</v>
      </c>
      <c r="G3406" s="1323">
        <f t="shared" si="345"/>
        <v>2001</v>
      </c>
      <c r="H3406" s="1323">
        <f t="shared" si="346"/>
        <v>1</v>
      </c>
      <c r="I3406" s="1323">
        <f t="shared" si="347"/>
        <v>29</v>
      </c>
      <c r="J3406" s="1323"/>
      <c r="K3406" s="1323"/>
      <c r="L3406" s="1323"/>
      <c r="M3406" s="1323"/>
      <c r="N3406" s="1323"/>
      <c r="O3406" s="1323"/>
      <c r="P3406" s="1323"/>
      <c r="Q3406" s="1323"/>
      <c r="R3406" s="1304"/>
      <c r="S3406" s="1304"/>
      <c r="T3406" s="1304"/>
    </row>
    <row r="3407" spans="1:20">
      <c r="A3407" s="1303"/>
      <c r="B3407" s="1322" t="s">
        <v>8933</v>
      </c>
      <c r="C3407" s="1323" t="s">
        <v>8934</v>
      </c>
      <c r="D3407" s="1324">
        <f t="shared" si="348"/>
        <v>36917</v>
      </c>
      <c r="E3407" s="1323">
        <f t="shared" si="344"/>
        <v>7.8815</v>
      </c>
      <c r="F3407" s="1323">
        <f t="shared" si="349"/>
        <v>5.1067402330531673</v>
      </c>
      <c r="G3407" s="1323">
        <f t="shared" si="345"/>
        <v>2001</v>
      </c>
      <c r="H3407" s="1323">
        <f t="shared" si="346"/>
        <v>1</v>
      </c>
      <c r="I3407" s="1323">
        <f t="shared" si="347"/>
        <v>26</v>
      </c>
      <c r="J3407" s="1323"/>
      <c r="K3407" s="1323"/>
      <c r="L3407" s="1323"/>
      <c r="M3407" s="1323"/>
      <c r="N3407" s="1323"/>
      <c r="O3407" s="1323"/>
      <c r="P3407" s="1323"/>
      <c r="Q3407" s="1323"/>
      <c r="R3407" s="1304"/>
      <c r="S3407" s="1304"/>
      <c r="T3407" s="1304"/>
    </row>
    <row r="3408" spans="1:20">
      <c r="A3408" s="1303"/>
      <c r="B3408" s="1322" t="s">
        <v>8935</v>
      </c>
      <c r="C3408" s="1323" t="s">
        <v>8936</v>
      </c>
      <c r="D3408" s="1324">
        <f t="shared" si="348"/>
        <v>36916</v>
      </c>
      <c r="E3408" s="1323">
        <f t="shared" si="344"/>
        <v>7.8926999999999996</v>
      </c>
      <c r="F3408" s="1323">
        <f t="shared" si="349"/>
        <v>5.1057610460032485</v>
      </c>
      <c r="G3408" s="1323">
        <f t="shared" si="345"/>
        <v>2001</v>
      </c>
      <c r="H3408" s="1323">
        <f t="shared" si="346"/>
        <v>1</v>
      </c>
      <c r="I3408" s="1323">
        <f t="shared" si="347"/>
        <v>25</v>
      </c>
      <c r="J3408" s="1323"/>
      <c r="K3408" s="1323"/>
      <c r="L3408" s="1323"/>
      <c r="M3408" s="1323"/>
      <c r="N3408" s="1323"/>
      <c r="O3408" s="1323"/>
      <c r="P3408" s="1323"/>
      <c r="Q3408" s="1323"/>
      <c r="R3408" s="1304"/>
      <c r="S3408" s="1304"/>
      <c r="T3408" s="1304"/>
    </row>
    <row r="3409" spans="1:20">
      <c r="A3409" s="1303"/>
      <c r="B3409" s="1322" t="s">
        <v>8937</v>
      </c>
      <c r="C3409" s="1323" t="s">
        <v>8780</v>
      </c>
      <c r="D3409" s="1324">
        <f t="shared" si="348"/>
        <v>36915</v>
      </c>
      <c r="E3409" s="1323">
        <f t="shared" si="344"/>
        <v>7.8498999999999999</v>
      </c>
      <c r="F3409" s="1323">
        <f t="shared" si="349"/>
        <v>5.1047820467066201</v>
      </c>
      <c r="G3409" s="1323">
        <f t="shared" si="345"/>
        <v>2001</v>
      </c>
      <c r="H3409" s="1323">
        <f t="shared" si="346"/>
        <v>1</v>
      </c>
      <c r="I3409" s="1323">
        <f t="shared" si="347"/>
        <v>24</v>
      </c>
      <c r="J3409" s="1323"/>
      <c r="K3409" s="1323"/>
      <c r="L3409" s="1323"/>
      <c r="M3409" s="1323"/>
      <c r="N3409" s="1323"/>
      <c r="O3409" s="1323"/>
      <c r="P3409" s="1323"/>
      <c r="Q3409" s="1323"/>
      <c r="R3409" s="1304"/>
      <c r="S3409" s="1304"/>
      <c r="T3409" s="1304"/>
    </row>
    <row r="3410" spans="1:20">
      <c r="A3410" s="1303"/>
      <c r="B3410" s="1322" t="s">
        <v>8938</v>
      </c>
      <c r="C3410" s="1323" t="s">
        <v>8939</v>
      </c>
      <c r="D3410" s="1324">
        <f t="shared" si="348"/>
        <v>36914</v>
      </c>
      <c r="E3410" s="1323">
        <f t="shared" si="344"/>
        <v>7.8555000000000001</v>
      </c>
      <c r="F3410" s="1323">
        <f t="shared" si="349"/>
        <v>5.1038032351272804</v>
      </c>
      <c r="G3410" s="1323">
        <f t="shared" si="345"/>
        <v>2001</v>
      </c>
      <c r="H3410" s="1323">
        <f t="shared" si="346"/>
        <v>1</v>
      </c>
      <c r="I3410" s="1323">
        <f t="shared" si="347"/>
        <v>23</v>
      </c>
      <c r="J3410" s="1323"/>
      <c r="K3410" s="1323"/>
      <c r="L3410" s="1323"/>
      <c r="M3410" s="1323"/>
      <c r="N3410" s="1323"/>
      <c r="O3410" s="1323"/>
      <c r="P3410" s="1323"/>
      <c r="Q3410" s="1323"/>
      <c r="R3410" s="1304"/>
      <c r="S3410" s="1304"/>
      <c r="T3410" s="1304"/>
    </row>
    <row r="3411" spans="1:20">
      <c r="A3411" s="1303"/>
      <c r="B3411" s="1322" t="s">
        <v>8940</v>
      </c>
      <c r="C3411" s="1323" t="s">
        <v>8941</v>
      </c>
      <c r="D3411" s="1324">
        <f t="shared" si="348"/>
        <v>36913</v>
      </c>
      <c r="E3411" s="1323">
        <f t="shared" si="344"/>
        <v>7.9157999999999999</v>
      </c>
      <c r="F3411" s="1323">
        <f t="shared" si="349"/>
        <v>5.1028246112292361</v>
      </c>
      <c r="G3411" s="1323">
        <f t="shared" si="345"/>
        <v>2001</v>
      </c>
      <c r="H3411" s="1323">
        <f t="shared" si="346"/>
        <v>1</v>
      </c>
      <c r="I3411" s="1323">
        <f t="shared" si="347"/>
        <v>22</v>
      </c>
      <c r="J3411" s="1323"/>
      <c r="K3411" s="1323"/>
      <c r="L3411" s="1323"/>
      <c r="M3411" s="1323"/>
      <c r="N3411" s="1323"/>
      <c r="O3411" s="1323"/>
      <c r="P3411" s="1323"/>
      <c r="Q3411" s="1323"/>
      <c r="R3411" s="1304"/>
      <c r="S3411" s="1304"/>
      <c r="T3411" s="1304"/>
    </row>
    <row r="3412" spans="1:20">
      <c r="A3412" s="1303"/>
      <c r="B3412" s="1322" t="s">
        <v>8942</v>
      </c>
      <c r="C3412" s="1323" t="s">
        <v>8943</v>
      </c>
      <c r="D3412" s="1324">
        <f t="shared" si="348"/>
        <v>36910</v>
      </c>
      <c r="E3412" s="1323">
        <f t="shared" si="344"/>
        <v>7.9138999999999999</v>
      </c>
      <c r="F3412" s="1323">
        <f t="shared" si="349"/>
        <v>5.1018461749765009</v>
      </c>
      <c r="G3412" s="1323">
        <f t="shared" si="345"/>
        <v>2001</v>
      </c>
      <c r="H3412" s="1323">
        <f t="shared" si="346"/>
        <v>1</v>
      </c>
      <c r="I3412" s="1323">
        <f t="shared" si="347"/>
        <v>19</v>
      </c>
      <c r="J3412" s="1323"/>
      <c r="K3412" s="1323"/>
      <c r="L3412" s="1323"/>
      <c r="M3412" s="1323"/>
      <c r="N3412" s="1323"/>
      <c r="O3412" s="1323"/>
      <c r="P3412" s="1323"/>
      <c r="Q3412" s="1323"/>
      <c r="R3412" s="1304"/>
      <c r="S3412" s="1304"/>
      <c r="T3412" s="1304"/>
    </row>
    <row r="3413" spans="1:20">
      <c r="A3413" s="1303"/>
      <c r="B3413" s="1322" t="s">
        <v>8944</v>
      </c>
      <c r="C3413" s="1323" t="s">
        <v>8945</v>
      </c>
      <c r="D3413" s="1324">
        <f t="shared" si="348"/>
        <v>36909</v>
      </c>
      <c r="E3413" s="1323">
        <f t="shared" si="344"/>
        <v>7.8867000000000003</v>
      </c>
      <c r="F3413" s="1323">
        <f t="shared" si="349"/>
        <v>5.1008679263330947</v>
      </c>
      <c r="G3413" s="1323">
        <f t="shared" si="345"/>
        <v>2001</v>
      </c>
      <c r="H3413" s="1323">
        <f t="shared" si="346"/>
        <v>1</v>
      </c>
      <c r="I3413" s="1323">
        <f t="shared" si="347"/>
        <v>18</v>
      </c>
      <c r="J3413" s="1323"/>
      <c r="K3413" s="1323"/>
      <c r="L3413" s="1323"/>
      <c r="M3413" s="1323"/>
      <c r="N3413" s="1323"/>
      <c r="O3413" s="1323"/>
      <c r="P3413" s="1323"/>
      <c r="Q3413" s="1323"/>
      <c r="R3413" s="1304"/>
      <c r="S3413" s="1304"/>
      <c r="T3413" s="1304"/>
    </row>
    <row r="3414" spans="1:20">
      <c r="A3414" s="1303"/>
      <c r="B3414" s="1322" t="s">
        <v>8946</v>
      </c>
      <c r="C3414" s="1323" t="s">
        <v>8947</v>
      </c>
      <c r="D3414" s="1324">
        <f t="shared" si="348"/>
        <v>36908</v>
      </c>
      <c r="E3414" s="1323">
        <f t="shared" ref="E3414:E3477" si="350">VALUE(C3415)</f>
        <v>7.7878999999999996</v>
      </c>
      <c r="F3414" s="1323">
        <f t="shared" si="349"/>
        <v>5.0998898652630444</v>
      </c>
      <c r="G3414" s="1323">
        <f t="shared" ref="G3414:G3477" si="351">YEAR(B3415)</f>
        <v>2001</v>
      </c>
      <c r="H3414" s="1323">
        <f t="shared" ref="H3414:H3477" si="352">MONTH(B3415)</f>
        <v>1</v>
      </c>
      <c r="I3414" s="1323">
        <f t="shared" ref="I3414:I3477" si="353">DAY(B3415)</f>
        <v>17</v>
      </c>
      <c r="J3414" s="1323"/>
      <c r="K3414" s="1323"/>
      <c r="L3414" s="1323"/>
      <c r="M3414" s="1323"/>
      <c r="N3414" s="1323"/>
      <c r="O3414" s="1323"/>
      <c r="P3414" s="1323"/>
      <c r="Q3414" s="1323"/>
      <c r="R3414" s="1304"/>
      <c r="S3414" s="1304"/>
      <c r="T3414" s="1304"/>
    </row>
    <row r="3415" spans="1:20">
      <c r="A3415" s="1303"/>
      <c r="B3415" s="1322" t="s">
        <v>8948</v>
      </c>
      <c r="C3415" s="1323" t="s">
        <v>8949</v>
      </c>
      <c r="D3415" s="1324">
        <f t="shared" si="348"/>
        <v>36907</v>
      </c>
      <c r="E3415" s="1323">
        <f t="shared" si="350"/>
        <v>7.8560999999999996</v>
      </c>
      <c r="F3415" s="1323">
        <f t="shared" si="349"/>
        <v>5.0989119917303833</v>
      </c>
      <c r="G3415" s="1323">
        <f t="shared" si="351"/>
        <v>2001</v>
      </c>
      <c r="H3415" s="1323">
        <f t="shared" si="352"/>
        <v>1</v>
      </c>
      <c r="I3415" s="1323">
        <f t="shared" si="353"/>
        <v>16</v>
      </c>
      <c r="J3415" s="1323"/>
      <c r="K3415" s="1323"/>
      <c r="L3415" s="1323"/>
      <c r="M3415" s="1323"/>
      <c r="N3415" s="1323"/>
      <c r="O3415" s="1323"/>
      <c r="P3415" s="1323"/>
      <c r="Q3415" s="1323"/>
      <c r="R3415" s="1304"/>
      <c r="S3415" s="1304"/>
      <c r="T3415" s="1304"/>
    </row>
    <row r="3416" spans="1:20">
      <c r="A3416" s="1303"/>
      <c r="B3416" s="1322" t="s">
        <v>8950</v>
      </c>
      <c r="C3416" s="1323" t="s">
        <v>8951</v>
      </c>
      <c r="D3416" s="1324">
        <f t="shared" si="348"/>
        <v>36906</v>
      </c>
      <c r="E3416" s="1323">
        <f t="shared" si="350"/>
        <v>7.8724999999999996</v>
      </c>
      <c r="F3416" s="1323">
        <f t="shared" si="349"/>
        <v>5.0979343056991535</v>
      </c>
      <c r="G3416" s="1323">
        <f t="shared" si="351"/>
        <v>2001</v>
      </c>
      <c r="H3416" s="1323">
        <f t="shared" si="352"/>
        <v>1</v>
      </c>
      <c r="I3416" s="1323">
        <f t="shared" si="353"/>
        <v>15</v>
      </c>
      <c r="J3416" s="1323"/>
      <c r="K3416" s="1323"/>
      <c r="L3416" s="1323"/>
      <c r="M3416" s="1323"/>
      <c r="N3416" s="1323"/>
      <c r="O3416" s="1323"/>
      <c r="P3416" s="1323"/>
      <c r="Q3416" s="1323"/>
      <c r="R3416" s="1304"/>
      <c r="S3416" s="1304"/>
      <c r="T3416" s="1304"/>
    </row>
    <row r="3417" spans="1:20">
      <c r="A3417" s="1303"/>
      <c r="B3417" s="1322" t="s">
        <v>8952</v>
      </c>
      <c r="C3417" s="1323" t="s">
        <v>8953</v>
      </c>
      <c r="D3417" s="1324">
        <f t="shared" si="348"/>
        <v>36903</v>
      </c>
      <c r="E3417" s="1323">
        <f t="shared" si="350"/>
        <v>7.8601000000000001</v>
      </c>
      <c r="F3417" s="1323">
        <f t="shared" si="349"/>
        <v>5.0969568071334015</v>
      </c>
      <c r="G3417" s="1323">
        <f t="shared" si="351"/>
        <v>2001</v>
      </c>
      <c r="H3417" s="1323">
        <f t="shared" si="352"/>
        <v>1</v>
      </c>
      <c r="I3417" s="1323">
        <f t="shared" si="353"/>
        <v>12</v>
      </c>
      <c r="J3417" s="1323"/>
      <c r="K3417" s="1323"/>
      <c r="L3417" s="1323"/>
      <c r="M3417" s="1323"/>
      <c r="N3417" s="1323"/>
      <c r="O3417" s="1323"/>
      <c r="P3417" s="1323"/>
      <c r="Q3417" s="1323"/>
      <c r="R3417" s="1304"/>
      <c r="S3417" s="1304"/>
      <c r="T3417" s="1304"/>
    </row>
    <row r="3418" spans="1:20">
      <c r="A3418" s="1303"/>
      <c r="B3418" s="1322" t="s">
        <v>8954</v>
      </c>
      <c r="C3418" s="1323" t="s">
        <v>8955</v>
      </c>
      <c r="D3418" s="1324">
        <f t="shared" si="348"/>
        <v>36902</v>
      </c>
      <c r="E3418" s="1323">
        <f t="shared" si="350"/>
        <v>7.9150999999999998</v>
      </c>
      <c r="F3418" s="1323">
        <f t="shared" si="349"/>
        <v>5.0959794959971827</v>
      </c>
      <c r="G3418" s="1323">
        <f t="shared" si="351"/>
        <v>2001</v>
      </c>
      <c r="H3418" s="1323">
        <f t="shared" si="352"/>
        <v>1</v>
      </c>
      <c r="I3418" s="1323">
        <f t="shared" si="353"/>
        <v>11</v>
      </c>
      <c r="J3418" s="1323"/>
      <c r="K3418" s="1323"/>
      <c r="L3418" s="1323"/>
      <c r="M3418" s="1323"/>
      <c r="N3418" s="1323"/>
      <c r="O3418" s="1323"/>
      <c r="P3418" s="1323"/>
      <c r="Q3418" s="1323"/>
      <c r="R3418" s="1304"/>
      <c r="S3418" s="1304"/>
      <c r="T3418" s="1304"/>
    </row>
    <row r="3419" spans="1:20">
      <c r="A3419" s="1303"/>
      <c r="B3419" s="1322" t="s">
        <v>8956</v>
      </c>
      <c r="C3419" s="1323" t="s">
        <v>8957</v>
      </c>
      <c r="D3419" s="1324">
        <f t="shared" si="348"/>
        <v>36901</v>
      </c>
      <c r="E3419" s="1323">
        <f t="shared" si="350"/>
        <v>7.7309999999999999</v>
      </c>
      <c r="F3419" s="1323">
        <f t="shared" si="349"/>
        <v>5.0950023722545588</v>
      </c>
      <c r="G3419" s="1323">
        <f t="shared" si="351"/>
        <v>2001</v>
      </c>
      <c r="H3419" s="1323">
        <f t="shared" si="352"/>
        <v>1</v>
      </c>
      <c r="I3419" s="1323">
        <f t="shared" si="353"/>
        <v>10</v>
      </c>
      <c r="J3419" s="1323"/>
      <c r="K3419" s="1323"/>
      <c r="L3419" s="1323"/>
      <c r="M3419" s="1323"/>
      <c r="N3419" s="1323"/>
      <c r="O3419" s="1323"/>
      <c r="P3419" s="1323"/>
      <c r="Q3419" s="1323"/>
      <c r="R3419" s="1304"/>
      <c r="S3419" s="1304"/>
      <c r="T3419" s="1304"/>
    </row>
    <row r="3420" spans="1:20">
      <c r="A3420" s="1303"/>
      <c r="B3420" s="1322" t="s">
        <v>8958</v>
      </c>
      <c r="C3420" s="1323" t="s">
        <v>8959</v>
      </c>
      <c r="D3420" s="1324">
        <f t="shared" si="348"/>
        <v>36900</v>
      </c>
      <c r="E3420" s="1323">
        <f t="shared" si="350"/>
        <v>7.6109</v>
      </c>
      <c r="F3420" s="1323">
        <f t="shared" si="349"/>
        <v>5.0940254358695976</v>
      </c>
      <c r="G3420" s="1323">
        <f t="shared" si="351"/>
        <v>2001</v>
      </c>
      <c r="H3420" s="1323">
        <f t="shared" si="352"/>
        <v>1</v>
      </c>
      <c r="I3420" s="1323">
        <f t="shared" si="353"/>
        <v>9</v>
      </c>
      <c r="J3420" s="1323"/>
      <c r="K3420" s="1323"/>
      <c r="L3420" s="1323"/>
      <c r="M3420" s="1323"/>
      <c r="N3420" s="1323"/>
      <c r="O3420" s="1323"/>
      <c r="P3420" s="1323"/>
      <c r="Q3420" s="1323"/>
      <c r="R3420" s="1304"/>
      <c r="S3420" s="1304"/>
      <c r="T3420" s="1304"/>
    </row>
    <row r="3421" spans="1:20">
      <c r="A3421" s="1303"/>
      <c r="B3421" s="1322" t="s">
        <v>8960</v>
      </c>
      <c r="C3421" s="1323" t="s">
        <v>8961</v>
      </c>
      <c r="D3421" s="1324">
        <f t="shared" si="348"/>
        <v>36899</v>
      </c>
      <c r="E3421" s="1323">
        <f t="shared" si="350"/>
        <v>7.5434999999999999</v>
      </c>
      <c r="F3421" s="1323">
        <f t="shared" si="349"/>
        <v>5.093048686806374</v>
      </c>
      <c r="G3421" s="1323">
        <f t="shared" si="351"/>
        <v>2001</v>
      </c>
      <c r="H3421" s="1323">
        <f t="shared" si="352"/>
        <v>1</v>
      </c>
      <c r="I3421" s="1323">
        <f t="shared" si="353"/>
        <v>8</v>
      </c>
      <c r="J3421" s="1323"/>
      <c r="K3421" s="1323"/>
      <c r="L3421" s="1323"/>
      <c r="M3421" s="1323"/>
      <c r="N3421" s="1323"/>
      <c r="O3421" s="1323"/>
      <c r="P3421" s="1323"/>
      <c r="Q3421" s="1323"/>
      <c r="R3421" s="1304"/>
      <c r="S3421" s="1304"/>
      <c r="T3421" s="1304"/>
    </row>
    <row r="3422" spans="1:20">
      <c r="A3422" s="1303"/>
      <c r="B3422" s="1322" t="s">
        <v>8962</v>
      </c>
      <c r="C3422" s="1323" t="s">
        <v>8963</v>
      </c>
      <c r="D3422" s="1324">
        <f t="shared" si="348"/>
        <v>36896</v>
      </c>
      <c r="E3422" s="1323">
        <f t="shared" si="350"/>
        <v>7.4821999999999997</v>
      </c>
      <c r="F3422" s="1323">
        <f t="shared" si="349"/>
        <v>5.0920721250289711</v>
      </c>
      <c r="G3422" s="1323">
        <f t="shared" si="351"/>
        <v>2001</v>
      </c>
      <c r="H3422" s="1323">
        <f t="shared" si="352"/>
        <v>1</v>
      </c>
      <c r="I3422" s="1323">
        <f t="shared" si="353"/>
        <v>5</v>
      </c>
      <c r="J3422" s="1323"/>
      <c r="K3422" s="1323"/>
      <c r="L3422" s="1323"/>
      <c r="M3422" s="1323"/>
      <c r="N3422" s="1323"/>
      <c r="O3422" s="1323"/>
      <c r="P3422" s="1323"/>
      <c r="Q3422" s="1323"/>
      <c r="R3422" s="1304"/>
      <c r="S3422" s="1304"/>
      <c r="T3422" s="1304"/>
    </row>
    <row r="3423" spans="1:20">
      <c r="A3423" s="1303"/>
      <c r="B3423" s="1322" t="s">
        <v>8964</v>
      </c>
      <c r="C3423" s="1323" t="s">
        <v>8965</v>
      </c>
      <c r="D3423" s="1324">
        <f t="shared" si="348"/>
        <v>36895</v>
      </c>
      <c r="E3423" s="1323">
        <f t="shared" si="350"/>
        <v>7.5354999999999999</v>
      </c>
      <c r="F3423" s="1323">
        <f t="shared" si="349"/>
        <v>5.0910957505014771</v>
      </c>
      <c r="G3423" s="1323">
        <f t="shared" si="351"/>
        <v>2001</v>
      </c>
      <c r="H3423" s="1323">
        <f t="shared" si="352"/>
        <v>1</v>
      </c>
      <c r="I3423" s="1323">
        <f t="shared" si="353"/>
        <v>4</v>
      </c>
      <c r="J3423" s="1323"/>
      <c r="K3423" s="1323"/>
      <c r="L3423" s="1323"/>
      <c r="M3423" s="1323"/>
      <c r="N3423" s="1323"/>
      <c r="O3423" s="1323"/>
      <c r="P3423" s="1323"/>
      <c r="Q3423" s="1323"/>
      <c r="R3423" s="1304"/>
      <c r="S3423" s="1304"/>
      <c r="T3423" s="1304"/>
    </row>
    <row r="3424" spans="1:20">
      <c r="A3424" s="1303"/>
      <c r="B3424" s="1322" t="s">
        <v>8966</v>
      </c>
      <c r="C3424" s="1323" t="s">
        <v>8967</v>
      </c>
      <c r="D3424" s="1324">
        <f t="shared" si="348"/>
        <v>36894</v>
      </c>
      <c r="E3424" s="1323">
        <f t="shared" si="350"/>
        <v>7.5148000000000001</v>
      </c>
      <c r="F3424" s="1323">
        <f t="shared" si="349"/>
        <v>5.0901195631879892</v>
      </c>
      <c r="G3424" s="1323">
        <f t="shared" si="351"/>
        <v>2001</v>
      </c>
      <c r="H3424" s="1323">
        <f t="shared" si="352"/>
        <v>1</v>
      </c>
      <c r="I3424" s="1323">
        <f t="shared" si="353"/>
        <v>3</v>
      </c>
      <c r="J3424" s="1323"/>
      <c r="K3424" s="1323"/>
      <c r="L3424" s="1323"/>
      <c r="M3424" s="1323"/>
      <c r="N3424" s="1323"/>
      <c r="O3424" s="1323"/>
      <c r="P3424" s="1323"/>
      <c r="Q3424" s="1323"/>
      <c r="R3424" s="1304"/>
      <c r="S3424" s="1304"/>
      <c r="T3424" s="1304"/>
    </row>
    <row r="3425" spans="1:20">
      <c r="A3425" s="1303"/>
      <c r="B3425" s="1322" t="s">
        <v>8968</v>
      </c>
      <c r="C3425" s="1323" t="s">
        <v>8969</v>
      </c>
      <c r="D3425" s="1324">
        <f t="shared" si="348"/>
        <v>36893</v>
      </c>
      <c r="E3425" s="1323">
        <f t="shared" si="350"/>
        <v>7.5709</v>
      </c>
      <c r="F3425" s="1323">
        <f t="shared" si="349"/>
        <v>5.089143563052609</v>
      </c>
      <c r="G3425" s="1323">
        <f t="shared" si="351"/>
        <v>2001</v>
      </c>
      <c r="H3425" s="1323">
        <f t="shared" si="352"/>
        <v>1</v>
      </c>
      <c r="I3425" s="1323">
        <f t="shared" si="353"/>
        <v>2</v>
      </c>
      <c r="J3425" s="1323"/>
      <c r="K3425" s="1323"/>
      <c r="L3425" s="1323"/>
      <c r="M3425" s="1323"/>
      <c r="N3425" s="1323"/>
      <c r="O3425" s="1323"/>
      <c r="P3425" s="1323"/>
      <c r="Q3425" s="1323"/>
      <c r="R3425" s="1304"/>
      <c r="S3425" s="1304"/>
      <c r="T3425" s="1304"/>
    </row>
    <row r="3426" spans="1:20">
      <c r="A3426" s="1303"/>
      <c r="B3426" s="1322" t="s">
        <v>8970</v>
      </c>
      <c r="C3426" s="1323" t="s">
        <v>8971</v>
      </c>
      <c r="D3426" s="1324">
        <f t="shared" si="348"/>
        <v>36889</v>
      </c>
      <c r="E3426" s="1323">
        <f t="shared" si="350"/>
        <v>7.5682999999999998</v>
      </c>
      <c r="F3426" s="1323">
        <f t="shared" si="349"/>
        <v>5.0881677500594469</v>
      </c>
      <c r="G3426" s="1323">
        <f t="shared" si="351"/>
        <v>2000</v>
      </c>
      <c r="H3426" s="1323">
        <f t="shared" si="352"/>
        <v>12</v>
      </c>
      <c r="I3426" s="1323">
        <f t="shared" si="353"/>
        <v>29</v>
      </c>
      <c r="J3426" s="1323"/>
      <c r="K3426" s="1323"/>
      <c r="L3426" s="1323"/>
      <c r="M3426" s="1323"/>
      <c r="N3426" s="1323"/>
      <c r="O3426" s="1323"/>
      <c r="P3426" s="1323"/>
      <c r="Q3426" s="1323"/>
      <c r="R3426" s="1304"/>
      <c r="S3426" s="1304"/>
      <c r="T3426" s="1304"/>
    </row>
    <row r="3427" spans="1:20">
      <c r="A3427" s="1303"/>
      <c r="B3427" s="1322" t="s">
        <v>8972</v>
      </c>
      <c r="C3427" s="1323" t="s">
        <v>8973</v>
      </c>
      <c r="D3427" s="1324">
        <f t="shared" si="348"/>
        <v>36888</v>
      </c>
      <c r="E3427" s="1323">
        <f t="shared" si="350"/>
        <v>7.5792000000000002</v>
      </c>
      <c r="F3427" s="1323">
        <f t="shared" si="349"/>
        <v>5.0871921241726188</v>
      </c>
      <c r="G3427" s="1323">
        <f t="shared" si="351"/>
        <v>2000</v>
      </c>
      <c r="H3427" s="1323">
        <f t="shared" si="352"/>
        <v>12</v>
      </c>
      <c r="I3427" s="1323">
        <f t="shared" si="353"/>
        <v>28</v>
      </c>
      <c r="J3427" s="1323"/>
      <c r="K3427" s="1323"/>
      <c r="L3427" s="1323"/>
      <c r="M3427" s="1323"/>
      <c r="N3427" s="1323"/>
      <c r="O3427" s="1323"/>
      <c r="P3427" s="1323"/>
      <c r="Q3427" s="1323"/>
      <c r="R3427" s="1304"/>
      <c r="S3427" s="1304"/>
      <c r="T3427" s="1304"/>
    </row>
    <row r="3428" spans="1:20">
      <c r="A3428" s="1303"/>
      <c r="B3428" s="1322" t="s">
        <v>8974</v>
      </c>
      <c r="C3428" s="1323" t="s">
        <v>8975</v>
      </c>
      <c r="D3428" s="1324">
        <f t="shared" si="348"/>
        <v>36887</v>
      </c>
      <c r="E3428" s="1323">
        <f t="shared" si="350"/>
        <v>7.5335000000000001</v>
      </c>
      <c r="F3428" s="1323">
        <f t="shared" si="349"/>
        <v>5.0862166853562485</v>
      </c>
      <c r="G3428" s="1323">
        <f t="shared" si="351"/>
        <v>2000</v>
      </c>
      <c r="H3428" s="1323">
        <f t="shared" si="352"/>
        <v>12</v>
      </c>
      <c r="I3428" s="1323">
        <f t="shared" si="353"/>
        <v>27</v>
      </c>
      <c r="J3428" s="1323"/>
      <c r="K3428" s="1323"/>
      <c r="L3428" s="1323"/>
      <c r="M3428" s="1323"/>
      <c r="N3428" s="1323"/>
      <c r="O3428" s="1323"/>
      <c r="P3428" s="1323"/>
      <c r="Q3428" s="1323"/>
      <c r="R3428" s="1304"/>
      <c r="S3428" s="1304"/>
      <c r="T3428" s="1304"/>
    </row>
    <row r="3429" spans="1:20">
      <c r="A3429" s="1303"/>
      <c r="B3429" s="1322" t="s">
        <v>8976</v>
      </c>
      <c r="C3429" s="1323" t="s">
        <v>8977</v>
      </c>
      <c r="D3429" s="1324">
        <f t="shared" si="348"/>
        <v>36882</v>
      </c>
      <c r="E3429" s="1323">
        <f t="shared" si="350"/>
        <v>7.6079999999999997</v>
      </c>
      <c r="F3429" s="1323">
        <f t="shared" si="349"/>
        <v>5.0852414335744669</v>
      </c>
      <c r="G3429" s="1323">
        <f t="shared" si="351"/>
        <v>2000</v>
      </c>
      <c r="H3429" s="1323">
        <f t="shared" si="352"/>
        <v>12</v>
      </c>
      <c r="I3429" s="1323">
        <f t="shared" si="353"/>
        <v>22</v>
      </c>
      <c r="J3429" s="1323"/>
      <c r="K3429" s="1323"/>
      <c r="L3429" s="1323"/>
      <c r="M3429" s="1323"/>
      <c r="N3429" s="1323"/>
      <c r="O3429" s="1323"/>
      <c r="P3429" s="1323"/>
      <c r="Q3429" s="1323"/>
      <c r="R3429" s="1304"/>
      <c r="S3429" s="1304"/>
      <c r="T3429" s="1304"/>
    </row>
    <row r="3430" spans="1:20">
      <c r="A3430" s="1303"/>
      <c r="B3430" s="1322" t="s">
        <v>8978</v>
      </c>
      <c r="C3430" s="1323" t="s">
        <v>8979</v>
      </c>
      <c r="D3430" s="1324">
        <f t="shared" si="348"/>
        <v>36881</v>
      </c>
      <c r="E3430" s="1323">
        <f t="shared" si="350"/>
        <v>7.6257000000000001</v>
      </c>
      <c r="F3430" s="1323">
        <f t="shared" si="349"/>
        <v>5.0842663687914111</v>
      </c>
      <c r="G3430" s="1323">
        <f t="shared" si="351"/>
        <v>2000</v>
      </c>
      <c r="H3430" s="1323">
        <f t="shared" si="352"/>
        <v>12</v>
      </c>
      <c r="I3430" s="1323">
        <f t="shared" si="353"/>
        <v>21</v>
      </c>
      <c r="J3430" s="1323"/>
      <c r="K3430" s="1323"/>
      <c r="L3430" s="1323"/>
      <c r="M3430" s="1323"/>
      <c r="N3430" s="1323"/>
      <c r="O3430" s="1323"/>
      <c r="P3430" s="1323"/>
      <c r="Q3430" s="1323"/>
      <c r="R3430" s="1304"/>
      <c r="S3430" s="1304"/>
      <c r="T3430" s="1304"/>
    </row>
    <row r="3431" spans="1:20">
      <c r="A3431" s="1303"/>
      <c r="B3431" s="1322" t="s">
        <v>8980</v>
      </c>
      <c r="C3431" s="1323" t="s">
        <v>8981</v>
      </c>
      <c r="D3431" s="1324">
        <f t="shared" si="348"/>
        <v>36880</v>
      </c>
      <c r="E3431" s="1323">
        <f t="shared" si="350"/>
        <v>7.6938000000000004</v>
      </c>
      <c r="F3431" s="1323">
        <f t="shared" si="349"/>
        <v>5.0832914909712246</v>
      </c>
      <c r="G3431" s="1323">
        <f t="shared" si="351"/>
        <v>2000</v>
      </c>
      <c r="H3431" s="1323">
        <f t="shared" si="352"/>
        <v>12</v>
      </c>
      <c r="I3431" s="1323">
        <f t="shared" si="353"/>
        <v>20</v>
      </c>
      <c r="J3431" s="1323"/>
      <c r="K3431" s="1323"/>
      <c r="L3431" s="1323"/>
      <c r="M3431" s="1323"/>
      <c r="N3431" s="1323"/>
      <c r="O3431" s="1323"/>
      <c r="P3431" s="1323"/>
      <c r="Q3431" s="1323"/>
      <c r="R3431" s="1304"/>
      <c r="S3431" s="1304"/>
      <c r="T3431" s="1304"/>
    </row>
    <row r="3432" spans="1:20">
      <c r="A3432" s="1303"/>
      <c r="B3432" s="1322" t="s">
        <v>8982</v>
      </c>
      <c r="C3432" s="1323" t="s">
        <v>8983</v>
      </c>
      <c r="D3432" s="1324">
        <f t="shared" si="348"/>
        <v>36879</v>
      </c>
      <c r="E3432" s="1323">
        <f t="shared" si="350"/>
        <v>7.6843000000000004</v>
      </c>
      <c r="F3432" s="1323">
        <f t="shared" si="349"/>
        <v>5.0823168000780585</v>
      </c>
      <c r="G3432" s="1323">
        <f t="shared" si="351"/>
        <v>2000</v>
      </c>
      <c r="H3432" s="1323">
        <f t="shared" si="352"/>
        <v>12</v>
      </c>
      <c r="I3432" s="1323">
        <f t="shared" si="353"/>
        <v>19</v>
      </c>
      <c r="J3432" s="1323"/>
      <c r="K3432" s="1323"/>
      <c r="L3432" s="1323"/>
      <c r="M3432" s="1323"/>
      <c r="N3432" s="1323"/>
      <c r="O3432" s="1323"/>
      <c r="P3432" s="1323"/>
      <c r="Q3432" s="1323"/>
      <c r="R3432" s="1304"/>
      <c r="S3432" s="1304"/>
      <c r="T3432" s="1304"/>
    </row>
    <row r="3433" spans="1:20">
      <c r="A3433" s="1303"/>
      <c r="B3433" s="1322" t="s">
        <v>8984</v>
      </c>
      <c r="C3433" s="1323" t="s">
        <v>8985</v>
      </c>
      <c r="D3433" s="1324">
        <f t="shared" si="348"/>
        <v>36878</v>
      </c>
      <c r="E3433" s="1323">
        <f t="shared" si="350"/>
        <v>7.6397000000000004</v>
      </c>
      <c r="F3433" s="1323">
        <f t="shared" si="349"/>
        <v>5.0813422960760715</v>
      </c>
      <c r="G3433" s="1323">
        <f t="shared" si="351"/>
        <v>2000</v>
      </c>
      <c r="H3433" s="1323">
        <f t="shared" si="352"/>
        <v>12</v>
      </c>
      <c r="I3433" s="1323">
        <f t="shared" si="353"/>
        <v>18</v>
      </c>
      <c r="J3433" s="1323"/>
      <c r="K3433" s="1323"/>
      <c r="L3433" s="1323"/>
      <c r="M3433" s="1323"/>
      <c r="N3433" s="1323"/>
      <c r="O3433" s="1323"/>
      <c r="P3433" s="1323"/>
      <c r="Q3433" s="1323"/>
      <c r="R3433" s="1304"/>
      <c r="S3433" s="1304"/>
      <c r="T3433" s="1304"/>
    </row>
    <row r="3434" spans="1:20">
      <c r="A3434" s="1303"/>
      <c r="B3434" s="1322" t="s">
        <v>8986</v>
      </c>
      <c r="C3434" s="1323" t="s">
        <v>8987</v>
      </c>
      <c r="D3434" s="1324">
        <f t="shared" si="348"/>
        <v>36875</v>
      </c>
      <c r="E3434" s="1323">
        <f t="shared" si="350"/>
        <v>7.6978999999999997</v>
      </c>
      <c r="F3434" s="1323">
        <f t="shared" si="349"/>
        <v>5.0803679789294272</v>
      </c>
      <c r="G3434" s="1323">
        <f t="shared" si="351"/>
        <v>2000</v>
      </c>
      <c r="H3434" s="1323">
        <f t="shared" si="352"/>
        <v>12</v>
      </c>
      <c r="I3434" s="1323">
        <f t="shared" si="353"/>
        <v>15</v>
      </c>
      <c r="J3434" s="1323"/>
      <c r="K3434" s="1323"/>
      <c r="L3434" s="1323"/>
      <c r="M3434" s="1323"/>
      <c r="N3434" s="1323"/>
      <c r="O3434" s="1323"/>
      <c r="P3434" s="1323"/>
      <c r="Q3434" s="1323"/>
      <c r="R3434" s="1304"/>
      <c r="S3434" s="1304"/>
      <c r="T3434" s="1304"/>
    </row>
    <row r="3435" spans="1:20">
      <c r="A3435" s="1303"/>
      <c r="B3435" s="1322" t="s">
        <v>8988</v>
      </c>
      <c r="C3435" s="1323" t="s">
        <v>8989</v>
      </c>
      <c r="D3435" s="1324">
        <f t="shared" si="348"/>
        <v>36874</v>
      </c>
      <c r="E3435" s="1323">
        <f t="shared" si="350"/>
        <v>7.7122000000000002</v>
      </c>
      <c r="F3435" s="1323">
        <f t="shared" si="349"/>
        <v>5.0793938486022974</v>
      </c>
      <c r="G3435" s="1323">
        <f t="shared" si="351"/>
        <v>2000</v>
      </c>
      <c r="H3435" s="1323">
        <f t="shared" si="352"/>
        <v>12</v>
      </c>
      <c r="I3435" s="1323">
        <f t="shared" si="353"/>
        <v>14</v>
      </c>
      <c r="J3435" s="1323"/>
      <c r="K3435" s="1323"/>
      <c r="L3435" s="1323"/>
      <c r="M3435" s="1323"/>
      <c r="N3435" s="1323"/>
      <c r="O3435" s="1323"/>
      <c r="P3435" s="1323"/>
      <c r="Q3435" s="1323"/>
      <c r="R3435" s="1304"/>
      <c r="S3435" s="1304"/>
      <c r="T3435" s="1304"/>
    </row>
    <row r="3436" spans="1:20">
      <c r="A3436" s="1303"/>
      <c r="B3436" s="1322" t="s">
        <v>8990</v>
      </c>
      <c r="C3436" s="1323" t="s">
        <v>8991</v>
      </c>
      <c r="D3436" s="1324">
        <f t="shared" si="348"/>
        <v>36873</v>
      </c>
      <c r="E3436" s="1323">
        <f t="shared" si="350"/>
        <v>7.7458999999999998</v>
      </c>
      <c r="F3436" s="1323">
        <f t="shared" si="349"/>
        <v>5.078419905058861</v>
      </c>
      <c r="G3436" s="1323">
        <f t="shared" si="351"/>
        <v>2000</v>
      </c>
      <c r="H3436" s="1323">
        <f t="shared" si="352"/>
        <v>12</v>
      </c>
      <c r="I3436" s="1323">
        <f t="shared" si="353"/>
        <v>13</v>
      </c>
      <c r="J3436" s="1323"/>
      <c r="K3436" s="1323"/>
      <c r="L3436" s="1323"/>
      <c r="M3436" s="1323"/>
      <c r="N3436" s="1323"/>
      <c r="O3436" s="1323"/>
      <c r="P3436" s="1323"/>
      <c r="Q3436" s="1323"/>
      <c r="R3436" s="1304"/>
      <c r="S3436" s="1304"/>
      <c r="T3436" s="1304"/>
    </row>
    <row r="3437" spans="1:20">
      <c r="A3437" s="1303"/>
      <c r="B3437" s="1322" t="s">
        <v>8992</v>
      </c>
      <c r="C3437" s="1323" t="s">
        <v>8993</v>
      </c>
      <c r="D3437" s="1324">
        <f t="shared" si="348"/>
        <v>36872</v>
      </c>
      <c r="E3437" s="1323">
        <f t="shared" si="350"/>
        <v>7.6843000000000004</v>
      </c>
      <c r="F3437" s="1323">
        <f t="shared" si="349"/>
        <v>5.0774461482633031</v>
      </c>
      <c r="G3437" s="1323">
        <f t="shared" si="351"/>
        <v>2000</v>
      </c>
      <c r="H3437" s="1323">
        <f t="shared" si="352"/>
        <v>12</v>
      </c>
      <c r="I3437" s="1323">
        <f t="shared" si="353"/>
        <v>12</v>
      </c>
      <c r="J3437" s="1323"/>
      <c r="K3437" s="1323"/>
      <c r="L3437" s="1323"/>
      <c r="M3437" s="1323"/>
      <c r="N3437" s="1323"/>
      <c r="O3437" s="1323"/>
      <c r="P3437" s="1323"/>
      <c r="Q3437" s="1323"/>
      <c r="R3437" s="1304"/>
      <c r="S3437" s="1304"/>
      <c r="T3437" s="1304"/>
    </row>
    <row r="3438" spans="1:20">
      <c r="A3438" s="1303"/>
      <c r="B3438" s="1322" t="s">
        <v>8994</v>
      </c>
      <c r="C3438" s="1323" t="s">
        <v>8985</v>
      </c>
      <c r="D3438" s="1324">
        <f t="shared" si="348"/>
        <v>36871</v>
      </c>
      <c r="E3438" s="1323">
        <f t="shared" si="350"/>
        <v>7.6637000000000004</v>
      </c>
      <c r="F3438" s="1323">
        <f t="shared" si="349"/>
        <v>5.0764725781798168</v>
      </c>
      <c r="G3438" s="1323">
        <f t="shared" si="351"/>
        <v>2000</v>
      </c>
      <c r="H3438" s="1323">
        <f t="shared" si="352"/>
        <v>12</v>
      </c>
      <c r="I3438" s="1323">
        <f t="shared" si="353"/>
        <v>11</v>
      </c>
      <c r="J3438" s="1323"/>
      <c r="K3438" s="1323"/>
      <c r="L3438" s="1323"/>
      <c r="M3438" s="1323"/>
      <c r="N3438" s="1323"/>
      <c r="O3438" s="1323"/>
      <c r="P3438" s="1323"/>
      <c r="Q3438" s="1323"/>
      <c r="R3438" s="1304"/>
      <c r="S3438" s="1304"/>
      <c r="T3438" s="1304"/>
    </row>
    <row r="3439" spans="1:20">
      <c r="A3439" s="1303"/>
      <c r="B3439" s="1322" t="s">
        <v>8995</v>
      </c>
      <c r="C3439" s="1323" t="s">
        <v>8996</v>
      </c>
      <c r="D3439" s="1324">
        <f t="shared" si="348"/>
        <v>36868</v>
      </c>
      <c r="E3439" s="1323">
        <f t="shared" si="350"/>
        <v>7.5979000000000001</v>
      </c>
      <c r="F3439" s="1323">
        <f t="shared" si="349"/>
        <v>5.0754991947725996</v>
      </c>
      <c r="G3439" s="1323">
        <f t="shared" si="351"/>
        <v>2000</v>
      </c>
      <c r="H3439" s="1323">
        <f t="shared" si="352"/>
        <v>12</v>
      </c>
      <c r="I3439" s="1323">
        <f t="shared" si="353"/>
        <v>8</v>
      </c>
      <c r="J3439" s="1323"/>
      <c r="K3439" s="1323"/>
      <c r="L3439" s="1323"/>
      <c r="M3439" s="1323"/>
      <c r="N3439" s="1323"/>
      <c r="O3439" s="1323"/>
      <c r="P3439" s="1323"/>
      <c r="Q3439" s="1323"/>
      <c r="R3439" s="1304"/>
      <c r="S3439" s="1304"/>
      <c r="T3439" s="1304"/>
    </row>
    <row r="3440" spans="1:20">
      <c r="A3440" s="1303"/>
      <c r="B3440" s="1322" t="s">
        <v>8997</v>
      </c>
      <c r="C3440" s="1323" t="s">
        <v>8998</v>
      </c>
      <c r="D3440" s="1324">
        <f t="shared" si="348"/>
        <v>36867</v>
      </c>
      <c r="E3440" s="1323">
        <f t="shared" si="350"/>
        <v>7.5586000000000002</v>
      </c>
      <c r="F3440" s="1323">
        <f t="shared" si="349"/>
        <v>5.0745259980058588</v>
      </c>
      <c r="G3440" s="1323">
        <f t="shared" si="351"/>
        <v>2000</v>
      </c>
      <c r="H3440" s="1323">
        <f t="shared" si="352"/>
        <v>12</v>
      </c>
      <c r="I3440" s="1323">
        <f t="shared" si="353"/>
        <v>7</v>
      </c>
      <c r="J3440" s="1323"/>
      <c r="K3440" s="1323"/>
      <c r="L3440" s="1323"/>
      <c r="M3440" s="1323"/>
      <c r="N3440" s="1323"/>
      <c r="O3440" s="1323"/>
      <c r="P3440" s="1323"/>
      <c r="Q3440" s="1323"/>
      <c r="R3440" s="1304"/>
      <c r="S3440" s="1304"/>
      <c r="T3440" s="1304"/>
    </row>
    <row r="3441" spans="1:20">
      <c r="A3441" s="1303"/>
      <c r="B3441" s="1322" t="s">
        <v>8999</v>
      </c>
      <c r="C3441" s="1323" t="s">
        <v>9000</v>
      </c>
      <c r="D3441" s="1324">
        <f t="shared" si="348"/>
        <v>36866</v>
      </c>
      <c r="E3441" s="1323">
        <f t="shared" si="350"/>
        <v>7.6140999999999996</v>
      </c>
      <c r="F3441" s="1323">
        <f t="shared" si="349"/>
        <v>5.0735529878438062</v>
      </c>
      <c r="G3441" s="1323">
        <f t="shared" si="351"/>
        <v>2000</v>
      </c>
      <c r="H3441" s="1323">
        <f t="shared" si="352"/>
        <v>12</v>
      </c>
      <c r="I3441" s="1323">
        <f t="shared" si="353"/>
        <v>6</v>
      </c>
      <c r="J3441" s="1323"/>
      <c r="K3441" s="1323"/>
      <c r="L3441" s="1323"/>
      <c r="M3441" s="1323"/>
      <c r="N3441" s="1323"/>
      <c r="O3441" s="1323"/>
      <c r="P3441" s="1323"/>
      <c r="Q3441" s="1323"/>
      <c r="R3441" s="1304"/>
      <c r="S3441" s="1304"/>
      <c r="T3441" s="1304"/>
    </row>
    <row r="3442" spans="1:20">
      <c r="A3442" s="1303"/>
      <c r="B3442" s="1322" t="s">
        <v>9001</v>
      </c>
      <c r="C3442" s="1323" t="s">
        <v>9002</v>
      </c>
      <c r="D3442" s="1324">
        <f t="shared" si="348"/>
        <v>36864</v>
      </c>
      <c r="E3442" s="1323">
        <f t="shared" si="350"/>
        <v>7.6315</v>
      </c>
      <c r="F3442" s="1323">
        <f t="shared" si="349"/>
        <v>5.0725801642506623</v>
      </c>
      <c r="G3442" s="1323">
        <f t="shared" si="351"/>
        <v>2000</v>
      </c>
      <c r="H3442" s="1323">
        <f t="shared" si="352"/>
        <v>12</v>
      </c>
      <c r="I3442" s="1323">
        <f t="shared" si="353"/>
        <v>4</v>
      </c>
      <c r="J3442" s="1323"/>
      <c r="K3442" s="1323"/>
      <c r="L3442" s="1323"/>
      <c r="M3442" s="1323"/>
      <c r="N3442" s="1323"/>
      <c r="O3442" s="1323"/>
      <c r="P3442" s="1323"/>
      <c r="Q3442" s="1323"/>
      <c r="R3442" s="1304"/>
      <c r="S3442" s="1304"/>
      <c r="T3442" s="1304"/>
    </row>
    <row r="3443" spans="1:20">
      <c r="A3443" s="1303"/>
      <c r="B3443" s="1322" t="s">
        <v>9003</v>
      </c>
      <c r="C3443" s="1323" t="s">
        <v>9004</v>
      </c>
      <c r="D3443" s="1324">
        <f t="shared" si="348"/>
        <v>36861</v>
      </c>
      <c r="E3443" s="1323">
        <f t="shared" si="350"/>
        <v>7.6737000000000002</v>
      </c>
      <c r="F3443" s="1323">
        <f t="shared" si="349"/>
        <v>5.0716075271906531</v>
      </c>
      <c r="G3443" s="1323">
        <f t="shared" si="351"/>
        <v>2000</v>
      </c>
      <c r="H3443" s="1323">
        <f t="shared" si="352"/>
        <v>12</v>
      </c>
      <c r="I3443" s="1323">
        <f t="shared" si="353"/>
        <v>1</v>
      </c>
      <c r="J3443" s="1323"/>
      <c r="K3443" s="1323"/>
      <c r="L3443" s="1323"/>
      <c r="M3443" s="1323"/>
      <c r="N3443" s="1323"/>
      <c r="O3443" s="1323"/>
      <c r="P3443" s="1323"/>
      <c r="Q3443" s="1323"/>
      <c r="R3443" s="1304"/>
      <c r="S3443" s="1304"/>
      <c r="T3443" s="1304"/>
    </row>
    <row r="3444" spans="1:20">
      <c r="A3444" s="1303"/>
      <c r="B3444" s="1322" t="s">
        <v>9005</v>
      </c>
      <c r="C3444" s="1323" t="s">
        <v>9006</v>
      </c>
      <c r="D3444" s="1324">
        <f t="shared" si="348"/>
        <v>36860</v>
      </c>
      <c r="E3444" s="1323">
        <f t="shared" si="350"/>
        <v>7.7369000000000003</v>
      </c>
      <c r="F3444" s="1323">
        <f t="shared" si="349"/>
        <v>5.0706350766280117</v>
      </c>
      <c r="G3444" s="1323">
        <f t="shared" si="351"/>
        <v>2000</v>
      </c>
      <c r="H3444" s="1323">
        <f t="shared" si="352"/>
        <v>11</v>
      </c>
      <c r="I3444" s="1323">
        <f t="shared" si="353"/>
        <v>30</v>
      </c>
      <c r="J3444" s="1323"/>
      <c r="K3444" s="1323"/>
      <c r="L3444" s="1323"/>
      <c r="M3444" s="1323"/>
      <c r="N3444" s="1323"/>
      <c r="O3444" s="1323"/>
      <c r="P3444" s="1323"/>
      <c r="Q3444" s="1323"/>
      <c r="R3444" s="1304"/>
      <c r="S3444" s="1304"/>
      <c r="T3444" s="1304"/>
    </row>
    <row r="3445" spans="1:20">
      <c r="A3445" s="1303"/>
      <c r="B3445" s="1322" t="s">
        <v>9007</v>
      </c>
      <c r="C3445" s="1323" t="s">
        <v>9008</v>
      </c>
      <c r="D3445" s="1324">
        <f t="shared" si="348"/>
        <v>36859</v>
      </c>
      <c r="E3445" s="1323">
        <f t="shared" si="350"/>
        <v>7.7945000000000002</v>
      </c>
      <c r="F3445" s="1323">
        <f t="shared" si="349"/>
        <v>5.0696628125269791</v>
      </c>
      <c r="G3445" s="1323">
        <f t="shared" si="351"/>
        <v>2000</v>
      </c>
      <c r="H3445" s="1323">
        <f t="shared" si="352"/>
        <v>11</v>
      </c>
      <c r="I3445" s="1323">
        <f t="shared" si="353"/>
        <v>29</v>
      </c>
      <c r="J3445" s="1323"/>
      <c r="K3445" s="1323"/>
      <c r="L3445" s="1323"/>
      <c r="M3445" s="1323"/>
      <c r="N3445" s="1323"/>
      <c r="O3445" s="1323"/>
      <c r="P3445" s="1323"/>
      <c r="Q3445" s="1323"/>
      <c r="R3445" s="1304"/>
      <c r="S3445" s="1304"/>
      <c r="T3445" s="1304"/>
    </row>
    <row r="3446" spans="1:20">
      <c r="A3446" s="1303"/>
      <c r="B3446" s="1322" t="s">
        <v>9009</v>
      </c>
      <c r="C3446" s="1323" t="s">
        <v>9010</v>
      </c>
      <c r="D3446" s="1324">
        <f t="shared" si="348"/>
        <v>36858</v>
      </c>
      <c r="E3446" s="1323">
        <f t="shared" si="350"/>
        <v>7.7413999999999996</v>
      </c>
      <c r="F3446" s="1323">
        <f t="shared" si="349"/>
        <v>5.0686907348518018</v>
      </c>
      <c r="G3446" s="1323">
        <f t="shared" si="351"/>
        <v>2000</v>
      </c>
      <c r="H3446" s="1323">
        <f t="shared" si="352"/>
        <v>11</v>
      </c>
      <c r="I3446" s="1323">
        <f t="shared" si="353"/>
        <v>28</v>
      </c>
      <c r="J3446" s="1323"/>
      <c r="K3446" s="1323"/>
      <c r="L3446" s="1323"/>
      <c r="M3446" s="1323"/>
      <c r="N3446" s="1323"/>
      <c r="O3446" s="1323"/>
      <c r="P3446" s="1323"/>
      <c r="Q3446" s="1323"/>
      <c r="R3446" s="1304"/>
      <c r="S3446" s="1304"/>
      <c r="T3446" s="1304"/>
    </row>
    <row r="3447" spans="1:20">
      <c r="A3447" s="1303"/>
      <c r="B3447" s="1322" t="s">
        <v>9011</v>
      </c>
      <c r="C3447" s="1323" t="s">
        <v>9012</v>
      </c>
      <c r="D3447" s="1324">
        <f t="shared" si="348"/>
        <v>36857</v>
      </c>
      <c r="E3447" s="1323">
        <f t="shared" si="350"/>
        <v>7.7664</v>
      </c>
      <c r="F3447" s="1323">
        <f t="shared" si="349"/>
        <v>5.067718843566734</v>
      </c>
      <c r="G3447" s="1323">
        <f t="shared" si="351"/>
        <v>2000</v>
      </c>
      <c r="H3447" s="1323">
        <f t="shared" si="352"/>
        <v>11</v>
      </c>
      <c r="I3447" s="1323">
        <f t="shared" si="353"/>
        <v>27</v>
      </c>
      <c r="J3447" s="1323"/>
      <c r="K3447" s="1323"/>
      <c r="L3447" s="1323"/>
      <c r="M3447" s="1323"/>
      <c r="N3447" s="1323"/>
      <c r="O3447" s="1323"/>
      <c r="P3447" s="1323"/>
      <c r="Q3447" s="1323"/>
      <c r="R3447" s="1304"/>
      <c r="S3447" s="1304"/>
      <c r="T3447" s="1304"/>
    </row>
    <row r="3448" spans="1:20">
      <c r="A3448" s="1303"/>
      <c r="B3448" s="1322" t="s">
        <v>9013</v>
      </c>
      <c r="C3448" s="1323" t="s">
        <v>9014</v>
      </c>
      <c r="D3448" s="1324">
        <f t="shared" si="348"/>
        <v>36854</v>
      </c>
      <c r="E3448" s="1323">
        <f t="shared" si="350"/>
        <v>7.8452999999999999</v>
      </c>
      <c r="F3448" s="1323">
        <f t="shared" si="349"/>
        <v>5.0667471386360363</v>
      </c>
      <c r="G3448" s="1323">
        <f t="shared" si="351"/>
        <v>2000</v>
      </c>
      <c r="H3448" s="1323">
        <f t="shared" si="352"/>
        <v>11</v>
      </c>
      <c r="I3448" s="1323">
        <f t="shared" si="353"/>
        <v>24</v>
      </c>
      <c r="J3448" s="1323"/>
      <c r="K3448" s="1323"/>
      <c r="L3448" s="1323"/>
      <c r="M3448" s="1323"/>
      <c r="N3448" s="1323"/>
      <c r="O3448" s="1323"/>
      <c r="P3448" s="1323"/>
      <c r="Q3448" s="1323"/>
      <c r="R3448" s="1304"/>
      <c r="S3448" s="1304"/>
      <c r="T3448" s="1304"/>
    </row>
    <row r="3449" spans="1:20">
      <c r="A3449" s="1303"/>
      <c r="B3449" s="1322" t="s">
        <v>9015</v>
      </c>
      <c r="C3449" s="1323" t="s">
        <v>9016</v>
      </c>
      <c r="D3449" s="1324">
        <f t="shared" si="348"/>
        <v>36853</v>
      </c>
      <c r="E3449" s="1323">
        <f t="shared" si="350"/>
        <v>7.7567000000000004</v>
      </c>
      <c r="F3449" s="1323">
        <f t="shared" si="349"/>
        <v>5.0657756200239765</v>
      </c>
      <c r="G3449" s="1323">
        <f t="shared" si="351"/>
        <v>2000</v>
      </c>
      <c r="H3449" s="1323">
        <f t="shared" si="352"/>
        <v>11</v>
      </c>
      <c r="I3449" s="1323">
        <f t="shared" si="353"/>
        <v>23</v>
      </c>
      <c r="J3449" s="1323"/>
      <c r="K3449" s="1323"/>
      <c r="L3449" s="1323"/>
      <c r="M3449" s="1323"/>
      <c r="N3449" s="1323"/>
      <c r="O3449" s="1323"/>
      <c r="P3449" s="1323"/>
      <c r="Q3449" s="1323"/>
      <c r="R3449" s="1304"/>
      <c r="S3449" s="1304"/>
      <c r="T3449" s="1304"/>
    </row>
    <row r="3450" spans="1:20">
      <c r="A3450" s="1303"/>
      <c r="B3450" s="1322" t="s">
        <v>9017</v>
      </c>
      <c r="C3450" s="1323" t="s">
        <v>9018</v>
      </c>
      <c r="D3450" s="1324">
        <f t="shared" si="348"/>
        <v>36852</v>
      </c>
      <c r="E3450" s="1323">
        <f t="shared" si="350"/>
        <v>7.8116000000000003</v>
      </c>
      <c r="F3450" s="1323">
        <f t="shared" si="349"/>
        <v>5.0648042876948294</v>
      </c>
      <c r="G3450" s="1323">
        <f t="shared" si="351"/>
        <v>2000</v>
      </c>
      <c r="H3450" s="1323">
        <f t="shared" si="352"/>
        <v>11</v>
      </c>
      <c r="I3450" s="1323">
        <f t="shared" si="353"/>
        <v>22</v>
      </c>
      <c r="J3450" s="1323"/>
      <c r="K3450" s="1323"/>
      <c r="L3450" s="1323"/>
      <c r="M3450" s="1323"/>
      <c r="N3450" s="1323"/>
      <c r="O3450" s="1323"/>
      <c r="P3450" s="1323"/>
      <c r="Q3450" s="1323"/>
      <c r="R3450" s="1304"/>
      <c r="S3450" s="1304"/>
      <c r="T3450" s="1304"/>
    </row>
    <row r="3451" spans="1:20">
      <c r="A3451" s="1303"/>
      <c r="B3451" s="1322" t="s">
        <v>9019</v>
      </c>
      <c r="C3451" s="1323" t="s">
        <v>4840</v>
      </c>
      <c r="D3451" s="1324">
        <f t="shared" si="348"/>
        <v>36851</v>
      </c>
      <c r="E3451" s="1323">
        <f t="shared" si="350"/>
        <v>7.7450000000000001</v>
      </c>
      <c r="F3451" s="1323">
        <f t="shared" si="349"/>
        <v>5.0638331416128759</v>
      </c>
      <c r="G3451" s="1323">
        <f t="shared" si="351"/>
        <v>2000</v>
      </c>
      <c r="H3451" s="1323">
        <f t="shared" si="352"/>
        <v>11</v>
      </c>
      <c r="I3451" s="1323">
        <f t="shared" si="353"/>
        <v>21</v>
      </c>
      <c r="J3451" s="1323"/>
      <c r="K3451" s="1323"/>
      <c r="L3451" s="1323"/>
      <c r="M3451" s="1323"/>
      <c r="N3451" s="1323"/>
      <c r="O3451" s="1323"/>
      <c r="P3451" s="1323"/>
      <c r="Q3451" s="1323"/>
      <c r="R3451" s="1304"/>
      <c r="S3451" s="1304"/>
      <c r="T3451" s="1304"/>
    </row>
    <row r="3452" spans="1:20">
      <c r="A3452" s="1303"/>
      <c r="B3452" s="1322" t="s">
        <v>9020</v>
      </c>
      <c r="C3452" s="1323" t="s">
        <v>9021</v>
      </c>
      <c r="D3452" s="1324">
        <f t="shared" si="348"/>
        <v>36850</v>
      </c>
      <c r="E3452" s="1323">
        <f t="shared" si="350"/>
        <v>7.7408000000000001</v>
      </c>
      <c r="F3452" s="1323">
        <f t="shared" si="349"/>
        <v>5.0628621817424042</v>
      </c>
      <c r="G3452" s="1323">
        <f t="shared" si="351"/>
        <v>2000</v>
      </c>
      <c r="H3452" s="1323">
        <f t="shared" si="352"/>
        <v>11</v>
      </c>
      <c r="I3452" s="1323">
        <f t="shared" si="353"/>
        <v>20</v>
      </c>
      <c r="J3452" s="1323"/>
      <c r="K3452" s="1323"/>
      <c r="L3452" s="1323"/>
      <c r="M3452" s="1323"/>
      <c r="N3452" s="1323"/>
      <c r="O3452" s="1323"/>
      <c r="P3452" s="1323"/>
      <c r="Q3452" s="1323"/>
      <c r="R3452" s="1304"/>
      <c r="S3452" s="1304"/>
      <c r="T3452" s="1304"/>
    </row>
    <row r="3453" spans="1:20">
      <c r="A3453" s="1303"/>
      <c r="B3453" s="1322" t="s">
        <v>9022</v>
      </c>
      <c r="C3453" s="1323" t="s">
        <v>8889</v>
      </c>
      <c r="D3453" s="1324">
        <f t="shared" si="348"/>
        <v>36847</v>
      </c>
      <c r="E3453" s="1323">
        <f t="shared" si="350"/>
        <v>7.6239999999999997</v>
      </c>
      <c r="F3453" s="1323">
        <f t="shared" si="349"/>
        <v>5.0618914080477095</v>
      </c>
      <c r="G3453" s="1323">
        <f t="shared" si="351"/>
        <v>2000</v>
      </c>
      <c r="H3453" s="1323">
        <f t="shared" si="352"/>
        <v>11</v>
      </c>
      <c r="I3453" s="1323">
        <f t="shared" si="353"/>
        <v>17</v>
      </c>
      <c r="J3453" s="1323"/>
      <c r="K3453" s="1323"/>
      <c r="L3453" s="1323"/>
      <c r="M3453" s="1323"/>
      <c r="N3453" s="1323"/>
      <c r="O3453" s="1323"/>
      <c r="P3453" s="1323"/>
      <c r="Q3453" s="1323"/>
      <c r="R3453" s="1304"/>
      <c r="S3453" s="1304"/>
      <c r="T3453" s="1304"/>
    </row>
    <row r="3454" spans="1:20">
      <c r="A3454" s="1303"/>
      <c r="B3454" s="1322" t="s">
        <v>9023</v>
      </c>
      <c r="C3454" s="1323" t="s">
        <v>9024</v>
      </c>
      <c r="D3454" s="1324">
        <f t="shared" si="348"/>
        <v>36846</v>
      </c>
      <c r="E3454" s="1323">
        <f t="shared" si="350"/>
        <v>7.6825999999999999</v>
      </c>
      <c r="F3454" s="1323">
        <f t="shared" si="349"/>
        <v>5.0609208204930942</v>
      </c>
      <c r="G3454" s="1323">
        <f t="shared" si="351"/>
        <v>2000</v>
      </c>
      <c r="H3454" s="1323">
        <f t="shared" si="352"/>
        <v>11</v>
      </c>
      <c r="I3454" s="1323">
        <f t="shared" si="353"/>
        <v>16</v>
      </c>
      <c r="J3454" s="1323"/>
      <c r="K3454" s="1323"/>
      <c r="L3454" s="1323"/>
      <c r="M3454" s="1323"/>
      <c r="N3454" s="1323"/>
      <c r="O3454" s="1323"/>
      <c r="P3454" s="1323"/>
      <c r="Q3454" s="1323"/>
      <c r="R3454" s="1304"/>
      <c r="S3454" s="1304"/>
      <c r="T3454" s="1304"/>
    </row>
    <row r="3455" spans="1:20">
      <c r="A3455" s="1303"/>
      <c r="B3455" s="1322" t="s">
        <v>9025</v>
      </c>
      <c r="C3455" s="1323" t="s">
        <v>3492</v>
      </c>
      <c r="D3455" s="1324">
        <f t="shared" si="348"/>
        <v>36845</v>
      </c>
      <c r="E3455" s="1323">
        <f t="shared" si="350"/>
        <v>7.6414999999999997</v>
      </c>
      <c r="F3455" s="1323">
        <f t="shared" si="349"/>
        <v>5.0599504190428668</v>
      </c>
      <c r="G3455" s="1323">
        <f t="shared" si="351"/>
        <v>2000</v>
      </c>
      <c r="H3455" s="1323">
        <f t="shared" si="352"/>
        <v>11</v>
      </c>
      <c r="I3455" s="1323">
        <f t="shared" si="353"/>
        <v>15</v>
      </c>
      <c r="J3455" s="1323"/>
      <c r="K3455" s="1323"/>
      <c r="L3455" s="1323"/>
      <c r="M3455" s="1323"/>
      <c r="N3455" s="1323"/>
      <c r="O3455" s="1323"/>
      <c r="P3455" s="1323"/>
      <c r="Q3455" s="1323"/>
      <c r="R3455" s="1304"/>
      <c r="S3455" s="1304"/>
      <c r="T3455" s="1304"/>
    </row>
    <row r="3456" spans="1:20">
      <c r="A3456" s="1303"/>
      <c r="B3456" s="1322" t="s">
        <v>9026</v>
      </c>
      <c r="C3456" s="1323" t="s">
        <v>9027</v>
      </c>
      <c r="D3456" s="1324">
        <f t="shared" si="348"/>
        <v>36844</v>
      </c>
      <c r="E3456" s="1323">
        <f t="shared" si="350"/>
        <v>7.6262999999999996</v>
      </c>
      <c r="F3456" s="1323">
        <f t="shared" si="349"/>
        <v>5.0589802036613429</v>
      </c>
      <c r="G3456" s="1323">
        <f t="shared" si="351"/>
        <v>2000</v>
      </c>
      <c r="H3456" s="1323">
        <f t="shared" si="352"/>
        <v>11</v>
      </c>
      <c r="I3456" s="1323">
        <f t="shared" si="353"/>
        <v>14</v>
      </c>
      <c r="J3456" s="1323"/>
      <c r="K3456" s="1323"/>
      <c r="L3456" s="1323"/>
      <c r="M3456" s="1323"/>
      <c r="N3456" s="1323"/>
      <c r="O3456" s="1323"/>
      <c r="P3456" s="1323"/>
      <c r="Q3456" s="1323"/>
      <c r="R3456" s="1304"/>
      <c r="S3456" s="1304"/>
      <c r="T3456" s="1304"/>
    </row>
    <row r="3457" spans="1:20">
      <c r="A3457" s="1303"/>
      <c r="B3457" s="1322" t="s">
        <v>9028</v>
      </c>
      <c r="C3457" s="1323" t="s">
        <v>9029</v>
      </c>
      <c r="D3457" s="1324">
        <f t="shared" si="348"/>
        <v>36843</v>
      </c>
      <c r="E3457" s="1323">
        <f t="shared" si="350"/>
        <v>7.6345000000000001</v>
      </c>
      <c r="F3457" s="1323">
        <f t="shared" si="349"/>
        <v>5.0580101743128445</v>
      </c>
      <c r="G3457" s="1323">
        <f t="shared" si="351"/>
        <v>2000</v>
      </c>
      <c r="H3457" s="1323">
        <f t="shared" si="352"/>
        <v>11</v>
      </c>
      <c r="I3457" s="1323">
        <f t="shared" si="353"/>
        <v>13</v>
      </c>
      <c r="J3457" s="1323"/>
      <c r="K3457" s="1323"/>
      <c r="L3457" s="1323"/>
      <c r="M3457" s="1323"/>
      <c r="N3457" s="1323"/>
      <c r="O3457" s="1323"/>
      <c r="P3457" s="1323"/>
      <c r="Q3457" s="1323"/>
      <c r="R3457" s="1304"/>
      <c r="S3457" s="1304"/>
      <c r="T3457" s="1304"/>
    </row>
    <row r="3458" spans="1:20">
      <c r="A3458" s="1303"/>
      <c r="B3458" s="1322" t="s">
        <v>9030</v>
      </c>
      <c r="C3458" s="1323" t="s">
        <v>9031</v>
      </c>
      <c r="D3458" s="1324">
        <f t="shared" si="348"/>
        <v>36840</v>
      </c>
      <c r="E3458" s="1323">
        <f t="shared" si="350"/>
        <v>7.6718999999999999</v>
      </c>
      <c r="F3458" s="1323">
        <f t="shared" si="349"/>
        <v>5.0570403309617014</v>
      </c>
      <c r="G3458" s="1323">
        <f t="shared" si="351"/>
        <v>2000</v>
      </c>
      <c r="H3458" s="1323">
        <f t="shared" si="352"/>
        <v>11</v>
      </c>
      <c r="I3458" s="1323">
        <f t="shared" si="353"/>
        <v>10</v>
      </c>
      <c r="J3458" s="1323"/>
      <c r="K3458" s="1323"/>
      <c r="L3458" s="1323"/>
      <c r="M3458" s="1323"/>
      <c r="N3458" s="1323"/>
      <c r="O3458" s="1323"/>
      <c r="P3458" s="1323"/>
      <c r="Q3458" s="1323"/>
      <c r="R3458" s="1304"/>
      <c r="S3458" s="1304"/>
      <c r="T3458" s="1304"/>
    </row>
    <row r="3459" spans="1:20">
      <c r="A3459" s="1303"/>
      <c r="B3459" s="1322" t="s">
        <v>9032</v>
      </c>
      <c r="C3459" s="1323" t="s">
        <v>9033</v>
      </c>
      <c r="D3459" s="1324">
        <f t="shared" si="348"/>
        <v>36839</v>
      </c>
      <c r="E3459" s="1323">
        <f t="shared" si="350"/>
        <v>7.7591999999999999</v>
      </c>
      <c r="F3459" s="1323">
        <f t="shared" si="349"/>
        <v>5.0560706735722487</v>
      </c>
      <c r="G3459" s="1323">
        <f t="shared" si="351"/>
        <v>2000</v>
      </c>
      <c r="H3459" s="1323">
        <f t="shared" si="352"/>
        <v>11</v>
      </c>
      <c r="I3459" s="1323">
        <f t="shared" si="353"/>
        <v>9</v>
      </c>
      <c r="J3459" s="1323"/>
      <c r="K3459" s="1323"/>
      <c r="L3459" s="1323"/>
      <c r="M3459" s="1323"/>
      <c r="N3459" s="1323"/>
      <c r="O3459" s="1323"/>
      <c r="P3459" s="1323"/>
      <c r="Q3459" s="1323"/>
      <c r="R3459" s="1304"/>
      <c r="S3459" s="1304"/>
      <c r="T3459" s="1304"/>
    </row>
    <row r="3460" spans="1:20">
      <c r="A3460" s="1303"/>
      <c r="B3460" s="1322" t="s">
        <v>9034</v>
      </c>
      <c r="C3460" s="1323" t="s">
        <v>9035</v>
      </c>
      <c r="D3460" s="1324">
        <f t="shared" si="348"/>
        <v>36838</v>
      </c>
      <c r="E3460" s="1323">
        <f t="shared" si="350"/>
        <v>7.6478999999999999</v>
      </c>
      <c r="F3460" s="1323">
        <f t="shared" si="349"/>
        <v>5.0551012021088306</v>
      </c>
      <c r="G3460" s="1323">
        <f t="shared" si="351"/>
        <v>2000</v>
      </c>
      <c r="H3460" s="1323">
        <f t="shared" si="352"/>
        <v>11</v>
      </c>
      <c r="I3460" s="1323">
        <f t="shared" si="353"/>
        <v>8</v>
      </c>
      <c r="J3460" s="1323"/>
      <c r="K3460" s="1323"/>
      <c r="L3460" s="1323"/>
      <c r="M3460" s="1323"/>
      <c r="N3460" s="1323"/>
      <c r="O3460" s="1323"/>
      <c r="P3460" s="1323"/>
      <c r="Q3460" s="1323"/>
      <c r="R3460" s="1304"/>
      <c r="S3460" s="1304"/>
      <c r="T3460" s="1304"/>
    </row>
    <row r="3461" spans="1:20">
      <c r="A3461" s="1303"/>
      <c r="B3461" s="1322" t="s">
        <v>9036</v>
      </c>
      <c r="C3461" s="1323" t="s">
        <v>9037</v>
      </c>
      <c r="D3461" s="1324">
        <f t="shared" si="348"/>
        <v>36837</v>
      </c>
      <c r="E3461" s="1323">
        <f t="shared" si="350"/>
        <v>7.5511999999999997</v>
      </c>
      <c r="F3461" s="1323">
        <f t="shared" si="349"/>
        <v>5.0541319165357965</v>
      </c>
      <c r="G3461" s="1323">
        <f t="shared" si="351"/>
        <v>2000</v>
      </c>
      <c r="H3461" s="1323">
        <f t="shared" si="352"/>
        <v>11</v>
      </c>
      <c r="I3461" s="1323">
        <f t="shared" si="353"/>
        <v>7</v>
      </c>
      <c r="J3461" s="1323"/>
      <c r="K3461" s="1323"/>
      <c r="L3461" s="1323"/>
      <c r="M3461" s="1323"/>
      <c r="N3461" s="1323"/>
      <c r="O3461" s="1323"/>
      <c r="P3461" s="1323"/>
      <c r="Q3461" s="1323"/>
      <c r="R3461" s="1304"/>
      <c r="S3461" s="1304"/>
      <c r="T3461" s="1304"/>
    </row>
    <row r="3462" spans="1:20">
      <c r="A3462" s="1303"/>
      <c r="B3462" s="1322" t="s">
        <v>9038</v>
      </c>
      <c r="C3462" s="1323" t="s">
        <v>9039</v>
      </c>
      <c r="D3462" s="1324">
        <f t="shared" si="348"/>
        <v>36836</v>
      </c>
      <c r="E3462" s="1323">
        <f t="shared" si="350"/>
        <v>7.5185000000000004</v>
      </c>
      <c r="F3462" s="1323">
        <f t="shared" si="349"/>
        <v>5.0531628168175029</v>
      </c>
      <c r="G3462" s="1323">
        <f t="shared" si="351"/>
        <v>2000</v>
      </c>
      <c r="H3462" s="1323">
        <f t="shared" si="352"/>
        <v>11</v>
      </c>
      <c r="I3462" s="1323">
        <f t="shared" si="353"/>
        <v>6</v>
      </c>
      <c r="J3462" s="1323"/>
      <c r="K3462" s="1323"/>
      <c r="L3462" s="1323"/>
      <c r="M3462" s="1323"/>
      <c r="N3462" s="1323"/>
      <c r="O3462" s="1323"/>
      <c r="P3462" s="1323"/>
      <c r="Q3462" s="1323"/>
      <c r="R3462" s="1304"/>
      <c r="S3462" s="1304"/>
      <c r="T3462" s="1304"/>
    </row>
    <row r="3463" spans="1:20">
      <c r="A3463" s="1303"/>
      <c r="B3463" s="1322" t="s">
        <v>9040</v>
      </c>
      <c r="C3463" s="1323" t="s">
        <v>9041</v>
      </c>
      <c r="D3463" s="1324">
        <f t="shared" si="348"/>
        <v>36833</v>
      </c>
      <c r="E3463" s="1323">
        <f t="shared" si="350"/>
        <v>7.5289999999999999</v>
      </c>
      <c r="F3463" s="1323">
        <f t="shared" si="349"/>
        <v>5.0521939029183125</v>
      </c>
      <c r="G3463" s="1323">
        <f t="shared" si="351"/>
        <v>2000</v>
      </c>
      <c r="H3463" s="1323">
        <f t="shared" si="352"/>
        <v>11</v>
      </c>
      <c r="I3463" s="1323">
        <f t="shared" si="353"/>
        <v>3</v>
      </c>
      <c r="J3463" s="1323"/>
      <c r="K3463" s="1323"/>
      <c r="L3463" s="1323"/>
      <c r="M3463" s="1323"/>
      <c r="N3463" s="1323"/>
      <c r="O3463" s="1323"/>
      <c r="P3463" s="1323"/>
      <c r="Q3463" s="1323"/>
      <c r="R3463" s="1304"/>
      <c r="S3463" s="1304"/>
      <c r="T3463" s="1304"/>
    </row>
    <row r="3464" spans="1:20">
      <c r="A3464" s="1303"/>
      <c r="B3464" s="1322" t="s">
        <v>9042</v>
      </c>
      <c r="C3464" s="1323" t="s">
        <v>9043</v>
      </c>
      <c r="D3464" s="1324">
        <f t="shared" si="348"/>
        <v>36832</v>
      </c>
      <c r="E3464" s="1323">
        <f t="shared" si="350"/>
        <v>7.5046999999999997</v>
      </c>
      <c r="F3464" s="1323">
        <f t="shared" si="349"/>
        <v>5.0512251748025969</v>
      </c>
      <c r="G3464" s="1323">
        <f t="shared" si="351"/>
        <v>2000</v>
      </c>
      <c r="H3464" s="1323">
        <f t="shared" si="352"/>
        <v>11</v>
      </c>
      <c r="I3464" s="1323">
        <f t="shared" si="353"/>
        <v>2</v>
      </c>
      <c r="J3464" s="1323"/>
      <c r="K3464" s="1323"/>
      <c r="L3464" s="1323"/>
      <c r="M3464" s="1323"/>
      <c r="N3464" s="1323"/>
      <c r="O3464" s="1323"/>
      <c r="P3464" s="1323"/>
      <c r="Q3464" s="1323"/>
      <c r="R3464" s="1304"/>
      <c r="S3464" s="1304"/>
      <c r="T3464" s="1304"/>
    </row>
    <row r="3465" spans="1:20">
      <c r="A3465" s="1303"/>
      <c r="B3465" s="1322" t="s">
        <v>9044</v>
      </c>
      <c r="C3465" s="1323" t="s">
        <v>9045</v>
      </c>
      <c r="D3465" s="1324">
        <f t="shared" ref="D3465:D3528" si="354">DATE(G3465,H3465,I3465)</f>
        <v>36831</v>
      </c>
      <c r="E3465" s="1323">
        <f t="shared" si="350"/>
        <v>7.5153999999999996</v>
      </c>
      <c r="F3465" s="1323">
        <f t="shared" ref="F3465:F3528" si="355">F3466*(1+$F$7/365)</f>
        <v>5.0502566324347322</v>
      </c>
      <c r="G3465" s="1323">
        <f t="shared" si="351"/>
        <v>2000</v>
      </c>
      <c r="H3465" s="1323">
        <f t="shared" si="352"/>
        <v>11</v>
      </c>
      <c r="I3465" s="1323">
        <f t="shared" si="353"/>
        <v>1</v>
      </c>
      <c r="J3465" s="1323"/>
      <c r="K3465" s="1323"/>
      <c r="L3465" s="1323"/>
      <c r="M3465" s="1323"/>
      <c r="N3465" s="1323"/>
      <c r="O3465" s="1323"/>
      <c r="P3465" s="1323"/>
      <c r="Q3465" s="1323"/>
      <c r="R3465" s="1304"/>
      <c r="S3465" s="1304"/>
      <c r="T3465" s="1304"/>
    </row>
    <row r="3466" spans="1:20">
      <c r="A3466" s="1303"/>
      <c r="B3466" s="1322" t="s">
        <v>9046</v>
      </c>
      <c r="C3466" s="1323" t="s">
        <v>9047</v>
      </c>
      <c r="D3466" s="1324">
        <f t="shared" si="354"/>
        <v>36830</v>
      </c>
      <c r="E3466" s="1323">
        <f t="shared" si="350"/>
        <v>7.5609000000000002</v>
      </c>
      <c r="F3466" s="1323">
        <f t="shared" si="355"/>
        <v>5.0492882757791033</v>
      </c>
      <c r="G3466" s="1323">
        <f t="shared" si="351"/>
        <v>2000</v>
      </c>
      <c r="H3466" s="1323">
        <f t="shared" si="352"/>
        <v>10</v>
      </c>
      <c r="I3466" s="1323">
        <f t="shared" si="353"/>
        <v>31</v>
      </c>
      <c r="J3466" s="1323"/>
      <c r="K3466" s="1323"/>
      <c r="L3466" s="1323"/>
      <c r="M3466" s="1323"/>
      <c r="N3466" s="1323"/>
      <c r="O3466" s="1323"/>
      <c r="P3466" s="1323"/>
      <c r="Q3466" s="1323"/>
      <c r="R3466" s="1304"/>
      <c r="S3466" s="1304"/>
      <c r="T3466" s="1304"/>
    </row>
    <row r="3467" spans="1:20">
      <c r="A3467" s="1303"/>
      <c r="B3467" s="1322" t="s">
        <v>9048</v>
      </c>
      <c r="C3467" s="1323" t="s">
        <v>9049</v>
      </c>
      <c r="D3467" s="1324">
        <f t="shared" si="354"/>
        <v>36829</v>
      </c>
      <c r="E3467" s="1323">
        <f t="shared" si="350"/>
        <v>7.6285999999999996</v>
      </c>
      <c r="F3467" s="1323">
        <f t="shared" si="355"/>
        <v>5.0483201048001005</v>
      </c>
      <c r="G3467" s="1323">
        <f t="shared" si="351"/>
        <v>2000</v>
      </c>
      <c r="H3467" s="1323">
        <f t="shared" si="352"/>
        <v>10</v>
      </c>
      <c r="I3467" s="1323">
        <f t="shared" si="353"/>
        <v>30</v>
      </c>
      <c r="J3467" s="1323"/>
      <c r="K3467" s="1323"/>
      <c r="L3467" s="1323"/>
      <c r="M3467" s="1323"/>
      <c r="N3467" s="1323"/>
      <c r="O3467" s="1323"/>
      <c r="P3467" s="1323"/>
      <c r="Q3467" s="1323"/>
      <c r="R3467" s="1304"/>
      <c r="S3467" s="1304"/>
      <c r="T3467" s="1304"/>
    </row>
    <row r="3468" spans="1:20">
      <c r="A3468" s="1303"/>
      <c r="B3468" s="1322" t="s">
        <v>9050</v>
      </c>
      <c r="C3468" s="1323" t="s">
        <v>9051</v>
      </c>
      <c r="D3468" s="1324">
        <f t="shared" si="354"/>
        <v>36826</v>
      </c>
      <c r="E3468" s="1323">
        <f t="shared" si="350"/>
        <v>7.6348000000000003</v>
      </c>
      <c r="F3468" s="1323">
        <f t="shared" si="355"/>
        <v>5.0473521194621211</v>
      </c>
      <c r="G3468" s="1323">
        <f t="shared" si="351"/>
        <v>2000</v>
      </c>
      <c r="H3468" s="1323">
        <f t="shared" si="352"/>
        <v>10</v>
      </c>
      <c r="I3468" s="1323">
        <f t="shared" si="353"/>
        <v>27</v>
      </c>
      <c r="J3468" s="1323"/>
      <c r="K3468" s="1323"/>
      <c r="L3468" s="1323"/>
      <c r="M3468" s="1323"/>
      <c r="N3468" s="1323"/>
      <c r="O3468" s="1323"/>
      <c r="P3468" s="1323"/>
      <c r="Q3468" s="1323"/>
      <c r="R3468" s="1304"/>
      <c r="S3468" s="1304"/>
      <c r="T3468" s="1304"/>
    </row>
    <row r="3469" spans="1:20">
      <c r="A3469" s="1303"/>
      <c r="B3469" s="1322" t="s">
        <v>9052</v>
      </c>
      <c r="C3469" s="1323" t="s">
        <v>9053</v>
      </c>
      <c r="D3469" s="1324">
        <f t="shared" si="354"/>
        <v>36825</v>
      </c>
      <c r="E3469" s="1323">
        <f t="shared" si="350"/>
        <v>7.6955999999999998</v>
      </c>
      <c r="F3469" s="1323">
        <f t="shared" si="355"/>
        <v>5.0463843197295697</v>
      </c>
      <c r="G3469" s="1323">
        <f t="shared" si="351"/>
        <v>2000</v>
      </c>
      <c r="H3469" s="1323">
        <f t="shared" si="352"/>
        <v>10</v>
      </c>
      <c r="I3469" s="1323">
        <f t="shared" si="353"/>
        <v>26</v>
      </c>
      <c r="J3469" s="1323"/>
      <c r="K3469" s="1323"/>
      <c r="L3469" s="1323"/>
      <c r="M3469" s="1323"/>
      <c r="N3469" s="1323"/>
      <c r="O3469" s="1323"/>
      <c r="P3469" s="1323"/>
      <c r="Q3469" s="1323"/>
      <c r="R3469" s="1304"/>
      <c r="S3469" s="1304"/>
      <c r="T3469" s="1304"/>
    </row>
    <row r="3470" spans="1:20">
      <c r="A3470" s="1303"/>
      <c r="B3470" s="1322" t="s">
        <v>9054</v>
      </c>
      <c r="C3470" s="1323" t="s">
        <v>9055</v>
      </c>
      <c r="D3470" s="1324">
        <f t="shared" si="354"/>
        <v>36824</v>
      </c>
      <c r="E3470" s="1323">
        <f t="shared" si="350"/>
        <v>7.6563999999999997</v>
      </c>
      <c r="F3470" s="1323">
        <f t="shared" si="355"/>
        <v>5.0454167055668577</v>
      </c>
      <c r="G3470" s="1323">
        <f t="shared" si="351"/>
        <v>2000</v>
      </c>
      <c r="H3470" s="1323">
        <f t="shared" si="352"/>
        <v>10</v>
      </c>
      <c r="I3470" s="1323">
        <f t="shared" si="353"/>
        <v>25</v>
      </c>
      <c r="J3470" s="1323"/>
      <c r="K3470" s="1323"/>
      <c r="L3470" s="1323"/>
      <c r="M3470" s="1323"/>
      <c r="N3470" s="1323"/>
      <c r="O3470" s="1323"/>
      <c r="P3470" s="1323"/>
      <c r="Q3470" s="1323"/>
      <c r="R3470" s="1304"/>
      <c r="S3470" s="1304"/>
      <c r="T3470" s="1304"/>
    </row>
    <row r="3471" spans="1:20">
      <c r="A3471" s="1303"/>
      <c r="B3471" s="1322" t="s">
        <v>9056</v>
      </c>
      <c r="C3471" s="1323" t="s">
        <v>9057</v>
      </c>
      <c r="D3471" s="1324">
        <f t="shared" si="354"/>
        <v>36823</v>
      </c>
      <c r="E3471" s="1323">
        <f t="shared" si="350"/>
        <v>7.5674000000000001</v>
      </c>
      <c r="F3471" s="1323">
        <f t="shared" si="355"/>
        <v>5.0444492769384039</v>
      </c>
      <c r="G3471" s="1323">
        <f t="shared" si="351"/>
        <v>2000</v>
      </c>
      <c r="H3471" s="1323">
        <f t="shared" si="352"/>
        <v>10</v>
      </c>
      <c r="I3471" s="1323">
        <f t="shared" si="353"/>
        <v>24</v>
      </c>
      <c r="J3471" s="1323"/>
      <c r="K3471" s="1323"/>
      <c r="L3471" s="1323"/>
      <c r="M3471" s="1323"/>
      <c r="N3471" s="1323"/>
      <c r="O3471" s="1323"/>
      <c r="P3471" s="1323"/>
      <c r="Q3471" s="1323"/>
      <c r="R3471" s="1304"/>
      <c r="S3471" s="1304"/>
      <c r="T3471" s="1304"/>
    </row>
    <row r="3472" spans="1:20">
      <c r="A3472" s="1303"/>
      <c r="B3472" s="1322" t="s">
        <v>9058</v>
      </c>
      <c r="C3472" s="1323" t="s">
        <v>9059</v>
      </c>
      <c r="D3472" s="1324">
        <f t="shared" si="354"/>
        <v>36822</v>
      </c>
      <c r="E3472" s="1323">
        <f t="shared" si="350"/>
        <v>7.6031000000000004</v>
      </c>
      <c r="F3472" s="1323">
        <f t="shared" si="355"/>
        <v>5.0434820338086324</v>
      </c>
      <c r="G3472" s="1323">
        <f t="shared" si="351"/>
        <v>2000</v>
      </c>
      <c r="H3472" s="1323">
        <f t="shared" si="352"/>
        <v>10</v>
      </c>
      <c r="I3472" s="1323">
        <f t="shared" si="353"/>
        <v>23</v>
      </c>
      <c r="J3472" s="1323"/>
      <c r="K3472" s="1323"/>
      <c r="L3472" s="1323"/>
      <c r="M3472" s="1323"/>
      <c r="N3472" s="1323"/>
      <c r="O3472" s="1323"/>
      <c r="P3472" s="1323"/>
      <c r="Q3472" s="1323"/>
      <c r="R3472" s="1304"/>
      <c r="S3472" s="1304"/>
      <c r="T3472" s="1304"/>
    </row>
    <row r="3473" spans="1:20">
      <c r="A3473" s="1303"/>
      <c r="B3473" s="1322" t="s">
        <v>9060</v>
      </c>
      <c r="C3473" s="1323" t="s">
        <v>9061</v>
      </c>
      <c r="D3473" s="1324">
        <f t="shared" si="354"/>
        <v>36819</v>
      </c>
      <c r="E3473" s="1323">
        <f t="shared" si="350"/>
        <v>7.6239999999999997</v>
      </c>
      <c r="F3473" s="1323">
        <f t="shared" si="355"/>
        <v>5.042514976141975</v>
      </c>
      <c r="G3473" s="1323">
        <f t="shared" si="351"/>
        <v>2000</v>
      </c>
      <c r="H3473" s="1323">
        <f t="shared" si="352"/>
        <v>10</v>
      </c>
      <c r="I3473" s="1323">
        <f t="shared" si="353"/>
        <v>20</v>
      </c>
      <c r="J3473" s="1323"/>
      <c r="K3473" s="1323"/>
      <c r="L3473" s="1323"/>
      <c r="M3473" s="1323"/>
      <c r="N3473" s="1323"/>
      <c r="O3473" s="1323"/>
      <c r="P3473" s="1323"/>
      <c r="Q3473" s="1323"/>
      <c r="R3473" s="1304"/>
      <c r="S3473" s="1304"/>
      <c r="T3473" s="1304"/>
    </row>
    <row r="3474" spans="1:20">
      <c r="A3474" s="1303"/>
      <c r="B3474" s="1322" t="s">
        <v>9062</v>
      </c>
      <c r="C3474" s="1323" t="s">
        <v>9024</v>
      </c>
      <c r="D3474" s="1324">
        <f t="shared" si="354"/>
        <v>36818</v>
      </c>
      <c r="E3474" s="1323">
        <f t="shared" si="350"/>
        <v>7.6684000000000001</v>
      </c>
      <c r="F3474" s="1323">
        <f t="shared" si="355"/>
        <v>5.04154810390287</v>
      </c>
      <c r="G3474" s="1323">
        <f t="shared" si="351"/>
        <v>2000</v>
      </c>
      <c r="H3474" s="1323">
        <f t="shared" si="352"/>
        <v>10</v>
      </c>
      <c r="I3474" s="1323">
        <f t="shared" si="353"/>
        <v>19</v>
      </c>
      <c r="J3474" s="1323"/>
      <c r="K3474" s="1323"/>
      <c r="L3474" s="1323"/>
      <c r="M3474" s="1323"/>
      <c r="N3474" s="1323"/>
      <c r="O3474" s="1323"/>
      <c r="P3474" s="1323"/>
      <c r="Q3474" s="1323"/>
      <c r="R3474" s="1304"/>
      <c r="S3474" s="1304"/>
      <c r="T3474" s="1304"/>
    </row>
    <row r="3475" spans="1:20">
      <c r="A3475" s="1303"/>
      <c r="B3475" s="1322" t="s">
        <v>9063</v>
      </c>
      <c r="C3475" s="1323" t="s">
        <v>9064</v>
      </c>
      <c r="D3475" s="1324">
        <f t="shared" si="354"/>
        <v>36817</v>
      </c>
      <c r="E3475" s="1323">
        <f t="shared" si="350"/>
        <v>7.5640000000000001</v>
      </c>
      <c r="F3475" s="1323">
        <f t="shared" si="355"/>
        <v>5.0405814170557637</v>
      </c>
      <c r="G3475" s="1323">
        <f t="shared" si="351"/>
        <v>2000</v>
      </c>
      <c r="H3475" s="1323">
        <f t="shared" si="352"/>
        <v>10</v>
      </c>
      <c r="I3475" s="1323">
        <f t="shared" si="353"/>
        <v>18</v>
      </c>
      <c r="J3475" s="1323"/>
      <c r="K3475" s="1323"/>
      <c r="L3475" s="1323"/>
      <c r="M3475" s="1323"/>
      <c r="N3475" s="1323"/>
      <c r="O3475" s="1323"/>
      <c r="P3475" s="1323"/>
      <c r="Q3475" s="1323"/>
      <c r="R3475" s="1304"/>
      <c r="S3475" s="1304"/>
      <c r="T3475" s="1304"/>
    </row>
    <row r="3476" spans="1:20">
      <c r="A3476" s="1303"/>
      <c r="B3476" s="1322" t="s">
        <v>9065</v>
      </c>
      <c r="C3476" s="1323" t="s">
        <v>9066</v>
      </c>
      <c r="D3476" s="1324">
        <f t="shared" si="354"/>
        <v>36816</v>
      </c>
      <c r="E3476" s="1323">
        <f t="shared" si="350"/>
        <v>7.5838000000000001</v>
      </c>
      <c r="F3476" s="1323">
        <f t="shared" si="355"/>
        <v>5.0396149155651075</v>
      </c>
      <c r="G3476" s="1323">
        <f t="shared" si="351"/>
        <v>2000</v>
      </c>
      <c r="H3476" s="1323">
        <f t="shared" si="352"/>
        <v>10</v>
      </c>
      <c r="I3476" s="1323">
        <f t="shared" si="353"/>
        <v>17</v>
      </c>
      <c r="J3476" s="1323"/>
      <c r="K3476" s="1323"/>
      <c r="L3476" s="1323"/>
      <c r="M3476" s="1323"/>
      <c r="N3476" s="1323"/>
      <c r="O3476" s="1323"/>
      <c r="P3476" s="1323"/>
      <c r="Q3476" s="1323"/>
      <c r="R3476" s="1304"/>
      <c r="S3476" s="1304"/>
      <c r="T3476" s="1304"/>
    </row>
    <row r="3477" spans="1:20">
      <c r="A3477" s="1303"/>
      <c r="B3477" s="1322" t="s">
        <v>9067</v>
      </c>
      <c r="C3477" s="1323" t="s">
        <v>9068</v>
      </c>
      <c r="D3477" s="1324">
        <f t="shared" si="354"/>
        <v>36815</v>
      </c>
      <c r="E3477" s="1323">
        <f t="shared" si="350"/>
        <v>7.4737999999999998</v>
      </c>
      <c r="F3477" s="1323">
        <f t="shared" si="355"/>
        <v>5.0386485993953603</v>
      </c>
      <c r="G3477" s="1323">
        <f t="shared" si="351"/>
        <v>2000</v>
      </c>
      <c r="H3477" s="1323">
        <f t="shared" si="352"/>
        <v>10</v>
      </c>
      <c r="I3477" s="1323">
        <f t="shared" si="353"/>
        <v>16</v>
      </c>
      <c r="J3477" s="1323"/>
      <c r="K3477" s="1323"/>
      <c r="L3477" s="1323"/>
      <c r="M3477" s="1323"/>
      <c r="N3477" s="1323"/>
      <c r="O3477" s="1323"/>
      <c r="P3477" s="1323"/>
      <c r="Q3477" s="1323"/>
      <c r="R3477" s="1304"/>
      <c r="S3477" s="1304"/>
      <c r="T3477" s="1304"/>
    </row>
    <row r="3478" spans="1:20">
      <c r="A3478" s="1303"/>
      <c r="B3478" s="1322" t="s">
        <v>9069</v>
      </c>
      <c r="C3478" s="1323" t="s">
        <v>9070</v>
      </c>
      <c r="D3478" s="1324">
        <f t="shared" si="354"/>
        <v>36812</v>
      </c>
      <c r="E3478" s="1323">
        <f t="shared" ref="E3478:E3541" si="356">VALUE(C3479)</f>
        <v>7.5190999999999999</v>
      </c>
      <c r="F3478" s="1323">
        <f t="shared" si="355"/>
        <v>5.0376824685109884</v>
      </c>
      <c r="G3478" s="1323">
        <f t="shared" ref="G3478:G3541" si="357">YEAR(B3479)</f>
        <v>2000</v>
      </c>
      <c r="H3478" s="1323">
        <f t="shared" ref="H3478:H3541" si="358">MONTH(B3479)</f>
        <v>10</v>
      </c>
      <c r="I3478" s="1323">
        <f t="shared" ref="I3478:I3541" si="359">DAY(B3479)</f>
        <v>13</v>
      </c>
      <c r="J3478" s="1323"/>
      <c r="K3478" s="1323"/>
      <c r="L3478" s="1323"/>
      <c r="M3478" s="1323"/>
      <c r="N3478" s="1323"/>
      <c r="O3478" s="1323"/>
      <c r="P3478" s="1323"/>
      <c r="Q3478" s="1323"/>
      <c r="R3478" s="1304"/>
      <c r="S3478" s="1304"/>
      <c r="T3478" s="1304"/>
    </row>
    <row r="3479" spans="1:20">
      <c r="A3479" s="1303"/>
      <c r="B3479" s="1322" t="s">
        <v>9071</v>
      </c>
      <c r="C3479" s="1323" t="s">
        <v>9072</v>
      </c>
      <c r="D3479" s="1324">
        <f t="shared" si="354"/>
        <v>36811</v>
      </c>
      <c r="E3479" s="1323">
        <f t="shared" si="356"/>
        <v>7.4272</v>
      </c>
      <c r="F3479" s="1323">
        <f t="shared" si="355"/>
        <v>5.0367165228764641</v>
      </c>
      <c r="G3479" s="1323">
        <f t="shared" si="357"/>
        <v>2000</v>
      </c>
      <c r="H3479" s="1323">
        <f t="shared" si="358"/>
        <v>10</v>
      </c>
      <c r="I3479" s="1323">
        <f t="shared" si="359"/>
        <v>12</v>
      </c>
      <c r="J3479" s="1323"/>
      <c r="K3479" s="1323"/>
      <c r="L3479" s="1323"/>
      <c r="M3479" s="1323"/>
      <c r="N3479" s="1323"/>
      <c r="O3479" s="1323"/>
      <c r="P3479" s="1323"/>
      <c r="Q3479" s="1323"/>
      <c r="R3479" s="1304"/>
      <c r="S3479" s="1304"/>
      <c r="T3479" s="1304"/>
    </row>
    <row r="3480" spans="1:20">
      <c r="A3480" s="1303"/>
      <c r="B3480" s="1322" t="s">
        <v>9073</v>
      </c>
      <c r="C3480" s="1323" t="s">
        <v>3756</v>
      </c>
      <c r="D3480" s="1324">
        <f t="shared" si="354"/>
        <v>36810</v>
      </c>
      <c r="E3480" s="1323">
        <f t="shared" si="356"/>
        <v>7.3445999999999998</v>
      </c>
      <c r="F3480" s="1323">
        <f t="shared" si="355"/>
        <v>5.0357507624562672</v>
      </c>
      <c r="G3480" s="1323">
        <f t="shared" si="357"/>
        <v>2000</v>
      </c>
      <c r="H3480" s="1323">
        <f t="shared" si="358"/>
        <v>10</v>
      </c>
      <c r="I3480" s="1323">
        <f t="shared" si="359"/>
        <v>11</v>
      </c>
      <c r="J3480" s="1323"/>
      <c r="K3480" s="1323"/>
      <c r="L3480" s="1323"/>
      <c r="M3480" s="1323"/>
      <c r="N3480" s="1323"/>
      <c r="O3480" s="1323"/>
      <c r="P3480" s="1323"/>
      <c r="Q3480" s="1323"/>
      <c r="R3480" s="1304"/>
      <c r="S3480" s="1304"/>
      <c r="T3480" s="1304"/>
    </row>
    <row r="3481" spans="1:20">
      <c r="A3481" s="1303"/>
      <c r="B3481" s="1322" t="s">
        <v>9074</v>
      </c>
      <c r="C3481" s="1323" t="s">
        <v>9075</v>
      </c>
      <c r="D3481" s="1324">
        <f t="shared" si="354"/>
        <v>36809</v>
      </c>
      <c r="E3481" s="1323">
        <f t="shared" si="356"/>
        <v>7.35</v>
      </c>
      <c r="F3481" s="1323">
        <f t="shared" si="355"/>
        <v>5.034785187214883</v>
      </c>
      <c r="G3481" s="1323">
        <f t="shared" si="357"/>
        <v>2000</v>
      </c>
      <c r="H3481" s="1323">
        <f t="shared" si="358"/>
        <v>10</v>
      </c>
      <c r="I3481" s="1323">
        <f t="shared" si="359"/>
        <v>10</v>
      </c>
      <c r="J3481" s="1323"/>
      <c r="K3481" s="1323"/>
      <c r="L3481" s="1323"/>
      <c r="M3481" s="1323"/>
      <c r="N3481" s="1323"/>
      <c r="O3481" s="1323"/>
      <c r="P3481" s="1323"/>
      <c r="Q3481" s="1323"/>
      <c r="R3481" s="1304"/>
      <c r="S3481" s="1304"/>
      <c r="T3481" s="1304"/>
    </row>
    <row r="3482" spans="1:20">
      <c r="A3482" s="1303"/>
      <c r="B3482" s="1322" t="s">
        <v>9076</v>
      </c>
      <c r="C3482" s="1323" t="s">
        <v>9077</v>
      </c>
      <c r="D3482" s="1324">
        <f t="shared" si="354"/>
        <v>36808</v>
      </c>
      <c r="E3482" s="1323">
        <f t="shared" si="356"/>
        <v>7.3243999999999998</v>
      </c>
      <c r="F3482" s="1323">
        <f t="shared" si="355"/>
        <v>5.0338197971168057</v>
      </c>
      <c r="G3482" s="1323">
        <f t="shared" si="357"/>
        <v>2000</v>
      </c>
      <c r="H3482" s="1323">
        <f t="shared" si="358"/>
        <v>10</v>
      </c>
      <c r="I3482" s="1323">
        <f t="shared" si="359"/>
        <v>9</v>
      </c>
      <c r="J3482" s="1323"/>
      <c r="K3482" s="1323"/>
      <c r="L3482" s="1323"/>
      <c r="M3482" s="1323"/>
      <c r="N3482" s="1323"/>
      <c r="O3482" s="1323"/>
      <c r="P3482" s="1323"/>
      <c r="Q3482" s="1323"/>
      <c r="R3482" s="1304"/>
      <c r="S3482" s="1304"/>
      <c r="T3482" s="1304"/>
    </row>
    <row r="3483" spans="1:20">
      <c r="A3483" s="1303"/>
      <c r="B3483" s="1322" t="s">
        <v>9078</v>
      </c>
      <c r="C3483" s="1323" t="s">
        <v>9079</v>
      </c>
      <c r="D3483" s="1324">
        <f t="shared" si="354"/>
        <v>36805</v>
      </c>
      <c r="E3483" s="1323">
        <f t="shared" si="356"/>
        <v>7.2729999999999997</v>
      </c>
      <c r="F3483" s="1323">
        <f t="shared" si="355"/>
        <v>5.0328545921265349</v>
      </c>
      <c r="G3483" s="1323">
        <f t="shared" si="357"/>
        <v>2000</v>
      </c>
      <c r="H3483" s="1323">
        <f t="shared" si="358"/>
        <v>10</v>
      </c>
      <c r="I3483" s="1323">
        <f t="shared" si="359"/>
        <v>6</v>
      </c>
      <c r="J3483" s="1323"/>
      <c r="K3483" s="1323"/>
      <c r="L3483" s="1323"/>
      <c r="M3483" s="1323"/>
      <c r="N3483" s="1323"/>
      <c r="O3483" s="1323"/>
      <c r="P3483" s="1323"/>
      <c r="Q3483" s="1323"/>
      <c r="R3483" s="1304"/>
      <c r="S3483" s="1304"/>
      <c r="T3483" s="1304"/>
    </row>
    <row r="3484" spans="1:20">
      <c r="A3484" s="1303"/>
      <c r="B3484" s="1322" t="s">
        <v>9080</v>
      </c>
      <c r="C3484" s="1323" t="s">
        <v>9081</v>
      </c>
      <c r="D3484" s="1324">
        <f t="shared" si="354"/>
        <v>36804</v>
      </c>
      <c r="E3484" s="1323">
        <f t="shared" si="356"/>
        <v>7.22</v>
      </c>
      <c r="F3484" s="1323">
        <f t="shared" si="355"/>
        <v>5.031889572208577</v>
      </c>
      <c r="G3484" s="1323">
        <f t="shared" si="357"/>
        <v>2000</v>
      </c>
      <c r="H3484" s="1323">
        <f t="shared" si="358"/>
        <v>10</v>
      </c>
      <c r="I3484" s="1323">
        <f t="shared" si="359"/>
        <v>5</v>
      </c>
      <c r="J3484" s="1323"/>
      <c r="K3484" s="1323"/>
      <c r="L3484" s="1323"/>
      <c r="M3484" s="1323"/>
      <c r="N3484" s="1323"/>
      <c r="O3484" s="1323"/>
      <c r="P3484" s="1323"/>
      <c r="Q3484" s="1323"/>
      <c r="R3484" s="1304"/>
      <c r="S3484" s="1304"/>
      <c r="T3484" s="1304"/>
    </row>
    <row r="3485" spans="1:20">
      <c r="A3485" s="1303"/>
      <c r="B3485" s="1322" t="s">
        <v>9082</v>
      </c>
      <c r="C3485" s="1323" t="s">
        <v>9083</v>
      </c>
      <c r="D3485" s="1324">
        <f t="shared" si="354"/>
        <v>36803</v>
      </c>
      <c r="E3485" s="1323">
        <f t="shared" si="356"/>
        <v>7.2220000000000004</v>
      </c>
      <c r="F3485" s="1323">
        <f t="shared" si="355"/>
        <v>5.0309247373274459</v>
      </c>
      <c r="G3485" s="1323">
        <f t="shared" si="357"/>
        <v>2000</v>
      </c>
      <c r="H3485" s="1323">
        <f t="shared" si="358"/>
        <v>10</v>
      </c>
      <c r="I3485" s="1323">
        <f t="shared" si="359"/>
        <v>4</v>
      </c>
      <c r="J3485" s="1323"/>
      <c r="K3485" s="1323"/>
      <c r="L3485" s="1323"/>
      <c r="M3485" s="1323"/>
      <c r="N3485" s="1323"/>
      <c r="O3485" s="1323"/>
      <c r="P3485" s="1323"/>
      <c r="Q3485" s="1323"/>
      <c r="R3485" s="1304"/>
      <c r="S3485" s="1304"/>
      <c r="T3485" s="1304"/>
    </row>
    <row r="3486" spans="1:20">
      <c r="A3486" s="1303"/>
      <c r="B3486" s="1322" t="s">
        <v>9084</v>
      </c>
      <c r="C3486" s="1323" t="s">
        <v>9085</v>
      </c>
      <c r="D3486" s="1324">
        <f t="shared" si="354"/>
        <v>36802</v>
      </c>
      <c r="E3486" s="1323">
        <f t="shared" si="356"/>
        <v>7.2278000000000002</v>
      </c>
      <c r="F3486" s="1323">
        <f t="shared" si="355"/>
        <v>5.0299600874476615</v>
      </c>
      <c r="G3486" s="1323">
        <f t="shared" si="357"/>
        <v>2000</v>
      </c>
      <c r="H3486" s="1323">
        <f t="shared" si="358"/>
        <v>10</v>
      </c>
      <c r="I3486" s="1323">
        <f t="shared" si="359"/>
        <v>3</v>
      </c>
      <c r="J3486" s="1323"/>
      <c r="K3486" s="1323"/>
      <c r="L3486" s="1323"/>
      <c r="M3486" s="1323"/>
      <c r="N3486" s="1323"/>
      <c r="O3486" s="1323"/>
      <c r="P3486" s="1323"/>
      <c r="Q3486" s="1323"/>
      <c r="R3486" s="1304"/>
      <c r="S3486" s="1304"/>
      <c r="T3486" s="1304"/>
    </row>
    <row r="3487" spans="1:20">
      <c r="A3487" s="1303"/>
      <c r="B3487" s="1322" t="s">
        <v>9086</v>
      </c>
      <c r="C3487" s="1323" t="s">
        <v>4298</v>
      </c>
      <c r="D3487" s="1324">
        <f t="shared" si="354"/>
        <v>36801</v>
      </c>
      <c r="E3487" s="1323">
        <f t="shared" si="356"/>
        <v>7.1950000000000003</v>
      </c>
      <c r="F3487" s="1323">
        <f t="shared" si="355"/>
        <v>5.0289956225337509</v>
      </c>
      <c r="G3487" s="1323">
        <f t="shared" si="357"/>
        <v>2000</v>
      </c>
      <c r="H3487" s="1323">
        <f t="shared" si="358"/>
        <v>10</v>
      </c>
      <c r="I3487" s="1323">
        <f t="shared" si="359"/>
        <v>2</v>
      </c>
      <c r="J3487" s="1323"/>
      <c r="K3487" s="1323"/>
      <c r="L3487" s="1323"/>
      <c r="M3487" s="1323"/>
      <c r="N3487" s="1323"/>
      <c r="O3487" s="1323"/>
      <c r="P3487" s="1323"/>
      <c r="Q3487" s="1323"/>
      <c r="R3487" s="1304"/>
      <c r="S3487" s="1304"/>
      <c r="T3487" s="1304"/>
    </row>
    <row r="3488" spans="1:20">
      <c r="A3488" s="1303"/>
      <c r="B3488" s="1322" t="s">
        <v>9087</v>
      </c>
      <c r="C3488" s="1323" t="s">
        <v>9088</v>
      </c>
      <c r="D3488" s="1324">
        <f t="shared" si="354"/>
        <v>36798</v>
      </c>
      <c r="E3488" s="1323">
        <f t="shared" si="356"/>
        <v>7.2771999999999997</v>
      </c>
      <c r="F3488" s="1323">
        <f t="shared" si="355"/>
        <v>5.0280313425502481</v>
      </c>
      <c r="G3488" s="1323">
        <f t="shared" si="357"/>
        <v>2000</v>
      </c>
      <c r="H3488" s="1323">
        <f t="shared" si="358"/>
        <v>9</v>
      </c>
      <c r="I3488" s="1323">
        <f t="shared" si="359"/>
        <v>29</v>
      </c>
      <c r="J3488" s="1323"/>
      <c r="K3488" s="1323"/>
      <c r="L3488" s="1323"/>
      <c r="M3488" s="1323"/>
      <c r="N3488" s="1323"/>
      <c r="O3488" s="1323"/>
      <c r="P3488" s="1323"/>
      <c r="Q3488" s="1323"/>
      <c r="R3488" s="1304"/>
      <c r="S3488" s="1304"/>
      <c r="T3488" s="1304"/>
    </row>
    <row r="3489" spans="1:20">
      <c r="A3489" s="1303"/>
      <c r="B3489" s="1322" t="s">
        <v>9089</v>
      </c>
      <c r="C3489" s="1323" t="s">
        <v>9090</v>
      </c>
      <c r="D3489" s="1324">
        <f t="shared" si="354"/>
        <v>36797</v>
      </c>
      <c r="E3489" s="1323">
        <f t="shared" si="356"/>
        <v>7.2423999999999999</v>
      </c>
      <c r="F3489" s="1323">
        <f t="shared" si="355"/>
        <v>5.0270672474616935</v>
      </c>
      <c r="G3489" s="1323">
        <f t="shared" si="357"/>
        <v>2000</v>
      </c>
      <c r="H3489" s="1323">
        <f t="shared" si="358"/>
        <v>9</v>
      </c>
      <c r="I3489" s="1323">
        <f t="shared" si="359"/>
        <v>28</v>
      </c>
      <c r="J3489" s="1323"/>
      <c r="K3489" s="1323"/>
      <c r="L3489" s="1323"/>
      <c r="M3489" s="1323"/>
      <c r="N3489" s="1323"/>
      <c r="O3489" s="1323"/>
      <c r="P3489" s="1323"/>
      <c r="Q3489" s="1323"/>
      <c r="R3489" s="1304"/>
      <c r="S3489" s="1304"/>
      <c r="T3489" s="1304"/>
    </row>
    <row r="3490" spans="1:20">
      <c r="A3490" s="1303"/>
      <c r="B3490" s="1322" t="s">
        <v>9091</v>
      </c>
      <c r="C3490" s="1323" t="s">
        <v>9092</v>
      </c>
      <c r="D3490" s="1324">
        <f t="shared" si="354"/>
        <v>36796</v>
      </c>
      <c r="E3490" s="1323">
        <f t="shared" si="356"/>
        <v>7.1847000000000003</v>
      </c>
      <c r="F3490" s="1323">
        <f t="shared" si="355"/>
        <v>5.0261033372326347</v>
      </c>
      <c r="G3490" s="1323">
        <f t="shared" si="357"/>
        <v>2000</v>
      </c>
      <c r="H3490" s="1323">
        <f t="shared" si="358"/>
        <v>9</v>
      </c>
      <c r="I3490" s="1323">
        <f t="shared" si="359"/>
        <v>27</v>
      </c>
      <c r="J3490" s="1323"/>
      <c r="K3490" s="1323"/>
      <c r="L3490" s="1323"/>
      <c r="M3490" s="1323"/>
      <c r="N3490" s="1323"/>
      <c r="O3490" s="1323"/>
      <c r="P3490" s="1323"/>
      <c r="Q3490" s="1323"/>
      <c r="R3490" s="1304"/>
      <c r="S3490" s="1304"/>
      <c r="T3490" s="1304"/>
    </row>
    <row r="3491" spans="1:20">
      <c r="A3491" s="1303"/>
      <c r="B3491" s="1322" t="s">
        <v>9093</v>
      </c>
      <c r="C3491" s="1323" t="s">
        <v>9094</v>
      </c>
      <c r="D3491" s="1324">
        <f t="shared" si="354"/>
        <v>36795</v>
      </c>
      <c r="E3491" s="1323">
        <f t="shared" si="356"/>
        <v>7.2272999999999996</v>
      </c>
      <c r="F3491" s="1323">
        <f t="shared" si="355"/>
        <v>5.0251396118276261</v>
      </c>
      <c r="G3491" s="1323">
        <f t="shared" si="357"/>
        <v>2000</v>
      </c>
      <c r="H3491" s="1323">
        <f t="shared" si="358"/>
        <v>9</v>
      </c>
      <c r="I3491" s="1323">
        <f t="shared" si="359"/>
        <v>26</v>
      </c>
      <c r="J3491" s="1323"/>
      <c r="K3491" s="1323"/>
      <c r="L3491" s="1323"/>
      <c r="M3491" s="1323"/>
      <c r="N3491" s="1323"/>
      <c r="O3491" s="1323"/>
      <c r="P3491" s="1323"/>
      <c r="Q3491" s="1323"/>
      <c r="R3491" s="1304"/>
      <c r="S3491" s="1304"/>
      <c r="T3491" s="1304"/>
    </row>
    <row r="3492" spans="1:20">
      <c r="A3492" s="1303"/>
      <c r="B3492" s="1322" t="s">
        <v>9095</v>
      </c>
      <c r="C3492" s="1323" t="s">
        <v>9096</v>
      </c>
      <c r="D3492" s="1324">
        <f t="shared" si="354"/>
        <v>36791</v>
      </c>
      <c r="E3492" s="1323">
        <f t="shared" si="356"/>
        <v>7.3239000000000001</v>
      </c>
      <c r="F3492" s="1323">
        <f t="shared" si="355"/>
        <v>5.0241760712112296</v>
      </c>
      <c r="G3492" s="1323">
        <f t="shared" si="357"/>
        <v>2000</v>
      </c>
      <c r="H3492" s="1323">
        <f t="shared" si="358"/>
        <v>9</v>
      </c>
      <c r="I3492" s="1323">
        <f t="shared" si="359"/>
        <v>22</v>
      </c>
      <c r="J3492" s="1323"/>
      <c r="K3492" s="1323"/>
      <c r="L3492" s="1323"/>
      <c r="M3492" s="1323"/>
      <c r="N3492" s="1323"/>
      <c r="O3492" s="1323"/>
      <c r="P3492" s="1323"/>
      <c r="Q3492" s="1323"/>
      <c r="R3492" s="1304"/>
      <c r="S3492" s="1304"/>
      <c r="T3492" s="1304"/>
    </row>
    <row r="3493" spans="1:20">
      <c r="A3493" s="1303"/>
      <c r="B3493" s="1322" t="s">
        <v>9097</v>
      </c>
      <c r="C3493" s="1323" t="s">
        <v>9098</v>
      </c>
      <c r="D3493" s="1324">
        <f t="shared" si="354"/>
        <v>36790</v>
      </c>
      <c r="E3493" s="1323">
        <f t="shared" si="356"/>
        <v>7.3273000000000001</v>
      </c>
      <c r="F3493" s="1323">
        <f t="shared" si="355"/>
        <v>5.0232127153480119</v>
      </c>
      <c r="G3493" s="1323">
        <f t="shared" si="357"/>
        <v>2000</v>
      </c>
      <c r="H3493" s="1323">
        <f t="shared" si="358"/>
        <v>9</v>
      </c>
      <c r="I3493" s="1323">
        <f t="shared" si="359"/>
        <v>21</v>
      </c>
      <c r="J3493" s="1323"/>
      <c r="K3493" s="1323"/>
      <c r="L3493" s="1323"/>
      <c r="M3493" s="1323"/>
      <c r="N3493" s="1323"/>
      <c r="O3493" s="1323"/>
      <c r="P3493" s="1323"/>
      <c r="Q3493" s="1323"/>
      <c r="R3493" s="1304"/>
      <c r="S3493" s="1304"/>
      <c r="T3493" s="1304"/>
    </row>
    <row r="3494" spans="1:20">
      <c r="A3494" s="1303"/>
      <c r="B3494" s="1322" t="s">
        <v>9099</v>
      </c>
      <c r="C3494" s="1323" t="s">
        <v>4474</v>
      </c>
      <c r="D3494" s="1324">
        <f t="shared" si="354"/>
        <v>36789</v>
      </c>
      <c r="E3494" s="1323">
        <f t="shared" si="356"/>
        <v>7.2869999999999999</v>
      </c>
      <c r="F3494" s="1323">
        <f t="shared" si="355"/>
        <v>5.0222495442025483</v>
      </c>
      <c r="G3494" s="1323">
        <f t="shared" si="357"/>
        <v>2000</v>
      </c>
      <c r="H3494" s="1323">
        <f t="shared" si="358"/>
        <v>9</v>
      </c>
      <c r="I3494" s="1323">
        <f t="shared" si="359"/>
        <v>20</v>
      </c>
      <c r="J3494" s="1323"/>
      <c r="K3494" s="1323"/>
      <c r="L3494" s="1323"/>
      <c r="M3494" s="1323"/>
      <c r="N3494" s="1323"/>
      <c r="O3494" s="1323"/>
      <c r="P3494" s="1323"/>
      <c r="Q3494" s="1323"/>
      <c r="R3494" s="1304"/>
      <c r="S3494" s="1304"/>
      <c r="T3494" s="1304"/>
    </row>
    <row r="3495" spans="1:20">
      <c r="A3495" s="1303"/>
      <c r="B3495" s="1322" t="s">
        <v>9100</v>
      </c>
      <c r="C3495" s="1323" t="s">
        <v>9101</v>
      </c>
      <c r="D3495" s="1324">
        <f t="shared" si="354"/>
        <v>36788</v>
      </c>
      <c r="E3495" s="1323">
        <f t="shared" si="356"/>
        <v>7.2973999999999997</v>
      </c>
      <c r="F3495" s="1323">
        <f t="shared" si="355"/>
        <v>5.0212865577394199</v>
      </c>
      <c r="G3495" s="1323">
        <f t="shared" si="357"/>
        <v>2000</v>
      </c>
      <c r="H3495" s="1323">
        <f t="shared" si="358"/>
        <v>9</v>
      </c>
      <c r="I3495" s="1323">
        <f t="shared" si="359"/>
        <v>19</v>
      </c>
      <c r="J3495" s="1323"/>
      <c r="K3495" s="1323"/>
      <c r="L3495" s="1323"/>
      <c r="M3495" s="1323"/>
      <c r="N3495" s="1323"/>
      <c r="O3495" s="1323"/>
      <c r="P3495" s="1323"/>
      <c r="Q3495" s="1323"/>
      <c r="R3495" s="1304"/>
      <c r="S3495" s="1304"/>
      <c r="T3495" s="1304"/>
    </row>
    <row r="3496" spans="1:20">
      <c r="A3496" s="1303"/>
      <c r="B3496" s="1322" t="s">
        <v>9102</v>
      </c>
      <c r="C3496" s="1323" t="s">
        <v>9103</v>
      </c>
      <c r="D3496" s="1324">
        <f t="shared" si="354"/>
        <v>36787</v>
      </c>
      <c r="E3496" s="1323">
        <f t="shared" si="356"/>
        <v>7.2301000000000002</v>
      </c>
      <c r="F3496" s="1323">
        <f t="shared" si="355"/>
        <v>5.020323755923215</v>
      </c>
      <c r="G3496" s="1323">
        <f t="shared" si="357"/>
        <v>2000</v>
      </c>
      <c r="H3496" s="1323">
        <f t="shared" si="358"/>
        <v>9</v>
      </c>
      <c r="I3496" s="1323">
        <f t="shared" si="359"/>
        <v>18</v>
      </c>
      <c r="J3496" s="1323"/>
      <c r="K3496" s="1323"/>
      <c r="L3496" s="1323"/>
      <c r="M3496" s="1323"/>
      <c r="N3496" s="1323"/>
      <c r="O3496" s="1323"/>
      <c r="P3496" s="1323"/>
      <c r="Q3496" s="1323"/>
      <c r="R3496" s="1304"/>
      <c r="S3496" s="1304"/>
      <c r="T3496" s="1304"/>
    </row>
    <row r="3497" spans="1:20">
      <c r="A3497" s="1303"/>
      <c r="B3497" s="1322" t="s">
        <v>9104</v>
      </c>
      <c r="C3497" s="1323" t="s">
        <v>9105</v>
      </c>
      <c r="D3497" s="1324">
        <f t="shared" si="354"/>
        <v>36784</v>
      </c>
      <c r="E3497" s="1323">
        <f t="shared" si="356"/>
        <v>7.1379999999999999</v>
      </c>
      <c r="F3497" s="1323">
        <f t="shared" si="355"/>
        <v>5.0193611387185291</v>
      </c>
      <c r="G3497" s="1323">
        <f t="shared" si="357"/>
        <v>2000</v>
      </c>
      <c r="H3497" s="1323">
        <f t="shared" si="358"/>
        <v>9</v>
      </c>
      <c r="I3497" s="1323">
        <f t="shared" si="359"/>
        <v>15</v>
      </c>
      <c r="J3497" s="1323"/>
      <c r="K3497" s="1323"/>
      <c r="L3497" s="1323"/>
      <c r="M3497" s="1323"/>
      <c r="N3497" s="1323"/>
      <c r="O3497" s="1323"/>
      <c r="P3497" s="1323"/>
      <c r="Q3497" s="1323"/>
      <c r="R3497" s="1304"/>
      <c r="S3497" s="1304"/>
      <c r="T3497" s="1304"/>
    </row>
    <row r="3498" spans="1:20">
      <c r="A3498" s="1303"/>
      <c r="B3498" s="1322" t="s">
        <v>9106</v>
      </c>
      <c r="C3498" s="1323" t="s">
        <v>9107</v>
      </c>
      <c r="D3498" s="1324">
        <f t="shared" si="354"/>
        <v>36783</v>
      </c>
      <c r="E3498" s="1323">
        <f t="shared" si="356"/>
        <v>7.1528</v>
      </c>
      <c r="F3498" s="1323">
        <f t="shared" si="355"/>
        <v>5.0183987060899637</v>
      </c>
      <c r="G3498" s="1323">
        <f t="shared" si="357"/>
        <v>2000</v>
      </c>
      <c r="H3498" s="1323">
        <f t="shared" si="358"/>
        <v>9</v>
      </c>
      <c r="I3498" s="1323">
        <f t="shared" si="359"/>
        <v>14</v>
      </c>
      <c r="J3498" s="1323"/>
      <c r="K3498" s="1323"/>
      <c r="L3498" s="1323"/>
      <c r="M3498" s="1323"/>
      <c r="N3498" s="1323"/>
      <c r="O3498" s="1323"/>
      <c r="P3498" s="1323"/>
      <c r="Q3498" s="1323"/>
      <c r="R3498" s="1304"/>
      <c r="S3498" s="1304"/>
      <c r="T3498" s="1304"/>
    </row>
    <row r="3499" spans="1:20">
      <c r="A3499" s="1303"/>
      <c r="B3499" s="1322" t="s">
        <v>9108</v>
      </c>
      <c r="C3499" s="1323" t="s">
        <v>9109</v>
      </c>
      <c r="D3499" s="1324">
        <f t="shared" si="354"/>
        <v>36782</v>
      </c>
      <c r="E3499" s="1323">
        <f t="shared" si="356"/>
        <v>7.1125999999999996</v>
      </c>
      <c r="F3499" s="1323">
        <f t="shared" si="355"/>
        <v>5.0174364580021278</v>
      </c>
      <c r="G3499" s="1323">
        <f t="shared" si="357"/>
        <v>2000</v>
      </c>
      <c r="H3499" s="1323">
        <f t="shared" si="358"/>
        <v>9</v>
      </c>
      <c r="I3499" s="1323">
        <f t="shared" si="359"/>
        <v>13</v>
      </c>
      <c r="J3499" s="1323"/>
      <c r="K3499" s="1323"/>
      <c r="L3499" s="1323"/>
      <c r="M3499" s="1323"/>
      <c r="N3499" s="1323"/>
      <c r="O3499" s="1323"/>
      <c r="P3499" s="1323"/>
      <c r="Q3499" s="1323"/>
      <c r="R3499" s="1304"/>
      <c r="S3499" s="1304"/>
      <c r="T3499" s="1304"/>
    </row>
    <row r="3500" spans="1:20">
      <c r="A3500" s="1303"/>
      <c r="B3500" s="1322" t="s">
        <v>9110</v>
      </c>
      <c r="C3500" s="1323" t="s">
        <v>7476</v>
      </c>
      <c r="D3500" s="1324">
        <f t="shared" si="354"/>
        <v>36781</v>
      </c>
      <c r="E3500" s="1323">
        <f t="shared" si="356"/>
        <v>7.1416000000000004</v>
      </c>
      <c r="F3500" s="1323">
        <f t="shared" si="355"/>
        <v>5.0164743944196362</v>
      </c>
      <c r="G3500" s="1323">
        <f t="shared" si="357"/>
        <v>2000</v>
      </c>
      <c r="H3500" s="1323">
        <f t="shared" si="358"/>
        <v>9</v>
      </c>
      <c r="I3500" s="1323">
        <f t="shared" si="359"/>
        <v>12</v>
      </c>
      <c r="J3500" s="1323"/>
      <c r="K3500" s="1323"/>
      <c r="L3500" s="1323"/>
      <c r="M3500" s="1323"/>
      <c r="N3500" s="1323"/>
      <c r="O3500" s="1323"/>
      <c r="P3500" s="1323"/>
      <c r="Q3500" s="1323"/>
      <c r="R3500" s="1304"/>
      <c r="S3500" s="1304"/>
      <c r="T3500" s="1304"/>
    </row>
    <row r="3501" spans="1:20">
      <c r="A3501" s="1303"/>
      <c r="B3501" s="1322" t="s">
        <v>9111</v>
      </c>
      <c r="C3501" s="1323" t="s">
        <v>9112</v>
      </c>
      <c r="D3501" s="1324">
        <f t="shared" si="354"/>
        <v>36780</v>
      </c>
      <c r="E3501" s="1323">
        <f t="shared" si="356"/>
        <v>7.1104000000000003</v>
      </c>
      <c r="F3501" s="1323">
        <f t="shared" si="355"/>
        <v>5.015512515307111</v>
      </c>
      <c r="G3501" s="1323">
        <f t="shared" si="357"/>
        <v>2000</v>
      </c>
      <c r="H3501" s="1323">
        <f t="shared" si="358"/>
        <v>9</v>
      </c>
      <c r="I3501" s="1323">
        <f t="shared" si="359"/>
        <v>11</v>
      </c>
      <c r="J3501" s="1323"/>
      <c r="K3501" s="1323"/>
      <c r="L3501" s="1323"/>
      <c r="M3501" s="1323"/>
      <c r="N3501" s="1323"/>
      <c r="O3501" s="1323"/>
      <c r="P3501" s="1323"/>
      <c r="Q3501" s="1323"/>
      <c r="R3501" s="1304"/>
      <c r="S3501" s="1304"/>
      <c r="T3501" s="1304"/>
    </row>
    <row r="3502" spans="1:20">
      <c r="A3502" s="1303"/>
      <c r="B3502" s="1322" t="s">
        <v>9113</v>
      </c>
      <c r="C3502" s="1323" t="s">
        <v>9114</v>
      </c>
      <c r="D3502" s="1324">
        <f t="shared" si="354"/>
        <v>36777</v>
      </c>
      <c r="E3502" s="1323">
        <f t="shared" si="356"/>
        <v>7.0879000000000003</v>
      </c>
      <c r="F3502" s="1323">
        <f t="shared" si="355"/>
        <v>5.0145508206291822</v>
      </c>
      <c r="G3502" s="1323">
        <f t="shared" si="357"/>
        <v>2000</v>
      </c>
      <c r="H3502" s="1323">
        <f t="shared" si="358"/>
        <v>9</v>
      </c>
      <c r="I3502" s="1323">
        <f t="shared" si="359"/>
        <v>8</v>
      </c>
      <c r="J3502" s="1323"/>
      <c r="K3502" s="1323"/>
      <c r="L3502" s="1323"/>
      <c r="M3502" s="1323"/>
      <c r="N3502" s="1323"/>
      <c r="O3502" s="1323"/>
      <c r="P3502" s="1323"/>
      <c r="Q3502" s="1323"/>
      <c r="R3502" s="1304"/>
      <c r="S3502" s="1304"/>
      <c r="T3502" s="1304"/>
    </row>
    <row r="3503" spans="1:20">
      <c r="A3503" s="1303"/>
      <c r="B3503" s="1322" t="s">
        <v>9115</v>
      </c>
      <c r="C3503" s="1323" t="s">
        <v>9116</v>
      </c>
      <c r="D3503" s="1324">
        <f t="shared" si="354"/>
        <v>36776</v>
      </c>
      <c r="E3503" s="1323">
        <f t="shared" si="356"/>
        <v>7.1280999999999999</v>
      </c>
      <c r="F3503" s="1323">
        <f t="shared" si="355"/>
        <v>5.0135893103504845</v>
      </c>
      <c r="G3503" s="1323">
        <f t="shared" si="357"/>
        <v>2000</v>
      </c>
      <c r="H3503" s="1323">
        <f t="shared" si="358"/>
        <v>9</v>
      </c>
      <c r="I3503" s="1323">
        <f t="shared" si="359"/>
        <v>7</v>
      </c>
      <c r="J3503" s="1323"/>
      <c r="K3503" s="1323"/>
      <c r="L3503" s="1323"/>
      <c r="M3503" s="1323"/>
      <c r="N3503" s="1323"/>
      <c r="O3503" s="1323"/>
      <c r="P3503" s="1323"/>
      <c r="Q3503" s="1323"/>
      <c r="R3503" s="1304"/>
      <c r="S3503" s="1304"/>
      <c r="T3503" s="1304"/>
    </row>
    <row r="3504" spans="1:20">
      <c r="A3504" s="1303"/>
      <c r="B3504" s="1322" t="s">
        <v>9117</v>
      </c>
      <c r="C3504" s="1323" t="s">
        <v>9118</v>
      </c>
      <c r="D3504" s="1324">
        <f t="shared" si="354"/>
        <v>36775</v>
      </c>
      <c r="E3504" s="1323">
        <f t="shared" si="356"/>
        <v>7.0621</v>
      </c>
      <c r="F3504" s="1323">
        <f t="shared" si="355"/>
        <v>5.0126279844356612</v>
      </c>
      <c r="G3504" s="1323">
        <f t="shared" si="357"/>
        <v>2000</v>
      </c>
      <c r="H3504" s="1323">
        <f t="shared" si="358"/>
        <v>9</v>
      </c>
      <c r="I3504" s="1323">
        <f t="shared" si="359"/>
        <v>6</v>
      </c>
      <c r="J3504" s="1323"/>
      <c r="K3504" s="1323"/>
      <c r="L3504" s="1323"/>
      <c r="M3504" s="1323"/>
      <c r="N3504" s="1323"/>
      <c r="O3504" s="1323"/>
      <c r="P3504" s="1323"/>
      <c r="Q3504" s="1323"/>
      <c r="R3504" s="1304"/>
      <c r="S3504" s="1304"/>
      <c r="T3504" s="1304"/>
    </row>
    <row r="3505" spans="1:20">
      <c r="A3505" s="1303"/>
      <c r="B3505" s="1322" t="s">
        <v>9119</v>
      </c>
      <c r="C3505" s="1323" t="s">
        <v>4071</v>
      </c>
      <c r="D3505" s="1324">
        <f t="shared" si="354"/>
        <v>36774</v>
      </c>
      <c r="E3505" s="1323">
        <f t="shared" si="356"/>
        <v>6.9820000000000002</v>
      </c>
      <c r="F3505" s="1323">
        <f t="shared" si="355"/>
        <v>5.0116668428493609</v>
      </c>
      <c r="G3505" s="1323">
        <f t="shared" si="357"/>
        <v>2000</v>
      </c>
      <c r="H3505" s="1323">
        <f t="shared" si="358"/>
        <v>9</v>
      </c>
      <c r="I3505" s="1323">
        <f t="shared" si="359"/>
        <v>5</v>
      </c>
      <c r="J3505" s="1323"/>
      <c r="K3505" s="1323"/>
      <c r="L3505" s="1323"/>
      <c r="M3505" s="1323"/>
      <c r="N3505" s="1323"/>
      <c r="O3505" s="1323"/>
      <c r="P3505" s="1323"/>
      <c r="Q3505" s="1323"/>
      <c r="R3505" s="1304"/>
      <c r="S3505" s="1304"/>
      <c r="T3505" s="1304"/>
    </row>
    <row r="3506" spans="1:20">
      <c r="A3506" s="1303"/>
      <c r="B3506" s="1322" t="s">
        <v>9120</v>
      </c>
      <c r="C3506" s="1323" t="s">
        <v>9121</v>
      </c>
      <c r="D3506" s="1324">
        <f t="shared" si="354"/>
        <v>36773</v>
      </c>
      <c r="E3506" s="1323">
        <f t="shared" si="356"/>
        <v>6.9512</v>
      </c>
      <c r="F3506" s="1323">
        <f t="shared" si="355"/>
        <v>5.0107058855562405</v>
      </c>
      <c r="G3506" s="1323">
        <f t="shared" si="357"/>
        <v>2000</v>
      </c>
      <c r="H3506" s="1323">
        <f t="shared" si="358"/>
        <v>9</v>
      </c>
      <c r="I3506" s="1323">
        <f t="shared" si="359"/>
        <v>4</v>
      </c>
      <c r="J3506" s="1323"/>
      <c r="K3506" s="1323"/>
      <c r="L3506" s="1323"/>
      <c r="M3506" s="1323"/>
      <c r="N3506" s="1323"/>
      <c r="O3506" s="1323"/>
      <c r="P3506" s="1323"/>
      <c r="Q3506" s="1323"/>
      <c r="R3506" s="1304"/>
      <c r="S3506" s="1304"/>
      <c r="T3506" s="1304"/>
    </row>
    <row r="3507" spans="1:20">
      <c r="A3507" s="1303"/>
      <c r="B3507" s="1322" t="s">
        <v>9122</v>
      </c>
      <c r="C3507" s="1323" t="s">
        <v>9123</v>
      </c>
      <c r="D3507" s="1324">
        <f t="shared" si="354"/>
        <v>36770</v>
      </c>
      <c r="E3507" s="1323">
        <f t="shared" si="356"/>
        <v>6.9978999999999996</v>
      </c>
      <c r="F3507" s="1323">
        <f t="shared" si="355"/>
        <v>5.009745112520962</v>
      </c>
      <c r="G3507" s="1323">
        <f t="shared" si="357"/>
        <v>2000</v>
      </c>
      <c r="H3507" s="1323">
        <f t="shared" si="358"/>
        <v>9</v>
      </c>
      <c r="I3507" s="1323">
        <f t="shared" si="359"/>
        <v>1</v>
      </c>
      <c r="J3507" s="1323"/>
      <c r="K3507" s="1323"/>
      <c r="L3507" s="1323"/>
      <c r="M3507" s="1323"/>
      <c r="N3507" s="1323"/>
      <c r="O3507" s="1323"/>
      <c r="P3507" s="1323"/>
      <c r="Q3507" s="1323"/>
      <c r="R3507" s="1304"/>
      <c r="S3507" s="1304"/>
      <c r="T3507" s="1304"/>
    </row>
    <row r="3508" spans="1:20">
      <c r="A3508" s="1303"/>
      <c r="B3508" s="1322" t="s">
        <v>9124</v>
      </c>
      <c r="C3508" s="1323" t="s">
        <v>9125</v>
      </c>
      <c r="D3508" s="1324">
        <f t="shared" si="354"/>
        <v>36769</v>
      </c>
      <c r="E3508" s="1323">
        <f t="shared" si="356"/>
        <v>6.9599000000000002</v>
      </c>
      <c r="F3508" s="1323">
        <f t="shared" si="355"/>
        <v>5.0087845237081963</v>
      </c>
      <c r="G3508" s="1323">
        <f t="shared" si="357"/>
        <v>2000</v>
      </c>
      <c r="H3508" s="1323">
        <f t="shared" si="358"/>
        <v>8</v>
      </c>
      <c r="I3508" s="1323">
        <f t="shared" si="359"/>
        <v>31</v>
      </c>
      <c r="J3508" s="1323"/>
      <c r="K3508" s="1323"/>
      <c r="L3508" s="1323"/>
      <c r="M3508" s="1323"/>
      <c r="N3508" s="1323"/>
      <c r="O3508" s="1323"/>
      <c r="P3508" s="1323"/>
      <c r="Q3508" s="1323"/>
      <c r="R3508" s="1304"/>
      <c r="S3508" s="1304"/>
      <c r="T3508" s="1304"/>
    </row>
    <row r="3509" spans="1:20">
      <c r="A3509" s="1303"/>
      <c r="B3509" s="1322" t="s">
        <v>9126</v>
      </c>
      <c r="C3509" s="1323" t="s">
        <v>9127</v>
      </c>
      <c r="D3509" s="1324">
        <f t="shared" si="354"/>
        <v>36768</v>
      </c>
      <c r="E3509" s="1323">
        <f t="shared" si="356"/>
        <v>6.9752000000000001</v>
      </c>
      <c r="F3509" s="1323">
        <f t="shared" si="355"/>
        <v>5.0078241190826187</v>
      </c>
      <c r="G3509" s="1323">
        <f t="shared" si="357"/>
        <v>2000</v>
      </c>
      <c r="H3509" s="1323">
        <f t="shared" si="358"/>
        <v>8</v>
      </c>
      <c r="I3509" s="1323">
        <f t="shared" si="359"/>
        <v>30</v>
      </c>
      <c r="J3509" s="1323"/>
      <c r="K3509" s="1323"/>
      <c r="L3509" s="1323"/>
      <c r="M3509" s="1323"/>
      <c r="N3509" s="1323"/>
      <c r="O3509" s="1323"/>
      <c r="P3509" s="1323"/>
      <c r="Q3509" s="1323"/>
      <c r="R3509" s="1304"/>
      <c r="S3509" s="1304"/>
      <c r="T3509" s="1304"/>
    </row>
    <row r="3510" spans="1:20">
      <c r="A3510" s="1303"/>
      <c r="B3510" s="1322" t="s">
        <v>9128</v>
      </c>
      <c r="C3510" s="1323" t="s">
        <v>9129</v>
      </c>
      <c r="D3510" s="1324">
        <f t="shared" si="354"/>
        <v>36767</v>
      </c>
      <c r="E3510" s="1323">
        <f t="shared" si="356"/>
        <v>6.9339000000000004</v>
      </c>
      <c r="F3510" s="1323">
        <f t="shared" si="355"/>
        <v>5.0068638986089127</v>
      </c>
      <c r="G3510" s="1323">
        <f t="shared" si="357"/>
        <v>2000</v>
      </c>
      <c r="H3510" s="1323">
        <f t="shared" si="358"/>
        <v>8</v>
      </c>
      <c r="I3510" s="1323">
        <f t="shared" si="359"/>
        <v>29</v>
      </c>
      <c r="J3510" s="1323"/>
      <c r="K3510" s="1323"/>
      <c r="L3510" s="1323"/>
      <c r="M3510" s="1323"/>
      <c r="N3510" s="1323"/>
      <c r="O3510" s="1323"/>
      <c r="P3510" s="1323"/>
      <c r="Q3510" s="1323"/>
      <c r="R3510" s="1304"/>
      <c r="S3510" s="1304"/>
      <c r="T3510" s="1304"/>
    </row>
    <row r="3511" spans="1:20">
      <c r="A3511" s="1303"/>
      <c r="B3511" s="1322" t="s">
        <v>9130</v>
      </c>
      <c r="C3511" s="1323" t="s">
        <v>6063</v>
      </c>
      <c r="D3511" s="1324">
        <f t="shared" si="354"/>
        <v>36766</v>
      </c>
      <c r="E3511" s="1323">
        <f t="shared" si="356"/>
        <v>6.9273999999999996</v>
      </c>
      <c r="F3511" s="1323">
        <f t="shared" si="355"/>
        <v>5.0059038622517686</v>
      </c>
      <c r="G3511" s="1323">
        <f t="shared" si="357"/>
        <v>2000</v>
      </c>
      <c r="H3511" s="1323">
        <f t="shared" si="358"/>
        <v>8</v>
      </c>
      <c r="I3511" s="1323">
        <f t="shared" si="359"/>
        <v>28</v>
      </c>
      <c r="J3511" s="1323"/>
      <c r="K3511" s="1323"/>
      <c r="L3511" s="1323"/>
      <c r="M3511" s="1323"/>
      <c r="N3511" s="1323"/>
      <c r="O3511" s="1323"/>
      <c r="P3511" s="1323"/>
      <c r="Q3511" s="1323"/>
      <c r="R3511" s="1304"/>
      <c r="S3511" s="1304"/>
      <c r="T3511" s="1304"/>
    </row>
    <row r="3512" spans="1:20">
      <c r="A3512" s="1303"/>
      <c r="B3512" s="1322" t="s">
        <v>9131</v>
      </c>
      <c r="C3512" s="1323" t="s">
        <v>9132</v>
      </c>
      <c r="D3512" s="1324">
        <f t="shared" si="354"/>
        <v>36763</v>
      </c>
      <c r="E3512" s="1323">
        <f t="shared" si="356"/>
        <v>6.9355000000000002</v>
      </c>
      <c r="F3512" s="1323">
        <f t="shared" si="355"/>
        <v>5.0049440099758824</v>
      </c>
      <c r="G3512" s="1323">
        <f t="shared" si="357"/>
        <v>2000</v>
      </c>
      <c r="H3512" s="1323">
        <f t="shared" si="358"/>
        <v>8</v>
      </c>
      <c r="I3512" s="1323">
        <f t="shared" si="359"/>
        <v>25</v>
      </c>
      <c r="J3512" s="1323"/>
      <c r="K3512" s="1323"/>
      <c r="L3512" s="1323"/>
      <c r="M3512" s="1323"/>
      <c r="N3512" s="1323"/>
      <c r="O3512" s="1323"/>
      <c r="P3512" s="1323"/>
      <c r="Q3512" s="1323"/>
      <c r="R3512" s="1304"/>
      <c r="S3512" s="1304"/>
      <c r="T3512" s="1304"/>
    </row>
    <row r="3513" spans="1:20">
      <c r="A3513" s="1303"/>
      <c r="B3513" s="1322" t="s">
        <v>9133</v>
      </c>
      <c r="C3513" s="1323" t="s">
        <v>9134</v>
      </c>
      <c r="D3513" s="1324">
        <f t="shared" si="354"/>
        <v>36762</v>
      </c>
      <c r="E3513" s="1323">
        <f t="shared" si="356"/>
        <v>6.9539</v>
      </c>
      <c r="F3513" s="1323">
        <f t="shared" si="355"/>
        <v>5.0039843417459586</v>
      </c>
      <c r="G3513" s="1323">
        <f t="shared" si="357"/>
        <v>2000</v>
      </c>
      <c r="H3513" s="1323">
        <f t="shared" si="358"/>
        <v>8</v>
      </c>
      <c r="I3513" s="1323">
        <f t="shared" si="359"/>
        <v>24</v>
      </c>
      <c r="J3513" s="1323"/>
      <c r="K3513" s="1323"/>
      <c r="L3513" s="1323"/>
      <c r="M3513" s="1323"/>
      <c r="N3513" s="1323"/>
      <c r="O3513" s="1323"/>
      <c r="P3513" s="1323"/>
      <c r="Q3513" s="1323"/>
      <c r="R3513" s="1304"/>
      <c r="S3513" s="1304"/>
      <c r="T3513" s="1304"/>
    </row>
    <row r="3514" spans="1:20">
      <c r="A3514" s="1303"/>
      <c r="B3514" s="1322" t="s">
        <v>9135</v>
      </c>
      <c r="C3514" s="1323" t="s">
        <v>9136</v>
      </c>
      <c r="D3514" s="1324">
        <f t="shared" si="354"/>
        <v>36761</v>
      </c>
      <c r="E3514" s="1323">
        <f t="shared" si="356"/>
        <v>6.9915000000000003</v>
      </c>
      <c r="F3514" s="1323">
        <f t="shared" si="355"/>
        <v>5.0030248575267064</v>
      </c>
      <c r="G3514" s="1323">
        <f t="shared" si="357"/>
        <v>2000</v>
      </c>
      <c r="H3514" s="1323">
        <f t="shared" si="358"/>
        <v>8</v>
      </c>
      <c r="I3514" s="1323">
        <f t="shared" si="359"/>
        <v>23</v>
      </c>
      <c r="J3514" s="1323"/>
      <c r="K3514" s="1323"/>
      <c r="L3514" s="1323"/>
      <c r="M3514" s="1323"/>
      <c r="N3514" s="1323"/>
      <c r="O3514" s="1323"/>
      <c r="P3514" s="1323"/>
      <c r="Q3514" s="1323"/>
      <c r="R3514" s="1304"/>
      <c r="S3514" s="1304"/>
      <c r="T3514" s="1304"/>
    </row>
    <row r="3515" spans="1:20">
      <c r="A3515" s="1303"/>
      <c r="B3515" s="1322" t="s">
        <v>9137</v>
      </c>
      <c r="C3515" s="1323" t="s">
        <v>9138</v>
      </c>
      <c r="D3515" s="1324">
        <f t="shared" si="354"/>
        <v>36760</v>
      </c>
      <c r="E3515" s="1323">
        <f t="shared" si="356"/>
        <v>6.9682000000000004</v>
      </c>
      <c r="F3515" s="1323">
        <f t="shared" si="355"/>
        <v>5.0020655572828439</v>
      </c>
      <c r="G3515" s="1323">
        <f t="shared" si="357"/>
        <v>2000</v>
      </c>
      <c r="H3515" s="1323">
        <f t="shared" si="358"/>
        <v>8</v>
      </c>
      <c r="I3515" s="1323">
        <f t="shared" si="359"/>
        <v>22</v>
      </c>
      <c r="J3515" s="1323"/>
      <c r="K3515" s="1323"/>
      <c r="L3515" s="1323"/>
      <c r="M3515" s="1323"/>
      <c r="N3515" s="1323"/>
      <c r="O3515" s="1323"/>
      <c r="P3515" s="1323"/>
      <c r="Q3515" s="1323"/>
      <c r="R3515" s="1304"/>
      <c r="S3515" s="1304"/>
      <c r="T3515" s="1304"/>
    </row>
    <row r="3516" spans="1:20">
      <c r="A3516" s="1303"/>
      <c r="B3516" s="1322" t="s">
        <v>9139</v>
      </c>
      <c r="C3516" s="1323" t="s">
        <v>9140</v>
      </c>
      <c r="D3516" s="1324">
        <f t="shared" si="354"/>
        <v>36759</v>
      </c>
      <c r="E3516" s="1323">
        <f t="shared" si="356"/>
        <v>6.9375</v>
      </c>
      <c r="F3516" s="1323">
        <f t="shared" si="355"/>
        <v>5.0011064409790942</v>
      </c>
      <c r="G3516" s="1323">
        <f t="shared" si="357"/>
        <v>2000</v>
      </c>
      <c r="H3516" s="1323">
        <f t="shared" si="358"/>
        <v>8</v>
      </c>
      <c r="I3516" s="1323">
        <f t="shared" si="359"/>
        <v>21</v>
      </c>
      <c r="J3516" s="1323"/>
      <c r="K3516" s="1323"/>
      <c r="L3516" s="1323"/>
      <c r="M3516" s="1323"/>
      <c r="N3516" s="1323"/>
      <c r="O3516" s="1323"/>
      <c r="P3516" s="1323"/>
      <c r="Q3516" s="1323"/>
      <c r="R3516" s="1304"/>
      <c r="S3516" s="1304"/>
      <c r="T3516" s="1304"/>
    </row>
    <row r="3517" spans="1:20">
      <c r="A3517" s="1303"/>
      <c r="B3517" s="1322" t="s">
        <v>9141</v>
      </c>
      <c r="C3517" s="1323" t="s">
        <v>9142</v>
      </c>
      <c r="D3517" s="1324">
        <f t="shared" si="354"/>
        <v>36756</v>
      </c>
      <c r="E3517" s="1323">
        <f t="shared" si="356"/>
        <v>6.8986999999999998</v>
      </c>
      <c r="F3517" s="1323">
        <f t="shared" si="355"/>
        <v>5.0001475085801879</v>
      </c>
      <c r="G3517" s="1323">
        <f t="shared" si="357"/>
        <v>2000</v>
      </c>
      <c r="H3517" s="1323">
        <f t="shared" si="358"/>
        <v>8</v>
      </c>
      <c r="I3517" s="1323">
        <f t="shared" si="359"/>
        <v>18</v>
      </c>
      <c r="J3517" s="1323"/>
      <c r="K3517" s="1323"/>
      <c r="L3517" s="1323"/>
      <c r="M3517" s="1323"/>
      <c r="N3517" s="1323"/>
      <c r="O3517" s="1323"/>
      <c r="P3517" s="1323"/>
      <c r="Q3517" s="1323"/>
      <c r="R3517" s="1304"/>
      <c r="S3517" s="1304"/>
      <c r="T3517" s="1304"/>
    </row>
    <row r="3518" spans="1:20">
      <c r="A3518" s="1303"/>
      <c r="B3518" s="1322" t="s">
        <v>9143</v>
      </c>
      <c r="C3518" s="1323" t="s">
        <v>9144</v>
      </c>
      <c r="D3518" s="1324">
        <f t="shared" si="354"/>
        <v>36755</v>
      </c>
      <c r="E3518" s="1323">
        <f t="shared" si="356"/>
        <v>6.9306999999999999</v>
      </c>
      <c r="F3518" s="1323">
        <f t="shared" si="355"/>
        <v>4.9991887600508624</v>
      </c>
      <c r="G3518" s="1323">
        <f t="shared" si="357"/>
        <v>2000</v>
      </c>
      <c r="H3518" s="1323">
        <f t="shared" si="358"/>
        <v>8</v>
      </c>
      <c r="I3518" s="1323">
        <f t="shared" si="359"/>
        <v>17</v>
      </c>
      <c r="J3518" s="1323"/>
      <c r="K3518" s="1323"/>
      <c r="L3518" s="1323"/>
      <c r="M3518" s="1323"/>
      <c r="N3518" s="1323"/>
      <c r="O3518" s="1323"/>
      <c r="P3518" s="1323"/>
      <c r="Q3518" s="1323"/>
      <c r="R3518" s="1304"/>
      <c r="S3518" s="1304"/>
      <c r="T3518" s="1304"/>
    </row>
    <row r="3519" spans="1:20">
      <c r="A3519" s="1303"/>
      <c r="B3519" s="1322" t="s">
        <v>9145</v>
      </c>
      <c r="C3519" s="1323" t="s">
        <v>3806</v>
      </c>
      <c r="D3519" s="1324">
        <f t="shared" si="354"/>
        <v>36754</v>
      </c>
      <c r="E3519" s="1323">
        <f t="shared" si="356"/>
        <v>6.9408000000000003</v>
      </c>
      <c r="F3519" s="1323">
        <f t="shared" si="355"/>
        <v>4.9982301953558625</v>
      </c>
      <c r="G3519" s="1323">
        <f t="shared" si="357"/>
        <v>2000</v>
      </c>
      <c r="H3519" s="1323">
        <f t="shared" si="358"/>
        <v>8</v>
      </c>
      <c r="I3519" s="1323">
        <f t="shared" si="359"/>
        <v>16</v>
      </c>
      <c r="J3519" s="1323"/>
      <c r="K3519" s="1323"/>
      <c r="L3519" s="1323"/>
      <c r="M3519" s="1323"/>
      <c r="N3519" s="1323"/>
      <c r="O3519" s="1323"/>
      <c r="P3519" s="1323"/>
      <c r="Q3519" s="1323"/>
      <c r="R3519" s="1304"/>
      <c r="S3519" s="1304"/>
      <c r="T3519" s="1304"/>
    </row>
    <row r="3520" spans="1:20">
      <c r="A3520" s="1303"/>
      <c r="B3520" s="1322" t="s">
        <v>9146</v>
      </c>
      <c r="C3520" s="1323" t="s">
        <v>9147</v>
      </c>
      <c r="D3520" s="1324">
        <f t="shared" si="354"/>
        <v>36753</v>
      </c>
      <c r="E3520" s="1323">
        <f t="shared" si="356"/>
        <v>6.9073000000000002</v>
      </c>
      <c r="F3520" s="1323">
        <f t="shared" si="355"/>
        <v>4.9972718144599382</v>
      </c>
      <c r="G3520" s="1323">
        <f t="shared" si="357"/>
        <v>2000</v>
      </c>
      <c r="H3520" s="1323">
        <f t="shared" si="358"/>
        <v>8</v>
      </c>
      <c r="I3520" s="1323">
        <f t="shared" si="359"/>
        <v>15</v>
      </c>
      <c r="J3520" s="1323"/>
      <c r="K3520" s="1323"/>
      <c r="L3520" s="1323"/>
      <c r="M3520" s="1323"/>
      <c r="N3520" s="1323"/>
      <c r="O3520" s="1323"/>
      <c r="P3520" s="1323"/>
      <c r="Q3520" s="1323"/>
      <c r="R3520" s="1304"/>
      <c r="S3520" s="1304"/>
      <c r="T3520" s="1304"/>
    </row>
    <row r="3521" spans="1:20">
      <c r="A3521" s="1303"/>
      <c r="B3521" s="1322" t="s">
        <v>9148</v>
      </c>
      <c r="C3521" s="1323" t="s">
        <v>9149</v>
      </c>
      <c r="D3521" s="1324">
        <f t="shared" si="354"/>
        <v>36752</v>
      </c>
      <c r="E3521" s="1323">
        <f t="shared" si="356"/>
        <v>6.8916000000000004</v>
      </c>
      <c r="F3521" s="1323">
        <f t="shared" si="355"/>
        <v>4.9963136173278482</v>
      </c>
      <c r="G3521" s="1323">
        <f t="shared" si="357"/>
        <v>2000</v>
      </c>
      <c r="H3521" s="1323">
        <f t="shared" si="358"/>
        <v>8</v>
      </c>
      <c r="I3521" s="1323">
        <f t="shared" si="359"/>
        <v>14</v>
      </c>
      <c r="J3521" s="1323"/>
      <c r="K3521" s="1323"/>
      <c r="L3521" s="1323"/>
      <c r="M3521" s="1323"/>
      <c r="N3521" s="1323"/>
      <c r="O3521" s="1323"/>
      <c r="P3521" s="1323"/>
      <c r="Q3521" s="1323"/>
      <c r="R3521" s="1304"/>
      <c r="S3521" s="1304"/>
      <c r="T3521" s="1304"/>
    </row>
    <row r="3522" spans="1:20">
      <c r="A3522" s="1303"/>
      <c r="B3522" s="1322" t="s">
        <v>9150</v>
      </c>
      <c r="C3522" s="1323" t="s">
        <v>9151</v>
      </c>
      <c r="D3522" s="1324">
        <f t="shared" si="354"/>
        <v>36749</v>
      </c>
      <c r="E3522" s="1323">
        <f t="shared" si="356"/>
        <v>6.9321999999999999</v>
      </c>
      <c r="F3522" s="1323">
        <f t="shared" si="355"/>
        <v>4.9953556039243558</v>
      </c>
      <c r="G3522" s="1323">
        <f t="shared" si="357"/>
        <v>2000</v>
      </c>
      <c r="H3522" s="1323">
        <f t="shared" si="358"/>
        <v>8</v>
      </c>
      <c r="I3522" s="1323">
        <f t="shared" si="359"/>
        <v>11</v>
      </c>
      <c r="J3522" s="1323"/>
      <c r="K3522" s="1323"/>
      <c r="L3522" s="1323"/>
      <c r="M3522" s="1323"/>
      <c r="N3522" s="1323"/>
      <c r="O3522" s="1323"/>
      <c r="P3522" s="1323"/>
      <c r="Q3522" s="1323"/>
      <c r="R3522" s="1304"/>
      <c r="S3522" s="1304"/>
      <c r="T3522" s="1304"/>
    </row>
    <row r="3523" spans="1:20">
      <c r="A3523" s="1303"/>
      <c r="B3523" s="1322" t="s">
        <v>9152</v>
      </c>
      <c r="C3523" s="1323" t="s">
        <v>9153</v>
      </c>
      <c r="D3523" s="1324">
        <f t="shared" si="354"/>
        <v>36748</v>
      </c>
      <c r="E3523" s="1323">
        <f t="shared" si="356"/>
        <v>6.9749999999999996</v>
      </c>
      <c r="F3523" s="1323">
        <f t="shared" si="355"/>
        <v>4.9943977742142325</v>
      </c>
      <c r="G3523" s="1323">
        <f t="shared" si="357"/>
        <v>2000</v>
      </c>
      <c r="H3523" s="1323">
        <f t="shared" si="358"/>
        <v>8</v>
      </c>
      <c r="I3523" s="1323">
        <f t="shared" si="359"/>
        <v>10</v>
      </c>
      <c r="J3523" s="1323"/>
      <c r="K3523" s="1323"/>
      <c r="L3523" s="1323"/>
      <c r="M3523" s="1323"/>
      <c r="N3523" s="1323"/>
      <c r="O3523" s="1323"/>
      <c r="P3523" s="1323"/>
      <c r="Q3523" s="1323"/>
      <c r="R3523" s="1304"/>
      <c r="S3523" s="1304"/>
      <c r="T3523" s="1304"/>
    </row>
    <row r="3524" spans="1:20">
      <c r="A3524" s="1303"/>
      <c r="B3524" s="1322" t="s">
        <v>9154</v>
      </c>
      <c r="C3524" s="1323" t="s">
        <v>9155</v>
      </c>
      <c r="D3524" s="1324">
        <f t="shared" si="354"/>
        <v>36746</v>
      </c>
      <c r="E3524" s="1323">
        <f t="shared" si="356"/>
        <v>6.9752000000000001</v>
      </c>
      <c r="F3524" s="1323">
        <f t="shared" si="355"/>
        <v>4.9934401281622556</v>
      </c>
      <c r="G3524" s="1323">
        <f t="shared" si="357"/>
        <v>2000</v>
      </c>
      <c r="H3524" s="1323">
        <f t="shared" si="358"/>
        <v>8</v>
      </c>
      <c r="I3524" s="1323">
        <f t="shared" si="359"/>
        <v>8</v>
      </c>
      <c r="J3524" s="1323"/>
      <c r="K3524" s="1323"/>
      <c r="L3524" s="1323"/>
      <c r="M3524" s="1323"/>
      <c r="N3524" s="1323"/>
      <c r="O3524" s="1323"/>
      <c r="P3524" s="1323"/>
      <c r="Q3524" s="1323"/>
      <c r="R3524" s="1304"/>
      <c r="S3524" s="1304"/>
      <c r="T3524" s="1304"/>
    </row>
    <row r="3525" spans="1:20">
      <c r="A3525" s="1303"/>
      <c r="B3525" s="1322" t="s">
        <v>9156</v>
      </c>
      <c r="C3525" s="1323" t="s">
        <v>9129</v>
      </c>
      <c r="D3525" s="1324">
        <f t="shared" si="354"/>
        <v>36745</v>
      </c>
      <c r="E3525" s="1323">
        <f t="shared" si="356"/>
        <v>6.9527000000000001</v>
      </c>
      <c r="F3525" s="1323">
        <f t="shared" si="355"/>
        <v>4.9924826657332106</v>
      </c>
      <c r="G3525" s="1323">
        <f t="shared" si="357"/>
        <v>2000</v>
      </c>
      <c r="H3525" s="1323">
        <f t="shared" si="358"/>
        <v>8</v>
      </c>
      <c r="I3525" s="1323">
        <f t="shared" si="359"/>
        <v>7</v>
      </c>
      <c r="J3525" s="1323"/>
      <c r="K3525" s="1323"/>
      <c r="L3525" s="1323"/>
      <c r="M3525" s="1323"/>
      <c r="N3525" s="1323"/>
      <c r="O3525" s="1323"/>
      <c r="P3525" s="1323"/>
      <c r="Q3525" s="1323"/>
      <c r="R3525" s="1304"/>
      <c r="S3525" s="1304"/>
      <c r="T3525" s="1304"/>
    </row>
    <row r="3526" spans="1:20">
      <c r="A3526" s="1303"/>
      <c r="B3526" s="1322" t="s">
        <v>9157</v>
      </c>
      <c r="C3526" s="1323" t="s">
        <v>4155</v>
      </c>
      <c r="D3526" s="1324">
        <f t="shared" si="354"/>
        <v>36742</v>
      </c>
      <c r="E3526" s="1323">
        <f t="shared" si="356"/>
        <v>6.9985999999999997</v>
      </c>
      <c r="F3526" s="1323">
        <f t="shared" si="355"/>
        <v>4.9915253868918885</v>
      </c>
      <c r="G3526" s="1323">
        <f t="shared" si="357"/>
        <v>2000</v>
      </c>
      <c r="H3526" s="1323">
        <f t="shared" si="358"/>
        <v>8</v>
      </c>
      <c r="I3526" s="1323">
        <f t="shared" si="359"/>
        <v>4</v>
      </c>
      <c r="J3526" s="1323"/>
      <c r="K3526" s="1323"/>
      <c r="L3526" s="1323"/>
      <c r="M3526" s="1323"/>
      <c r="N3526" s="1323"/>
      <c r="O3526" s="1323"/>
      <c r="P3526" s="1323"/>
      <c r="Q3526" s="1323"/>
      <c r="R3526" s="1304"/>
      <c r="S3526" s="1304"/>
      <c r="T3526" s="1304"/>
    </row>
    <row r="3527" spans="1:20">
      <c r="A3527" s="1303"/>
      <c r="B3527" s="1322" t="s">
        <v>9158</v>
      </c>
      <c r="C3527" s="1323" t="s">
        <v>5577</v>
      </c>
      <c r="D3527" s="1324">
        <f t="shared" si="354"/>
        <v>36741</v>
      </c>
      <c r="E3527" s="1323">
        <f t="shared" si="356"/>
        <v>6.9903000000000004</v>
      </c>
      <c r="F3527" s="1323">
        <f t="shared" si="355"/>
        <v>4.990568291603088</v>
      </c>
      <c r="G3527" s="1323">
        <f t="shared" si="357"/>
        <v>2000</v>
      </c>
      <c r="H3527" s="1323">
        <f t="shared" si="358"/>
        <v>8</v>
      </c>
      <c r="I3527" s="1323">
        <f t="shared" si="359"/>
        <v>3</v>
      </c>
      <c r="J3527" s="1323"/>
      <c r="K3527" s="1323"/>
      <c r="L3527" s="1323"/>
      <c r="M3527" s="1323"/>
      <c r="N3527" s="1323"/>
      <c r="O3527" s="1323"/>
      <c r="P3527" s="1323"/>
      <c r="Q3527" s="1323"/>
      <c r="R3527" s="1304"/>
      <c r="S3527" s="1304"/>
      <c r="T3527" s="1304"/>
    </row>
    <row r="3528" spans="1:20">
      <c r="A3528" s="1303"/>
      <c r="B3528" s="1322" t="s">
        <v>9159</v>
      </c>
      <c r="C3528" s="1323" t="s">
        <v>9160</v>
      </c>
      <c r="D3528" s="1324">
        <f t="shared" si="354"/>
        <v>36740</v>
      </c>
      <c r="E3528" s="1323">
        <f t="shared" si="356"/>
        <v>7.0045000000000002</v>
      </c>
      <c r="F3528" s="1323">
        <f t="shared" si="355"/>
        <v>4.9896113798316133</v>
      </c>
      <c r="G3528" s="1323">
        <f t="shared" si="357"/>
        <v>2000</v>
      </c>
      <c r="H3528" s="1323">
        <f t="shared" si="358"/>
        <v>8</v>
      </c>
      <c r="I3528" s="1323">
        <f t="shared" si="359"/>
        <v>2</v>
      </c>
      <c r="J3528" s="1323"/>
      <c r="K3528" s="1323"/>
      <c r="L3528" s="1323"/>
      <c r="M3528" s="1323"/>
      <c r="N3528" s="1323"/>
      <c r="O3528" s="1323"/>
      <c r="P3528" s="1323"/>
      <c r="Q3528" s="1323"/>
      <c r="R3528" s="1304"/>
      <c r="S3528" s="1304"/>
      <c r="T3528" s="1304"/>
    </row>
    <row r="3529" spans="1:20">
      <c r="A3529" s="1303"/>
      <c r="B3529" s="1322" t="s">
        <v>9161</v>
      </c>
      <c r="C3529" s="1323" t="s">
        <v>9162</v>
      </c>
      <c r="D3529" s="1324">
        <f t="shared" ref="D3529:D3592" si="360">DATE(G3529,H3529,I3529)</f>
        <v>36739</v>
      </c>
      <c r="E3529" s="1323">
        <f t="shared" si="356"/>
        <v>6.9535999999999998</v>
      </c>
      <c r="F3529" s="1323">
        <f t="shared" ref="F3529:F3592" si="361">F3530*(1+$F$7/365)</f>
        <v>4.9886546515422765</v>
      </c>
      <c r="G3529" s="1323">
        <f t="shared" si="357"/>
        <v>2000</v>
      </c>
      <c r="H3529" s="1323">
        <f t="shared" si="358"/>
        <v>8</v>
      </c>
      <c r="I3529" s="1323">
        <f t="shared" si="359"/>
        <v>1</v>
      </c>
      <c r="J3529" s="1323"/>
      <c r="K3529" s="1323"/>
      <c r="L3529" s="1323"/>
      <c r="M3529" s="1323"/>
      <c r="N3529" s="1323"/>
      <c r="O3529" s="1323"/>
      <c r="P3529" s="1323"/>
      <c r="Q3529" s="1323"/>
      <c r="R3529" s="1304"/>
      <c r="S3529" s="1304"/>
      <c r="T3529" s="1304"/>
    </row>
    <row r="3530" spans="1:20">
      <c r="A3530" s="1303"/>
      <c r="B3530" s="1322" t="s">
        <v>9163</v>
      </c>
      <c r="C3530" s="1323" t="s">
        <v>9164</v>
      </c>
      <c r="D3530" s="1324">
        <f t="shared" si="360"/>
        <v>36738</v>
      </c>
      <c r="E3530" s="1323">
        <f t="shared" si="356"/>
        <v>6.9560000000000004</v>
      </c>
      <c r="F3530" s="1323">
        <f t="shared" si="361"/>
        <v>4.9876981066998951</v>
      </c>
      <c r="G3530" s="1323">
        <f t="shared" si="357"/>
        <v>2000</v>
      </c>
      <c r="H3530" s="1323">
        <f t="shared" si="358"/>
        <v>7</v>
      </c>
      <c r="I3530" s="1323">
        <f t="shared" si="359"/>
        <v>31</v>
      </c>
      <c r="J3530" s="1323"/>
      <c r="K3530" s="1323"/>
      <c r="L3530" s="1323"/>
      <c r="M3530" s="1323"/>
      <c r="N3530" s="1323"/>
      <c r="O3530" s="1323"/>
      <c r="P3530" s="1323"/>
      <c r="Q3530" s="1323"/>
      <c r="R3530" s="1304"/>
      <c r="S3530" s="1304"/>
      <c r="T3530" s="1304"/>
    </row>
    <row r="3531" spans="1:20">
      <c r="A3531" s="1303"/>
      <c r="B3531" s="1322" t="s">
        <v>9165</v>
      </c>
      <c r="C3531" s="1323" t="s">
        <v>9166</v>
      </c>
      <c r="D3531" s="1324">
        <f t="shared" si="360"/>
        <v>36735</v>
      </c>
      <c r="E3531" s="1323">
        <f t="shared" si="356"/>
        <v>6.9408000000000003</v>
      </c>
      <c r="F3531" s="1323">
        <f t="shared" si="361"/>
        <v>4.9867417452692955</v>
      </c>
      <c r="G3531" s="1323">
        <f t="shared" si="357"/>
        <v>2000</v>
      </c>
      <c r="H3531" s="1323">
        <f t="shared" si="358"/>
        <v>7</v>
      </c>
      <c r="I3531" s="1323">
        <f t="shared" si="359"/>
        <v>28</v>
      </c>
      <c r="J3531" s="1323"/>
      <c r="K3531" s="1323"/>
      <c r="L3531" s="1323"/>
      <c r="M3531" s="1323"/>
      <c r="N3531" s="1323"/>
      <c r="O3531" s="1323"/>
      <c r="P3531" s="1323"/>
      <c r="Q3531" s="1323"/>
      <c r="R3531" s="1304"/>
      <c r="S3531" s="1304"/>
      <c r="T3531" s="1304"/>
    </row>
    <row r="3532" spans="1:20">
      <c r="A3532" s="1303"/>
      <c r="B3532" s="1322" t="s">
        <v>9167</v>
      </c>
      <c r="C3532" s="1323" t="s">
        <v>9147</v>
      </c>
      <c r="D3532" s="1324">
        <f t="shared" si="360"/>
        <v>36734</v>
      </c>
      <c r="E3532" s="1323">
        <f t="shared" si="356"/>
        <v>6.9442000000000004</v>
      </c>
      <c r="F3532" s="1323">
        <f t="shared" si="361"/>
        <v>4.9857855672153084</v>
      </c>
      <c r="G3532" s="1323">
        <f t="shared" si="357"/>
        <v>2000</v>
      </c>
      <c r="H3532" s="1323">
        <f t="shared" si="358"/>
        <v>7</v>
      </c>
      <c r="I3532" s="1323">
        <f t="shared" si="359"/>
        <v>27</v>
      </c>
      <c r="J3532" s="1323"/>
      <c r="K3532" s="1323"/>
      <c r="L3532" s="1323"/>
      <c r="M3532" s="1323"/>
      <c r="N3532" s="1323"/>
      <c r="O3532" s="1323"/>
      <c r="P3532" s="1323"/>
      <c r="Q3532" s="1323"/>
      <c r="R3532" s="1304"/>
      <c r="S3532" s="1304"/>
      <c r="T3532" s="1304"/>
    </row>
    <row r="3533" spans="1:20">
      <c r="A3533" s="1303"/>
      <c r="B3533" s="1322" t="s">
        <v>9168</v>
      </c>
      <c r="C3533" s="1323" t="s">
        <v>9169</v>
      </c>
      <c r="D3533" s="1324">
        <f t="shared" si="360"/>
        <v>36733</v>
      </c>
      <c r="E3533" s="1323">
        <f t="shared" si="356"/>
        <v>6.9618000000000002</v>
      </c>
      <c r="F3533" s="1323">
        <f t="shared" si="361"/>
        <v>4.9848295725027736</v>
      </c>
      <c r="G3533" s="1323">
        <f t="shared" si="357"/>
        <v>2000</v>
      </c>
      <c r="H3533" s="1323">
        <f t="shared" si="358"/>
        <v>7</v>
      </c>
      <c r="I3533" s="1323">
        <f t="shared" si="359"/>
        <v>26</v>
      </c>
      <c r="J3533" s="1323"/>
      <c r="K3533" s="1323"/>
      <c r="L3533" s="1323"/>
      <c r="M3533" s="1323"/>
      <c r="N3533" s="1323"/>
      <c r="O3533" s="1323"/>
      <c r="P3533" s="1323"/>
      <c r="Q3533" s="1323"/>
      <c r="R3533" s="1304"/>
      <c r="S3533" s="1304"/>
      <c r="T3533" s="1304"/>
    </row>
    <row r="3534" spans="1:20">
      <c r="A3534" s="1303"/>
      <c r="B3534" s="1322" t="s">
        <v>9170</v>
      </c>
      <c r="C3534" s="1323" t="s">
        <v>7616</v>
      </c>
      <c r="D3534" s="1324">
        <f t="shared" si="360"/>
        <v>36732</v>
      </c>
      <c r="E3534" s="1323">
        <f t="shared" si="356"/>
        <v>6.9443999999999999</v>
      </c>
      <c r="F3534" s="1323">
        <f t="shared" si="361"/>
        <v>4.983873761096536</v>
      </c>
      <c r="G3534" s="1323">
        <f t="shared" si="357"/>
        <v>2000</v>
      </c>
      <c r="H3534" s="1323">
        <f t="shared" si="358"/>
        <v>7</v>
      </c>
      <c r="I3534" s="1323">
        <f t="shared" si="359"/>
        <v>25</v>
      </c>
      <c r="J3534" s="1323"/>
      <c r="K3534" s="1323"/>
      <c r="L3534" s="1323"/>
      <c r="M3534" s="1323"/>
      <c r="N3534" s="1323"/>
      <c r="O3534" s="1323"/>
      <c r="P3534" s="1323"/>
      <c r="Q3534" s="1323"/>
      <c r="R3534" s="1304"/>
      <c r="S3534" s="1304"/>
      <c r="T3534" s="1304"/>
    </row>
    <row r="3535" spans="1:20">
      <c r="A3535" s="1303"/>
      <c r="B3535" s="1322" t="s">
        <v>9171</v>
      </c>
      <c r="C3535" s="1323" t="s">
        <v>9172</v>
      </c>
      <c r="D3535" s="1324">
        <f t="shared" si="360"/>
        <v>36731</v>
      </c>
      <c r="E3535" s="1323">
        <f t="shared" si="356"/>
        <v>6.8986999999999998</v>
      </c>
      <c r="F3535" s="1323">
        <f t="shared" si="361"/>
        <v>4.9829181329614469</v>
      </c>
      <c r="G3535" s="1323">
        <f t="shared" si="357"/>
        <v>2000</v>
      </c>
      <c r="H3535" s="1323">
        <f t="shared" si="358"/>
        <v>7</v>
      </c>
      <c r="I3535" s="1323">
        <f t="shared" si="359"/>
        <v>24</v>
      </c>
      <c r="J3535" s="1323"/>
      <c r="K3535" s="1323"/>
      <c r="L3535" s="1323"/>
      <c r="M3535" s="1323"/>
      <c r="N3535" s="1323"/>
      <c r="O3535" s="1323"/>
      <c r="P3535" s="1323"/>
      <c r="Q3535" s="1323"/>
      <c r="R3535" s="1304"/>
      <c r="S3535" s="1304"/>
      <c r="T3535" s="1304"/>
    </row>
    <row r="3536" spans="1:20">
      <c r="A3536" s="1303"/>
      <c r="B3536" s="1322" t="s">
        <v>9173</v>
      </c>
      <c r="C3536" s="1323" t="s">
        <v>9144</v>
      </c>
      <c r="D3536" s="1324">
        <f t="shared" si="360"/>
        <v>36728</v>
      </c>
      <c r="E3536" s="1323">
        <f t="shared" si="356"/>
        <v>6.9001000000000001</v>
      </c>
      <c r="F3536" s="1323">
        <f t="shared" si="361"/>
        <v>4.9819626880623664</v>
      </c>
      <c r="G3536" s="1323">
        <f t="shared" si="357"/>
        <v>2000</v>
      </c>
      <c r="H3536" s="1323">
        <f t="shared" si="358"/>
        <v>7</v>
      </c>
      <c r="I3536" s="1323">
        <f t="shared" si="359"/>
        <v>21</v>
      </c>
      <c r="J3536" s="1323"/>
      <c r="K3536" s="1323"/>
      <c r="L3536" s="1323"/>
      <c r="M3536" s="1323"/>
      <c r="N3536" s="1323"/>
      <c r="O3536" s="1323"/>
      <c r="P3536" s="1323"/>
      <c r="Q3536" s="1323"/>
      <c r="R3536" s="1304"/>
      <c r="S3536" s="1304"/>
      <c r="T3536" s="1304"/>
    </row>
    <row r="3537" spans="1:20">
      <c r="A3537" s="1303"/>
      <c r="B3537" s="1322" t="s">
        <v>9174</v>
      </c>
      <c r="C3537" s="1323" t="s">
        <v>9175</v>
      </c>
      <c r="D3537" s="1324">
        <f t="shared" si="360"/>
        <v>36727</v>
      </c>
      <c r="E3537" s="1323">
        <f t="shared" si="356"/>
        <v>6.9829999999999997</v>
      </c>
      <c r="F3537" s="1323">
        <f t="shared" si="361"/>
        <v>4.9810074263641591</v>
      </c>
      <c r="G3537" s="1323">
        <f t="shared" si="357"/>
        <v>2000</v>
      </c>
      <c r="H3537" s="1323">
        <f t="shared" si="358"/>
        <v>7</v>
      </c>
      <c r="I3537" s="1323">
        <f t="shared" si="359"/>
        <v>20</v>
      </c>
      <c r="J3537" s="1323"/>
      <c r="K3537" s="1323"/>
      <c r="L3537" s="1323"/>
      <c r="M3537" s="1323"/>
      <c r="N3537" s="1323"/>
      <c r="O3537" s="1323"/>
      <c r="P3537" s="1323"/>
      <c r="Q3537" s="1323"/>
      <c r="R3537" s="1304"/>
      <c r="S3537" s="1304"/>
      <c r="T3537" s="1304"/>
    </row>
    <row r="3538" spans="1:20">
      <c r="A3538" s="1303"/>
      <c r="B3538" s="1322" t="s">
        <v>9176</v>
      </c>
      <c r="C3538" s="1323" t="s">
        <v>9177</v>
      </c>
      <c r="D3538" s="1324">
        <f t="shared" si="360"/>
        <v>36726</v>
      </c>
      <c r="E3538" s="1323">
        <f t="shared" si="356"/>
        <v>6.9728000000000003</v>
      </c>
      <c r="F3538" s="1323">
        <f t="shared" si="361"/>
        <v>4.9800523478316983</v>
      </c>
      <c r="G3538" s="1323">
        <f t="shared" si="357"/>
        <v>2000</v>
      </c>
      <c r="H3538" s="1323">
        <f t="shared" si="358"/>
        <v>7</v>
      </c>
      <c r="I3538" s="1323">
        <f t="shared" si="359"/>
        <v>19</v>
      </c>
      <c r="J3538" s="1323"/>
      <c r="K3538" s="1323"/>
      <c r="L3538" s="1323"/>
      <c r="M3538" s="1323"/>
      <c r="N3538" s="1323"/>
      <c r="O3538" s="1323"/>
      <c r="P3538" s="1323"/>
      <c r="Q3538" s="1323"/>
      <c r="R3538" s="1304"/>
      <c r="S3538" s="1304"/>
      <c r="T3538" s="1304"/>
    </row>
    <row r="3539" spans="1:20">
      <c r="A3539" s="1303"/>
      <c r="B3539" s="1322" t="s">
        <v>9178</v>
      </c>
      <c r="C3539" s="1323" t="s">
        <v>9179</v>
      </c>
      <c r="D3539" s="1324">
        <f t="shared" si="360"/>
        <v>36725</v>
      </c>
      <c r="E3539" s="1323">
        <f t="shared" si="356"/>
        <v>6.9005999999999998</v>
      </c>
      <c r="F3539" s="1323">
        <f t="shared" si="361"/>
        <v>4.9790974524298619</v>
      </c>
      <c r="G3539" s="1323">
        <f t="shared" si="357"/>
        <v>2000</v>
      </c>
      <c r="H3539" s="1323">
        <f t="shared" si="358"/>
        <v>7</v>
      </c>
      <c r="I3539" s="1323">
        <f t="shared" si="359"/>
        <v>18</v>
      </c>
      <c r="J3539" s="1323"/>
      <c r="K3539" s="1323"/>
      <c r="L3539" s="1323"/>
      <c r="M3539" s="1323"/>
      <c r="N3539" s="1323"/>
      <c r="O3539" s="1323"/>
      <c r="P3539" s="1323"/>
      <c r="Q3539" s="1323"/>
      <c r="R3539" s="1304"/>
      <c r="S3539" s="1304"/>
      <c r="T3539" s="1304"/>
    </row>
    <row r="3540" spans="1:20">
      <c r="A3540" s="1303"/>
      <c r="B3540" s="1322" t="s">
        <v>9180</v>
      </c>
      <c r="C3540" s="1323" t="s">
        <v>9181</v>
      </c>
      <c r="D3540" s="1324">
        <f t="shared" si="360"/>
        <v>36724</v>
      </c>
      <c r="E3540" s="1323">
        <f t="shared" si="356"/>
        <v>6.8788</v>
      </c>
      <c r="F3540" s="1323">
        <f t="shared" si="361"/>
        <v>4.9781427401235367</v>
      </c>
      <c r="G3540" s="1323">
        <f t="shared" si="357"/>
        <v>2000</v>
      </c>
      <c r="H3540" s="1323">
        <f t="shared" si="358"/>
        <v>7</v>
      </c>
      <c r="I3540" s="1323">
        <f t="shared" si="359"/>
        <v>17</v>
      </c>
      <c r="J3540" s="1323"/>
      <c r="K3540" s="1323"/>
      <c r="L3540" s="1323"/>
      <c r="M3540" s="1323"/>
      <c r="N3540" s="1323"/>
      <c r="O3540" s="1323"/>
      <c r="P3540" s="1323"/>
      <c r="Q3540" s="1323"/>
      <c r="R3540" s="1304"/>
      <c r="S3540" s="1304"/>
      <c r="T3540" s="1304"/>
    </row>
    <row r="3541" spans="1:20">
      <c r="A3541" s="1303"/>
      <c r="B3541" s="1322" t="s">
        <v>9182</v>
      </c>
      <c r="C3541" s="1323" t="s">
        <v>9183</v>
      </c>
      <c r="D3541" s="1324">
        <f t="shared" si="360"/>
        <v>36721</v>
      </c>
      <c r="E3541" s="1323">
        <f t="shared" si="356"/>
        <v>6.8369</v>
      </c>
      <c r="F3541" s="1323">
        <f t="shared" si="361"/>
        <v>4.9771882108776149</v>
      </c>
      <c r="G3541" s="1323">
        <f t="shared" si="357"/>
        <v>2000</v>
      </c>
      <c r="H3541" s="1323">
        <f t="shared" si="358"/>
        <v>7</v>
      </c>
      <c r="I3541" s="1323">
        <f t="shared" si="359"/>
        <v>14</v>
      </c>
      <c r="J3541" s="1323"/>
      <c r="K3541" s="1323"/>
      <c r="L3541" s="1323"/>
      <c r="M3541" s="1323"/>
      <c r="N3541" s="1323"/>
      <c r="O3541" s="1323"/>
      <c r="P3541" s="1323"/>
      <c r="Q3541" s="1323"/>
      <c r="R3541" s="1304"/>
      <c r="S3541" s="1304"/>
      <c r="T3541" s="1304"/>
    </row>
    <row r="3542" spans="1:20">
      <c r="A3542" s="1303"/>
      <c r="B3542" s="1322" t="s">
        <v>9184</v>
      </c>
      <c r="C3542" s="1323" t="s">
        <v>9185</v>
      </c>
      <c r="D3542" s="1324">
        <f t="shared" si="360"/>
        <v>36720</v>
      </c>
      <c r="E3542" s="1323">
        <f t="shared" ref="E3542:E3605" si="362">VALUE(C3543)</f>
        <v>6.8456000000000001</v>
      </c>
      <c r="F3542" s="1323">
        <f t="shared" si="361"/>
        <v>4.9762338646569955</v>
      </c>
      <c r="G3542" s="1323">
        <f t="shared" ref="G3542:G3605" si="363">YEAR(B3543)</f>
        <v>2000</v>
      </c>
      <c r="H3542" s="1323">
        <f t="shared" ref="H3542:H3605" si="364">MONTH(B3543)</f>
        <v>7</v>
      </c>
      <c r="I3542" s="1323">
        <f t="shared" ref="I3542:I3605" si="365">DAY(B3543)</f>
        <v>13</v>
      </c>
      <c r="J3542" s="1323"/>
      <c r="K3542" s="1323"/>
      <c r="L3542" s="1323"/>
      <c r="M3542" s="1323"/>
      <c r="N3542" s="1323"/>
      <c r="O3542" s="1323"/>
      <c r="P3542" s="1323"/>
      <c r="Q3542" s="1323"/>
      <c r="R3542" s="1304"/>
      <c r="S3542" s="1304"/>
      <c r="T3542" s="1304"/>
    </row>
    <row r="3543" spans="1:20">
      <c r="A3543" s="1303"/>
      <c r="B3543" s="1322" t="s">
        <v>9186</v>
      </c>
      <c r="C3543" s="1323" t="s">
        <v>9187</v>
      </c>
      <c r="D3543" s="1324">
        <f t="shared" si="360"/>
        <v>36719</v>
      </c>
      <c r="E3543" s="1323">
        <f t="shared" si="362"/>
        <v>6.8049999999999997</v>
      </c>
      <c r="F3543" s="1323">
        <f t="shared" si="361"/>
        <v>4.9752797014265848</v>
      </c>
      <c r="G3543" s="1323">
        <f t="shared" si="363"/>
        <v>2000</v>
      </c>
      <c r="H3543" s="1323">
        <f t="shared" si="364"/>
        <v>7</v>
      </c>
      <c r="I3543" s="1323">
        <f t="shared" si="365"/>
        <v>12</v>
      </c>
      <c r="J3543" s="1323"/>
      <c r="K3543" s="1323"/>
      <c r="L3543" s="1323"/>
      <c r="M3543" s="1323"/>
      <c r="N3543" s="1323"/>
      <c r="O3543" s="1323"/>
      <c r="P3543" s="1323"/>
      <c r="Q3543" s="1323"/>
      <c r="R3543" s="1304"/>
      <c r="S3543" s="1304"/>
      <c r="T3543" s="1304"/>
    </row>
    <row r="3544" spans="1:20">
      <c r="A3544" s="1303"/>
      <c r="B3544" s="1322" t="s">
        <v>9188</v>
      </c>
      <c r="C3544" s="1323" t="s">
        <v>5599</v>
      </c>
      <c r="D3544" s="1324">
        <f t="shared" si="360"/>
        <v>36718</v>
      </c>
      <c r="E3544" s="1323">
        <f t="shared" si="362"/>
        <v>6.8094000000000001</v>
      </c>
      <c r="F3544" s="1323">
        <f t="shared" si="361"/>
        <v>4.9743257211512955</v>
      </c>
      <c r="G3544" s="1323">
        <f t="shared" si="363"/>
        <v>2000</v>
      </c>
      <c r="H3544" s="1323">
        <f t="shared" si="364"/>
        <v>7</v>
      </c>
      <c r="I3544" s="1323">
        <f t="shared" si="365"/>
        <v>11</v>
      </c>
      <c r="J3544" s="1323"/>
      <c r="K3544" s="1323"/>
      <c r="L3544" s="1323"/>
      <c r="M3544" s="1323"/>
      <c r="N3544" s="1323"/>
      <c r="O3544" s="1323"/>
      <c r="P3544" s="1323"/>
      <c r="Q3544" s="1323"/>
      <c r="R3544" s="1304"/>
      <c r="S3544" s="1304"/>
      <c r="T3544" s="1304"/>
    </row>
    <row r="3545" spans="1:20">
      <c r="A3545" s="1303"/>
      <c r="B3545" s="1322" t="s">
        <v>9189</v>
      </c>
      <c r="C3545" s="1323" t="s">
        <v>9190</v>
      </c>
      <c r="D3545" s="1324">
        <f t="shared" si="360"/>
        <v>36717</v>
      </c>
      <c r="E3545" s="1323">
        <f t="shared" si="362"/>
        <v>6.8472</v>
      </c>
      <c r="F3545" s="1323">
        <f t="shared" si="361"/>
        <v>4.973371923796047</v>
      </c>
      <c r="G3545" s="1323">
        <f t="shared" si="363"/>
        <v>2000</v>
      </c>
      <c r="H3545" s="1323">
        <f t="shared" si="364"/>
        <v>7</v>
      </c>
      <c r="I3545" s="1323">
        <f t="shared" si="365"/>
        <v>10</v>
      </c>
      <c r="J3545" s="1323"/>
      <c r="K3545" s="1323"/>
      <c r="L3545" s="1323"/>
      <c r="M3545" s="1323"/>
      <c r="N3545" s="1323"/>
      <c r="O3545" s="1323"/>
      <c r="P3545" s="1323"/>
      <c r="Q3545" s="1323"/>
      <c r="R3545" s="1304"/>
      <c r="S3545" s="1304"/>
      <c r="T3545" s="1304"/>
    </row>
    <row r="3546" spans="1:20">
      <c r="A3546" s="1303"/>
      <c r="B3546" s="1322" t="s">
        <v>9191</v>
      </c>
      <c r="C3546" s="1323" t="s">
        <v>9192</v>
      </c>
      <c r="D3546" s="1324">
        <f t="shared" si="360"/>
        <v>36714</v>
      </c>
      <c r="E3546" s="1323">
        <f t="shared" si="362"/>
        <v>6.8418000000000001</v>
      </c>
      <c r="F3546" s="1323">
        <f t="shared" si="361"/>
        <v>4.9724183093257652</v>
      </c>
      <c r="G3546" s="1323">
        <f t="shared" si="363"/>
        <v>2000</v>
      </c>
      <c r="H3546" s="1323">
        <f t="shared" si="364"/>
        <v>7</v>
      </c>
      <c r="I3546" s="1323">
        <f t="shared" si="365"/>
        <v>7</v>
      </c>
      <c r="J3546" s="1323"/>
      <c r="K3546" s="1323"/>
      <c r="L3546" s="1323"/>
      <c r="M3546" s="1323"/>
      <c r="N3546" s="1323"/>
      <c r="O3546" s="1323"/>
      <c r="P3546" s="1323"/>
      <c r="Q3546" s="1323"/>
      <c r="R3546" s="1304"/>
      <c r="S3546" s="1304"/>
      <c r="T3546" s="1304"/>
    </row>
    <row r="3547" spans="1:20">
      <c r="A3547" s="1303"/>
      <c r="B3547" s="1322" t="s">
        <v>9193</v>
      </c>
      <c r="C3547" s="1323" t="s">
        <v>9194</v>
      </c>
      <c r="D3547" s="1324">
        <f t="shared" si="360"/>
        <v>36713</v>
      </c>
      <c r="E3547" s="1323">
        <f t="shared" si="362"/>
        <v>6.79</v>
      </c>
      <c r="F3547" s="1323">
        <f t="shared" si="361"/>
        <v>4.9714648777053831</v>
      </c>
      <c r="G3547" s="1323">
        <f t="shared" si="363"/>
        <v>2000</v>
      </c>
      <c r="H3547" s="1323">
        <f t="shared" si="364"/>
        <v>7</v>
      </c>
      <c r="I3547" s="1323">
        <f t="shared" si="365"/>
        <v>6</v>
      </c>
      <c r="J3547" s="1323"/>
      <c r="K3547" s="1323"/>
      <c r="L3547" s="1323"/>
      <c r="M3547" s="1323"/>
      <c r="N3547" s="1323"/>
      <c r="O3547" s="1323"/>
      <c r="P3547" s="1323"/>
      <c r="Q3547" s="1323"/>
      <c r="R3547" s="1304"/>
      <c r="S3547" s="1304"/>
      <c r="T3547" s="1304"/>
    </row>
    <row r="3548" spans="1:20">
      <c r="A3548" s="1303"/>
      <c r="B3548" s="1322" t="s">
        <v>9195</v>
      </c>
      <c r="C3548" s="1323" t="s">
        <v>9196</v>
      </c>
      <c r="D3548" s="1324">
        <f t="shared" si="360"/>
        <v>36712</v>
      </c>
      <c r="E3548" s="1323">
        <f t="shared" si="362"/>
        <v>6.7530999999999999</v>
      </c>
      <c r="F3548" s="1323">
        <f t="shared" si="361"/>
        <v>4.9705116288998408</v>
      </c>
      <c r="G3548" s="1323">
        <f t="shared" si="363"/>
        <v>2000</v>
      </c>
      <c r="H3548" s="1323">
        <f t="shared" si="364"/>
        <v>7</v>
      </c>
      <c r="I3548" s="1323">
        <f t="shared" si="365"/>
        <v>5</v>
      </c>
      <c r="J3548" s="1323"/>
      <c r="K3548" s="1323"/>
      <c r="L3548" s="1323"/>
      <c r="M3548" s="1323"/>
      <c r="N3548" s="1323"/>
      <c r="O3548" s="1323"/>
      <c r="P3548" s="1323"/>
      <c r="Q3548" s="1323"/>
      <c r="R3548" s="1304"/>
      <c r="S3548" s="1304"/>
      <c r="T3548" s="1304"/>
    </row>
    <row r="3549" spans="1:20">
      <c r="A3549" s="1303"/>
      <c r="B3549" s="1322" t="s">
        <v>9197</v>
      </c>
      <c r="C3549" s="1323" t="s">
        <v>9198</v>
      </c>
      <c r="D3549" s="1324">
        <f t="shared" si="360"/>
        <v>36711</v>
      </c>
      <c r="E3549" s="1323">
        <f t="shared" si="362"/>
        <v>6.8097000000000003</v>
      </c>
      <c r="F3549" s="1323">
        <f t="shared" si="361"/>
        <v>4.9695585628740844</v>
      </c>
      <c r="G3549" s="1323">
        <f t="shared" si="363"/>
        <v>2000</v>
      </c>
      <c r="H3549" s="1323">
        <f t="shared" si="364"/>
        <v>7</v>
      </c>
      <c r="I3549" s="1323">
        <f t="shared" si="365"/>
        <v>4</v>
      </c>
      <c r="J3549" s="1323"/>
      <c r="K3549" s="1323"/>
      <c r="L3549" s="1323"/>
      <c r="M3549" s="1323"/>
      <c r="N3549" s="1323"/>
      <c r="O3549" s="1323"/>
      <c r="P3549" s="1323"/>
      <c r="Q3549" s="1323"/>
      <c r="R3549" s="1304"/>
      <c r="S3549" s="1304"/>
      <c r="T3549" s="1304"/>
    </row>
    <row r="3550" spans="1:20">
      <c r="A3550" s="1303"/>
      <c r="B3550" s="1322" t="s">
        <v>9199</v>
      </c>
      <c r="C3550" s="1323" t="s">
        <v>9200</v>
      </c>
      <c r="D3550" s="1324">
        <f t="shared" si="360"/>
        <v>36710</v>
      </c>
      <c r="E3550" s="1323">
        <f t="shared" si="362"/>
        <v>6.7937000000000003</v>
      </c>
      <c r="F3550" s="1323">
        <f t="shared" si="361"/>
        <v>4.9686056795930664</v>
      </c>
      <c r="G3550" s="1323">
        <f t="shared" si="363"/>
        <v>2000</v>
      </c>
      <c r="H3550" s="1323">
        <f t="shared" si="364"/>
        <v>7</v>
      </c>
      <c r="I3550" s="1323">
        <f t="shared" si="365"/>
        <v>3</v>
      </c>
      <c r="J3550" s="1323"/>
      <c r="K3550" s="1323"/>
      <c r="L3550" s="1323"/>
      <c r="M3550" s="1323"/>
      <c r="N3550" s="1323"/>
      <c r="O3550" s="1323"/>
      <c r="P3550" s="1323"/>
      <c r="Q3550" s="1323"/>
      <c r="R3550" s="1304"/>
      <c r="S3550" s="1304"/>
      <c r="T3550" s="1304"/>
    </row>
    <row r="3551" spans="1:20">
      <c r="A3551" s="1303"/>
      <c r="B3551" s="1322" t="s">
        <v>9201</v>
      </c>
      <c r="C3551" s="1323" t="s">
        <v>9202</v>
      </c>
      <c r="D3551" s="1324">
        <f t="shared" si="360"/>
        <v>36707</v>
      </c>
      <c r="E3551" s="1323">
        <f t="shared" si="362"/>
        <v>6.8234000000000004</v>
      </c>
      <c r="F3551" s="1323">
        <f t="shared" si="361"/>
        <v>4.9676529790217474</v>
      </c>
      <c r="G3551" s="1323">
        <f t="shared" si="363"/>
        <v>2000</v>
      </c>
      <c r="H3551" s="1323">
        <f t="shared" si="364"/>
        <v>6</v>
      </c>
      <c r="I3551" s="1323">
        <f t="shared" si="365"/>
        <v>30</v>
      </c>
      <c r="J3551" s="1323"/>
      <c r="K3551" s="1323"/>
      <c r="L3551" s="1323"/>
      <c r="M3551" s="1323"/>
      <c r="N3551" s="1323"/>
      <c r="O3551" s="1323"/>
      <c r="P3551" s="1323"/>
      <c r="Q3551" s="1323"/>
      <c r="R3551" s="1304"/>
      <c r="S3551" s="1304"/>
      <c r="T3551" s="1304"/>
    </row>
    <row r="3552" spans="1:20">
      <c r="A3552" s="1303"/>
      <c r="B3552" s="1322" t="s">
        <v>9203</v>
      </c>
      <c r="C3552" s="1323" t="s">
        <v>9204</v>
      </c>
      <c r="D3552" s="1324">
        <f t="shared" si="360"/>
        <v>36706</v>
      </c>
      <c r="E3552" s="1323">
        <f t="shared" si="362"/>
        <v>6.8108000000000004</v>
      </c>
      <c r="F3552" s="1323">
        <f t="shared" si="361"/>
        <v>4.9667004611250931</v>
      </c>
      <c r="G3552" s="1323">
        <f t="shared" si="363"/>
        <v>2000</v>
      </c>
      <c r="H3552" s="1323">
        <f t="shared" si="364"/>
        <v>6</v>
      </c>
      <c r="I3552" s="1323">
        <f t="shared" si="365"/>
        <v>29</v>
      </c>
      <c r="J3552" s="1323"/>
      <c r="K3552" s="1323"/>
      <c r="L3552" s="1323"/>
      <c r="M3552" s="1323"/>
      <c r="N3552" s="1323"/>
      <c r="O3552" s="1323"/>
      <c r="P3552" s="1323"/>
      <c r="Q3552" s="1323"/>
      <c r="R3552" s="1304"/>
      <c r="S3552" s="1304"/>
      <c r="T3552" s="1304"/>
    </row>
    <row r="3553" spans="1:20">
      <c r="A3553" s="1303"/>
      <c r="B3553" s="1322" t="s">
        <v>9205</v>
      </c>
      <c r="C3553" s="1323" t="s">
        <v>9206</v>
      </c>
      <c r="D3553" s="1324">
        <f t="shared" si="360"/>
        <v>36705</v>
      </c>
      <c r="E3553" s="1323">
        <f t="shared" si="362"/>
        <v>6.7957999999999998</v>
      </c>
      <c r="F3553" s="1323">
        <f t="shared" si="361"/>
        <v>4.9657481258680773</v>
      </c>
      <c r="G3553" s="1323">
        <f t="shared" si="363"/>
        <v>2000</v>
      </c>
      <c r="H3553" s="1323">
        <f t="shared" si="364"/>
        <v>6</v>
      </c>
      <c r="I3553" s="1323">
        <f t="shared" si="365"/>
        <v>28</v>
      </c>
      <c r="J3553" s="1323"/>
      <c r="K3553" s="1323"/>
      <c r="L3553" s="1323"/>
      <c r="M3553" s="1323"/>
      <c r="N3553" s="1323"/>
      <c r="O3553" s="1323"/>
      <c r="P3553" s="1323"/>
      <c r="Q3553" s="1323"/>
      <c r="R3553" s="1304"/>
      <c r="S3553" s="1304"/>
      <c r="T3553" s="1304"/>
    </row>
    <row r="3554" spans="1:20">
      <c r="A3554" s="1303"/>
      <c r="B3554" s="1322" t="s">
        <v>9207</v>
      </c>
      <c r="C3554" s="1323" t="s">
        <v>9208</v>
      </c>
      <c r="D3554" s="1324">
        <f t="shared" si="360"/>
        <v>36704</v>
      </c>
      <c r="E3554" s="1323">
        <f t="shared" si="362"/>
        <v>6.8406000000000002</v>
      </c>
      <c r="F3554" s="1323">
        <f t="shared" si="361"/>
        <v>4.9647959732156792</v>
      </c>
      <c r="G3554" s="1323">
        <f t="shared" si="363"/>
        <v>2000</v>
      </c>
      <c r="H3554" s="1323">
        <f t="shared" si="364"/>
        <v>6</v>
      </c>
      <c r="I3554" s="1323">
        <f t="shared" si="365"/>
        <v>27</v>
      </c>
      <c r="J3554" s="1323"/>
      <c r="K3554" s="1323"/>
      <c r="L3554" s="1323"/>
      <c r="M3554" s="1323"/>
      <c r="N3554" s="1323"/>
      <c r="O3554" s="1323"/>
      <c r="P3554" s="1323"/>
      <c r="Q3554" s="1323"/>
      <c r="R3554" s="1304"/>
      <c r="S3554" s="1304"/>
      <c r="T3554" s="1304"/>
    </row>
    <row r="3555" spans="1:20">
      <c r="A3555" s="1303"/>
      <c r="B3555" s="1322" t="s">
        <v>9209</v>
      </c>
      <c r="C3555" s="1323" t="s">
        <v>9210</v>
      </c>
      <c r="D3555" s="1324">
        <f t="shared" si="360"/>
        <v>36703</v>
      </c>
      <c r="E3555" s="1323">
        <f t="shared" si="362"/>
        <v>6.8691000000000004</v>
      </c>
      <c r="F3555" s="1323">
        <f t="shared" si="361"/>
        <v>4.9638440031328868</v>
      </c>
      <c r="G3555" s="1323">
        <f t="shared" si="363"/>
        <v>2000</v>
      </c>
      <c r="H3555" s="1323">
        <f t="shared" si="364"/>
        <v>6</v>
      </c>
      <c r="I3555" s="1323">
        <f t="shared" si="365"/>
        <v>26</v>
      </c>
      <c r="J3555" s="1323"/>
      <c r="K3555" s="1323"/>
      <c r="L3555" s="1323"/>
      <c r="M3555" s="1323"/>
      <c r="N3555" s="1323"/>
      <c r="O3555" s="1323"/>
      <c r="P3555" s="1323"/>
      <c r="Q3555" s="1323"/>
      <c r="R3555" s="1304"/>
      <c r="S3555" s="1304"/>
      <c r="T3555" s="1304"/>
    </row>
    <row r="3556" spans="1:20">
      <c r="A3556" s="1303"/>
      <c r="B3556" s="1322" t="s">
        <v>9211</v>
      </c>
      <c r="C3556" s="1323" t="s">
        <v>9212</v>
      </c>
      <c r="D3556" s="1324">
        <f t="shared" si="360"/>
        <v>36700</v>
      </c>
      <c r="E3556" s="1323">
        <f t="shared" si="362"/>
        <v>6.9287999999999998</v>
      </c>
      <c r="F3556" s="1323">
        <f t="shared" si="361"/>
        <v>4.9628922155846924</v>
      </c>
      <c r="G3556" s="1323">
        <f t="shared" si="363"/>
        <v>2000</v>
      </c>
      <c r="H3556" s="1323">
        <f t="shared" si="364"/>
        <v>6</v>
      </c>
      <c r="I3556" s="1323">
        <f t="shared" si="365"/>
        <v>23</v>
      </c>
      <c r="J3556" s="1323"/>
      <c r="K3556" s="1323"/>
      <c r="L3556" s="1323"/>
      <c r="M3556" s="1323"/>
      <c r="N3556" s="1323"/>
      <c r="O3556" s="1323"/>
      <c r="P3556" s="1323"/>
      <c r="Q3556" s="1323"/>
      <c r="R3556" s="1304"/>
      <c r="S3556" s="1304"/>
      <c r="T3556" s="1304"/>
    </row>
    <row r="3557" spans="1:20">
      <c r="A3557" s="1303"/>
      <c r="B3557" s="1322" t="s">
        <v>9213</v>
      </c>
      <c r="C3557" s="1323" t="s">
        <v>9214</v>
      </c>
      <c r="D3557" s="1324">
        <f t="shared" si="360"/>
        <v>36699</v>
      </c>
      <c r="E3557" s="1323">
        <f t="shared" si="362"/>
        <v>6.9436999999999998</v>
      </c>
      <c r="F3557" s="1323">
        <f t="shared" si="361"/>
        <v>4.9619406105360966</v>
      </c>
      <c r="G3557" s="1323">
        <f t="shared" si="363"/>
        <v>2000</v>
      </c>
      <c r="H3557" s="1323">
        <f t="shared" si="364"/>
        <v>6</v>
      </c>
      <c r="I3557" s="1323">
        <f t="shared" si="365"/>
        <v>22</v>
      </c>
      <c r="J3557" s="1323"/>
      <c r="K3557" s="1323"/>
      <c r="L3557" s="1323"/>
      <c r="M3557" s="1323"/>
      <c r="N3557" s="1323"/>
      <c r="O3557" s="1323"/>
      <c r="P3557" s="1323"/>
      <c r="Q3557" s="1323"/>
      <c r="R3557" s="1304"/>
      <c r="S3557" s="1304"/>
      <c r="T3557" s="1304"/>
    </row>
    <row r="3558" spans="1:20">
      <c r="A3558" s="1303"/>
      <c r="B3558" s="1322" t="s">
        <v>9215</v>
      </c>
      <c r="C3558" s="1323" t="s">
        <v>9216</v>
      </c>
      <c r="D3558" s="1324">
        <f t="shared" si="360"/>
        <v>36698</v>
      </c>
      <c r="E3558" s="1323">
        <f t="shared" si="362"/>
        <v>6.9054000000000002</v>
      </c>
      <c r="F3558" s="1323">
        <f t="shared" si="361"/>
        <v>4.960989187952106</v>
      </c>
      <c r="G3558" s="1323">
        <f t="shared" si="363"/>
        <v>2000</v>
      </c>
      <c r="H3558" s="1323">
        <f t="shared" si="364"/>
        <v>6</v>
      </c>
      <c r="I3558" s="1323">
        <f t="shared" si="365"/>
        <v>21</v>
      </c>
      <c r="J3558" s="1323"/>
      <c r="K3558" s="1323"/>
      <c r="L3558" s="1323"/>
      <c r="M3558" s="1323"/>
      <c r="N3558" s="1323"/>
      <c r="O3558" s="1323"/>
      <c r="P3558" s="1323"/>
      <c r="Q3558" s="1323"/>
      <c r="R3558" s="1304"/>
      <c r="S3558" s="1304"/>
      <c r="T3558" s="1304"/>
    </row>
    <row r="3559" spans="1:20">
      <c r="A3559" s="1303"/>
      <c r="B3559" s="1322" t="s">
        <v>9217</v>
      </c>
      <c r="C3559" s="1323" t="s">
        <v>9218</v>
      </c>
      <c r="D3559" s="1324">
        <f t="shared" si="360"/>
        <v>36697</v>
      </c>
      <c r="E3559" s="1323">
        <f t="shared" si="362"/>
        <v>6.8887</v>
      </c>
      <c r="F3559" s="1323">
        <f t="shared" si="361"/>
        <v>4.9600379477977334</v>
      </c>
      <c r="G3559" s="1323">
        <f t="shared" si="363"/>
        <v>2000</v>
      </c>
      <c r="H3559" s="1323">
        <f t="shared" si="364"/>
        <v>6</v>
      </c>
      <c r="I3559" s="1323">
        <f t="shared" si="365"/>
        <v>20</v>
      </c>
      <c r="J3559" s="1323"/>
      <c r="K3559" s="1323"/>
      <c r="L3559" s="1323"/>
      <c r="M3559" s="1323"/>
      <c r="N3559" s="1323"/>
      <c r="O3559" s="1323"/>
      <c r="P3559" s="1323"/>
      <c r="Q3559" s="1323"/>
      <c r="R3559" s="1304"/>
      <c r="S3559" s="1304"/>
      <c r="T3559" s="1304"/>
    </row>
    <row r="3560" spans="1:20">
      <c r="A3560" s="1303"/>
      <c r="B3560" s="1322" t="s">
        <v>9219</v>
      </c>
      <c r="C3560" s="1323" t="s">
        <v>9220</v>
      </c>
      <c r="D3560" s="1324">
        <f t="shared" si="360"/>
        <v>36696</v>
      </c>
      <c r="E3560" s="1323">
        <f t="shared" si="362"/>
        <v>6.8807</v>
      </c>
      <c r="F3560" s="1323">
        <f t="shared" si="361"/>
        <v>4.9590868900379999</v>
      </c>
      <c r="G3560" s="1323">
        <f t="shared" si="363"/>
        <v>2000</v>
      </c>
      <c r="H3560" s="1323">
        <f t="shared" si="364"/>
        <v>6</v>
      </c>
      <c r="I3560" s="1323">
        <f t="shared" si="365"/>
        <v>19</v>
      </c>
      <c r="J3560" s="1323"/>
      <c r="K3560" s="1323"/>
      <c r="L3560" s="1323"/>
      <c r="M3560" s="1323"/>
      <c r="N3560" s="1323"/>
      <c r="O3560" s="1323"/>
      <c r="P3560" s="1323"/>
      <c r="Q3560" s="1323"/>
      <c r="R3560" s="1304"/>
      <c r="S3560" s="1304"/>
      <c r="T3560" s="1304"/>
    </row>
    <row r="3561" spans="1:20">
      <c r="A3561" s="1303"/>
      <c r="B3561" s="1322" t="s">
        <v>9221</v>
      </c>
      <c r="C3561" s="1323" t="s">
        <v>9222</v>
      </c>
      <c r="D3561" s="1324">
        <f t="shared" si="360"/>
        <v>36692</v>
      </c>
      <c r="E3561" s="1323">
        <f t="shared" si="362"/>
        <v>6.9413</v>
      </c>
      <c r="F3561" s="1323">
        <f t="shared" si="361"/>
        <v>4.9581360146379323</v>
      </c>
      <c r="G3561" s="1323">
        <f t="shared" si="363"/>
        <v>2000</v>
      </c>
      <c r="H3561" s="1323">
        <f t="shared" si="364"/>
        <v>6</v>
      </c>
      <c r="I3561" s="1323">
        <f t="shared" si="365"/>
        <v>15</v>
      </c>
      <c r="J3561" s="1323"/>
      <c r="K3561" s="1323"/>
      <c r="L3561" s="1323"/>
      <c r="M3561" s="1323"/>
      <c r="N3561" s="1323"/>
      <c r="O3561" s="1323"/>
      <c r="P3561" s="1323"/>
      <c r="Q3561" s="1323"/>
      <c r="R3561" s="1304"/>
      <c r="S3561" s="1304"/>
      <c r="T3561" s="1304"/>
    </row>
    <row r="3562" spans="1:20">
      <c r="A3562" s="1303"/>
      <c r="B3562" s="1322" t="s">
        <v>9223</v>
      </c>
      <c r="C3562" s="1323" t="s">
        <v>7341</v>
      </c>
      <c r="D3562" s="1324">
        <f t="shared" si="360"/>
        <v>36691</v>
      </c>
      <c r="E3562" s="1323">
        <f t="shared" si="362"/>
        <v>6.9694000000000003</v>
      </c>
      <c r="F3562" s="1323">
        <f t="shared" si="361"/>
        <v>4.9571853215625641</v>
      </c>
      <c r="G3562" s="1323">
        <f t="shared" si="363"/>
        <v>2000</v>
      </c>
      <c r="H3562" s="1323">
        <f t="shared" si="364"/>
        <v>6</v>
      </c>
      <c r="I3562" s="1323">
        <f t="shared" si="365"/>
        <v>14</v>
      </c>
      <c r="J3562" s="1323"/>
      <c r="K3562" s="1323"/>
      <c r="L3562" s="1323"/>
      <c r="M3562" s="1323"/>
      <c r="N3562" s="1323"/>
      <c r="O3562" s="1323"/>
      <c r="P3562" s="1323"/>
      <c r="Q3562" s="1323"/>
      <c r="R3562" s="1304"/>
      <c r="S3562" s="1304"/>
      <c r="T3562" s="1304"/>
    </row>
    <row r="3563" spans="1:20">
      <c r="A3563" s="1303"/>
      <c r="B3563" s="1322" t="s">
        <v>9224</v>
      </c>
      <c r="C3563" s="1323" t="s">
        <v>9225</v>
      </c>
      <c r="D3563" s="1324">
        <f t="shared" si="360"/>
        <v>36690</v>
      </c>
      <c r="E3563" s="1323">
        <f t="shared" si="362"/>
        <v>7.0347999999999997</v>
      </c>
      <c r="F3563" s="1323">
        <f t="shared" si="361"/>
        <v>4.9562348107769356</v>
      </c>
      <c r="G3563" s="1323">
        <f t="shared" si="363"/>
        <v>2000</v>
      </c>
      <c r="H3563" s="1323">
        <f t="shared" si="364"/>
        <v>6</v>
      </c>
      <c r="I3563" s="1323">
        <f t="shared" si="365"/>
        <v>13</v>
      </c>
      <c r="J3563" s="1323"/>
      <c r="K3563" s="1323"/>
      <c r="L3563" s="1323"/>
      <c r="M3563" s="1323"/>
      <c r="N3563" s="1323"/>
      <c r="O3563" s="1323"/>
      <c r="P3563" s="1323"/>
      <c r="Q3563" s="1323"/>
      <c r="R3563" s="1304"/>
      <c r="S3563" s="1304"/>
      <c r="T3563" s="1304"/>
    </row>
    <row r="3564" spans="1:20">
      <c r="A3564" s="1303"/>
      <c r="B3564" s="1322" t="s">
        <v>9226</v>
      </c>
      <c r="C3564" s="1323" t="s">
        <v>9227</v>
      </c>
      <c r="D3564" s="1324">
        <f t="shared" si="360"/>
        <v>36689</v>
      </c>
      <c r="E3564" s="1323">
        <f t="shared" si="362"/>
        <v>7.0445000000000002</v>
      </c>
      <c r="F3564" s="1323">
        <f t="shared" si="361"/>
        <v>4.9552844822460935</v>
      </c>
      <c r="G3564" s="1323">
        <f t="shared" si="363"/>
        <v>2000</v>
      </c>
      <c r="H3564" s="1323">
        <f t="shared" si="364"/>
        <v>6</v>
      </c>
      <c r="I3564" s="1323">
        <f t="shared" si="365"/>
        <v>12</v>
      </c>
      <c r="J3564" s="1323"/>
      <c r="K3564" s="1323"/>
      <c r="L3564" s="1323"/>
      <c r="M3564" s="1323"/>
      <c r="N3564" s="1323"/>
      <c r="O3564" s="1323"/>
      <c r="P3564" s="1323"/>
      <c r="Q3564" s="1323"/>
      <c r="R3564" s="1304"/>
      <c r="S3564" s="1304"/>
      <c r="T3564" s="1304"/>
    </row>
    <row r="3565" spans="1:20">
      <c r="A3565" s="1303"/>
      <c r="B3565" s="1322" t="s">
        <v>9228</v>
      </c>
      <c r="C3565" s="1323" t="s">
        <v>9229</v>
      </c>
      <c r="D3565" s="1324">
        <f t="shared" si="360"/>
        <v>36686</v>
      </c>
      <c r="E3565" s="1323">
        <f t="shared" si="362"/>
        <v>7.0589000000000004</v>
      </c>
      <c r="F3565" s="1323">
        <f t="shared" si="361"/>
        <v>4.9543343359350924</v>
      </c>
      <c r="G3565" s="1323">
        <f t="shared" si="363"/>
        <v>2000</v>
      </c>
      <c r="H3565" s="1323">
        <f t="shared" si="364"/>
        <v>6</v>
      </c>
      <c r="I3565" s="1323">
        <f t="shared" si="365"/>
        <v>9</v>
      </c>
      <c r="J3565" s="1323"/>
      <c r="K3565" s="1323"/>
      <c r="L3565" s="1323"/>
      <c r="M3565" s="1323"/>
      <c r="N3565" s="1323"/>
      <c r="O3565" s="1323"/>
      <c r="P3565" s="1323"/>
      <c r="Q3565" s="1323"/>
      <c r="R3565" s="1304"/>
      <c r="S3565" s="1304"/>
      <c r="T3565" s="1304"/>
    </row>
    <row r="3566" spans="1:20">
      <c r="A3566" s="1303"/>
      <c r="B3566" s="1322" t="s">
        <v>9230</v>
      </c>
      <c r="C3566" s="1323" t="s">
        <v>9231</v>
      </c>
      <c r="D3566" s="1324">
        <f t="shared" si="360"/>
        <v>36685</v>
      </c>
      <c r="E3566" s="1323">
        <f t="shared" si="362"/>
        <v>7.0084</v>
      </c>
      <c r="F3566" s="1323">
        <f t="shared" si="361"/>
        <v>4.9533843718089923</v>
      </c>
      <c r="G3566" s="1323">
        <f t="shared" si="363"/>
        <v>2000</v>
      </c>
      <c r="H3566" s="1323">
        <f t="shared" si="364"/>
        <v>6</v>
      </c>
      <c r="I3566" s="1323">
        <f t="shared" si="365"/>
        <v>8</v>
      </c>
      <c r="J3566" s="1323"/>
      <c r="K3566" s="1323"/>
      <c r="L3566" s="1323"/>
      <c r="M3566" s="1323"/>
      <c r="N3566" s="1323"/>
      <c r="O3566" s="1323"/>
      <c r="P3566" s="1323"/>
      <c r="Q3566" s="1323"/>
      <c r="R3566" s="1304"/>
      <c r="S3566" s="1304"/>
      <c r="T3566" s="1304"/>
    </row>
    <row r="3567" spans="1:20">
      <c r="A3567" s="1303"/>
      <c r="B3567" s="1322" t="s">
        <v>9232</v>
      </c>
      <c r="C3567" s="1323" t="s">
        <v>9233</v>
      </c>
      <c r="D3567" s="1324">
        <f t="shared" si="360"/>
        <v>36684</v>
      </c>
      <c r="E3567" s="1323">
        <f t="shared" si="362"/>
        <v>6.9667000000000003</v>
      </c>
      <c r="F3567" s="1323">
        <f t="shared" si="361"/>
        <v>4.9524345898328601</v>
      </c>
      <c r="G3567" s="1323">
        <f t="shared" si="363"/>
        <v>2000</v>
      </c>
      <c r="H3567" s="1323">
        <f t="shared" si="364"/>
        <v>6</v>
      </c>
      <c r="I3567" s="1323">
        <f t="shared" si="365"/>
        <v>7</v>
      </c>
      <c r="J3567" s="1323"/>
      <c r="K3567" s="1323"/>
      <c r="L3567" s="1323"/>
      <c r="M3567" s="1323"/>
      <c r="N3567" s="1323"/>
      <c r="O3567" s="1323"/>
      <c r="P3567" s="1323"/>
      <c r="Q3567" s="1323"/>
      <c r="R3567" s="1304"/>
      <c r="S3567" s="1304"/>
      <c r="T3567" s="1304"/>
    </row>
    <row r="3568" spans="1:20">
      <c r="A3568" s="1303"/>
      <c r="B3568" s="1322" t="s">
        <v>9234</v>
      </c>
      <c r="C3568" s="1323" t="s">
        <v>9235</v>
      </c>
      <c r="D3568" s="1324">
        <f t="shared" si="360"/>
        <v>36683</v>
      </c>
      <c r="E3568" s="1323">
        <f t="shared" si="362"/>
        <v>6.9203999999999999</v>
      </c>
      <c r="F3568" s="1323">
        <f t="shared" si="361"/>
        <v>4.9514849899717692</v>
      </c>
      <c r="G3568" s="1323">
        <f t="shared" si="363"/>
        <v>2000</v>
      </c>
      <c r="H3568" s="1323">
        <f t="shared" si="364"/>
        <v>6</v>
      </c>
      <c r="I3568" s="1323">
        <f t="shared" si="365"/>
        <v>6</v>
      </c>
      <c r="J3568" s="1323"/>
      <c r="K3568" s="1323"/>
      <c r="L3568" s="1323"/>
      <c r="M3568" s="1323"/>
      <c r="N3568" s="1323"/>
      <c r="O3568" s="1323"/>
      <c r="P3568" s="1323"/>
      <c r="Q3568" s="1323"/>
      <c r="R3568" s="1304"/>
      <c r="S3568" s="1304"/>
      <c r="T3568" s="1304"/>
    </row>
    <row r="3569" spans="1:20">
      <c r="A3569" s="1303"/>
      <c r="B3569" s="1322" t="s">
        <v>9236</v>
      </c>
      <c r="C3569" s="1323" t="s">
        <v>9237</v>
      </c>
      <c r="D3569" s="1324">
        <f t="shared" si="360"/>
        <v>36682</v>
      </c>
      <c r="E3569" s="1323">
        <f t="shared" si="362"/>
        <v>6.9324000000000003</v>
      </c>
      <c r="F3569" s="1323">
        <f t="shared" si="361"/>
        <v>4.9505355721908009</v>
      </c>
      <c r="G3569" s="1323">
        <f t="shared" si="363"/>
        <v>2000</v>
      </c>
      <c r="H3569" s="1323">
        <f t="shared" si="364"/>
        <v>6</v>
      </c>
      <c r="I3569" s="1323">
        <f t="shared" si="365"/>
        <v>5</v>
      </c>
      <c r="J3569" s="1323"/>
      <c r="K3569" s="1323"/>
      <c r="L3569" s="1323"/>
      <c r="M3569" s="1323"/>
      <c r="N3569" s="1323"/>
      <c r="O3569" s="1323"/>
      <c r="P3569" s="1323"/>
      <c r="Q3569" s="1323"/>
      <c r="R3569" s="1304"/>
      <c r="S3569" s="1304"/>
      <c r="T3569" s="1304"/>
    </row>
    <row r="3570" spans="1:20">
      <c r="A3570" s="1303"/>
      <c r="B3570" s="1322" t="s">
        <v>9238</v>
      </c>
      <c r="C3570" s="1323" t="s">
        <v>9239</v>
      </c>
      <c r="D3570" s="1324">
        <f t="shared" si="360"/>
        <v>36679</v>
      </c>
      <c r="E3570" s="1323">
        <f t="shared" si="362"/>
        <v>6.9423000000000004</v>
      </c>
      <c r="F3570" s="1323">
        <f t="shared" si="361"/>
        <v>4.9495863364550425</v>
      </c>
      <c r="G3570" s="1323">
        <f t="shared" si="363"/>
        <v>2000</v>
      </c>
      <c r="H3570" s="1323">
        <f t="shared" si="364"/>
        <v>6</v>
      </c>
      <c r="I3570" s="1323">
        <f t="shared" si="365"/>
        <v>2</v>
      </c>
      <c r="J3570" s="1323"/>
      <c r="K3570" s="1323"/>
      <c r="L3570" s="1323"/>
      <c r="M3570" s="1323"/>
      <c r="N3570" s="1323"/>
      <c r="O3570" s="1323"/>
      <c r="P3570" s="1323"/>
      <c r="Q3570" s="1323"/>
      <c r="R3570" s="1304"/>
      <c r="S3570" s="1304"/>
      <c r="T3570" s="1304"/>
    </row>
    <row r="3571" spans="1:20">
      <c r="A3571" s="1303"/>
      <c r="B3571" s="1322" t="s">
        <v>9240</v>
      </c>
      <c r="C3571" s="1323" t="s">
        <v>9241</v>
      </c>
      <c r="D3571" s="1324">
        <f t="shared" si="360"/>
        <v>36678</v>
      </c>
      <c r="E3571" s="1323">
        <f t="shared" si="362"/>
        <v>6.9854000000000003</v>
      </c>
      <c r="F3571" s="1323">
        <f t="shared" si="361"/>
        <v>4.948637282729587</v>
      </c>
      <c r="G3571" s="1323">
        <f t="shared" si="363"/>
        <v>2000</v>
      </c>
      <c r="H3571" s="1323">
        <f t="shared" si="364"/>
        <v>6</v>
      </c>
      <c r="I3571" s="1323">
        <f t="shared" si="365"/>
        <v>1</v>
      </c>
      <c r="J3571" s="1323"/>
      <c r="K3571" s="1323"/>
      <c r="L3571" s="1323"/>
      <c r="M3571" s="1323"/>
      <c r="N3571" s="1323"/>
      <c r="O3571" s="1323"/>
      <c r="P3571" s="1323"/>
      <c r="Q3571" s="1323"/>
      <c r="R3571" s="1304"/>
      <c r="S3571" s="1304"/>
      <c r="T3571" s="1304"/>
    </row>
    <row r="3572" spans="1:20">
      <c r="A3572" s="1303"/>
      <c r="B3572" s="1322" t="s">
        <v>9242</v>
      </c>
      <c r="C3572" s="1323" t="s">
        <v>9243</v>
      </c>
      <c r="D3572" s="1324">
        <f t="shared" si="360"/>
        <v>36677</v>
      </c>
      <c r="E3572" s="1323">
        <f t="shared" si="362"/>
        <v>6.9848999999999997</v>
      </c>
      <c r="F3572" s="1323">
        <f t="shared" si="361"/>
        <v>4.947688410979536</v>
      </c>
      <c r="G3572" s="1323">
        <f t="shared" si="363"/>
        <v>2000</v>
      </c>
      <c r="H3572" s="1323">
        <f t="shared" si="364"/>
        <v>5</v>
      </c>
      <c r="I3572" s="1323">
        <f t="shared" si="365"/>
        <v>31</v>
      </c>
      <c r="J3572" s="1323"/>
      <c r="K3572" s="1323"/>
      <c r="L3572" s="1323"/>
      <c r="M3572" s="1323"/>
      <c r="N3572" s="1323"/>
      <c r="O3572" s="1323"/>
      <c r="P3572" s="1323"/>
      <c r="Q3572" s="1323"/>
      <c r="R3572" s="1304"/>
      <c r="S3572" s="1304"/>
      <c r="T3572" s="1304"/>
    </row>
    <row r="3573" spans="1:20">
      <c r="A3573" s="1303"/>
      <c r="B3573" s="1322" t="s">
        <v>9244</v>
      </c>
      <c r="C3573" s="1323" t="s">
        <v>7620</v>
      </c>
      <c r="D3573" s="1324">
        <f t="shared" si="360"/>
        <v>36676</v>
      </c>
      <c r="E3573" s="1323">
        <f t="shared" si="362"/>
        <v>7.0750999999999999</v>
      </c>
      <c r="F3573" s="1323">
        <f t="shared" si="361"/>
        <v>4.9467397211699966</v>
      </c>
      <c r="G3573" s="1323">
        <f t="shared" si="363"/>
        <v>2000</v>
      </c>
      <c r="H3573" s="1323">
        <f t="shared" si="364"/>
        <v>5</v>
      </c>
      <c r="I3573" s="1323">
        <f t="shared" si="365"/>
        <v>30</v>
      </c>
      <c r="J3573" s="1323"/>
      <c r="K3573" s="1323"/>
      <c r="L3573" s="1323"/>
      <c r="M3573" s="1323"/>
      <c r="N3573" s="1323"/>
      <c r="O3573" s="1323"/>
      <c r="P3573" s="1323"/>
      <c r="Q3573" s="1323"/>
      <c r="R3573" s="1304"/>
      <c r="S3573" s="1304"/>
      <c r="T3573" s="1304"/>
    </row>
    <row r="3574" spans="1:20">
      <c r="A3574" s="1303"/>
      <c r="B3574" s="1322" t="s">
        <v>9245</v>
      </c>
      <c r="C3574" s="1323" t="s">
        <v>9246</v>
      </c>
      <c r="D3574" s="1324">
        <f t="shared" si="360"/>
        <v>36675</v>
      </c>
      <c r="E3574" s="1323">
        <f t="shared" si="362"/>
        <v>7.1063000000000001</v>
      </c>
      <c r="F3574" s="1323">
        <f t="shared" si="361"/>
        <v>4.945791213266082</v>
      </c>
      <c r="G3574" s="1323">
        <f t="shared" si="363"/>
        <v>2000</v>
      </c>
      <c r="H3574" s="1323">
        <f t="shared" si="364"/>
        <v>5</v>
      </c>
      <c r="I3574" s="1323">
        <f t="shared" si="365"/>
        <v>29</v>
      </c>
      <c r="J3574" s="1323"/>
      <c r="K3574" s="1323"/>
      <c r="L3574" s="1323"/>
      <c r="M3574" s="1323"/>
      <c r="N3574" s="1323"/>
      <c r="O3574" s="1323"/>
      <c r="P3574" s="1323"/>
      <c r="Q3574" s="1323"/>
      <c r="R3574" s="1304"/>
      <c r="S3574" s="1304"/>
      <c r="T3574" s="1304"/>
    </row>
    <row r="3575" spans="1:20">
      <c r="A3575" s="1303"/>
      <c r="B3575" s="1322" t="s">
        <v>9247</v>
      </c>
      <c r="C3575" s="1323" t="s">
        <v>9248</v>
      </c>
      <c r="D3575" s="1324">
        <f t="shared" si="360"/>
        <v>36672</v>
      </c>
      <c r="E3575" s="1323">
        <f t="shared" si="362"/>
        <v>7.1273</v>
      </c>
      <c r="F3575" s="1323">
        <f t="shared" si="361"/>
        <v>4.9448428872329142</v>
      </c>
      <c r="G3575" s="1323">
        <f t="shared" si="363"/>
        <v>2000</v>
      </c>
      <c r="H3575" s="1323">
        <f t="shared" si="364"/>
        <v>5</v>
      </c>
      <c r="I3575" s="1323">
        <f t="shared" si="365"/>
        <v>26</v>
      </c>
      <c r="J3575" s="1323"/>
      <c r="K3575" s="1323"/>
      <c r="L3575" s="1323"/>
      <c r="M3575" s="1323"/>
      <c r="N3575" s="1323"/>
      <c r="O3575" s="1323"/>
      <c r="P3575" s="1323"/>
      <c r="Q3575" s="1323"/>
      <c r="R3575" s="1304"/>
      <c r="S3575" s="1304"/>
      <c r="T3575" s="1304"/>
    </row>
    <row r="3576" spans="1:20">
      <c r="A3576" s="1303"/>
      <c r="B3576" s="1322" t="s">
        <v>9249</v>
      </c>
      <c r="C3576" s="1323" t="s">
        <v>6089</v>
      </c>
      <c r="D3576" s="1324">
        <f t="shared" si="360"/>
        <v>36671</v>
      </c>
      <c r="E3576" s="1323">
        <f t="shared" si="362"/>
        <v>7.1523000000000003</v>
      </c>
      <c r="F3576" s="1323">
        <f t="shared" si="361"/>
        <v>4.9438947430356199</v>
      </c>
      <c r="G3576" s="1323">
        <f t="shared" si="363"/>
        <v>2000</v>
      </c>
      <c r="H3576" s="1323">
        <f t="shared" si="364"/>
        <v>5</v>
      </c>
      <c r="I3576" s="1323">
        <f t="shared" si="365"/>
        <v>25</v>
      </c>
      <c r="J3576" s="1323"/>
      <c r="K3576" s="1323"/>
      <c r="L3576" s="1323"/>
      <c r="M3576" s="1323"/>
      <c r="N3576" s="1323"/>
      <c r="O3576" s="1323"/>
      <c r="P3576" s="1323"/>
      <c r="Q3576" s="1323"/>
      <c r="R3576" s="1304"/>
      <c r="S3576" s="1304"/>
      <c r="T3576" s="1304"/>
    </row>
    <row r="3577" spans="1:20">
      <c r="A3577" s="1303"/>
      <c r="B3577" s="1322" t="s">
        <v>9250</v>
      </c>
      <c r="C3577" s="1323" t="s">
        <v>9251</v>
      </c>
      <c r="D3577" s="1324">
        <f t="shared" si="360"/>
        <v>36670</v>
      </c>
      <c r="E3577" s="1323">
        <f t="shared" si="362"/>
        <v>7.0937000000000001</v>
      </c>
      <c r="F3577" s="1323">
        <f t="shared" si="361"/>
        <v>4.9429467806393328</v>
      </c>
      <c r="G3577" s="1323">
        <f t="shared" si="363"/>
        <v>2000</v>
      </c>
      <c r="H3577" s="1323">
        <f t="shared" si="364"/>
        <v>5</v>
      </c>
      <c r="I3577" s="1323">
        <f t="shared" si="365"/>
        <v>24</v>
      </c>
      <c r="J3577" s="1323"/>
      <c r="K3577" s="1323"/>
      <c r="L3577" s="1323"/>
      <c r="M3577" s="1323"/>
      <c r="N3577" s="1323"/>
      <c r="O3577" s="1323"/>
      <c r="P3577" s="1323"/>
      <c r="Q3577" s="1323"/>
      <c r="R3577" s="1304"/>
      <c r="S3577" s="1304"/>
      <c r="T3577" s="1304"/>
    </row>
    <row r="3578" spans="1:20">
      <c r="A3578" s="1303"/>
      <c r="B3578" s="1322" t="s">
        <v>9252</v>
      </c>
      <c r="C3578" s="1323" t="s">
        <v>9253</v>
      </c>
      <c r="D3578" s="1324">
        <f t="shared" si="360"/>
        <v>36669</v>
      </c>
      <c r="E3578" s="1323">
        <f t="shared" si="362"/>
        <v>7.0636000000000001</v>
      </c>
      <c r="F3578" s="1323">
        <f t="shared" si="361"/>
        <v>4.9419990000091936</v>
      </c>
      <c r="G3578" s="1323">
        <f t="shared" si="363"/>
        <v>2000</v>
      </c>
      <c r="H3578" s="1323">
        <f t="shared" si="364"/>
        <v>5</v>
      </c>
      <c r="I3578" s="1323">
        <f t="shared" si="365"/>
        <v>23</v>
      </c>
      <c r="J3578" s="1323"/>
      <c r="K3578" s="1323"/>
      <c r="L3578" s="1323"/>
      <c r="M3578" s="1323"/>
      <c r="N3578" s="1323"/>
      <c r="O3578" s="1323"/>
      <c r="P3578" s="1323"/>
      <c r="Q3578" s="1323"/>
      <c r="R3578" s="1304"/>
      <c r="S3578" s="1304"/>
      <c r="T3578" s="1304"/>
    </row>
    <row r="3579" spans="1:20">
      <c r="A3579" s="1303"/>
      <c r="B3579" s="1322" t="s">
        <v>9254</v>
      </c>
      <c r="C3579" s="1323" t="s">
        <v>9255</v>
      </c>
      <c r="D3579" s="1324">
        <f t="shared" si="360"/>
        <v>36668</v>
      </c>
      <c r="E3579" s="1323">
        <f t="shared" si="362"/>
        <v>7.1029999999999998</v>
      </c>
      <c r="F3579" s="1323">
        <f t="shared" si="361"/>
        <v>4.9410514011103501</v>
      </c>
      <c r="G3579" s="1323">
        <f t="shared" si="363"/>
        <v>2000</v>
      </c>
      <c r="H3579" s="1323">
        <f t="shared" si="364"/>
        <v>5</v>
      </c>
      <c r="I3579" s="1323">
        <f t="shared" si="365"/>
        <v>22</v>
      </c>
      <c r="J3579" s="1323"/>
      <c r="K3579" s="1323"/>
      <c r="L3579" s="1323"/>
      <c r="M3579" s="1323"/>
      <c r="N3579" s="1323"/>
      <c r="O3579" s="1323"/>
      <c r="P3579" s="1323"/>
      <c r="Q3579" s="1323"/>
      <c r="R3579" s="1304"/>
      <c r="S3579" s="1304"/>
      <c r="T3579" s="1304"/>
    </row>
    <row r="3580" spans="1:20">
      <c r="A3580" s="1303"/>
      <c r="B3580" s="1322" t="s">
        <v>9256</v>
      </c>
      <c r="C3580" s="1323" t="s">
        <v>9257</v>
      </c>
      <c r="D3580" s="1324">
        <f t="shared" si="360"/>
        <v>36665</v>
      </c>
      <c r="E3580" s="1323">
        <f t="shared" si="362"/>
        <v>7.1759000000000004</v>
      </c>
      <c r="F3580" s="1323">
        <f t="shared" si="361"/>
        <v>4.9401039839079566</v>
      </c>
      <c r="G3580" s="1323">
        <f t="shared" si="363"/>
        <v>2000</v>
      </c>
      <c r="H3580" s="1323">
        <f t="shared" si="364"/>
        <v>5</v>
      </c>
      <c r="I3580" s="1323">
        <f t="shared" si="365"/>
        <v>19</v>
      </c>
      <c r="J3580" s="1323"/>
      <c r="K3580" s="1323"/>
      <c r="L3580" s="1323"/>
      <c r="M3580" s="1323"/>
      <c r="N3580" s="1323"/>
      <c r="O3580" s="1323"/>
      <c r="P3580" s="1323"/>
      <c r="Q3580" s="1323"/>
      <c r="R3580" s="1304"/>
      <c r="S3580" s="1304"/>
      <c r="T3580" s="1304"/>
    </row>
    <row r="3581" spans="1:20">
      <c r="A3581" s="1303"/>
      <c r="B3581" s="1322" t="s">
        <v>9258</v>
      </c>
      <c r="C3581" s="1323" t="s">
        <v>9259</v>
      </c>
      <c r="D3581" s="1324">
        <f t="shared" si="360"/>
        <v>36664</v>
      </c>
      <c r="E3581" s="1323">
        <f t="shared" si="362"/>
        <v>7.1656000000000004</v>
      </c>
      <c r="F3581" s="1323">
        <f t="shared" si="361"/>
        <v>4.9391567483671732</v>
      </c>
      <c r="G3581" s="1323">
        <f t="shared" si="363"/>
        <v>2000</v>
      </c>
      <c r="H3581" s="1323">
        <f t="shared" si="364"/>
        <v>5</v>
      </c>
      <c r="I3581" s="1323">
        <f t="shared" si="365"/>
        <v>18</v>
      </c>
      <c r="J3581" s="1323"/>
      <c r="K3581" s="1323"/>
      <c r="L3581" s="1323"/>
      <c r="M3581" s="1323"/>
      <c r="N3581" s="1323"/>
      <c r="O3581" s="1323"/>
      <c r="P3581" s="1323"/>
      <c r="Q3581" s="1323"/>
      <c r="R3581" s="1304"/>
      <c r="S3581" s="1304"/>
      <c r="T3581" s="1304"/>
    </row>
    <row r="3582" spans="1:20">
      <c r="A3582" s="1303"/>
      <c r="B3582" s="1322" t="s">
        <v>9260</v>
      </c>
      <c r="C3582" s="1323" t="s">
        <v>9261</v>
      </c>
      <c r="D3582" s="1324">
        <f t="shared" si="360"/>
        <v>36663</v>
      </c>
      <c r="E3582" s="1323">
        <f t="shared" si="362"/>
        <v>7.0770999999999997</v>
      </c>
      <c r="F3582" s="1323">
        <f t="shared" si="361"/>
        <v>4.9382096944531684</v>
      </c>
      <c r="G3582" s="1323">
        <f t="shared" si="363"/>
        <v>2000</v>
      </c>
      <c r="H3582" s="1323">
        <f t="shared" si="364"/>
        <v>5</v>
      </c>
      <c r="I3582" s="1323">
        <f t="shared" si="365"/>
        <v>17</v>
      </c>
      <c r="J3582" s="1323"/>
      <c r="K3582" s="1323"/>
      <c r="L3582" s="1323"/>
      <c r="M3582" s="1323"/>
      <c r="N3582" s="1323"/>
      <c r="O3582" s="1323"/>
      <c r="P3582" s="1323"/>
      <c r="Q3582" s="1323"/>
      <c r="R3582" s="1304"/>
      <c r="S3582" s="1304"/>
      <c r="T3582" s="1304"/>
    </row>
    <row r="3583" spans="1:20">
      <c r="A3583" s="1303"/>
      <c r="B3583" s="1322" t="s">
        <v>9262</v>
      </c>
      <c r="C3583" s="1323" t="s">
        <v>9263</v>
      </c>
      <c r="D3583" s="1324">
        <f t="shared" si="360"/>
        <v>36662</v>
      </c>
      <c r="E3583" s="1323">
        <f t="shared" si="362"/>
        <v>7.0377999999999998</v>
      </c>
      <c r="F3583" s="1323">
        <f t="shared" si="361"/>
        <v>4.9372628221311157</v>
      </c>
      <c r="G3583" s="1323">
        <f t="shared" si="363"/>
        <v>2000</v>
      </c>
      <c r="H3583" s="1323">
        <f t="shared" si="364"/>
        <v>5</v>
      </c>
      <c r="I3583" s="1323">
        <f t="shared" si="365"/>
        <v>16</v>
      </c>
      <c r="J3583" s="1323"/>
      <c r="K3583" s="1323"/>
      <c r="L3583" s="1323"/>
      <c r="M3583" s="1323"/>
      <c r="N3583" s="1323"/>
      <c r="O3583" s="1323"/>
      <c r="P3583" s="1323"/>
      <c r="Q3583" s="1323"/>
      <c r="R3583" s="1304"/>
      <c r="S3583" s="1304"/>
      <c r="T3583" s="1304"/>
    </row>
    <row r="3584" spans="1:20">
      <c r="A3584" s="1303"/>
      <c r="B3584" s="1322" t="s">
        <v>9264</v>
      </c>
      <c r="C3584" s="1323" t="s">
        <v>5913</v>
      </c>
      <c r="D3584" s="1324">
        <f t="shared" si="360"/>
        <v>36661</v>
      </c>
      <c r="E3584" s="1323">
        <f t="shared" si="362"/>
        <v>6.9962</v>
      </c>
      <c r="F3584" s="1323">
        <f t="shared" si="361"/>
        <v>4.9363161313661958</v>
      </c>
      <c r="G3584" s="1323">
        <f t="shared" si="363"/>
        <v>2000</v>
      </c>
      <c r="H3584" s="1323">
        <f t="shared" si="364"/>
        <v>5</v>
      </c>
      <c r="I3584" s="1323">
        <f t="shared" si="365"/>
        <v>15</v>
      </c>
      <c r="J3584" s="1323"/>
      <c r="K3584" s="1323"/>
      <c r="L3584" s="1323"/>
      <c r="M3584" s="1323"/>
      <c r="N3584" s="1323"/>
      <c r="O3584" s="1323"/>
      <c r="P3584" s="1323"/>
      <c r="Q3584" s="1323"/>
      <c r="R3584" s="1304"/>
      <c r="S3584" s="1304"/>
      <c r="T3584" s="1304"/>
    </row>
    <row r="3585" spans="1:20">
      <c r="A3585" s="1303"/>
      <c r="B3585" s="1322" t="s">
        <v>9265</v>
      </c>
      <c r="C3585" s="1323" t="s">
        <v>9266</v>
      </c>
      <c r="D3585" s="1324">
        <f t="shared" si="360"/>
        <v>36658</v>
      </c>
      <c r="E3585" s="1323">
        <f t="shared" si="362"/>
        <v>7.0167999999999999</v>
      </c>
      <c r="F3585" s="1323">
        <f t="shared" si="361"/>
        <v>4.9353696221235968</v>
      </c>
      <c r="G3585" s="1323">
        <f t="shared" si="363"/>
        <v>2000</v>
      </c>
      <c r="H3585" s="1323">
        <f t="shared" si="364"/>
        <v>5</v>
      </c>
      <c r="I3585" s="1323">
        <f t="shared" si="365"/>
        <v>12</v>
      </c>
      <c r="J3585" s="1323"/>
      <c r="K3585" s="1323"/>
      <c r="L3585" s="1323"/>
      <c r="M3585" s="1323"/>
      <c r="N3585" s="1323"/>
      <c r="O3585" s="1323"/>
      <c r="P3585" s="1323"/>
      <c r="Q3585" s="1323"/>
      <c r="R3585" s="1304"/>
      <c r="S3585" s="1304"/>
      <c r="T3585" s="1304"/>
    </row>
    <row r="3586" spans="1:20">
      <c r="A3586" s="1303"/>
      <c r="B3586" s="1322" t="s">
        <v>9267</v>
      </c>
      <c r="C3586" s="1323" t="s">
        <v>9268</v>
      </c>
      <c r="D3586" s="1324">
        <f t="shared" si="360"/>
        <v>36657</v>
      </c>
      <c r="E3586" s="1323">
        <f t="shared" si="362"/>
        <v>6.9668999999999999</v>
      </c>
      <c r="F3586" s="1323">
        <f t="shared" si="361"/>
        <v>4.9344232943685125</v>
      </c>
      <c r="G3586" s="1323">
        <f t="shared" si="363"/>
        <v>2000</v>
      </c>
      <c r="H3586" s="1323">
        <f t="shared" si="364"/>
        <v>5</v>
      </c>
      <c r="I3586" s="1323">
        <f t="shared" si="365"/>
        <v>11</v>
      </c>
      <c r="J3586" s="1323"/>
      <c r="K3586" s="1323"/>
      <c r="L3586" s="1323"/>
      <c r="M3586" s="1323"/>
      <c r="N3586" s="1323"/>
      <c r="O3586" s="1323"/>
      <c r="P3586" s="1323"/>
      <c r="Q3586" s="1323"/>
      <c r="R3586" s="1304"/>
      <c r="S3586" s="1304"/>
      <c r="T3586" s="1304"/>
    </row>
    <row r="3587" spans="1:20">
      <c r="A3587" s="1303"/>
      <c r="B3587" s="1322" t="s">
        <v>9269</v>
      </c>
      <c r="C3587" s="1323" t="s">
        <v>9270</v>
      </c>
      <c r="D3587" s="1324">
        <f t="shared" si="360"/>
        <v>36656</v>
      </c>
      <c r="E3587" s="1323">
        <f t="shared" si="362"/>
        <v>7.0476999999999999</v>
      </c>
      <c r="F3587" s="1323">
        <f t="shared" si="361"/>
        <v>4.9334771480661432</v>
      </c>
      <c r="G3587" s="1323">
        <f t="shared" si="363"/>
        <v>2000</v>
      </c>
      <c r="H3587" s="1323">
        <f t="shared" si="364"/>
        <v>5</v>
      </c>
      <c r="I3587" s="1323">
        <f t="shared" si="365"/>
        <v>10</v>
      </c>
      <c r="J3587" s="1323"/>
      <c r="K3587" s="1323"/>
      <c r="L3587" s="1323"/>
      <c r="M3587" s="1323"/>
      <c r="N3587" s="1323"/>
      <c r="O3587" s="1323"/>
      <c r="P3587" s="1323"/>
      <c r="Q3587" s="1323"/>
      <c r="R3587" s="1304"/>
      <c r="S3587" s="1304"/>
      <c r="T3587" s="1304"/>
    </row>
    <row r="3588" spans="1:20">
      <c r="A3588" s="1303"/>
      <c r="B3588" s="1322" t="s">
        <v>9271</v>
      </c>
      <c r="C3588" s="1323" t="s">
        <v>9272</v>
      </c>
      <c r="D3588" s="1324">
        <f t="shared" si="360"/>
        <v>36655</v>
      </c>
      <c r="E3588" s="1323">
        <f t="shared" si="362"/>
        <v>6.9859</v>
      </c>
      <c r="F3588" s="1323">
        <f t="shared" si="361"/>
        <v>4.9325311831816974</v>
      </c>
      <c r="G3588" s="1323">
        <f t="shared" si="363"/>
        <v>2000</v>
      </c>
      <c r="H3588" s="1323">
        <f t="shared" si="364"/>
        <v>5</v>
      </c>
      <c r="I3588" s="1323">
        <f t="shared" si="365"/>
        <v>9</v>
      </c>
      <c r="J3588" s="1323"/>
      <c r="K3588" s="1323"/>
      <c r="L3588" s="1323"/>
      <c r="M3588" s="1323"/>
      <c r="N3588" s="1323"/>
      <c r="O3588" s="1323"/>
      <c r="P3588" s="1323"/>
      <c r="Q3588" s="1323"/>
      <c r="R3588" s="1304"/>
      <c r="S3588" s="1304"/>
      <c r="T3588" s="1304"/>
    </row>
    <row r="3589" spans="1:20">
      <c r="A3589" s="1303"/>
      <c r="B3589" s="1322" t="s">
        <v>9273</v>
      </c>
      <c r="C3589" s="1323" t="s">
        <v>9274</v>
      </c>
      <c r="D3589" s="1324">
        <f t="shared" si="360"/>
        <v>36654</v>
      </c>
      <c r="E3589" s="1323">
        <f t="shared" si="362"/>
        <v>6.9364999999999997</v>
      </c>
      <c r="F3589" s="1323">
        <f t="shared" si="361"/>
        <v>4.9315853996803884</v>
      </c>
      <c r="G3589" s="1323">
        <f t="shared" si="363"/>
        <v>2000</v>
      </c>
      <c r="H3589" s="1323">
        <f t="shared" si="364"/>
        <v>5</v>
      </c>
      <c r="I3589" s="1323">
        <f t="shared" si="365"/>
        <v>8</v>
      </c>
      <c r="J3589" s="1323"/>
      <c r="K3589" s="1323"/>
      <c r="L3589" s="1323"/>
      <c r="M3589" s="1323"/>
      <c r="N3589" s="1323"/>
      <c r="O3589" s="1323"/>
      <c r="P3589" s="1323"/>
      <c r="Q3589" s="1323"/>
      <c r="R3589" s="1304"/>
      <c r="S3589" s="1304"/>
      <c r="T3589" s="1304"/>
    </row>
    <row r="3590" spans="1:20">
      <c r="A3590" s="1303"/>
      <c r="B3590" s="1322" t="s">
        <v>9275</v>
      </c>
      <c r="C3590" s="1323" t="s">
        <v>9276</v>
      </c>
      <c r="D3590" s="1324">
        <f t="shared" si="360"/>
        <v>36651</v>
      </c>
      <c r="E3590" s="1323">
        <f t="shared" si="362"/>
        <v>7.0004</v>
      </c>
      <c r="F3590" s="1323">
        <f t="shared" si="361"/>
        <v>4.9306397975274381</v>
      </c>
      <c r="G3590" s="1323">
        <f t="shared" si="363"/>
        <v>2000</v>
      </c>
      <c r="H3590" s="1323">
        <f t="shared" si="364"/>
        <v>5</v>
      </c>
      <c r="I3590" s="1323">
        <f t="shared" si="365"/>
        <v>5</v>
      </c>
      <c r="J3590" s="1323"/>
      <c r="K3590" s="1323"/>
      <c r="L3590" s="1323"/>
      <c r="M3590" s="1323"/>
      <c r="N3590" s="1323"/>
      <c r="O3590" s="1323"/>
      <c r="P3590" s="1323"/>
      <c r="Q3590" s="1323"/>
      <c r="R3590" s="1304"/>
      <c r="S3590" s="1304"/>
      <c r="T3590" s="1304"/>
    </row>
    <row r="3591" spans="1:20">
      <c r="A3591" s="1303"/>
      <c r="B3591" s="1322" t="s">
        <v>9277</v>
      </c>
      <c r="C3591" s="1323" t="s">
        <v>9278</v>
      </c>
      <c r="D3591" s="1324">
        <f t="shared" si="360"/>
        <v>36650</v>
      </c>
      <c r="E3591" s="1323">
        <f t="shared" si="362"/>
        <v>6.8415999999999997</v>
      </c>
      <c r="F3591" s="1323">
        <f t="shared" si="361"/>
        <v>4.9296943766880732</v>
      </c>
      <c r="G3591" s="1323">
        <f t="shared" si="363"/>
        <v>2000</v>
      </c>
      <c r="H3591" s="1323">
        <f t="shared" si="364"/>
        <v>5</v>
      </c>
      <c r="I3591" s="1323">
        <f t="shared" si="365"/>
        <v>4</v>
      </c>
      <c r="J3591" s="1323"/>
      <c r="K3591" s="1323"/>
      <c r="L3591" s="1323"/>
      <c r="M3591" s="1323"/>
      <c r="N3591" s="1323"/>
      <c r="O3591" s="1323"/>
      <c r="P3591" s="1323"/>
      <c r="Q3591" s="1323"/>
      <c r="R3591" s="1304"/>
      <c r="S3591" s="1304"/>
      <c r="T3591" s="1304"/>
    </row>
    <row r="3592" spans="1:20">
      <c r="A3592" s="1303"/>
      <c r="B3592" s="1322" t="s">
        <v>9279</v>
      </c>
      <c r="C3592" s="1323" t="s">
        <v>9280</v>
      </c>
      <c r="D3592" s="1324">
        <f t="shared" si="360"/>
        <v>36649</v>
      </c>
      <c r="E3592" s="1323">
        <f t="shared" si="362"/>
        <v>6.7892999999999999</v>
      </c>
      <c r="F3592" s="1323">
        <f t="shared" si="361"/>
        <v>4.9287491371275278</v>
      </c>
      <c r="G3592" s="1323">
        <f t="shared" si="363"/>
        <v>2000</v>
      </c>
      <c r="H3592" s="1323">
        <f t="shared" si="364"/>
        <v>5</v>
      </c>
      <c r="I3592" s="1323">
        <f t="shared" si="365"/>
        <v>3</v>
      </c>
      <c r="J3592" s="1323"/>
      <c r="K3592" s="1323"/>
      <c r="L3592" s="1323"/>
      <c r="M3592" s="1323"/>
      <c r="N3592" s="1323"/>
      <c r="O3592" s="1323"/>
      <c r="P3592" s="1323"/>
      <c r="Q3592" s="1323"/>
      <c r="R3592" s="1304"/>
      <c r="S3592" s="1304"/>
      <c r="T3592" s="1304"/>
    </row>
    <row r="3593" spans="1:20">
      <c r="A3593" s="1303"/>
      <c r="B3593" s="1322" t="s">
        <v>9281</v>
      </c>
      <c r="C3593" s="1323" t="s">
        <v>9282</v>
      </c>
      <c r="D3593" s="1324">
        <f t="shared" ref="D3593:D3656" si="366">DATE(G3593,H3593,I3593)</f>
        <v>36648</v>
      </c>
      <c r="E3593" s="1323">
        <f t="shared" si="362"/>
        <v>6.7462999999999997</v>
      </c>
      <c r="F3593" s="1323">
        <f t="shared" ref="F3593:F3656" si="367">F3594*(1+$F$7/365)</f>
        <v>4.9278040788110431</v>
      </c>
      <c r="G3593" s="1323">
        <f t="shared" si="363"/>
        <v>2000</v>
      </c>
      <c r="H3593" s="1323">
        <f t="shared" si="364"/>
        <v>5</v>
      </c>
      <c r="I3593" s="1323">
        <f t="shared" si="365"/>
        <v>2</v>
      </c>
      <c r="J3593" s="1323"/>
      <c r="K3593" s="1323"/>
      <c r="L3593" s="1323"/>
      <c r="M3593" s="1323"/>
      <c r="N3593" s="1323"/>
      <c r="O3593" s="1323"/>
      <c r="P3593" s="1323"/>
      <c r="Q3593" s="1323"/>
      <c r="R3593" s="1304"/>
      <c r="S3593" s="1304"/>
      <c r="T3593" s="1304"/>
    </row>
    <row r="3594" spans="1:20">
      <c r="A3594" s="1303"/>
      <c r="B3594" s="1322" t="s">
        <v>9283</v>
      </c>
      <c r="C3594" s="1323" t="s">
        <v>9284</v>
      </c>
      <c r="D3594" s="1324">
        <f t="shared" si="366"/>
        <v>36644</v>
      </c>
      <c r="E3594" s="1323">
        <f t="shared" si="362"/>
        <v>6.8231000000000002</v>
      </c>
      <c r="F3594" s="1323">
        <f t="shared" si="367"/>
        <v>4.9268592017038673</v>
      </c>
      <c r="G3594" s="1323">
        <f t="shared" si="363"/>
        <v>2000</v>
      </c>
      <c r="H3594" s="1323">
        <f t="shared" si="364"/>
        <v>4</v>
      </c>
      <c r="I3594" s="1323">
        <f t="shared" si="365"/>
        <v>28</v>
      </c>
      <c r="J3594" s="1323"/>
      <c r="K3594" s="1323"/>
      <c r="L3594" s="1323"/>
      <c r="M3594" s="1323"/>
      <c r="N3594" s="1323"/>
      <c r="O3594" s="1323"/>
      <c r="P3594" s="1323"/>
      <c r="Q3594" s="1323"/>
      <c r="R3594" s="1304"/>
      <c r="S3594" s="1304"/>
      <c r="T3594" s="1304"/>
    </row>
    <row r="3595" spans="1:20">
      <c r="A3595" s="1303"/>
      <c r="B3595" s="1322" t="s">
        <v>9285</v>
      </c>
      <c r="C3595" s="1323" t="s">
        <v>9286</v>
      </c>
      <c r="D3595" s="1324">
        <f t="shared" si="366"/>
        <v>36642</v>
      </c>
      <c r="E3595" s="1323">
        <f t="shared" si="362"/>
        <v>6.7248999999999999</v>
      </c>
      <c r="F3595" s="1323">
        <f t="shared" si="367"/>
        <v>4.925914505771253</v>
      </c>
      <c r="G3595" s="1323">
        <f t="shared" si="363"/>
        <v>2000</v>
      </c>
      <c r="H3595" s="1323">
        <f t="shared" si="364"/>
        <v>4</v>
      </c>
      <c r="I3595" s="1323">
        <f t="shared" si="365"/>
        <v>26</v>
      </c>
      <c r="J3595" s="1323"/>
      <c r="K3595" s="1323"/>
      <c r="L3595" s="1323"/>
      <c r="M3595" s="1323"/>
      <c r="N3595" s="1323"/>
      <c r="O3595" s="1323"/>
      <c r="P3595" s="1323"/>
      <c r="Q3595" s="1323"/>
      <c r="R3595" s="1304"/>
      <c r="S3595" s="1304"/>
      <c r="T3595" s="1304"/>
    </row>
    <row r="3596" spans="1:20">
      <c r="A3596" s="1303"/>
      <c r="B3596" s="1322" t="s">
        <v>9287</v>
      </c>
      <c r="C3596" s="1323" t="s">
        <v>5672</v>
      </c>
      <c r="D3596" s="1324">
        <f t="shared" si="366"/>
        <v>36641</v>
      </c>
      <c r="E3596" s="1323">
        <f t="shared" si="362"/>
        <v>6.7375999999999996</v>
      </c>
      <c r="F3596" s="1323">
        <f t="shared" si="367"/>
        <v>4.9249699909784628</v>
      </c>
      <c r="G3596" s="1323">
        <f t="shared" si="363"/>
        <v>2000</v>
      </c>
      <c r="H3596" s="1323">
        <f t="shared" si="364"/>
        <v>4</v>
      </c>
      <c r="I3596" s="1323">
        <f t="shared" si="365"/>
        <v>25</v>
      </c>
      <c r="J3596" s="1323"/>
      <c r="K3596" s="1323"/>
      <c r="L3596" s="1323"/>
      <c r="M3596" s="1323"/>
      <c r="N3596" s="1323"/>
      <c r="O3596" s="1323"/>
      <c r="P3596" s="1323"/>
      <c r="Q3596" s="1323"/>
      <c r="R3596" s="1304"/>
      <c r="S3596" s="1304"/>
      <c r="T3596" s="1304"/>
    </row>
    <row r="3597" spans="1:20">
      <c r="A3597" s="1303"/>
      <c r="B3597" s="1322" t="s">
        <v>9288</v>
      </c>
      <c r="C3597" s="1323" t="s">
        <v>9289</v>
      </c>
      <c r="D3597" s="1324">
        <f t="shared" si="366"/>
        <v>36636</v>
      </c>
      <c r="E3597" s="1323">
        <f t="shared" si="362"/>
        <v>6.6394000000000002</v>
      </c>
      <c r="F3597" s="1323">
        <f t="shared" si="367"/>
        <v>4.9240256572907626</v>
      </c>
      <c r="G3597" s="1323">
        <f t="shared" si="363"/>
        <v>2000</v>
      </c>
      <c r="H3597" s="1323">
        <f t="shared" si="364"/>
        <v>4</v>
      </c>
      <c r="I3597" s="1323">
        <f t="shared" si="365"/>
        <v>20</v>
      </c>
      <c r="J3597" s="1323"/>
      <c r="K3597" s="1323"/>
      <c r="L3597" s="1323"/>
      <c r="M3597" s="1323"/>
      <c r="N3597" s="1323"/>
      <c r="O3597" s="1323"/>
      <c r="P3597" s="1323"/>
      <c r="Q3597" s="1323"/>
      <c r="R3597" s="1304"/>
      <c r="S3597" s="1304"/>
      <c r="T3597" s="1304"/>
    </row>
    <row r="3598" spans="1:20">
      <c r="A3598" s="1303"/>
      <c r="B3598" s="1322" t="s">
        <v>9290</v>
      </c>
      <c r="C3598" s="1323" t="s">
        <v>9291</v>
      </c>
      <c r="D3598" s="1324">
        <f t="shared" si="366"/>
        <v>36635</v>
      </c>
      <c r="E3598" s="1323">
        <f t="shared" si="362"/>
        <v>6.6139999999999999</v>
      </c>
      <c r="F3598" s="1323">
        <f t="shared" si="367"/>
        <v>4.9230815046734282</v>
      </c>
      <c r="G3598" s="1323">
        <f t="shared" si="363"/>
        <v>2000</v>
      </c>
      <c r="H3598" s="1323">
        <f t="shared" si="364"/>
        <v>4</v>
      </c>
      <c r="I3598" s="1323">
        <f t="shared" si="365"/>
        <v>19</v>
      </c>
      <c r="J3598" s="1323"/>
      <c r="K3598" s="1323"/>
      <c r="L3598" s="1323"/>
      <c r="M3598" s="1323"/>
      <c r="N3598" s="1323"/>
      <c r="O3598" s="1323"/>
      <c r="P3598" s="1323"/>
      <c r="Q3598" s="1323"/>
      <c r="R3598" s="1304"/>
      <c r="S3598" s="1304"/>
      <c r="T3598" s="1304"/>
    </row>
    <row r="3599" spans="1:20">
      <c r="A3599" s="1303"/>
      <c r="B3599" s="1322" t="s">
        <v>9292</v>
      </c>
      <c r="C3599" s="1323" t="s">
        <v>9293</v>
      </c>
      <c r="D3599" s="1324">
        <f t="shared" si="366"/>
        <v>36634</v>
      </c>
      <c r="E3599" s="1323">
        <f t="shared" si="362"/>
        <v>6.6044</v>
      </c>
      <c r="F3599" s="1323">
        <f t="shared" si="367"/>
        <v>4.922137533091739</v>
      </c>
      <c r="G3599" s="1323">
        <f t="shared" si="363"/>
        <v>2000</v>
      </c>
      <c r="H3599" s="1323">
        <f t="shared" si="364"/>
        <v>4</v>
      </c>
      <c r="I3599" s="1323">
        <f t="shared" si="365"/>
        <v>18</v>
      </c>
      <c r="J3599" s="1323"/>
      <c r="K3599" s="1323"/>
      <c r="L3599" s="1323"/>
      <c r="M3599" s="1323"/>
      <c r="N3599" s="1323"/>
      <c r="O3599" s="1323"/>
      <c r="P3599" s="1323"/>
      <c r="Q3599" s="1323"/>
      <c r="R3599" s="1304"/>
      <c r="S3599" s="1304"/>
      <c r="T3599" s="1304"/>
    </row>
    <row r="3600" spans="1:20">
      <c r="A3600" s="1303"/>
      <c r="B3600" s="1322" t="s">
        <v>9294</v>
      </c>
      <c r="C3600" s="1323" t="s">
        <v>9295</v>
      </c>
      <c r="D3600" s="1324">
        <f t="shared" si="366"/>
        <v>36633</v>
      </c>
      <c r="E3600" s="1323">
        <f t="shared" si="362"/>
        <v>6.6288999999999998</v>
      </c>
      <c r="F3600" s="1323">
        <f t="shared" si="367"/>
        <v>4.9211937425109831</v>
      </c>
      <c r="G3600" s="1323">
        <f t="shared" si="363"/>
        <v>2000</v>
      </c>
      <c r="H3600" s="1323">
        <f t="shared" si="364"/>
        <v>4</v>
      </c>
      <c r="I3600" s="1323">
        <f t="shared" si="365"/>
        <v>17</v>
      </c>
      <c r="J3600" s="1323"/>
      <c r="K3600" s="1323"/>
      <c r="L3600" s="1323"/>
      <c r="M3600" s="1323"/>
      <c r="N3600" s="1323"/>
      <c r="O3600" s="1323"/>
      <c r="P3600" s="1323"/>
      <c r="Q3600" s="1323"/>
      <c r="R3600" s="1304"/>
      <c r="S3600" s="1304"/>
      <c r="T3600" s="1304"/>
    </row>
    <row r="3601" spans="1:20">
      <c r="A3601" s="1303"/>
      <c r="B3601" s="1322" t="s">
        <v>9296</v>
      </c>
      <c r="C3601" s="1323" t="s">
        <v>9297</v>
      </c>
      <c r="D3601" s="1324">
        <f t="shared" si="366"/>
        <v>36630</v>
      </c>
      <c r="E3601" s="1323">
        <f t="shared" si="362"/>
        <v>6.5529000000000002</v>
      </c>
      <c r="F3601" s="1323">
        <f t="shared" si="367"/>
        <v>4.920250132896455</v>
      </c>
      <c r="G3601" s="1323">
        <f t="shared" si="363"/>
        <v>2000</v>
      </c>
      <c r="H3601" s="1323">
        <f t="shared" si="364"/>
        <v>4</v>
      </c>
      <c r="I3601" s="1323">
        <f t="shared" si="365"/>
        <v>14</v>
      </c>
      <c r="J3601" s="1323"/>
      <c r="K3601" s="1323"/>
      <c r="L3601" s="1323"/>
      <c r="M3601" s="1323"/>
      <c r="N3601" s="1323"/>
      <c r="O3601" s="1323"/>
      <c r="P3601" s="1323"/>
      <c r="Q3601" s="1323"/>
      <c r="R3601" s="1304"/>
      <c r="S3601" s="1304"/>
      <c r="T3601" s="1304"/>
    </row>
    <row r="3602" spans="1:20">
      <c r="A3602" s="1303"/>
      <c r="B3602" s="1322" t="s">
        <v>9298</v>
      </c>
      <c r="C3602" s="1323" t="s">
        <v>9299</v>
      </c>
      <c r="D3602" s="1324">
        <f t="shared" si="366"/>
        <v>36629</v>
      </c>
      <c r="E3602" s="1323">
        <f t="shared" si="362"/>
        <v>6.5922000000000001</v>
      </c>
      <c r="F3602" s="1323">
        <f t="shared" si="367"/>
        <v>4.9193067042134553</v>
      </c>
      <c r="G3602" s="1323">
        <f t="shared" si="363"/>
        <v>2000</v>
      </c>
      <c r="H3602" s="1323">
        <f t="shared" si="364"/>
        <v>4</v>
      </c>
      <c r="I3602" s="1323">
        <f t="shared" si="365"/>
        <v>13</v>
      </c>
      <c r="J3602" s="1323"/>
      <c r="K3602" s="1323"/>
      <c r="L3602" s="1323"/>
      <c r="M3602" s="1323"/>
      <c r="N3602" s="1323"/>
      <c r="O3602" s="1323"/>
      <c r="P3602" s="1323"/>
      <c r="Q3602" s="1323"/>
      <c r="R3602" s="1304"/>
      <c r="S3602" s="1304"/>
      <c r="T3602" s="1304"/>
    </row>
    <row r="3603" spans="1:20">
      <c r="A3603" s="1303"/>
      <c r="B3603" s="1322" t="s">
        <v>9300</v>
      </c>
      <c r="C3603" s="1323" t="s">
        <v>9301</v>
      </c>
      <c r="D3603" s="1324">
        <f t="shared" si="366"/>
        <v>36628</v>
      </c>
      <c r="E3603" s="1323">
        <f t="shared" si="362"/>
        <v>6.5658000000000003</v>
      </c>
      <c r="F3603" s="1323">
        <f t="shared" si="367"/>
        <v>4.9183634564272909</v>
      </c>
      <c r="G3603" s="1323">
        <f t="shared" si="363"/>
        <v>2000</v>
      </c>
      <c r="H3603" s="1323">
        <f t="shared" si="364"/>
        <v>4</v>
      </c>
      <c r="I3603" s="1323">
        <f t="shared" si="365"/>
        <v>12</v>
      </c>
      <c r="J3603" s="1323"/>
      <c r="K3603" s="1323"/>
      <c r="L3603" s="1323"/>
      <c r="M3603" s="1323"/>
      <c r="N3603" s="1323"/>
      <c r="O3603" s="1323"/>
      <c r="P3603" s="1323"/>
      <c r="Q3603" s="1323"/>
      <c r="R3603" s="1304"/>
      <c r="S3603" s="1304"/>
      <c r="T3603" s="1304"/>
    </row>
    <row r="3604" spans="1:20">
      <c r="A3604" s="1303"/>
      <c r="B3604" s="1322" t="s">
        <v>9302</v>
      </c>
      <c r="C3604" s="1323" t="s">
        <v>9303</v>
      </c>
      <c r="D3604" s="1324">
        <f t="shared" si="366"/>
        <v>36627</v>
      </c>
      <c r="E3604" s="1323">
        <f t="shared" si="362"/>
        <v>6.5895999999999999</v>
      </c>
      <c r="F3604" s="1323">
        <f t="shared" si="367"/>
        <v>4.9174203895032766</v>
      </c>
      <c r="G3604" s="1323">
        <f t="shared" si="363"/>
        <v>2000</v>
      </c>
      <c r="H3604" s="1323">
        <f t="shared" si="364"/>
        <v>4</v>
      </c>
      <c r="I3604" s="1323">
        <f t="shared" si="365"/>
        <v>11</v>
      </c>
      <c r="J3604" s="1323"/>
      <c r="K3604" s="1323"/>
      <c r="L3604" s="1323"/>
      <c r="M3604" s="1323"/>
      <c r="N3604" s="1323"/>
      <c r="O3604" s="1323"/>
      <c r="P3604" s="1323"/>
      <c r="Q3604" s="1323"/>
      <c r="R3604" s="1304"/>
      <c r="S3604" s="1304"/>
      <c r="T3604" s="1304"/>
    </row>
    <row r="3605" spans="1:20">
      <c r="A3605" s="1303"/>
      <c r="B3605" s="1322" t="s">
        <v>9304</v>
      </c>
      <c r="C3605" s="1323" t="s">
        <v>9305</v>
      </c>
      <c r="D3605" s="1324">
        <f t="shared" si="366"/>
        <v>36626</v>
      </c>
      <c r="E3605" s="1323">
        <f t="shared" si="362"/>
        <v>6.5393999999999997</v>
      </c>
      <c r="F3605" s="1323">
        <f t="shared" si="367"/>
        <v>4.9164775034067327</v>
      </c>
      <c r="G3605" s="1323">
        <f t="shared" si="363"/>
        <v>2000</v>
      </c>
      <c r="H3605" s="1323">
        <f t="shared" si="364"/>
        <v>4</v>
      </c>
      <c r="I3605" s="1323">
        <f t="shared" si="365"/>
        <v>10</v>
      </c>
      <c r="J3605" s="1323"/>
      <c r="K3605" s="1323"/>
      <c r="L3605" s="1323"/>
      <c r="M3605" s="1323"/>
      <c r="N3605" s="1323"/>
      <c r="O3605" s="1323"/>
      <c r="P3605" s="1323"/>
      <c r="Q3605" s="1323"/>
      <c r="R3605" s="1304"/>
      <c r="S3605" s="1304"/>
      <c r="T3605" s="1304"/>
    </row>
    <row r="3606" spans="1:20">
      <c r="A3606" s="1303"/>
      <c r="B3606" s="1322" t="s">
        <v>9306</v>
      </c>
      <c r="C3606" s="1323" t="s">
        <v>9307</v>
      </c>
      <c r="D3606" s="1324">
        <f t="shared" si="366"/>
        <v>36623</v>
      </c>
      <c r="E3606" s="1323">
        <f t="shared" ref="E3606:E3669" si="368">VALUE(C3607)</f>
        <v>6.5743999999999998</v>
      </c>
      <c r="F3606" s="1323">
        <f t="shared" si="367"/>
        <v>4.9155347981029864</v>
      </c>
      <c r="G3606" s="1323">
        <f t="shared" ref="G3606:G3669" si="369">YEAR(B3607)</f>
        <v>2000</v>
      </c>
      <c r="H3606" s="1323">
        <f t="shared" ref="H3606:H3669" si="370">MONTH(B3607)</f>
        <v>4</v>
      </c>
      <c r="I3606" s="1323">
        <f t="shared" ref="I3606:I3669" si="371">DAY(B3607)</f>
        <v>7</v>
      </c>
      <c r="J3606" s="1323"/>
      <c r="K3606" s="1323"/>
      <c r="L3606" s="1323"/>
      <c r="M3606" s="1323"/>
      <c r="N3606" s="1323"/>
      <c r="O3606" s="1323"/>
      <c r="P3606" s="1323"/>
      <c r="Q3606" s="1323"/>
      <c r="R3606" s="1304"/>
      <c r="S3606" s="1304"/>
      <c r="T3606" s="1304"/>
    </row>
    <row r="3607" spans="1:20">
      <c r="A3607" s="1303"/>
      <c r="B3607" s="1322" t="s">
        <v>9308</v>
      </c>
      <c r="C3607" s="1323" t="s">
        <v>9309</v>
      </c>
      <c r="D3607" s="1324">
        <f t="shared" si="366"/>
        <v>36622</v>
      </c>
      <c r="E3607" s="1323">
        <f t="shared" si="368"/>
        <v>6.5883000000000003</v>
      </c>
      <c r="F3607" s="1323">
        <f t="shared" si="367"/>
        <v>4.9145922735573722</v>
      </c>
      <c r="G3607" s="1323">
        <f t="shared" si="369"/>
        <v>2000</v>
      </c>
      <c r="H3607" s="1323">
        <f t="shared" si="370"/>
        <v>4</v>
      </c>
      <c r="I3607" s="1323">
        <f t="shared" si="371"/>
        <v>6</v>
      </c>
      <c r="J3607" s="1323"/>
      <c r="K3607" s="1323"/>
      <c r="L3607" s="1323"/>
      <c r="M3607" s="1323"/>
      <c r="N3607" s="1323"/>
      <c r="O3607" s="1323"/>
      <c r="P3607" s="1323"/>
      <c r="Q3607" s="1323"/>
      <c r="R3607" s="1304"/>
      <c r="S3607" s="1304"/>
      <c r="T3607" s="1304"/>
    </row>
    <row r="3608" spans="1:20">
      <c r="A3608" s="1303"/>
      <c r="B3608" s="1322" t="s">
        <v>9310</v>
      </c>
      <c r="C3608" s="1323" t="s">
        <v>9311</v>
      </c>
      <c r="D3608" s="1324">
        <f t="shared" si="366"/>
        <v>36621</v>
      </c>
      <c r="E3608" s="1323">
        <f t="shared" si="368"/>
        <v>6.5514000000000001</v>
      </c>
      <c r="F3608" s="1323">
        <f t="shared" si="367"/>
        <v>4.9136499297352314</v>
      </c>
      <c r="G3608" s="1323">
        <f t="shared" si="369"/>
        <v>2000</v>
      </c>
      <c r="H3608" s="1323">
        <f t="shared" si="370"/>
        <v>4</v>
      </c>
      <c r="I3608" s="1323">
        <f t="shared" si="371"/>
        <v>5</v>
      </c>
      <c r="J3608" s="1323"/>
      <c r="K3608" s="1323"/>
      <c r="L3608" s="1323"/>
      <c r="M3608" s="1323"/>
      <c r="N3608" s="1323"/>
      <c r="O3608" s="1323"/>
      <c r="P3608" s="1323"/>
      <c r="Q3608" s="1323"/>
      <c r="R3608" s="1304"/>
      <c r="S3608" s="1304"/>
      <c r="T3608" s="1304"/>
    </row>
    <row r="3609" spans="1:20">
      <c r="A3609" s="1303"/>
      <c r="B3609" s="1322" t="s">
        <v>9312</v>
      </c>
      <c r="C3609" s="1323" t="s">
        <v>9313</v>
      </c>
      <c r="D3609" s="1324">
        <f t="shared" si="366"/>
        <v>36620</v>
      </c>
      <c r="E3609" s="1323">
        <f t="shared" si="368"/>
        <v>6.5553999999999997</v>
      </c>
      <c r="F3609" s="1323">
        <f t="shared" si="367"/>
        <v>4.9127077666019101</v>
      </c>
      <c r="G3609" s="1323">
        <f t="shared" si="369"/>
        <v>2000</v>
      </c>
      <c r="H3609" s="1323">
        <f t="shared" si="370"/>
        <v>4</v>
      </c>
      <c r="I3609" s="1323">
        <f t="shared" si="371"/>
        <v>4</v>
      </c>
      <c r="J3609" s="1323"/>
      <c r="K3609" s="1323"/>
      <c r="L3609" s="1323"/>
      <c r="M3609" s="1323"/>
      <c r="N3609" s="1323"/>
      <c r="O3609" s="1323"/>
      <c r="P3609" s="1323"/>
      <c r="Q3609" s="1323"/>
      <c r="R3609" s="1304"/>
      <c r="S3609" s="1304"/>
      <c r="T3609" s="1304"/>
    </row>
    <row r="3610" spans="1:20">
      <c r="A3610" s="1303"/>
      <c r="B3610" s="1322" t="s">
        <v>9314</v>
      </c>
      <c r="C3610" s="1323" t="s">
        <v>9315</v>
      </c>
      <c r="D3610" s="1324">
        <f t="shared" si="366"/>
        <v>36619</v>
      </c>
      <c r="E3610" s="1323">
        <f t="shared" si="368"/>
        <v>6.5377000000000001</v>
      </c>
      <c r="F3610" s="1323">
        <f t="shared" si="367"/>
        <v>4.9117657841227631</v>
      </c>
      <c r="G3610" s="1323">
        <f t="shared" si="369"/>
        <v>2000</v>
      </c>
      <c r="H3610" s="1323">
        <f t="shared" si="370"/>
        <v>4</v>
      </c>
      <c r="I3610" s="1323">
        <f t="shared" si="371"/>
        <v>3</v>
      </c>
      <c r="J3610" s="1323"/>
      <c r="K3610" s="1323"/>
      <c r="L3610" s="1323"/>
      <c r="M3610" s="1323"/>
      <c r="N3610" s="1323"/>
      <c r="O3610" s="1323"/>
      <c r="P3610" s="1323"/>
      <c r="Q3610" s="1323"/>
      <c r="R3610" s="1304"/>
      <c r="S3610" s="1304"/>
      <c r="T3610" s="1304"/>
    </row>
    <row r="3611" spans="1:20">
      <c r="A3611" s="1303"/>
      <c r="B3611" s="1322" t="s">
        <v>9316</v>
      </c>
      <c r="C3611" s="1323" t="s">
        <v>9317</v>
      </c>
      <c r="D3611" s="1324">
        <f t="shared" si="366"/>
        <v>36616</v>
      </c>
      <c r="E3611" s="1323">
        <f t="shared" si="368"/>
        <v>6.5857000000000001</v>
      </c>
      <c r="F3611" s="1323">
        <f t="shared" si="367"/>
        <v>4.9108239822631505</v>
      </c>
      <c r="G3611" s="1323">
        <f t="shared" si="369"/>
        <v>2000</v>
      </c>
      <c r="H3611" s="1323">
        <f t="shared" si="370"/>
        <v>3</v>
      </c>
      <c r="I3611" s="1323">
        <f t="shared" si="371"/>
        <v>31</v>
      </c>
      <c r="J3611" s="1323"/>
      <c r="K3611" s="1323"/>
      <c r="L3611" s="1323"/>
      <c r="M3611" s="1323"/>
      <c r="N3611" s="1323"/>
      <c r="O3611" s="1323"/>
      <c r="P3611" s="1323"/>
      <c r="Q3611" s="1323"/>
      <c r="R3611" s="1304"/>
      <c r="S3611" s="1304"/>
      <c r="T3611" s="1304"/>
    </row>
    <row r="3612" spans="1:20">
      <c r="A3612" s="1303"/>
      <c r="B3612" s="1322" t="s">
        <v>9318</v>
      </c>
      <c r="C3612" s="1323" t="s">
        <v>9319</v>
      </c>
      <c r="D3612" s="1324">
        <f t="shared" si="366"/>
        <v>36615</v>
      </c>
      <c r="E3612" s="1323">
        <f t="shared" si="368"/>
        <v>6.5297999999999998</v>
      </c>
      <c r="F3612" s="1323">
        <f t="shared" si="367"/>
        <v>4.9098823609884406</v>
      </c>
      <c r="G3612" s="1323">
        <f t="shared" si="369"/>
        <v>2000</v>
      </c>
      <c r="H3612" s="1323">
        <f t="shared" si="370"/>
        <v>3</v>
      </c>
      <c r="I3612" s="1323">
        <f t="shared" si="371"/>
        <v>30</v>
      </c>
      <c r="J3612" s="1323"/>
      <c r="K3612" s="1323"/>
      <c r="L3612" s="1323"/>
      <c r="M3612" s="1323"/>
      <c r="N3612" s="1323"/>
      <c r="O3612" s="1323"/>
      <c r="P3612" s="1323"/>
      <c r="Q3612" s="1323"/>
      <c r="R3612" s="1304"/>
      <c r="S3612" s="1304"/>
      <c r="T3612" s="1304"/>
    </row>
    <row r="3613" spans="1:20">
      <c r="A3613" s="1303"/>
      <c r="B3613" s="1322" t="s">
        <v>9320</v>
      </c>
      <c r="C3613" s="1323" t="s">
        <v>9321</v>
      </c>
      <c r="D3613" s="1324">
        <f t="shared" si="366"/>
        <v>36614</v>
      </c>
      <c r="E3613" s="1323">
        <f t="shared" si="368"/>
        <v>6.5106000000000002</v>
      </c>
      <c r="F3613" s="1323">
        <f t="shared" si="367"/>
        <v>4.9089409202640066</v>
      </c>
      <c r="G3613" s="1323">
        <f t="shared" si="369"/>
        <v>2000</v>
      </c>
      <c r="H3613" s="1323">
        <f t="shared" si="370"/>
        <v>3</v>
      </c>
      <c r="I3613" s="1323">
        <f t="shared" si="371"/>
        <v>29</v>
      </c>
      <c r="J3613" s="1323"/>
      <c r="K3613" s="1323"/>
      <c r="L3613" s="1323"/>
      <c r="M3613" s="1323"/>
      <c r="N3613" s="1323"/>
      <c r="O3613" s="1323"/>
      <c r="P3613" s="1323"/>
      <c r="Q3613" s="1323"/>
      <c r="R3613" s="1304"/>
      <c r="S3613" s="1304"/>
      <c r="T3613" s="1304"/>
    </row>
    <row r="3614" spans="1:20">
      <c r="A3614" s="1303"/>
      <c r="B3614" s="1322" t="s">
        <v>9322</v>
      </c>
      <c r="C3614" s="1323" t="s">
        <v>7396</v>
      </c>
      <c r="D3614" s="1324">
        <f t="shared" si="366"/>
        <v>36613</v>
      </c>
      <c r="E3614" s="1323">
        <f t="shared" si="368"/>
        <v>6.4817</v>
      </c>
      <c r="F3614" s="1323">
        <f t="shared" si="367"/>
        <v>4.9079996600552285</v>
      </c>
      <c r="G3614" s="1323">
        <f t="shared" si="369"/>
        <v>2000</v>
      </c>
      <c r="H3614" s="1323">
        <f t="shared" si="370"/>
        <v>3</v>
      </c>
      <c r="I3614" s="1323">
        <f t="shared" si="371"/>
        <v>28</v>
      </c>
      <c r="J3614" s="1323"/>
      <c r="K3614" s="1323"/>
      <c r="L3614" s="1323"/>
      <c r="M3614" s="1323"/>
      <c r="N3614" s="1323"/>
      <c r="O3614" s="1323"/>
      <c r="P3614" s="1323"/>
      <c r="Q3614" s="1323"/>
      <c r="R3614" s="1304"/>
      <c r="S3614" s="1304"/>
      <c r="T3614" s="1304"/>
    </row>
    <row r="3615" spans="1:20">
      <c r="A3615" s="1303"/>
      <c r="B3615" s="1322" t="s">
        <v>9323</v>
      </c>
      <c r="C3615" s="1323" t="s">
        <v>9324</v>
      </c>
      <c r="D3615" s="1324">
        <f t="shared" si="366"/>
        <v>36612</v>
      </c>
      <c r="E3615" s="1323">
        <f t="shared" si="368"/>
        <v>6.4687000000000001</v>
      </c>
      <c r="F3615" s="1323">
        <f t="shared" si="367"/>
        <v>4.9070585803274946</v>
      </c>
      <c r="G3615" s="1323">
        <f t="shared" si="369"/>
        <v>2000</v>
      </c>
      <c r="H3615" s="1323">
        <f t="shared" si="370"/>
        <v>3</v>
      </c>
      <c r="I3615" s="1323">
        <f t="shared" si="371"/>
        <v>27</v>
      </c>
      <c r="J3615" s="1323"/>
      <c r="K3615" s="1323"/>
      <c r="L3615" s="1323"/>
      <c r="M3615" s="1323"/>
      <c r="N3615" s="1323"/>
      <c r="O3615" s="1323"/>
      <c r="P3615" s="1323"/>
      <c r="Q3615" s="1323"/>
      <c r="R3615" s="1304"/>
      <c r="S3615" s="1304"/>
      <c r="T3615" s="1304"/>
    </row>
    <row r="3616" spans="1:20">
      <c r="A3616" s="1303"/>
      <c r="B3616" s="1322" t="s">
        <v>9325</v>
      </c>
      <c r="C3616" s="1323" t="s">
        <v>9326</v>
      </c>
      <c r="D3616" s="1324">
        <f t="shared" si="366"/>
        <v>36609</v>
      </c>
      <c r="E3616" s="1323">
        <f t="shared" si="368"/>
        <v>6.4819000000000004</v>
      </c>
      <c r="F3616" s="1323">
        <f t="shared" si="367"/>
        <v>4.9061176810461982</v>
      </c>
      <c r="G3616" s="1323">
        <f t="shared" si="369"/>
        <v>2000</v>
      </c>
      <c r="H3616" s="1323">
        <f t="shared" si="370"/>
        <v>3</v>
      </c>
      <c r="I3616" s="1323">
        <f t="shared" si="371"/>
        <v>24</v>
      </c>
      <c r="J3616" s="1323"/>
      <c r="K3616" s="1323"/>
      <c r="L3616" s="1323"/>
      <c r="M3616" s="1323"/>
      <c r="N3616" s="1323"/>
      <c r="O3616" s="1323"/>
      <c r="P3616" s="1323"/>
      <c r="Q3616" s="1323"/>
      <c r="R3616" s="1304"/>
      <c r="S3616" s="1304"/>
      <c r="T3616" s="1304"/>
    </row>
    <row r="3617" spans="1:20">
      <c r="A3617" s="1303"/>
      <c r="B3617" s="1322" t="s">
        <v>9327</v>
      </c>
      <c r="C3617" s="1323" t="s">
        <v>9328</v>
      </c>
      <c r="D3617" s="1324">
        <f t="shared" si="366"/>
        <v>36608</v>
      </c>
      <c r="E3617" s="1323">
        <f t="shared" si="368"/>
        <v>6.4599000000000002</v>
      </c>
      <c r="F3617" s="1323">
        <f t="shared" si="367"/>
        <v>4.9051769621767392</v>
      </c>
      <c r="G3617" s="1323">
        <f t="shared" si="369"/>
        <v>2000</v>
      </c>
      <c r="H3617" s="1323">
        <f t="shared" si="370"/>
        <v>3</v>
      </c>
      <c r="I3617" s="1323">
        <f t="shared" si="371"/>
        <v>23</v>
      </c>
      <c r="J3617" s="1323"/>
      <c r="K3617" s="1323"/>
      <c r="L3617" s="1323"/>
      <c r="M3617" s="1323"/>
      <c r="N3617" s="1323"/>
      <c r="O3617" s="1323"/>
      <c r="P3617" s="1323"/>
      <c r="Q3617" s="1323"/>
      <c r="R3617" s="1304"/>
      <c r="S3617" s="1304"/>
      <c r="T3617" s="1304"/>
    </row>
    <row r="3618" spans="1:20">
      <c r="A3618" s="1303"/>
      <c r="B3618" s="1322" t="s">
        <v>9329</v>
      </c>
      <c r="C3618" s="1323" t="s">
        <v>9330</v>
      </c>
      <c r="D3618" s="1324">
        <f t="shared" si="366"/>
        <v>36607</v>
      </c>
      <c r="E3618" s="1323">
        <f t="shared" si="368"/>
        <v>6.4885000000000002</v>
      </c>
      <c r="F3618" s="1323">
        <f t="shared" si="367"/>
        <v>4.9042364236845257</v>
      </c>
      <c r="G3618" s="1323">
        <f t="shared" si="369"/>
        <v>2000</v>
      </c>
      <c r="H3618" s="1323">
        <f t="shared" si="370"/>
        <v>3</v>
      </c>
      <c r="I3618" s="1323">
        <f t="shared" si="371"/>
        <v>22</v>
      </c>
      <c r="J3618" s="1323"/>
      <c r="K3618" s="1323"/>
      <c r="L3618" s="1323"/>
      <c r="M3618" s="1323"/>
      <c r="N3618" s="1323"/>
      <c r="O3618" s="1323"/>
      <c r="P3618" s="1323"/>
      <c r="Q3618" s="1323"/>
      <c r="R3618" s="1304"/>
      <c r="S3618" s="1304"/>
      <c r="T3618" s="1304"/>
    </row>
    <row r="3619" spans="1:20">
      <c r="A3619" s="1303"/>
      <c r="B3619" s="1322" t="s">
        <v>9331</v>
      </c>
      <c r="C3619" s="1323" t="s">
        <v>9332</v>
      </c>
      <c r="D3619" s="1324">
        <f t="shared" si="366"/>
        <v>36605</v>
      </c>
      <c r="E3619" s="1323">
        <f t="shared" si="368"/>
        <v>6.4917999999999996</v>
      </c>
      <c r="F3619" s="1323">
        <f t="shared" si="367"/>
        <v>4.9032960655349713</v>
      </c>
      <c r="G3619" s="1323">
        <f t="shared" si="369"/>
        <v>2000</v>
      </c>
      <c r="H3619" s="1323">
        <f t="shared" si="370"/>
        <v>3</v>
      </c>
      <c r="I3619" s="1323">
        <f t="shared" si="371"/>
        <v>20</v>
      </c>
      <c r="J3619" s="1323"/>
      <c r="K3619" s="1323"/>
      <c r="L3619" s="1323"/>
      <c r="M3619" s="1323"/>
      <c r="N3619" s="1323"/>
      <c r="O3619" s="1323"/>
      <c r="P3619" s="1323"/>
      <c r="Q3619" s="1323"/>
      <c r="R3619" s="1304"/>
      <c r="S3619" s="1304"/>
      <c r="T3619" s="1304"/>
    </row>
    <row r="3620" spans="1:20">
      <c r="A3620" s="1303"/>
      <c r="B3620" s="1322" t="s">
        <v>9333</v>
      </c>
      <c r="C3620" s="1323" t="s">
        <v>7135</v>
      </c>
      <c r="D3620" s="1324">
        <f t="shared" si="366"/>
        <v>36602</v>
      </c>
      <c r="E3620" s="1323">
        <f t="shared" si="368"/>
        <v>6.4386999999999999</v>
      </c>
      <c r="F3620" s="1323">
        <f t="shared" si="367"/>
        <v>4.9023558876934956</v>
      </c>
      <c r="G3620" s="1323">
        <f t="shared" si="369"/>
        <v>2000</v>
      </c>
      <c r="H3620" s="1323">
        <f t="shared" si="370"/>
        <v>3</v>
      </c>
      <c r="I3620" s="1323">
        <f t="shared" si="371"/>
        <v>17</v>
      </c>
      <c r="J3620" s="1323"/>
      <c r="K3620" s="1323"/>
      <c r="L3620" s="1323"/>
      <c r="M3620" s="1323"/>
      <c r="N3620" s="1323"/>
      <c r="O3620" s="1323"/>
      <c r="P3620" s="1323"/>
      <c r="Q3620" s="1323"/>
      <c r="R3620" s="1304"/>
      <c r="S3620" s="1304"/>
      <c r="T3620" s="1304"/>
    </row>
    <row r="3621" spans="1:20">
      <c r="A3621" s="1303"/>
      <c r="B3621" s="1322" t="s">
        <v>9334</v>
      </c>
      <c r="C3621" s="1323" t="s">
        <v>9335</v>
      </c>
      <c r="D3621" s="1324">
        <f t="shared" si="366"/>
        <v>36601</v>
      </c>
      <c r="E3621" s="1323">
        <f t="shared" si="368"/>
        <v>6.4657999999999998</v>
      </c>
      <c r="F3621" s="1323">
        <f t="shared" si="367"/>
        <v>4.9014158901255263</v>
      </c>
      <c r="G3621" s="1323">
        <f t="shared" si="369"/>
        <v>2000</v>
      </c>
      <c r="H3621" s="1323">
        <f t="shared" si="370"/>
        <v>3</v>
      </c>
      <c r="I3621" s="1323">
        <f t="shared" si="371"/>
        <v>16</v>
      </c>
      <c r="J3621" s="1323"/>
      <c r="K3621" s="1323"/>
      <c r="L3621" s="1323"/>
      <c r="M3621" s="1323"/>
      <c r="N3621" s="1323"/>
      <c r="O3621" s="1323"/>
      <c r="P3621" s="1323"/>
      <c r="Q3621" s="1323"/>
      <c r="R3621" s="1304"/>
      <c r="S3621" s="1304"/>
      <c r="T3621" s="1304"/>
    </row>
    <row r="3622" spans="1:20">
      <c r="A3622" s="1303"/>
      <c r="B3622" s="1322" t="s">
        <v>9336</v>
      </c>
      <c r="C3622" s="1323" t="s">
        <v>9337</v>
      </c>
      <c r="D3622" s="1324">
        <f t="shared" si="366"/>
        <v>36600</v>
      </c>
      <c r="E3622" s="1323">
        <f t="shared" si="368"/>
        <v>6.4615999999999998</v>
      </c>
      <c r="F3622" s="1323">
        <f t="shared" si="367"/>
        <v>4.9004760727964962</v>
      </c>
      <c r="G3622" s="1323">
        <f t="shared" si="369"/>
        <v>2000</v>
      </c>
      <c r="H3622" s="1323">
        <f t="shared" si="370"/>
        <v>3</v>
      </c>
      <c r="I3622" s="1323">
        <f t="shared" si="371"/>
        <v>15</v>
      </c>
      <c r="J3622" s="1323"/>
      <c r="K3622" s="1323"/>
      <c r="L3622" s="1323"/>
      <c r="M3622" s="1323"/>
      <c r="N3622" s="1323"/>
      <c r="O3622" s="1323"/>
      <c r="P3622" s="1323"/>
      <c r="Q3622" s="1323"/>
      <c r="R3622" s="1304"/>
      <c r="S3622" s="1304"/>
      <c r="T3622" s="1304"/>
    </row>
    <row r="3623" spans="1:20">
      <c r="A3623" s="1303"/>
      <c r="B3623" s="1322" t="s">
        <v>9338</v>
      </c>
      <c r="C3623" s="1323" t="s">
        <v>9339</v>
      </c>
      <c r="D3623" s="1324">
        <f t="shared" si="366"/>
        <v>36599</v>
      </c>
      <c r="E3623" s="1323">
        <f t="shared" si="368"/>
        <v>6.4264999999999999</v>
      </c>
      <c r="F3623" s="1323">
        <f t="shared" si="367"/>
        <v>4.8995364356718465</v>
      </c>
      <c r="G3623" s="1323">
        <f t="shared" si="369"/>
        <v>2000</v>
      </c>
      <c r="H3623" s="1323">
        <f t="shared" si="370"/>
        <v>3</v>
      </c>
      <c r="I3623" s="1323">
        <f t="shared" si="371"/>
        <v>14</v>
      </c>
      <c r="J3623" s="1323"/>
      <c r="K3623" s="1323"/>
      <c r="L3623" s="1323"/>
      <c r="M3623" s="1323"/>
      <c r="N3623" s="1323"/>
      <c r="O3623" s="1323"/>
      <c r="P3623" s="1323"/>
      <c r="Q3623" s="1323"/>
      <c r="R3623" s="1304"/>
      <c r="S3623" s="1304"/>
      <c r="T3623" s="1304"/>
    </row>
    <row r="3624" spans="1:20">
      <c r="A3624" s="1303"/>
      <c r="B3624" s="1322" t="s">
        <v>9340</v>
      </c>
      <c r="C3624" s="1323" t="s">
        <v>9341</v>
      </c>
      <c r="D3624" s="1324">
        <f t="shared" si="366"/>
        <v>36598</v>
      </c>
      <c r="E3624" s="1323">
        <f t="shared" si="368"/>
        <v>6.3929999999999998</v>
      </c>
      <c r="F3624" s="1323">
        <f t="shared" si="367"/>
        <v>4.8985969787170243</v>
      </c>
      <c r="G3624" s="1323">
        <f t="shared" si="369"/>
        <v>2000</v>
      </c>
      <c r="H3624" s="1323">
        <f t="shared" si="370"/>
        <v>3</v>
      </c>
      <c r="I3624" s="1323">
        <f t="shared" si="371"/>
        <v>13</v>
      </c>
      <c r="J3624" s="1323"/>
      <c r="K3624" s="1323"/>
      <c r="L3624" s="1323"/>
      <c r="M3624" s="1323"/>
      <c r="N3624" s="1323"/>
      <c r="O3624" s="1323"/>
      <c r="P3624" s="1323"/>
      <c r="Q3624" s="1323"/>
      <c r="R3624" s="1304"/>
      <c r="S3624" s="1304"/>
      <c r="T3624" s="1304"/>
    </row>
    <row r="3625" spans="1:20">
      <c r="A3625" s="1303"/>
      <c r="B3625" s="1322" t="s">
        <v>9342</v>
      </c>
      <c r="C3625" s="1323" t="s">
        <v>9343</v>
      </c>
      <c r="D3625" s="1324">
        <f t="shared" si="366"/>
        <v>36595</v>
      </c>
      <c r="E3625" s="1323">
        <f t="shared" si="368"/>
        <v>6.3932000000000002</v>
      </c>
      <c r="F3625" s="1323">
        <f t="shared" si="367"/>
        <v>4.8976577018974821</v>
      </c>
      <c r="G3625" s="1323">
        <f t="shared" si="369"/>
        <v>2000</v>
      </c>
      <c r="H3625" s="1323">
        <f t="shared" si="370"/>
        <v>3</v>
      </c>
      <c r="I3625" s="1323">
        <f t="shared" si="371"/>
        <v>10</v>
      </c>
      <c r="J3625" s="1323"/>
      <c r="K3625" s="1323"/>
      <c r="L3625" s="1323"/>
      <c r="M3625" s="1323"/>
      <c r="N3625" s="1323"/>
      <c r="O3625" s="1323"/>
      <c r="P3625" s="1323"/>
      <c r="Q3625" s="1323"/>
      <c r="R3625" s="1304"/>
      <c r="S3625" s="1304"/>
      <c r="T3625" s="1304"/>
    </row>
    <row r="3626" spans="1:20">
      <c r="A3626" s="1303"/>
      <c r="B3626" s="1322" t="s">
        <v>9344</v>
      </c>
      <c r="C3626" s="1323" t="s">
        <v>7554</v>
      </c>
      <c r="D3626" s="1324">
        <f t="shared" si="366"/>
        <v>36594</v>
      </c>
      <c r="E3626" s="1323">
        <f t="shared" si="368"/>
        <v>6.4619999999999997</v>
      </c>
      <c r="F3626" s="1323">
        <f t="shared" si="367"/>
        <v>4.8967186051786804</v>
      </c>
      <c r="G3626" s="1323">
        <f t="shared" si="369"/>
        <v>2000</v>
      </c>
      <c r="H3626" s="1323">
        <f t="shared" si="370"/>
        <v>3</v>
      </c>
      <c r="I3626" s="1323">
        <f t="shared" si="371"/>
        <v>9</v>
      </c>
      <c r="J3626" s="1323"/>
      <c r="K3626" s="1323"/>
      <c r="L3626" s="1323"/>
      <c r="M3626" s="1323"/>
      <c r="N3626" s="1323"/>
      <c r="O3626" s="1323"/>
      <c r="P3626" s="1323"/>
      <c r="Q3626" s="1323"/>
      <c r="R3626" s="1304"/>
      <c r="S3626" s="1304"/>
      <c r="T3626" s="1304"/>
    </row>
    <row r="3627" spans="1:20">
      <c r="A3627" s="1303"/>
      <c r="B3627" s="1322" t="s">
        <v>9345</v>
      </c>
      <c r="C3627" s="1323" t="s">
        <v>7312</v>
      </c>
      <c r="D3627" s="1324">
        <f t="shared" si="366"/>
        <v>36593</v>
      </c>
      <c r="E3627" s="1323">
        <f t="shared" si="368"/>
        <v>6.4989999999999997</v>
      </c>
      <c r="F3627" s="1323">
        <f t="shared" si="367"/>
        <v>4.895779688526086</v>
      </c>
      <c r="G3627" s="1323">
        <f t="shared" si="369"/>
        <v>2000</v>
      </c>
      <c r="H3627" s="1323">
        <f t="shared" si="370"/>
        <v>3</v>
      </c>
      <c r="I3627" s="1323">
        <f t="shared" si="371"/>
        <v>8</v>
      </c>
      <c r="J3627" s="1323"/>
      <c r="K3627" s="1323"/>
      <c r="L3627" s="1323"/>
      <c r="M3627" s="1323"/>
      <c r="N3627" s="1323"/>
      <c r="O3627" s="1323"/>
      <c r="P3627" s="1323"/>
      <c r="Q3627" s="1323"/>
      <c r="R3627" s="1304"/>
      <c r="S3627" s="1304"/>
      <c r="T3627" s="1304"/>
    </row>
    <row r="3628" spans="1:20">
      <c r="A3628" s="1303"/>
      <c r="B3628" s="1322" t="s">
        <v>9346</v>
      </c>
      <c r="C3628" s="1323" t="s">
        <v>9347</v>
      </c>
      <c r="D3628" s="1324">
        <f t="shared" si="366"/>
        <v>36592</v>
      </c>
      <c r="E3628" s="1323">
        <f t="shared" si="368"/>
        <v>6.5152999999999999</v>
      </c>
      <c r="F3628" s="1323">
        <f t="shared" si="367"/>
        <v>4.8948409519051728</v>
      </c>
      <c r="G3628" s="1323">
        <f t="shared" si="369"/>
        <v>2000</v>
      </c>
      <c r="H3628" s="1323">
        <f t="shared" si="370"/>
        <v>3</v>
      </c>
      <c r="I3628" s="1323">
        <f t="shared" si="371"/>
        <v>7</v>
      </c>
      <c r="J3628" s="1323"/>
      <c r="K3628" s="1323"/>
      <c r="L3628" s="1323"/>
      <c r="M3628" s="1323"/>
      <c r="N3628" s="1323"/>
      <c r="O3628" s="1323"/>
      <c r="P3628" s="1323"/>
      <c r="Q3628" s="1323"/>
      <c r="R3628" s="1304"/>
      <c r="S3628" s="1304"/>
      <c r="T3628" s="1304"/>
    </row>
    <row r="3629" spans="1:20">
      <c r="A3629" s="1303"/>
      <c r="B3629" s="1322" t="s">
        <v>9348</v>
      </c>
      <c r="C3629" s="1323" t="s">
        <v>9349</v>
      </c>
      <c r="D3629" s="1324">
        <f t="shared" si="366"/>
        <v>36591</v>
      </c>
      <c r="E3629" s="1323">
        <f t="shared" si="368"/>
        <v>6.4619999999999997</v>
      </c>
      <c r="F3629" s="1323">
        <f t="shared" si="367"/>
        <v>4.8939023952814198</v>
      </c>
      <c r="G3629" s="1323">
        <f t="shared" si="369"/>
        <v>2000</v>
      </c>
      <c r="H3629" s="1323">
        <f t="shared" si="370"/>
        <v>3</v>
      </c>
      <c r="I3629" s="1323">
        <f t="shared" si="371"/>
        <v>6</v>
      </c>
      <c r="J3629" s="1323"/>
      <c r="K3629" s="1323"/>
      <c r="L3629" s="1323"/>
      <c r="M3629" s="1323"/>
      <c r="N3629" s="1323"/>
      <c r="O3629" s="1323"/>
      <c r="P3629" s="1323"/>
      <c r="Q3629" s="1323"/>
      <c r="R3629" s="1304"/>
      <c r="S3629" s="1304"/>
      <c r="T3629" s="1304"/>
    </row>
    <row r="3630" spans="1:20">
      <c r="A3630" s="1303"/>
      <c r="B3630" s="1322" t="s">
        <v>9350</v>
      </c>
      <c r="C3630" s="1323" t="s">
        <v>7312</v>
      </c>
      <c r="D3630" s="1324">
        <f t="shared" si="366"/>
        <v>36588</v>
      </c>
      <c r="E3630" s="1323">
        <f t="shared" si="368"/>
        <v>6.4267000000000003</v>
      </c>
      <c r="F3630" s="1323">
        <f t="shared" si="367"/>
        <v>4.8929640186203143</v>
      </c>
      <c r="G3630" s="1323">
        <f t="shared" si="369"/>
        <v>2000</v>
      </c>
      <c r="H3630" s="1323">
        <f t="shared" si="370"/>
        <v>3</v>
      </c>
      <c r="I3630" s="1323">
        <f t="shared" si="371"/>
        <v>3</v>
      </c>
      <c r="J3630" s="1323"/>
      <c r="K3630" s="1323"/>
      <c r="L3630" s="1323"/>
      <c r="M3630" s="1323"/>
      <c r="N3630" s="1323"/>
      <c r="O3630" s="1323"/>
      <c r="P3630" s="1323"/>
      <c r="Q3630" s="1323"/>
      <c r="R3630" s="1304"/>
      <c r="S3630" s="1304"/>
      <c r="T3630" s="1304"/>
    </row>
    <row r="3631" spans="1:20">
      <c r="A3631" s="1303"/>
      <c r="B3631" s="1322" t="s">
        <v>9351</v>
      </c>
      <c r="C3631" s="1323" t="s">
        <v>9352</v>
      </c>
      <c r="D3631" s="1324">
        <f t="shared" si="366"/>
        <v>36587</v>
      </c>
      <c r="E3631" s="1323">
        <f t="shared" si="368"/>
        <v>6.3453999999999997</v>
      </c>
      <c r="F3631" s="1323">
        <f t="shared" si="367"/>
        <v>4.8920258218873496</v>
      </c>
      <c r="G3631" s="1323">
        <f t="shared" si="369"/>
        <v>2000</v>
      </c>
      <c r="H3631" s="1323">
        <f t="shared" si="370"/>
        <v>3</v>
      </c>
      <c r="I3631" s="1323">
        <f t="shared" si="371"/>
        <v>2</v>
      </c>
      <c r="J3631" s="1323"/>
      <c r="K3631" s="1323"/>
      <c r="L3631" s="1323"/>
      <c r="M3631" s="1323"/>
      <c r="N3631" s="1323"/>
      <c r="O3631" s="1323"/>
      <c r="P3631" s="1323"/>
      <c r="Q3631" s="1323"/>
      <c r="R3631" s="1304"/>
      <c r="S3631" s="1304"/>
      <c r="T3631" s="1304"/>
    </row>
    <row r="3632" spans="1:20">
      <c r="A3632" s="1303"/>
      <c r="B3632" s="1322" t="s">
        <v>9353</v>
      </c>
      <c r="C3632" s="1323" t="s">
        <v>9354</v>
      </c>
      <c r="D3632" s="1324">
        <f t="shared" si="366"/>
        <v>36586</v>
      </c>
      <c r="E3632" s="1323">
        <f t="shared" si="368"/>
        <v>6.3365</v>
      </c>
      <c r="F3632" s="1323">
        <f t="shared" si="367"/>
        <v>4.8910878050480253</v>
      </c>
      <c r="G3632" s="1323">
        <f t="shared" si="369"/>
        <v>2000</v>
      </c>
      <c r="H3632" s="1323">
        <f t="shared" si="370"/>
        <v>3</v>
      </c>
      <c r="I3632" s="1323">
        <f t="shared" si="371"/>
        <v>1</v>
      </c>
      <c r="J3632" s="1323"/>
      <c r="K3632" s="1323"/>
      <c r="L3632" s="1323"/>
      <c r="M3632" s="1323"/>
      <c r="N3632" s="1323"/>
      <c r="O3632" s="1323"/>
      <c r="P3632" s="1323"/>
      <c r="Q3632" s="1323"/>
      <c r="R3632" s="1304"/>
      <c r="S3632" s="1304"/>
      <c r="T3632" s="1304"/>
    </row>
    <row r="3633" spans="1:20">
      <c r="A3633" s="1303"/>
      <c r="B3633" s="1322" t="s">
        <v>9355</v>
      </c>
      <c r="C3633" s="1323" t="s">
        <v>9356</v>
      </c>
      <c r="D3633" s="1324">
        <f t="shared" si="366"/>
        <v>36585</v>
      </c>
      <c r="E3633" s="1323">
        <f t="shared" si="368"/>
        <v>6.3643999999999998</v>
      </c>
      <c r="F3633" s="1323">
        <f t="shared" si="367"/>
        <v>4.8901499680678482</v>
      </c>
      <c r="G3633" s="1323">
        <f t="shared" si="369"/>
        <v>2000</v>
      </c>
      <c r="H3633" s="1323">
        <f t="shared" si="370"/>
        <v>2</v>
      </c>
      <c r="I3633" s="1323">
        <f t="shared" si="371"/>
        <v>29</v>
      </c>
      <c r="J3633" s="1323"/>
      <c r="K3633" s="1323"/>
      <c r="L3633" s="1323"/>
      <c r="M3633" s="1323"/>
      <c r="N3633" s="1323"/>
      <c r="O3633" s="1323"/>
      <c r="P3633" s="1323"/>
      <c r="Q3633" s="1323"/>
      <c r="R3633" s="1304"/>
      <c r="S3633" s="1304"/>
      <c r="T3633" s="1304"/>
    </row>
    <row r="3634" spans="1:20">
      <c r="A3634" s="1303"/>
      <c r="B3634" s="1322" t="s">
        <v>9357</v>
      </c>
      <c r="C3634" s="1323" t="s">
        <v>9358</v>
      </c>
      <c r="D3634" s="1324">
        <f t="shared" si="366"/>
        <v>36584</v>
      </c>
      <c r="E3634" s="1323">
        <f t="shared" si="368"/>
        <v>6.3224999999999998</v>
      </c>
      <c r="F3634" s="1323">
        <f t="shared" si="367"/>
        <v>4.8892123109123302</v>
      </c>
      <c r="G3634" s="1323">
        <f t="shared" si="369"/>
        <v>2000</v>
      </c>
      <c r="H3634" s="1323">
        <f t="shared" si="370"/>
        <v>2</v>
      </c>
      <c r="I3634" s="1323">
        <f t="shared" si="371"/>
        <v>28</v>
      </c>
      <c r="J3634" s="1323"/>
      <c r="K3634" s="1323"/>
      <c r="L3634" s="1323"/>
      <c r="M3634" s="1323"/>
      <c r="N3634" s="1323"/>
      <c r="O3634" s="1323"/>
      <c r="P3634" s="1323"/>
      <c r="Q3634" s="1323"/>
      <c r="R3634" s="1304"/>
      <c r="S3634" s="1304"/>
      <c r="T3634" s="1304"/>
    </row>
    <row r="3635" spans="1:20">
      <c r="A3635" s="1303"/>
      <c r="B3635" s="1322" t="s">
        <v>9359</v>
      </c>
      <c r="C3635" s="1323" t="s">
        <v>9360</v>
      </c>
      <c r="D3635" s="1324">
        <f t="shared" si="366"/>
        <v>36581</v>
      </c>
      <c r="E3635" s="1323">
        <f t="shared" si="368"/>
        <v>6.3341000000000003</v>
      </c>
      <c r="F3635" s="1323">
        <f t="shared" si="367"/>
        <v>4.8882748335469923</v>
      </c>
      <c r="G3635" s="1323">
        <f t="shared" si="369"/>
        <v>2000</v>
      </c>
      <c r="H3635" s="1323">
        <f t="shared" si="370"/>
        <v>2</v>
      </c>
      <c r="I3635" s="1323">
        <f t="shared" si="371"/>
        <v>25</v>
      </c>
      <c r="J3635" s="1323"/>
      <c r="K3635" s="1323"/>
      <c r="L3635" s="1323"/>
      <c r="M3635" s="1323"/>
      <c r="N3635" s="1323"/>
      <c r="O3635" s="1323"/>
      <c r="P3635" s="1323"/>
      <c r="Q3635" s="1323"/>
      <c r="R3635" s="1304"/>
      <c r="S3635" s="1304"/>
      <c r="T3635" s="1304"/>
    </row>
    <row r="3636" spans="1:20">
      <c r="A3636" s="1303"/>
      <c r="B3636" s="1322" t="s">
        <v>9361</v>
      </c>
      <c r="C3636" s="1323" t="s">
        <v>9362</v>
      </c>
      <c r="D3636" s="1324">
        <f t="shared" si="366"/>
        <v>36580</v>
      </c>
      <c r="E3636" s="1323">
        <f t="shared" si="368"/>
        <v>6.3292999999999999</v>
      </c>
      <c r="F3636" s="1323">
        <f t="shared" si="367"/>
        <v>4.8873375359373608</v>
      </c>
      <c r="G3636" s="1323">
        <f t="shared" si="369"/>
        <v>2000</v>
      </c>
      <c r="H3636" s="1323">
        <f t="shared" si="370"/>
        <v>2</v>
      </c>
      <c r="I3636" s="1323">
        <f t="shared" si="371"/>
        <v>24</v>
      </c>
      <c r="J3636" s="1323"/>
      <c r="K3636" s="1323"/>
      <c r="L3636" s="1323"/>
      <c r="M3636" s="1323"/>
      <c r="N3636" s="1323"/>
      <c r="O3636" s="1323"/>
      <c r="P3636" s="1323"/>
      <c r="Q3636" s="1323"/>
      <c r="R3636" s="1304"/>
      <c r="S3636" s="1304"/>
      <c r="T3636" s="1304"/>
    </row>
    <row r="3637" spans="1:20">
      <c r="A3637" s="1303"/>
      <c r="B3637" s="1322" t="s">
        <v>9363</v>
      </c>
      <c r="C3637" s="1323" t="s">
        <v>9364</v>
      </c>
      <c r="D3637" s="1324">
        <f t="shared" si="366"/>
        <v>36579</v>
      </c>
      <c r="E3637" s="1323">
        <f t="shared" si="368"/>
        <v>6.3117000000000001</v>
      </c>
      <c r="F3637" s="1323">
        <f t="shared" si="367"/>
        <v>4.886400418048968</v>
      </c>
      <c r="G3637" s="1323">
        <f t="shared" si="369"/>
        <v>2000</v>
      </c>
      <c r="H3637" s="1323">
        <f t="shared" si="370"/>
        <v>2</v>
      </c>
      <c r="I3637" s="1323">
        <f t="shared" si="371"/>
        <v>23</v>
      </c>
      <c r="J3637" s="1323"/>
      <c r="K3637" s="1323"/>
      <c r="L3637" s="1323"/>
      <c r="M3637" s="1323"/>
      <c r="N3637" s="1323"/>
      <c r="O3637" s="1323"/>
      <c r="P3637" s="1323"/>
      <c r="Q3637" s="1323"/>
      <c r="R3637" s="1304"/>
      <c r="S3637" s="1304"/>
      <c r="T3637" s="1304"/>
    </row>
    <row r="3638" spans="1:20">
      <c r="A3638" s="1303"/>
      <c r="B3638" s="1322" t="s">
        <v>9365</v>
      </c>
      <c r="C3638" s="1323" t="s">
        <v>9366</v>
      </c>
      <c r="D3638" s="1324">
        <f t="shared" si="366"/>
        <v>36578</v>
      </c>
      <c r="E3638" s="1323">
        <f t="shared" si="368"/>
        <v>6.2895000000000003</v>
      </c>
      <c r="F3638" s="1323">
        <f t="shared" si="367"/>
        <v>4.8854634798473535</v>
      </c>
      <c r="G3638" s="1323">
        <f t="shared" si="369"/>
        <v>2000</v>
      </c>
      <c r="H3638" s="1323">
        <f t="shared" si="370"/>
        <v>2</v>
      </c>
      <c r="I3638" s="1323">
        <f t="shared" si="371"/>
        <v>22</v>
      </c>
      <c r="J3638" s="1323"/>
      <c r="K3638" s="1323"/>
      <c r="L3638" s="1323"/>
      <c r="M3638" s="1323"/>
      <c r="N3638" s="1323"/>
      <c r="O3638" s="1323"/>
      <c r="P3638" s="1323"/>
      <c r="Q3638" s="1323"/>
      <c r="R3638" s="1304"/>
      <c r="S3638" s="1304"/>
      <c r="T3638" s="1304"/>
    </row>
    <row r="3639" spans="1:20">
      <c r="A3639" s="1303"/>
      <c r="B3639" s="1322" t="s">
        <v>9367</v>
      </c>
      <c r="C3639" s="1323" t="s">
        <v>9368</v>
      </c>
      <c r="D3639" s="1324">
        <f t="shared" si="366"/>
        <v>36577</v>
      </c>
      <c r="E3639" s="1323">
        <f t="shared" si="368"/>
        <v>6.3320999999999996</v>
      </c>
      <c r="F3639" s="1323">
        <f t="shared" si="367"/>
        <v>4.8845267212980632</v>
      </c>
      <c r="G3639" s="1323">
        <f t="shared" si="369"/>
        <v>2000</v>
      </c>
      <c r="H3639" s="1323">
        <f t="shared" si="370"/>
        <v>2</v>
      </c>
      <c r="I3639" s="1323">
        <f t="shared" si="371"/>
        <v>21</v>
      </c>
      <c r="J3639" s="1323"/>
      <c r="K3639" s="1323"/>
      <c r="L3639" s="1323"/>
      <c r="M3639" s="1323"/>
      <c r="N3639" s="1323"/>
      <c r="O3639" s="1323"/>
      <c r="P3639" s="1323"/>
      <c r="Q3639" s="1323"/>
      <c r="R3639" s="1304"/>
      <c r="S3639" s="1304"/>
      <c r="T3639" s="1304"/>
    </row>
    <row r="3640" spans="1:20">
      <c r="A3640" s="1303"/>
      <c r="B3640" s="1322" t="s">
        <v>9369</v>
      </c>
      <c r="C3640" s="1323" t="s">
        <v>9370</v>
      </c>
      <c r="D3640" s="1324">
        <f t="shared" si="366"/>
        <v>36574</v>
      </c>
      <c r="E3640" s="1323">
        <f t="shared" si="368"/>
        <v>6.3224999999999998</v>
      </c>
      <c r="F3640" s="1323">
        <f t="shared" si="367"/>
        <v>4.8835901423666499</v>
      </c>
      <c r="G3640" s="1323">
        <f t="shared" si="369"/>
        <v>2000</v>
      </c>
      <c r="H3640" s="1323">
        <f t="shared" si="370"/>
        <v>2</v>
      </c>
      <c r="I3640" s="1323">
        <f t="shared" si="371"/>
        <v>18</v>
      </c>
      <c r="J3640" s="1323"/>
      <c r="K3640" s="1323"/>
      <c r="L3640" s="1323"/>
      <c r="M3640" s="1323"/>
      <c r="N3640" s="1323"/>
      <c r="O3640" s="1323"/>
      <c r="P3640" s="1323"/>
      <c r="Q3640" s="1323"/>
      <c r="R3640" s="1304"/>
      <c r="S3640" s="1304"/>
      <c r="T3640" s="1304"/>
    </row>
    <row r="3641" spans="1:20">
      <c r="A3641" s="1303"/>
      <c r="B3641" s="1322" t="s">
        <v>9371</v>
      </c>
      <c r="C3641" s="1323" t="s">
        <v>9360</v>
      </c>
      <c r="D3641" s="1324">
        <f t="shared" si="366"/>
        <v>36573</v>
      </c>
      <c r="E3641" s="1323">
        <f t="shared" si="368"/>
        <v>6.3556999999999997</v>
      </c>
      <c r="F3641" s="1323">
        <f t="shared" si="367"/>
        <v>4.8826537430186736</v>
      </c>
      <c r="G3641" s="1323">
        <f t="shared" si="369"/>
        <v>2000</v>
      </c>
      <c r="H3641" s="1323">
        <f t="shared" si="370"/>
        <v>2</v>
      </c>
      <c r="I3641" s="1323">
        <f t="shared" si="371"/>
        <v>17</v>
      </c>
      <c r="J3641" s="1323"/>
      <c r="K3641" s="1323"/>
      <c r="L3641" s="1323"/>
      <c r="M3641" s="1323"/>
      <c r="N3641" s="1323"/>
      <c r="O3641" s="1323"/>
      <c r="P3641" s="1323"/>
      <c r="Q3641" s="1323"/>
      <c r="R3641" s="1304"/>
      <c r="S3641" s="1304"/>
      <c r="T3641" s="1304"/>
    </row>
    <row r="3642" spans="1:20">
      <c r="A3642" s="1303"/>
      <c r="B3642" s="1322" t="s">
        <v>9372</v>
      </c>
      <c r="C3642" s="1323" t="s">
        <v>9373</v>
      </c>
      <c r="D3642" s="1324">
        <f t="shared" si="366"/>
        <v>36572</v>
      </c>
      <c r="E3642" s="1323">
        <f t="shared" si="368"/>
        <v>6.3615000000000004</v>
      </c>
      <c r="F3642" s="1323">
        <f t="shared" si="367"/>
        <v>4.8817175232196997</v>
      </c>
      <c r="G3642" s="1323">
        <f t="shared" si="369"/>
        <v>2000</v>
      </c>
      <c r="H3642" s="1323">
        <f t="shared" si="370"/>
        <v>2</v>
      </c>
      <c r="I3642" s="1323">
        <f t="shared" si="371"/>
        <v>16</v>
      </c>
      <c r="J3642" s="1323"/>
      <c r="K3642" s="1323"/>
      <c r="L3642" s="1323"/>
      <c r="M3642" s="1323"/>
      <c r="N3642" s="1323"/>
      <c r="O3642" s="1323"/>
      <c r="P3642" s="1323"/>
      <c r="Q3642" s="1323"/>
      <c r="R3642" s="1304"/>
      <c r="S3642" s="1304"/>
      <c r="T3642" s="1304"/>
    </row>
    <row r="3643" spans="1:20">
      <c r="A3643" s="1303"/>
      <c r="B3643" s="1322" t="s">
        <v>9374</v>
      </c>
      <c r="C3643" s="1323" t="s">
        <v>9375</v>
      </c>
      <c r="D3643" s="1324">
        <f t="shared" si="366"/>
        <v>36571</v>
      </c>
      <c r="E3643" s="1323">
        <f t="shared" si="368"/>
        <v>6.3643999999999998</v>
      </c>
      <c r="F3643" s="1323">
        <f t="shared" si="367"/>
        <v>4.8807814829353013</v>
      </c>
      <c r="G3643" s="1323">
        <f t="shared" si="369"/>
        <v>2000</v>
      </c>
      <c r="H3643" s="1323">
        <f t="shared" si="370"/>
        <v>2</v>
      </c>
      <c r="I3643" s="1323">
        <f t="shared" si="371"/>
        <v>15</v>
      </c>
      <c r="J3643" s="1323"/>
      <c r="K3643" s="1323"/>
      <c r="L3643" s="1323"/>
      <c r="M3643" s="1323"/>
      <c r="N3643" s="1323"/>
      <c r="O3643" s="1323"/>
      <c r="P3643" s="1323"/>
      <c r="Q3643" s="1323"/>
      <c r="R3643" s="1304"/>
      <c r="S3643" s="1304"/>
      <c r="T3643" s="1304"/>
    </row>
    <row r="3644" spans="1:20">
      <c r="A3644" s="1303"/>
      <c r="B3644" s="1322" t="s">
        <v>9376</v>
      </c>
      <c r="C3644" s="1323" t="s">
        <v>9358</v>
      </c>
      <c r="D3644" s="1324">
        <f t="shared" si="366"/>
        <v>36570</v>
      </c>
      <c r="E3644" s="1323">
        <f t="shared" si="368"/>
        <v>6.3406000000000002</v>
      </c>
      <c r="F3644" s="1323">
        <f t="shared" si="367"/>
        <v>4.8798456221310564</v>
      </c>
      <c r="G3644" s="1323">
        <f t="shared" si="369"/>
        <v>2000</v>
      </c>
      <c r="H3644" s="1323">
        <f t="shared" si="370"/>
        <v>2</v>
      </c>
      <c r="I3644" s="1323">
        <f t="shared" si="371"/>
        <v>14</v>
      </c>
      <c r="J3644" s="1323"/>
      <c r="K3644" s="1323"/>
      <c r="L3644" s="1323"/>
      <c r="M3644" s="1323"/>
      <c r="N3644" s="1323"/>
      <c r="O3644" s="1323"/>
      <c r="P3644" s="1323"/>
      <c r="Q3644" s="1323"/>
      <c r="R3644" s="1304"/>
      <c r="S3644" s="1304"/>
      <c r="T3644" s="1304"/>
    </row>
    <row r="3645" spans="1:20">
      <c r="A3645" s="1303"/>
      <c r="B3645" s="1322" t="s">
        <v>9377</v>
      </c>
      <c r="C3645" s="1323" t="s">
        <v>9378</v>
      </c>
      <c r="D3645" s="1324">
        <f t="shared" si="366"/>
        <v>36567</v>
      </c>
      <c r="E3645" s="1323">
        <f t="shared" si="368"/>
        <v>6.3269000000000002</v>
      </c>
      <c r="F3645" s="1323">
        <f t="shared" si="367"/>
        <v>4.8789099407725516</v>
      </c>
      <c r="G3645" s="1323">
        <f t="shared" si="369"/>
        <v>2000</v>
      </c>
      <c r="H3645" s="1323">
        <f t="shared" si="370"/>
        <v>2</v>
      </c>
      <c r="I3645" s="1323">
        <f t="shared" si="371"/>
        <v>11</v>
      </c>
      <c r="J3645" s="1323"/>
      <c r="K3645" s="1323"/>
      <c r="L3645" s="1323"/>
      <c r="M3645" s="1323"/>
      <c r="N3645" s="1323"/>
      <c r="O3645" s="1323"/>
      <c r="P3645" s="1323"/>
      <c r="Q3645" s="1323"/>
      <c r="R3645" s="1304"/>
      <c r="S3645" s="1304"/>
      <c r="T3645" s="1304"/>
    </row>
    <row r="3646" spans="1:20">
      <c r="A3646" s="1303"/>
      <c r="B3646" s="1322" t="s">
        <v>9379</v>
      </c>
      <c r="C3646" s="1323" t="s">
        <v>7232</v>
      </c>
      <c r="D3646" s="1324">
        <f t="shared" si="366"/>
        <v>36566</v>
      </c>
      <c r="E3646" s="1323">
        <f t="shared" si="368"/>
        <v>6.3631000000000002</v>
      </c>
      <c r="F3646" s="1323">
        <f t="shared" si="367"/>
        <v>4.8779744388253796</v>
      </c>
      <c r="G3646" s="1323">
        <f t="shared" si="369"/>
        <v>2000</v>
      </c>
      <c r="H3646" s="1323">
        <f t="shared" si="370"/>
        <v>2</v>
      </c>
      <c r="I3646" s="1323">
        <f t="shared" si="371"/>
        <v>10</v>
      </c>
      <c r="J3646" s="1323"/>
      <c r="K3646" s="1323"/>
      <c r="L3646" s="1323"/>
      <c r="M3646" s="1323"/>
      <c r="N3646" s="1323"/>
      <c r="O3646" s="1323"/>
      <c r="P3646" s="1323"/>
      <c r="Q3646" s="1323"/>
      <c r="R3646" s="1304"/>
      <c r="S3646" s="1304"/>
      <c r="T3646" s="1304"/>
    </row>
    <row r="3647" spans="1:20">
      <c r="A3647" s="1303"/>
      <c r="B3647" s="1322" t="s">
        <v>9380</v>
      </c>
      <c r="C3647" s="1323" t="s">
        <v>9381</v>
      </c>
      <c r="D3647" s="1324">
        <f t="shared" si="366"/>
        <v>36565</v>
      </c>
      <c r="E3647" s="1323">
        <f t="shared" si="368"/>
        <v>6.2755000000000001</v>
      </c>
      <c r="F3647" s="1323">
        <f t="shared" si="367"/>
        <v>4.8770391162551388</v>
      </c>
      <c r="G3647" s="1323">
        <f t="shared" si="369"/>
        <v>2000</v>
      </c>
      <c r="H3647" s="1323">
        <f t="shared" si="370"/>
        <v>2</v>
      </c>
      <c r="I3647" s="1323">
        <f t="shared" si="371"/>
        <v>9</v>
      </c>
      <c r="J3647" s="1323"/>
      <c r="K3647" s="1323"/>
      <c r="L3647" s="1323"/>
      <c r="M3647" s="1323"/>
      <c r="N3647" s="1323"/>
      <c r="O3647" s="1323"/>
      <c r="P3647" s="1323"/>
      <c r="Q3647" s="1323"/>
      <c r="R3647" s="1304"/>
      <c r="S3647" s="1304"/>
      <c r="T3647" s="1304"/>
    </row>
    <row r="3648" spans="1:20">
      <c r="A3648" s="1303"/>
      <c r="B3648" s="1322" t="s">
        <v>9382</v>
      </c>
      <c r="C3648" s="1323" t="s">
        <v>9383</v>
      </c>
      <c r="D3648" s="1324">
        <f t="shared" si="366"/>
        <v>36564</v>
      </c>
      <c r="E3648" s="1323">
        <f t="shared" si="368"/>
        <v>6.3224999999999998</v>
      </c>
      <c r="F3648" s="1323">
        <f t="shared" si="367"/>
        <v>4.8761039730274343</v>
      </c>
      <c r="G3648" s="1323">
        <f t="shared" si="369"/>
        <v>2000</v>
      </c>
      <c r="H3648" s="1323">
        <f t="shared" si="370"/>
        <v>2</v>
      </c>
      <c r="I3648" s="1323">
        <f t="shared" si="371"/>
        <v>8</v>
      </c>
      <c r="J3648" s="1323"/>
      <c r="K3648" s="1323"/>
      <c r="L3648" s="1323"/>
      <c r="M3648" s="1323"/>
      <c r="N3648" s="1323"/>
      <c r="O3648" s="1323"/>
      <c r="P3648" s="1323"/>
      <c r="Q3648" s="1323"/>
      <c r="R3648" s="1304"/>
      <c r="S3648" s="1304"/>
      <c r="T3648" s="1304"/>
    </row>
    <row r="3649" spans="1:20">
      <c r="A3649" s="1303"/>
      <c r="B3649" s="1322" t="s">
        <v>9384</v>
      </c>
      <c r="C3649" s="1323" t="s">
        <v>9360</v>
      </c>
      <c r="D3649" s="1324">
        <f t="shared" si="366"/>
        <v>36563</v>
      </c>
      <c r="E3649" s="1323">
        <f t="shared" si="368"/>
        <v>6.2445000000000004</v>
      </c>
      <c r="F3649" s="1323">
        <f t="shared" si="367"/>
        <v>4.8751690091078794</v>
      </c>
      <c r="G3649" s="1323">
        <f t="shared" si="369"/>
        <v>2000</v>
      </c>
      <c r="H3649" s="1323">
        <f t="shared" si="370"/>
        <v>2</v>
      </c>
      <c r="I3649" s="1323">
        <f t="shared" si="371"/>
        <v>7</v>
      </c>
      <c r="J3649" s="1323"/>
      <c r="K3649" s="1323"/>
      <c r="L3649" s="1323"/>
      <c r="M3649" s="1323"/>
      <c r="N3649" s="1323"/>
      <c r="O3649" s="1323"/>
      <c r="P3649" s="1323"/>
      <c r="Q3649" s="1323"/>
      <c r="R3649" s="1304"/>
      <c r="S3649" s="1304"/>
      <c r="T3649" s="1304"/>
    </row>
    <row r="3650" spans="1:20">
      <c r="A3650" s="1303"/>
      <c r="B3650" s="1322" t="s">
        <v>9385</v>
      </c>
      <c r="C3650" s="1323" t="s">
        <v>9386</v>
      </c>
      <c r="D3650" s="1324">
        <f t="shared" si="366"/>
        <v>36560</v>
      </c>
      <c r="E3650" s="1323">
        <f t="shared" si="368"/>
        <v>6.2305000000000001</v>
      </c>
      <c r="F3650" s="1323">
        <f t="shared" si="367"/>
        <v>4.874234224462092</v>
      </c>
      <c r="G3650" s="1323">
        <f t="shared" si="369"/>
        <v>2000</v>
      </c>
      <c r="H3650" s="1323">
        <f t="shared" si="370"/>
        <v>2</v>
      </c>
      <c r="I3650" s="1323">
        <f t="shared" si="371"/>
        <v>4</v>
      </c>
      <c r="J3650" s="1323"/>
      <c r="K3650" s="1323"/>
      <c r="L3650" s="1323"/>
      <c r="M3650" s="1323"/>
      <c r="N3650" s="1323"/>
      <c r="O3650" s="1323"/>
      <c r="P3650" s="1323"/>
      <c r="Q3650" s="1323"/>
      <c r="R3650" s="1304"/>
      <c r="S3650" s="1304"/>
      <c r="T3650" s="1304"/>
    </row>
    <row r="3651" spans="1:20">
      <c r="A3651" s="1303"/>
      <c r="B3651" s="1322" t="s">
        <v>9387</v>
      </c>
      <c r="C3651" s="1323" t="s">
        <v>9388</v>
      </c>
      <c r="D3651" s="1324">
        <f t="shared" si="366"/>
        <v>36559</v>
      </c>
      <c r="E3651" s="1323">
        <f t="shared" si="368"/>
        <v>6.2667999999999999</v>
      </c>
      <c r="F3651" s="1323">
        <f t="shared" si="367"/>
        <v>4.8732996190556976</v>
      </c>
      <c r="G3651" s="1323">
        <f t="shared" si="369"/>
        <v>2000</v>
      </c>
      <c r="H3651" s="1323">
        <f t="shared" si="370"/>
        <v>2</v>
      </c>
      <c r="I3651" s="1323">
        <f t="shared" si="371"/>
        <v>3</v>
      </c>
      <c r="J3651" s="1323"/>
      <c r="K3651" s="1323"/>
      <c r="L3651" s="1323"/>
      <c r="M3651" s="1323"/>
      <c r="N3651" s="1323"/>
      <c r="O3651" s="1323"/>
      <c r="P3651" s="1323"/>
      <c r="Q3651" s="1323"/>
      <c r="R3651" s="1304"/>
      <c r="S3651" s="1304"/>
      <c r="T3651" s="1304"/>
    </row>
    <row r="3652" spans="1:20">
      <c r="A3652" s="1303"/>
      <c r="B3652" s="1322" t="s">
        <v>9389</v>
      </c>
      <c r="C3652" s="1323" t="s">
        <v>9390</v>
      </c>
      <c r="D3652" s="1324">
        <f t="shared" si="366"/>
        <v>36558</v>
      </c>
      <c r="E3652" s="1323">
        <f t="shared" si="368"/>
        <v>6.2717999999999998</v>
      </c>
      <c r="F3652" s="1323">
        <f t="shared" si="367"/>
        <v>4.8723651928543283</v>
      </c>
      <c r="G3652" s="1323">
        <f t="shared" si="369"/>
        <v>2000</v>
      </c>
      <c r="H3652" s="1323">
        <f t="shared" si="370"/>
        <v>2</v>
      </c>
      <c r="I3652" s="1323">
        <f t="shared" si="371"/>
        <v>2</v>
      </c>
      <c r="J3652" s="1323"/>
      <c r="K3652" s="1323"/>
      <c r="L3652" s="1323"/>
      <c r="M3652" s="1323"/>
      <c r="N3652" s="1323"/>
      <c r="O3652" s="1323"/>
      <c r="P3652" s="1323"/>
      <c r="Q3652" s="1323"/>
      <c r="R3652" s="1304"/>
      <c r="S3652" s="1304"/>
      <c r="T3652" s="1304"/>
    </row>
    <row r="3653" spans="1:20">
      <c r="A3653" s="1303"/>
      <c r="B3653" s="1322" t="s">
        <v>9391</v>
      </c>
      <c r="C3653" s="1323" t="s">
        <v>9392</v>
      </c>
      <c r="D3653" s="1324">
        <f t="shared" si="366"/>
        <v>36557</v>
      </c>
      <c r="E3653" s="1323">
        <f t="shared" si="368"/>
        <v>6.3026</v>
      </c>
      <c r="F3653" s="1323">
        <f t="shared" si="367"/>
        <v>4.8714309458236222</v>
      </c>
      <c r="G3653" s="1323">
        <f t="shared" si="369"/>
        <v>2000</v>
      </c>
      <c r="H3653" s="1323">
        <f t="shared" si="370"/>
        <v>2</v>
      </c>
      <c r="I3653" s="1323">
        <f t="shared" si="371"/>
        <v>1</v>
      </c>
      <c r="J3653" s="1323"/>
      <c r="K3653" s="1323"/>
      <c r="L3653" s="1323"/>
      <c r="M3653" s="1323"/>
      <c r="N3653" s="1323"/>
      <c r="O3653" s="1323"/>
      <c r="P3653" s="1323"/>
      <c r="Q3653" s="1323"/>
      <c r="R3653" s="1304"/>
      <c r="S3653" s="1304"/>
      <c r="T3653" s="1304"/>
    </row>
    <row r="3654" spans="1:20">
      <c r="A3654" s="1303"/>
      <c r="B3654" s="1322" t="s">
        <v>9393</v>
      </c>
      <c r="C3654" s="1323" t="s">
        <v>9394</v>
      </c>
      <c r="D3654" s="1324">
        <f t="shared" si="366"/>
        <v>36556</v>
      </c>
      <c r="E3654" s="1323">
        <f t="shared" si="368"/>
        <v>6.3148999999999997</v>
      </c>
      <c r="F3654" s="1323">
        <f t="shared" si="367"/>
        <v>4.8704968779292246</v>
      </c>
      <c r="G3654" s="1323">
        <f t="shared" si="369"/>
        <v>2000</v>
      </c>
      <c r="H3654" s="1323">
        <f t="shared" si="370"/>
        <v>1</v>
      </c>
      <c r="I3654" s="1323">
        <f t="shared" si="371"/>
        <v>31</v>
      </c>
      <c r="J3654" s="1323"/>
      <c r="K3654" s="1323"/>
      <c r="L3654" s="1323"/>
      <c r="M3654" s="1323"/>
      <c r="N3654" s="1323"/>
      <c r="O3654" s="1323"/>
      <c r="P3654" s="1323"/>
      <c r="Q3654" s="1323"/>
      <c r="R3654" s="1304"/>
      <c r="S3654" s="1304"/>
      <c r="T3654" s="1304"/>
    </row>
    <row r="3655" spans="1:20">
      <c r="A3655" s="1303"/>
      <c r="B3655" s="1322" t="s">
        <v>9395</v>
      </c>
      <c r="C3655" s="1323" t="s">
        <v>7240</v>
      </c>
      <c r="D3655" s="1324">
        <f t="shared" si="366"/>
        <v>36553</v>
      </c>
      <c r="E3655" s="1323">
        <f t="shared" si="368"/>
        <v>6.2550999999999997</v>
      </c>
      <c r="F3655" s="1323">
        <f t="shared" si="367"/>
        <v>4.8695629891367869</v>
      </c>
      <c r="G3655" s="1323">
        <f t="shared" si="369"/>
        <v>2000</v>
      </c>
      <c r="H3655" s="1323">
        <f t="shared" si="370"/>
        <v>1</v>
      </c>
      <c r="I3655" s="1323">
        <f t="shared" si="371"/>
        <v>28</v>
      </c>
      <c r="J3655" s="1323"/>
      <c r="K3655" s="1323"/>
      <c r="L3655" s="1323"/>
      <c r="M3655" s="1323"/>
      <c r="N3655" s="1323"/>
      <c r="O3655" s="1323"/>
      <c r="P3655" s="1323"/>
      <c r="Q3655" s="1323"/>
      <c r="R3655" s="1304"/>
      <c r="S3655" s="1304"/>
      <c r="T3655" s="1304"/>
    </row>
    <row r="3656" spans="1:20">
      <c r="A3656" s="1303"/>
      <c r="B3656" s="1322" t="s">
        <v>9396</v>
      </c>
      <c r="C3656" s="1323" t="s">
        <v>9397</v>
      </c>
      <c r="D3656" s="1324">
        <f t="shared" si="366"/>
        <v>36552</v>
      </c>
      <c r="E3656" s="1323">
        <f t="shared" si="368"/>
        <v>6.1637000000000004</v>
      </c>
      <c r="F3656" s="1323">
        <f t="shared" si="367"/>
        <v>4.8686292794119677</v>
      </c>
      <c r="G3656" s="1323">
        <f t="shared" si="369"/>
        <v>2000</v>
      </c>
      <c r="H3656" s="1323">
        <f t="shared" si="370"/>
        <v>1</v>
      </c>
      <c r="I3656" s="1323">
        <f t="shared" si="371"/>
        <v>27</v>
      </c>
      <c r="J3656" s="1323"/>
      <c r="K3656" s="1323"/>
      <c r="L3656" s="1323"/>
      <c r="M3656" s="1323"/>
      <c r="N3656" s="1323"/>
      <c r="O3656" s="1323"/>
      <c r="P3656" s="1323"/>
      <c r="Q3656" s="1323"/>
      <c r="R3656" s="1304"/>
      <c r="S3656" s="1304"/>
      <c r="T3656" s="1304"/>
    </row>
    <row r="3657" spans="1:20">
      <c r="A3657" s="1303"/>
      <c r="B3657" s="1322" t="s">
        <v>9398</v>
      </c>
      <c r="C3657" s="1323" t="s">
        <v>9399</v>
      </c>
      <c r="D3657" s="1324">
        <f t="shared" ref="D3657:D3720" si="372">DATE(G3657,H3657,I3657)</f>
        <v>36551</v>
      </c>
      <c r="E3657" s="1323">
        <f t="shared" si="368"/>
        <v>6.1490999999999998</v>
      </c>
      <c r="F3657" s="1323">
        <f t="shared" ref="F3657:F3720" si="373">F3658*(1+$F$7/365)</f>
        <v>4.8676957487204318</v>
      </c>
      <c r="G3657" s="1323">
        <f t="shared" si="369"/>
        <v>2000</v>
      </c>
      <c r="H3657" s="1323">
        <f t="shared" si="370"/>
        <v>1</v>
      </c>
      <c r="I3657" s="1323">
        <f t="shared" si="371"/>
        <v>26</v>
      </c>
      <c r="J3657" s="1323"/>
      <c r="K3657" s="1323"/>
      <c r="L3657" s="1323"/>
      <c r="M3657" s="1323"/>
      <c r="N3657" s="1323"/>
      <c r="O3657" s="1323"/>
      <c r="P3657" s="1323"/>
      <c r="Q3657" s="1323"/>
      <c r="R3657" s="1304"/>
      <c r="S3657" s="1304"/>
      <c r="T3657" s="1304"/>
    </row>
    <row r="3658" spans="1:20">
      <c r="A3658" s="1303"/>
      <c r="B3658" s="1322" t="s">
        <v>9400</v>
      </c>
      <c r="C3658" s="1323" t="s">
        <v>7105</v>
      </c>
      <c r="D3658" s="1324">
        <f t="shared" si="372"/>
        <v>36550</v>
      </c>
      <c r="E3658" s="1323">
        <f t="shared" si="368"/>
        <v>6.1603000000000003</v>
      </c>
      <c r="F3658" s="1323">
        <f t="shared" si="373"/>
        <v>4.8667623970278511</v>
      </c>
      <c r="G3658" s="1323">
        <f t="shared" si="369"/>
        <v>2000</v>
      </c>
      <c r="H3658" s="1323">
        <f t="shared" si="370"/>
        <v>1</v>
      </c>
      <c r="I3658" s="1323">
        <f t="shared" si="371"/>
        <v>25</v>
      </c>
      <c r="J3658" s="1323"/>
      <c r="K3658" s="1323"/>
      <c r="L3658" s="1323"/>
      <c r="M3658" s="1323"/>
      <c r="N3658" s="1323"/>
      <c r="O3658" s="1323"/>
      <c r="P3658" s="1323"/>
      <c r="Q3658" s="1323"/>
      <c r="R3658" s="1304"/>
      <c r="S3658" s="1304"/>
      <c r="T3658" s="1304"/>
    </row>
    <row r="3659" spans="1:20">
      <c r="A3659" s="1303"/>
      <c r="B3659" s="1322" t="s">
        <v>9401</v>
      </c>
      <c r="C3659" s="1323" t="s">
        <v>9402</v>
      </c>
      <c r="D3659" s="1324">
        <f t="shared" si="372"/>
        <v>36549</v>
      </c>
      <c r="E3659" s="1323">
        <f t="shared" si="368"/>
        <v>6.1501000000000001</v>
      </c>
      <c r="F3659" s="1323">
        <f t="shared" si="373"/>
        <v>4.8658292242999028</v>
      </c>
      <c r="G3659" s="1323">
        <f t="shared" si="369"/>
        <v>2000</v>
      </c>
      <c r="H3659" s="1323">
        <f t="shared" si="370"/>
        <v>1</v>
      </c>
      <c r="I3659" s="1323">
        <f t="shared" si="371"/>
        <v>24</v>
      </c>
      <c r="J3659" s="1323"/>
      <c r="K3659" s="1323"/>
      <c r="L3659" s="1323"/>
      <c r="M3659" s="1323"/>
      <c r="N3659" s="1323"/>
      <c r="O3659" s="1323"/>
      <c r="P3659" s="1323"/>
      <c r="Q3659" s="1323"/>
      <c r="R3659" s="1304"/>
      <c r="S3659" s="1304"/>
      <c r="T3659" s="1304"/>
    </row>
    <row r="3660" spans="1:20">
      <c r="A3660" s="1303"/>
      <c r="B3660" s="1322" t="s">
        <v>9403</v>
      </c>
      <c r="C3660" s="1323" t="s">
        <v>9404</v>
      </c>
      <c r="D3660" s="1324">
        <f t="shared" si="372"/>
        <v>36546</v>
      </c>
      <c r="E3660" s="1323">
        <f t="shared" si="368"/>
        <v>6.1025999999999998</v>
      </c>
      <c r="F3660" s="1323">
        <f t="shared" si="373"/>
        <v>4.8648962305022723</v>
      </c>
      <c r="G3660" s="1323">
        <f t="shared" si="369"/>
        <v>2000</v>
      </c>
      <c r="H3660" s="1323">
        <f t="shared" si="370"/>
        <v>1</v>
      </c>
      <c r="I3660" s="1323">
        <f t="shared" si="371"/>
        <v>21</v>
      </c>
      <c r="J3660" s="1323"/>
      <c r="K3660" s="1323"/>
      <c r="L3660" s="1323"/>
      <c r="M3660" s="1323"/>
      <c r="N3660" s="1323"/>
      <c r="O3660" s="1323"/>
      <c r="P3660" s="1323"/>
      <c r="Q3660" s="1323"/>
      <c r="R3660" s="1304"/>
      <c r="S3660" s="1304"/>
      <c r="T3660" s="1304"/>
    </row>
    <row r="3661" spans="1:20">
      <c r="A3661" s="1303"/>
      <c r="B3661" s="1322" t="s">
        <v>9405</v>
      </c>
      <c r="C3661" s="1323" t="s">
        <v>9406</v>
      </c>
      <c r="D3661" s="1324">
        <f t="shared" si="372"/>
        <v>36545</v>
      </c>
      <c r="E3661" s="1323">
        <f t="shared" si="368"/>
        <v>6.1130000000000004</v>
      </c>
      <c r="F3661" s="1323">
        <f t="shared" si="373"/>
        <v>4.8639634156006499</v>
      </c>
      <c r="G3661" s="1323">
        <f t="shared" si="369"/>
        <v>2000</v>
      </c>
      <c r="H3661" s="1323">
        <f t="shared" si="370"/>
        <v>1</v>
      </c>
      <c r="I3661" s="1323">
        <f t="shared" si="371"/>
        <v>20</v>
      </c>
      <c r="J3661" s="1323"/>
      <c r="K3661" s="1323"/>
      <c r="L3661" s="1323"/>
      <c r="M3661" s="1323"/>
      <c r="N3661" s="1323"/>
      <c r="O3661" s="1323"/>
      <c r="P3661" s="1323"/>
      <c r="Q3661" s="1323"/>
      <c r="R3661" s="1304"/>
      <c r="S3661" s="1304"/>
      <c r="T3661" s="1304"/>
    </row>
    <row r="3662" spans="1:20">
      <c r="A3662" s="1303"/>
      <c r="B3662" s="1322" t="s">
        <v>9407</v>
      </c>
      <c r="C3662" s="1323" t="s">
        <v>9408</v>
      </c>
      <c r="D3662" s="1324">
        <f t="shared" si="372"/>
        <v>36544</v>
      </c>
      <c r="E3662" s="1323">
        <f t="shared" si="368"/>
        <v>6.1009000000000002</v>
      </c>
      <c r="F3662" s="1323">
        <f t="shared" si="373"/>
        <v>4.8630307795607344</v>
      </c>
      <c r="G3662" s="1323">
        <f t="shared" si="369"/>
        <v>2000</v>
      </c>
      <c r="H3662" s="1323">
        <f t="shared" si="370"/>
        <v>1</v>
      </c>
      <c r="I3662" s="1323">
        <f t="shared" si="371"/>
        <v>19</v>
      </c>
      <c r="J3662" s="1323"/>
      <c r="K3662" s="1323"/>
      <c r="L3662" s="1323"/>
      <c r="M3662" s="1323"/>
      <c r="N3662" s="1323"/>
      <c r="O3662" s="1323"/>
      <c r="P3662" s="1323"/>
      <c r="Q3662" s="1323"/>
      <c r="R3662" s="1304"/>
      <c r="S3662" s="1304"/>
      <c r="T3662" s="1304"/>
    </row>
    <row r="3663" spans="1:20">
      <c r="A3663" s="1303"/>
      <c r="B3663" s="1322" t="s">
        <v>9409</v>
      </c>
      <c r="C3663" s="1323" t="s">
        <v>9410</v>
      </c>
      <c r="D3663" s="1324">
        <f t="shared" si="372"/>
        <v>36543</v>
      </c>
      <c r="E3663" s="1323">
        <f t="shared" si="368"/>
        <v>6.0807000000000002</v>
      </c>
      <c r="F3663" s="1323">
        <f t="shared" si="373"/>
        <v>4.8620983223482295</v>
      </c>
      <c r="G3663" s="1323">
        <f t="shared" si="369"/>
        <v>2000</v>
      </c>
      <c r="H3663" s="1323">
        <f t="shared" si="370"/>
        <v>1</v>
      </c>
      <c r="I3663" s="1323">
        <f t="shared" si="371"/>
        <v>18</v>
      </c>
      <c r="J3663" s="1323"/>
      <c r="K3663" s="1323"/>
      <c r="L3663" s="1323"/>
      <c r="M3663" s="1323"/>
      <c r="N3663" s="1323"/>
      <c r="O3663" s="1323"/>
      <c r="P3663" s="1323"/>
      <c r="Q3663" s="1323"/>
      <c r="R3663" s="1304"/>
      <c r="S3663" s="1304"/>
      <c r="T3663" s="1304"/>
    </row>
    <row r="3664" spans="1:20">
      <c r="A3664" s="1303"/>
      <c r="B3664" s="1322" t="s">
        <v>9411</v>
      </c>
      <c r="C3664" s="1323" t="s">
        <v>9412</v>
      </c>
      <c r="D3664" s="1324">
        <f t="shared" si="372"/>
        <v>36542</v>
      </c>
      <c r="E3664" s="1323">
        <f t="shared" si="368"/>
        <v>6.0743999999999998</v>
      </c>
      <c r="F3664" s="1323">
        <f t="shared" si="373"/>
        <v>4.8611660439288453</v>
      </c>
      <c r="G3664" s="1323">
        <f t="shared" si="369"/>
        <v>2000</v>
      </c>
      <c r="H3664" s="1323">
        <f t="shared" si="370"/>
        <v>1</v>
      </c>
      <c r="I3664" s="1323">
        <f t="shared" si="371"/>
        <v>17</v>
      </c>
      <c r="J3664" s="1323"/>
      <c r="K3664" s="1323"/>
      <c r="L3664" s="1323"/>
      <c r="M3664" s="1323"/>
      <c r="N3664" s="1323"/>
      <c r="O3664" s="1323"/>
      <c r="P3664" s="1323"/>
      <c r="Q3664" s="1323"/>
      <c r="R3664" s="1304"/>
      <c r="S3664" s="1304"/>
      <c r="T3664" s="1304"/>
    </row>
    <row r="3665" spans="1:20">
      <c r="A3665" s="1303"/>
      <c r="B3665" s="1322" t="s">
        <v>9413</v>
      </c>
      <c r="C3665" s="1323" t="s">
        <v>9414</v>
      </c>
      <c r="D3665" s="1324">
        <f t="shared" si="372"/>
        <v>36539</v>
      </c>
      <c r="E3665" s="1323">
        <f t="shared" si="368"/>
        <v>6.0705</v>
      </c>
      <c r="F3665" s="1323">
        <f t="shared" si="373"/>
        <v>4.8602339442683009</v>
      </c>
      <c r="G3665" s="1323">
        <f t="shared" si="369"/>
        <v>2000</v>
      </c>
      <c r="H3665" s="1323">
        <f t="shared" si="370"/>
        <v>1</v>
      </c>
      <c r="I3665" s="1323">
        <f t="shared" si="371"/>
        <v>14</v>
      </c>
      <c r="J3665" s="1323"/>
      <c r="K3665" s="1323"/>
      <c r="L3665" s="1323"/>
      <c r="M3665" s="1323"/>
      <c r="N3665" s="1323"/>
      <c r="O3665" s="1323"/>
      <c r="P3665" s="1323"/>
      <c r="Q3665" s="1323"/>
      <c r="R3665" s="1304"/>
      <c r="S3665" s="1304"/>
      <c r="T3665" s="1304"/>
    </row>
    <row r="3666" spans="1:20">
      <c r="A3666" s="1303"/>
      <c r="B3666" s="1322" t="s">
        <v>9415</v>
      </c>
      <c r="C3666" s="1323" t="s">
        <v>9416</v>
      </c>
      <c r="D3666" s="1324">
        <f t="shared" si="372"/>
        <v>36538</v>
      </c>
      <c r="E3666" s="1323">
        <f t="shared" si="368"/>
        <v>6.0636999999999999</v>
      </c>
      <c r="F3666" s="1323">
        <f t="shared" si="373"/>
        <v>4.8593020233323196</v>
      </c>
      <c r="G3666" s="1323">
        <f t="shared" si="369"/>
        <v>2000</v>
      </c>
      <c r="H3666" s="1323">
        <f t="shared" si="370"/>
        <v>1</v>
      </c>
      <c r="I3666" s="1323">
        <f t="shared" si="371"/>
        <v>13</v>
      </c>
      <c r="J3666" s="1323"/>
      <c r="K3666" s="1323"/>
      <c r="L3666" s="1323"/>
      <c r="M3666" s="1323"/>
      <c r="N3666" s="1323"/>
      <c r="O3666" s="1323"/>
      <c r="P3666" s="1323"/>
      <c r="Q3666" s="1323"/>
      <c r="R3666" s="1304"/>
      <c r="S3666" s="1304"/>
      <c r="T3666" s="1304"/>
    </row>
    <row r="3667" spans="1:20">
      <c r="A3667" s="1303"/>
      <c r="B3667" s="1322" t="s">
        <v>9417</v>
      </c>
      <c r="C3667" s="1323" t="s">
        <v>9418</v>
      </c>
      <c r="D3667" s="1324">
        <f t="shared" si="372"/>
        <v>36537</v>
      </c>
      <c r="E3667" s="1323">
        <f t="shared" si="368"/>
        <v>6.0976999999999997</v>
      </c>
      <c r="F3667" s="1323">
        <f t="shared" si="373"/>
        <v>4.858370281086632</v>
      </c>
      <c r="G3667" s="1323">
        <f t="shared" si="369"/>
        <v>2000</v>
      </c>
      <c r="H3667" s="1323">
        <f t="shared" si="370"/>
        <v>1</v>
      </c>
      <c r="I3667" s="1323">
        <f t="shared" si="371"/>
        <v>12</v>
      </c>
      <c r="J3667" s="1323"/>
      <c r="K3667" s="1323"/>
      <c r="L3667" s="1323"/>
      <c r="M3667" s="1323"/>
      <c r="N3667" s="1323"/>
      <c r="O3667" s="1323"/>
      <c r="P3667" s="1323"/>
      <c r="Q3667" s="1323"/>
      <c r="R3667" s="1304"/>
      <c r="S3667" s="1304"/>
      <c r="T3667" s="1304"/>
    </row>
    <row r="3668" spans="1:20">
      <c r="A3668" s="1303"/>
      <c r="B3668" s="1322" t="s">
        <v>9419</v>
      </c>
      <c r="C3668" s="1323" t="s">
        <v>9420</v>
      </c>
      <c r="D3668" s="1324">
        <f t="shared" si="372"/>
        <v>36536</v>
      </c>
      <c r="E3668" s="1323">
        <f t="shared" si="368"/>
        <v>6.0883000000000003</v>
      </c>
      <c r="F3668" s="1323">
        <f t="shared" si="373"/>
        <v>4.8574387174969749</v>
      </c>
      <c r="G3668" s="1323">
        <f t="shared" si="369"/>
        <v>2000</v>
      </c>
      <c r="H3668" s="1323">
        <f t="shared" si="370"/>
        <v>1</v>
      </c>
      <c r="I3668" s="1323">
        <f t="shared" si="371"/>
        <v>11</v>
      </c>
      <c r="J3668" s="1323"/>
      <c r="K3668" s="1323"/>
      <c r="L3668" s="1323"/>
      <c r="M3668" s="1323"/>
      <c r="N3668" s="1323"/>
      <c r="O3668" s="1323"/>
      <c r="P3668" s="1323"/>
      <c r="Q3668" s="1323"/>
      <c r="R3668" s="1304"/>
      <c r="S3668" s="1304"/>
      <c r="T3668" s="1304"/>
    </row>
    <row r="3669" spans="1:20">
      <c r="A3669" s="1303"/>
      <c r="B3669" s="1322" t="s">
        <v>9421</v>
      </c>
      <c r="C3669" s="1323" t="s">
        <v>9422</v>
      </c>
      <c r="D3669" s="1324">
        <f t="shared" si="372"/>
        <v>36535</v>
      </c>
      <c r="E3669" s="1323">
        <f t="shared" si="368"/>
        <v>6.0593000000000004</v>
      </c>
      <c r="F3669" s="1323">
        <f t="shared" si="373"/>
        <v>4.8565073325290928</v>
      </c>
      <c r="G3669" s="1323">
        <f t="shared" si="369"/>
        <v>2000</v>
      </c>
      <c r="H3669" s="1323">
        <f t="shared" si="370"/>
        <v>1</v>
      </c>
      <c r="I3669" s="1323">
        <f t="shared" si="371"/>
        <v>10</v>
      </c>
      <c r="J3669" s="1323"/>
      <c r="K3669" s="1323"/>
      <c r="L3669" s="1323"/>
      <c r="M3669" s="1323"/>
      <c r="N3669" s="1323"/>
      <c r="O3669" s="1323"/>
      <c r="P3669" s="1323"/>
      <c r="Q3669" s="1323"/>
      <c r="R3669" s="1304"/>
      <c r="S3669" s="1304"/>
      <c r="T3669" s="1304"/>
    </row>
    <row r="3670" spans="1:20">
      <c r="A3670" s="1303"/>
      <c r="B3670" s="1322" t="s">
        <v>9423</v>
      </c>
      <c r="C3670" s="1323" t="s">
        <v>9424</v>
      </c>
      <c r="D3670" s="1324">
        <f t="shared" si="372"/>
        <v>36532</v>
      </c>
      <c r="E3670" s="1323">
        <f t="shared" ref="E3670:E3733" si="374">VALUE(C3671)</f>
        <v>6.0671999999999997</v>
      </c>
      <c r="F3670" s="1323">
        <f t="shared" si="373"/>
        <v>4.8555761261487351</v>
      </c>
      <c r="G3670" s="1323">
        <f t="shared" ref="G3670:G3733" si="375">YEAR(B3671)</f>
        <v>2000</v>
      </c>
      <c r="H3670" s="1323">
        <f t="shared" ref="H3670:H3733" si="376">MONTH(B3671)</f>
        <v>1</v>
      </c>
      <c r="I3670" s="1323">
        <f t="shared" ref="I3670:I3733" si="377">DAY(B3671)</f>
        <v>7</v>
      </c>
      <c r="J3670" s="1323"/>
      <c r="K3670" s="1323"/>
      <c r="L3670" s="1323"/>
      <c r="M3670" s="1323"/>
      <c r="N3670" s="1323"/>
      <c r="O3670" s="1323"/>
      <c r="P3670" s="1323"/>
      <c r="Q3670" s="1323"/>
      <c r="R3670" s="1304"/>
      <c r="S3670" s="1304"/>
      <c r="T3670" s="1304"/>
    </row>
    <row r="3671" spans="1:20">
      <c r="A3671" s="1303"/>
      <c r="B3671" s="1322" t="s">
        <v>9425</v>
      </c>
      <c r="C3671" s="1323" t="s">
        <v>9426</v>
      </c>
      <c r="D3671" s="1324">
        <f t="shared" si="372"/>
        <v>36531</v>
      </c>
      <c r="E3671" s="1323">
        <f t="shared" si="374"/>
        <v>6.0824999999999996</v>
      </c>
      <c r="F3671" s="1323">
        <f t="shared" si="373"/>
        <v>4.8546450983216598</v>
      </c>
      <c r="G3671" s="1323">
        <f t="shared" si="375"/>
        <v>2000</v>
      </c>
      <c r="H3671" s="1323">
        <f t="shared" si="376"/>
        <v>1</v>
      </c>
      <c r="I3671" s="1323">
        <f t="shared" si="377"/>
        <v>6</v>
      </c>
      <c r="J3671" s="1323"/>
      <c r="K3671" s="1323"/>
      <c r="L3671" s="1323"/>
      <c r="M3671" s="1323"/>
      <c r="N3671" s="1323"/>
      <c r="O3671" s="1323"/>
      <c r="P3671" s="1323"/>
      <c r="Q3671" s="1323"/>
      <c r="R3671" s="1304"/>
      <c r="S3671" s="1304"/>
      <c r="T3671" s="1304"/>
    </row>
    <row r="3672" spans="1:20">
      <c r="A3672" s="1303"/>
      <c r="B3672" s="1322" t="s">
        <v>9427</v>
      </c>
      <c r="C3672" s="1323" t="s">
        <v>9428</v>
      </c>
      <c r="D3672" s="1324">
        <f t="shared" si="372"/>
        <v>36530</v>
      </c>
      <c r="E3672" s="1323">
        <f t="shared" si="374"/>
        <v>6.0880999999999998</v>
      </c>
      <c r="F3672" s="1323">
        <f t="shared" si="373"/>
        <v>4.8537142490136294</v>
      </c>
      <c r="G3672" s="1323">
        <f t="shared" si="375"/>
        <v>2000</v>
      </c>
      <c r="H3672" s="1323">
        <f t="shared" si="376"/>
        <v>1</v>
      </c>
      <c r="I3672" s="1323">
        <f t="shared" si="377"/>
        <v>5</v>
      </c>
      <c r="J3672" s="1323"/>
      <c r="K3672" s="1323"/>
      <c r="L3672" s="1323"/>
      <c r="M3672" s="1323"/>
      <c r="N3672" s="1323"/>
      <c r="O3672" s="1323"/>
      <c r="P3672" s="1323"/>
      <c r="Q3672" s="1323"/>
      <c r="R3672" s="1304"/>
      <c r="S3672" s="1304"/>
      <c r="T3672" s="1304"/>
    </row>
    <row r="3673" spans="1:20">
      <c r="A3673" s="1303"/>
      <c r="B3673" s="1322" t="s">
        <v>9429</v>
      </c>
      <c r="C3673" s="1323" t="s">
        <v>9430</v>
      </c>
      <c r="D3673" s="1324">
        <f t="shared" si="372"/>
        <v>36529</v>
      </c>
      <c r="E3673" s="1323">
        <f t="shared" si="374"/>
        <v>6.1188000000000002</v>
      </c>
      <c r="F3673" s="1323">
        <f t="shared" si="373"/>
        <v>4.8527835781904143</v>
      </c>
      <c r="G3673" s="1323">
        <f t="shared" si="375"/>
        <v>2000</v>
      </c>
      <c r="H3673" s="1323">
        <f t="shared" si="376"/>
        <v>1</v>
      </c>
      <c r="I3673" s="1323">
        <f t="shared" si="377"/>
        <v>4</v>
      </c>
      <c r="J3673" s="1323"/>
      <c r="K3673" s="1323"/>
      <c r="L3673" s="1323"/>
      <c r="M3673" s="1323"/>
      <c r="N3673" s="1323"/>
      <c r="O3673" s="1323"/>
      <c r="P3673" s="1323"/>
      <c r="Q3673" s="1323"/>
      <c r="R3673" s="1304"/>
      <c r="S3673" s="1304"/>
      <c r="T3673" s="1304"/>
    </row>
    <row r="3674" spans="1:20">
      <c r="A3674" s="1303"/>
      <c r="B3674" s="1322" t="s">
        <v>9431</v>
      </c>
      <c r="C3674" s="1323" t="s">
        <v>9432</v>
      </c>
      <c r="D3674" s="1324">
        <f t="shared" si="372"/>
        <v>36524</v>
      </c>
      <c r="E3674" s="1323">
        <f t="shared" si="374"/>
        <v>6.1547999999999998</v>
      </c>
      <c r="F3674" s="1323">
        <f t="shared" si="373"/>
        <v>4.8518530858177913</v>
      </c>
      <c r="G3674" s="1323">
        <f t="shared" si="375"/>
        <v>1999</v>
      </c>
      <c r="H3674" s="1323">
        <f t="shared" si="376"/>
        <v>12</v>
      </c>
      <c r="I3674" s="1323">
        <f t="shared" si="377"/>
        <v>30</v>
      </c>
      <c r="J3674" s="1323"/>
      <c r="K3674" s="1323"/>
      <c r="L3674" s="1323"/>
      <c r="M3674" s="1323"/>
      <c r="N3674" s="1323"/>
      <c r="O3674" s="1323"/>
      <c r="P3674" s="1323"/>
      <c r="Q3674" s="1323"/>
      <c r="R3674" s="1304"/>
      <c r="S3674" s="1304"/>
      <c r="T3674" s="1304"/>
    </row>
    <row r="3675" spans="1:20">
      <c r="A3675" s="1303"/>
      <c r="B3675" s="1322" t="s">
        <v>9433</v>
      </c>
      <c r="C3675" s="1323" t="s">
        <v>9434</v>
      </c>
      <c r="D3675" s="1324">
        <f t="shared" si="372"/>
        <v>36523</v>
      </c>
      <c r="E3675" s="1323">
        <f t="shared" si="374"/>
        <v>6.1527000000000003</v>
      </c>
      <c r="F3675" s="1323">
        <f t="shared" si="373"/>
        <v>4.8509227718615433</v>
      </c>
      <c r="G3675" s="1323">
        <f t="shared" si="375"/>
        <v>1999</v>
      </c>
      <c r="H3675" s="1323">
        <f t="shared" si="376"/>
        <v>12</v>
      </c>
      <c r="I3675" s="1323">
        <f t="shared" si="377"/>
        <v>29</v>
      </c>
      <c r="J3675" s="1323"/>
      <c r="K3675" s="1323"/>
      <c r="L3675" s="1323"/>
      <c r="M3675" s="1323"/>
      <c r="N3675" s="1323"/>
      <c r="O3675" s="1323"/>
      <c r="P3675" s="1323"/>
      <c r="Q3675" s="1323"/>
      <c r="R3675" s="1304"/>
      <c r="S3675" s="1304"/>
      <c r="T3675" s="1304"/>
    </row>
    <row r="3676" spans="1:20">
      <c r="A3676" s="1303"/>
      <c r="B3676" s="1322" t="s">
        <v>9435</v>
      </c>
      <c r="C3676" s="1323" t="s">
        <v>9436</v>
      </c>
      <c r="D3676" s="1324">
        <f t="shared" si="372"/>
        <v>36522</v>
      </c>
      <c r="E3676" s="1323">
        <f t="shared" si="374"/>
        <v>6.1483999999999996</v>
      </c>
      <c r="F3676" s="1323">
        <f t="shared" si="373"/>
        <v>4.8499926362874604</v>
      </c>
      <c r="G3676" s="1323">
        <f t="shared" si="375"/>
        <v>1999</v>
      </c>
      <c r="H3676" s="1323">
        <f t="shared" si="376"/>
        <v>12</v>
      </c>
      <c r="I3676" s="1323">
        <f t="shared" si="377"/>
        <v>28</v>
      </c>
      <c r="J3676" s="1323"/>
      <c r="K3676" s="1323"/>
      <c r="L3676" s="1323"/>
      <c r="M3676" s="1323"/>
      <c r="N3676" s="1323"/>
      <c r="O3676" s="1323"/>
      <c r="P3676" s="1323"/>
      <c r="Q3676" s="1323"/>
      <c r="R3676" s="1304"/>
      <c r="S3676" s="1304"/>
      <c r="T3676" s="1304"/>
    </row>
    <row r="3677" spans="1:20">
      <c r="A3677" s="1303"/>
      <c r="B3677" s="1322" t="s">
        <v>9437</v>
      </c>
      <c r="C3677" s="1323" t="s">
        <v>9438</v>
      </c>
      <c r="D3677" s="1324">
        <f t="shared" si="372"/>
        <v>36518</v>
      </c>
      <c r="E3677" s="1323">
        <f t="shared" si="374"/>
        <v>6.1516000000000002</v>
      </c>
      <c r="F3677" s="1323">
        <f t="shared" si="373"/>
        <v>4.8490626790613387</v>
      </c>
      <c r="G3677" s="1323">
        <f t="shared" si="375"/>
        <v>1999</v>
      </c>
      <c r="H3677" s="1323">
        <f t="shared" si="376"/>
        <v>12</v>
      </c>
      <c r="I3677" s="1323">
        <f t="shared" si="377"/>
        <v>24</v>
      </c>
      <c r="J3677" s="1323"/>
      <c r="K3677" s="1323"/>
      <c r="L3677" s="1323"/>
      <c r="M3677" s="1323"/>
      <c r="N3677" s="1323"/>
      <c r="O3677" s="1323"/>
      <c r="P3677" s="1323"/>
      <c r="Q3677" s="1323"/>
      <c r="R3677" s="1304"/>
      <c r="S3677" s="1304"/>
      <c r="T3677" s="1304"/>
    </row>
    <row r="3678" spans="1:20">
      <c r="A3678" s="1303"/>
      <c r="B3678" s="1322" t="s">
        <v>9439</v>
      </c>
      <c r="C3678" s="1323" t="s">
        <v>9440</v>
      </c>
      <c r="D3678" s="1324">
        <f t="shared" si="372"/>
        <v>36517</v>
      </c>
      <c r="E3678" s="1323">
        <f t="shared" si="374"/>
        <v>6.1463000000000001</v>
      </c>
      <c r="F3678" s="1323">
        <f t="shared" si="373"/>
        <v>4.8481329001489808</v>
      </c>
      <c r="G3678" s="1323">
        <f t="shared" si="375"/>
        <v>1999</v>
      </c>
      <c r="H3678" s="1323">
        <f t="shared" si="376"/>
        <v>12</v>
      </c>
      <c r="I3678" s="1323">
        <f t="shared" si="377"/>
        <v>23</v>
      </c>
      <c r="J3678" s="1323"/>
      <c r="K3678" s="1323"/>
      <c r="L3678" s="1323"/>
      <c r="M3678" s="1323"/>
      <c r="N3678" s="1323"/>
      <c r="O3678" s="1323"/>
      <c r="P3678" s="1323"/>
      <c r="Q3678" s="1323"/>
      <c r="R3678" s="1304"/>
      <c r="S3678" s="1304"/>
      <c r="T3678" s="1304"/>
    </row>
    <row r="3679" spans="1:20">
      <c r="A3679" s="1303"/>
      <c r="B3679" s="1322" t="s">
        <v>9441</v>
      </c>
      <c r="C3679" s="1323" t="s">
        <v>9442</v>
      </c>
      <c r="D3679" s="1324">
        <f t="shared" si="372"/>
        <v>36516</v>
      </c>
      <c r="E3679" s="1323">
        <f t="shared" si="374"/>
        <v>6.141</v>
      </c>
      <c r="F3679" s="1323">
        <f t="shared" si="373"/>
        <v>4.8472032995161971</v>
      </c>
      <c r="G3679" s="1323">
        <f t="shared" si="375"/>
        <v>1999</v>
      </c>
      <c r="H3679" s="1323">
        <f t="shared" si="376"/>
        <v>12</v>
      </c>
      <c r="I3679" s="1323">
        <f t="shared" si="377"/>
        <v>22</v>
      </c>
      <c r="J3679" s="1323"/>
      <c r="K3679" s="1323"/>
      <c r="L3679" s="1323"/>
      <c r="M3679" s="1323"/>
      <c r="N3679" s="1323"/>
      <c r="O3679" s="1323"/>
      <c r="P3679" s="1323"/>
      <c r="Q3679" s="1323"/>
      <c r="R3679" s="1304"/>
      <c r="S3679" s="1304"/>
      <c r="T3679" s="1304"/>
    </row>
    <row r="3680" spans="1:20">
      <c r="A3680" s="1303"/>
      <c r="B3680" s="1322" t="s">
        <v>9443</v>
      </c>
      <c r="C3680" s="1323" t="s">
        <v>9444</v>
      </c>
      <c r="D3680" s="1324">
        <f t="shared" si="372"/>
        <v>36515</v>
      </c>
      <c r="E3680" s="1323">
        <f t="shared" si="374"/>
        <v>6.1355000000000004</v>
      </c>
      <c r="F3680" s="1323">
        <f t="shared" si="373"/>
        <v>4.8462738771288025</v>
      </c>
      <c r="G3680" s="1323">
        <f t="shared" si="375"/>
        <v>1999</v>
      </c>
      <c r="H3680" s="1323">
        <f t="shared" si="376"/>
        <v>12</v>
      </c>
      <c r="I3680" s="1323">
        <f t="shared" si="377"/>
        <v>21</v>
      </c>
      <c r="J3680" s="1323"/>
      <c r="K3680" s="1323"/>
      <c r="L3680" s="1323"/>
      <c r="M3680" s="1323"/>
      <c r="N3680" s="1323"/>
      <c r="O3680" s="1323"/>
      <c r="P3680" s="1323"/>
      <c r="Q3680" s="1323"/>
      <c r="R3680" s="1304"/>
      <c r="S3680" s="1304"/>
      <c r="T3680" s="1304"/>
    </row>
    <row r="3681" spans="1:20">
      <c r="A3681" s="1303"/>
      <c r="B3681" s="1322" t="s">
        <v>9445</v>
      </c>
      <c r="C3681" s="1323" t="s">
        <v>6971</v>
      </c>
      <c r="D3681" s="1324">
        <f t="shared" si="372"/>
        <v>36514</v>
      </c>
      <c r="E3681" s="1323">
        <f t="shared" si="374"/>
        <v>6.1352000000000002</v>
      </c>
      <c r="F3681" s="1323">
        <f t="shared" si="373"/>
        <v>4.84534463295262</v>
      </c>
      <c r="G3681" s="1323">
        <f t="shared" si="375"/>
        <v>1999</v>
      </c>
      <c r="H3681" s="1323">
        <f t="shared" si="376"/>
        <v>12</v>
      </c>
      <c r="I3681" s="1323">
        <f t="shared" si="377"/>
        <v>20</v>
      </c>
      <c r="J3681" s="1323"/>
      <c r="K3681" s="1323"/>
      <c r="L3681" s="1323"/>
      <c r="M3681" s="1323"/>
      <c r="N3681" s="1323"/>
      <c r="O3681" s="1323"/>
      <c r="P3681" s="1323"/>
      <c r="Q3681" s="1323"/>
      <c r="R3681" s="1304"/>
      <c r="S3681" s="1304"/>
      <c r="T3681" s="1304"/>
    </row>
    <row r="3682" spans="1:20">
      <c r="A3682" s="1303"/>
      <c r="B3682" s="1322" t="s">
        <v>9446</v>
      </c>
      <c r="C3682" s="1323" t="s">
        <v>9447</v>
      </c>
      <c r="D3682" s="1324">
        <f t="shared" si="372"/>
        <v>36511</v>
      </c>
      <c r="E3682" s="1323">
        <f t="shared" si="374"/>
        <v>6.1448</v>
      </c>
      <c r="F3682" s="1323">
        <f t="shared" si="373"/>
        <v>4.8444155669534776</v>
      </c>
      <c r="G3682" s="1323">
        <f t="shared" si="375"/>
        <v>1999</v>
      </c>
      <c r="H3682" s="1323">
        <f t="shared" si="376"/>
        <v>12</v>
      </c>
      <c r="I3682" s="1323">
        <f t="shared" si="377"/>
        <v>17</v>
      </c>
      <c r="J3682" s="1323"/>
      <c r="K3682" s="1323"/>
      <c r="L3682" s="1323"/>
      <c r="M3682" s="1323"/>
      <c r="N3682" s="1323"/>
      <c r="O3682" s="1323"/>
      <c r="P3682" s="1323"/>
      <c r="Q3682" s="1323"/>
      <c r="R3682" s="1304"/>
      <c r="S3682" s="1304"/>
      <c r="T3682" s="1304"/>
    </row>
    <row r="3683" spans="1:20">
      <c r="A3683" s="1303"/>
      <c r="B3683" s="1322" t="s">
        <v>9448</v>
      </c>
      <c r="C3683" s="1323" t="s">
        <v>9449</v>
      </c>
      <c r="D3683" s="1324">
        <f t="shared" si="372"/>
        <v>36509</v>
      </c>
      <c r="E3683" s="1323">
        <f t="shared" si="374"/>
        <v>6.1319999999999997</v>
      </c>
      <c r="F3683" s="1323">
        <f t="shared" si="373"/>
        <v>4.8434866790972126</v>
      </c>
      <c r="G3683" s="1323">
        <f t="shared" si="375"/>
        <v>1999</v>
      </c>
      <c r="H3683" s="1323">
        <f t="shared" si="376"/>
        <v>12</v>
      </c>
      <c r="I3683" s="1323">
        <f t="shared" si="377"/>
        <v>15</v>
      </c>
      <c r="J3683" s="1323"/>
      <c r="K3683" s="1323"/>
      <c r="L3683" s="1323"/>
      <c r="M3683" s="1323"/>
      <c r="N3683" s="1323"/>
      <c r="O3683" s="1323"/>
      <c r="P3683" s="1323"/>
      <c r="Q3683" s="1323"/>
      <c r="R3683" s="1304"/>
      <c r="S3683" s="1304"/>
      <c r="T3683" s="1304"/>
    </row>
    <row r="3684" spans="1:20">
      <c r="A3684" s="1303"/>
      <c r="B3684" s="1322" t="s">
        <v>9450</v>
      </c>
      <c r="C3684" s="1323" t="s">
        <v>9451</v>
      </c>
      <c r="D3684" s="1324">
        <f t="shared" si="372"/>
        <v>36508</v>
      </c>
      <c r="E3684" s="1323">
        <f t="shared" si="374"/>
        <v>6.125</v>
      </c>
      <c r="F3684" s="1323">
        <f t="shared" si="373"/>
        <v>4.8425579693496656</v>
      </c>
      <c r="G3684" s="1323">
        <f t="shared" si="375"/>
        <v>1999</v>
      </c>
      <c r="H3684" s="1323">
        <f t="shared" si="376"/>
        <v>12</v>
      </c>
      <c r="I3684" s="1323">
        <f t="shared" si="377"/>
        <v>14</v>
      </c>
      <c r="J3684" s="1323"/>
      <c r="K3684" s="1323"/>
      <c r="L3684" s="1323"/>
      <c r="M3684" s="1323"/>
      <c r="N3684" s="1323"/>
      <c r="O3684" s="1323"/>
      <c r="P3684" s="1323"/>
      <c r="Q3684" s="1323"/>
      <c r="R3684" s="1304"/>
      <c r="S3684" s="1304"/>
      <c r="T3684" s="1304"/>
    </row>
    <row r="3685" spans="1:20">
      <c r="A3685" s="1303"/>
      <c r="B3685" s="1322" t="s">
        <v>9452</v>
      </c>
      <c r="C3685" s="1323" t="s">
        <v>9453</v>
      </c>
      <c r="D3685" s="1324">
        <f t="shared" si="372"/>
        <v>36507</v>
      </c>
      <c r="E3685" s="1323">
        <f t="shared" si="374"/>
        <v>6.1193999999999997</v>
      </c>
      <c r="F3685" s="1323">
        <f t="shared" si="373"/>
        <v>4.8416294376766862</v>
      </c>
      <c r="G3685" s="1323">
        <f t="shared" si="375"/>
        <v>1999</v>
      </c>
      <c r="H3685" s="1323">
        <f t="shared" si="376"/>
        <v>12</v>
      </c>
      <c r="I3685" s="1323">
        <f t="shared" si="377"/>
        <v>13</v>
      </c>
      <c r="J3685" s="1323"/>
      <c r="K3685" s="1323"/>
      <c r="L3685" s="1323"/>
      <c r="M3685" s="1323"/>
      <c r="N3685" s="1323"/>
      <c r="O3685" s="1323"/>
      <c r="P3685" s="1323"/>
      <c r="Q3685" s="1323"/>
      <c r="R3685" s="1304"/>
      <c r="S3685" s="1304"/>
      <c r="T3685" s="1304"/>
    </row>
    <row r="3686" spans="1:20">
      <c r="A3686" s="1303"/>
      <c r="B3686" s="1322" t="s">
        <v>9454</v>
      </c>
      <c r="C3686" s="1323" t="s">
        <v>9455</v>
      </c>
      <c r="D3686" s="1324">
        <f t="shared" si="372"/>
        <v>36504</v>
      </c>
      <c r="E3686" s="1323">
        <f t="shared" si="374"/>
        <v>6.1456999999999997</v>
      </c>
      <c r="F3686" s="1323">
        <f t="shared" si="373"/>
        <v>4.84070108404413</v>
      </c>
      <c r="G3686" s="1323">
        <f t="shared" si="375"/>
        <v>1999</v>
      </c>
      <c r="H3686" s="1323">
        <f t="shared" si="376"/>
        <v>12</v>
      </c>
      <c r="I3686" s="1323">
        <f t="shared" si="377"/>
        <v>10</v>
      </c>
      <c r="J3686" s="1323"/>
      <c r="K3686" s="1323"/>
      <c r="L3686" s="1323"/>
      <c r="M3686" s="1323"/>
      <c r="N3686" s="1323"/>
      <c r="O3686" s="1323"/>
      <c r="P3686" s="1323"/>
      <c r="Q3686" s="1323"/>
      <c r="R3686" s="1304"/>
      <c r="S3686" s="1304"/>
      <c r="T3686" s="1304"/>
    </row>
    <row r="3687" spans="1:20">
      <c r="A3687" s="1303"/>
      <c r="B3687" s="1322" t="s">
        <v>9456</v>
      </c>
      <c r="C3687" s="1323" t="s">
        <v>9457</v>
      </c>
      <c r="D3687" s="1324">
        <f t="shared" si="372"/>
        <v>36503</v>
      </c>
      <c r="E3687" s="1323">
        <f t="shared" si="374"/>
        <v>6.1508000000000003</v>
      </c>
      <c r="F3687" s="1323">
        <f t="shared" si="373"/>
        <v>4.8397729084178582</v>
      </c>
      <c r="G3687" s="1323">
        <f t="shared" si="375"/>
        <v>1999</v>
      </c>
      <c r="H3687" s="1323">
        <f t="shared" si="376"/>
        <v>12</v>
      </c>
      <c r="I3687" s="1323">
        <f t="shared" si="377"/>
        <v>9</v>
      </c>
      <c r="J3687" s="1323"/>
      <c r="K3687" s="1323"/>
      <c r="L3687" s="1323"/>
      <c r="M3687" s="1323"/>
      <c r="N3687" s="1323"/>
      <c r="O3687" s="1323"/>
      <c r="P3687" s="1323"/>
      <c r="Q3687" s="1323"/>
      <c r="R3687" s="1304"/>
      <c r="S3687" s="1304"/>
      <c r="T3687" s="1304"/>
    </row>
    <row r="3688" spans="1:20">
      <c r="A3688" s="1303"/>
      <c r="B3688" s="1322" t="s">
        <v>9458</v>
      </c>
      <c r="C3688" s="1323" t="s">
        <v>6525</v>
      </c>
      <c r="D3688" s="1324">
        <f t="shared" si="372"/>
        <v>36502</v>
      </c>
      <c r="E3688" s="1323">
        <f t="shared" si="374"/>
        <v>6.1550000000000002</v>
      </c>
      <c r="F3688" s="1323">
        <f t="shared" si="373"/>
        <v>4.838844910763739</v>
      </c>
      <c r="G3688" s="1323">
        <f t="shared" si="375"/>
        <v>1999</v>
      </c>
      <c r="H3688" s="1323">
        <f t="shared" si="376"/>
        <v>12</v>
      </c>
      <c r="I3688" s="1323">
        <f t="shared" si="377"/>
        <v>8</v>
      </c>
      <c r="J3688" s="1323"/>
      <c r="K3688" s="1323"/>
      <c r="L3688" s="1323"/>
      <c r="M3688" s="1323"/>
      <c r="N3688" s="1323"/>
      <c r="O3688" s="1323"/>
      <c r="P3688" s="1323"/>
      <c r="Q3688" s="1323"/>
      <c r="R3688" s="1304"/>
      <c r="S3688" s="1304"/>
      <c r="T3688" s="1304"/>
    </row>
    <row r="3689" spans="1:20">
      <c r="A3689" s="1303"/>
      <c r="B3689" s="1322" t="s">
        <v>9459</v>
      </c>
      <c r="C3689" s="1323" t="s">
        <v>9460</v>
      </c>
      <c r="D3689" s="1324">
        <f t="shared" si="372"/>
        <v>36501</v>
      </c>
      <c r="E3689" s="1323">
        <f t="shared" si="374"/>
        <v>6.1489000000000003</v>
      </c>
      <c r="F3689" s="1323">
        <f t="shared" si="373"/>
        <v>4.8379170910476477</v>
      </c>
      <c r="G3689" s="1323">
        <f t="shared" si="375"/>
        <v>1999</v>
      </c>
      <c r="H3689" s="1323">
        <f t="shared" si="376"/>
        <v>12</v>
      </c>
      <c r="I3689" s="1323">
        <f t="shared" si="377"/>
        <v>7</v>
      </c>
      <c r="J3689" s="1323"/>
      <c r="K3689" s="1323"/>
      <c r="L3689" s="1323"/>
      <c r="M3689" s="1323"/>
      <c r="N3689" s="1323"/>
      <c r="O3689" s="1323"/>
      <c r="P3689" s="1323"/>
      <c r="Q3689" s="1323"/>
      <c r="R3689" s="1304"/>
      <c r="S3689" s="1304"/>
      <c r="T3689" s="1304"/>
    </row>
    <row r="3690" spans="1:20">
      <c r="A3690" s="1303"/>
      <c r="B3690" s="1322" t="s">
        <v>9461</v>
      </c>
      <c r="C3690" s="1323" t="s">
        <v>9462</v>
      </c>
      <c r="D3690" s="1324">
        <f t="shared" si="372"/>
        <v>36500</v>
      </c>
      <c r="E3690" s="1323">
        <f t="shared" si="374"/>
        <v>6.1550000000000002</v>
      </c>
      <c r="F3690" s="1323">
        <f t="shared" si="373"/>
        <v>4.8369894492354657</v>
      </c>
      <c r="G3690" s="1323">
        <f t="shared" si="375"/>
        <v>1999</v>
      </c>
      <c r="H3690" s="1323">
        <f t="shared" si="376"/>
        <v>12</v>
      </c>
      <c r="I3690" s="1323">
        <f t="shared" si="377"/>
        <v>6</v>
      </c>
      <c r="J3690" s="1323"/>
      <c r="K3690" s="1323"/>
      <c r="L3690" s="1323"/>
      <c r="M3690" s="1323"/>
      <c r="N3690" s="1323"/>
      <c r="O3690" s="1323"/>
      <c r="P3690" s="1323"/>
      <c r="Q3690" s="1323"/>
      <c r="R3690" s="1304"/>
      <c r="S3690" s="1304"/>
      <c r="T3690" s="1304"/>
    </row>
    <row r="3691" spans="1:20">
      <c r="A3691" s="1303"/>
      <c r="B3691" s="1322" t="s">
        <v>9463</v>
      </c>
      <c r="C3691" s="1323" t="s">
        <v>9460</v>
      </c>
      <c r="D3691" s="1324">
        <f t="shared" si="372"/>
        <v>36497</v>
      </c>
      <c r="E3691" s="1323">
        <f t="shared" si="374"/>
        <v>6.1661999999999999</v>
      </c>
      <c r="F3691" s="1323">
        <f t="shared" si="373"/>
        <v>4.8360619852930808</v>
      </c>
      <c r="G3691" s="1323">
        <f t="shared" si="375"/>
        <v>1999</v>
      </c>
      <c r="H3691" s="1323">
        <f t="shared" si="376"/>
        <v>12</v>
      </c>
      <c r="I3691" s="1323">
        <f t="shared" si="377"/>
        <v>3</v>
      </c>
      <c r="J3691" s="1323"/>
      <c r="K3691" s="1323"/>
      <c r="L3691" s="1323"/>
      <c r="M3691" s="1323"/>
      <c r="N3691" s="1323"/>
      <c r="O3691" s="1323"/>
      <c r="P3691" s="1323"/>
      <c r="Q3691" s="1323"/>
      <c r="R3691" s="1304"/>
      <c r="S3691" s="1304"/>
      <c r="T3691" s="1304"/>
    </row>
    <row r="3692" spans="1:20">
      <c r="A3692" s="1303"/>
      <c r="B3692" s="1322" t="s">
        <v>9464</v>
      </c>
      <c r="C3692" s="1323" t="s">
        <v>9465</v>
      </c>
      <c r="D3692" s="1324">
        <f t="shared" si="372"/>
        <v>36496</v>
      </c>
      <c r="E3692" s="1323">
        <f t="shared" si="374"/>
        <v>6.1482000000000001</v>
      </c>
      <c r="F3692" s="1323">
        <f t="shared" si="373"/>
        <v>4.8351346991863871</v>
      </c>
      <c r="G3692" s="1323">
        <f t="shared" si="375"/>
        <v>1999</v>
      </c>
      <c r="H3692" s="1323">
        <f t="shared" si="376"/>
        <v>12</v>
      </c>
      <c r="I3692" s="1323">
        <f t="shared" si="377"/>
        <v>2</v>
      </c>
      <c r="J3692" s="1323"/>
      <c r="K3692" s="1323"/>
      <c r="L3692" s="1323"/>
      <c r="M3692" s="1323"/>
      <c r="N3692" s="1323"/>
      <c r="O3692" s="1323"/>
      <c r="P3692" s="1323"/>
      <c r="Q3692" s="1323"/>
      <c r="R3692" s="1304"/>
      <c r="S3692" s="1304"/>
      <c r="T3692" s="1304"/>
    </row>
    <row r="3693" spans="1:20">
      <c r="A3693" s="1303"/>
      <c r="B3693" s="1322" t="s">
        <v>9466</v>
      </c>
      <c r="C3693" s="1323" t="s">
        <v>9467</v>
      </c>
      <c r="D3693" s="1324">
        <f t="shared" si="372"/>
        <v>36495</v>
      </c>
      <c r="E3693" s="1323">
        <f t="shared" si="374"/>
        <v>6.1647999999999996</v>
      </c>
      <c r="F3693" s="1323">
        <f t="shared" si="373"/>
        <v>4.8342075908812863</v>
      </c>
      <c r="G3693" s="1323">
        <f t="shared" si="375"/>
        <v>1999</v>
      </c>
      <c r="H3693" s="1323">
        <f t="shared" si="376"/>
        <v>12</v>
      </c>
      <c r="I3693" s="1323">
        <f t="shared" si="377"/>
        <v>1</v>
      </c>
      <c r="J3693" s="1323"/>
      <c r="K3693" s="1323"/>
      <c r="L3693" s="1323"/>
      <c r="M3693" s="1323"/>
      <c r="N3693" s="1323"/>
      <c r="O3693" s="1323"/>
      <c r="P3693" s="1323"/>
      <c r="Q3693" s="1323"/>
      <c r="R3693" s="1304"/>
      <c r="S3693" s="1304"/>
      <c r="T3693" s="1304"/>
    </row>
    <row r="3694" spans="1:20">
      <c r="A3694" s="1303"/>
      <c r="B3694" s="1322" t="s">
        <v>9468</v>
      </c>
      <c r="C3694" s="1323" t="s">
        <v>9469</v>
      </c>
      <c r="D3694" s="1324">
        <f t="shared" si="372"/>
        <v>36494</v>
      </c>
      <c r="E3694" s="1323">
        <f t="shared" si="374"/>
        <v>6.1848999999999998</v>
      </c>
      <c r="F3694" s="1323">
        <f t="shared" si="373"/>
        <v>4.8332806603436858</v>
      </c>
      <c r="G3694" s="1323">
        <f t="shared" si="375"/>
        <v>1999</v>
      </c>
      <c r="H3694" s="1323">
        <f t="shared" si="376"/>
        <v>11</v>
      </c>
      <c r="I3694" s="1323">
        <f t="shared" si="377"/>
        <v>30</v>
      </c>
      <c r="J3694" s="1323"/>
      <c r="K3694" s="1323"/>
      <c r="L3694" s="1323"/>
      <c r="M3694" s="1323"/>
      <c r="N3694" s="1323"/>
      <c r="O3694" s="1323"/>
      <c r="P3694" s="1323"/>
      <c r="Q3694" s="1323"/>
      <c r="R3694" s="1304"/>
      <c r="S3694" s="1304"/>
      <c r="T3694" s="1304"/>
    </row>
    <row r="3695" spans="1:20">
      <c r="A3695" s="1303"/>
      <c r="B3695" s="1322" t="s">
        <v>9470</v>
      </c>
      <c r="C3695" s="1323" t="s">
        <v>9471</v>
      </c>
      <c r="D3695" s="1324">
        <f t="shared" si="372"/>
        <v>36493</v>
      </c>
      <c r="E3695" s="1323">
        <f t="shared" si="374"/>
        <v>6.1422999999999996</v>
      </c>
      <c r="F3695" s="1323">
        <f t="shared" si="373"/>
        <v>4.8323539075394999</v>
      </c>
      <c r="G3695" s="1323">
        <f t="shared" si="375"/>
        <v>1999</v>
      </c>
      <c r="H3695" s="1323">
        <f t="shared" si="376"/>
        <v>11</v>
      </c>
      <c r="I3695" s="1323">
        <f t="shared" si="377"/>
        <v>29</v>
      </c>
      <c r="J3695" s="1323"/>
      <c r="K3695" s="1323"/>
      <c r="L3695" s="1323"/>
      <c r="M3695" s="1323"/>
      <c r="N3695" s="1323"/>
      <c r="O3695" s="1323"/>
      <c r="P3695" s="1323"/>
      <c r="Q3695" s="1323"/>
      <c r="R3695" s="1304"/>
      <c r="S3695" s="1304"/>
      <c r="T3695" s="1304"/>
    </row>
    <row r="3696" spans="1:20">
      <c r="A3696" s="1303"/>
      <c r="B3696" s="1322" t="s">
        <v>9472</v>
      </c>
      <c r="C3696" s="1323" t="s">
        <v>9473</v>
      </c>
      <c r="D3696" s="1324">
        <f t="shared" si="372"/>
        <v>36490</v>
      </c>
      <c r="E3696" s="1323">
        <f t="shared" si="374"/>
        <v>6.1276000000000002</v>
      </c>
      <c r="F3696" s="1323">
        <f t="shared" si="373"/>
        <v>4.8314273324346493</v>
      </c>
      <c r="G3696" s="1323">
        <f t="shared" si="375"/>
        <v>1999</v>
      </c>
      <c r="H3696" s="1323">
        <f t="shared" si="376"/>
        <v>11</v>
      </c>
      <c r="I3696" s="1323">
        <f t="shared" si="377"/>
        <v>26</v>
      </c>
      <c r="J3696" s="1323"/>
      <c r="K3696" s="1323"/>
      <c r="L3696" s="1323"/>
      <c r="M3696" s="1323"/>
      <c r="N3696" s="1323"/>
      <c r="O3696" s="1323"/>
      <c r="P3696" s="1323"/>
      <c r="Q3696" s="1323"/>
      <c r="R3696" s="1304"/>
      <c r="S3696" s="1304"/>
      <c r="T3696" s="1304"/>
    </row>
    <row r="3697" spans="1:20">
      <c r="A3697" s="1303"/>
      <c r="B3697" s="1322" t="s">
        <v>9474</v>
      </c>
      <c r="C3697" s="1323" t="s">
        <v>9475</v>
      </c>
      <c r="D3697" s="1324">
        <f t="shared" si="372"/>
        <v>36489</v>
      </c>
      <c r="E3697" s="1323">
        <f t="shared" si="374"/>
        <v>6.1340000000000003</v>
      </c>
      <c r="F3697" s="1323">
        <f t="shared" si="373"/>
        <v>4.8305009349950607</v>
      </c>
      <c r="G3697" s="1323">
        <f t="shared" si="375"/>
        <v>1999</v>
      </c>
      <c r="H3697" s="1323">
        <f t="shared" si="376"/>
        <v>11</v>
      </c>
      <c r="I3697" s="1323">
        <f t="shared" si="377"/>
        <v>25</v>
      </c>
      <c r="J3697" s="1323"/>
      <c r="K3697" s="1323"/>
      <c r="L3697" s="1323"/>
      <c r="M3697" s="1323"/>
      <c r="N3697" s="1323"/>
      <c r="O3697" s="1323"/>
      <c r="P3697" s="1323"/>
      <c r="Q3697" s="1323"/>
      <c r="R3697" s="1304"/>
      <c r="S3697" s="1304"/>
      <c r="T3697" s="1304"/>
    </row>
    <row r="3698" spans="1:20">
      <c r="A3698" s="1303"/>
      <c r="B3698" s="1322" t="s">
        <v>9476</v>
      </c>
      <c r="C3698" s="1323" t="s">
        <v>9477</v>
      </c>
      <c r="D3698" s="1324">
        <f t="shared" si="372"/>
        <v>36488</v>
      </c>
      <c r="E3698" s="1323">
        <f t="shared" si="374"/>
        <v>6.1321000000000003</v>
      </c>
      <c r="F3698" s="1323">
        <f t="shared" si="373"/>
        <v>4.829574715186669</v>
      </c>
      <c r="G3698" s="1323">
        <f t="shared" si="375"/>
        <v>1999</v>
      </c>
      <c r="H3698" s="1323">
        <f t="shared" si="376"/>
        <v>11</v>
      </c>
      <c r="I3698" s="1323">
        <f t="shared" si="377"/>
        <v>24</v>
      </c>
      <c r="J3698" s="1323"/>
      <c r="K3698" s="1323"/>
      <c r="L3698" s="1323"/>
      <c r="M3698" s="1323"/>
      <c r="N3698" s="1323"/>
      <c r="O3698" s="1323"/>
      <c r="P3698" s="1323"/>
      <c r="Q3698" s="1323"/>
      <c r="R3698" s="1304"/>
      <c r="S3698" s="1304"/>
      <c r="T3698" s="1304"/>
    </row>
    <row r="3699" spans="1:20">
      <c r="A3699" s="1303"/>
      <c r="B3699" s="1322" t="s">
        <v>9478</v>
      </c>
      <c r="C3699" s="1323" t="s">
        <v>9479</v>
      </c>
      <c r="D3699" s="1324">
        <f t="shared" si="372"/>
        <v>36487</v>
      </c>
      <c r="E3699" s="1323">
        <f t="shared" si="374"/>
        <v>6.1356999999999999</v>
      </c>
      <c r="F3699" s="1323">
        <f t="shared" si="373"/>
        <v>4.8286486729754134</v>
      </c>
      <c r="G3699" s="1323">
        <f t="shared" si="375"/>
        <v>1999</v>
      </c>
      <c r="H3699" s="1323">
        <f t="shared" si="376"/>
        <v>11</v>
      </c>
      <c r="I3699" s="1323">
        <f t="shared" si="377"/>
        <v>23</v>
      </c>
      <c r="J3699" s="1323"/>
      <c r="K3699" s="1323"/>
      <c r="L3699" s="1323"/>
      <c r="M3699" s="1323"/>
      <c r="N3699" s="1323"/>
      <c r="O3699" s="1323"/>
      <c r="P3699" s="1323"/>
      <c r="Q3699" s="1323"/>
      <c r="R3699" s="1304"/>
      <c r="S3699" s="1304"/>
      <c r="T3699" s="1304"/>
    </row>
    <row r="3700" spans="1:20">
      <c r="A3700" s="1303"/>
      <c r="B3700" s="1322" t="s">
        <v>9480</v>
      </c>
      <c r="C3700" s="1323" t="s">
        <v>9481</v>
      </c>
      <c r="D3700" s="1324">
        <f t="shared" si="372"/>
        <v>36486</v>
      </c>
      <c r="E3700" s="1323">
        <f t="shared" si="374"/>
        <v>6.1416000000000004</v>
      </c>
      <c r="F3700" s="1323">
        <f t="shared" si="373"/>
        <v>4.8277228083272412</v>
      </c>
      <c r="G3700" s="1323">
        <f t="shared" si="375"/>
        <v>1999</v>
      </c>
      <c r="H3700" s="1323">
        <f t="shared" si="376"/>
        <v>11</v>
      </c>
      <c r="I3700" s="1323">
        <f t="shared" si="377"/>
        <v>22</v>
      </c>
      <c r="J3700" s="1323"/>
      <c r="K3700" s="1323"/>
      <c r="L3700" s="1323"/>
      <c r="M3700" s="1323"/>
      <c r="N3700" s="1323"/>
      <c r="O3700" s="1323"/>
      <c r="P3700" s="1323"/>
      <c r="Q3700" s="1323"/>
      <c r="R3700" s="1304"/>
      <c r="S3700" s="1304"/>
      <c r="T3700" s="1304"/>
    </row>
    <row r="3701" spans="1:20">
      <c r="A3701" s="1303"/>
      <c r="B3701" s="1322" t="s">
        <v>9482</v>
      </c>
      <c r="C3701" s="1323" t="s">
        <v>9483</v>
      </c>
      <c r="D3701" s="1324">
        <f t="shared" si="372"/>
        <v>36483</v>
      </c>
      <c r="E3701" s="1323">
        <f t="shared" si="374"/>
        <v>6.1489000000000003</v>
      </c>
      <c r="F3701" s="1323">
        <f t="shared" si="373"/>
        <v>4.8267971212081049</v>
      </c>
      <c r="G3701" s="1323">
        <f t="shared" si="375"/>
        <v>1999</v>
      </c>
      <c r="H3701" s="1323">
        <f t="shared" si="376"/>
        <v>11</v>
      </c>
      <c r="I3701" s="1323">
        <f t="shared" si="377"/>
        <v>19</v>
      </c>
      <c r="J3701" s="1323"/>
      <c r="K3701" s="1323"/>
      <c r="L3701" s="1323"/>
      <c r="M3701" s="1323"/>
      <c r="N3701" s="1323"/>
      <c r="O3701" s="1323"/>
      <c r="P3701" s="1323"/>
      <c r="Q3701" s="1323"/>
      <c r="R3701" s="1304"/>
      <c r="S3701" s="1304"/>
      <c r="T3701" s="1304"/>
    </row>
    <row r="3702" spans="1:20">
      <c r="A3702" s="1303"/>
      <c r="B3702" s="1322" t="s">
        <v>9484</v>
      </c>
      <c r="C3702" s="1323" t="s">
        <v>9462</v>
      </c>
      <c r="D3702" s="1324">
        <f t="shared" si="372"/>
        <v>36482</v>
      </c>
      <c r="E3702" s="1323">
        <f t="shared" si="374"/>
        <v>6.1441999999999997</v>
      </c>
      <c r="F3702" s="1323">
        <f t="shared" si="373"/>
        <v>4.825871611583965</v>
      </c>
      <c r="G3702" s="1323">
        <f t="shared" si="375"/>
        <v>1999</v>
      </c>
      <c r="H3702" s="1323">
        <f t="shared" si="376"/>
        <v>11</v>
      </c>
      <c r="I3702" s="1323">
        <f t="shared" si="377"/>
        <v>18</v>
      </c>
      <c r="J3702" s="1323"/>
      <c r="K3702" s="1323"/>
      <c r="L3702" s="1323"/>
      <c r="M3702" s="1323"/>
      <c r="N3702" s="1323"/>
      <c r="O3702" s="1323"/>
      <c r="P3702" s="1323"/>
      <c r="Q3702" s="1323"/>
      <c r="R3702" s="1304"/>
      <c r="S3702" s="1304"/>
      <c r="T3702" s="1304"/>
    </row>
    <row r="3703" spans="1:20">
      <c r="A3703" s="1303"/>
      <c r="B3703" s="1322" t="s">
        <v>9485</v>
      </c>
      <c r="C3703" s="1323" t="s">
        <v>9486</v>
      </c>
      <c r="D3703" s="1324">
        <f t="shared" si="372"/>
        <v>36481</v>
      </c>
      <c r="E3703" s="1323">
        <f t="shared" si="374"/>
        <v>6.1470000000000002</v>
      </c>
      <c r="F3703" s="1323">
        <f t="shared" si="373"/>
        <v>4.8249462794207885</v>
      </c>
      <c r="G3703" s="1323">
        <f t="shared" si="375"/>
        <v>1999</v>
      </c>
      <c r="H3703" s="1323">
        <f t="shared" si="376"/>
        <v>11</v>
      </c>
      <c r="I3703" s="1323">
        <f t="shared" si="377"/>
        <v>17</v>
      </c>
      <c r="J3703" s="1323"/>
      <c r="K3703" s="1323"/>
      <c r="L3703" s="1323"/>
      <c r="M3703" s="1323"/>
      <c r="N3703" s="1323"/>
      <c r="O3703" s="1323"/>
      <c r="P3703" s="1323"/>
      <c r="Q3703" s="1323"/>
      <c r="R3703" s="1304"/>
      <c r="S3703" s="1304"/>
      <c r="T3703" s="1304"/>
    </row>
    <row r="3704" spans="1:20">
      <c r="A3704" s="1303"/>
      <c r="B3704" s="1322" t="s">
        <v>9487</v>
      </c>
      <c r="C3704" s="1323" t="s">
        <v>9488</v>
      </c>
      <c r="D3704" s="1324">
        <f t="shared" si="372"/>
        <v>36480</v>
      </c>
      <c r="E3704" s="1323">
        <f t="shared" si="374"/>
        <v>6.1467999999999998</v>
      </c>
      <c r="F3704" s="1323">
        <f t="shared" si="373"/>
        <v>4.8240211246845472</v>
      </c>
      <c r="G3704" s="1323">
        <f t="shared" si="375"/>
        <v>1999</v>
      </c>
      <c r="H3704" s="1323">
        <f t="shared" si="376"/>
        <v>11</v>
      </c>
      <c r="I3704" s="1323">
        <f t="shared" si="377"/>
        <v>16</v>
      </c>
      <c r="J3704" s="1323"/>
      <c r="K3704" s="1323"/>
      <c r="L3704" s="1323"/>
      <c r="M3704" s="1323"/>
      <c r="N3704" s="1323"/>
      <c r="O3704" s="1323"/>
      <c r="P3704" s="1323"/>
      <c r="Q3704" s="1323"/>
      <c r="R3704" s="1304"/>
      <c r="S3704" s="1304"/>
      <c r="T3704" s="1304"/>
    </row>
    <row r="3705" spans="1:20">
      <c r="A3705" s="1303"/>
      <c r="B3705" s="1322" t="s">
        <v>9489</v>
      </c>
      <c r="C3705" s="1323" t="s">
        <v>9490</v>
      </c>
      <c r="D3705" s="1324">
        <f t="shared" si="372"/>
        <v>36479</v>
      </c>
      <c r="E3705" s="1323">
        <f t="shared" si="374"/>
        <v>6.1227999999999998</v>
      </c>
      <c r="F3705" s="1323">
        <f t="shared" si="373"/>
        <v>4.8230961473412215</v>
      </c>
      <c r="G3705" s="1323">
        <f t="shared" si="375"/>
        <v>1999</v>
      </c>
      <c r="H3705" s="1323">
        <f t="shared" si="376"/>
        <v>11</v>
      </c>
      <c r="I3705" s="1323">
        <f t="shared" si="377"/>
        <v>15</v>
      </c>
      <c r="J3705" s="1323"/>
      <c r="K3705" s="1323"/>
      <c r="L3705" s="1323"/>
      <c r="M3705" s="1323"/>
      <c r="N3705" s="1323"/>
      <c r="O3705" s="1323"/>
      <c r="P3705" s="1323"/>
      <c r="Q3705" s="1323"/>
      <c r="R3705" s="1304"/>
      <c r="S3705" s="1304"/>
      <c r="T3705" s="1304"/>
    </row>
    <row r="3706" spans="1:20">
      <c r="A3706" s="1303"/>
      <c r="B3706" s="1322" t="s">
        <v>9491</v>
      </c>
      <c r="C3706" s="1323" t="s">
        <v>6891</v>
      </c>
      <c r="D3706" s="1324">
        <f t="shared" si="372"/>
        <v>36476</v>
      </c>
      <c r="E3706" s="1323">
        <f t="shared" si="374"/>
        <v>6.1345999999999998</v>
      </c>
      <c r="F3706" s="1323">
        <f t="shared" si="373"/>
        <v>4.8221713473567966</v>
      </c>
      <c r="G3706" s="1323">
        <f t="shared" si="375"/>
        <v>1999</v>
      </c>
      <c r="H3706" s="1323">
        <f t="shared" si="376"/>
        <v>11</v>
      </c>
      <c r="I3706" s="1323">
        <f t="shared" si="377"/>
        <v>12</v>
      </c>
      <c r="J3706" s="1323"/>
      <c r="K3706" s="1323"/>
      <c r="L3706" s="1323"/>
      <c r="M3706" s="1323"/>
      <c r="N3706" s="1323"/>
      <c r="O3706" s="1323"/>
      <c r="P3706" s="1323"/>
      <c r="Q3706" s="1323"/>
      <c r="R3706" s="1304"/>
      <c r="S3706" s="1304"/>
      <c r="T3706" s="1304"/>
    </row>
    <row r="3707" spans="1:20">
      <c r="A3707" s="1303"/>
      <c r="B3707" s="1322" t="s">
        <v>9492</v>
      </c>
      <c r="C3707" s="1323" t="s">
        <v>9493</v>
      </c>
      <c r="D3707" s="1324">
        <f t="shared" si="372"/>
        <v>36475</v>
      </c>
      <c r="E3707" s="1323">
        <f t="shared" si="374"/>
        <v>6.1349999999999998</v>
      </c>
      <c r="F3707" s="1323">
        <f t="shared" si="373"/>
        <v>4.8212467246972652</v>
      </c>
      <c r="G3707" s="1323">
        <f t="shared" si="375"/>
        <v>1999</v>
      </c>
      <c r="H3707" s="1323">
        <f t="shared" si="376"/>
        <v>11</v>
      </c>
      <c r="I3707" s="1323">
        <f t="shared" si="377"/>
        <v>11</v>
      </c>
      <c r="J3707" s="1323"/>
      <c r="K3707" s="1323"/>
      <c r="L3707" s="1323"/>
      <c r="M3707" s="1323"/>
      <c r="N3707" s="1323"/>
      <c r="O3707" s="1323"/>
      <c r="P3707" s="1323"/>
      <c r="Q3707" s="1323"/>
      <c r="R3707" s="1304"/>
      <c r="S3707" s="1304"/>
      <c r="T3707" s="1304"/>
    </row>
    <row r="3708" spans="1:20">
      <c r="A3708" s="1303"/>
      <c r="B3708" s="1322" t="s">
        <v>9494</v>
      </c>
      <c r="C3708" s="1323" t="s">
        <v>9495</v>
      </c>
      <c r="D3708" s="1324">
        <f t="shared" si="372"/>
        <v>36474</v>
      </c>
      <c r="E3708" s="1323">
        <f t="shared" si="374"/>
        <v>6.1218000000000004</v>
      </c>
      <c r="F3708" s="1323">
        <f t="shared" si="373"/>
        <v>4.8203222793286269</v>
      </c>
      <c r="G3708" s="1323">
        <f t="shared" si="375"/>
        <v>1999</v>
      </c>
      <c r="H3708" s="1323">
        <f t="shared" si="376"/>
        <v>11</v>
      </c>
      <c r="I3708" s="1323">
        <f t="shared" si="377"/>
        <v>10</v>
      </c>
      <c r="J3708" s="1323"/>
      <c r="K3708" s="1323"/>
      <c r="L3708" s="1323"/>
      <c r="M3708" s="1323"/>
      <c r="N3708" s="1323"/>
      <c r="O3708" s="1323"/>
      <c r="P3708" s="1323"/>
      <c r="Q3708" s="1323"/>
      <c r="R3708" s="1304"/>
      <c r="S3708" s="1304"/>
      <c r="T3708" s="1304"/>
    </row>
    <row r="3709" spans="1:20">
      <c r="A3709" s="1303"/>
      <c r="B3709" s="1322" t="s">
        <v>9496</v>
      </c>
      <c r="C3709" s="1323" t="s">
        <v>9497</v>
      </c>
      <c r="D3709" s="1324">
        <f t="shared" si="372"/>
        <v>36473</v>
      </c>
      <c r="E3709" s="1323">
        <f t="shared" si="374"/>
        <v>6.1086999999999998</v>
      </c>
      <c r="F3709" s="1323">
        <f t="shared" si="373"/>
        <v>4.8193980112168866</v>
      </c>
      <c r="G3709" s="1323">
        <f t="shared" si="375"/>
        <v>1999</v>
      </c>
      <c r="H3709" s="1323">
        <f t="shared" si="376"/>
        <v>11</v>
      </c>
      <c r="I3709" s="1323">
        <f t="shared" si="377"/>
        <v>9</v>
      </c>
      <c r="J3709" s="1323"/>
      <c r="K3709" s="1323"/>
      <c r="L3709" s="1323"/>
      <c r="M3709" s="1323"/>
      <c r="N3709" s="1323"/>
      <c r="O3709" s="1323"/>
      <c r="P3709" s="1323"/>
      <c r="Q3709" s="1323"/>
      <c r="R3709" s="1304"/>
      <c r="S3709" s="1304"/>
      <c r="T3709" s="1304"/>
    </row>
    <row r="3710" spans="1:20">
      <c r="A3710" s="1303"/>
      <c r="B3710" s="1322" t="s">
        <v>9498</v>
      </c>
      <c r="C3710" s="1323" t="s">
        <v>9499</v>
      </c>
      <c r="D3710" s="1324">
        <f t="shared" si="372"/>
        <v>36472</v>
      </c>
      <c r="E3710" s="1323">
        <f t="shared" si="374"/>
        <v>6.1181000000000001</v>
      </c>
      <c r="F3710" s="1323">
        <f t="shared" si="373"/>
        <v>4.8184739203280564</v>
      </c>
      <c r="G3710" s="1323">
        <f t="shared" si="375"/>
        <v>1999</v>
      </c>
      <c r="H3710" s="1323">
        <f t="shared" si="376"/>
        <v>11</v>
      </c>
      <c r="I3710" s="1323">
        <f t="shared" si="377"/>
        <v>8</v>
      </c>
      <c r="J3710" s="1323"/>
      <c r="K3710" s="1323"/>
      <c r="L3710" s="1323"/>
      <c r="M3710" s="1323"/>
      <c r="N3710" s="1323"/>
      <c r="O3710" s="1323"/>
      <c r="P3710" s="1323"/>
      <c r="Q3710" s="1323"/>
      <c r="R3710" s="1304"/>
      <c r="S3710" s="1304"/>
      <c r="T3710" s="1304"/>
    </row>
    <row r="3711" spans="1:20">
      <c r="A3711" s="1303"/>
      <c r="B3711" s="1322" t="s">
        <v>9500</v>
      </c>
      <c r="C3711" s="1323" t="s">
        <v>9501</v>
      </c>
      <c r="D3711" s="1324">
        <f t="shared" si="372"/>
        <v>36469</v>
      </c>
      <c r="E3711" s="1323">
        <f t="shared" si="374"/>
        <v>6.1143000000000001</v>
      </c>
      <c r="F3711" s="1323">
        <f t="shared" si="373"/>
        <v>4.8175500066281547</v>
      </c>
      <c r="G3711" s="1323">
        <f t="shared" si="375"/>
        <v>1999</v>
      </c>
      <c r="H3711" s="1323">
        <f t="shared" si="376"/>
        <v>11</v>
      </c>
      <c r="I3711" s="1323">
        <f t="shared" si="377"/>
        <v>5</v>
      </c>
      <c r="J3711" s="1323"/>
      <c r="K3711" s="1323"/>
      <c r="L3711" s="1323"/>
      <c r="M3711" s="1323"/>
      <c r="N3711" s="1323"/>
      <c r="O3711" s="1323"/>
      <c r="P3711" s="1323"/>
      <c r="Q3711" s="1323"/>
      <c r="R3711" s="1304"/>
      <c r="S3711" s="1304"/>
      <c r="T3711" s="1304"/>
    </row>
    <row r="3712" spans="1:20">
      <c r="A3712" s="1303"/>
      <c r="B3712" s="1322" t="s">
        <v>9502</v>
      </c>
      <c r="C3712" s="1323" t="s">
        <v>9503</v>
      </c>
      <c r="D3712" s="1324">
        <f t="shared" si="372"/>
        <v>36468</v>
      </c>
      <c r="E3712" s="1323">
        <f t="shared" si="374"/>
        <v>6.1311999999999998</v>
      </c>
      <c r="F3712" s="1323">
        <f t="shared" si="373"/>
        <v>4.8166262700832068</v>
      </c>
      <c r="G3712" s="1323">
        <f t="shared" si="375"/>
        <v>1999</v>
      </c>
      <c r="H3712" s="1323">
        <f t="shared" si="376"/>
        <v>11</v>
      </c>
      <c r="I3712" s="1323">
        <f t="shared" si="377"/>
        <v>4</v>
      </c>
      <c r="J3712" s="1323"/>
      <c r="K3712" s="1323"/>
      <c r="L3712" s="1323"/>
      <c r="M3712" s="1323"/>
      <c r="N3712" s="1323"/>
      <c r="O3712" s="1323"/>
      <c r="P3712" s="1323"/>
      <c r="Q3712" s="1323"/>
      <c r="R3712" s="1304"/>
      <c r="S3712" s="1304"/>
      <c r="T3712" s="1304"/>
    </row>
    <row r="3713" spans="1:20">
      <c r="A3713" s="1303"/>
      <c r="B3713" s="1322" t="s">
        <v>9504</v>
      </c>
      <c r="C3713" s="1323" t="s">
        <v>9505</v>
      </c>
      <c r="D3713" s="1324">
        <f t="shared" si="372"/>
        <v>36467</v>
      </c>
      <c r="E3713" s="1323">
        <f t="shared" si="374"/>
        <v>6.1557000000000004</v>
      </c>
      <c r="F3713" s="1323">
        <f t="shared" si="373"/>
        <v>4.8157027106592443</v>
      </c>
      <c r="G3713" s="1323">
        <f t="shared" si="375"/>
        <v>1999</v>
      </c>
      <c r="H3713" s="1323">
        <f t="shared" si="376"/>
        <v>11</v>
      </c>
      <c r="I3713" s="1323">
        <f t="shared" si="377"/>
        <v>3</v>
      </c>
      <c r="J3713" s="1323"/>
      <c r="K3713" s="1323"/>
      <c r="L3713" s="1323"/>
      <c r="M3713" s="1323"/>
      <c r="N3713" s="1323"/>
      <c r="O3713" s="1323"/>
      <c r="P3713" s="1323"/>
      <c r="Q3713" s="1323"/>
      <c r="R3713" s="1304"/>
      <c r="S3713" s="1304"/>
      <c r="T3713" s="1304"/>
    </row>
    <row r="3714" spans="1:20">
      <c r="A3714" s="1303"/>
      <c r="B3714" s="1322" t="s">
        <v>9506</v>
      </c>
      <c r="C3714" s="1323" t="s">
        <v>9507</v>
      </c>
      <c r="D3714" s="1324">
        <f t="shared" si="372"/>
        <v>36466</v>
      </c>
      <c r="E3714" s="1323">
        <f t="shared" si="374"/>
        <v>6.1475</v>
      </c>
      <c r="F3714" s="1323">
        <f t="shared" si="373"/>
        <v>4.8147793283223059</v>
      </c>
      <c r="G3714" s="1323">
        <f t="shared" si="375"/>
        <v>1999</v>
      </c>
      <c r="H3714" s="1323">
        <f t="shared" si="376"/>
        <v>11</v>
      </c>
      <c r="I3714" s="1323">
        <f t="shared" si="377"/>
        <v>2</v>
      </c>
      <c r="J3714" s="1323"/>
      <c r="K3714" s="1323"/>
      <c r="L3714" s="1323"/>
      <c r="M3714" s="1323"/>
      <c r="N3714" s="1323"/>
      <c r="O3714" s="1323"/>
      <c r="P3714" s="1323"/>
      <c r="Q3714" s="1323"/>
      <c r="R3714" s="1304"/>
      <c r="S3714" s="1304"/>
      <c r="T3714" s="1304"/>
    </row>
    <row r="3715" spans="1:20">
      <c r="A3715" s="1303"/>
      <c r="B3715" s="1322" t="s">
        <v>9508</v>
      </c>
      <c r="C3715" s="1323" t="s">
        <v>9509</v>
      </c>
      <c r="D3715" s="1324">
        <f t="shared" si="372"/>
        <v>36465</v>
      </c>
      <c r="E3715" s="1323">
        <f t="shared" si="374"/>
        <v>6.1482000000000001</v>
      </c>
      <c r="F3715" s="1323">
        <f t="shared" si="373"/>
        <v>4.8138561230384358</v>
      </c>
      <c r="G3715" s="1323">
        <f t="shared" si="375"/>
        <v>1999</v>
      </c>
      <c r="H3715" s="1323">
        <f t="shared" si="376"/>
        <v>11</v>
      </c>
      <c r="I3715" s="1323">
        <f t="shared" si="377"/>
        <v>1</v>
      </c>
      <c r="J3715" s="1323"/>
      <c r="K3715" s="1323"/>
      <c r="L3715" s="1323"/>
      <c r="M3715" s="1323"/>
      <c r="N3715" s="1323"/>
      <c r="O3715" s="1323"/>
      <c r="P3715" s="1323"/>
      <c r="Q3715" s="1323"/>
      <c r="R3715" s="1304"/>
      <c r="S3715" s="1304"/>
      <c r="T3715" s="1304"/>
    </row>
    <row r="3716" spans="1:20">
      <c r="A3716" s="1303"/>
      <c r="B3716" s="1322" t="s">
        <v>9510</v>
      </c>
      <c r="C3716" s="1323" t="s">
        <v>9467</v>
      </c>
      <c r="D3716" s="1324">
        <f t="shared" si="372"/>
        <v>36462</v>
      </c>
      <c r="E3716" s="1323">
        <f t="shared" si="374"/>
        <v>6.1425000000000001</v>
      </c>
      <c r="F3716" s="1323">
        <f t="shared" si="373"/>
        <v>4.8129330947736841</v>
      </c>
      <c r="G3716" s="1323">
        <f t="shared" si="375"/>
        <v>1999</v>
      </c>
      <c r="H3716" s="1323">
        <f t="shared" si="376"/>
        <v>10</v>
      </c>
      <c r="I3716" s="1323">
        <f t="shared" si="377"/>
        <v>29</v>
      </c>
      <c r="J3716" s="1323"/>
      <c r="K3716" s="1323"/>
      <c r="L3716" s="1323"/>
      <c r="M3716" s="1323"/>
      <c r="N3716" s="1323"/>
      <c r="O3716" s="1323"/>
      <c r="P3716" s="1323"/>
      <c r="Q3716" s="1323"/>
      <c r="R3716" s="1304"/>
      <c r="S3716" s="1304"/>
      <c r="T3716" s="1304"/>
    </row>
    <row r="3717" spans="1:20">
      <c r="A3717" s="1303"/>
      <c r="B3717" s="1322" t="s">
        <v>9511</v>
      </c>
      <c r="C3717" s="1323" t="s">
        <v>9512</v>
      </c>
      <c r="D3717" s="1324">
        <f t="shared" si="372"/>
        <v>36461</v>
      </c>
      <c r="E3717" s="1323">
        <f t="shared" si="374"/>
        <v>6.1349999999999998</v>
      </c>
      <c r="F3717" s="1323">
        <f t="shared" si="373"/>
        <v>4.8120102434941101</v>
      </c>
      <c r="G3717" s="1323">
        <f t="shared" si="375"/>
        <v>1999</v>
      </c>
      <c r="H3717" s="1323">
        <f t="shared" si="376"/>
        <v>10</v>
      </c>
      <c r="I3717" s="1323">
        <f t="shared" si="377"/>
        <v>28</v>
      </c>
      <c r="J3717" s="1323"/>
      <c r="K3717" s="1323"/>
      <c r="L3717" s="1323"/>
      <c r="M3717" s="1323"/>
      <c r="N3717" s="1323"/>
      <c r="O3717" s="1323"/>
      <c r="P3717" s="1323"/>
      <c r="Q3717" s="1323"/>
      <c r="R3717" s="1304"/>
      <c r="S3717" s="1304"/>
      <c r="T3717" s="1304"/>
    </row>
    <row r="3718" spans="1:20">
      <c r="A3718" s="1303"/>
      <c r="B3718" s="1322" t="s">
        <v>9513</v>
      </c>
      <c r="C3718" s="1323" t="s">
        <v>9495</v>
      </c>
      <c r="D3718" s="1324">
        <f t="shared" si="372"/>
        <v>36460</v>
      </c>
      <c r="E3718" s="1323">
        <f t="shared" si="374"/>
        <v>6.1632999999999996</v>
      </c>
      <c r="F3718" s="1323">
        <f t="shared" si="373"/>
        <v>4.8110875691657764</v>
      </c>
      <c r="G3718" s="1323">
        <f t="shared" si="375"/>
        <v>1999</v>
      </c>
      <c r="H3718" s="1323">
        <f t="shared" si="376"/>
        <v>10</v>
      </c>
      <c r="I3718" s="1323">
        <f t="shared" si="377"/>
        <v>27</v>
      </c>
      <c r="J3718" s="1323"/>
      <c r="K3718" s="1323"/>
      <c r="L3718" s="1323"/>
      <c r="M3718" s="1323"/>
      <c r="N3718" s="1323"/>
      <c r="O3718" s="1323"/>
      <c r="P3718" s="1323"/>
      <c r="Q3718" s="1323"/>
      <c r="R3718" s="1304"/>
      <c r="S3718" s="1304"/>
      <c r="T3718" s="1304"/>
    </row>
    <row r="3719" spans="1:20">
      <c r="A3719" s="1303"/>
      <c r="B3719" s="1322" t="s">
        <v>9514</v>
      </c>
      <c r="C3719" s="1323" t="s">
        <v>9515</v>
      </c>
      <c r="D3719" s="1324">
        <f t="shared" si="372"/>
        <v>36459</v>
      </c>
      <c r="E3719" s="1323">
        <f t="shared" si="374"/>
        <v>6.1444000000000001</v>
      </c>
      <c r="F3719" s="1323">
        <f t="shared" si="373"/>
        <v>4.8101650717547546</v>
      </c>
      <c r="G3719" s="1323">
        <f t="shared" si="375"/>
        <v>1999</v>
      </c>
      <c r="H3719" s="1323">
        <f t="shared" si="376"/>
        <v>10</v>
      </c>
      <c r="I3719" s="1323">
        <f t="shared" si="377"/>
        <v>26</v>
      </c>
      <c r="J3719" s="1323"/>
      <c r="K3719" s="1323"/>
      <c r="L3719" s="1323"/>
      <c r="M3719" s="1323"/>
      <c r="N3719" s="1323"/>
      <c r="O3719" s="1323"/>
      <c r="P3719" s="1323"/>
      <c r="Q3719" s="1323"/>
      <c r="R3719" s="1304"/>
      <c r="S3719" s="1304"/>
      <c r="T3719" s="1304"/>
    </row>
    <row r="3720" spans="1:20">
      <c r="A3720" s="1303"/>
      <c r="B3720" s="1322" t="s">
        <v>9516</v>
      </c>
      <c r="C3720" s="1323" t="s">
        <v>9517</v>
      </c>
      <c r="D3720" s="1324">
        <f t="shared" si="372"/>
        <v>36458</v>
      </c>
      <c r="E3720" s="1323">
        <f t="shared" si="374"/>
        <v>6.1367000000000003</v>
      </c>
      <c r="F3720" s="1323">
        <f t="shared" si="373"/>
        <v>4.8092427512271216</v>
      </c>
      <c r="G3720" s="1323">
        <f t="shared" si="375"/>
        <v>1999</v>
      </c>
      <c r="H3720" s="1323">
        <f t="shared" si="376"/>
        <v>10</v>
      </c>
      <c r="I3720" s="1323">
        <f t="shared" si="377"/>
        <v>25</v>
      </c>
      <c r="J3720" s="1323"/>
      <c r="K3720" s="1323"/>
      <c r="L3720" s="1323"/>
      <c r="M3720" s="1323"/>
      <c r="N3720" s="1323"/>
      <c r="O3720" s="1323"/>
      <c r="P3720" s="1323"/>
      <c r="Q3720" s="1323"/>
      <c r="R3720" s="1304"/>
      <c r="S3720" s="1304"/>
      <c r="T3720" s="1304"/>
    </row>
    <row r="3721" spans="1:20">
      <c r="A3721" s="1303"/>
      <c r="B3721" s="1322" t="s">
        <v>9518</v>
      </c>
      <c r="C3721" s="1323" t="s">
        <v>9519</v>
      </c>
      <c r="D3721" s="1324">
        <f t="shared" ref="D3721:D3784" si="378">DATE(G3721,H3721,I3721)</f>
        <v>36455</v>
      </c>
      <c r="E3721" s="1323">
        <f t="shared" si="374"/>
        <v>6.1349999999999998</v>
      </c>
      <c r="F3721" s="1323">
        <f t="shared" ref="F3721:F3784" si="379">F3722*(1+$F$7/365)</f>
        <v>4.8083206075489615</v>
      </c>
      <c r="G3721" s="1323">
        <f t="shared" si="375"/>
        <v>1999</v>
      </c>
      <c r="H3721" s="1323">
        <f t="shared" si="376"/>
        <v>10</v>
      </c>
      <c r="I3721" s="1323">
        <f t="shared" si="377"/>
        <v>22</v>
      </c>
      <c r="J3721" s="1323"/>
      <c r="K3721" s="1323"/>
      <c r="L3721" s="1323"/>
      <c r="M3721" s="1323"/>
      <c r="N3721" s="1323"/>
      <c r="O3721" s="1323"/>
      <c r="P3721" s="1323"/>
      <c r="Q3721" s="1323"/>
      <c r="R3721" s="1304"/>
      <c r="S3721" s="1304"/>
      <c r="T3721" s="1304"/>
    </row>
    <row r="3722" spans="1:20">
      <c r="A3722" s="1303"/>
      <c r="B3722" s="1322" t="s">
        <v>9520</v>
      </c>
      <c r="C3722" s="1323" t="s">
        <v>9495</v>
      </c>
      <c r="D3722" s="1324">
        <f t="shared" si="378"/>
        <v>36454</v>
      </c>
      <c r="E3722" s="1323">
        <f t="shared" si="374"/>
        <v>6.1237000000000004</v>
      </c>
      <c r="F3722" s="1323">
        <f t="shared" si="379"/>
        <v>4.8073986406863636</v>
      </c>
      <c r="G3722" s="1323">
        <f t="shared" si="375"/>
        <v>1999</v>
      </c>
      <c r="H3722" s="1323">
        <f t="shared" si="376"/>
        <v>10</v>
      </c>
      <c r="I3722" s="1323">
        <f t="shared" si="377"/>
        <v>21</v>
      </c>
      <c r="J3722" s="1323"/>
      <c r="K3722" s="1323"/>
      <c r="L3722" s="1323"/>
      <c r="M3722" s="1323"/>
      <c r="N3722" s="1323"/>
      <c r="O3722" s="1323"/>
      <c r="P3722" s="1323"/>
      <c r="Q3722" s="1323"/>
      <c r="R3722" s="1304"/>
      <c r="S3722" s="1304"/>
      <c r="T3722" s="1304"/>
    </row>
    <row r="3723" spans="1:20">
      <c r="A3723" s="1303"/>
      <c r="B3723" s="1322" t="s">
        <v>9521</v>
      </c>
      <c r="C3723" s="1323" t="s">
        <v>9522</v>
      </c>
      <c r="D3723" s="1324">
        <f t="shared" si="378"/>
        <v>36453</v>
      </c>
      <c r="E3723" s="1323">
        <f t="shared" si="374"/>
        <v>6.1275000000000004</v>
      </c>
      <c r="F3723" s="1323">
        <f t="shared" si="379"/>
        <v>4.8064768506054252</v>
      </c>
      <c r="G3723" s="1323">
        <f t="shared" si="375"/>
        <v>1999</v>
      </c>
      <c r="H3723" s="1323">
        <f t="shared" si="376"/>
        <v>10</v>
      </c>
      <c r="I3723" s="1323">
        <f t="shared" si="377"/>
        <v>20</v>
      </c>
      <c r="J3723" s="1323"/>
      <c r="K3723" s="1323"/>
      <c r="L3723" s="1323"/>
      <c r="M3723" s="1323"/>
      <c r="N3723" s="1323"/>
      <c r="O3723" s="1323"/>
      <c r="P3723" s="1323"/>
      <c r="Q3723" s="1323"/>
      <c r="R3723" s="1304"/>
      <c r="S3723" s="1304"/>
      <c r="T3723" s="1304"/>
    </row>
    <row r="3724" spans="1:20">
      <c r="A3724" s="1303"/>
      <c r="B3724" s="1322" t="s">
        <v>9523</v>
      </c>
      <c r="C3724" s="1323" t="s">
        <v>9524</v>
      </c>
      <c r="D3724" s="1324">
        <f t="shared" si="378"/>
        <v>36452</v>
      </c>
      <c r="E3724" s="1323">
        <f t="shared" si="374"/>
        <v>6.1406000000000001</v>
      </c>
      <c r="F3724" s="1323">
        <f t="shared" si="379"/>
        <v>4.8055552372722499</v>
      </c>
      <c r="G3724" s="1323">
        <f t="shared" si="375"/>
        <v>1999</v>
      </c>
      <c r="H3724" s="1323">
        <f t="shared" si="376"/>
        <v>10</v>
      </c>
      <c r="I3724" s="1323">
        <f t="shared" si="377"/>
        <v>19</v>
      </c>
      <c r="J3724" s="1323"/>
      <c r="K3724" s="1323"/>
      <c r="L3724" s="1323"/>
      <c r="M3724" s="1323"/>
      <c r="N3724" s="1323"/>
      <c r="O3724" s="1323"/>
      <c r="P3724" s="1323"/>
      <c r="Q3724" s="1323"/>
      <c r="R3724" s="1304"/>
      <c r="S3724" s="1304"/>
      <c r="T3724" s="1304"/>
    </row>
    <row r="3725" spans="1:20">
      <c r="A3725" s="1303"/>
      <c r="B3725" s="1322" t="s">
        <v>9525</v>
      </c>
      <c r="C3725" s="1323" t="s">
        <v>9526</v>
      </c>
      <c r="D3725" s="1324">
        <f t="shared" si="378"/>
        <v>36451</v>
      </c>
      <c r="E3725" s="1323">
        <f t="shared" si="374"/>
        <v>6.1557000000000004</v>
      </c>
      <c r="F3725" s="1323">
        <f t="shared" si="379"/>
        <v>4.8046338006529465</v>
      </c>
      <c r="G3725" s="1323">
        <f t="shared" si="375"/>
        <v>1999</v>
      </c>
      <c r="H3725" s="1323">
        <f t="shared" si="376"/>
        <v>10</v>
      </c>
      <c r="I3725" s="1323">
        <f t="shared" si="377"/>
        <v>18</v>
      </c>
      <c r="J3725" s="1323"/>
      <c r="K3725" s="1323"/>
      <c r="L3725" s="1323"/>
      <c r="M3725" s="1323"/>
      <c r="N3725" s="1323"/>
      <c r="O3725" s="1323"/>
      <c r="P3725" s="1323"/>
      <c r="Q3725" s="1323"/>
      <c r="R3725" s="1304"/>
      <c r="S3725" s="1304"/>
      <c r="T3725" s="1304"/>
    </row>
    <row r="3726" spans="1:20">
      <c r="A3726" s="1303"/>
      <c r="B3726" s="1322" t="s">
        <v>9527</v>
      </c>
      <c r="C3726" s="1323" t="s">
        <v>9507</v>
      </c>
      <c r="D3726" s="1324">
        <f t="shared" si="378"/>
        <v>36448</v>
      </c>
      <c r="E3726" s="1323">
        <f t="shared" si="374"/>
        <v>6.1292999999999997</v>
      </c>
      <c r="F3726" s="1323">
        <f t="shared" si="379"/>
        <v>4.8037125407136312</v>
      </c>
      <c r="G3726" s="1323">
        <f t="shared" si="375"/>
        <v>1999</v>
      </c>
      <c r="H3726" s="1323">
        <f t="shared" si="376"/>
        <v>10</v>
      </c>
      <c r="I3726" s="1323">
        <f t="shared" si="377"/>
        <v>15</v>
      </c>
      <c r="J3726" s="1323"/>
      <c r="K3726" s="1323"/>
      <c r="L3726" s="1323"/>
      <c r="M3726" s="1323"/>
      <c r="N3726" s="1323"/>
      <c r="O3726" s="1323"/>
      <c r="P3726" s="1323"/>
      <c r="Q3726" s="1323"/>
      <c r="R3726" s="1304"/>
      <c r="S3726" s="1304"/>
      <c r="T3726" s="1304"/>
    </row>
    <row r="3727" spans="1:20">
      <c r="A3727" s="1303"/>
      <c r="B3727" s="1322" t="s">
        <v>9528</v>
      </c>
      <c r="C3727" s="1323" t="s">
        <v>9529</v>
      </c>
      <c r="D3727" s="1324">
        <f t="shared" si="378"/>
        <v>36447</v>
      </c>
      <c r="E3727" s="1323">
        <f t="shared" si="374"/>
        <v>6.1105999999999998</v>
      </c>
      <c r="F3727" s="1323">
        <f t="shared" si="379"/>
        <v>4.8027914574204269</v>
      </c>
      <c r="G3727" s="1323">
        <f t="shared" si="375"/>
        <v>1999</v>
      </c>
      <c r="H3727" s="1323">
        <f t="shared" si="376"/>
        <v>10</v>
      </c>
      <c r="I3727" s="1323">
        <f t="shared" si="377"/>
        <v>14</v>
      </c>
      <c r="J3727" s="1323"/>
      <c r="K3727" s="1323"/>
      <c r="L3727" s="1323"/>
      <c r="M3727" s="1323"/>
      <c r="N3727" s="1323"/>
      <c r="O3727" s="1323"/>
      <c r="P3727" s="1323"/>
      <c r="Q3727" s="1323"/>
      <c r="R3727" s="1304"/>
      <c r="S3727" s="1304"/>
      <c r="T3727" s="1304"/>
    </row>
    <row r="3728" spans="1:20">
      <c r="A3728" s="1303"/>
      <c r="B3728" s="1322" t="s">
        <v>9530</v>
      </c>
      <c r="C3728" s="1323" t="s">
        <v>9531</v>
      </c>
      <c r="D3728" s="1324">
        <f t="shared" si="378"/>
        <v>36446</v>
      </c>
      <c r="E3728" s="1323">
        <f t="shared" si="374"/>
        <v>6.0716000000000001</v>
      </c>
      <c r="F3728" s="1323">
        <f t="shared" si="379"/>
        <v>4.801870550739463</v>
      </c>
      <c r="G3728" s="1323">
        <f t="shared" si="375"/>
        <v>1999</v>
      </c>
      <c r="H3728" s="1323">
        <f t="shared" si="376"/>
        <v>10</v>
      </c>
      <c r="I3728" s="1323">
        <f t="shared" si="377"/>
        <v>13</v>
      </c>
      <c r="J3728" s="1323"/>
      <c r="K3728" s="1323"/>
      <c r="L3728" s="1323"/>
      <c r="M3728" s="1323"/>
      <c r="N3728" s="1323"/>
      <c r="O3728" s="1323"/>
      <c r="P3728" s="1323"/>
      <c r="Q3728" s="1323"/>
      <c r="R3728" s="1304"/>
      <c r="S3728" s="1304"/>
      <c r="T3728" s="1304"/>
    </row>
    <row r="3729" spans="1:20">
      <c r="A3729" s="1303"/>
      <c r="B3729" s="1322" t="s">
        <v>9532</v>
      </c>
      <c r="C3729" s="1323" t="s">
        <v>9533</v>
      </c>
      <c r="D3729" s="1324">
        <f t="shared" si="378"/>
        <v>36445</v>
      </c>
      <c r="E3729" s="1323">
        <f t="shared" si="374"/>
        <v>6.0772000000000004</v>
      </c>
      <c r="F3729" s="1323">
        <f t="shared" si="379"/>
        <v>4.800949820636875</v>
      </c>
      <c r="G3729" s="1323">
        <f t="shared" si="375"/>
        <v>1999</v>
      </c>
      <c r="H3729" s="1323">
        <f t="shared" si="376"/>
        <v>10</v>
      </c>
      <c r="I3729" s="1323">
        <f t="shared" si="377"/>
        <v>12</v>
      </c>
      <c r="J3729" s="1323"/>
      <c r="K3729" s="1323"/>
      <c r="L3729" s="1323"/>
      <c r="M3729" s="1323"/>
      <c r="N3729" s="1323"/>
      <c r="O3729" s="1323"/>
      <c r="P3729" s="1323"/>
      <c r="Q3729" s="1323"/>
      <c r="R3729" s="1304"/>
      <c r="S3729" s="1304"/>
      <c r="T3729" s="1304"/>
    </row>
    <row r="3730" spans="1:20">
      <c r="A3730" s="1303"/>
      <c r="B3730" s="1322" t="s">
        <v>9534</v>
      </c>
      <c r="C3730" s="1323" t="s">
        <v>6869</v>
      </c>
      <c r="D3730" s="1324">
        <f t="shared" si="378"/>
        <v>36444</v>
      </c>
      <c r="E3730" s="1323">
        <f t="shared" si="374"/>
        <v>6.0551000000000004</v>
      </c>
      <c r="F3730" s="1323">
        <f t="shared" si="379"/>
        <v>4.8000292670788047</v>
      </c>
      <c r="G3730" s="1323">
        <f t="shared" si="375"/>
        <v>1999</v>
      </c>
      <c r="H3730" s="1323">
        <f t="shared" si="376"/>
        <v>10</v>
      </c>
      <c r="I3730" s="1323">
        <f t="shared" si="377"/>
        <v>11</v>
      </c>
      <c r="J3730" s="1323"/>
      <c r="K3730" s="1323"/>
      <c r="L3730" s="1323"/>
      <c r="M3730" s="1323"/>
      <c r="N3730" s="1323"/>
      <c r="O3730" s="1323"/>
      <c r="P3730" s="1323"/>
      <c r="Q3730" s="1323"/>
      <c r="R3730" s="1304"/>
      <c r="S3730" s="1304"/>
      <c r="T3730" s="1304"/>
    </row>
    <row r="3731" spans="1:20">
      <c r="A3731" s="1303"/>
      <c r="B3731" s="1322" t="s">
        <v>9535</v>
      </c>
      <c r="C3731" s="1323" t="s">
        <v>9536</v>
      </c>
      <c r="D3731" s="1324">
        <f t="shared" si="378"/>
        <v>36441</v>
      </c>
      <c r="E3731" s="1323">
        <f t="shared" si="374"/>
        <v>6.0533000000000001</v>
      </c>
      <c r="F3731" s="1323">
        <f t="shared" si="379"/>
        <v>4.799108890031401</v>
      </c>
      <c r="G3731" s="1323">
        <f t="shared" si="375"/>
        <v>1999</v>
      </c>
      <c r="H3731" s="1323">
        <f t="shared" si="376"/>
        <v>10</v>
      </c>
      <c r="I3731" s="1323">
        <f t="shared" si="377"/>
        <v>8</v>
      </c>
      <c r="J3731" s="1323"/>
      <c r="K3731" s="1323"/>
      <c r="L3731" s="1323"/>
      <c r="M3731" s="1323"/>
      <c r="N3731" s="1323"/>
      <c r="O3731" s="1323"/>
      <c r="P3731" s="1323"/>
      <c r="Q3731" s="1323"/>
      <c r="R3731" s="1304"/>
      <c r="S3731" s="1304"/>
      <c r="T3731" s="1304"/>
    </row>
    <row r="3732" spans="1:20">
      <c r="A3732" s="1303"/>
      <c r="B3732" s="1322" t="s">
        <v>9537</v>
      </c>
      <c r="C3732" s="1323" t="s">
        <v>9538</v>
      </c>
      <c r="D3732" s="1324">
        <f t="shared" si="378"/>
        <v>36440</v>
      </c>
      <c r="E3732" s="1323">
        <f t="shared" si="374"/>
        <v>6.0624000000000002</v>
      </c>
      <c r="F3732" s="1323">
        <f t="shared" si="379"/>
        <v>4.7981886894608197</v>
      </c>
      <c r="G3732" s="1323">
        <f t="shared" si="375"/>
        <v>1999</v>
      </c>
      <c r="H3732" s="1323">
        <f t="shared" si="376"/>
        <v>10</v>
      </c>
      <c r="I3732" s="1323">
        <f t="shared" si="377"/>
        <v>7</v>
      </c>
      <c r="J3732" s="1323"/>
      <c r="K3732" s="1323"/>
      <c r="L3732" s="1323"/>
      <c r="M3732" s="1323"/>
      <c r="N3732" s="1323"/>
      <c r="O3732" s="1323"/>
      <c r="P3732" s="1323"/>
      <c r="Q3732" s="1323"/>
      <c r="R3732" s="1304"/>
      <c r="S3732" s="1304"/>
      <c r="T3732" s="1304"/>
    </row>
    <row r="3733" spans="1:20">
      <c r="A3733" s="1303"/>
      <c r="B3733" s="1322" t="s">
        <v>9539</v>
      </c>
      <c r="C3733" s="1323" t="s">
        <v>9540</v>
      </c>
      <c r="D3733" s="1324">
        <f t="shared" si="378"/>
        <v>36439</v>
      </c>
      <c r="E3733" s="1323">
        <f t="shared" si="374"/>
        <v>5.9934000000000003</v>
      </c>
      <c r="F3733" s="1323">
        <f t="shared" si="379"/>
        <v>4.7972686653332213</v>
      </c>
      <c r="G3733" s="1323">
        <f t="shared" si="375"/>
        <v>1999</v>
      </c>
      <c r="H3733" s="1323">
        <f t="shared" si="376"/>
        <v>10</v>
      </c>
      <c r="I3733" s="1323">
        <f t="shared" si="377"/>
        <v>6</v>
      </c>
      <c r="J3733" s="1323"/>
      <c r="K3733" s="1323"/>
      <c r="L3733" s="1323"/>
      <c r="M3733" s="1323"/>
      <c r="N3733" s="1323"/>
      <c r="O3733" s="1323"/>
      <c r="P3733" s="1323"/>
      <c r="Q3733" s="1323"/>
      <c r="R3733" s="1304"/>
      <c r="S3733" s="1304"/>
      <c r="T3733" s="1304"/>
    </row>
    <row r="3734" spans="1:20">
      <c r="A3734" s="1303"/>
      <c r="B3734" s="1322" t="s">
        <v>9541</v>
      </c>
      <c r="C3734" s="1323" t="s">
        <v>9542</v>
      </c>
      <c r="D3734" s="1324">
        <f t="shared" si="378"/>
        <v>36438</v>
      </c>
      <c r="E3734" s="1323">
        <f t="shared" ref="E3734:E3797" si="380">VALUE(C3735)</f>
        <v>5.9897999999999998</v>
      </c>
      <c r="F3734" s="1323">
        <f t="shared" si="379"/>
        <v>4.7963488176147742</v>
      </c>
      <c r="G3734" s="1323">
        <f t="shared" ref="G3734:G3797" si="381">YEAR(B3735)</f>
        <v>1999</v>
      </c>
      <c r="H3734" s="1323">
        <f t="shared" ref="H3734:H3797" si="382">MONTH(B3735)</f>
        <v>10</v>
      </c>
      <c r="I3734" s="1323">
        <f t="shared" ref="I3734:I3797" si="383">DAY(B3735)</f>
        <v>5</v>
      </c>
      <c r="J3734" s="1323"/>
      <c r="K3734" s="1323"/>
      <c r="L3734" s="1323"/>
      <c r="M3734" s="1323"/>
      <c r="N3734" s="1323"/>
      <c r="O3734" s="1323"/>
      <c r="P3734" s="1323"/>
      <c r="Q3734" s="1323"/>
      <c r="R3734" s="1304"/>
      <c r="S3734" s="1304"/>
      <c r="T3734" s="1304"/>
    </row>
    <row r="3735" spans="1:20">
      <c r="A3735" s="1303"/>
      <c r="B3735" s="1322" t="s">
        <v>9543</v>
      </c>
      <c r="C3735" s="1323" t="s">
        <v>9544</v>
      </c>
      <c r="D3735" s="1324">
        <f t="shared" si="378"/>
        <v>36437</v>
      </c>
      <c r="E3735" s="1323">
        <f t="shared" si="380"/>
        <v>6.0077999999999996</v>
      </c>
      <c r="F3735" s="1323">
        <f t="shared" si="379"/>
        <v>4.7954291462716538</v>
      </c>
      <c r="G3735" s="1323">
        <f t="shared" si="381"/>
        <v>1999</v>
      </c>
      <c r="H3735" s="1323">
        <f t="shared" si="382"/>
        <v>10</v>
      </c>
      <c r="I3735" s="1323">
        <f t="shared" si="383"/>
        <v>4</v>
      </c>
      <c r="J3735" s="1323"/>
      <c r="K3735" s="1323"/>
      <c r="L3735" s="1323"/>
      <c r="M3735" s="1323"/>
      <c r="N3735" s="1323"/>
      <c r="O3735" s="1323"/>
      <c r="P3735" s="1323"/>
      <c r="Q3735" s="1323"/>
      <c r="R3735" s="1304"/>
      <c r="S3735" s="1304"/>
      <c r="T3735" s="1304"/>
    </row>
    <row r="3736" spans="1:20">
      <c r="A3736" s="1303"/>
      <c r="B3736" s="1322" t="s">
        <v>9545</v>
      </c>
      <c r="C3736" s="1323" t="s">
        <v>9546</v>
      </c>
      <c r="D3736" s="1324">
        <f t="shared" si="378"/>
        <v>36434</v>
      </c>
      <c r="E3736" s="1323">
        <f t="shared" si="380"/>
        <v>6.0042</v>
      </c>
      <c r="F3736" s="1323">
        <f t="shared" si="379"/>
        <v>4.7945096512700403</v>
      </c>
      <c r="G3736" s="1323">
        <f t="shared" si="381"/>
        <v>1999</v>
      </c>
      <c r="H3736" s="1323">
        <f t="shared" si="382"/>
        <v>10</v>
      </c>
      <c r="I3736" s="1323">
        <f t="shared" si="383"/>
        <v>1</v>
      </c>
      <c r="J3736" s="1323"/>
      <c r="K3736" s="1323"/>
      <c r="L3736" s="1323"/>
      <c r="M3736" s="1323"/>
      <c r="N3736" s="1323"/>
      <c r="O3736" s="1323"/>
      <c r="P3736" s="1323"/>
      <c r="Q3736" s="1323"/>
      <c r="R3736" s="1304"/>
      <c r="S3736" s="1304"/>
      <c r="T3736" s="1304"/>
    </row>
    <row r="3737" spans="1:20">
      <c r="A3737" s="1303"/>
      <c r="B3737" s="1322" t="s">
        <v>9547</v>
      </c>
      <c r="C3737" s="1323" t="s">
        <v>9548</v>
      </c>
      <c r="D3737" s="1324">
        <f t="shared" si="378"/>
        <v>36433</v>
      </c>
      <c r="E3737" s="1323">
        <f t="shared" si="380"/>
        <v>6.0223000000000004</v>
      </c>
      <c r="F3737" s="1323">
        <f t="shared" si="379"/>
        <v>4.7935903325761213</v>
      </c>
      <c r="G3737" s="1323">
        <f t="shared" si="381"/>
        <v>1999</v>
      </c>
      <c r="H3737" s="1323">
        <f t="shared" si="382"/>
        <v>9</v>
      </c>
      <c r="I3737" s="1323">
        <f t="shared" si="383"/>
        <v>30</v>
      </c>
      <c r="J3737" s="1323"/>
      <c r="K3737" s="1323"/>
      <c r="L3737" s="1323"/>
      <c r="M3737" s="1323"/>
      <c r="N3737" s="1323"/>
      <c r="O3737" s="1323"/>
      <c r="P3737" s="1323"/>
      <c r="Q3737" s="1323"/>
      <c r="R3737" s="1304"/>
      <c r="S3737" s="1304"/>
      <c r="T3737" s="1304"/>
    </row>
    <row r="3738" spans="1:20">
      <c r="A3738" s="1303"/>
      <c r="B3738" s="1322" t="s">
        <v>9549</v>
      </c>
      <c r="C3738" s="1323" t="s">
        <v>9550</v>
      </c>
      <c r="D3738" s="1324">
        <f t="shared" si="378"/>
        <v>36432</v>
      </c>
      <c r="E3738" s="1323">
        <f t="shared" si="380"/>
        <v>5.9790999999999999</v>
      </c>
      <c r="F3738" s="1323">
        <f t="shared" si="379"/>
        <v>4.7926711901560912</v>
      </c>
      <c r="G3738" s="1323">
        <f t="shared" si="381"/>
        <v>1999</v>
      </c>
      <c r="H3738" s="1323">
        <f t="shared" si="382"/>
        <v>9</v>
      </c>
      <c r="I3738" s="1323">
        <f t="shared" si="383"/>
        <v>29</v>
      </c>
      <c r="J3738" s="1323"/>
      <c r="K3738" s="1323"/>
      <c r="L3738" s="1323"/>
      <c r="M3738" s="1323"/>
      <c r="N3738" s="1323"/>
      <c r="O3738" s="1323"/>
      <c r="P3738" s="1323"/>
      <c r="Q3738" s="1323"/>
      <c r="R3738" s="1304"/>
      <c r="S3738" s="1304"/>
      <c r="T3738" s="1304"/>
    </row>
    <row r="3739" spans="1:20">
      <c r="A3739" s="1303"/>
      <c r="B3739" s="1322" t="s">
        <v>9551</v>
      </c>
      <c r="C3739" s="1323" t="s">
        <v>9552</v>
      </c>
      <c r="D3739" s="1324">
        <f t="shared" si="378"/>
        <v>36431</v>
      </c>
      <c r="E3739" s="1323">
        <f t="shared" si="380"/>
        <v>6.0060000000000002</v>
      </c>
      <c r="F3739" s="1323">
        <f t="shared" si="379"/>
        <v>4.7917522239761503</v>
      </c>
      <c r="G3739" s="1323">
        <f t="shared" si="381"/>
        <v>1999</v>
      </c>
      <c r="H3739" s="1323">
        <f t="shared" si="382"/>
        <v>9</v>
      </c>
      <c r="I3739" s="1323">
        <f t="shared" si="383"/>
        <v>28</v>
      </c>
      <c r="J3739" s="1323"/>
      <c r="K3739" s="1323"/>
      <c r="L3739" s="1323"/>
      <c r="M3739" s="1323"/>
      <c r="N3739" s="1323"/>
      <c r="O3739" s="1323"/>
      <c r="P3739" s="1323"/>
      <c r="Q3739" s="1323"/>
      <c r="R3739" s="1304"/>
      <c r="S3739" s="1304"/>
      <c r="T3739" s="1304"/>
    </row>
    <row r="3740" spans="1:20">
      <c r="A3740" s="1303"/>
      <c r="B3740" s="1322" t="s">
        <v>9553</v>
      </c>
      <c r="C3740" s="1323" t="s">
        <v>9554</v>
      </c>
      <c r="D3740" s="1324">
        <f t="shared" si="378"/>
        <v>36430</v>
      </c>
      <c r="E3740" s="1323">
        <f t="shared" si="380"/>
        <v>6.0042</v>
      </c>
      <c r="F3740" s="1323">
        <f t="shared" si="379"/>
        <v>4.7908334340025061</v>
      </c>
      <c r="G3740" s="1323">
        <f t="shared" si="381"/>
        <v>1999</v>
      </c>
      <c r="H3740" s="1323">
        <f t="shared" si="382"/>
        <v>9</v>
      </c>
      <c r="I3740" s="1323">
        <f t="shared" si="383"/>
        <v>27</v>
      </c>
      <c r="J3740" s="1323"/>
      <c r="K3740" s="1323"/>
      <c r="L3740" s="1323"/>
      <c r="M3740" s="1323"/>
      <c r="N3740" s="1323"/>
      <c r="O3740" s="1323"/>
      <c r="P3740" s="1323"/>
      <c r="Q3740" s="1323"/>
      <c r="R3740" s="1304"/>
      <c r="S3740" s="1304"/>
      <c r="T3740" s="1304"/>
    </row>
    <row r="3741" spans="1:20">
      <c r="A3741" s="1303"/>
      <c r="B3741" s="1322" t="s">
        <v>9555</v>
      </c>
      <c r="C3741" s="1323" t="s">
        <v>9548</v>
      </c>
      <c r="D3741" s="1324">
        <f t="shared" si="378"/>
        <v>36426</v>
      </c>
      <c r="E3741" s="1323">
        <f t="shared" si="380"/>
        <v>6.0660999999999996</v>
      </c>
      <c r="F3741" s="1323">
        <f t="shared" si="379"/>
        <v>4.7899148202013713</v>
      </c>
      <c r="G3741" s="1323">
        <f t="shared" si="381"/>
        <v>1999</v>
      </c>
      <c r="H3741" s="1323">
        <f t="shared" si="382"/>
        <v>9</v>
      </c>
      <c r="I3741" s="1323">
        <f t="shared" si="383"/>
        <v>23</v>
      </c>
      <c r="J3741" s="1323"/>
      <c r="K3741" s="1323"/>
      <c r="L3741" s="1323"/>
      <c r="M3741" s="1323"/>
      <c r="N3741" s="1323"/>
      <c r="O3741" s="1323"/>
      <c r="P3741" s="1323"/>
      <c r="Q3741" s="1323"/>
      <c r="R3741" s="1304"/>
      <c r="S3741" s="1304"/>
      <c r="T3741" s="1304"/>
    </row>
    <row r="3742" spans="1:20">
      <c r="A3742" s="1303"/>
      <c r="B3742" s="1322" t="s">
        <v>9556</v>
      </c>
      <c r="C3742" s="1323" t="s">
        <v>9557</v>
      </c>
      <c r="D3742" s="1324">
        <f t="shared" si="378"/>
        <v>36425</v>
      </c>
      <c r="E3742" s="1323">
        <f t="shared" si="380"/>
        <v>6.0587999999999997</v>
      </c>
      <c r="F3742" s="1323">
        <f t="shared" si="379"/>
        <v>4.7889963825389668</v>
      </c>
      <c r="G3742" s="1323">
        <f t="shared" si="381"/>
        <v>1999</v>
      </c>
      <c r="H3742" s="1323">
        <f t="shared" si="382"/>
        <v>9</v>
      </c>
      <c r="I3742" s="1323">
        <f t="shared" si="383"/>
        <v>22</v>
      </c>
      <c r="J3742" s="1323"/>
      <c r="K3742" s="1323"/>
      <c r="L3742" s="1323"/>
      <c r="M3742" s="1323"/>
      <c r="N3742" s="1323"/>
      <c r="O3742" s="1323"/>
      <c r="P3742" s="1323"/>
      <c r="Q3742" s="1323"/>
      <c r="R3742" s="1304"/>
      <c r="S3742" s="1304"/>
      <c r="T3742" s="1304"/>
    </row>
    <row r="3743" spans="1:20">
      <c r="A3743" s="1303"/>
      <c r="B3743" s="1322" t="s">
        <v>9558</v>
      </c>
      <c r="C3743" s="1323" t="s">
        <v>9559</v>
      </c>
      <c r="D3743" s="1324">
        <f t="shared" si="378"/>
        <v>36424</v>
      </c>
      <c r="E3743" s="1323">
        <f t="shared" si="380"/>
        <v>6.0888</v>
      </c>
      <c r="F3743" s="1323">
        <f t="shared" si="379"/>
        <v>4.7880781209815177</v>
      </c>
      <c r="G3743" s="1323">
        <f t="shared" si="381"/>
        <v>1999</v>
      </c>
      <c r="H3743" s="1323">
        <f t="shared" si="382"/>
        <v>9</v>
      </c>
      <c r="I3743" s="1323">
        <f t="shared" si="383"/>
        <v>21</v>
      </c>
      <c r="J3743" s="1323"/>
      <c r="K3743" s="1323"/>
      <c r="L3743" s="1323"/>
      <c r="M3743" s="1323"/>
      <c r="N3743" s="1323"/>
      <c r="O3743" s="1323"/>
      <c r="P3743" s="1323"/>
      <c r="Q3743" s="1323"/>
      <c r="R3743" s="1304"/>
      <c r="S3743" s="1304"/>
      <c r="T3743" s="1304"/>
    </row>
    <row r="3744" spans="1:20">
      <c r="A3744" s="1303"/>
      <c r="B3744" s="1322" t="s">
        <v>9560</v>
      </c>
      <c r="C3744" s="1323" t="s">
        <v>9561</v>
      </c>
      <c r="D3744" s="1324">
        <f t="shared" si="378"/>
        <v>36423</v>
      </c>
      <c r="E3744" s="1323">
        <f t="shared" si="380"/>
        <v>6.0895999999999999</v>
      </c>
      <c r="F3744" s="1323">
        <f t="shared" si="379"/>
        <v>4.7871600354952584</v>
      </c>
      <c r="G3744" s="1323">
        <f t="shared" si="381"/>
        <v>1999</v>
      </c>
      <c r="H3744" s="1323">
        <f t="shared" si="382"/>
        <v>9</v>
      </c>
      <c r="I3744" s="1323">
        <f t="shared" si="383"/>
        <v>20</v>
      </c>
      <c r="J3744" s="1323"/>
      <c r="K3744" s="1323"/>
      <c r="L3744" s="1323"/>
      <c r="M3744" s="1323"/>
      <c r="N3744" s="1323"/>
      <c r="O3744" s="1323"/>
      <c r="P3744" s="1323"/>
      <c r="Q3744" s="1323"/>
      <c r="R3744" s="1304"/>
      <c r="S3744" s="1304"/>
      <c r="T3744" s="1304"/>
    </row>
    <row r="3745" spans="1:20">
      <c r="A3745" s="1303"/>
      <c r="B3745" s="1322" t="s">
        <v>9562</v>
      </c>
      <c r="C3745" s="1323" t="s">
        <v>9563</v>
      </c>
      <c r="D3745" s="1324">
        <f t="shared" si="378"/>
        <v>36420</v>
      </c>
      <c r="E3745" s="1323">
        <f t="shared" si="380"/>
        <v>6.1173000000000002</v>
      </c>
      <c r="F3745" s="1323">
        <f t="shared" si="379"/>
        <v>4.7862421260464272</v>
      </c>
      <c r="G3745" s="1323">
        <f t="shared" si="381"/>
        <v>1999</v>
      </c>
      <c r="H3745" s="1323">
        <f t="shared" si="382"/>
        <v>9</v>
      </c>
      <c r="I3745" s="1323">
        <f t="shared" si="383"/>
        <v>17</v>
      </c>
      <c r="J3745" s="1323"/>
      <c r="K3745" s="1323"/>
      <c r="L3745" s="1323"/>
      <c r="M3745" s="1323"/>
      <c r="N3745" s="1323"/>
      <c r="O3745" s="1323"/>
      <c r="P3745" s="1323"/>
      <c r="Q3745" s="1323"/>
      <c r="R3745" s="1304"/>
      <c r="S3745" s="1304"/>
      <c r="T3745" s="1304"/>
    </row>
    <row r="3746" spans="1:20">
      <c r="A3746" s="1303"/>
      <c r="B3746" s="1322" t="s">
        <v>9564</v>
      </c>
      <c r="C3746" s="1323" t="s">
        <v>9565</v>
      </c>
      <c r="D3746" s="1324">
        <f t="shared" si="378"/>
        <v>36419</v>
      </c>
      <c r="E3746" s="1323">
        <f t="shared" si="380"/>
        <v>6.1363000000000003</v>
      </c>
      <c r="F3746" s="1323">
        <f t="shared" si="379"/>
        <v>4.7853243926012707</v>
      </c>
      <c r="G3746" s="1323">
        <f t="shared" si="381"/>
        <v>1999</v>
      </c>
      <c r="H3746" s="1323">
        <f t="shared" si="382"/>
        <v>9</v>
      </c>
      <c r="I3746" s="1323">
        <f t="shared" si="383"/>
        <v>16</v>
      </c>
      <c r="J3746" s="1323"/>
      <c r="K3746" s="1323"/>
      <c r="L3746" s="1323"/>
      <c r="M3746" s="1323"/>
      <c r="N3746" s="1323"/>
      <c r="O3746" s="1323"/>
      <c r="P3746" s="1323"/>
      <c r="Q3746" s="1323"/>
      <c r="R3746" s="1304"/>
      <c r="S3746" s="1304"/>
      <c r="T3746" s="1304"/>
    </row>
    <row r="3747" spans="1:20">
      <c r="A3747" s="1303"/>
      <c r="B3747" s="1322" t="s">
        <v>9566</v>
      </c>
      <c r="C3747" s="1323" t="s">
        <v>9567</v>
      </c>
      <c r="D3747" s="1324">
        <f t="shared" si="378"/>
        <v>36418</v>
      </c>
      <c r="E3747" s="1323">
        <f t="shared" si="380"/>
        <v>6.0945999999999998</v>
      </c>
      <c r="F3747" s="1323">
        <f t="shared" si="379"/>
        <v>4.7844068351260409</v>
      </c>
      <c r="G3747" s="1323">
        <f t="shared" si="381"/>
        <v>1999</v>
      </c>
      <c r="H3747" s="1323">
        <f t="shared" si="382"/>
        <v>9</v>
      </c>
      <c r="I3747" s="1323">
        <f t="shared" si="383"/>
        <v>15</v>
      </c>
      <c r="J3747" s="1323"/>
      <c r="K3747" s="1323"/>
      <c r="L3747" s="1323"/>
      <c r="M3747" s="1323"/>
      <c r="N3747" s="1323"/>
      <c r="O3747" s="1323"/>
      <c r="P3747" s="1323"/>
      <c r="Q3747" s="1323"/>
      <c r="R3747" s="1304"/>
      <c r="S3747" s="1304"/>
      <c r="T3747" s="1304"/>
    </row>
    <row r="3748" spans="1:20">
      <c r="A3748" s="1303"/>
      <c r="B3748" s="1322" t="s">
        <v>9568</v>
      </c>
      <c r="C3748" s="1323" t="s">
        <v>9569</v>
      </c>
      <c r="D3748" s="1324">
        <f t="shared" si="378"/>
        <v>36417</v>
      </c>
      <c r="E3748" s="1323">
        <f t="shared" si="380"/>
        <v>6.0736999999999997</v>
      </c>
      <c r="F3748" s="1323">
        <f t="shared" si="379"/>
        <v>4.7834894535869967</v>
      </c>
      <c r="G3748" s="1323">
        <f t="shared" si="381"/>
        <v>1999</v>
      </c>
      <c r="H3748" s="1323">
        <f t="shared" si="382"/>
        <v>9</v>
      </c>
      <c r="I3748" s="1323">
        <f t="shared" si="383"/>
        <v>14</v>
      </c>
      <c r="J3748" s="1323"/>
      <c r="K3748" s="1323"/>
      <c r="L3748" s="1323"/>
      <c r="M3748" s="1323"/>
      <c r="N3748" s="1323"/>
      <c r="O3748" s="1323"/>
      <c r="P3748" s="1323"/>
      <c r="Q3748" s="1323"/>
      <c r="R3748" s="1304"/>
      <c r="S3748" s="1304"/>
      <c r="T3748" s="1304"/>
    </row>
    <row r="3749" spans="1:20">
      <c r="A3749" s="1303"/>
      <c r="B3749" s="1322" t="s">
        <v>9570</v>
      </c>
      <c r="C3749" s="1323" t="s">
        <v>9571</v>
      </c>
      <c r="D3749" s="1324">
        <f t="shared" si="378"/>
        <v>36416</v>
      </c>
      <c r="E3749" s="1323">
        <f t="shared" si="380"/>
        <v>6.0579999999999998</v>
      </c>
      <c r="F3749" s="1323">
        <f t="shared" si="379"/>
        <v>4.7825722479504034</v>
      </c>
      <c r="G3749" s="1323">
        <f t="shared" si="381"/>
        <v>1999</v>
      </c>
      <c r="H3749" s="1323">
        <f t="shared" si="382"/>
        <v>9</v>
      </c>
      <c r="I3749" s="1323">
        <f t="shared" si="383"/>
        <v>13</v>
      </c>
      <c r="J3749" s="1323"/>
      <c r="K3749" s="1323"/>
      <c r="L3749" s="1323"/>
      <c r="M3749" s="1323"/>
      <c r="N3749" s="1323"/>
      <c r="O3749" s="1323"/>
      <c r="P3749" s="1323"/>
      <c r="Q3749" s="1323"/>
      <c r="R3749" s="1304"/>
      <c r="S3749" s="1304"/>
      <c r="T3749" s="1304"/>
    </row>
    <row r="3750" spans="1:20">
      <c r="A3750" s="1303"/>
      <c r="B3750" s="1322" t="s">
        <v>9572</v>
      </c>
      <c r="C3750" s="1323" t="s">
        <v>9573</v>
      </c>
      <c r="D3750" s="1324">
        <f t="shared" si="378"/>
        <v>36413</v>
      </c>
      <c r="E3750" s="1323">
        <f t="shared" si="380"/>
        <v>6.0814000000000004</v>
      </c>
      <c r="F3750" s="1323">
        <f t="shared" si="379"/>
        <v>4.7816552181825323</v>
      </c>
      <c r="G3750" s="1323">
        <f t="shared" si="381"/>
        <v>1999</v>
      </c>
      <c r="H3750" s="1323">
        <f t="shared" si="382"/>
        <v>9</v>
      </c>
      <c r="I3750" s="1323">
        <f t="shared" si="383"/>
        <v>10</v>
      </c>
      <c r="J3750" s="1323"/>
      <c r="K3750" s="1323"/>
      <c r="L3750" s="1323"/>
      <c r="M3750" s="1323"/>
      <c r="N3750" s="1323"/>
      <c r="O3750" s="1323"/>
      <c r="P3750" s="1323"/>
      <c r="Q3750" s="1323"/>
      <c r="R3750" s="1304"/>
      <c r="S3750" s="1304"/>
      <c r="T3750" s="1304"/>
    </row>
    <row r="3751" spans="1:20">
      <c r="A3751" s="1303"/>
      <c r="B3751" s="1322" t="s">
        <v>9574</v>
      </c>
      <c r="C3751" s="1323" t="s">
        <v>7255</v>
      </c>
      <c r="D3751" s="1324">
        <f t="shared" si="378"/>
        <v>36412</v>
      </c>
      <c r="E3751" s="1323">
        <f t="shared" si="380"/>
        <v>6.0861999999999998</v>
      </c>
      <c r="F3751" s="1323">
        <f t="shared" si="379"/>
        <v>4.7807383642496619</v>
      </c>
      <c r="G3751" s="1323">
        <f t="shared" si="381"/>
        <v>1999</v>
      </c>
      <c r="H3751" s="1323">
        <f t="shared" si="382"/>
        <v>9</v>
      </c>
      <c r="I3751" s="1323">
        <f t="shared" si="383"/>
        <v>9</v>
      </c>
      <c r="J3751" s="1323"/>
      <c r="K3751" s="1323"/>
      <c r="L3751" s="1323"/>
      <c r="M3751" s="1323"/>
      <c r="N3751" s="1323"/>
      <c r="O3751" s="1323"/>
      <c r="P3751" s="1323"/>
      <c r="Q3751" s="1323"/>
      <c r="R3751" s="1304"/>
      <c r="S3751" s="1304"/>
      <c r="T3751" s="1304"/>
    </row>
    <row r="3752" spans="1:20">
      <c r="A3752" s="1303"/>
      <c r="B3752" s="1322" t="s">
        <v>9575</v>
      </c>
      <c r="C3752" s="1323" t="s">
        <v>9576</v>
      </c>
      <c r="D3752" s="1324">
        <f t="shared" si="378"/>
        <v>36411</v>
      </c>
      <c r="E3752" s="1323">
        <f t="shared" si="380"/>
        <v>6.0622999999999996</v>
      </c>
      <c r="F3752" s="1323">
        <f t="shared" si="379"/>
        <v>4.7798216861180771</v>
      </c>
      <c r="G3752" s="1323">
        <f t="shared" si="381"/>
        <v>1999</v>
      </c>
      <c r="H3752" s="1323">
        <f t="shared" si="382"/>
        <v>9</v>
      </c>
      <c r="I3752" s="1323">
        <f t="shared" si="383"/>
        <v>8</v>
      </c>
      <c r="J3752" s="1323"/>
      <c r="K3752" s="1323"/>
      <c r="L3752" s="1323"/>
      <c r="M3752" s="1323"/>
      <c r="N3752" s="1323"/>
      <c r="O3752" s="1323"/>
      <c r="P3752" s="1323"/>
      <c r="Q3752" s="1323"/>
      <c r="R3752" s="1304"/>
      <c r="S3752" s="1304"/>
      <c r="T3752" s="1304"/>
    </row>
    <row r="3753" spans="1:20">
      <c r="A3753" s="1303"/>
      <c r="B3753" s="1322" t="s">
        <v>9577</v>
      </c>
      <c r="C3753" s="1323" t="s">
        <v>9578</v>
      </c>
      <c r="D3753" s="1324">
        <f t="shared" si="378"/>
        <v>36410</v>
      </c>
      <c r="E3753" s="1323">
        <f t="shared" si="380"/>
        <v>6.0335000000000001</v>
      </c>
      <c r="F3753" s="1323">
        <f t="shared" si="379"/>
        <v>4.7789051837540697</v>
      </c>
      <c r="G3753" s="1323">
        <f t="shared" si="381"/>
        <v>1999</v>
      </c>
      <c r="H3753" s="1323">
        <f t="shared" si="382"/>
        <v>9</v>
      </c>
      <c r="I3753" s="1323">
        <f t="shared" si="383"/>
        <v>7</v>
      </c>
      <c r="J3753" s="1323"/>
      <c r="K3753" s="1323"/>
      <c r="L3753" s="1323"/>
      <c r="M3753" s="1323"/>
      <c r="N3753" s="1323"/>
      <c r="O3753" s="1323"/>
      <c r="P3753" s="1323"/>
      <c r="Q3753" s="1323"/>
      <c r="R3753" s="1304"/>
      <c r="S3753" s="1304"/>
      <c r="T3753" s="1304"/>
    </row>
    <row r="3754" spans="1:20">
      <c r="A3754" s="1303"/>
      <c r="B3754" s="1322" t="s">
        <v>9579</v>
      </c>
      <c r="C3754" s="1323" t="s">
        <v>9580</v>
      </c>
      <c r="D3754" s="1324">
        <f t="shared" si="378"/>
        <v>36409</v>
      </c>
      <c r="E3754" s="1323">
        <f t="shared" si="380"/>
        <v>6.0292000000000003</v>
      </c>
      <c r="F3754" s="1323">
        <f t="shared" si="379"/>
        <v>4.777988857123936</v>
      </c>
      <c r="G3754" s="1323">
        <f t="shared" si="381"/>
        <v>1999</v>
      </c>
      <c r="H3754" s="1323">
        <f t="shared" si="382"/>
        <v>9</v>
      </c>
      <c r="I3754" s="1323">
        <f t="shared" si="383"/>
        <v>6</v>
      </c>
      <c r="J3754" s="1323"/>
      <c r="K3754" s="1323"/>
      <c r="L3754" s="1323"/>
      <c r="M3754" s="1323"/>
      <c r="N3754" s="1323"/>
      <c r="O3754" s="1323"/>
      <c r="P3754" s="1323"/>
      <c r="Q3754" s="1323"/>
      <c r="R3754" s="1304"/>
      <c r="S3754" s="1304"/>
      <c r="T3754" s="1304"/>
    </row>
    <row r="3755" spans="1:20">
      <c r="A3755" s="1303"/>
      <c r="B3755" s="1322" t="s">
        <v>9581</v>
      </c>
      <c r="C3755" s="1323" t="s">
        <v>9582</v>
      </c>
      <c r="D3755" s="1324">
        <f t="shared" si="378"/>
        <v>36406</v>
      </c>
      <c r="E3755" s="1323">
        <f t="shared" si="380"/>
        <v>6.0350000000000001</v>
      </c>
      <c r="F3755" s="1323">
        <f t="shared" si="379"/>
        <v>4.7770727061939811</v>
      </c>
      <c r="G3755" s="1323">
        <f t="shared" si="381"/>
        <v>1999</v>
      </c>
      <c r="H3755" s="1323">
        <f t="shared" si="382"/>
        <v>9</v>
      </c>
      <c r="I3755" s="1323">
        <f t="shared" si="383"/>
        <v>3</v>
      </c>
      <c r="J3755" s="1323"/>
      <c r="K3755" s="1323"/>
      <c r="L3755" s="1323"/>
      <c r="M3755" s="1323"/>
      <c r="N3755" s="1323"/>
      <c r="O3755" s="1323"/>
      <c r="P3755" s="1323"/>
      <c r="Q3755" s="1323"/>
      <c r="R3755" s="1304"/>
      <c r="S3755" s="1304"/>
      <c r="T3755" s="1304"/>
    </row>
    <row r="3756" spans="1:20">
      <c r="A3756" s="1303"/>
      <c r="B3756" s="1322" t="s">
        <v>9583</v>
      </c>
      <c r="C3756" s="1323" t="s">
        <v>9584</v>
      </c>
      <c r="D3756" s="1324">
        <f t="shared" si="378"/>
        <v>36405</v>
      </c>
      <c r="E3756" s="1323">
        <f t="shared" si="380"/>
        <v>6.0430000000000001</v>
      </c>
      <c r="F3756" s="1323">
        <f t="shared" si="379"/>
        <v>4.7761567309305146</v>
      </c>
      <c r="G3756" s="1323">
        <f t="shared" si="381"/>
        <v>1999</v>
      </c>
      <c r="H3756" s="1323">
        <f t="shared" si="382"/>
        <v>9</v>
      </c>
      <c r="I3756" s="1323">
        <f t="shared" si="383"/>
        <v>2</v>
      </c>
      <c r="J3756" s="1323"/>
      <c r="K3756" s="1323"/>
      <c r="L3756" s="1323"/>
      <c r="M3756" s="1323"/>
      <c r="N3756" s="1323"/>
      <c r="O3756" s="1323"/>
      <c r="P3756" s="1323"/>
      <c r="Q3756" s="1323"/>
      <c r="R3756" s="1304"/>
      <c r="S3756" s="1304"/>
      <c r="T3756" s="1304"/>
    </row>
    <row r="3757" spans="1:20">
      <c r="A3757" s="1303"/>
      <c r="B3757" s="1322" t="s">
        <v>9585</v>
      </c>
      <c r="C3757" s="1323" t="s">
        <v>9586</v>
      </c>
      <c r="D3757" s="1324">
        <f t="shared" si="378"/>
        <v>36404</v>
      </c>
      <c r="E3757" s="1323">
        <f t="shared" si="380"/>
        <v>6.0850999999999997</v>
      </c>
      <c r="F3757" s="1323">
        <f t="shared" si="379"/>
        <v>4.7752409312998543</v>
      </c>
      <c r="G3757" s="1323">
        <f t="shared" si="381"/>
        <v>1999</v>
      </c>
      <c r="H3757" s="1323">
        <f t="shared" si="382"/>
        <v>9</v>
      </c>
      <c r="I3757" s="1323">
        <f t="shared" si="383"/>
        <v>1</v>
      </c>
      <c r="J3757" s="1323"/>
      <c r="K3757" s="1323"/>
      <c r="L3757" s="1323"/>
      <c r="M3757" s="1323"/>
      <c r="N3757" s="1323"/>
      <c r="O3757" s="1323"/>
      <c r="P3757" s="1323"/>
      <c r="Q3757" s="1323"/>
      <c r="R3757" s="1304"/>
      <c r="S3757" s="1304"/>
      <c r="T3757" s="1304"/>
    </row>
    <row r="3758" spans="1:20">
      <c r="A3758" s="1303"/>
      <c r="B3758" s="1322" t="s">
        <v>9587</v>
      </c>
      <c r="C3758" s="1323" t="s">
        <v>9588</v>
      </c>
      <c r="D3758" s="1324">
        <f t="shared" si="378"/>
        <v>36403</v>
      </c>
      <c r="E3758" s="1323">
        <f t="shared" si="380"/>
        <v>6.0850999999999997</v>
      </c>
      <c r="F3758" s="1323">
        <f t="shared" si="379"/>
        <v>4.7743253072683229</v>
      </c>
      <c r="G3758" s="1323">
        <f t="shared" si="381"/>
        <v>1999</v>
      </c>
      <c r="H3758" s="1323">
        <f t="shared" si="382"/>
        <v>8</v>
      </c>
      <c r="I3758" s="1323">
        <f t="shared" si="383"/>
        <v>31</v>
      </c>
      <c r="J3758" s="1323"/>
      <c r="K3758" s="1323"/>
      <c r="L3758" s="1323"/>
      <c r="M3758" s="1323"/>
      <c r="N3758" s="1323"/>
      <c r="O3758" s="1323"/>
      <c r="P3758" s="1323"/>
      <c r="Q3758" s="1323"/>
      <c r="R3758" s="1304"/>
      <c r="S3758" s="1304"/>
      <c r="T3758" s="1304"/>
    </row>
    <row r="3759" spans="1:20">
      <c r="A3759" s="1303"/>
      <c r="B3759" s="1322" t="s">
        <v>9589</v>
      </c>
      <c r="C3759" s="1323" t="s">
        <v>9588</v>
      </c>
      <c r="D3759" s="1324">
        <f t="shared" si="378"/>
        <v>36402</v>
      </c>
      <c r="E3759" s="1323">
        <f t="shared" si="380"/>
        <v>6.0922000000000001</v>
      </c>
      <c r="F3759" s="1323">
        <f t="shared" si="379"/>
        <v>4.7734098588022515</v>
      </c>
      <c r="G3759" s="1323">
        <f t="shared" si="381"/>
        <v>1999</v>
      </c>
      <c r="H3759" s="1323">
        <f t="shared" si="382"/>
        <v>8</v>
      </c>
      <c r="I3759" s="1323">
        <f t="shared" si="383"/>
        <v>30</v>
      </c>
      <c r="J3759" s="1323"/>
      <c r="K3759" s="1323"/>
      <c r="L3759" s="1323"/>
      <c r="M3759" s="1323"/>
      <c r="N3759" s="1323"/>
      <c r="O3759" s="1323"/>
      <c r="P3759" s="1323"/>
      <c r="Q3759" s="1323"/>
      <c r="R3759" s="1304"/>
      <c r="S3759" s="1304"/>
      <c r="T3759" s="1304"/>
    </row>
    <row r="3760" spans="1:20">
      <c r="A3760" s="1303"/>
      <c r="B3760" s="1322" t="s">
        <v>9590</v>
      </c>
      <c r="C3760" s="1323" t="s">
        <v>9591</v>
      </c>
      <c r="D3760" s="1324">
        <f t="shared" si="378"/>
        <v>36399</v>
      </c>
      <c r="E3760" s="1323">
        <f t="shared" si="380"/>
        <v>6.0951000000000004</v>
      </c>
      <c r="F3760" s="1323">
        <f t="shared" si="379"/>
        <v>4.7724945858679755</v>
      </c>
      <c r="G3760" s="1323">
        <f t="shared" si="381"/>
        <v>1999</v>
      </c>
      <c r="H3760" s="1323">
        <f t="shared" si="382"/>
        <v>8</v>
      </c>
      <c r="I3760" s="1323">
        <f t="shared" si="383"/>
        <v>27</v>
      </c>
      <c r="J3760" s="1323"/>
      <c r="K3760" s="1323"/>
      <c r="L3760" s="1323"/>
      <c r="M3760" s="1323"/>
      <c r="N3760" s="1323"/>
      <c r="O3760" s="1323"/>
      <c r="P3760" s="1323"/>
      <c r="Q3760" s="1323"/>
      <c r="R3760" s="1304"/>
      <c r="S3760" s="1304"/>
      <c r="T3760" s="1304"/>
    </row>
    <row r="3761" spans="1:20">
      <c r="A3761" s="1303"/>
      <c r="B3761" s="1322" t="s">
        <v>9592</v>
      </c>
      <c r="C3761" s="1323" t="s">
        <v>6483</v>
      </c>
      <c r="D3761" s="1324">
        <f t="shared" si="378"/>
        <v>36398</v>
      </c>
      <c r="E3761" s="1323">
        <f t="shared" si="380"/>
        <v>6.0922000000000001</v>
      </c>
      <c r="F3761" s="1323">
        <f t="shared" si="379"/>
        <v>4.7715794884318381</v>
      </c>
      <c r="G3761" s="1323">
        <f t="shared" si="381"/>
        <v>1999</v>
      </c>
      <c r="H3761" s="1323">
        <f t="shared" si="382"/>
        <v>8</v>
      </c>
      <c r="I3761" s="1323">
        <f t="shared" si="383"/>
        <v>26</v>
      </c>
      <c r="J3761" s="1323"/>
      <c r="K3761" s="1323"/>
      <c r="L3761" s="1323"/>
      <c r="M3761" s="1323"/>
      <c r="N3761" s="1323"/>
      <c r="O3761" s="1323"/>
      <c r="P3761" s="1323"/>
      <c r="Q3761" s="1323"/>
      <c r="R3761" s="1304"/>
      <c r="S3761" s="1304"/>
      <c r="T3761" s="1304"/>
    </row>
    <row r="3762" spans="1:20">
      <c r="A3762" s="1303"/>
      <c r="B3762" s="1322" t="s">
        <v>9593</v>
      </c>
      <c r="C3762" s="1323" t="s">
        <v>9591</v>
      </c>
      <c r="D3762" s="1324">
        <f t="shared" si="378"/>
        <v>36397</v>
      </c>
      <c r="E3762" s="1323">
        <f t="shared" si="380"/>
        <v>6.0965999999999996</v>
      </c>
      <c r="F3762" s="1323">
        <f t="shared" si="379"/>
        <v>4.7706645664601881</v>
      </c>
      <c r="G3762" s="1323">
        <f t="shared" si="381"/>
        <v>1999</v>
      </c>
      <c r="H3762" s="1323">
        <f t="shared" si="382"/>
        <v>8</v>
      </c>
      <c r="I3762" s="1323">
        <f t="shared" si="383"/>
        <v>25</v>
      </c>
      <c r="J3762" s="1323"/>
      <c r="K3762" s="1323"/>
      <c r="L3762" s="1323"/>
      <c r="M3762" s="1323"/>
      <c r="N3762" s="1323"/>
      <c r="O3762" s="1323"/>
      <c r="P3762" s="1323"/>
      <c r="Q3762" s="1323"/>
      <c r="R3762" s="1304"/>
      <c r="S3762" s="1304"/>
      <c r="T3762" s="1304"/>
    </row>
    <row r="3763" spans="1:20">
      <c r="A3763" s="1303"/>
      <c r="B3763" s="1322" t="s">
        <v>9594</v>
      </c>
      <c r="C3763" s="1323" t="s">
        <v>9595</v>
      </c>
      <c r="D3763" s="1324">
        <f t="shared" si="378"/>
        <v>36396</v>
      </c>
      <c r="E3763" s="1323">
        <f t="shared" si="380"/>
        <v>6.1010999999999997</v>
      </c>
      <c r="F3763" s="1323">
        <f t="shared" si="379"/>
        <v>4.7697498199193813</v>
      </c>
      <c r="G3763" s="1323">
        <f t="shared" si="381"/>
        <v>1999</v>
      </c>
      <c r="H3763" s="1323">
        <f t="shared" si="382"/>
        <v>8</v>
      </c>
      <c r="I3763" s="1323">
        <f t="shared" si="383"/>
        <v>24</v>
      </c>
      <c r="J3763" s="1323"/>
      <c r="K3763" s="1323"/>
      <c r="L3763" s="1323"/>
      <c r="M3763" s="1323"/>
      <c r="N3763" s="1323"/>
      <c r="O3763" s="1323"/>
      <c r="P3763" s="1323"/>
      <c r="Q3763" s="1323"/>
      <c r="R3763" s="1304"/>
      <c r="S3763" s="1304"/>
      <c r="T3763" s="1304"/>
    </row>
    <row r="3764" spans="1:20">
      <c r="A3764" s="1303"/>
      <c r="B3764" s="1322" t="s">
        <v>9596</v>
      </c>
      <c r="C3764" s="1323" t="s">
        <v>9597</v>
      </c>
      <c r="D3764" s="1324">
        <f t="shared" si="378"/>
        <v>36395</v>
      </c>
      <c r="E3764" s="1323">
        <f t="shared" si="380"/>
        <v>6.0888</v>
      </c>
      <c r="F3764" s="1323">
        <f t="shared" si="379"/>
        <v>4.7688352487757806</v>
      </c>
      <c r="G3764" s="1323">
        <f t="shared" si="381"/>
        <v>1999</v>
      </c>
      <c r="H3764" s="1323">
        <f t="shared" si="382"/>
        <v>8</v>
      </c>
      <c r="I3764" s="1323">
        <f t="shared" si="383"/>
        <v>23</v>
      </c>
      <c r="J3764" s="1323"/>
      <c r="K3764" s="1323"/>
      <c r="L3764" s="1323"/>
      <c r="M3764" s="1323"/>
      <c r="N3764" s="1323"/>
      <c r="O3764" s="1323"/>
      <c r="P3764" s="1323"/>
      <c r="Q3764" s="1323"/>
      <c r="R3764" s="1304"/>
      <c r="S3764" s="1304"/>
      <c r="T3764" s="1304"/>
    </row>
    <row r="3765" spans="1:20">
      <c r="A3765" s="1303"/>
      <c r="B3765" s="1322" t="s">
        <v>9598</v>
      </c>
      <c r="C3765" s="1323" t="s">
        <v>9561</v>
      </c>
      <c r="D3765" s="1324">
        <f t="shared" si="378"/>
        <v>36392</v>
      </c>
      <c r="E3765" s="1323">
        <f t="shared" si="380"/>
        <v>6.1219999999999999</v>
      </c>
      <c r="F3765" s="1323">
        <f t="shared" si="379"/>
        <v>4.7679208529957542</v>
      </c>
      <c r="G3765" s="1323">
        <f t="shared" si="381"/>
        <v>1999</v>
      </c>
      <c r="H3765" s="1323">
        <f t="shared" si="382"/>
        <v>8</v>
      </c>
      <c r="I3765" s="1323">
        <f t="shared" si="383"/>
        <v>20</v>
      </c>
      <c r="J3765" s="1323"/>
      <c r="K3765" s="1323"/>
      <c r="L3765" s="1323"/>
      <c r="M3765" s="1323"/>
      <c r="N3765" s="1323"/>
      <c r="O3765" s="1323"/>
      <c r="P3765" s="1323"/>
      <c r="Q3765" s="1323"/>
      <c r="R3765" s="1304"/>
      <c r="S3765" s="1304"/>
      <c r="T3765" s="1304"/>
    </row>
    <row r="3766" spans="1:20">
      <c r="A3766" s="1303"/>
      <c r="B3766" s="1322" t="s">
        <v>9599</v>
      </c>
      <c r="C3766" s="1323" t="s">
        <v>9600</v>
      </c>
      <c r="D3766" s="1324">
        <f t="shared" si="378"/>
        <v>36391</v>
      </c>
      <c r="E3766" s="1323">
        <f t="shared" si="380"/>
        <v>6.1292999999999997</v>
      </c>
      <c r="F3766" s="1323">
        <f t="shared" si="379"/>
        <v>4.7670066325456766</v>
      </c>
      <c r="G3766" s="1323">
        <f t="shared" si="381"/>
        <v>1999</v>
      </c>
      <c r="H3766" s="1323">
        <f t="shared" si="382"/>
        <v>8</v>
      </c>
      <c r="I3766" s="1323">
        <f t="shared" si="383"/>
        <v>19</v>
      </c>
      <c r="J3766" s="1323"/>
      <c r="K3766" s="1323"/>
      <c r="L3766" s="1323"/>
      <c r="M3766" s="1323"/>
      <c r="N3766" s="1323"/>
      <c r="O3766" s="1323"/>
      <c r="P3766" s="1323"/>
      <c r="Q3766" s="1323"/>
      <c r="R3766" s="1304"/>
      <c r="S3766" s="1304"/>
      <c r="T3766" s="1304"/>
    </row>
    <row r="3767" spans="1:20">
      <c r="A3767" s="1303"/>
      <c r="B3767" s="1322" t="s">
        <v>9601</v>
      </c>
      <c r="C3767" s="1323" t="s">
        <v>9529</v>
      </c>
      <c r="D3767" s="1324">
        <f t="shared" si="378"/>
        <v>36390</v>
      </c>
      <c r="E3767" s="1323">
        <f t="shared" si="380"/>
        <v>6.1108000000000002</v>
      </c>
      <c r="F3767" s="1323">
        <f t="shared" si="379"/>
        <v>4.7660925873919302</v>
      </c>
      <c r="G3767" s="1323">
        <f t="shared" si="381"/>
        <v>1999</v>
      </c>
      <c r="H3767" s="1323">
        <f t="shared" si="382"/>
        <v>8</v>
      </c>
      <c r="I3767" s="1323">
        <f t="shared" si="383"/>
        <v>18</v>
      </c>
      <c r="J3767" s="1323"/>
      <c r="K3767" s="1323"/>
      <c r="L3767" s="1323"/>
      <c r="M3767" s="1323"/>
      <c r="N3767" s="1323"/>
      <c r="O3767" s="1323"/>
      <c r="P3767" s="1323"/>
      <c r="Q3767" s="1323"/>
      <c r="R3767" s="1304"/>
      <c r="S3767" s="1304"/>
      <c r="T3767" s="1304"/>
    </row>
    <row r="3768" spans="1:20">
      <c r="A3768" s="1303"/>
      <c r="B3768" s="1322" t="s">
        <v>9602</v>
      </c>
      <c r="C3768" s="1323" t="s">
        <v>9603</v>
      </c>
      <c r="D3768" s="1324">
        <f t="shared" si="378"/>
        <v>36389</v>
      </c>
      <c r="E3768" s="1323">
        <f t="shared" si="380"/>
        <v>6.0994000000000002</v>
      </c>
      <c r="F3768" s="1323">
        <f t="shared" si="379"/>
        <v>4.7651787175009028</v>
      </c>
      <c r="G3768" s="1323">
        <f t="shared" si="381"/>
        <v>1999</v>
      </c>
      <c r="H3768" s="1323">
        <f t="shared" si="382"/>
        <v>8</v>
      </c>
      <c r="I3768" s="1323">
        <f t="shared" si="383"/>
        <v>17</v>
      </c>
      <c r="J3768" s="1323"/>
      <c r="K3768" s="1323"/>
      <c r="L3768" s="1323"/>
      <c r="M3768" s="1323"/>
      <c r="N3768" s="1323"/>
      <c r="O3768" s="1323"/>
      <c r="P3768" s="1323"/>
      <c r="Q3768" s="1323"/>
      <c r="R3768" s="1304"/>
      <c r="S3768" s="1304"/>
      <c r="T3768" s="1304"/>
    </row>
    <row r="3769" spans="1:20">
      <c r="A3769" s="1303"/>
      <c r="B3769" s="1322" t="s">
        <v>9604</v>
      </c>
      <c r="C3769" s="1323" t="s">
        <v>9605</v>
      </c>
      <c r="D3769" s="1324">
        <f t="shared" si="378"/>
        <v>36388</v>
      </c>
      <c r="E3769" s="1323">
        <f t="shared" si="380"/>
        <v>6.1113</v>
      </c>
      <c r="F3769" s="1323">
        <f t="shared" si="379"/>
        <v>4.7642650228389885</v>
      </c>
      <c r="G3769" s="1323">
        <f t="shared" si="381"/>
        <v>1999</v>
      </c>
      <c r="H3769" s="1323">
        <f t="shared" si="382"/>
        <v>8</v>
      </c>
      <c r="I3769" s="1323">
        <f t="shared" si="383"/>
        <v>16</v>
      </c>
      <c r="J3769" s="1323"/>
      <c r="K3769" s="1323"/>
      <c r="L3769" s="1323"/>
      <c r="M3769" s="1323"/>
      <c r="N3769" s="1323"/>
      <c r="O3769" s="1323"/>
      <c r="P3769" s="1323"/>
      <c r="Q3769" s="1323"/>
      <c r="R3769" s="1304"/>
      <c r="S3769" s="1304"/>
      <c r="T3769" s="1304"/>
    </row>
    <row r="3770" spans="1:20">
      <c r="A3770" s="1303"/>
      <c r="B3770" s="1322" t="s">
        <v>9606</v>
      </c>
      <c r="C3770" s="1323" t="s">
        <v>9607</v>
      </c>
      <c r="D3770" s="1324">
        <f t="shared" si="378"/>
        <v>36385</v>
      </c>
      <c r="E3770" s="1323">
        <f t="shared" si="380"/>
        <v>6.1105999999999998</v>
      </c>
      <c r="F3770" s="1323">
        <f t="shared" si="379"/>
        <v>4.7633515033725882</v>
      </c>
      <c r="G3770" s="1323">
        <f t="shared" si="381"/>
        <v>1999</v>
      </c>
      <c r="H3770" s="1323">
        <f t="shared" si="382"/>
        <v>8</v>
      </c>
      <c r="I3770" s="1323">
        <f t="shared" si="383"/>
        <v>13</v>
      </c>
      <c r="J3770" s="1323"/>
      <c r="K3770" s="1323"/>
      <c r="L3770" s="1323"/>
      <c r="M3770" s="1323"/>
      <c r="N3770" s="1323"/>
      <c r="O3770" s="1323"/>
      <c r="P3770" s="1323"/>
      <c r="Q3770" s="1323"/>
      <c r="R3770" s="1304"/>
      <c r="S3770" s="1304"/>
      <c r="T3770" s="1304"/>
    </row>
    <row r="3771" spans="1:20">
      <c r="A3771" s="1303"/>
      <c r="B3771" s="1322" t="s">
        <v>9608</v>
      </c>
      <c r="C3771" s="1323" t="s">
        <v>9531</v>
      </c>
      <c r="D3771" s="1324">
        <f t="shared" si="378"/>
        <v>36384</v>
      </c>
      <c r="E3771" s="1323">
        <f t="shared" si="380"/>
        <v>6.1406000000000001</v>
      </c>
      <c r="F3771" s="1323">
        <f t="shared" si="379"/>
        <v>4.7624381590681093</v>
      </c>
      <c r="G3771" s="1323">
        <f t="shared" si="381"/>
        <v>1999</v>
      </c>
      <c r="H3771" s="1323">
        <f t="shared" si="382"/>
        <v>8</v>
      </c>
      <c r="I3771" s="1323">
        <f t="shared" si="383"/>
        <v>12</v>
      </c>
      <c r="J3771" s="1323"/>
      <c r="K3771" s="1323"/>
      <c r="L3771" s="1323"/>
      <c r="M3771" s="1323"/>
      <c r="N3771" s="1323"/>
      <c r="O3771" s="1323"/>
      <c r="P3771" s="1323"/>
      <c r="Q3771" s="1323"/>
      <c r="R3771" s="1304"/>
      <c r="S3771" s="1304"/>
      <c r="T3771" s="1304"/>
    </row>
    <row r="3772" spans="1:20">
      <c r="A3772" s="1303"/>
      <c r="B3772" s="1322" t="s">
        <v>9609</v>
      </c>
      <c r="C3772" s="1323" t="s">
        <v>9526</v>
      </c>
      <c r="D3772" s="1324">
        <f t="shared" si="378"/>
        <v>36383</v>
      </c>
      <c r="E3772" s="1323">
        <f t="shared" si="380"/>
        <v>6.1595000000000004</v>
      </c>
      <c r="F3772" s="1323">
        <f t="shared" si="379"/>
        <v>4.7615249898919654</v>
      </c>
      <c r="G3772" s="1323">
        <f t="shared" si="381"/>
        <v>1999</v>
      </c>
      <c r="H3772" s="1323">
        <f t="shared" si="382"/>
        <v>8</v>
      </c>
      <c r="I3772" s="1323">
        <f t="shared" si="383"/>
        <v>11</v>
      </c>
      <c r="J3772" s="1323"/>
      <c r="K3772" s="1323"/>
      <c r="L3772" s="1323"/>
      <c r="M3772" s="1323"/>
      <c r="N3772" s="1323"/>
      <c r="O3772" s="1323"/>
      <c r="P3772" s="1323"/>
      <c r="Q3772" s="1323"/>
      <c r="R3772" s="1304"/>
      <c r="S3772" s="1304"/>
      <c r="T3772" s="1304"/>
    </row>
    <row r="3773" spans="1:20">
      <c r="A3773" s="1303"/>
      <c r="B3773" s="1322" t="s">
        <v>9610</v>
      </c>
      <c r="C3773" s="1323" t="s">
        <v>9611</v>
      </c>
      <c r="D3773" s="1324">
        <f t="shared" si="378"/>
        <v>36382</v>
      </c>
      <c r="E3773" s="1323">
        <f t="shared" si="380"/>
        <v>6.1805000000000003</v>
      </c>
      <c r="F3773" s="1323">
        <f t="shared" si="379"/>
        <v>4.760611995810577</v>
      </c>
      <c r="G3773" s="1323">
        <f t="shared" si="381"/>
        <v>1999</v>
      </c>
      <c r="H3773" s="1323">
        <f t="shared" si="382"/>
        <v>8</v>
      </c>
      <c r="I3773" s="1323">
        <f t="shared" si="383"/>
        <v>10</v>
      </c>
      <c r="J3773" s="1323"/>
      <c r="K3773" s="1323"/>
      <c r="L3773" s="1323"/>
      <c r="M3773" s="1323"/>
      <c r="N3773" s="1323"/>
      <c r="O3773" s="1323"/>
      <c r="P3773" s="1323"/>
      <c r="Q3773" s="1323"/>
      <c r="R3773" s="1304"/>
      <c r="S3773" s="1304"/>
      <c r="T3773" s="1304"/>
    </row>
    <row r="3774" spans="1:20">
      <c r="A3774" s="1303"/>
      <c r="B3774" s="1322" t="s">
        <v>9612</v>
      </c>
      <c r="C3774" s="1323" t="s">
        <v>9613</v>
      </c>
      <c r="D3774" s="1324">
        <f t="shared" si="378"/>
        <v>36378</v>
      </c>
      <c r="E3774" s="1323">
        <f t="shared" si="380"/>
        <v>6.1689999999999996</v>
      </c>
      <c r="F3774" s="1323">
        <f t="shared" si="379"/>
        <v>4.7596991767903702</v>
      </c>
      <c r="G3774" s="1323">
        <f t="shared" si="381"/>
        <v>1999</v>
      </c>
      <c r="H3774" s="1323">
        <f t="shared" si="382"/>
        <v>8</v>
      </c>
      <c r="I3774" s="1323">
        <f t="shared" si="383"/>
        <v>6</v>
      </c>
      <c r="J3774" s="1323"/>
      <c r="K3774" s="1323"/>
      <c r="L3774" s="1323"/>
      <c r="M3774" s="1323"/>
      <c r="N3774" s="1323"/>
      <c r="O3774" s="1323"/>
      <c r="P3774" s="1323"/>
      <c r="Q3774" s="1323"/>
      <c r="R3774" s="1304"/>
      <c r="S3774" s="1304"/>
      <c r="T3774" s="1304"/>
    </row>
    <row r="3775" spans="1:20">
      <c r="A3775" s="1303"/>
      <c r="B3775" s="1322" t="s">
        <v>9614</v>
      </c>
      <c r="C3775" s="1323" t="s">
        <v>9615</v>
      </c>
      <c r="D3775" s="1324">
        <f t="shared" si="378"/>
        <v>36377</v>
      </c>
      <c r="E3775" s="1323">
        <f t="shared" si="380"/>
        <v>6.1632999999999996</v>
      </c>
      <c r="F3775" s="1323">
        <f t="shared" si="379"/>
        <v>4.758786532797779</v>
      </c>
      <c r="G3775" s="1323">
        <f t="shared" si="381"/>
        <v>1999</v>
      </c>
      <c r="H3775" s="1323">
        <f t="shared" si="382"/>
        <v>8</v>
      </c>
      <c r="I3775" s="1323">
        <f t="shared" si="383"/>
        <v>5</v>
      </c>
      <c r="J3775" s="1323"/>
      <c r="K3775" s="1323"/>
      <c r="L3775" s="1323"/>
      <c r="M3775" s="1323"/>
      <c r="N3775" s="1323"/>
      <c r="O3775" s="1323"/>
      <c r="P3775" s="1323"/>
      <c r="Q3775" s="1323"/>
      <c r="R3775" s="1304"/>
      <c r="S3775" s="1304"/>
      <c r="T3775" s="1304"/>
    </row>
    <row r="3776" spans="1:20">
      <c r="A3776" s="1303"/>
      <c r="B3776" s="1322" t="s">
        <v>9616</v>
      </c>
      <c r="C3776" s="1323" t="s">
        <v>9515</v>
      </c>
      <c r="D3776" s="1324">
        <f t="shared" si="378"/>
        <v>36376</v>
      </c>
      <c r="E3776" s="1323">
        <f t="shared" si="380"/>
        <v>6.1786000000000003</v>
      </c>
      <c r="F3776" s="1323">
        <f t="shared" si="379"/>
        <v>4.7578740637992416</v>
      </c>
      <c r="G3776" s="1323">
        <f t="shared" si="381"/>
        <v>1999</v>
      </c>
      <c r="H3776" s="1323">
        <f t="shared" si="382"/>
        <v>8</v>
      </c>
      <c r="I3776" s="1323">
        <f t="shared" si="383"/>
        <v>4</v>
      </c>
      <c r="J3776" s="1323"/>
      <c r="K3776" s="1323"/>
      <c r="L3776" s="1323"/>
      <c r="M3776" s="1323"/>
      <c r="N3776" s="1323"/>
      <c r="O3776" s="1323"/>
      <c r="P3776" s="1323"/>
      <c r="Q3776" s="1323"/>
      <c r="R3776" s="1304"/>
      <c r="S3776" s="1304"/>
      <c r="T3776" s="1304"/>
    </row>
    <row r="3777" spans="1:20">
      <c r="A3777" s="1303"/>
      <c r="B3777" s="1322" t="s">
        <v>9617</v>
      </c>
      <c r="C3777" s="1323" t="s">
        <v>9618</v>
      </c>
      <c r="D3777" s="1324">
        <f t="shared" si="378"/>
        <v>36375</v>
      </c>
      <c r="E3777" s="1323">
        <f t="shared" si="380"/>
        <v>6.2092999999999998</v>
      </c>
      <c r="F3777" s="1323">
        <f t="shared" si="379"/>
        <v>4.7569617697612054</v>
      </c>
      <c r="G3777" s="1323">
        <f t="shared" si="381"/>
        <v>1999</v>
      </c>
      <c r="H3777" s="1323">
        <f t="shared" si="382"/>
        <v>8</v>
      </c>
      <c r="I3777" s="1323">
        <f t="shared" si="383"/>
        <v>3</v>
      </c>
      <c r="J3777" s="1323"/>
      <c r="K3777" s="1323"/>
      <c r="L3777" s="1323"/>
      <c r="M3777" s="1323"/>
      <c r="N3777" s="1323"/>
      <c r="O3777" s="1323"/>
      <c r="P3777" s="1323"/>
      <c r="Q3777" s="1323"/>
      <c r="R3777" s="1304"/>
      <c r="S3777" s="1304"/>
      <c r="T3777" s="1304"/>
    </row>
    <row r="3778" spans="1:20">
      <c r="A3778" s="1303"/>
      <c r="B3778" s="1322" t="s">
        <v>9619</v>
      </c>
      <c r="C3778" s="1323" t="s">
        <v>9620</v>
      </c>
      <c r="D3778" s="1324">
        <f t="shared" si="378"/>
        <v>36374</v>
      </c>
      <c r="E3778" s="1323">
        <f t="shared" si="380"/>
        <v>6.1881000000000004</v>
      </c>
      <c r="F3778" s="1323">
        <f t="shared" si="379"/>
        <v>4.7560496506501213</v>
      </c>
      <c r="G3778" s="1323">
        <f t="shared" si="381"/>
        <v>1999</v>
      </c>
      <c r="H3778" s="1323">
        <f t="shared" si="382"/>
        <v>8</v>
      </c>
      <c r="I3778" s="1323">
        <f t="shared" si="383"/>
        <v>2</v>
      </c>
      <c r="J3778" s="1323"/>
      <c r="K3778" s="1323"/>
      <c r="L3778" s="1323"/>
      <c r="M3778" s="1323"/>
      <c r="N3778" s="1323"/>
      <c r="O3778" s="1323"/>
      <c r="P3778" s="1323"/>
      <c r="Q3778" s="1323"/>
      <c r="R3778" s="1304"/>
      <c r="S3778" s="1304"/>
      <c r="T3778" s="1304"/>
    </row>
    <row r="3779" spans="1:20">
      <c r="A3779" s="1303"/>
      <c r="B3779" s="1322" t="s">
        <v>9621</v>
      </c>
      <c r="C3779" s="1323" t="s">
        <v>9622</v>
      </c>
      <c r="D3779" s="1324">
        <f t="shared" si="378"/>
        <v>36371</v>
      </c>
      <c r="E3779" s="1323">
        <f t="shared" si="380"/>
        <v>6.1538000000000004</v>
      </c>
      <c r="F3779" s="1323">
        <f t="shared" si="379"/>
        <v>4.7551377064324489</v>
      </c>
      <c r="G3779" s="1323">
        <f t="shared" si="381"/>
        <v>1999</v>
      </c>
      <c r="H3779" s="1323">
        <f t="shared" si="382"/>
        <v>7</v>
      </c>
      <c r="I3779" s="1323">
        <f t="shared" si="383"/>
        <v>30</v>
      </c>
      <c r="J3779" s="1323"/>
      <c r="K3779" s="1323"/>
      <c r="L3779" s="1323"/>
      <c r="M3779" s="1323"/>
      <c r="N3779" s="1323"/>
      <c r="O3779" s="1323"/>
      <c r="P3779" s="1323"/>
      <c r="Q3779" s="1323"/>
      <c r="R3779" s="1304"/>
      <c r="S3779" s="1304"/>
      <c r="T3779" s="1304"/>
    </row>
    <row r="3780" spans="1:20">
      <c r="A3780" s="1303"/>
      <c r="B3780" s="1322" t="s">
        <v>9623</v>
      </c>
      <c r="C3780" s="1323" t="s">
        <v>9624</v>
      </c>
      <c r="D3780" s="1324">
        <f t="shared" si="378"/>
        <v>36370</v>
      </c>
      <c r="E3780" s="1323">
        <f t="shared" si="380"/>
        <v>6.1689999999999996</v>
      </c>
      <c r="F3780" s="1323">
        <f t="shared" si="379"/>
        <v>4.7542259370746534</v>
      </c>
      <c r="G3780" s="1323">
        <f t="shared" si="381"/>
        <v>1999</v>
      </c>
      <c r="H3780" s="1323">
        <f t="shared" si="382"/>
        <v>7</v>
      </c>
      <c r="I3780" s="1323">
        <f t="shared" si="383"/>
        <v>29</v>
      </c>
      <c r="J3780" s="1323"/>
      <c r="K3780" s="1323"/>
      <c r="L3780" s="1323"/>
      <c r="M3780" s="1323"/>
      <c r="N3780" s="1323"/>
      <c r="O3780" s="1323"/>
      <c r="P3780" s="1323"/>
      <c r="Q3780" s="1323"/>
      <c r="R3780" s="1304"/>
      <c r="S3780" s="1304"/>
      <c r="T3780" s="1304"/>
    </row>
    <row r="3781" spans="1:20">
      <c r="A3781" s="1303"/>
      <c r="B3781" s="1322" t="s">
        <v>9625</v>
      </c>
      <c r="C3781" s="1323" t="s">
        <v>9615</v>
      </c>
      <c r="D3781" s="1324">
        <f t="shared" si="378"/>
        <v>36369</v>
      </c>
      <c r="E3781" s="1323">
        <f t="shared" si="380"/>
        <v>6.1330999999999998</v>
      </c>
      <c r="F3781" s="1323">
        <f t="shared" si="379"/>
        <v>4.7533143425432067</v>
      </c>
      <c r="G3781" s="1323">
        <f t="shared" si="381"/>
        <v>1999</v>
      </c>
      <c r="H3781" s="1323">
        <f t="shared" si="382"/>
        <v>7</v>
      </c>
      <c r="I3781" s="1323">
        <f t="shared" si="383"/>
        <v>28</v>
      </c>
      <c r="J3781" s="1323"/>
      <c r="K3781" s="1323"/>
      <c r="L3781" s="1323"/>
      <c r="M3781" s="1323"/>
      <c r="N3781" s="1323"/>
      <c r="O3781" s="1323"/>
      <c r="P3781" s="1323"/>
      <c r="Q3781" s="1323"/>
      <c r="R3781" s="1304"/>
      <c r="S3781" s="1304"/>
      <c r="T3781" s="1304"/>
    </row>
    <row r="3782" spans="1:20">
      <c r="A3782" s="1303"/>
      <c r="B3782" s="1322" t="s">
        <v>9626</v>
      </c>
      <c r="C3782" s="1323" t="s">
        <v>9627</v>
      </c>
      <c r="D3782" s="1324">
        <f t="shared" si="378"/>
        <v>36368</v>
      </c>
      <c r="E3782" s="1323">
        <f t="shared" si="380"/>
        <v>6.1463000000000001</v>
      </c>
      <c r="F3782" s="1323">
        <f t="shared" si="379"/>
        <v>4.7524029228045865</v>
      </c>
      <c r="G3782" s="1323">
        <f t="shared" si="381"/>
        <v>1999</v>
      </c>
      <c r="H3782" s="1323">
        <f t="shared" si="382"/>
        <v>7</v>
      </c>
      <c r="I3782" s="1323">
        <f t="shared" si="383"/>
        <v>27</v>
      </c>
      <c r="J3782" s="1323"/>
      <c r="K3782" s="1323"/>
      <c r="L3782" s="1323"/>
      <c r="M3782" s="1323"/>
      <c r="N3782" s="1323"/>
      <c r="O3782" s="1323"/>
      <c r="P3782" s="1323"/>
      <c r="Q3782" s="1323"/>
      <c r="R3782" s="1304"/>
      <c r="S3782" s="1304"/>
      <c r="T3782" s="1304"/>
    </row>
    <row r="3783" spans="1:20">
      <c r="A3783" s="1303"/>
      <c r="B3783" s="1322" t="s">
        <v>9628</v>
      </c>
      <c r="C3783" s="1323" t="s">
        <v>9442</v>
      </c>
      <c r="D3783" s="1324">
        <f t="shared" si="378"/>
        <v>36367</v>
      </c>
      <c r="E3783" s="1323">
        <f t="shared" si="380"/>
        <v>6.1311999999999998</v>
      </c>
      <c r="F3783" s="1323">
        <f t="shared" si="379"/>
        <v>4.7514916778252774</v>
      </c>
      <c r="G3783" s="1323">
        <f t="shared" si="381"/>
        <v>1999</v>
      </c>
      <c r="H3783" s="1323">
        <f t="shared" si="382"/>
        <v>7</v>
      </c>
      <c r="I3783" s="1323">
        <f t="shared" si="383"/>
        <v>26</v>
      </c>
      <c r="J3783" s="1323"/>
      <c r="K3783" s="1323"/>
      <c r="L3783" s="1323"/>
      <c r="M3783" s="1323"/>
      <c r="N3783" s="1323"/>
      <c r="O3783" s="1323"/>
      <c r="P3783" s="1323"/>
      <c r="Q3783" s="1323"/>
      <c r="R3783" s="1304"/>
      <c r="S3783" s="1304"/>
      <c r="T3783" s="1304"/>
    </row>
    <row r="3784" spans="1:20">
      <c r="A3784" s="1303"/>
      <c r="B3784" s="1322" t="s">
        <v>9629</v>
      </c>
      <c r="C3784" s="1323" t="s">
        <v>9505</v>
      </c>
      <c r="D3784" s="1324">
        <f t="shared" si="378"/>
        <v>36364</v>
      </c>
      <c r="E3784" s="1323">
        <f t="shared" si="380"/>
        <v>6.1143000000000001</v>
      </c>
      <c r="F3784" s="1323">
        <f t="shared" si="379"/>
        <v>4.75058060757177</v>
      </c>
      <c r="G3784" s="1323">
        <f t="shared" si="381"/>
        <v>1999</v>
      </c>
      <c r="H3784" s="1323">
        <f t="shared" si="382"/>
        <v>7</v>
      </c>
      <c r="I3784" s="1323">
        <f t="shared" si="383"/>
        <v>23</v>
      </c>
      <c r="J3784" s="1323"/>
      <c r="K3784" s="1323"/>
      <c r="L3784" s="1323"/>
      <c r="M3784" s="1323"/>
      <c r="N3784" s="1323"/>
      <c r="O3784" s="1323"/>
      <c r="P3784" s="1323"/>
      <c r="Q3784" s="1323"/>
      <c r="R3784" s="1304"/>
      <c r="S3784" s="1304"/>
      <c r="T3784" s="1304"/>
    </row>
    <row r="3785" spans="1:20">
      <c r="A3785" s="1303"/>
      <c r="B3785" s="1322" t="s">
        <v>9630</v>
      </c>
      <c r="C3785" s="1323" t="s">
        <v>9503</v>
      </c>
      <c r="D3785" s="1324">
        <f t="shared" ref="D3785:D3848" si="384">DATE(G3785,H3785,I3785)</f>
        <v>36363</v>
      </c>
      <c r="E3785" s="1323">
        <f t="shared" si="380"/>
        <v>6.0956999999999999</v>
      </c>
      <c r="F3785" s="1323">
        <f t="shared" ref="F3785:F3848" si="385">F3786*(1+$F$7/365)</f>
        <v>4.7496697120105624</v>
      </c>
      <c r="G3785" s="1323">
        <f t="shared" si="381"/>
        <v>1999</v>
      </c>
      <c r="H3785" s="1323">
        <f t="shared" si="382"/>
        <v>7</v>
      </c>
      <c r="I3785" s="1323">
        <f t="shared" si="383"/>
        <v>22</v>
      </c>
      <c r="J3785" s="1323"/>
      <c r="K3785" s="1323"/>
      <c r="L3785" s="1323"/>
      <c r="M3785" s="1323"/>
      <c r="N3785" s="1323"/>
      <c r="O3785" s="1323"/>
      <c r="P3785" s="1323"/>
      <c r="Q3785" s="1323"/>
      <c r="R3785" s="1304"/>
      <c r="S3785" s="1304"/>
      <c r="T3785" s="1304"/>
    </row>
    <row r="3786" spans="1:20">
      <c r="A3786" s="1303"/>
      <c r="B3786" s="1322" t="s">
        <v>9631</v>
      </c>
      <c r="C3786" s="1323" t="s">
        <v>6925</v>
      </c>
      <c r="D3786" s="1324">
        <f t="shared" si="384"/>
        <v>36362</v>
      </c>
      <c r="E3786" s="1323">
        <f t="shared" si="380"/>
        <v>6.1387</v>
      </c>
      <c r="F3786" s="1323">
        <f t="shared" si="385"/>
        <v>4.7487589911081578</v>
      </c>
      <c r="G3786" s="1323">
        <f t="shared" si="381"/>
        <v>1999</v>
      </c>
      <c r="H3786" s="1323">
        <f t="shared" si="382"/>
        <v>7</v>
      </c>
      <c r="I3786" s="1323">
        <f t="shared" si="383"/>
        <v>21</v>
      </c>
      <c r="J3786" s="1323"/>
      <c r="K3786" s="1323"/>
      <c r="L3786" s="1323"/>
      <c r="M3786" s="1323"/>
      <c r="N3786" s="1323"/>
      <c r="O3786" s="1323"/>
      <c r="P3786" s="1323"/>
      <c r="Q3786" s="1323"/>
      <c r="R3786" s="1304"/>
      <c r="S3786" s="1304"/>
      <c r="T3786" s="1304"/>
    </row>
    <row r="3787" spans="1:20">
      <c r="A3787" s="1303"/>
      <c r="B3787" s="1322" t="s">
        <v>9632</v>
      </c>
      <c r="C3787" s="1323" t="s">
        <v>9633</v>
      </c>
      <c r="D3787" s="1324">
        <f t="shared" si="384"/>
        <v>36361</v>
      </c>
      <c r="E3787" s="1323">
        <f t="shared" si="380"/>
        <v>6.1576000000000004</v>
      </c>
      <c r="F3787" s="1323">
        <f t="shared" si="385"/>
        <v>4.7478484448310665</v>
      </c>
      <c r="G3787" s="1323">
        <f t="shared" si="381"/>
        <v>1999</v>
      </c>
      <c r="H3787" s="1323">
        <f t="shared" si="382"/>
        <v>7</v>
      </c>
      <c r="I3787" s="1323">
        <f t="shared" si="383"/>
        <v>20</v>
      </c>
      <c r="J3787" s="1323"/>
      <c r="K3787" s="1323"/>
      <c r="L3787" s="1323"/>
      <c r="M3787" s="1323"/>
      <c r="N3787" s="1323"/>
      <c r="O3787" s="1323"/>
      <c r="P3787" s="1323"/>
      <c r="Q3787" s="1323"/>
      <c r="R3787" s="1304"/>
      <c r="S3787" s="1304"/>
      <c r="T3787" s="1304"/>
    </row>
    <row r="3788" spans="1:20">
      <c r="A3788" s="1303"/>
      <c r="B3788" s="1322" t="s">
        <v>9634</v>
      </c>
      <c r="C3788" s="1323" t="s">
        <v>9635</v>
      </c>
      <c r="D3788" s="1324">
        <f t="shared" si="384"/>
        <v>36360</v>
      </c>
      <c r="E3788" s="1323">
        <f t="shared" si="380"/>
        <v>6.1614000000000004</v>
      </c>
      <c r="F3788" s="1323">
        <f t="shared" si="385"/>
        <v>4.7469380731458051</v>
      </c>
      <c r="G3788" s="1323">
        <f t="shared" si="381"/>
        <v>1999</v>
      </c>
      <c r="H3788" s="1323">
        <f t="shared" si="382"/>
        <v>7</v>
      </c>
      <c r="I3788" s="1323">
        <f t="shared" si="383"/>
        <v>19</v>
      </c>
      <c r="J3788" s="1323"/>
      <c r="K3788" s="1323"/>
      <c r="L3788" s="1323"/>
      <c r="M3788" s="1323"/>
      <c r="N3788" s="1323"/>
      <c r="O3788" s="1323"/>
      <c r="P3788" s="1323"/>
      <c r="Q3788" s="1323"/>
      <c r="R3788" s="1304"/>
      <c r="S3788" s="1304"/>
      <c r="T3788" s="1304"/>
    </row>
    <row r="3789" spans="1:20">
      <c r="A3789" s="1303"/>
      <c r="B3789" s="1322" t="s">
        <v>9636</v>
      </c>
      <c r="C3789" s="1323" t="s">
        <v>9637</v>
      </c>
      <c r="D3789" s="1324">
        <f t="shared" si="384"/>
        <v>36357</v>
      </c>
      <c r="E3789" s="1323">
        <f t="shared" si="380"/>
        <v>6.1463000000000001</v>
      </c>
      <c r="F3789" s="1323">
        <f t="shared" si="385"/>
        <v>4.7460278760188972</v>
      </c>
      <c r="G3789" s="1323">
        <f t="shared" si="381"/>
        <v>1999</v>
      </c>
      <c r="H3789" s="1323">
        <f t="shared" si="382"/>
        <v>7</v>
      </c>
      <c r="I3789" s="1323">
        <f t="shared" si="383"/>
        <v>16</v>
      </c>
      <c r="J3789" s="1323"/>
      <c r="K3789" s="1323"/>
      <c r="L3789" s="1323"/>
      <c r="M3789" s="1323"/>
      <c r="N3789" s="1323"/>
      <c r="O3789" s="1323"/>
      <c r="P3789" s="1323"/>
      <c r="Q3789" s="1323"/>
      <c r="R3789" s="1304"/>
      <c r="S3789" s="1304"/>
      <c r="T3789" s="1304"/>
    </row>
    <row r="3790" spans="1:20">
      <c r="A3790" s="1303"/>
      <c r="B3790" s="1322" t="s">
        <v>9638</v>
      </c>
      <c r="C3790" s="1323" t="s">
        <v>9442</v>
      </c>
      <c r="D3790" s="1324">
        <f t="shared" si="384"/>
        <v>36356</v>
      </c>
      <c r="E3790" s="1323">
        <f t="shared" si="380"/>
        <v>6.1463000000000001</v>
      </c>
      <c r="F3790" s="1323">
        <f t="shared" si="385"/>
        <v>4.7451178534168719</v>
      </c>
      <c r="G3790" s="1323">
        <f t="shared" si="381"/>
        <v>1999</v>
      </c>
      <c r="H3790" s="1323">
        <f t="shared" si="382"/>
        <v>7</v>
      </c>
      <c r="I3790" s="1323">
        <f t="shared" si="383"/>
        <v>15</v>
      </c>
      <c r="J3790" s="1323"/>
      <c r="K3790" s="1323"/>
      <c r="L3790" s="1323"/>
      <c r="M3790" s="1323"/>
      <c r="N3790" s="1323"/>
      <c r="O3790" s="1323"/>
      <c r="P3790" s="1323"/>
      <c r="Q3790" s="1323"/>
      <c r="R3790" s="1304"/>
      <c r="S3790" s="1304"/>
      <c r="T3790" s="1304"/>
    </row>
    <row r="3791" spans="1:20">
      <c r="A3791" s="1303"/>
      <c r="B3791" s="1322" t="s">
        <v>9639</v>
      </c>
      <c r="C3791" s="1323" t="s">
        <v>9442</v>
      </c>
      <c r="D3791" s="1324">
        <f t="shared" si="384"/>
        <v>36355</v>
      </c>
      <c r="E3791" s="1323">
        <f t="shared" si="380"/>
        <v>6.1444000000000001</v>
      </c>
      <c r="F3791" s="1323">
        <f t="shared" si="385"/>
        <v>4.7442080053062652</v>
      </c>
      <c r="G3791" s="1323">
        <f t="shared" si="381"/>
        <v>1999</v>
      </c>
      <c r="H3791" s="1323">
        <f t="shared" si="382"/>
        <v>7</v>
      </c>
      <c r="I3791" s="1323">
        <f t="shared" si="383"/>
        <v>14</v>
      </c>
      <c r="J3791" s="1323"/>
      <c r="K3791" s="1323"/>
      <c r="L3791" s="1323"/>
      <c r="M3791" s="1323"/>
      <c r="N3791" s="1323"/>
      <c r="O3791" s="1323"/>
      <c r="P3791" s="1323"/>
      <c r="Q3791" s="1323"/>
      <c r="R3791" s="1304"/>
      <c r="S3791" s="1304"/>
      <c r="T3791" s="1304"/>
    </row>
    <row r="3792" spans="1:20">
      <c r="A3792" s="1303"/>
      <c r="B3792" s="1322" t="s">
        <v>9640</v>
      </c>
      <c r="C3792" s="1323" t="s">
        <v>9517</v>
      </c>
      <c r="D3792" s="1324">
        <f t="shared" si="384"/>
        <v>36354</v>
      </c>
      <c r="E3792" s="1323">
        <f t="shared" si="380"/>
        <v>6.1595000000000004</v>
      </c>
      <c r="F3792" s="1323">
        <f t="shared" si="385"/>
        <v>4.7432983316536195</v>
      </c>
      <c r="G3792" s="1323">
        <f t="shared" si="381"/>
        <v>1999</v>
      </c>
      <c r="H3792" s="1323">
        <f t="shared" si="382"/>
        <v>7</v>
      </c>
      <c r="I3792" s="1323">
        <f t="shared" si="383"/>
        <v>13</v>
      </c>
      <c r="J3792" s="1323"/>
      <c r="K3792" s="1323"/>
      <c r="L3792" s="1323"/>
      <c r="M3792" s="1323"/>
      <c r="N3792" s="1323"/>
      <c r="O3792" s="1323"/>
      <c r="P3792" s="1323"/>
      <c r="Q3792" s="1323"/>
      <c r="R3792" s="1304"/>
      <c r="S3792" s="1304"/>
      <c r="T3792" s="1304"/>
    </row>
    <row r="3793" spans="1:20">
      <c r="A3793" s="1303"/>
      <c r="B3793" s="1322" t="s">
        <v>9641</v>
      </c>
      <c r="C3793" s="1323" t="s">
        <v>9611</v>
      </c>
      <c r="D3793" s="1324">
        <f t="shared" si="384"/>
        <v>36353</v>
      </c>
      <c r="E3793" s="1323">
        <f t="shared" si="380"/>
        <v>6.0937999999999999</v>
      </c>
      <c r="F3793" s="1323">
        <f t="shared" si="385"/>
        <v>4.7423888324254833</v>
      </c>
      <c r="G3793" s="1323">
        <f t="shared" si="381"/>
        <v>1999</v>
      </c>
      <c r="H3793" s="1323">
        <f t="shared" si="382"/>
        <v>7</v>
      </c>
      <c r="I3793" s="1323">
        <f t="shared" si="383"/>
        <v>12</v>
      </c>
      <c r="J3793" s="1323"/>
      <c r="K3793" s="1323"/>
      <c r="L3793" s="1323"/>
      <c r="M3793" s="1323"/>
      <c r="N3793" s="1323"/>
      <c r="O3793" s="1323"/>
      <c r="P3793" s="1323"/>
      <c r="Q3793" s="1323"/>
      <c r="R3793" s="1304"/>
      <c r="S3793" s="1304"/>
      <c r="T3793" s="1304"/>
    </row>
    <row r="3794" spans="1:20">
      <c r="A3794" s="1303"/>
      <c r="B3794" s="1322" t="s">
        <v>9642</v>
      </c>
      <c r="C3794" s="1323" t="s">
        <v>9643</v>
      </c>
      <c r="D3794" s="1324">
        <f t="shared" si="384"/>
        <v>36350</v>
      </c>
      <c r="E3794" s="1323">
        <f t="shared" si="380"/>
        <v>6.0900999999999996</v>
      </c>
      <c r="F3794" s="1323">
        <f t="shared" si="385"/>
        <v>4.7414795075884113</v>
      </c>
      <c r="G3794" s="1323">
        <f t="shared" si="381"/>
        <v>1999</v>
      </c>
      <c r="H3794" s="1323">
        <f t="shared" si="382"/>
        <v>7</v>
      </c>
      <c r="I3794" s="1323">
        <f t="shared" si="383"/>
        <v>9</v>
      </c>
      <c r="J3794" s="1323"/>
      <c r="K3794" s="1323"/>
      <c r="L3794" s="1323"/>
      <c r="M3794" s="1323"/>
      <c r="N3794" s="1323"/>
      <c r="O3794" s="1323"/>
      <c r="P3794" s="1323"/>
      <c r="Q3794" s="1323"/>
      <c r="R3794" s="1304"/>
      <c r="S3794" s="1304"/>
      <c r="T3794" s="1304"/>
    </row>
    <row r="3795" spans="1:20">
      <c r="A3795" s="1303"/>
      <c r="B3795" s="1322" t="s">
        <v>9644</v>
      </c>
      <c r="C3795" s="1323" t="s">
        <v>9645</v>
      </c>
      <c r="D3795" s="1324">
        <f t="shared" si="384"/>
        <v>36349</v>
      </c>
      <c r="E3795" s="1323">
        <f t="shared" si="380"/>
        <v>6.0495999999999999</v>
      </c>
      <c r="F3795" s="1323">
        <f t="shared" si="385"/>
        <v>4.7405703571089655</v>
      </c>
      <c r="G3795" s="1323">
        <f t="shared" si="381"/>
        <v>1999</v>
      </c>
      <c r="H3795" s="1323">
        <f t="shared" si="382"/>
        <v>7</v>
      </c>
      <c r="I3795" s="1323">
        <f t="shared" si="383"/>
        <v>8</v>
      </c>
      <c r="J3795" s="1323"/>
      <c r="K3795" s="1323"/>
      <c r="L3795" s="1323"/>
      <c r="M3795" s="1323"/>
      <c r="N3795" s="1323"/>
      <c r="O3795" s="1323"/>
      <c r="P3795" s="1323"/>
      <c r="Q3795" s="1323"/>
      <c r="R3795" s="1304"/>
      <c r="S3795" s="1304"/>
      <c r="T3795" s="1304"/>
    </row>
    <row r="3796" spans="1:20">
      <c r="A3796" s="1303"/>
      <c r="B3796" s="1322" t="s">
        <v>9646</v>
      </c>
      <c r="C3796" s="1323" t="s">
        <v>9647</v>
      </c>
      <c r="D3796" s="1324">
        <f t="shared" si="384"/>
        <v>36348</v>
      </c>
      <c r="E3796" s="1323">
        <f t="shared" si="380"/>
        <v>6.0551000000000004</v>
      </c>
      <c r="F3796" s="1323">
        <f t="shared" si="385"/>
        <v>4.7396613809537138</v>
      </c>
      <c r="G3796" s="1323">
        <f t="shared" si="381"/>
        <v>1999</v>
      </c>
      <c r="H3796" s="1323">
        <f t="shared" si="382"/>
        <v>7</v>
      </c>
      <c r="I3796" s="1323">
        <f t="shared" si="383"/>
        <v>7</v>
      </c>
      <c r="J3796" s="1323"/>
      <c r="K3796" s="1323"/>
      <c r="L3796" s="1323"/>
      <c r="M3796" s="1323"/>
      <c r="N3796" s="1323"/>
      <c r="O3796" s="1323"/>
      <c r="P3796" s="1323"/>
      <c r="Q3796" s="1323"/>
      <c r="R3796" s="1304"/>
      <c r="S3796" s="1304"/>
      <c r="T3796" s="1304"/>
    </row>
    <row r="3797" spans="1:20">
      <c r="A3797" s="1303"/>
      <c r="B3797" s="1322" t="s">
        <v>9648</v>
      </c>
      <c r="C3797" s="1323" t="s">
        <v>9536</v>
      </c>
      <c r="D3797" s="1324">
        <f t="shared" si="384"/>
        <v>36347</v>
      </c>
      <c r="E3797" s="1323">
        <f t="shared" si="380"/>
        <v>5.9916</v>
      </c>
      <c r="F3797" s="1323">
        <f t="shared" si="385"/>
        <v>4.7387525790892306</v>
      </c>
      <c r="G3797" s="1323">
        <f t="shared" si="381"/>
        <v>1999</v>
      </c>
      <c r="H3797" s="1323">
        <f t="shared" si="382"/>
        <v>7</v>
      </c>
      <c r="I3797" s="1323">
        <f t="shared" si="383"/>
        <v>6</v>
      </c>
      <c r="J3797" s="1323"/>
      <c r="K3797" s="1323"/>
      <c r="L3797" s="1323"/>
      <c r="M3797" s="1323"/>
      <c r="N3797" s="1323"/>
      <c r="O3797" s="1323"/>
      <c r="P3797" s="1323"/>
      <c r="Q3797" s="1323"/>
      <c r="R3797" s="1304"/>
      <c r="S3797" s="1304"/>
      <c r="T3797" s="1304"/>
    </row>
    <row r="3798" spans="1:20">
      <c r="A3798" s="1303"/>
      <c r="B3798" s="1322" t="s">
        <v>9649</v>
      </c>
      <c r="C3798" s="1323" t="s">
        <v>9650</v>
      </c>
      <c r="D3798" s="1324">
        <f t="shared" si="384"/>
        <v>36346</v>
      </c>
      <c r="E3798" s="1323">
        <f t="shared" ref="E3798:E3861" si="386">VALUE(C3799)</f>
        <v>6.0240999999999998</v>
      </c>
      <c r="F3798" s="1323">
        <f t="shared" si="385"/>
        <v>4.7378439514820974</v>
      </c>
      <c r="G3798" s="1323">
        <f t="shared" ref="G3798:G3861" si="387">YEAR(B3799)</f>
        <v>1999</v>
      </c>
      <c r="H3798" s="1323">
        <f t="shared" ref="H3798:H3861" si="388">MONTH(B3799)</f>
        <v>7</v>
      </c>
      <c r="I3798" s="1323">
        <f t="shared" ref="I3798:I3861" si="389">DAY(B3799)</f>
        <v>5</v>
      </c>
      <c r="J3798" s="1323"/>
      <c r="K3798" s="1323"/>
      <c r="L3798" s="1323"/>
      <c r="M3798" s="1323"/>
      <c r="N3798" s="1323"/>
      <c r="O3798" s="1323"/>
      <c r="P3798" s="1323"/>
      <c r="Q3798" s="1323"/>
      <c r="R3798" s="1304"/>
      <c r="S3798" s="1304"/>
      <c r="T3798" s="1304"/>
    </row>
    <row r="3799" spans="1:20">
      <c r="A3799" s="1303"/>
      <c r="B3799" s="1322" t="s">
        <v>9651</v>
      </c>
      <c r="C3799" s="1323" t="s">
        <v>9652</v>
      </c>
      <c r="D3799" s="1324">
        <f t="shared" si="384"/>
        <v>36343</v>
      </c>
      <c r="E3799" s="1323">
        <f t="shared" si="386"/>
        <v>6.0350000000000001</v>
      </c>
      <c r="F3799" s="1323">
        <f t="shared" si="385"/>
        <v>4.7369354980988998</v>
      </c>
      <c r="G3799" s="1323">
        <f t="shared" si="387"/>
        <v>1999</v>
      </c>
      <c r="H3799" s="1323">
        <f t="shared" si="388"/>
        <v>7</v>
      </c>
      <c r="I3799" s="1323">
        <f t="shared" si="389"/>
        <v>2</v>
      </c>
      <c r="J3799" s="1323"/>
      <c r="K3799" s="1323"/>
      <c r="L3799" s="1323"/>
      <c r="M3799" s="1323"/>
      <c r="N3799" s="1323"/>
      <c r="O3799" s="1323"/>
      <c r="P3799" s="1323"/>
      <c r="Q3799" s="1323"/>
      <c r="R3799" s="1304"/>
      <c r="S3799" s="1304"/>
      <c r="T3799" s="1304"/>
    </row>
    <row r="3800" spans="1:20">
      <c r="A3800" s="1303"/>
      <c r="B3800" s="1322" t="s">
        <v>9653</v>
      </c>
      <c r="C3800" s="1323" t="s">
        <v>9584</v>
      </c>
      <c r="D3800" s="1324">
        <f t="shared" si="384"/>
        <v>36342</v>
      </c>
      <c r="E3800" s="1323">
        <f t="shared" si="386"/>
        <v>6.0060000000000002</v>
      </c>
      <c r="F3800" s="1323">
        <f t="shared" si="385"/>
        <v>4.7360272189062327</v>
      </c>
      <c r="G3800" s="1323">
        <f t="shared" si="387"/>
        <v>1999</v>
      </c>
      <c r="H3800" s="1323">
        <f t="shared" si="388"/>
        <v>7</v>
      </c>
      <c r="I3800" s="1323">
        <f t="shared" si="389"/>
        <v>1</v>
      </c>
      <c r="J3800" s="1323"/>
      <c r="K3800" s="1323"/>
      <c r="L3800" s="1323"/>
      <c r="M3800" s="1323"/>
      <c r="N3800" s="1323"/>
      <c r="O3800" s="1323"/>
      <c r="P3800" s="1323"/>
      <c r="Q3800" s="1323"/>
      <c r="R3800" s="1304"/>
      <c r="S3800" s="1304"/>
      <c r="T3800" s="1304"/>
    </row>
    <row r="3801" spans="1:20">
      <c r="A3801" s="1303"/>
      <c r="B3801" s="1322" t="s">
        <v>9654</v>
      </c>
      <c r="C3801" s="1323" t="s">
        <v>9554</v>
      </c>
      <c r="D3801" s="1324">
        <f t="shared" si="384"/>
        <v>36341</v>
      </c>
      <c r="E3801" s="1323">
        <f t="shared" si="386"/>
        <v>6.0331999999999999</v>
      </c>
      <c r="F3801" s="1323">
        <f t="shared" si="385"/>
        <v>4.7351191138706961</v>
      </c>
      <c r="G3801" s="1323">
        <f t="shared" si="387"/>
        <v>1999</v>
      </c>
      <c r="H3801" s="1323">
        <f t="shared" si="388"/>
        <v>6</v>
      </c>
      <c r="I3801" s="1323">
        <f t="shared" si="389"/>
        <v>30</v>
      </c>
      <c r="J3801" s="1323"/>
      <c r="K3801" s="1323"/>
      <c r="L3801" s="1323"/>
      <c r="M3801" s="1323"/>
      <c r="N3801" s="1323"/>
      <c r="O3801" s="1323"/>
      <c r="P3801" s="1323"/>
      <c r="Q3801" s="1323"/>
      <c r="R3801" s="1304"/>
      <c r="S3801" s="1304"/>
      <c r="T3801" s="1304"/>
    </row>
    <row r="3802" spans="1:20">
      <c r="A3802" s="1303"/>
      <c r="B3802" s="1322" t="s">
        <v>9655</v>
      </c>
      <c r="C3802" s="1323" t="s">
        <v>9656</v>
      </c>
      <c r="D3802" s="1324">
        <f t="shared" si="384"/>
        <v>36340</v>
      </c>
      <c r="E3802" s="1323">
        <f t="shared" si="386"/>
        <v>6.0587999999999997</v>
      </c>
      <c r="F3802" s="1323">
        <f t="shared" si="385"/>
        <v>4.7342111829588953</v>
      </c>
      <c r="G3802" s="1323">
        <f t="shared" si="387"/>
        <v>1999</v>
      </c>
      <c r="H3802" s="1323">
        <f t="shared" si="388"/>
        <v>6</v>
      </c>
      <c r="I3802" s="1323">
        <f t="shared" si="389"/>
        <v>29</v>
      </c>
      <c r="J3802" s="1323"/>
      <c r="K3802" s="1323"/>
      <c r="L3802" s="1323"/>
      <c r="M3802" s="1323"/>
      <c r="N3802" s="1323"/>
      <c r="O3802" s="1323"/>
      <c r="P3802" s="1323"/>
      <c r="Q3802" s="1323"/>
      <c r="R3802" s="1304"/>
      <c r="S3802" s="1304"/>
      <c r="T3802" s="1304"/>
    </row>
    <row r="3803" spans="1:20">
      <c r="A3803" s="1303"/>
      <c r="B3803" s="1322" t="s">
        <v>9657</v>
      </c>
      <c r="C3803" s="1323" t="s">
        <v>9559</v>
      </c>
      <c r="D3803" s="1324">
        <f t="shared" si="384"/>
        <v>36339</v>
      </c>
      <c r="E3803" s="1323">
        <f t="shared" si="386"/>
        <v>6.0624000000000002</v>
      </c>
      <c r="F3803" s="1323">
        <f t="shared" si="385"/>
        <v>4.7333034261374438</v>
      </c>
      <c r="G3803" s="1323">
        <f t="shared" si="387"/>
        <v>1999</v>
      </c>
      <c r="H3803" s="1323">
        <f t="shared" si="388"/>
        <v>6</v>
      </c>
      <c r="I3803" s="1323">
        <f t="shared" si="389"/>
        <v>28</v>
      </c>
      <c r="J3803" s="1323"/>
      <c r="K3803" s="1323"/>
      <c r="L3803" s="1323"/>
      <c r="M3803" s="1323"/>
      <c r="N3803" s="1323"/>
      <c r="O3803" s="1323"/>
      <c r="P3803" s="1323"/>
      <c r="Q3803" s="1323"/>
      <c r="R3803" s="1304"/>
      <c r="S3803" s="1304"/>
      <c r="T3803" s="1304"/>
    </row>
    <row r="3804" spans="1:20">
      <c r="A3804" s="1303"/>
      <c r="B3804" s="1322" t="s">
        <v>9658</v>
      </c>
      <c r="C3804" s="1323" t="s">
        <v>9540</v>
      </c>
      <c r="D3804" s="1324">
        <f t="shared" si="384"/>
        <v>36336</v>
      </c>
      <c r="E3804" s="1323">
        <f t="shared" si="386"/>
        <v>6.0551000000000004</v>
      </c>
      <c r="F3804" s="1323">
        <f t="shared" si="385"/>
        <v>4.7323958433729612</v>
      </c>
      <c r="G3804" s="1323">
        <f t="shared" si="387"/>
        <v>1999</v>
      </c>
      <c r="H3804" s="1323">
        <f t="shared" si="388"/>
        <v>6</v>
      </c>
      <c r="I3804" s="1323">
        <f t="shared" si="389"/>
        <v>25</v>
      </c>
      <c r="J3804" s="1323"/>
      <c r="K3804" s="1323"/>
      <c r="L3804" s="1323"/>
      <c r="M3804" s="1323"/>
      <c r="N3804" s="1323"/>
      <c r="O3804" s="1323"/>
      <c r="P3804" s="1323"/>
      <c r="Q3804" s="1323"/>
      <c r="R3804" s="1304"/>
      <c r="S3804" s="1304"/>
      <c r="T3804" s="1304"/>
    </row>
    <row r="3805" spans="1:20">
      <c r="A3805" s="1303"/>
      <c r="B3805" s="1322" t="s">
        <v>9659</v>
      </c>
      <c r="C3805" s="1323" t="s">
        <v>9536</v>
      </c>
      <c r="D3805" s="1324">
        <f t="shared" si="384"/>
        <v>36335</v>
      </c>
      <c r="E3805" s="1323">
        <f t="shared" si="386"/>
        <v>6.0331999999999999</v>
      </c>
      <c r="F3805" s="1323">
        <f t="shared" si="385"/>
        <v>4.7314884346320722</v>
      </c>
      <c r="G3805" s="1323">
        <f t="shared" si="387"/>
        <v>1999</v>
      </c>
      <c r="H3805" s="1323">
        <f t="shared" si="388"/>
        <v>6</v>
      </c>
      <c r="I3805" s="1323">
        <f t="shared" si="389"/>
        <v>24</v>
      </c>
      <c r="J3805" s="1323"/>
      <c r="K3805" s="1323"/>
      <c r="L3805" s="1323"/>
      <c r="M3805" s="1323"/>
      <c r="N3805" s="1323"/>
      <c r="O3805" s="1323"/>
      <c r="P3805" s="1323"/>
      <c r="Q3805" s="1323"/>
      <c r="R3805" s="1304"/>
      <c r="S3805" s="1304"/>
      <c r="T3805" s="1304"/>
    </row>
    <row r="3806" spans="1:20">
      <c r="A3806" s="1303"/>
      <c r="B3806" s="1322" t="s">
        <v>9660</v>
      </c>
      <c r="C3806" s="1323" t="s">
        <v>9656</v>
      </c>
      <c r="D3806" s="1324">
        <f t="shared" si="384"/>
        <v>36334</v>
      </c>
      <c r="E3806" s="1323">
        <f t="shared" si="386"/>
        <v>5.9988000000000001</v>
      </c>
      <c r="F3806" s="1323">
        <f t="shared" si="385"/>
        <v>4.73058119988141</v>
      </c>
      <c r="G3806" s="1323">
        <f t="shared" si="387"/>
        <v>1999</v>
      </c>
      <c r="H3806" s="1323">
        <f t="shared" si="388"/>
        <v>6</v>
      </c>
      <c r="I3806" s="1323">
        <f t="shared" si="389"/>
        <v>23</v>
      </c>
      <c r="J3806" s="1323"/>
      <c r="K3806" s="1323"/>
      <c r="L3806" s="1323"/>
      <c r="M3806" s="1323"/>
      <c r="N3806" s="1323"/>
      <c r="O3806" s="1323"/>
      <c r="P3806" s="1323"/>
      <c r="Q3806" s="1323"/>
      <c r="R3806" s="1304"/>
      <c r="S3806" s="1304"/>
      <c r="T3806" s="1304"/>
    </row>
    <row r="3807" spans="1:20">
      <c r="A3807" s="1303"/>
      <c r="B3807" s="1322" t="s">
        <v>9661</v>
      </c>
      <c r="C3807" s="1323" t="s">
        <v>9662</v>
      </c>
      <c r="D3807" s="1324">
        <f t="shared" si="384"/>
        <v>36333</v>
      </c>
      <c r="E3807" s="1323">
        <f t="shared" si="386"/>
        <v>6.0060000000000002</v>
      </c>
      <c r="F3807" s="1323">
        <f t="shared" si="385"/>
        <v>4.7296741390876118</v>
      </c>
      <c r="G3807" s="1323">
        <f t="shared" si="387"/>
        <v>1999</v>
      </c>
      <c r="H3807" s="1323">
        <f t="shared" si="388"/>
        <v>6</v>
      </c>
      <c r="I3807" s="1323">
        <f t="shared" si="389"/>
        <v>22</v>
      </c>
      <c r="J3807" s="1323"/>
      <c r="K3807" s="1323"/>
      <c r="L3807" s="1323"/>
      <c r="M3807" s="1323"/>
      <c r="N3807" s="1323"/>
      <c r="O3807" s="1323"/>
      <c r="P3807" s="1323"/>
      <c r="Q3807" s="1323"/>
      <c r="R3807" s="1304"/>
      <c r="S3807" s="1304"/>
      <c r="T3807" s="1304"/>
    </row>
    <row r="3808" spans="1:20">
      <c r="A3808" s="1303"/>
      <c r="B3808" s="1322" t="s">
        <v>9663</v>
      </c>
      <c r="C3808" s="1323" t="s">
        <v>9554</v>
      </c>
      <c r="D3808" s="1324">
        <f t="shared" si="384"/>
        <v>36332</v>
      </c>
      <c r="E3808" s="1323">
        <f t="shared" si="386"/>
        <v>5.9880000000000004</v>
      </c>
      <c r="F3808" s="1323">
        <f t="shared" si="385"/>
        <v>4.728767252217323</v>
      </c>
      <c r="G3808" s="1323">
        <f t="shared" si="387"/>
        <v>1999</v>
      </c>
      <c r="H3808" s="1323">
        <f t="shared" si="388"/>
        <v>6</v>
      </c>
      <c r="I3808" s="1323">
        <f t="shared" si="389"/>
        <v>21</v>
      </c>
      <c r="J3808" s="1323"/>
      <c r="K3808" s="1323"/>
      <c r="L3808" s="1323"/>
      <c r="M3808" s="1323"/>
      <c r="N3808" s="1323"/>
      <c r="O3808" s="1323"/>
      <c r="P3808" s="1323"/>
      <c r="Q3808" s="1323"/>
      <c r="R3808" s="1304"/>
      <c r="S3808" s="1304"/>
      <c r="T3808" s="1304"/>
    </row>
    <row r="3809" spans="1:20">
      <c r="A3809" s="1303"/>
      <c r="B3809" s="1322" t="s">
        <v>9664</v>
      </c>
      <c r="C3809" s="1323" t="s">
        <v>9665</v>
      </c>
      <c r="D3809" s="1324">
        <f t="shared" si="384"/>
        <v>36329</v>
      </c>
      <c r="E3809" s="1323">
        <f t="shared" si="386"/>
        <v>6.0385999999999997</v>
      </c>
      <c r="F3809" s="1323">
        <f t="shared" si="385"/>
        <v>4.7278605392371951</v>
      </c>
      <c r="G3809" s="1323">
        <f t="shared" si="387"/>
        <v>1999</v>
      </c>
      <c r="H3809" s="1323">
        <f t="shared" si="388"/>
        <v>6</v>
      </c>
      <c r="I3809" s="1323">
        <f t="shared" si="389"/>
        <v>18</v>
      </c>
      <c r="J3809" s="1323"/>
      <c r="K3809" s="1323"/>
      <c r="L3809" s="1323"/>
      <c r="M3809" s="1323"/>
      <c r="N3809" s="1323"/>
      <c r="O3809" s="1323"/>
      <c r="P3809" s="1323"/>
      <c r="Q3809" s="1323"/>
      <c r="R3809" s="1304"/>
      <c r="S3809" s="1304"/>
      <c r="T3809" s="1304"/>
    </row>
    <row r="3810" spans="1:20">
      <c r="A3810" s="1303"/>
      <c r="B3810" s="1322" t="s">
        <v>9666</v>
      </c>
      <c r="C3810" s="1323" t="s">
        <v>9667</v>
      </c>
      <c r="D3810" s="1324">
        <f t="shared" si="384"/>
        <v>36328</v>
      </c>
      <c r="E3810" s="1323">
        <f t="shared" si="386"/>
        <v>6.0827</v>
      </c>
      <c r="F3810" s="1323">
        <f t="shared" si="385"/>
        <v>4.726954000113885</v>
      </c>
      <c r="G3810" s="1323">
        <f t="shared" si="387"/>
        <v>1999</v>
      </c>
      <c r="H3810" s="1323">
        <f t="shared" si="388"/>
        <v>6</v>
      </c>
      <c r="I3810" s="1323">
        <f t="shared" si="389"/>
        <v>17</v>
      </c>
      <c r="J3810" s="1323"/>
      <c r="K3810" s="1323"/>
      <c r="L3810" s="1323"/>
      <c r="M3810" s="1323"/>
      <c r="N3810" s="1323"/>
      <c r="O3810" s="1323"/>
      <c r="P3810" s="1323"/>
      <c r="Q3810" s="1323"/>
      <c r="R3810" s="1304"/>
      <c r="S3810" s="1304"/>
      <c r="T3810" s="1304"/>
    </row>
    <row r="3811" spans="1:20">
      <c r="A3811" s="1303"/>
      <c r="B3811" s="1322" t="s">
        <v>9668</v>
      </c>
      <c r="C3811" s="1323" t="s">
        <v>9669</v>
      </c>
      <c r="D3811" s="1324">
        <f t="shared" si="384"/>
        <v>36326</v>
      </c>
      <c r="E3811" s="1323">
        <f t="shared" si="386"/>
        <v>6.0919999999999996</v>
      </c>
      <c r="F3811" s="1323">
        <f t="shared" si="385"/>
        <v>4.7260476348140577</v>
      </c>
      <c r="G3811" s="1323">
        <f t="shared" si="387"/>
        <v>1999</v>
      </c>
      <c r="H3811" s="1323">
        <f t="shared" si="388"/>
        <v>6</v>
      </c>
      <c r="I3811" s="1323">
        <f t="shared" si="389"/>
        <v>15</v>
      </c>
      <c r="J3811" s="1323"/>
      <c r="K3811" s="1323"/>
      <c r="L3811" s="1323"/>
      <c r="M3811" s="1323"/>
      <c r="N3811" s="1323"/>
      <c r="O3811" s="1323"/>
      <c r="P3811" s="1323"/>
      <c r="Q3811" s="1323"/>
      <c r="R3811" s="1304"/>
      <c r="S3811" s="1304"/>
      <c r="T3811" s="1304"/>
    </row>
    <row r="3812" spans="1:20">
      <c r="A3812" s="1303"/>
      <c r="B3812" s="1322" t="s">
        <v>9670</v>
      </c>
      <c r="C3812" s="1323" t="s">
        <v>9671</v>
      </c>
      <c r="D3812" s="1324">
        <f t="shared" si="384"/>
        <v>36325</v>
      </c>
      <c r="E3812" s="1323">
        <f t="shared" si="386"/>
        <v>6.0864000000000003</v>
      </c>
      <c r="F3812" s="1323">
        <f t="shared" si="385"/>
        <v>4.7251414433043823</v>
      </c>
      <c r="G3812" s="1323">
        <f t="shared" si="387"/>
        <v>1999</v>
      </c>
      <c r="H3812" s="1323">
        <f t="shared" si="388"/>
        <v>6</v>
      </c>
      <c r="I3812" s="1323">
        <f t="shared" si="389"/>
        <v>14</v>
      </c>
      <c r="J3812" s="1323"/>
      <c r="K3812" s="1323"/>
      <c r="L3812" s="1323"/>
      <c r="M3812" s="1323"/>
      <c r="N3812" s="1323"/>
      <c r="O3812" s="1323"/>
      <c r="P3812" s="1323"/>
      <c r="Q3812" s="1323"/>
      <c r="R3812" s="1304"/>
      <c r="S3812" s="1304"/>
      <c r="T3812" s="1304"/>
    </row>
    <row r="3813" spans="1:20">
      <c r="A3813" s="1303"/>
      <c r="B3813" s="1322" t="s">
        <v>9672</v>
      </c>
      <c r="C3813" s="1323" t="s">
        <v>9673</v>
      </c>
      <c r="D3813" s="1324">
        <f t="shared" si="384"/>
        <v>36322</v>
      </c>
      <c r="E3813" s="1323">
        <f t="shared" si="386"/>
        <v>6.12</v>
      </c>
      <c r="F3813" s="1323">
        <f t="shared" si="385"/>
        <v>4.7242354255515364</v>
      </c>
      <c r="G3813" s="1323">
        <f t="shared" si="387"/>
        <v>1999</v>
      </c>
      <c r="H3813" s="1323">
        <f t="shared" si="388"/>
        <v>6</v>
      </c>
      <c r="I3813" s="1323">
        <f t="shared" si="389"/>
        <v>11</v>
      </c>
      <c r="J3813" s="1323"/>
      <c r="K3813" s="1323"/>
      <c r="L3813" s="1323"/>
      <c r="M3813" s="1323"/>
      <c r="N3813" s="1323"/>
      <c r="O3813" s="1323"/>
      <c r="P3813" s="1323"/>
      <c r="Q3813" s="1323"/>
      <c r="R3813" s="1304"/>
      <c r="S3813" s="1304"/>
      <c r="T3813" s="1304"/>
    </row>
    <row r="3814" spans="1:20">
      <c r="A3814" s="1303"/>
      <c r="B3814" s="1322" t="s">
        <v>9674</v>
      </c>
      <c r="C3814" s="1323" t="s">
        <v>9675</v>
      </c>
      <c r="D3814" s="1324">
        <f t="shared" si="384"/>
        <v>36321</v>
      </c>
      <c r="E3814" s="1323">
        <f t="shared" si="386"/>
        <v>6.1368999999999998</v>
      </c>
      <c r="F3814" s="1323">
        <f t="shared" si="385"/>
        <v>4.7233295815222034</v>
      </c>
      <c r="G3814" s="1323">
        <f t="shared" si="387"/>
        <v>1999</v>
      </c>
      <c r="H3814" s="1323">
        <f t="shared" si="388"/>
        <v>6</v>
      </c>
      <c r="I3814" s="1323">
        <f t="shared" si="389"/>
        <v>10</v>
      </c>
      <c r="J3814" s="1323"/>
      <c r="K3814" s="1323"/>
      <c r="L3814" s="1323"/>
      <c r="M3814" s="1323"/>
      <c r="N3814" s="1323"/>
      <c r="O3814" s="1323"/>
      <c r="P3814" s="1323"/>
      <c r="Q3814" s="1323"/>
      <c r="R3814" s="1304"/>
      <c r="S3814" s="1304"/>
      <c r="T3814" s="1304"/>
    </row>
    <row r="3815" spans="1:20">
      <c r="A3815" s="1303"/>
      <c r="B3815" s="1322" t="s">
        <v>9676</v>
      </c>
      <c r="C3815" s="1323" t="s">
        <v>9677</v>
      </c>
      <c r="D3815" s="1324">
        <f t="shared" si="384"/>
        <v>36320</v>
      </c>
      <c r="E3815" s="1323">
        <f t="shared" si="386"/>
        <v>6.12</v>
      </c>
      <c r="F3815" s="1323">
        <f t="shared" si="385"/>
        <v>4.7224239111830721</v>
      </c>
      <c r="G3815" s="1323">
        <f t="shared" si="387"/>
        <v>1999</v>
      </c>
      <c r="H3815" s="1323">
        <f t="shared" si="388"/>
        <v>6</v>
      </c>
      <c r="I3815" s="1323">
        <f t="shared" si="389"/>
        <v>9</v>
      </c>
      <c r="J3815" s="1323"/>
      <c r="K3815" s="1323"/>
      <c r="L3815" s="1323"/>
      <c r="M3815" s="1323"/>
      <c r="N3815" s="1323"/>
      <c r="O3815" s="1323"/>
      <c r="P3815" s="1323"/>
      <c r="Q3815" s="1323"/>
      <c r="R3815" s="1304"/>
      <c r="S3815" s="1304"/>
      <c r="T3815" s="1304"/>
    </row>
    <row r="3816" spans="1:20">
      <c r="A3816" s="1303"/>
      <c r="B3816" s="1322" t="s">
        <v>9678</v>
      </c>
      <c r="C3816" s="1323" t="s">
        <v>9675</v>
      </c>
      <c r="D3816" s="1324">
        <f t="shared" si="384"/>
        <v>36319</v>
      </c>
      <c r="E3816" s="1323">
        <f t="shared" si="386"/>
        <v>6.1013000000000002</v>
      </c>
      <c r="F3816" s="1323">
        <f t="shared" si="385"/>
        <v>4.7215184145008386</v>
      </c>
      <c r="G3816" s="1323">
        <f t="shared" si="387"/>
        <v>1999</v>
      </c>
      <c r="H3816" s="1323">
        <f t="shared" si="388"/>
        <v>6</v>
      </c>
      <c r="I3816" s="1323">
        <f t="shared" si="389"/>
        <v>8</v>
      </c>
      <c r="J3816" s="1323"/>
      <c r="K3816" s="1323"/>
      <c r="L3816" s="1323"/>
      <c r="M3816" s="1323"/>
      <c r="N3816" s="1323"/>
      <c r="O3816" s="1323"/>
      <c r="P3816" s="1323"/>
      <c r="Q3816" s="1323"/>
      <c r="R3816" s="1304"/>
      <c r="S3816" s="1304"/>
      <c r="T3816" s="1304"/>
    </row>
    <row r="3817" spans="1:20">
      <c r="A3817" s="1303"/>
      <c r="B3817" s="1322" t="s">
        <v>9679</v>
      </c>
      <c r="C3817" s="1323" t="s">
        <v>9680</v>
      </c>
      <c r="D3817" s="1324">
        <f t="shared" si="384"/>
        <v>36318</v>
      </c>
      <c r="E3817" s="1323">
        <f t="shared" si="386"/>
        <v>6.1595000000000004</v>
      </c>
      <c r="F3817" s="1323">
        <f t="shared" si="385"/>
        <v>4.720613091442206</v>
      </c>
      <c r="G3817" s="1323">
        <f t="shared" si="387"/>
        <v>1999</v>
      </c>
      <c r="H3817" s="1323">
        <f t="shared" si="388"/>
        <v>6</v>
      </c>
      <c r="I3817" s="1323">
        <f t="shared" si="389"/>
        <v>7</v>
      </c>
      <c r="J3817" s="1323"/>
      <c r="K3817" s="1323"/>
      <c r="L3817" s="1323"/>
      <c r="M3817" s="1323"/>
      <c r="N3817" s="1323"/>
      <c r="O3817" s="1323"/>
      <c r="P3817" s="1323"/>
      <c r="Q3817" s="1323"/>
      <c r="R3817" s="1304"/>
      <c r="S3817" s="1304"/>
      <c r="T3817" s="1304"/>
    </row>
    <row r="3818" spans="1:20">
      <c r="A3818" s="1303"/>
      <c r="B3818" s="1322" t="s">
        <v>9681</v>
      </c>
      <c r="C3818" s="1323" t="s">
        <v>9611</v>
      </c>
      <c r="D3818" s="1324">
        <f t="shared" si="384"/>
        <v>36315</v>
      </c>
      <c r="E3818" s="1323">
        <f t="shared" si="386"/>
        <v>6.1746999999999996</v>
      </c>
      <c r="F3818" s="1323">
        <f t="shared" si="385"/>
        <v>4.7197079419738817</v>
      </c>
      <c r="G3818" s="1323">
        <f t="shared" si="387"/>
        <v>1999</v>
      </c>
      <c r="H3818" s="1323">
        <f t="shared" si="388"/>
        <v>6</v>
      </c>
      <c r="I3818" s="1323">
        <f t="shared" si="389"/>
        <v>4</v>
      </c>
      <c r="J3818" s="1323"/>
      <c r="K3818" s="1323"/>
      <c r="L3818" s="1323"/>
      <c r="M3818" s="1323"/>
      <c r="N3818" s="1323"/>
      <c r="O3818" s="1323"/>
      <c r="P3818" s="1323"/>
      <c r="Q3818" s="1323"/>
      <c r="R3818" s="1304"/>
      <c r="S3818" s="1304"/>
      <c r="T3818" s="1304"/>
    </row>
    <row r="3819" spans="1:20">
      <c r="A3819" s="1303"/>
      <c r="B3819" s="1322" t="s">
        <v>9682</v>
      </c>
      <c r="C3819" s="1323" t="s">
        <v>9683</v>
      </c>
      <c r="D3819" s="1324">
        <f t="shared" si="384"/>
        <v>36314</v>
      </c>
      <c r="E3819" s="1323">
        <f t="shared" si="386"/>
        <v>6.2130999999999998</v>
      </c>
      <c r="F3819" s="1323">
        <f t="shared" si="385"/>
        <v>4.7188029660625821</v>
      </c>
      <c r="G3819" s="1323">
        <f t="shared" si="387"/>
        <v>1999</v>
      </c>
      <c r="H3819" s="1323">
        <f t="shared" si="388"/>
        <v>6</v>
      </c>
      <c r="I3819" s="1323">
        <f t="shared" si="389"/>
        <v>3</v>
      </c>
      <c r="J3819" s="1323"/>
      <c r="K3819" s="1323"/>
      <c r="L3819" s="1323"/>
      <c r="M3819" s="1323"/>
      <c r="N3819" s="1323"/>
      <c r="O3819" s="1323"/>
      <c r="P3819" s="1323"/>
      <c r="Q3819" s="1323"/>
      <c r="R3819" s="1304"/>
      <c r="S3819" s="1304"/>
      <c r="T3819" s="1304"/>
    </row>
    <row r="3820" spans="1:20">
      <c r="A3820" s="1303"/>
      <c r="B3820" s="1322" t="s">
        <v>9684</v>
      </c>
      <c r="C3820" s="1323" t="s">
        <v>9685</v>
      </c>
      <c r="D3820" s="1324">
        <f t="shared" si="384"/>
        <v>36312</v>
      </c>
      <c r="E3820" s="1323">
        <f t="shared" si="386"/>
        <v>6.2188999999999997</v>
      </c>
      <c r="F3820" s="1323">
        <f t="shared" si="385"/>
        <v>4.7178981636750281</v>
      </c>
      <c r="G3820" s="1323">
        <f t="shared" si="387"/>
        <v>1999</v>
      </c>
      <c r="H3820" s="1323">
        <f t="shared" si="388"/>
        <v>6</v>
      </c>
      <c r="I3820" s="1323">
        <f t="shared" si="389"/>
        <v>1</v>
      </c>
      <c r="J3820" s="1323"/>
      <c r="K3820" s="1323"/>
      <c r="L3820" s="1323"/>
      <c r="M3820" s="1323"/>
      <c r="N3820" s="1323"/>
      <c r="O3820" s="1323"/>
      <c r="P3820" s="1323"/>
      <c r="Q3820" s="1323"/>
      <c r="R3820" s="1304"/>
      <c r="S3820" s="1304"/>
      <c r="T3820" s="1304"/>
    </row>
    <row r="3821" spans="1:20">
      <c r="A3821" s="1303"/>
      <c r="B3821" s="1322" t="s">
        <v>9686</v>
      </c>
      <c r="C3821" s="1323" t="s">
        <v>9687</v>
      </c>
      <c r="D3821" s="1324">
        <f t="shared" si="384"/>
        <v>36311</v>
      </c>
      <c r="E3821" s="1323">
        <f t="shared" si="386"/>
        <v>6.2169999999999996</v>
      </c>
      <c r="F3821" s="1323">
        <f t="shared" si="385"/>
        <v>4.7169935347779477</v>
      </c>
      <c r="G3821" s="1323">
        <f t="shared" si="387"/>
        <v>1999</v>
      </c>
      <c r="H3821" s="1323">
        <f t="shared" si="388"/>
        <v>5</v>
      </c>
      <c r="I3821" s="1323">
        <f t="shared" si="389"/>
        <v>31</v>
      </c>
      <c r="J3821" s="1323"/>
      <c r="K3821" s="1323"/>
      <c r="L3821" s="1323"/>
      <c r="M3821" s="1323"/>
      <c r="N3821" s="1323"/>
      <c r="O3821" s="1323"/>
      <c r="P3821" s="1323"/>
      <c r="Q3821" s="1323"/>
      <c r="R3821" s="1304"/>
      <c r="S3821" s="1304"/>
      <c r="T3821" s="1304"/>
    </row>
    <row r="3822" spans="1:20">
      <c r="A3822" s="1303"/>
      <c r="B3822" s="1322" t="s">
        <v>9688</v>
      </c>
      <c r="C3822" s="1323" t="s">
        <v>9689</v>
      </c>
      <c r="D3822" s="1324">
        <f t="shared" si="384"/>
        <v>36308</v>
      </c>
      <c r="E3822" s="1323">
        <f t="shared" si="386"/>
        <v>6.2735000000000003</v>
      </c>
      <c r="F3822" s="1323">
        <f t="shared" si="385"/>
        <v>4.7160890793380741</v>
      </c>
      <c r="G3822" s="1323">
        <f t="shared" si="387"/>
        <v>1999</v>
      </c>
      <c r="H3822" s="1323">
        <f t="shared" si="388"/>
        <v>5</v>
      </c>
      <c r="I3822" s="1323">
        <f t="shared" si="389"/>
        <v>28</v>
      </c>
      <c r="J3822" s="1323"/>
      <c r="K3822" s="1323"/>
      <c r="L3822" s="1323"/>
      <c r="M3822" s="1323"/>
      <c r="N3822" s="1323"/>
      <c r="O3822" s="1323"/>
      <c r="P3822" s="1323"/>
      <c r="Q3822" s="1323"/>
      <c r="R3822" s="1304"/>
      <c r="S3822" s="1304"/>
      <c r="T3822" s="1304"/>
    </row>
    <row r="3823" spans="1:20">
      <c r="A3823" s="1303"/>
      <c r="B3823" s="1322" t="s">
        <v>9690</v>
      </c>
      <c r="C3823" s="1323" t="s">
        <v>6441</v>
      </c>
      <c r="D3823" s="1324">
        <f t="shared" si="384"/>
        <v>36307</v>
      </c>
      <c r="E3823" s="1323">
        <f t="shared" si="386"/>
        <v>6.2401999999999997</v>
      </c>
      <c r="F3823" s="1323">
        <f t="shared" si="385"/>
        <v>4.7151847973221495</v>
      </c>
      <c r="G3823" s="1323">
        <f t="shared" si="387"/>
        <v>1999</v>
      </c>
      <c r="H3823" s="1323">
        <f t="shared" si="388"/>
        <v>5</v>
      </c>
      <c r="I3823" s="1323">
        <f t="shared" si="389"/>
        <v>27</v>
      </c>
      <c r="J3823" s="1323"/>
      <c r="K3823" s="1323"/>
      <c r="L3823" s="1323"/>
      <c r="M3823" s="1323"/>
      <c r="N3823" s="1323"/>
      <c r="O3823" s="1323"/>
      <c r="P3823" s="1323"/>
      <c r="Q3823" s="1323"/>
      <c r="R3823" s="1304"/>
      <c r="S3823" s="1304"/>
      <c r="T3823" s="1304"/>
    </row>
    <row r="3824" spans="1:20">
      <c r="A3824" s="1303"/>
      <c r="B3824" s="1322" t="s">
        <v>9691</v>
      </c>
      <c r="C3824" s="1323" t="s">
        <v>9692</v>
      </c>
      <c r="D3824" s="1324">
        <f t="shared" si="384"/>
        <v>36306</v>
      </c>
      <c r="E3824" s="1323">
        <f t="shared" si="386"/>
        <v>6.2598000000000003</v>
      </c>
      <c r="F3824" s="1323">
        <f t="shared" si="385"/>
        <v>4.7142806886969195</v>
      </c>
      <c r="G3824" s="1323">
        <f t="shared" si="387"/>
        <v>1999</v>
      </c>
      <c r="H3824" s="1323">
        <f t="shared" si="388"/>
        <v>5</v>
      </c>
      <c r="I3824" s="1323">
        <f t="shared" si="389"/>
        <v>26</v>
      </c>
      <c r="J3824" s="1323"/>
      <c r="K3824" s="1323"/>
      <c r="L3824" s="1323"/>
      <c r="M3824" s="1323"/>
      <c r="N3824" s="1323"/>
      <c r="O3824" s="1323"/>
      <c r="P3824" s="1323"/>
      <c r="Q3824" s="1323"/>
      <c r="R3824" s="1304"/>
      <c r="S3824" s="1304"/>
      <c r="T3824" s="1304"/>
    </row>
    <row r="3825" spans="1:20">
      <c r="A3825" s="1303"/>
      <c r="B3825" s="1322" t="s">
        <v>9693</v>
      </c>
      <c r="C3825" s="1323" t="s">
        <v>9694</v>
      </c>
      <c r="D3825" s="1324">
        <f t="shared" si="384"/>
        <v>36305</v>
      </c>
      <c r="E3825" s="1323">
        <f t="shared" si="386"/>
        <v>6.2343999999999999</v>
      </c>
      <c r="F3825" s="1323">
        <f t="shared" si="385"/>
        <v>4.7133767534291389</v>
      </c>
      <c r="G3825" s="1323">
        <f t="shared" si="387"/>
        <v>1999</v>
      </c>
      <c r="H3825" s="1323">
        <f t="shared" si="388"/>
        <v>5</v>
      </c>
      <c r="I3825" s="1323">
        <f t="shared" si="389"/>
        <v>25</v>
      </c>
      <c r="J3825" s="1323"/>
      <c r="K3825" s="1323"/>
      <c r="L3825" s="1323"/>
      <c r="M3825" s="1323"/>
      <c r="N3825" s="1323"/>
      <c r="O3825" s="1323"/>
      <c r="P3825" s="1323"/>
      <c r="Q3825" s="1323"/>
      <c r="R3825" s="1304"/>
      <c r="S3825" s="1304"/>
      <c r="T3825" s="1304"/>
    </row>
    <row r="3826" spans="1:20">
      <c r="A3826" s="1303"/>
      <c r="B3826" s="1322" t="s">
        <v>9695</v>
      </c>
      <c r="C3826" s="1323" t="s">
        <v>9696</v>
      </c>
      <c r="D3826" s="1324">
        <f t="shared" si="384"/>
        <v>36304</v>
      </c>
      <c r="E3826" s="1323">
        <f t="shared" si="386"/>
        <v>6.2247000000000003</v>
      </c>
      <c r="F3826" s="1323">
        <f t="shared" si="385"/>
        <v>4.7124729914855665</v>
      </c>
      <c r="G3826" s="1323">
        <f t="shared" si="387"/>
        <v>1999</v>
      </c>
      <c r="H3826" s="1323">
        <f t="shared" si="388"/>
        <v>5</v>
      </c>
      <c r="I3826" s="1323">
        <f t="shared" si="389"/>
        <v>24</v>
      </c>
      <c r="J3826" s="1323"/>
      <c r="K3826" s="1323"/>
      <c r="L3826" s="1323"/>
      <c r="M3826" s="1323"/>
      <c r="N3826" s="1323"/>
      <c r="O3826" s="1323"/>
      <c r="P3826" s="1323"/>
      <c r="Q3826" s="1323"/>
      <c r="R3826" s="1304"/>
      <c r="S3826" s="1304"/>
      <c r="T3826" s="1304"/>
    </row>
    <row r="3827" spans="1:20">
      <c r="A3827" s="1303"/>
      <c r="B3827" s="1322" t="s">
        <v>9697</v>
      </c>
      <c r="C3827" s="1323" t="s">
        <v>9698</v>
      </c>
      <c r="D3827" s="1324">
        <f t="shared" si="384"/>
        <v>36301</v>
      </c>
      <c r="E3827" s="1323">
        <f t="shared" si="386"/>
        <v>6.2092999999999998</v>
      </c>
      <c r="F3827" s="1323">
        <f t="shared" si="385"/>
        <v>4.7115694028329687</v>
      </c>
      <c r="G3827" s="1323">
        <f t="shared" si="387"/>
        <v>1999</v>
      </c>
      <c r="H3827" s="1323">
        <f t="shared" si="388"/>
        <v>5</v>
      </c>
      <c r="I3827" s="1323">
        <f t="shared" si="389"/>
        <v>21</v>
      </c>
      <c r="J3827" s="1323"/>
      <c r="K3827" s="1323"/>
      <c r="L3827" s="1323"/>
      <c r="M3827" s="1323"/>
      <c r="N3827" s="1323"/>
      <c r="O3827" s="1323"/>
      <c r="P3827" s="1323"/>
      <c r="Q3827" s="1323"/>
      <c r="R3827" s="1304"/>
      <c r="S3827" s="1304"/>
      <c r="T3827" s="1304"/>
    </row>
    <row r="3828" spans="1:20">
      <c r="A3828" s="1303"/>
      <c r="B3828" s="1322" t="s">
        <v>9699</v>
      </c>
      <c r="C3828" s="1323" t="s">
        <v>9620</v>
      </c>
      <c r="D3828" s="1324">
        <f t="shared" si="384"/>
        <v>36300</v>
      </c>
      <c r="E3828" s="1323">
        <f t="shared" si="386"/>
        <v>6.2149999999999999</v>
      </c>
      <c r="F3828" s="1323">
        <f t="shared" si="385"/>
        <v>4.7106659874381176</v>
      </c>
      <c r="G3828" s="1323">
        <f t="shared" si="387"/>
        <v>1999</v>
      </c>
      <c r="H3828" s="1323">
        <f t="shared" si="388"/>
        <v>5</v>
      </c>
      <c r="I3828" s="1323">
        <f t="shared" si="389"/>
        <v>20</v>
      </c>
      <c r="J3828" s="1323"/>
      <c r="K3828" s="1323"/>
      <c r="L3828" s="1323"/>
      <c r="M3828" s="1323"/>
      <c r="N3828" s="1323"/>
      <c r="O3828" s="1323"/>
      <c r="P3828" s="1323"/>
      <c r="Q3828" s="1323"/>
      <c r="R3828" s="1304"/>
      <c r="S3828" s="1304"/>
      <c r="T3828" s="1304"/>
    </row>
    <row r="3829" spans="1:20">
      <c r="A3829" s="1303"/>
      <c r="B3829" s="1322" t="s">
        <v>9700</v>
      </c>
      <c r="C3829" s="1323" t="s">
        <v>9701</v>
      </c>
      <c r="D3829" s="1324">
        <f t="shared" si="384"/>
        <v>36299</v>
      </c>
      <c r="E3829" s="1323">
        <f t="shared" si="386"/>
        <v>6.1746999999999996</v>
      </c>
      <c r="F3829" s="1323">
        <f t="shared" si="385"/>
        <v>4.7097627452677919</v>
      </c>
      <c r="G3829" s="1323">
        <f t="shared" si="387"/>
        <v>1999</v>
      </c>
      <c r="H3829" s="1323">
        <f t="shared" si="388"/>
        <v>5</v>
      </c>
      <c r="I3829" s="1323">
        <f t="shared" si="389"/>
        <v>19</v>
      </c>
      <c r="J3829" s="1323"/>
      <c r="K3829" s="1323"/>
      <c r="L3829" s="1323"/>
      <c r="M3829" s="1323"/>
      <c r="N3829" s="1323"/>
      <c r="O3829" s="1323"/>
      <c r="P3829" s="1323"/>
      <c r="Q3829" s="1323"/>
      <c r="R3829" s="1304"/>
      <c r="S3829" s="1304"/>
      <c r="T3829" s="1304"/>
    </row>
    <row r="3830" spans="1:20">
      <c r="A3830" s="1303"/>
      <c r="B3830" s="1322" t="s">
        <v>9702</v>
      </c>
      <c r="C3830" s="1323" t="s">
        <v>9683</v>
      </c>
      <c r="D3830" s="1324">
        <f t="shared" si="384"/>
        <v>36298</v>
      </c>
      <c r="E3830" s="1323">
        <f t="shared" si="386"/>
        <v>6.1786000000000003</v>
      </c>
      <c r="F3830" s="1323">
        <f t="shared" si="385"/>
        <v>4.7088596762887773</v>
      </c>
      <c r="G3830" s="1323">
        <f t="shared" si="387"/>
        <v>1999</v>
      </c>
      <c r="H3830" s="1323">
        <f t="shared" si="388"/>
        <v>5</v>
      </c>
      <c r="I3830" s="1323">
        <f t="shared" si="389"/>
        <v>18</v>
      </c>
      <c r="J3830" s="1323"/>
      <c r="K3830" s="1323"/>
      <c r="L3830" s="1323"/>
      <c r="M3830" s="1323"/>
      <c r="N3830" s="1323"/>
      <c r="O3830" s="1323"/>
      <c r="P3830" s="1323"/>
      <c r="Q3830" s="1323"/>
      <c r="R3830" s="1304"/>
      <c r="S3830" s="1304"/>
      <c r="T3830" s="1304"/>
    </row>
    <row r="3831" spans="1:20">
      <c r="A3831" s="1303"/>
      <c r="B3831" s="1322" t="s">
        <v>9703</v>
      </c>
      <c r="C3831" s="1323" t="s">
        <v>9618</v>
      </c>
      <c r="D3831" s="1324">
        <f t="shared" si="384"/>
        <v>36297</v>
      </c>
      <c r="E3831" s="1323">
        <f t="shared" si="386"/>
        <v>6.2324999999999999</v>
      </c>
      <c r="F3831" s="1323">
        <f t="shared" si="385"/>
        <v>4.7079567804678657</v>
      </c>
      <c r="G3831" s="1323">
        <f t="shared" si="387"/>
        <v>1999</v>
      </c>
      <c r="H3831" s="1323">
        <f t="shared" si="388"/>
        <v>5</v>
      </c>
      <c r="I3831" s="1323">
        <f t="shared" si="389"/>
        <v>17</v>
      </c>
      <c r="J3831" s="1323"/>
      <c r="K3831" s="1323"/>
      <c r="L3831" s="1323"/>
      <c r="M3831" s="1323"/>
      <c r="N3831" s="1323"/>
      <c r="O3831" s="1323"/>
      <c r="P3831" s="1323"/>
      <c r="Q3831" s="1323"/>
      <c r="R3831" s="1304"/>
      <c r="S3831" s="1304"/>
      <c r="T3831" s="1304"/>
    </row>
    <row r="3832" spans="1:20">
      <c r="A3832" s="1303"/>
      <c r="B3832" s="1322" t="s">
        <v>9704</v>
      </c>
      <c r="C3832" s="1323" t="s">
        <v>7228</v>
      </c>
      <c r="D3832" s="1324">
        <f t="shared" si="384"/>
        <v>36294</v>
      </c>
      <c r="E3832" s="1323">
        <f t="shared" si="386"/>
        <v>6.1939000000000002</v>
      </c>
      <c r="F3832" s="1323">
        <f t="shared" si="385"/>
        <v>4.7070540577718543</v>
      </c>
      <c r="G3832" s="1323">
        <f t="shared" si="387"/>
        <v>1999</v>
      </c>
      <c r="H3832" s="1323">
        <f t="shared" si="388"/>
        <v>5</v>
      </c>
      <c r="I3832" s="1323">
        <f t="shared" si="389"/>
        <v>14</v>
      </c>
      <c r="J3832" s="1323"/>
      <c r="K3832" s="1323"/>
      <c r="L3832" s="1323"/>
      <c r="M3832" s="1323"/>
      <c r="N3832" s="1323"/>
      <c r="O3832" s="1323"/>
      <c r="P3832" s="1323"/>
      <c r="Q3832" s="1323"/>
      <c r="R3832" s="1304"/>
      <c r="S3832" s="1304"/>
      <c r="T3832" s="1304"/>
    </row>
    <row r="3833" spans="1:20">
      <c r="A3833" s="1303"/>
      <c r="B3833" s="1322" t="s">
        <v>9705</v>
      </c>
      <c r="C3833" s="1323" t="s">
        <v>9706</v>
      </c>
      <c r="D3833" s="1324">
        <f t="shared" si="384"/>
        <v>36293</v>
      </c>
      <c r="E3833" s="1323">
        <f t="shared" si="386"/>
        <v>6.2247000000000003</v>
      </c>
      <c r="F3833" s="1323">
        <f t="shared" si="385"/>
        <v>4.7061515081675482</v>
      </c>
      <c r="G3833" s="1323">
        <f t="shared" si="387"/>
        <v>1999</v>
      </c>
      <c r="H3833" s="1323">
        <f t="shared" si="388"/>
        <v>5</v>
      </c>
      <c r="I3833" s="1323">
        <f t="shared" si="389"/>
        <v>13</v>
      </c>
      <c r="J3833" s="1323"/>
      <c r="K3833" s="1323"/>
      <c r="L3833" s="1323"/>
      <c r="M3833" s="1323"/>
      <c r="N3833" s="1323"/>
      <c r="O3833" s="1323"/>
      <c r="P3833" s="1323"/>
      <c r="Q3833" s="1323"/>
      <c r="R3833" s="1304"/>
      <c r="S3833" s="1304"/>
      <c r="T3833" s="1304"/>
    </row>
    <row r="3834" spans="1:20">
      <c r="A3834" s="1303"/>
      <c r="B3834" s="1322" t="s">
        <v>9707</v>
      </c>
      <c r="C3834" s="1323" t="s">
        <v>9698</v>
      </c>
      <c r="D3834" s="1324">
        <f t="shared" si="384"/>
        <v>36292</v>
      </c>
      <c r="E3834" s="1323">
        <f t="shared" si="386"/>
        <v>6.1939000000000002</v>
      </c>
      <c r="F3834" s="1323">
        <f t="shared" si="385"/>
        <v>4.7052491316217573</v>
      </c>
      <c r="G3834" s="1323">
        <f t="shared" si="387"/>
        <v>1999</v>
      </c>
      <c r="H3834" s="1323">
        <f t="shared" si="388"/>
        <v>5</v>
      </c>
      <c r="I3834" s="1323">
        <f t="shared" si="389"/>
        <v>12</v>
      </c>
      <c r="J3834" s="1323"/>
      <c r="K3834" s="1323"/>
      <c r="L3834" s="1323"/>
      <c r="M3834" s="1323"/>
      <c r="N3834" s="1323"/>
      <c r="O3834" s="1323"/>
      <c r="P3834" s="1323"/>
      <c r="Q3834" s="1323"/>
      <c r="R3834" s="1304"/>
      <c r="S3834" s="1304"/>
      <c r="T3834" s="1304"/>
    </row>
    <row r="3835" spans="1:20">
      <c r="A3835" s="1303"/>
      <c r="B3835" s="1322" t="s">
        <v>9708</v>
      </c>
      <c r="C3835" s="1323" t="s">
        <v>9706</v>
      </c>
      <c r="D3835" s="1324">
        <f t="shared" si="384"/>
        <v>36291</v>
      </c>
      <c r="E3835" s="1323">
        <f t="shared" si="386"/>
        <v>6.1727999999999996</v>
      </c>
      <c r="F3835" s="1323">
        <f t="shared" si="385"/>
        <v>4.7043469281012991</v>
      </c>
      <c r="G3835" s="1323">
        <f t="shared" si="387"/>
        <v>1999</v>
      </c>
      <c r="H3835" s="1323">
        <f t="shared" si="388"/>
        <v>5</v>
      </c>
      <c r="I3835" s="1323">
        <f t="shared" si="389"/>
        <v>11</v>
      </c>
      <c r="J3835" s="1323"/>
      <c r="K3835" s="1323"/>
      <c r="L3835" s="1323"/>
      <c r="M3835" s="1323"/>
      <c r="N3835" s="1323"/>
      <c r="O3835" s="1323"/>
      <c r="P3835" s="1323"/>
      <c r="Q3835" s="1323"/>
      <c r="R3835" s="1304"/>
      <c r="S3835" s="1304"/>
      <c r="T3835" s="1304"/>
    </row>
    <row r="3836" spans="1:20">
      <c r="A3836" s="1303"/>
      <c r="B3836" s="1322" t="s">
        <v>9709</v>
      </c>
      <c r="C3836" s="1323" t="s">
        <v>9710</v>
      </c>
      <c r="D3836" s="1324">
        <f t="shared" si="384"/>
        <v>36290</v>
      </c>
      <c r="E3836" s="1323">
        <f t="shared" si="386"/>
        <v>6.1406000000000001</v>
      </c>
      <c r="F3836" s="1323">
        <f t="shared" si="385"/>
        <v>4.7034448975729974</v>
      </c>
      <c r="G3836" s="1323">
        <f t="shared" si="387"/>
        <v>1999</v>
      </c>
      <c r="H3836" s="1323">
        <f t="shared" si="388"/>
        <v>5</v>
      </c>
      <c r="I3836" s="1323">
        <f t="shared" si="389"/>
        <v>10</v>
      </c>
      <c r="J3836" s="1323"/>
      <c r="K3836" s="1323"/>
      <c r="L3836" s="1323"/>
      <c r="M3836" s="1323"/>
      <c r="N3836" s="1323"/>
      <c r="O3836" s="1323"/>
      <c r="P3836" s="1323"/>
      <c r="Q3836" s="1323"/>
      <c r="R3836" s="1304"/>
      <c r="S3836" s="1304"/>
      <c r="T3836" s="1304"/>
    </row>
    <row r="3837" spans="1:20">
      <c r="A3837" s="1303"/>
      <c r="B3837" s="1322" t="s">
        <v>9711</v>
      </c>
      <c r="C3837" s="1323" t="s">
        <v>9526</v>
      </c>
      <c r="D3837" s="1324">
        <f t="shared" si="384"/>
        <v>36287</v>
      </c>
      <c r="E3837" s="1323">
        <f t="shared" si="386"/>
        <v>6.1124999999999998</v>
      </c>
      <c r="F3837" s="1323">
        <f t="shared" si="385"/>
        <v>4.7025430400036816</v>
      </c>
      <c r="G3837" s="1323">
        <f t="shared" si="387"/>
        <v>1999</v>
      </c>
      <c r="H3837" s="1323">
        <f t="shared" si="388"/>
        <v>5</v>
      </c>
      <c r="I3837" s="1323">
        <f t="shared" si="389"/>
        <v>7</v>
      </c>
      <c r="J3837" s="1323"/>
      <c r="K3837" s="1323"/>
      <c r="L3837" s="1323"/>
      <c r="M3837" s="1323"/>
      <c r="N3837" s="1323"/>
      <c r="O3837" s="1323"/>
      <c r="P3837" s="1323"/>
      <c r="Q3837" s="1323"/>
      <c r="R3837" s="1304"/>
      <c r="S3837" s="1304"/>
      <c r="T3837" s="1304"/>
    </row>
    <row r="3838" spans="1:20">
      <c r="A3838" s="1303"/>
      <c r="B3838" s="1322" t="s">
        <v>9712</v>
      </c>
      <c r="C3838" s="1323" t="s">
        <v>9713</v>
      </c>
      <c r="D3838" s="1324">
        <f t="shared" si="384"/>
        <v>36286</v>
      </c>
      <c r="E3838" s="1323">
        <f t="shared" si="386"/>
        <v>6.0994000000000002</v>
      </c>
      <c r="F3838" s="1323">
        <f t="shared" si="385"/>
        <v>4.7016413553601879</v>
      </c>
      <c r="G3838" s="1323">
        <f t="shared" si="387"/>
        <v>1999</v>
      </c>
      <c r="H3838" s="1323">
        <f t="shared" si="388"/>
        <v>5</v>
      </c>
      <c r="I3838" s="1323">
        <f t="shared" si="389"/>
        <v>6</v>
      </c>
      <c r="J3838" s="1323"/>
      <c r="K3838" s="1323"/>
      <c r="L3838" s="1323"/>
      <c r="M3838" s="1323"/>
      <c r="N3838" s="1323"/>
      <c r="O3838" s="1323"/>
      <c r="P3838" s="1323"/>
      <c r="Q3838" s="1323"/>
      <c r="R3838" s="1304"/>
      <c r="S3838" s="1304"/>
      <c r="T3838" s="1304"/>
    </row>
    <row r="3839" spans="1:20">
      <c r="A3839" s="1303"/>
      <c r="B3839" s="1322" t="s">
        <v>9714</v>
      </c>
      <c r="C3839" s="1323" t="s">
        <v>9605</v>
      </c>
      <c r="D3839" s="1324">
        <f t="shared" si="384"/>
        <v>36285</v>
      </c>
      <c r="E3839" s="1323">
        <f t="shared" si="386"/>
        <v>6.0789999999999997</v>
      </c>
      <c r="F3839" s="1323">
        <f t="shared" si="385"/>
        <v>4.7007398436093588</v>
      </c>
      <c r="G3839" s="1323">
        <f t="shared" si="387"/>
        <v>1999</v>
      </c>
      <c r="H3839" s="1323">
        <f t="shared" si="388"/>
        <v>5</v>
      </c>
      <c r="I3839" s="1323">
        <f t="shared" si="389"/>
        <v>5</v>
      </c>
      <c r="J3839" s="1323"/>
      <c r="K3839" s="1323"/>
      <c r="L3839" s="1323"/>
      <c r="M3839" s="1323"/>
      <c r="N3839" s="1323"/>
      <c r="O3839" s="1323"/>
      <c r="P3839" s="1323"/>
      <c r="Q3839" s="1323"/>
      <c r="R3839" s="1304"/>
      <c r="S3839" s="1304"/>
      <c r="T3839" s="1304"/>
    </row>
    <row r="3840" spans="1:20">
      <c r="A3840" s="1303"/>
      <c r="B3840" s="1322" t="s">
        <v>9715</v>
      </c>
      <c r="C3840" s="1323" t="s">
        <v>9716</v>
      </c>
      <c r="D3840" s="1324">
        <f t="shared" si="384"/>
        <v>36284</v>
      </c>
      <c r="E3840" s="1323">
        <f t="shared" si="386"/>
        <v>6.0660999999999996</v>
      </c>
      <c r="F3840" s="1323">
        <f t="shared" si="385"/>
        <v>4.6998385047180431</v>
      </c>
      <c r="G3840" s="1323">
        <f t="shared" si="387"/>
        <v>1999</v>
      </c>
      <c r="H3840" s="1323">
        <f t="shared" si="388"/>
        <v>5</v>
      </c>
      <c r="I3840" s="1323">
        <f t="shared" si="389"/>
        <v>4</v>
      </c>
      <c r="J3840" s="1323"/>
      <c r="K3840" s="1323"/>
      <c r="L3840" s="1323"/>
      <c r="M3840" s="1323"/>
      <c r="N3840" s="1323"/>
      <c r="O3840" s="1323"/>
      <c r="P3840" s="1323"/>
      <c r="Q3840" s="1323"/>
      <c r="R3840" s="1304"/>
      <c r="S3840" s="1304"/>
      <c r="T3840" s="1304"/>
    </row>
    <row r="3841" spans="1:20">
      <c r="A3841" s="1303"/>
      <c r="B3841" s="1322" t="s">
        <v>9717</v>
      </c>
      <c r="C3841" s="1323" t="s">
        <v>9557</v>
      </c>
      <c r="D3841" s="1324">
        <f t="shared" si="384"/>
        <v>36283</v>
      </c>
      <c r="E3841" s="1323">
        <f t="shared" si="386"/>
        <v>6.0808999999999997</v>
      </c>
      <c r="F3841" s="1323">
        <f t="shared" si="385"/>
        <v>4.6989373386530957</v>
      </c>
      <c r="G3841" s="1323">
        <f t="shared" si="387"/>
        <v>1999</v>
      </c>
      <c r="H3841" s="1323">
        <f t="shared" si="388"/>
        <v>5</v>
      </c>
      <c r="I3841" s="1323">
        <f t="shared" si="389"/>
        <v>3</v>
      </c>
      <c r="J3841" s="1323"/>
      <c r="K3841" s="1323"/>
      <c r="L3841" s="1323"/>
      <c r="M3841" s="1323"/>
      <c r="N3841" s="1323"/>
      <c r="O3841" s="1323"/>
      <c r="P3841" s="1323"/>
      <c r="Q3841" s="1323"/>
      <c r="R3841" s="1304"/>
      <c r="S3841" s="1304"/>
      <c r="T3841" s="1304"/>
    </row>
    <row r="3842" spans="1:20">
      <c r="A3842" s="1303"/>
      <c r="B3842" s="1322" t="s">
        <v>9718</v>
      </c>
      <c r="C3842" s="1323" t="s">
        <v>9719</v>
      </c>
      <c r="D3842" s="1324">
        <f t="shared" si="384"/>
        <v>36280</v>
      </c>
      <c r="E3842" s="1323">
        <f t="shared" si="386"/>
        <v>6.0660999999999996</v>
      </c>
      <c r="F3842" s="1323">
        <f t="shared" si="385"/>
        <v>4.6980363453813787</v>
      </c>
      <c r="G3842" s="1323">
        <f t="shared" si="387"/>
        <v>1999</v>
      </c>
      <c r="H3842" s="1323">
        <f t="shared" si="388"/>
        <v>4</v>
      </c>
      <c r="I3842" s="1323">
        <f t="shared" si="389"/>
        <v>30</v>
      </c>
      <c r="J3842" s="1323"/>
      <c r="K3842" s="1323"/>
      <c r="L3842" s="1323"/>
      <c r="M3842" s="1323"/>
      <c r="N3842" s="1323"/>
      <c r="O3842" s="1323"/>
      <c r="P3842" s="1323"/>
      <c r="Q3842" s="1323"/>
      <c r="R3842" s="1304"/>
      <c r="S3842" s="1304"/>
      <c r="T3842" s="1304"/>
    </row>
    <row r="3843" spans="1:20">
      <c r="A3843" s="1303"/>
      <c r="B3843" s="1322" t="s">
        <v>9720</v>
      </c>
      <c r="C3843" s="1323" t="s">
        <v>9557</v>
      </c>
      <c r="D3843" s="1324">
        <f t="shared" si="384"/>
        <v>36279</v>
      </c>
      <c r="E3843" s="1323">
        <f t="shared" si="386"/>
        <v>6.0643000000000002</v>
      </c>
      <c r="F3843" s="1323">
        <f t="shared" si="385"/>
        <v>4.6971355248697595</v>
      </c>
      <c r="G3843" s="1323">
        <f t="shared" si="387"/>
        <v>1999</v>
      </c>
      <c r="H3843" s="1323">
        <f t="shared" si="388"/>
        <v>4</v>
      </c>
      <c r="I3843" s="1323">
        <f t="shared" si="389"/>
        <v>29</v>
      </c>
      <c r="J3843" s="1323"/>
      <c r="K3843" s="1323"/>
      <c r="L3843" s="1323"/>
      <c r="M3843" s="1323"/>
      <c r="N3843" s="1323"/>
      <c r="O3843" s="1323"/>
      <c r="P3843" s="1323"/>
      <c r="Q3843" s="1323"/>
      <c r="R3843" s="1304"/>
      <c r="S3843" s="1304"/>
      <c r="T3843" s="1304"/>
    </row>
    <row r="3844" spans="1:20">
      <c r="A3844" s="1303"/>
      <c r="B3844" s="1322" t="s">
        <v>9721</v>
      </c>
      <c r="C3844" s="1323" t="s">
        <v>9722</v>
      </c>
      <c r="D3844" s="1324">
        <f t="shared" si="384"/>
        <v>36278</v>
      </c>
      <c r="E3844" s="1323">
        <f t="shared" si="386"/>
        <v>6.0697999999999999</v>
      </c>
      <c r="F3844" s="1323">
        <f t="shared" si="385"/>
        <v>4.6962348770851126</v>
      </c>
      <c r="G3844" s="1323">
        <f t="shared" si="387"/>
        <v>1999</v>
      </c>
      <c r="H3844" s="1323">
        <f t="shared" si="388"/>
        <v>4</v>
      </c>
      <c r="I3844" s="1323">
        <f t="shared" si="389"/>
        <v>28</v>
      </c>
      <c r="J3844" s="1323"/>
      <c r="K3844" s="1323"/>
      <c r="L3844" s="1323"/>
      <c r="M3844" s="1323"/>
      <c r="N3844" s="1323"/>
      <c r="O3844" s="1323"/>
      <c r="P3844" s="1323"/>
      <c r="Q3844" s="1323"/>
      <c r="R3844" s="1304"/>
      <c r="S3844" s="1304"/>
      <c r="T3844" s="1304"/>
    </row>
    <row r="3845" spans="1:20">
      <c r="A3845" s="1303"/>
      <c r="B3845" s="1322" t="s">
        <v>9723</v>
      </c>
      <c r="C3845" s="1323" t="s">
        <v>9724</v>
      </c>
      <c r="D3845" s="1324">
        <f t="shared" si="384"/>
        <v>36276</v>
      </c>
      <c r="E3845" s="1323">
        <f t="shared" si="386"/>
        <v>6.0716000000000001</v>
      </c>
      <c r="F3845" s="1323">
        <f t="shared" si="385"/>
        <v>4.6953344019943186</v>
      </c>
      <c r="G3845" s="1323">
        <f t="shared" si="387"/>
        <v>1999</v>
      </c>
      <c r="H3845" s="1323">
        <f t="shared" si="388"/>
        <v>4</v>
      </c>
      <c r="I3845" s="1323">
        <f t="shared" si="389"/>
        <v>26</v>
      </c>
      <c r="J3845" s="1323"/>
      <c r="K3845" s="1323"/>
      <c r="L3845" s="1323"/>
      <c r="M3845" s="1323"/>
      <c r="N3845" s="1323"/>
      <c r="O3845" s="1323"/>
      <c r="P3845" s="1323"/>
      <c r="Q3845" s="1323"/>
      <c r="R3845" s="1304"/>
      <c r="S3845" s="1304"/>
      <c r="T3845" s="1304"/>
    </row>
    <row r="3846" spans="1:20">
      <c r="A3846" s="1303"/>
      <c r="B3846" s="1322" t="s">
        <v>9725</v>
      </c>
      <c r="C3846" s="1323" t="s">
        <v>9533</v>
      </c>
      <c r="D3846" s="1324">
        <f t="shared" si="384"/>
        <v>36273</v>
      </c>
      <c r="E3846" s="1323">
        <f t="shared" si="386"/>
        <v>6.0900999999999996</v>
      </c>
      <c r="F3846" s="1323">
        <f t="shared" si="385"/>
        <v>4.6944340995642646</v>
      </c>
      <c r="G3846" s="1323">
        <f t="shared" si="387"/>
        <v>1999</v>
      </c>
      <c r="H3846" s="1323">
        <f t="shared" si="388"/>
        <v>4</v>
      </c>
      <c r="I3846" s="1323">
        <f t="shared" si="389"/>
        <v>23</v>
      </c>
      <c r="J3846" s="1323"/>
      <c r="K3846" s="1323"/>
      <c r="L3846" s="1323"/>
      <c r="M3846" s="1323"/>
      <c r="N3846" s="1323"/>
      <c r="O3846" s="1323"/>
      <c r="P3846" s="1323"/>
      <c r="Q3846" s="1323"/>
      <c r="R3846" s="1304"/>
      <c r="S3846" s="1304"/>
      <c r="T3846" s="1304"/>
    </row>
    <row r="3847" spans="1:20">
      <c r="A3847" s="1303"/>
      <c r="B3847" s="1322" t="s">
        <v>9726</v>
      </c>
      <c r="C3847" s="1323" t="s">
        <v>9645</v>
      </c>
      <c r="D3847" s="1324">
        <f t="shared" si="384"/>
        <v>36272</v>
      </c>
      <c r="E3847" s="1323">
        <f t="shared" si="386"/>
        <v>6.0753000000000004</v>
      </c>
      <c r="F3847" s="1323">
        <f t="shared" si="385"/>
        <v>4.6935339697618446</v>
      </c>
      <c r="G3847" s="1323">
        <f t="shared" si="387"/>
        <v>1999</v>
      </c>
      <c r="H3847" s="1323">
        <f t="shared" si="388"/>
        <v>4</v>
      </c>
      <c r="I3847" s="1323">
        <f t="shared" si="389"/>
        <v>22</v>
      </c>
      <c r="J3847" s="1323"/>
      <c r="K3847" s="1323"/>
      <c r="L3847" s="1323"/>
      <c r="M3847" s="1323"/>
      <c r="N3847" s="1323"/>
      <c r="O3847" s="1323"/>
      <c r="P3847" s="1323"/>
      <c r="Q3847" s="1323"/>
      <c r="R3847" s="1304"/>
      <c r="S3847" s="1304"/>
      <c r="T3847" s="1304"/>
    </row>
    <row r="3848" spans="1:20">
      <c r="A3848" s="1303"/>
      <c r="B3848" s="1322" t="s">
        <v>9727</v>
      </c>
      <c r="C3848" s="1323" t="s">
        <v>9728</v>
      </c>
      <c r="D3848" s="1324">
        <f t="shared" si="384"/>
        <v>36271</v>
      </c>
      <c r="E3848" s="1323">
        <f t="shared" si="386"/>
        <v>6.0753000000000004</v>
      </c>
      <c r="F3848" s="1323">
        <f t="shared" si="385"/>
        <v>4.692634012553957</v>
      </c>
      <c r="G3848" s="1323">
        <f t="shared" si="387"/>
        <v>1999</v>
      </c>
      <c r="H3848" s="1323">
        <f t="shared" si="388"/>
        <v>4</v>
      </c>
      <c r="I3848" s="1323">
        <f t="shared" si="389"/>
        <v>21</v>
      </c>
      <c r="J3848" s="1323"/>
      <c r="K3848" s="1323"/>
      <c r="L3848" s="1323"/>
      <c r="M3848" s="1323"/>
      <c r="N3848" s="1323"/>
      <c r="O3848" s="1323"/>
      <c r="P3848" s="1323"/>
      <c r="Q3848" s="1323"/>
      <c r="R3848" s="1304"/>
      <c r="S3848" s="1304"/>
      <c r="T3848" s="1304"/>
    </row>
    <row r="3849" spans="1:20">
      <c r="A3849" s="1303"/>
      <c r="B3849" s="1322" t="s">
        <v>9729</v>
      </c>
      <c r="C3849" s="1323" t="s">
        <v>9728</v>
      </c>
      <c r="D3849" s="1324">
        <f t="shared" ref="D3849:D3912" si="390">DATE(G3849,H3849,I3849)</f>
        <v>36270</v>
      </c>
      <c r="E3849" s="1323">
        <f t="shared" si="386"/>
        <v>6.0350000000000001</v>
      </c>
      <c r="F3849" s="1323">
        <f t="shared" ref="F3849:F3912" si="391">F3850*(1+$F$7/365)</f>
        <v>4.6917342279075092</v>
      </c>
      <c r="G3849" s="1323">
        <f t="shared" si="387"/>
        <v>1999</v>
      </c>
      <c r="H3849" s="1323">
        <f t="shared" si="388"/>
        <v>4</v>
      </c>
      <c r="I3849" s="1323">
        <f t="shared" si="389"/>
        <v>20</v>
      </c>
      <c r="J3849" s="1323"/>
      <c r="K3849" s="1323"/>
      <c r="L3849" s="1323"/>
      <c r="M3849" s="1323"/>
      <c r="N3849" s="1323"/>
      <c r="O3849" s="1323"/>
      <c r="P3849" s="1323"/>
      <c r="Q3849" s="1323"/>
      <c r="R3849" s="1304"/>
      <c r="S3849" s="1304"/>
      <c r="T3849" s="1304"/>
    </row>
    <row r="3850" spans="1:20">
      <c r="A3850" s="1303"/>
      <c r="B3850" s="1322" t="s">
        <v>9730</v>
      </c>
      <c r="C3850" s="1323" t="s">
        <v>9584</v>
      </c>
      <c r="D3850" s="1324">
        <f t="shared" si="390"/>
        <v>36269</v>
      </c>
      <c r="E3850" s="1323">
        <f t="shared" si="386"/>
        <v>6.0846</v>
      </c>
      <c r="F3850" s="1323">
        <f t="shared" si="391"/>
        <v>4.6908346157894121</v>
      </c>
      <c r="G3850" s="1323">
        <f t="shared" si="387"/>
        <v>1999</v>
      </c>
      <c r="H3850" s="1323">
        <f t="shared" si="388"/>
        <v>4</v>
      </c>
      <c r="I3850" s="1323">
        <f t="shared" si="389"/>
        <v>19</v>
      </c>
      <c r="J3850" s="1323"/>
      <c r="K3850" s="1323"/>
      <c r="L3850" s="1323"/>
      <c r="M3850" s="1323"/>
      <c r="N3850" s="1323"/>
      <c r="O3850" s="1323"/>
      <c r="P3850" s="1323"/>
      <c r="Q3850" s="1323"/>
      <c r="R3850" s="1304"/>
      <c r="S3850" s="1304"/>
      <c r="T3850" s="1304"/>
    </row>
    <row r="3851" spans="1:20">
      <c r="A3851" s="1303"/>
      <c r="B3851" s="1322" t="s">
        <v>9731</v>
      </c>
      <c r="C3851" s="1323" t="s">
        <v>9732</v>
      </c>
      <c r="D3851" s="1324">
        <f t="shared" si="390"/>
        <v>36266</v>
      </c>
      <c r="E3851" s="1323">
        <f t="shared" si="386"/>
        <v>6.0864000000000003</v>
      </c>
      <c r="F3851" s="1323">
        <f t="shared" si="391"/>
        <v>4.6899351761665855</v>
      </c>
      <c r="G3851" s="1323">
        <f t="shared" si="387"/>
        <v>1999</v>
      </c>
      <c r="H3851" s="1323">
        <f t="shared" si="388"/>
        <v>4</v>
      </c>
      <c r="I3851" s="1323">
        <f t="shared" si="389"/>
        <v>16</v>
      </c>
      <c r="J3851" s="1323"/>
      <c r="K3851" s="1323"/>
      <c r="L3851" s="1323"/>
      <c r="M3851" s="1323"/>
      <c r="N3851" s="1323"/>
      <c r="O3851" s="1323"/>
      <c r="P3851" s="1323"/>
      <c r="Q3851" s="1323"/>
      <c r="R3851" s="1304"/>
      <c r="S3851" s="1304"/>
      <c r="T3851" s="1304"/>
    </row>
    <row r="3852" spans="1:20">
      <c r="A3852" s="1303"/>
      <c r="B3852" s="1322" t="s">
        <v>9733</v>
      </c>
      <c r="C3852" s="1323" t="s">
        <v>9673</v>
      </c>
      <c r="D3852" s="1324">
        <f t="shared" si="390"/>
        <v>36265</v>
      </c>
      <c r="E3852" s="1323">
        <f t="shared" si="386"/>
        <v>6.0789999999999997</v>
      </c>
      <c r="F3852" s="1323">
        <f t="shared" si="391"/>
        <v>4.6890359090059537</v>
      </c>
      <c r="G3852" s="1323">
        <f t="shared" si="387"/>
        <v>1999</v>
      </c>
      <c r="H3852" s="1323">
        <f t="shared" si="388"/>
        <v>4</v>
      </c>
      <c r="I3852" s="1323">
        <f t="shared" si="389"/>
        <v>15</v>
      </c>
      <c r="J3852" s="1323"/>
      <c r="K3852" s="1323"/>
      <c r="L3852" s="1323"/>
      <c r="M3852" s="1323"/>
      <c r="N3852" s="1323"/>
      <c r="O3852" s="1323"/>
      <c r="P3852" s="1323"/>
      <c r="Q3852" s="1323"/>
      <c r="R3852" s="1304"/>
      <c r="S3852" s="1304"/>
      <c r="T3852" s="1304"/>
    </row>
    <row r="3853" spans="1:20">
      <c r="A3853" s="1303"/>
      <c r="B3853" s="1322" t="s">
        <v>9734</v>
      </c>
      <c r="C3853" s="1323" t="s">
        <v>9716</v>
      </c>
      <c r="D3853" s="1324">
        <f t="shared" si="390"/>
        <v>36264</v>
      </c>
      <c r="E3853" s="1323">
        <f t="shared" si="386"/>
        <v>6.0772000000000004</v>
      </c>
      <c r="F3853" s="1323">
        <f t="shared" si="391"/>
        <v>4.6881368142744488</v>
      </c>
      <c r="G3853" s="1323">
        <f t="shared" si="387"/>
        <v>1999</v>
      </c>
      <c r="H3853" s="1323">
        <f t="shared" si="388"/>
        <v>4</v>
      </c>
      <c r="I3853" s="1323">
        <f t="shared" si="389"/>
        <v>14</v>
      </c>
      <c r="J3853" s="1323"/>
      <c r="K3853" s="1323"/>
      <c r="L3853" s="1323"/>
      <c r="M3853" s="1323"/>
      <c r="N3853" s="1323"/>
      <c r="O3853" s="1323"/>
      <c r="P3853" s="1323"/>
      <c r="Q3853" s="1323"/>
      <c r="R3853" s="1304"/>
      <c r="S3853" s="1304"/>
      <c r="T3853" s="1304"/>
    </row>
    <row r="3854" spans="1:20">
      <c r="A3854" s="1303"/>
      <c r="B3854" s="1322" t="s">
        <v>9735</v>
      </c>
      <c r="C3854" s="1323" t="s">
        <v>6869</v>
      </c>
      <c r="D3854" s="1324">
        <f t="shared" si="390"/>
        <v>36263</v>
      </c>
      <c r="E3854" s="1323">
        <f t="shared" si="386"/>
        <v>6.1595000000000004</v>
      </c>
      <c r="F3854" s="1323">
        <f t="shared" si="391"/>
        <v>4.6872378919390085</v>
      </c>
      <c r="G3854" s="1323">
        <f t="shared" si="387"/>
        <v>1999</v>
      </c>
      <c r="H3854" s="1323">
        <f t="shared" si="388"/>
        <v>4</v>
      </c>
      <c r="I3854" s="1323">
        <f t="shared" si="389"/>
        <v>13</v>
      </c>
      <c r="J3854" s="1323"/>
      <c r="K3854" s="1323"/>
      <c r="L3854" s="1323"/>
      <c r="M3854" s="1323"/>
      <c r="N3854" s="1323"/>
      <c r="O3854" s="1323"/>
      <c r="P3854" s="1323"/>
      <c r="Q3854" s="1323"/>
      <c r="R3854" s="1304"/>
      <c r="S3854" s="1304"/>
      <c r="T3854" s="1304"/>
    </row>
    <row r="3855" spans="1:20">
      <c r="A3855" s="1303"/>
      <c r="B3855" s="1322" t="s">
        <v>9736</v>
      </c>
      <c r="C3855" s="1323" t="s">
        <v>9611</v>
      </c>
      <c r="D3855" s="1324">
        <f t="shared" si="390"/>
        <v>36262</v>
      </c>
      <c r="E3855" s="1323">
        <f t="shared" si="386"/>
        <v>6.1632999999999996</v>
      </c>
      <c r="F3855" s="1323">
        <f t="shared" si="391"/>
        <v>4.6863391419665765</v>
      </c>
      <c r="G3855" s="1323">
        <f t="shared" si="387"/>
        <v>1999</v>
      </c>
      <c r="H3855" s="1323">
        <f t="shared" si="388"/>
        <v>4</v>
      </c>
      <c r="I3855" s="1323">
        <f t="shared" si="389"/>
        <v>12</v>
      </c>
      <c r="J3855" s="1323"/>
      <c r="K3855" s="1323"/>
      <c r="L3855" s="1323"/>
      <c r="M3855" s="1323"/>
      <c r="N3855" s="1323"/>
      <c r="O3855" s="1323"/>
      <c r="P3855" s="1323"/>
      <c r="Q3855" s="1323"/>
      <c r="R3855" s="1304"/>
      <c r="S3855" s="1304"/>
      <c r="T3855" s="1304"/>
    </row>
    <row r="3856" spans="1:20">
      <c r="A3856" s="1303"/>
      <c r="B3856" s="1322" t="s">
        <v>9737</v>
      </c>
      <c r="C3856" s="1323" t="s">
        <v>9515</v>
      </c>
      <c r="D3856" s="1324">
        <f t="shared" si="390"/>
        <v>36259</v>
      </c>
      <c r="E3856" s="1323">
        <f t="shared" si="386"/>
        <v>6.2054</v>
      </c>
      <c r="F3856" s="1323">
        <f t="shared" si="391"/>
        <v>4.6854405643241028</v>
      </c>
      <c r="G3856" s="1323">
        <f t="shared" si="387"/>
        <v>1999</v>
      </c>
      <c r="H3856" s="1323">
        <f t="shared" si="388"/>
        <v>4</v>
      </c>
      <c r="I3856" s="1323">
        <f t="shared" si="389"/>
        <v>9</v>
      </c>
      <c r="J3856" s="1323"/>
      <c r="K3856" s="1323"/>
      <c r="L3856" s="1323"/>
      <c r="M3856" s="1323"/>
      <c r="N3856" s="1323"/>
      <c r="O3856" s="1323"/>
      <c r="P3856" s="1323"/>
      <c r="Q3856" s="1323"/>
      <c r="R3856" s="1304"/>
      <c r="S3856" s="1304"/>
      <c r="T3856" s="1304"/>
    </row>
    <row r="3857" spans="1:20">
      <c r="A3857" s="1303"/>
      <c r="B3857" s="1322" t="s">
        <v>9738</v>
      </c>
      <c r="C3857" s="1323" t="s">
        <v>9739</v>
      </c>
      <c r="D3857" s="1324">
        <f t="shared" si="390"/>
        <v>36258</v>
      </c>
      <c r="E3857" s="1323">
        <f t="shared" si="386"/>
        <v>6.1996000000000002</v>
      </c>
      <c r="F3857" s="1323">
        <f t="shared" si="391"/>
        <v>4.6845421589785454</v>
      </c>
      <c r="G3857" s="1323">
        <f t="shared" si="387"/>
        <v>1999</v>
      </c>
      <c r="H3857" s="1323">
        <f t="shared" si="388"/>
        <v>4</v>
      </c>
      <c r="I3857" s="1323">
        <f t="shared" si="389"/>
        <v>8</v>
      </c>
      <c r="J3857" s="1323"/>
      <c r="K3857" s="1323"/>
      <c r="L3857" s="1323"/>
      <c r="M3857" s="1323"/>
      <c r="N3857" s="1323"/>
      <c r="O3857" s="1323"/>
      <c r="P3857" s="1323"/>
      <c r="Q3857" s="1323"/>
      <c r="R3857" s="1304"/>
      <c r="S3857" s="1304"/>
      <c r="T3857" s="1304"/>
    </row>
    <row r="3858" spans="1:20">
      <c r="A3858" s="1303"/>
      <c r="B3858" s="1322" t="s">
        <v>9740</v>
      </c>
      <c r="C3858" s="1323" t="s">
        <v>9741</v>
      </c>
      <c r="D3858" s="1324">
        <f t="shared" si="390"/>
        <v>36257</v>
      </c>
      <c r="E3858" s="1323">
        <f t="shared" si="386"/>
        <v>6.1824000000000003</v>
      </c>
      <c r="F3858" s="1323">
        <f t="shared" si="391"/>
        <v>4.6836439258968667</v>
      </c>
      <c r="G3858" s="1323">
        <f t="shared" si="387"/>
        <v>1999</v>
      </c>
      <c r="H3858" s="1323">
        <f t="shared" si="388"/>
        <v>4</v>
      </c>
      <c r="I3858" s="1323">
        <f t="shared" si="389"/>
        <v>7</v>
      </c>
      <c r="J3858" s="1323"/>
      <c r="K3858" s="1323"/>
      <c r="L3858" s="1323"/>
      <c r="M3858" s="1323"/>
      <c r="N3858" s="1323"/>
      <c r="O3858" s="1323"/>
      <c r="P3858" s="1323"/>
      <c r="Q3858" s="1323"/>
      <c r="R3858" s="1304"/>
      <c r="S3858" s="1304"/>
      <c r="T3858" s="1304"/>
    </row>
    <row r="3859" spans="1:20">
      <c r="A3859" s="1303"/>
      <c r="B3859" s="1322" t="s">
        <v>9742</v>
      </c>
      <c r="C3859" s="1323" t="s">
        <v>9743</v>
      </c>
      <c r="D3859" s="1324">
        <f t="shared" si="390"/>
        <v>36256</v>
      </c>
      <c r="E3859" s="1323">
        <f t="shared" si="386"/>
        <v>6.1996000000000002</v>
      </c>
      <c r="F3859" s="1323">
        <f t="shared" si="391"/>
        <v>4.6827458650460354</v>
      </c>
      <c r="G3859" s="1323">
        <f t="shared" si="387"/>
        <v>1999</v>
      </c>
      <c r="H3859" s="1323">
        <f t="shared" si="388"/>
        <v>4</v>
      </c>
      <c r="I3859" s="1323">
        <f t="shared" si="389"/>
        <v>6</v>
      </c>
      <c r="J3859" s="1323"/>
      <c r="K3859" s="1323"/>
      <c r="L3859" s="1323"/>
      <c r="M3859" s="1323"/>
      <c r="N3859" s="1323"/>
      <c r="O3859" s="1323"/>
      <c r="P3859" s="1323"/>
      <c r="Q3859" s="1323"/>
      <c r="R3859" s="1304"/>
      <c r="S3859" s="1304"/>
      <c r="T3859" s="1304"/>
    </row>
    <row r="3860" spans="1:20">
      <c r="A3860" s="1303"/>
      <c r="B3860" s="1322" t="s">
        <v>9744</v>
      </c>
      <c r="C3860" s="1323" t="s">
        <v>9741</v>
      </c>
      <c r="D3860" s="1324">
        <f t="shared" si="390"/>
        <v>36251</v>
      </c>
      <c r="E3860" s="1323">
        <f t="shared" si="386"/>
        <v>6.1767000000000003</v>
      </c>
      <c r="F3860" s="1323">
        <f t="shared" si="391"/>
        <v>4.6818479763930281</v>
      </c>
      <c r="G3860" s="1323">
        <f t="shared" si="387"/>
        <v>1999</v>
      </c>
      <c r="H3860" s="1323">
        <f t="shared" si="388"/>
        <v>4</v>
      </c>
      <c r="I3860" s="1323">
        <f t="shared" si="389"/>
        <v>1</v>
      </c>
      <c r="J3860" s="1323"/>
      <c r="K3860" s="1323"/>
      <c r="L3860" s="1323"/>
      <c r="M3860" s="1323"/>
      <c r="N3860" s="1323"/>
      <c r="O3860" s="1323"/>
      <c r="P3860" s="1323"/>
      <c r="Q3860" s="1323"/>
      <c r="R3860" s="1304"/>
      <c r="S3860" s="1304"/>
      <c r="T3860" s="1304"/>
    </row>
    <row r="3861" spans="1:20">
      <c r="A3861" s="1303"/>
      <c r="B3861" s="1322" t="s">
        <v>9745</v>
      </c>
      <c r="C3861" s="1323" t="s">
        <v>9746</v>
      </c>
      <c r="D3861" s="1324">
        <f t="shared" si="390"/>
        <v>36250</v>
      </c>
      <c r="E3861" s="1323">
        <f t="shared" si="386"/>
        <v>6.1977000000000002</v>
      </c>
      <c r="F3861" s="1323">
        <f t="shared" si="391"/>
        <v>4.6809502599048267</v>
      </c>
      <c r="G3861" s="1323">
        <f t="shared" si="387"/>
        <v>1999</v>
      </c>
      <c r="H3861" s="1323">
        <f t="shared" si="388"/>
        <v>3</v>
      </c>
      <c r="I3861" s="1323">
        <f t="shared" si="389"/>
        <v>31</v>
      </c>
      <c r="J3861" s="1323"/>
      <c r="K3861" s="1323"/>
      <c r="L3861" s="1323"/>
      <c r="M3861" s="1323"/>
      <c r="N3861" s="1323"/>
      <c r="O3861" s="1323"/>
      <c r="P3861" s="1323"/>
      <c r="Q3861" s="1323"/>
      <c r="R3861" s="1304"/>
      <c r="S3861" s="1304"/>
      <c r="T3861" s="1304"/>
    </row>
    <row r="3862" spans="1:20">
      <c r="A3862" s="1303"/>
      <c r="B3862" s="1322" t="s">
        <v>9747</v>
      </c>
      <c r="C3862" s="1323" t="s">
        <v>9748</v>
      </c>
      <c r="D3862" s="1324">
        <f t="shared" si="390"/>
        <v>36249</v>
      </c>
      <c r="E3862" s="1323">
        <f t="shared" ref="E3862:E3925" si="392">VALUE(C3863)</f>
        <v>6.2286000000000001</v>
      </c>
      <c r="F3862" s="1323">
        <f t="shared" si="391"/>
        <v>4.6800527155484204</v>
      </c>
      <c r="G3862" s="1323">
        <f t="shared" ref="G3862:G3925" si="393">YEAR(B3863)</f>
        <v>1999</v>
      </c>
      <c r="H3862" s="1323">
        <f t="shared" ref="H3862:H3925" si="394">MONTH(B3863)</f>
        <v>3</v>
      </c>
      <c r="I3862" s="1323">
        <f t="shared" ref="I3862:I3925" si="395">DAY(B3863)</f>
        <v>30</v>
      </c>
      <c r="J3862" s="1323"/>
      <c r="K3862" s="1323"/>
      <c r="L3862" s="1323"/>
      <c r="M3862" s="1323"/>
      <c r="N3862" s="1323"/>
      <c r="O3862" s="1323"/>
      <c r="P3862" s="1323"/>
      <c r="Q3862" s="1323"/>
      <c r="R3862" s="1304"/>
      <c r="S3862" s="1304"/>
      <c r="T3862" s="1304"/>
    </row>
    <row r="3863" spans="1:20">
      <c r="A3863" s="1303"/>
      <c r="B3863" s="1322" t="s">
        <v>9749</v>
      </c>
      <c r="C3863" s="1323" t="s">
        <v>9750</v>
      </c>
      <c r="D3863" s="1324">
        <f t="shared" si="390"/>
        <v>36248</v>
      </c>
      <c r="E3863" s="1323">
        <f t="shared" si="392"/>
        <v>6.2324999999999999</v>
      </c>
      <c r="F3863" s="1323">
        <f t="shared" si="391"/>
        <v>4.6791553432908026</v>
      </c>
      <c r="G3863" s="1323">
        <f t="shared" si="393"/>
        <v>1999</v>
      </c>
      <c r="H3863" s="1323">
        <f t="shared" si="394"/>
        <v>3</v>
      </c>
      <c r="I3863" s="1323">
        <f t="shared" si="395"/>
        <v>29</v>
      </c>
      <c r="J3863" s="1323"/>
      <c r="K3863" s="1323"/>
      <c r="L3863" s="1323"/>
      <c r="M3863" s="1323"/>
      <c r="N3863" s="1323"/>
      <c r="O3863" s="1323"/>
      <c r="P3863" s="1323"/>
      <c r="Q3863" s="1323"/>
      <c r="R3863" s="1304"/>
      <c r="S3863" s="1304"/>
      <c r="T3863" s="1304"/>
    </row>
    <row r="3864" spans="1:20">
      <c r="A3864" s="1303"/>
      <c r="B3864" s="1322" t="s">
        <v>9751</v>
      </c>
      <c r="C3864" s="1323" t="s">
        <v>7228</v>
      </c>
      <c r="D3864" s="1324">
        <f t="shared" si="390"/>
        <v>36245</v>
      </c>
      <c r="E3864" s="1323">
        <f t="shared" si="392"/>
        <v>6.2054</v>
      </c>
      <c r="F3864" s="1323">
        <f t="shared" si="391"/>
        <v>4.6782581430989749</v>
      </c>
      <c r="G3864" s="1323">
        <f t="shared" si="393"/>
        <v>1999</v>
      </c>
      <c r="H3864" s="1323">
        <f t="shared" si="394"/>
        <v>3</v>
      </c>
      <c r="I3864" s="1323">
        <f t="shared" si="395"/>
        <v>26</v>
      </c>
      <c r="J3864" s="1323"/>
      <c r="K3864" s="1323"/>
      <c r="L3864" s="1323"/>
      <c r="M3864" s="1323"/>
      <c r="N3864" s="1323"/>
      <c r="O3864" s="1323"/>
      <c r="P3864" s="1323"/>
      <c r="Q3864" s="1323"/>
      <c r="R3864" s="1304"/>
      <c r="S3864" s="1304"/>
      <c r="T3864" s="1304"/>
    </row>
    <row r="3865" spans="1:20">
      <c r="A3865" s="1303"/>
      <c r="B3865" s="1322" t="s">
        <v>9752</v>
      </c>
      <c r="C3865" s="1323" t="s">
        <v>9739</v>
      </c>
      <c r="D3865" s="1324">
        <f t="shared" si="390"/>
        <v>36244</v>
      </c>
      <c r="E3865" s="1323">
        <f t="shared" si="392"/>
        <v>6.2247000000000003</v>
      </c>
      <c r="F3865" s="1323">
        <f t="shared" si="391"/>
        <v>4.677361114939945</v>
      </c>
      <c r="G3865" s="1323">
        <f t="shared" si="393"/>
        <v>1999</v>
      </c>
      <c r="H3865" s="1323">
        <f t="shared" si="394"/>
        <v>3</v>
      </c>
      <c r="I3865" s="1323">
        <f t="shared" si="395"/>
        <v>25</v>
      </c>
      <c r="J3865" s="1323"/>
      <c r="K3865" s="1323"/>
      <c r="L3865" s="1323"/>
      <c r="M3865" s="1323"/>
      <c r="N3865" s="1323"/>
      <c r="O3865" s="1323"/>
      <c r="P3865" s="1323"/>
      <c r="Q3865" s="1323"/>
      <c r="R3865" s="1304"/>
      <c r="S3865" s="1304"/>
      <c r="T3865" s="1304"/>
    </row>
    <row r="3866" spans="1:20">
      <c r="A3866" s="1303"/>
      <c r="B3866" s="1322" t="s">
        <v>9753</v>
      </c>
      <c r="C3866" s="1323" t="s">
        <v>9698</v>
      </c>
      <c r="D3866" s="1324">
        <f t="shared" si="390"/>
        <v>36243</v>
      </c>
      <c r="E3866" s="1323">
        <f t="shared" si="392"/>
        <v>6.2343999999999999</v>
      </c>
      <c r="F3866" s="1323">
        <f t="shared" si="391"/>
        <v>4.6764642587807268</v>
      </c>
      <c r="G3866" s="1323">
        <f t="shared" si="393"/>
        <v>1999</v>
      </c>
      <c r="H3866" s="1323">
        <f t="shared" si="394"/>
        <v>3</v>
      </c>
      <c r="I3866" s="1323">
        <f t="shared" si="395"/>
        <v>24</v>
      </c>
      <c r="J3866" s="1323"/>
      <c r="K3866" s="1323"/>
      <c r="L3866" s="1323"/>
      <c r="M3866" s="1323"/>
      <c r="N3866" s="1323"/>
      <c r="O3866" s="1323"/>
      <c r="P3866" s="1323"/>
      <c r="Q3866" s="1323"/>
      <c r="R3866" s="1304"/>
      <c r="S3866" s="1304"/>
      <c r="T3866" s="1304"/>
    </row>
    <row r="3867" spans="1:20">
      <c r="A3867" s="1303"/>
      <c r="B3867" s="1322" t="s">
        <v>9754</v>
      </c>
      <c r="C3867" s="1323" t="s">
        <v>9696</v>
      </c>
      <c r="D3867" s="1324">
        <f t="shared" si="390"/>
        <v>36242</v>
      </c>
      <c r="E3867" s="1323">
        <f t="shared" si="392"/>
        <v>6.2016</v>
      </c>
      <c r="F3867" s="1323">
        <f t="shared" si="391"/>
        <v>4.6755675745883396</v>
      </c>
      <c r="G3867" s="1323">
        <f t="shared" si="393"/>
        <v>1999</v>
      </c>
      <c r="H3867" s="1323">
        <f t="shared" si="394"/>
        <v>3</v>
      </c>
      <c r="I3867" s="1323">
        <f t="shared" si="395"/>
        <v>23</v>
      </c>
      <c r="J3867" s="1323"/>
      <c r="K3867" s="1323"/>
      <c r="L3867" s="1323"/>
      <c r="M3867" s="1323"/>
      <c r="N3867" s="1323"/>
      <c r="O3867" s="1323"/>
      <c r="P3867" s="1323"/>
      <c r="Q3867" s="1323"/>
      <c r="R3867" s="1304"/>
      <c r="S3867" s="1304"/>
      <c r="T3867" s="1304"/>
    </row>
    <row r="3868" spans="1:20">
      <c r="A3868" s="1303"/>
      <c r="B3868" s="1322" t="s">
        <v>9755</v>
      </c>
      <c r="C3868" s="1323" t="s">
        <v>9756</v>
      </c>
      <c r="D3868" s="1324">
        <f t="shared" si="390"/>
        <v>36238</v>
      </c>
      <c r="E3868" s="1323">
        <f t="shared" si="392"/>
        <v>6.2286000000000001</v>
      </c>
      <c r="F3868" s="1323">
        <f t="shared" si="391"/>
        <v>4.6746710623298107</v>
      </c>
      <c r="G3868" s="1323">
        <f t="shared" si="393"/>
        <v>1999</v>
      </c>
      <c r="H3868" s="1323">
        <f t="shared" si="394"/>
        <v>3</v>
      </c>
      <c r="I3868" s="1323">
        <f t="shared" si="395"/>
        <v>19</v>
      </c>
      <c r="J3868" s="1323"/>
      <c r="K3868" s="1323"/>
      <c r="L3868" s="1323"/>
      <c r="M3868" s="1323"/>
      <c r="N3868" s="1323"/>
      <c r="O3868" s="1323"/>
      <c r="P3868" s="1323"/>
      <c r="Q3868" s="1323"/>
      <c r="R3868" s="1304"/>
      <c r="S3868" s="1304"/>
      <c r="T3868" s="1304"/>
    </row>
    <row r="3869" spans="1:20">
      <c r="A3869" s="1303"/>
      <c r="B3869" s="1322" t="s">
        <v>9757</v>
      </c>
      <c r="C3869" s="1323" t="s">
        <v>9750</v>
      </c>
      <c r="D3869" s="1324">
        <f t="shared" si="390"/>
        <v>36237</v>
      </c>
      <c r="E3869" s="1323">
        <f t="shared" si="392"/>
        <v>6.2441000000000004</v>
      </c>
      <c r="F3869" s="1323">
        <f t="shared" si="391"/>
        <v>4.6737747219721717</v>
      </c>
      <c r="G3869" s="1323">
        <f t="shared" si="393"/>
        <v>1999</v>
      </c>
      <c r="H3869" s="1323">
        <f t="shared" si="394"/>
        <v>3</v>
      </c>
      <c r="I3869" s="1323">
        <f t="shared" si="395"/>
        <v>18</v>
      </c>
      <c r="J3869" s="1323"/>
      <c r="K3869" s="1323"/>
      <c r="L3869" s="1323"/>
      <c r="M3869" s="1323"/>
      <c r="N3869" s="1323"/>
      <c r="O3869" s="1323"/>
      <c r="P3869" s="1323"/>
      <c r="Q3869" s="1323"/>
      <c r="R3869" s="1304"/>
      <c r="S3869" s="1304"/>
      <c r="T3869" s="1304"/>
    </row>
    <row r="3870" spans="1:20">
      <c r="A3870" s="1303"/>
      <c r="B3870" s="1322" t="s">
        <v>9758</v>
      </c>
      <c r="C3870" s="1323" t="s">
        <v>9759</v>
      </c>
      <c r="D3870" s="1324">
        <f t="shared" si="390"/>
        <v>36236</v>
      </c>
      <c r="E3870" s="1323">
        <f t="shared" si="392"/>
        <v>6.2637</v>
      </c>
      <c r="F3870" s="1323">
        <f t="shared" si="391"/>
        <v>4.6728785534824624</v>
      </c>
      <c r="G3870" s="1323">
        <f t="shared" si="393"/>
        <v>1999</v>
      </c>
      <c r="H3870" s="1323">
        <f t="shared" si="394"/>
        <v>3</v>
      </c>
      <c r="I3870" s="1323">
        <f t="shared" si="395"/>
        <v>17</v>
      </c>
      <c r="J3870" s="1323"/>
      <c r="K3870" s="1323"/>
      <c r="L3870" s="1323"/>
      <c r="M3870" s="1323"/>
      <c r="N3870" s="1323"/>
      <c r="O3870" s="1323"/>
      <c r="P3870" s="1323"/>
      <c r="Q3870" s="1323"/>
      <c r="R3870" s="1304"/>
      <c r="S3870" s="1304"/>
      <c r="T3870" s="1304"/>
    </row>
    <row r="3871" spans="1:20">
      <c r="A3871" s="1303"/>
      <c r="B3871" s="1322" t="s">
        <v>9760</v>
      </c>
      <c r="C3871" s="1323" t="s">
        <v>9761</v>
      </c>
      <c r="D3871" s="1324">
        <f t="shared" si="390"/>
        <v>36235</v>
      </c>
      <c r="E3871" s="1323">
        <f t="shared" si="392"/>
        <v>6.2207999999999997</v>
      </c>
      <c r="F3871" s="1323">
        <f t="shared" si="391"/>
        <v>4.6719825568277278</v>
      </c>
      <c r="G3871" s="1323">
        <f t="shared" si="393"/>
        <v>1999</v>
      </c>
      <c r="H3871" s="1323">
        <f t="shared" si="394"/>
        <v>3</v>
      </c>
      <c r="I3871" s="1323">
        <f t="shared" si="395"/>
        <v>16</v>
      </c>
      <c r="J3871" s="1323"/>
      <c r="K3871" s="1323"/>
      <c r="L3871" s="1323"/>
      <c r="M3871" s="1323"/>
      <c r="N3871" s="1323"/>
      <c r="O3871" s="1323"/>
      <c r="P3871" s="1323"/>
      <c r="Q3871" s="1323"/>
      <c r="R3871" s="1304"/>
      <c r="S3871" s="1304"/>
      <c r="T3871" s="1304"/>
    </row>
    <row r="3872" spans="1:20">
      <c r="A3872" s="1303"/>
      <c r="B3872" s="1322" t="s">
        <v>9762</v>
      </c>
      <c r="C3872" s="1323" t="s">
        <v>9763</v>
      </c>
      <c r="D3872" s="1324">
        <f t="shared" si="390"/>
        <v>36234</v>
      </c>
      <c r="E3872" s="1323">
        <f t="shared" si="392"/>
        <v>6.2169999999999996</v>
      </c>
      <c r="F3872" s="1323">
        <f t="shared" si="391"/>
        <v>4.67108673197502</v>
      </c>
      <c r="G3872" s="1323">
        <f t="shared" si="393"/>
        <v>1999</v>
      </c>
      <c r="H3872" s="1323">
        <f t="shared" si="394"/>
        <v>3</v>
      </c>
      <c r="I3872" s="1323">
        <f t="shared" si="395"/>
        <v>15</v>
      </c>
      <c r="J3872" s="1323"/>
      <c r="K3872" s="1323"/>
      <c r="L3872" s="1323"/>
      <c r="M3872" s="1323"/>
      <c r="N3872" s="1323"/>
      <c r="O3872" s="1323"/>
      <c r="P3872" s="1323"/>
      <c r="Q3872" s="1323"/>
      <c r="R3872" s="1304"/>
      <c r="S3872" s="1304"/>
      <c r="T3872" s="1304"/>
    </row>
    <row r="3873" spans="1:20">
      <c r="A3873" s="1303"/>
      <c r="B3873" s="1322" t="s">
        <v>9764</v>
      </c>
      <c r="C3873" s="1323" t="s">
        <v>9689</v>
      </c>
      <c r="D3873" s="1324">
        <f t="shared" si="390"/>
        <v>36231</v>
      </c>
      <c r="E3873" s="1323">
        <f t="shared" si="392"/>
        <v>6.1557000000000004</v>
      </c>
      <c r="F3873" s="1323">
        <f t="shared" si="391"/>
        <v>4.6701910788913965</v>
      </c>
      <c r="G3873" s="1323">
        <f t="shared" si="393"/>
        <v>1999</v>
      </c>
      <c r="H3873" s="1323">
        <f t="shared" si="394"/>
        <v>3</v>
      </c>
      <c r="I3873" s="1323">
        <f t="shared" si="395"/>
        <v>12</v>
      </c>
      <c r="J3873" s="1323"/>
      <c r="K3873" s="1323"/>
      <c r="L3873" s="1323"/>
      <c r="M3873" s="1323"/>
      <c r="N3873" s="1323"/>
      <c r="O3873" s="1323"/>
      <c r="P3873" s="1323"/>
      <c r="Q3873" s="1323"/>
      <c r="R3873" s="1304"/>
      <c r="S3873" s="1304"/>
      <c r="T3873" s="1304"/>
    </row>
    <row r="3874" spans="1:20">
      <c r="A3874" s="1303"/>
      <c r="B3874" s="1322" t="s">
        <v>9765</v>
      </c>
      <c r="C3874" s="1323" t="s">
        <v>9507</v>
      </c>
      <c r="D3874" s="1324">
        <f t="shared" si="390"/>
        <v>36230</v>
      </c>
      <c r="E3874" s="1323">
        <f t="shared" si="392"/>
        <v>6.1463000000000001</v>
      </c>
      <c r="F3874" s="1323">
        <f t="shared" si="391"/>
        <v>4.6692955975439219</v>
      </c>
      <c r="G3874" s="1323">
        <f t="shared" si="393"/>
        <v>1999</v>
      </c>
      <c r="H3874" s="1323">
        <f t="shared" si="394"/>
        <v>3</v>
      </c>
      <c r="I3874" s="1323">
        <f t="shared" si="395"/>
        <v>11</v>
      </c>
      <c r="J3874" s="1323"/>
      <c r="K3874" s="1323"/>
      <c r="L3874" s="1323"/>
      <c r="M3874" s="1323"/>
      <c r="N3874" s="1323"/>
      <c r="O3874" s="1323"/>
      <c r="P3874" s="1323"/>
      <c r="Q3874" s="1323"/>
      <c r="R3874" s="1304"/>
      <c r="S3874" s="1304"/>
      <c r="T3874" s="1304"/>
    </row>
    <row r="3875" spans="1:20">
      <c r="A3875" s="1303"/>
      <c r="B3875" s="1322" t="s">
        <v>9766</v>
      </c>
      <c r="C3875" s="1323" t="s">
        <v>9442</v>
      </c>
      <c r="D3875" s="1324">
        <f t="shared" si="390"/>
        <v>36229</v>
      </c>
      <c r="E3875" s="1323">
        <f t="shared" si="392"/>
        <v>6.1632999999999996</v>
      </c>
      <c r="F3875" s="1323">
        <f t="shared" si="391"/>
        <v>4.6684002878996669</v>
      </c>
      <c r="G3875" s="1323">
        <f t="shared" si="393"/>
        <v>1999</v>
      </c>
      <c r="H3875" s="1323">
        <f t="shared" si="394"/>
        <v>3</v>
      </c>
      <c r="I3875" s="1323">
        <f t="shared" si="395"/>
        <v>10</v>
      </c>
      <c r="J3875" s="1323"/>
      <c r="K3875" s="1323"/>
      <c r="L3875" s="1323"/>
      <c r="M3875" s="1323"/>
      <c r="N3875" s="1323"/>
      <c r="O3875" s="1323"/>
      <c r="P3875" s="1323"/>
      <c r="Q3875" s="1323"/>
      <c r="R3875" s="1304"/>
      <c r="S3875" s="1304"/>
      <c r="T3875" s="1304"/>
    </row>
    <row r="3876" spans="1:20">
      <c r="A3876" s="1303"/>
      <c r="B3876" s="1322" t="s">
        <v>9767</v>
      </c>
      <c r="C3876" s="1323" t="s">
        <v>9515</v>
      </c>
      <c r="D3876" s="1324">
        <f t="shared" si="390"/>
        <v>36228</v>
      </c>
      <c r="E3876" s="1323">
        <f t="shared" si="392"/>
        <v>6.1632999999999996</v>
      </c>
      <c r="F3876" s="1323">
        <f t="shared" si="391"/>
        <v>4.6675051499257085</v>
      </c>
      <c r="G3876" s="1323">
        <f t="shared" si="393"/>
        <v>1999</v>
      </c>
      <c r="H3876" s="1323">
        <f t="shared" si="394"/>
        <v>3</v>
      </c>
      <c r="I3876" s="1323">
        <f t="shared" si="395"/>
        <v>9</v>
      </c>
      <c r="J3876" s="1323"/>
      <c r="K3876" s="1323"/>
      <c r="L3876" s="1323"/>
      <c r="M3876" s="1323"/>
      <c r="N3876" s="1323"/>
      <c r="O3876" s="1323"/>
      <c r="P3876" s="1323"/>
      <c r="Q3876" s="1323"/>
      <c r="R3876" s="1304"/>
      <c r="S3876" s="1304"/>
      <c r="T3876" s="1304"/>
    </row>
    <row r="3877" spans="1:20">
      <c r="A3877" s="1303"/>
      <c r="B3877" s="1322" t="s">
        <v>9768</v>
      </c>
      <c r="C3877" s="1323" t="s">
        <v>9515</v>
      </c>
      <c r="D3877" s="1324">
        <f t="shared" si="390"/>
        <v>36227</v>
      </c>
      <c r="E3877" s="1323">
        <f t="shared" si="392"/>
        <v>6.1939000000000002</v>
      </c>
      <c r="F3877" s="1323">
        <f t="shared" si="391"/>
        <v>4.66661018358913</v>
      </c>
      <c r="G3877" s="1323">
        <f t="shared" si="393"/>
        <v>1999</v>
      </c>
      <c r="H3877" s="1323">
        <f t="shared" si="394"/>
        <v>3</v>
      </c>
      <c r="I3877" s="1323">
        <f t="shared" si="395"/>
        <v>8</v>
      </c>
      <c r="J3877" s="1323"/>
      <c r="K3877" s="1323"/>
      <c r="L3877" s="1323"/>
      <c r="M3877" s="1323"/>
      <c r="N3877" s="1323"/>
      <c r="O3877" s="1323"/>
      <c r="P3877" s="1323"/>
      <c r="Q3877" s="1323"/>
      <c r="R3877" s="1304"/>
      <c r="S3877" s="1304"/>
      <c r="T3877" s="1304"/>
    </row>
    <row r="3878" spans="1:20">
      <c r="A3878" s="1303"/>
      <c r="B3878" s="1322" t="s">
        <v>9769</v>
      </c>
      <c r="C3878" s="1323" t="s">
        <v>9706</v>
      </c>
      <c r="D3878" s="1324">
        <f t="shared" si="390"/>
        <v>36224</v>
      </c>
      <c r="E3878" s="1323">
        <f t="shared" si="392"/>
        <v>6.1977000000000002</v>
      </c>
      <c r="F3878" s="1323">
        <f t="shared" si="391"/>
        <v>4.66571538885702</v>
      </c>
      <c r="G3878" s="1323">
        <f t="shared" si="393"/>
        <v>1999</v>
      </c>
      <c r="H3878" s="1323">
        <f t="shared" si="394"/>
        <v>3</v>
      </c>
      <c r="I3878" s="1323">
        <f t="shared" si="395"/>
        <v>5</v>
      </c>
      <c r="J3878" s="1323"/>
      <c r="K3878" s="1323"/>
      <c r="L3878" s="1323"/>
      <c r="M3878" s="1323"/>
      <c r="N3878" s="1323"/>
      <c r="O3878" s="1323"/>
      <c r="P3878" s="1323"/>
      <c r="Q3878" s="1323"/>
      <c r="R3878" s="1304"/>
      <c r="S3878" s="1304"/>
      <c r="T3878" s="1304"/>
    </row>
    <row r="3879" spans="1:20">
      <c r="A3879" s="1303"/>
      <c r="B3879" s="1322" t="s">
        <v>9770</v>
      </c>
      <c r="C3879" s="1323" t="s">
        <v>9748</v>
      </c>
      <c r="D3879" s="1324">
        <f t="shared" si="390"/>
        <v>36223</v>
      </c>
      <c r="E3879" s="1323">
        <f t="shared" si="392"/>
        <v>6.2401999999999997</v>
      </c>
      <c r="F3879" s="1323">
        <f t="shared" si="391"/>
        <v>4.6648207656964749</v>
      </c>
      <c r="G3879" s="1323">
        <f t="shared" si="393"/>
        <v>1999</v>
      </c>
      <c r="H3879" s="1323">
        <f t="shared" si="394"/>
        <v>3</v>
      </c>
      <c r="I3879" s="1323">
        <f t="shared" si="395"/>
        <v>4</v>
      </c>
      <c r="J3879" s="1323"/>
      <c r="K3879" s="1323"/>
      <c r="L3879" s="1323"/>
      <c r="M3879" s="1323"/>
      <c r="N3879" s="1323"/>
      <c r="O3879" s="1323"/>
      <c r="P3879" s="1323"/>
      <c r="Q3879" s="1323"/>
      <c r="R3879" s="1304"/>
      <c r="S3879" s="1304"/>
      <c r="T3879" s="1304"/>
    </row>
    <row r="3880" spans="1:20">
      <c r="A3880" s="1303"/>
      <c r="B3880" s="1322" t="s">
        <v>9771</v>
      </c>
      <c r="C3880" s="1323" t="s">
        <v>9692</v>
      </c>
      <c r="D3880" s="1324">
        <f t="shared" si="390"/>
        <v>36222</v>
      </c>
      <c r="E3880" s="1323">
        <f t="shared" si="392"/>
        <v>6.2441000000000004</v>
      </c>
      <c r="F3880" s="1323">
        <f t="shared" si="391"/>
        <v>4.6639263140745975</v>
      </c>
      <c r="G3880" s="1323">
        <f t="shared" si="393"/>
        <v>1999</v>
      </c>
      <c r="H3880" s="1323">
        <f t="shared" si="394"/>
        <v>3</v>
      </c>
      <c r="I3880" s="1323">
        <f t="shared" si="395"/>
        <v>3</v>
      </c>
      <c r="J3880" s="1323"/>
      <c r="K3880" s="1323"/>
      <c r="L3880" s="1323"/>
      <c r="M3880" s="1323"/>
      <c r="N3880" s="1323"/>
      <c r="O3880" s="1323"/>
      <c r="P3880" s="1323"/>
      <c r="Q3880" s="1323"/>
      <c r="R3880" s="1304"/>
      <c r="S3880" s="1304"/>
      <c r="T3880" s="1304"/>
    </row>
    <row r="3881" spans="1:20">
      <c r="A3881" s="1303"/>
      <c r="B3881" s="1322" t="s">
        <v>9772</v>
      </c>
      <c r="C3881" s="1323" t="s">
        <v>9759</v>
      </c>
      <c r="D3881" s="1324">
        <f t="shared" si="390"/>
        <v>36221</v>
      </c>
      <c r="E3881" s="1323">
        <f t="shared" si="392"/>
        <v>6.2382999999999997</v>
      </c>
      <c r="F3881" s="1323">
        <f t="shared" si="391"/>
        <v>4.6630320339584959</v>
      </c>
      <c r="G3881" s="1323">
        <f t="shared" si="393"/>
        <v>1999</v>
      </c>
      <c r="H3881" s="1323">
        <f t="shared" si="394"/>
        <v>3</v>
      </c>
      <c r="I3881" s="1323">
        <f t="shared" si="395"/>
        <v>2</v>
      </c>
      <c r="J3881" s="1323"/>
      <c r="K3881" s="1323"/>
      <c r="L3881" s="1323"/>
      <c r="M3881" s="1323"/>
      <c r="N3881" s="1323"/>
      <c r="O3881" s="1323"/>
      <c r="P3881" s="1323"/>
      <c r="Q3881" s="1323"/>
      <c r="R3881" s="1304"/>
      <c r="S3881" s="1304"/>
      <c r="T3881" s="1304"/>
    </row>
    <row r="3882" spans="1:20">
      <c r="A3882" s="1303"/>
      <c r="B3882" s="1322" t="s">
        <v>9773</v>
      </c>
      <c r="C3882" s="1323" t="s">
        <v>9774</v>
      </c>
      <c r="D3882" s="1324">
        <f t="shared" si="390"/>
        <v>36220</v>
      </c>
      <c r="E3882" s="1323">
        <f t="shared" si="392"/>
        <v>6.1595000000000004</v>
      </c>
      <c r="F3882" s="1323">
        <f t="shared" si="391"/>
        <v>4.6621379253152844</v>
      </c>
      <c r="G3882" s="1323">
        <f t="shared" si="393"/>
        <v>1999</v>
      </c>
      <c r="H3882" s="1323">
        <f t="shared" si="394"/>
        <v>3</v>
      </c>
      <c r="I3882" s="1323">
        <f t="shared" si="395"/>
        <v>1</v>
      </c>
      <c r="J3882" s="1323"/>
      <c r="K3882" s="1323"/>
      <c r="L3882" s="1323"/>
      <c r="M3882" s="1323"/>
      <c r="N3882" s="1323"/>
      <c r="O3882" s="1323"/>
      <c r="P3882" s="1323"/>
      <c r="Q3882" s="1323"/>
      <c r="R3882" s="1304"/>
      <c r="S3882" s="1304"/>
      <c r="T3882" s="1304"/>
    </row>
    <row r="3883" spans="1:20">
      <c r="A3883" s="1303"/>
      <c r="B3883" s="1322" t="s">
        <v>9775</v>
      </c>
      <c r="C3883" s="1323" t="s">
        <v>9611</v>
      </c>
      <c r="D3883" s="1324">
        <f t="shared" si="390"/>
        <v>36217</v>
      </c>
      <c r="E3883" s="1323">
        <f t="shared" si="392"/>
        <v>6.1805000000000003</v>
      </c>
      <c r="F3883" s="1323">
        <f t="shared" si="391"/>
        <v>4.6612439881120844</v>
      </c>
      <c r="G3883" s="1323">
        <f t="shared" si="393"/>
        <v>1999</v>
      </c>
      <c r="H3883" s="1323">
        <f t="shared" si="394"/>
        <v>2</v>
      </c>
      <c r="I3883" s="1323">
        <f t="shared" si="395"/>
        <v>26</v>
      </c>
      <c r="J3883" s="1323"/>
      <c r="K3883" s="1323"/>
      <c r="L3883" s="1323"/>
      <c r="M3883" s="1323"/>
      <c r="N3883" s="1323"/>
      <c r="O3883" s="1323"/>
      <c r="P3883" s="1323"/>
      <c r="Q3883" s="1323"/>
      <c r="R3883" s="1304"/>
      <c r="S3883" s="1304"/>
      <c r="T3883" s="1304"/>
    </row>
    <row r="3884" spans="1:20">
      <c r="A3884" s="1303"/>
      <c r="B3884" s="1322" t="s">
        <v>9776</v>
      </c>
      <c r="C3884" s="1323" t="s">
        <v>9613</v>
      </c>
      <c r="D3884" s="1324">
        <f t="shared" si="390"/>
        <v>36216</v>
      </c>
      <c r="E3884" s="1323">
        <f t="shared" si="392"/>
        <v>6.1996000000000002</v>
      </c>
      <c r="F3884" s="1323">
        <f t="shared" si="391"/>
        <v>4.6603502223160236</v>
      </c>
      <c r="G3884" s="1323">
        <f t="shared" si="393"/>
        <v>1999</v>
      </c>
      <c r="H3884" s="1323">
        <f t="shared" si="394"/>
        <v>2</v>
      </c>
      <c r="I3884" s="1323">
        <f t="shared" si="395"/>
        <v>25</v>
      </c>
      <c r="J3884" s="1323"/>
      <c r="K3884" s="1323"/>
      <c r="L3884" s="1323"/>
      <c r="M3884" s="1323"/>
      <c r="N3884" s="1323"/>
      <c r="O3884" s="1323"/>
      <c r="P3884" s="1323"/>
      <c r="Q3884" s="1323"/>
      <c r="R3884" s="1304"/>
      <c r="S3884" s="1304"/>
      <c r="T3884" s="1304"/>
    </row>
    <row r="3885" spans="1:20">
      <c r="A3885" s="1303"/>
      <c r="B3885" s="1322" t="s">
        <v>9777</v>
      </c>
      <c r="C3885" s="1323" t="s">
        <v>9741</v>
      </c>
      <c r="D3885" s="1324">
        <f t="shared" si="390"/>
        <v>36215</v>
      </c>
      <c r="E3885" s="1323">
        <f t="shared" si="392"/>
        <v>6.2324999999999999</v>
      </c>
      <c r="F3885" s="1323">
        <f t="shared" si="391"/>
        <v>4.6594566278942358</v>
      </c>
      <c r="G3885" s="1323">
        <f t="shared" si="393"/>
        <v>1999</v>
      </c>
      <c r="H3885" s="1323">
        <f t="shared" si="394"/>
        <v>2</v>
      </c>
      <c r="I3885" s="1323">
        <f t="shared" si="395"/>
        <v>24</v>
      </c>
      <c r="J3885" s="1323"/>
      <c r="K3885" s="1323"/>
      <c r="L3885" s="1323"/>
      <c r="M3885" s="1323"/>
      <c r="N3885" s="1323"/>
      <c r="O3885" s="1323"/>
      <c r="P3885" s="1323"/>
      <c r="Q3885" s="1323"/>
      <c r="R3885" s="1304"/>
      <c r="S3885" s="1304"/>
      <c r="T3885" s="1304"/>
    </row>
    <row r="3886" spans="1:20">
      <c r="A3886" s="1303"/>
      <c r="B3886" s="1322" t="s">
        <v>9778</v>
      </c>
      <c r="C3886" s="1323" t="s">
        <v>7228</v>
      </c>
      <c r="D3886" s="1324">
        <f t="shared" si="390"/>
        <v>36214</v>
      </c>
      <c r="E3886" s="1323">
        <f t="shared" si="392"/>
        <v>6.2130999999999998</v>
      </c>
      <c r="F3886" s="1323">
        <f t="shared" si="391"/>
        <v>4.6585632048138601</v>
      </c>
      <c r="G3886" s="1323">
        <f t="shared" si="393"/>
        <v>1999</v>
      </c>
      <c r="H3886" s="1323">
        <f t="shared" si="394"/>
        <v>2</v>
      </c>
      <c r="I3886" s="1323">
        <f t="shared" si="395"/>
        <v>23</v>
      </c>
      <c r="J3886" s="1323"/>
      <c r="K3886" s="1323"/>
      <c r="L3886" s="1323"/>
      <c r="M3886" s="1323"/>
      <c r="N3886" s="1323"/>
      <c r="O3886" s="1323"/>
      <c r="P3886" s="1323"/>
      <c r="Q3886" s="1323"/>
      <c r="R3886" s="1304"/>
      <c r="S3886" s="1304"/>
      <c r="T3886" s="1304"/>
    </row>
    <row r="3887" spans="1:20">
      <c r="A3887" s="1303"/>
      <c r="B3887" s="1322" t="s">
        <v>9779</v>
      </c>
      <c r="C3887" s="1323" t="s">
        <v>9685</v>
      </c>
      <c r="D3887" s="1324">
        <f t="shared" si="390"/>
        <v>36213</v>
      </c>
      <c r="E3887" s="1323">
        <f t="shared" si="392"/>
        <v>6.2577999999999996</v>
      </c>
      <c r="F3887" s="1323">
        <f t="shared" si="391"/>
        <v>4.6576699530420438</v>
      </c>
      <c r="G3887" s="1323">
        <f t="shared" si="393"/>
        <v>1999</v>
      </c>
      <c r="H3887" s="1323">
        <f t="shared" si="394"/>
        <v>2</v>
      </c>
      <c r="I3887" s="1323">
        <f t="shared" si="395"/>
        <v>22</v>
      </c>
      <c r="J3887" s="1323"/>
      <c r="K3887" s="1323"/>
      <c r="L3887" s="1323"/>
      <c r="M3887" s="1323"/>
      <c r="N3887" s="1323"/>
      <c r="O3887" s="1323"/>
      <c r="P3887" s="1323"/>
      <c r="Q3887" s="1323"/>
      <c r="R3887" s="1304"/>
      <c r="S3887" s="1304"/>
      <c r="T3887" s="1304"/>
    </row>
    <row r="3888" spans="1:20">
      <c r="A3888" s="1303"/>
      <c r="B3888" s="1322" t="s">
        <v>9780</v>
      </c>
      <c r="C3888" s="1323" t="s">
        <v>9781</v>
      </c>
      <c r="D3888" s="1324">
        <f t="shared" si="390"/>
        <v>36210</v>
      </c>
      <c r="E3888" s="1323">
        <f t="shared" si="392"/>
        <v>6.1939000000000002</v>
      </c>
      <c r="F3888" s="1323">
        <f t="shared" si="391"/>
        <v>4.6567768725459393</v>
      </c>
      <c r="G3888" s="1323">
        <f t="shared" si="393"/>
        <v>1999</v>
      </c>
      <c r="H3888" s="1323">
        <f t="shared" si="394"/>
        <v>2</v>
      </c>
      <c r="I3888" s="1323">
        <f t="shared" si="395"/>
        <v>19</v>
      </c>
      <c r="J3888" s="1323"/>
      <c r="K3888" s="1323"/>
      <c r="L3888" s="1323"/>
      <c r="M3888" s="1323"/>
      <c r="N3888" s="1323"/>
      <c r="O3888" s="1323"/>
      <c r="P3888" s="1323"/>
      <c r="Q3888" s="1323"/>
      <c r="R3888" s="1304"/>
      <c r="S3888" s="1304"/>
      <c r="T3888" s="1304"/>
    </row>
    <row r="3889" spans="1:20">
      <c r="A3889" s="1303"/>
      <c r="B3889" s="1322" t="s">
        <v>9782</v>
      </c>
      <c r="C3889" s="1323" t="s">
        <v>9706</v>
      </c>
      <c r="D3889" s="1324">
        <f t="shared" si="390"/>
        <v>36209</v>
      </c>
      <c r="E3889" s="1323">
        <f t="shared" si="392"/>
        <v>6.1595000000000004</v>
      </c>
      <c r="F3889" s="1323">
        <f t="shared" si="391"/>
        <v>4.6558839632927054</v>
      </c>
      <c r="G3889" s="1323">
        <f t="shared" si="393"/>
        <v>1999</v>
      </c>
      <c r="H3889" s="1323">
        <f t="shared" si="394"/>
        <v>2</v>
      </c>
      <c r="I3889" s="1323">
        <f t="shared" si="395"/>
        <v>18</v>
      </c>
      <c r="J3889" s="1323"/>
      <c r="K3889" s="1323"/>
      <c r="L3889" s="1323"/>
      <c r="M3889" s="1323"/>
      <c r="N3889" s="1323"/>
      <c r="O3889" s="1323"/>
      <c r="P3889" s="1323"/>
      <c r="Q3889" s="1323"/>
      <c r="R3889" s="1304"/>
      <c r="S3889" s="1304"/>
      <c r="T3889" s="1304"/>
    </row>
    <row r="3890" spans="1:20">
      <c r="A3890" s="1303"/>
      <c r="B3890" s="1322" t="s">
        <v>9783</v>
      </c>
      <c r="C3890" s="1323" t="s">
        <v>9611</v>
      </c>
      <c r="D3890" s="1324">
        <f t="shared" si="390"/>
        <v>36208</v>
      </c>
      <c r="E3890" s="1323">
        <f t="shared" si="392"/>
        <v>6.1237000000000004</v>
      </c>
      <c r="F3890" s="1323">
        <f t="shared" si="391"/>
        <v>4.6549912252495069</v>
      </c>
      <c r="G3890" s="1323">
        <f t="shared" si="393"/>
        <v>1999</v>
      </c>
      <c r="H3890" s="1323">
        <f t="shared" si="394"/>
        <v>2</v>
      </c>
      <c r="I3890" s="1323">
        <f t="shared" si="395"/>
        <v>17</v>
      </c>
      <c r="J3890" s="1323"/>
      <c r="K3890" s="1323"/>
      <c r="L3890" s="1323"/>
      <c r="M3890" s="1323"/>
      <c r="N3890" s="1323"/>
      <c r="O3890" s="1323"/>
      <c r="P3890" s="1323"/>
      <c r="Q3890" s="1323"/>
      <c r="R3890" s="1304"/>
      <c r="S3890" s="1304"/>
      <c r="T3890" s="1304"/>
    </row>
    <row r="3891" spans="1:20">
      <c r="A3891" s="1303"/>
      <c r="B3891" s="1322" t="s">
        <v>9784</v>
      </c>
      <c r="C3891" s="1323" t="s">
        <v>9522</v>
      </c>
      <c r="D3891" s="1324">
        <f t="shared" si="390"/>
        <v>36207</v>
      </c>
      <c r="E3891" s="1323">
        <f t="shared" si="392"/>
        <v>6.1557000000000004</v>
      </c>
      <c r="F3891" s="1323">
        <f t="shared" si="391"/>
        <v>4.6540986583835151</v>
      </c>
      <c r="G3891" s="1323">
        <f t="shared" si="393"/>
        <v>1999</v>
      </c>
      <c r="H3891" s="1323">
        <f t="shared" si="394"/>
        <v>2</v>
      </c>
      <c r="I3891" s="1323">
        <f t="shared" si="395"/>
        <v>16</v>
      </c>
      <c r="J3891" s="1323"/>
      <c r="K3891" s="1323"/>
      <c r="L3891" s="1323"/>
      <c r="M3891" s="1323"/>
      <c r="N3891" s="1323"/>
      <c r="O3891" s="1323"/>
      <c r="P3891" s="1323"/>
      <c r="Q3891" s="1323"/>
      <c r="R3891" s="1304"/>
      <c r="S3891" s="1304"/>
      <c r="T3891" s="1304"/>
    </row>
    <row r="3892" spans="1:20">
      <c r="A3892" s="1303"/>
      <c r="B3892" s="1322" t="s">
        <v>9785</v>
      </c>
      <c r="C3892" s="1323" t="s">
        <v>9507</v>
      </c>
      <c r="D3892" s="1324">
        <f t="shared" si="390"/>
        <v>36206</v>
      </c>
      <c r="E3892" s="1323">
        <f t="shared" si="392"/>
        <v>6.0846</v>
      </c>
      <c r="F3892" s="1323">
        <f t="shared" si="391"/>
        <v>4.6532062626619082</v>
      </c>
      <c r="G3892" s="1323">
        <f t="shared" si="393"/>
        <v>1999</v>
      </c>
      <c r="H3892" s="1323">
        <f t="shared" si="394"/>
        <v>2</v>
      </c>
      <c r="I3892" s="1323">
        <f t="shared" si="395"/>
        <v>15</v>
      </c>
      <c r="J3892" s="1323"/>
      <c r="K3892" s="1323"/>
      <c r="L3892" s="1323"/>
      <c r="M3892" s="1323"/>
      <c r="N3892" s="1323"/>
      <c r="O3892" s="1323"/>
      <c r="P3892" s="1323"/>
      <c r="Q3892" s="1323"/>
      <c r="R3892" s="1304"/>
      <c r="S3892" s="1304"/>
      <c r="T3892" s="1304"/>
    </row>
    <row r="3893" spans="1:20">
      <c r="A3893" s="1303"/>
      <c r="B3893" s="1322" t="s">
        <v>9786</v>
      </c>
      <c r="C3893" s="1323" t="s">
        <v>9732</v>
      </c>
      <c r="D3893" s="1324">
        <f t="shared" si="390"/>
        <v>36203</v>
      </c>
      <c r="E3893" s="1323">
        <f t="shared" si="392"/>
        <v>6.0864000000000003</v>
      </c>
      <c r="F3893" s="1323">
        <f t="shared" si="391"/>
        <v>4.6523140380518706</v>
      </c>
      <c r="G3893" s="1323">
        <f t="shared" si="393"/>
        <v>1999</v>
      </c>
      <c r="H3893" s="1323">
        <f t="shared" si="394"/>
        <v>2</v>
      </c>
      <c r="I3893" s="1323">
        <f t="shared" si="395"/>
        <v>12</v>
      </c>
      <c r="J3893" s="1323"/>
      <c r="K3893" s="1323"/>
      <c r="L3893" s="1323"/>
      <c r="M3893" s="1323"/>
      <c r="N3893" s="1323"/>
      <c r="O3893" s="1323"/>
      <c r="P3893" s="1323"/>
      <c r="Q3893" s="1323"/>
      <c r="R3893" s="1304"/>
      <c r="S3893" s="1304"/>
      <c r="T3893" s="1304"/>
    </row>
    <row r="3894" spans="1:20">
      <c r="A3894" s="1303"/>
      <c r="B3894" s="1322" t="s">
        <v>9787</v>
      </c>
      <c r="C3894" s="1323" t="s">
        <v>9673</v>
      </c>
      <c r="D3894" s="1324">
        <f t="shared" si="390"/>
        <v>36202</v>
      </c>
      <c r="E3894" s="1323">
        <f t="shared" si="392"/>
        <v>6.0808999999999997</v>
      </c>
      <c r="F3894" s="1323">
        <f t="shared" si="391"/>
        <v>4.6514219845205922</v>
      </c>
      <c r="G3894" s="1323">
        <f t="shared" si="393"/>
        <v>1999</v>
      </c>
      <c r="H3894" s="1323">
        <f t="shared" si="394"/>
        <v>2</v>
      </c>
      <c r="I3894" s="1323">
        <f t="shared" si="395"/>
        <v>11</v>
      </c>
      <c r="J3894" s="1323"/>
      <c r="K3894" s="1323"/>
      <c r="L3894" s="1323"/>
      <c r="M3894" s="1323"/>
      <c r="N3894" s="1323"/>
      <c r="O3894" s="1323"/>
      <c r="P3894" s="1323"/>
      <c r="Q3894" s="1323"/>
      <c r="R3894" s="1304"/>
      <c r="S3894" s="1304"/>
      <c r="T3894" s="1304"/>
    </row>
    <row r="3895" spans="1:20">
      <c r="A3895" s="1303"/>
      <c r="B3895" s="1322" t="s">
        <v>9788</v>
      </c>
      <c r="C3895" s="1323" t="s">
        <v>9719</v>
      </c>
      <c r="D3895" s="1324">
        <f t="shared" si="390"/>
        <v>36201</v>
      </c>
      <c r="E3895" s="1323">
        <f t="shared" si="392"/>
        <v>6.1330999999999998</v>
      </c>
      <c r="F3895" s="1323">
        <f t="shared" si="391"/>
        <v>4.6505301020352698</v>
      </c>
      <c r="G3895" s="1323">
        <f t="shared" si="393"/>
        <v>1999</v>
      </c>
      <c r="H3895" s="1323">
        <f t="shared" si="394"/>
        <v>2</v>
      </c>
      <c r="I3895" s="1323">
        <f t="shared" si="395"/>
        <v>10</v>
      </c>
      <c r="J3895" s="1323"/>
      <c r="K3895" s="1323"/>
      <c r="L3895" s="1323"/>
      <c r="M3895" s="1323"/>
      <c r="N3895" s="1323"/>
      <c r="O3895" s="1323"/>
      <c r="P3895" s="1323"/>
      <c r="Q3895" s="1323"/>
      <c r="R3895" s="1304"/>
      <c r="S3895" s="1304"/>
      <c r="T3895" s="1304"/>
    </row>
    <row r="3896" spans="1:20">
      <c r="A3896" s="1303"/>
      <c r="B3896" s="1322" t="s">
        <v>9789</v>
      </c>
      <c r="C3896" s="1323" t="s">
        <v>9627</v>
      </c>
      <c r="D3896" s="1324">
        <f t="shared" si="390"/>
        <v>36200</v>
      </c>
      <c r="E3896" s="1323">
        <f t="shared" si="392"/>
        <v>6.0095999999999998</v>
      </c>
      <c r="F3896" s="1323">
        <f t="shared" si="391"/>
        <v>4.6496383905631067</v>
      </c>
      <c r="G3896" s="1323">
        <f t="shared" si="393"/>
        <v>1999</v>
      </c>
      <c r="H3896" s="1323">
        <f t="shared" si="394"/>
        <v>2</v>
      </c>
      <c r="I3896" s="1323">
        <f t="shared" si="395"/>
        <v>9</v>
      </c>
      <c r="J3896" s="1323"/>
      <c r="K3896" s="1323"/>
      <c r="L3896" s="1323"/>
      <c r="M3896" s="1323"/>
      <c r="N3896" s="1323"/>
      <c r="O3896" s="1323"/>
      <c r="P3896" s="1323"/>
      <c r="Q3896" s="1323"/>
      <c r="R3896" s="1304"/>
      <c r="S3896" s="1304"/>
      <c r="T3896" s="1304"/>
    </row>
    <row r="3897" spans="1:20">
      <c r="A3897" s="1303"/>
      <c r="B3897" s="1322" t="s">
        <v>9790</v>
      </c>
      <c r="C3897" s="1323" t="s">
        <v>9791</v>
      </c>
      <c r="D3897" s="1324">
        <f t="shared" si="390"/>
        <v>36199</v>
      </c>
      <c r="E3897" s="1323">
        <f t="shared" si="392"/>
        <v>5.9683999999999999</v>
      </c>
      <c r="F3897" s="1323">
        <f t="shared" si="391"/>
        <v>4.6487468500713121</v>
      </c>
      <c r="G3897" s="1323">
        <f t="shared" si="393"/>
        <v>1999</v>
      </c>
      <c r="H3897" s="1323">
        <f t="shared" si="394"/>
        <v>2</v>
      </c>
      <c r="I3897" s="1323">
        <f t="shared" si="395"/>
        <v>8</v>
      </c>
      <c r="J3897" s="1323"/>
      <c r="K3897" s="1323"/>
      <c r="L3897" s="1323"/>
      <c r="M3897" s="1323"/>
      <c r="N3897" s="1323"/>
      <c r="O3897" s="1323"/>
      <c r="P3897" s="1323"/>
      <c r="Q3897" s="1323"/>
      <c r="R3897" s="1304"/>
      <c r="S3897" s="1304"/>
      <c r="T3897" s="1304"/>
    </row>
    <row r="3898" spans="1:20">
      <c r="A3898" s="1303"/>
      <c r="B3898" s="1322" t="s">
        <v>9792</v>
      </c>
      <c r="C3898" s="1323" t="s">
        <v>9793</v>
      </c>
      <c r="D3898" s="1324">
        <f t="shared" si="390"/>
        <v>36196</v>
      </c>
      <c r="E3898" s="1323">
        <f t="shared" si="392"/>
        <v>6.0458999999999996</v>
      </c>
      <c r="F3898" s="1323">
        <f t="shared" si="391"/>
        <v>4.6478554805271015</v>
      </c>
      <c r="G3898" s="1323">
        <f t="shared" si="393"/>
        <v>1999</v>
      </c>
      <c r="H3898" s="1323">
        <f t="shared" si="394"/>
        <v>2</v>
      </c>
      <c r="I3898" s="1323">
        <f t="shared" si="395"/>
        <v>5</v>
      </c>
      <c r="J3898" s="1323"/>
      <c r="K3898" s="1323"/>
      <c r="L3898" s="1323"/>
      <c r="M3898" s="1323"/>
      <c r="N3898" s="1323"/>
      <c r="O3898" s="1323"/>
      <c r="P3898" s="1323"/>
      <c r="Q3898" s="1323"/>
      <c r="R3898" s="1304"/>
      <c r="S3898" s="1304"/>
      <c r="T3898" s="1304"/>
    </row>
    <row r="3899" spans="1:20">
      <c r="A3899" s="1303"/>
      <c r="B3899" s="1322" t="s">
        <v>9794</v>
      </c>
      <c r="C3899" s="1323" t="s">
        <v>9795</v>
      </c>
      <c r="D3899" s="1324">
        <f t="shared" si="390"/>
        <v>36195</v>
      </c>
      <c r="E3899" s="1323">
        <f t="shared" si="392"/>
        <v>6.0167999999999999</v>
      </c>
      <c r="F3899" s="1323">
        <f t="shared" si="391"/>
        <v>4.6469642818976959</v>
      </c>
      <c r="G3899" s="1323">
        <f t="shared" si="393"/>
        <v>1999</v>
      </c>
      <c r="H3899" s="1323">
        <f t="shared" si="394"/>
        <v>2</v>
      </c>
      <c r="I3899" s="1323">
        <f t="shared" si="395"/>
        <v>4</v>
      </c>
      <c r="J3899" s="1323"/>
      <c r="K3899" s="1323"/>
      <c r="L3899" s="1323"/>
      <c r="M3899" s="1323"/>
      <c r="N3899" s="1323"/>
      <c r="O3899" s="1323"/>
      <c r="P3899" s="1323"/>
      <c r="Q3899" s="1323"/>
      <c r="R3899" s="1304"/>
      <c r="S3899" s="1304"/>
      <c r="T3899" s="1304"/>
    </row>
    <row r="3900" spans="1:20">
      <c r="A3900" s="1303"/>
      <c r="B3900" s="1322" t="s">
        <v>9796</v>
      </c>
      <c r="C3900" s="1323" t="s">
        <v>9797</v>
      </c>
      <c r="D3900" s="1324">
        <f t="shared" si="390"/>
        <v>36194</v>
      </c>
      <c r="E3900" s="1323">
        <f t="shared" si="392"/>
        <v>6.0223000000000004</v>
      </c>
      <c r="F3900" s="1323">
        <f t="shared" si="391"/>
        <v>4.6460732541503242</v>
      </c>
      <c r="G3900" s="1323">
        <f t="shared" si="393"/>
        <v>1999</v>
      </c>
      <c r="H3900" s="1323">
        <f t="shared" si="394"/>
        <v>2</v>
      </c>
      <c r="I3900" s="1323">
        <f t="shared" si="395"/>
        <v>3</v>
      </c>
      <c r="J3900" s="1323"/>
      <c r="K3900" s="1323"/>
      <c r="L3900" s="1323"/>
      <c r="M3900" s="1323"/>
      <c r="N3900" s="1323"/>
      <c r="O3900" s="1323"/>
      <c r="P3900" s="1323"/>
      <c r="Q3900" s="1323"/>
      <c r="R3900" s="1304"/>
      <c r="S3900" s="1304"/>
      <c r="T3900" s="1304"/>
    </row>
    <row r="3901" spans="1:20">
      <c r="A3901" s="1303"/>
      <c r="B3901" s="1322" t="s">
        <v>9798</v>
      </c>
      <c r="C3901" s="1323" t="s">
        <v>9550</v>
      </c>
      <c r="D3901" s="1324">
        <f t="shared" si="390"/>
        <v>36193</v>
      </c>
      <c r="E3901" s="1323">
        <f t="shared" si="392"/>
        <v>6.0259</v>
      </c>
      <c r="F3901" s="1323">
        <f t="shared" si="391"/>
        <v>4.6451823972522206</v>
      </c>
      <c r="G3901" s="1323">
        <f t="shared" si="393"/>
        <v>1999</v>
      </c>
      <c r="H3901" s="1323">
        <f t="shared" si="394"/>
        <v>2</v>
      </c>
      <c r="I3901" s="1323">
        <f t="shared" si="395"/>
        <v>2</v>
      </c>
      <c r="J3901" s="1323"/>
      <c r="K3901" s="1323"/>
      <c r="L3901" s="1323"/>
      <c r="M3901" s="1323"/>
      <c r="N3901" s="1323"/>
      <c r="O3901" s="1323"/>
      <c r="P3901" s="1323"/>
      <c r="Q3901" s="1323"/>
      <c r="R3901" s="1304"/>
      <c r="S3901" s="1304"/>
      <c r="T3901" s="1304"/>
    </row>
    <row r="3902" spans="1:20">
      <c r="A3902" s="1303"/>
      <c r="B3902" s="1322" t="s">
        <v>9799</v>
      </c>
      <c r="C3902" s="1323" t="s">
        <v>9800</v>
      </c>
      <c r="D3902" s="1324">
        <f t="shared" si="390"/>
        <v>36192</v>
      </c>
      <c r="E3902" s="1323">
        <f t="shared" si="392"/>
        <v>6.0458999999999996</v>
      </c>
      <c r="F3902" s="1323">
        <f t="shared" si="391"/>
        <v>4.6442917111706263</v>
      </c>
      <c r="G3902" s="1323">
        <f t="shared" si="393"/>
        <v>1999</v>
      </c>
      <c r="H3902" s="1323">
        <f t="shared" si="394"/>
        <v>2</v>
      </c>
      <c r="I3902" s="1323">
        <f t="shared" si="395"/>
        <v>1</v>
      </c>
      <c r="J3902" s="1323"/>
      <c r="K3902" s="1323"/>
      <c r="L3902" s="1323"/>
      <c r="M3902" s="1323"/>
      <c r="N3902" s="1323"/>
      <c r="O3902" s="1323"/>
      <c r="P3902" s="1323"/>
      <c r="Q3902" s="1323"/>
      <c r="R3902" s="1304"/>
      <c r="S3902" s="1304"/>
      <c r="T3902" s="1304"/>
    </row>
    <row r="3903" spans="1:20">
      <c r="A3903" s="1303"/>
      <c r="B3903" s="1322" t="s">
        <v>9801</v>
      </c>
      <c r="C3903" s="1323" t="s">
        <v>9795</v>
      </c>
      <c r="D3903" s="1324">
        <f t="shared" si="390"/>
        <v>36189</v>
      </c>
      <c r="E3903" s="1323">
        <f t="shared" si="392"/>
        <v>6.0331999999999999</v>
      </c>
      <c r="F3903" s="1323">
        <f t="shared" si="391"/>
        <v>4.6434011958727872</v>
      </c>
      <c r="G3903" s="1323">
        <f t="shared" si="393"/>
        <v>1999</v>
      </c>
      <c r="H3903" s="1323">
        <f t="shared" si="394"/>
        <v>1</v>
      </c>
      <c r="I3903" s="1323">
        <f t="shared" si="395"/>
        <v>29</v>
      </c>
      <c r="J3903" s="1323"/>
      <c r="K3903" s="1323"/>
      <c r="L3903" s="1323"/>
      <c r="M3903" s="1323"/>
      <c r="N3903" s="1323"/>
      <c r="O3903" s="1323"/>
      <c r="P3903" s="1323"/>
      <c r="Q3903" s="1323"/>
      <c r="R3903" s="1304"/>
      <c r="S3903" s="1304"/>
      <c r="T3903" s="1304"/>
    </row>
    <row r="3904" spans="1:20">
      <c r="A3904" s="1303"/>
      <c r="B3904" s="1322" t="s">
        <v>9802</v>
      </c>
      <c r="C3904" s="1323" t="s">
        <v>9656</v>
      </c>
      <c r="D3904" s="1324">
        <f t="shared" si="390"/>
        <v>36188</v>
      </c>
      <c r="E3904" s="1323">
        <f t="shared" si="392"/>
        <v>6.0643000000000002</v>
      </c>
      <c r="F3904" s="1323">
        <f t="shared" si="391"/>
        <v>4.642510851325957</v>
      </c>
      <c r="G3904" s="1323">
        <f t="shared" si="393"/>
        <v>1999</v>
      </c>
      <c r="H3904" s="1323">
        <f t="shared" si="394"/>
        <v>1</v>
      </c>
      <c r="I3904" s="1323">
        <f t="shared" si="395"/>
        <v>28</v>
      </c>
      <c r="J3904" s="1323"/>
      <c r="K3904" s="1323"/>
      <c r="L3904" s="1323"/>
      <c r="M3904" s="1323"/>
      <c r="N3904" s="1323"/>
      <c r="O3904" s="1323"/>
      <c r="P3904" s="1323"/>
      <c r="Q3904" s="1323"/>
      <c r="R3904" s="1304"/>
      <c r="S3904" s="1304"/>
      <c r="T3904" s="1304"/>
    </row>
    <row r="3905" spans="1:20">
      <c r="A3905" s="1303"/>
      <c r="B3905" s="1322" t="s">
        <v>9803</v>
      </c>
      <c r="C3905" s="1323" t="s">
        <v>9722</v>
      </c>
      <c r="D3905" s="1324">
        <f t="shared" si="390"/>
        <v>36187</v>
      </c>
      <c r="E3905" s="1323">
        <f t="shared" si="392"/>
        <v>5.9862000000000002</v>
      </c>
      <c r="F3905" s="1323">
        <f t="shared" si="391"/>
        <v>4.6416206774973956</v>
      </c>
      <c r="G3905" s="1323">
        <f t="shared" si="393"/>
        <v>1999</v>
      </c>
      <c r="H3905" s="1323">
        <f t="shared" si="394"/>
        <v>1</v>
      </c>
      <c r="I3905" s="1323">
        <f t="shared" si="395"/>
        <v>27</v>
      </c>
      <c r="J3905" s="1323"/>
      <c r="K3905" s="1323"/>
      <c r="L3905" s="1323"/>
      <c r="M3905" s="1323"/>
      <c r="N3905" s="1323"/>
      <c r="O3905" s="1323"/>
      <c r="P3905" s="1323"/>
      <c r="Q3905" s="1323"/>
      <c r="R3905" s="1304"/>
      <c r="S3905" s="1304"/>
      <c r="T3905" s="1304"/>
    </row>
    <row r="3906" spans="1:20">
      <c r="A3906" s="1303"/>
      <c r="B3906" s="1322" t="s">
        <v>9804</v>
      </c>
      <c r="C3906" s="1323" t="s">
        <v>9805</v>
      </c>
      <c r="D3906" s="1324">
        <f t="shared" si="390"/>
        <v>36186</v>
      </c>
      <c r="E3906" s="1323">
        <f t="shared" si="392"/>
        <v>6.0186999999999999</v>
      </c>
      <c r="F3906" s="1323">
        <f t="shared" si="391"/>
        <v>4.6407306743543684</v>
      </c>
      <c r="G3906" s="1323">
        <f t="shared" si="393"/>
        <v>1999</v>
      </c>
      <c r="H3906" s="1323">
        <f t="shared" si="394"/>
        <v>1</v>
      </c>
      <c r="I3906" s="1323">
        <f t="shared" si="395"/>
        <v>26</v>
      </c>
      <c r="J3906" s="1323"/>
      <c r="K3906" s="1323"/>
      <c r="L3906" s="1323"/>
      <c r="M3906" s="1323"/>
      <c r="N3906" s="1323"/>
      <c r="O3906" s="1323"/>
      <c r="P3906" s="1323"/>
      <c r="Q3906" s="1323"/>
      <c r="R3906" s="1304"/>
      <c r="S3906" s="1304"/>
      <c r="T3906" s="1304"/>
    </row>
    <row r="3907" spans="1:20">
      <c r="A3907" s="1303"/>
      <c r="B3907" s="1322" t="s">
        <v>9806</v>
      </c>
      <c r="C3907" s="1323" t="s">
        <v>7013</v>
      </c>
      <c r="D3907" s="1324">
        <f t="shared" si="390"/>
        <v>36185</v>
      </c>
      <c r="E3907" s="1323">
        <f t="shared" si="392"/>
        <v>6.0900999999999996</v>
      </c>
      <c r="F3907" s="1323">
        <f t="shared" si="391"/>
        <v>4.6398408418641477</v>
      </c>
      <c r="G3907" s="1323">
        <f t="shared" si="393"/>
        <v>1999</v>
      </c>
      <c r="H3907" s="1323">
        <f t="shared" si="394"/>
        <v>1</v>
      </c>
      <c r="I3907" s="1323">
        <f t="shared" si="395"/>
        <v>25</v>
      </c>
      <c r="J3907" s="1323"/>
      <c r="K3907" s="1323"/>
      <c r="L3907" s="1323"/>
      <c r="M3907" s="1323"/>
      <c r="N3907" s="1323"/>
      <c r="O3907" s="1323"/>
      <c r="P3907" s="1323"/>
      <c r="Q3907" s="1323"/>
      <c r="R3907" s="1304"/>
      <c r="S3907" s="1304"/>
      <c r="T3907" s="1304"/>
    </row>
    <row r="3908" spans="1:20">
      <c r="A3908" s="1303"/>
      <c r="B3908" s="1322" t="s">
        <v>9807</v>
      </c>
      <c r="C3908" s="1323" t="s">
        <v>9645</v>
      </c>
      <c r="D3908" s="1324">
        <f t="shared" si="390"/>
        <v>36182</v>
      </c>
      <c r="E3908" s="1323">
        <f t="shared" si="392"/>
        <v>6.1143000000000001</v>
      </c>
      <c r="F3908" s="1323">
        <f t="shared" si="391"/>
        <v>4.6389511799940113</v>
      </c>
      <c r="G3908" s="1323">
        <f t="shared" si="393"/>
        <v>1999</v>
      </c>
      <c r="H3908" s="1323">
        <f t="shared" si="394"/>
        <v>1</v>
      </c>
      <c r="I3908" s="1323">
        <f t="shared" si="395"/>
        <v>22</v>
      </c>
      <c r="J3908" s="1323"/>
      <c r="K3908" s="1323"/>
      <c r="L3908" s="1323"/>
      <c r="M3908" s="1323"/>
      <c r="N3908" s="1323"/>
      <c r="O3908" s="1323"/>
      <c r="P3908" s="1323"/>
      <c r="Q3908" s="1323"/>
      <c r="R3908" s="1304"/>
      <c r="S3908" s="1304"/>
      <c r="T3908" s="1304"/>
    </row>
    <row r="3909" spans="1:20">
      <c r="A3909" s="1303"/>
      <c r="B3909" s="1322" t="s">
        <v>9808</v>
      </c>
      <c r="C3909" s="1323" t="s">
        <v>9503</v>
      </c>
      <c r="D3909" s="1324">
        <f t="shared" si="390"/>
        <v>36181</v>
      </c>
      <c r="E3909" s="1323">
        <f t="shared" si="392"/>
        <v>6.0259</v>
      </c>
      <c r="F3909" s="1323">
        <f t="shared" si="391"/>
        <v>4.6380616887112449</v>
      </c>
      <c r="G3909" s="1323">
        <f t="shared" si="393"/>
        <v>1999</v>
      </c>
      <c r="H3909" s="1323">
        <f t="shared" si="394"/>
        <v>1</v>
      </c>
      <c r="I3909" s="1323">
        <f t="shared" si="395"/>
        <v>21</v>
      </c>
      <c r="J3909" s="1323"/>
      <c r="K3909" s="1323"/>
      <c r="L3909" s="1323"/>
      <c r="M3909" s="1323"/>
      <c r="N3909" s="1323"/>
      <c r="O3909" s="1323"/>
      <c r="P3909" s="1323"/>
      <c r="Q3909" s="1323"/>
      <c r="R3909" s="1304"/>
      <c r="S3909" s="1304"/>
      <c r="T3909" s="1304"/>
    </row>
    <row r="3910" spans="1:20">
      <c r="A3910" s="1303"/>
      <c r="B3910" s="1322" t="s">
        <v>9809</v>
      </c>
      <c r="C3910" s="1323" t="s">
        <v>9800</v>
      </c>
      <c r="D3910" s="1324">
        <f t="shared" si="390"/>
        <v>36180</v>
      </c>
      <c r="E3910" s="1323">
        <f t="shared" si="392"/>
        <v>6.0167999999999999</v>
      </c>
      <c r="F3910" s="1323">
        <f t="shared" si="391"/>
        <v>4.6371723679831387</v>
      </c>
      <c r="G3910" s="1323">
        <f t="shared" si="393"/>
        <v>1999</v>
      </c>
      <c r="H3910" s="1323">
        <f t="shared" si="394"/>
        <v>1</v>
      </c>
      <c r="I3910" s="1323">
        <f t="shared" si="395"/>
        <v>20</v>
      </c>
      <c r="J3910" s="1323"/>
      <c r="K3910" s="1323"/>
      <c r="L3910" s="1323"/>
      <c r="M3910" s="1323"/>
      <c r="N3910" s="1323"/>
      <c r="O3910" s="1323"/>
      <c r="P3910" s="1323"/>
      <c r="Q3910" s="1323"/>
      <c r="R3910" s="1304"/>
      <c r="S3910" s="1304"/>
      <c r="T3910" s="1304"/>
    </row>
    <row r="3911" spans="1:20">
      <c r="A3911" s="1303"/>
      <c r="B3911" s="1322" t="s">
        <v>9810</v>
      </c>
      <c r="C3911" s="1323" t="s">
        <v>9797</v>
      </c>
      <c r="D3911" s="1324">
        <f t="shared" si="390"/>
        <v>36179</v>
      </c>
      <c r="E3911" s="1323">
        <f t="shared" si="392"/>
        <v>6.0313999999999997</v>
      </c>
      <c r="F3911" s="1323">
        <f t="shared" si="391"/>
        <v>4.6362832177769899</v>
      </c>
      <c r="G3911" s="1323">
        <f t="shared" si="393"/>
        <v>1999</v>
      </c>
      <c r="H3911" s="1323">
        <f t="shared" si="394"/>
        <v>1</v>
      </c>
      <c r="I3911" s="1323">
        <f t="shared" si="395"/>
        <v>19</v>
      </c>
      <c r="J3911" s="1323"/>
      <c r="K3911" s="1323"/>
      <c r="L3911" s="1323"/>
      <c r="M3911" s="1323"/>
      <c r="N3911" s="1323"/>
      <c r="O3911" s="1323"/>
      <c r="P3911" s="1323"/>
      <c r="Q3911" s="1323"/>
      <c r="R3911" s="1304"/>
      <c r="S3911" s="1304"/>
      <c r="T3911" s="1304"/>
    </row>
    <row r="3912" spans="1:20">
      <c r="A3912" s="1303"/>
      <c r="B3912" s="1322" t="s">
        <v>9811</v>
      </c>
      <c r="C3912" s="1323" t="s">
        <v>9812</v>
      </c>
      <c r="D3912" s="1324">
        <f t="shared" si="390"/>
        <v>36178</v>
      </c>
      <c r="E3912" s="1323">
        <f t="shared" si="392"/>
        <v>5.9988000000000001</v>
      </c>
      <c r="F3912" s="1323">
        <f t="shared" si="391"/>
        <v>4.6353942380601012</v>
      </c>
      <c r="G3912" s="1323">
        <f t="shared" si="393"/>
        <v>1999</v>
      </c>
      <c r="H3912" s="1323">
        <f t="shared" si="394"/>
        <v>1</v>
      </c>
      <c r="I3912" s="1323">
        <f t="shared" si="395"/>
        <v>18</v>
      </c>
      <c r="J3912" s="1323"/>
      <c r="K3912" s="1323"/>
      <c r="L3912" s="1323"/>
      <c r="M3912" s="1323"/>
      <c r="N3912" s="1323"/>
      <c r="O3912" s="1323"/>
      <c r="P3912" s="1323"/>
      <c r="Q3912" s="1323"/>
      <c r="R3912" s="1304"/>
      <c r="S3912" s="1304"/>
      <c r="T3912" s="1304"/>
    </row>
    <row r="3913" spans="1:20">
      <c r="A3913" s="1303"/>
      <c r="B3913" s="1322" t="s">
        <v>9813</v>
      </c>
      <c r="C3913" s="1323" t="s">
        <v>9662</v>
      </c>
      <c r="D3913" s="1324">
        <f t="shared" ref="D3913:D3976" si="396">DATE(G3913,H3913,I3913)</f>
        <v>36175</v>
      </c>
      <c r="E3913" s="1323">
        <f t="shared" si="392"/>
        <v>6.2793999999999999</v>
      </c>
      <c r="F3913" s="1323">
        <f t="shared" ref="F3913:F3976" si="397">F3914*(1+$F$7/365)</f>
        <v>4.6345054287997831</v>
      </c>
      <c r="G3913" s="1323">
        <f t="shared" si="393"/>
        <v>1999</v>
      </c>
      <c r="H3913" s="1323">
        <f t="shared" si="394"/>
        <v>1</v>
      </c>
      <c r="I3913" s="1323">
        <f t="shared" si="395"/>
        <v>15</v>
      </c>
      <c r="J3913" s="1323"/>
      <c r="K3913" s="1323"/>
      <c r="L3913" s="1323"/>
      <c r="M3913" s="1323"/>
      <c r="N3913" s="1323"/>
      <c r="O3913" s="1323"/>
      <c r="P3913" s="1323"/>
      <c r="Q3913" s="1323"/>
      <c r="R3913" s="1304"/>
      <c r="S3913" s="1304"/>
      <c r="T3913" s="1304"/>
    </row>
    <row r="3914" spans="1:20">
      <c r="A3914" s="1303"/>
      <c r="B3914" s="1322" t="s">
        <v>9814</v>
      </c>
      <c r="C3914" s="1323" t="s">
        <v>9815</v>
      </c>
      <c r="D3914" s="1324">
        <f t="shared" si="396"/>
        <v>36174</v>
      </c>
      <c r="E3914" s="1323">
        <f t="shared" si="392"/>
        <v>6.1256000000000004</v>
      </c>
      <c r="F3914" s="1323">
        <f t="shared" si="397"/>
        <v>4.6336167899633516</v>
      </c>
      <c r="G3914" s="1323">
        <f t="shared" si="393"/>
        <v>1999</v>
      </c>
      <c r="H3914" s="1323">
        <f t="shared" si="394"/>
        <v>1</v>
      </c>
      <c r="I3914" s="1323">
        <f t="shared" si="395"/>
        <v>14</v>
      </c>
      <c r="J3914" s="1323"/>
      <c r="K3914" s="1323"/>
      <c r="L3914" s="1323"/>
      <c r="M3914" s="1323"/>
      <c r="N3914" s="1323"/>
      <c r="O3914" s="1323"/>
      <c r="P3914" s="1323"/>
      <c r="Q3914" s="1323"/>
      <c r="R3914" s="1304"/>
      <c r="S3914" s="1304"/>
      <c r="T3914" s="1304"/>
    </row>
    <row r="3915" spans="1:20">
      <c r="A3915" s="1303"/>
      <c r="B3915" s="1322" t="s">
        <v>9816</v>
      </c>
      <c r="C3915" s="1323" t="s">
        <v>6455</v>
      </c>
      <c r="D3915" s="1324">
        <f t="shared" si="396"/>
        <v>36173</v>
      </c>
      <c r="E3915" s="1323">
        <f t="shared" si="392"/>
        <v>6.1425000000000001</v>
      </c>
      <c r="F3915" s="1323">
        <f t="shared" si="397"/>
        <v>4.6327283215181287</v>
      </c>
      <c r="G3915" s="1323">
        <f t="shared" si="393"/>
        <v>1999</v>
      </c>
      <c r="H3915" s="1323">
        <f t="shared" si="394"/>
        <v>1</v>
      </c>
      <c r="I3915" s="1323">
        <f t="shared" si="395"/>
        <v>13</v>
      </c>
      <c r="J3915" s="1323"/>
      <c r="K3915" s="1323"/>
      <c r="L3915" s="1323"/>
      <c r="M3915" s="1323"/>
      <c r="N3915" s="1323"/>
      <c r="O3915" s="1323"/>
      <c r="P3915" s="1323"/>
      <c r="Q3915" s="1323"/>
      <c r="R3915" s="1304"/>
      <c r="S3915" s="1304"/>
      <c r="T3915" s="1304"/>
    </row>
    <row r="3916" spans="1:20">
      <c r="A3916" s="1303"/>
      <c r="B3916" s="1322" t="s">
        <v>9817</v>
      </c>
      <c r="C3916" s="1323" t="s">
        <v>9512</v>
      </c>
      <c r="D3916" s="1324">
        <f t="shared" si="396"/>
        <v>36172</v>
      </c>
      <c r="E3916" s="1323">
        <f t="shared" si="392"/>
        <v>5.9630000000000001</v>
      </c>
      <c r="F3916" s="1323">
        <f t="shared" si="397"/>
        <v>4.631840023431443</v>
      </c>
      <c r="G3916" s="1323">
        <f t="shared" si="393"/>
        <v>1999</v>
      </c>
      <c r="H3916" s="1323">
        <f t="shared" si="394"/>
        <v>1</v>
      </c>
      <c r="I3916" s="1323">
        <f t="shared" si="395"/>
        <v>12</v>
      </c>
      <c r="J3916" s="1323"/>
      <c r="K3916" s="1323"/>
      <c r="L3916" s="1323"/>
      <c r="M3916" s="1323"/>
      <c r="N3916" s="1323"/>
      <c r="O3916" s="1323"/>
      <c r="P3916" s="1323"/>
      <c r="Q3916" s="1323"/>
      <c r="R3916" s="1304"/>
      <c r="S3916" s="1304"/>
      <c r="T3916" s="1304"/>
    </row>
    <row r="3917" spans="1:20">
      <c r="A3917" s="1303"/>
      <c r="B3917" s="1322" t="s">
        <v>9818</v>
      </c>
      <c r="C3917" s="1323" t="s">
        <v>9819</v>
      </c>
      <c r="D3917" s="1324">
        <f t="shared" si="396"/>
        <v>36171</v>
      </c>
      <c r="E3917" s="1323">
        <f t="shared" si="392"/>
        <v>5.8719999999999999</v>
      </c>
      <c r="F3917" s="1323">
        <f t="shared" si="397"/>
        <v>4.6309518956706297</v>
      </c>
      <c r="G3917" s="1323">
        <f t="shared" si="393"/>
        <v>1999</v>
      </c>
      <c r="H3917" s="1323">
        <f t="shared" si="394"/>
        <v>1</v>
      </c>
      <c r="I3917" s="1323">
        <f t="shared" si="395"/>
        <v>11</v>
      </c>
      <c r="J3917" s="1323"/>
      <c r="K3917" s="1323"/>
      <c r="L3917" s="1323"/>
      <c r="M3917" s="1323"/>
      <c r="N3917" s="1323"/>
      <c r="O3917" s="1323"/>
      <c r="P3917" s="1323"/>
      <c r="Q3917" s="1323"/>
      <c r="R3917" s="1304"/>
      <c r="S3917" s="1304"/>
      <c r="T3917" s="1304"/>
    </row>
    <row r="3918" spans="1:20">
      <c r="A3918" s="1303"/>
      <c r="B3918" s="1322" t="s">
        <v>9820</v>
      </c>
      <c r="C3918" s="1323" t="s">
        <v>9821</v>
      </c>
      <c r="D3918" s="1324">
        <f t="shared" si="396"/>
        <v>36168</v>
      </c>
      <c r="E3918" s="1323">
        <f t="shared" si="392"/>
        <v>5.8005000000000004</v>
      </c>
      <c r="F3918" s="1323">
        <f t="shared" si="397"/>
        <v>4.6300639382030289</v>
      </c>
      <c r="G3918" s="1323">
        <f t="shared" si="393"/>
        <v>1999</v>
      </c>
      <c r="H3918" s="1323">
        <f t="shared" si="394"/>
        <v>1</v>
      </c>
      <c r="I3918" s="1323">
        <f t="shared" si="395"/>
        <v>8</v>
      </c>
      <c r="J3918" s="1323"/>
      <c r="K3918" s="1323"/>
      <c r="L3918" s="1323"/>
      <c r="M3918" s="1323"/>
      <c r="N3918" s="1323"/>
      <c r="O3918" s="1323"/>
      <c r="P3918" s="1323"/>
      <c r="Q3918" s="1323"/>
      <c r="R3918" s="1304"/>
      <c r="S3918" s="1304"/>
      <c r="T3918" s="1304"/>
    </row>
    <row r="3919" spans="1:20">
      <c r="A3919" s="1303"/>
      <c r="B3919" s="1322" t="s">
        <v>9822</v>
      </c>
      <c r="C3919" s="1323" t="s">
        <v>9823</v>
      </c>
      <c r="D3919" s="1324">
        <f t="shared" si="396"/>
        <v>36167</v>
      </c>
      <c r="E3919" s="1323">
        <f t="shared" si="392"/>
        <v>5.7339000000000002</v>
      </c>
      <c r="F3919" s="1323">
        <f t="shared" si="397"/>
        <v>4.6291761509959883</v>
      </c>
      <c r="G3919" s="1323">
        <f t="shared" si="393"/>
        <v>1999</v>
      </c>
      <c r="H3919" s="1323">
        <f t="shared" si="394"/>
        <v>1</v>
      </c>
      <c r="I3919" s="1323">
        <f t="shared" si="395"/>
        <v>7</v>
      </c>
      <c r="J3919" s="1323"/>
      <c r="K3919" s="1323"/>
      <c r="L3919" s="1323"/>
      <c r="M3919" s="1323"/>
      <c r="N3919" s="1323"/>
      <c r="O3919" s="1323"/>
      <c r="P3919" s="1323"/>
      <c r="Q3919" s="1323"/>
      <c r="R3919" s="1304"/>
      <c r="S3919" s="1304"/>
      <c r="T3919" s="1304"/>
    </row>
    <row r="3920" spans="1:20">
      <c r="A3920" s="1303"/>
      <c r="B3920" s="1322" t="s">
        <v>9824</v>
      </c>
      <c r="C3920" s="1323" t="s">
        <v>9825</v>
      </c>
      <c r="D3920" s="1324">
        <f t="shared" si="396"/>
        <v>36166</v>
      </c>
      <c r="E3920" s="1323">
        <f t="shared" si="392"/>
        <v>5.7077999999999998</v>
      </c>
      <c r="F3920" s="1323">
        <f t="shared" si="397"/>
        <v>4.6282885340168614</v>
      </c>
      <c r="G3920" s="1323">
        <f t="shared" si="393"/>
        <v>1999</v>
      </c>
      <c r="H3920" s="1323">
        <f t="shared" si="394"/>
        <v>1</v>
      </c>
      <c r="I3920" s="1323">
        <f t="shared" si="395"/>
        <v>6</v>
      </c>
      <c r="J3920" s="1323"/>
      <c r="K3920" s="1323"/>
      <c r="L3920" s="1323"/>
      <c r="M3920" s="1323"/>
      <c r="N3920" s="1323"/>
      <c r="O3920" s="1323"/>
      <c r="P3920" s="1323"/>
      <c r="Q3920" s="1323"/>
      <c r="R3920" s="1304"/>
      <c r="S3920" s="1304"/>
      <c r="T3920" s="1304"/>
    </row>
    <row r="3921" spans="1:20">
      <c r="A3921" s="1303"/>
      <c r="B3921" s="1322" t="s">
        <v>9826</v>
      </c>
      <c r="C3921" s="1323" t="s">
        <v>9827</v>
      </c>
      <c r="D3921" s="1324">
        <f t="shared" si="396"/>
        <v>36165</v>
      </c>
      <c r="E3921" s="1323">
        <f t="shared" si="392"/>
        <v>5.8445</v>
      </c>
      <c r="F3921" s="1323">
        <f t="shared" si="397"/>
        <v>4.6274010872330082</v>
      </c>
      <c r="G3921" s="1323">
        <f t="shared" si="393"/>
        <v>1999</v>
      </c>
      <c r="H3921" s="1323">
        <f t="shared" si="394"/>
        <v>1</v>
      </c>
      <c r="I3921" s="1323">
        <f t="shared" si="395"/>
        <v>5</v>
      </c>
      <c r="J3921" s="1323"/>
      <c r="K3921" s="1323"/>
      <c r="L3921" s="1323"/>
      <c r="M3921" s="1323"/>
      <c r="N3921" s="1323"/>
      <c r="O3921" s="1323"/>
      <c r="P3921" s="1323"/>
      <c r="Q3921" s="1323"/>
      <c r="R3921" s="1304"/>
      <c r="S3921" s="1304"/>
      <c r="T3921" s="1304"/>
    </row>
    <row r="3922" spans="1:20">
      <c r="A3922" s="1303"/>
      <c r="B3922" s="1322" t="s">
        <v>9828</v>
      </c>
      <c r="C3922" s="1323" t="s">
        <v>9829</v>
      </c>
      <c r="D3922" s="1324">
        <f t="shared" si="396"/>
        <v>36164</v>
      </c>
      <c r="E3922" s="1323">
        <f t="shared" si="392"/>
        <v>5.8857999999999997</v>
      </c>
      <c r="F3922" s="1323">
        <f t="shared" si="397"/>
        <v>4.6265138106117947</v>
      </c>
      <c r="G3922" s="1323">
        <f t="shared" si="393"/>
        <v>1999</v>
      </c>
      <c r="H3922" s="1323">
        <f t="shared" si="394"/>
        <v>1</v>
      </c>
      <c r="I3922" s="1323">
        <f t="shared" si="395"/>
        <v>4</v>
      </c>
      <c r="J3922" s="1323"/>
      <c r="K3922" s="1323"/>
      <c r="L3922" s="1323"/>
      <c r="M3922" s="1323"/>
      <c r="N3922" s="1323"/>
      <c r="O3922" s="1323"/>
      <c r="P3922" s="1323"/>
      <c r="Q3922" s="1323"/>
      <c r="R3922" s="1304"/>
      <c r="S3922" s="1304"/>
      <c r="T3922" s="1304"/>
    </row>
    <row r="3923" spans="1:20">
      <c r="A3923" s="1303"/>
      <c r="B3923" s="1322" t="s">
        <v>9830</v>
      </c>
      <c r="C3923" s="1323" t="s">
        <v>9831</v>
      </c>
      <c r="D3923" s="1324">
        <f t="shared" si="396"/>
        <v>36160</v>
      </c>
      <c r="E3923" s="1323">
        <f t="shared" si="392"/>
        <v>5.8616999999999999</v>
      </c>
      <c r="F3923" s="1323">
        <f t="shared" si="397"/>
        <v>4.6256267041205934</v>
      </c>
      <c r="G3923" s="1323">
        <f t="shared" si="393"/>
        <v>1998</v>
      </c>
      <c r="H3923" s="1323">
        <f t="shared" si="394"/>
        <v>12</v>
      </c>
      <c r="I3923" s="1323">
        <f t="shared" si="395"/>
        <v>31</v>
      </c>
      <c r="J3923" s="1323"/>
      <c r="K3923" s="1323"/>
      <c r="L3923" s="1323"/>
      <c r="M3923" s="1323"/>
      <c r="N3923" s="1323"/>
      <c r="O3923" s="1323"/>
      <c r="P3923" s="1323"/>
      <c r="Q3923" s="1323"/>
      <c r="R3923" s="1304"/>
      <c r="S3923" s="1304"/>
      <c r="T3923" s="1304"/>
    </row>
    <row r="3924" spans="1:20">
      <c r="A3924" s="1303"/>
      <c r="B3924" s="1322" t="s">
        <v>9832</v>
      </c>
      <c r="C3924" s="1323" t="s">
        <v>9833</v>
      </c>
      <c r="D3924" s="1324">
        <f t="shared" si="396"/>
        <v>36159</v>
      </c>
      <c r="E3924" s="1323">
        <f t="shared" si="392"/>
        <v>5.8857999999999997</v>
      </c>
      <c r="F3924" s="1323">
        <f t="shared" si="397"/>
        <v>4.6247397677267825</v>
      </c>
      <c r="G3924" s="1323">
        <f t="shared" si="393"/>
        <v>1998</v>
      </c>
      <c r="H3924" s="1323">
        <f t="shared" si="394"/>
        <v>12</v>
      </c>
      <c r="I3924" s="1323">
        <f t="shared" si="395"/>
        <v>30</v>
      </c>
      <c r="J3924" s="1323"/>
      <c r="K3924" s="1323"/>
      <c r="L3924" s="1323"/>
      <c r="M3924" s="1323"/>
      <c r="N3924" s="1323"/>
      <c r="O3924" s="1323"/>
      <c r="P3924" s="1323"/>
      <c r="Q3924" s="1323"/>
      <c r="R3924" s="1304"/>
      <c r="S3924" s="1304"/>
      <c r="T3924" s="1304"/>
    </row>
    <row r="3925" spans="1:20">
      <c r="A3925" s="1303"/>
      <c r="B3925" s="1322" t="s">
        <v>9834</v>
      </c>
      <c r="C3925" s="1323" t="s">
        <v>9831</v>
      </c>
      <c r="D3925" s="1324">
        <f t="shared" si="396"/>
        <v>36158</v>
      </c>
      <c r="E3925" s="1323">
        <f t="shared" si="392"/>
        <v>5.8823999999999996</v>
      </c>
      <c r="F3925" s="1323">
        <f t="shared" si="397"/>
        <v>4.6238530013977472</v>
      </c>
      <c r="G3925" s="1323">
        <f t="shared" si="393"/>
        <v>1998</v>
      </c>
      <c r="H3925" s="1323">
        <f t="shared" si="394"/>
        <v>12</v>
      </c>
      <c r="I3925" s="1323">
        <f t="shared" si="395"/>
        <v>29</v>
      </c>
      <c r="J3925" s="1323"/>
      <c r="K3925" s="1323"/>
      <c r="L3925" s="1323"/>
      <c r="M3925" s="1323"/>
      <c r="N3925" s="1323"/>
      <c r="O3925" s="1323"/>
      <c r="P3925" s="1323"/>
      <c r="Q3925" s="1323"/>
      <c r="R3925" s="1304"/>
      <c r="S3925" s="1304"/>
      <c r="T3925" s="1304"/>
    </row>
    <row r="3926" spans="1:20">
      <c r="A3926" s="1303"/>
      <c r="B3926" s="1322" t="s">
        <v>9835</v>
      </c>
      <c r="C3926" s="1323" t="s">
        <v>9836</v>
      </c>
      <c r="D3926" s="1324">
        <f t="shared" si="396"/>
        <v>36157</v>
      </c>
      <c r="E3926" s="1323">
        <f t="shared" ref="E3926:E3989" si="398">VALUE(C3927)</f>
        <v>5.8962000000000003</v>
      </c>
      <c r="F3926" s="1323">
        <f t="shared" si="397"/>
        <v>4.6229664051008781</v>
      </c>
      <c r="G3926" s="1323">
        <f t="shared" ref="G3926:G3989" si="399">YEAR(B3927)</f>
        <v>1998</v>
      </c>
      <c r="H3926" s="1323">
        <f t="shared" ref="H3926:H3989" si="400">MONTH(B3927)</f>
        <v>12</v>
      </c>
      <c r="I3926" s="1323">
        <f t="shared" ref="I3926:I3989" si="401">DAY(B3927)</f>
        <v>28</v>
      </c>
      <c r="J3926" s="1323"/>
      <c r="K3926" s="1323"/>
      <c r="L3926" s="1323"/>
      <c r="M3926" s="1323"/>
      <c r="N3926" s="1323"/>
      <c r="O3926" s="1323"/>
      <c r="P3926" s="1323"/>
      <c r="Q3926" s="1323"/>
      <c r="R3926" s="1304"/>
      <c r="S3926" s="1304"/>
      <c r="T3926" s="1304"/>
    </row>
    <row r="3927" spans="1:20">
      <c r="A3927" s="1303"/>
      <c r="B3927" s="1322" t="s">
        <v>9837</v>
      </c>
      <c r="C3927" s="1323" t="s">
        <v>9838</v>
      </c>
      <c r="D3927" s="1324">
        <f t="shared" si="396"/>
        <v>36153</v>
      </c>
      <c r="E3927" s="1323">
        <f t="shared" si="398"/>
        <v>5.9207000000000001</v>
      </c>
      <c r="F3927" s="1323">
        <f t="shared" si="397"/>
        <v>4.6220799788035736</v>
      </c>
      <c r="G3927" s="1323">
        <f t="shared" si="399"/>
        <v>1998</v>
      </c>
      <c r="H3927" s="1323">
        <f t="shared" si="400"/>
        <v>12</v>
      </c>
      <c r="I3927" s="1323">
        <f t="shared" si="401"/>
        <v>24</v>
      </c>
      <c r="J3927" s="1323"/>
      <c r="K3927" s="1323"/>
      <c r="L3927" s="1323"/>
      <c r="M3927" s="1323"/>
      <c r="N3927" s="1323"/>
      <c r="O3927" s="1323"/>
      <c r="P3927" s="1323"/>
      <c r="Q3927" s="1323"/>
      <c r="R3927" s="1304"/>
      <c r="S3927" s="1304"/>
      <c r="T3927" s="1304"/>
    </row>
    <row r="3928" spans="1:20">
      <c r="A3928" s="1303"/>
      <c r="B3928" s="1322" t="s">
        <v>9839</v>
      </c>
      <c r="C3928" s="1323" t="s">
        <v>9840</v>
      </c>
      <c r="D3928" s="1324">
        <f t="shared" si="396"/>
        <v>36152</v>
      </c>
      <c r="E3928" s="1323">
        <f t="shared" si="398"/>
        <v>5.8928000000000003</v>
      </c>
      <c r="F3928" s="1323">
        <f t="shared" si="397"/>
        <v>4.6211937224732358</v>
      </c>
      <c r="G3928" s="1323">
        <f t="shared" si="399"/>
        <v>1998</v>
      </c>
      <c r="H3928" s="1323">
        <f t="shared" si="400"/>
        <v>12</v>
      </c>
      <c r="I3928" s="1323">
        <f t="shared" si="401"/>
        <v>23</v>
      </c>
      <c r="J3928" s="1323"/>
      <c r="K3928" s="1323"/>
      <c r="L3928" s="1323"/>
      <c r="M3928" s="1323"/>
      <c r="N3928" s="1323"/>
      <c r="O3928" s="1323"/>
      <c r="P3928" s="1323"/>
      <c r="Q3928" s="1323"/>
      <c r="R3928" s="1304"/>
      <c r="S3928" s="1304"/>
      <c r="T3928" s="1304"/>
    </row>
    <row r="3929" spans="1:20">
      <c r="A3929" s="1303"/>
      <c r="B3929" s="1322" t="s">
        <v>9841</v>
      </c>
      <c r="C3929" s="1323" t="s">
        <v>9842</v>
      </c>
      <c r="D3929" s="1324">
        <f t="shared" si="396"/>
        <v>36151</v>
      </c>
      <c r="E3929" s="1323">
        <f t="shared" si="398"/>
        <v>5.9172000000000002</v>
      </c>
      <c r="F3929" s="1323">
        <f t="shared" si="397"/>
        <v>4.6203076360772757</v>
      </c>
      <c r="G3929" s="1323">
        <f t="shared" si="399"/>
        <v>1998</v>
      </c>
      <c r="H3929" s="1323">
        <f t="shared" si="400"/>
        <v>12</v>
      </c>
      <c r="I3929" s="1323">
        <f t="shared" si="401"/>
        <v>22</v>
      </c>
      <c r="J3929" s="1323"/>
      <c r="K3929" s="1323"/>
      <c r="L3929" s="1323"/>
      <c r="M3929" s="1323"/>
      <c r="N3929" s="1323"/>
      <c r="O3929" s="1323"/>
      <c r="P3929" s="1323"/>
      <c r="Q3929" s="1323"/>
      <c r="R3929" s="1304"/>
      <c r="S3929" s="1304"/>
      <c r="T3929" s="1304"/>
    </row>
    <row r="3930" spans="1:20">
      <c r="A3930" s="1303"/>
      <c r="B3930" s="1322" t="s">
        <v>9843</v>
      </c>
      <c r="C3930" s="1323" t="s">
        <v>9844</v>
      </c>
      <c r="D3930" s="1324">
        <f t="shared" si="396"/>
        <v>36150</v>
      </c>
      <c r="E3930" s="1323">
        <f t="shared" si="398"/>
        <v>5.9048999999999996</v>
      </c>
      <c r="F3930" s="1323">
        <f t="shared" si="397"/>
        <v>4.6194217195831087</v>
      </c>
      <c r="G3930" s="1323">
        <f t="shared" si="399"/>
        <v>1998</v>
      </c>
      <c r="H3930" s="1323">
        <f t="shared" si="400"/>
        <v>12</v>
      </c>
      <c r="I3930" s="1323">
        <f t="shared" si="401"/>
        <v>21</v>
      </c>
      <c r="J3930" s="1323"/>
      <c r="K3930" s="1323"/>
      <c r="L3930" s="1323"/>
      <c r="M3930" s="1323"/>
      <c r="N3930" s="1323"/>
      <c r="O3930" s="1323"/>
      <c r="P3930" s="1323"/>
      <c r="Q3930" s="1323"/>
      <c r="R3930" s="1304"/>
      <c r="S3930" s="1304"/>
      <c r="T3930" s="1304"/>
    </row>
    <row r="3931" spans="1:20">
      <c r="A3931" s="1303"/>
      <c r="B3931" s="1322" t="s">
        <v>9845</v>
      </c>
      <c r="C3931" s="1323" t="s">
        <v>9846</v>
      </c>
      <c r="D3931" s="1324">
        <f t="shared" si="396"/>
        <v>36147</v>
      </c>
      <c r="E3931" s="1323">
        <f t="shared" si="398"/>
        <v>5.8893000000000004</v>
      </c>
      <c r="F3931" s="1323">
        <f t="shared" si="397"/>
        <v>4.6185359729581572</v>
      </c>
      <c r="G3931" s="1323">
        <f t="shared" si="399"/>
        <v>1998</v>
      </c>
      <c r="H3931" s="1323">
        <f t="shared" si="400"/>
        <v>12</v>
      </c>
      <c r="I3931" s="1323">
        <f t="shared" si="401"/>
        <v>18</v>
      </c>
      <c r="J3931" s="1323"/>
      <c r="K3931" s="1323"/>
      <c r="L3931" s="1323"/>
      <c r="M3931" s="1323"/>
      <c r="N3931" s="1323"/>
      <c r="O3931" s="1323"/>
      <c r="P3931" s="1323"/>
      <c r="Q3931" s="1323"/>
      <c r="R3931" s="1304"/>
      <c r="S3931" s="1304"/>
      <c r="T3931" s="1304"/>
    </row>
    <row r="3932" spans="1:20">
      <c r="A3932" s="1303"/>
      <c r="B3932" s="1322" t="s">
        <v>9847</v>
      </c>
      <c r="C3932" s="1323" t="s">
        <v>9848</v>
      </c>
      <c r="D3932" s="1324">
        <f t="shared" si="396"/>
        <v>36146</v>
      </c>
      <c r="E3932" s="1323">
        <f t="shared" si="398"/>
        <v>5.9772999999999996</v>
      </c>
      <c r="F3932" s="1323">
        <f t="shared" si="397"/>
        <v>4.6176503961698501</v>
      </c>
      <c r="G3932" s="1323">
        <f t="shared" si="399"/>
        <v>1998</v>
      </c>
      <c r="H3932" s="1323">
        <f t="shared" si="400"/>
        <v>12</v>
      </c>
      <c r="I3932" s="1323">
        <f t="shared" si="401"/>
        <v>17</v>
      </c>
      <c r="J3932" s="1323"/>
      <c r="K3932" s="1323"/>
      <c r="L3932" s="1323"/>
      <c r="M3932" s="1323"/>
      <c r="N3932" s="1323"/>
      <c r="O3932" s="1323"/>
      <c r="P3932" s="1323"/>
      <c r="Q3932" s="1323"/>
      <c r="R3932" s="1304"/>
      <c r="S3932" s="1304"/>
      <c r="T3932" s="1304"/>
    </row>
    <row r="3933" spans="1:20">
      <c r="A3933" s="1303"/>
      <c r="B3933" s="1322" t="s">
        <v>9849</v>
      </c>
      <c r="C3933" s="1323" t="s">
        <v>9850</v>
      </c>
      <c r="D3933" s="1324">
        <f t="shared" si="396"/>
        <v>36144</v>
      </c>
      <c r="E3933" s="1323">
        <f t="shared" si="398"/>
        <v>6.0458999999999996</v>
      </c>
      <c r="F3933" s="1323">
        <f t="shared" si="397"/>
        <v>4.6167649891856222</v>
      </c>
      <c r="G3933" s="1323">
        <f t="shared" si="399"/>
        <v>1998</v>
      </c>
      <c r="H3933" s="1323">
        <f t="shared" si="400"/>
        <v>12</v>
      </c>
      <c r="I3933" s="1323">
        <f t="shared" si="401"/>
        <v>15</v>
      </c>
      <c r="J3933" s="1323"/>
      <c r="K3933" s="1323"/>
      <c r="L3933" s="1323"/>
      <c r="M3933" s="1323"/>
      <c r="N3933" s="1323"/>
      <c r="O3933" s="1323"/>
      <c r="P3933" s="1323"/>
      <c r="Q3933" s="1323"/>
      <c r="R3933" s="1304"/>
      <c r="S3933" s="1304"/>
      <c r="T3933" s="1304"/>
    </row>
    <row r="3934" spans="1:20">
      <c r="A3934" s="1303"/>
      <c r="B3934" s="1322" t="s">
        <v>9851</v>
      </c>
      <c r="C3934" s="1323" t="s">
        <v>9795</v>
      </c>
      <c r="D3934" s="1324">
        <f t="shared" si="396"/>
        <v>36143</v>
      </c>
      <c r="E3934" s="1323">
        <f t="shared" si="398"/>
        <v>5.9809000000000001</v>
      </c>
      <c r="F3934" s="1323">
        <f t="shared" si="397"/>
        <v>4.6158797519729147</v>
      </c>
      <c r="G3934" s="1323">
        <f t="shared" si="399"/>
        <v>1998</v>
      </c>
      <c r="H3934" s="1323">
        <f t="shared" si="400"/>
        <v>12</v>
      </c>
      <c r="I3934" s="1323">
        <f t="shared" si="401"/>
        <v>14</v>
      </c>
      <c r="J3934" s="1323"/>
      <c r="K3934" s="1323"/>
      <c r="L3934" s="1323"/>
      <c r="M3934" s="1323"/>
      <c r="N3934" s="1323"/>
      <c r="O3934" s="1323"/>
      <c r="P3934" s="1323"/>
      <c r="Q3934" s="1323"/>
      <c r="R3934" s="1304"/>
      <c r="S3934" s="1304"/>
      <c r="T3934" s="1304"/>
    </row>
    <row r="3935" spans="1:20">
      <c r="A3935" s="1303"/>
      <c r="B3935" s="1322" t="s">
        <v>9852</v>
      </c>
      <c r="C3935" s="1323" t="s">
        <v>9853</v>
      </c>
      <c r="D3935" s="1324">
        <f t="shared" si="396"/>
        <v>36140</v>
      </c>
      <c r="E3935" s="1323">
        <f t="shared" si="398"/>
        <v>5.9417999999999997</v>
      </c>
      <c r="F3935" s="1323">
        <f t="shared" si="397"/>
        <v>4.6149946844991749</v>
      </c>
      <c r="G3935" s="1323">
        <f t="shared" si="399"/>
        <v>1998</v>
      </c>
      <c r="H3935" s="1323">
        <f t="shared" si="400"/>
        <v>12</v>
      </c>
      <c r="I3935" s="1323">
        <f t="shared" si="401"/>
        <v>11</v>
      </c>
      <c r="J3935" s="1323"/>
      <c r="K3935" s="1323"/>
      <c r="L3935" s="1323"/>
      <c r="M3935" s="1323"/>
      <c r="N3935" s="1323"/>
      <c r="O3935" s="1323"/>
      <c r="P3935" s="1323"/>
      <c r="Q3935" s="1323"/>
      <c r="R3935" s="1304"/>
      <c r="S3935" s="1304"/>
      <c r="T3935" s="1304"/>
    </row>
    <row r="3936" spans="1:20">
      <c r="A3936" s="1303"/>
      <c r="B3936" s="1322" t="s">
        <v>9854</v>
      </c>
      <c r="C3936" s="1323" t="s">
        <v>9855</v>
      </c>
      <c r="D3936" s="1324">
        <f t="shared" si="396"/>
        <v>36139</v>
      </c>
      <c r="E3936" s="1323">
        <f t="shared" si="398"/>
        <v>5.9665999999999997</v>
      </c>
      <c r="F3936" s="1323">
        <f t="shared" si="397"/>
        <v>4.6141097867318566</v>
      </c>
      <c r="G3936" s="1323">
        <f t="shared" si="399"/>
        <v>1998</v>
      </c>
      <c r="H3936" s="1323">
        <f t="shared" si="400"/>
        <v>12</v>
      </c>
      <c r="I3936" s="1323">
        <f t="shared" si="401"/>
        <v>10</v>
      </c>
      <c r="J3936" s="1323"/>
      <c r="K3936" s="1323"/>
      <c r="L3936" s="1323"/>
      <c r="M3936" s="1323"/>
      <c r="N3936" s="1323"/>
      <c r="O3936" s="1323"/>
      <c r="P3936" s="1323"/>
      <c r="Q3936" s="1323"/>
      <c r="R3936" s="1304"/>
      <c r="S3936" s="1304"/>
      <c r="T3936" s="1304"/>
    </row>
    <row r="3937" spans="1:20">
      <c r="A3937" s="1303"/>
      <c r="B3937" s="1322" t="s">
        <v>9856</v>
      </c>
      <c r="C3937" s="1323" t="s">
        <v>9857</v>
      </c>
      <c r="D3937" s="1324">
        <f t="shared" si="396"/>
        <v>36138</v>
      </c>
      <c r="E3937" s="1323">
        <f t="shared" si="398"/>
        <v>6.0186999999999999</v>
      </c>
      <c r="F3937" s="1323">
        <f t="shared" si="397"/>
        <v>4.6132250586384185</v>
      </c>
      <c r="G3937" s="1323">
        <f t="shared" si="399"/>
        <v>1998</v>
      </c>
      <c r="H3937" s="1323">
        <f t="shared" si="400"/>
        <v>12</v>
      </c>
      <c r="I3937" s="1323">
        <f t="shared" si="401"/>
        <v>9</v>
      </c>
      <c r="J3937" s="1323"/>
      <c r="K3937" s="1323"/>
      <c r="L3937" s="1323"/>
      <c r="M3937" s="1323"/>
      <c r="N3937" s="1323"/>
      <c r="O3937" s="1323"/>
      <c r="P3937" s="1323"/>
      <c r="Q3937" s="1323"/>
      <c r="R3937" s="1304"/>
      <c r="S3937" s="1304"/>
      <c r="T3937" s="1304"/>
    </row>
    <row r="3938" spans="1:20">
      <c r="A3938" s="1303"/>
      <c r="B3938" s="1322" t="s">
        <v>9858</v>
      </c>
      <c r="C3938" s="1323" t="s">
        <v>7013</v>
      </c>
      <c r="D3938" s="1324">
        <f t="shared" si="396"/>
        <v>36137</v>
      </c>
      <c r="E3938" s="1323">
        <f t="shared" si="398"/>
        <v>5.9683999999999999</v>
      </c>
      <c r="F3938" s="1323">
        <f t="shared" si="397"/>
        <v>4.6123405001863276</v>
      </c>
      <c r="G3938" s="1323">
        <f t="shared" si="399"/>
        <v>1998</v>
      </c>
      <c r="H3938" s="1323">
        <f t="shared" si="400"/>
        <v>12</v>
      </c>
      <c r="I3938" s="1323">
        <f t="shared" si="401"/>
        <v>8</v>
      </c>
      <c r="J3938" s="1323"/>
      <c r="K3938" s="1323"/>
      <c r="L3938" s="1323"/>
      <c r="M3938" s="1323"/>
      <c r="N3938" s="1323"/>
      <c r="O3938" s="1323"/>
      <c r="P3938" s="1323"/>
      <c r="Q3938" s="1323"/>
      <c r="R3938" s="1304"/>
      <c r="S3938" s="1304"/>
      <c r="T3938" s="1304"/>
    </row>
    <row r="3939" spans="1:20">
      <c r="A3939" s="1303"/>
      <c r="B3939" s="1322" t="s">
        <v>9859</v>
      </c>
      <c r="C3939" s="1323" t="s">
        <v>9793</v>
      </c>
      <c r="D3939" s="1324">
        <f t="shared" si="396"/>
        <v>36136</v>
      </c>
      <c r="E3939" s="1323">
        <f t="shared" si="398"/>
        <v>5.9137000000000004</v>
      </c>
      <c r="F3939" s="1323">
        <f t="shared" si="397"/>
        <v>4.6114561113430561</v>
      </c>
      <c r="G3939" s="1323">
        <f t="shared" si="399"/>
        <v>1998</v>
      </c>
      <c r="H3939" s="1323">
        <f t="shared" si="400"/>
        <v>12</v>
      </c>
      <c r="I3939" s="1323">
        <f t="shared" si="401"/>
        <v>7</v>
      </c>
      <c r="J3939" s="1323"/>
      <c r="K3939" s="1323"/>
      <c r="L3939" s="1323"/>
      <c r="M3939" s="1323"/>
      <c r="N3939" s="1323"/>
      <c r="O3939" s="1323"/>
      <c r="P3939" s="1323"/>
      <c r="Q3939" s="1323"/>
      <c r="R3939" s="1304"/>
      <c r="S3939" s="1304"/>
      <c r="T3939" s="1304"/>
    </row>
    <row r="3940" spans="1:20">
      <c r="A3940" s="1303"/>
      <c r="B3940" s="1322" t="s">
        <v>9860</v>
      </c>
      <c r="C3940" s="1323" t="s">
        <v>9861</v>
      </c>
      <c r="D3940" s="1324">
        <f t="shared" si="396"/>
        <v>36133</v>
      </c>
      <c r="E3940" s="1323">
        <f t="shared" si="398"/>
        <v>5.7571000000000003</v>
      </c>
      <c r="F3940" s="1323">
        <f t="shared" si="397"/>
        <v>4.6105718920760825</v>
      </c>
      <c r="G3940" s="1323">
        <f t="shared" si="399"/>
        <v>1998</v>
      </c>
      <c r="H3940" s="1323">
        <f t="shared" si="400"/>
        <v>12</v>
      </c>
      <c r="I3940" s="1323">
        <f t="shared" si="401"/>
        <v>4</v>
      </c>
      <c r="J3940" s="1323"/>
      <c r="K3940" s="1323"/>
      <c r="L3940" s="1323"/>
      <c r="M3940" s="1323"/>
      <c r="N3940" s="1323"/>
      <c r="O3940" s="1323"/>
      <c r="P3940" s="1323"/>
      <c r="Q3940" s="1323"/>
      <c r="R3940" s="1304"/>
      <c r="S3940" s="1304"/>
      <c r="T3940" s="1304"/>
    </row>
    <row r="3941" spans="1:20">
      <c r="A3941" s="1303"/>
      <c r="B3941" s="1322" t="s">
        <v>9862</v>
      </c>
      <c r="C3941" s="1323" t="s">
        <v>9863</v>
      </c>
      <c r="D3941" s="1324">
        <f t="shared" si="396"/>
        <v>36132</v>
      </c>
      <c r="E3941" s="1323">
        <f t="shared" si="398"/>
        <v>5.6721000000000004</v>
      </c>
      <c r="F3941" s="1323">
        <f t="shared" si="397"/>
        <v>4.6096878423528915</v>
      </c>
      <c r="G3941" s="1323">
        <f t="shared" si="399"/>
        <v>1998</v>
      </c>
      <c r="H3941" s="1323">
        <f t="shared" si="400"/>
        <v>12</v>
      </c>
      <c r="I3941" s="1323">
        <f t="shared" si="401"/>
        <v>3</v>
      </c>
      <c r="J3941" s="1323"/>
      <c r="K3941" s="1323"/>
      <c r="L3941" s="1323"/>
      <c r="M3941" s="1323"/>
      <c r="N3941" s="1323"/>
      <c r="O3941" s="1323"/>
      <c r="P3941" s="1323"/>
      <c r="Q3941" s="1323"/>
      <c r="R3941" s="1304"/>
      <c r="S3941" s="1304"/>
      <c r="T3941" s="1304"/>
    </row>
    <row r="3942" spans="1:20">
      <c r="A3942" s="1303"/>
      <c r="B3942" s="1322" t="s">
        <v>9864</v>
      </c>
      <c r="C3942" s="1323" t="s">
        <v>9865</v>
      </c>
      <c r="D3942" s="1324">
        <f t="shared" si="396"/>
        <v>36131</v>
      </c>
      <c r="E3942" s="1323">
        <f t="shared" si="398"/>
        <v>5.6593</v>
      </c>
      <c r="F3942" s="1323">
        <f t="shared" si="397"/>
        <v>4.608803962140974</v>
      </c>
      <c r="G3942" s="1323">
        <f t="shared" si="399"/>
        <v>1998</v>
      </c>
      <c r="H3942" s="1323">
        <f t="shared" si="400"/>
        <v>12</v>
      </c>
      <c r="I3942" s="1323">
        <f t="shared" si="401"/>
        <v>2</v>
      </c>
      <c r="J3942" s="1323"/>
      <c r="K3942" s="1323"/>
      <c r="L3942" s="1323"/>
      <c r="M3942" s="1323"/>
      <c r="N3942" s="1323"/>
      <c r="O3942" s="1323"/>
      <c r="P3942" s="1323"/>
      <c r="Q3942" s="1323"/>
      <c r="R3942" s="1304"/>
      <c r="S3942" s="1304"/>
      <c r="T3942" s="1304"/>
    </row>
    <row r="3943" spans="1:20">
      <c r="A3943" s="1303"/>
      <c r="B3943" s="1322" t="s">
        <v>9866</v>
      </c>
      <c r="C3943" s="1323" t="s">
        <v>9867</v>
      </c>
      <c r="D3943" s="1324">
        <f t="shared" si="396"/>
        <v>36130</v>
      </c>
      <c r="E3943" s="1323">
        <f t="shared" si="398"/>
        <v>5.6882999999999999</v>
      </c>
      <c r="F3943" s="1323">
        <f t="shared" si="397"/>
        <v>4.607920251407827</v>
      </c>
      <c r="G3943" s="1323">
        <f t="shared" si="399"/>
        <v>1998</v>
      </c>
      <c r="H3943" s="1323">
        <f t="shared" si="400"/>
        <v>12</v>
      </c>
      <c r="I3943" s="1323">
        <f t="shared" si="401"/>
        <v>1</v>
      </c>
      <c r="J3943" s="1323"/>
      <c r="K3943" s="1323"/>
      <c r="L3943" s="1323"/>
      <c r="M3943" s="1323"/>
      <c r="N3943" s="1323"/>
      <c r="O3943" s="1323"/>
      <c r="P3943" s="1323"/>
      <c r="Q3943" s="1323"/>
      <c r="R3943" s="1304"/>
      <c r="S3943" s="1304"/>
      <c r="T3943" s="1304"/>
    </row>
    <row r="3944" spans="1:20">
      <c r="A3944" s="1303"/>
      <c r="B3944" s="1322" t="s">
        <v>9868</v>
      </c>
      <c r="C3944" s="1323" t="s">
        <v>9869</v>
      </c>
      <c r="D3944" s="1324">
        <f t="shared" si="396"/>
        <v>36129</v>
      </c>
      <c r="E3944" s="1323">
        <f t="shared" si="398"/>
        <v>5.7191999999999998</v>
      </c>
      <c r="F3944" s="1323">
        <f t="shared" si="397"/>
        <v>4.6070367101209539</v>
      </c>
      <c r="G3944" s="1323">
        <f t="shared" si="399"/>
        <v>1998</v>
      </c>
      <c r="H3944" s="1323">
        <f t="shared" si="400"/>
        <v>11</v>
      </c>
      <c r="I3944" s="1323">
        <f t="shared" si="401"/>
        <v>30</v>
      </c>
      <c r="J3944" s="1323"/>
      <c r="K3944" s="1323"/>
      <c r="L3944" s="1323"/>
      <c r="M3944" s="1323"/>
      <c r="N3944" s="1323"/>
      <c r="O3944" s="1323"/>
      <c r="P3944" s="1323"/>
      <c r="Q3944" s="1323"/>
      <c r="R3944" s="1304"/>
      <c r="S3944" s="1304"/>
      <c r="T3944" s="1304"/>
    </row>
    <row r="3945" spans="1:20">
      <c r="A3945" s="1303"/>
      <c r="B3945" s="1322" t="s">
        <v>9870</v>
      </c>
      <c r="C3945" s="1323" t="s">
        <v>9871</v>
      </c>
      <c r="D3945" s="1324">
        <f t="shared" si="396"/>
        <v>36126</v>
      </c>
      <c r="E3945" s="1323">
        <f t="shared" si="398"/>
        <v>5.7306999999999997</v>
      </c>
      <c r="F3945" s="1323">
        <f t="shared" si="397"/>
        <v>4.6061533382478652</v>
      </c>
      <c r="G3945" s="1323">
        <f t="shared" si="399"/>
        <v>1998</v>
      </c>
      <c r="H3945" s="1323">
        <f t="shared" si="400"/>
        <v>11</v>
      </c>
      <c r="I3945" s="1323">
        <f t="shared" si="401"/>
        <v>27</v>
      </c>
      <c r="J3945" s="1323"/>
      <c r="K3945" s="1323"/>
      <c r="L3945" s="1323"/>
      <c r="M3945" s="1323"/>
      <c r="N3945" s="1323"/>
      <c r="O3945" s="1323"/>
      <c r="P3945" s="1323"/>
      <c r="Q3945" s="1323"/>
      <c r="R3945" s="1304"/>
      <c r="S3945" s="1304"/>
      <c r="T3945" s="1304"/>
    </row>
    <row r="3946" spans="1:20">
      <c r="A3946" s="1303"/>
      <c r="B3946" s="1322" t="s">
        <v>9872</v>
      </c>
      <c r="C3946" s="1323" t="s">
        <v>9873</v>
      </c>
      <c r="D3946" s="1324">
        <f t="shared" si="396"/>
        <v>36125</v>
      </c>
      <c r="E3946" s="1323">
        <f t="shared" si="398"/>
        <v>5.6849999999999996</v>
      </c>
      <c r="F3946" s="1323">
        <f t="shared" si="397"/>
        <v>4.6052701357560766</v>
      </c>
      <c r="G3946" s="1323">
        <f t="shared" si="399"/>
        <v>1998</v>
      </c>
      <c r="H3946" s="1323">
        <f t="shared" si="400"/>
        <v>11</v>
      </c>
      <c r="I3946" s="1323">
        <f t="shared" si="401"/>
        <v>26</v>
      </c>
      <c r="J3946" s="1323"/>
      <c r="K3946" s="1323"/>
      <c r="L3946" s="1323"/>
      <c r="M3946" s="1323"/>
      <c r="N3946" s="1323"/>
      <c r="O3946" s="1323"/>
      <c r="P3946" s="1323"/>
      <c r="Q3946" s="1323"/>
      <c r="R3946" s="1304"/>
      <c r="S3946" s="1304"/>
      <c r="T3946" s="1304"/>
    </row>
    <row r="3947" spans="1:20">
      <c r="A3947" s="1303"/>
      <c r="B3947" s="1322" t="s">
        <v>9874</v>
      </c>
      <c r="C3947" s="1323" t="s">
        <v>9875</v>
      </c>
      <c r="D3947" s="1324">
        <f t="shared" si="396"/>
        <v>36124</v>
      </c>
      <c r="E3947" s="1323">
        <f t="shared" si="398"/>
        <v>5.6947999999999999</v>
      </c>
      <c r="F3947" s="1323">
        <f t="shared" si="397"/>
        <v>4.6043871026131091</v>
      </c>
      <c r="G3947" s="1323">
        <f t="shared" si="399"/>
        <v>1998</v>
      </c>
      <c r="H3947" s="1323">
        <f t="shared" si="400"/>
        <v>11</v>
      </c>
      <c r="I3947" s="1323">
        <f t="shared" si="401"/>
        <v>25</v>
      </c>
      <c r="J3947" s="1323"/>
      <c r="K3947" s="1323"/>
      <c r="L3947" s="1323"/>
      <c r="M3947" s="1323"/>
      <c r="N3947" s="1323"/>
      <c r="O3947" s="1323"/>
      <c r="P3947" s="1323"/>
      <c r="Q3947" s="1323"/>
      <c r="R3947" s="1304"/>
      <c r="S3947" s="1304"/>
      <c r="T3947" s="1304"/>
    </row>
    <row r="3948" spans="1:20">
      <c r="A3948" s="1303"/>
      <c r="B3948" s="1322" t="s">
        <v>9876</v>
      </c>
      <c r="C3948" s="1323" t="s">
        <v>9877</v>
      </c>
      <c r="D3948" s="1324">
        <f t="shared" si="396"/>
        <v>36123</v>
      </c>
      <c r="E3948" s="1323">
        <f t="shared" si="398"/>
        <v>5.7012999999999998</v>
      </c>
      <c r="F3948" s="1323">
        <f t="shared" si="397"/>
        <v>4.603504238786492</v>
      </c>
      <c r="G3948" s="1323">
        <f t="shared" si="399"/>
        <v>1998</v>
      </c>
      <c r="H3948" s="1323">
        <f t="shared" si="400"/>
        <v>11</v>
      </c>
      <c r="I3948" s="1323">
        <f t="shared" si="401"/>
        <v>24</v>
      </c>
      <c r="J3948" s="1323"/>
      <c r="K3948" s="1323"/>
      <c r="L3948" s="1323"/>
      <c r="M3948" s="1323"/>
      <c r="N3948" s="1323"/>
      <c r="O3948" s="1323"/>
      <c r="P3948" s="1323"/>
      <c r="Q3948" s="1323"/>
      <c r="R3948" s="1304"/>
      <c r="S3948" s="1304"/>
      <c r="T3948" s="1304"/>
    </row>
    <row r="3949" spans="1:20">
      <c r="A3949" s="1303"/>
      <c r="B3949" s="1322" t="s">
        <v>9878</v>
      </c>
      <c r="C3949" s="1323" t="s">
        <v>9879</v>
      </c>
      <c r="D3949" s="1324">
        <f t="shared" si="396"/>
        <v>36122</v>
      </c>
      <c r="E3949" s="1323">
        <f t="shared" si="398"/>
        <v>5.6306000000000003</v>
      </c>
      <c r="F3949" s="1323">
        <f t="shared" si="397"/>
        <v>4.6026215442437604</v>
      </c>
      <c r="G3949" s="1323">
        <f t="shared" si="399"/>
        <v>1998</v>
      </c>
      <c r="H3949" s="1323">
        <f t="shared" si="400"/>
        <v>11</v>
      </c>
      <c r="I3949" s="1323">
        <f t="shared" si="401"/>
        <v>23</v>
      </c>
      <c r="J3949" s="1323"/>
      <c r="K3949" s="1323"/>
      <c r="L3949" s="1323"/>
      <c r="M3949" s="1323"/>
      <c r="N3949" s="1323"/>
      <c r="O3949" s="1323"/>
      <c r="P3949" s="1323"/>
      <c r="Q3949" s="1323"/>
      <c r="R3949" s="1304"/>
      <c r="S3949" s="1304"/>
      <c r="T3949" s="1304"/>
    </row>
    <row r="3950" spans="1:20">
      <c r="A3950" s="1303"/>
      <c r="B3950" s="1322" t="s">
        <v>9880</v>
      </c>
      <c r="C3950" s="1323" t="s">
        <v>9881</v>
      </c>
      <c r="D3950" s="1324">
        <f t="shared" si="396"/>
        <v>36119</v>
      </c>
      <c r="E3950" s="1323">
        <f t="shared" si="398"/>
        <v>5.6433</v>
      </c>
      <c r="F3950" s="1323">
        <f t="shared" si="397"/>
        <v>4.6017390189524541</v>
      </c>
      <c r="G3950" s="1323">
        <f t="shared" si="399"/>
        <v>1998</v>
      </c>
      <c r="H3950" s="1323">
        <f t="shared" si="400"/>
        <v>11</v>
      </c>
      <c r="I3950" s="1323">
        <f t="shared" si="401"/>
        <v>20</v>
      </c>
      <c r="J3950" s="1323"/>
      <c r="K3950" s="1323"/>
      <c r="L3950" s="1323"/>
      <c r="M3950" s="1323"/>
      <c r="N3950" s="1323"/>
      <c r="O3950" s="1323"/>
      <c r="P3950" s="1323"/>
      <c r="Q3950" s="1323"/>
      <c r="R3950" s="1304"/>
      <c r="S3950" s="1304"/>
      <c r="T3950" s="1304"/>
    </row>
    <row r="3951" spans="1:20">
      <c r="A3951" s="1303"/>
      <c r="B3951" s="1322" t="s">
        <v>9882</v>
      </c>
      <c r="C3951" s="1323" t="s">
        <v>9883</v>
      </c>
      <c r="D3951" s="1324">
        <f t="shared" si="396"/>
        <v>36118</v>
      </c>
      <c r="E3951" s="1323">
        <f t="shared" si="398"/>
        <v>5.6947999999999999</v>
      </c>
      <c r="F3951" s="1323">
        <f t="shared" si="397"/>
        <v>4.6008566628801209</v>
      </c>
      <c r="G3951" s="1323">
        <f t="shared" si="399"/>
        <v>1998</v>
      </c>
      <c r="H3951" s="1323">
        <f t="shared" si="400"/>
        <v>11</v>
      </c>
      <c r="I3951" s="1323">
        <f t="shared" si="401"/>
        <v>19</v>
      </c>
      <c r="J3951" s="1323"/>
      <c r="K3951" s="1323"/>
      <c r="L3951" s="1323"/>
      <c r="M3951" s="1323"/>
      <c r="N3951" s="1323"/>
      <c r="O3951" s="1323"/>
      <c r="P3951" s="1323"/>
      <c r="Q3951" s="1323"/>
      <c r="R3951" s="1304"/>
      <c r="S3951" s="1304"/>
      <c r="T3951" s="1304"/>
    </row>
    <row r="3952" spans="1:20">
      <c r="A3952" s="1303"/>
      <c r="B3952" s="1322" t="s">
        <v>9884</v>
      </c>
      <c r="C3952" s="1323" t="s">
        <v>9877</v>
      </c>
      <c r="D3952" s="1324">
        <f t="shared" si="396"/>
        <v>36117</v>
      </c>
      <c r="E3952" s="1323">
        <f t="shared" si="398"/>
        <v>5.6786000000000003</v>
      </c>
      <c r="F3952" s="1323">
        <f t="shared" si="397"/>
        <v>4.5999744759943137</v>
      </c>
      <c r="G3952" s="1323">
        <f t="shared" si="399"/>
        <v>1998</v>
      </c>
      <c r="H3952" s="1323">
        <f t="shared" si="400"/>
        <v>11</v>
      </c>
      <c r="I3952" s="1323">
        <f t="shared" si="401"/>
        <v>18</v>
      </c>
      <c r="J3952" s="1323"/>
      <c r="K3952" s="1323"/>
      <c r="L3952" s="1323"/>
      <c r="M3952" s="1323"/>
      <c r="N3952" s="1323"/>
      <c r="O3952" s="1323"/>
      <c r="P3952" s="1323"/>
      <c r="Q3952" s="1323"/>
      <c r="R3952" s="1304"/>
      <c r="S3952" s="1304"/>
      <c r="T3952" s="1304"/>
    </row>
    <row r="3953" spans="1:20">
      <c r="A3953" s="1303"/>
      <c r="B3953" s="1322" t="s">
        <v>9885</v>
      </c>
      <c r="C3953" s="1323" t="s">
        <v>9886</v>
      </c>
      <c r="D3953" s="1324">
        <f t="shared" si="396"/>
        <v>36116</v>
      </c>
      <c r="E3953" s="1323">
        <f t="shared" si="398"/>
        <v>5.6528999999999998</v>
      </c>
      <c r="F3953" s="1323">
        <f t="shared" si="397"/>
        <v>4.5990924582625921</v>
      </c>
      <c r="G3953" s="1323">
        <f t="shared" si="399"/>
        <v>1998</v>
      </c>
      <c r="H3953" s="1323">
        <f t="shared" si="400"/>
        <v>11</v>
      </c>
      <c r="I3953" s="1323">
        <f t="shared" si="401"/>
        <v>17</v>
      </c>
      <c r="J3953" s="1323"/>
      <c r="K3953" s="1323"/>
      <c r="L3953" s="1323"/>
      <c r="M3953" s="1323"/>
      <c r="N3953" s="1323"/>
      <c r="O3953" s="1323"/>
      <c r="P3953" s="1323"/>
      <c r="Q3953" s="1323"/>
      <c r="R3953" s="1304"/>
      <c r="S3953" s="1304"/>
      <c r="T3953" s="1304"/>
    </row>
    <row r="3954" spans="1:20">
      <c r="A3954" s="1303"/>
      <c r="B3954" s="1322" t="s">
        <v>9887</v>
      </c>
      <c r="C3954" s="1323" t="s">
        <v>9888</v>
      </c>
      <c r="D3954" s="1324">
        <f t="shared" si="396"/>
        <v>36115</v>
      </c>
      <c r="E3954" s="1323">
        <f t="shared" si="398"/>
        <v>5.7225000000000001</v>
      </c>
      <c r="F3954" s="1323">
        <f t="shared" si="397"/>
        <v>4.5982106096525213</v>
      </c>
      <c r="G3954" s="1323">
        <f t="shared" si="399"/>
        <v>1998</v>
      </c>
      <c r="H3954" s="1323">
        <f t="shared" si="400"/>
        <v>11</v>
      </c>
      <c r="I3954" s="1323">
        <f t="shared" si="401"/>
        <v>16</v>
      </c>
      <c r="J3954" s="1323"/>
      <c r="K3954" s="1323"/>
      <c r="L3954" s="1323"/>
      <c r="M3954" s="1323"/>
      <c r="N3954" s="1323"/>
      <c r="O3954" s="1323"/>
      <c r="P3954" s="1323"/>
      <c r="Q3954" s="1323"/>
      <c r="R3954" s="1304"/>
      <c r="S3954" s="1304"/>
      <c r="T3954" s="1304"/>
    </row>
    <row r="3955" spans="1:20">
      <c r="A3955" s="1303"/>
      <c r="B3955" s="1322" t="s">
        <v>9889</v>
      </c>
      <c r="C3955" s="1323" t="s">
        <v>9890</v>
      </c>
      <c r="D3955" s="1324">
        <f t="shared" si="396"/>
        <v>36112</v>
      </c>
      <c r="E3955" s="1323">
        <f t="shared" si="398"/>
        <v>5.7207999999999997</v>
      </c>
      <c r="F3955" s="1323">
        <f t="shared" si="397"/>
        <v>4.597328930131674</v>
      </c>
      <c r="G3955" s="1323">
        <f t="shared" si="399"/>
        <v>1998</v>
      </c>
      <c r="H3955" s="1323">
        <f t="shared" si="400"/>
        <v>11</v>
      </c>
      <c r="I3955" s="1323">
        <f t="shared" si="401"/>
        <v>13</v>
      </c>
      <c r="J3955" s="1323"/>
      <c r="K3955" s="1323"/>
      <c r="L3955" s="1323"/>
      <c r="M3955" s="1323"/>
      <c r="N3955" s="1323"/>
      <c r="O3955" s="1323"/>
      <c r="P3955" s="1323"/>
      <c r="Q3955" s="1323"/>
      <c r="R3955" s="1304"/>
      <c r="S3955" s="1304"/>
      <c r="T3955" s="1304"/>
    </row>
    <row r="3956" spans="1:20">
      <c r="A3956" s="1303"/>
      <c r="B3956" s="1322" t="s">
        <v>9891</v>
      </c>
      <c r="C3956" s="1323" t="s">
        <v>9892</v>
      </c>
      <c r="D3956" s="1324">
        <f t="shared" si="396"/>
        <v>36111</v>
      </c>
      <c r="E3956" s="1323">
        <f t="shared" si="398"/>
        <v>5.7504</v>
      </c>
      <c r="F3956" s="1323">
        <f t="shared" si="397"/>
        <v>4.5964474196676282</v>
      </c>
      <c r="G3956" s="1323">
        <f t="shared" si="399"/>
        <v>1998</v>
      </c>
      <c r="H3956" s="1323">
        <f t="shared" si="400"/>
        <v>11</v>
      </c>
      <c r="I3956" s="1323">
        <f t="shared" si="401"/>
        <v>12</v>
      </c>
      <c r="J3956" s="1323"/>
      <c r="K3956" s="1323"/>
      <c r="L3956" s="1323"/>
      <c r="M3956" s="1323"/>
      <c r="N3956" s="1323"/>
      <c r="O3956" s="1323"/>
      <c r="P3956" s="1323"/>
      <c r="Q3956" s="1323"/>
      <c r="R3956" s="1304"/>
      <c r="S3956" s="1304"/>
      <c r="T3956" s="1304"/>
    </row>
    <row r="3957" spans="1:20">
      <c r="A3957" s="1303"/>
      <c r="B3957" s="1322" t="s">
        <v>9893</v>
      </c>
      <c r="C3957" s="1323" t="s">
        <v>9894</v>
      </c>
      <c r="D3957" s="1324">
        <f t="shared" si="396"/>
        <v>36110</v>
      </c>
      <c r="E3957" s="1323">
        <f t="shared" si="398"/>
        <v>5.6608999999999998</v>
      </c>
      <c r="F3957" s="1323">
        <f t="shared" si="397"/>
        <v>4.5955660782279679</v>
      </c>
      <c r="G3957" s="1323">
        <f t="shared" si="399"/>
        <v>1998</v>
      </c>
      <c r="H3957" s="1323">
        <f t="shared" si="400"/>
        <v>11</v>
      </c>
      <c r="I3957" s="1323">
        <f t="shared" si="401"/>
        <v>11</v>
      </c>
      <c r="J3957" s="1323"/>
      <c r="K3957" s="1323"/>
      <c r="L3957" s="1323"/>
      <c r="M3957" s="1323"/>
      <c r="N3957" s="1323"/>
      <c r="O3957" s="1323"/>
      <c r="P3957" s="1323"/>
      <c r="Q3957" s="1323"/>
      <c r="R3957" s="1304"/>
      <c r="S3957" s="1304"/>
      <c r="T3957" s="1304"/>
    </row>
    <row r="3958" spans="1:20">
      <c r="A3958" s="1303"/>
      <c r="B3958" s="1322" t="s">
        <v>9895</v>
      </c>
      <c r="C3958" s="1323" t="s">
        <v>9896</v>
      </c>
      <c r="D3958" s="1324">
        <f t="shared" si="396"/>
        <v>36109</v>
      </c>
      <c r="E3958" s="1323">
        <f t="shared" si="398"/>
        <v>5.6211000000000002</v>
      </c>
      <c r="F3958" s="1323">
        <f t="shared" si="397"/>
        <v>4.5946849057802837</v>
      </c>
      <c r="G3958" s="1323">
        <f t="shared" si="399"/>
        <v>1998</v>
      </c>
      <c r="H3958" s="1323">
        <f t="shared" si="400"/>
        <v>11</v>
      </c>
      <c r="I3958" s="1323">
        <f t="shared" si="401"/>
        <v>10</v>
      </c>
      <c r="J3958" s="1323"/>
      <c r="K3958" s="1323"/>
      <c r="L3958" s="1323"/>
      <c r="M3958" s="1323"/>
      <c r="N3958" s="1323"/>
      <c r="O3958" s="1323"/>
      <c r="P3958" s="1323"/>
      <c r="Q3958" s="1323"/>
      <c r="R3958" s="1304"/>
      <c r="S3958" s="1304"/>
      <c r="T3958" s="1304"/>
    </row>
    <row r="3959" spans="1:20">
      <c r="A3959" s="1303"/>
      <c r="B3959" s="1322" t="s">
        <v>9897</v>
      </c>
      <c r="C3959" s="1323" t="s">
        <v>9898</v>
      </c>
      <c r="D3959" s="1324">
        <f t="shared" si="396"/>
        <v>36108</v>
      </c>
      <c r="E3959" s="1323">
        <f t="shared" si="398"/>
        <v>5.5324999999999998</v>
      </c>
      <c r="F3959" s="1323">
        <f t="shared" si="397"/>
        <v>4.5938039022921728</v>
      </c>
      <c r="G3959" s="1323">
        <f t="shared" si="399"/>
        <v>1998</v>
      </c>
      <c r="H3959" s="1323">
        <f t="shared" si="400"/>
        <v>11</v>
      </c>
      <c r="I3959" s="1323">
        <f t="shared" si="401"/>
        <v>9</v>
      </c>
      <c r="J3959" s="1323"/>
      <c r="K3959" s="1323"/>
      <c r="L3959" s="1323"/>
      <c r="M3959" s="1323"/>
      <c r="N3959" s="1323"/>
      <c r="O3959" s="1323"/>
      <c r="P3959" s="1323"/>
      <c r="Q3959" s="1323"/>
      <c r="R3959" s="1304"/>
      <c r="S3959" s="1304"/>
      <c r="T3959" s="1304"/>
    </row>
    <row r="3960" spans="1:20">
      <c r="A3960" s="1303"/>
      <c r="B3960" s="1322" t="s">
        <v>9899</v>
      </c>
      <c r="C3960" s="1323" t="s">
        <v>9900</v>
      </c>
      <c r="D3960" s="1324">
        <f t="shared" si="396"/>
        <v>36105</v>
      </c>
      <c r="E3960" s="1323">
        <f t="shared" si="398"/>
        <v>5.5571000000000002</v>
      </c>
      <c r="F3960" s="1323">
        <f t="shared" si="397"/>
        <v>4.5929230677312383</v>
      </c>
      <c r="G3960" s="1323">
        <f t="shared" si="399"/>
        <v>1998</v>
      </c>
      <c r="H3960" s="1323">
        <f t="shared" si="400"/>
        <v>11</v>
      </c>
      <c r="I3960" s="1323">
        <f t="shared" si="401"/>
        <v>6</v>
      </c>
      <c r="J3960" s="1323"/>
      <c r="K3960" s="1323"/>
      <c r="L3960" s="1323"/>
      <c r="M3960" s="1323"/>
      <c r="N3960" s="1323"/>
      <c r="O3960" s="1323"/>
      <c r="P3960" s="1323"/>
      <c r="Q3960" s="1323"/>
      <c r="R3960" s="1304"/>
      <c r="S3960" s="1304"/>
      <c r="T3960" s="1304"/>
    </row>
    <row r="3961" spans="1:20">
      <c r="A3961" s="1303"/>
      <c r="B3961" s="1322" t="s">
        <v>9901</v>
      </c>
      <c r="C3961" s="1323" t="s">
        <v>9902</v>
      </c>
      <c r="D3961" s="1324">
        <f t="shared" si="396"/>
        <v>36104</v>
      </c>
      <c r="E3961" s="1323">
        <f t="shared" si="398"/>
        <v>5.6132</v>
      </c>
      <c r="F3961" s="1323">
        <f t="shared" si="397"/>
        <v>4.592042402065089</v>
      </c>
      <c r="G3961" s="1323">
        <f t="shared" si="399"/>
        <v>1998</v>
      </c>
      <c r="H3961" s="1323">
        <f t="shared" si="400"/>
        <v>11</v>
      </c>
      <c r="I3961" s="1323">
        <f t="shared" si="401"/>
        <v>5</v>
      </c>
      <c r="J3961" s="1323"/>
      <c r="K3961" s="1323"/>
      <c r="L3961" s="1323"/>
      <c r="M3961" s="1323"/>
      <c r="N3961" s="1323"/>
      <c r="O3961" s="1323"/>
      <c r="P3961" s="1323"/>
      <c r="Q3961" s="1323"/>
      <c r="R3961" s="1304"/>
      <c r="S3961" s="1304"/>
      <c r="T3961" s="1304"/>
    </row>
    <row r="3962" spans="1:20">
      <c r="A3962" s="1303"/>
      <c r="B3962" s="1322" t="s">
        <v>9903</v>
      </c>
      <c r="C3962" s="1323" t="s">
        <v>9904</v>
      </c>
      <c r="D3962" s="1324">
        <f t="shared" si="396"/>
        <v>36103</v>
      </c>
      <c r="E3962" s="1323">
        <f t="shared" si="398"/>
        <v>5.6116999999999999</v>
      </c>
      <c r="F3962" s="1323">
        <f t="shared" si="397"/>
        <v>4.5911619052613402</v>
      </c>
      <c r="G3962" s="1323">
        <f t="shared" si="399"/>
        <v>1998</v>
      </c>
      <c r="H3962" s="1323">
        <f t="shared" si="400"/>
        <v>11</v>
      </c>
      <c r="I3962" s="1323">
        <f t="shared" si="401"/>
        <v>4</v>
      </c>
      <c r="J3962" s="1323"/>
      <c r="K3962" s="1323"/>
      <c r="L3962" s="1323"/>
      <c r="M3962" s="1323"/>
      <c r="N3962" s="1323"/>
      <c r="O3962" s="1323"/>
      <c r="P3962" s="1323"/>
      <c r="Q3962" s="1323"/>
      <c r="R3962" s="1304"/>
      <c r="S3962" s="1304"/>
      <c r="T3962" s="1304"/>
    </row>
    <row r="3963" spans="1:20">
      <c r="A3963" s="1303"/>
      <c r="B3963" s="1322" t="s">
        <v>9905</v>
      </c>
      <c r="C3963" s="1323" t="s">
        <v>9906</v>
      </c>
      <c r="D3963" s="1324">
        <f t="shared" si="396"/>
        <v>36102</v>
      </c>
      <c r="E3963" s="1323">
        <f t="shared" si="398"/>
        <v>5.6464999999999996</v>
      </c>
      <c r="F3963" s="1323">
        <f t="shared" si="397"/>
        <v>4.5902815772876133</v>
      </c>
      <c r="G3963" s="1323">
        <f t="shared" si="399"/>
        <v>1998</v>
      </c>
      <c r="H3963" s="1323">
        <f t="shared" si="400"/>
        <v>11</v>
      </c>
      <c r="I3963" s="1323">
        <f t="shared" si="401"/>
        <v>3</v>
      </c>
      <c r="J3963" s="1323"/>
      <c r="K3963" s="1323"/>
      <c r="L3963" s="1323"/>
      <c r="M3963" s="1323"/>
      <c r="N3963" s="1323"/>
      <c r="O3963" s="1323"/>
      <c r="P3963" s="1323"/>
      <c r="Q3963" s="1323"/>
      <c r="R3963" s="1304"/>
      <c r="S3963" s="1304"/>
      <c r="T3963" s="1304"/>
    </row>
    <row r="3964" spans="1:20">
      <c r="A3964" s="1303"/>
      <c r="B3964" s="1322" t="s">
        <v>9907</v>
      </c>
      <c r="C3964" s="1323" t="s">
        <v>9908</v>
      </c>
      <c r="D3964" s="1324">
        <f t="shared" si="396"/>
        <v>36101</v>
      </c>
      <c r="E3964" s="1323">
        <f t="shared" si="398"/>
        <v>5.5944000000000003</v>
      </c>
      <c r="F3964" s="1323">
        <f t="shared" si="397"/>
        <v>4.589401418111537</v>
      </c>
      <c r="G3964" s="1323">
        <f t="shared" si="399"/>
        <v>1998</v>
      </c>
      <c r="H3964" s="1323">
        <f t="shared" si="400"/>
        <v>11</v>
      </c>
      <c r="I3964" s="1323">
        <f t="shared" si="401"/>
        <v>2</v>
      </c>
      <c r="J3964" s="1323"/>
      <c r="K3964" s="1323"/>
      <c r="L3964" s="1323"/>
      <c r="M3964" s="1323"/>
      <c r="N3964" s="1323"/>
      <c r="O3964" s="1323"/>
      <c r="P3964" s="1323"/>
      <c r="Q3964" s="1323"/>
      <c r="R3964" s="1304"/>
      <c r="S3964" s="1304"/>
      <c r="T3964" s="1304"/>
    </row>
    <row r="3965" spans="1:20">
      <c r="A3965" s="1303"/>
      <c r="B3965" s="1322" t="s">
        <v>9909</v>
      </c>
      <c r="C3965" s="1323" t="s">
        <v>9910</v>
      </c>
      <c r="D3965" s="1324">
        <f t="shared" si="396"/>
        <v>36098</v>
      </c>
      <c r="E3965" s="1323">
        <f t="shared" si="398"/>
        <v>5.7012999999999998</v>
      </c>
      <c r="F3965" s="1323">
        <f t="shared" si="397"/>
        <v>4.5885214277007451</v>
      </c>
      <c r="G3965" s="1323">
        <f t="shared" si="399"/>
        <v>1998</v>
      </c>
      <c r="H3965" s="1323">
        <f t="shared" si="400"/>
        <v>10</v>
      </c>
      <c r="I3965" s="1323">
        <f t="shared" si="401"/>
        <v>30</v>
      </c>
      <c r="J3965" s="1323"/>
      <c r="K3965" s="1323"/>
      <c r="L3965" s="1323"/>
      <c r="M3965" s="1323"/>
      <c r="N3965" s="1323"/>
      <c r="O3965" s="1323"/>
      <c r="P3965" s="1323"/>
      <c r="Q3965" s="1323"/>
      <c r="R3965" s="1304"/>
      <c r="S3965" s="1304"/>
      <c r="T3965" s="1304"/>
    </row>
    <row r="3966" spans="1:20">
      <c r="A3966" s="1303"/>
      <c r="B3966" s="1322" t="s">
        <v>9911</v>
      </c>
      <c r="C3966" s="1323" t="s">
        <v>9879</v>
      </c>
      <c r="D3966" s="1324">
        <f t="shared" si="396"/>
        <v>36097</v>
      </c>
      <c r="E3966" s="1323">
        <f t="shared" si="398"/>
        <v>5.7045000000000003</v>
      </c>
      <c r="F3966" s="1323">
        <f t="shared" si="397"/>
        <v>4.5876416060228777</v>
      </c>
      <c r="G3966" s="1323">
        <f t="shared" si="399"/>
        <v>1998</v>
      </c>
      <c r="H3966" s="1323">
        <f t="shared" si="400"/>
        <v>10</v>
      </c>
      <c r="I3966" s="1323">
        <f t="shared" si="401"/>
        <v>29</v>
      </c>
      <c r="J3966" s="1323"/>
      <c r="K3966" s="1323"/>
      <c r="L3966" s="1323"/>
      <c r="M3966" s="1323"/>
      <c r="N3966" s="1323"/>
      <c r="O3966" s="1323"/>
      <c r="P3966" s="1323"/>
      <c r="Q3966" s="1323"/>
      <c r="R3966" s="1304"/>
      <c r="S3966" s="1304"/>
      <c r="T3966" s="1304"/>
    </row>
    <row r="3967" spans="1:20">
      <c r="A3967" s="1303"/>
      <c r="B3967" s="1322" t="s">
        <v>9912</v>
      </c>
      <c r="C3967" s="1323" t="s">
        <v>9913</v>
      </c>
      <c r="D3967" s="1324">
        <f t="shared" si="396"/>
        <v>36096</v>
      </c>
      <c r="E3967" s="1323">
        <f t="shared" si="398"/>
        <v>5.7702999999999998</v>
      </c>
      <c r="F3967" s="1323">
        <f t="shared" si="397"/>
        <v>4.5867619530455812</v>
      </c>
      <c r="G3967" s="1323">
        <f t="shared" si="399"/>
        <v>1998</v>
      </c>
      <c r="H3967" s="1323">
        <f t="shared" si="400"/>
        <v>10</v>
      </c>
      <c r="I3967" s="1323">
        <f t="shared" si="401"/>
        <v>28</v>
      </c>
      <c r="J3967" s="1323"/>
      <c r="K3967" s="1323"/>
      <c r="L3967" s="1323"/>
      <c r="M3967" s="1323"/>
      <c r="N3967" s="1323"/>
      <c r="O3967" s="1323"/>
      <c r="P3967" s="1323"/>
      <c r="Q3967" s="1323"/>
      <c r="R3967" s="1304"/>
      <c r="S3967" s="1304"/>
      <c r="T3967" s="1304"/>
    </row>
    <row r="3968" spans="1:20">
      <c r="A3968" s="1303"/>
      <c r="B3968" s="1322" t="s">
        <v>9914</v>
      </c>
      <c r="C3968" s="1323" t="s">
        <v>9915</v>
      </c>
      <c r="D3968" s="1324">
        <f t="shared" si="396"/>
        <v>36095</v>
      </c>
      <c r="E3968" s="1323">
        <f t="shared" si="398"/>
        <v>5.7571000000000003</v>
      </c>
      <c r="F3968" s="1323">
        <f t="shared" si="397"/>
        <v>4.5858824687365081</v>
      </c>
      <c r="G3968" s="1323">
        <f t="shared" si="399"/>
        <v>1998</v>
      </c>
      <c r="H3968" s="1323">
        <f t="shared" si="400"/>
        <v>10</v>
      </c>
      <c r="I3968" s="1323">
        <f t="shared" si="401"/>
        <v>27</v>
      </c>
      <c r="J3968" s="1323"/>
      <c r="K3968" s="1323"/>
      <c r="L3968" s="1323"/>
      <c r="M3968" s="1323"/>
      <c r="N3968" s="1323"/>
      <c r="O3968" s="1323"/>
      <c r="P3968" s="1323"/>
      <c r="Q3968" s="1323"/>
      <c r="R3968" s="1304"/>
      <c r="S3968" s="1304"/>
      <c r="T3968" s="1304"/>
    </row>
    <row r="3969" spans="1:20">
      <c r="A3969" s="1303"/>
      <c r="B3969" s="1322" t="s">
        <v>9916</v>
      </c>
      <c r="C3969" s="1323" t="s">
        <v>9863</v>
      </c>
      <c r="D3969" s="1324">
        <f t="shared" si="396"/>
        <v>36094</v>
      </c>
      <c r="E3969" s="1323">
        <f t="shared" si="398"/>
        <v>5.7803000000000004</v>
      </c>
      <c r="F3969" s="1323">
        <f t="shared" si="397"/>
        <v>4.585003153063318</v>
      </c>
      <c r="G3969" s="1323">
        <f t="shared" si="399"/>
        <v>1998</v>
      </c>
      <c r="H3969" s="1323">
        <f t="shared" si="400"/>
        <v>10</v>
      </c>
      <c r="I3969" s="1323">
        <f t="shared" si="401"/>
        <v>26</v>
      </c>
      <c r="J3969" s="1323"/>
      <c r="K3969" s="1323"/>
      <c r="L3969" s="1323"/>
      <c r="M3969" s="1323"/>
      <c r="N3969" s="1323"/>
      <c r="O3969" s="1323"/>
      <c r="P3969" s="1323"/>
      <c r="Q3969" s="1323"/>
      <c r="R3969" s="1304"/>
      <c r="S3969" s="1304"/>
      <c r="T3969" s="1304"/>
    </row>
    <row r="3970" spans="1:20">
      <c r="A3970" s="1303"/>
      <c r="B3970" s="1322" t="s">
        <v>9917</v>
      </c>
      <c r="C3970" s="1323" t="s">
        <v>9918</v>
      </c>
      <c r="D3970" s="1324">
        <f t="shared" si="396"/>
        <v>36091</v>
      </c>
      <c r="E3970" s="1323">
        <f t="shared" si="398"/>
        <v>5.7470999999999997</v>
      </c>
      <c r="F3970" s="1323">
        <f t="shared" si="397"/>
        <v>4.584124005993675</v>
      </c>
      <c r="G3970" s="1323">
        <f t="shared" si="399"/>
        <v>1998</v>
      </c>
      <c r="H3970" s="1323">
        <f t="shared" si="400"/>
        <v>10</v>
      </c>
      <c r="I3970" s="1323">
        <f t="shared" si="401"/>
        <v>23</v>
      </c>
      <c r="J3970" s="1323"/>
      <c r="K3970" s="1323"/>
      <c r="L3970" s="1323"/>
      <c r="M3970" s="1323"/>
      <c r="N3970" s="1323"/>
      <c r="O3970" s="1323"/>
      <c r="P3970" s="1323"/>
      <c r="Q3970" s="1323"/>
      <c r="R3970" s="1304"/>
      <c r="S3970" s="1304"/>
      <c r="T3970" s="1304"/>
    </row>
    <row r="3971" spans="1:20">
      <c r="A3971" s="1303"/>
      <c r="B3971" s="1322" t="s">
        <v>9919</v>
      </c>
      <c r="C3971" s="1323" t="s">
        <v>9920</v>
      </c>
      <c r="D3971" s="1324">
        <f t="shared" si="396"/>
        <v>36090</v>
      </c>
      <c r="E3971" s="1323">
        <f t="shared" si="398"/>
        <v>5.7207999999999997</v>
      </c>
      <c r="F3971" s="1323">
        <f t="shared" si="397"/>
        <v>4.5832450274952512</v>
      </c>
      <c r="G3971" s="1323">
        <f t="shared" si="399"/>
        <v>1998</v>
      </c>
      <c r="H3971" s="1323">
        <f t="shared" si="400"/>
        <v>10</v>
      </c>
      <c r="I3971" s="1323">
        <f t="shared" si="401"/>
        <v>22</v>
      </c>
      <c r="J3971" s="1323"/>
      <c r="K3971" s="1323"/>
      <c r="L3971" s="1323"/>
      <c r="M3971" s="1323"/>
      <c r="N3971" s="1323"/>
      <c r="O3971" s="1323"/>
      <c r="P3971" s="1323"/>
      <c r="Q3971" s="1323"/>
      <c r="R3971" s="1304"/>
      <c r="S3971" s="1304"/>
      <c r="T3971" s="1304"/>
    </row>
    <row r="3972" spans="1:20">
      <c r="A3972" s="1303"/>
      <c r="B3972" s="1322" t="s">
        <v>9921</v>
      </c>
      <c r="C3972" s="1323" t="s">
        <v>9892</v>
      </c>
      <c r="D3972" s="1324">
        <f t="shared" si="396"/>
        <v>36089</v>
      </c>
      <c r="E3972" s="1323">
        <f t="shared" si="398"/>
        <v>5.7637</v>
      </c>
      <c r="F3972" s="1323">
        <f t="shared" si="397"/>
        <v>4.582366217535724</v>
      </c>
      <c r="G3972" s="1323">
        <f t="shared" si="399"/>
        <v>1998</v>
      </c>
      <c r="H3972" s="1323">
        <f t="shared" si="400"/>
        <v>10</v>
      </c>
      <c r="I3972" s="1323">
        <f t="shared" si="401"/>
        <v>21</v>
      </c>
      <c r="J3972" s="1323"/>
      <c r="K3972" s="1323"/>
      <c r="L3972" s="1323"/>
      <c r="M3972" s="1323"/>
      <c r="N3972" s="1323"/>
      <c r="O3972" s="1323"/>
      <c r="P3972" s="1323"/>
      <c r="Q3972" s="1323"/>
      <c r="R3972" s="1304"/>
      <c r="S3972" s="1304"/>
      <c r="T3972" s="1304"/>
    </row>
    <row r="3973" spans="1:20">
      <c r="A3973" s="1303"/>
      <c r="B3973" s="1322" t="s">
        <v>9922</v>
      </c>
      <c r="C3973" s="1323" t="s">
        <v>9923</v>
      </c>
      <c r="D3973" s="1324">
        <f t="shared" si="396"/>
        <v>36088</v>
      </c>
      <c r="E3973" s="1323">
        <f t="shared" si="398"/>
        <v>5.6898999999999997</v>
      </c>
      <c r="F3973" s="1323">
        <f t="shared" si="397"/>
        <v>4.5814875760827762</v>
      </c>
      <c r="G3973" s="1323">
        <f t="shared" si="399"/>
        <v>1998</v>
      </c>
      <c r="H3973" s="1323">
        <f t="shared" si="400"/>
        <v>10</v>
      </c>
      <c r="I3973" s="1323">
        <f t="shared" si="401"/>
        <v>20</v>
      </c>
      <c r="J3973" s="1323"/>
      <c r="K3973" s="1323"/>
      <c r="L3973" s="1323"/>
      <c r="M3973" s="1323"/>
      <c r="N3973" s="1323"/>
      <c r="O3973" s="1323"/>
      <c r="P3973" s="1323"/>
      <c r="Q3973" s="1323"/>
      <c r="R3973" s="1304"/>
      <c r="S3973" s="1304"/>
      <c r="T3973" s="1304"/>
    </row>
    <row r="3974" spans="1:20">
      <c r="A3974" s="1303"/>
      <c r="B3974" s="1322" t="s">
        <v>9924</v>
      </c>
      <c r="C3974" s="1323" t="s">
        <v>9925</v>
      </c>
      <c r="D3974" s="1324">
        <f t="shared" si="396"/>
        <v>36087</v>
      </c>
      <c r="E3974" s="1323">
        <f t="shared" si="398"/>
        <v>5.6818</v>
      </c>
      <c r="F3974" s="1323">
        <f t="shared" si="397"/>
        <v>4.5806091031040985</v>
      </c>
      <c r="G3974" s="1323">
        <f t="shared" si="399"/>
        <v>1998</v>
      </c>
      <c r="H3974" s="1323">
        <f t="shared" si="400"/>
        <v>10</v>
      </c>
      <c r="I3974" s="1323">
        <f t="shared" si="401"/>
        <v>19</v>
      </c>
      <c r="J3974" s="1323"/>
      <c r="K3974" s="1323"/>
      <c r="L3974" s="1323"/>
      <c r="M3974" s="1323"/>
      <c r="N3974" s="1323"/>
      <c r="O3974" s="1323"/>
      <c r="P3974" s="1323"/>
      <c r="Q3974" s="1323"/>
      <c r="R3974" s="1304"/>
      <c r="S3974" s="1304"/>
      <c r="T3974" s="1304"/>
    </row>
    <row r="3975" spans="1:20">
      <c r="A3975" s="1303"/>
      <c r="B3975" s="1322" t="s">
        <v>9926</v>
      </c>
      <c r="C3975" s="1323" t="s">
        <v>9927</v>
      </c>
      <c r="D3975" s="1324">
        <f t="shared" si="396"/>
        <v>36084</v>
      </c>
      <c r="E3975" s="1323">
        <f t="shared" si="398"/>
        <v>5.6021999999999998</v>
      </c>
      <c r="F3975" s="1323">
        <f t="shared" si="397"/>
        <v>4.579730798567387</v>
      </c>
      <c r="G3975" s="1323">
        <f t="shared" si="399"/>
        <v>1998</v>
      </c>
      <c r="H3975" s="1323">
        <f t="shared" si="400"/>
        <v>10</v>
      </c>
      <c r="I3975" s="1323">
        <f t="shared" si="401"/>
        <v>16</v>
      </c>
      <c r="J3975" s="1323"/>
      <c r="K3975" s="1323"/>
      <c r="L3975" s="1323"/>
      <c r="M3975" s="1323"/>
      <c r="N3975" s="1323"/>
      <c r="O3975" s="1323"/>
      <c r="P3975" s="1323"/>
      <c r="Q3975" s="1323"/>
      <c r="R3975" s="1304"/>
      <c r="S3975" s="1304"/>
      <c r="T3975" s="1304"/>
    </row>
    <row r="3976" spans="1:20">
      <c r="A3976" s="1303"/>
      <c r="B3976" s="1322" t="s">
        <v>9928</v>
      </c>
      <c r="C3976" s="1323" t="s">
        <v>9929</v>
      </c>
      <c r="D3976" s="1324">
        <f t="shared" si="396"/>
        <v>36083</v>
      </c>
      <c r="E3976" s="1323">
        <f t="shared" si="398"/>
        <v>5.6528999999999998</v>
      </c>
      <c r="F3976" s="1323">
        <f t="shared" si="397"/>
        <v>4.5788526624403438</v>
      </c>
      <c r="G3976" s="1323">
        <f t="shared" si="399"/>
        <v>1998</v>
      </c>
      <c r="H3976" s="1323">
        <f t="shared" si="400"/>
        <v>10</v>
      </c>
      <c r="I3976" s="1323">
        <f t="shared" si="401"/>
        <v>15</v>
      </c>
      <c r="J3976" s="1323"/>
      <c r="K3976" s="1323"/>
      <c r="L3976" s="1323"/>
      <c r="M3976" s="1323"/>
      <c r="N3976" s="1323"/>
      <c r="O3976" s="1323"/>
      <c r="P3976" s="1323"/>
      <c r="Q3976" s="1323"/>
      <c r="R3976" s="1304"/>
      <c r="S3976" s="1304"/>
      <c r="T3976" s="1304"/>
    </row>
    <row r="3977" spans="1:20">
      <c r="A3977" s="1303"/>
      <c r="B3977" s="1322" t="s">
        <v>9930</v>
      </c>
      <c r="C3977" s="1323" t="s">
        <v>9888</v>
      </c>
      <c r="D3977" s="1324">
        <f t="shared" ref="D3977:D4040" si="402">DATE(G3977,H3977,I3977)</f>
        <v>36082</v>
      </c>
      <c r="E3977" s="1323">
        <f t="shared" si="398"/>
        <v>5.8207000000000004</v>
      </c>
      <c r="F3977" s="1323">
        <f t="shared" ref="F3977:F4040" si="403">F3978*(1+$F$7/365)</f>
        <v>4.5779746946906767</v>
      </c>
      <c r="G3977" s="1323">
        <f t="shared" si="399"/>
        <v>1998</v>
      </c>
      <c r="H3977" s="1323">
        <f t="shared" si="400"/>
        <v>10</v>
      </c>
      <c r="I3977" s="1323">
        <f t="shared" si="401"/>
        <v>14</v>
      </c>
      <c r="J3977" s="1323"/>
      <c r="K3977" s="1323"/>
      <c r="L3977" s="1323"/>
      <c r="M3977" s="1323"/>
      <c r="N3977" s="1323"/>
      <c r="O3977" s="1323"/>
      <c r="P3977" s="1323"/>
      <c r="Q3977" s="1323"/>
      <c r="R3977" s="1304"/>
      <c r="S3977" s="1304"/>
      <c r="T3977" s="1304"/>
    </row>
    <row r="3978" spans="1:20">
      <c r="A3978" s="1303"/>
      <c r="B3978" s="1322" t="s">
        <v>9931</v>
      </c>
      <c r="C3978" s="1323" t="s">
        <v>9932</v>
      </c>
      <c r="D3978" s="1324">
        <f t="shared" si="402"/>
        <v>36081</v>
      </c>
      <c r="E3978" s="1323">
        <f t="shared" si="398"/>
        <v>5.7971000000000004</v>
      </c>
      <c r="F3978" s="1323">
        <f t="shared" si="403"/>
        <v>4.5770968952861013</v>
      </c>
      <c r="G3978" s="1323">
        <f t="shared" si="399"/>
        <v>1998</v>
      </c>
      <c r="H3978" s="1323">
        <f t="shared" si="400"/>
        <v>10</v>
      </c>
      <c r="I3978" s="1323">
        <f t="shared" si="401"/>
        <v>13</v>
      </c>
      <c r="J3978" s="1323"/>
      <c r="K3978" s="1323"/>
      <c r="L3978" s="1323"/>
      <c r="M3978" s="1323"/>
      <c r="N3978" s="1323"/>
      <c r="O3978" s="1323"/>
      <c r="P3978" s="1323"/>
      <c r="Q3978" s="1323"/>
      <c r="R3978" s="1304"/>
      <c r="S3978" s="1304"/>
      <c r="T3978" s="1304"/>
    </row>
    <row r="3979" spans="1:20">
      <c r="A3979" s="1303"/>
      <c r="B3979" s="1322" t="s">
        <v>9933</v>
      </c>
      <c r="C3979" s="1323" t="s">
        <v>9934</v>
      </c>
      <c r="D3979" s="1324">
        <f t="shared" si="402"/>
        <v>36080</v>
      </c>
      <c r="E3979" s="1323">
        <f t="shared" si="398"/>
        <v>5.7537000000000003</v>
      </c>
      <c r="F3979" s="1323">
        <f t="shared" si="403"/>
        <v>4.5762192641943376</v>
      </c>
      <c r="G3979" s="1323">
        <f t="shared" si="399"/>
        <v>1998</v>
      </c>
      <c r="H3979" s="1323">
        <f t="shared" si="400"/>
        <v>10</v>
      </c>
      <c r="I3979" s="1323">
        <f t="shared" si="401"/>
        <v>12</v>
      </c>
      <c r="J3979" s="1323"/>
      <c r="K3979" s="1323"/>
      <c r="L3979" s="1323"/>
      <c r="M3979" s="1323"/>
      <c r="N3979" s="1323"/>
      <c r="O3979" s="1323"/>
      <c r="P3979" s="1323"/>
      <c r="Q3979" s="1323"/>
      <c r="R3979" s="1304"/>
      <c r="S3979" s="1304"/>
      <c r="T3979" s="1304"/>
    </row>
    <row r="3980" spans="1:20">
      <c r="A3980" s="1303"/>
      <c r="B3980" s="1322" t="s">
        <v>9935</v>
      </c>
      <c r="C3980" s="1323" t="s">
        <v>9936</v>
      </c>
      <c r="D3980" s="1324">
        <f t="shared" si="402"/>
        <v>36077</v>
      </c>
      <c r="E3980" s="1323">
        <f t="shared" si="398"/>
        <v>5.8479999999999999</v>
      </c>
      <c r="F3980" s="1323">
        <f t="shared" si="403"/>
        <v>4.5753418013831135</v>
      </c>
      <c r="G3980" s="1323">
        <f t="shared" si="399"/>
        <v>1998</v>
      </c>
      <c r="H3980" s="1323">
        <f t="shared" si="400"/>
        <v>10</v>
      </c>
      <c r="I3980" s="1323">
        <f t="shared" si="401"/>
        <v>9</v>
      </c>
      <c r="J3980" s="1323"/>
      <c r="K3980" s="1323"/>
      <c r="L3980" s="1323"/>
      <c r="M3980" s="1323"/>
      <c r="N3980" s="1323"/>
      <c r="O3980" s="1323"/>
      <c r="P3980" s="1323"/>
      <c r="Q3980" s="1323"/>
      <c r="R3980" s="1304"/>
      <c r="S3980" s="1304"/>
      <c r="T3980" s="1304"/>
    </row>
    <row r="3981" spans="1:20">
      <c r="A3981" s="1303"/>
      <c r="B3981" s="1322" t="s">
        <v>9937</v>
      </c>
      <c r="C3981" s="1323" t="s">
        <v>9938</v>
      </c>
      <c r="D3981" s="1324">
        <f t="shared" si="402"/>
        <v>36076</v>
      </c>
      <c r="E3981" s="1323">
        <f t="shared" si="398"/>
        <v>5.7803000000000004</v>
      </c>
      <c r="F3981" s="1323">
        <f t="shared" si="403"/>
        <v>4.5744645068201617</v>
      </c>
      <c r="G3981" s="1323">
        <f t="shared" si="399"/>
        <v>1998</v>
      </c>
      <c r="H3981" s="1323">
        <f t="shared" si="400"/>
        <v>10</v>
      </c>
      <c r="I3981" s="1323">
        <f t="shared" si="401"/>
        <v>8</v>
      </c>
      <c r="J3981" s="1323"/>
      <c r="K3981" s="1323"/>
      <c r="L3981" s="1323"/>
      <c r="M3981" s="1323"/>
      <c r="N3981" s="1323"/>
      <c r="O3981" s="1323"/>
      <c r="P3981" s="1323"/>
      <c r="Q3981" s="1323"/>
      <c r="R3981" s="1304"/>
      <c r="S3981" s="1304"/>
      <c r="T3981" s="1304"/>
    </row>
    <row r="3982" spans="1:20">
      <c r="A3982" s="1303"/>
      <c r="B3982" s="1322" t="s">
        <v>9939</v>
      </c>
      <c r="C3982" s="1323" t="s">
        <v>9918</v>
      </c>
      <c r="D3982" s="1324">
        <f t="shared" si="402"/>
        <v>36075</v>
      </c>
      <c r="E3982" s="1323">
        <f t="shared" si="398"/>
        <v>5.9790999999999999</v>
      </c>
      <c r="F3982" s="1323">
        <f t="shared" si="403"/>
        <v>4.5735873804732217</v>
      </c>
      <c r="G3982" s="1323">
        <f t="shared" si="399"/>
        <v>1998</v>
      </c>
      <c r="H3982" s="1323">
        <f t="shared" si="400"/>
        <v>10</v>
      </c>
      <c r="I3982" s="1323">
        <f t="shared" si="401"/>
        <v>7</v>
      </c>
      <c r="J3982" s="1323"/>
      <c r="K3982" s="1323"/>
      <c r="L3982" s="1323"/>
      <c r="M3982" s="1323"/>
      <c r="N3982" s="1323"/>
      <c r="O3982" s="1323"/>
      <c r="P3982" s="1323"/>
      <c r="Q3982" s="1323"/>
      <c r="R3982" s="1304"/>
      <c r="S3982" s="1304"/>
      <c r="T3982" s="1304"/>
    </row>
    <row r="3983" spans="1:20">
      <c r="A3983" s="1303"/>
      <c r="B3983" s="1322" t="s">
        <v>9940</v>
      </c>
      <c r="C3983" s="1323" t="s">
        <v>9552</v>
      </c>
      <c r="D3983" s="1324">
        <f t="shared" si="402"/>
        <v>36074</v>
      </c>
      <c r="E3983" s="1323">
        <f t="shared" si="398"/>
        <v>6.0385999999999997</v>
      </c>
      <c r="F3983" s="1323">
        <f t="shared" si="403"/>
        <v>4.5727104223100383</v>
      </c>
      <c r="G3983" s="1323">
        <f t="shared" si="399"/>
        <v>1998</v>
      </c>
      <c r="H3983" s="1323">
        <f t="shared" si="400"/>
        <v>10</v>
      </c>
      <c r="I3983" s="1323">
        <f t="shared" si="401"/>
        <v>6</v>
      </c>
      <c r="J3983" s="1323"/>
      <c r="K3983" s="1323"/>
      <c r="L3983" s="1323"/>
      <c r="M3983" s="1323"/>
      <c r="N3983" s="1323"/>
      <c r="O3983" s="1323"/>
      <c r="P3983" s="1323"/>
      <c r="Q3983" s="1323"/>
      <c r="R3983" s="1304"/>
      <c r="S3983" s="1304"/>
      <c r="T3983" s="1304"/>
    </row>
    <row r="3984" spans="1:20">
      <c r="A3984" s="1303"/>
      <c r="B3984" s="1322" t="s">
        <v>9941</v>
      </c>
      <c r="C3984" s="1323" t="s">
        <v>9667</v>
      </c>
      <c r="D3984" s="1324">
        <f t="shared" si="402"/>
        <v>36073</v>
      </c>
      <c r="E3984" s="1323">
        <f t="shared" si="398"/>
        <v>6.0772000000000004</v>
      </c>
      <c r="F3984" s="1323">
        <f t="shared" si="403"/>
        <v>4.5718336322983646</v>
      </c>
      <c r="G3984" s="1323">
        <f t="shared" si="399"/>
        <v>1998</v>
      </c>
      <c r="H3984" s="1323">
        <f t="shared" si="400"/>
        <v>10</v>
      </c>
      <c r="I3984" s="1323">
        <f t="shared" si="401"/>
        <v>5</v>
      </c>
      <c r="J3984" s="1323"/>
      <c r="K3984" s="1323"/>
      <c r="L3984" s="1323"/>
      <c r="M3984" s="1323"/>
      <c r="N3984" s="1323"/>
      <c r="O3984" s="1323"/>
      <c r="P3984" s="1323"/>
      <c r="Q3984" s="1323"/>
      <c r="R3984" s="1304"/>
      <c r="S3984" s="1304"/>
      <c r="T3984" s="1304"/>
    </row>
    <row r="3985" spans="1:20">
      <c r="A3985" s="1303"/>
      <c r="B3985" s="1322" t="s">
        <v>9942</v>
      </c>
      <c r="C3985" s="1323" t="s">
        <v>6869</v>
      </c>
      <c r="D3985" s="1324">
        <f t="shared" si="402"/>
        <v>36070</v>
      </c>
      <c r="E3985" s="1323">
        <f t="shared" si="398"/>
        <v>6.1444000000000001</v>
      </c>
      <c r="F3985" s="1323">
        <f t="shared" si="403"/>
        <v>4.5709570104059578</v>
      </c>
      <c r="G3985" s="1323">
        <f t="shared" si="399"/>
        <v>1998</v>
      </c>
      <c r="H3985" s="1323">
        <f t="shared" si="400"/>
        <v>10</v>
      </c>
      <c r="I3985" s="1323">
        <f t="shared" si="401"/>
        <v>2</v>
      </c>
      <c r="J3985" s="1323"/>
      <c r="K3985" s="1323"/>
      <c r="L3985" s="1323"/>
      <c r="M3985" s="1323"/>
      <c r="N3985" s="1323"/>
      <c r="O3985" s="1323"/>
      <c r="P3985" s="1323"/>
      <c r="Q3985" s="1323"/>
      <c r="R3985" s="1304"/>
      <c r="S3985" s="1304"/>
      <c r="T3985" s="1304"/>
    </row>
    <row r="3986" spans="1:20">
      <c r="A3986" s="1303"/>
      <c r="B3986" s="1322" t="s">
        <v>9943</v>
      </c>
      <c r="C3986" s="1323" t="s">
        <v>9517</v>
      </c>
      <c r="D3986" s="1324">
        <f t="shared" si="402"/>
        <v>36069</v>
      </c>
      <c r="E3986" s="1323">
        <f t="shared" si="398"/>
        <v>6.0223000000000004</v>
      </c>
      <c r="F3986" s="1323">
        <f t="shared" si="403"/>
        <v>4.5700805566005824</v>
      </c>
      <c r="G3986" s="1323">
        <f t="shared" si="399"/>
        <v>1998</v>
      </c>
      <c r="H3986" s="1323">
        <f t="shared" si="400"/>
        <v>10</v>
      </c>
      <c r="I3986" s="1323">
        <f t="shared" si="401"/>
        <v>1</v>
      </c>
      <c r="J3986" s="1323"/>
      <c r="K3986" s="1323"/>
      <c r="L3986" s="1323"/>
      <c r="M3986" s="1323"/>
      <c r="N3986" s="1323"/>
      <c r="O3986" s="1323"/>
      <c r="P3986" s="1323"/>
      <c r="Q3986" s="1323"/>
      <c r="R3986" s="1304"/>
      <c r="S3986" s="1304"/>
      <c r="T3986" s="1304"/>
    </row>
    <row r="3987" spans="1:20">
      <c r="A3987" s="1303"/>
      <c r="B3987" s="1322" t="s">
        <v>9944</v>
      </c>
      <c r="C3987" s="1323" t="s">
        <v>9550</v>
      </c>
      <c r="D3987" s="1324">
        <f t="shared" si="402"/>
        <v>36068</v>
      </c>
      <c r="E3987" s="1323">
        <f t="shared" si="398"/>
        <v>5.8893000000000004</v>
      </c>
      <c r="F3987" s="1323">
        <f t="shared" si="403"/>
        <v>4.5692042708500082</v>
      </c>
      <c r="G3987" s="1323">
        <f t="shared" si="399"/>
        <v>1998</v>
      </c>
      <c r="H3987" s="1323">
        <f t="shared" si="400"/>
        <v>9</v>
      </c>
      <c r="I3987" s="1323">
        <f t="shared" si="401"/>
        <v>30</v>
      </c>
      <c r="J3987" s="1323"/>
      <c r="K3987" s="1323"/>
      <c r="L3987" s="1323"/>
      <c r="M3987" s="1323"/>
      <c r="N3987" s="1323"/>
      <c r="O3987" s="1323"/>
      <c r="P3987" s="1323"/>
      <c r="Q3987" s="1323"/>
      <c r="R3987" s="1304"/>
      <c r="S3987" s="1304"/>
      <c r="T3987" s="1304"/>
    </row>
    <row r="3988" spans="1:20">
      <c r="A3988" s="1303"/>
      <c r="B3988" s="1322" t="s">
        <v>9945</v>
      </c>
      <c r="C3988" s="1323" t="s">
        <v>9848</v>
      </c>
      <c r="D3988" s="1324">
        <f t="shared" si="402"/>
        <v>36067</v>
      </c>
      <c r="E3988" s="1323">
        <f t="shared" si="398"/>
        <v>5.8207000000000004</v>
      </c>
      <c r="F3988" s="1323">
        <f t="shared" si="403"/>
        <v>4.5683281531220121</v>
      </c>
      <c r="G3988" s="1323">
        <f t="shared" si="399"/>
        <v>1998</v>
      </c>
      <c r="H3988" s="1323">
        <f t="shared" si="400"/>
        <v>9</v>
      </c>
      <c r="I3988" s="1323">
        <f t="shared" si="401"/>
        <v>29</v>
      </c>
      <c r="J3988" s="1323"/>
      <c r="K3988" s="1323"/>
      <c r="L3988" s="1323"/>
      <c r="M3988" s="1323"/>
      <c r="N3988" s="1323"/>
      <c r="O3988" s="1323"/>
      <c r="P3988" s="1323"/>
      <c r="Q3988" s="1323"/>
      <c r="R3988" s="1304"/>
      <c r="S3988" s="1304"/>
      <c r="T3988" s="1304"/>
    </row>
    <row r="3989" spans="1:20">
      <c r="A3989" s="1303"/>
      <c r="B3989" s="1322" t="s">
        <v>9946</v>
      </c>
      <c r="C3989" s="1323" t="s">
        <v>9932</v>
      </c>
      <c r="D3989" s="1324">
        <f t="shared" si="402"/>
        <v>36066</v>
      </c>
      <c r="E3989" s="1323">
        <f t="shared" si="398"/>
        <v>5.8326000000000002</v>
      </c>
      <c r="F3989" s="1323">
        <f t="shared" si="403"/>
        <v>4.5674522033843763</v>
      </c>
      <c r="G3989" s="1323">
        <f t="shared" si="399"/>
        <v>1998</v>
      </c>
      <c r="H3989" s="1323">
        <f t="shared" si="400"/>
        <v>9</v>
      </c>
      <c r="I3989" s="1323">
        <f t="shared" si="401"/>
        <v>28</v>
      </c>
      <c r="J3989" s="1323"/>
      <c r="K3989" s="1323"/>
      <c r="L3989" s="1323"/>
      <c r="M3989" s="1323"/>
      <c r="N3989" s="1323"/>
      <c r="O3989" s="1323"/>
      <c r="P3989" s="1323"/>
      <c r="Q3989" s="1323"/>
      <c r="R3989" s="1304"/>
      <c r="S3989" s="1304"/>
      <c r="T3989" s="1304"/>
    </row>
    <row r="3990" spans="1:20">
      <c r="A3990" s="1303"/>
      <c r="B3990" s="1322" t="s">
        <v>9947</v>
      </c>
      <c r="C3990" s="1323" t="s">
        <v>9948</v>
      </c>
      <c r="D3990" s="1324">
        <f t="shared" si="402"/>
        <v>36063</v>
      </c>
      <c r="E3990" s="1323">
        <f t="shared" ref="E3990:E4053" si="404">VALUE(C3991)</f>
        <v>5.8207000000000004</v>
      </c>
      <c r="F3990" s="1323">
        <f t="shared" si="403"/>
        <v>4.5665764216048901</v>
      </c>
      <c r="G3990" s="1323">
        <f t="shared" ref="G3990:G4053" si="405">YEAR(B3991)</f>
        <v>1998</v>
      </c>
      <c r="H3990" s="1323">
        <f t="shared" ref="H3990:H4053" si="406">MONTH(B3991)</f>
        <v>9</v>
      </c>
      <c r="I3990" s="1323">
        <f t="shared" ref="I3990:I4053" si="407">DAY(B3991)</f>
        <v>25</v>
      </c>
      <c r="J3990" s="1323"/>
      <c r="K3990" s="1323"/>
      <c r="L3990" s="1323"/>
      <c r="M3990" s="1323"/>
      <c r="N3990" s="1323"/>
      <c r="O3990" s="1323"/>
      <c r="P3990" s="1323"/>
      <c r="Q3990" s="1323"/>
      <c r="R3990" s="1304"/>
      <c r="S3990" s="1304"/>
      <c r="T3990" s="1304"/>
    </row>
    <row r="3991" spans="1:20">
      <c r="A3991" s="1303"/>
      <c r="B3991" s="1322" t="s">
        <v>9949</v>
      </c>
      <c r="C3991" s="1323" t="s">
        <v>9932</v>
      </c>
      <c r="D3991" s="1324">
        <f t="shared" si="402"/>
        <v>36061</v>
      </c>
      <c r="E3991" s="1323">
        <f t="shared" si="404"/>
        <v>5.9577</v>
      </c>
      <c r="F3991" s="1323">
        <f t="shared" si="403"/>
        <v>4.565700807751349</v>
      </c>
      <c r="G3991" s="1323">
        <f t="shared" si="405"/>
        <v>1998</v>
      </c>
      <c r="H3991" s="1323">
        <f t="shared" si="406"/>
        <v>9</v>
      </c>
      <c r="I3991" s="1323">
        <f t="shared" si="407"/>
        <v>23</v>
      </c>
      <c r="J3991" s="1323"/>
      <c r="K3991" s="1323"/>
      <c r="L3991" s="1323"/>
      <c r="M3991" s="1323"/>
      <c r="N3991" s="1323"/>
      <c r="O3991" s="1323"/>
      <c r="P3991" s="1323"/>
      <c r="Q3991" s="1323"/>
      <c r="R3991" s="1304"/>
      <c r="S3991" s="1304"/>
      <c r="T3991" s="1304"/>
    </row>
    <row r="3992" spans="1:20">
      <c r="A3992" s="1303"/>
      <c r="B3992" s="1322" t="s">
        <v>9950</v>
      </c>
      <c r="C3992" s="1323" t="s">
        <v>9951</v>
      </c>
      <c r="D3992" s="1324">
        <f t="shared" si="402"/>
        <v>36060</v>
      </c>
      <c r="E3992" s="1323">
        <f t="shared" si="404"/>
        <v>6.1218000000000004</v>
      </c>
      <c r="F3992" s="1323">
        <f t="shared" si="403"/>
        <v>4.5648253617915531</v>
      </c>
      <c r="G3992" s="1323">
        <f t="shared" si="405"/>
        <v>1998</v>
      </c>
      <c r="H3992" s="1323">
        <f t="shared" si="406"/>
        <v>9</v>
      </c>
      <c r="I3992" s="1323">
        <f t="shared" si="407"/>
        <v>22</v>
      </c>
      <c r="J3992" s="1323"/>
      <c r="K3992" s="1323"/>
      <c r="L3992" s="1323"/>
      <c r="M3992" s="1323"/>
      <c r="N3992" s="1323"/>
      <c r="O3992" s="1323"/>
      <c r="P3992" s="1323"/>
      <c r="Q3992" s="1323"/>
      <c r="R3992" s="1304"/>
      <c r="S3992" s="1304"/>
      <c r="T3992" s="1304"/>
    </row>
    <row r="3993" spans="1:20">
      <c r="A3993" s="1303"/>
      <c r="B3993" s="1322" t="s">
        <v>9952</v>
      </c>
      <c r="C3993" s="1323" t="s">
        <v>9497</v>
      </c>
      <c r="D3993" s="1324">
        <f t="shared" si="402"/>
        <v>36059</v>
      </c>
      <c r="E3993" s="1323">
        <f t="shared" si="404"/>
        <v>6.1368999999999998</v>
      </c>
      <c r="F3993" s="1323">
        <f t="shared" si="403"/>
        <v>4.5639500836933102</v>
      </c>
      <c r="G3993" s="1323">
        <f t="shared" si="405"/>
        <v>1998</v>
      </c>
      <c r="H3993" s="1323">
        <f t="shared" si="406"/>
        <v>9</v>
      </c>
      <c r="I3993" s="1323">
        <f t="shared" si="407"/>
        <v>21</v>
      </c>
      <c r="J3993" s="1323"/>
      <c r="K3993" s="1323"/>
      <c r="L3993" s="1323"/>
      <c r="M3993" s="1323"/>
      <c r="N3993" s="1323"/>
      <c r="O3993" s="1323"/>
      <c r="P3993" s="1323"/>
      <c r="Q3993" s="1323"/>
      <c r="R3993" s="1304"/>
      <c r="S3993" s="1304"/>
      <c r="T3993" s="1304"/>
    </row>
    <row r="3994" spans="1:20">
      <c r="A3994" s="1303"/>
      <c r="B3994" s="1322" t="s">
        <v>9953</v>
      </c>
      <c r="C3994" s="1323" t="s">
        <v>9677</v>
      </c>
      <c r="D3994" s="1324">
        <f t="shared" si="402"/>
        <v>36056</v>
      </c>
      <c r="E3994" s="1323">
        <f t="shared" si="404"/>
        <v>6.1482000000000001</v>
      </c>
      <c r="F3994" s="1323">
        <f t="shared" si="403"/>
        <v>4.5630749734244338</v>
      </c>
      <c r="G3994" s="1323">
        <f t="shared" si="405"/>
        <v>1998</v>
      </c>
      <c r="H3994" s="1323">
        <f t="shared" si="406"/>
        <v>9</v>
      </c>
      <c r="I3994" s="1323">
        <f t="shared" si="407"/>
        <v>18</v>
      </c>
      <c r="J3994" s="1323"/>
      <c r="K3994" s="1323"/>
      <c r="L3994" s="1323"/>
      <c r="M3994" s="1323"/>
      <c r="N3994" s="1323"/>
      <c r="O3994" s="1323"/>
      <c r="P3994" s="1323"/>
      <c r="Q3994" s="1323"/>
      <c r="R3994" s="1304"/>
      <c r="S3994" s="1304"/>
      <c r="T3994" s="1304"/>
    </row>
    <row r="3995" spans="1:20">
      <c r="A3995" s="1303"/>
      <c r="B3995" s="1322" t="s">
        <v>9954</v>
      </c>
      <c r="C3995" s="1323" t="s">
        <v>9467</v>
      </c>
      <c r="D3995" s="1324">
        <f t="shared" si="402"/>
        <v>36055</v>
      </c>
      <c r="E3995" s="1323">
        <f t="shared" si="404"/>
        <v>6.1031000000000004</v>
      </c>
      <c r="F3995" s="1323">
        <f t="shared" si="403"/>
        <v>4.5622000309527442</v>
      </c>
      <c r="G3995" s="1323">
        <f t="shared" si="405"/>
        <v>1998</v>
      </c>
      <c r="H3995" s="1323">
        <f t="shared" si="406"/>
        <v>9</v>
      </c>
      <c r="I3995" s="1323">
        <f t="shared" si="407"/>
        <v>17</v>
      </c>
      <c r="J3995" s="1323"/>
      <c r="K3995" s="1323"/>
      <c r="L3995" s="1323"/>
      <c r="M3995" s="1323"/>
      <c r="N3995" s="1323"/>
      <c r="O3995" s="1323"/>
      <c r="P3995" s="1323"/>
      <c r="Q3995" s="1323"/>
      <c r="R3995" s="1304"/>
      <c r="S3995" s="1304"/>
      <c r="T3995" s="1304"/>
    </row>
    <row r="3996" spans="1:20">
      <c r="A3996" s="1303"/>
      <c r="B3996" s="1322" t="s">
        <v>9955</v>
      </c>
      <c r="C3996" s="1323" t="s">
        <v>7006</v>
      </c>
      <c r="D3996" s="1324">
        <f t="shared" si="402"/>
        <v>36054</v>
      </c>
      <c r="E3996" s="1323">
        <f t="shared" si="404"/>
        <v>6.0956999999999999</v>
      </c>
      <c r="F3996" s="1323">
        <f t="shared" si="403"/>
        <v>4.5613252562460671</v>
      </c>
      <c r="G3996" s="1323">
        <f t="shared" si="405"/>
        <v>1998</v>
      </c>
      <c r="H3996" s="1323">
        <f t="shared" si="406"/>
        <v>9</v>
      </c>
      <c r="I3996" s="1323">
        <f t="shared" si="407"/>
        <v>16</v>
      </c>
      <c r="J3996" s="1323"/>
      <c r="K3996" s="1323"/>
      <c r="L3996" s="1323"/>
      <c r="M3996" s="1323"/>
      <c r="N3996" s="1323"/>
      <c r="O3996" s="1323"/>
      <c r="P3996" s="1323"/>
      <c r="Q3996" s="1323"/>
      <c r="R3996" s="1304"/>
      <c r="S3996" s="1304"/>
      <c r="T3996" s="1304"/>
    </row>
    <row r="3997" spans="1:20">
      <c r="A3997" s="1303"/>
      <c r="B3997" s="1322" t="s">
        <v>9956</v>
      </c>
      <c r="C3997" s="1323" t="s">
        <v>6925</v>
      </c>
      <c r="D3997" s="1324">
        <f t="shared" si="402"/>
        <v>36053</v>
      </c>
      <c r="E3997" s="1323">
        <f t="shared" si="404"/>
        <v>6.2324999999999999</v>
      </c>
      <c r="F3997" s="1323">
        <f t="shared" si="403"/>
        <v>4.5604506492722336</v>
      </c>
      <c r="G3997" s="1323">
        <f t="shared" si="405"/>
        <v>1998</v>
      </c>
      <c r="H3997" s="1323">
        <f t="shared" si="406"/>
        <v>9</v>
      </c>
      <c r="I3997" s="1323">
        <f t="shared" si="407"/>
        <v>15</v>
      </c>
      <c r="J3997" s="1323"/>
      <c r="K3997" s="1323"/>
      <c r="L3997" s="1323"/>
      <c r="M3997" s="1323"/>
      <c r="N3997" s="1323"/>
      <c r="O3997" s="1323"/>
      <c r="P3997" s="1323"/>
      <c r="Q3997" s="1323"/>
      <c r="R3997" s="1304"/>
      <c r="S3997" s="1304"/>
      <c r="T3997" s="1304"/>
    </row>
    <row r="3998" spans="1:20">
      <c r="A3998" s="1303"/>
      <c r="B3998" s="1322" t="s">
        <v>9957</v>
      </c>
      <c r="C3998" s="1323" t="s">
        <v>7228</v>
      </c>
      <c r="D3998" s="1324">
        <f t="shared" si="402"/>
        <v>36052</v>
      </c>
      <c r="E3998" s="1323">
        <f t="shared" si="404"/>
        <v>6.2637</v>
      </c>
      <c r="F3998" s="1323">
        <f t="shared" si="403"/>
        <v>4.5595762099990829</v>
      </c>
      <c r="G3998" s="1323">
        <f t="shared" si="405"/>
        <v>1998</v>
      </c>
      <c r="H3998" s="1323">
        <f t="shared" si="406"/>
        <v>9</v>
      </c>
      <c r="I3998" s="1323">
        <f t="shared" si="407"/>
        <v>14</v>
      </c>
      <c r="J3998" s="1323"/>
      <c r="K3998" s="1323"/>
      <c r="L3998" s="1323"/>
      <c r="M3998" s="1323"/>
      <c r="N3998" s="1323"/>
      <c r="O3998" s="1323"/>
      <c r="P3998" s="1323"/>
      <c r="Q3998" s="1323"/>
      <c r="R3998" s="1304"/>
      <c r="S3998" s="1304"/>
      <c r="T3998" s="1304"/>
    </row>
    <row r="3999" spans="1:20">
      <c r="A3999" s="1303"/>
      <c r="B3999" s="1322" t="s">
        <v>9958</v>
      </c>
      <c r="C3999" s="1323" t="s">
        <v>9761</v>
      </c>
      <c r="D3999" s="1324">
        <f t="shared" si="402"/>
        <v>36049</v>
      </c>
      <c r="E3999" s="1323">
        <f t="shared" si="404"/>
        <v>6.2991999999999999</v>
      </c>
      <c r="F3999" s="1323">
        <f t="shared" si="403"/>
        <v>4.5587019383944591</v>
      </c>
      <c r="G3999" s="1323">
        <f t="shared" si="405"/>
        <v>1998</v>
      </c>
      <c r="H3999" s="1323">
        <f t="shared" si="406"/>
        <v>9</v>
      </c>
      <c r="I3999" s="1323">
        <f t="shared" si="407"/>
        <v>11</v>
      </c>
      <c r="J3999" s="1323"/>
      <c r="K3999" s="1323"/>
      <c r="L3999" s="1323"/>
      <c r="M3999" s="1323"/>
      <c r="N3999" s="1323"/>
      <c r="O3999" s="1323"/>
      <c r="P3999" s="1323"/>
      <c r="Q3999" s="1323"/>
      <c r="R3999" s="1304"/>
      <c r="S3999" s="1304"/>
      <c r="T3999" s="1304"/>
    </row>
    <row r="4000" spans="1:20">
      <c r="A4000" s="1303"/>
      <c r="B4000" s="1322" t="s">
        <v>9959</v>
      </c>
      <c r="C4000" s="1323" t="s">
        <v>9960</v>
      </c>
      <c r="D4000" s="1324">
        <f t="shared" si="402"/>
        <v>36048</v>
      </c>
      <c r="E4000" s="1323">
        <f t="shared" si="404"/>
        <v>6.2324999999999999</v>
      </c>
      <c r="F4000" s="1323">
        <f t="shared" si="403"/>
        <v>4.5578278344262131</v>
      </c>
      <c r="G4000" s="1323">
        <f t="shared" si="405"/>
        <v>1998</v>
      </c>
      <c r="H4000" s="1323">
        <f t="shared" si="406"/>
        <v>9</v>
      </c>
      <c r="I4000" s="1323">
        <f t="shared" si="407"/>
        <v>10</v>
      </c>
      <c r="J4000" s="1323"/>
      <c r="K4000" s="1323"/>
      <c r="L4000" s="1323"/>
      <c r="M4000" s="1323"/>
      <c r="N4000" s="1323"/>
      <c r="O4000" s="1323"/>
      <c r="P4000" s="1323"/>
      <c r="Q4000" s="1323"/>
      <c r="R4000" s="1304"/>
      <c r="S4000" s="1304"/>
      <c r="T4000" s="1304"/>
    </row>
    <row r="4001" spans="1:20">
      <c r="A4001" s="1303"/>
      <c r="B4001" s="1322" t="s">
        <v>9961</v>
      </c>
      <c r="C4001" s="1323" t="s">
        <v>7228</v>
      </c>
      <c r="D4001" s="1324">
        <f t="shared" si="402"/>
        <v>36047</v>
      </c>
      <c r="E4001" s="1323">
        <f t="shared" si="404"/>
        <v>6.2716000000000003</v>
      </c>
      <c r="F4001" s="1323">
        <f t="shared" si="403"/>
        <v>4.5569538980622006</v>
      </c>
      <c r="G4001" s="1323">
        <f t="shared" si="405"/>
        <v>1998</v>
      </c>
      <c r="H4001" s="1323">
        <f t="shared" si="406"/>
        <v>9</v>
      </c>
      <c r="I4001" s="1323">
        <f t="shared" si="407"/>
        <v>9</v>
      </c>
      <c r="J4001" s="1323"/>
      <c r="K4001" s="1323"/>
      <c r="L4001" s="1323"/>
      <c r="M4001" s="1323"/>
      <c r="N4001" s="1323"/>
      <c r="O4001" s="1323"/>
      <c r="P4001" s="1323"/>
      <c r="Q4001" s="1323"/>
      <c r="R4001" s="1304"/>
      <c r="S4001" s="1304"/>
      <c r="T4001" s="1304"/>
    </row>
    <row r="4002" spans="1:20">
      <c r="A4002" s="1303"/>
      <c r="B4002" s="1322" t="s">
        <v>9962</v>
      </c>
      <c r="C4002" s="1323" t="s">
        <v>9963</v>
      </c>
      <c r="D4002" s="1324">
        <f t="shared" si="402"/>
        <v>36046</v>
      </c>
      <c r="E4002" s="1323">
        <f t="shared" si="404"/>
        <v>6.2207999999999997</v>
      </c>
      <c r="F4002" s="1323">
        <f t="shared" si="403"/>
        <v>4.5560801292702857</v>
      </c>
      <c r="G4002" s="1323">
        <f t="shared" si="405"/>
        <v>1998</v>
      </c>
      <c r="H4002" s="1323">
        <f t="shared" si="406"/>
        <v>9</v>
      </c>
      <c r="I4002" s="1323">
        <f t="shared" si="407"/>
        <v>8</v>
      </c>
      <c r="J4002" s="1323"/>
      <c r="K4002" s="1323"/>
      <c r="L4002" s="1323"/>
      <c r="M4002" s="1323"/>
      <c r="N4002" s="1323"/>
      <c r="O4002" s="1323"/>
      <c r="P4002" s="1323"/>
      <c r="Q4002" s="1323"/>
      <c r="R4002" s="1304"/>
      <c r="S4002" s="1304"/>
      <c r="T4002" s="1304"/>
    </row>
    <row r="4003" spans="1:20">
      <c r="A4003" s="1303"/>
      <c r="B4003" s="1322" t="s">
        <v>9964</v>
      </c>
      <c r="C4003" s="1323" t="s">
        <v>9763</v>
      </c>
      <c r="D4003" s="1324">
        <f t="shared" si="402"/>
        <v>36045</v>
      </c>
      <c r="E4003" s="1323">
        <f t="shared" si="404"/>
        <v>6.1651999999999996</v>
      </c>
      <c r="F4003" s="1323">
        <f t="shared" si="403"/>
        <v>4.5552065280183367</v>
      </c>
      <c r="G4003" s="1323">
        <f t="shared" si="405"/>
        <v>1998</v>
      </c>
      <c r="H4003" s="1323">
        <f t="shared" si="406"/>
        <v>9</v>
      </c>
      <c r="I4003" s="1323">
        <f t="shared" si="407"/>
        <v>7</v>
      </c>
      <c r="J4003" s="1323"/>
      <c r="K4003" s="1323"/>
      <c r="L4003" s="1323"/>
      <c r="M4003" s="1323"/>
      <c r="N4003" s="1323"/>
      <c r="O4003" s="1323"/>
      <c r="P4003" s="1323"/>
      <c r="Q4003" s="1323"/>
      <c r="R4003" s="1304"/>
      <c r="S4003" s="1304"/>
      <c r="T4003" s="1304"/>
    </row>
    <row r="4004" spans="1:20">
      <c r="A4004" s="1303"/>
      <c r="B4004" s="1322" t="s">
        <v>9965</v>
      </c>
      <c r="C4004" s="1323" t="s">
        <v>9966</v>
      </c>
      <c r="D4004" s="1324">
        <f t="shared" si="402"/>
        <v>36042</v>
      </c>
      <c r="E4004" s="1323">
        <f t="shared" si="404"/>
        <v>6.2813999999999997</v>
      </c>
      <c r="F4004" s="1323">
        <f t="shared" si="403"/>
        <v>4.5543330942742291</v>
      </c>
      <c r="G4004" s="1323">
        <f t="shared" si="405"/>
        <v>1998</v>
      </c>
      <c r="H4004" s="1323">
        <f t="shared" si="406"/>
        <v>9</v>
      </c>
      <c r="I4004" s="1323">
        <f t="shared" si="407"/>
        <v>4</v>
      </c>
      <c r="J4004" s="1323"/>
      <c r="K4004" s="1323"/>
      <c r="L4004" s="1323"/>
      <c r="M4004" s="1323"/>
      <c r="N4004" s="1323"/>
      <c r="O4004" s="1323"/>
      <c r="P4004" s="1323"/>
      <c r="Q4004" s="1323"/>
      <c r="R4004" s="1304"/>
      <c r="S4004" s="1304"/>
      <c r="T4004" s="1304"/>
    </row>
    <row r="4005" spans="1:20">
      <c r="A4005" s="1303"/>
      <c r="B4005" s="1322" t="s">
        <v>9967</v>
      </c>
      <c r="C4005" s="1323" t="s">
        <v>9968</v>
      </c>
      <c r="D4005" s="1324">
        <f t="shared" si="402"/>
        <v>36041</v>
      </c>
      <c r="E4005" s="1323">
        <f t="shared" si="404"/>
        <v>6.1996000000000002</v>
      </c>
      <c r="F4005" s="1323">
        <f t="shared" si="403"/>
        <v>4.5534598280058445</v>
      </c>
      <c r="G4005" s="1323">
        <f t="shared" si="405"/>
        <v>1998</v>
      </c>
      <c r="H4005" s="1323">
        <f t="shared" si="406"/>
        <v>9</v>
      </c>
      <c r="I4005" s="1323">
        <f t="shared" si="407"/>
        <v>3</v>
      </c>
      <c r="J4005" s="1323"/>
      <c r="K4005" s="1323"/>
      <c r="L4005" s="1323"/>
      <c r="M4005" s="1323"/>
      <c r="N4005" s="1323"/>
      <c r="O4005" s="1323"/>
      <c r="P4005" s="1323"/>
      <c r="Q4005" s="1323"/>
      <c r="R4005" s="1304"/>
      <c r="S4005" s="1304"/>
      <c r="T4005" s="1304"/>
    </row>
    <row r="4006" spans="1:20">
      <c r="A4006" s="1303"/>
      <c r="B4006" s="1322" t="s">
        <v>9969</v>
      </c>
      <c r="C4006" s="1323" t="s">
        <v>9741</v>
      </c>
      <c r="D4006" s="1324">
        <f t="shared" si="402"/>
        <v>36040</v>
      </c>
      <c r="E4006" s="1323">
        <f t="shared" si="404"/>
        <v>6.2169999999999996</v>
      </c>
      <c r="F4006" s="1323">
        <f t="shared" si="403"/>
        <v>4.55258672918107</v>
      </c>
      <c r="G4006" s="1323">
        <f t="shared" si="405"/>
        <v>1998</v>
      </c>
      <c r="H4006" s="1323">
        <f t="shared" si="406"/>
        <v>9</v>
      </c>
      <c r="I4006" s="1323">
        <f t="shared" si="407"/>
        <v>2</v>
      </c>
      <c r="J4006" s="1323"/>
      <c r="K4006" s="1323"/>
      <c r="L4006" s="1323"/>
      <c r="M4006" s="1323"/>
      <c r="N4006" s="1323"/>
      <c r="O4006" s="1323"/>
      <c r="P4006" s="1323"/>
      <c r="Q4006" s="1323"/>
      <c r="R4006" s="1304"/>
      <c r="S4006" s="1304"/>
      <c r="T4006" s="1304"/>
    </row>
    <row r="4007" spans="1:20">
      <c r="A4007" s="1303"/>
      <c r="B4007" s="1322" t="s">
        <v>9970</v>
      </c>
      <c r="C4007" s="1323" t="s">
        <v>9689</v>
      </c>
      <c r="D4007" s="1324">
        <f t="shared" si="402"/>
        <v>36039</v>
      </c>
      <c r="E4007" s="1323">
        <f t="shared" si="404"/>
        <v>6.3311000000000002</v>
      </c>
      <c r="F4007" s="1323">
        <f t="shared" si="403"/>
        <v>4.5517137977677997</v>
      </c>
      <c r="G4007" s="1323">
        <f t="shared" si="405"/>
        <v>1998</v>
      </c>
      <c r="H4007" s="1323">
        <f t="shared" si="406"/>
        <v>9</v>
      </c>
      <c r="I4007" s="1323">
        <f t="shared" si="407"/>
        <v>1</v>
      </c>
      <c r="J4007" s="1323"/>
      <c r="K4007" s="1323"/>
      <c r="L4007" s="1323"/>
      <c r="M4007" s="1323"/>
      <c r="N4007" s="1323"/>
      <c r="O4007" s="1323"/>
      <c r="P4007" s="1323"/>
      <c r="Q4007" s="1323"/>
      <c r="R4007" s="1304"/>
      <c r="S4007" s="1304"/>
      <c r="T4007" s="1304"/>
    </row>
    <row r="4008" spans="1:20">
      <c r="A4008" s="1303"/>
      <c r="B4008" s="1322" t="s">
        <v>9971</v>
      </c>
      <c r="C4008" s="1323" t="s">
        <v>9972</v>
      </c>
      <c r="D4008" s="1324">
        <f t="shared" si="402"/>
        <v>36038</v>
      </c>
      <c r="E4008" s="1323">
        <f t="shared" si="404"/>
        <v>6.4641000000000002</v>
      </c>
      <c r="F4008" s="1323">
        <f t="shared" si="403"/>
        <v>4.5508410337339331</v>
      </c>
      <c r="G4008" s="1323">
        <f t="shared" si="405"/>
        <v>1998</v>
      </c>
      <c r="H4008" s="1323">
        <f t="shared" si="406"/>
        <v>8</v>
      </c>
      <c r="I4008" s="1323">
        <f t="shared" si="407"/>
        <v>31</v>
      </c>
      <c r="J4008" s="1323"/>
      <c r="K4008" s="1323"/>
      <c r="L4008" s="1323"/>
      <c r="M4008" s="1323"/>
      <c r="N4008" s="1323"/>
      <c r="O4008" s="1323"/>
      <c r="P4008" s="1323"/>
      <c r="Q4008" s="1323"/>
      <c r="R4008" s="1304"/>
      <c r="S4008" s="1304"/>
      <c r="T4008" s="1304"/>
    </row>
    <row r="4009" spans="1:20">
      <c r="A4009" s="1303"/>
      <c r="B4009" s="1322" t="s">
        <v>9973</v>
      </c>
      <c r="C4009" s="1323" t="s">
        <v>9974</v>
      </c>
      <c r="D4009" s="1324">
        <f t="shared" si="402"/>
        <v>36035</v>
      </c>
      <c r="E4009" s="1323">
        <f t="shared" si="404"/>
        <v>6.6666999999999996</v>
      </c>
      <c r="F4009" s="1323">
        <f t="shared" si="403"/>
        <v>4.5499684370473759</v>
      </c>
      <c r="G4009" s="1323">
        <f t="shared" si="405"/>
        <v>1998</v>
      </c>
      <c r="H4009" s="1323">
        <f t="shared" si="406"/>
        <v>8</v>
      </c>
      <c r="I4009" s="1323">
        <f t="shared" si="407"/>
        <v>28</v>
      </c>
      <c r="J4009" s="1323"/>
      <c r="K4009" s="1323"/>
      <c r="L4009" s="1323"/>
      <c r="M4009" s="1323"/>
      <c r="N4009" s="1323"/>
      <c r="O4009" s="1323"/>
      <c r="P4009" s="1323"/>
      <c r="Q4009" s="1323"/>
      <c r="R4009" s="1304"/>
      <c r="S4009" s="1304"/>
      <c r="T4009" s="1304"/>
    </row>
    <row r="4010" spans="1:20">
      <c r="A4010" s="1303"/>
      <c r="B4010" s="1322" t="s">
        <v>9975</v>
      </c>
      <c r="C4010" s="1323" t="s">
        <v>9976</v>
      </c>
      <c r="D4010" s="1324">
        <f t="shared" si="402"/>
        <v>36034</v>
      </c>
      <c r="E4010" s="1323">
        <f t="shared" si="404"/>
        <v>6.4725000000000001</v>
      </c>
      <c r="F4010" s="1323">
        <f t="shared" si="403"/>
        <v>4.5490960076760407</v>
      </c>
      <c r="G4010" s="1323">
        <f t="shared" si="405"/>
        <v>1998</v>
      </c>
      <c r="H4010" s="1323">
        <f t="shared" si="406"/>
        <v>8</v>
      </c>
      <c r="I4010" s="1323">
        <f t="shared" si="407"/>
        <v>27</v>
      </c>
      <c r="J4010" s="1323"/>
      <c r="K4010" s="1323"/>
      <c r="L4010" s="1323"/>
      <c r="M4010" s="1323"/>
      <c r="N4010" s="1323"/>
      <c r="O4010" s="1323"/>
      <c r="P4010" s="1323"/>
      <c r="Q4010" s="1323"/>
      <c r="R4010" s="1304"/>
      <c r="S4010" s="1304"/>
      <c r="T4010" s="1304"/>
    </row>
    <row r="4011" spans="1:20">
      <c r="A4011" s="1303"/>
      <c r="B4011" s="1322" t="s">
        <v>9977</v>
      </c>
      <c r="C4011" s="1323" t="s">
        <v>9978</v>
      </c>
      <c r="D4011" s="1324">
        <f t="shared" si="402"/>
        <v>36033</v>
      </c>
      <c r="E4011" s="1323">
        <f t="shared" si="404"/>
        <v>6.3032000000000004</v>
      </c>
      <c r="F4011" s="1323">
        <f t="shared" si="403"/>
        <v>4.5482237455878458</v>
      </c>
      <c r="G4011" s="1323">
        <f t="shared" si="405"/>
        <v>1998</v>
      </c>
      <c r="H4011" s="1323">
        <f t="shared" si="406"/>
        <v>8</v>
      </c>
      <c r="I4011" s="1323">
        <f t="shared" si="407"/>
        <v>26</v>
      </c>
      <c r="J4011" s="1323"/>
      <c r="K4011" s="1323"/>
      <c r="L4011" s="1323"/>
      <c r="M4011" s="1323"/>
      <c r="N4011" s="1323"/>
      <c r="O4011" s="1323"/>
      <c r="P4011" s="1323"/>
      <c r="Q4011" s="1323"/>
      <c r="R4011" s="1304"/>
      <c r="S4011" s="1304"/>
      <c r="T4011" s="1304"/>
    </row>
    <row r="4012" spans="1:20">
      <c r="A4012" s="1303"/>
      <c r="B4012" s="1322" t="s">
        <v>9979</v>
      </c>
      <c r="C4012" s="1323" t="s">
        <v>9980</v>
      </c>
      <c r="D4012" s="1324">
        <f t="shared" si="402"/>
        <v>36032</v>
      </c>
      <c r="E4012" s="1323">
        <f t="shared" si="404"/>
        <v>6.3170999999999999</v>
      </c>
      <c r="F4012" s="1323">
        <f t="shared" si="403"/>
        <v>4.5473516507507155</v>
      </c>
      <c r="G4012" s="1323">
        <f t="shared" si="405"/>
        <v>1998</v>
      </c>
      <c r="H4012" s="1323">
        <f t="shared" si="406"/>
        <v>8</v>
      </c>
      <c r="I4012" s="1323">
        <f t="shared" si="407"/>
        <v>25</v>
      </c>
      <c r="J4012" s="1323"/>
      <c r="K4012" s="1323"/>
      <c r="L4012" s="1323"/>
      <c r="M4012" s="1323"/>
      <c r="N4012" s="1323"/>
      <c r="O4012" s="1323"/>
      <c r="P4012" s="1323"/>
      <c r="Q4012" s="1323"/>
      <c r="R4012" s="1304"/>
      <c r="S4012" s="1304"/>
      <c r="T4012" s="1304"/>
    </row>
    <row r="4013" spans="1:20">
      <c r="A4013" s="1303"/>
      <c r="B4013" s="1322" t="s">
        <v>9981</v>
      </c>
      <c r="C4013" s="1323" t="s">
        <v>7380</v>
      </c>
      <c r="D4013" s="1324">
        <f t="shared" si="402"/>
        <v>36031</v>
      </c>
      <c r="E4013" s="1323">
        <f t="shared" si="404"/>
        <v>6.3979999999999997</v>
      </c>
      <c r="F4013" s="1323">
        <f t="shared" si="403"/>
        <v>4.5464797231325802</v>
      </c>
      <c r="G4013" s="1323">
        <f t="shared" si="405"/>
        <v>1998</v>
      </c>
      <c r="H4013" s="1323">
        <f t="shared" si="406"/>
        <v>8</v>
      </c>
      <c r="I4013" s="1323">
        <f t="shared" si="407"/>
        <v>24</v>
      </c>
      <c r="J4013" s="1323"/>
      <c r="K4013" s="1323"/>
      <c r="L4013" s="1323"/>
      <c r="M4013" s="1323"/>
      <c r="N4013" s="1323"/>
      <c r="O4013" s="1323"/>
      <c r="P4013" s="1323"/>
      <c r="Q4013" s="1323"/>
      <c r="R4013" s="1304"/>
      <c r="S4013" s="1304"/>
      <c r="T4013" s="1304"/>
    </row>
    <row r="4014" spans="1:20">
      <c r="A4014" s="1303"/>
      <c r="B4014" s="1322" t="s">
        <v>9982</v>
      </c>
      <c r="C4014" s="1323" t="s">
        <v>9983</v>
      </c>
      <c r="D4014" s="1324">
        <f t="shared" si="402"/>
        <v>36028</v>
      </c>
      <c r="E4014" s="1323">
        <f t="shared" si="404"/>
        <v>6.3693999999999997</v>
      </c>
      <c r="F4014" s="1323">
        <f t="shared" si="403"/>
        <v>4.5456079627013768</v>
      </c>
      <c r="G4014" s="1323">
        <f t="shared" si="405"/>
        <v>1998</v>
      </c>
      <c r="H4014" s="1323">
        <f t="shared" si="406"/>
        <v>8</v>
      </c>
      <c r="I4014" s="1323">
        <f t="shared" si="407"/>
        <v>21</v>
      </c>
      <c r="J4014" s="1323"/>
      <c r="K4014" s="1323"/>
      <c r="L4014" s="1323"/>
      <c r="M4014" s="1323"/>
      <c r="N4014" s="1323"/>
      <c r="O4014" s="1323"/>
      <c r="P4014" s="1323"/>
      <c r="Q4014" s="1323"/>
      <c r="R4014" s="1304"/>
      <c r="S4014" s="1304"/>
      <c r="T4014" s="1304"/>
    </row>
    <row r="4015" spans="1:20">
      <c r="A4015" s="1303"/>
      <c r="B4015" s="1322" t="s">
        <v>9984</v>
      </c>
      <c r="C4015" s="1323" t="s">
        <v>9985</v>
      </c>
      <c r="D4015" s="1324">
        <f t="shared" si="402"/>
        <v>36027</v>
      </c>
      <c r="E4015" s="1323">
        <f t="shared" si="404"/>
        <v>6.3693999999999997</v>
      </c>
      <c r="F4015" s="1323">
        <f t="shared" si="403"/>
        <v>4.5447363694250482</v>
      </c>
      <c r="G4015" s="1323">
        <f t="shared" si="405"/>
        <v>1998</v>
      </c>
      <c r="H4015" s="1323">
        <f t="shared" si="406"/>
        <v>8</v>
      </c>
      <c r="I4015" s="1323">
        <f t="shared" si="407"/>
        <v>20</v>
      </c>
      <c r="J4015" s="1323"/>
      <c r="K4015" s="1323"/>
      <c r="L4015" s="1323"/>
      <c r="M4015" s="1323"/>
      <c r="N4015" s="1323"/>
      <c r="O4015" s="1323"/>
      <c r="P4015" s="1323"/>
      <c r="Q4015" s="1323"/>
      <c r="R4015" s="1304"/>
      <c r="S4015" s="1304"/>
      <c r="T4015" s="1304"/>
    </row>
    <row r="4016" spans="1:20">
      <c r="A4016" s="1303"/>
      <c r="B4016" s="1322" t="s">
        <v>9986</v>
      </c>
      <c r="C4016" s="1323" t="s">
        <v>9985</v>
      </c>
      <c r="D4016" s="1324">
        <f t="shared" si="402"/>
        <v>36026</v>
      </c>
      <c r="E4016" s="1323">
        <f t="shared" si="404"/>
        <v>6.2577999999999996</v>
      </c>
      <c r="F4016" s="1323">
        <f t="shared" si="403"/>
        <v>4.5438649432715437</v>
      </c>
      <c r="G4016" s="1323">
        <f t="shared" si="405"/>
        <v>1998</v>
      </c>
      <c r="H4016" s="1323">
        <f t="shared" si="406"/>
        <v>8</v>
      </c>
      <c r="I4016" s="1323">
        <f t="shared" si="407"/>
        <v>19</v>
      </c>
      <c r="J4016" s="1323"/>
      <c r="K4016" s="1323"/>
      <c r="L4016" s="1323"/>
      <c r="M4016" s="1323"/>
      <c r="N4016" s="1323"/>
      <c r="O4016" s="1323"/>
      <c r="P4016" s="1323"/>
      <c r="Q4016" s="1323"/>
      <c r="R4016" s="1304"/>
      <c r="S4016" s="1304"/>
      <c r="T4016" s="1304"/>
    </row>
    <row r="4017" spans="1:20">
      <c r="A4017" s="1303"/>
      <c r="B4017" s="1322" t="s">
        <v>9987</v>
      </c>
      <c r="C4017" s="1323" t="s">
        <v>9781</v>
      </c>
      <c r="D4017" s="1324">
        <f t="shared" si="402"/>
        <v>36025</v>
      </c>
      <c r="E4017" s="1323">
        <f t="shared" si="404"/>
        <v>6.2637</v>
      </c>
      <c r="F4017" s="1323">
        <f t="shared" si="403"/>
        <v>4.5429936842088186</v>
      </c>
      <c r="G4017" s="1323">
        <f t="shared" si="405"/>
        <v>1998</v>
      </c>
      <c r="H4017" s="1323">
        <f t="shared" si="406"/>
        <v>8</v>
      </c>
      <c r="I4017" s="1323">
        <f t="shared" si="407"/>
        <v>18</v>
      </c>
      <c r="J4017" s="1323"/>
      <c r="K4017" s="1323"/>
      <c r="L4017" s="1323"/>
      <c r="M4017" s="1323"/>
      <c r="N4017" s="1323"/>
      <c r="O4017" s="1323"/>
      <c r="P4017" s="1323"/>
      <c r="Q4017" s="1323"/>
      <c r="R4017" s="1304"/>
      <c r="S4017" s="1304"/>
      <c r="T4017" s="1304"/>
    </row>
    <row r="4018" spans="1:20">
      <c r="A4018" s="1303"/>
      <c r="B4018" s="1322" t="s">
        <v>9988</v>
      </c>
      <c r="C4018" s="1323" t="s">
        <v>9761</v>
      </c>
      <c r="D4018" s="1324">
        <f t="shared" si="402"/>
        <v>36024</v>
      </c>
      <c r="E4018" s="1323">
        <f t="shared" si="404"/>
        <v>6.3291000000000004</v>
      </c>
      <c r="F4018" s="1323">
        <f t="shared" si="403"/>
        <v>4.5421225922048336</v>
      </c>
      <c r="G4018" s="1323">
        <f t="shared" si="405"/>
        <v>1998</v>
      </c>
      <c r="H4018" s="1323">
        <f t="shared" si="406"/>
        <v>8</v>
      </c>
      <c r="I4018" s="1323">
        <f t="shared" si="407"/>
        <v>17</v>
      </c>
      <c r="J4018" s="1323"/>
      <c r="K4018" s="1323"/>
      <c r="L4018" s="1323"/>
      <c r="M4018" s="1323"/>
      <c r="N4018" s="1323"/>
      <c r="O4018" s="1323"/>
      <c r="P4018" s="1323"/>
      <c r="Q4018" s="1323"/>
      <c r="R4018" s="1304"/>
      <c r="S4018" s="1304"/>
      <c r="T4018" s="1304"/>
    </row>
    <row r="4019" spans="1:20">
      <c r="A4019" s="1303"/>
      <c r="B4019" s="1322" t="s">
        <v>9989</v>
      </c>
      <c r="C4019" s="1323" t="s">
        <v>9990</v>
      </c>
      <c r="D4019" s="1324">
        <f t="shared" si="402"/>
        <v>36021</v>
      </c>
      <c r="E4019" s="1323">
        <f t="shared" si="404"/>
        <v>6.2656999999999998</v>
      </c>
      <c r="F4019" s="1323">
        <f t="shared" si="403"/>
        <v>4.5412516672275567</v>
      </c>
      <c r="G4019" s="1323">
        <f t="shared" si="405"/>
        <v>1998</v>
      </c>
      <c r="H4019" s="1323">
        <f t="shared" si="406"/>
        <v>8</v>
      </c>
      <c r="I4019" s="1323">
        <f t="shared" si="407"/>
        <v>14</v>
      </c>
      <c r="J4019" s="1323"/>
      <c r="K4019" s="1323"/>
      <c r="L4019" s="1323"/>
      <c r="M4019" s="1323"/>
      <c r="N4019" s="1323"/>
      <c r="O4019" s="1323"/>
      <c r="P4019" s="1323"/>
      <c r="Q4019" s="1323"/>
      <c r="R4019" s="1304"/>
      <c r="S4019" s="1304"/>
      <c r="T4019" s="1304"/>
    </row>
    <row r="4020" spans="1:20">
      <c r="A4020" s="1303"/>
      <c r="B4020" s="1322" t="s">
        <v>9991</v>
      </c>
      <c r="C4020" s="1323" t="s">
        <v>9992</v>
      </c>
      <c r="D4020" s="1324">
        <f t="shared" si="402"/>
        <v>36020</v>
      </c>
      <c r="E4020" s="1323">
        <f t="shared" si="404"/>
        <v>6.4103000000000003</v>
      </c>
      <c r="F4020" s="1323">
        <f t="shared" si="403"/>
        <v>4.5403809092449618</v>
      </c>
      <c r="G4020" s="1323">
        <f t="shared" si="405"/>
        <v>1998</v>
      </c>
      <c r="H4020" s="1323">
        <f t="shared" si="406"/>
        <v>8</v>
      </c>
      <c r="I4020" s="1323">
        <f t="shared" si="407"/>
        <v>13</v>
      </c>
      <c r="J4020" s="1323"/>
      <c r="K4020" s="1323"/>
      <c r="L4020" s="1323"/>
      <c r="M4020" s="1323"/>
      <c r="N4020" s="1323"/>
      <c r="O4020" s="1323"/>
      <c r="P4020" s="1323"/>
      <c r="Q4020" s="1323"/>
      <c r="R4020" s="1304"/>
      <c r="S4020" s="1304"/>
      <c r="T4020" s="1304"/>
    </row>
    <row r="4021" spans="1:20">
      <c r="A4021" s="1303"/>
      <c r="B4021" s="1322" t="s">
        <v>9993</v>
      </c>
      <c r="C4021" s="1323" t="s">
        <v>9994</v>
      </c>
      <c r="D4021" s="1324">
        <f t="shared" si="402"/>
        <v>36019</v>
      </c>
      <c r="E4021" s="1323">
        <f t="shared" si="404"/>
        <v>6.3090999999999999</v>
      </c>
      <c r="F4021" s="1323">
        <f t="shared" si="403"/>
        <v>4.5395103182250285</v>
      </c>
      <c r="G4021" s="1323">
        <f t="shared" si="405"/>
        <v>1998</v>
      </c>
      <c r="H4021" s="1323">
        <f t="shared" si="406"/>
        <v>8</v>
      </c>
      <c r="I4021" s="1323">
        <f t="shared" si="407"/>
        <v>12</v>
      </c>
      <c r="J4021" s="1323"/>
      <c r="K4021" s="1323"/>
      <c r="L4021" s="1323"/>
      <c r="M4021" s="1323"/>
      <c r="N4021" s="1323"/>
      <c r="O4021" s="1323"/>
      <c r="P4021" s="1323"/>
      <c r="Q4021" s="1323"/>
      <c r="R4021" s="1304"/>
      <c r="S4021" s="1304"/>
      <c r="T4021" s="1304"/>
    </row>
    <row r="4022" spans="1:20">
      <c r="A4022" s="1303"/>
      <c r="B4022" s="1322" t="s">
        <v>9995</v>
      </c>
      <c r="C4022" s="1323" t="s">
        <v>9996</v>
      </c>
      <c r="D4022" s="1324">
        <f t="shared" si="402"/>
        <v>36018</v>
      </c>
      <c r="E4022" s="1323">
        <f t="shared" si="404"/>
        <v>6.3654000000000002</v>
      </c>
      <c r="F4022" s="1323">
        <f t="shared" si="403"/>
        <v>4.5386398941357422</v>
      </c>
      <c r="G4022" s="1323">
        <f t="shared" si="405"/>
        <v>1998</v>
      </c>
      <c r="H4022" s="1323">
        <f t="shared" si="406"/>
        <v>8</v>
      </c>
      <c r="I4022" s="1323">
        <f t="shared" si="407"/>
        <v>11</v>
      </c>
      <c r="J4022" s="1323"/>
      <c r="K4022" s="1323"/>
      <c r="L4022" s="1323"/>
      <c r="M4022" s="1323"/>
      <c r="N4022" s="1323"/>
      <c r="O4022" s="1323"/>
      <c r="P4022" s="1323"/>
      <c r="Q4022" s="1323"/>
      <c r="R4022" s="1304"/>
      <c r="S4022" s="1304"/>
      <c r="T4022" s="1304"/>
    </row>
    <row r="4023" spans="1:20">
      <c r="A4023" s="1303"/>
      <c r="B4023" s="1322" t="s">
        <v>9997</v>
      </c>
      <c r="C4023" s="1323" t="s">
        <v>9998</v>
      </c>
      <c r="D4023" s="1324">
        <f t="shared" si="402"/>
        <v>36014</v>
      </c>
      <c r="E4023" s="1323">
        <f t="shared" si="404"/>
        <v>6.2286000000000001</v>
      </c>
      <c r="F4023" s="1323">
        <f t="shared" si="403"/>
        <v>4.5377696369450948</v>
      </c>
      <c r="G4023" s="1323">
        <f t="shared" si="405"/>
        <v>1998</v>
      </c>
      <c r="H4023" s="1323">
        <f t="shared" si="406"/>
        <v>8</v>
      </c>
      <c r="I4023" s="1323">
        <f t="shared" si="407"/>
        <v>7</v>
      </c>
      <c r="J4023" s="1323"/>
      <c r="K4023" s="1323"/>
      <c r="L4023" s="1323"/>
      <c r="M4023" s="1323"/>
      <c r="N4023" s="1323"/>
      <c r="O4023" s="1323"/>
      <c r="P4023" s="1323"/>
      <c r="Q4023" s="1323"/>
      <c r="R4023" s="1304"/>
      <c r="S4023" s="1304"/>
      <c r="T4023" s="1304"/>
    </row>
    <row r="4024" spans="1:20">
      <c r="A4024" s="1303"/>
      <c r="B4024" s="1322" t="s">
        <v>9999</v>
      </c>
      <c r="C4024" s="1323" t="s">
        <v>9750</v>
      </c>
      <c r="D4024" s="1324">
        <f t="shared" si="402"/>
        <v>36013</v>
      </c>
      <c r="E4024" s="1323">
        <f t="shared" si="404"/>
        <v>6.1387</v>
      </c>
      <c r="F4024" s="1323">
        <f t="shared" si="403"/>
        <v>4.5368995466210853</v>
      </c>
      <c r="G4024" s="1323">
        <f t="shared" si="405"/>
        <v>1998</v>
      </c>
      <c r="H4024" s="1323">
        <f t="shared" si="406"/>
        <v>8</v>
      </c>
      <c r="I4024" s="1323">
        <f t="shared" si="407"/>
        <v>6</v>
      </c>
      <c r="J4024" s="1323"/>
      <c r="K4024" s="1323"/>
      <c r="L4024" s="1323"/>
      <c r="M4024" s="1323"/>
      <c r="N4024" s="1323"/>
      <c r="O4024" s="1323"/>
      <c r="P4024" s="1323"/>
      <c r="Q4024" s="1323"/>
      <c r="R4024" s="1304"/>
      <c r="S4024" s="1304"/>
      <c r="T4024" s="1304"/>
    </row>
    <row r="4025" spans="1:20">
      <c r="A4025" s="1303"/>
      <c r="B4025" s="1322" t="s">
        <v>10000</v>
      </c>
      <c r="C4025" s="1323" t="s">
        <v>9633</v>
      </c>
      <c r="D4025" s="1324">
        <f t="shared" si="402"/>
        <v>36012</v>
      </c>
      <c r="E4025" s="1323">
        <f t="shared" si="404"/>
        <v>6.1746999999999996</v>
      </c>
      <c r="F4025" s="1323">
        <f t="shared" si="403"/>
        <v>4.536029623131717</v>
      </c>
      <c r="G4025" s="1323">
        <f t="shared" si="405"/>
        <v>1998</v>
      </c>
      <c r="H4025" s="1323">
        <f t="shared" si="406"/>
        <v>8</v>
      </c>
      <c r="I4025" s="1323">
        <f t="shared" si="407"/>
        <v>5</v>
      </c>
      <c r="J4025" s="1323"/>
      <c r="K4025" s="1323"/>
      <c r="L4025" s="1323"/>
      <c r="M4025" s="1323"/>
      <c r="N4025" s="1323"/>
      <c r="O4025" s="1323"/>
      <c r="P4025" s="1323"/>
      <c r="Q4025" s="1323"/>
      <c r="R4025" s="1304"/>
      <c r="S4025" s="1304"/>
      <c r="T4025" s="1304"/>
    </row>
    <row r="4026" spans="1:20">
      <c r="A4026" s="1303"/>
      <c r="B4026" s="1322" t="s">
        <v>10001</v>
      </c>
      <c r="C4026" s="1323" t="s">
        <v>9683</v>
      </c>
      <c r="D4026" s="1324">
        <f t="shared" si="402"/>
        <v>36011</v>
      </c>
      <c r="E4026" s="1323">
        <f t="shared" si="404"/>
        <v>6.2228000000000003</v>
      </c>
      <c r="F4026" s="1323">
        <f t="shared" si="403"/>
        <v>4.5351598664450012</v>
      </c>
      <c r="G4026" s="1323">
        <f t="shared" si="405"/>
        <v>1998</v>
      </c>
      <c r="H4026" s="1323">
        <f t="shared" si="406"/>
        <v>8</v>
      </c>
      <c r="I4026" s="1323">
        <f t="shared" si="407"/>
        <v>4</v>
      </c>
      <c r="J4026" s="1323"/>
      <c r="K4026" s="1323"/>
      <c r="L4026" s="1323"/>
      <c r="M4026" s="1323"/>
      <c r="N4026" s="1323"/>
      <c r="O4026" s="1323"/>
      <c r="P4026" s="1323"/>
      <c r="Q4026" s="1323"/>
      <c r="R4026" s="1304"/>
      <c r="S4026" s="1304"/>
      <c r="T4026" s="1304"/>
    </row>
    <row r="4027" spans="1:20">
      <c r="A4027" s="1303"/>
      <c r="B4027" s="1322" t="s">
        <v>10002</v>
      </c>
      <c r="C4027" s="1323" t="s">
        <v>10003</v>
      </c>
      <c r="D4027" s="1324">
        <f t="shared" si="402"/>
        <v>36010</v>
      </c>
      <c r="E4027" s="1323">
        <f t="shared" si="404"/>
        <v>6.1708999999999996</v>
      </c>
      <c r="F4027" s="1323">
        <f t="shared" si="403"/>
        <v>4.5342902765289548</v>
      </c>
      <c r="G4027" s="1323">
        <f t="shared" si="405"/>
        <v>1998</v>
      </c>
      <c r="H4027" s="1323">
        <f t="shared" si="406"/>
        <v>8</v>
      </c>
      <c r="I4027" s="1323">
        <f t="shared" si="407"/>
        <v>3</v>
      </c>
      <c r="J4027" s="1323"/>
      <c r="K4027" s="1323"/>
      <c r="L4027" s="1323"/>
      <c r="M4027" s="1323"/>
      <c r="N4027" s="1323"/>
      <c r="O4027" s="1323"/>
      <c r="P4027" s="1323"/>
      <c r="Q4027" s="1323"/>
      <c r="R4027" s="1304"/>
      <c r="S4027" s="1304"/>
      <c r="T4027" s="1304"/>
    </row>
    <row r="4028" spans="1:20">
      <c r="A4028" s="1303"/>
      <c r="B4028" s="1322" t="s">
        <v>10004</v>
      </c>
      <c r="C4028" s="1323" t="s">
        <v>10005</v>
      </c>
      <c r="D4028" s="1324">
        <f t="shared" si="402"/>
        <v>36007</v>
      </c>
      <c r="E4028" s="1323">
        <f t="shared" si="404"/>
        <v>6.1031000000000004</v>
      </c>
      <c r="F4028" s="1323">
        <f t="shared" si="403"/>
        <v>4.5334208533515996</v>
      </c>
      <c r="G4028" s="1323">
        <f t="shared" si="405"/>
        <v>1998</v>
      </c>
      <c r="H4028" s="1323">
        <f t="shared" si="406"/>
        <v>7</v>
      </c>
      <c r="I4028" s="1323">
        <f t="shared" si="407"/>
        <v>31</v>
      </c>
      <c r="J4028" s="1323"/>
      <c r="K4028" s="1323"/>
      <c r="L4028" s="1323"/>
      <c r="M4028" s="1323"/>
      <c r="N4028" s="1323"/>
      <c r="O4028" s="1323"/>
      <c r="P4028" s="1323"/>
      <c r="Q4028" s="1323"/>
      <c r="R4028" s="1304"/>
      <c r="S4028" s="1304"/>
      <c r="T4028" s="1304"/>
    </row>
    <row r="4029" spans="1:20">
      <c r="A4029" s="1303"/>
      <c r="B4029" s="1322" t="s">
        <v>10006</v>
      </c>
      <c r="C4029" s="1323" t="s">
        <v>7006</v>
      </c>
      <c r="D4029" s="1324">
        <f t="shared" si="402"/>
        <v>36006</v>
      </c>
      <c r="E4029" s="1323">
        <f t="shared" si="404"/>
        <v>6.1444000000000001</v>
      </c>
      <c r="F4029" s="1323">
        <f t="shared" si="403"/>
        <v>4.5325515968809649</v>
      </c>
      <c r="G4029" s="1323">
        <f t="shared" si="405"/>
        <v>1998</v>
      </c>
      <c r="H4029" s="1323">
        <f t="shared" si="406"/>
        <v>7</v>
      </c>
      <c r="I4029" s="1323">
        <f t="shared" si="407"/>
        <v>30</v>
      </c>
      <c r="J4029" s="1323"/>
      <c r="K4029" s="1323"/>
      <c r="L4029" s="1323"/>
      <c r="M4029" s="1323"/>
      <c r="N4029" s="1323"/>
      <c r="O4029" s="1323"/>
      <c r="P4029" s="1323"/>
      <c r="Q4029" s="1323"/>
      <c r="R4029" s="1304"/>
      <c r="S4029" s="1304"/>
      <c r="T4029" s="1304"/>
    </row>
    <row r="4030" spans="1:20">
      <c r="A4030" s="1303"/>
      <c r="B4030" s="1322" t="s">
        <v>10007</v>
      </c>
      <c r="C4030" s="1323" t="s">
        <v>9517</v>
      </c>
      <c r="D4030" s="1324">
        <f t="shared" si="402"/>
        <v>36005</v>
      </c>
      <c r="E4030" s="1323">
        <f t="shared" si="404"/>
        <v>6.1996000000000002</v>
      </c>
      <c r="F4030" s="1323">
        <f t="shared" si="403"/>
        <v>4.531682507085085</v>
      </c>
      <c r="G4030" s="1323">
        <f t="shared" si="405"/>
        <v>1998</v>
      </c>
      <c r="H4030" s="1323">
        <f t="shared" si="406"/>
        <v>7</v>
      </c>
      <c r="I4030" s="1323">
        <f t="shared" si="407"/>
        <v>29</v>
      </c>
      <c r="J4030" s="1323"/>
      <c r="K4030" s="1323"/>
      <c r="L4030" s="1323"/>
      <c r="M4030" s="1323"/>
      <c r="N4030" s="1323"/>
      <c r="O4030" s="1323"/>
      <c r="P4030" s="1323"/>
      <c r="Q4030" s="1323"/>
      <c r="R4030" s="1304"/>
      <c r="S4030" s="1304"/>
      <c r="T4030" s="1304"/>
    </row>
    <row r="4031" spans="1:20">
      <c r="A4031" s="1303"/>
      <c r="B4031" s="1322" t="s">
        <v>10008</v>
      </c>
      <c r="C4031" s="1323" t="s">
        <v>9741</v>
      </c>
      <c r="D4031" s="1324">
        <f t="shared" si="402"/>
        <v>36004</v>
      </c>
      <c r="E4031" s="1323">
        <f t="shared" si="404"/>
        <v>6.2952000000000004</v>
      </c>
      <c r="F4031" s="1323">
        <f t="shared" si="403"/>
        <v>4.5308135839320016</v>
      </c>
      <c r="G4031" s="1323">
        <f t="shared" si="405"/>
        <v>1998</v>
      </c>
      <c r="H4031" s="1323">
        <f t="shared" si="406"/>
        <v>7</v>
      </c>
      <c r="I4031" s="1323">
        <f t="shared" si="407"/>
        <v>28</v>
      </c>
      <c r="J4031" s="1323"/>
      <c r="K4031" s="1323"/>
      <c r="L4031" s="1323"/>
      <c r="M4031" s="1323"/>
      <c r="N4031" s="1323"/>
      <c r="O4031" s="1323"/>
      <c r="P4031" s="1323"/>
      <c r="Q4031" s="1323"/>
      <c r="R4031" s="1304"/>
      <c r="S4031" s="1304"/>
      <c r="T4031" s="1304"/>
    </row>
    <row r="4032" spans="1:20">
      <c r="A4032" s="1303"/>
      <c r="B4032" s="1322" t="s">
        <v>10009</v>
      </c>
      <c r="C4032" s="1323" t="s">
        <v>10010</v>
      </c>
      <c r="D4032" s="1324">
        <f t="shared" si="402"/>
        <v>36003</v>
      </c>
      <c r="E4032" s="1323">
        <f t="shared" si="404"/>
        <v>6.2675999999999998</v>
      </c>
      <c r="F4032" s="1323">
        <f t="shared" si="403"/>
        <v>4.5299448273897625</v>
      </c>
      <c r="G4032" s="1323">
        <f t="shared" si="405"/>
        <v>1998</v>
      </c>
      <c r="H4032" s="1323">
        <f t="shared" si="406"/>
        <v>7</v>
      </c>
      <c r="I4032" s="1323">
        <f t="shared" si="407"/>
        <v>27</v>
      </c>
      <c r="J4032" s="1323"/>
      <c r="K4032" s="1323"/>
      <c r="L4032" s="1323"/>
      <c r="M4032" s="1323"/>
      <c r="N4032" s="1323"/>
      <c r="O4032" s="1323"/>
      <c r="P4032" s="1323"/>
      <c r="Q4032" s="1323"/>
      <c r="R4032" s="1304"/>
      <c r="S4032" s="1304"/>
      <c r="T4032" s="1304"/>
    </row>
    <row r="4033" spans="1:20">
      <c r="A4033" s="1303"/>
      <c r="B4033" s="1322" t="s">
        <v>10011</v>
      </c>
      <c r="C4033" s="1323" t="s">
        <v>10012</v>
      </c>
      <c r="D4033" s="1324">
        <f t="shared" si="402"/>
        <v>36000</v>
      </c>
      <c r="E4033" s="1323">
        <f t="shared" si="404"/>
        <v>6.2305000000000001</v>
      </c>
      <c r="F4033" s="1323">
        <f t="shared" si="403"/>
        <v>4.5290762374264206</v>
      </c>
      <c r="G4033" s="1323">
        <f t="shared" si="405"/>
        <v>1998</v>
      </c>
      <c r="H4033" s="1323">
        <f t="shared" si="406"/>
        <v>7</v>
      </c>
      <c r="I4033" s="1323">
        <f t="shared" si="407"/>
        <v>24</v>
      </c>
      <c r="J4033" s="1323"/>
      <c r="K4033" s="1323"/>
      <c r="L4033" s="1323"/>
      <c r="M4033" s="1323"/>
      <c r="N4033" s="1323"/>
      <c r="O4033" s="1323"/>
      <c r="P4033" s="1323"/>
      <c r="Q4033" s="1323"/>
      <c r="R4033" s="1304"/>
      <c r="S4033" s="1304"/>
      <c r="T4033" s="1304"/>
    </row>
    <row r="4034" spans="1:20">
      <c r="A4034" s="1303"/>
      <c r="B4034" s="1322" t="s">
        <v>10013</v>
      </c>
      <c r="C4034" s="1323" t="s">
        <v>9388</v>
      </c>
      <c r="D4034" s="1324">
        <f t="shared" si="402"/>
        <v>35999</v>
      </c>
      <c r="E4034" s="1323">
        <f t="shared" si="404"/>
        <v>6.2054</v>
      </c>
      <c r="F4034" s="1323">
        <f t="shared" si="403"/>
        <v>4.5282078140100346</v>
      </c>
      <c r="G4034" s="1323">
        <f t="shared" si="405"/>
        <v>1998</v>
      </c>
      <c r="H4034" s="1323">
        <f t="shared" si="406"/>
        <v>7</v>
      </c>
      <c r="I4034" s="1323">
        <f t="shared" si="407"/>
        <v>23</v>
      </c>
      <c r="J4034" s="1323"/>
      <c r="K4034" s="1323"/>
      <c r="L4034" s="1323"/>
      <c r="M4034" s="1323"/>
      <c r="N4034" s="1323"/>
      <c r="O4034" s="1323"/>
      <c r="P4034" s="1323"/>
      <c r="Q4034" s="1323"/>
      <c r="R4034" s="1304"/>
      <c r="S4034" s="1304"/>
      <c r="T4034" s="1304"/>
    </row>
    <row r="4035" spans="1:20">
      <c r="A4035" s="1303"/>
      <c r="B4035" s="1322" t="s">
        <v>10014</v>
      </c>
      <c r="C4035" s="1323" t="s">
        <v>9739</v>
      </c>
      <c r="D4035" s="1324">
        <f t="shared" si="402"/>
        <v>35998</v>
      </c>
      <c r="E4035" s="1323">
        <f t="shared" si="404"/>
        <v>6.3452000000000002</v>
      </c>
      <c r="F4035" s="1323">
        <f t="shared" si="403"/>
        <v>4.5273395571086708</v>
      </c>
      <c r="G4035" s="1323">
        <f t="shared" si="405"/>
        <v>1998</v>
      </c>
      <c r="H4035" s="1323">
        <f t="shared" si="406"/>
        <v>7</v>
      </c>
      <c r="I4035" s="1323">
        <f t="shared" si="407"/>
        <v>22</v>
      </c>
      <c r="J4035" s="1323"/>
      <c r="K4035" s="1323"/>
      <c r="L4035" s="1323"/>
      <c r="M4035" s="1323"/>
      <c r="N4035" s="1323"/>
      <c r="O4035" s="1323"/>
      <c r="P4035" s="1323"/>
      <c r="Q4035" s="1323"/>
      <c r="R4035" s="1304"/>
      <c r="S4035" s="1304"/>
      <c r="T4035" s="1304"/>
    </row>
    <row r="4036" spans="1:20">
      <c r="A4036" s="1303"/>
      <c r="B4036" s="1322" t="s">
        <v>10015</v>
      </c>
      <c r="C4036" s="1323" t="s">
        <v>10016</v>
      </c>
      <c r="D4036" s="1324">
        <f t="shared" si="402"/>
        <v>35997</v>
      </c>
      <c r="E4036" s="1323">
        <f t="shared" si="404"/>
        <v>6.2441000000000004</v>
      </c>
      <c r="F4036" s="1323">
        <f t="shared" si="403"/>
        <v>4.5264714666904009</v>
      </c>
      <c r="G4036" s="1323">
        <f t="shared" si="405"/>
        <v>1998</v>
      </c>
      <c r="H4036" s="1323">
        <f t="shared" si="406"/>
        <v>7</v>
      </c>
      <c r="I4036" s="1323">
        <f t="shared" si="407"/>
        <v>21</v>
      </c>
      <c r="J4036" s="1323"/>
      <c r="K4036" s="1323"/>
      <c r="L4036" s="1323"/>
      <c r="M4036" s="1323"/>
      <c r="N4036" s="1323"/>
      <c r="O4036" s="1323"/>
      <c r="P4036" s="1323"/>
      <c r="Q4036" s="1323"/>
      <c r="R4036" s="1304"/>
      <c r="S4036" s="1304"/>
      <c r="T4036" s="1304"/>
    </row>
    <row r="4037" spans="1:20">
      <c r="A4037" s="1303"/>
      <c r="B4037" s="1322" t="s">
        <v>10017</v>
      </c>
      <c r="C4037" s="1323" t="s">
        <v>9759</v>
      </c>
      <c r="D4037" s="1324">
        <f t="shared" si="402"/>
        <v>35996</v>
      </c>
      <c r="E4037" s="1323">
        <f t="shared" si="404"/>
        <v>6.4040999999999997</v>
      </c>
      <c r="F4037" s="1323">
        <f t="shared" si="403"/>
        <v>4.525603542723303</v>
      </c>
      <c r="G4037" s="1323">
        <f t="shared" si="405"/>
        <v>1998</v>
      </c>
      <c r="H4037" s="1323">
        <f t="shared" si="406"/>
        <v>7</v>
      </c>
      <c r="I4037" s="1323">
        <f t="shared" si="407"/>
        <v>20</v>
      </c>
      <c r="J4037" s="1323"/>
      <c r="K4037" s="1323"/>
      <c r="L4037" s="1323"/>
      <c r="M4037" s="1323"/>
      <c r="N4037" s="1323"/>
      <c r="O4037" s="1323"/>
      <c r="P4037" s="1323"/>
      <c r="Q4037" s="1323"/>
      <c r="R4037" s="1304"/>
      <c r="S4037" s="1304"/>
      <c r="T4037" s="1304"/>
    </row>
    <row r="4038" spans="1:20">
      <c r="A4038" s="1303"/>
      <c r="B4038" s="1322" t="s">
        <v>10018</v>
      </c>
      <c r="C4038" s="1323" t="s">
        <v>10019</v>
      </c>
      <c r="D4038" s="1324">
        <f t="shared" si="402"/>
        <v>35993</v>
      </c>
      <c r="E4038" s="1323">
        <f t="shared" si="404"/>
        <v>6.2834000000000003</v>
      </c>
      <c r="F4038" s="1323">
        <f t="shared" si="403"/>
        <v>4.5247357851754613</v>
      </c>
      <c r="G4038" s="1323">
        <f t="shared" si="405"/>
        <v>1998</v>
      </c>
      <c r="H4038" s="1323">
        <f t="shared" si="406"/>
        <v>7</v>
      </c>
      <c r="I4038" s="1323">
        <f t="shared" si="407"/>
        <v>17</v>
      </c>
      <c r="J4038" s="1323"/>
      <c r="K4038" s="1323"/>
      <c r="L4038" s="1323"/>
      <c r="M4038" s="1323"/>
      <c r="N4038" s="1323"/>
      <c r="O4038" s="1323"/>
      <c r="P4038" s="1323"/>
      <c r="Q4038" s="1323"/>
      <c r="R4038" s="1304"/>
      <c r="S4038" s="1304"/>
      <c r="T4038" s="1304"/>
    </row>
    <row r="4039" spans="1:20">
      <c r="A4039" s="1303"/>
      <c r="B4039" s="1322" t="s">
        <v>10020</v>
      </c>
      <c r="C4039" s="1323" t="s">
        <v>10021</v>
      </c>
      <c r="D4039" s="1324">
        <f t="shared" si="402"/>
        <v>35992</v>
      </c>
      <c r="E4039" s="1323">
        <f t="shared" si="404"/>
        <v>6.2016</v>
      </c>
      <c r="F4039" s="1323">
        <f t="shared" si="403"/>
        <v>4.5238681940149652</v>
      </c>
      <c r="G4039" s="1323">
        <f t="shared" si="405"/>
        <v>1998</v>
      </c>
      <c r="H4039" s="1323">
        <f t="shared" si="406"/>
        <v>7</v>
      </c>
      <c r="I4039" s="1323">
        <f t="shared" si="407"/>
        <v>16</v>
      </c>
      <c r="J4039" s="1323"/>
      <c r="K4039" s="1323"/>
      <c r="L4039" s="1323"/>
      <c r="M4039" s="1323"/>
      <c r="N4039" s="1323"/>
      <c r="O4039" s="1323"/>
      <c r="P4039" s="1323"/>
      <c r="Q4039" s="1323"/>
      <c r="R4039" s="1304"/>
      <c r="S4039" s="1304"/>
      <c r="T4039" s="1304"/>
    </row>
    <row r="4040" spans="1:20">
      <c r="A4040" s="1303"/>
      <c r="B4040" s="1322" t="s">
        <v>10022</v>
      </c>
      <c r="C4040" s="1323" t="s">
        <v>9756</v>
      </c>
      <c r="D4040" s="1324">
        <f t="shared" si="402"/>
        <v>35991</v>
      </c>
      <c r="E4040" s="1323">
        <f t="shared" si="404"/>
        <v>6.0385999999999997</v>
      </c>
      <c r="F4040" s="1323">
        <f t="shared" si="403"/>
        <v>4.5230007692099115</v>
      </c>
      <c r="G4040" s="1323">
        <f t="shared" si="405"/>
        <v>1998</v>
      </c>
      <c r="H4040" s="1323">
        <f t="shared" si="406"/>
        <v>7</v>
      </c>
      <c r="I4040" s="1323">
        <f t="shared" si="407"/>
        <v>15</v>
      </c>
      <c r="J4040" s="1323"/>
      <c r="K4040" s="1323"/>
      <c r="L4040" s="1323"/>
      <c r="M4040" s="1323"/>
      <c r="N4040" s="1323"/>
      <c r="O4040" s="1323"/>
      <c r="P4040" s="1323"/>
      <c r="Q4040" s="1323"/>
      <c r="R4040" s="1304"/>
      <c r="S4040" s="1304"/>
      <c r="T4040" s="1304"/>
    </row>
    <row r="4041" spans="1:20">
      <c r="A4041" s="1303"/>
      <c r="B4041" s="1322" t="s">
        <v>10023</v>
      </c>
      <c r="C4041" s="1323" t="s">
        <v>9667</v>
      </c>
      <c r="D4041" s="1324">
        <f t="shared" ref="D4041:D4104" si="408">DATE(G4041,H4041,I4041)</f>
        <v>35990</v>
      </c>
      <c r="E4041" s="1323">
        <f t="shared" si="404"/>
        <v>6.1069000000000004</v>
      </c>
      <c r="F4041" s="1323">
        <f t="shared" ref="F4041:F4104" si="409">F4042*(1+$F$7/365)</f>
        <v>4.522133510728402</v>
      </c>
      <c r="G4041" s="1323">
        <f t="shared" si="405"/>
        <v>1998</v>
      </c>
      <c r="H4041" s="1323">
        <f t="shared" si="406"/>
        <v>7</v>
      </c>
      <c r="I4041" s="1323">
        <f t="shared" si="407"/>
        <v>14</v>
      </c>
      <c r="J4041" s="1323"/>
      <c r="K4041" s="1323"/>
      <c r="L4041" s="1323"/>
      <c r="M4041" s="1323"/>
      <c r="N4041" s="1323"/>
      <c r="O4041" s="1323"/>
      <c r="P4041" s="1323"/>
      <c r="Q4041" s="1323"/>
      <c r="R4041" s="1304"/>
      <c r="S4041" s="1304"/>
      <c r="T4041" s="1304"/>
    </row>
    <row r="4042" spans="1:20">
      <c r="A4042" s="1303"/>
      <c r="B4042" s="1322" t="s">
        <v>10024</v>
      </c>
      <c r="C4042" s="1323" t="s">
        <v>7224</v>
      </c>
      <c r="D4042" s="1324">
        <f t="shared" si="408"/>
        <v>35989</v>
      </c>
      <c r="E4042" s="1323">
        <f t="shared" si="404"/>
        <v>6.2854000000000001</v>
      </c>
      <c r="F4042" s="1323">
        <f t="shared" si="409"/>
        <v>4.5212664185385449</v>
      </c>
      <c r="G4042" s="1323">
        <f t="shared" si="405"/>
        <v>1998</v>
      </c>
      <c r="H4042" s="1323">
        <f t="shared" si="406"/>
        <v>7</v>
      </c>
      <c r="I4042" s="1323">
        <f t="shared" si="407"/>
        <v>13</v>
      </c>
      <c r="J4042" s="1323"/>
      <c r="K4042" s="1323"/>
      <c r="L4042" s="1323"/>
      <c r="M4042" s="1323"/>
      <c r="N4042" s="1323"/>
      <c r="O4042" s="1323"/>
      <c r="P4042" s="1323"/>
      <c r="Q4042" s="1323"/>
      <c r="R4042" s="1304"/>
      <c r="S4042" s="1304"/>
      <c r="T4042" s="1304"/>
    </row>
    <row r="4043" spans="1:20">
      <c r="A4043" s="1303"/>
      <c r="B4043" s="1322" t="s">
        <v>10025</v>
      </c>
      <c r="C4043" s="1323" t="s">
        <v>10026</v>
      </c>
      <c r="D4043" s="1324">
        <f t="shared" si="408"/>
        <v>35986</v>
      </c>
      <c r="E4043" s="1323">
        <f t="shared" si="404"/>
        <v>6.2972000000000001</v>
      </c>
      <c r="F4043" s="1323">
        <f t="shared" si="409"/>
        <v>4.5203994926084556</v>
      </c>
      <c r="G4043" s="1323">
        <f t="shared" si="405"/>
        <v>1998</v>
      </c>
      <c r="H4043" s="1323">
        <f t="shared" si="406"/>
        <v>7</v>
      </c>
      <c r="I4043" s="1323">
        <f t="shared" si="407"/>
        <v>10</v>
      </c>
      <c r="J4043" s="1323"/>
      <c r="K4043" s="1323"/>
      <c r="L4043" s="1323"/>
      <c r="M4043" s="1323"/>
      <c r="N4043" s="1323"/>
      <c r="O4043" s="1323"/>
      <c r="P4043" s="1323"/>
      <c r="Q4043" s="1323"/>
      <c r="R4043" s="1304"/>
      <c r="S4043" s="1304"/>
      <c r="T4043" s="1304"/>
    </row>
    <row r="4044" spans="1:20">
      <c r="A4044" s="1303"/>
      <c r="B4044" s="1322" t="s">
        <v>10027</v>
      </c>
      <c r="C4044" s="1323" t="s">
        <v>10028</v>
      </c>
      <c r="D4044" s="1324">
        <f t="shared" si="408"/>
        <v>35985</v>
      </c>
      <c r="E4044" s="1323">
        <f t="shared" si="404"/>
        <v>6.1920000000000002</v>
      </c>
      <c r="F4044" s="1323">
        <f t="shared" si="409"/>
        <v>4.5195327329062547</v>
      </c>
      <c r="G4044" s="1323">
        <f t="shared" si="405"/>
        <v>1998</v>
      </c>
      <c r="H4044" s="1323">
        <f t="shared" si="406"/>
        <v>7</v>
      </c>
      <c r="I4044" s="1323">
        <f t="shared" si="407"/>
        <v>9</v>
      </c>
      <c r="J4044" s="1323"/>
      <c r="K4044" s="1323"/>
      <c r="L4044" s="1323"/>
      <c r="M4044" s="1323"/>
      <c r="N4044" s="1323"/>
      <c r="O4044" s="1323"/>
      <c r="P4044" s="1323"/>
      <c r="Q4044" s="1323"/>
      <c r="R4044" s="1304"/>
      <c r="S4044" s="1304"/>
      <c r="T4044" s="1304"/>
    </row>
    <row r="4045" spans="1:20">
      <c r="A4045" s="1303"/>
      <c r="B4045" s="1322" t="s">
        <v>10029</v>
      </c>
      <c r="C4045" s="1323" t="s">
        <v>10030</v>
      </c>
      <c r="D4045" s="1324">
        <f t="shared" si="408"/>
        <v>35984</v>
      </c>
      <c r="E4045" s="1323">
        <f t="shared" si="404"/>
        <v>6.1881000000000004</v>
      </c>
      <c r="F4045" s="1323">
        <f t="shared" si="409"/>
        <v>4.518666139400068</v>
      </c>
      <c r="G4045" s="1323">
        <f t="shared" si="405"/>
        <v>1998</v>
      </c>
      <c r="H4045" s="1323">
        <f t="shared" si="406"/>
        <v>7</v>
      </c>
      <c r="I4045" s="1323">
        <f t="shared" si="407"/>
        <v>8</v>
      </c>
      <c r="J4045" s="1323"/>
      <c r="K4045" s="1323"/>
      <c r="L4045" s="1323"/>
      <c r="M4045" s="1323"/>
      <c r="N4045" s="1323"/>
      <c r="O4045" s="1323"/>
      <c r="P4045" s="1323"/>
      <c r="Q4045" s="1323"/>
      <c r="R4045" s="1304"/>
      <c r="S4045" s="1304"/>
      <c r="T4045" s="1304"/>
    </row>
    <row r="4046" spans="1:20">
      <c r="A4046" s="1303"/>
      <c r="B4046" s="1322" t="s">
        <v>10031</v>
      </c>
      <c r="C4046" s="1323" t="s">
        <v>9622</v>
      </c>
      <c r="D4046" s="1324">
        <f t="shared" si="408"/>
        <v>35983</v>
      </c>
      <c r="E4046" s="1323">
        <f t="shared" si="404"/>
        <v>6.3250999999999999</v>
      </c>
      <c r="F4046" s="1323">
        <f t="shared" si="409"/>
        <v>4.5177997120580295</v>
      </c>
      <c r="G4046" s="1323">
        <f t="shared" si="405"/>
        <v>1998</v>
      </c>
      <c r="H4046" s="1323">
        <f t="shared" si="406"/>
        <v>7</v>
      </c>
      <c r="I4046" s="1323">
        <f t="shared" si="407"/>
        <v>7</v>
      </c>
      <c r="J4046" s="1323"/>
      <c r="K4046" s="1323"/>
      <c r="L4046" s="1323"/>
      <c r="M4046" s="1323"/>
      <c r="N4046" s="1323"/>
      <c r="O4046" s="1323"/>
      <c r="P4046" s="1323"/>
      <c r="Q4046" s="1323"/>
      <c r="R4046" s="1304"/>
      <c r="S4046" s="1304"/>
      <c r="T4046" s="1304"/>
    </row>
    <row r="4047" spans="1:20">
      <c r="A4047" s="1303"/>
      <c r="B4047" s="1322" t="s">
        <v>10032</v>
      </c>
      <c r="C4047" s="1323" t="s">
        <v>10033</v>
      </c>
      <c r="D4047" s="1324">
        <f t="shared" si="408"/>
        <v>35982</v>
      </c>
      <c r="E4047" s="1323">
        <f t="shared" si="404"/>
        <v>6.6246999999999998</v>
      </c>
      <c r="F4047" s="1323">
        <f t="shared" si="409"/>
        <v>4.5169334508482777</v>
      </c>
      <c r="G4047" s="1323">
        <f t="shared" si="405"/>
        <v>1998</v>
      </c>
      <c r="H4047" s="1323">
        <f t="shared" si="406"/>
        <v>7</v>
      </c>
      <c r="I4047" s="1323">
        <f t="shared" si="407"/>
        <v>6</v>
      </c>
      <c r="J4047" s="1323"/>
      <c r="K4047" s="1323"/>
      <c r="L4047" s="1323"/>
      <c r="M4047" s="1323"/>
      <c r="N4047" s="1323"/>
      <c r="O4047" s="1323"/>
      <c r="P4047" s="1323"/>
      <c r="Q4047" s="1323"/>
      <c r="R4047" s="1304"/>
      <c r="S4047" s="1304"/>
      <c r="T4047" s="1304"/>
    </row>
    <row r="4048" spans="1:20">
      <c r="A4048" s="1303"/>
      <c r="B4048" s="1322" t="s">
        <v>10034</v>
      </c>
      <c r="C4048" s="1323" t="s">
        <v>10035</v>
      </c>
      <c r="D4048" s="1324">
        <f t="shared" si="408"/>
        <v>35979</v>
      </c>
      <c r="E4048" s="1323">
        <f t="shared" si="404"/>
        <v>6.3491999999999997</v>
      </c>
      <c r="F4048" s="1323">
        <f t="shared" si="409"/>
        <v>4.5160673557389579</v>
      </c>
      <c r="G4048" s="1323">
        <f t="shared" si="405"/>
        <v>1998</v>
      </c>
      <c r="H4048" s="1323">
        <f t="shared" si="406"/>
        <v>7</v>
      </c>
      <c r="I4048" s="1323">
        <f t="shared" si="407"/>
        <v>3</v>
      </c>
      <c r="J4048" s="1323"/>
      <c r="K4048" s="1323"/>
      <c r="L4048" s="1323"/>
      <c r="M4048" s="1323"/>
      <c r="N4048" s="1323"/>
      <c r="O4048" s="1323"/>
      <c r="P4048" s="1323"/>
      <c r="Q4048" s="1323"/>
      <c r="R4048" s="1304"/>
      <c r="S4048" s="1304"/>
      <c r="T4048" s="1304"/>
    </row>
    <row r="4049" spans="1:20">
      <c r="A4049" s="1303"/>
      <c r="B4049" s="1322" t="s">
        <v>10036</v>
      </c>
      <c r="C4049" s="1323" t="s">
        <v>10037</v>
      </c>
      <c r="D4049" s="1324">
        <f t="shared" si="408"/>
        <v>35978</v>
      </c>
      <c r="E4049" s="1323">
        <f t="shared" si="404"/>
        <v>6.12</v>
      </c>
      <c r="F4049" s="1323">
        <f t="shared" si="409"/>
        <v>4.515201426698221</v>
      </c>
      <c r="G4049" s="1323">
        <f t="shared" si="405"/>
        <v>1998</v>
      </c>
      <c r="H4049" s="1323">
        <f t="shared" si="406"/>
        <v>7</v>
      </c>
      <c r="I4049" s="1323">
        <f t="shared" si="407"/>
        <v>2</v>
      </c>
      <c r="J4049" s="1323"/>
      <c r="K4049" s="1323"/>
      <c r="L4049" s="1323"/>
      <c r="M4049" s="1323"/>
      <c r="N4049" s="1323"/>
      <c r="O4049" s="1323"/>
      <c r="P4049" s="1323"/>
      <c r="Q4049" s="1323"/>
      <c r="R4049" s="1304"/>
      <c r="S4049" s="1304"/>
      <c r="T4049" s="1304"/>
    </row>
    <row r="4050" spans="1:20">
      <c r="A4050" s="1303"/>
      <c r="B4050" s="1322" t="s">
        <v>10038</v>
      </c>
      <c r="C4050" s="1323" t="s">
        <v>9675</v>
      </c>
      <c r="D4050" s="1324">
        <f t="shared" si="408"/>
        <v>35977</v>
      </c>
      <c r="E4050" s="1323">
        <f t="shared" si="404"/>
        <v>6.0919999999999996</v>
      </c>
      <c r="F4050" s="1323">
        <f t="shared" si="409"/>
        <v>4.5143356636942249</v>
      </c>
      <c r="G4050" s="1323">
        <f t="shared" si="405"/>
        <v>1998</v>
      </c>
      <c r="H4050" s="1323">
        <f t="shared" si="406"/>
        <v>7</v>
      </c>
      <c r="I4050" s="1323">
        <f t="shared" si="407"/>
        <v>1</v>
      </c>
      <c r="J4050" s="1323"/>
      <c r="K4050" s="1323"/>
      <c r="L4050" s="1323"/>
      <c r="M4050" s="1323"/>
      <c r="N4050" s="1323"/>
      <c r="O4050" s="1323"/>
      <c r="P4050" s="1323"/>
      <c r="Q4050" s="1323"/>
      <c r="R4050" s="1304"/>
      <c r="S4050" s="1304"/>
      <c r="T4050" s="1304"/>
    </row>
    <row r="4051" spans="1:20">
      <c r="A4051" s="1303"/>
      <c r="B4051" s="1322" t="s">
        <v>10039</v>
      </c>
      <c r="C4051" s="1323" t="s">
        <v>9671</v>
      </c>
      <c r="D4051" s="1324">
        <f t="shared" si="408"/>
        <v>35976</v>
      </c>
      <c r="E4051" s="1323">
        <f t="shared" si="404"/>
        <v>5.8944999999999999</v>
      </c>
      <c r="F4051" s="1323">
        <f t="shared" si="409"/>
        <v>4.5134700666951328</v>
      </c>
      <c r="G4051" s="1323">
        <f t="shared" si="405"/>
        <v>1998</v>
      </c>
      <c r="H4051" s="1323">
        <f t="shared" si="406"/>
        <v>6</v>
      </c>
      <c r="I4051" s="1323">
        <f t="shared" si="407"/>
        <v>30</v>
      </c>
      <c r="J4051" s="1323"/>
      <c r="K4051" s="1323"/>
      <c r="L4051" s="1323"/>
      <c r="M4051" s="1323"/>
      <c r="N4051" s="1323"/>
      <c r="O4051" s="1323"/>
      <c r="P4051" s="1323"/>
      <c r="Q4051" s="1323"/>
      <c r="R4051" s="1304"/>
      <c r="S4051" s="1304"/>
      <c r="T4051" s="1304"/>
    </row>
    <row r="4052" spans="1:20">
      <c r="A4052" s="1303"/>
      <c r="B4052" s="1322" t="s">
        <v>10040</v>
      </c>
      <c r="C4052" s="1323" t="s">
        <v>10041</v>
      </c>
      <c r="D4052" s="1324">
        <f t="shared" si="408"/>
        <v>35975</v>
      </c>
      <c r="E4052" s="1323">
        <f t="shared" si="404"/>
        <v>6.0994000000000002</v>
      </c>
      <c r="F4052" s="1323">
        <f t="shared" si="409"/>
        <v>4.5126046356691143</v>
      </c>
      <c r="G4052" s="1323">
        <f t="shared" si="405"/>
        <v>1998</v>
      </c>
      <c r="H4052" s="1323">
        <f t="shared" si="406"/>
        <v>6</v>
      </c>
      <c r="I4052" s="1323">
        <f t="shared" si="407"/>
        <v>29</v>
      </c>
      <c r="J4052" s="1323"/>
      <c r="K4052" s="1323"/>
      <c r="L4052" s="1323"/>
      <c r="M4052" s="1323"/>
      <c r="N4052" s="1323"/>
      <c r="O4052" s="1323"/>
      <c r="P4052" s="1323"/>
      <c r="Q4052" s="1323"/>
      <c r="R4052" s="1304"/>
      <c r="S4052" s="1304"/>
      <c r="T4052" s="1304"/>
    </row>
    <row r="4053" spans="1:20">
      <c r="A4053" s="1303"/>
      <c r="B4053" s="1322" t="s">
        <v>10042</v>
      </c>
      <c r="C4053" s="1323" t="s">
        <v>9605</v>
      </c>
      <c r="D4053" s="1324">
        <f t="shared" si="408"/>
        <v>35972</v>
      </c>
      <c r="E4053" s="1323">
        <f t="shared" si="404"/>
        <v>5.6721000000000004</v>
      </c>
      <c r="F4053" s="1323">
        <f t="shared" si="409"/>
        <v>4.5117393705843449</v>
      </c>
      <c r="G4053" s="1323">
        <f t="shared" si="405"/>
        <v>1998</v>
      </c>
      <c r="H4053" s="1323">
        <f t="shared" si="406"/>
        <v>6</v>
      </c>
      <c r="I4053" s="1323">
        <f t="shared" si="407"/>
        <v>26</v>
      </c>
      <c r="J4053" s="1323"/>
      <c r="K4053" s="1323"/>
      <c r="L4053" s="1323"/>
      <c r="M4053" s="1323"/>
      <c r="N4053" s="1323"/>
      <c r="O4053" s="1323"/>
      <c r="P4053" s="1323"/>
      <c r="Q4053" s="1323"/>
      <c r="R4053" s="1304"/>
      <c r="S4053" s="1304"/>
      <c r="T4053" s="1304"/>
    </row>
    <row r="4054" spans="1:20">
      <c r="A4054" s="1303"/>
      <c r="B4054" s="1322" t="s">
        <v>10043</v>
      </c>
      <c r="C4054" s="1323" t="s">
        <v>9865</v>
      </c>
      <c r="D4054" s="1324">
        <f t="shared" si="408"/>
        <v>35971</v>
      </c>
      <c r="E4054" s="1323">
        <f t="shared" ref="E4054:E4117" si="410">VALUE(C4055)</f>
        <v>5.4645000000000001</v>
      </c>
      <c r="F4054" s="1323">
        <f t="shared" si="409"/>
        <v>4.5108742714090058</v>
      </c>
      <c r="G4054" s="1323">
        <f t="shared" ref="G4054:G4117" si="411">YEAR(B4055)</f>
        <v>1998</v>
      </c>
      <c r="H4054" s="1323">
        <f t="shared" ref="H4054:H4117" si="412">MONTH(B4055)</f>
        <v>6</v>
      </c>
      <c r="I4054" s="1323">
        <f t="shared" ref="I4054:I4117" si="413">DAY(B4055)</f>
        <v>25</v>
      </c>
      <c r="J4054" s="1323"/>
      <c r="K4054" s="1323"/>
      <c r="L4054" s="1323"/>
      <c r="M4054" s="1323"/>
      <c r="N4054" s="1323"/>
      <c r="O4054" s="1323"/>
      <c r="P4054" s="1323"/>
      <c r="Q4054" s="1323"/>
      <c r="R4054" s="1304"/>
      <c r="S4054" s="1304"/>
      <c r="T4054" s="1304"/>
    </row>
    <row r="4055" spans="1:20">
      <c r="A4055" s="1303"/>
      <c r="B4055" s="1322" t="s">
        <v>10044</v>
      </c>
      <c r="C4055" s="1323" t="s">
        <v>10045</v>
      </c>
      <c r="D4055" s="1324">
        <f t="shared" si="408"/>
        <v>35970</v>
      </c>
      <c r="E4055" s="1323">
        <f t="shared" si="410"/>
        <v>5.5021000000000004</v>
      </c>
      <c r="F4055" s="1323">
        <f t="shared" si="409"/>
        <v>4.5100093381112858</v>
      </c>
      <c r="G4055" s="1323">
        <f t="shared" si="411"/>
        <v>1998</v>
      </c>
      <c r="H4055" s="1323">
        <f t="shared" si="412"/>
        <v>6</v>
      </c>
      <c r="I4055" s="1323">
        <f t="shared" si="413"/>
        <v>24</v>
      </c>
      <c r="J4055" s="1323"/>
      <c r="K4055" s="1323"/>
      <c r="L4055" s="1323"/>
      <c r="M4055" s="1323"/>
      <c r="N4055" s="1323"/>
      <c r="O4055" s="1323"/>
      <c r="P4055" s="1323"/>
      <c r="Q4055" s="1323"/>
      <c r="R4055" s="1304"/>
      <c r="S4055" s="1304"/>
      <c r="T4055" s="1304"/>
    </row>
    <row r="4056" spans="1:20">
      <c r="A4056" s="1303"/>
      <c r="B4056" s="1322" t="s">
        <v>10046</v>
      </c>
      <c r="C4056" s="1323" t="s">
        <v>10047</v>
      </c>
      <c r="D4056" s="1324">
        <f t="shared" si="408"/>
        <v>35969</v>
      </c>
      <c r="E4056" s="1323">
        <f t="shared" si="410"/>
        <v>5.4569999999999999</v>
      </c>
      <c r="F4056" s="1323">
        <f t="shared" si="409"/>
        <v>4.5091445706593785</v>
      </c>
      <c r="G4056" s="1323">
        <f t="shared" si="411"/>
        <v>1998</v>
      </c>
      <c r="H4056" s="1323">
        <f t="shared" si="412"/>
        <v>6</v>
      </c>
      <c r="I4056" s="1323">
        <f t="shared" si="413"/>
        <v>23</v>
      </c>
      <c r="J4056" s="1323"/>
      <c r="K4056" s="1323"/>
      <c r="L4056" s="1323"/>
      <c r="M4056" s="1323"/>
      <c r="N4056" s="1323"/>
      <c r="O4056" s="1323"/>
      <c r="P4056" s="1323"/>
      <c r="Q4056" s="1323"/>
      <c r="R4056" s="1304"/>
      <c r="S4056" s="1304"/>
      <c r="T4056" s="1304"/>
    </row>
    <row r="4057" spans="1:20">
      <c r="A4057" s="1303"/>
      <c r="B4057" s="1322" t="s">
        <v>10048</v>
      </c>
      <c r="C4057" s="1323" t="s">
        <v>10049</v>
      </c>
      <c r="D4057" s="1324">
        <f t="shared" si="408"/>
        <v>35968</v>
      </c>
      <c r="E4057" s="1323">
        <f t="shared" si="410"/>
        <v>5.5263999999999998</v>
      </c>
      <c r="F4057" s="1323">
        <f t="shared" si="409"/>
        <v>4.5082799690214834</v>
      </c>
      <c r="G4057" s="1323">
        <f t="shared" si="411"/>
        <v>1998</v>
      </c>
      <c r="H4057" s="1323">
        <f t="shared" si="412"/>
        <v>6</v>
      </c>
      <c r="I4057" s="1323">
        <f t="shared" si="413"/>
        <v>22</v>
      </c>
      <c r="J4057" s="1323"/>
      <c r="K4057" s="1323"/>
      <c r="L4057" s="1323"/>
      <c r="M4057" s="1323"/>
      <c r="N4057" s="1323"/>
      <c r="O4057" s="1323"/>
      <c r="P4057" s="1323"/>
      <c r="Q4057" s="1323"/>
      <c r="R4057" s="1304"/>
      <c r="S4057" s="1304"/>
      <c r="T4057" s="1304"/>
    </row>
    <row r="4058" spans="1:20">
      <c r="A4058" s="1303"/>
      <c r="B4058" s="1322" t="s">
        <v>10050</v>
      </c>
      <c r="C4058" s="1323" t="s">
        <v>10051</v>
      </c>
      <c r="D4058" s="1324">
        <f t="shared" si="408"/>
        <v>35965</v>
      </c>
      <c r="E4058" s="1323">
        <f t="shared" si="410"/>
        <v>5.4989999999999997</v>
      </c>
      <c r="F4058" s="1323">
        <f t="shared" si="409"/>
        <v>4.5074155331658075</v>
      </c>
      <c r="G4058" s="1323">
        <f t="shared" si="411"/>
        <v>1998</v>
      </c>
      <c r="H4058" s="1323">
        <f t="shared" si="412"/>
        <v>6</v>
      </c>
      <c r="I4058" s="1323">
        <f t="shared" si="413"/>
        <v>19</v>
      </c>
      <c r="J4058" s="1323"/>
      <c r="K4058" s="1323"/>
      <c r="L4058" s="1323"/>
      <c r="M4058" s="1323"/>
      <c r="N4058" s="1323"/>
      <c r="O4058" s="1323"/>
      <c r="P4058" s="1323"/>
      <c r="Q4058" s="1323"/>
      <c r="R4058" s="1304"/>
      <c r="S4058" s="1304"/>
      <c r="T4058" s="1304"/>
    </row>
    <row r="4059" spans="1:20">
      <c r="A4059" s="1303"/>
      <c r="B4059" s="1322" t="s">
        <v>10052</v>
      </c>
      <c r="C4059" s="1323" t="s">
        <v>10053</v>
      </c>
      <c r="D4059" s="1324">
        <f t="shared" si="408"/>
        <v>35964</v>
      </c>
      <c r="E4059" s="1323">
        <f t="shared" si="410"/>
        <v>5.2756999999999996</v>
      </c>
      <c r="F4059" s="1323">
        <f t="shared" si="409"/>
        <v>4.5065512630605626</v>
      </c>
      <c r="G4059" s="1323">
        <f t="shared" si="411"/>
        <v>1998</v>
      </c>
      <c r="H4059" s="1323">
        <f t="shared" si="412"/>
        <v>6</v>
      </c>
      <c r="I4059" s="1323">
        <f t="shared" si="413"/>
        <v>18</v>
      </c>
      <c r="J4059" s="1323"/>
      <c r="K4059" s="1323"/>
      <c r="L4059" s="1323"/>
      <c r="M4059" s="1323"/>
      <c r="N4059" s="1323"/>
      <c r="O4059" s="1323"/>
      <c r="P4059" s="1323"/>
      <c r="Q4059" s="1323"/>
      <c r="R4059" s="1304"/>
      <c r="S4059" s="1304"/>
      <c r="T4059" s="1304"/>
    </row>
    <row r="4060" spans="1:20">
      <c r="A4060" s="1303"/>
      <c r="B4060" s="1322" t="s">
        <v>10054</v>
      </c>
      <c r="C4060" s="1323" t="s">
        <v>10055</v>
      </c>
      <c r="D4060" s="1324">
        <f t="shared" si="408"/>
        <v>35963</v>
      </c>
      <c r="E4060" s="1323">
        <f t="shared" si="410"/>
        <v>5.3518999999999997</v>
      </c>
      <c r="F4060" s="1323">
        <f t="shared" si="409"/>
        <v>4.5056871586739673</v>
      </c>
      <c r="G4060" s="1323">
        <f t="shared" si="411"/>
        <v>1998</v>
      </c>
      <c r="H4060" s="1323">
        <f t="shared" si="412"/>
        <v>6</v>
      </c>
      <c r="I4060" s="1323">
        <f t="shared" si="413"/>
        <v>17</v>
      </c>
      <c r="J4060" s="1323"/>
      <c r="K4060" s="1323"/>
      <c r="L4060" s="1323"/>
      <c r="M4060" s="1323"/>
      <c r="N4060" s="1323"/>
      <c r="O4060" s="1323"/>
      <c r="P4060" s="1323"/>
      <c r="Q4060" s="1323"/>
      <c r="R4060" s="1304"/>
      <c r="S4060" s="1304"/>
      <c r="T4060" s="1304"/>
    </row>
    <row r="4061" spans="1:20">
      <c r="A4061" s="1303"/>
      <c r="B4061" s="1322" t="s">
        <v>10056</v>
      </c>
      <c r="C4061" s="1323" t="s">
        <v>10057</v>
      </c>
      <c r="D4061" s="1324">
        <f t="shared" si="408"/>
        <v>35961</v>
      </c>
      <c r="E4061" s="1323">
        <f t="shared" si="410"/>
        <v>5.3952</v>
      </c>
      <c r="F4061" s="1323">
        <f t="shared" si="409"/>
        <v>4.504823219974246</v>
      </c>
      <c r="G4061" s="1323">
        <f t="shared" si="411"/>
        <v>1998</v>
      </c>
      <c r="H4061" s="1323">
        <f t="shared" si="412"/>
        <v>6</v>
      </c>
      <c r="I4061" s="1323">
        <f t="shared" si="413"/>
        <v>15</v>
      </c>
      <c r="J4061" s="1323"/>
      <c r="K4061" s="1323"/>
      <c r="L4061" s="1323"/>
      <c r="M4061" s="1323"/>
      <c r="N4061" s="1323"/>
      <c r="O4061" s="1323"/>
      <c r="P4061" s="1323"/>
      <c r="Q4061" s="1323"/>
      <c r="R4061" s="1304"/>
      <c r="S4061" s="1304"/>
      <c r="T4061" s="1304"/>
    </row>
    <row r="4062" spans="1:20">
      <c r="A4062" s="1303"/>
      <c r="B4062" s="1322" t="s">
        <v>10058</v>
      </c>
      <c r="C4062" s="1323" t="s">
        <v>10059</v>
      </c>
      <c r="D4062" s="1324">
        <f t="shared" si="408"/>
        <v>35958</v>
      </c>
      <c r="E4062" s="1323">
        <f t="shared" si="410"/>
        <v>5.2424999999999997</v>
      </c>
      <c r="F4062" s="1323">
        <f t="shared" si="409"/>
        <v>4.5039594469296294</v>
      </c>
      <c r="G4062" s="1323">
        <f t="shared" si="411"/>
        <v>1998</v>
      </c>
      <c r="H4062" s="1323">
        <f t="shared" si="412"/>
        <v>6</v>
      </c>
      <c r="I4062" s="1323">
        <f t="shared" si="413"/>
        <v>12</v>
      </c>
      <c r="J4062" s="1323"/>
      <c r="K4062" s="1323"/>
      <c r="L4062" s="1323"/>
      <c r="M4062" s="1323"/>
      <c r="N4062" s="1323"/>
      <c r="O4062" s="1323"/>
      <c r="P4062" s="1323"/>
      <c r="Q4062" s="1323"/>
      <c r="R4062" s="1304"/>
      <c r="S4062" s="1304"/>
      <c r="T4062" s="1304"/>
    </row>
    <row r="4063" spans="1:20">
      <c r="A4063" s="1303"/>
      <c r="B4063" s="1322" t="s">
        <v>10060</v>
      </c>
      <c r="C4063" s="1323" t="s">
        <v>10061</v>
      </c>
      <c r="D4063" s="1324">
        <f t="shared" si="408"/>
        <v>35957</v>
      </c>
      <c r="E4063" s="1323">
        <f t="shared" si="410"/>
        <v>5.2123999999999997</v>
      </c>
      <c r="F4063" s="1323">
        <f t="shared" si="409"/>
        <v>4.5030958395083536</v>
      </c>
      <c r="G4063" s="1323">
        <f t="shared" si="411"/>
        <v>1998</v>
      </c>
      <c r="H4063" s="1323">
        <f t="shared" si="412"/>
        <v>6</v>
      </c>
      <c r="I4063" s="1323">
        <f t="shared" si="413"/>
        <v>11</v>
      </c>
      <c r="J4063" s="1323"/>
      <c r="K4063" s="1323"/>
      <c r="L4063" s="1323"/>
      <c r="M4063" s="1323"/>
      <c r="N4063" s="1323"/>
      <c r="O4063" s="1323"/>
      <c r="P4063" s="1323"/>
      <c r="Q4063" s="1323"/>
      <c r="R4063" s="1304"/>
      <c r="S4063" s="1304"/>
      <c r="T4063" s="1304"/>
    </row>
    <row r="4064" spans="1:20">
      <c r="A4064" s="1303"/>
      <c r="B4064" s="1322" t="s">
        <v>10062</v>
      </c>
      <c r="C4064" s="1323" t="s">
        <v>10063</v>
      </c>
      <c r="D4064" s="1324">
        <f t="shared" si="408"/>
        <v>35956</v>
      </c>
      <c r="E4064" s="1323">
        <f t="shared" si="410"/>
        <v>5.1853999999999996</v>
      </c>
      <c r="F4064" s="1323">
        <f t="shared" si="409"/>
        <v>4.5022323976786618</v>
      </c>
      <c r="G4064" s="1323">
        <f t="shared" si="411"/>
        <v>1998</v>
      </c>
      <c r="H4064" s="1323">
        <f t="shared" si="412"/>
        <v>6</v>
      </c>
      <c r="I4064" s="1323">
        <f t="shared" si="413"/>
        <v>10</v>
      </c>
      <c r="J4064" s="1323"/>
      <c r="K4064" s="1323"/>
      <c r="L4064" s="1323"/>
      <c r="M4064" s="1323"/>
      <c r="N4064" s="1323"/>
      <c r="O4064" s="1323"/>
      <c r="P4064" s="1323"/>
      <c r="Q4064" s="1323"/>
      <c r="R4064" s="1304"/>
      <c r="S4064" s="1304"/>
      <c r="T4064" s="1304"/>
    </row>
    <row r="4065" spans="1:20">
      <c r="A4065" s="1303"/>
      <c r="B4065" s="1322" t="s">
        <v>10064</v>
      </c>
      <c r="C4065" s="1323" t="s">
        <v>10065</v>
      </c>
      <c r="D4065" s="1324">
        <f t="shared" si="408"/>
        <v>35955</v>
      </c>
      <c r="E4065" s="1323">
        <f t="shared" si="410"/>
        <v>5.1665999999999999</v>
      </c>
      <c r="F4065" s="1323">
        <f t="shared" si="409"/>
        <v>4.5013691214088025</v>
      </c>
      <c r="G4065" s="1323">
        <f t="shared" si="411"/>
        <v>1998</v>
      </c>
      <c r="H4065" s="1323">
        <f t="shared" si="412"/>
        <v>6</v>
      </c>
      <c r="I4065" s="1323">
        <f t="shared" si="413"/>
        <v>9</v>
      </c>
      <c r="J4065" s="1323"/>
      <c r="K4065" s="1323"/>
      <c r="L4065" s="1323"/>
      <c r="M4065" s="1323"/>
      <c r="N4065" s="1323"/>
      <c r="O4065" s="1323"/>
      <c r="P4065" s="1323"/>
      <c r="Q4065" s="1323"/>
      <c r="R4065" s="1304"/>
      <c r="S4065" s="1304"/>
      <c r="T4065" s="1304"/>
    </row>
    <row r="4066" spans="1:20">
      <c r="A4066" s="1303"/>
      <c r="B4066" s="1322" t="s">
        <v>10066</v>
      </c>
      <c r="C4066" s="1323" t="s">
        <v>10067</v>
      </c>
      <c r="D4066" s="1324">
        <f t="shared" si="408"/>
        <v>35954</v>
      </c>
      <c r="E4066" s="1323">
        <f t="shared" si="410"/>
        <v>5.1532999999999998</v>
      </c>
      <c r="F4066" s="1323">
        <f t="shared" si="409"/>
        <v>4.5005060106670305</v>
      </c>
      <c r="G4066" s="1323">
        <f t="shared" si="411"/>
        <v>1998</v>
      </c>
      <c r="H4066" s="1323">
        <f t="shared" si="412"/>
        <v>6</v>
      </c>
      <c r="I4066" s="1323">
        <f t="shared" si="413"/>
        <v>8</v>
      </c>
      <c r="J4066" s="1323"/>
      <c r="K4066" s="1323"/>
      <c r="L4066" s="1323"/>
      <c r="M4066" s="1323"/>
      <c r="N4066" s="1323"/>
      <c r="O4066" s="1323"/>
      <c r="P4066" s="1323"/>
      <c r="Q4066" s="1323"/>
      <c r="R4066" s="1304"/>
      <c r="S4066" s="1304"/>
      <c r="T4066" s="1304"/>
    </row>
    <row r="4067" spans="1:20">
      <c r="A4067" s="1303"/>
      <c r="B4067" s="1322" t="s">
        <v>10068</v>
      </c>
      <c r="C4067" s="1323" t="s">
        <v>10069</v>
      </c>
      <c r="D4067" s="1324">
        <f t="shared" si="408"/>
        <v>35951</v>
      </c>
      <c r="E4067" s="1323">
        <f t="shared" si="410"/>
        <v>5.1242999999999999</v>
      </c>
      <c r="F4067" s="1323">
        <f t="shared" si="409"/>
        <v>4.4996430654216066</v>
      </c>
      <c r="G4067" s="1323">
        <f t="shared" si="411"/>
        <v>1998</v>
      </c>
      <c r="H4067" s="1323">
        <f t="shared" si="412"/>
        <v>6</v>
      </c>
      <c r="I4067" s="1323">
        <f t="shared" si="413"/>
        <v>5</v>
      </c>
      <c r="J4067" s="1323"/>
      <c r="K4067" s="1323"/>
      <c r="L4067" s="1323"/>
      <c r="M4067" s="1323"/>
      <c r="N4067" s="1323"/>
      <c r="O4067" s="1323"/>
      <c r="P4067" s="1323"/>
      <c r="Q4067" s="1323"/>
      <c r="R4067" s="1304"/>
      <c r="S4067" s="1304"/>
      <c r="T4067" s="1304"/>
    </row>
    <row r="4068" spans="1:20">
      <c r="A4068" s="1303"/>
      <c r="B4068" s="1322" t="s">
        <v>10070</v>
      </c>
      <c r="C4068" s="1323" t="s">
        <v>10071</v>
      </c>
      <c r="D4068" s="1324">
        <f t="shared" si="408"/>
        <v>35950</v>
      </c>
      <c r="E4068" s="1323">
        <f t="shared" si="410"/>
        <v>5.1151</v>
      </c>
      <c r="F4068" s="1323">
        <f t="shared" si="409"/>
        <v>4.498780285640799</v>
      </c>
      <c r="G4068" s="1323">
        <f t="shared" si="411"/>
        <v>1998</v>
      </c>
      <c r="H4068" s="1323">
        <f t="shared" si="412"/>
        <v>6</v>
      </c>
      <c r="I4068" s="1323">
        <f t="shared" si="413"/>
        <v>4</v>
      </c>
      <c r="J4068" s="1323"/>
      <c r="K4068" s="1323"/>
      <c r="L4068" s="1323"/>
      <c r="M4068" s="1323"/>
      <c r="N4068" s="1323"/>
      <c r="O4068" s="1323"/>
      <c r="P4068" s="1323"/>
      <c r="Q4068" s="1323"/>
      <c r="R4068" s="1304"/>
      <c r="S4068" s="1304"/>
      <c r="T4068" s="1304"/>
    </row>
    <row r="4069" spans="1:20">
      <c r="A4069" s="1303"/>
      <c r="B4069" s="1322" t="s">
        <v>10072</v>
      </c>
      <c r="C4069" s="1323" t="s">
        <v>10073</v>
      </c>
      <c r="D4069" s="1324">
        <f t="shared" si="408"/>
        <v>35949</v>
      </c>
      <c r="E4069" s="1323">
        <f t="shared" si="410"/>
        <v>5.1112000000000002</v>
      </c>
      <c r="F4069" s="1323">
        <f t="shared" si="409"/>
        <v>4.4979176712928801</v>
      </c>
      <c r="G4069" s="1323">
        <f t="shared" si="411"/>
        <v>1998</v>
      </c>
      <c r="H4069" s="1323">
        <f t="shared" si="412"/>
        <v>6</v>
      </c>
      <c r="I4069" s="1323">
        <f t="shared" si="413"/>
        <v>3</v>
      </c>
      <c r="J4069" s="1323"/>
      <c r="K4069" s="1323"/>
      <c r="L4069" s="1323"/>
      <c r="M4069" s="1323"/>
      <c r="N4069" s="1323"/>
      <c r="O4069" s="1323"/>
      <c r="P4069" s="1323"/>
      <c r="Q4069" s="1323"/>
      <c r="R4069" s="1304"/>
      <c r="S4069" s="1304"/>
      <c r="T4069" s="1304"/>
    </row>
    <row r="4070" spans="1:20">
      <c r="A4070" s="1303"/>
      <c r="B4070" s="1322" t="s">
        <v>10074</v>
      </c>
      <c r="C4070" s="1323" t="s">
        <v>10075</v>
      </c>
      <c r="D4070" s="1324">
        <f t="shared" si="408"/>
        <v>35948</v>
      </c>
      <c r="E4070" s="1323">
        <f t="shared" si="410"/>
        <v>5.2028999999999996</v>
      </c>
      <c r="F4070" s="1323">
        <f t="shared" si="409"/>
        <v>4.4970552223461286</v>
      </c>
      <c r="G4070" s="1323">
        <f t="shared" si="411"/>
        <v>1998</v>
      </c>
      <c r="H4070" s="1323">
        <f t="shared" si="412"/>
        <v>6</v>
      </c>
      <c r="I4070" s="1323">
        <f t="shared" si="413"/>
        <v>2</v>
      </c>
      <c r="J4070" s="1323"/>
      <c r="K4070" s="1323"/>
      <c r="L4070" s="1323"/>
      <c r="M4070" s="1323"/>
      <c r="N4070" s="1323"/>
      <c r="O4070" s="1323"/>
      <c r="P4070" s="1323"/>
      <c r="Q4070" s="1323"/>
      <c r="R4070" s="1304"/>
      <c r="S4070" s="1304"/>
      <c r="T4070" s="1304"/>
    </row>
    <row r="4071" spans="1:20">
      <c r="A4071" s="1303"/>
      <c r="B4071" s="1322" t="s">
        <v>10076</v>
      </c>
      <c r="C4071" s="1323" t="s">
        <v>10077</v>
      </c>
      <c r="D4071" s="1324">
        <f t="shared" si="408"/>
        <v>35947</v>
      </c>
      <c r="E4071" s="1323">
        <f t="shared" si="410"/>
        <v>5.1745999999999999</v>
      </c>
      <c r="F4071" s="1323">
        <f t="shared" si="409"/>
        <v>4.4961929387688304</v>
      </c>
      <c r="G4071" s="1323">
        <f t="shared" si="411"/>
        <v>1998</v>
      </c>
      <c r="H4071" s="1323">
        <f t="shared" si="412"/>
        <v>6</v>
      </c>
      <c r="I4071" s="1323">
        <f t="shared" si="413"/>
        <v>1</v>
      </c>
      <c r="J4071" s="1323"/>
      <c r="K4071" s="1323"/>
      <c r="L4071" s="1323"/>
      <c r="M4071" s="1323"/>
      <c r="N4071" s="1323"/>
      <c r="O4071" s="1323"/>
      <c r="P4071" s="1323"/>
      <c r="Q4071" s="1323"/>
      <c r="R4071" s="1304"/>
      <c r="S4071" s="1304"/>
      <c r="T4071" s="1304"/>
    </row>
    <row r="4072" spans="1:20">
      <c r="A4072" s="1303"/>
      <c r="B4072" s="1322" t="s">
        <v>10078</v>
      </c>
      <c r="C4072" s="1323" t="s">
        <v>10079</v>
      </c>
      <c r="D4072" s="1324">
        <f t="shared" si="408"/>
        <v>35944</v>
      </c>
      <c r="E4072" s="1323">
        <f t="shared" si="410"/>
        <v>5.1559999999999997</v>
      </c>
      <c r="F4072" s="1323">
        <f t="shared" si="409"/>
        <v>4.4953308205292766</v>
      </c>
      <c r="G4072" s="1323">
        <f t="shared" si="411"/>
        <v>1998</v>
      </c>
      <c r="H4072" s="1323">
        <f t="shared" si="412"/>
        <v>5</v>
      </c>
      <c r="I4072" s="1323">
        <f t="shared" si="413"/>
        <v>29</v>
      </c>
      <c r="J4072" s="1323"/>
      <c r="K4072" s="1323"/>
      <c r="L4072" s="1323"/>
      <c r="M4072" s="1323"/>
      <c r="N4072" s="1323"/>
      <c r="O4072" s="1323"/>
      <c r="P4072" s="1323"/>
      <c r="Q4072" s="1323"/>
      <c r="R4072" s="1304"/>
      <c r="S4072" s="1304"/>
      <c r="T4072" s="1304"/>
    </row>
    <row r="4073" spans="1:20">
      <c r="A4073" s="1303"/>
      <c r="B4073" s="1322" t="s">
        <v>10080</v>
      </c>
      <c r="C4073" s="1323" t="s">
        <v>10081</v>
      </c>
      <c r="D4073" s="1324">
        <f t="shared" si="408"/>
        <v>35943</v>
      </c>
      <c r="E4073" s="1323">
        <f t="shared" si="410"/>
        <v>5.1454000000000004</v>
      </c>
      <c r="F4073" s="1323">
        <f t="shared" si="409"/>
        <v>4.4944688675957645</v>
      </c>
      <c r="G4073" s="1323">
        <f t="shared" si="411"/>
        <v>1998</v>
      </c>
      <c r="H4073" s="1323">
        <f t="shared" si="412"/>
        <v>5</v>
      </c>
      <c r="I4073" s="1323">
        <f t="shared" si="413"/>
        <v>28</v>
      </c>
      <c r="J4073" s="1323"/>
      <c r="K4073" s="1323"/>
      <c r="L4073" s="1323"/>
      <c r="M4073" s="1323"/>
      <c r="N4073" s="1323"/>
      <c r="O4073" s="1323"/>
      <c r="P4073" s="1323"/>
      <c r="Q4073" s="1323"/>
      <c r="R4073" s="1304"/>
      <c r="S4073" s="1304"/>
      <c r="T4073" s="1304"/>
    </row>
    <row r="4074" spans="1:20">
      <c r="A4074" s="1303"/>
      <c r="B4074" s="1322" t="s">
        <v>10082</v>
      </c>
      <c r="C4074" s="1323" t="s">
        <v>10083</v>
      </c>
      <c r="D4074" s="1324">
        <f t="shared" si="408"/>
        <v>35942</v>
      </c>
      <c r="E4074" s="1323">
        <f t="shared" si="410"/>
        <v>5.1215999999999999</v>
      </c>
      <c r="F4074" s="1323">
        <f t="shared" si="409"/>
        <v>4.4936070799365986</v>
      </c>
      <c r="G4074" s="1323">
        <f t="shared" si="411"/>
        <v>1998</v>
      </c>
      <c r="H4074" s="1323">
        <f t="shared" si="412"/>
        <v>5</v>
      </c>
      <c r="I4074" s="1323">
        <f t="shared" si="413"/>
        <v>27</v>
      </c>
      <c r="J4074" s="1323"/>
      <c r="K4074" s="1323"/>
      <c r="L4074" s="1323"/>
      <c r="M4074" s="1323"/>
      <c r="N4074" s="1323"/>
      <c r="O4074" s="1323"/>
      <c r="P4074" s="1323"/>
      <c r="Q4074" s="1323"/>
      <c r="R4074" s="1304"/>
      <c r="S4074" s="1304"/>
      <c r="T4074" s="1304"/>
    </row>
    <row r="4075" spans="1:20">
      <c r="A4075" s="1303"/>
      <c r="B4075" s="1322" t="s">
        <v>10084</v>
      </c>
      <c r="C4075" s="1323" t="s">
        <v>10085</v>
      </c>
      <c r="D4075" s="1324">
        <f t="shared" si="408"/>
        <v>35941</v>
      </c>
      <c r="E4075" s="1323">
        <f t="shared" si="410"/>
        <v>5.1269</v>
      </c>
      <c r="F4075" s="1323">
        <f t="shared" si="409"/>
        <v>4.4927454575200878</v>
      </c>
      <c r="G4075" s="1323">
        <f t="shared" si="411"/>
        <v>1998</v>
      </c>
      <c r="H4075" s="1323">
        <f t="shared" si="412"/>
        <v>5</v>
      </c>
      <c r="I4075" s="1323">
        <f t="shared" si="413"/>
        <v>26</v>
      </c>
      <c r="J4075" s="1323"/>
      <c r="K4075" s="1323"/>
      <c r="L4075" s="1323"/>
      <c r="M4075" s="1323"/>
      <c r="N4075" s="1323"/>
      <c r="O4075" s="1323"/>
      <c r="P4075" s="1323"/>
      <c r="Q4075" s="1323"/>
      <c r="R4075" s="1304"/>
      <c r="S4075" s="1304"/>
      <c r="T4075" s="1304"/>
    </row>
    <row r="4076" spans="1:20">
      <c r="A4076" s="1303"/>
      <c r="B4076" s="1322" t="s">
        <v>10086</v>
      </c>
      <c r="C4076" s="1323" t="s">
        <v>10087</v>
      </c>
      <c r="D4076" s="1324">
        <f t="shared" si="408"/>
        <v>35940</v>
      </c>
      <c r="E4076" s="1323">
        <f t="shared" si="410"/>
        <v>5.1479999999999997</v>
      </c>
      <c r="F4076" s="1323">
        <f t="shared" si="409"/>
        <v>4.4918840003145482</v>
      </c>
      <c r="G4076" s="1323">
        <f t="shared" si="411"/>
        <v>1998</v>
      </c>
      <c r="H4076" s="1323">
        <f t="shared" si="412"/>
        <v>5</v>
      </c>
      <c r="I4076" s="1323">
        <f t="shared" si="413"/>
        <v>25</v>
      </c>
      <c r="J4076" s="1323"/>
      <c r="K4076" s="1323"/>
      <c r="L4076" s="1323"/>
      <c r="M4076" s="1323"/>
      <c r="N4076" s="1323"/>
      <c r="O4076" s="1323"/>
      <c r="P4076" s="1323"/>
      <c r="Q4076" s="1323"/>
      <c r="R4076" s="1304"/>
      <c r="S4076" s="1304"/>
      <c r="T4076" s="1304"/>
    </row>
    <row r="4077" spans="1:20">
      <c r="A4077" s="1303"/>
      <c r="B4077" s="1322" t="s">
        <v>10088</v>
      </c>
      <c r="C4077" s="1323" t="s">
        <v>10089</v>
      </c>
      <c r="D4077" s="1324">
        <f t="shared" si="408"/>
        <v>35937</v>
      </c>
      <c r="E4077" s="1323">
        <f t="shared" si="410"/>
        <v>5.0852000000000004</v>
      </c>
      <c r="F4077" s="1323">
        <f t="shared" si="409"/>
        <v>4.491022708288301</v>
      </c>
      <c r="G4077" s="1323">
        <f t="shared" si="411"/>
        <v>1998</v>
      </c>
      <c r="H4077" s="1323">
        <f t="shared" si="412"/>
        <v>5</v>
      </c>
      <c r="I4077" s="1323">
        <f t="shared" si="413"/>
        <v>22</v>
      </c>
      <c r="J4077" s="1323"/>
      <c r="K4077" s="1323"/>
      <c r="L4077" s="1323"/>
      <c r="M4077" s="1323"/>
      <c r="N4077" s="1323"/>
      <c r="O4077" s="1323"/>
      <c r="P4077" s="1323"/>
      <c r="Q4077" s="1323"/>
      <c r="R4077" s="1304"/>
      <c r="S4077" s="1304"/>
      <c r="T4077" s="1304"/>
    </row>
    <row r="4078" spans="1:20">
      <c r="A4078" s="1303"/>
      <c r="B4078" s="1322" t="s">
        <v>10090</v>
      </c>
      <c r="C4078" s="1323" t="s">
        <v>10091</v>
      </c>
      <c r="D4078" s="1324">
        <f t="shared" si="408"/>
        <v>35936</v>
      </c>
      <c r="E4078" s="1323">
        <f t="shared" si="410"/>
        <v>5.0980999999999996</v>
      </c>
      <c r="F4078" s="1323">
        <f t="shared" si="409"/>
        <v>4.4901615814096747</v>
      </c>
      <c r="G4078" s="1323">
        <f t="shared" si="411"/>
        <v>1998</v>
      </c>
      <c r="H4078" s="1323">
        <f t="shared" si="412"/>
        <v>5</v>
      </c>
      <c r="I4078" s="1323">
        <f t="shared" si="413"/>
        <v>21</v>
      </c>
      <c r="J4078" s="1323"/>
      <c r="K4078" s="1323"/>
      <c r="L4078" s="1323"/>
      <c r="M4078" s="1323"/>
      <c r="N4078" s="1323"/>
      <c r="O4078" s="1323"/>
      <c r="P4078" s="1323"/>
      <c r="Q4078" s="1323"/>
      <c r="R4078" s="1304"/>
      <c r="S4078" s="1304"/>
      <c r="T4078" s="1304"/>
    </row>
    <row r="4079" spans="1:20">
      <c r="A4079" s="1303"/>
      <c r="B4079" s="1322" t="s">
        <v>10092</v>
      </c>
      <c r="C4079" s="1323" t="s">
        <v>10093</v>
      </c>
      <c r="D4079" s="1324">
        <f t="shared" si="408"/>
        <v>35935</v>
      </c>
      <c r="E4079" s="1323">
        <f t="shared" si="410"/>
        <v>5.1006999999999998</v>
      </c>
      <c r="F4079" s="1323">
        <f t="shared" si="409"/>
        <v>4.4893006196470022</v>
      </c>
      <c r="G4079" s="1323">
        <f t="shared" si="411"/>
        <v>1998</v>
      </c>
      <c r="H4079" s="1323">
        <f t="shared" si="412"/>
        <v>5</v>
      </c>
      <c r="I4079" s="1323">
        <f t="shared" si="413"/>
        <v>20</v>
      </c>
      <c r="J4079" s="1323"/>
      <c r="K4079" s="1323"/>
      <c r="L4079" s="1323"/>
      <c r="M4079" s="1323"/>
      <c r="N4079" s="1323"/>
      <c r="O4079" s="1323"/>
      <c r="P4079" s="1323"/>
      <c r="Q4079" s="1323"/>
      <c r="R4079" s="1304"/>
      <c r="S4079" s="1304"/>
      <c r="T4079" s="1304"/>
    </row>
    <row r="4080" spans="1:20">
      <c r="A4080" s="1303"/>
      <c r="B4080" s="1322" t="s">
        <v>10094</v>
      </c>
      <c r="C4080" s="1323" t="s">
        <v>10095</v>
      </c>
      <c r="D4080" s="1324">
        <f t="shared" si="408"/>
        <v>35934</v>
      </c>
      <c r="E4080" s="1323">
        <f t="shared" si="410"/>
        <v>5.0929000000000002</v>
      </c>
      <c r="F4080" s="1323">
        <f t="shared" si="409"/>
        <v>4.4884398229686244</v>
      </c>
      <c r="G4080" s="1323">
        <f t="shared" si="411"/>
        <v>1998</v>
      </c>
      <c r="H4080" s="1323">
        <f t="shared" si="412"/>
        <v>5</v>
      </c>
      <c r="I4080" s="1323">
        <f t="shared" si="413"/>
        <v>19</v>
      </c>
      <c r="J4080" s="1323"/>
      <c r="K4080" s="1323"/>
      <c r="L4080" s="1323"/>
      <c r="M4080" s="1323"/>
      <c r="N4080" s="1323"/>
      <c r="O4080" s="1323"/>
      <c r="P4080" s="1323"/>
      <c r="Q4080" s="1323"/>
      <c r="R4080" s="1304"/>
      <c r="S4080" s="1304"/>
      <c r="T4080" s="1304"/>
    </row>
    <row r="4081" spans="1:20">
      <c r="A4081" s="1303"/>
      <c r="B4081" s="1322" t="s">
        <v>10096</v>
      </c>
      <c r="C4081" s="1323" t="s">
        <v>10097</v>
      </c>
      <c r="D4081" s="1324">
        <f t="shared" si="408"/>
        <v>35933</v>
      </c>
      <c r="E4081" s="1323">
        <f t="shared" si="410"/>
        <v>5.0955000000000004</v>
      </c>
      <c r="F4081" s="1323">
        <f t="shared" si="409"/>
        <v>4.4875791913428875</v>
      </c>
      <c r="G4081" s="1323">
        <f t="shared" si="411"/>
        <v>1998</v>
      </c>
      <c r="H4081" s="1323">
        <f t="shared" si="412"/>
        <v>5</v>
      </c>
      <c r="I4081" s="1323">
        <f t="shared" si="413"/>
        <v>18</v>
      </c>
      <c r="J4081" s="1323"/>
      <c r="K4081" s="1323"/>
      <c r="L4081" s="1323"/>
      <c r="M4081" s="1323"/>
      <c r="N4081" s="1323"/>
      <c r="O4081" s="1323"/>
      <c r="P4081" s="1323"/>
      <c r="Q4081" s="1323"/>
      <c r="R4081" s="1304"/>
      <c r="S4081" s="1304"/>
      <c r="T4081" s="1304"/>
    </row>
    <row r="4082" spans="1:20">
      <c r="A4082" s="1303"/>
      <c r="B4082" s="1322" t="s">
        <v>10098</v>
      </c>
      <c r="C4082" s="1323" t="s">
        <v>10099</v>
      </c>
      <c r="D4082" s="1324">
        <f t="shared" si="408"/>
        <v>35930</v>
      </c>
      <c r="E4082" s="1323">
        <f t="shared" si="410"/>
        <v>5.0838999999999999</v>
      </c>
      <c r="F4082" s="1323">
        <f t="shared" si="409"/>
        <v>4.486718724738143</v>
      </c>
      <c r="G4082" s="1323">
        <f t="shared" si="411"/>
        <v>1998</v>
      </c>
      <c r="H4082" s="1323">
        <f t="shared" si="412"/>
        <v>5</v>
      </c>
      <c r="I4082" s="1323">
        <f t="shared" si="413"/>
        <v>15</v>
      </c>
      <c r="J4082" s="1323"/>
      <c r="K4082" s="1323"/>
      <c r="L4082" s="1323"/>
      <c r="M4082" s="1323"/>
      <c r="N4082" s="1323"/>
      <c r="O4082" s="1323"/>
      <c r="P4082" s="1323"/>
      <c r="Q4082" s="1323"/>
      <c r="R4082" s="1304"/>
      <c r="S4082" s="1304"/>
      <c r="T4082" s="1304"/>
    </row>
    <row r="4083" spans="1:20">
      <c r="A4083" s="1303"/>
      <c r="B4083" s="1322" t="s">
        <v>10100</v>
      </c>
      <c r="C4083" s="1323" t="s">
        <v>10101</v>
      </c>
      <c r="D4083" s="1324">
        <f t="shared" si="408"/>
        <v>35929</v>
      </c>
      <c r="E4083" s="1323">
        <f t="shared" si="410"/>
        <v>5.08</v>
      </c>
      <c r="F4083" s="1323">
        <f t="shared" si="409"/>
        <v>4.4858584231227496</v>
      </c>
      <c r="G4083" s="1323">
        <f t="shared" si="411"/>
        <v>1998</v>
      </c>
      <c r="H4083" s="1323">
        <f t="shared" si="412"/>
        <v>5</v>
      </c>
      <c r="I4083" s="1323">
        <f t="shared" si="413"/>
        <v>14</v>
      </c>
      <c r="J4083" s="1323"/>
      <c r="K4083" s="1323"/>
      <c r="L4083" s="1323"/>
      <c r="M4083" s="1323"/>
      <c r="N4083" s="1323"/>
      <c r="O4083" s="1323"/>
      <c r="P4083" s="1323"/>
      <c r="Q4083" s="1323"/>
      <c r="R4083" s="1304"/>
      <c r="S4083" s="1304"/>
      <c r="T4083" s="1304"/>
    </row>
    <row r="4084" spans="1:20">
      <c r="A4084" s="1303"/>
      <c r="B4084" s="1322" t="s">
        <v>10102</v>
      </c>
      <c r="C4084" s="1323" t="s">
        <v>10103</v>
      </c>
      <c r="D4084" s="1324">
        <f t="shared" si="408"/>
        <v>35928</v>
      </c>
      <c r="E4084" s="1323">
        <f t="shared" si="410"/>
        <v>5.0773999999999999</v>
      </c>
      <c r="F4084" s="1323">
        <f t="shared" si="409"/>
        <v>4.4849982864650713</v>
      </c>
      <c r="G4084" s="1323">
        <f t="shared" si="411"/>
        <v>1998</v>
      </c>
      <c r="H4084" s="1323">
        <f t="shared" si="412"/>
        <v>5</v>
      </c>
      <c r="I4084" s="1323">
        <f t="shared" si="413"/>
        <v>13</v>
      </c>
      <c r="J4084" s="1323"/>
      <c r="K4084" s="1323"/>
      <c r="L4084" s="1323"/>
      <c r="M4084" s="1323"/>
      <c r="N4084" s="1323"/>
      <c r="O4084" s="1323"/>
      <c r="P4084" s="1323"/>
      <c r="Q4084" s="1323"/>
      <c r="R4084" s="1304"/>
      <c r="S4084" s="1304"/>
      <c r="T4084" s="1304"/>
    </row>
    <row r="4085" spans="1:20">
      <c r="A4085" s="1303"/>
      <c r="B4085" s="1322" t="s">
        <v>10104</v>
      </c>
      <c r="C4085" s="1323" t="s">
        <v>10105</v>
      </c>
      <c r="D4085" s="1324">
        <f t="shared" si="408"/>
        <v>35927</v>
      </c>
      <c r="E4085" s="1323">
        <f t="shared" si="410"/>
        <v>5.0670999999999999</v>
      </c>
      <c r="F4085" s="1323">
        <f t="shared" si="409"/>
        <v>4.4841383147334781</v>
      </c>
      <c r="G4085" s="1323">
        <f t="shared" si="411"/>
        <v>1998</v>
      </c>
      <c r="H4085" s="1323">
        <f t="shared" si="412"/>
        <v>5</v>
      </c>
      <c r="I4085" s="1323">
        <f t="shared" si="413"/>
        <v>12</v>
      </c>
      <c r="J4085" s="1323"/>
      <c r="K4085" s="1323"/>
      <c r="L4085" s="1323"/>
      <c r="M4085" s="1323"/>
      <c r="N4085" s="1323"/>
      <c r="O4085" s="1323"/>
      <c r="P4085" s="1323"/>
      <c r="Q4085" s="1323"/>
      <c r="R4085" s="1304"/>
      <c r="S4085" s="1304"/>
      <c r="T4085" s="1304"/>
    </row>
    <row r="4086" spans="1:20">
      <c r="A4086" s="1303"/>
      <c r="B4086" s="1322" t="s">
        <v>10106</v>
      </c>
      <c r="C4086" s="1323" t="s">
        <v>10107</v>
      </c>
      <c r="D4086" s="1324">
        <f t="shared" si="408"/>
        <v>35926</v>
      </c>
      <c r="E4086" s="1323">
        <f t="shared" si="410"/>
        <v>5.0620000000000003</v>
      </c>
      <c r="F4086" s="1323">
        <f t="shared" si="409"/>
        <v>4.4832785078963475</v>
      </c>
      <c r="G4086" s="1323">
        <f t="shared" si="411"/>
        <v>1998</v>
      </c>
      <c r="H4086" s="1323">
        <f t="shared" si="412"/>
        <v>5</v>
      </c>
      <c r="I4086" s="1323">
        <f t="shared" si="413"/>
        <v>11</v>
      </c>
      <c r="J4086" s="1323"/>
      <c r="K4086" s="1323"/>
      <c r="L4086" s="1323"/>
      <c r="M4086" s="1323"/>
      <c r="N4086" s="1323"/>
      <c r="O4086" s="1323"/>
      <c r="P4086" s="1323"/>
      <c r="Q4086" s="1323"/>
      <c r="R4086" s="1304"/>
      <c r="S4086" s="1304"/>
      <c r="T4086" s="1304"/>
    </row>
    <row r="4087" spans="1:20">
      <c r="A4087" s="1303"/>
      <c r="B4087" s="1322" t="s">
        <v>10108</v>
      </c>
      <c r="C4087" s="1323" t="s">
        <v>10109</v>
      </c>
      <c r="D4087" s="1324">
        <f t="shared" si="408"/>
        <v>35923</v>
      </c>
      <c r="E4087" s="1323">
        <f t="shared" si="410"/>
        <v>5.0620000000000003</v>
      </c>
      <c r="F4087" s="1323">
        <f t="shared" si="409"/>
        <v>4.4824188659220612</v>
      </c>
      <c r="G4087" s="1323">
        <f t="shared" si="411"/>
        <v>1998</v>
      </c>
      <c r="H4087" s="1323">
        <f t="shared" si="412"/>
        <v>5</v>
      </c>
      <c r="I4087" s="1323">
        <f t="shared" si="413"/>
        <v>8</v>
      </c>
      <c r="J4087" s="1323"/>
      <c r="K4087" s="1323"/>
      <c r="L4087" s="1323"/>
      <c r="M4087" s="1323"/>
      <c r="N4087" s="1323"/>
      <c r="O4087" s="1323"/>
      <c r="P4087" s="1323"/>
      <c r="Q4087" s="1323"/>
      <c r="R4087" s="1304"/>
      <c r="S4087" s="1304"/>
      <c r="T4087" s="1304"/>
    </row>
    <row r="4088" spans="1:20">
      <c r="A4088" s="1303"/>
      <c r="B4088" s="1322" t="s">
        <v>10110</v>
      </c>
      <c r="C4088" s="1323" t="s">
        <v>10109</v>
      </c>
      <c r="D4088" s="1324">
        <f t="shared" si="408"/>
        <v>35922</v>
      </c>
      <c r="E4088" s="1323">
        <f t="shared" si="410"/>
        <v>5.0670999999999999</v>
      </c>
      <c r="F4088" s="1323">
        <f t="shared" si="409"/>
        <v>4.4815593887790079</v>
      </c>
      <c r="G4088" s="1323">
        <f t="shared" si="411"/>
        <v>1998</v>
      </c>
      <c r="H4088" s="1323">
        <f t="shared" si="412"/>
        <v>5</v>
      </c>
      <c r="I4088" s="1323">
        <f t="shared" si="413"/>
        <v>7</v>
      </c>
      <c r="J4088" s="1323"/>
      <c r="K4088" s="1323"/>
      <c r="L4088" s="1323"/>
      <c r="M4088" s="1323"/>
      <c r="N4088" s="1323"/>
      <c r="O4088" s="1323"/>
      <c r="P4088" s="1323"/>
      <c r="Q4088" s="1323"/>
      <c r="R4088" s="1304"/>
      <c r="S4088" s="1304"/>
      <c r="T4088" s="1304"/>
    </row>
    <row r="4089" spans="1:20">
      <c r="A4089" s="1303"/>
      <c r="B4089" s="1322" t="s">
        <v>10111</v>
      </c>
      <c r="C4089" s="1323" t="s">
        <v>10107</v>
      </c>
      <c r="D4089" s="1324">
        <f t="shared" si="408"/>
        <v>35921</v>
      </c>
      <c r="E4089" s="1323">
        <f t="shared" si="410"/>
        <v>5.0582000000000003</v>
      </c>
      <c r="F4089" s="1323">
        <f t="shared" si="409"/>
        <v>4.480700076435582</v>
      </c>
      <c r="G4089" s="1323">
        <f t="shared" si="411"/>
        <v>1998</v>
      </c>
      <c r="H4089" s="1323">
        <f t="shared" si="412"/>
        <v>5</v>
      </c>
      <c r="I4089" s="1323">
        <f t="shared" si="413"/>
        <v>6</v>
      </c>
      <c r="J4089" s="1323"/>
      <c r="K4089" s="1323"/>
      <c r="L4089" s="1323"/>
      <c r="M4089" s="1323"/>
      <c r="N4089" s="1323"/>
      <c r="O4089" s="1323"/>
      <c r="P4089" s="1323"/>
      <c r="Q4089" s="1323"/>
      <c r="R4089" s="1304"/>
      <c r="S4089" s="1304"/>
      <c r="T4089" s="1304"/>
    </row>
    <row r="4090" spans="1:20">
      <c r="A4090" s="1303"/>
      <c r="B4090" s="1322" t="s">
        <v>10112</v>
      </c>
      <c r="C4090" s="1323" t="s">
        <v>10113</v>
      </c>
      <c r="D4090" s="1324">
        <f t="shared" si="408"/>
        <v>35920</v>
      </c>
      <c r="E4090" s="1323">
        <f t="shared" si="410"/>
        <v>5.0568999999999997</v>
      </c>
      <c r="F4090" s="1323">
        <f t="shared" si="409"/>
        <v>4.4798409288601837</v>
      </c>
      <c r="G4090" s="1323">
        <f t="shared" si="411"/>
        <v>1998</v>
      </c>
      <c r="H4090" s="1323">
        <f t="shared" si="412"/>
        <v>5</v>
      </c>
      <c r="I4090" s="1323">
        <f t="shared" si="413"/>
        <v>5</v>
      </c>
      <c r="J4090" s="1323"/>
      <c r="K4090" s="1323"/>
      <c r="L4090" s="1323"/>
      <c r="M4090" s="1323"/>
      <c r="N4090" s="1323"/>
      <c r="O4090" s="1323"/>
      <c r="P4090" s="1323"/>
      <c r="Q4090" s="1323"/>
      <c r="R4090" s="1304"/>
      <c r="S4090" s="1304"/>
      <c r="T4090" s="1304"/>
    </row>
    <row r="4091" spans="1:20">
      <c r="A4091" s="1303"/>
      <c r="B4091" s="1322" t="s">
        <v>10114</v>
      </c>
      <c r="C4091" s="1323" t="s">
        <v>10115</v>
      </c>
      <c r="D4091" s="1324">
        <f t="shared" si="408"/>
        <v>35919</v>
      </c>
      <c r="E4091" s="1323">
        <f t="shared" si="410"/>
        <v>5.0542999999999996</v>
      </c>
      <c r="F4091" s="1323">
        <f t="shared" si="409"/>
        <v>4.4789819460212206</v>
      </c>
      <c r="G4091" s="1323">
        <f t="shared" si="411"/>
        <v>1998</v>
      </c>
      <c r="H4091" s="1323">
        <f t="shared" si="412"/>
        <v>5</v>
      </c>
      <c r="I4091" s="1323">
        <f t="shared" si="413"/>
        <v>4</v>
      </c>
      <c r="J4091" s="1323"/>
      <c r="K4091" s="1323"/>
      <c r="L4091" s="1323"/>
      <c r="M4091" s="1323"/>
      <c r="N4091" s="1323"/>
      <c r="O4091" s="1323"/>
      <c r="P4091" s="1323"/>
      <c r="Q4091" s="1323"/>
      <c r="R4091" s="1304"/>
      <c r="S4091" s="1304"/>
      <c r="T4091" s="1304"/>
    </row>
    <row r="4092" spans="1:20">
      <c r="A4092" s="1303"/>
      <c r="B4092" s="1322" t="s">
        <v>10116</v>
      </c>
      <c r="C4092" s="1323" t="s">
        <v>10117</v>
      </c>
      <c r="D4092" s="1324">
        <f t="shared" si="408"/>
        <v>35915</v>
      </c>
      <c r="E4092" s="1323">
        <f t="shared" si="410"/>
        <v>5.0518000000000001</v>
      </c>
      <c r="F4092" s="1323">
        <f t="shared" si="409"/>
        <v>4.4781231278871054</v>
      </c>
      <c r="G4092" s="1323">
        <f t="shared" si="411"/>
        <v>1998</v>
      </c>
      <c r="H4092" s="1323">
        <f t="shared" si="412"/>
        <v>4</v>
      </c>
      <c r="I4092" s="1323">
        <f t="shared" si="413"/>
        <v>30</v>
      </c>
      <c r="J4092" s="1323"/>
      <c r="K4092" s="1323"/>
      <c r="L4092" s="1323"/>
      <c r="M4092" s="1323"/>
      <c r="N4092" s="1323"/>
      <c r="O4092" s="1323"/>
      <c r="P4092" s="1323"/>
      <c r="Q4092" s="1323"/>
      <c r="R4092" s="1304"/>
      <c r="S4092" s="1304"/>
      <c r="T4092" s="1304"/>
    </row>
    <row r="4093" spans="1:20">
      <c r="A4093" s="1303"/>
      <c r="B4093" s="1322" t="s">
        <v>10118</v>
      </c>
      <c r="C4093" s="1323" t="s">
        <v>10119</v>
      </c>
      <c r="D4093" s="1324">
        <f t="shared" si="408"/>
        <v>35914</v>
      </c>
      <c r="E4093" s="1323">
        <f t="shared" si="410"/>
        <v>5.0530999999999997</v>
      </c>
      <c r="F4093" s="1323">
        <f t="shared" si="409"/>
        <v>4.4772644744262564</v>
      </c>
      <c r="G4093" s="1323">
        <f t="shared" si="411"/>
        <v>1998</v>
      </c>
      <c r="H4093" s="1323">
        <f t="shared" si="412"/>
        <v>4</v>
      </c>
      <c r="I4093" s="1323">
        <f t="shared" si="413"/>
        <v>29</v>
      </c>
      <c r="J4093" s="1323"/>
      <c r="K4093" s="1323"/>
      <c r="L4093" s="1323"/>
      <c r="M4093" s="1323"/>
      <c r="N4093" s="1323"/>
      <c r="O4093" s="1323"/>
      <c r="P4093" s="1323"/>
      <c r="Q4093" s="1323"/>
      <c r="R4093" s="1304"/>
      <c r="S4093" s="1304"/>
      <c r="T4093" s="1304"/>
    </row>
    <row r="4094" spans="1:20">
      <c r="A4094" s="1303"/>
      <c r="B4094" s="1322" t="s">
        <v>10120</v>
      </c>
      <c r="C4094" s="1323" t="s">
        <v>10121</v>
      </c>
      <c r="D4094" s="1324">
        <f t="shared" si="408"/>
        <v>35913</v>
      </c>
      <c r="E4094" s="1323">
        <f t="shared" si="410"/>
        <v>5.0518000000000001</v>
      </c>
      <c r="F4094" s="1323">
        <f t="shared" si="409"/>
        <v>4.4764059856070988</v>
      </c>
      <c r="G4094" s="1323">
        <f t="shared" si="411"/>
        <v>1998</v>
      </c>
      <c r="H4094" s="1323">
        <f t="shared" si="412"/>
        <v>4</v>
      </c>
      <c r="I4094" s="1323">
        <f t="shared" si="413"/>
        <v>28</v>
      </c>
      <c r="J4094" s="1323"/>
      <c r="K4094" s="1323"/>
      <c r="L4094" s="1323"/>
      <c r="M4094" s="1323"/>
      <c r="N4094" s="1323"/>
      <c r="O4094" s="1323"/>
      <c r="P4094" s="1323"/>
      <c r="Q4094" s="1323"/>
      <c r="R4094" s="1304"/>
      <c r="S4094" s="1304"/>
      <c r="T4094" s="1304"/>
    </row>
    <row r="4095" spans="1:20">
      <c r="A4095" s="1303"/>
      <c r="B4095" s="1322" t="s">
        <v>10122</v>
      </c>
      <c r="C4095" s="1323" t="s">
        <v>10119</v>
      </c>
      <c r="D4095" s="1324">
        <f t="shared" si="408"/>
        <v>35909</v>
      </c>
      <c r="E4095" s="1323">
        <f t="shared" si="410"/>
        <v>5.0568999999999997</v>
      </c>
      <c r="F4095" s="1323">
        <f t="shared" si="409"/>
        <v>4.4755476613980631</v>
      </c>
      <c r="G4095" s="1323">
        <f t="shared" si="411"/>
        <v>1998</v>
      </c>
      <c r="H4095" s="1323">
        <f t="shared" si="412"/>
        <v>4</v>
      </c>
      <c r="I4095" s="1323">
        <f t="shared" si="413"/>
        <v>24</v>
      </c>
      <c r="J4095" s="1323"/>
      <c r="K4095" s="1323"/>
      <c r="L4095" s="1323"/>
      <c r="M4095" s="1323"/>
      <c r="N4095" s="1323"/>
      <c r="O4095" s="1323"/>
      <c r="P4095" s="1323"/>
      <c r="Q4095" s="1323"/>
      <c r="R4095" s="1304"/>
      <c r="S4095" s="1304"/>
      <c r="T4095" s="1304"/>
    </row>
    <row r="4096" spans="1:20">
      <c r="A4096" s="1303"/>
      <c r="B4096" s="1322" t="s">
        <v>10123</v>
      </c>
      <c r="C4096" s="1323" t="s">
        <v>10115</v>
      </c>
      <c r="D4096" s="1324">
        <f t="shared" si="408"/>
        <v>35908</v>
      </c>
      <c r="E4096" s="1323">
        <f t="shared" si="410"/>
        <v>5.0542999999999996</v>
      </c>
      <c r="F4096" s="1323">
        <f t="shared" si="409"/>
        <v>4.4746895017675872</v>
      </c>
      <c r="G4096" s="1323">
        <f t="shared" si="411"/>
        <v>1998</v>
      </c>
      <c r="H4096" s="1323">
        <f t="shared" si="412"/>
        <v>4</v>
      </c>
      <c r="I4096" s="1323">
        <f t="shared" si="413"/>
        <v>23</v>
      </c>
      <c r="J4096" s="1323"/>
      <c r="K4096" s="1323"/>
      <c r="L4096" s="1323"/>
      <c r="M4096" s="1323"/>
      <c r="N4096" s="1323"/>
      <c r="O4096" s="1323"/>
      <c r="P4096" s="1323"/>
      <c r="Q4096" s="1323"/>
      <c r="R4096" s="1304"/>
      <c r="S4096" s="1304"/>
      <c r="T4096" s="1304"/>
    </row>
    <row r="4097" spans="1:20">
      <c r="A4097" s="1303"/>
      <c r="B4097" s="1322" t="s">
        <v>10124</v>
      </c>
      <c r="C4097" s="1323" t="s">
        <v>10117</v>
      </c>
      <c r="D4097" s="1324">
        <f t="shared" si="408"/>
        <v>35907</v>
      </c>
      <c r="E4097" s="1323">
        <f t="shared" si="410"/>
        <v>5.048</v>
      </c>
      <c r="F4097" s="1323">
        <f t="shared" si="409"/>
        <v>4.473831506684113</v>
      </c>
      <c r="G4097" s="1323">
        <f t="shared" si="411"/>
        <v>1998</v>
      </c>
      <c r="H4097" s="1323">
        <f t="shared" si="412"/>
        <v>4</v>
      </c>
      <c r="I4097" s="1323">
        <f t="shared" si="413"/>
        <v>22</v>
      </c>
      <c r="J4097" s="1323"/>
      <c r="K4097" s="1323"/>
      <c r="L4097" s="1323"/>
      <c r="M4097" s="1323"/>
      <c r="N4097" s="1323"/>
      <c r="O4097" s="1323"/>
      <c r="P4097" s="1323"/>
      <c r="Q4097" s="1323"/>
      <c r="R4097" s="1304"/>
      <c r="S4097" s="1304"/>
      <c r="T4097" s="1304"/>
    </row>
    <row r="4098" spans="1:20">
      <c r="A4098" s="1303"/>
      <c r="B4098" s="1322" t="s">
        <v>10125</v>
      </c>
      <c r="C4098" s="1323" t="s">
        <v>10126</v>
      </c>
      <c r="D4098" s="1324">
        <f t="shared" si="408"/>
        <v>35906</v>
      </c>
      <c r="E4098" s="1323">
        <f t="shared" si="410"/>
        <v>5.0467000000000004</v>
      </c>
      <c r="F4098" s="1323">
        <f t="shared" si="409"/>
        <v>4.4729736761160908</v>
      </c>
      <c r="G4098" s="1323">
        <f t="shared" si="411"/>
        <v>1998</v>
      </c>
      <c r="H4098" s="1323">
        <f t="shared" si="412"/>
        <v>4</v>
      </c>
      <c r="I4098" s="1323">
        <f t="shared" si="413"/>
        <v>21</v>
      </c>
      <c r="J4098" s="1323"/>
      <c r="K4098" s="1323"/>
      <c r="L4098" s="1323"/>
      <c r="M4098" s="1323"/>
      <c r="N4098" s="1323"/>
      <c r="O4098" s="1323"/>
      <c r="P4098" s="1323"/>
      <c r="Q4098" s="1323"/>
      <c r="R4098" s="1304"/>
      <c r="S4098" s="1304"/>
      <c r="T4098" s="1304"/>
    </row>
    <row r="4099" spans="1:20">
      <c r="A4099" s="1303"/>
      <c r="B4099" s="1322" t="s">
        <v>10127</v>
      </c>
      <c r="C4099" s="1323" t="s">
        <v>10128</v>
      </c>
      <c r="D4099" s="1324">
        <f t="shared" si="408"/>
        <v>35905</v>
      </c>
      <c r="E4099" s="1323">
        <f t="shared" si="410"/>
        <v>5.0518000000000001</v>
      </c>
      <c r="F4099" s="1323">
        <f t="shared" si="409"/>
        <v>4.472116010031975</v>
      </c>
      <c r="G4099" s="1323">
        <f t="shared" si="411"/>
        <v>1998</v>
      </c>
      <c r="H4099" s="1323">
        <f t="shared" si="412"/>
        <v>4</v>
      </c>
      <c r="I4099" s="1323">
        <f t="shared" si="413"/>
        <v>20</v>
      </c>
      <c r="J4099" s="1323"/>
      <c r="K4099" s="1323"/>
      <c r="L4099" s="1323"/>
      <c r="M4099" s="1323"/>
      <c r="N4099" s="1323"/>
      <c r="O4099" s="1323"/>
      <c r="P4099" s="1323"/>
      <c r="Q4099" s="1323"/>
      <c r="R4099" s="1304"/>
      <c r="S4099" s="1304"/>
      <c r="T4099" s="1304"/>
    </row>
    <row r="4100" spans="1:20">
      <c r="A4100" s="1303"/>
      <c r="B4100" s="1322" t="s">
        <v>10129</v>
      </c>
      <c r="C4100" s="1323" t="s">
        <v>10119</v>
      </c>
      <c r="D4100" s="1324">
        <f t="shared" si="408"/>
        <v>35902</v>
      </c>
      <c r="E4100" s="1323">
        <f t="shared" si="410"/>
        <v>5.0403000000000002</v>
      </c>
      <c r="F4100" s="1323">
        <f t="shared" si="409"/>
        <v>4.4712585084002265</v>
      </c>
      <c r="G4100" s="1323">
        <f t="shared" si="411"/>
        <v>1998</v>
      </c>
      <c r="H4100" s="1323">
        <f t="shared" si="412"/>
        <v>4</v>
      </c>
      <c r="I4100" s="1323">
        <f t="shared" si="413"/>
        <v>17</v>
      </c>
      <c r="J4100" s="1323"/>
      <c r="K4100" s="1323"/>
      <c r="L4100" s="1323"/>
      <c r="M4100" s="1323"/>
      <c r="N4100" s="1323"/>
      <c r="O4100" s="1323"/>
      <c r="P4100" s="1323"/>
      <c r="Q4100" s="1323"/>
      <c r="R4100" s="1304"/>
      <c r="S4100" s="1304"/>
      <c r="T4100" s="1304"/>
    </row>
    <row r="4101" spans="1:20">
      <c r="A4101" s="1303"/>
      <c r="B4101" s="1322" t="s">
        <v>10130</v>
      </c>
      <c r="C4101" s="1323" t="s">
        <v>10131</v>
      </c>
      <c r="D4101" s="1324">
        <f t="shared" si="408"/>
        <v>35901</v>
      </c>
      <c r="E4101" s="1323">
        <f t="shared" si="410"/>
        <v>5.0491999999999999</v>
      </c>
      <c r="F4101" s="1323">
        <f t="shared" si="409"/>
        <v>4.4704011711893132</v>
      </c>
      <c r="G4101" s="1323">
        <f t="shared" si="411"/>
        <v>1998</v>
      </c>
      <c r="H4101" s="1323">
        <f t="shared" si="412"/>
        <v>4</v>
      </c>
      <c r="I4101" s="1323">
        <f t="shared" si="413"/>
        <v>16</v>
      </c>
      <c r="J4101" s="1323"/>
      <c r="K4101" s="1323"/>
      <c r="L4101" s="1323"/>
      <c r="M4101" s="1323"/>
      <c r="N4101" s="1323"/>
      <c r="O4101" s="1323"/>
      <c r="P4101" s="1323"/>
      <c r="Q4101" s="1323"/>
      <c r="R4101" s="1304"/>
      <c r="S4101" s="1304"/>
      <c r="T4101" s="1304"/>
    </row>
    <row r="4102" spans="1:20">
      <c r="A4102" s="1303"/>
      <c r="B4102" s="1322" t="s">
        <v>10132</v>
      </c>
      <c r="C4102" s="1323" t="s">
        <v>10133</v>
      </c>
      <c r="D4102" s="1324">
        <f t="shared" si="408"/>
        <v>35900</v>
      </c>
      <c r="E4102" s="1323">
        <f t="shared" si="410"/>
        <v>5.0339999999999998</v>
      </c>
      <c r="F4102" s="1323">
        <f t="shared" si="409"/>
        <v>4.4695439983677083</v>
      </c>
      <c r="G4102" s="1323">
        <f t="shared" si="411"/>
        <v>1998</v>
      </c>
      <c r="H4102" s="1323">
        <f t="shared" si="412"/>
        <v>4</v>
      </c>
      <c r="I4102" s="1323">
        <f t="shared" si="413"/>
        <v>15</v>
      </c>
      <c r="J4102" s="1323"/>
      <c r="K4102" s="1323"/>
      <c r="L4102" s="1323"/>
      <c r="M4102" s="1323"/>
      <c r="N4102" s="1323"/>
      <c r="O4102" s="1323"/>
      <c r="P4102" s="1323"/>
      <c r="Q4102" s="1323"/>
      <c r="R4102" s="1304"/>
      <c r="S4102" s="1304"/>
      <c r="T4102" s="1304"/>
    </row>
    <row r="4103" spans="1:20">
      <c r="A4103" s="1303"/>
      <c r="B4103" s="1322" t="s">
        <v>10134</v>
      </c>
      <c r="C4103" s="1323" t="s">
        <v>10135</v>
      </c>
      <c r="D4103" s="1324">
        <f t="shared" si="408"/>
        <v>35899</v>
      </c>
      <c r="E4103" s="1323">
        <f t="shared" si="410"/>
        <v>5.0391000000000004</v>
      </c>
      <c r="F4103" s="1323">
        <f t="shared" si="409"/>
        <v>4.4686869899038912</v>
      </c>
      <c r="G4103" s="1323">
        <f t="shared" si="411"/>
        <v>1998</v>
      </c>
      <c r="H4103" s="1323">
        <f t="shared" si="412"/>
        <v>4</v>
      </c>
      <c r="I4103" s="1323">
        <f t="shared" si="413"/>
        <v>14</v>
      </c>
      <c r="J4103" s="1323"/>
      <c r="K4103" s="1323"/>
      <c r="L4103" s="1323"/>
      <c r="M4103" s="1323"/>
      <c r="N4103" s="1323"/>
      <c r="O4103" s="1323"/>
      <c r="P4103" s="1323"/>
      <c r="Q4103" s="1323"/>
      <c r="R4103" s="1304"/>
      <c r="S4103" s="1304"/>
      <c r="T4103" s="1304"/>
    </row>
    <row r="4104" spans="1:20">
      <c r="A4104" s="1303"/>
      <c r="B4104" s="1322" t="s">
        <v>10136</v>
      </c>
      <c r="C4104" s="1323" t="s">
        <v>10137</v>
      </c>
      <c r="D4104" s="1324">
        <f t="shared" si="408"/>
        <v>35894</v>
      </c>
      <c r="E4104" s="1323">
        <f t="shared" si="410"/>
        <v>5.0441000000000003</v>
      </c>
      <c r="F4104" s="1323">
        <f t="shared" si="409"/>
        <v>4.4678301457663467</v>
      </c>
      <c r="G4104" s="1323">
        <f t="shared" si="411"/>
        <v>1998</v>
      </c>
      <c r="H4104" s="1323">
        <f t="shared" si="412"/>
        <v>4</v>
      </c>
      <c r="I4104" s="1323">
        <f t="shared" si="413"/>
        <v>9</v>
      </c>
      <c r="J4104" s="1323"/>
      <c r="K4104" s="1323"/>
      <c r="L4104" s="1323"/>
      <c r="M4104" s="1323"/>
      <c r="N4104" s="1323"/>
      <c r="O4104" s="1323"/>
      <c r="P4104" s="1323"/>
      <c r="Q4104" s="1323"/>
      <c r="R4104" s="1304"/>
      <c r="S4104" s="1304"/>
      <c r="T4104" s="1304"/>
    </row>
    <row r="4105" spans="1:20">
      <c r="A4105" s="1303"/>
      <c r="B4105" s="1322" t="s">
        <v>10138</v>
      </c>
      <c r="C4105" s="1323" t="s">
        <v>10139</v>
      </c>
      <c r="D4105" s="1324">
        <f t="shared" ref="D4105:D4168" si="414">DATE(G4105,H4105,I4105)</f>
        <v>35893</v>
      </c>
      <c r="E4105" s="1323">
        <f t="shared" si="410"/>
        <v>5.048</v>
      </c>
      <c r="F4105" s="1323">
        <f t="shared" ref="F4105:F4168" si="415">F4106*(1+$F$7/365)</f>
        <v>4.4669734659235667</v>
      </c>
      <c r="G4105" s="1323">
        <f t="shared" si="411"/>
        <v>1998</v>
      </c>
      <c r="H4105" s="1323">
        <f t="shared" si="412"/>
        <v>4</v>
      </c>
      <c r="I4105" s="1323">
        <f t="shared" si="413"/>
        <v>8</v>
      </c>
      <c r="J4105" s="1323"/>
      <c r="K4105" s="1323"/>
      <c r="L4105" s="1323"/>
      <c r="M4105" s="1323"/>
      <c r="N4105" s="1323"/>
      <c r="O4105" s="1323"/>
      <c r="P4105" s="1323"/>
      <c r="Q4105" s="1323"/>
      <c r="R4105" s="1304"/>
      <c r="S4105" s="1304"/>
      <c r="T4105" s="1304"/>
    </row>
    <row r="4106" spans="1:20">
      <c r="A4106" s="1303"/>
      <c r="B4106" s="1322" t="s">
        <v>10140</v>
      </c>
      <c r="C4106" s="1323" t="s">
        <v>10126</v>
      </c>
      <c r="D4106" s="1324">
        <f t="shared" si="414"/>
        <v>35892</v>
      </c>
      <c r="E4106" s="1323">
        <f t="shared" si="410"/>
        <v>5.0505000000000004</v>
      </c>
      <c r="F4106" s="1323">
        <f t="shared" si="415"/>
        <v>4.4661169503440483</v>
      </c>
      <c r="G4106" s="1323">
        <f t="shared" si="411"/>
        <v>1998</v>
      </c>
      <c r="H4106" s="1323">
        <f t="shared" si="412"/>
        <v>4</v>
      </c>
      <c r="I4106" s="1323">
        <f t="shared" si="413"/>
        <v>7</v>
      </c>
      <c r="J4106" s="1323"/>
      <c r="K4106" s="1323"/>
      <c r="L4106" s="1323"/>
      <c r="M4106" s="1323"/>
      <c r="N4106" s="1323"/>
      <c r="O4106" s="1323"/>
      <c r="P4106" s="1323"/>
      <c r="Q4106" s="1323"/>
      <c r="R4106" s="1304"/>
      <c r="S4106" s="1304"/>
      <c r="T4106" s="1304"/>
    </row>
    <row r="4107" spans="1:20">
      <c r="A4107" s="1303"/>
      <c r="B4107" s="1322" t="s">
        <v>10141</v>
      </c>
      <c r="C4107" s="1323" t="s">
        <v>10142</v>
      </c>
      <c r="D4107" s="1324">
        <f t="shared" si="414"/>
        <v>35891</v>
      </c>
      <c r="E4107" s="1323">
        <f t="shared" si="410"/>
        <v>5.0339999999999998</v>
      </c>
      <c r="F4107" s="1323">
        <f t="shared" si="415"/>
        <v>4.465260598996295</v>
      </c>
      <c r="G4107" s="1323">
        <f t="shared" si="411"/>
        <v>1998</v>
      </c>
      <c r="H4107" s="1323">
        <f t="shared" si="412"/>
        <v>4</v>
      </c>
      <c r="I4107" s="1323">
        <f t="shared" si="413"/>
        <v>6</v>
      </c>
      <c r="J4107" s="1323"/>
      <c r="K4107" s="1323"/>
      <c r="L4107" s="1323"/>
      <c r="M4107" s="1323"/>
      <c r="N4107" s="1323"/>
      <c r="O4107" s="1323"/>
      <c r="P4107" s="1323"/>
      <c r="Q4107" s="1323"/>
      <c r="R4107" s="1304"/>
      <c r="S4107" s="1304"/>
      <c r="T4107" s="1304"/>
    </row>
    <row r="4108" spans="1:20">
      <c r="A4108" s="1303"/>
      <c r="B4108" s="1322" t="s">
        <v>10143</v>
      </c>
      <c r="C4108" s="1323" t="s">
        <v>10135</v>
      </c>
      <c r="D4108" s="1324">
        <f t="shared" si="414"/>
        <v>35888</v>
      </c>
      <c r="E4108" s="1323">
        <f t="shared" si="410"/>
        <v>5.0365000000000002</v>
      </c>
      <c r="F4108" s="1323">
        <f t="shared" si="415"/>
        <v>4.4644044118488173</v>
      </c>
      <c r="G4108" s="1323">
        <f t="shared" si="411"/>
        <v>1998</v>
      </c>
      <c r="H4108" s="1323">
        <f t="shared" si="412"/>
        <v>4</v>
      </c>
      <c r="I4108" s="1323">
        <f t="shared" si="413"/>
        <v>3</v>
      </c>
      <c r="J4108" s="1323"/>
      <c r="K4108" s="1323"/>
      <c r="L4108" s="1323"/>
      <c r="M4108" s="1323"/>
      <c r="N4108" s="1323"/>
      <c r="O4108" s="1323"/>
      <c r="P4108" s="1323"/>
      <c r="Q4108" s="1323"/>
      <c r="R4108" s="1304"/>
      <c r="S4108" s="1304"/>
      <c r="T4108" s="1304"/>
    </row>
    <row r="4109" spans="1:20">
      <c r="A4109" s="1303"/>
      <c r="B4109" s="1322" t="s">
        <v>10144</v>
      </c>
      <c r="C4109" s="1323" t="s">
        <v>10145</v>
      </c>
      <c r="D4109" s="1324">
        <f t="shared" si="414"/>
        <v>35887</v>
      </c>
      <c r="E4109" s="1323">
        <f t="shared" si="410"/>
        <v>5.0415999999999999</v>
      </c>
      <c r="F4109" s="1323">
        <f t="shared" si="415"/>
        <v>4.4635483888701302</v>
      </c>
      <c r="G4109" s="1323">
        <f t="shared" si="411"/>
        <v>1998</v>
      </c>
      <c r="H4109" s="1323">
        <f t="shared" si="412"/>
        <v>4</v>
      </c>
      <c r="I4109" s="1323">
        <f t="shared" si="413"/>
        <v>2</v>
      </c>
      <c r="J4109" s="1323"/>
      <c r="K4109" s="1323"/>
      <c r="L4109" s="1323"/>
      <c r="M4109" s="1323"/>
      <c r="N4109" s="1323"/>
      <c r="O4109" s="1323"/>
      <c r="P4109" s="1323"/>
      <c r="Q4109" s="1323"/>
      <c r="R4109" s="1304"/>
      <c r="S4109" s="1304"/>
      <c r="T4109" s="1304"/>
    </row>
    <row r="4110" spans="1:20">
      <c r="A4110" s="1303"/>
      <c r="B4110" s="1322" t="s">
        <v>10146</v>
      </c>
      <c r="C4110" s="1323" t="s">
        <v>10147</v>
      </c>
      <c r="D4110" s="1324">
        <f t="shared" si="414"/>
        <v>35886</v>
      </c>
      <c r="E4110" s="1323">
        <f t="shared" si="410"/>
        <v>5.0441000000000003</v>
      </c>
      <c r="F4110" s="1323">
        <f t="shared" si="415"/>
        <v>4.4626925300287548</v>
      </c>
      <c r="G4110" s="1323">
        <f t="shared" si="411"/>
        <v>1998</v>
      </c>
      <c r="H4110" s="1323">
        <f t="shared" si="412"/>
        <v>4</v>
      </c>
      <c r="I4110" s="1323">
        <f t="shared" si="413"/>
        <v>1</v>
      </c>
      <c r="J4110" s="1323"/>
      <c r="K4110" s="1323"/>
      <c r="L4110" s="1323"/>
      <c r="M4110" s="1323"/>
      <c r="N4110" s="1323"/>
      <c r="O4110" s="1323"/>
      <c r="P4110" s="1323"/>
      <c r="Q4110" s="1323"/>
      <c r="R4110" s="1304"/>
      <c r="S4110" s="1304"/>
      <c r="T4110" s="1304"/>
    </row>
    <row r="4111" spans="1:20">
      <c r="A4111" s="1303"/>
      <c r="B4111" s="1322" t="s">
        <v>10148</v>
      </c>
      <c r="C4111" s="1323" t="s">
        <v>10139</v>
      </c>
      <c r="D4111" s="1324">
        <f t="shared" si="414"/>
        <v>35885</v>
      </c>
      <c r="E4111" s="1323">
        <f t="shared" si="410"/>
        <v>5.0365000000000002</v>
      </c>
      <c r="F4111" s="1323">
        <f t="shared" si="415"/>
        <v>4.4618368352932185</v>
      </c>
      <c r="G4111" s="1323">
        <f t="shared" si="411"/>
        <v>1998</v>
      </c>
      <c r="H4111" s="1323">
        <f t="shared" si="412"/>
        <v>3</v>
      </c>
      <c r="I4111" s="1323">
        <f t="shared" si="413"/>
        <v>31</v>
      </c>
      <c r="J4111" s="1323"/>
      <c r="K4111" s="1323"/>
      <c r="L4111" s="1323"/>
      <c r="M4111" s="1323"/>
      <c r="N4111" s="1323"/>
      <c r="O4111" s="1323"/>
      <c r="P4111" s="1323"/>
      <c r="Q4111" s="1323"/>
      <c r="R4111" s="1304"/>
      <c r="S4111" s="1304"/>
      <c r="T4111" s="1304"/>
    </row>
    <row r="4112" spans="1:20">
      <c r="A4112" s="1303"/>
      <c r="B4112" s="1322" t="s">
        <v>10149</v>
      </c>
      <c r="C4112" s="1323" t="s">
        <v>10145</v>
      </c>
      <c r="D4112" s="1324">
        <f t="shared" si="414"/>
        <v>35884</v>
      </c>
      <c r="E4112" s="1323">
        <f t="shared" si="410"/>
        <v>4.9813000000000001</v>
      </c>
      <c r="F4112" s="1323">
        <f t="shared" si="415"/>
        <v>4.4609813046320559</v>
      </c>
      <c r="G4112" s="1323">
        <f t="shared" si="411"/>
        <v>1998</v>
      </c>
      <c r="H4112" s="1323">
        <f t="shared" si="412"/>
        <v>3</v>
      </c>
      <c r="I4112" s="1323">
        <f t="shared" si="413"/>
        <v>30</v>
      </c>
      <c r="J4112" s="1323"/>
      <c r="K4112" s="1323"/>
      <c r="L4112" s="1323"/>
      <c r="M4112" s="1323"/>
      <c r="N4112" s="1323"/>
      <c r="O4112" s="1323"/>
      <c r="P4112" s="1323"/>
      <c r="Q4112" s="1323"/>
      <c r="R4112" s="1304"/>
      <c r="S4112" s="1304"/>
      <c r="T4112" s="1304"/>
    </row>
    <row r="4113" spans="1:20">
      <c r="A4113" s="1303"/>
      <c r="B4113" s="1322" t="s">
        <v>10150</v>
      </c>
      <c r="C4113" s="1323" t="s">
        <v>10151</v>
      </c>
      <c r="D4113" s="1324">
        <f t="shared" si="414"/>
        <v>35881</v>
      </c>
      <c r="E4113" s="1323">
        <f t="shared" si="410"/>
        <v>4.9739000000000004</v>
      </c>
      <c r="F4113" s="1323">
        <f t="shared" si="415"/>
        <v>4.4601259380138067</v>
      </c>
      <c r="G4113" s="1323">
        <f t="shared" si="411"/>
        <v>1998</v>
      </c>
      <c r="H4113" s="1323">
        <f t="shared" si="412"/>
        <v>3</v>
      </c>
      <c r="I4113" s="1323">
        <f t="shared" si="413"/>
        <v>27</v>
      </c>
      <c r="J4113" s="1323"/>
      <c r="K4113" s="1323"/>
      <c r="L4113" s="1323"/>
      <c r="M4113" s="1323"/>
      <c r="N4113" s="1323"/>
      <c r="O4113" s="1323"/>
      <c r="P4113" s="1323"/>
      <c r="Q4113" s="1323"/>
      <c r="R4113" s="1304"/>
      <c r="S4113" s="1304"/>
      <c r="T4113" s="1304"/>
    </row>
    <row r="4114" spans="1:20">
      <c r="A4114" s="1303"/>
      <c r="B4114" s="1322" t="s">
        <v>10152</v>
      </c>
      <c r="C4114" s="1323" t="s">
        <v>10153</v>
      </c>
      <c r="D4114" s="1324">
        <f t="shared" si="414"/>
        <v>35880</v>
      </c>
      <c r="E4114" s="1323">
        <f t="shared" si="410"/>
        <v>4.9739000000000004</v>
      </c>
      <c r="F4114" s="1323">
        <f t="shared" si="415"/>
        <v>4.4592707354070162</v>
      </c>
      <c r="G4114" s="1323">
        <f t="shared" si="411"/>
        <v>1998</v>
      </c>
      <c r="H4114" s="1323">
        <f t="shared" si="412"/>
        <v>3</v>
      </c>
      <c r="I4114" s="1323">
        <f t="shared" si="413"/>
        <v>26</v>
      </c>
      <c r="J4114" s="1323"/>
      <c r="K4114" s="1323"/>
      <c r="L4114" s="1323"/>
      <c r="M4114" s="1323"/>
      <c r="N4114" s="1323"/>
      <c r="O4114" s="1323"/>
      <c r="P4114" s="1323"/>
      <c r="Q4114" s="1323"/>
      <c r="R4114" s="1304"/>
      <c r="S4114" s="1304"/>
      <c r="T4114" s="1304"/>
    </row>
    <row r="4115" spans="1:20">
      <c r="A4115" s="1303"/>
      <c r="B4115" s="1322" t="s">
        <v>10154</v>
      </c>
      <c r="C4115" s="1323" t="s">
        <v>10153</v>
      </c>
      <c r="D4115" s="1324">
        <f t="shared" si="414"/>
        <v>35879</v>
      </c>
      <c r="E4115" s="1323">
        <f t="shared" si="410"/>
        <v>4.9751000000000003</v>
      </c>
      <c r="F4115" s="1323">
        <f t="shared" si="415"/>
        <v>4.4584156967802366</v>
      </c>
      <c r="G4115" s="1323">
        <f t="shared" si="411"/>
        <v>1998</v>
      </c>
      <c r="H4115" s="1323">
        <f t="shared" si="412"/>
        <v>3</v>
      </c>
      <c r="I4115" s="1323">
        <f t="shared" si="413"/>
        <v>25</v>
      </c>
      <c r="J4115" s="1323"/>
      <c r="K4115" s="1323"/>
      <c r="L4115" s="1323"/>
      <c r="M4115" s="1323"/>
      <c r="N4115" s="1323"/>
      <c r="O4115" s="1323"/>
      <c r="P4115" s="1323"/>
      <c r="Q4115" s="1323"/>
      <c r="R4115" s="1304"/>
      <c r="S4115" s="1304"/>
      <c r="T4115" s="1304"/>
    </row>
    <row r="4116" spans="1:20">
      <c r="A4116" s="1303"/>
      <c r="B4116" s="1322" t="s">
        <v>10155</v>
      </c>
      <c r="C4116" s="1323" t="s">
        <v>10156</v>
      </c>
      <c r="D4116" s="1324">
        <f t="shared" si="414"/>
        <v>35878</v>
      </c>
      <c r="E4116" s="1323">
        <f t="shared" si="410"/>
        <v>4.9763999999999999</v>
      </c>
      <c r="F4116" s="1323">
        <f t="shared" si="415"/>
        <v>4.4575608221020255</v>
      </c>
      <c r="G4116" s="1323">
        <f t="shared" si="411"/>
        <v>1998</v>
      </c>
      <c r="H4116" s="1323">
        <f t="shared" si="412"/>
        <v>3</v>
      </c>
      <c r="I4116" s="1323">
        <f t="shared" si="413"/>
        <v>24</v>
      </c>
      <c r="J4116" s="1323"/>
      <c r="K4116" s="1323"/>
      <c r="L4116" s="1323"/>
      <c r="M4116" s="1323"/>
      <c r="N4116" s="1323"/>
      <c r="O4116" s="1323"/>
      <c r="P4116" s="1323"/>
      <c r="Q4116" s="1323"/>
      <c r="R4116" s="1304"/>
      <c r="S4116" s="1304"/>
      <c r="T4116" s="1304"/>
    </row>
    <row r="4117" spans="1:20">
      <c r="A4117" s="1303"/>
      <c r="B4117" s="1322" t="s">
        <v>10157</v>
      </c>
      <c r="C4117" s="1323" t="s">
        <v>10158</v>
      </c>
      <c r="D4117" s="1324">
        <f t="shared" si="414"/>
        <v>35877</v>
      </c>
      <c r="E4117" s="1323">
        <f t="shared" si="410"/>
        <v>4.9813000000000001</v>
      </c>
      <c r="F4117" s="1323">
        <f t="shared" si="415"/>
        <v>4.4567061113409467</v>
      </c>
      <c r="G4117" s="1323">
        <f t="shared" si="411"/>
        <v>1998</v>
      </c>
      <c r="H4117" s="1323">
        <f t="shared" si="412"/>
        <v>3</v>
      </c>
      <c r="I4117" s="1323">
        <f t="shared" si="413"/>
        <v>23</v>
      </c>
      <c r="J4117" s="1323"/>
      <c r="K4117" s="1323"/>
      <c r="L4117" s="1323"/>
      <c r="M4117" s="1323"/>
      <c r="N4117" s="1323"/>
      <c r="O4117" s="1323"/>
      <c r="P4117" s="1323"/>
      <c r="Q4117" s="1323"/>
      <c r="R4117" s="1304"/>
      <c r="S4117" s="1304"/>
      <c r="T4117" s="1304"/>
    </row>
    <row r="4118" spans="1:20">
      <c r="A4118" s="1303"/>
      <c r="B4118" s="1322" t="s">
        <v>10159</v>
      </c>
      <c r="C4118" s="1323" t="s">
        <v>10151</v>
      </c>
      <c r="D4118" s="1324">
        <f t="shared" si="414"/>
        <v>35874</v>
      </c>
      <c r="E4118" s="1323">
        <f t="shared" ref="E4118:E4181" si="416">VALUE(C4119)</f>
        <v>4.9825999999999997</v>
      </c>
      <c r="F4118" s="1323">
        <f t="shared" si="415"/>
        <v>4.4558515644655694</v>
      </c>
      <c r="G4118" s="1323">
        <f t="shared" ref="G4118:G4181" si="417">YEAR(B4119)</f>
        <v>1998</v>
      </c>
      <c r="H4118" s="1323">
        <f t="shared" ref="H4118:H4181" si="418">MONTH(B4119)</f>
        <v>3</v>
      </c>
      <c r="I4118" s="1323">
        <f t="shared" ref="I4118:I4181" si="419">DAY(B4119)</f>
        <v>20</v>
      </c>
      <c r="J4118" s="1323"/>
      <c r="K4118" s="1323"/>
      <c r="L4118" s="1323"/>
      <c r="M4118" s="1323"/>
      <c r="N4118" s="1323"/>
      <c r="O4118" s="1323"/>
      <c r="P4118" s="1323"/>
      <c r="Q4118" s="1323"/>
      <c r="R4118" s="1304"/>
      <c r="S4118" s="1304"/>
      <c r="T4118" s="1304"/>
    </row>
    <row r="4119" spans="1:20">
      <c r="A4119" s="1303"/>
      <c r="B4119" s="1322" t="s">
        <v>10160</v>
      </c>
      <c r="C4119" s="1323" t="s">
        <v>10161</v>
      </c>
      <c r="D4119" s="1324">
        <f t="shared" si="414"/>
        <v>35873</v>
      </c>
      <c r="E4119" s="1323">
        <f t="shared" si="416"/>
        <v>4.9775999999999998</v>
      </c>
      <c r="F4119" s="1323">
        <f t="shared" si="415"/>
        <v>4.4549971814444707</v>
      </c>
      <c r="G4119" s="1323">
        <f t="shared" si="417"/>
        <v>1998</v>
      </c>
      <c r="H4119" s="1323">
        <f t="shared" si="418"/>
        <v>3</v>
      </c>
      <c r="I4119" s="1323">
        <f t="shared" si="419"/>
        <v>19</v>
      </c>
      <c r="J4119" s="1323"/>
      <c r="K4119" s="1323"/>
      <c r="L4119" s="1323"/>
      <c r="M4119" s="1323"/>
      <c r="N4119" s="1323"/>
      <c r="O4119" s="1323"/>
      <c r="P4119" s="1323"/>
      <c r="Q4119" s="1323"/>
      <c r="R4119" s="1304"/>
      <c r="S4119" s="1304"/>
      <c r="T4119" s="1304"/>
    </row>
    <row r="4120" spans="1:20">
      <c r="A4120" s="1303"/>
      <c r="B4120" s="1322" t="s">
        <v>10162</v>
      </c>
      <c r="C4120" s="1323" t="s">
        <v>10163</v>
      </c>
      <c r="D4120" s="1324">
        <f t="shared" si="414"/>
        <v>35872</v>
      </c>
      <c r="E4120" s="1323">
        <f t="shared" si="416"/>
        <v>4.9739000000000004</v>
      </c>
      <c r="F4120" s="1323">
        <f t="shared" si="415"/>
        <v>4.4541429622462312</v>
      </c>
      <c r="G4120" s="1323">
        <f t="shared" si="417"/>
        <v>1998</v>
      </c>
      <c r="H4120" s="1323">
        <f t="shared" si="418"/>
        <v>3</v>
      </c>
      <c r="I4120" s="1323">
        <f t="shared" si="419"/>
        <v>18</v>
      </c>
      <c r="J4120" s="1323"/>
      <c r="K4120" s="1323"/>
      <c r="L4120" s="1323"/>
      <c r="M4120" s="1323"/>
      <c r="N4120" s="1323"/>
      <c r="O4120" s="1323"/>
      <c r="P4120" s="1323"/>
      <c r="Q4120" s="1323"/>
      <c r="R4120" s="1304"/>
      <c r="S4120" s="1304"/>
      <c r="T4120" s="1304"/>
    </row>
    <row r="4121" spans="1:20">
      <c r="A4121" s="1303"/>
      <c r="B4121" s="1322" t="s">
        <v>10164</v>
      </c>
      <c r="C4121" s="1323" t="s">
        <v>10153</v>
      </c>
      <c r="D4121" s="1324">
        <f t="shared" si="414"/>
        <v>35871</v>
      </c>
      <c r="E4121" s="1323">
        <f t="shared" si="416"/>
        <v>4.9676999999999998</v>
      </c>
      <c r="F4121" s="1323">
        <f t="shared" si="415"/>
        <v>4.4532889068394397</v>
      </c>
      <c r="G4121" s="1323">
        <f t="shared" si="417"/>
        <v>1998</v>
      </c>
      <c r="H4121" s="1323">
        <f t="shared" si="418"/>
        <v>3</v>
      </c>
      <c r="I4121" s="1323">
        <f t="shared" si="419"/>
        <v>17</v>
      </c>
      <c r="J4121" s="1323"/>
      <c r="K4121" s="1323"/>
      <c r="L4121" s="1323"/>
      <c r="M4121" s="1323"/>
      <c r="N4121" s="1323"/>
      <c r="O4121" s="1323"/>
      <c r="P4121" s="1323"/>
      <c r="Q4121" s="1323"/>
      <c r="R4121" s="1304"/>
      <c r="S4121" s="1304"/>
      <c r="T4121" s="1304"/>
    </row>
    <row r="4122" spans="1:20">
      <c r="A4122" s="1303"/>
      <c r="B4122" s="1322" t="s">
        <v>10165</v>
      </c>
      <c r="C4122" s="1323" t="s">
        <v>10166</v>
      </c>
      <c r="D4122" s="1324">
        <f t="shared" si="414"/>
        <v>35870</v>
      </c>
      <c r="E4122" s="1323">
        <f t="shared" si="416"/>
        <v>4.9688999999999997</v>
      </c>
      <c r="F4122" s="1323">
        <f t="shared" si="415"/>
        <v>4.4524350151926901</v>
      </c>
      <c r="G4122" s="1323">
        <f t="shared" si="417"/>
        <v>1998</v>
      </c>
      <c r="H4122" s="1323">
        <f t="shared" si="418"/>
        <v>3</v>
      </c>
      <c r="I4122" s="1323">
        <f t="shared" si="419"/>
        <v>16</v>
      </c>
      <c r="J4122" s="1323"/>
      <c r="K4122" s="1323"/>
      <c r="L4122" s="1323"/>
      <c r="M4122" s="1323"/>
      <c r="N4122" s="1323"/>
      <c r="O4122" s="1323"/>
      <c r="P4122" s="1323"/>
      <c r="Q4122" s="1323"/>
      <c r="R4122" s="1304"/>
      <c r="S4122" s="1304"/>
      <c r="T4122" s="1304"/>
    </row>
    <row r="4123" spans="1:20">
      <c r="A4123" s="1303"/>
      <c r="B4123" s="1322" t="s">
        <v>10167</v>
      </c>
      <c r="C4123" s="1323" t="s">
        <v>10168</v>
      </c>
      <c r="D4123" s="1324">
        <f t="shared" si="414"/>
        <v>35867</v>
      </c>
      <c r="E4123" s="1323">
        <f t="shared" si="416"/>
        <v>4.9763999999999999</v>
      </c>
      <c r="F4123" s="1323">
        <f t="shared" si="415"/>
        <v>4.4515812872745828</v>
      </c>
      <c r="G4123" s="1323">
        <f t="shared" si="417"/>
        <v>1998</v>
      </c>
      <c r="H4123" s="1323">
        <f t="shared" si="418"/>
        <v>3</v>
      </c>
      <c r="I4123" s="1323">
        <f t="shared" si="419"/>
        <v>13</v>
      </c>
      <c r="J4123" s="1323"/>
      <c r="K4123" s="1323"/>
      <c r="L4123" s="1323"/>
      <c r="M4123" s="1323"/>
      <c r="N4123" s="1323"/>
      <c r="O4123" s="1323"/>
      <c r="P4123" s="1323"/>
      <c r="Q4123" s="1323"/>
      <c r="R4123" s="1304"/>
      <c r="S4123" s="1304"/>
      <c r="T4123" s="1304"/>
    </row>
    <row r="4124" spans="1:20">
      <c r="A4124" s="1303"/>
      <c r="B4124" s="1322" t="s">
        <v>10169</v>
      </c>
      <c r="C4124" s="1323" t="s">
        <v>10158</v>
      </c>
      <c r="D4124" s="1324">
        <f t="shared" si="414"/>
        <v>35866</v>
      </c>
      <c r="E4124" s="1323">
        <f t="shared" si="416"/>
        <v>4.9850000000000003</v>
      </c>
      <c r="F4124" s="1323">
        <f t="shared" si="415"/>
        <v>4.4507277230537232</v>
      </c>
      <c r="G4124" s="1323">
        <f t="shared" si="417"/>
        <v>1998</v>
      </c>
      <c r="H4124" s="1323">
        <f t="shared" si="418"/>
        <v>3</v>
      </c>
      <c r="I4124" s="1323">
        <f t="shared" si="419"/>
        <v>12</v>
      </c>
      <c r="J4124" s="1323"/>
      <c r="K4124" s="1323"/>
      <c r="L4124" s="1323"/>
      <c r="M4124" s="1323"/>
      <c r="N4124" s="1323"/>
      <c r="O4124" s="1323"/>
      <c r="P4124" s="1323"/>
      <c r="Q4124" s="1323"/>
      <c r="R4124" s="1304"/>
      <c r="S4124" s="1304"/>
      <c r="T4124" s="1304"/>
    </row>
    <row r="4125" spans="1:20">
      <c r="A4125" s="1303"/>
      <c r="B4125" s="1322" t="s">
        <v>10170</v>
      </c>
      <c r="C4125" s="1323" t="s">
        <v>10171</v>
      </c>
      <c r="D4125" s="1324">
        <f t="shared" si="414"/>
        <v>35865</v>
      </c>
      <c r="E4125" s="1323">
        <f t="shared" si="416"/>
        <v>4.9763999999999999</v>
      </c>
      <c r="F4125" s="1323">
        <f t="shared" si="415"/>
        <v>4.4498743224987232</v>
      </c>
      <c r="G4125" s="1323">
        <f t="shared" si="417"/>
        <v>1998</v>
      </c>
      <c r="H4125" s="1323">
        <f t="shared" si="418"/>
        <v>3</v>
      </c>
      <c r="I4125" s="1323">
        <f t="shared" si="419"/>
        <v>11</v>
      </c>
      <c r="J4125" s="1323"/>
      <c r="K4125" s="1323"/>
      <c r="L4125" s="1323"/>
      <c r="M4125" s="1323"/>
      <c r="N4125" s="1323"/>
      <c r="O4125" s="1323"/>
      <c r="P4125" s="1323"/>
      <c r="Q4125" s="1323"/>
      <c r="R4125" s="1304"/>
      <c r="S4125" s="1304"/>
      <c r="T4125" s="1304"/>
    </row>
    <row r="4126" spans="1:20">
      <c r="A4126" s="1303"/>
      <c r="B4126" s="1322" t="s">
        <v>10172</v>
      </c>
      <c r="C4126" s="1323" t="s">
        <v>10158</v>
      </c>
      <c r="D4126" s="1324">
        <f t="shared" si="414"/>
        <v>35864</v>
      </c>
      <c r="E4126" s="1323">
        <f t="shared" si="416"/>
        <v>4.9787999999999997</v>
      </c>
      <c r="F4126" s="1323">
        <f t="shared" si="415"/>
        <v>4.4490210855782015</v>
      </c>
      <c r="G4126" s="1323">
        <f t="shared" si="417"/>
        <v>1998</v>
      </c>
      <c r="H4126" s="1323">
        <f t="shared" si="418"/>
        <v>3</v>
      </c>
      <c r="I4126" s="1323">
        <f t="shared" si="419"/>
        <v>10</v>
      </c>
      <c r="J4126" s="1323"/>
      <c r="K4126" s="1323"/>
      <c r="L4126" s="1323"/>
      <c r="M4126" s="1323"/>
      <c r="N4126" s="1323"/>
      <c r="O4126" s="1323"/>
      <c r="P4126" s="1323"/>
      <c r="Q4126" s="1323"/>
      <c r="R4126" s="1304"/>
      <c r="S4126" s="1304"/>
      <c r="T4126" s="1304"/>
    </row>
    <row r="4127" spans="1:20">
      <c r="A4127" s="1303"/>
      <c r="B4127" s="1322" t="s">
        <v>10173</v>
      </c>
      <c r="C4127" s="1323" t="s">
        <v>10174</v>
      </c>
      <c r="D4127" s="1324">
        <f t="shared" si="414"/>
        <v>35863</v>
      </c>
      <c r="E4127" s="1323">
        <f t="shared" si="416"/>
        <v>4.9837999999999996</v>
      </c>
      <c r="F4127" s="1323">
        <f t="shared" si="415"/>
        <v>4.4481680122607816</v>
      </c>
      <c r="G4127" s="1323">
        <f t="shared" si="417"/>
        <v>1998</v>
      </c>
      <c r="H4127" s="1323">
        <f t="shared" si="418"/>
        <v>3</v>
      </c>
      <c r="I4127" s="1323">
        <f t="shared" si="419"/>
        <v>9</v>
      </c>
      <c r="J4127" s="1323"/>
      <c r="K4127" s="1323"/>
      <c r="L4127" s="1323"/>
      <c r="M4127" s="1323"/>
      <c r="N4127" s="1323"/>
      <c r="O4127" s="1323"/>
      <c r="P4127" s="1323"/>
      <c r="Q4127" s="1323"/>
      <c r="R4127" s="1304"/>
      <c r="S4127" s="1304"/>
      <c r="T4127" s="1304"/>
    </row>
    <row r="4128" spans="1:20">
      <c r="A4128" s="1303"/>
      <c r="B4128" s="1322" t="s">
        <v>10175</v>
      </c>
      <c r="C4128" s="1323" t="s">
        <v>10176</v>
      </c>
      <c r="D4128" s="1324">
        <f t="shared" si="414"/>
        <v>35860</v>
      </c>
      <c r="E4128" s="1323">
        <f t="shared" si="416"/>
        <v>4.9627999999999997</v>
      </c>
      <c r="F4128" s="1323">
        <f t="shared" si="415"/>
        <v>4.4473151025150939</v>
      </c>
      <c r="G4128" s="1323">
        <f t="shared" si="417"/>
        <v>1998</v>
      </c>
      <c r="H4128" s="1323">
        <f t="shared" si="418"/>
        <v>3</v>
      </c>
      <c r="I4128" s="1323">
        <f t="shared" si="419"/>
        <v>6</v>
      </c>
      <c r="J4128" s="1323"/>
      <c r="K4128" s="1323"/>
      <c r="L4128" s="1323"/>
      <c r="M4128" s="1323"/>
      <c r="N4128" s="1323"/>
      <c r="O4128" s="1323"/>
      <c r="P4128" s="1323"/>
      <c r="Q4128" s="1323"/>
      <c r="R4128" s="1304"/>
      <c r="S4128" s="1304"/>
      <c r="T4128" s="1304"/>
    </row>
    <row r="4129" spans="1:20">
      <c r="A4129" s="1303"/>
      <c r="B4129" s="1322" t="s">
        <v>10177</v>
      </c>
      <c r="C4129" s="1323" t="s">
        <v>10178</v>
      </c>
      <c r="D4129" s="1324">
        <f t="shared" si="414"/>
        <v>35859</v>
      </c>
      <c r="E4129" s="1323">
        <f t="shared" si="416"/>
        <v>4.9345999999999997</v>
      </c>
      <c r="F4129" s="1323">
        <f t="shared" si="415"/>
        <v>4.446462356309774</v>
      </c>
      <c r="G4129" s="1323">
        <f t="shared" si="417"/>
        <v>1998</v>
      </c>
      <c r="H4129" s="1323">
        <f t="shared" si="418"/>
        <v>3</v>
      </c>
      <c r="I4129" s="1323">
        <f t="shared" si="419"/>
        <v>5</v>
      </c>
      <c r="J4129" s="1323"/>
      <c r="K4129" s="1323"/>
      <c r="L4129" s="1323"/>
      <c r="M4129" s="1323"/>
      <c r="N4129" s="1323"/>
      <c r="O4129" s="1323"/>
      <c r="P4129" s="1323"/>
      <c r="Q4129" s="1323"/>
      <c r="R4129" s="1304"/>
      <c r="S4129" s="1304"/>
      <c r="T4129" s="1304"/>
    </row>
    <row r="4130" spans="1:20">
      <c r="A4130" s="1303"/>
      <c r="B4130" s="1322" t="s">
        <v>10179</v>
      </c>
      <c r="C4130" s="1323" t="s">
        <v>10180</v>
      </c>
      <c r="D4130" s="1324">
        <f t="shared" si="414"/>
        <v>35858</v>
      </c>
      <c r="E4130" s="1323">
        <f t="shared" si="416"/>
        <v>4.9321999999999999</v>
      </c>
      <c r="F4130" s="1323">
        <f t="shared" si="415"/>
        <v>4.4456097736134641</v>
      </c>
      <c r="G4130" s="1323">
        <f t="shared" si="417"/>
        <v>1998</v>
      </c>
      <c r="H4130" s="1323">
        <f t="shared" si="418"/>
        <v>3</v>
      </c>
      <c r="I4130" s="1323">
        <f t="shared" si="419"/>
        <v>4</v>
      </c>
      <c r="J4130" s="1323"/>
      <c r="K4130" s="1323"/>
      <c r="L4130" s="1323"/>
      <c r="M4130" s="1323"/>
      <c r="N4130" s="1323"/>
      <c r="O4130" s="1323"/>
      <c r="P4130" s="1323"/>
      <c r="Q4130" s="1323"/>
      <c r="R4130" s="1304"/>
      <c r="S4130" s="1304"/>
      <c r="T4130" s="1304"/>
    </row>
    <row r="4131" spans="1:20">
      <c r="A4131" s="1303"/>
      <c r="B4131" s="1322" t="s">
        <v>10181</v>
      </c>
      <c r="C4131" s="1323" t="s">
        <v>10182</v>
      </c>
      <c r="D4131" s="1324">
        <f t="shared" si="414"/>
        <v>35857</v>
      </c>
      <c r="E4131" s="1323">
        <f t="shared" si="416"/>
        <v>4.9345999999999997</v>
      </c>
      <c r="F4131" s="1323">
        <f t="shared" si="415"/>
        <v>4.4447573543948131</v>
      </c>
      <c r="G4131" s="1323">
        <f t="shared" si="417"/>
        <v>1998</v>
      </c>
      <c r="H4131" s="1323">
        <f t="shared" si="418"/>
        <v>3</v>
      </c>
      <c r="I4131" s="1323">
        <f t="shared" si="419"/>
        <v>3</v>
      </c>
      <c r="J4131" s="1323"/>
      <c r="K4131" s="1323"/>
      <c r="L4131" s="1323"/>
      <c r="M4131" s="1323"/>
      <c r="N4131" s="1323"/>
      <c r="O4131" s="1323"/>
      <c r="P4131" s="1323"/>
      <c r="Q4131" s="1323"/>
      <c r="R4131" s="1304"/>
      <c r="S4131" s="1304"/>
      <c r="T4131" s="1304"/>
    </row>
    <row r="4132" spans="1:20">
      <c r="A4132" s="1303"/>
      <c r="B4132" s="1322" t="s">
        <v>10183</v>
      </c>
      <c r="C4132" s="1323" t="s">
        <v>10180</v>
      </c>
      <c r="D4132" s="1324">
        <f t="shared" si="414"/>
        <v>35856</v>
      </c>
      <c r="E4132" s="1323">
        <f t="shared" si="416"/>
        <v>4.9321999999999999</v>
      </c>
      <c r="F4132" s="1323">
        <f t="shared" si="415"/>
        <v>4.4439050986224746</v>
      </c>
      <c r="G4132" s="1323">
        <f t="shared" si="417"/>
        <v>1998</v>
      </c>
      <c r="H4132" s="1323">
        <f t="shared" si="418"/>
        <v>3</v>
      </c>
      <c r="I4132" s="1323">
        <f t="shared" si="419"/>
        <v>2</v>
      </c>
      <c r="J4132" s="1323"/>
      <c r="K4132" s="1323"/>
      <c r="L4132" s="1323"/>
      <c r="M4132" s="1323"/>
      <c r="N4132" s="1323"/>
      <c r="O4132" s="1323"/>
      <c r="P4132" s="1323"/>
      <c r="Q4132" s="1323"/>
      <c r="R4132" s="1304"/>
      <c r="S4132" s="1304"/>
      <c r="T4132" s="1304"/>
    </row>
    <row r="4133" spans="1:20">
      <c r="A4133" s="1303"/>
      <c r="B4133" s="1322" t="s">
        <v>10184</v>
      </c>
      <c r="C4133" s="1323" t="s">
        <v>10182</v>
      </c>
      <c r="D4133" s="1324">
        <f t="shared" si="414"/>
        <v>35853</v>
      </c>
      <c r="E4133" s="1323">
        <f t="shared" si="416"/>
        <v>4.9443999999999999</v>
      </c>
      <c r="F4133" s="1323">
        <f t="shared" si="415"/>
        <v>4.4430530062651084</v>
      </c>
      <c r="G4133" s="1323">
        <f t="shared" si="417"/>
        <v>1998</v>
      </c>
      <c r="H4133" s="1323">
        <f t="shared" si="418"/>
        <v>2</v>
      </c>
      <c r="I4133" s="1323">
        <f t="shared" si="419"/>
        <v>27</v>
      </c>
      <c r="J4133" s="1323"/>
      <c r="K4133" s="1323"/>
      <c r="L4133" s="1323"/>
      <c r="M4133" s="1323"/>
      <c r="N4133" s="1323"/>
      <c r="O4133" s="1323"/>
      <c r="P4133" s="1323"/>
      <c r="Q4133" s="1323"/>
      <c r="R4133" s="1304"/>
      <c r="S4133" s="1304"/>
      <c r="T4133" s="1304"/>
    </row>
    <row r="4134" spans="1:20">
      <c r="A4134" s="1303"/>
      <c r="B4134" s="1322" t="s">
        <v>10185</v>
      </c>
      <c r="C4134" s="1323" t="s">
        <v>10186</v>
      </c>
      <c r="D4134" s="1324">
        <f t="shared" si="414"/>
        <v>35852</v>
      </c>
      <c r="E4134" s="1323">
        <f t="shared" si="416"/>
        <v>4.9542000000000002</v>
      </c>
      <c r="F4134" s="1323">
        <f t="shared" si="415"/>
        <v>4.4422010772913811</v>
      </c>
      <c r="G4134" s="1323">
        <f t="shared" si="417"/>
        <v>1998</v>
      </c>
      <c r="H4134" s="1323">
        <f t="shared" si="418"/>
        <v>2</v>
      </c>
      <c r="I4134" s="1323">
        <f t="shared" si="419"/>
        <v>26</v>
      </c>
      <c r="J4134" s="1323"/>
      <c r="K4134" s="1323"/>
      <c r="L4134" s="1323"/>
      <c r="M4134" s="1323"/>
      <c r="N4134" s="1323"/>
      <c r="O4134" s="1323"/>
      <c r="P4134" s="1323"/>
      <c r="Q4134" s="1323"/>
      <c r="R4134" s="1304"/>
      <c r="S4134" s="1304"/>
      <c r="T4134" s="1304"/>
    </row>
    <row r="4135" spans="1:20">
      <c r="A4135" s="1303"/>
      <c r="B4135" s="1322" t="s">
        <v>10187</v>
      </c>
      <c r="C4135" s="1323" t="s">
        <v>10188</v>
      </c>
      <c r="D4135" s="1324">
        <f t="shared" si="414"/>
        <v>35851</v>
      </c>
      <c r="E4135" s="1323">
        <f t="shared" si="416"/>
        <v>4.9382999999999999</v>
      </c>
      <c r="F4135" s="1323">
        <f t="shared" si="415"/>
        <v>4.4413493116699652</v>
      </c>
      <c r="G4135" s="1323">
        <f t="shared" si="417"/>
        <v>1998</v>
      </c>
      <c r="H4135" s="1323">
        <f t="shared" si="418"/>
        <v>2</v>
      </c>
      <c r="I4135" s="1323">
        <f t="shared" si="419"/>
        <v>25</v>
      </c>
      <c r="J4135" s="1323"/>
      <c r="K4135" s="1323"/>
      <c r="L4135" s="1323"/>
      <c r="M4135" s="1323"/>
      <c r="N4135" s="1323"/>
      <c r="O4135" s="1323"/>
      <c r="P4135" s="1323"/>
      <c r="Q4135" s="1323"/>
      <c r="R4135" s="1304"/>
      <c r="S4135" s="1304"/>
      <c r="T4135" s="1304"/>
    </row>
    <row r="4136" spans="1:20">
      <c r="A4136" s="1303"/>
      <c r="B4136" s="1322" t="s">
        <v>10189</v>
      </c>
      <c r="C4136" s="1323" t="s">
        <v>10190</v>
      </c>
      <c r="D4136" s="1324">
        <f t="shared" si="414"/>
        <v>35850</v>
      </c>
      <c r="E4136" s="1323">
        <f t="shared" si="416"/>
        <v>4.9394999999999998</v>
      </c>
      <c r="F4136" s="1323">
        <f t="shared" si="415"/>
        <v>4.4404977093695379</v>
      </c>
      <c r="G4136" s="1323">
        <f t="shared" si="417"/>
        <v>1998</v>
      </c>
      <c r="H4136" s="1323">
        <f t="shared" si="418"/>
        <v>2</v>
      </c>
      <c r="I4136" s="1323">
        <f t="shared" si="419"/>
        <v>24</v>
      </c>
      <c r="J4136" s="1323"/>
      <c r="K4136" s="1323"/>
      <c r="L4136" s="1323"/>
      <c r="M4136" s="1323"/>
      <c r="N4136" s="1323"/>
      <c r="O4136" s="1323"/>
      <c r="P4136" s="1323"/>
      <c r="Q4136" s="1323"/>
      <c r="R4136" s="1304"/>
      <c r="S4136" s="1304"/>
      <c r="T4136" s="1304"/>
    </row>
    <row r="4137" spans="1:20">
      <c r="A4137" s="1303"/>
      <c r="B4137" s="1322" t="s">
        <v>10191</v>
      </c>
      <c r="C4137" s="1323" t="s">
        <v>10192</v>
      </c>
      <c r="D4137" s="1324">
        <f t="shared" si="414"/>
        <v>35849</v>
      </c>
      <c r="E4137" s="1323">
        <f t="shared" si="416"/>
        <v>4.9565999999999999</v>
      </c>
      <c r="F4137" s="1323">
        <f t="shared" si="415"/>
        <v>4.439646270358784</v>
      </c>
      <c r="G4137" s="1323">
        <f t="shared" si="417"/>
        <v>1998</v>
      </c>
      <c r="H4137" s="1323">
        <f t="shared" si="418"/>
        <v>2</v>
      </c>
      <c r="I4137" s="1323">
        <f t="shared" si="419"/>
        <v>23</v>
      </c>
      <c r="J4137" s="1323"/>
      <c r="K4137" s="1323"/>
      <c r="L4137" s="1323"/>
      <c r="M4137" s="1323"/>
      <c r="N4137" s="1323"/>
      <c r="O4137" s="1323"/>
      <c r="P4137" s="1323"/>
      <c r="Q4137" s="1323"/>
      <c r="R4137" s="1304"/>
      <c r="S4137" s="1304"/>
      <c r="T4137" s="1304"/>
    </row>
    <row r="4138" spans="1:20">
      <c r="A4138" s="1303"/>
      <c r="B4138" s="1322" t="s">
        <v>10193</v>
      </c>
      <c r="C4138" s="1323" t="s">
        <v>10194</v>
      </c>
      <c r="D4138" s="1324">
        <f t="shared" si="414"/>
        <v>35846</v>
      </c>
      <c r="E4138" s="1323">
        <f t="shared" si="416"/>
        <v>4.9419000000000004</v>
      </c>
      <c r="F4138" s="1323">
        <f t="shared" si="415"/>
        <v>4.4387949946063934</v>
      </c>
      <c r="G4138" s="1323">
        <f t="shared" si="417"/>
        <v>1998</v>
      </c>
      <c r="H4138" s="1323">
        <f t="shared" si="418"/>
        <v>2</v>
      </c>
      <c r="I4138" s="1323">
        <f t="shared" si="419"/>
        <v>20</v>
      </c>
      <c r="J4138" s="1323"/>
      <c r="K4138" s="1323"/>
      <c r="L4138" s="1323"/>
      <c r="M4138" s="1323"/>
      <c r="N4138" s="1323"/>
      <c r="O4138" s="1323"/>
      <c r="P4138" s="1323"/>
      <c r="Q4138" s="1323"/>
      <c r="R4138" s="1304"/>
      <c r="S4138" s="1304"/>
      <c r="T4138" s="1304"/>
    </row>
    <row r="4139" spans="1:20">
      <c r="A4139" s="1303"/>
      <c r="B4139" s="1322" t="s">
        <v>10195</v>
      </c>
      <c r="C4139" s="1323" t="s">
        <v>10196</v>
      </c>
      <c r="D4139" s="1324">
        <f t="shared" si="414"/>
        <v>35845</v>
      </c>
      <c r="E4139" s="1323">
        <f t="shared" si="416"/>
        <v>4.9467999999999996</v>
      </c>
      <c r="F4139" s="1323">
        <f t="shared" si="415"/>
        <v>4.4379438820810631</v>
      </c>
      <c r="G4139" s="1323">
        <f t="shared" si="417"/>
        <v>1998</v>
      </c>
      <c r="H4139" s="1323">
        <f t="shared" si="418"/>
        <v>2</v>
      </c>
      <c r="I4139" s="1323">
        <f t="shared" si="419"/>
        <v>19</v>
      </c>
      <c r="J4139" s="1323"/>
      <c r="K4139" s="1323"/>
      <c r="L4139" s="1323"/>
      <c r="M4139" s="1323"/>
      <c r="N4139" s="1323"/>
      <c r="O4139" s="1323"/>
      <c r="P4139" s="1323"/>
      <c r="Q4139" s="1323"/>
      <c r="R4139" s="1304"/>
      <c r="S4139" s="1304"/>
      <c r="T4139" s="1304"/>
    </row>
    <row r="4140" spans="1:20">
      <c r="A4140" s="1303"/>
      <c r="B4140" s="1322" t="s">
        <v>10197</v>
      </c>
      <c r="C4140" s="1323" t="s">
        <v>10198</v>
      </c>
      <c r="D4140" s="1324">
        <f t="shared" si="414"/>
        <v>35844</v>
      </c>
      <c r="E4140" s="1323">
        <f t="shared" si="416"/>
        <v>4.9455999999999998</v>
      </c>
      <c r="F4140" s="1323">
        <f t="shared" si="415"/>
        <v>4.4370929327514945</v>
      </c>
      <c r="G4140" s="1323">
        <f t="shared" si="417"/>
        <v>1998</v>
      </c>
      <c r="H4140" s="1323">
        <f t="shared" si="418"/>
        <v>2</v>
      </c>
      <c r="I4140" s="1323">
        <f t="shared" si="419"/>
        <v>18</v>
      </c>
      <c r="J4140" s="1323"/>
      <c r="K4140" s="1323"/>
      <c r="L4140" s="1323"/>
      <c r="M4140" s="1323"/>
      <c r="N4140" s="1323"/>
      <c r="O4140" s="1323"/>
      <c r="P4140" s="1323"/>
      <c r="Q4140" s="1323"/>
      <c r="R4140" s="1304"/>
      <c r="S4140" s="1304"/>
      <c r="T4140" s="1304"/>
    </row>
    <row r="4141" spans="1:20">
      <c r="A4141" s="1303"/>
      <c r="B4141" s="1322" t="s">
        <v>10199</v>
      </c>
      <c r="C4141" s="1323" t="s">
        <v>10200</v>
      </c>
      <c r="D4141" s="1324">
        <f t="shared" si="414"/>
        <v>35843</v>
      </c>
      <c r="E4141" s="1323">
        <f t="shared" si="416"/>
        <v>4.9358000000000004</v>
      </c>
      <c r="F4141" s="1323">
        <f t="shared" si="415"/>
        <v>4.4362421465863955</v>
      </c>
      <c r="G4141" s="1323">
        <f t="shared" si="417"/>
        <v>1998</v>
      </c>
      <c r="H4141" s="1323">
        <f t="shared" si="418"/>
        <v>2</v>
      </c>
      <c r="I4141" s="1323">
        <f t="shared" si="419"/>
        <v>17</v>
      </c>
      <c r="J4141" s="1323"/>
      <c r="K4141" s="1323"/>
      <c r="L4141" s="1323"/>
      <c r="M4141" s="1323"/>
      <c r="N4141" s="1323"/>
      <c r="O4141" s="1323"/>
      <c r="P4141" s="1323"/>
      <c r="Q4141" s="1323"/>
      <c r="R4141" s="1304"/>
      <c r="S4141" s="1304"/>
      <c r="T4141" s="1304"/>
    </row>
    <row r="4142" spans="1:20">
      <c r="A4142" s="1303"/>
      <c r="B4142" s="1322" t="s">
        <v>10201</v>
      </c>
      <c r="C4142" s="1323" t="s">
        <v>10202</v>
      </c>
      <c r="D4142" s="1324">
        <f t="shared" si="414"/>
        <v>35842</v>
      </c>
      <c r="E4142" s="1323">
        <f t="shared" si="416"/>
        <v>4.9394999999999998</v>
      </c>
      <c r="F4142" s="1323">
        <f t="shared" si="415"/>
        <v>4.4353915235544807</v>
      </c>
      <c r="G4142" s="1323">
        <f t="shared" si="417"/>
        <v>1998</v>
      </c>
      <c r="H4142" s="1323">
        <f t="shared" si="418"/>
        <v>2</v>
      </c>
      <c r="I4142" s="1323">
        <f t="shared" si="419"/>
        <v>16</v>
      </c>
      <c r="J4142" s="1323"/>
      <c r="K4142" s="1323"/>
      <c r="L4142" s="1323"/>
      <c r="M4142" s="1323"/>
      <c r="N4142" s="1323"/>
      <c r="O4142" s="1323"/>
      <c r="P4142" s="1323"/>
      <c r="Q4142" s="1323"/>
      <c r="R4142" s="1304"/>
      <c r="S4142" s="1304"/>
      <c r="T4142" s="1304"/>
    </row>
    <row r="4143" spans="1:20">
      <c r="A4143" s="1303"/>
      <c r="B4143" s="1322" t="s">
        <v>10203</v>
      </c>
      <c r="C4143" s="1323" t="s">
        <v>10192</v>
      </c>
      <c r="D4143" s="1324">
        <f t="shared" si="414"/>
        <v>35839</v>
      </c>
      <c r="E4143" s="1323">
        <f t="shared" si="416"/>
        <v>4.9394999999999998</v>
      </c>
      <c r="F4143" s="1323">
        <f t="shared" si="415"/>
        <v>4.4345410636244704</v>
      </c>
      <c r="G4143" s="1323">
        <f t="shared" si="417"/>
        <v>1998</v>
      </c>
      <c r="H4143" s="1323">
        <f t="shared" si="418"/>
        <v>2</v>
      </c>
      <c r="I4143" s="1323">
        <f t="shared" si="419"/>
        <v>13</v>
      </c>
      <c r="J4143" s="1323"/>
      <c r="K4143" s="1323"/>
      <c r="L4143" s="1323"/>
      <c r="M4143" s="1323"/>
      <c r="N4143" s="1323"/>
      <c r="O4143" s="1323"/>
      <c r="P4143" s="1323"/>
      <c r="Q4143" s="1323"/>
      <c r="R4143" s="1304"/>
      <c r="S4143" s="1304"/>
      <c r="T4143" s="1304"/>
    </row>
    <row r="4144" spans="1:20">
      <c r="A4144" s="1303"/>
      <c r="B4144" s="1322" t="s">
        <v>10204</v>
      </c>
      <c r="C4144" s="1323" t="s">
        <v>10192</v>
      </c>
      <c r="D4144" s="1324">
        <f t="shared" si="414"/>
        <v>35838</v>
      </c>
      <c r="E4144" s="1323">
        <f t="shared" si="416"/>
        <v>4.9333999999999998</v>
      </c>
      <c r="F4144" s="1323">
        <f t="shared" si="415"/>
        <v>4.4336907667650909</v>
      </c>
      <c r="G4144" s="1323">
        <f t="shared" si="417"/>
        <v>1998</v>
      </c>
      <c r="H4144" s="1323">
        <f t="shared" si="418"/>
        <v>2</v>
      </c>
      <c r="I4144" s="1323">
        <f t="shared" si="419"/>
        <v>12</v>
      </c>
      <c r="J4144" s="1323"/>
      <c r="K4144" s="1323"/>
      <c r="L4144" s="1323"/>
      <c r="M4144" s="1323"/>
      <c r="N4144" s="1323"/>
      <c r="O4144" s="1323"/>
      <c r="P4144" s="1323"/>
      <c r="Q4144" s="1323"/>
      <c r="R4144" s="1304"/>
      <c r="S4144" s="1304"/>
      <c r="T4144" s="1304"/>
    </row>
    <row r="4145" spans="1:20">
      <c r="A4145" s="1303"/>
      <c r="B4145" s="1322" t="s">
        <v>10205</v>
      </c>
      <c r="C4145" s="1323" t="s">
        <v>10206</v>
      </c>
      <c r="D4145" s="1324">
        <f t="shared" si="414"/>
        <v>35837</v>
      </c>
      <c r="E4145" s="1323">
        <f t="shared" si="416"/>
        <v>4.9249000000000001</v>
      </c>
      <c r="F4145" s="1323">
        <f t="shared" si="415"/>
        <v>4.4328406329450738</v>
      </c>
      <c r="G4145" s="1323">
        <f t="shared" si="417"/>
        <v>1998</v>
      </c>
      <c r="H4145" s="1323">
        <f t="shared" si="418"/>
        <v>2</v>
      </c>
      <c r="I4145" s="1323">
        <f t="shared" si="419"/>
        <v>11</v>
      </c>
      <c r="J4145" s="1323"/>
      <c r="K4145" s="1323"/>
      <c r="L4145" s="1323"/>
      <c r="M4145" s="1323"/>
      <c r="N4145" s="1323"/>
      <c r="O4145" s="1323"/>
      <c r="P4145" s="1323"/>
      <c r="Q4145" s="1323"/>
      <c r="R4145" s="1304"/>
      <c r="S4145" s="1304"/>
      <c r="T4145" s="1304"/>
    </row>
    <row r="4146" spans="1:20">
      <c r="A4146" s="1303"/>
      <c r="B4146" s="1322" t="s">
        <v>10207</v>
      </c>
      <c r="C4146" s="1323" t="s">
        <v>10208</v>
      </c>
      <c r="D4146" s="1324">
        <f t="shared" si="414"/>
        <v>35836</v>
      </c>
      <c r="E4146" s="1323">
        <f t="shared" si="416"/>
        <v>4.9272999999999998</v>
      </c>
      <c r="F4146" s="1323">
        <f t="shared" si="415"/>
        <v>4.431990662133158</v>
      </c>
      <c r="G4146" s="1323">
        <f t="shared" si="417"/>
        <v>1998</v>
      </c>
      <c r="H4146" s="1323">
        <f t="shared" si="418"/>
        <v>2</v>
      </c>
      <c r="I4146" s="1323">
        <f t="shared" si="419"/>
        <v>10</v>
      </c>
      <c r="J4146" s="1323"/>
      <c r="K4146" s="1323"/>
      <c r="L4146" s="1323"/>
      <c r="M4146" s="1323"/>
      <c r="N4146" s="1323"/>
      <c r="O4146" s="1323"/>
      <c r="P4146" s="1323"/>
      <c r="Q4146" s="1323"/>
      <c r="R4146" s="1304"/>
      <c r="S4146" s="1304"/>
      <c r="T4146" s="1304"/>
    </row>
    <row r="4147" spans="1:20">
      <c r="A4147" s="1303"/>
      <c r="B4147" s="1322" t="s">
        <v>10209</v>
      </c>
      <c r="C4147" s="1323" t="s">
        <v>10210</v>
      </c>
      <c r="D4147" s="1324">
        <f t="shared" si="414"/>
        <v>35835</v>
      </c>
      <c r="E4147" s="1323">
        <f t="shared" si="416"/>
        <v>4.9116</v>
      </c>
      <c r="F4147" s="1323">
        <f t="shared" si="415"/>
        <v>4.4311408542980866</v>
      </c>
      <c r="G4147" s="1323">
        <f t="shared" si="417"/>
        <v>1998</v>
      </c>
      <c r="H4147" s="1323">
        <f t="shared" si="418"/>
        <v>2</v>
      </c>
      <c r="I4147" s="1323">
        <f t="shared" si="419"/>
        <v>9</v>
      </c>
      <c r="J4147" s="1323"/>
      <c r="K4147" s="1323"/>
      <c r="L4147" s="1323"/>
      <c r="M4147" s="1323"/>
      <c r="N4147" s="1323"/>
      <c r="O4147" s="1323"/>
      <c r="P4147" s="1323"/>
      <c r="Q4147" s="1323"/>
      <c r="R4147" s="1304"/>
      <c r="S4147" s="1304"/>
      <c r="T4147" s="1304"/>
    </row>
    <row r="4148" spans="1:20">
      <c r="A4148" s="1303"/>
      <c r="B4148" s="1322" t="s">
        <v>10211</v>
      </c>
      <c r="C4148" s="1323" t="s">
        <v>10212</v>
      </c>
      <c r="D4148" s="1324">
        <f t="shared" si="414"/>
        <v>35832</v>
      </c>
      <c r="E4148" s="1323">
        <f t="shared" si="416"/>
        <v>4.9127999999999998</v>
      </c>
      <c r="F4148" s="1323">
        <f t="shared" si="415"/>
        <v>4.4302912094086109</v>
      </c>
      <c r="G4148" s="1323">
        <f t="shared" si="417"/>
        <v>1998</v>
      </c>
      <c r="H4148" s="1323">
        <f t="shared" si="418"/>
        <v>2</v>
      </c>
      <c r="I4148" s="1323">
        <f t="shared" si="419"/>
        <v>6</v>
      </c>
      <c r="J4148" s="1323"/>
      <c r="K4148" s="1323"/>
      <c r="L4148" s="1323"/>
      <c r="M4148" s="1323"/>
      <c r="N4148" s="1323"/>
      <c r="O4148" s="1323"/>
      <c r="P4148" s="1323"/>
      <c r="Q4148" s="1323"/>
      <c r="R4148" s="1304"/>
      <c r="S4148" s="1304"/>
      <c r="T4148" s="1304"/>
    </row>
    <row r="4149" spans="1:20">
      <c r="A4149" s="1303"/>
      <c r="B4149" s="1322" t="s">
        <v>10213</v>
      </c>
      <c r="C4149" s="1323" t="s">
        <v>10214</v>
      </c>
      <c r="D4149" s="1324">
        <f t="shared" si="414"/>
        <v>35831</v>
      </c>
      <c r="E4149" s="1323">
        <f t="shared" si="416"/>
        <v>4.9188000000000001</v>
      </c>
      <c r="F4149" s="1323">
        <f t="shared" si="415"/>
        <v>4.4294417274334865</v>
      </c>
      <c r="G4149" s="1323">
        <f t="shared" si="417"/>
        <v>1998</v>
      </c>
      <c r="H4149" s="1323">
        <f t="shared" si="418"/>
        <v>2</v>
      </c>
      <c r="I4149" s="1323">
        <f t="shared" si="419"/>
        <v>5</v>
      </c>
      <c r="J4149" s="1323"/>
      <c r="K4149" s="1323"/>
      <c r="L4149" s="1323"/>
      <c r="M4149" s="1323"/>
      <c r="N4149" s="1323"/>
      <c r="O4149" s="1323"/>
      <c r="P4149" s="1323"/>
      <c r="Q4149" s="1323"/>
      <c r="R4149" s="1304"/>
      <c r="S4149" s="1304"/>
      <c r="T4149" s="1304"/>
    </row>
    <row r="4150" spans="1:20">
      <c r="A4150" s="1303"/>
      <c r="B4150" s="1322" t="s">
        <v>10215</v>
      </c>
      <c r="C4150" s="1323" t="s">
        <v>10216</v>
      </c>
      <c r="D4150" s="1324">
        <f t="shared" si="414"/>
        <v>35830</v>
      </c>
      <c r="E4150" s="1323">
        <f t="shared" si="416"/>
        <v>4.9394999999999998</v>
      </c>
      <c r="F4150" s="1323">
        <f t="shared" si="415"/>
        <v>4.4285924083414754</v>
      </c>
      <c r="G4150" s="1323">
        <f t="shared" si="417"/>
        <v>1998</v>
      </c>
      <c r="H4150" s="1323">
        <f t="shared" si="418"/>
        <v>2</v>
      </c>
      <c r="I4150" s="1323">
        <f t="shared" si="419"/>
        <v>4</v>
      </c>
      <c r="J4150" s="1323"/>
      <c r="K4150" s="1323"/>
      <c r="L4150" s="1323"/>
      <c r="M4150" s="1323"/>
      <c r="N4150" s="1323"/>
      <c r="O4150" s="1323"/>
      <c r="P4150" s="1323"/>
      <c r="Q4150" s="1323"/>
      <c r="R4150" s="1304"/>
      <c r="S4150" s="1304"/>
      <c r="T4150" s="1304"/>
    </row>
    <row r="4151" spans="1:20">
      <c r="A4151" s="1303"/>
      <c r="B4151" s="1322" t="s">
        <v>10217</v>
      </c>
      <c r="C4151" s="1323" t="s">
        <v>10192</v>
      </c>
      <c r="D4151" s="1324">
        <f t="shared" si="414"/>
        <v>35829</v>
      </c>
      <c r="E4151" s="1323">
        <f t="shared" si="416"/>
        <v>4.9260999999999999</v>
      </c>
      <c r="F4151" s="1323">
        <f t="shared" si="415"/>
        <v>4.4277432521013464</v>
      </c>
      <c r="G4151" s="1323">
        <f t="shared" si="417"/>
        <v>1998</v>
      </c>
      <c r="H4151" s="1323">
        <f t="shared" si="418"/>
        <v>2</v>
      </c>
      <c r="I4151" s="1323">
        <f t="shared" si="419"/>
        <v>3</v>
      </c>
      <c r="J4151" s="1323"/>
      <c r="K4151" s="1323"/>
      <c r="L4151" s="1323"/>
      <c r="M4151" s="1323"/>
      <c r="N4151" s="1323"/>
      <c r="O4151" s="1323"/>
      <c r="P4151" s="1323"/>
      <c r="Q4151" s="1323"/>
      <c r="R4151" s="1304"/>
      <c r="S4151" s="1304"/>
      <c r="T4151" s="1304"/>
    </row>
    <row r="4152" spans="1:20">
      <c r="A4152" s="1303"/>
      <c r="B4152" s="1322" t="s">
        <v>10218</v>
      </c>
      <c r="C4152" s="1323" t="s">
        <v>10219</v>
      </c>
      <c r="D4152" s="1324">
        <f t="shared" si="414"/>
        <v>35828</v>
      </c>
      <c r="E4152" s="1323">
        <f t="shared" si="416"/>
        <v>4.9371</v>
      </c>
      <c r="F4152" s="1323">
        <f t="shared" si="415"/>
        <v>4.4268942586818731</v>
      </c>
      <c r="G4152" s="1323">
        <f t="shared" si="417"/>
        <v>1998</v>
      </c>
      <c r="H4152" s="1323">
        <f t="shared" si="418"/>
        <v>2</v>
      </c>
      <c r="I4152" s="1323">
        <f t="shared" si="419"/>
        <v>2</v>
      </c>
      <c r="J4152" s="1323"/>
      <c r="K4152" s="1323"/>
      <c r="L4152" s="1323"/>
      <c r="M4152" s="1323"/>
      <c r="N4152" s="1323"/>
      <c r="O4152" s="1323"/>
      <c r="P4152" s="1323"/>
      <c r="Q4152" s="1323"/>
      <c r="R4152" s="1304"/>
      <c r="S4152" s="1304"/>
      <c r="T4152" s="1304"/>
    </row>
    <row r="4153" spans="1:20">
      <c r="A4153" s="1303"/>
      <c r="B4153" s="1322" t="s">
        <v>10220</v>
      </c>
      <c r="C4153" s="1323" t="s">
        <v>10221</v>
      </c>
      <c r="D4153" s="1324">
        <f t="shared" si="414"/>
        <v>35825</v>
      </c>
      <c r="E4153" s="1323">
        <f t="shared" si="416"/>
        <v>4.9371</v>
      </c>
      <c r="F4153" s="1323">
        <f t="shared" si="415"/>
        <v>4.426045428051836</v>
      </c>
      <c r="G4153" s="1323">
        <f t="shared" si="417"/>
        <v>1998</v>
      </c>
      <c r="H4153" s="1323">
        <f t="shared" si="418"/>
        <v>1</v>
      </c>
      <c r="I4153" s="1323">
        <f t="shared" si="419"/>
        <v>30</v>
      </c>
      <c r="J4153" s="1323"/>
      <c r="K4153" s="1323"/>
      <c r="L4153" s="1323"/>
      <c r="M4153" s="1323"/>
      <c r="N4153" s="1323"/>
      <c r="O4153" s="1323"/>
      <c r="P4153" s="1323"/>
      <c r="Q4153" s="1323"/>
      <c r="R4153" s="1304"/>
      <c r="S4153" s="1304"/>
      <c r="T4153" s="1304"/>
    </row>
    <row r="4154" spans="1:20">
      <c r="A4154" s="1303"/>
      <c r="B4154" s="1322" t="s">
        <v>10222</v>
      </c>
      <c r="C4154" s="1323" t="s">
        <v>10221</v>
      </c>
      <c r="D4154" s="1324">
        <f t="shared" si="414"/>
        <v>35824</v>
      </c>
      <c r="E4154" s="1323">
        <f t="shared" si="416"/>
        <v>4.92</v>
      </c>
      <c r="F4154" s="1323">
        <f t="shared" si="415"/>
        <v>4.4251967601800208</v>
      </c>
      <c r="G4154" s="1323">
        <f t="shared" si="417"/>
        <v>1998</v>
      </c>
      <c r="H4154" s="1323">
        <f t="shared" si="418"/>
        <v>1</v>
      </c>
      <c r="I4154" s="1323">
        <f t="shared" si="419"/>
        <v>29</v>
      </c>
      <c r="J4154" s="1323"/>
      <c r="K4154" s="1323"/>
      <c r="L4154" s="1323"/>
      <c r="M4154" s="1323"/>
      <c r="N4154" s="1323"/>
      <c r="O4154" s="1323"/>
      <c r="P4154" s="1323"/>
      <c r="Q4154" s="1323"/>
      <c r="R4154" s="1304"/>
      <c r="S4154" s="1304"/>
      <c r="T4154" s="1304"/>
    </row>
    <row r="4155" spans="1:20">
      <c r="A4155" s="1303"/>
      <c r="B4155" s="1322" t="s">
        <v>10223</v>
      </c>
      <c r="C4155" s="1323" t="s">
        <v>10224</v>
      </c>
      <c r="D4155" s="1324">
        <f t="shared" si="414"/>
        <v>35823</v>
      </c>
      <c r="E4155" s="1323">
        <f t="shared" si="416"/>
        <v>4.9176000000000002</v>
      </c>
      <c r="F4155" s="1323">
        <f t="shared" si="415"/>
        <v>4.4243482550352198</v>
      </c>
      <c r="G4155" s="1323">
        <f t="shared" si="417"/>
        <v>1998</v>
      </c>
      <c r="H4155" s="1323">
        <f t="shared" si="418"/>
        <v>1</v>
      </c>
      <c r="I4155" s="1323">
        <f t="shared" si="419"/>
        <v>28</v>
      </c>
      <c r="J4155" s="1323"/>
      <c r="K4155" s="1323"/>
      <c r="L4155" s="1323"/>
      <c r="M4155" s="1323"/>
      <c r="N4155" s="1323"/>
      <c r="O4155" s="1323"/>
      <c r="P4155" s="1323"/>
      <c r="Q4155" s="1323"/>
      <c r="R4155" s="1304"/>
      <c r="S4155" s="1304"/>
      <c r="T4155" s="1304"/>
    </row>
    <row r="4156" spans="1:20">
      <c r="A4156" s="1303"/>
      <c r="B4156" s="1322" t="s">
        <v>10225</v>
      </c>
      <c r="C4156" s="1323" t="s">
        <v>10226</v>
      </c>
      <c r="D4156" s="1324">
        <f t="shared" si="414"/>
        <v>35822</v>
      </c>
      <c r="E4156" s="1323">
        <f t="shared" si="416"/>
        <v>4.9055999999999997</v>
      </c>
      <c r="F4156" s="1323">
        <f t="shared" si="415"/>
        <v>4.4234999125862302</v>
      </c>
      <c r="G4156" s="1323">
        <f t="shared" si="417"/>
        <v>1998</v>
      </c>
      <c r="H4156" s="1323">
        <f t="shared" si="418"/>
        <v>1</v>
      </c>
      <c r="I4156" s="1323">
        <f t="shared" si="419"/>
        <v>27</v>
      </c>
      <c r="J4156" s="1323"/>
      <c r="K4156" s="1323"/>
      <c r="L4156" s="1323"/>
      <c r="M4156" s="1323"/>
      <c r="N4156" s="1323"/>
      <c r="O4156" s="1323"/>
      <c r="P4156" s="1323"/>
      <c r="Q4156" s="1323"/>
      <c r="R4156" s="1304"/>
      <c r="S4156" s="1304"/>
      <c r="T4156" s="1304"/>
    </row>
    <row r="4157" spans="1:20">
      <c r="A4157" s="1303"/>
      <c r="B4157" s="1322" t="s">
        <v>10227</v>
      </c>
      <c r="C4157" s="1323" t="s">
        <v>10228</v>
      </c>
      <c r="D4157" s="1324">
        <f t="shared" si="414"/>
        <v>35821</v>
      </c>
      <c r="E4157" s="1323">
        <f t="shared" si="416"/>
        <v>4.8959999999999999</v>
      </c>
      <c r="F4157" s="1323">
        <f t="shared" si="415"/>
        <v>4.4226517328018575</v>
      </c>
      <c r="G4157" s="1323">
        <f t="shared" si="417"/>
        <v>1998</v>
      </c>
      <c r="H4157" s="1323">
        <f t="shared" si="418"/>
        <v>1</v>
      </c>
      <c r="I4157" s="1323">
        <f t="shared" si="419"/>
        <v>26</v>
      </c>
      <c r="J4157" s="1323"/>
      <c r="K4157" s="1323"/>
      <c r="L4157" s="1323"/>
      <c r="M4157" s="1323"/>
      <c r="N4157" s="1323"/>
      <c r="O4157" s="1323"/>
      <c r="P4157" s="1323"/>
      <c r="Q4157" s="1323"/>
      <c r="R4157" s="1304"/>
      <c r="S4157" s="1304"/>
      <c r="T4157" s="1304"/>
    </row>
    <row r="4158" spans="1:20">
      <c r="A4158" s="1303"/>
      <c r="B4158" s="1322" t="s">
        <v>10229</v>
      </c>
      <c r="C4158" s="1323" t="s">
        <v>10230</v>
      </c>
      <c r="D4158" s="1324">
        <f t="shared" si="414"/>
        <v>35818</v>
      </c>
      <c r="E4158" s="1323">
        <f t="shared" si="416"/>
        <v>4.9272999999999998</v>
      </c>
      <c r="F4158" s="1323">
        <f t="shared" si="415"/>
        <v>4.4218037156509107</v>
      </c>
      <c r="G4158" s="1323">
        <f t="shared" si="417"/>
        <v>1998</v>
      </c>
      <c r="H4158" s="1323">
        <f t="shared" si="418"/>
        <v>1</v>
      </c>
      <c r="I4158" s="1323">
        <f t="shared" si="419"/>
        <v>23</v>
      </c>
      <c r="J4158" s="1323"/>
      <c r="K4158" s="1323"/>
      <c r="L4158" s="1323"/>
      <c r="M4158" s="1323"/>
      <c r="N4158" s="1323"/>
      <c r="O4158" s="1323"/>
      <c r="P4158" s="1323"/>
      <c r="Q4158" s="1323"/>
      <c r="R4158" s="1304"/>
      <c r="S4158" s="1304"/>
      <c r="T4158" s="1304"/>
    </row>
    <row r="4159" spans="1:20">
      <c r="A4159" s="1303"/>
      <c r="B4159" s="1322" t="s">
        <v>10231</v>
      </c>
      <c r="C4159" s="1323" t="s">
        <v>10210</v>
      </c>
      <c r="D4159" s="1324">
        <f t="shared" si="414"/>
        <v>35817</v>
      </c>
      <c r="E4159" s="1323">
        <f t="shared" si="416"/>
        <v>4.9542000000000002</v>
      </c>
      <c r="F4159" s="1323">
        <f t="shared" si="415"/>
        <v>4.4209558611022057</v>
      </c>
      <c r="G4159" s="1323">
        <f t="shared" si="417"/>
        <v>1998</v>
      </c>
      <c r="H4159" s="1323">
        <f t="shared" si="418"/>
        <v>1</v>
      </c>
      <c r="I4159" s="1323">
        <f t="shared" si="419"/>
        <v>22</v>
      </c>
      <c r="J4159" s="1323"/>
      <c r="K4159" s="1323"/>
      <c r="L4159" s="1323"/>
      <c r="M4159" s="1323"/>
      <c r="N4159" s="1323"/>
      <c r="O4159" s="1323"/>
      <c r="P4159" s="1323"/>
      <c r="Q4159" s="1323"/>
      <c r="R4159" s="1304"/>
      <c r="S4159" s="1304"/>
      <c r="T4159" s="1304"/>
    </row>
    <row r="4160" spans="1:20">
      <c r="A4160" s="1303"/>
      <c r="B4160" s="1322" t="s">
        <v>10232</v>
      </c>
      <c r="C4160" s="1323" t="s">
        <v>10188</v>
      </c>
      <c r="D4160" s="1324">
        <f t="shared" si="414"/>
        <v>35816</v>
      </c>
      <c r="E4160" s="1323">
        <f t="shared" si="416"/>
        <v>4.9664999999999999</v>
      </c>
      <c r="F4160" s="1323">
        <f t="shared" si="415"/>
        <v>4.4201081691245649</v>
      </c>
      <c r="G4160" s="1323">
        <f t="shared" si="417"/>
        <v>1998</v>
      </c>
      <c r="H4160" s="1323">
        <f t="shared" si="418"/>
        <v>1</v>
      </c>
      <c r="I4160" s="1323">
        <f t="shared" si="419"/>
        <v>21</v>
      </c>
      <c r="J4160" s="1323"/>
      <c r="K4160" s="1323"/>
      <c r="L4160" s="1323"/>
      <c r="M4160" s="1323"/>
      <c r="N4160" s="1323"/>
      <c r="O4160" s="1323"/>
      <c r="P4160" s="1323"/>
      <c r="Q4160" s="1323"/>
      <c r="R4160" s="1304"/>
      <c r="S4160" s="1304"/>
      <c r="T4160" s="1304"/>
    </row>
    <row r="4161" spans="1:20">
      <c r="A4161" s="1303"/>
      <c r="B4161" s="1322" t="s">
        <v>10233</v>
      </c>
      <c r="C4161" s="1323" t="s">
        <v>10234</v>
      </c>
      <c r="D4161" s="1324">
        <f t="shared" si="414"/>
        <v>35815</v>
      </c>
      <c r="E4161" s="1323">
        <f t="shared" si="416"/>
        <v>4.9863</v>
      </c>
      <c r="F4161" s="1323">
        <f t="shared" si="415"/>
        <v>4.4192606396868168</v>
      </c>
      <c r="G4161" s="1323">
        <f t="shared" si="417"/>
        <v>1998</v>
      </c>
      <c r="H4161" s="1323">
        <f t="shared" si="418"/>
        <v>1</v>
      </c>
      <c r="I4161" s="1323">
        <f t="shared" si="419"/>
        <v>20</v>
      </c>
      <c r="J4161" s="1323"/>
      <c r="K4161" s="1323"/>
      <c r="L4161" s="1323"/>
      <c r="M4161" s="1323"/>
      <c r="N4161" s="1323"/>
      <c r="O4161" s="1323"/>
      <c r="P4161" s="1323"/>
      <c r="Q4161" s="1323"/>
      <c r="R4161" s="1304"/>
      <c r="S4161" s="1304"/>
      <c r="T4161" s="1304"/>
    </row>
    <row r="4162" spans="1:20">
      <c r="A4162" s="1303"/>
      <c r="B4162" s="1322" t="s">
        <v>10235</v>
      </c>
      <c r="C4162" s="1323" t="s">
        <v>10236</v>
      </c>
      <c r="D4162" s="1324">
        <f t="shared" si="414"/>
        <v>35814</v>
      </c>
      <c r="E4162" s="1323">
        <f t="shared" si="416"/>
        <v>4.9739000000000004</v>
      </c>
      <c r="F4162" s="1323">
        <f t="shared" si="415"/>
        <v>4.4184132727577943</v>
      </c>
      <c r="G4162" s="1323">
        <f t="shared" si="417"/>
        <v>1998</v>
      </c>
      <c r="H4162" s="1323">
        <f t="shared" si="418"/>
        <v>1</v>
      </c>
      <c r="I4162" s="1323">
        <f t="shared" si="419"/>
        <v>19</v>
      </c>
      <c r="J4162" s="1323"/>
      <c r="K4162" s="1323"/>
      <c r="L4162" s="1323"/>
      <c r="M4162" s="1323"/>
      <c r="N4162" s="1323"/>
      <c r="O4162" s="1323"/>
      <c r="P4162" s="1323"/>
      <c r="Q4162" s="1323"/>
      <c r="R4162" s="1304"/>
      <c r="S4162" s="1304"/>
      <c r="T4162" s="1304"/>
    </row>
    <row r="4163" spans="1:20">
      <c r="A4163" s="1303"/>
      <c r="B4163" s="1322" t="s">
        <v>10237</v>
      </c>
      <c r="C4163" s="1323" t="s">
        <v>10153</v>
      </c>
      <c r="D4163" s="1324">
        <f t="shared" si="414"/>
        <v>35811</v>
      </c>
      <c r="E4163" s="1323">
        <f t="shared" si="416"/>
        <v>4.9813000000000001</v>
      </c>
      <c r="F4163" s="1323">
        <f t="shared" si="415"/>
        <v>4.4175660683063382</v>
      </c>
      <c r="G4163" s="1323">
        <f t="shared" si="417"/>
        <v>1998</v>
      </c>
      <c r="H4163" s="1323">
        <f t="shared" si="418"/>
        <v>1</v>
      </c>
      <c r="I4163" s="1323">
        <f t="shared" si="419"/>
        <v>16</v>
      </c>
      <c r="J4163" s="1323"/>
      <c r="K4163" s="1323"/>
      <c r="L4163" s="1323"/>
      <c r="M4163" s="1323"/>
      <c r="N4163" s="1323"/>
      <c r="O4163" s="1323"/>
      <c r="P4163" s="1323"/>
      <c r="Q4163" s="1323"/>
      <c r="R4163" s="1304"/>
      <c r="S4163" s="1304"/>
      <c r="T4163" s="1304"/>
    </row>
    <row r="4164" spans="1:20">
      <c r="A4164" s="1303"/>
      <c r="B4164" s="1322" t="s">
        <v>10238</v>
      </c>
      <c r="C4164" s="1323" t="s">
        <v>10151</v>
      </c>
      <c r="D4164" s="1324">
        <f t="shared" si="414"/>
        <v>35810</v>
      </c>
      <c r="E4164" s="1323">
        <f t="shared" si="416"/>
        <v>4.9591000000000003</v>
      </c>
      <c r="F4164" s="1323">
        <f t="shared" si="415"/>
        <v>4.4167190263012941</v>
      </c>
      <c r="G4164" s="1323">
        <f t="shared" si="417"/>
        <v>1998</v>
      </c>
      <c r="H4164" s="1323">
        <f t="shared" si="418"/>
        <v>1</v>
      </c>
      <c r="I4164" s="1323">
        <f t="shared" si="419"/>
        <v>15</v>
      </c>
      <c r="J4164" s="1323"/>
      <c r="K4164" s="1323"/>
      <c r="L4164" s="1323"/>
      <c r="M4164" s="1323"/>
      <c r="N4164" s="1323"/>
      <c r="O4164" s="1323"/>
      <c r="P4164" s="1323"/>
      <c r="Q4164" s="1323"/>
      <c r="R4164" s="1304"/>
      <c r="S4164" s="1304"/>
      <c r="T4164" s="1304"/>
    </row>
    <row r="4165" spans="1:20">
      <c r="A4165" s="1303"/>
      <c r="B4165" s="1322" t="s">
        <v>10239</v>
      </c>
      <c r="C4165" s="1323" t="s">
        <v>10240</v>
      </c>
      <c r="D4165" s="1324">
        <f t="shared" si="414"/>
        <v>35809</v>
      </c>
      <c r="E4165" s="1323">
        <f t="shared" si="416"/>
        <v>4.9443999999999999</v>
      </c>
      <c r="F4165" s="1323">
        <f t="shared" si="415"/>
        <v>4.4158721467115134</v>
      </c>
      <c r="G4165" s="1323">
        <f t="shared" si="417"/>
        <v>1998</v>
      </c>
      <c r="H4165" s="1323">
        <f t="shared" si="418"/>
        <v>1</v>
      </c>
      <c r="I4165" s="1323">
        <f t="shared" si="419"/>
        <v>14</v>
      </c>
      <c r="J4165" s="1323"/>
      <c r="K4165" s="1323"/>
      <c r="L4165" s="1323"/>
      <c r="M4165" s="1323"/>
      <c r="N4165" s="1323"/>
      <c r="O4165" s="1323"/>
      <c r="P4165" s="1323"/>
      <c r="Q4165" s="1323"/>
      <c r="R4165" s="1304"/>
      <c r="S4165" s="1304"/>
      <c r="T4165" s="1304"/>
    </row>
    <row r="4166" spans="1:20">
      <c r="A4166" s="1303"/>
      <c r="B4166" s="1322" t="s">
        <v>10241</v>
      </c>
      <c r="C4166" s="1323" t="s">
        <v>10186</v>
      </c>
      <c r="D4166" s="1324">
        <f t="shared" si="414"/>
        <v>35808</v>
      </c>
      <c r="E4166" s="1323">
        <f t="shared" si="416"/>
        <v>4.9688999999999997</v>
      </c>
      <c r="F4166" s="1323">
        <f t="shared" si="415"/>
        <v>4.4150254295058549</v>
      </c>
      <c r="G4166" s="1323">
        <f t="shared" si="417"/>
        <v>1998</v>
      </c>
      <c r="H4166" s="1323">
        <f t="shared" si="418"/>
        <v>1</v>
      </c>
      <c r="I4166" s="1323">
        <f t="shared" si="419"/>
        <v>13</v>
      </c>
      <c r="J4166" s="1323"/>
      <c r="K4166" s="1323"/>
      <c r="L4166" s="1323"/>
      <c r="M4166" s="1323"/>
      <c r="N4166" s="1323"/>
      <c r="O4166" s="1323"/>
      <c r="P4166" s="1323"/>
      <c r="Q4166" s="1323"/>
      <c r="R4166" s="1304"/>
      <c r="S4166" s="1304"/>
      <c r="T4166" s="1304"/>
    </row>
    <row r="4167" spans="1:20">
      <c r="A4167" s="1303"/>
      <c r="B4167" s="1322" t="s">
        <v>10242</v>
      </c>
      <c r="C4167" s="1323" t="s">
        <v>10168</v>
      </c>
      <c r="D4167" s="1324">
        <f t="shared" si="414"/>
        <v>35807</v>
      </c>
      <c r="E4167" s="1323">
        <f t="shared" si="416"/>
        <v>4.9751000000000003</v>
      </c>
      <c r="F4167" s="1323">
        <f t="shared" si="415"/>
        <v>4.4141788746531816</v>
      </c>
      <c r="G4167" s="1323">
        <f t="shared" si="417"/>
        <v>1998</v>
      </c>
      <c r="H4167" s="1323">
        <f t="shared" si="418"/>
        <v>1</v>
      </c>
      <c r="I4167" s="1323">
        <f t="shared" si="419"/>
        <v>12</v>
      </c>
      <c r="J4167" s="1323"/>
      <c r="K4167" s="1323"/>
      <c r="L4167" s="1323"/>
      <c r="M4167" s="1323"/>
      <c r="N4167" s="1323"/>
      <c r="O4167" s="1323"/>
      <c r="P4167" s="1323"/>
      <c r="Q4167" s="1323"/>
      <c r="R4167" s="1304"/>
      <c r="S4167" s="1304"/>
      <c r="T4167" s="1304"/>
    </row>
    <row r="4168" spans="1:20">
      <c r="A4168" s="1303"/>
      <c r="B4168" s="1322" t="s">
        <v>10243</v>
      </c>
      <c r="C4168" s="1323" t="s">
        <v>10156</v>
      </c>
      <c r="D4168" s="1324">
        <f t="shared" si="414"/>
        <v>35804</v>
      </c>
      <c r="E4168" s="1323">
        <f t="shared" si="416"/>
        <v>4.9272999999999998</v>
      </c>
      <c r="F4168" s="1323">
        <f t="shared" si="415"/>
        <v>4.4133324821223638</v>
      </c>
      <c r="G4168" s="1323">
        <f t="shared" si="417"/>
        <v>1998</v>
      </c>
      <c r="H4168" s="1323">
        <f t="shared" si="418"/>
        <v>1</v>
      </c>
      <c r="I4168" s="1323">
        <f t="shared" si="419"/>
        <v>9</v>
      </c>
      <c r="J4168" s="1323"/>
      <c r="K4168" s="1323"/>
      <c r="L4168" s="1323"/>
      <c r="M4168" s="1323"/>
      <c r="N4168" s="1323"/>
      <c r="O4168" s="1323"/>
      <c r="P4168" s="1323"/>
      <c r="Q4168" s="1323"/>
      <c r="R4168" s="1304"/>
      <c r="S4168" s="1304"/>
      <c r="T4168" s="1304"/>
    </row>
    <row r="4169" spans="1:20">
      <c r="A4169" s="1303"/>
      <c r="B4169" s="1322" t="s">
        <v>10244</v>
      </c>
      <c r="C4169" s="1323" t="s">
        <v>10210</v>
      </c>
      <c r="D4169" s="1324">
        <f t="shared" ref="D4169:D4232" si="420">DATE(G4169,H4169,I4169)</f>
        <v>35803</v>
      </c>
      <c r="E4169" s="1323">
        <f t="shared" si="416"/>
        <v>4.9419000000000004</v>
      </c>
      <c r="F4169" s="1323">
        <f t="shared" ref="F4169:F4232" si="421">F4170*(1+$F$7/365)</f>
        <v>4.4124862518822763</v>
      </c>
      <c r="G4169" s="1323">
        <f t="shared" si="417"/>
        <v>1998</v>
      </c>
      <c r="H4169" s="1323">
        <f t="shared" si="418"/>
        <v>1</v>
      </c>
      <c r="I4169" s="1323">
        <f t="shared" si="419"/>
        <v>8</v>
      </c>
      <c r="J4169" s="1323"/>
      <c r="K4169" s="1323"/>
      <c r="L4169" s="1323"/>
      <c r="M4169" s="1323"/>
      <c r="N4169" s="1323"/>
      <c r="O4169" s="1323"/>
      <c r="P4169" s="1323"/>
      <c r="Q4169" s="1323"/>
      <c r="R4169" s="1304"/>
      <c r="S4169" s="1304"/>
      <c r="T4169" s="1304"/>
    </row>
    <row r="4170" spans="1:20">
      <c r="A4170" s="1303"/>
      <c r="B4170" s="1322" t="s">
        <v>10245</v>
      </c>
      <c r="C4170" s="1323" t="s">
        <v>10196</v>
      </c>
      <c r="D4170" s="1324">
        <f t="shared" si="420"/>
        <v>35802</v>
      </c>
      <c r="E4170" s="1323">
        <f t="shared" si="416"/>
        <v>4.9467999999999996</v>
      </c>
      <c r="F4170" s="1323">
        <f t="shared" si="421"/>
        <v>4.4116401839018016</v>
      </c>
      <c r="G4170" s="1323">
        <f t="shared" si="417"/>
        <v>1998</v>
      </c>
      <c r="H4170" s="1323">
        <f t="shared" si="418"/>
        <v>1</v>
      </c>
      <c r="I4170" s="1323">
        <f t="shared" si="419"/>
        <v>7</v>
      </c>
      <c r="J4170" s="1323"/>
      <c r="K4170" s="1323"/>
      <c r="L4170" s="1323"/>
      <c r="M4170" s="1323"/>
      <c r="N4170" s="1323"/>
      <c r="O4170" s="1323"/>
      <c r="P4170" s="1323"/>
      <c r="Q4170" s="1323"/>
      <c r="R4170" s="1304"/>
      <c r="S4170" s="1304"/>
      <c r="T4170" s="1304"/>
    </row>
    <row r="4171" spans="1:20">
      <c r="A4171" s="1303"/>
      <c r="B4171" s="1322" t="s">
        <v>10246</v>
      </c>
      <c r="C4171" s="1323" t="s">
        <v>10198</v>
      </c>
      <c r="D4171" s="1324">
        <f t="shared" si="420"/>
        <v>35801</v>
      </c>
      <c r="E4171" s="1323">
        <f t="shared" si="416"/>
        <v>4.9394999999999998</v>
      </c>
      <c r="F4171" s="1323">
        <f t="shared" si="421"/>
        <v>4.4107942781498277</v>
      </c>
      <c r="G4171" s="1323">
        <f t="shared" si="417"/>
        <v>1998</v>
      </c>
      <c r="H4171" s="1323">
        <f t="shared" si="418"/>
        <v>1</v>
      </c>
      <c r="I4171" s="1323">
        <f t="shared" si="419"/>
        <v>6</v>
      </c>
      <c r="J4171" s="1323"/>
      <c r="K4171" s="1323"/>
      <c r="L4171" s="1323"/>
      <c r="M4171" s="1323"/>
      <c r="N4171" s="1323"/>
      <c r="O4171" s="1323"/>
      <c r="P4171" s="1323"/>
      <c r="Q4171" s="1323"/>
      <c r="R4171" s="1304"/>
      <c r="S4171" s="1304"/>
      <c r="T4171" s="1304"/>
    </row>
    <row r="4172" spans="1:20">
      <c r="A4172" s="1303"/>
      <c r="B4172" s="1322" t="s">
        <v>10247</v>
      </c>
      <c r="C4172" s="1323" t="s">
        <v>10192</v>
      </c>
      <c r="D4172" s="1324">
        <f t="shared" si="420"/>
        <v>35800</v>
      </c>
      <c r="E4172" s="1323">
        <f t="shared" si="416"/>
        <v>4.8840000000000003</v>
      </c>
      <c r="F4172" s="1323">
        <f t="shared" si="421"/>
        <v>4.409948534595248</v>
      </c>
      <c r="G4172" s="1323">
        <f t="shared" si="417"/>
        <v>1998</v>
      </c>
      <c r="H4172" s="1323">
        <f t="shared" si="418"/>
        <v>1</v>
      </c>
      <c r="I4172" s="1323">
        <f t="shared" si="419"/>
        <v>5</v>
      </c>
      <c r="J4172" s="1323"/>
      <c r="K4172" s="1323"/>
      <c r="L4172" s="1323"/>
      <c r="M4172" s="1323"/>
      <c r="N4172" s="1323"/>
      <c r="O4172" s="1323"/>
      <c r="P4172" s="1323"/>
      <c r="Q4172" s="1323"/>
      <c r="R4172" s="1304"/>
      <c r="S4172" s="1304"/>
      <c r="T4172" s="1304"/>
    </row>
    <row r="4173" spans="1:20">
      <c r="A4173" s="1303"/>
      <c r="B4173" s="1322" t="s">
        <v>10248</v>
      </c>
      <c r="C4173" s="1323" t="s">
        <v>10249</v>
      </c>
      <c r="D4173" s="1324">
        <f t="shared" si="420"/>
        <v>35797</v>
      </c>
      <c r="E4173" s="1323">
        <f t="shared" si="416"/>
        <v>4.8720999999999997</v>
      </c>
      <c r="F4173" s="1323">
        <f t="shared" si="421"/>
        <v>4.4091029532069612</v>
      </c>
      <c r="G4173" s="1323">
        <f t="shared" si="417"/>
        <v>1998</v>
      </c>
      <c r="H4173" s="1323">
        <f t="shared" si="418"/>
        <v>1</v>
      </c>
      <c r="I4173" s="1323">
        <f t="shared" si="419"/>
        <v>2</v>
      </c>
      <c r="J4173" s="1323"/>
      <c r="K4173" s="1323"/>
      <c r="L4173" s="1323"/>
      <c r="M4173" s="1323"/>
      <c r="N4173" s="1323"/>
      <c r="O4173" s="1323"/>
      <c r="P4173" s="1323"/>
      <c r="Q4173" s="1323"/>
      <c r="R4173" s="1304"/>
      <c r="S4173" s="1304"/>
      <c r="T4173" s="1304"/>
    </row>
    <row r="4174" spans="1:20">
      <c r="A4174" s="1303"/>
      <c r="B4174" s="1322" t="s">
        <v>10250</v>
      </c>
      <c r="C4174" s="1323" t="s">
        <v>10251</v>
      </c>
      <c r="D4174" s="1324">
        <f t="shared" si="420"/>
        <v>35795</v>
      </c>
      <c r="E4174" s="1323">
        <f t="shared" si="416"/>
        <v>4.8662000000000001</v>
      </c>
      <c r="F4174" s="1323">
        <f t="shared" si="421"/>
        <v>4.4082575339538739</v>
      </c>
      <c r="G4174" s="1323">
        <f t="shared" si="417"/>
        <v>1997</v>
      </c>
      <c r="H4174" s="1323">
        <f t="shared" si="418"/>
        <v>12</v>
      </c>
      <c r="I4174" s="1323">
        <f t="shared" si="419"/>
        <v>31</v>
      </c>
      <c r="J4174" s="1323"/>
      <c r="K4174" s="1323"/>
      <c r="L4174" s="1323"/>
      <c r="M4174" s="1323"/>
      <c r="N4174" s="1323"/>
      <c r="O4174" s="1323"/>
      <c r="P4174" s="1323"/>
      <c r="Q4174" s="1323"/>
      <c r="R4174" s="1304"/>
      <c r="S4174" s="1304"/>
      <c r="T4174" s="1304"/>
    </row>
    <row r="4175" spans="1:20">
      <c r="A4175" s="1303"/>
      <c r="B4175" s="1322" t="s">
        <v>10252</v>
      </c>
      <c r="C4175" s="1323" t="s">
        <v>10253</v>
      </c>
      <c r="D4175" s="1324">
        <f t="shared" si="420"/>
        <v>35794</v>
      </c>
      <c r="E4175" s="1323">
        <f t="shared" si="416"/>
        <v>4.8625999999999996</v>
      </c>
      <c r="F4175" s="1323">
        <f t="shared" si="421"/>
        <v>4.4074122768048971</v>
      </c>
      <c r="G4175" s="1323">
        <f t="shared" si="417"/>
        <v>1997</v>
      </c>
      <c r="H4175" s="1323">
        <f t="shared" si="418"/>
        <v>12</v>
      </c>
      <c r="I4175" s="1323">
        <f t="shared" si="419"/>
        <v>30</v>
      </c>
      <c r="J4175" s="1323"/>
      <c r="K4175" s="1323"/>
      <c r="L4175" s="1323"/>
      <c r="M4175" s="1323"/>
      <c r="N4175" s="1323"/>
      <c r="O4175" s="1323"/>
      <c r="P4175" s="1323"/>
      <c r="Q4175" s="1323"/>
      <c r="R4175" s="1304"/>
      <c r="S4175" s="1304"/>
      <c r="T4175" s="1304"/>
    </row>
    <row r="4176" spans="1:20">
      <c r="A4176" s="1303"/>
      <c r="B4176" s="1322" t="s">
        <v>10254</v>
      </c>
      <c r="C4176" s="1323" t="s">
        <v>10255</v>
      </c>
      <c r="D4176" s="1324">
        <f t="shared" si="420"/>
        <v>35793</v>
      </c>
      <c r="E4176" s="1323">
        <f t="shared" si="416"/>
        <v>4.8625999999999996</v>
      </c>
      <c r="F4176" s="1323">
        <f t="shared" si="421"/>
        <v>4.4065671817289491</v>
      </c>
      <c r="G4176" s="1323">
        <f t="shared" si="417"/>
        <v>1997</v>
      </c>
      <c r="H4176" s="1323">
        <f t="shared" si="418"/>
        <v>12</v>
      </c>
      <c r="I4176" s="1323">
        <f t="shared" si="419"/>
        <v>29</v>
      </c>
      <c r="J4176" s="1323"/>
      <c r="K4176" s="1323"/>
      <c r="L4176" s="1323"/>
      <c r="M4176" s="1323"/>
      <c r="N4176" s="1323"/>
      <c r="O4176" s="1323"/>
      <c r="P4176" s="1323"/>
      <c r="Q4176" s="1323"/>
      <c r="R4176" s="1304"/>
      <c r="S4176" s="1304"/>
      <c r="T4176" s="1304"/>
    </row>
    <row r="4177" spans="1:20">
      <c r="A4177" s="1303"/>
      <c r="B4177" s="1322" t="s">
        <v>10256</v>
      </c>
      <c r="C4177" s="1323" t="s">
        <v>10255</v>
      </c>
      <c r="D4177" s="1324">
        <f t="shared" si="420"/>
        <v>35788</v>
      </c>
      <c r="E4177" s="1323">
        <f t="shared" si="416"/>
        <v>4.8602999999999996</v>
      </c>
      <c r="F4177" s="1323">
        <f t="shared" si="421"/>
        <v>4.4057222486949525</v>
      </c>
      <c r="G4177" s="1323">
        <f t="shared" si="417"/>
        <v>1997</v>
      </c>
      <c r="H4177" s="1323">
        <f t="shared" si="418"/>
        <v>12</v>
      </c>
      <c r="I4177" s="1323">
        <f t="shared" si="419"/>
        <v>24</v>
      </c>
      <c r="J4177" s="1323"/>
      <c r="K4177" s="1323"/>
      <c r="L4177" s="1323"/>
      <c r="M4177" s="1323"/>
      <c r="N4177" s="1323"/>
      <c r="O4177" s="1323"/>
      <c r="P4177" s="1323"/>
      <c r="Q4177" s="1323"/>
      <c r="R4177" s="1304"/>
      <c r="S4177" s="1304"/>
      <c r="T4177" s="1304"/>
    </row>
    <row r="4178" spans="1:20">
      <c r="A4178" s="1303"/>
      <c r="B4178" s="1322" t="s">
        <v>10257</v>
      </c>
      <c r="C4178" s="1323" t="s">
        <v>10258</v>
      </c>
      <c r="D4178" s="1324">
        <f t="shared" si="420"/>
        <v>35787</v>
      </c>
      <c r="E4178" s="1323">
        <f t="shared" si="416"/>
        <v>4.8650000000000002</v>
      </c>
      <c r="F4178" s="1323">
        <f t="shared" si="421"/>
        <v>4.4048774776718371</v>
      </c>
      <c r="G4178" s="1323">
        <f t="shared" si="417"/>
        <v>1997</v>
      </c>
      <c r="H4178" s="1323">
        <f t="shared" si="418"/>
        <v>12</v>
      </c>
      <c r="I4178" s="1323">
        <f t="shared" si="419"/>
        <v>23</v>
      </c>
      <c r="J4178" s="1323"/>
      <c r="K4178" s="1323"/>
      <c r="L4178" s="1323"/>
      <c r="M4178" s="1323"/>
      <c r="N4178" s="1323"/>
      <c r="O4178" s="1323"/>
      <c r="P4178" s="1323"/>
      <c r="Q4178" s="1323"/>
      <c r="R4178" s="1304"/>
      <c r="S4178" s="1304"/>
      <c r="T4178" s="1304"/>
    </row>
    <row r="4179" spans="1:20">
      <c r="A4179" s="1303"/>
      <c r="B4179" s="1322" t="s">
        <v>10259</v>
      </c>
      <c r="C4179" s="1323" t="s">
        <v>10260</v>
      </c>
      <c r="D4179" s="1324">
        <f t="shared" si="420"/>
        <v>35786</v>
      </c>
      <c r="E4179" s="1323">
        <f t="shared" si="416"/>
        <v>4.8625999999999996</v>
      </c>
      <c r="F4179" s="1323">
        <f t="shared" si="421"/>
        <v>4.4040328686285379</v>
      </c>
      <c r="G4179" s="1323">
        <f t="shared" si="417"/>
        <v>1997</v>
      </c>
      <c r="H4179" s="1323">
        <f t="shared" si="418"/>
        <v>12</v>
      </c>
      <c r="I4179" s="1323">
        <f t="shared" si="419"/>
        <v>22</v>
      </c>
      <c r="J4179" s="1323"/>
      <c r="K4179" s="1323"/>
      <c r="L4179" s="1323"/>
      <c r="M4179" s="1323"/>
      <c r="N4179" s="1323"/>
      <c r="O4179" s="1323"/>
      <c r="P4179" s="1323"/>
      <c r="Q4179" s="1323"/>
      <c r="R4179" s="1304"/>
      <c r="S4179" s="1304"/>
      <c r="T4179" s="1304"/>
    </row>
    <row r="4180" spans="1:20">
      <c r="A4180" s="1303"/>
      <c r="B4180" s="1322" t="s">
        <v>10261</v>
      </c>
      <c r="C4180" s="1323" t="s">
        <v>10255</v>
      </c>
      <c r="D4180" s="1324">
        <f t="shared" si="420"/>
        <v>35783</v>
      </c>
      <c r="E4180" s="1323">
        <f t="shared" si="416"/>
        <v>4.8662000000000001</v>
      </c>
      <c r="F4180" s="1323">
        <f t="shared" si="421"/>
        <v>4.4031884215339971</v>
      </c>
      <c r="G4180" s="1323">
        <f t="shared" si="417"/>
        <v>1997</v>
      </c>
      <c r="H4180" s="1323">
        <f t="shared" si="418"/>
        <v>12</v>
      </c>
      <c r="I4180" s="1323">
        <f t="shared" si="419"/>
        <v>19</v>
      </c>
      <c r="J4180" s="1323"/>
      <c r="K4180" s="1323"/>
      <c r="L4180" s="1323"/>
      <c r="M4180" s="1323"/>
      <c r="N4180" s="1323"/>
      <c r="O4180" s="1323"/>
      <c r="P4180" s="1323"/>
      <c r="Q4180" s="1323"/>
      <c r="R4180" s="1304"/>
      <c r="S4180" s="1304"/>
      <c r="T4180" s="1304"/>
    </row>
    <row r="4181" spans="1:20">
      <c r="A4181" s="1303"/>
      <c r="B4181" s="1322" t="s">
        <v>10262</v>
      </c>
      <c r="C4181" s="1323" t="s">
        <v>10253</v>
      </c>
      <c r="D4181" s="1324">
        <f t="shared" si="420"/>
        <v>35782</v>
      </c>
      <c r="E4181" s="1323">
        <f t="shared" si="416"/>
        <v>4.8555000000000001</v>
      </c>
      <c r="F4181" s="1323">
        <f t="shared" si="421"/>
        <v>4.4023441363571614</v>
      </c>
      <c r="G4181" s="1323">
        <f t="shared" si="417"/>
        <v>1997</v>
      </c>
      <c r="H4181" s="1323">
        <f t="shared" si="418"/>
        <v>12</v>
      </c>
      <c r="I4181" s="1323">
        <f t="shared" si="419"/>
        <v>18</v>
      </c>
      <c r="J4181" s="1323"/>
      <c r="K4181" s="1323"/>
      <c r="L4181" s="1323"/>
      <c r="M4181" s="1323"/>
      <c r="N4181" s="1323"/>
      <c r="O4181" s="1323"/>
      <c r="P4181" s="1323"/>
      <c r="Q4181" s="1323"/>
      <c r="R4181" s="1304"/>
      <c r="S4181" s="1304"/>
      <c r="T4181" s="1304"/>
    </row>
    <row r="4182" spans="1:20">
      <c r="A4182" s="1303"/>
      <c r="B4182" s="1322" t="s">
        <v>10263</v>
      </c>
      <c r="C4182" s="1323" t="s">
        <v>10264</v>
      </c>
      <c r="D4182" s="1324">
        <f t="shared" si="420"/>
        <v>35781</v>
      </c>
      <c r="E4182" s="1323">
        <f t="shared" ref="E4182:E4245" si="422">VALUE(C4183)</f>
        <v>4.8757000000000001</v>
      </c>
      <c r="F4182" s="1323">
        <f t="shared" si="421"/>
        <v>4.4015000130669844</v>
      </c>
      <c r="G4182" s="1323">
        <f t="shared" ref="G4182:G4245" si="423">YEAR(B4183)</f>
        <v>1997</v>
      </c>
      <c r="H4182" s="1323">
        <f t="shared" ref="H4182:H4245" si="424">MONTH(B4183)</f>
        <v>12</v>
      </c>
      <c r="I4182" s="1323">
        <f t="shared" ref="I4182:I4245" si="425">DAY(B4183)</f>
        <v>17</v>
      </c>
      <c r="J4182" s="1323"/>
      <c r="K4182" s="1323"/>
      <c r="L4182" s="1323"/>
      <c r="M4182" s="1323"/>
      <c r="N4182" s="1323"/>
      <c r="O4182" s="1323"/>
      <c r="P4182" s="1323"/>
      <c r="Q4182" s="1323"/>
      <c r="R4182" s="1304"/>
      <c r="S4182" s="1304"/>
      <c r="T4182" s="1304"/>
    </row>
    <row r="4183" spans="1:20">
      <c r="A4183" s="1303"/>
      <c r="B4183" s="1322" t="s">
        <v>10265</v>
      </c>
      <c r="C4183" s="1323" t="s">
        <v>10266</v>
      </c>
      <c r="D4183" s="1324">
        <f t="shared" si="420"/>
        <v>35779</v>
      </c>
      <c r="E4183" s="1323">
        <f t="shared" si="422"/>
        <v>4.8912000000000004</v>
      </c>
      <c r="F4183" s="1323">
        <f t="shared" si="421"/>
        <v>4.4006560516324242</v>
      </c>
      <c r="G4183" s="1323">
        <f t="shared" si="423"/>
        <v>1997</v>
      </c>
      <c r="H4183" s="1323">
        <f t="shared" si="424"/>
        <v>12</v>
      </c>
      <c r="I4183" s="1323">
        <f t="shared" si="425"/>
        <v>15</v>
      </c>
      <c r="J4183" s="1323"/>
      <c r="K4183" s="1323"/>
      <c r="L4183" s="1323"/>
      <c r="M4183" s="1323"/>
      <c r="N4183" s="1323"/>
      <c r="O4183" s="1323"/>
      <c r="P4183" s="1323"/>
      <c r="Q4183" s="1323"/>
      <c r="R4183" s="1304"/>
      <c r="S4183" s="1304"/>
      <c r="T4183" s="1304"/>
    </row>
    <row r="4184" spans="1:20">
      <c r="A4184" s="1303"/>
      <c r="B4184" s="1322" t="s">
        <v>10267</v>
      </c>
      <c r="C4184" s="1323" t="s">
        <v>10268</v>
      </c>
      <c r="D4184" s="1324">
        <f t="shared" si="420"/>
        <v>35776</v>
      </c>
      <c r="E4184" s="1323">
        <f t="shared" si="422"/>
        <v>4.8936000000000002</v>
      </c>
      <c r="F4184" s="1323">
        <f t="shared" si="421"/>
        <v>4.3998122520224472</v>
      </c>
      <c r="G4184" s="1323">
        <f t="shared" si="423"/>
        <v>1997</v>
      </c>
      <c r="H4184" s="1323">
        <f t="shared" si="424"/>
        <v>12</v>
      </c>
      <c r="I4184" s="1323">
        <f t="shared" si="425"/>
        <v>12</v>
      </c>
      <c r="J4184" s="1323"/>
      <c r="K4184" s="1323"/>
      <c r="L4184" s="1323"/>
      <c r="M4184" s="1323"/>
      <c r="N4184" s="1323"/>
      <c r="O4184" s="1323"/>
      <c r="P4184" s="1323"/>
      <c r="Q4184" s="1323"/>
      <c r="R4184" s="1304"/>
      <c r="S4184" s="1304"/>
      <c r="T4184" s="1304"/>
    </row>
    <row r="4185" spans="1:20">
      <c r="A4185" s="1303"/>
      <c r="B4185" s="1322" t="s">
        <v>10269</v>
      </c>
      <c r="C4185" s="1323" t="s">
        <v>10270</v>
      </c>
      <c r="D4185" s="1324">
        <f t="shared" si="420"/>
        <v>35775</v>
      </c>
      <c r="E4185" s="1323">
        <f t="shared" si="422"/>
        <v>4.8887999999999998</v>
      </c>
      <c r="F4185" s="1323">
        <f t="shared" si="421"/>
        <v>4.3989686142060238</v>
      </c>
      <c r="G4185" s="1323">
        <f t="shared" si="423"/>
        <v>1997</v>
      </c>
      <c r="H4185" s="1323">
        <f t="shared" si="424"/>
        <v>12</v>
      </c>
      <c r="I4185" s="1323">
        <f t="shared" si="425"/>
        <v>11</v>
      </c>
      <c r="J4185" s="1323"/>
      <c r="K4185" s="1323"/>
      <c r="L4185" s="1323"/>
      <c r="M4185" s="1323"/>
      <c r="N4185" s="1323"/>
      <c r="O4185" s="1323"/>
      <c r="P4185" s="1323"/>
      <c r="Q4185" s="1323"/>
      <c r="R4185" s="1304"/>
      <c r="S4185" s="1304"/>
      <c r="T4185" s="1304"/>
    </row>
    <row r="4186" spans="1:20">
      <c r="A4186" s="1303"/>
      <c r="B4186" s="1322" t="s">
        <v>10271</v>
      </c>
      <c r="C4186" s="1323" t="s">
        <v>10272</v>
      </c>
      <c r="D4186" s="1324">
        <f t="shared" si="420"/>
        <v>35774</v>
      </c>
      <c r="E4186" s="1323">
        <f t="shared" si="422"/>
        <v>4.8875999999999999</v>
      </c>
      <c r="F4186" s="1323">
        <f t="shared" si="421"/>
        <v>4.3981251381521318</v>
      </c>
      <c r="G4186" s="1323">
        <f t="shared" si="423"/>
        <v>1997</v>
      </c>
      <c r="H4186" s="1323">
        <f t="shared" si="424"/>
        <v>12</v>
      </c>
      <c r="I4186" s="1323">
        <f t="shared" si="425"/>
        <v>10</v>
      </c>
      <c r="J4186" s="1323"/>
      <c r="K4186" s="1323"/>
      <c r="L4186" s="1323"/>
      <c r="M4186" s="1323"/>
      <c r="N4186" s="1323"/>
      <c r="O4186" s="1323"/>
      <c r="P4186" s="1323"/>
      <c r="Q4186" s="1323"/>
      <c r="R4186" s="1304"/>
      <c r="S4186" s="1304"/>
      <c r="T4186" s="1304"/>
    </row>
    <row r="4187" spans="1:20">
      <c r="A4187" s="1303"/>
      <c r="B4187" s="1322" t="s">
        <v>10273</v>
      </c>
      <c r="C4187" s="1323" t="s">
        <v>10274</v>
      </c>
      <c r="D4187" s="1324">
        <f t="shared" si="420"/>
        <v>35773</v>
      </c>
      <c r="E4187" s="1323">
        <f t="shared" si="422"/>
        <v>4.8696999999999999</v>
      </c>
      <c r="F4187" s="1323">
        <f t="shared" si="421"/>
        <v>4.3972818238297533</v>
      </c>
      <c r="G4187" s="1323">
        <f t="shared" si="423"/>
        <v>1997</v>
      </c>
      <c r="H4187" s="1323">
        <f t="shared" si="424"/>
        <v>12</v>
      </c>
      <c r="I4187" s="1323">
        <f t="shared" si="425"/>
        <v>9</v>
      </c>
      <c r="J4187" s="1323"/>
      <c r="K4187" s="1323"/>
      <c r="L4187" s="1323"/>
      <c r="M4187" s="1323"/>
      <c r="N4187" s="1323"/>
      <c r="O4187" s="1323"/>
      <c r="P4187" s="1323"/>
      <c r="Q4187" s="1323"/>
      <c r="R4187" s="1304"/>
      <c r="S4187" s="1304"/>
      <c r="T4187" s="1304"/>
    </row>
    <row r="4188" spans="1:20">
      <c r="A4188" s="1303"/>
      <c r="B4188" s="1322" t="s">
        <v>10275</v>
      </c>
      <c r="C4188" s="1323" t="s">
        <v>10276</v>
      </c>
      <c r="D4188" s="1324">
        <f t="shared" si="420"/>
        <v>35772</v>
      </c>
      <c r="E4188" s="1323">
        <f t="shared" si="422"/>
        <v>4.8733000000000004</v>
      </c>
      <c r="F4188" s="1323">
        <f t="shared" si="421"/>
        <v>4.3964386712078776</v>
      </c>
      <c r="G4188" s="1323">
        <f t="shared" si="423"/>
        <v>1997</v>
      </c>
      <c r="H4188" s="1323">
        <f t="shared" si="424"/>
        <v>12</v>
      </c>
      <c r="I4188" s="1323">
        <f t="shared" si="425"/>
        <v>8</v>
      </c>
      <c r="J4188" s="1323"/>
      <c r="K4188" s="1323"/>
      <c r="L4188" s="1323"/>
      <c r="M4188" s="1323"/>
      <c r="N4188" s="1323"/>
      <c r="O4188" s="1323"/>
      <c r="P4188" s="1323"/>
      <c r="Q4188" s="1323"/>
      <c r="R4188" s="1304"/>
      <c r="S4188" s="1304"/>
      <c r="T4188" s="1304"/>
    </row>
    <row r="4189" spans="1:20">
      <c r="A4189" s="1303"/>
      <c r="B4189" s="1322" t="s">
        <v>10277</v>
      </c>
      <c r="C4189" s="1323" t="s">
        <v>10278</v>
      </c>
      <c r="D4189" s="1324">
        <f t="shared" si="420"/>
        <v>35769</v>
      </c>
      <c r="E4189" s="1323">
        <f t="shared" si="422"/>
        <v>4.8745000000000003</v>
      </c>
      <c r="F4189" s="1323">
        <f t="shared" si="421"/>
        <v>4.3955956802555001</v>
      </c>
      <c r="G4189" s="1323">
        <f t="shared" si="423"/>
        <v>1997</v>
      </c>
      <c r="H4189" s="1323">
        <f t="shared" si="424"/>
        <v>12</v>
      </c>
      <c r="I4189" s="1323">
        <f t="shared" si="425"/>
        <v>5</v>
      </c>
      <c r="J4189" s="1323"/>
      <c r="K4189" s="1323"/>
      <c r="L4189" s="1323"/>
      <c r="M4189" s="1323"/>
      <c r="N4189" s="1323"/>
      <c r="O4189" s="1323"/>
      <c r="P4189" s="1323"/>
      <c r="Q4189" s="1323"/>
      <c r="R4189" s="1304"/>
      <c r="S4189" s="1304"/>
      <c r="T4189" s="1304"/>
    </row>
    <row r="4190" spans="1:20">
      <c r="A4190" s="1303"/>
      <c r="B4190" s="1322" t="s">
        <v>10279</v>
      </c>
      <c r="C4190" s="1323" t="s">
        <v>10280</v>
      </c>
      <c r="D4190" s="1324">
        <f t="shared" si="420"/>
        <v>35768</v>
      </c>
      <c r="E4190" s="1323">
        <f t="shared" si="422"/>
        <v>4.8673999999999999</v>
      </c>
      <c r="F4190" s="1323">
        <f t="shared" si="421"/>
        <v>4.3947528509416207</v>
      </c>
      <c r="G4190" s="1323">
        <f t="shared" si="423"/>
        <v>1997</v>
      </c>
      <c r="H4190" s="1323">
        <f t="shared" si="424"/>
        <v>12</v>
      </c>
      <c r="I4190" s="1323">
        <f t="shared" si="425"/>
        <v>4</v>
      </c>
      <c r="J4190" s="1323"/>
      <c r="K4190" s="1323"/>
      <c r="L4190" s="1323"/>
      <c r="M4190" s="1323"/>
      <c r="N4190" s="1323"/>
      <c r="O4190" s="1323"/>
      <c r="P4190" s="1323"/>
      <c r="Q4190" s="1323"/>
      <c r="R4190" s="1304"/>
      <c r="S4190" s="1304"/>
      <c r="T4190" s="1304"/>
    </row>
    <row r="4191" spans="1:20">
      <c r="A4191" s="1303"/>
      <c r="B4191" s="1322" t="s">
        <v>10281</v>
      </c>
      <c r="C4191" s="1323" t="s">
        <v>10282</v>
      </c>
      <c r="D4191" s="1324">
        <f t="shared" si="420"/>
        <v>35767</v>
      </c>
      <c r="E4191" s="1323">
        <f t="shared" si="422"/>
        <v>4.8696999999999999</v>
      </c>
      <c r="F4191" s="1323">
        <f t="shared" si="421"/>
        <v>4.3939101832352465</v>
      </c>
      <c r="G4191" s="1323">
        <f t="shared" si="423"/>
        <v>1997</v>
      </c>
      <c r="H4191" s="1323">
        <f t="shared" si="424"/>
        <v>12</v>
      </c>
      <c r="I4191" s="1323">
        <f t="shared" si="425"/>
        <v>3</v>
      </c>
      <c r="J4191" s="1323"/>
      <c r="K4191" s="1323"/>
      <c r="L4191" s="1323"/>
      <c r="M4191" s="1323"/>
      <c r="N4191" s="1323"/>
      <c r="O4191" s="1323"/>
      <c r="P4191" s="1323"/>
      <c r="Q4191" s="1323"/>
      <c r="R4191" s="1304"/>
      <c r="S4191" s="1304"/>
      <c r="T4191" s="1304"/>
    </row>
    <row r="4192" spans="1:20">
      <c r="A4192" s="1303"/>
      <c r="B4192" s="1322" t="s">
        <v>10283</v>
      </c>
      <c r="C4192" s="1323" t="s">
        <v>10276</v>
      </c>
      <c r="D4192" s="1324">
        <f t="shared" si="420"/>
        <v>35766</v>
      </c>
      <c r="E4192" s="1323">
        <f t="shared" si="422"/>
        <v>4.8650000000000002</v>
      </c>
      <c r="F4192" s="1323">
        <f t="shared" si="421"/>
        <v>4.3930676771053907</v>
      </c>
      <c r="G4192" s="1323">
        <f t="shared" si="423"/>
        <v>1997</v>
      </c>
      <c r="H4192" s="1323">
        <f t="shared" si="424"/>
        <v>12</v>
      </c>
      <c r="I4192" s="1323">
        <f t="shared" si="425"/>
        <v>2</v>
      </c>
      <c r="J4192" s="1323"/>
      <c r="K4192" s="1323"/>
      <c r="L4192" s="1323"/>
      <c r="M4192" s="1323"/>
      <c r="N4192" s="1323"/>
      <c r="O4192" s="1323"/>
      <c r="P4192" s="1323"/>
      <c r="Q4192" s="1323"/>
      <c r="R4192" s="1304"/>
      <c r="S4192" s="1304"/>
      <c r="T4192" s="1304"/>
    </row>
    <row r="4193" spans="1:20">
      <c r="A4193" s="1303"/>
      <c r="B4193" s="1322" t="s">
        <v>10284</v>
      </c>
      <c r="C4193" s="1323" t="s">
        <v>10260</v>
      </c>
      <c r="D4193" s="1324">
        <f t="shared" si="420"/>
        <v>35765</v>
      </c>
      <c r="E4193" s="1323">
        <f t="shared" si="422"/>
        <v>4.8578999999999999</v>
      </c>
      <c r="F4193" s="1323">
        <f t="shared" si="421"/>
        <v>4.3922253325210718</v>
      </c>
      <c r="G4193" s="1323">
        <f t="shared" si="423"/>
        <v>1997</v>
      </c>
      <c r="H4193" s="1323">
        <f t="shared" si="424"/>
        <v>12</v>
      </c>
      <c r="I4193" s="1323">
        <f t="shared" si="425"/>
        <v>1</v>
      </c>
      <c r="J4193" s="1323"/>
      <c r="K4193" s="1323"/>
      <c r="L4193" s="1323"/>
      <c r="M4193" s="1323"/>
      <c r="N4193" s="1323"/>
      <c r="O4193" s="1323"/>
      <c r="P4193" s="1323"/>
      <c r="Q4193" s="1323"/>
      <c r="R4193" s="1304"/>
      <c r="S4193" s="1304"/>
      <c r="T4193" s="1304"/>
    </row>
    <row r="4194" spans="1:20">
      <c r="A4194" s="1303"/>
      <c r="B4194" s="1322" t="s">
        <v>10285</v>
      </c>
      <c r="C4194" s="1323" t="s">
        <v>10286</v>
      </c>
      <c r="D4194" s="1324">
        <f t="shared" si="420"/>
        <v>35762</v>
      </c>
      <c r="E4194" s="1323">
        <f t="shared" si="422"/>
        <v>4.8544</v>
      </c>
      <c r="F4194" s="1323">
        <f t="shared" si="421"/>
        <v>4.3913831494513138</v>
      </c>
      <c r="G4194" s="1323">
        <f t="shared" si="423"/>
        <v>1997</v>
      </c>
      <c r="H4194" s="1323">
        <f t="shared" si="424"/>
        <v>11</v>
      </c>
      <c r="I4194" s="1323">
        <f t="shared" si="425"/>
        <v>28</v>
      </c>
      <c r="J4194" s="1323"/>
      <c r="K4194" s="1323"/>
      <c r="L4194" s="1323"/>
      <c r="M4194" s="1323"/>
      <c r="N4194" s="1323"/>
      <c r="O4194" s="1323"/>
      <c r="P4194" s="1323"/>
      <c r="Q4194" s="1323"/>
      <c r="R4194" s="1304"/>
      <c r="S4194" s="1304"/>
      <c r="T4194" s="1304"/>
    </row>
    <row r="4195" spans="1:20">
      <c r="A4195" s="1303"/>
      <c r="B4195" s="1322" t="s">
        <v>10287</v>
      </c>
      <c r="C4195" s="1323" t="s">
        <v>10288</v>
      </c>
      <c r="D4195" s="1324">
        <f t="shared" si="420"/>
        <v>35761</v>
      </c>
      <c r="E4195" s="1323">
        <f t="shared" si="422"/>
        <v>4.8590999999999998</v>
      </c>
      <c r="F4195" s="1323">
        <f t="shared" si="421"/>
        <v>4.3905411278651476</v>
      </c>
      <c r="G4195" s="1323">
        <f t="shared" si="423"/>
        <v>1997</v>
      </c>
      <c r="H4195" s="1323">
        <f t="shared" si="424"/>
        <v>11</v>
      </c>
      <c r="I4195" s="1323">
        <f t="shared" si="425"/>
        <v>27</v>
      </c>
      <c r="J4195" s="1323"/>
      <c r="K4195" s="1323"/>
      <c r="L4195" s="1323"/>
      <c r="M4195" s="1323"/>
      <c r="N4195" s="1323"/>
      <c r="O4195" s="1323"/>
      <c r="P4195" s="1323"/>
      <c r="Q4195" s="1323"/>
      <c r="R4195" s="1304"/>
      <c r="S4195" s="1304"/>
      <c r="T4195" s="1304"/>
    </row>
    <row r="4196" spans="1:20">
      <c r="A4196" s="1303"/>
      <c r="B4196" s="1322" t="s">
        <v>10289</v>
      </c>
      <c r="C4196" s="1323" t="s">
        <v>10290</v>
      </c>
      <c r="D4196" s="1324">
        <f t="shared" si="420"/>
        <v>35760</v>
      </c>
      <c r="E4196" s="1323">
        <f t="shared" si="422"/>
        <v>4.8602999999999996</v>
      </c>
      <c r="F4196" s="1323">
        <f t="shared" si="421"/>
        <v>4.3896992677316096</v>
      </c>
      <c r="G4196" s="1323">
        <f t="shared" si="423"/>
        <v>1997</v>
      </c>
      <c r="H4196" s="1323">
        <f t="shared" si="424"/>
        <v>11</v>
      </c>
      <c r="I4196" s="1323">
        <f t="shared" si="425"/>
        <v>26</v>
      </c>
      <c r="J4196" s="1323"/>
      <c r="K4196" s="1323"/>
      <c r="L4196" s="1323"/>
      <c r="M4196" s="1323"/>
      <c r="N4196" s="1323"/>
      <c r="O4196" s="1323"/>
      <c r="P4196" s="1323"/>
      <c r="Q4196" s="1323"/>
      <c r="R4196" s="1304"/>
      <c r="S4196" s="1304"/>
      <c r="T4196" s="1304"/>
    </row>
    <row r="4197" spans="1:20">
      <c r="A4197" s="1303"/>
      <c r="B4197" s="1322" t="s">
        <v>10291</v>
      </c>
      <c r="C4197" s="1323" t="s">
        <v>10258</v>
      </c>
      <c r="D4197" s="1324">
        <f t="shared" si="420"/>
        <v>35759</v>
      </c>
      <c r="E4197" s="1323">
        <f t="shared" si="422"/>
        <v>4.8507999999999996</v>
      </c>
      <c r="F4197" s="1323">
        <f t="shared" si="421"/>
        <v>4.3888575690197422</v>
      </c>
      <c r="G4197" s="1323">
        <f t="shared" si="423"/>
        <v>1997</v>
      </c>
      <c r="H4197" s="1323">
        <f t="shared" si="424"/>
        <v>11</v>
      </c>
      <c r="I4197" s="1323">
        <f t="shared" si="425"/>
        <v>25</v>
      </c>
      <c r="J4197" s="1323"/>
      <c r="K4197" s="1323"/>
      <c r="L4197" s="1323"/>
      <c r="M4197" s="1323"/>
      <c r="N4197" s="1323"/>
      <c r="O4197" s="1323"/>
      <c r="P4197" s="1323"/>
      <c r="Q4197" s="1323"/>
      <c r="R4197" s="1304"/>
      <c r="S4197" s="1304"/>
      <c r="T4197" s="1304"/>
    </row>
    <row r="4198" spans="1:20">
      <c r="A4198" s="1303"/>
      <c r="B4198" s="1322" t="s">
        <v>10292</v>
      </c>
      <c r="C4198" s="1323" t="s">
        <v>10293</v>
      </c>
      <c r="D4198" s="1324">
        <f t="shared" si="420"/>
        <v>35758</v>
      </c>
      <c r="E4198" s="1323">
        <f t="shared" si="422"/>
        <v>4.8368000000000002</v>
      </c>
      <c r="F4198" s="1323">
        <f t="shared" si="421"/>
        <v>4.3880160316985943</v>
      </c>
      <c r="G4198" s="1323">
        <f t="shared" si="423"/>
        <v>1997</v>
      </c>
      <c r="H4198" s="1323">
        <f t="shared" si="424"/>
        <v>11</v>
      </c>
      <c r="I4198" s="1323">
        <f t="shared" si="425"/>
        <v>24</v>
      </c>
      <c r="J4198" s="1323"/>
      <c r="K4198" s="1323"/>
      <c r="L4198" s="1323"/>
      <c r="M4198" s="1323"/>
      <c r="N4198" s="1323"/>
      <c r="O4198" s="1323"/>
      <c r="P4198" s="1323"/>
      <c r="Q4198" s="1323"/>
      <c r="R4198" s="1304"/>
      <c r="S4198" s="1304"/>
      <c r="T4198" s="1304"/>
    </row>
    <row r="4199" spans="1:20">
      <c r="A4199" s="1303"/>
      <c r="B4199" s="1322" t="s">
        <v>10294</v>
      </c>
      <c r="C4199" s="1323" t="s">
        <v>10295</v>
      </c>
      <c r="D4199" s="1324">
        <f t="shared" si="420"/>
        <v>35755</v>
      </c>
      <c r="E4199" s="1323">
        <f t="shared" si="422"/>
        <v>4.8460999999999999</v>
      </c>
      <c r="F4199" s="1323">
        <f t="shared" si="421"/>
        <v>4.38717465573722</v>
      </c>
      <c r="G4199" s="1323">
        <f t="shared" si="423"/>
        <v>1997</v>
      </c>
      <c r="H4199" s="1323">
        <f t="shared" si="424"/>
        <v>11</v>
      </c>
      <c r="I4199" s="1323">
        <f t="shared" si="425"/>
        <v>21</v>
      </c>
      <c r="J4199" s="1323"/>
      <c r="K4199" s="1323"/>
      <c r="L4199" s="1323"/>
      <c r="M4199" s="1323"/>
      <c r="N4199" s="1323"/>
      <c r="O4199" s="1323"/>
      <c r="P4199" s="1323"/>
      <c r="Q4199" s="1323"/>
      <c r="R4199" s="1304"/>
      <c r="S4199" s="1304"/>
      <c r="T4199" s="1304"/>
    </row>
    <row r="4200" spans="1:20">
      <c r="A4200" s="1303"/>
      <c r="B4200" s="1322" t="s">
        <v>10296</v>
      </c>
      <c r="C4200" s="1323" t="s">
        <v>10297</v>
      </c>
      <c r="D4200" s="1324">
        <f t="shared" si="420"/>
        <v>35754</v>
      </c>
      <c r="E4200" s="1323">
        <f t="shared" si="422"/>
        <v>4.8625999999999996</v>
      </c>
      <c r="F4200" s="1323">
        <f t="shared" si="421"/>
        <v>4.3863334411046795</v>
      </c>
      <c r="G4200" s="1323">
        <f t="shared" si="423"/>
        <v>1997</v>
      </c>
      <c r="H4200" s="1323">
        <f t="shared" si="424"/>
        <v>11</v>
      </c>
      <c r="I4200" s="1323">
        <f t="shared" si="425"/>
        <v>20</v>
      </c>
      <c r="J4200" s="1323"/>
      <c r="K4200" s="1323"/>
      <c r="L4200" s="1323"/>
      <c r="M4200" s="1323"/>
      <c r="N4200" s="1323"/>
      <c r="O4200" s="1323"/>
      <c r="P4200" s="1323"/>
      <c r="Q4200" s="1323"/>
      <c r="R4200" s="1304"/>
      <c r="S4200" s="1304"/>
      <c r="T4200" s="1304"/>
    </row>
    <row r="4201" spans="1:20">
      <c r="A4201" s="1303"/>
      <c r="B4201" s="1322" t="s">
        <v>10298</v>
      </c>
      <c r="C4201" s="1323" t="s">
        <v>10255</v>
      </c>
      <c r="D4201" s="1324">
        <f t="shared" si="420"/>
        <v>35753</v>
      </c>
      <c r="E4201" s="1323">
        <f t="shared" si="422"/>
        <v>4.8590999999999998</v>
      </c>
      <c r="F4201" s="1323">
        <f t="shared" si="421"/>
        <v>4.3854923877700385</v>
      </c>
      <c r="G4201" s="1323">
        <f t="shared" si="423"/>
        <v>1997</v>
      </c>
      <c r="H4201" s="1323">
        <f t="shared" si="424"/>
        <v>11</v>
      </c>
      <c r="I4201" s="1323">
        <f t="shared" si="425"/>
        <v>19</v>
      </c>
      <c r="J4201" s="1323"/>
      <c r="K4201" s="1323"/>
      <c r="L4201" s="1323"/>
      <c r="M4201" s="1323"/>
      <c r="N4201" s="1323"/>
      <c r="O4201" s="1323"/>
      <c r="P4201" s="1323"/>
      <c r="Q4201" s="1323"/>
      <c r="R4201" s="1304"/>
      <c r="S4201" s="1304"/>
      <c r="T4201" s="1304"/>
    </row>
    <row r="4202" spans="1:20">
      <c r="A4202" s="1303"/>
      <c r="B4202" s="1322" t="s">
        <v>10299</v>
      </c>
      <c r="C4202" s="1323" t="s">
        <v>10290</v>
      </c>
      <c r="D4202" s="1324">
        <f t="shared" si="420"/>
        <v>35752</v>
      </c>
      <c r="E4202" s="1323">
        <f t="shared" si="422"/>
        <v>4.8484999999999996</v>
      </c>
      <c r="F4202" s="1323">
        <f t="shared" si="421"/>
        <v>4.3846514957023697</v>
      </c>
      <c r="G4202" s="1323">
        <f t="shared" si="423"/>
        <v>1997</v>
      </c>
      <c r="H4202" s="1323">
        <f t="shared" si="424"/>
        <v>11</v>
      </c>
      <c r="I4202" s="1323">
        <f t="shared" si="425"/>
        <v>18</v>
      </c>
      <c r="J4202" s="1323"/>
      <c r="K4202" s="1323"/>
      <c r="L4202" s="1323"/>
      <c r="M4202" s="1323"/>
      <c r="N4202" s="1323"/>
      <c r="O4202" s="1323"/>
      <c r="P4202" s="1323"/>
      <c r="Q4202" s="1323"/>
      <c r="R4202" s="1304"/>
      <c r="S4202" s="1304"/>
      <c r="T4202" s="1304"/>
    </row>
    <row r="4203" spans="1:20">
      <c r="A4203" s="1303"/>
      <c r="B4203" s="1322" t="s">
        <v>10300</v>
      </c>
      <c r="C4203" s="1323" t="s">
        <v>10301</v>
      </c>
      <c r="D4203" s="1324">
        <f t="shared" si="420"/>
        <v>35751</v>
      </c>
      <c r="E4203" s="1323">
        <f t="shared" si="422"/>
        <v>4.8567</v>
      </c>
      <c r="F4203" s="1323">
        <f t="shared" si="421"/>
        <v>4.3838107648707503</v>
      </c>
      <c r="G4203" s="1323">
        <f t="shared" si="423"/>
        <v>1997</v>
      </c>
      <c r="H4203" s="1323">
        <f t="shared" si="424"/>
        <v>11</v>
      </c>
      <c r="I4203" s="1323">
        <f t="shared" si="425"/>
        <v>17</v>
      </c>
      <c r="J4203" s="1323"/>
      <c r="K4203" s="1323"/>
      <c r="L4203" s="1323"/>
      <c r="M4203" s="1323"/>
      <c r="N4203" s="1323"/>
      <c r="O4203" s="1323"/>
      <c r="P4203" s="1323"/>
      <c r="Q4203" s="1323"/>
      <c r="R4203" s="1304"/>
      <c r="S4203" s="1304"/>
      <c r="T4203" s="1304"/>
    </row>
    <row r="4204" spans="1:20">
      <c r="A4204" s="1303"/>
      <c r="B4204" s="1322" t="s">
        <v>10302</v>
      </c>
      <c r="C4204" s="1323" t="s">
        <v>10303</v>
      </c>
      <c r="D4204" s="1324">
        <f t="shared" si="420"/>
        <v>35748</v>
      </c>
      <c r="E4204" s="1323">
        <f t="shared" si="422"/>
        <v>4.8320999999999996</v>
      </c>
      <c r="F4204" s="1323">
        <f t="shared" si="421"/>
        <v>4.3829701952442646</v>
      </c>
      <c r="G4204" s="1323">
        <f t="shared" si="423"/>
        <v>1997</v>
      </c>
      <c r="H4204" s="1323">
        <f t="shared" si="424"/>
        <v>11</v>
      </c>
      <c r="I4204" s="1323">
        <f t="shared" si="425"/>
        <v>14</v>
      </c>
      <c r="J4204" s="1323"/>
      <c r="K4204" s="1323"/>
      <c r="L4204" s="1323"/>
      <c r="M4204" s="1323"/>
      <c r="N4204" s="1323"/>
      <c r="O4204" s="1323"/>
      <c r="P4204" s="1323"/>
      <c r="Q4204" s="1323"/>
      <c r="R4204" s="1304"/>
      <c r="S4204" s="1304"/>
      <c r="T4204" s="1304"/>
    </row>
    <row r="4205" spans="1:20">
      <c r="A4205" s="1303"/>
      <c r="B4205" s="1322" t="s">
        <v>10304</v>
      </c>
      <c r="C4205" s="1323" t="s">
        <v>10305</v>
      </c>
      <c r="D4205" s="1324">
        <f t="shared" si="420"/>
        <v>35747</v>
      </c>
      <c r="E4205" s="1323">
        <f t="shared" si="422"/>
        <v>4.8250999999999999</v>
      </c>
      <c r="F4205" s="1323">
        <f t="shared" si="421"/>
        <v>4.382129786792003</v>
      </c>
      <c r="G4205" s="1323">
        <f t="shared" si="423"/>
        <v>1997</v>
      </c>
      <c r="H4205" s="1323">
        <f t="shared" si="424"/>
        <v>11</v>
      </c>
      <c r="I4205" s="1323">
        <f t="shared" si="425"/>
        <v>13</v>
      </c>
      <c r="J4205" s="1323"/>
      <c r="K4205" s="1323"/>
      <c r="L4205" s="1323"/>
      <c r="M4205" s="1323"/>
      <c r="N4205" s="1323"/>
      <c r="O4205" s="1323"/>
      <c r="P4205" s="1323"/>
      <c r="Q4205" s="1323"/>
      <c r="R4205" s="1304"/>
      <c r="S4205" s="1304"/>
      <c r="T4205" s="1304"/>
    </row>
    <row r="4206" spans="1:20">
      <c r="A4206" s="1303"/>
      <c r="B4206" s="1322" t="s">
        <v>10306</v>
      </c>
      <c r="C4206" s="1323" t="s">
        <v>10307</v>
      </c>
      <c r="D4206" s="1324">
        <f t="shared" si="420"/>
        <v>35746</v>
      </c>
      <c r="E4206" s="1323">
        <f t="shared" si="422"/>
        <v>4.8239000000000001</v>
      </c>
      <c r="F4206" s="1323">
        <f t="shared" si="421"/>
        <v>4.3812895394830607</v>
      </c>
      <c r="G4206" s="1323">
        <f t="shared" si="423"/>
        <v>1997</v>
      </c>
      <c r="H4206" s="1323">
        <f t="shared" si="424"/>
        <v>11</v>
      </c>
      <c r="I4206" s="1323">
        <f t="shared" si="425"/>
        <v>12</v>
      </c>
      <c r="J4206" s="1323"/>
      <c r="K4206" s="1323"/>
      <c r="L4206" s="1323"/>
      <c r="M4206" s="1323"/>
      <c r="N4206" s="1323"/>
      <c r="O4206" s="1323"/>
      <c r="P4206" s="1323"/>
      <c r="Q4206" s="1323"/>
      <c r="R4206" s="1304"/>
      <c r="S4206" s="1304"/>
      <c r="T4206" s="1304"/>
    </row>
    <row r="4207" spans="1:20">
      <c r="A4207" s="1303"/>
      <c r="B4207" s="1322" t="s">
        <v>10308</v>
      </c>
      <c r="C4207" s="1323" t="s">
        <v>10309</v>
      </c>
      <c r="D4207" s="1324">
        <f t="shared" si="420"/>
        <v>35745</v>
      </c>
      <c r="E4207" s="1323">
        <f t="shared" si="422"/>
        <v>4.8146000000000004</v>
      </c>
      <c r="F4207" s="1323">
        <f t="shared" si="421"/>
        <v>4.3804494532865395</v>
      </c>
      <c r="G4207" s="1323">
        <f t="shared" si="423"/>
        <v>1997</v>
      </c>
      <c r="H4207" s="1323">
        <f t="shared" si="424"/>
        <v>11</v>
      </c>
      <c r="I4207" s="1323">
        <f t="shared" si="425"/>
        <v>11</v>
      </c>
      <c r="J4207" s="1323"/>
      <c r="K4207" s="1323"/>
      <c r="L4207" s="1323"/>
      <c r="M4207" s="1323"/>
      <c r="N4207" s="1323"/>
      <c r="O4207" s="1323"/>
      <c r="P4207" s="1323"/>
      <c r="Q4207" s="1323"/>
      <c r="R4207" s="1304"/>
      <c r="S4207" s="1304"/>
      <c r="T4207" s="1304"/>
    </row>
    <row r="4208" spans="1:20">
      <c r="A4208" s="1303"/>
      <c r="B4208" s="1322" t="s">
        <v>10310</v>
      </c>
      <c r="C4208" s="1323" t="s">
        <v>10311</v>
      </c>
      <c r="D4208" s="1324">
        <f t="shared" si="420"/>
        <v>35744</v>
      </c>
      <c r="E4208" s="1323">
        <f t="shared" si="422"/>
        <v>4.8273999999999999</v>
      </c>
      <c r="F4208" s="1323">
        <f t="shared" si="421"/>
        <v>4.3796095281715477</v>
      </c>
      <c r="G4208" s="1323">
        <f t="shared" si="423"/>
        <v>1997</v>
      </c>
      <c r="H4208" s="1323">
        <f t="shared" si="424"/>
        <v>11</v>
      </c>
      <c r="I4208" s="1323">
        <f t="shared" si="425"/>
        <v>10</v>
      </c>
      <c r="J4208" s="1323"/>
      <c r="K4208" s="1323"/>
      <c r="L4208" s="1323"/>
      <c r="M4208" s="1323"/>
      <c r="N4208" s="1323"/>
      <c r="O4208" s="1323"/>
      <c r="P4208" s="1323"/>
      <c r="Q4208" s="1323"/>
      <c r="R4208" s="1304"/>
      <c r="S4208" s="1304"/>
      <c r="T4208" s="1304"/>
    </row>
    <row r="4209" spans="1:20">
      <c r="A4209" s="1303"/>
      <c r="B4209" s="1322" t="s">
        <v>10312</v>
      </c>
      <c r="C4209" s="1323" t="s">
        <v>10313</v>
      </c>
      <c r="D4209" s="1324">
        <f t="shared" si="420"/>
        <v>35741</v>
      </c>
      <c r="E4209" s="1323">
        <f t="shared" si="422"/>
        <v>4.8285999999999998</v>
      </c>
      <c r="F4209" s="1323">
        <f t="shared" si="421"/>
        <v>4.3787697641071981</v>
      </c>
      <c r="G4209" s="1323">
        <f t="shared" si="423"/>
        <v>1997</v>
      </c>
      <c r="H4209" s="1323">
        <f t="shared" si="424"/>
        <v>11</v>
      </c>
      <c r="I4209" s="1323">
        <f t="shared" si="425"/>
        <v>7</v>
      </c>
      <c r="J4209" s="1323"/>
      <c r="K4209" s="1323"/>
      <c r="L4209" s="1323"/>
      <c r="M4209" s="1323"/>
      <c r="N4209" s="1323"/>
      <c r="O4209" s="1323"/>
      <c r="P4209" s="1323"/>
      <c r="Q4209" s="1323"/>
      <c r="R4209" s="1304"/>
      <c r="S4209" s="1304"/>
      <c r="T4209" s="1304"/>
    </row>
    <row r="4210" spans="1:20">
      <c r="A4210" s="1303"/>
      <c r="B4210" s="1322" t="s">
        <v>10314</v>
      </c>
      <c r="C4210" s="1323" t="s">
        <v>10315</v>
      </c>
      <c r="D4210" s="1324">
        <f t="shared" si="420"/>
        <v>35740</v>
      </c>
      <c r="E4210" s="1323">
        <f t="shared" si="422"/>
        <v>4.8170000000000002</v>
      </c>
      <c r="F4210" s="1323">
        <f t="shared" si="421"/>
        <v>4.3779301610626105</v>
      </c>
      <c r="G4210" s="1323">
        <f t="shared" si="423"/>
        <v>1997</v>
      </c>
      <c r="H4210" s="1323">
        <f t="shared" si="424"/>
        <v>11</v>
      </c>
      <c r="I4210" s="1323">
        <f t="shared" si="425"/>
        <v>6</v>
      </c>
      <c r="J4210" s="1323"/>
      <c r="K4210" s="1323"/>
      <c r="L4210" s="1323"/>
      <c r="M4210" s="1323"/>
      <c r="N4210" s="1323"/>
      <c r="O4210" s="1323"/>
      <c r="P4210" s="1323"/>
      <c r="Q4210" s="1323"/>
      <c r="R4210" s="1304"/>
      <c r="S4210" s="1304"/>
      <c r="T4210" s="1304"/>
    </row>
    <row r="4211" spans="1:20">
      <c r="A4211" s="1303"/>
      <c r="B4211" s="1322" t="s">
        <v>10316</v>
      </c>
      <c r="C4211" s="1323" t="s">
        <v>10317</v>
      </c>
      <c r="D4211" s="1324">
        <f t="shared" si="420"/>
        <v>35739</v>
      </c>
      <c r="E4211" s="1323">
        <f t="shared" si="422"/>
        <v>4.8228</v>
      </c>
      <c r="F4211" s="1323">
        <f t="shared" si="421"/>
        <v>4.3770907190069099</v>
      </c>
      <c r="G4211" s="1323">
        <f t="shared" si="423"/>
        <v>1997</v>
      </c>
      <c r="H4211" s="1323">
        <f t="shared" si="424"/>
        <v>11</v>
      </c>
      <c r="I4211" s="1323">
        <f t="shared" si="425"/>
        <v>5</v>
      </c>
      <c r="J4211" s="1323"/>
      <c r="K4211" s="1323"/>
      <c r="L4211" s="1323"/>
      <c r="M4211" s="1323"/>
      <c r="N4211" s="1323"/>
      <c r="O4211" s="1323"/>
      <c r="P4211" s="1323"/>
      <c r="Q4211" s="1323"/>
      <c r="R4211" s="1304"/>
      <c r="S4211" s="1304"/>
      <c r="T4211" s="1304"/>
    </row>
    <row r="4212" spans="1:20">
      <c r="A4212" s="1303"/>
      <c r="B4212" s="1322" t="s">
        <v>10318</v>
      </c>
      <c r="C4212" s="1323" t="s">
        <v>10319</v>
      </c>
      <c r="D4212" s="1324">
        <f t="shared" si="420"/>
        <v>35738</v>
      </c>
      <c r="E4212" s="1323">
        <f t="shared" si="422"/>
        <v>4.7972999999999999</v>
      </c>
      <c r="F4212" s="1323">
        <f t="shared" si="421"/>
        <v>4.3762514379092288</v>
      </c>
      <c r="G4212" s="1323">
        <f t="shared" si="423"/>
        <v>1997</v>
      </c>
      <c r="H4212" s="1323">
        <f t="shared" si="424"/>
        <v>11</v>
      </c>
      <c r="I4212" s="1323">
        <f t="shared" si="425"/>
        <v>4</v>
      </c>
      <c r="J4212" s="1323"/>
      <c r="K4212" s="1323"/>
      <c r="L4212" s="1323"/>
      <c r="M4212" s="1323"/>
      <c r="N4212" s="1323"/>
      <c r="O4212" s="1323"/>
      <c r="P4212" s="1323"/>
      <c r="Q4212" s="1323"/>
      <c r="R4212" s="1304"/>
      <c r="S4212" s="1304"/>
      <c r="T4212" s="1304"/>
    </row>
    <row r="4213" spans="1:20">
      <c r="A4213" s="1303"/>
      <c r="B4213" s="1322" t="s">
        <v>10320</v>
      </c>
      <c r="C4213" s="1323" t="s">
        <v>10321</v>
      </c>
      <c r="D4213" s="1324">
        <f t="shared" si="420"/>
        <v>35737</v>
      </c>
      <c r="E4213" s="1323">
        <f t="shared" si="422"/>
        <v>4.7995999999999999</v>
      </c>
      <c r="F4213" s="1323">
        <f t="shared" si="421"/>
        <v>4.3754123177387036</v>
      </c>
      <c r="G4213" s="1323">
        <f t="shared" si="423"/>
        <v>1997</v>
      </c>
      <c r="H4213" s="1323">
        <f t="shared" si="424"/>
        <v>11</v>
      </c>
      <c r="I4213" s="1323">
        <f t="shared" si="425"/>
        <v>3</v>
      </c>
      <c r="J4213" s="1323"/>
      <c r="K4213" s="1323"/>
      <c r="L4213" s="1323"/>
      <c r="M4213" s="1323"/>
      <c r="N4213" s="1323"/>
      <c r="O4213" s="1323"/>
      <c r="P4213" s="1323"/>
      <c r="Q4213" s="1323"/>
      <c r="R4213" s="1304"/>
      <c r="S4213" s="1304"/>
      <c r="T4213" s="1304"/>
    </row>
    <row r="4214" spans="1:20">
      <c r="A4214" s="1303"/>
      <c r="B4214" s="1322" t="s">
        <v>10322</v>
      </c>
      <c r="C4214" s="1323" t="s">
        <v>10323</v>
      </c>
      <c r="D4214" s="1324">
        <f t="shared" si="420"/>
        <v>35734</v>
      </c>
      <c r="E4214" s="1323">
        <f t="shared" si="422"/>
        <v>4.8135000000000003</v>
      </c>
      <c r="F4214" s="1323">
        <f t="shared" si="421"/>
        <v>4.3745733584644775</v>
      </c>
      <c r="G4214" s="1323">
        <f t="shared" si="423"/>
        <v>1997</v>
      </c>
      <c r="H4214" s="1323">
        <f t="shared" si="424"/>
        <v>10</v>
      </c>
      <c r="I4214" s="1323">
        <f t="shared" si="425"/>
        <v>31</v>
      </c>
      <c r="J4214" s="1323"/>
      <c r="K4214" s="1323"/>
      <c r="L4214" s="1323"/>
      <c r="M4214" s="1323"/>
      <c r="N4214" s="1323"/>
      <c r="O4214" s="1323"/>
      <c r="P4214" s="1323"/>
      <c r="Q4214" s="1323"/>
      <c r="R4214" s="1304"/>
      <c r="S4214" s="1304"/>
      <c r="T4214" s="1304"/>
    </row>
    <row r="4215" spans="1:20">
      <c r="A4215" s="1303"/>
      <c r="B4215" s="1322" t="s">
        <v>10324</v>
      </c>
      <c r="C4215" s="1323" t="s">
        <v>10325</v>
      </c>
      <c r="D4215" s="1324">
        <f t="shared" si="420"/>
        <v>35733</v>
      </c>
      <c r="E4215" s="1323">
        <f t="shared" si="422"/>
        <v>4.8308999999999997</v>
      </c>
      <c r="F4215" s="1323">
        <f t="shared" si="421"/>
        <v>4.3737345600556994</v>
      </c>
      <c r="G4215" s="1323">
        <f t="shared" si="423"/>
        <v>1997</v>
      </c>
      <c r="H4215" s="1323">
        <f t="shared" si="424"/>
        <v>10</v>
      </c>
      <c r="I4215" s="1323">
        <f t="shared" si="425"/>
        <v>30</v>
      </c>
      <c r="J4215" s="1323"/>
      <c r="K4215" s="1323"/>
      <c r="L4215" s="1323"/>
      <c r="M4215" s="1323"/>
      <c r="N4215" s="1323"/>
      <c r="O4215" s="1323"/>
      <c r="P4215" s="1323"/>
      <c r="Q4215" s="1323"/>
      <c r="R4215" s="1304"/>
      <c r="S4215" s="1304"/>
      <c r="T4215" s="1304"/>
    </row>
    <row r="4216" spans="1:20">
      <c r="A4216" s="1303"/>
      <c r="B4216" s="1322" t="s">
        <v>10326</v>
      </c>
      <c r="C4216" s="1323" t="s">
        <v>10327</v>
      </c>
      <c r="D4216" s="1324">
        <f t="shared" si="420"/>
        <v>35732</v>
      </c>
      <c r="E4216" s="1323">
        <f t="shared" si="422"/>
        <v>4.8018999999999998</v>
      </c>
      <c r="F4216" s="1323">
        <f t="shared" si="421"/>
        <v>4.3728959224815247</v>
      </c>
      <c r="G4216" s="1323">
        <f t="shared" si="423"/>
        <v>1997</v>
      </c>
      <c r="H4216" s="1323">
        <f t="shared" si="424"/>
        <v>10</v>
      </c>
      <c r="I4216" s="1323">
        <f t="shared" si="425"/>
        <v>29</v>
      </c>
      <c r="J4216" s="1323"/>
      <c r="K4216" s="1323"/>
      <c r="L4216" s="1323"/>
      <c r="M4216" s="1323"/>
      <c r="N4216" s="1323"/>
      <c r="O4216" s="1323"/>
      <c r="P4216" s="1323"/>
      <c r="Q4216" s="1323"/>
      <c r="R4216" s="1304"/>
      <c r="S4216" s="1304"/>
      <c r="T4216" s="1304"/>
    </row>
    <row r="4217" spans="1:20">
      <c r="A4217" s="1303"/>
      <c r="B4217" s="1322" t="s">
        <v>10328</v>
      </c>
      <c r="C4217" s="1323" t="s">
        <v>10329</v>
      </c>
      <c r="D4217" s="1324">
        <f t="shared" si="420"/>
        <v>35731</v>
      </c>
      <c r="E4217" s="1323">
        <f t="shared" si="422"/>
        <v>4.8520000000000003</v>
      </c>
      <c r="F4217" s="1323">
        <f t="shared" si="421"/>
        <v>4.3720574457111141</v>
      </c>
      <c r="G4217" s="1323">
        <f t="shared" si="423"/>
        <v>1997</v>
      </c>
      <c r="H4217" s="1323">
        <f t="shared" si="424"/>
        <v>10</v>
      </c>
      <c r="I4217" s="1323">
        <f t="shared" si="425"/>
        <v>28</v>
      </c>
      <c r="J4217" s="1323"/>
      <c r="K4217" s="1323"/>
      <c r="L4217" s="1323"/>
      <c r="M4217" s="1323"/>
      <c r="N4217" s="1323"/>
      <c r="O4217" s="1323"/>
      <c r="P4217" s="1323"/>
      <c r="Q4217" s="1323"/>
      <c r="R4217" s="1304"/>
      <c r="S4217" s="1304"/>
      <c r="T4217" s="1304"/>
    </row>
    <row r="4218" spans="1:20">
      <c r="A4218" s="1303"/>
      <c r="B4218" s="1322" t="s">
        <v>10330</v>
      </c>
      <c r="C4218" s="1323" t="s">
        <v>10331</v>
      </c>
      <c r="D4218" s="1324">
        <f t="shared" si="420"/>
        <v>35730</v>
      </c>
      <c r="E4218" s="1323">
        <f t="shared" si="422"/>
        <v>4.7472000000000003</v>
      </c>
      <c r="F4218" s="1323">
        <f t="shared" si="421"/>
        <v>4.3712191297136345</v>
      </c>
      <c r="G4218" s="1323">
        <f t="shared" si="423"/>
        <v>1997</v>
      </c>
      <c r="H4218" s="1323">
        <f t="shared" si="424"/>
        <v>10</v>
      </c>
      <c r="I4218" s="1323">
        <f t="shared" si="425"/>
        <v>27</v>
      </c>
      <c r="J4218" s="1323"/>
      <c r="K4218" s="1323"/>
      <c r="L4218" s="1323"/>
      <c r="M4218" s="1323"/>
      <c r="N4218" s="1323"/>
      <c r="O4218" s="1323"/>
      <c r="P4218" s="1323"/>
      <c r="Q4218" s="1323"/>
      <c r="R4218" s="1304"/>
      <c r="S4218" s="1304"/>
      <c r="T4218" s="1304"/>
    </row>
    <row r="4219" spans="1:20">
      <c r="A4219" s="1303"/>
      <c r="B4219" s="1322" t="s">
        <v>10332</v>
      </c>
      <c r="C4219" s="1323" t="s">
        <v>10333</v>
      </c>
      <c r="D4219" s="1324">
        <f t="shared" si="420"/>
        <v>35727</v>
      </c>
      <c r="E4219" s="1323">
        <f t="shared" si="422"/>
        <v>4.7237</v>
      </c>
      <c r="F4219" s="1323">
        <f t="shared" si="421"/>
        <v>4.3703809744582589</v>
      </c>
      <c r="G4219" s="1323">
        <f t="shared" si="423"/>
        <v>1997</v>
      </c>
      <c r="H4219" s="1323">
        <f t="shared" si="424"/>
        <v>10</v>
      </c>
      <c r="I4219" s="1323">
        <f t="shared" si="425"/>
        <v>24</v>
      </c>
      <c r="J4219" s="1323"/>
      <c r="K4219" s="1323"/>
      <c r="L4219" s="1323"/>
      <c r="M4219" s="1323"/>
      <c r="N4219" s="1323"/>
      <c r="O4219" s="1323"/>
      <c r="P4219" s="1323"/>
      <c r="Q4219" s="1323"/>
      <c r="R4219" s="1304"/>
      <c r="S4219" s="1304"/>
      <c r="T4219" s="1304"/>
    </row>
    <row r="4220" spans="1:20">
      <c r="A4220" s="1303"/>
      <c r="B4220" s="1322" t="s">
        <v>10334</v>
      </c>
      <c r="C4220" s="1323" t="s">
        <v>10335</v>
      </c>
      <c r="D4220" s="1324">
        <f t="shared" si="420"/>
        <v>35726</v>
      </c>
      <c r="E4220" s="1323">
        <f t="shared" si="422"/>
        <v>4.7281000000000004</v>
      </c>
      <c r="F4220" s="1323">
        <f t="shared" si="421"/>
        <v>4.3695429799141658</v>
      </c>
      <c r="G4220" s="1323">
        <f t="shared" si="423"/>
        <v>1997</v>
      </c>
      <c r="H4220" s="1323">
        <f t="shared" si="424"/>
        <v>10</v>
      </c>
      <c r="I4220" s="1323">
        <f t="shared" si="425"/>
        <v>23</v>
      </c>
      <c r="J4220" s="1323"/>
      <c r="K4220" s="1323"/>
      <c r="L4220" s="1323"/>
      <c r="M4220" s="1323"/>
      <c r="N4220" s="1323"/>
      <c r="O4220" s="1323"/>
      <c r="P4220" s="1323"/>
      <c r="Q4220" s="1323"/>
      <c r="R4220" s="1304"/>
      <c r="S4220" s="1304"/>
      <c r="T4220" s="1304"/>
    </row>
    <row r="4221" spans="1:20">
      <c r="A4221" s="1303"/>
      <c r="B4221" s="1322" t="s">
        <v>10336</v>
      </c>
      <c r="C4221" s="1323" t="s">
        <v>10337</v>
      </c>
      <c r="D4221" s="1324">
        <f t="shared" si="420"/>
        <v>35725</v>
      </c>
      <c r="E4221" s="1323">
        <f t="shared" si="422"/>
        <v>4.7159000000000004</v>
      </c>
      <c r="F4221" s="1323">
        <f t="shared" si="421"/>
        <v>4.3687051460505399</v>
      </c>
      <c r="G4221" s="1323">
        <f t="shared" si="423"/>
        <v>1997</v>
      </c>
      <c r="H4221" s="1323">
        <f t="shared" si="424"/>
        <v>10</v>
      </c>
      <c r="I4221" s="1323">
        <f t="shared" si="425"/>
        <v>22</v>
      </c>
      <c r="J4221" s="1323"/>
      <c r="K4221" s="1323"/>
      <c r="L4221" s="1323"/>
      <c r="M4221" s="1323"/>
      <c r="N4221" s="1323"/>
      <c r="O4221" s="1323"/>
      <c r="P4221" s="1323"/>
      <c r="Q4221" s="1323"/>
      <c r="R4221" s="1304"/>
      <c r="S4221" s="1304"/>
      <c r="T4221" s="1304"/>
    </row>
    <row r="4222" spans="1:20">
      <c r="A4222" s="1303"/>
      <c r="B4222" s="1322" t="s">
        <v>10338</v>
      </c>
      <c r="C4222" s="1323" t="s">
        <v>10339</v>
      </c>
      <c r="D4222" s="1324">
        <f t="shared" si="420"/>
        <v>35724</v>
      </c>
      <c r="E4222" s="1323">
        <f t="shared" si="422"/>
        <v>4.6959</v>
      </c>
      <c r="F4222" s="1323">
        <f t="shared" si="421"/>
        <v>4.3678674728365712</v>
      </c>
      <c r="G4222" s="1323">
        <f t="shared" si="423"/>
        <v>1997</v>
      </c>
      <c r="H4222" s="1323">
        <f t="shared" si="424"/>
        <v>10</v>
      </c>
      <c r="I4222" s="1323">
        <f t="shared" si="425"/>
        <v>21</v>
      </c>
      <c r="J4222" s="1323"/>
      <c r="K4222" s="1323"/>
      <c r="L4222" s="1323"/>
      <c r="M4222" s="1323"/>
      <c r="N4222" s="1323"/>
      <c r="O4222" s="1323"/>
      <c r="P4222" s="1323"/>
      <c r="Q4222" s="1323"/>
      <c r="R4222" s="1304"/>
      <c r="S4222" s="1304"/>
      <c r="T4222" s="1304"/>
    </row>
    <row r="4223" spans="1:20">
      <c r="A4223" s="1303"/>
      <c r="B4223" s="1322" t="s">
        <v>10340</v>
      </c>
      <c r="C4223" s="1323" t="s">
        <v>10341</v>
      </c>
      <c r="D4223" s="1324">
        <f t="shared" si="420"/>
        <v>35723</v>
      </c>
      <c r="E4223" s="1323">
        <f t="shared" si="422"/>
        <v>4.7047999999999996</v>
      </c>
      <c r="F4223" s="1323">
        <f t="shared" si="421"/>
        <v>4.3670299602414566</v>
      </c>
      <c r="G4223" s="1323">
        <f t="shared" si="423"/>
        <v>1997</v>
      </c>
      <c r="H4223" s="1323">
        <f t="shared" si="424"/>
        <v>10</v>
      </c>
      <c r="I4223" s="1323">
        <f t="shared" si="425"/>
        <v>20</v>
      </c>
      <c r="J4223" s="1323"/>
      <c r="K4223" s="1323"/>
      <c r="L4223" s="1323"/>
      <c r="M4223" s="1323"/>
      <c r="N4223" s="1323"/>
      <c r="O4223" s="1323"/>
      <c r="P4223" s="1323"/>
      <c r="Q4223" s="1323"/>
      <c r="R4223" s="1304"/>
      <c r="S4223" s="1304"/>
      <c r="T4223" s="1304"/>
    </row>
    <row r="4224" spans="1:20">
      <c r="A4224" s="1303"/>
      <c r="B4224" s="1322" t="s">
        <v>10342</v>
      </c>
      <c r="C4224" s="1323" t="s">
        <v>10343</v>
      </c>
      <c r="D4224" s="1324">
        <f t="shared" si="420"/>
        <v>35720</v>
      </c>
      <c r="E4224" s="1323">
        <f t="shared" si="422"/>
        <v>4.6947999999999999</v>
      </c>
      <c r="F4224" s="1323">
        <f t="shared" si="421"/>
        <v>4.3661926082343978</v>
      </c>
      <c r="G4224" s="1323">
        <f t="shared" si="423"/>
        <v>1997</v>
      </c>
      <c r="H4224" s="1323">
        <f t="shared" si="424"/>
        <v>10</v>
      </c>
      <c r="I4224" s="1323">
        <f t="shared" si="425"/>
        <v>17</v>
      </c>
      <c r="J4224" s="1323"/>
      <c r="K4224" s="1323"/>
      <c r="L4224" s="1323"/>
      <c r="M4224" s="1323"/>
      <c r="N4224" s="1323"/>
      <c r="O4224" s="1323"/>
      <c r="P4224" s="1323"/>
      <c r="Q4224" s="1323"/>
      <c r="R4224" s="1304"/>
      <c r="S4224" s="1304"/>
      <c r="T4224" s="1304"/>
    </row>
    <row r="4225" spans="1:20">
      <c r="A4225" s="1303"/>
      <c r="B4225" s="1322" t="s">
        <v>10344</v>
      </c>
      <c r="C4225" s="1323" t="s">
        <v>10345</v>
      </c>
      <c r="D4225" s="1324">
        <f t="shared" si="420"/>
        <v>35719</v>
      </c>
      <c r="E4225" s="1323">
        <f t="shared" si="422"/>
        <v>4.6826999999999996</v>
      </c>
      <c r="F4225" s="1323">
        <f t="shared" si="421"/>
        <v>4.3653554167846034</v>
      </c>
      <c r="G4225" s="1323">
        <f t="shared" si="423"/>
        <v>1997</v>
      </c>
      <c r="H4225" s="1323">
        <f t="shared" si="424"/>
        <v>10</v>
      </c>
      <c r="I4225" s="1323">
        <f t="shared" si="425"/>
        <v>16</v>
      </c>
      <c r="J4225" s="1323"/>
      <c r="K4225" s="1323"/>
      <c r="L4225" s="1323"/>
      <c r="M4225" s="1323"/>
      <c r="N4225" s="1323"/>
      <c r="O4225" s="1323"/>
      <c r="P4225" s="1323"/>
      <c r="Q4225" s="1323"/>
      <c r="R4225" s="1304"/>
      <c r="S4225" s="1304"/>
      <c r="T4225" s="1304"/>
    </row>
    <row r="4226" spans="1:20">
      <c r="A4226" s="1303"/>
      <c r="B4226" s="1322" t="s">
        <v>10346</v>
      </c>
      <c r="C4226" s="1323" t="s">
        <v>10347</v>
      </c>
      <c r="D4226" s="1324">
        <f t="shared" si="420"/>
        <v>35718</v>
      </c>
      <c r="E4226" s="1323">
        <f t="shared" si="422"/>
        <v>4.6707000000000001</v>
      </c>
      <c r="F4226" s="1323">
        <f t="shared" si="421"/>
        <v>4.3645183858612873</v>
      </c>
      <c r="G4226" s="1323">
        <f t="shared" si="423"/>
        <v>1997</v>
      </c>
      <c r="H4226" s="1323">
        <f t="shared" si="424"/>
        <v>10</v>
      </c>
      <c r="I4226" s="1323">
        <f t="shared" si="425"/>
        <v>15</v>
      </c>
      <c r="J4226" s="1323"/>
      <c r="K4226" s="1323"/>
      <c r="L4226" s="1323"/>
      <c r="M4226" s="1323"/>
      <c r="N4226" s="1323"/>
      <c r="O4226" s="1323"/>
      <c r="P4226" s="1323"/>
      <c r="Q4226" s="1323"/>
      <c r="R4226" s="1304"/>
      <c r="S4226" s="1304"/>
      <c r="T4226" s="1304"/>
    </row>
    <row r="4227" spans="1:20">
      <c r="A4227" s="1303"/>
      <c r="B4227" s="1322" t="s">
        <v>10348</v>
      </c>
      <c r="C4227" s="1323" t="s">
        <v>10349</v>
      </c>
      <c r="D4227" s="1324">
        <f t="shared" si="420"/>
        <v>35717</v>
      </c>
      <c r="E4227" s="1323">
        <f t="shared" si="422"/>
        <v>4.6673999999999998</v>
      </c>
      <c r="F4227" s="1323">
        <f t="shared" si="421"/>
        <v>4.3636815154336697</v>
      </c>
      <c r="G4227" s="1323">
        <f t="shared" si="423"/>
        <v>1997</v>
      </c>
      <c r="H4227" s="1323">
        <f t="shared" si="424"/>
        <v>10</v>
      </c>
      <c r="I4227" s="1323">
        <f t="shared" si="425"/>
        <v>14</v>
      </c>
      <c r="J4227" s="1323"/>
      <c r="K4227" s="1323"/>
      <c r="L4227" s="1323"/>
      <c r="M4227" s="1323"/>
      <c r="N4227" s="1323"/>
      <c r="O4227" s="1323"/>
      <c r="P4227" s="1323"/>
      <c r="Q4227" s="1323"/>
      <c r="R4227" s="1304"/>
      <c r="S4227" s="1304"/>
      <c r="T4227" s="1304"/>
    </row>
    <row r="4228" spans="1:20">
      <c r="A4228" s="1303"/>
      <c r="B4228" s="1322" t="s">
        <v>10350</v>
      </c>
      <c r="C4228" s="1323" t="s">
        <v>10351</v>
      </c>
      <c r="D4228" s="1324">
        <f t="shared" si="420"/>
        <v>35716</v>
      </c>
      <c r="E4228" s="1323">
        <f t="shared" si="422"/>
        <v>4.6664000000000003</v>
      </c>
      <c r="F4228" s="1323">
        <f t="shared" si="421"/>
        <v>4.3628448054709761</v>
      </c>
      <c r="G4228" s="1323">
        <f t="shared" si="423"/>
        <v>1997</v>
      </c>
      <c r="H4228" s="1323">
        <f t="shared" si="424"/>
        <v>10</v>
      </c>
      <c r="I4228" s="1323">
        <f t="shared" si="425"/>
        <v>13</v>
      </c>
      <c r="J4228" s="1323"/>
      <c r="K4228" s="1323"/>
      <c r="L4228" s="1323"/>
      <c r="M4228" s="1323"/>
      <c r="N4228" s="1323"/>
      <c r="O4228" s="1323"/>
      <c r="P4228" s="1323"/>
      <c r="Q4228" s="1323"/>
      <c r="R4228" s="1304"/>
      <c r="S4228" s="1304"/>
      <c r="T4228" s="1304"/>
    </row>
    <row r="4229" spans="1:20">
      <c r="A4229" s="1303"/>
      <c r="B4229" s="1322" t="s">
        <v>10352</v>
      </c>
      <c r="C4229" s="1323" t="s">
        <v>10353</v>
      </c>
      <c r="D4229" s="1324">
        <f t="shared" si="420"/>
        <v>35713</v>
      </c>
      <c r="E4229" s="1323">
        <f t="shared" si="422"/>
        <v>4.6696</v>
      </c>
      <c r="F4229" s="1323">
        <f t="shared" si="421"/>
        <v>4.3620082559424391</v>
      </c>
      <c r="G4229" s="1323">
        <f t="shared" si="423"/>
        <v>1997</v>
      </c>
      <c r="H4229" s="1323">
        <f t="shared" si="424"/>
        <v>10</v>
      </c>
      <c r="I4229" s="1323">
        <f t="shared" si="425"/>
        <v>10</v>
      </c>
      <c r="J4229" s="1323"/>
      <c r="K4229" s="1323"/>
      <c r="L4229" s="1323"/>
      <c r="M4229" s="1323"/>
      <c r="N4229" s="1323"/>
      <c r="O4229" s="1323"/>
      <c r="P4229" s="1323"/>
      <c r="Q4229" s="1323"/>
      <c r="R4229" s="1304"/>
      <c r="S4229" s="1304"/>
      <c r="T4229" s="1304"/>
    </row>
    <row r="4230" spans="1:20">
      <c r="A4230" s="1303"/>
      <c r="B4230" s="1322" t="s">
        <v>10354</v>
      </c>
      <c r="C4230" s="1323" t="s">
        <v>10355</v>
      </c>
      <c r="D4230" s="1324">
        <f t="shared" si="420"/>
        <v>35712</v>
      </c>
      <c r="E4230" s="1323">
        <f t="shared" si="422"/>
        <v>4.6696</v>
      </c>
      <c r="F4230" s="1323">
        <f t="shared" si="421"/>
        <v>4.3611718668172959</v>
      </c>
      <c r="G4230" s="1323">
        <f t="shared" si="423"/>
        <v>1997</v>
      </c>
      <c r="H4230" s="1323">
        <f t="shared" si="424"/>
        <v>10</v>
      </c>
      <c r="I4230" s="1323">
        <f t="shared" si="425"/>
        <v>9</v>
      </c>
      <c r="J4230" s="1323"/>
      <c r="K4230" s="1323"/>
      <c r="L4230" s="1323"/>
      <c r="M4230" s="1323"/>
      <c r="N4230" s="1323"/>
      <c r="O4230" s="1323"/>
      <c r="P4230" s="1323"/>
      <c r="Q4230" s="1323"/>
      <c r="R4230" s="1304"/>
      <c r="S4230" s="1304"/>
      <c r="T4230" s="1304"/>
    </row>
    <row r="4231" spans="1:20">
      <c r="A4231" s="1303"/>
      <c r="B4231" s="1322" t="s">
        <v>10356</v>
      </c>
      <c r="C4231" s="1323" t="s">
        <v>10355</v>
      </c>
      <c r="D4231" s="1324">
        <f t="shared" si="420"/>
        <v>35711</v>
      </c>
      <c r="E4231" s="1323">
        <f t="shared" si="422"/>
        <v>4.6696</v>
      </c>
      <c r="F4231" s="1323">
        <f t="shared" si="421"/>
        <v>4.3603356380647904</v>
      </c>
      <c r="G4231" s="1323">
        <f t="shared" si="423"/>
        <v>1997</v>
      </c>
      <c r="H4231" s="1323">
        <f t="shared" si="424"/>
        <v>10</v>
      </c>
      <c r="I4231" s="1323">
        <f t="shared" si="425"/>
        <v>8</v>
      </c>
      <c r="J4231" s="1323"/>
      <c r="K4231" s="1323"/>
      <c r="L4231" s="1323"/>
      <c r="M4231" s="1323"/>
      <c r="N4231" s="1323"/>
      <c r="O4231" s="1323"/>
      <c r="P4231" s="1323"/>
      <c r="Q4231" s="1323"/>
      <c r="R4231" s="1304"/>
      <c r="S4231" s="1304"/>
      <c r="T4231" s="1304"/>
    </row>
    <row r="4232" spans="1:20">
      <c r="A4232" s="1303"/>
      <c r="B4232" s="1322" t="s">
        <v>10357</v>
      </c>
      <c r="C4232" s="1323" t="s">
        <v>10355</v>
      </c>
      <c r="D4232" s="1324">
        <f t="shared" si="420"/>
        <v>35710</v>
      </c>
      <c r="E4232" s="1323">
        <f t="shared" si="422"/>
        <v>4.6673999999999998</v>
      </c>
      <c r="F4232" s="1323">
        <f t="shared" si="421"/>
        <v>4.3594995696541714</v>
      </c>
      <c r="G4232" s="1323">
        <f t="shared" si="423"/>
        <v>1997</v>
      </c>
      <c r="H4232" s="1323">
        <f t="shared" si="424"/>
        <v>10</v>
      </c>
      <c r="I4232" s="1323">
        <f t="shared" si="425"/>
        <v>7</v>
      </c>
      <c r="J4232" s="1323"/>
      <c r="K4232" s="1323"/>
      <c r="L4232" s="1323"/>
      <c r="M4232" s="1323"/>
      <c r="N4232" s="1323"/>
      <c r="O4232" s="1323"/>
      <c r="P4232" s="1323"/>
      <c r="Q4232" s="1323"/>
      <c r="R4232" s="1304"/>
      <c r="S4232" s="1304"/>
      <c r="T4232" s="1304"/>
    </row>
    <row r="4233" spans="1:20">
      <c r="A4233" s="1303"/>
      <c r="B4233" s="1322" t="s">
        <v>10358</v>
      </c>
      <c r="C4233" s="1323" t="s">
        <v>10351</v>
      </c>
      <c r="D4233" s="1324">
        <f t="shared" ref="D4233:D4296" si="426">DATE(G4233,H4233,I4233)</f>
        <v>35709</v>
      </c>
      <c r="E4233" s="1323">
        <f t="shared" si="422"/>
        <v>4.6631</v>
      </c>
      <c r="F4233" s="1323">
        <f t="shared" ref="F4233:F4296" si="427">F4234*(1+$F$7/365)</f>
        <v>4.3586636615546954</v>
      </c>
      <c r="G4233" s="1323">
        <f t="shared" si="423"/>
        <v>1997</v>
      </c>
      <c r="H4233" s="1323">
        <f t="shared" si="424"/>
        <v>10</v>
      </c>
      <c r="I4233" s="1323">
        <f t="shared" si="425"/>
        <v>6</v>
      </c>
      <c r="J4233" s="1323"/>
      <c r="K4233" s="1323"/>
      <c r="L4233" s="1323"/>
      <c r="M4233" s="1323"/>
      <c r="N4233" s="1323"/>
      <c r="O4233" s="1323"/>
      <c r="P4233" s="1323"/>
      <c r="Q4233" s="1323"/>
      <c r="R4233" s="1304"/>
      <c r="S4233" s="1304"/>
      <c r="T4233" s="1304"/>
    </row>
    <row r="4234" spans="1:20">
      <c r="A4234" s="1303"/>
      <c r="B4234" s="1322" t="s">
        <v>10359</v>
      </c>
      <c r="C4234" s="1323" t="s">
        <v>10360</v>
      </c>
      <c r="D4234" s="1324">
        <f t="shared" si="426"/>
        <v>35706</v>
      </c>
      <c r="E4234" s="1323">
        <f t="shared" si="422"/>
        <v>4.6631</v>
      </c>
      <c r="F4234" s="1323">
        <f t="shared" si="427"/>
        <v>4.3578279137356226</v>
      </c>
      <c r="G4234" s="1323">
        <f t="shared" si="423"/>
        <v>1997</v>
      </c>
      <c r="H4234" s="1323">
        <f t="shared" si="424"/>
        <v>10</v>
      </c>
      <c r="I4234" s="1323">
        <f t="shared" si="425"/>
        <v>3</v>
      </c>
      <c r="J4234" s="1323"/>
      <c r="K4234" s="1323"/>
      <c r="L4234" s="1323"/>
      <c r="M4234" s="1323"/>
      <c r="N4234" s="1323"/>
      <c r="O4234" s="1323"/>
      <c r="P4234" s="1323"/>
      <c r="Q4234" s="1323"/>
      <c r="R4234" s="1304"/>
      <c r="S4234" s="1304"/>
      <c r="T4234" s="1304"/>
    </row>
    <row r="4235" spans="1:20">
      <c r="A4235" s="1303"/>
      <c r="B4235" s="1322" t="s">
        <v>10361</v>
      </c>
      <c r="C4235" s="1323" t="s">
        <v>10360</v>
      </c>
      <c r="D4235" s="1324">
        <f t="shared" si="426"/>
        <v>35705</v>
      </c>
      <c r="E4235" s="1323">
        <f t="shared" si="422"/>
        <v>4.6707000000000001</v>
      </c>
      <c r="F4235" s="1323">
        <f t="shared" si="427"/>
        <v>4.3569923261662211</v>
      </c>
      <c r="G4235" s="1323">
        <f t="shared" si="423"/>
        <v>1997</v>
      </c>
      <c r="H4235" s="1323">
        <f t="shared" si="424"/>
        <v>10</v>
      </c>
      <c r="I4235" s="1323">
        <f t="shared" si="425"/>
        <v>2</v>
      </c>
      <c r="J4235" s="1323"/>
      <c r="K4235" s="1323"/>
      <c r="L4235" s="1323"/>
      <c r="M4235" s="1323"/>
      <c r="N4235" s="1323"/>
      <c r="O4235" s="1323"/>
      <c r="P4235" s="1323"/>
      <c r="Q4235" s="1323"/>
      <c r="R4235" s="1304"/>
      <c r="S4235" s="1304"/>
      <c r="T4235" s="1304"/>
    </row>
    <row r="4236" spans="1:20">
      <c r="A4236" s="1303"/>
      <c r="B4236" s="1322" t="s">
        <v>10362</v>
      </c>
      <c r="C4236" s="1323" t="s">
        <v>10349</v>
      </c>
      <c r="D4236" s="1324">
        <f t="shared" si="426"/>
        <v>35704</v>
      </c>
      <c r="E4236" s="1323">
        <f t="shared" si="422"/>
        <v>4.6543999999999999</v>
      </c>
      <c r="F4236" s="1323">
        <f t="shared" si="427"/>
        <v>4.3561568988157635</v>
      </c>
      <c r="G4236" s="1323">
        <f t="shared" si="423"/>
        <v>1997</v>
      </c>
      <c r="H4236" s="1323">
        <f t="shared" si="424"/>
        <v>10</v>
      </c>
      <c r="I4236" s="1323">
        <f t="shared" si="425"/>
        <v>1</v>
      </c>
      <c r="J4236" s="1323"/>
      <c r="K4236" s="1323"/>
      <c r="L4236" s="1323"/>
      <c r="M4236" s="1323"/>
      <c r="N4236" s="1323"/>
      <c r="O4236" s="1323"/>
      <c r="P4236" s="1323"/>
      <c r="Q4236" s="1323"/>
      <c r="R4236" s="1304"/>
      <c r="S4236" s="1304"/>
      <c r="T4236" s="1304"/>
    </row>
    <row r="4237" spans="1:20">
      <c r="A4237" s="1303"/>
      <c r="B4237" s="1322" t="s">
        <v>10363</v>
      </c>
      <c r="C4237" s="1323" t="s">
        <v>10364</v>
      </c>
      <c r="D4237" s="1324">
        <f t="shared" si="426"/>
        <v>35703</v>
      </c>
      <c r="E4237" s="1323">
        <f t="shared" si="422"/>
        <v>4.6664000000000003</v>
      </c>
      <c r="F4237" s="1323">
        <f t="shared" si="427"/>
        <v>4.3553216316535286</v>
      </c>
      <c r="G4237" s="1323">
        <f t="shared" si="423"/>
        <v>1997</v>
      </c>
      <c r="H4237" s="1323">
        <f t="shared" si="424"/>
        <v>9</v>
      </c>
      <c r="I4237" s="1323">
        <f t="shared" si="425"/>
        <v>30</v>
      </c>
      <c r="J4237" s="1323"/>
      <c r="K4237" s="1323"/>
      <c r="L4237" s="1323"/>
      <c r="M4237" s="1323"/>
      <c r="N4237" s="1323"/>
      <c r="O4237" s="1323"/>
      <c r="P4237" s="1323"/>
      <c r="Q4237" s="1323"/>
      <c r="R4237" s="1304"/>
      <c r="S4237" s="1304"/>
      <c r="T4237" s="1304"/>
    </row>
    <row r="4238" spans="1:20">
      <c r="A4238" s="1303"/>
      <c r="B4238" s="1322" t="s">
        <v>10365</v>
      </c>
      <c r="C4238" s="1323" t="s">
        <v>10353</v>
      </c>
      <c r="D4238" s="1324">
        <f t="shared" si="426"/>
        <v>35702</v>
      </c>
      <c r="E4238" s="1323">
        <f t="shared" si="422"/>
        <v>4.6696</v>
      </c>
      <c r="F4238" s="1323">
        <f t="shared" si="427"/>
        <v>4.3544865246488014</v>
      </c>
      <c r="G4238" s="1323">
        <f t="shared" si="423"/>
        <v>1997</v>
      </c>
      <c r="H4238" s="1323">
        <f t="shared" si="424"/>
        <v>9</v>
      </c>
      <c r="I4238" s="1323">
        <f t="shared" si="425"/>
        <v>29</v>
      </c>
      <c r="J4238" s="1323"/>
      <c r="K4238" s="1323"/>
      <c r="L4238" s="1323"/>
      <c r="M4238" s="1323"/>
      <c r="N4238" s="1323"/>
      <c r="O4238" s="1323"/>
      <c r="P4238" s="1323"/>
      <c r="Q4238" s="1323"/>
      <c r="R4238" s="1304"/>
      <c r="S4238" s="1304"/>
      <c r="T4238" s="1304"/>
    </row>
    <row r="4239" spans="1:20">
      <c r="A4239" s="1303"/>
      <c r="B4239" s="1322" t="s">
        <v>10366</v>
      </c>
      <c r="C4239" s="1323" t="s">
        <v>10355</v>
      </c>
      <c r="D4239" s="1324">
        <f t="shared" si="426"/>
        <v>35699</v>
      </c>
      <c r="E4239" s="1323">
        <f t="shared" si="422"/>
        <v>4.6740000000000004</v>
      </c>
      <c r="F4239" s="1323">
        <f t="shared" si="427"/>
        <v>4.3536515777708722</v>
      </c>
      <c r="G4239" s="1323">
        <f t="shared" si="423"/>
        <v>1997</v>
      </c>
      <c r="H4239" s="1323">
        <f t="shared" si="424"/>
        <v>9</v>
      </c>
      <c r="I4239" s="1323">
        <f t="shared" si="425"/>
        <v>26</v>
      </c>
      <c r="J4239" s="1323"/>
      <c r="K4239" s="1323"/>
      <c r="L4239" s="1323"/>
      <c r="M4239" s="1323"/>
      <c r="N4239" s="1323"/>
      <c r="O4239" s="1323"/>
      <c r="P4239" s="1323"/>
      <c r="Q4239" s="1323"/>
      <c r="R4239" s="1304"/>
      <c r="S4239" s="1304"/>
      <c r="T4239" s="1304"/>
    </row>
    <row r="4240" spans="1:20">
      <c r="A4240" s="1303"/>
      <c r="B4240" s="1322" t="s">
        <v>10367</v>
      </c>
      <c r="C4240" s="1323" t="s">
        <v>10368</v>
      </c>
      <c r="D4240" s="1324">
        <f t="shared" si="426"/>
        <v>35698</v>
      </c>
      <c r="E4240" s="1323">
        <f t="shared" si="422"/>
        <v>4.6893000000000002</v>
      </c>
      <c r="F4240" s="1323">
        <f t="shared" si="427"/>
        <v>4.3528167909890385</v>
      </c>
      <c r="G4240" s="1323">
        <f t="shared" si="423"/>
        <v>1997</v>
      </c>
      <c r="H4240" s="1323">
        <f t="shared" si="424"/>
        <v>9</v>
      </c>
      <c r="I4240" s="1323">
        <f t="shared" si="425"/>
        <v>25</v>
      </c>
      <c r="J4240" s="1323"/>
      <c r="K4240" s="1323"/>
      <c r="L4240" s="1323"/>
      <c r="M4240" s="1323"/>
      <c r="N4240" s="1323"/>
      <c r="O4240" s="1323"/>
      <c r="P4240" s="1323"/>
      <c r="Q4240" s="1323"/>
      <c r="R4240" s="1304"/>
      <c r="S4240" s="1304"/>
      <c r="T4240" s="1304"/>
    </row>
    <row r="4241" spans="1:20">
      <c r="A4241" s="1303"/>
      <c r="B4241" s="1322" t="s">
        <v>10369</v>
      </c>
      <c r="C4241" s="1323" t="s">
        <v>10370</v>
      </c>
      <c r="D4241" s="1324">
        <f t="shared" si="426"/>
        <v>35696</v>
      </c>
      <c r="E4241" s="1323">
        <f t="shared" si="422"/>
        <v>4.7004000000000001</v>
      </c>
      <c r="F4241" s="1323">
        <f t="shared" si="427"/>
        <v>4.3519821642726022</v>
      </c>
      <c r="G4241" s="1323">
        <f t="shared" si="423"/>
        <v>1997</v>
      </c>
      <c r="H4241" s="1323">
        <f t="shared" si="424"/>
        <v>9</v>
      </c>
      <c r="I4241" s="1323">
        <f t="shared" si="425"/>
        <v>23</v>
      </c>
      <c r="J4241" s="1323"/>
      <c r="K4241" s="1323"/>
      <c r="L4241" s="1323"/>
      <c r="M4241" s="1323"/>
      <c r="N4241" s="1323"/>
      <c r="O4241" s="1323"/>
      <c r="P4241" s="1323"/>
      <c r="Q4241" s="1323"/>
      <c r="R4241" s="1304"/>
      <c r="S4241" s="1304"/>
      <c r="T4241" s="1304"/>
    </row>
    <row r="4242" spans="1:20">
      <c r="A4242" s="1303"/>
      <c r="B4242" s="1322" t="s">
        <v>10371</v>
      </c>
      <c r="C4242" s="1323" t="s">
        <v>10372</v>
      </c>
      <c r="D4242" s="1324">
        <f t="shared" si="426"/>
        <v>35695</v>
      </c>
      <c r="E4242" s="1323">
        <f t="shared" si="422"/>
        <v>4.7058999999999997</v>
      </c>
      <c r="F4242" s="1323">
        <f t="shared" si="427"/>
        <v>4.3511476975908723</v>
      </c>
      <c r="G4242" s="1323">
        <f t="shared" si="423"/>
        <v>1997</v>
      </c>
      <c r="H4242" s="1323">
        <f t="shared" si="424"/>
        <v>9</v>
      </c>
      <c r="I4242" s="1323">
        <f t="shared" si="425"/>
        <v>22</v>
      </c>
      <c r="J4242" s="1323"/>
      <c r="K4242" s="1323"/>
      <c r="L4242" s="1323"/>
      <c r="M4242" s="1323"/>
      <c r="N4242" s="1323"/>
      <c r="O4242" s="1323"/>
      <c r="P4242" s="1323"/>
      <c r="Q4242" s="1323"/>
      <c r="R4242" s="1304"/>
      <c r="S4242" s="1304"/>
      <c r="T4242" s="1304"/>
    </row>
    <row r="4243" spans="1:20">
      <c r="A4243" s="1303"/>
      <c r="B4243" s="1322" t="s">
        <v>10373</v>
      </c>
      <c r="C4243" s="1323" t="s">
        <v>10374</v>
      </c>
      <c r="D4243" s="1324">
        <f t="shared" si="426"/>
        <v>35692</v>
      </c>
      <c r="E4243" s="1323">
        <f t="shared" si="422"/>
        <v>4.6772999999999998</v>
      </c>
      <c r="F4243" s="1323">
        <f t="shared" si="427"/>
        <v>4.350313390913163</v>
      </c>
      <c r="G4243" s="1323">
        <f t="shared" si="423"/>
        <v>1997</v>
      </c>
      <c r="H4243" s="1323">
        <f t="shared" si="424"/>
        <v>9</v>
      </c>
      <c r="I4243" s="1323">
        <f t="shared" si="425"/>
        <v>19</v>
      </c>
      <c r="J4243" s="1323"/>
      <c r="K4243" s="1323"/>
      <c r="L4243" s="1323"/>
      <c r="M4243" s="1323"/>
      <c r="N4243" s="1323"/>
      <c r="O4243" s="1323"/>
      <c r="P4243" s="1323"/>
      <c r="Q4243" s="1323"/>
      <c r="R4243" s="1304"/>
      <c r="S4243" s="1304"/>
      <c r="T4243" s="1304"/>
    </row>
    <row r="4244" spans="1:20">
      <c r="A4244" s="1303"/>
      <c r="B4244" s="1322" t="s">
        <v>10375</v>
      </c>
      <c r="C4244" s="1323" t="s">
        <v>10376</v>
      </c>
      <c r="D4244" s="1324">
        <f t="shared" si="426"/>
        <v>35691</v>
      </c>
      <c r="E4244" s="1323">
        <f t="shared" si="422"/>
        <v>4.6806000000000001</v>
      </c>
      <c r="F4244" s="1323">
        <f t="shared" si="427"/>
        <v>4.3494792442087942</v>
      </c>
      <c r="G4244" s="1323">
        <f t="shared" si="423"/>
        <v>1997</v>
      </c>
      <c r="H4244" s="1323">
        <f t="shared" si="424"/>
        <v>9</v>
      </c>
      <c r="I4244" s="1323">
        <f t="shared" si="425"/>
        <v>18</v>
      </c>
      <c r="J4244" s="1323"/>
      <c r="K4244" s="1323"/>
      <c r="L4244" s="1323"/>
      <c r="M4244" s="1323"/>
      <c r="N4244" s="1323"/>
      <c r="O4244" s="1323"/>
      <c r="P4244" s="1323"/>
      <c r="Q4244" s="1323"/>
      <c r="R4244" s="1304"/>
      <c r="S4244" s="1304"/>
      <c r="T4244" s="1304"/>
    </row>
    <row r="4245" spans="1:20">
      <c r="A4245" s="1303"/>
      <c r="B4245" s="1322" t="s">
        <v>10377</v>
      </c>
      <c r="C4245" s="1323" t="s">
        <v>10378</v>
      </c>
      <c r="D4245" s="1324">
        <f t="shared" si="426"/>
        <v>35690</v>
      </c>
      <c r="E4245" s="1323">
        <f t="shared" si="422"/>
        <v>4.6806000000000001</v>
      </c>
      <c r="F4245" s="1323">
        <f t="shared" si="427"/>
        <v>4.3486452574470915</v>
      </c>
      <c r="G4245" s="1323">
        <f t="shared" si="423"/>
        <v>1997</v>
      </c>
      <c r="H4245" s="1323">
        <f t="shared" si="424"/>
        <v>9</v>
      </c>
      <c r="I4245" s="1323">
        <f t="shared" si="425"/>
        <v>17</v>
      </c>
      <c r="J4245" s="1323"/>
      <c r="K4245" s="1323"/>
      <c r="L4245" s="1323"/>
      <c r="M4245" s="1323"/>
      <c r="N4245" s="1323"/>
      <c r="O4245" s="1323"/>
      <c r="P4245" s="1323"/>
      <c r="Q4245" s="1323"/>
      <c r="R4245" s="1304"/>
      <c r="S4245" s="1304"/>
      <c r="T4245" s="1304"/>
    </row>
    <row r="4246" spans="1:20">
      <c r="A4246" s="1303"/>
      <c r="B4246" s="1322" t="s">
        <v>10379</v>
      </c>
      <c r="C4246" s="1323" t="s">
        <v>10378</v>
      </c>
      <c r="D4246" s="1324">
        <f t="shared" si="426"/>
        <v>35689</v>
      </c>
      <c r="E4246" s="1323">
        <f t="shared" ref="E4246:E4309" si="428">VALUE(C4247)</f>
        <v>4.6772999999999998</v>
      </c>
      <c r="F4246" s="1323">
        <f t="shared" si="427"/>
        <v>4.3478114305973881</v>
      </c>
      <c r="G4246" s="1323">
        <f t="shared" ref="G4246:G4309" si="429">YEAR(B4247)</f>
        <v>1997</v>
      </c>
      <c r="H4246" s="1323">
        <f t="shared" ref="H4246:H4309" si="430">MONTH(B4247)</f>
        <v>9</v>
      </c>
      <c r="I4246" s="1323">
        <f t="shared" ref="I4246:I4309" si="431">DAY(B4247)</f>
        <v>16</v>
      </c>
      <c r="J4246" s="1323"/>
      <c r="K4246" s="1323"/>
      <c r="L4246" s="1323"/>
      <c r="M4246" s="1323"/>
      <c r="N4246" s="1323"/>
      <c r="O4246" s="1323"/>
      <c r="P4246" s="1323"/>
      <c r="Q4246" s="1323"/>
      <c r="R4246" s="1304"/>
      <c r="S4246" s="1304"/>
      <c r="T4246" s="1304"/>
    </row>
    <row r="4247" spans="1:20">
      <c r="A4247" s="1303"/>
      <c r="B4247" s="1322" t="s">
        <v>10380</v>
      </c>
      <c r="C4247" s="1323" t="s">
        <v>10376</v>
      </c>
      <c r="D4247" s="1324">
        <f t="shared" si="426"/>
        <v>35688</v>
      </c>
      <c r="E4247" s="1323">
        <f t="shared" si="428"/>
        <v>4.6826999999999996</v>
      </c>
      <c r="F4247" s="1323">
        <f t="shared" si="427"/>
        <v>4.3469777636290203</v>
      </c>
      <c r="G4247" s="1323">
        <f t="shared" si="429"/>
        <v>1997</v>
      </c>
      <c r="H4247" s="1323">
        <f t="shared" si="430"/>
        <v>9</v>
      </c>
      <c r="I4247" s="1323">
        <f t="shared" si="431"/>
        <v>15</v>
      </c>
      <c r="J4247" s="1323"/>
      <c r="K4247" s="1323"/>
      <c r="L4247" s="1323"/>
      <c r="M4247" s="1323"/>
      <c r="N4247" s="1323"/>
      <c r="O4247" s="1323"/>
      <c r="P4247" s="1323"/>
      <c r="Q4247" s="1323"/>
      <c r="R4247" s="1304"/>
      <c r="S4247" s="1304"/>
      <c r="T4247" s="1304"/>
    </row>
    <row r="4248" spans="1:20">
      <c r="A4248" s="1303"/>
      <c r="B4248" s="1322" t="s">
        <v>10381</v>
      </c>
      <c r="C4248" s="1323" t="s">
        <v>10347</v>
      </c>
      <c r="D4248" s="1324">
        <f t="shared" si="426"/>
        <v>35685</v>
      </c>
      <c r="E4248" s="1323">
        <f t="shared" si="428"/>
        <v>4.6904000000000003</v>
      </c>
      <c r="F4248" s="1323">
        <f t="shared" si="427"/>
        <v>4.3461442565113328</v>
      </c>
      <c r="G4248" s="1323">
        <f t="shared" si="429"/>
        <v>1997</v>
      </c>
      <c r="H4248" s="1323">
        <f t="shared" si="430"/>
        <v>9</v>
      </c>
      <c r="I4248" s="1323">
        <f t="shared" si="431"/>
        <v>12</v>
      </c>
      <c r="J4248" s="1323"/>
      <c r="K4248" s="1323"/>
      <c r="L4248" s="1323"/>
      <c r="M4248" s="1323"/>
      <c r="N4248" s="1323"/>
      <c r="O4248" s="1323"/>
      <c r="P4248" s="1323"/>
      <c r="Q4248" s="1323"/>
      <c r="R4248" s="1304"/>
      <c r="S4248" s="1304"/>
      <c r="T4248" s="1304"/>
    </row>
    <row r="4249" spans="1:20">
      <c r="A4249" s="1303"/>
      <c r="B4249" s="1322" t="s">
        <v>10382</v>
      </c>
      <c r="C4249" s="1323" t="s">
        <v>10383</v>
      </c>
      <c r="D4249" s="1324">
        <f t="shared" si="426"/>
        <v>35684</v>
      </c>
      <c r="E4249" s="1323">
        <f t="shared" si="428"/>
        <v>4.7004000000000001</v>
      </c>
      <c r="F4249" s="1323">
        <f t="shared" si="427"/>
        <v>4.3453109092136755</v>
      </c>
      <c r="G4249" s="1323">
        <f t="shared" si="429"/>
        <v>1997</v>
      </c>
      <c r="H4249" s="1323">
        <f t="shared" si="430"/>
        <v>9</v>
      </c>
      <c r="I4249" s="1323">
        <f t="shared" si="431"/>
        <v>11</v>
      </c>
      <c r="J4249" s="1323"/>
      <c r="K4249" s="1323"/>
      <c r="L4249" s="1323"/>
      <c r="M4249" s="1323"/>
      <c r="N4249" s="1323"/>
      <c r="O4249" s="1323"/>
      <c r="P4249" s="1323"/>
      <c r="Q4249" s="1323"/>
      <c r="R4249" s="1304"/>
      <c r="S4249" s="1304"/>
      <c r="T4249" s="1304"/>
    </row>
    <row r="4250" spans="1:20">
      <c r="A4250" s="1303"/>
      <c r="B4250" s="1322" t="s">
        <v>10384</v>
      </c>
      <c r="C4250" s="1323" t="s">
        <v>10372</v>
      </c>
      <c r="D4250" s="1324">
        <f t="shared" si="426"/>
        <v>35683</v>
      </c>
      <c r="E4250" s="1323">
        <f t="shared" si="428"/>
        <v>4.7047999999999996</v>
      </c>
      <c r="F4250" s="1323">
        <f t="shared" si="427"/>
        <v>4.3444777217054034</v>
      </c>
      <c r="G4250" s="1323">
        <f t="shared" si="429"/>
        <v>1997</v>
      </c>
      <c r="H4250" s="1323">
        <f t="shared" si="430"/>
        <v>9</v>
      </c>
      <c r="I4250" s="1323">
        <f t="shared" si="431"/>
        <v>10</v>
      </c>
      <c r="J4250" s="1323"/>
      <c r="K4250" s="1323"/>
      <c r="L4250" s="1323"/>
      <c r="M4250" s="1323"/>
      <c r="N4250" s="1323"/>
      <c r="O4250" s="1323"/>
      <c r="P4250" s="1323"/>
      <c r="Q4250" s="1323"/>
      <c r="R4250" s="1304"/>
      <c r="S4250" s="1304"/>
      <c r="T4250" s="1304"/>
    </row>
    <row r="4251" spans="1:20">
      <c r="A4251" s="1303"/>
      <c r="B4251" s="1322" t="s">
        <v>10385</v>
      </c>
      <c r="C4251" s="1323" t="s">
        <v>10343</v>
      </c>
      <c r="D4251" s="1324">
        <f t="shared" si="426"/>
        <v>35682</v>
      </c>
      <c r="E4251" s="1323">
        <f t="shared" si="428"/>
        <v>4.7015000000000002</v>
      </c>
      <c r="F4251" s="1323">
        <f t="shared" si="427"/>
        <v>4.343644693955877</v>
      </c>
      <c r="G4251" s="1323">
        <f t="shared" si="429"/>
        <v>1997</v>
      </c>
      <c r="H4251" s="1323">
        <f t="shared" si="430"/>
        <v>9</v>
      </c>
      <c r="I4251" s="1323">
        <f t="shared" si="431"/>
        <v>9</v>
      </c>
      <c r="J4251" s="1323"/>
      <c r="K4251" s="1323"/>
      <c r="L4251" s="1323"/>
      <c r="M4251" s="1323"/>
      <c r="N4251" s="1323"/>
      <c r="O4251" s="1323"/>
      <c r="P4251" s="1323"/>
      <c r="Q4251" s="1323"/>
      <c r="R4251" s="1304"/>
      <c r="S4251" s="1304"/>
      <c r="T4251" s="1304"/>
    </row>
    <row r="4252" spans="1:20">
      <c r="A4252" s="1303"/>
      <c r="B4252" s="1322" t="s">
        <v>10386</v>
      </c>
      <c r="C4252" s="1323" t="s">
        <v>10387</v>
      </c>
      <c r="D4252" s="1324">
        <f t="shared" si="426"/>
        <v>35681</v>
      </c>
      <c r="E4252" s="1323">
        <f t="shared" si="428"/>
        <v>4.6795</v>
      </c>
      <c r="F4252" s="1323">
        <f t="shared" si="427"/>
        <v>4.342811825934465</v>
      </c>
      <c r="G4252" s="1323">
        <f t="shared" si="429"/>
        <v>1997</v>
      </c>
      <c r="H4252" s="1323">
        <f t="shared" si="430"/>
        <v>9</v>
      </c>
      <c r="I4252" s="1323">
        <f t="shared" si="431"/>
        <v>8</v>
      </c>
      <c r="J4252" s="1323"/>
      <c r="K4252" s="1323"/>
      <c r="L4252" s="1323"/>
      <c r="M4252" s="1323"/>
      <c r="N4252" s="1323"/>
      <c r="O4252" s="1323"/>
      <c r="P4252" s="1323"/>
      <c r="Q4252" s="1323"/>
      <c r="R4252" s="1304"/>
      <c r="S4252" s="1304"/>
      <c r="T4252" s="1304"/>
    </row>
    <row r="4253" spans="1:20">
      <c r="A4253" s="1303"/>
      <c r="B4253" s="1322" t="s">
        <v>10388</v>
      </c>
      <c r="C4253" s="1323" t="s">
        <v>10389</v>
      </c>
      <c r="D4253" s="1324">
        <f t="shared" si="426"/>
        <v>35678</v>
      </c>
      <c r="E4253" s="1323">
        <f t="shared" si="428"/>
        <v>4.6914999999999996</v>
      </c>
      <c r="F4253" s="1323">
        <f t="shared" si="427"/>
        <v>4.3419791176105393</v>
      </c>
      <c r="G4253" s="1323">
        <f t="shared" si="429"/>
        <v>1997</v>
      </c>
      <c r="H4253" s="1323">
        <f t="shared" si="430"/>
        <v>9</v>
      </c>
      <c r="I4253" s="1323">
        <f t="shared" si="431"/>
        <v>5</v>
      </c>
      <c r="J4253" s="1323"/>
      <c r="K4253" s="1323"/>
      <c r="L4253" s="1323"/>
      <c r="M4253" s="1323"/>
      <c r="N4253" s="1323"/>
      <c r="O4253" s="1323"/>
      <c r="P4253" s="1323"/>
      <c r="Q4253" s="1323"/>
      <c r="R4253" s="1304"/>
      <c r="S4253" s="1304"/>
      <c r="T4253" s="1304"/>
    </row>
    <row r="4254" spans="1:20">
      <c r="A4254" s="1303"/>
      <c r="B4254" s="1322" t="s">
        <v>10390</v>
      </c>
      <c r="C4254" s="1323" t="s">
        <v>10391</v>
      </c>
      <c r="D4254" s="1324">
        <f t="shared" si="426"/>
        <v>35677</v>
      </c>
      <c r="E4254" s="1323">
        <f t="shared" si="428"/>
        <v>4.7069999999999999</v>
      </c>
      <c r="F4254" s="1323">
        <f t="shared" si="427"/>
        <v>4.3411465689534801</v>
      </c>
      <c r="G4254" s="1323">
        <f t="shared" si="429"/>
        <v>1997</v>
      </c>
      <c r="H4254" s="1323">
        <f t="shared" si="430"/>
        <v>9</v>
      </c>
      <c r="I4254" s="1323">
        <f t="shared" si="431"/>
        <v>4</v>
      </c>
      <c r="J4254" s="1323"/>
      <c r="K4254" s="1323"/>
      <c r="L4254" s="1323"/>
      <c r="M4254" s="1323"/>
      <c r="N4254" s="1323"/>
      <c r="O4254" s="1323"/>
      <c r="P4254" s="1323"/>
      <c r="Q4254" s="1323"/>
      <c r="R4254" s="1304"/>
      <c r="S4254" s="1304"/>
      <c r="T4254" s="1304"/>
    </row>
    <row r="4255" spans="1:20">
      <c r="A4255" s="1303"/>
      <c r="B4255" s="1322" t="s">
        <v>10392</v>
      </c>
      <c r="C4255" s="1323" t="s">
        <v>10393</v>
      </c>
      <c r="D4255" s="1324">
        <f t="shared" si="426"/>
        <v>35676</v>
      </c>
      <c r="E4255" s="1323">
        <f t="shared" si="428"/>
        <v>4.7047999999999996</v>
      </c>
      <c r="F4255" s="1323">
        <f t="shared" si="427"/>
        <v>4.3403141799326708</v>
      </c>
      <c r="G4255" s="1323">
        <f t="shared" si="429"/>
        <v>1997</v>
      </c>
      <c r="H4255" s="1323">
        <f t="shared" si="430"/>
        <v>9</v>
      </c>
      <c r="I4255" s="1323">
        <f t="shared" si="431"/>
        <v>3</v>
      </c>
      <c r="J4255" s="1323"/>
      <c r="K4255" s="1323"/>
      <c r="L4255" s="1323"/>
      <c r="M4255" s="1323"/>
      <c r="N4255" s="1323"/>
      <c r="O4255" s="1323"/>
      <c r="P4255" s="1323"/>
      <c r="Q4255" s="1323"/>
      <c r="R4255" s="1304"/>
      <c r="S4255" s="1304"/>
      <c r="T4255" s="1304"/>
    </row>
    <row r="4256" spans="1:20">
      <c r="A4256" s="1303"/>
      <c r="B4256" s="1322" t="s">
        <v>10394</v>
      </c>
      <c r="C4256" s="1323" t="s">
        <v>10343</v>
      </c>
      <c r="D4256" s="1324">
        <f t="shared" si="426"/>
        <v>35675</v>
      </c>
      <c r="E4256" s="1323">
        <f t="shared" si="428"/>
        <v>4.7037000000000004</v>
      </c>
      <c r="F4256" s="1323">
        <f t="shared" si="427"/>
        <v>4.3394819505175031</v>
      </c>
      <c r="G4256" s="1323">
        <f t="shared" si="429"/>
        <v>1997</v>
      </c>
      <c r="H4256" s="1323">
        <f t="shared" si="430"/>
        <v>9</v>
      </c>
      <c r="I4256" s="1323">
        <f t="shared" si="431"/>
        <v>2</v>
      </c>
      <c r="J4256" s="1323"/>
      <c r="K4256" s="1323"/>
      <c r="L4256" s="1323"/>
      <c r="M4256" s="1323"/>
      <c r="N4256" s="1323"/>
      <c r="O4256" s="1323"/>
      <c r="P4256" s="1323"/>
      <c r="Q4256" s="1323"/>
      <c r="R4256" s="1304"/>
      <c r="S4256" s="1304"/>
      <c r="T4256" s="1304"/>
    </row>
    <row r="4257" spans="1:20">
      <c r="A4257" s="1303"/>
      <c r="B4257" s="1322" t="s">
        <v>10395</v>
      </c>
      <c r="C4257" s="1323" t="s">
        <v>10396</v>
      </c>
      <c r="D4257" s="1324">
        <f t="shared" si="426"/>
        <v>35674</v>
      </c>
      <c r="E4257" s="1323">
        <f t="shared" si="428"/>
        <v>4.7058999999999997</v>
      </c>
      <c r="F4257" s="1323">
        <f t="shared" si="427"/>
        <v>4.338649880677373</v>
      </c>
      <c r="G4257" s="1323">
        <f t="shared" si="429"/>
        <v>1997</v>
      </c>
      <c r="H4257" s="1323">
        <f t="shared" si="430"/>
        <v>9</v>
      </c>
      <c r="I4257" s="1323">
        <f t="shared" si="431"/>
        <v>1</v>
      </c>
      <c r="J4257" s="1323"/>
      <c r="K4257" s="1323"/>
      <c r="L4257" s="1323"/>
      <c r="M4257" s="1323"/>
      <c r="N4257" s="1323"/>
      <c r="O4257" s="1323"/>
      <c r="P4257" s="1323"/>
      <c r="Q4257" s="1323"/>
      <c r="R4257" s="1304"/>
      <c r="S4257" s="1304"/>
      <c r="T4257" s="1304"/>
    </row>
    <row r="4258" spans="1:20">
      <c r="A4258" s="1303"/>
      <c r="B4258" s="1322" t="s">
        <v>10397</v>
      </c>
      <c r="C4258" s="1323" t="s">
        <v>10374</v>
      </c>
      <c r="D4258" s="1324">
        <f t="shared" si="426"/>
        <v>35671</v>
      </c>
      <c r="E4258" s="1323">
        <f t="shared" si="428"/>
        <v>4.6848999999999998</v>
      </c>
      <c r="F4258" s="1323">
        <f t="shared" si="427"/>
        <v>4.3378179703816828</v>
      </c>
      <c r="G4258" s="1323">
        <f t="shared" si="429"/>
        <v>1997</v>
      </c>
      <c r="H4258" s="1323">
        <f t="shared" si="430"/>
        <v>8</v>
      </c>
      <c r="I4258" s="1323">
        <f t="shared" si="431"/>
        <v>29</v>
      </c>
      <c r="J4258" s="1323"/>
      <c r="K4258" s="1323"/>
      <c r="L4258" s="1323"/>
      <c r="M4258" s="1323"/>
      <c r="N4258" s="1323"/>
      <c r="O4258" s="1323"/>
      <c r="P4258" s="1323"/>
      <c r="Q4258" s="1323"/>
      <c r="R4258" s="1304"/>
      <c r="S4258" s="1304"/>
      <c r="T4258" s="1304"/>
    </row>
    <row r="4259" spans="1:20">
      <c r="A4259" s="1303"/>
      <c r="B4259" s="1322" t="s">
        <v>10398</v>
      </c>
      <c r="C4259" s="1323" t="s">
        <v>10399</v>
      </c>
      <c r="D4259" s="1324">
        <f t="shared" si="426"/>
        <v>35670</v>
      </c>
      <c r="E4259" s="1323">
        <f t="shared" si="428"/>
        <v>4.7125000000000004</v>
      </c>
      <c r="F4259" s="1323">
        <f t="shared" si="427"/>
        <v>4.3369862195998419</v>
      </c>
      <c r="G4259" s="1323">
        <f t="shared" si="429"/>
        <v>1997</v>
      </c>
      <c r="H4259" s="1323">
        <f t="shared" si="430"/>
        <v>8</v>
      </c>
      <c r="I4259" s="1323">
        <f t="shared" si="431"/>
        <v>28</v>
      </c>
      <c r="J4259" s="1323"/>
      <c r="K4259" s="1323"/>
      <c r="L4259" s="1323"/>
      <c r="M4259" s="1323"/>
      <c r="N4259" s="1323"/>
      <c r="O4259" s="1323"/>
      <c r="P4259" s="1323"/>
      <c r="Q4259" s="1323"/>
      <c r="R4259" s="1304"/>
      <c r="S4259" s="1304"/>
      <c r="T4259" s="1304"/>
    </row>
    <row r="4260" spans="1:20">
      <c r="A4260" s="1303"/>
      <c r="B4260" s="1322" t="s">
        <v>10400</v>
      </c>
      <c r="C4260" s="1323" t="s">
        <v>10401</v>
      </c>
      <c r="D4260" s="1324">
        <f t="shared" si="426"/>
        <v>35669</v>
      </c>
      <c r="E4260" s="1323">
        <f t="shared" si="428"/>
        <v>4.6871</v>
      </c>
      <c r="F4260" s="1323">
        <f t="shared" si="427"/>
        <v>4.3361546283012631</v>
      </c>
      <c r="G4260" s="1323">
        <f t="shared" si="429"/>
        <v>1997</v>
      </c>
      <c r="H4260" s="1323">
        <f t="shared" si="430"/>
        <v>8</v>
      </c>
      <c r="I4260" s="1323">
        <f t="shared" si="431"/>
        <v>27</v>
      </c>
      <c r="J4260" s="1323"/>
      <c r="K4260" s="1323"/>
      <c r="L4260" s="1323"/>
      <c r="M4260" s="1323"/>
      <c r="N4260" s="1323"/>
      <c r="O4260" s="1323"/>
      <c r="P4260" s="1323"/>
      <c r="Q4260" s="1323"/>
      <c r="R4260" s="1304"/>
      <c r="S4260" s="1304"/>
      <c r="T4260" s="1304"/>
    </row>
    <row r="4261" spans="1:20">
      <c r="A4261" s="1303"/>
      <c r="B4261" s="1322" t="s">
        <v>10402</v>
      </c>
      <c r="C4261" s="1323" t="s">
        <v>10403</v>
      </c>
      <c r="D4261" s="1324">
        <f t="shared" si="426"/>
        <v>35668</v>
      </c>
      <c r="E4261" s="1323">
        <f t="shared" si="428"/>
        <v>4.6871</v>
      </c>
      <c r="F4261" s="1323">
        <f t="shared" si="427"/>
        <v>4.3353231964553673</v>
      </c>
      <c r="G4261" s="1323">
        <f t="shared" si="429"/>
        <v>1997</v>
      </c>
      <c r="H4261" s="1323">
        <f t="shared" si="430"/>
        <v>8</v>
      </c>
      <c r="I4261" s="1323">
        <f t="shared" si="431"/>
        <v>26</v>
      </c>
      <c r="J4261" s="1323"/>
      <c r="K4261" s="1323"/>
      <c r="L4261" s="1323"/>
      <c r="M4261" s="1323"/>
      <c r="N4261" s="1323"/>
      <c r="O4261" s="1323"/>
      <c r="P4261" s="1323"/>
      <c r="Q4261" s="1323"/>
      <c r="R4261" s="1304"/>
      <c r="S4261" s="1304"/>
      <c r="T4261" s="1304"/>
    </row>
    <row r="4262" spans="1:20">
      <c r="A4262" s="1303"/>
      <c r="B4262" s="1322" t="s">
        <v>10404</v>
      </c>
      <c r="C4262" s="1323" t="s">
        <v>10403</v>
      </c>
      <c r="D4262" s="1324">
        <f t="shared" si="426"/>
        <v>35667</v>
      </c>
      <c r="E4262" s="1323">
        <f t="shared" si="428"/>
        <v>4.6772999999999998</v>
      </c>
      <c r="F4262" s="1323">
        <f t="shared" si="427"/>
        <v>4.33449192403158</v>
      </c>
      <c r="G4262" s="1323">
        <f t="shared" si="429"/>
        <v>1997</v>
      </c>
      <c r="H4262" s="1323">
        <f t="shared" si="430"/>
        <v>8</v>
      </c>
      <c r="I4262" s="1323">
        <f t="shared" si="431"/>
        <v>25</v>
      </c>
      <c r="J4262" s="1323"/>
      <c r="K4262" s="1323"/>
      <c r="L4262" s="1323"/>
      <c r="M4262" s="1323"/>
      <c r="N4262" s="1323"/>
      <c r="O4262" s="1323"/>
      <c r="P4262" s="1323"/>
      <c r="Q4262" s="1323"/>
      <c r="R4262" s="1304"/>
      <c r="S4262" s="1304"/>
      <c r="T4262" s="1304"/>
    </row>
    <row r="4263" spans="1:20">
      <c r="A4263" s="1303"/>
      <c r="B4263" s="1322" t="s">
        <v>10405</v>
      </c>
      <c r="C4263" s="1323" t="s">
        <v>10376</v>
      </c>
      <c r="D4263" s="1324">
        <f t="shared" si="426"/>
        <v>35664</v>
      </c>
      <c r="E4263" s="1323">
        <f t="shared" si="428"/>
        <v>4.6981000000000002</v>
      </c>
      <c r="F4263" s="1323">
        <f t="shared" si="427"/>
        <v>4.3336608109993335</v>
      </c>
      <c r="G4263" s="1323">
        <f t="shared" si="429"/>
        <v>1997</v>
      </c>
      <c r="H4263" s="1323">
        <f t="shared" si="430"/>
        <v>8</v>
      </c>
      <c r="I4263" s="1323">
        <f t="shared" si="431"/>
        <v>22</v>
      </c>
      <c r="J4263" s="1323"/>
      <c r="K4263" s="1323"/>
      <c r="L4263" s="1323"/>
      <c r="M4263" s="1323"/>
      <c r="N4263" s="1323"/>
      <c r="O4263" s="1323"/>
      <c r="P4263" s="1323"/>
      <c r="Q4263" s="1323"/>
      <c r="R4263" s="1304"/>
      <c r="S4263" s="1304"/>
      <c r="T4263" s="1304"/>
    </row>
    <row r="4264" spans="1:20">
      <c r="A4264" s="1303"/>
      <c r="B4264" s="1322" t="s">
        <v>10406</v>
      </c>
      <c r="C4264" s="1323" t="s">
        <v>10407</v>
      </c>
      <c r="D4264" s="1324">
        <f t="shared" si="426"/>
        <v>35663</v>
      </c>
      <c r="E4264" s="1323">
        <f t="shared" si="428"/>
        <v>4.7789999999999999</v>
      </c>
      <c r="F4264" s="1323">
        <f t="shared" si="427"/>
        <v>4.3328298573280648</v>
      </c>
      <c r="G4264" s="1323">
        <f t="shared" si="429"/>
        <v>1997</v>
      </c>
      <c r="H4264" s="1323">
        <f t="shared" si="430"/>
        <v>8</v>
      </c>
      <c r="I4264" s="1323">
        <f t="shared" si="431"/>
        <v>21</v>
      </c>
      <c r="J4264" s="1323"/>
      <c r="K4264" s="1323"/>
      <c r="L4264" s="1323"/>
      <c r="M4264" s="1323"/>
      <c r="N4264" s="1323"/>
      <c r="O4264" s="1323"/>
      <c r="P4264" s="1323"/>
      <c r="Q4264" s="1323"/>
      <c r="R4264" s="1304"/>
      <c r="S4264" s="1304"/>
      <c r="T4264" s="1304"/>
    </row>
    <row r="4265" spans="1:20">
      <c r="A4265" s="1303"/>
      <c r="B4265" s="1322" t="s">
        <v>10408</v>
      </c>
      <c r="C4265" s="1323" t="s">
        <v>10409</v>
      </c>
      <c r="D4265" s="1324">
        <f t="shared" si="426"/>
        <v>35662</v>
      </c>
      <c r="E4265" s="1323">
        <f t="shared" si="428"/>
        <v>4.7180999999999997</v>
      </c>
      <c r="F4265" s="1323">
        <f t="shared" si="427"/>
        <v>4.3319990629872178</v>
      </c>
      <c r="G4265" s="1323">
        <f t="shared" si="429"/>
        <v>1997</v>
      </c>
      <c r="H4265" s="1323">
        <f t="shared" si="430"/>
        <v>8</v>
      </c>
      <c r="I4265" s="1323">
        <f t="shared" si="431"/>
        <v>20</v>
      </c>
      <c r="J4265" s="1323"/>
      <c r="K4265" s="1323"/>
      <c r="L4265" s="1323"/>
      <c r="M4265" s="1323"/>
      <c r="N4265" s="1323"/>
      <c r="O4265" s="1323"/>
      <c r="P4265" s="1323"/>
      <c r="Q4265" s="1323"/>
      <c r="R4265" s="1304"/>
      <c r="S4265" s="1304"/>
      <c r="T4265" s="1304"/>
    </row>
    <row r="4266" spans="1:20">
      <c r="A4266" s="1303"/>
      <c r="B4266" s="1322" t="s">
        <v>10410</v>
      </c>
      <c r="C4266" s="1323" t="s">
        <v>10411</v>
      </c>
      <c r="D4266" s="1324">
        <f t="shared" si="426"/>
        <v>35661</v>
      </c>
      <c r="E4266" s="1323">
        <f t="shared" si="428"/>
        <v>4.7004000000000001</v>
      </c>
      <c r="F4266" s="1323">
        <f t="shared" si="427"/>
        <v>4.3311684279462419</v>
      </c>
      <c r="G4266" s="1323">
        <f t="shared" si="429"/>
        <v>1997</v>
      </c>
      <c r="H4266" s="1323">
        <f t="shared" si="430"/>
        <v>8</v>
      </c>
      <c r="I4266" s="1323">
        <f t="shared" si="431"/>
        <v>19</v>
      </c>
      <c r="J4266" s="1323"/>
      <c r="K4266" s="1323"/>
      <c r="L4266" s="1323"/>
      <c r="M4266" s="1323"/>
      <c r="N4266" s="1323"/>
      <c r="O4266" s="1323"/>
      <c r="P4266" s="1323"/>
      <c r="Q4266" s="1323"/>
      <c r="R4266" s="1304"/>
      <c r="S4266" s="1304"/>
      <c r="T4266" s="1304"/>
    </row>
    <row r="4267" spans="1:20">
      <c r="A4267" s="1303"/>
      <c r="B4267" s="1322" t="s">
        <v>10412</v>
      </c>
      <c r="C4267" s="1323" t="s">
        <v>10372</v>
      </c>
      <c r="D4267" s="1324">
        <f t="shared" si="426"/>
        <v>35660</v>
      </c>
      <c r="E4267" s="1323">
        <f t="shared" si="428"/>
        <v>4.6806000000000001</v>
      </c>
      <c r="F4267" s="1323">
        <f t="shared" si="427"/>
        <v>4.3303379521745917</v>
      </c>
      <c r="G4267" s="1323">
        <f t="shared" si="429"/>
        <v>1997</v>
      </c>
      <c r="H4267" s="1323">
        <f t="shared" si="430"/>
        <v>8</v>
      </c>
      <c r="I4267" s="1323">
        <f t="shared" si="431"/>
        <v>18</v>
      </c>
      <c r="J4267" s="1323"/>
      <c r="K4267" s="1323"/>
      <c r="L4267" s="1323"/>
      <c r="M4267" s="1323"/>
      <c r="N4267" s="1323"/>
      <c r="O4267" s="1323"/>
      <c r="P4267" s="1323"/>
      <c r="Q4267" s="1323"/>
      <c r="R4267" s="1304"/>
      <c r="S4267" s="1304"/>
      <c r="T4267" s="1304"/>
    </row>
    <row r="4268" spans="1:20">
      <c r="A4268" s="1303"/>
      <c r="B4268" s="1322" t="s">
        <v>10413</v>
      </c>
      <c r="C4268" s="1323" t="s">
        <v>10378</v>
      </c>
      <c r="D4268" s="1324">
        <f t="shared" si="426"/>
        <v>35657</v>
      </c>
      <c r="E4268" s="1323">
        <f t="shared" si="428"/>
        <v>4.6947999999999999</v>
      </c>
      <c r="F4268" s="1323">
        <f t="shared" si="427"/>
        <v>4.329507635641729</v>
      </c>
      <c r="G4268" s="1323">
        <f t="shared" si="429"/>
        <v>1997</v>
      </c>
      <c r="H4268" s="1323">
        <f t="shared" si="430"/>
        <v>8</v>
      </c>
      <c r="I4268" s="1323">
        <f t="shared" si="431"/>
        <v>15</v>
      </c>
      <c r="J4268" s="1323"/>
      <c r="K4268" s="1323"/>
      <c r="L4268" s="1323"/>
      <c r="M4268" s="1323"/>
      <c r="N4268" s="1323"/>
      <c r="O4268" s="1323"/>
      <c r="P4268" s="1323"/>
      <c r="Q4268" s="1323"/>
      <c r="R4268" s="1304"/>
      <c r="S4268" s="1304"/>
      <c r="T4268" s="1304"/>
    </row>
    <row r="4269" spans="1:20">
      <c r="A4269" s="1303"/>
      <c r="B4269" s="1322" t="s">
        <v>10414</v>
      </c>
      <c r="C4269" s="1323" t="s">
        <v>10345</v>
      </c>
      <c r="D4269" s="1324">
        <f t="shared" si="426"/>
        <v>35656</v>
      </c>
      <c r="E4269" s="1323">
        <f t="shared" si="428"/>
        <v>4.6414</v>
      </c>
      <c r="F4269" s="1323">
        <f t="shared" si="427"/>
        <v>4.32867747831712</v>
      </c>
      <c r="G4269" s="1323">
        <f t="shared" si="429"/>
        <v>1997</v>
      </c>
      <c r="H4269" s="1323">
        <f t="shared" si="430"/>
        <v>8</v>
      </c>
      <c r="I4269" s="1323">
        <f t="shared" si="431"/>
        <v>14</v>
      </c>
      <c r="J4269" s="1323"/>
      <c r="K4269" s="1323"/>
      <c r="L4269" s="1323"/>
      <c r="M4269" s="1323"/>
      <c r="N4269" s="1323"/>
      <c r="O4269" s="1323"/>
      <c r="P4269" s="1323"/>
      <c r="Q4269" s="1323"/>
      <c r="R4269" s="1304"/>
      <c r="S4269" s="1304"/>
      <c r="T4269" s="1304"/>
    </row>
    <row r="4270" spans="1:20">
      <c r="A4270" s="1303"/>
      <c r="B4270" s="1322" t="s">
        <v>10415</v>
      </c>
      <c r="C4270" s="1323" t="s">
        <v>10416</v>
      </c>
      <c r="D4270" s="1324">
        <f t="shared" si="426"/>
        <v>35655</v>
      </c>
      <c r="E4270" s="1323">
        <f t="shared" si="428"/>
        <v>4.6653000000000002</v>
      </c>
      <c r="F4270" s="1323">
        <f t="shared" si="427"/>
        <v>4.327847480170238</v>
      </c>
      <c r="G4270" s="1323">
        <f t="shared" si="429"/>
        <v>1997</v>
      </c>
      <c r="H4270" s="1323">
        <f t="shared" si="430"/>
        <v>8</v>
      </c>
      <c r="I4270" s="1323">
        <f t="shared" si="431"/>
        <v>13</v>
      </c>
      <c r="J4270" s="1323"/>
      <c r="K4270" s="1323"/>
      <c r="L4270" s="1323"/>
      <c r="M4270" s="1323"/>
      <c r="N4270" s="1323"/>
      <c r="O4270" s="1323"/>
      <c r="P4270" s="1323"/>
      <c r="Q4270" s="1323"/>
      <c r="R4270" s="1304"/>
      <c r="S4270" s="1304"/>
      <c r="T4270" s="1304"/>
    </row>
    <row r="4271" spans="1:20">
      <c r="A4271" s="1303"/>
      <c r="B4271" s="1322" t="s">
        <v>10417</v>
      </c>
      <c r="C4271" s="1323" t="s">
        <v>10418</v>
      </c>
      <c r="D4271" s="1324">
        <f t="shared" si="426"/>
        <v>35654</v>
      </c>
      <c r="E4271" s="1323">
        <f t="shared" si="428"/>
        <v>4.6740000000000004</v>
      </c>
      <c r="F4271" s="1323">
        <f t="shared" si="427"/>
        <v>4.3270176411705616</v>
      </c>
      <c r="G4271" s="1323">
        <f t="shared" si="429"/>
        <v>1997</v>
      </c>
      <c r="H4271" s="1323">
        <f t="shared" si="430"/>
        <v>8</v>
      </c>
      <c r="I4271" s="1323">
        <f t="shared" si="431"/>
        <v>12</v>
      </c>
      <c r="J4271" s="1323"/>
      <c r="K4271" s="1323"/>
      <c r="L4271" s="1323"/>
      <c r="M4271" s="1323"/>
      <c r="N4271" s="1323"/>
      <c r="O4271" s="1323"/>
      <c r="P4271" s="1323"/>
      <c r="Q4271" s="1323"/>
      <c r="R4271" s="1304"/>
      <c r="S4271" s="1304"/>
      <c r="T4271" s="1304"/>
    </row>
    <row r="4272" spans="1:20">
      <c r="A4272" s="1303"/>
      <c r="B4272" s="1322" t="s">
        <v>10419</v>
      </c>
      <c r="C4272" s="1323" t="s">
        <v>10368</v>
      </c>
      <c r="D4272" s="1324">
        <f t="shared" si="426"/>
        <v>35653</v>
      </c>
      <c r="E4272" s="1323">
        <f t="shared" si="428"/>
        <v>4.6729000000000003</v>
      </c>
      <c r="F4272" s="1323">
        <f t="shared" si="427"/>
        <v>4.3261879612875749</v>
      </c>
      <c r="G4272" s="1323">
        <f t="shared" si="429"/>
        <v>1997</v>
      </c>
      <c r="H4272" s="1323">
        <f t="shared" si="430"/>
        <v>8</v>
      </c>
      <c r="I4272" s="1323">
        <f t="shared" si="431"/>
        <v>11</v>
      </c>
      <c r="J4272" s="1323"/>
      <c r="K4272" s="1323"/>
      <c r="L4272" s="1323"/>
      <c r="M4272" s="1323"/>
      <c r="N4272" s="1323"/>
      <c r="O4272" s="1323"/>
      <c r="P4272" s="1323"/>
      <c r="Q4272" s="1323"/>
      <c r="R4272" s="1304"/>
      <c r="S4272" s="1304"/>
      <c r="T4272" s="1304"/>
    </row>
    <row r="4273" spans="1:20">
      <c r="A4273" s="1303"/>
      <c r="B4273" s="1322" t="s">
        <v>10420</v>
      </c>
      <c r="C4273" s="1323" t="s">
        <v>10421</v>
      </c>
      <c r="D4273" s="1324">
        <f t="shared" si="426"/>
        <v>35650</v>
      </c>
      <c r="E4273" s="1323">
        <f t="shared" si="428"/>
        <v>4.6959</v>
      </c>
      <c r="F4273" s="1323">
        <f t="shared" si="427"/>
        <v>4.3253584404907679</v>
      </c>
      <c r="G4273" s="1323">
        <f t="shared" si="429"/>
        <v>1997</v>
      </c>
      <c r="H4273" s="1323">
        <f t="shared" si="430"/>
        <v>8</v>
      </c>
      <c r="I4273" s="1323">
        <f t="shared" si="431"/>
        <v>8</v>
      </c>
      <c r="J4273" s="1323"/>
      <c r="K4273" s="1323"/>
      <c r="L4273" s="1323"/>
      <c r="M4273" s="1323"/>
      <c r="N4273" s="1323"/>
      <c r="O4273" s="1323"/>
      <c r="P4273" s="1323"/>
      <c r="Q4273" s="1323"/>
      <c r="R4273" s="1304"/>
      <c r="S4273" s="1304"/>
      <c r="T4273" s="1304"/>
    </row>
    <row r="4274" spans="1:20">
      <c r="A4274" s="1303"/>
      <c r="B4274" s="1322" t="s">
        <v>10422</v>
      </c>
      <c r="C4274" s="1323" t="s">
        <v>10341</v>
      </c>
      <c r="D4274" s="1324">
        <f t="shared" si="426"/>
        <v>35649</v>
      </c>
      <c r="E4274" s="1323">
        <f t="shared" si="428"/>
        <v>4.7015000000000002</v>
      </c>
      <c r="F4274" s="1323">
        <f t="shared" si="427"/>
        <v>4.324529078749638</v>
      </c>
      <c r="G4274" s="1323">
        <f t="shared" si="429"/>
        <v>1997</v>
      </c>
      <c r="H4274" s="1323">
        <f t="shared" si="430"/>
        <v>8</v>
      </c>
      <c r="I4274" s="1323">
        <f t="shared" si="431"/>
        <v>7</v>
      </c>
      <c r="J4274" s="1323"/>
      <c r="K4274" s="1323"/>
      <c r="L4274" s="1323"/>
      <c r="M4274" s="1323"/>
      <c r="N4274" s="1323"/>
      <c r="O4274" s="1323"/>
      <c r="P4274" s="1323"/>
      <c r="Q4274" s="1323"/>
      <c r="R4274" s="1304"/>
      <c r="S4274" s="1304"/>
      <c r="T4274" s="1304"/>
    </row>
    <row r="4275" spans="1:20">
      <c r="A4275" s="1303"/>
      <c r="B4275" s="1322" t="s">
        <v>10423</v>
      </c>
      <c r="C4275" s="1323" t="s">
        <v>10387</v>
      </c>
      <c r="D4275" s="1324">
        <f t="shared" si="426"/>
        <v>35648</v>
      </c>
      <c r="E4275" s="1323">
        <f t="shared" si="428"/>
        <v>4.6718000000000002</v>
      </c>
      <c r="F4275" s="1323">
        <f t="shared" si="427"/>
        <v>4.323699876033686</v>
      </c>
      <c r="G4275" s="1323">
        <f t="shared" si="429"/>
        <v>1997</v>
      </c>
      <c r="H4275" s="1323">
        <f t="shared" si="430"/>
        <v>8</v>
      </c>
      <c r="I4275" s="1323">
        <f t="shared" si="431"/>
        <v>6</v>
      </c>
      <c r="J4275" s="1323"/>
      <c r="K4275" s="1323"/>
      <c r="L4275" s="1323"/>
      <c r="M4275" s="1323"/>
      <c r="N4275" s="1323"/>
      <c r="O4275" s="1323"/>
      <c r="P4275" s="1323"/>
      <c r="Q4275" s="1323"/>
      <c r="R4275" s="1304"/>
      <c r="S4275" s="1304"/>
      <c r="T4275" s="1304"/>
    </row>
    <row r="4276" spans="1:20">
      <c r="A4276" s="1303"/>
      <c r="B4276" s="1322" t="s">
        <v>10424</v>
      </c>
      <c r="C4276" s="1323" t="s">
        <v>10425</v>
      </c>
      <c r="D4276" s="1324">
        <f t="shared" si="426"/>
        <v>35647</v>
      </c>
      <c r="E4276" s="1323">
        <f t="shared" si="428"/>
        <v>4.6521999999999997</v>
      </c>
      <c r="F4276" s="1323">
        <f t="shared" si="427"/>
        <v>4.3228708323124208</v>
      </c>
      <c r="G4276" s="1323">
        <f t="shared" si="429"/>
        <v>1997</v>
      </c>
      <c r="H4276" s="1323">
        <f t="shared" si="430"/>
        <v>8</v>
      </c>
      <c r="I4276" s="1323">
        <f t="shared" si="431"/>
        <v>5</v>
      </c>
      <c r="J4276" s="1323"/>
      <c r="K4276" s="1323"/>
      <c r="L4276" s="1323"/>
      <c r="M4276" s="1323"/>
      <c r="N4276" s="1323"/>
      <c r="O4276" s="1323"/>
      <c r="P4276" s="1323"/>
      <c r="Q4276" s="1323"/>
      <c r="R4276" s="1304"/>
      <c r="S4276" s="1304"/>
      <c r="T4276" s="1304"/>
    </row>
    <row r="4277" spans="1:20">
      <c r="A4277" s="1303"/>
      <c r="B4277" s="1322" t="s">
        <v>10426</v>
      </c>
      <c r="C4277" s="1323" t="s">
        <v>10427</v>
      </c>
      <c r="D4277" s="1324">
        <f t="shared" si="426"/>
        <v>35646</v>
      </c>
      <c r="E4277" s="1323">
        <f t="shared" si="428"/>
        <v>4.6631</v>
      </c>
      <c r="F4277" s="1323">
        <f t="shared" si="427"/>
        <v>4.3220419475553555</v>
      </c>
      <c r="G4277" s="1323">
        <f t="shared" si="429"/>
        <v>1997</v>
      </c>
      <c r="H4277" s="1323">
        <f t="shared" si="430"/>
        <v>8</v>
      </c>
      <c r="I4277" s="1323">
        <f t="shared" si="431"/>
        <v>4</v>
      </c>
      <c r="J4277" s="1323"/>
      <c r="K4277" s="1323"/>
      <c r="L4277" s="1323"/>
      <c r="M4277" s="1323"/>
      <c r="N4277" s="1323"/>
      <c r="O4277" s="1323"/>
      <c r="P4277" s="1323"/>
      <c r="Q4277" s="1323"/>
      <c r="R4277" s="1304"/>
      <c r="S4277" s="1304"/>
      <c r="T4277" s="1304"/>
    </row>
    <row r="4278" spans="1:20">
      <c r="A4278" s="1303"/>
      <c r="B4278" s="1322" t="s">
        <v>10428</v>
      </c>
      <c r="C4278" s="1323" t="s">
        <v>10360</v>
      </c>
      <c r="D4278" s="1324">
        <f t="shared" si="426"/>
        <v>35643</v>
      </c>
      <c r="E4278" s="1323">
        <f t="shared" si="428"/>
        <v>4.6124999999999998</v>
      </c>
      <c r="F4278" s="1323">
        <f t="shared" si="427"/>
        <v>4.3212132217320098</v>
      </c>
      <c r="G4278" s="1323">
        <f t="shared" si="429"/>
        <v>1997</v>
      </c>
      <c r="H4278" s="1323">
        <f t="shared" si="430"/>
        <v>8</v>
      </c>
      <c r="I4278" s="1323">
        <f t="shared" si="431"/>
        <v>1</v>
      </c>
      <c r="J4278" s="1323"/>
      <c r="K4278" s="1323"/>
      <c r="L4278" s="1323"/>
      <c r="M4278" s="1323"/>
      <c r="N4278" s="1323"/>
      <c r="O4278" s="1323"/>
      <c r="P4278" s="1323"/>
      <c r="Q4278" s="1323"/>
      <c r="R4278" s="1304"/>
      <c r="S4278" s="1304"/>
      <c r="T4278" s="1304"/>
    </row>
    <row r="4279" spans="1:20">
      <c r="A4279" s="1303"/>
      <c r="B4279" s="1322" t="s">
        <v>10429</v>
      </c>
      <c r="C4279" s="1323" t="s">
        <v>10430</v>
      </c>
      <c r="D4279" s="1324">
        <f t="shared" si="426"/>
        <v>35642</v>
      </c>
      <c r="E4279" s="1323">
        <f t="shared" si="428"/>
        <v>4.6135999999999999</v>
      </c>
      <c r="F4279" s="1323">
        <f t="shared" si="427"/>
        <v>4.3203846548119085</v>
      </c>
      <c r="G4279" s="1323">
        <f t="shared" si="429"/>
        <v>1997</v>
      </c>
      <c r="H4279" s="1323">
        <f t="shared" si="430"/>
        <v>7</v>
      </c>
      <c r="I4279" s="1323">
        <f t="shared" si="431"/>
        <v>31</v>
      </c>
      <c r="J4279" s="1323"/>
      <c r="K4279" s="1323"/>
      <c r="L4279" s="1323"/>
      <c r="M4279" s="1323"/>
      <c r="N4279" s="1323"/>
      <c r="O4279" s="1323"/>
      <c r="P4279" s="1323"/>
      <c r="Q4279" s="1323"/>
      <c r="R4279" s="1304"/>
      <c r="S4279" s="1304"/>
      <c r="T4279" s="1304"/>
    </row>
    <row r="4280" spans="1:20">
      <c r="A4280" s="1303"/>
      <c r="B4280" s="1322" t="s">
        <v>10431</v>
      </c>
      <c r="C4280" s="1323" t="s">
        <v>10432</v>
      </c>
      <c r="D4280" s="1324">
        <f t="shared" si="426"/>
        <v>35641</v>
      </c>
      <c r="E4280" s="1323">
        <f t="shared" si="428"/>
        <v>4.5892999999999997</v>
      </c>
      <c r="F4280" s="1323">
        <f t="shared" si="427"/>
        <v>4.3195562467645834</v>
      </c>
      <c r="G4280" s="1323">
        <f t="shared" si="429"/>
        <v>1997</v>
      </c>
      <c r="H4280" s="1323">
        <f t="shared" si="430"/>
        <v>7</v>
      </c>
      <c r="I4280" s="1323">
        <f t="shared" si="431"/>
        <v>30</v>
      </c>
      <c r="J4280" s="1323"/>
      <c r="K4280" s="1323"/>
      <c r="L4280" s="1323"/>
      <c r="M4280" s="1323"/>
      <c r="N4280" s="1323"/>
      <c r="O4280" s="1323"/>
      <c r="P4280" s="1323"/>
      <c r="Q4280" s="1323"/>
      <c r="R4280" s="1304"/>
      <c r="S4280" s="1304"/>
      <c r="T4280" s="1304"/>
    </row>
    <row r="4281" spans="1:20">
      <c r="A4281" s="1303"/>
      <c r="B4281" s="1322" t="s">
        <v>10433</v>
      </c>
      <c r="C4281" s="1323" t="s">
        <v>10434</v>
      </c>
      <c r="D4281" s="1324">
        <f t="shared" si="426"/>
        <v>35640</v>
      </c>
      <c r="E4281" s="1323">
        <f t="shared" si="428"/>
        <v>4.5819000000000001</v>
      </c>
      <c r="F4281" s="1323">
        <f t="shared" si="427"/>
        <v>4.3187279975595718</v>
      </c>
      <c r="G4281" s="1323">
        <f t="shared" si="429"/>
        <v>1997</v>
      </c>
      <c r="H4281" s="1323">
        <f t="shared" si="430"/>
        <v>7</v>
      </c>
      <c r="I4281" s="1323">
        <f t="shared" si="431"/>
        <v>29</v>
      </c>
      <c r="J4281" s="1323"/>
      <c r="K4281" s="1323"/>
      <c r="L4281" s="1323"/>
      <c r="M4281" s="1323"/>
      <c r="N4281" s="1323"/>
      <c r="O4281" s="1323"/>
      <c r="P4281" s="1323"/>
      <c r="Q4281" s="1323"/>
      <c r="R4281" s="1304"/>
      <c r="S4281" s="1304"/>
      <c r="T4281" s="1304"/>
    </row>
    <row r="4282" spans="1:20">
      <c r="A4282" s="1303"/>
      <c r="B4282" s="1322" t="s">
        <v>10435</v>
      </c>
      <c r="C4282" s="1323" t="s">
        <v>10436</v>
      </c>
      <c r="D4282" s="1324">
        <f t="shared" si="426"/>
        <v>35639</v>
      </c>
      <c r="E4282" s="1323">
        <f t="shared" si="428"/>
        <v>4.5704000000000002</v>
      </c>
      <c r="F4282" s="1323">
        <f t="shared" si="427"/>
        <v>4.3178999071664164</v>
      </c>
      <c r="G4282" s="1323">
        <f t="shared" si="429"/>
        <v>1997</v>
      </c>
      <c r="H4282" s="1323">
        <f t="shared" si="430"/>
        <v>7</v>
      </c>
      <c r="I4282" s="1323">
        <f t="shared" si="431"/>
        <v>28</v>
      </c>
      <c r="J4282" s="1323"/>
      <c r="K4282" s="1323"/>
      <c r="L4282" s="1323"/>
      <c r="M4282" s="1323"/>
      <c r="N4282" s="1323"/>
      <c r="O4282" s="1323"/>
      <c r="P4282" s="1323"/>
      <c r="Q4282" s="1323"/>
      <c r="R4282" s="1304"/>
      <c r="S4282" s="1304"/>
      <c r="T4282" s="1304"/>
    </row>
    <row r="4283" spans="1:20">
      <c r="A4283" s="1303"/>
      <c r="B4283" s="1322" t="s">
        <v>10437</v>
      </c>
      <c r="C4283" s="1323" t="s">
        <v>10438</v>
      </c>
      <c r="D4283" s="1324">
        <f t="shared" si="426"/>
        <v>35636</v>
      </c>
      <c r="E4283" s="1323">
        <f t="shared" si="428"/>
        <v>4.5434000000000001</v>
      </c>
      <c r="F4283" s="1323">
        <f t="shared" si="427"/>
        <v>4.3170719755546658</v>
      </c>
      <c r="G4283" s="1323">
        <f t="shared" si="429"/>
        <v>1997</v>
      </c>
      <c r="H4283" s="1323">
        <f t="shared" si="430"/>
        <v>7</v>
      </c>
      <c r="I4283" s="1323">
        <f t="shared" si="431"/>
        <v>25</v>
      </c>
      <c r="J4283" s="1323"/>
      <c r="K4283" s="1323"/>
      <c r="L4283" s="1323"/>
      <c r="M4283" s="1323"/>
      <c r="N4283" s="1323"/>
      <c r="O4283" s="1323"/>
      <c r="P4283" s="1323"/>
      <c r="Q4283" s="1323"/>
      <c r="R4283" s="1304"/>
      <c r="S4283" s="1304"/>
      <c r="T4283" s="1304"/>
    </row>
    <row r="4284" spans="1:20">
      <c r="A4284" s="1303"/>
      <c r="B4284" s="1322" t="s">
        <v>10439</v>
      </c>
      <c r="C4284" s="1323" t="s">
        <v>10440</v>
      </c>
      <c r="D4284" s="1324">
        <f t="shared" si="426"/>
        <v>35635</v>
      </c>
      <c r="E4284" s="1323">
        <f t="shared" si="428"/>
        <v>4.5579000000000001</v>
      </c>
      <c r="F4284" s="1323">
        <f t="shared" si="427"/>
        <v>4.3162442026938752</v>
      </c>
      <c r="G4284" s="1323">
        <f t="shared" si="429"/>
        <v>1997</v>
      </c>
      <c r="H4284" s="1323">
        <f t="shared" si="430"/>
        <v>7</v>
      </c>
      <c r="I4284" s="1323">
        <f t="shared" si="431"/>
        <v>24</v>
      </c>
      <c r="J4284" s="1323"/>
      <c r="K4284" s="1323"/>
      <c r="L4284" s="1323"/>
      <c r="M4284" s="1323"/>
      <c r="N4284" s="1323"/>
      <c r="O4284" s="1323"/>
      <c r="P4284" s="1323"/>
      <c r="Q4284" s="1323"/>
      <c r="R4284" s="1304"/>
      <c r="S4284" s="1304"/>
      <c r="T4284" s="1304"/>
    </row>
    <row r="4285" spans="1:20">
      <c r="A4285" s="1303"/>
      <c r="B4285" s="1322" t="s">
        <v>10441</v>
      </c>
      <c r="C4285" s="1323" t="s">
        <v>10442</v>
      </c>
      <c r="D4285" s="1324">
        <f t="shared" si="426"/>
        <v>35634</v>
      </c>
      <c r="E4285" s="1323">
        <f t="shared" si="428"/>
        <v>4.5662000000000003</v>
      </c>
      <c r="F4285" s="1323">
        <f t="shared" si="427"/>
        <v>4.3154165885536049</v>
      </c>
      <c r="G4285" s="1323">
        <f t="shared" si="429"/>
        <v>1997</v>
      </c>
      <c r="H4285" s="1323">
        <f t="shared" si="430"/>
        <v>7</v>
      </c>
      <c r="I4285" s="1323">
        <f t="shared" si="431"/>
        <v>23</v>
      </c>
      <c r="J4285" s="1323"/>
      <c r="K4285" s="1323"/>
      <c r="L4285" s="1323"/>
      <c r="M4285" s="1323"/>
      <c r="N4285" s="1323"/>
      <c r="O4285" s="1323"/>
      <c r="P4285" s="1323"/>
      <c r="Q4285" s="1323"/>
      <c r="R4285" s="1304"/>
      <c r="S4285" s="1304"/>
      <c r="T4285" s="1304"/>
    </row>
    <row r="4286" spans="1:20">
      <c r="A4286" s="1303"/>
      <c r="B4286" s="1322" t="s">
        <v>10443</v>
      </c>
      <c r="C4286" s="1323" t="s">
        <v>10444</v>
      </c>
      <c r="D4286" s="1324">
        <f t="shared" si="426"/>
        <v>35633</v>
      </c>
      <c r="E4286" s="1323">
        <f t="shared" si="428"/>
        <v>4.5735000000000001</v>
      </c>
      <c r="F4286" s="1323">
        <f t="shared" si="427"/>
        <v>4.3145891331034205</v>
      </c>
      <c r="G4286" s="1323">
        <f t="shared" si="429"/>
        <v>1997</v>
      </c>
      <c r="H4286" s="1323">
        <f t="shared" si="430"/>
        <v>7</v>
      </c>
      <c r="I4286" s="1323">
        <f t="shared" si="431"/>
        <v>22</v>
      </c>
      <c r="J4286" s="1323"/>
      <c r="K4286" s="1323"/>
      <c r="L4286" s="1323"/>
      <c r="M4286" s="1323"/>
      <c r="N4286" s="1323"/>
      <c r="O4286" s="1323"/>
      <c r="P4286" s="1323"/>
      <c r="Q4286" s="1323"/>
      <c r="R4286" s="1304"/>
      <c r="S4286" s="1304"/>
      <c r="T4286" s="1304"/>
    </row>
    <row r="4287" spans="1:20">
      <c r="A4287" s="1303"/>
      <c r="B4287" s="1322" t="s">
        <v>10445</v>
      </c>
      <c r="C4287" s="1323" t="s">
        <v>10446</v>
      </c>
      <c r="D4287" s="1324">
        <f t="shared" si="426"/>
        <v>35632</v>
      </c>
      <c r="E4287" s="1323">
        <f t="shared" si="428"/>
        <v>4.5735000000000001</v>
      </c>
      <c r="F4287" s="1323">
        <f t="shared" si="427"/>
        <v>4.3137618363128949</v>
      </c>
      <c r="G4287" s="1323">
        <f t="shared" si="429"/>
        <v>1997</v>
      </c>
      <c r="H4287" s="1323">
        <f t="shared" si="430"/>
        <v>7</v>
      </c>
      <c r="I4287" s="1323">
        <f t="shared" si="431"/>
        <v>21</v>
      </c>
      <c r="J4287" s="1323"/>
      <c r="K4287" s="1323"/>
      <c r="L4287" s="1323"/>
      <c r="M4287" s="1323"/>
      <c r="N4287" s="1323"/>
      <c r="O4287" s="1323"/>
      <c r="P4287" s="1323"/>
      <c r="Q4287" s="1323"/>
      <c r="R4287" s="1304"/>
      <c r="S4287" s="1304"/>
      <c r="T4287" s="1304"/>
    </row>
    <row r="4288" spans="1:20">
      <c r="A4288" s="1303"/>
      <c r="B4288" s="1322" t="s">
        <v>10447</v>
      </c>
      <c r="C4288" s="1323" t="s">
        <v>10446</v>
      </c>
      <c r="D4288" s="1324">
        <f t="shared" si="426"/>
        <v>35629</v>
      </c>
      <c r="E4288" s="1323">
        <f t="shared" si="428"/>
        <v>4.5609999999999999</v>
      </c>
      <c r="F4288" s="1323">
        <f t="shared" si="427"/>
        <v>4.3129346981516052</v>
      </c>
      <c r="G4288" s="1323">
        <f t="shared" si="429"/>
        <v>1997</v>
      </c>
      <c r="H4288" s="1323">
        <f t="shared" si="430"/>
        <v>7</v>
      </c>
      <c r="I4288" s="1323">
        <f t="shared" si="431"/>
        <v>18</v>
      </c>
      <c r="J4288" s="1323"/>
      <c r="K4288" s="1323"/>
      <c r="L4288" s="1323"/>
      <c r="M4288" s="1323"/>
      <c r="N4288" s="1323"/>
      <c r="O4288" s="1323"/>
      <c r="P4288" s="1323"/>
      <c r="Q4288" s="1323"/>
      <c r="R4288" s="1304"/>
      <c r="S4288" s="1304"/>
      <c r="T4288" s="1304"/>
    </row>
    <row r="4289" spans="1:20">
      <c r="A4289" s="1303"/>
      <c r="B4289" s="1322" t="s">
        <v>10448</v>
      </c>
      <c r="C4289" s="1323" t="s">
        <v>10449</v>
      </c>
      <c r="D4289" s="1324">
        <f t="shared" si="426"/>
        <v>35628</v>
      </c>
      <c r="E4289" s="1323">
        <f t="shared" si="428"/>
        <v>4.5557999999999996</v>
      </c>
      <c r="F4289" s="1323">
        <f t="shared" si="427"/>
        <v>4.3121077185891359</v>
      </c>
      <c r="G4289" s="1323">
        <f t="shared" si="429"/>
        <v>1997</v>
      </c>
      <c r="H4289" s="1323">
        <f t="shared" si="430"/>
        <v>7</v>
      </c>
      <c r="I4289" s="1323">
        <f t="shared" si="431"/>
        <v>17</v>
      </c>
      <c r="J4289" s="1323"/>
      <c r="K4289" s="1323"/>
      <c r="L4289" s="1323"/>
      <c r="M4289" s="1323"/>
      <c r="N4289" s="1323"/>
      <c r="O4289" s="1323"/>
      <c r="P4289" s="1323"/>
      <c r="Q4289" s="1323"/>
      <c r="R4289" s="1304"/>
      <c r="S4289" s="1304"/>
      <c r="T4289" s="1304"/>
    </row>
    <row r="4290" spans="1:20">
      <c r="A4290" s="1303"/>
      <c r="B4290" s="1322" t="s">
        <v>10450</v>
      </c>
      <c r="C4290" s="1323" t="s">
        <v>10451</v>
      </c>
      <c r="D4290" s="1324">
        <f t="shared" si="426"/>
        <v>35627</v>
      </c>
      <c r="E4290" s="1323">
        <f t="shared" si="428"/>
        <v>4.5557999999999996</v>
      </c>
      <c r="F4290" s="1323">
        <f t="shared" si="427"/>
        <v>4.3112808975950765</v>
      </c>
      <c r="G4290" s="1323">
        <f t="shared" si="429"/>
        <v>1997</v>
      </c>
      <c r="H4290" s="1323">
        <f t="shared" si="430"/>
        <v>7</v>
      </c>
      <c r="I4290" s="1323">
        <f t="shared" si="431"/>
        <v>16</v>
      </c>
      <c r="J4290" s="1323"/>
      <c r="K4290" s="1323"/>
      <c r="L4290" s="1323"/>
      <c r="M4290" s="1323"/>
      <c r="N4290" s="1323"/>
      <c r="O4290" s="1323"/>
      <c r="P4290" s="1323"/>
      <c r="Q4290" s="1323"/>
      <c r="R4290" s="1304"/>
      <c r="S4290" s="1304"/>
      <c r="T4290" s="1304"/>
    </row>
    <row r="4291" spans="1:20">
      <c r="A4291" s="1303"/>
      <c r="B4291" s="1322" t="s">
        <v>10452</v>
      </c>
      <c r="C4291" s="1323" t="s">
        <v>10451</v>
      </c>
      <c r="D4291" s="1324">
        <f t="shared" si="426"/>
        <v>35626</v>
      </c>
      <c r="E4291" s="1323">
        <f t="shared" si="428"/>
        <v>4.5548000000000002</v>
      </c>
      <c r="F4291" s="1323">
        <f t="shared" si="427"/>
        <v>4.310454235139022</v>
      </c>
      <c r="G4291" s="1323">
        <f t="shared" si="429"/>
        <v>1997</v>
      </c>
      <c r="H4291" s="1323">
        <f t="shared" si="430"/>
        <v>7</v>
      </c>
      <c r="I4291" s="1323">
        <f t="shared" si="431"/>
        <v>15</v>
      </c>
      <c r="J4291" s="1323"/>
      <c r="K4291" s="1323"/>
      <c r="L4291" s="1323"/>
      <c r="M4291" s="1323"/>
      <c r="N4291" s="1323"/>
      <c r="O4291" s="1323"/>
      <c r="P4291" s="1323"/>
      <c r="Q4291" s="1323"/>
      <c r="R4291" s="1304"/>
      <c r="S4291" s="1304"/>
      <c r="T4291" s="1304"/>
    </row>
    <row r="4292" spans="1:20">
      <c r="A4292" s="1303"/>
      <c r="B4292" s="1322" t="s">
        <v>10453</v>
      </c>
      <c r="C4292" s="1323" t="s">
        <v>10454</v>
      </c>
      <c r="D4292" s="1324">
        <f t="shared" si="426"/>
        <v>35625</v>
      </c>
      <c r="E4292" s="1323">
        <f t="shared" si="428"/>
        <v>4.5517000000000003</v>
      </c>
      <c r="F4292" s="1323">
        <f t="shared" si="427"/>
        <v>4.3096277311905746</v>
      </c>
      <c r="G4292" s="1323">
        <f t="shared" si="429"/>
        <v>1997</v>
      </c>
      <c r="H4292" s="1323">
        <f t="shared" si="430"/>
        <v>7</v>
      </c>
      <c r="I4292" s="1323">
        <f t="shared" si="431"/>
        <v>14</v>
      </c>
      <c r="J4292" s="1323"/>
      <c r="K4292" s="1323"/>
      <c r="L4292" s="1323"/>
      <c r="M4292" s="1323"/>
      <c r="N4292" s="1323"/>
      <c r="O4292" s="1323"/>
      <c r="P4292" s="1323"/>
      <c r="Q4292" s="1323"/>
      <c r="R4292" s="1304"/>
      <c r="S4292" s="1304"/>
      <c r="T4292" s="1304"/>
    </row>
    <row r="4293" spans="1:20">
      <c r="A4293" s="1303"/>
      <c r="B4293" s="1322" t="s">
        <v>10455</v>
      </c>
      <c r="C4293" s="1323" t="s">
        <v>10456</v>
      </c>
      <c r="D4293" s="1324">
        <f t="shared" si="426"/>
        <v>35622</v>
      </c>
      <c r="E4293" s="1323">
        <f t="shared" si="428"/>
        <v>4.5548000000000002</v>
      </c>
      <c r="F4293" s="1323">
        <f t="shared" si="427"/>
        <v>4.3088013857193408</v>
      </c>
      <c r="G4293" s="1323">
        <f t="shared" si="429"/>
        <v>1997</v>
      </c>
      <c r="H4293" s="1323">
        <f t="shared" si="430"/>
        <v>7</v>
      </c>
      <c r="I4293" s="1323">
        <f t="shared" si="431"/>
        <v>11</v>
      </c>
      <c r="J4293" s="1323"/>
      <c r="K4293" s="1323"/>
      <c r="L4293" s="1323"/>
      <c r="M4293" s="1323"/>
      <c r="N4293" s="1323"/>
      <c r="O4293" s="1323"/>
      <c r="P4293" s="1323"/>
      <c r="Q4293" s="1323"/>
      <c r="R4293" s="1304"/>
      <c r="S4293" s="1304"/>
      <c r="T4293" s="1304"/>
    </row>
    <row r="4294" spans="1:20">
      <c r="A4294" s="1303"/>
      <c r="B4294" s="1322" t="s">
        <v>10457</v>
      </c>
      <c r="C4294" s="1323" t="s">
        <v>10454</v>
      </c>
      <c r="D4294" s="1324">
        <f t="shared" si="426"/>
        <v>35621</v>
      </c>
      <c r="E4294" s="1323">
        <f t="shared" si="428"/>
        <v>4.5517000000000003</v>
      </c>
      <c r="F4294" s="1323">
        <f t="shared" si="427"/>
        <v>4.3079751986949333</v>
      </c>
      <c r="G4294" s="1323">
        <f t="shared" si="429"/>
        <v>1997</v>
      </c>
      <c r="H4294" s="1323">
        <f t="shared" si="430"/>
        <v>7</v>
      </c>
      <c r="I4294" s="1323">
        <f t="shared" si="431"/>
        <v>10</v>
      </c>
      <c r="J4294" s="1323"/>
      <c r="K4294" s="1323"/>
      <c r="L4294" s="1323"/>
      <c r="M4294" s="1323"/>
      <c r="N4294" s="1323"/>
      <c r="O4294" s="1323"/>
      <c r="P4294" s="1323"/>
      <c r="Q4294" s="1323"/>
      <c r="R4294" s="1304"/>
      <c r="S4294" s="1304"/>
      <c r="T4294" s="1304"/>
    </row>
    <row r="4295" spans="1:20">
      <c r="A4295" s="1303"/>
      <c r="B4295" s="1322" t="s">
        <v>10458</v>
      </c>
      <c r="C4295" s="1323" t="s">
        <v>10456</v>
      </c>
      <c r="D4295" s="1324">
        <f t="shared" si="426"/>
        <v>35620</v>
      </c>
      <c r="E4295" s="1323">
        <f t="shared" si="428"/>
        <v>4.5579000000000001</v>
      </c>
      <c r="F4295" s="1323">
        <f t="shared" si="427"/>
        <v>4.3071491700869711</v>
      </c>
      <c r="G4295" s="1323">
        <f t="shared" si="429"/>
        <v>1997</v>
      </c>
      <c r="H4295" s="1323">
        <f t="shared" si="430"/>
        <v>7</v>
      </c>
      <c r="I4295" s="1323">
        <f t="shared" si="431"/>
        <v>9</v>
      </c>
      <c r="J4295" s="1323"/>
      <c r="K4295" s="1323"/>
      <c r="L4295" s="1323"/>
      <c r="M4295" s="1323"/>
      <c r="N4295" s="1323"/>
      <c r="O4295" s="1323"/>
      <c r="P4295" s="1323"/>
      <c r="Q4295" s="1323"/>
      <c r="R4295" s="1304"/>
      <c r="S4295" s="1304"/>
      <c r="T4295" s="1304"/>
    </row>
    <row r="4296" spans="1:20">
      <c r="A4296" s="1303"/>
      <c r="B4296" s="1322" t="s">
        <v>10459</v>
      </c>
      <c r="C4296" s="1323" t="s">
        <v>10442</v>
      </c>
      <c r="D4296" s="1324">
        <f t="shared" si="426"/>
        <v>35619</v>
      </c>
      <c r="E4296" s="1323">
        <f t="shared" si="428"/>
        <v>4.5465</v>
      </c>
      <c r="F4296" s="1323">
        <f t="shared" si="427"/>
        <v>4.3063232998650793</v>
      </c>
      <c r="G4296" s="1323">
        <f t="shared" si="429"/>
        <v>1997</v>
      </c>
      <c r="H4296" s="1323">
        <f t="shared" si="430"/>
        <v>7</v>
      </c>
      <c r="I4296" s="1323">
        <f t="shared" si="431"/>
        <v>8</v>
      </c>
      <c r="J4296" s="1323"/>
      <c r="K4296" s="1323"/>
      <c r="L4296" s="1323"/>
      <c r="M4296" s="1323"/>
      <c r="N4296" s="1323"/>
      <c r="O4296" s="1323"/>
      <c r="P4296" s="1323"/>
      <c r="Q4296" s="1323"/>
      <c r="R4296" s="1304"/>
      <c r="S4296" s="1304"/>
      <c r="T4296" s="1304"/>
    </row>
    <row r="4297" spans="1:20">
      <c r="A4297" s="1303"/>
      <c r="B4297" s="1322" t="s">
        <v>10460</v>
      </c>
      <c r="C4297" s="1323" t="s">
        <v>10461</v>
      </c>
      <c r="D4297" s="1324">
        <f t="shared" ref="D4297:D4360" si="432">DATE(G4297,H4297,I4297)</f>
        <v>35618</v>
      </c>
      <c r="E4297" s="1323">
        <f t="shared" si="428"/>
        <v>4.5372000000000003</v>
      </c>
      <c r="F4297" s="1323">
        <f t="shared" ref="F4297:F4360" si="433">F4298*(1+$F$7/365)</f>
        <v>4.3054975879988877</v>
      </c>
      <c r="G4297" s="1323">
        <f t="shared" si="429"/>
        <v>1997</v>
      </c>
      <c r="H4297" s="1323">
        <f t="shared" si="430"/>
        <v>7</v>
      </c>
      <c r="I4297" s="1323">
        <f t="shared" si="431"/>
        <v>7</v>
      </c>
      <c r="J4297" s="1323"/>
      <c r="K4297" s="1323"/>
      <c r="L4297" s="1323"/>
      <c r="M4297" s="1323"/>
      <c r="N4297" s="1323"/>
      <c r="O4297" s="1323"/>
      <c r="P4297" s="1323"/>
      <c r="Q4297" s="1323"/>
      <c r="R4297" s="1304"/>
      <c r="S4297" s="1304"/>
      <c r="T4297" s="1304"/>
    </row>
    <row r="4298" spans="1:20">
      <c r="A4298" s="1303"/>
      <c r="B4298" s="1322" t="s">
        <v>10462</v>
      </c>
      <c r="C4298" s="1323" t="s">
        <v>10463</v>
      </c>
      <c r="D4298" s="1324">
        <f t="shared" si="432"/>
        <v>35615</v>
      </c>
      <c r="E4298" s="1323">
        <f t="shared" si="428"/>
        <v>4.5279999999999996</v>
      </c>
      <c r="F4298" s="1323">
        <f t="shared" si="433"/>
        <v>4.3046720344580329</v>
      </c>
      <c r="G4298" s="1323">
        <f t="shared" si="429"/>
        <v>1997</v>
      </c>
      <c r="H4298" s="1323">
        <f t="shared" si="430"/>
        <v>7</v>
      </c>
      <c r="I4298" s="1323">
        <f t="shared" si="431"/>
        <v>4</v>
      </c>
      <c r="J4298" s="1323"/>
      <c r="K4298" s="1323"/>
      <c r="L4298" s="1323"/>
      <c r="M4298" s="1323"/>
      <c r="N4298" s="1323"/>
      <c r="O4298" s="1323"/>
      <c r="P4298" s="1323"/>
      <c r="Q4298" s="1323"/>
      <c r="R4298" s="1304"/>
      <c r="S4298" s="1304"/>
      <c r="T4298" s="1304"/>
    </row>
    <row r="4299" spans="1:20">
      <c r="A4299" s="1303"/>
      <c r="B4299" s="1322" t="s">
        <v>10464</v>
      </c>
      <c r="C4299" s="1323" t="s">
        <v>10465</v>
      </c>
      <c r="D4299" s="1324">
        <f t="shared" si="432"/>
        <v>35614</v>
      </c>
      <c r="E4299" s="1323">
        <f t="shared" si="428"/>
        <v>4.5279999999999996</v>
      </c>
      <c r="F4299" s="1323">
        <f t="shared" si="433"/>
        <v>4.3038466392121562</v>
      </c>
      <c r="G4299" s="1323">
        <f t="shared" si="429"/>
        <v>1997</v>
      </c>
      <c r="H4299" s="1323">
        <f t="shared" si="430"/>
        <v>7</v>
      </c>
      <c r="I4299" s="1323">
        <f t="shared" si="431"/>
        <v>3</v>
      </c>
      <c r="J4299" s="1323"/>
      <c r="K4299" s="1323"/>
      <c r="L4299" s="1323"/>
      <c r="M4299" s="1323"/>
      <c r="N4299" s="1323"/>
      <c r="O4299" s="1323"/>
      <c r="P4299" s="1323"/>
      <c r="Q4299" s="1323"/>
      <c r="R4299" s="1304"/>
      <c r="S4299" s="1304"/>
      <c r="T4299" s="1304"/>
    </row>
    <row r="4300" spans="1:20">
      <c r="A4300" s="1303"/>
      <c r="B4300" s="1322" t="s">
        <v>10466</v>
      </c>
      <c r="C4300" s="1323" t="s">
        <v>10465</v>
      </c>
      <c r="D4300" s="1324">
        <f t="shared" si="432"/>
        <v>35613</v>
      </c>
      <c r="E4300" s="1323">
        <f t="shared" si="428"/>
        <v>4.5340999999999996</v>
      </c>
      <c r="F4300" s="1323">
        <f t="shared" si="433"/>
        <v>4.3030214022309066</v>
      </c>
      <c r="G4300" s="1323">
        <f t="shared" si="429"/>
        <v>1997</v>
      </c>
      <c r="H4300" s="1323">
        <f t="shared" si="430"/>
        <v>7</v>
      </c>
      <c r="I4300" s="1323">
        <f t="shared" si="431"/>
        <v>2</v>
      </c>
      <c r="J4300" s="1323"/>
      <c r="K4300" s="1323"/>
      <c r="L4300" s="1323"/>
      <c r="M4300" s="1323"/>
      <c r="N4300" s="1323"/>
      <c r="O4300" s="1323"/>
      <c r="P4300" s="1323"/>
      <c r="Q4300" s="1323"/>
      <c r="R4300" s="1304"/>
      <c r="S4300" s="1304"/>
      <c r="T4300" s="1304"/>
    </row>
    <row r="4301" spans="1:20">
      <c r="A4301" s="1303"/>
      <c r="B4301" s="1322" t="s">
        <v>10467</v>
      </c>
      <c r="C4301" s="1323" t="s">
        <v>10468</v>
      </c>
      <c r="D4301" s="1324">
        <f t="shared" si="432"/>
        <v>35612</v>
      </c>
      <c r="E4301" s="1323">
        <f t="shared" si="428"/>
        <v>4.5362</v>
      </c>
      <c r="F4301" s="1323">
        <f t="shared" si="433"/>
        <v>4.3021963234839369</v>
      </c>
      <c r="G4301" s="1323">
        <f t="shared" si="429"/>
        <v>1997</v>
      </c>
      <c r="H4301" s="1323">
        <f t="shared" si="430"/>
        <v>7</v>
      </c>
      <c r="I4301" s="1323">
        <f t="shared" si="431"/>
        <v>1</v>
      </c>
      <c r="J4301" s="1323"/>
      <c r="K4301" s="1323"/>
      <c r="L4301" s="1323"/>
      <c r="M4301" s="1323"/>
      <c r="N4301" s="1323"/>
      <c r="O4301" s="1323"/>
      <c r="P4301" s="1323"/>
      <c r="Q4301" s="1323"/>
      <c r="R4301" s="1304"/>
      <c r="S4301" s="1304"/>
      <c r="T4301" s="1304"/>
    </row>
    <row r="4302" spans="1:20">
      <c r="A4302" s="1303"/>
      <c r="B4302" s="1322" t="s">
        <v>10469</v>
      </c>
      <c r="C4302" s="1323" t="s">
        <v>10470</v>
      </c>
      <c r="D4302" s="1324">
        <f t="shared" si="432"/>
        <v>35611</v>
      </c>
      <c r="E4302" s="1323">
        <f t="shared" si="428"/>
        <v>4.5248999999999997</v>
      </c>
      <c r="F4302" s="1323">
        <f t="shared" si="433"/>
        <v>4.3013714029409069</v>
      </c>
      <c r="G4302" s="1323">
        <f t="shared" si="429"/>
        <v>1997</v>
      </c>
      <c r="H4302" s="1323">
        <f t="shared" si="430"/>
        <v>6</v>
      </c>
      <c r="I4302" s="1323">
        <f t="shared" si="431"/>
        <v>30</v>
      </c>
      <c r="J4302" s="1323"/>
      <c r="K4302" s="1323"/>
      <c r="L4302" s="1323"/>
      <c r="M4302" s="1323"/>
      <c r="N4302" s="1323"/>
      <c r="O4302" s="1323"/>
      <c r="P4302" s="1323"/>
      <c r="Q4302" s="1323"/>
      <c r="R4302" s="1304"/>
      <c r="S4302" s="1304"/>
      <c r="T4302" s="1304"/>
    </row>
    <row r="4303" spans="1:20">
      <c r="A4303" s="1303"/>
      <c r="B4303" s="1322" t="s">
        <v>10471</v>
      </c>
      <c r="C4303" s="1323" t="s">
        <v>10472</v>
      </c>
      <c r="D4303" s="1324">
        <f t="shared" si="432"/>
        <v>35608</v>
      </c>
      <c r="E4303" s="1323">
        <f t="shared" si="428"/>
        <v>4.5115999999999996</v>
      </c>
      <c r="F4303" s="1323">
        <f t="shared" si="433"/>
        <v>4.3005466405714818</v>
      </c>
      <c r="G4303" s="1323">
        <f t="shared" si="429"/>
        <v>1997</v>
      </c>
      <c r="H4303" s="1323">
        <f t="shared" si="430"/>
        <v>6</v>
      </c>
      <c r="I4303" s="1323">
        <f t="shared" si="431"/>
        <v>27</v>
      </c>
      <c r="J4303" s="1323"/>
      <c r="K4303" s="1323"/>
      <c r="L4303" s="1323"/>
      <c r="M4303" s="1323"/>
      <c r="N4303" s="1323"/>
      <c r="O4303" s="1323"/>
      <c r="P4303" s="1323"/>
      <c r="Q4303" s="1323"/>
      <c r="R4303" s="1304"/>
      <c r="S4303" s="1304"/>
      <c r="T4303" s="1304"/>
    </row>
    <row r="4304" spans="1:20">
      <c r="A4304" s="1303"/>
      <c r="B4304" s="1322" t="s">
        <v>10473</v>
      </c>
      <c r="C4304" s="1323" t="s">
        <v>10474</v>
      </c>
      <c r="D4304" s="1324">
        <f t="shared" si="432"/>
        <v>35607</v>
      </c>
      <c r="E4304" s="1323">
        <f t="shared" si="428"/>
        <v>4.5106000000000002</v>
      </c>
      <c r="F4304" s="1323">
        <f t="shared" si="433"/>
        <v>4.299722036345333</v>
      </c>
      <c r="G4304" s="1323">
        <f t="shared" si="429"/>
        <v>1997</v>
      </c>
      <c r="H4304" s="1323">
        <f t="shared" si="430"/>
        <v>6</v>
      </c>
      <c r="I4304" s="1323">
        <f t="shared" si="431"/>
        <v>26</v>
      </c>
      <c r="J4304" s="1323"/>
      <c r="K4304" s="1323"/>
      <c r="L4304" s="1323"/>
      <c r="M4304" s="1323"/>
      <c r="N4304" s="1323"/>
      <c r="O4304" s="1323"/>
      <c r="P4304" s="1323"/>
      <c r="Q4304" s="1323"/>
      <c r="R4304" s="1304"/>
      <c r="S4304" s="1304"/>
      <c r="T4304" s="1304"/>
    </row>
    <row r="4305" spans="1:20">
      <c r="A4305" s="1303"/>
      <c r="B4305" s="1322" t="s">
        <v>10475</v>
      </c>
      <c r="C4305" s="1323" t="s">
        <v>10476</v>
      </c>
      <c r="D4305" s="1324">
        <f t="shared" si="432"/>
        <v>35606</v>
      </c>
      <c r="E4305" s="1323">
        <f t="shared" si="428"/>
        <v>4.5045000000000002</v>
      </c>
      <c r="F4305" s="1323">
        <f t="shared" si="433"/>
        <v>4.298897590232138</v>
      </c>
      <c r="G4305" s="1323">
        <f t="shared" si="429"/>
        <v>1997</v>
      </c>
      <c r="H4305" s="1323">
        <f t="shared" si="430"/>
        <v>6</v>
      </c>
      <c r="I4305" s="1323">
        <f t="shared" si="431"/>
        <v>25</v>
      </c>
      <c r="J4305" s="1323"/>
      <c r="K4305" s="1323"/>
      <c r="L4305" s="1323"/>
      <c r="M4305" s="1323"/>
      <c r="N4305" s="1323"/>
      <c r="O4305" s="1323"/>
      <c r="P4305" s="1323"/>
      <c r="Q4305" s="1323"/>
      <c r="R4305" s="1304"/>
      <c r="S4305" s="1304"/>
      <c r="T4305" s="1304"/>
    </row>
    <row r="4306" spans="1:20">
      <c r="A4306" s="1303"/>
      <c r="B4306" s="1322" t="s">
        <v>10477</v>
      </c>
      <c r="C4306" s="1323" t="s">
        <v>10478</v>
      </c>
      <c r="D4306" s="1324">
        <f t="shared" si="432"/>
        <v>35605</v>
      </c>
      <c r="E4306" s="1323">
        <f t="shared" si="428"/>
        <v>4.4993999999999996</v>
      </c>
      <c r="F4306" s="1323">
        <f t="shared" si="433"/>
        <v>4.2980733022015789</v>
      </c>
      <c r="G4306" s="1323">
        <f t="shared" si="429"/>
        <v>1997</v>
      </c>
      <c r="H4306" s="1323">
        <f t="shared" si="430"/>
        <v>6</v>
      </c>
      <c r="I4306" s="1323">
        <f t="shared" si="431"/>
        <v>24</v>
      </c>
      <c r="J4306" s="1323"/>
      <c r="K4306" s="1323"/>
      <c r="L4306" s="1323"/>
      <c r="M4306" s="1323"/>
      <c r="N4306" s="1323"/>
      <c r="O4306" s="1323"/>
      <c r="P4306" s="1323"/>
      <c r="Q4306" s="1323"/>
      <c r="R4306" s="1304"/>
      <c r="S4306" s="1304"/>
      <c r="T4306" s="1304"/>
    </row>
    <row r="4307" spans="1:20">
      <c r="A4307" s="1303"/>
      <c r="B4307" s="1322" t="s">
        <v>10479</v>
      </c>
      <c r="C4307" s="1323" t="s">
        <v>10480</v>
      </c>
      <c r="D4307" s="1324">
        <f t="shared" si="432"/>
        <v>35604</v>
      </c>
      <c r="E4307" s="1323">
        <f t="shared" si="428"/>
        <v>4.5015000000000001</v>
      </c>
      <c r="F4307" s="1323">
        <f t="shared" si="433"/>
        <v>4.2972491722233439</v>
      </c>
      <c r="G4307" s="1323">
        <f t="shared" si="429"/>
        <v>1997</v>
      </c>
      <c r="H4307" s="1323">
        <f t="shared" si="430"/>
        <v>6</v>
      </c>
      <c r="I4307" s="1323">
        <f t="shared" si="431"/>
        <v>23</v>
      </c>
      <c r="J4307" s="1323"/>
      <c r="K4307" s="1323"/>
      <c r="L4307" s="1323"/>
      <c r="M4307" s="1323"/>
      <c r="N4307" s="1323"/>
      <c r="O4307" s="1323"/>
      <c r="P4307" s="1323"/>
      <c r="Q4307" s="1323"/>
      <c r="R4307" s="1304"/>
      <c r="S4307" s="1304"/>
      <c r="T4307" s="1304"/>
    </row>
    <row r="4308" spans="1:20">
      <c r="A4308" s="1303"/>
      <c r="B4308" s="1322" t="s">
        <v>10481</v>
      </c>
      <c r="C4308" s="1323" t="s">
        <v>10482</v>
      </c>
      <c r="D4308" s="1324">
        <f t="shared" si="432"/>
        <v>35601</v>
      </c>
      <c r="E4308" s="1323">
        <f t="shared" si="428"/>
        <v>4.5086000000000004</v>
      </c>
      <c r="F4308" s="1323">
        <f t="shared" si="433"/>
        <v>4.2964252002671284</v>
      </c>
      <c r="G4308" s="1323">
        <f t="shared" si="429"/>
        <v>1997</v>
      </c>
      <c r="H4308" s="1323">
        <f t="shared" si="430"/>
        <v>6</v>
      </c>
      <c r="I4308" s="1323">
        <f t="shared" si="431"/>
        <v>20</v>
      </c>
      <c r="J4308" s="1323"/>
      <c r="K4308" s="1323"/>
      <c r="L4308" s="1323"/>
      <c r="M4308" s="1323"/>
      <c r="N4308" s="1323"/>
      <c r="O4308" s="1323"/>
      <c r="P4308" s="1323"/>
      <c r="Q4308" s="1323"/>
      <c r="R4308" s="1304"/>
      <c r="S4308" s="1304"/>
      <c r="T4308" s="1304"/>
    </row>
    <row r="4309" spans="1:20">
      <c r="A4309" s="1303"/>
      <c r="B4309" s="1322" t="s">
        <v>10483</v>
      </c>
      <c r="C4309" s="1323" t="s">
        <v>10484</v>
      </c>
      <c r="D4309" s="1324">
        <f t="shared" si="432"/>
        <v>35600</v>
      </c>
      <c r="E4309" s="1323">
        <f t="shared" si="428"/>
        <v>4.5156999999999998</v>
      </c>
      <c r="F4309" s="1323">
        <f t="shared" si="433"/>
        <v>4.2956013863026321</v>
      </c>
      <c r="G4309" s="1323">
        <f t="shared" si="429"/>
        <v>1997</v>
      </c>
      <c r="H4309" s="1323">
        <f t="shared" si="430"/>
        <v>6</v>
      </c>
      <c r="I4309" s="1323">
        <f t="shared" si="431"/>
        <v>19</v>
      </c>
      <c r="J4309" s="1323"/>
      <c r="K4309" s="1323"/>
      <c r="L4309" s="1323"/>
      <c r="M4309" s="1323"/>
      <c r="N4309" s="1323"/>
      <c r="O4309" s="1323"/>
      <c r="P4309" s="1323"/>
      <c r="Q4309" s="1323"/>
      <c r="R4309" s="1304"/>
      <c r="S4309" s="1304"/>
      <c r="T4309" s="1304"/>
    </row>
    <row r="4310" spans="1:20">
      <c r="A4310" s="1303"/>
      <c r="B4310" s="1322" t="s">
        <v>10485</v>
      </c>
      <c r="C4310" s="1323" t="s">
        <v>10486</v>
      </c>
      <c r="D4310" s="1324">
        <f t="shared" si="432"/>
        <v>35599</v>
      </c>
      <c r="E4310" s="1323">
        <f t="shared" ref="E4310:E4373" si="434">VALUE(C4311)</f>
        <v>4.5156999999999998</v>
      </c>
      <c r="F4310" s="1323">
        <f t="shared" si="433"/>
        <v>4.2947777302995611</v>
      </c>
      <c r="G4310" s="1323">
        <f t="shared" ref="G4310:G4373" si="435">YEAR(B4311)</f>
        <v>1997</v>
      </c>
      <c r="H4310" s="1323">
        <f t="shared" ref="H4310:H4373" si="436">MONTH(B4311)</f>
        <v>6</v>
      </c>
      <c r="I4310" s="1323">
        <f t="shared" ref="I4310:I4373" si="437">DAY(B4311)</f>
        <v>18</v>
      </c>
      <c r="J4310" s="1323"/>
      <c r="K4310" s="1323"/>
      <c r="L4310" s="1323"/>
      <c r="M4310" s="1323"/>
      <c r="N4310" s="1323"/>
      <c r="O4310" s="1323"/>
      <c r="P4310" s="1323"/>
      <c r="Q4310" s="1323"/>
      <c r="R4310" s="1304"/>
      <c r="S4310" s="1304"/>
      <c r="T4310" s="1304"/>
    </row>
    <row r="4311" spans="1:20">
      <c r="A4311" s="1303"/>
      <c r="B4311" s="1322" t="s">
        <v>10487</v>
      </c>
      <c r="C4311" s="1323" t="s">
        <v>10486</v>
      </c>
      <c r="D4311" s="1324">
        <f t="shared" si="432"/>
        <v>35598</v>
      </c>
      <c r="E4311" s="1323">
        <f t="shared" si="434"/>
        <v>4.5065</v>
      </c>
      <c r="F4311" s="1323">
        <f t="shared" si="433"/>
        <v>4.2939542322276267</v>
      </c>
      <c r="G4311" s="1323">
        <f t="shared" si="435"/>
        <v>1997</v>
      </c>
      <c r="H4311" s="1323">
        <f t="shared" si="436"/>
        <v>6</v>
      </c>
      <c r="I4311" s="1323">
        <f t="shared" si="437"/>
        <v>17</v>
      </c>
      <c r="J4311" s="1323"/>
      <c r="K4311" s="1323"/>
      <c r="L4311" s="1323"/>
      <c r="M4311" s="1323"/>
      <c r="N4311" s="1323"/>
      <c r="O4311" s="1323"/>
      <c r="P4311" s="1323"/>
      <c r="Q4311" s="1323"/>
      <c r="R4311" s="1304"/>
      <c r="S4311" s="1304"/>
      <c r="T4311" s="1304"/>
    </row>
    <row r="4312" spans="1:20">
      <c r="A4312" s="1303"/>
      <c r="B4312" s="1322" t="s">
        <v>10488</v>
      </c>
      <c r="C4312" s="1323" t="s">
        <v>10489</v>
      </c>
      <c r="D4312" s="1324">
        <f t="shared" si="432"/>
        <v>35594</v>
      </c>
      <c r="E4312" s="1323">
        <f t="shared" si="434"/>
        <v>4.4973999999999998</v>
      </c>
      <c r="F4312" s="1323">
        <f t="shared" si="433"/>
        <v>4.2931308920565474</v>
      </c>
      <c r="G4312" s="1323">
        <f t="shared" si="435"/>
        <v>1997</v>
      </c>
      <c r="H4312" s="1323">
        <f t="shared" si="436"/>
        <v>6</v>
      </c>
      <c r="I4312" s="1323">
        <f t="shared" si="437"/>
        <v>13</v>
      </c>
      <c r="J4312" s="1323"/>
      <c r="K4312" s="1323"/>
      <c r="L4312" s="1323"/>
      <c r="M4312" s="1323"/>
      <c r="N4312" s="1323"/>
      <c r="O4312" s="1323"/>
      <c r="P4312" s="1323"/>
      <c r="Q4312" s="1323"/>
      <c r="R4312" s="1304"/>
      <c r="S4312" s="1304"/>
      <c r="T4312" s="1304"/>
    </row>
    <row r="4313" spans="1:20">
      <c r="A4313" s="1303"/>
      <c r="B4313" s="1322" t="s">
        <v>10490</v>
      </c>
      <c r="C4313" s="1323" t="s">
        <v>10491</v>
      </c>
      <c r="D4313" s="1324">
        <f t="shared" si="432"/>
        <v>35593</v>
      </c>
      <c r="E4313" s="1323">
        <f t="shared" si="434"/>
        <v>4.5015000000000001</v>
      </c>
      <c r="F4313" s="1323">
        <f t="shared" si="433"/>
        <v>4.292307709756046</v>
      </c>
      <c r="G4313" s="1323">
        <f t="shared" si="435"/>
        <v>1997</v>
      </c>
      <c r="H4313" s="1323">
        <f t="shared" si="436"/>
        <v>6</v>
      </c>
      <c r="I4313" s="1323">
        <f t="shared" si="437"/>
        <v>12</v>
      </c>
      <c r="J4313" s="1323"/>
      <c r="K4313" s="1323"/>
      <c r="L4313" s="1323"/>
      <c r="M4313" s="1323"/>
      <c r="N4313" s="1323"/>
      <c r="O4313" s="1323"/>
      <c r="P4313" s="1323"/>
      <c r="Q4313" s="1323"/>
      <c r="R4313" s="1304"/>
      <c r="S4313" s="1304"/>
      <c r="T4313" s="1304"/>
    </row>
    <row r="4314" spans="1:20">
      <c r="A4314" s="1303"/>
      <c r="B4314" s="1322" t="s">
        <v>10492</v>
      </c>
      <c r="C4314" s="1323" t="s">
        <v>10482</v>
      </c>
      <c r="D4314" s="1324">
        <f t="shared" si="432"/>
        <v>35592</v>
      </c>
      <c r="E4314" s="1323">
        <f t="shared" si="434"/>
        <v>4.4993999999999996</v>
      </c>
      <c r="F4314" s="1323">
        <f t="shared" si="433"/>
        <v>4.2914846852958526</v>
      </c>
      <c r="G4314" s="1323">
        <f t="shared" si="435"/>
        <v>1997</v>
      </c>
      <c r="H4314" s="1323">
        <f t="shared" si="436"/>
        <v>6</v>
      </c>
      <c r="I4314" s="1323">
        <f t="shared" si="437"/>
        <v>11</v>
      </c>
      <c r="J4314" s="1323"/>
      <c r="K4314" s="1323"/>
      <c r="L4314" s="1323"/>
      <c r="M4314" s="1323"/>
      <c r="N4314" s="1323"/>
      <c r="O4314" s="1323"/>
      <c r="P4314" s="1323"/>
      <c r="Q4314" s="1323"/>
      <c r="R4314" s="1304"/>
      <c r="S4314" s="1304"/>
      <c r="T4314" s="1304"/>
    </row>
    <row r="4315" spans="1:20">
      <c r="A4315" s="1303"/>
      <c r="B4315" s="1322" t="s">
        <v>10493</v>
      </c>
      <c r="C4315" s="1323" t="s">
        <v>10480</v>
      </c>
      <c r="D4315" s="1324">
        <f t="shared" si="432"/>
        <v>35591</v>
      </c>
      <c r="E4315" s="1323">
        <f t="shared" si="434"/>
        <v>4.5045000000000002</v>
      </c>
      <c r="F4315" s="1323">
        <f t="shared" si="433"/>
        <v>4.2906618186457015</v>
      </c>
      <c r="G4315" s="1323">
        <f t="shared" si="435"/>
        <v>1997</v>
      </c>
      <c r="H4315" s="1323">
        <f t="shared" si="436"/>
        <v>6</v>
      </c>
      <c r="I4315" s="1323">
        <f t="shared" si="437"/>
        <v>10</v>
      </c>
      <c r="J4315" s="1323"/>
      <c r="K4315" s="1323"/>
      <c r="L4315" s="1323"/>
      <c r="M4315" s="1323"/>
      <c r="N4315" s="1323"/>
      <c r="O4315" s="1323"/>
      <c r="P4315" s="1323"/>
      <c r="Q4315" s="1323"/>
      <c r="R4315" s="1304"/>
      <c r="S4315" s="1304"/>
      <c r="T4315" s="1304"/>
    </row>
    <row r="4316" spans="1:20">
      <c r="A4316" s="1303"/>
      <c r="B4316" s="1322" t="s">
        <v>10494</v>
      </c>
      <c r="C4316" s="1323" t="s">
        <v>10478</v>
      </c>
      <c r="D4316" s="1324">
        <f t="shared" si="432"/>
        <v>35590</v>
      </c>
      <c r="E4316" s="1323">
        <f t="shared" si="434"/>
        <v>4.4893000000000001</v>
      </c>
      <c r="F4316" s="1323">
        <f t="shared" si="433"/>
        <v>4.2898391097753334</v>
      </c>
      <c r="G4316" s="1323">
        <f t="shared" si="435"/>
        <v>1997</v>
      </c>
      <c r="H4316" s="1323">
        <f t="shared" si="436"/>
        <v>6</v>
      </c>
      <c r="I4316" s="1323">
        <f t="shared" si="437"/>
        <v>9</v>
      </c>
      <c r="J4316" s="1323"/>
      <c r="K4316" s="1323"/>
      <c r="L4316" s="1323"/>
      <c r="M4316" s="1323"/>
      <c r="N4316" s="1323"/>
      <c r="O4316" s="1323"/>
      <c r="P4316" s="1323"/>
      <c r="Q4316" s="1323"/>
      <c r="R4316" s="1304"/>
      <c r="S4316" s="1304"/>
      <c r="T4316" s="1304"/>
    </row>
    <row r="4317" spans="1:20">
      <c r="A4317" s="1303"/>
      <c r="B4317" s="1322" t="s">
        <v>10495</v>
      </c>
      <c r="C4317" s="1323" t="s">
        <v>10496</v>
      </c>
      <c r="D4317" s="1324">
        <f t="shared" si="432"/>
        <v>35587</v>
      </c>
      <c r="E4317" s="1323">
        <f t="shared" si="434"/>
        <v>4.4823000000000004</v>
      </c>
      <c r="F4317" s="1323">
        <f t="shared" si="433"/>
        <v>4.2890165586544953</v>
      </c>
      <c r="G4317" s="1323">
        <f t="shared" si="435"/>
        <v>1997</v>
      </c>
      <c r="H4317" s="1323">
        <f t="shared" si="436"/>
        <v>6</v>
      </c>
      <c r="I4317" s="1323">
        <f t="shared" si="437"/>
        <v>6</v>
      </c>
      <c r="J4317" s="1323"/>
      <c r="K4317" s="1323"/>
      <c r="L4317" s="1323"/>
      <c r="M4317" s="1323"/>
      <c r="N4317" s="1323"/>
      <c r="O4317" s="1323"/>
      <c r="P4317" s="1323"/>
      <c r="Q4317" s="1323"/>
      <c r="R4317" s="1304"/>
      <c r="S4317" s="1304"/>
      <c r="T4317" s="1304"/>
    </row>
    <row r="4318" spans="1:20">
      <c r="A4318" s="1303"/>
      <c r="B4318" s="1322" t="s">
        <v>10497</v>
      </c>
      <c r="C4318" s="1323" t="s">
        <v>10498</v>
      </c>
      <c r="D4318" s="1324">
        <f t="shared" si="432"/>
        <v>35586</v>
      </c>
      <c r="E4318" s="1323">
        <f t="shared" si="434"/>
        <v>4.4793000000000003</v>
      </c>
      <c r="F4318" s="1323">
        <f t="shared" si="433"/>
        <v>4.2881941652529401</v>
      </c>
      <c r="G4318" s="1323">
        <f t="shared" si="435"/>
        <v>1997</v>
      </c>
      <c r="H4318" s="1323">
        <f t="shared" si="436"/>
        <v>6</v>
      </c>
      <c r="I4318" s="1323">
        <f t="shared" si="437"/>
        <v>5</v>
      </c>
      <c r="J4318" s="1323"/>
      <c r="K4318" s="1323"/>
      <c r="L4318" s="1323"/>
      <c r="M4318" s="1323"/>
      <c r="N4318" s="1323"/>
      <c r="O4318" s="1323"/>
      <c r="P4318" s="1323"/>
      <c r="Q4318" s="1323"/>
      <c r="R4318" s="1304"/>
      <c r="S4318" s="1304"/>
      <c r="T4318" s="1304"/>
    </row>
    <row r="4319" spans="1:20">
      <c r="A4319" s="1303"/>
      <c r="B4319" s="1322" t="s">
        <v>10499</v>
      </c>
      <c r="C4319" s="1323" t="s">
        <v>10500</v>
      </c>
      <c r="D4319" s="1324">
        <f t="shared" si="432"/>
        <v>35585</v>
      </c>
      <c r="E4319" s="1323">
        <f t="shared" si="434"/>
        <v>4.4713000000000003</v>
      </c>
      <c r="F4319" s="1323">
        <f t="shared" si="433"/>
        <v>4.2873719295404253</v>
      </c>
      <c r="G4319" s="1323">
        <f t="shared" si="435"/>
        <v>1997</v>
      </c>
      <c r="H4319" s="1323">
        <f t="shared" si="436"/>
        <v>6</v>
      </c>
      <c r="I4319" s="1323">
        <f t="shared" si="437"/>
        <v>4</v>
      </c>
      <c r="J4319" s="1323"/>
      <c r="K4319" s="1323"/>
      <c r="L4319" s="1323"/>
      <c r="M4319" s="1323"/>
      <c r="N4319" s="1323"/>
      <c r="O4319" s="1323"/>
      <c r="P4319" s="1323"/>
      <c r="Q4319" s="1323"/>
      <c r="R4319" s="1304"/>
      <c r="S4319" s="1304"/>
      <c r="T4319" s="1304"/>
    </row>
    <row r="4320" spans="1:20">
      <c r="A4320" s="1303"/>
      <c r="B4320" s="1322" t="s">
        <v>10501</v>
      </c>
      <c r="C4320" s="1323" t="s">
        <v>10502</v>
      </c>
      <c r="D4320" s="1324">
        <f t="shared" si="432"/>
        <v>35584</v>
      </c>
      <c r="E4320" s="1323">
        <f t="shared" si="434"/>
        <v>4.4672999999999998</v>
      </c>
      <c r="F4320" s="1323">
        <f t="shared" si="433"/>
        <v>4.2865498514867157</v>
      </c>
      <c r="G4320" s="1323">
        <f t="shared" si="435"/>
        <v>1997</v>
      </c>
      <c r="H4320" s="1323">
        <f t="shared" si="436"/>
        <v>6</v>
      </c>
      <c r="I4320" s="1323">
        <f t="shared" si="437"/>
        <v>3</v>
      </c>
      <c r="J4320" s="1323"/>
      <c r="K4320" s="1323"/>
      <c r="L4320" s="1323"/>
      <c r="M4320" s="1323"/>
      <c r="N4320" s="1323"/>
      <c r="O4320" s="1323"/>
      <c r="P4320" s="1323"/>
      <c r="Q4320" s="1323"/>
      <c r="R4320" s="1304"/>
      <c r="S4320" s="1304"/>
      <c r="T4320" s="1304"/>
    </row>
    <row r="4321" spans="1:20">
      <c r="A4321" s="1303"/>
      <c r="B4321" s="1322" t="s">
        <v>10503</v>
      </c>
      <c r="C4321" s="1323" t="s">
        <v>10504</v>
      </c>
      <c r="D4321" s="1324">
        <f t="shared" si="432"/>
        <v>35583</v>
      </c>
      <c r="E4321" s="1323">
        <f t="shared" si="434"/>
        <v>4.4722999999999997</v>
      </c>
      <c r="F4321" s="1323">
        <f t="shared" si="433"/>
        <v>4.2857279310615803</v>
      </c>
      <c r="G4321" s="1323">
        <f t="shared" si="435"/>
        <v>1997</v>
      </c>
      <c r="H4321" s="1323">
        <f t="shared" si="436"/>
        <v>6</v>
      </c>
      <c r="I4321" s="1323">
        <f t="shared" si="437"/>
        <v>2</v>
      </c>
      <c r="J4321" s="1323"/>
      <c r="K4321" s="1323"/>
      <c r="L4321" s="1323"/>
      <c r="M4321" s="1323"/>
      <c r="N4321" s="1323"/>
      <c r="O4321" s="1323"/>
      <c r="P4321" s="1323"/>
      <c r="Q4321" s="1323"/>
      <c r="R4321" s="1304"/>
      <c r="S4321" s="1304"/>
      <c r="T4321" s="1304"/>
    </row>
    <row r="4322" spans="1:20">
      <c r="A4322" s="1303"/>
      <c r="B4322" s="1322" t="s">
        <v>10505</v>
      </c>
      <c r="C4322" s="1323" t="s">
        <v>10506</v>
      </c>
      <c r="D4322" s="1324">
        <f t="shared" si="432"/>
        <v>35580</v>
      </c>
      <c r="E4322" s="1323">
        <f t="shared" si="434"/>
        <v>4.4672999999999998</v>
      </c>
      <c r="F4322" s="1323">
        <f t="shared" si="433"/>
        <v>4.2849061682347953</v>
      </c>
      <c r="G4322" s="1323">
        <f t="shared" si="435"/>
        <v>1997</v>
      </c>
      <c r="H4322" s="1323">
        <f t="shared" si="436"/>
        <v>5</v>
      </c>
      <c r="I4322" s="1323">
        <f t="shared" si="437"/>
        <v>30</v>
      </c>
      <c r="J4322" s="1323"/>
      <c r="K4322" s="1323"/>
      <c r="L4322" s="1323"/>
      <c r="M4322" s="1323"/>
      <c r="N4322" s="1323"/>
      <c r="O4322" s="1323"/>
      <c r="P4322" s="1323"/>
      <c r="Q4322" s="1323"/>
      <c r="R4322" s="1304"/>
      <c r="S4322" s="1304"/>
      <c r="T4322" s="1304"/>
    </row>
    <row r="4323" spans="1:20">
      <c r="A4323" s="1303"/>
      <c r="B4323" s="1322" t="s">
        <v>10507</v>
      </c>
      <c r="C4323" s="1323" t="s">
        <v>10504</v>
      </c>
      <c r="D4323" s="1324">
        <f t="shared" si="432"/>
        <v>35579</v>
      </c>
      <c r="E4323" s="1323">
        <f t="shared" si="434"/>
        <v>4.4722999999999997</v>
      </c>
      <c r="F4323" s="1323">
        <f t="shared" si="433"/>
        <v>4.2840845629761422</v>
      </c>
      <c r="G4323" s="1323">
        <f t="shared" si="435"/>
        <v>1997</v>
      </c>
      <c r="H4323" s="1323">
        <f t="shared" si="436"/>
        <v>5</v>
      </c>
      <c r="I4323" s="1323">
        <f t="shared" si="437"/>
        <v>29</v>
      </c>
      <c r="J4323" s="1323"/>
      <c r="K4323" s="1323"/>
      <c r="L4323" s="1323"/>
      <c r="M4323" s="1323"/>
      <c r="N4323" s="1323"/>
      <c r="O4323" s="1323"/>
      <c r="P4323" s="1323"/>
      <c r="Q4323" s="1323"/>
      <c r="R4323" s="1304"/>
      <c r="S4323" s="1304"/>
      <c r="T4323" s="1304"/>
    </row>
    <row r="4324" spans="1:20">
      <c r="A4324" s="1303"/>
      <c r="B4324" s="1322" t="s">
        <v>10508</v>
      </c>
      <c r="C4324" s="1323" t="s">
        <v>10506</v>
      </c>
      <c r="D4324" s="1324">
        <f t="shared" si="432"/>
        <v>35578</v>
      </c>
      <c r="E4324" s="1323">
        <f t="shared" si="434"/>
        <v>4.4772999999999996</v>
      </c>
      <c r="F4324" s="1323">
        <f t="shared" si="433"/>
        <v>4.2832631152554077</v>
      </c>
      <c r="G4324" s="1323">
        <f t="shared" si="435"/>
        <v>1997</v>
      </c>
      <c r="H4324" s="1323">
        <f t="shared" si="436"/>
        <v>5</v>
      </c>
      <c r="I4324" s="1323">
        <f t="shared" si="437"/>
        <v>28</v>
      </c>
      <c r="J4324" s="1323"/>
      <c r="K4324" s="1323"/>
      <c r="L4324" s="1323"/>
      <c r="M4324" s="1323"/>
      <c r="N4324" s="1323"/>
      <c r="O4324" s="1323"/>
      <c r="P4324" s="1323"/>
      <c r="Q4324" s="1323"/>
      <c r="R4324" s="1304"/>
      <c r="S4324" s="1304"/>
      <c r="T4324" s="1304"/>
    </row>
    <row r="4325" spans="1:20">
      <c r="A4325" s="1303"/>
      <c r="B4325" s="1322" t="s">
        <v>10509</v>
      </c>
      <c r="C4325" s="1323" t="s">
        <v>10510</v>
      </c>
      <c r="D4325" s="1324">
        <f t="shared" si="432"/>
        <v>35577</v>
      </c>
      <c r="E4325" s="1323">
        <f t="shared" si="434"/>
        <v>4.4752999999999998</v>
      </c>
      <c r="F4325" s="1323">
        <f t="shared" si="433"/>
        <v>4.2824418250423859</v>
      </c>
      <c r="G4325" s="1323">
        <f t="shared" si="435"/>
        <v>1997</v>
      </c>
      <c r="H4325" s="1323">
        <f t="shared" si="436"/>
        <v>5</v>
      </c>
      <c r="I4325" s="1323">
        <f t="shared" si="437"/>
        <v>27</v>
      </c>
      <c r="J4325" s="1323"/>
      <c r="K4325" s="1323"/>
      <c r="L4325" s="1323"/>
      <c r="M4325" s="1323"/>
      <c r="N4325" s="1323"/>
      <c r="O4325" s="1323"/>
      <c r="P4325" s="1323"/>
      <c r="Q4325" s="1323"/>
      <c r="R4325" s="1304"/>
      <c r="S4325" s="1304"/>
      <c r="T4325" s="1304"/>
    </row>
    <row r="4326" spans="1:20">
      <c r="A4326" s="1303"/>
      <c r="B4326" s="1322" t="s">
        <v>10511</v>
      </c>
      <c r="C4326" s="1323" t="s">
        <v>10512</v>
      </c>
      <c r="D4326" s="1324">
        <f t="shared" si="432"/>
        <v>35576</v>
      </c>
      <c r="E4326" s="1323">
        <f t="shared" si="434"/>
        <v>4.4772999999999996</v>
      </c>
      <c r="F4326" s="1323">
        <f t="shared" si="433"/>
        <v>4.2816206923068751</v>
      </c>
      <c r="G4326" s="1323">
        <f t="shared" si="435"/>
        <v>1997</v>
      </c>
      <c r="H4326" s="1323">
        <f t="shared" si="436"/>
        <v>5</v>
      </c>
      <c r="I4326" s="1323">
        <f t="shared" si="437"/>
        <v>26</v>
      </c>
      <c r="J4326" s="1323"/>
      <c r="K4326" s="1323"/>
      <c r="L4326" s="1323"/>
      <c r="M4326" s="1323"/>
      <c r="N4326" s="1323"/>
      <c r="O4326" s="1323"/>
      <c r="P4326" s="1323"/>
      <c r="Q4326" s="1323"/>
      <c r="R4326" s="1304"/>
      <c r="S4326" s="1304"/>
      <c r="T4326" s="1304"/>
    </row>
    <row r="4327" spans="1:20">
      <c r="A4327" s="1303"/>
      <c r="B4327" s="1322" t="s">
        <v>10513</v>
      </c>
      <c r="C4327" s="1323" t="s">
        <v>10510</v>
      </c>
      <c r="D4327" s="1324">
        <f t="shared" si="432"/>
        <v>35573</v>
      </c>
      <c r="E4327" s="1323">
        <f t="shared" si="434"/>
        <v>4.4713000000000003</v>
      </c>
      <c r="F4327" s="1323">
        <f t="shared" si="433"/>
        <v>4.28079971701868</v>
      </c>
      <c r="G4327" s="1323">
        <f t="shared" si="435"/>
        <v>1997</v>
      </c>
      <c r="H4327" s="1323">
        <f t="shared" si="436"/>
        <v>5</v>
      </c>
      <c r="I4327" s="1323">
        <f t="shared" si="437"/>
        <v>23</v>
      </c>
      <c r="J4327" s="1323"/>
      <c r="K4327" s="1323"/>
      <c r="L4327" s="1323"/>
      <c r="M4327" s="1323"/>
      <c r="N4327" s="1323"/>
      <c r="O4327" s="1323"/>
      <c r="P4327" s="1323"/>
      <c r="Q4327" s="1323"/>
      <c r="R4327" s="1304"/>
      <c r="S4327" s="1304"/>
      <c r="T4327" s="1304"/>
    </row>
    <row r="4328" spans="1:20">
      <c r="A4328" s="1303"/>
      <c r="B4328" s="1322" t="s">
        <v>10514</v>
      </c>
      <c r="C4328" s="1323" t="s">
        <v>10502</v>
      </c>
      <c r="D4328" s="1324">
        <f t="shared" si="432"/>
        <v>35572</v>
      </c>
      <c r="E4328" s="1323">
        <f t="shared" si="434"/>
        <v>4.4683000000000002</v>
      </c>
      <c r="F4328" s="1323">
        <f t="shared" si="433"/>
        <v>4.2799788991476104</v>
      </c>
      <c r="G4328" s="1323">
        <f t="shared" si="435"/>
        <v>1997</v>
      </c>
      <c r="H4328" s="1323">
        <f t="shared" si="436"/>
        <v>5</v>
      </c>
      <c r="I4328" s="1323">
        <f t="shared" si="437"/>
        <v>22</v>
      </c>
      <c r="J4328" s="1323"/>
      <c r="K4328" s="1323"/>
      <c r="L4328" s="1323"/>
      <c r="M4328" s="1323"/>
      <c r="N4328" s="1323"/>
      <c r="O4328" s="1323"/>
      <c r="P4328" s="1323"/>
      <c r="Q4328" s="1323"/>
      <c r="R4328" s="1304"/>
      <c r="S4328" s="1304"/>
      <c r="T4328" s="1304"/>
    </row>
    <row r="4329" spans="1:20">
      <c r="A4329" s="1303"/>
      <c r="B4329" s="1322" t="s">
        <v>10515</v>
      </c>
      <c r="C4329" s="1323" t="s">
        <v>10516</v>
      </c>
      <c r="D4329" s="1324">
        <f t="shared" si="432"/>
        <v>35571</v>
      </c>
      <c r="E4329" s="1323">
        <f t="shared" si="434"/>
        <v>4.4622999999999999</v>
      </c>
      <c r="F4329" s="1323">
        <f t="shared" si="433"/>
        <v>4.2791582386634834</v>
      </c>
      <c r="G4329" s="1323">
        <f t="shared" si="435"/>
        <v>1997</v>
      </c>
      <c r="H4329" s="1323">
        <f t="shared" si="436"/>
        <v>5</v>
      </c>
      <c r="I4329" s="1323">
        <f t="shared" si="437"/>
        <v>21</v>
      </c>
      <c r="J4329" s="1323"/>
      <c r="K4329" s="1323"/>
      <c r="L4329" s="1323"/>
      <c r="M4329" s="1323"/>
      <c r="N4329" s="1323"/>
      <c r="O4329" s="1323"/>
      <c r="P4329" s="1323"/>
      <c r="Q4329" s="1323"/>
      <c r="R4329" s="1304"/>
      <c r="S4329" s="1304"/>
      <c r="T4329" s="1304"/>
    </row>
    <row r="4330" spans="1:20">
      <c r="A4330" s="1303"/>
      <c r="B4330" s="1322" t="s">
        <v>10517</v>
      </c>
      <c r="C4330" s="1323" t="s">
        <v>10518</v>
      </c>
      <c r="D4330" s="1324">
        <f t="shared" si="432"/>
        <v>35570</v>
      </c>
      <c r="E4330" s="1323">
        <f t="shared" si="434"/>
        <v>4.4642999999999997</v>
      </c>
      <c r="F4330" s="1323">
        <f t="shared" si="433"/>
        <v>4.2783377355361205</v>
      </c>
      <c r="G4330" s="1323">
        <f t="shared" si="435"/>
        <v>1997</v>
      </c>
      <c r="H4330" s="1323">
        <f t="shared" si="436"/>
        <v>5</v>
      </c>
      <c r="I4330" s="1323">
        <f t="shared" si="437"/>
        <v>20</v>
      </c>
      <c r="J4330" s="1323"/>
      <c r="K4330" s="1323"/>
      <c r="L4330" s="1323"/>
      <c r="M4330" s="1323"/>
      <c r="N4330" s="1323"/>
      <c r="O4330" s="1323"/>
      <c r="P4330" s="1323"/>
      <c r="Q4330" s="1323"/>
      <c r="R4330" s="1304"/>
      <c r="S4330" s="1304"/>
      <c r="T4330" s="1304"/>
    </row>
    <row r="4331" spans="1:20">
      <c r="A4331" s="1303"/>
      <c r="B4331" s="1322" t="s">
        <v>10519</v>
      </c>
      <c r="C4331" s="1323" t="s">
        <v>10520</v>
      </c>
      <c r="D4331" s="1324">
        <f t="shared" si="432"/>
        <v>35569</v>
      </c>
      <c r="E4331" s="1323">
        <f t="shared" si="434"/>
        <v>4.4702999999999999</v>
      </c>
      <c r="F4331" s="1323">
        <f t="shared" si="433"/>
        <v>4.2775173897353493</v>
      </c>
      <c r="G4331" s="1323">
        <f t="shared" si="435"/>
        <v>1997</v>
      </c>
      <c r="H4331" s="1323">
        <f t="shared" si="436"/>
        <v>5</v>
      </c>
      <c r="I4331" s="1323">
        <f t="shared" si="437"/>
        <v>19</v>
      </c>
      <c r="J4331" s="1323"/>
      <c r="K4331" s="1323"/>
      <c r="L4331" s="1323"/>
      <c r="M4331" s="1323"/>
      <c r="N4331" s="1323"/>
      <c r="O4331" s="1323"/>
      <c r="P4331" s="1323"/>
      <c r="Q4331" s="1323"/>
      <c r="R4331" s="1304"/>
      <c r="S4331" s="1304"/>
      <c r="T4331" s="1304"/>
    </row>
    <row r="4332" spans="1:20">
      <c r="A4332" s="1303"/>
      <c r="B4332" s="1322" t="s">
        <v>10521</v>
      </c>
      <c r="C4332" s="1323" t="s">
        <v>10522</v>
      </c>
      <c r="D4332" s="1324">
        <f t="shared" si="432"/>
        <v>35566</v>
      </c>
      <c r="E4332" s="1323">
        <f t="shared" si="434"/>
        <v>4.4782999999999999</v>
      </c>
      <c r="F4332" s="1323">
        <f t="shared" si="433"/>
        <v>4.2766972012310038</v>
      </c>
      <c r="G4332" s="1323">
        <f t="shared" si="435"/>
        <v>1997</v>
      </c>
      <c r="H4332" s="1323">
        <f t="shared" si="436"/>
        <v>5</v>
      </c>
      <c r="I4332" s="1323">
        <f t="shared" si="437"/>
        <v>16</v>
      </c>
      <c r="J4332" s="1323"/>
      <c r="K4332" s="1323"/>
      <c r="L4332" s="1323"/>
      <c r="M4332" s="1323"/>
      <c r="N4332" s="1323"/>
      <c r="O4332" s="1323"/>
      <c r="P4332" s="1323"/>
      <c r="Q4332" s="1323"/>
      <c r="R4332" s="1304"/>
      <c r="S4332" s="1304"/>
      <c r="T4332" s="1304"/>
    </row>
    <row r="4333" spans="1:20">
      <c r="A4333" s="1303"/>
      <c r="B4333" s="1322" t="s">
        <v>10523</v>
      </c>
      <c r="C4333" s="1323" t="s">
        <v>10524</v>
      </c>
      <c r="D4333" s="1324">
        <f t="shared" si="432"/>
        <v>35565</v>
      </c>
      <c r="E4333" s="1323">
        <f t="shared" si="434"/>
        <v>4.4782999999999999</v>
      </c>
      <c r="F4333" s="1323">
        <f t="shared" si="433"/>
        <v>4.2758771699929232</v>
      </c>
      <c r="G4333" s="1323">
        <f t="shared" si="435"/>
        <v>1997</v>
      </c>
      <c r="H4333" s="1323">
        <f t="shared" si="436"/>
        <v>5</v>
      </c>
      <c r="I4333" s="1323">
        <f t="shared" si="437"/>
        <v>15</v>
      </c>
      <c r="J4333" s="1323"/>
      <c r="K4333" s="1323"/>
      <c r="L4333" s="1323"/>
      <c r="M4333" s="1323"/>
      <c r="N4333" s="1323"/>
      <c r="O4333" s="1323"/>
      <c r="P4333" s="1323"/>
      <c r="Q4333" s="1323"/>
      <c r="R4333" s="1304"/>
      <c r="S4333" s="1304"/>
      <c r="T4333" s="1304"/>
    </row>
    <row r="4334" spans="1:20">
      <c r="A4334" s="1303"/>
      <c r="B4334" s="1322" t="s">
        <v>10525</v>
      </c>
      <c r="C4334" s="1323" t="s">
        <v>10524</v>
      </c>
      <c r="D4334" s="1324">
        <f t="shared" si="432"/>
        <v>35564</v>
      </c>
      <c r="E4334" s="1323">
        <f t="shared" si="434"/>
        <v>4.4823000000000004</v>
      </c>
      <c r="F4334" s="1323">
        <f t="shared" si="433"/>
        <v>4.2750572959909521</v>
      </c>
      <c r="G4334" s="1323">
        <f t="shared" si="435"/>
        <v>1997</v>
      </c>
      <c r="H4334" s="1323">
        <f t="shared" si="436"/>
        <v>5</v>
      </c>
      <c r="I4334" s="1323">
        <f t="shared" si="437"/>
        <v>14</v>
      </c>
      <c r="J4334" s="1323"/>
      <c r="K4334" s="1323"/>
      <c r="L4334" s="1323"/>
      <c r="M4334" s="1323"/>
      <c r="N4334" s="1323"/>
      <c r="O4334" s="1323"/>
      <c r="P4334" s="1323"/>
      <c r="Q4334" s="1323"/>
      <c r="R4334" s="1304"/>
      <c r="S4334" s="1304"/>
      <c r="T4334" s="1304"/>
    </row>
    <row r="4335" spans="1:20">
      <c r="A4335" s="1303"/>
      <c r="B4335" s="1322" t="s">
        <v>10526</v>
      </c>
      <c r="C4335" s="1323" t="s">
        <v>10498</v>
      </c>
      <c r="D4335" s="1324">
        <f t="shared" si="432"/>
        <v>35563</v>
      </c>
      <c r="E4335" s="1323">
        <f t="shared" si="434"/>
        <v>4.4663000000000004</v>
      </c>
      <c r="F4335" s="1323">
        <f t="shared" si="433"/>
        <v>4.2742375791949421</v>
      </c>
      <c r="G4335" s="1323">
        <f t="shared" si="435"/>
        <v>1997</v>
      </c>
      <c r="H4335" s="1323">
        <f t="shared" si="436"/>
        <v>5</v>
      </c>
      <c r="I4335" s="1323">
        <f t="shared" si="437"/>
        <v>13</v>
      </c>
      <c r="J4335" s="1323"/>
      <c r="K4335" s="1323"/>
      <c r="L4335" s="1323"/>
      <c r="M4335" s="1323"/>
      <c r="N4335" s="1323"/>
      <c r="O4335" s="1323"/>
      <c r="P4335" s="1323"/>
      <c r="Q4335" s="1323"/>
      <c r="R4335" s="1304"/>
      <c r="S4335" s="1304"/>
      <c r="T4335" s="1304"/>
    </row>
    <row r="4336" spans="1:20">
      <c r="A4336" s="1303"/>
      <c r="B4336" s="1322" t="s">
        <v>10527</v>
      </c>
      <c r="C4336" s="1323" t="s">
        <v>10528</v>
      </c>
      <c r="D4336" s="1324">
        <f t="shared" si="432"/>
        <v>35562</v>
      </c>
      <c r="E4336" s="1323">
        <f t="shared" si="434"/>
        <v>4.4622999999999999</v>
      </c>
      <c r="F4336" s="1323">
        <f t="shared" si="433"/>
        <v>4.2734180195747493</v>
      </c>
      <c r="G4336" s="1323">
        <f t="shared" si="435"/>
        <v>1997</v>
      </c>
      <c r="H4336" s="1323">
        <f t="shared" si="436"/>
        <v>5</v>
      </c>
      <c r="I4336" s="1323">
        <f t="shared" si="437"/>
        <v>12</v>
      </c>
      <c r="J4336" s="1323"/>
      <c r="K4336" s="1323"/>
      <c r="L4336" s="1323"/>
      <c r="M4336" s="1323"/>
      <c r="N4336" s="1323"/>
      <c r="O4336" s="1323"/>
      <c r="P4336" s="1323"/>
      <c r="Q4336" s="1323"/>
      <c r="R4336" s="1304"/>
      <c r="S4336" s="1304"/>
      <c r="T4336" s="1304"/>
    </row>
    <row r="4337" spans="1:20">
      <c r="A4337" s="1303"/>
      <c r="B4337" s="1322" t="s">
        <v>10529</v>
      </c>
      <c r="C4337" s="1323" t="s">
        <v>10518</v>
      </c>
      <c r="D4337" s="1324">
        <f t="shared" si="432"/>
        <v>35559</v>
      </c>
      <c r="E4337" s="1323">
        <f t="shared" si="434"/>
        <v>4.4642999999999997</v>
      </c>
      <c r="F4337" s="1323">
        <f t="shared" si="433"/>
        <v>4.272598617100237</v>
      </c>
      <c r="G4337" s="1323">
        <f t="shared" si="435"/>
        <v>1997</v>
      </c>
      <c r="H4337" s="1323">
        <f t="shared" si="436"/>
        <v>5</v>
      </c>
      <c r="I4337" s="1323">
        <f t="shared" si="437"/>
        <v>9</v>
      </c>
      <c r="J4337" s="1323"/>
      <c r="K4337" s="1323"/>
      <c r="L4337" s="1323"/>
      <c r="M4337" s="1323"/>
      <c r="N4337" s="1323"/>
      <c r="O4337" s="1323"/>
      <c r="P4337" s="1323"/>
      <c r="Q4337" s="1323"/>
      <c r="R4337" s="1304"/>
      <c r="S4337" s="1304"/>
      <c r="T4337" s="1304"/>
    </row>
    <row r="4338" spans="1:20">
      <c r="A4338" s="1303"/>
      <c r="B4338" s="1322" t="s">
        <v>10530</v>
      </c>
      <c r="C4338" s="1323" t="s">
        <v>10520</v>
      </c>
      <c r="D4338" s="1324">
        <f t="shared" si="432"/>
        <v>35558</v>
      </c>
      <c r="E4338" s="1323">
        <f t="shared" si="434"/>
        <v>4.4763000000000002</v>
      </c>
      <c r="F4338" s="1323">
        <f t="shared" si="433"/>
        <v>4.2717793717412729</v>
      </c>
      <c r="G4338" s="1323">
        <f t="shared" si="435"/>
        <v>1997</v>
      </c>
      <c r="H4338" s="1323">
        <f t="shared" si="436"/>
        <v>5</v>
      </c>
      <c r="I4338" s="1323">
        <f t="shared" si="437"/>
        <v>8</v>
      </c>
      <c r="J4338" s="1323"/>
      <c r="K4338" s="1323"/>
      <c r="L4338" s="1323"/>
      <c r="M4338" s="1323"/>
      <c r="N4338" s="1323"/>
      <c r="O4338" s="1323"/>
      <c r="P4338" s="1323"/>
      <c r="Q4338" s="1323"/>
      <c r="R4338" s="1304"/>
      <c r="S4338" s="1304"/>
      <c r="T4338" s="1304"/>
    </row>
    <row r="4339" spans="1:20">
      <c r="A4339" s="1303"/>
      <c r="B4339" s="1322" t="s">
        <v>10531</v>
      </c>
      <c r="C4339" s="1323" t="s">
        <v>10532</v>
      </c>
      <c r="D4339" s="1324">
        <f t="shared" si="432"/>
        <v>35557</v>
      </c>
      <c r="E4339" s="1323">
        <f t="shared" si="434"/>
        <v>4.4542999999999999</v>
      </c>
      <c r="F4339" s="1323">
        <f t="shared" si="433"/>
        <v>4.2709602834677307</v>
      </c>
      <c r="G4339" s="1323">
        <f t="shared" si="435"/>
        <v>1997</v>
      </c>
      <c r="H4339" s="1323">
        <f t="shared" si="436"/>
        <v>5</v>
      </c>
      <c r="I4339" s="1323">
        <f t="shared" si="437"/>
        <v>7</v>
      </c>
      <c r="J4339" s="1323"/>
      <c r="K4339" s="1323"/>
      <c r="L4339" s="1323"/>
      <c r="M4339" s="1323"/>
      <c r="N4339" s="1323"/>
      <c r="O4339" s="1323"/>
      <c r="P4339" s="1323"/>
      <c r="Q4339" s="1323"/>
      <c r="R4339" s="1304"/>
      <c r="S4339" s="1304"/>
      <c r="T4339" s="1304"/>
    </row>
    <row r="4340" spans="1:20">
      <c r="A4340" s="1303"/>
      <c r="B4340" s="1322" t="s">
        <v>10533</v>
      </c>
      <c r="C4340" s="1323" t="s">
        <v>10534</v>
      </c>
      <c r="D4340" s="1324">
        <f t="shared" si="432"/>
        <v>35556</v>
      </c>
      <c r="E4340" s="1323">
        <f t="shared" si="434"/>
        <v>4.4573</v>
      </c>
      <c r="F4340" s="1323">
        <f t="shared" si="433"/>
        <v>4.2701413522494907</v>
      </c>
      <c r="G4340" s="1323">
        <f t="shared" si="435"/>
        <v>1997</v>
      </c>
      <c r="H4340" s="1323">
        <f t="shared" si="436"/>
        <v>5</v>
      </c>
      <c r="I4340" s="1323">
        <f t="shared" si="437"/>
        <v>6</v>
      </c>
      <c r="J4340" s="1323"/>
      <c r="K4340" s="1323"/>
      <c r="L4340" s="1323"/>
      <c r="M4340" s="1323"/>
      <c r="N4340" s="1323"/>
      <c r="O4340" s="1323"/>
      <c r="P4340" s="1323"/>
      <c r="Q4340" s="1323"/>
      <c r="R4340" s="1304"/>
      <c r="S4340" s="1304"/>
      <c r="T4340" s="1304"/>
    </row>
    <row r="4341" spans="1:20">
      <c r="A4341" s="1303"/>
      <c r="B4341" s="1322" t="s">
        <v>10535</v>
      </c>
      <c r="C4341" s="1323" t="s">
        <v>10536</v>
      </c>
      <c r="D4341" s="1324">
        <f t="shared" si="432"/>
        <v>35555</v>
      </c>
      <c r="E4341" s="1323">
        <f t="shared" si="434"/>
        <v>4.4562999999999997</v>
      </c>
      <c r="F4341" s="1323">
        <f t="shared" si="433"/>
        <v>4.269322578056439</v>
      </c>
      <c r="G4341" s="1323">
        <f t="shared" si="435"/>
        <v>1997</v>
      </c>
      <c r="H4341" s="1323">
        <f t="shared" si="436"/>
        <v>5</v>
      </c>
      <c r="I4341" s="1323">
        <f t="shared" si="437"/>
        <v>5</v>
      </c>
      <c r="J4341" s="1323"/>
      <c r="K4341" s="1323"/>
      <c r="L4341" s="1323"/>
      <c r="M4341" s="1323"/>
      <c r="N4341" s="1323"/>
      <c r="O4341" s="1323"/>
      <c r="P4341" s="1323"/>
      <c r="Q4341" s="1323"/>
      <c r="R4341" s="1304"/>
      <c r="S4341" s="1304"/>
      <c r="T4341" s="1304"/>
    </row>
    <row r="4342" spans="1:20">
      <c r="A4342" s="1303"/>
      <c r="B4342" s="1322" t="s">
        <v>10537</v>
      </c>
      <c r="C4342" s="1323" t="s">
        <v>10538</v>
      </c>
      <c r="D4342" s="1324">
        <f t="shared" si="432"/>
        <v>35552</v>
      </c>
      <c r="E4342" s="1323">
        <f t="shared" si="434"/>
        <v>4.4523999999999999</v>
      </c>
      <c r="F4342" s="1323">
        <f t="shared" si="433"/>
        <v>4.2685039608584656</v>
      </c>
      <c r="G4342" s="1323">
        <f t="shared" si="435"/>
        <v>1997</v>
      </c>
      <c r="H4342" s="1323">
        <f t="shared" si="436"/>
        <v>5</v>
      </c>
      <c r="I4342" s="1323">
        <f t="shared" si="437"/>
        <v>2</v>
      </c>
      <c r="J4342" s="1323"/>
      <c r="K4342" s="1323"/>
      <c r="L4342" s="1323"/>
      <c r="M4342" s="1323"/>
      <c r="N4342" s="1323"/>
      <c r="O4342" s="1323"/>
      <c r="P4342" s="1323"/>
      <c r="Q4342" s="1323"/>
      <c r="R4342" s="1304"/>
      <c r="S4342" s="1304"/>
      <c r="T4342" s="1304"/>
    </row>
    <row r="4343" spans="1:20">
      <c r="A4343" s="1303"/>
      <c r="B4343" s="1322" t="s">
        <v>10539</v>
      </c>
      <c r="C4343" s="1323" t="s">
        <v>10540</v>
      </c>
      <c r="D4343" s="1324">
        <f t="shared" si="432"/>
        <v>35550</v>
      </c>
      <c r="E4343" s="1323">
        <f t="shared" si="434"/>
        <v>4.4463999999999997</v>
      </c>
      <c r="F4343" s="1323">
        <f t="shared" si="433"/>
        <v>4.2676855006254693</v>
      </c>
      <c r="G4343" s="1323">
        <f t="shared" si="435"/>
        <v>1997</v>
      </c>
      <c r="H4343" s="1323">
        <f t="shared" si="436"/>
        <v>4</v>
      </c>
      <c r="I4343" s="1323">
        <f t="shared" si="437"/>
        <v>30</v>
      </c>
      <c r="J4343" s="1323"/>
      <c r="K4343" s="1323"/>
      <c r="L4343" s="1323"/>
      <c r="M4343" s="1323"/>
      <c r="N4343" s="1323"/>
      <c r="O4343" s="1323"/>
      <c r="P4343" s="1323"/>
      <c r="Q4343" s="1323"/>
      <c r="R4343" s="1304"/>
      <c r="S4343" s="1304"/>
      <c r="T4343" s="1304"/>
    </row>
    <row r="4344" spans="1:20">
      <c r="A4344" s="1303"/>
      <c r="B4344" s="1322" t="s">
        <v>10541</v>
      </c>
      <c r="C4344" s="1323" t="s">
        <v>10542</v>
      </c>
      <c r="D4344" s="1324">
        <f t="shared" si="432"/>
        <v>35549</v>
      </c>
      <c r="E4344" s="1323">
        <f t="shared" si="434"/>
        <v>4.4443999999999999</v>
      </c>
      <c r="F4344" s="1323">
        <f t="shared" si="433"/>
        <v>4.2668671973273513</v>
      </c>
      <c r="G4344" s="1323">
        <f t="shared" si="435"/>
        <v>1997</v>
      </c>
      <c r="H4344" s="1323">
        <f t="shared" si="436"/>
        <v>4</v>
      </c>
      <c r="I4344" s="1323">
        <f t="shared" si="437"/>
        <v>29</v>
      </c>
      <c r="J4344" s="1323"/>
      <c r="K4344" s="1323"/>
      <c r="L4344" s="1323"/>
      <c r="M4344" s="1323"/>
      <c r="N4344" s="1323"/>
      <c r="O4344" s="1323"/>
      <c r="P4344" s="1323"/>
      <c r="Q4344" s="1323"/>
      <c r="R4344" s="1304"/>
      <c r="S4344" s="1304"/>
      <c r="T4344" s="1304"/>
    </row>
    <row r="4345" spans="1:20">
      <c r="A4345" s="1303"/>
      <c r="B4345" s="1322" t="s">
        <v>10543</v>
      </c>
      <c r="C4345" s="1323" t="s">
        <v>10544</v>
      </c>
      <c r="D4345" s="1324">
        <f t="shared" si="432"/>
        <v>35545</v>
      </c>
      <c r="E4345" s="1323">
        <f t="shared" si="434"/>
        <v>4.4463999999999997</v>
      </c>
      <c r="F4345" s="1323">
        <f t="shared" si="433"/>
        <v>4.2660490509340212</v>
      </c>
      <c r="G4345" s="1323">
        <f t="shared" si="435"/>
        <v>1997</v>
      </c>
      <c r="H4345" s="1323">
        <f t="shared" si="436"/>
        <v>4</v>
      </c>
      <c r="I4345" s="1323">
        <f t="shared" si="437"/>
        <v>25</v>
      </c>
      <c r="J4345" s="1323"/>
      <c r="K4345" s="1323"/>
      <c r="L4345" s="1323"/>
      <c r="M4345" s="1323"/>
      <c r="N4345" s="1323"/>
      <c r="O4345" s="1323"/>
      <c r="P4345" s="1323"/>
      <c r="Q4345" s="1323"/>
      <c r="R4345" s="1304"/>
      <c r="S4345" s="1304"/>
      <c r="T4345" s="1304"/>
    </row>
    <row r="4346" spans="1:20">
      <c r="A4346" s="1303"/>
      <c r="B4346" s="1322" t="s">
        <v>10545</v>
      </c>
      <c r="C4346" s="1323" t="s">
        <v>10542</v>
      </c>
      <c r="D4346" s="1324">
        <f t="shared" si="432"/>
        <v>35544</v>
      </c>
      <c r="E4346" s="1323">
        <f t="shared" si="434"/>
        <v>4.4504000000000001</v>
      </c>
      <c r="F4346" s="1323">
        <f t="shared" si="433"/>
        <v>4.2652310614153937</v>
      </c>
      <c r="G4346" s="1323">
        <f t="shared" si="435"/>
        <v>1997</v>
      </c>
      <c r="H4346" s="1323">
        <f t="shared" si="436"/>
        <v>4</v>
      </c>
      <c r="I4346" s="1323">
        <f t="shared" si="437"/>
        <v>24</v>
      </c>
      <c r="J4346" s="1323"/>
      <c r="K4346" s="1323"/>
      <c r="L4346" s="1323"/>
      <c r="M4346" s="1323"/>
      <c r="N4346" s="1323"/>
      <c r="O4346" s="1323"/>
      <c r="P4346" s="1323"/>
      <c r="Q4346" s="1323"/>
      <c r="R4346" s="1304"/>
      <c r="S4346" s="1304"/>
      <c r="T4346" s="1304"/>
    </row>
    <row r="4347" spans="1:20">
      <c r="A4347" s="1303"/>
      <c r="B4347" s="1322" t="s">
        <v>10546</v>
      </c>
      <c r="C4347" s="1323" t="s">
        <v>10547</v>
      </c>
      <c r="D4347" s="1324">
        <f t="shared" si="432"/>
        <v>35543</v>
      </c>
      <c r="E4347" s="1323">
        <f t="shared" si="434"/>
        <v>4.4424999999999999</v>
      </c>
      <c r="F4347" s="1323">
        <f t="shared" si="433"/>
        <v>4.2644132287413887</v>
      </c>
      <c r="G4347" s="1323">
        <f t="shared" si="435"/>
        <v>1997</v>
      </c>
      <c r="H4347" s="1323">
        <f t="shared" si="436"/>
        <v>4</v>
      </c>
      <c r="I4347" s="1323">
        <f t="shared" si="437"/>
        <v>23</v>
      </c>
      <c r="J4347" s="1323"/>
      <c r="K4347" s="1323"/>
      <c r="L4347" s="1323"/>
      <c r="M4347" s="1323"/>
      <c r="N4347" s="1323"/>
      <c r="O4347" s="1323"/>
      <c r="P4347" s="1323"/>
      <c r="Q4347" s="1323"/>
      <c r="R4347" s="1304"/>
      <c r="S4347" s="1304"/>
      <c r="T4347" s="1304"/>
    </row>
    <row r="4348" spans="1:20">
      <c r="A4348" s="1303"/>
      <c r="B4348" s="1322" t="s">
        <v>10548</v>
      </c>
      <c r="C4348" s="1323" t="s">
        <v>10549</v>
      </c>
      <c r="D4348" s="1324">
        <f t="shared" si="432"/>
        <v>35542</v>
      </c>
      <c r="E4348" s="1323">
        <f t="shared" si="434"/>
        <v>4.4454000000000002</v>
      </c>
      <c r="F4348" s="1323">
        <f t="shared" si="433"/>
        <v>4.2635955528819318</v>
      </c>
      <c r="G4348" s="1323">
        <f t="shared" si="435"/>
        <v>1997</v>
      </c>
      <c r="H4348" s="1323">
        <f t="shared" si="436"/>
        <v>4</v>
      </c>
      <c r="I4348" s="1323">
        <f t="shared" si="437"/>
        <v>22</v>
      </c>
      <c r="J4348" s="1323"/>
      <c r="K4348" s="1323"/>
      <c r="L4348" s="1323"/>
      <c r="M4348" s="1323"/>
      <c r="N4348" s="1323"/>
      <c r="O4348" s="1323"/>
      <c r="P4348" s="1323"/>
      <c r="Q4348" s="1323"/>
      <c r="R4348" s="1304"/>
      <c r="S4348" s="1304"/>
      <c r="T4348" s="1304"/>
    </row>
    <row r="4349" spans="1:20">
      <c r="A4349" s="1303"/>
      <c r="B4349" s="1322" t="s">
        <v>10550</v>
      </c>
      <c r="C4349" s="1323" t="s">
        <v>10551</v>
      </c>
      <c r="D4349" s="1324">
        <f t="shared" si="432"/>
        <v>35541</v>
      </c>
      <c r="E4349" s="1323">
        <f t="shared" si="434"/>
        <v>4.4463999999999997</v>
      </c>
      <c r="F4349" s="1323">
        <f t="shared" si="433"/>
        <v>4.2627780338069554</v>
      </c>
      <c r="G4349" s="1323">
        <f t="shared" si="435"/>
        <v>1997</v>
      </c>
      <c r="H4349" s="1323">
        <f t="shared" si="436"/>
        <v>4</v>
      </c>
      <c r="I4349" s="1323">
        <f t="shared" si="437"/>
        <v>21</v>
      </c>
      <c r="J4349" s="1323"/>
      <c r="K4349" s="1323"/>
      <c r="L4349" s="1323"/>
      <c r="M4349" s="1323"/>
      <c r="N4349" s="1323"/>
      <c r="O4349" s="1323"/>
      <c r="P4349" s="1323"/>
      <c r="Q4349" s="1323"/>
      <c r="R4349" s="1304"/>
      <c r="S4349" s="1304"/>
      <c r="T4349" s="1304"/>
    </row>
    <row r="4350" spans="1:20">
      <c r="A4350" s="1303"/>
      <c r="B4350" s="1322" t="s">
        <v>10552</v>
      </c>
      <c r="C4350" s="1323" t="s">
        <v>10542</v>
      </c>
      <c r="D4350" s="1324">
        <f t="shared" si="432"/>
        <v>35538</v>
      </c>
      <c r="E4350" s="1323">
        <f t="shared" si="434"/>
        <v>4.4542999999999999</v>
      </c>
      <c r="F4350" s="1323">
        <f t="shared" si="433"/>
        <v>4.2619606714863965</v>
      </c>
      <c r="G4350" s="1323">
        <f t="shared" si="435"/>
        <v>1997</v>
      </c>
      <c r="H4350" s="1323">
        <f t="shared" si="436"/>
        <v>4</v>
      </c>
      <c r="I4350" s="1323">
        <f t="shared" si="437"/>
        <v>18</v>
      </c>
      <c r="J4350" s="1323"/>
      <c r="K4350" s="1323"/>
      <c r="L4350" s="1323"/>
      <c r="M4350" s="1323"/>
      <c r="N4350" s="1323"/>
      <c r="O4350" s="1323"/>
      <c r="P4350" s="1323"/>
      <c r="Q4350" s="1323"/>
      <c r="R4350" s="1304"/>
      <c r="S4350" s="1304"/>
      <c r="T4350" s="1304"/>
    </row>
    <row r="4351" spans="1:20">
      <c r="A4351" s="1303"/>
      <c r="B4351" s="1322" t="s">
        <v>10553</v>
      </c>
      <c r="C4351" s="1323" t="s">
        <v>10534</v>
      </c>
      <c r="D4351" s="1324">
        <f t="shared" si="432"/>
        <v>35537</v>
      </c>
      <c r="E4351" s="1323">
        <f t="shared" si="434"/>
        <v>4.4642999999999997</v>
      </c>
      <c r="F4351" s="1323">
        <f t="shared" si="433"/>
        <v>4.2611434658901981</v>
      </c>
      <c r="G4351" s="1323">
        <f t="shared" si="435"/>
        <v>1997</v>
      </c>
      <c r="H4351" s="1323">
        <f t="shared" si="436"/>
        <v>4</v>
      </c>
      <c r="I4351" s="1323">
        <f t="shared" si="437"/>
        <v>17</v>
      </c>
      <c r="J4351" s="1323"/>
      <c r="K4351" s="1323"/>
      <c r="L4351" s="1323"/>
      <c r="M4351" s="1323"/>
      <c r="N4351" s="1323"/>
      <c r="O4351" s="1323"/>
      <c r="P4351" s="1323"/>
      <c r="Q4351" s="1323"/>
      <c r="R4351" s="1304"/>
      <c r="S4351" s="1304"/>
      <c r="T4351" s="1304"/>
    </row>
    <row r="4352" spans="1:20">
      <c r="A4352" s="1303"/>
      <c r="B4352" s="1322" t="s">
        <v>10554</v>
      </c>
      <c r="C4352" s="1323" t="s">
        <v>10520</v>
      </c>
      <c r="D4352" s="1324">
        <f t="shared" si="432"/>
        <v>35536</v>
      </c>
      <c r="E4352" s="1323">
        <f t="shared" si="434"/>
        <v>4.4542999999999999</v>
      </c>
      <c r="F4352" s="1323">
        <f t="shared" si="433"/>
        <v>4.2603264169883097</v>
      </c>
      <c r="G4352" s="1323">
        <f t="shared" si="435"/>
        <v>1997</v>
      </c>
      <c r="H4352" s="1323">
        <f t="shared" si="436"/>
        <v>4</v>
      </c>
      <c r="I4352" s="1323">
        <f t="shared" si="437"/>
        <v>16</v>
      </c>
      <c r="J4352" s="1323"/>
      <c r="K4352" s="1323"/>
      <c r="L4352" s="1323"/>
      <c r="M4352" s="1323"/>
      <c r="N4352" s="1323"/>
      <c r="O4352" s="1323"/>
      <c r="P4352" s="1323"/>
      <c r="Q4352" s="1323"/>
      <c r="R4352" s="1304"/>
      <c r="S4352" s="1304"/>
      <c r="T4352" s="1304"/>
    </row>
    <row r="4353" spans="1:20">
      <c r="A4353" s="1303"/>
      <c r="B4353" s="1322" t="s">
        <v>10555</v>
      </c>
      <c r="C4353" s="1323" t="s">
        <v>10534</v>
      </c>
      <c r="D4353" s="1324">
        <f t="shared" si="432"/>
        <v>35535</v>
      </c>
      <c r="E4353" s="1323">
        <f t="shared" si="434"/>
        <v>4.4622999999999999</v>
      </c>
      <c r="F4353" s="1323">
        <f t="shared" si="433"/>
        <v>4.259509524750686</v>
      </c>
      <c r="G4353" s="1323">
        <f t="shared" si="435"/>
        <v>1997</v>
      </c>
      <c r="H4353" s="1323">
        <f t="shared" si="436"/>
        <v>4</v>
      </c>
      <c r="I4353" s="1323">
        <f t="shared" si="437"/>
        <v>15</v>
      </c>
      <c r="J4353" s="1323"/>
      <c r="K4353" s="1323"/>
      <c r="L4353" s="1323"/>
      <c r="M4353" s="1323"/>
      <c r="N4353" s="1323"/>
      <c r="O4353" s="1323"/>
      <c r="P4353" s="1323"/>
      <c r="Q4353" s="1323"/>
      <c r="R4353" s="1304"/>
      <c r="S4353" s="1304"/>
      <c r="T4353" s="1304"/>
    </row>
    <row r="4354" spans="1:20">
      <c r="A4354" s="1303"/>
      <c r="B4354" s="1322" t="s">
        <v>10556</v>
      </c>
      <c r="C4354" s="1323" t="s">
        <v>10518</v>
      </c>
      <c r="D4354" s="1324">
        <f t="shared" si="432"/>
        <v>35534</v>
      </c>
      <c r="E4354" s="1323">
        <f t="shared" si="434"/>
        <v>4.4562999999999997</v>
      </c>
      <c r="F4354" s="1323">
        <f t="shared" si="433"/>
        <v>4.2586927891472879</v>
      </c>
      <c r="G4354" s="1323">
        <f t="shared" si="435"/>
        <v>1997</v>
      </c>
      <c r="H4354" s="1323">
        <f t="shared" si="436"/>
        <v>4</v>
      </c>
      <c r="I4354" s="1323">
        <f t="shared" si="437"/>
        <v>14</v>
      </c>
      <c r="J4354" s="1323"/>
      <c r="K4354" s="1323"/>
      <c r="L4354" s="1323"/>
      <c r="M4354" s="1323"/>
      <c r="N4354" s="1323"/>
      <c r="O4354" s="1323"/>
      <c r="P4354" s="1323"/>
      <c r="Q4354" s="1323"/>
      <c r="R4354" s="1304"/>
      <c r="S4354" s="1304"/>
      <c r="T4354" s="1304"/>
    </row>
    <row r="4355" spans="1:20">
      <c r="A4355" s="1303"/>
      <c r="B4355" s="1322" t="s">
        <v>10557</v>
      </c>
      <c r="C4355" s="1323" t="s">
        <v>10538</v>
      </c>
      <c r="D4355" s="1324">
        <f t="shared" si="432"/>
        <v>35531</v>
      </c>
      <c r="E4355" s="1323">
        <f t="shared" si="434"/>
        <v>4.4562999999999997</v>
      </c>
      <c r="F4355" s="1323">
        <f t="shared" si="433"/>
        <v>4.2578762101480816</v>
      </c>
      <c r="G4355" s="1323">
        <f t="shared" si="435"/>
        <v>1997</v>
      </c>
      <c r="H4355" s="1323">
        <f t="shared" si="436"/>
        <v>4</v>
      </c>
      <c r="I4355" s="1323">
        <f t="shared" si="437"/>
        <v>11</v>
      </c>
      <c r="J4355" s="1323"/>
      <c r="K4355" s="1323"/>
      <c r="L4355" s="1323"/>
      <c r="M4355" s="1323"/>
      <c r="N4355" s="1323"/>
      <c r="O4355" s="1323"/>
      <c r="P4355" s="1323"/>
      <c r="Q4355" s="1323"/>
      <c r="R4355" s="1304"/>
      <c r="S4355" s="1304"/>
      <c r="T4355" s="1304"/>
    </row>
    <row r="4356" spans="1:20">
      <c r="A4356" s="1303"/>
      <c r="B4356" s="1322" t="s">
        <v>10558</v>
      </c>
      <c r="C4356" s="1323" t="s">
        <v>10538</v>
      </c>
      <c r="D4356" s="1324">
        <f t="shared" si="432"/>
        <v>35530</v>
      </c>
      <c r="E4356" s="1323">
        <f t="shared" si="434"/>
        <v>4.4484000000000004</v>
      </c>
      <c r="F4356" s="1323">
        <f t="shared" si="433"/>
        <v>4.2570597877230387</v>
      </c>
      <c r="G4356" s="1323">
        <f t="shared" si="435"/>
        <v>1997</v>
      </c>
      <c r="H4356" s="1323">
        <f t="shared" si="436"/>
        <v>4</v>
      </c>
      <c r="I4356" s="1323">
        <f t="shared" si="437"/>
        <v>10</v>
      </c>
      <c r="J4356" s="1323"/>
      <c r="K4356" s="1323"/>
      <c r="L4356" s="1323"/>
      <c r="M4356" s="1323"/>
      <c r="N4356" s="1323"/>
      <c r="O4356" s="1323"/>
      <c r="P4356" s="1323"/>
      <c r="Q4356" s="1323"/>
      <c r="R4356" s="1304"/>
      <c r="S4356" s="1304"/>
      <c r="T4356" s="1304"/>
    </row>
    <row r="4357" spans="1:20">
      <c r="A4357" s="1303"/>
      <c r="B4357" s="1322" t="s">
        <v>10559</v>
      </c>
      <c r="C4357" s="1323" t="s">
        <v>10560</v>
      </c>
      <c r="D4357" s="1324">
        <f t="shared" si="432"/>
        <v>35529</v>
      </c>
      <c r="E4357" s="1323">
        <f t="shared" si="434"/>
        <v>4.4336000000000002</v>
      </c>
      <c r="F4357" s="1323">
        <f t="shared" si="433"/>
        <v>4.2562435218421371</v>
      </c>
      <c r="G4357" s="1323">
        <f t="shared" si="435"/>
        <v>1997</v>
      </c>
      <c r="H4357" s="1323">
        <f t="shared" si="436"/>
        <v>4</v>
      </c>
      <c r="I4357" s="1323">
        <f t="shared" si="437"/>
        <v>9</v>
      </c>
      <c r="J4357" s="1323"/>
      <c r="K4357" s="1323"/>
      <c r="L4357" s="1323"/>
      <c r="M4357" s="1323"/>
      <c r="N4357" s="1323"/>
      <c r="O4357" s="1323"/>
      <c r="P4357" s="1323"/>
      <c r="Q4357" s="1323"/>
      <c r="R4357" s="1304"/>
      <c r="S4357" s="1304"/>
      <c r="T4357" s="1304"/>
    </row>
    <row r="4358" spans="1:20">
      <c r="A4358" s="1303"/>
      <c r="B4358" s="1322" t="s">
        <v>10561</v>
      </c>
      <c r="C4358" s="1323" t="s">
        <v>10562</v>
      </c>
      <c r="D4358" s="1324">
        <f t="shared" si="432"/>
        <v>35528</v>
      </c>
      <c r="E4358" s="1323">
        <f t="shared" si="434"/>
        <v>4.4325999999999999</v>
      </c>
      <c r="F4358" s="1323">
        <f t="shared" si="433"/>
        <v>4.2554274124753606</v>
      </c>
      <c r="G4358" s="1323">
        <f t="shared" si="435"/>
        <v>1997</v>
      </c>
      <c r="H4358" s="1323">
        <f t="shared" si="436"/>
        <v>4</v>
      </c>
      <c r="I4358" s="1323">
        <f t="shared" si="437"/>
        <v>8</v>
      </c>
      <c r="J4358" s="1323"/>
      <c r="K4358" s="1323"/>
      <c r="L4358" s="1323"/>
      <c r="M4358" s="1323"/>
      <c r="N4358" s="1323"/>
      <c r="O4358" s="1323"/>
      <c r="P4358" s="1323"/>
      <c r="Q4358" s="1323"/>
      <c r="R4358" s="1304"/>
      <c r="S4358" s="1304"/>
      <c r="T4358" s="1304"/>
    </row>
    <row r="4359" spans="1:20">
      <c r="A4359" s="1303"/>
      <c r="B4359" s="1322" t="s">
        <v>10563</v>
      </c>
      <c r="C4359" s="1323" t="s">
        <v>10564</v>
      </c>
      <c r="D4359" s="1324">
        <f t="shared" si="432"/>
        <v>35527</v>
      </c>
      <c r="E4359" s="1323">
        <f t="shared" si="434"/>
        <v>4.4169999999999998</v>
      </c>
      <c r="F4359" s="1323">
        <f t="shared" si="433"/>
        <v>4.2546114595926987</v>
      </c>
      <c r="G4359" s="1323">
        <f t="shared" si="435"/>
        <v>1997</v>
      </c>
      <c r="H4359" s="1323">
        <f t="shared" si="436"/>
        <v>4</v>
      </c>
      <c r="I4359" s="1323">
        <f t="shared" si="437"/>
        <v>7</v>
      </c>
      <c r="J4359" s="1323"/>
      <c r="K4359" s="1323"/>
      <c r="L4359" s="1323"/>
      <c r="M4359" s="1323"/>
      <c r="N4359" s="1323"/>
      <c r="O4359" s="1323"/>
      <c r="P4359" s="1323"/>
      <c r="Q4359" s="1323"/>
      <c r="R4359" s="1304"/>
      <c r="S4359" s="1304"/>
      <c r="T4359" s="1304"/>
    </row>
    <row r="4360" spans="1:20">
      <c r="A4360" s="1303"/>
      <c r="B4360" s="1322" t="s">
        <v>10565</v>
      </c>
      <c r="C4360" s="1323" t="s">
        <v>10566</v>
      </c>
      <c r="D4360" s="1324">
        <f t="shared" si="432"/>
        <v>35524</v>
      </c>
      <c r="E4360" s="1323">
        <f t="shared" si="434"/>
        <v>4.4120999999999997</v>
      </c>
      <c r="F4360" s="1323">
        <f t="shared" si="433"/>
        <v>4.2537956631641469</v>
      </c>
      <c r="G4360" s="1323">
        <f t="shared" si="435"/>
        <v>1997</v>
      </c>
      <c r="H4360" s="1323">
        <f t="shared" si="436"/>
        <v>4</v>
      </c>
      <c r="I4360" s="1323">
        <f t="shared" si="437"/>
        <v>4</v>
      </c>
      <c r="J4360" s="1323"/>
      <c r="K4360" s="1323"/>
      <c r="L4360" s="1323"/>
      <c r="M4360" s="1323"/>
      <c r="N4360" s="1323"/>
      <c r="O4360" s="1323"/>
      <c r="P4360" s="1323"/>
      <c r="Q4360" s="1323"/>
      <c r="R4360" s="1304"/>
      <c r="S4360" s="1304"/>
      <c r="T4360" s="1304"/>
    </row>
    <row r="4361" spans="1:20">
      <c r="A4361" s="1303"/>
      <c r="B4361" s="1322" t="s">
        <v>10567</v>
      </c>
      <c r="C4361" s="1323" t="s">
        <v>10568</v>
      </c>
      <c r="D4361" s="1324">
        <f t="shared" ref="D4361:D4424" si="438">DATE(G4361,H4361,I4361)</f>
        <v>35523</v>
      </c>
      <c r="E4361" s="1323">
        <f t="shared" si="434"/>
        <v>4.4199000000000002</v>
      </c>
      <c r="F4361" s="1323">
        <f t="shared" ref="F4361:F4424" si="439">F4362*(1+$F$7/365)</f>
        <v>4.2529800231597052</v>
      </c>
      <c r="G4361" s="1323">
        <f t="shared" si="435"/>
        <v>1997</v>
      </c>
      <c r="H4361" s="1323">
        <f t="shared" si="436"/>
        <v>4</v>
      </c>
      <c r="I4361" s="1323">
        <f t="shared" si="437"/>
        <v>3</v>
      </c>
      <c r="J4361" s="1323"/>
      <c r="K4361" s="1323"/>
      <c r="L4361" s="1323"/>
      <c r="M4361" s="1323"/>
      <c r="N4361" s="1323"/>
      <c r="O4361" s="1323"/>
      <c r="P4361" s="1323"/>
      <c r="Q4361" s="1323"/>
      <c r="R4361" s="1304"/>
      <c r="S4361" s="1304"/>
      <c r="T4361" s="1304"/>
    </row>
    <row r="4362" spans="1:20">
      <c r="A4362" s="1303"/>
      <c r="B4362" s="1322" t="s">
        <v>10569</v>
      </c>
      <c r="C4362" s="1323" t="s">
        <v>10570</v>
      </c>
      <c r="D4362" s="1324">
        <f t="shared" si="438"/>
        <v>35522</v>
      </c>
      <c r="E4362" s="1323">
        <f t="shared" si="434"/>
        <v>4.4179000000000004</v>
      </c>
      <c r="F4362" s="1323">
        <f t="shared" si="439"/>
        <v>4.2521645395493808</v>
      </c>
      <c r="G4362" s="1323">
        <f t="shared" si="435"/>
        <v>1997</v>
      </c>
      <c r="H4362" s="1323">
        <f t="shared" si="436"/>
        <v>4</v>
      </c>
      <c r="I4362" s="1323">
        <f t="shared" si="437"/>
        <v>2</v>
      </c>
      <c r="J4362" s="1323"/>
      <c r="K4362" s="1323"/>
      <c r="L4362" s="1323"/>
      <c r="M4362" s="1323"/>
      <c r="N4362" s="1323"/>
      <c r="O4362" s="1323"/>
      <c r="P4362" s="1323"/>
      <c r="Q4362" s="1323"/>
      <c r="R4362" s="1304"/>
      <c r="S4362" s="1304"/>
      <c r="T4362" s="1304"/>
    </row>
    <row r="4363" spans="1:20">
      <c r="A4363" s="1303"/>
      <c r="B4363" s="1322" t="s">
        <v>10571</v>
      </c>
      <c r="C4363" s="1323" t="s">
        <v>10572</v>
      </c>
      <c r="D4363" s="1324">
        <f t="shared" si="438"/>
        <v>35521</v>
      </c>
      <c r="E4363" s="1323">
        <f t="shared" si="434"/>
        <v>4.415</v>
      </c>
      <c r="F4363" s="1323">
        <f t="shared" si="439"/>
        <v>4.2513492123031851</v>
      </c>
      <c r="G4363" s="1323">
        <f t="shared" si="435"/>
        <v>1997</v>
      </c>
      <c r="H4363" s="1323">
        <f t="shared" si="436"/>
        <v>4</v>
      </c>
      <c r="I4363" s="1323">
        <f t="shared" si="437"/>
        <v>1</v>
      </c>
      <c r="J4363" s="1323"/>
      <c r="K4363" s="1323"/>
      <c r="L4363" s="1323"/>
      <c r="M4363" s="1323"/>
      <c r="N4363" s="1323"/>
      <c r="O4363" s="1323"/>
      <c r="P4363" s="1323"/>
      <c r="Q4363" s="1323"/>
      <c r="R4363" s="1304"/>
      <c r="S4363" s="1304"/>
      <c r="T4363" s="1304"/>
    </row>
    <row r="4364" spans="1:20">
      <c r="A4364" s="1303"/>
      <c r="B4364" s="1322" t="s">
        <v>10573</v>
      </c>
      <c r="C4364" s="1323" t="s">
        <v>10574</v>
      </c>
      <c r="D4364" s="1324">
        <f t="shared" si="438"/>
        <v>35516</v>
      </c>
      <c r="E4364" s="1323">
        <f t="shared" si="434"/>
        <v>4.4199000000000002</v>
      </c>
      <c r="F4364" s="1323">
        <f t="shared" si="439"/>
        <v>4.2505340413911377</v>
      </c>
      <c r="G4364" s="1323">
        <f t="shared" si="435"/>
        <v>1997</v>
      </c>
      <c r="H4364" s="1323">
        <f t="shared" si="436"/>
        <v>3</v>
      </c>
      <c r="I4364" s="1323">
        <f t="shared" si="437"/>
        <v>27</v>
      </c>
      <c r="J4364" s="1323"/>
      <c r="K4364" s="1323"/>
      <c r="L4364" s="1323"/>
      <c r="M4364" s="1323"/>
      <c r="N4364" s="1323"/>
      <c r="O4364" s="1323"/>
      <c r="P4364" s="1323"/>
      <c r="Q4364" s="1323"/>
      <c r="R4364" s="1304"/>
      <c r="S4364" s="1304"/>
      <c r="T4364" s="1304"/>
    </row>
    <row r="4365" spans="1:20">
      <c r="A4365" s="1303"/>
      <c r="B4365" s="1322" t="s">
        <v>10575</v>
      </c>
      <c r="C4365" s="1323" t="s">
        <v>10570</v>
      </c>
      <c r="D4365" s="1324">
        <f t="shared" si="438"/>
        <v>35515</v>
      </c>
      <c r="E4365" s="1323">
        <f t="shared" si="434"/>
        <v>4.415</v>
      </c>
      <c r="F4365" s="1323">
        <f t="shared" si="439"/>
        <v>4.2497190267832616</v>
      </c>
      <c r="G4365" s="1323">
        <f t="shared" si="435"/>
        <v>1997</v>
      </c>
      <c r="H4365" s="1323">
        <f t="shared" si="436"/>
        <v>3</v>
      </c>
      <c r="I4365" s="1323">
        <f t="shared" si="437"/>
        <v>26</v>
      </c>
      <c r="J4365" s="1323"/>
      <c r="K4365" s="1323"/>
      <c r="L4365" s="1323"/>
      <c r="M4365" s="1323"/>
      <c r="N4365" s="1323"/>
      <c r="O4365" s="1323"/>
      <c r="P4365" s="1323"/>
      <c r="Q4365" s="1323"/>
      <c r="R4365" s="1304"/>
      <c r="S4365" s="1304"/>
      <c r="T4365" s="1304"/>
    </row>
    <row r="4366" spans="1:20">
      <c r="A4366" s="1303"/>
      <c r="B4366" s="1322" t="s">
        <v>10576</v>
      </c>
      <c r="C4366" s="1323" t="s">
        <v>10574</v>
      </c>
      <c r="D4366" s="1324">
        <f t="shared" si="438"/>
        <v>35514</v>
      </c>
      <c r="E4366" s="1323">
        <f t="shared" si="434"/>
        <v>4.4227999999999996</v>
      </c>
      <c r="F4366" s="1323">
        <f t="shared" si="439"/>
        <v>4.2489041684495863</v>
      </c>
      <c r="G4366" s="1323">
        <f t="shared" si="435"/>
        <v>1997</v>
      </c>
      <c r="H4366" s="1323">
        <f t="shared" si="436"/>
        <v>3</v>
      </c>
      <c r="I4366" s="1323">
        <f t="shared" si="437"/>
        <v>25</v>
      </c>
      <c r="J4366" s="1323"/>
      <c r="K4366" s="1323"/>
      <c r="L4366" s="1323"/>
      <c r="M4366" s="1323"/>
      <c r="N4366" s="1323"/>
      <c r="O4366" s="1323"/>
      <c r="P4366" s="1323"/>
      <c r="Q4366" s="1323"/>
      <c r="R4366" s="1304"/>
      <c r="S4366" s="1304"/>
      <c r="T4366" s="1304"/>
    </row>
    <row r="4367" spans="1:20">
      <c r="A4367" s="1303"/>
      <c r="B4367" s="1322" t="s">
        <v>10577</v>
      </c>
      <c r="C4367" s="1323" t="s">
        <v>10578</v>
      </c>
      <c r="D4367" s="1324">
        <f t="shared" si="438"/>
        <v>35513</v>
      </c>
      <c r="E4367" s="1323">
        <f t="shared" si="434"/>
        <v>4.4366000000000003</v>
      </c>
      <c r="F4367" s="1323">
        <f t="shared" si="439"/>
        <v>4.2480894663601472</v>
      </c>
      <c r="G4367" s="1323">
        <f t="shared" si="435"/>
        <v>1997</v>
      </c>
      <c r="H4367" s="1323">
        <f t="shared" si="436"/>
        <v>3</v>
      </c>
      <c r="I4367" s="1323">
        <f t="shared" si="437"/>
        <v>24</v>
      </c>
      <c r="J4367" s="1323"/>
      <c r="K4367" s="1323"/>
      <c r="L4367" s="1323"/>
      <c r="M4367" s="1323"/>
      <c r="N4367" s="1323"/>
      <c r="O4367" s="1323"/>
      <c r="P4367" s="1323"/>
      <c r="Q4367" s="1323"/>
      <c r="R4367" s="1304"/>
      <c r="S4367" s="1304"/>
      <c r="T4367" s="1304"/>
    </row>
    <row r="4368" spans="1:20">
      <c r="A4368" s="1303"/>
      <c r="B4368" s="1322" t="s">
        <v>10579</v>
      </c>
      <c r="C4368" s="1323" t="s">
        <v>10580</v>
      </c>
      <c r="D4368" s="1324">
        <f t="shared" si="438"/>
        <v>35509</v>
      </c>
      <c r="E4368" s="1323">
        <f t="shared" si="434"/>
        <v>4.4385000000000003</v>
      </c>
      <c r="F4368" s="1323">
        <f t="shared" si="439"/>
        <v>4.2472749204849851</v>
      </c>
      <c r="G4368" s="1323">
        <f t="shared" si="435"/>
        <v>1997</v>
      </c>
      <c r="H4368" s="1323">
        <f t="shared" si="436"/>
        <v>3</v>
      </c>
      <c r="I4368" s="1323">
        <f t="shared" si="437"/>
        <v>20</v>
      </c>
      <c r="J4368" s="1323"/>
      <c r="K4368" s="1323"/>
      <c r="L4368" s="1323"/>
      <c r="M4368" s="1323"/>
      <c r="N4368" s="1323"/>
      <c r="O4368" s="1323"/>
      <c r="P4368" s="1323"/>
      <c r="Q4368" s="1323"/>
      <c r="R4368" s="1304"/>
      <c r="S4368" s="1304"/>
      <c r="T4368" s="1304"/>
    </row>
    <row r="4369" spans="1:20">
      <c r="A4369" s="1303"/>
      <c r="B4369" s="1322" t="s">
        <v>10581</v>
      </c>
      <c r="C4369" s="1323" t="s">
        <v>10582</v>
      </c>
      <c r="D4369" s="1324">
        <f t="shared" si="438"/>
        <v>35508</v>
      </c>
      <c r="E4369" s="1323">
        <f t="shared" si="434"/>
        <v>4.4238</v>
      </c>
      <c r="F4369" s="1323">
        <f t="shared" si="439"/>
        <v>4.2464605307941481</v>
      </c>
      <c r="G4369" s="1323">
        <f t="shared" si="435"/>
        <v>1997</v>
      </c>
      <c r="H4369" s="1323">
        <f t="shared" si="436"/>
        <v>3</v>
      </c>
      <c r="I4369" s="1323">
        <f t="shared" si="437"/>
        <v>19</v>
      </c>
      <c r="J4369" s="1323"/>
      <c r="K4369" s="1323"/>
      <c r="L4369" s="1323"/>
      <c r="M4369" s="1323"/>
      <c r="N4369" s="1323"/>
      <c r="O4369" s="1323"/>
      <c r="P4369" s="1323"/>
      <c r="Q4369" s="1323"/>
      <c r="R4369" s="1304"/>
      <c r="S4369" s="1304"/>
      <c r="T4369" s="1304"/>
    </row>
    <row r="4370" spans="1:20">
      <c r="A4370" s="1303"/>
      <c r="B4370" s="1322" t="s">
        <v>10583</v>
      </c>
      <c r="C4370" s="1323" t="s">
        <v>10584</v>
      </c>
      <c r="D4370" s="1324">
        <f t="shared" si="438"/>
        <v>35507</v>
      </c>
      <c r="E4370" s="1323">
        <f t="shared" si="434"/>
        <v>4.415</v>
      </c>
      <c r="F4370" s="1323">
        <f t="shared" si="439"/>
        <v>4.2456462972576876</v>
      </c>
      <c r="G4370" s="1323">
        <f t="shared" si="435"/>
        <v>1997</v>
      </c>
      <c r="H4370" s="1323">
        <f t="shared" si="436"/>
        <v>3</v>
      </c>
      <c r="I4370" s="1323">
        <f t="shared" si="437"/>
        <v>18</v>
      </c>
      <c r="J4370" s="1323"/>
      <c r="K4370" s="1323"/>
      <c r="L4370" s="1323"/>
      <c r="M4370" s="1323"/>
      <c r="N4370" s="1323"/>
      <c r="O4370" s="1323"/>
      <c r="P4370" s="1323"/>
      <c r="Q4370" s="1323"/>
      <c r="R4370" s="1304"/>
      <c r="S4370" s="1304"/>
      <c r="T4370" s="1304"/>
    </row>
    <row r="4371" spans="1:20">
      <c r="A4371" s="1303"/>
      <c r="B4371" s="1322" t="s">
        <v>10585</v>
      </c>
      <c r="C4371" s="1323" t="s">
        <v>10574</v>
      </c>
      <c r="D4371" s="1324">
        <f t="shared" si="438"/>
        <v>35506</v>
      </c>
      <c r="E4371" s="1323">
        <f t="shared" si="434"/>
        <v>4.4366000000000003</v>
      </c>
      <c r="F4371" s="1323">
        <f t="shared" si="439"/>
        <v>4.2448322198456623</v>
      </c>
      <c r="G4371" s="1323">
        <f t="shared" si="435"/>
        <v>1997</v>
      </c>
      <c r="H4371" s="1323">
        <f t="shared" si="436"/>
        <v>3</v>
      </c>
      <c r="I4371" s="1323">
        <f t="shared" si="437"/>
        <v>17</v>
      </c>
      <c r="J4371" s="1323"/>
      <c r="K4371" s="1323"/>
      <c r="L4371" s="1323"/>
      <c r="M4371" s="1323"/>
      <c r="N4371" s="1323"/>
      <c r="O4371" s="1323"/>
      <c r="P4371" s="1323"/>
      <c r="Q4371" s="1323"/>
      <c r="R4371" s="1304"/>
      <c r="S4371" s="1304"/>
      <c r="T4371" s="1304"/>
    </row>
    <row r="4372" spans="1:20">
      <c r="A4372" s="1303"/>
      <c r="B4372" s="1322" t="s">
        <v>10586</v>
      </c>
      <c r="C4372" s="1323" t="s">
        <v>10580</v>
      </c>
      <c r="D4372" s="1324">
        <f t="shared" si="438"/>
        <v>35503</v>
      </c>
      <c r="E4372" s="1323">
        <f t="shared" si="434"/>
        <v>4.4160000000000004</v>
      </c>
      <c r="F4372" s="1323">
        <f t="shared" si="439"/>
        <v>4.2440182985281361</v>
      </c>
      <c r="G4372" s="1323">
        <f t="shared" si="435"/>
        <v>1997</v>
      </c>
      <c r="H4372" s="1323">
        <f t="shared" si="436"/>
        <v>3</v>
      </c>
      <c r="I4372" s="1323">
        <f t="shared" si="437"/>
        <v>14</v>
      </c>
      <c r="J4372" s="1323"/>
      <c r="K4372" s="1323"/>
      <c r="L4372" s="1323"/>
      <c r="M4372" s="1323"/>
      <c r="N4372" s="1323"/>
      <c r="O4372" s="1323"/>
      <c r="P4372" s="1323"/>
      <c r="Q4372" s="1323"/>
      <c r="R4372" s="1304"/>
      <c r="S4372" s="1304"/>
      <c r="T4372" s="1304"/>
    </row>
    <row r="4373" spans="1:20">
      <c r="A4373" s="1303"/>
      <c r="B4373" s="1322" t="s">
        <v>10587</v>
      </c>
      <c r="C4373" s="1323" t="s">
        <v>10588</v>
      </c>
      <c r="D4373" s="1324">
        <f t="shared" si="438"/>
        <v>35502</v>
      </c>
      <c r="E4373" s="1323">
        <f t="shared" si="434"/>
        <v>4.3994999999999997</v>
      </c>
      <c r="F4373" s="1323">
        <f t="shared" si="439"/>
        <v>4.2432045332751791</v>
      </c>
      <c r="G4373" s="1323">
        <f t="shared" si="435"/>
        <v>1997</v>
      </c>
      <c r="H4373" s="1323">
        <f t="shared" si="436"/>
        <v>3</v>
      </c>
      <c r="I4373" s="1323">
        <f t="shared" si="437"/>
        <v>13</v>
      </c>
      <c r="J4373" s="1323"/>
      <c r="K4373" s="1323"/>
      <c r="L4373" s="1323"/>
      <c r="M4373" s="1323"/>
      <c r="N4373" s="1323"/>
      <c r="O4373" s="1323"/>
      <c r="P4373" s="1323"/>
      <c r="Q4373" s="1323"/>
      <c r="R4373" s="1304"/>
      <c r="S4373" s="1304"/>
      <c r="T4373" s="1304"/>
    </row>
    <row r="4374" spans="1:20">
      <c r="A4374" s="1303"/>
      <c r="B4374" s="1322" t="s">
        <v>10589</v>
      </c>
      <c r="C4374" s="1323" t="s">
        <v>10590</v>
      </c>
      <c r="D4374" s="1324">
        <f t="shared" si="438"/>
        <v>35501</v>
      </c>
      <c r="E4374" s="1323">
        <f t="shared" ref="E4374:E4437" si="440">VALUE(C4375)</f>
        <v>4.4454000000000002</v>
      </c>
      <c r="F4374" s="1323">
        <f t="shared" si="439"/>
        <v>4.2423909240568669</v>
      </c>
      <c r="G4374" s="1323">
        <f t="shared" ref="G4374:G4437" si="441">YEAR(B4375)</f>
        <v>1997</v>
      </c>
      <c r="H4374" s="1323">
        <f t="shared" ref="H4374:H4437" si="442">MONTH(B4375)</f>
        <v>3</v>
      </c>
      <c r="I4374" s="1323">
        <f t="shared" ref="I4374:I4437" si="443">DAY(B4375)</f>
        <v>12</v>
      </c>
      <c r="J4374" s="1323"/>
      <c r="K4374" s="1323"/>
      <c r="L4374" s="1323"/>
      <c r="M4374" s="1323"/>
      <c r="N4374" s="1323"/>
      <c r="O4374" s="1323"/>
      <c r="P4374" s="1323"/>
      <c r="Q4374" s="1323"/>
      <c r="R4374" s="1304"/>
      <c r="S4374" s="1304"/>
      <c r="T4374" s="1304"/>
    </row>
    <row r="4375" spans="1:20">
      <c r="A4375" s="1303"/>
      <c r="B4375" s="1322" t="s">
        <v>10591</v>
      </c>
      <c r="C4375" s="1323" t="s">
        <v>10551</v>
      </c>
      <c r="D4375" s="1324">
        <f t="shared" si="438"/>
        <v>35500</v>
      </c>
      <c r="E4375" s="1323">
        <f t="shared" si="440"/>
        <v>4.4169999999999998</v>
      </c>
      <c r="F4375" s="1323">
        <f t="shared" si="439"/>
        <v>4.2415774708432803</v>
      </c>
      <c r="G4375" s="1323">
        <f t="shared" si="441"/>
        <v>1997</v>
      </c>
      <c r="H4375" s="1323">
        <f t="shared" si="442"/>
        <v>3</v>
      </c>
      <c r="I4375" s="1323">
        <f t="shared" si="443"/>
        <v>11</v>
      </c>
      <c r="J4375" s="1323"/>
      <c r="K4375" s="1323"/>
      <c r="L4375" s="1323"/>
      <c r="M4375" s="1323"/>
      <c r="N4375" s="1323"/>
      <c r="O4375" s="1323"/>
      <c r="P4375" s="1323"/>
      <c r="Q4375" s="1323"/>
      <c r="R4375" s="1304"/>
      <c r="S4375" s="1304"/>
      <c r="T4375" s="1304"/>
    </row>
    <row r="4376" spans="1:20">
      <c r="A4376" s="1303"/>
      <c r="B4376" s="1322" t="s">
        <v>10592</v>
      </c>
      <c r="C4376" s="1323" t="s">
        <v>10566</v>
      </c>
      <c r="D4376" s="1324">
        <f t="shared" si="438"/>
        <v>35499</v>
      </c>
      <c r="E4376" s="1323">
        <f t="shared" si="440"/>
        <v>4.4542999999999999</v>
      </c>
      <c r="F4376" s="1323">
        <f t="shared" si="439"/>
        <v>4.2407641736045063</v>
      </c>
      <c r="G4376" s="1323">
        <f t="shared" si="441"/>
        <v>1997</v>
      </c>
      <c r="H4376" s="1323">
        <f t="shared" si="442"/>
        <v>3</v>
      </c>
      <c r="I4376" s="1323">
        <f t="shared" si="443"/>
        <v>10</v>
      </c>
      <c r="J4376" s="1323"/>
      <c r="K4376" s="1323"/>
      <c r="L4376" s="1323"/>
      <c r="M4376" s="1323"/>
      <c r="N4376" s="1323"/>
      <c r="O4376" s="1323"/>
      <c r="P4376" s="1323"/>
      <c r="Q4376" s="1323"/>
      <c r="R4376" s="1304"/>
      <c r="S4376" s="1304"/>
      <c r="T4376" s="1304"/>
    </row>
    <row r="4377" spans="1:20">
      <c r="A4377" s="1303"/>
      <c r="B4377" s="1322" t="s">
        <v>10593</v>
      </c>
      <c r="C4377" s="1323" t="s">
        <v>10534</v>
      </c>
      <c r="D4377" s="1324">
        <f t="shared" si="438"/>
        <v>35496</v>
      </c>
      <c r="E4377" s="1323">
        <f t="shared" si="440"/>
        <v>4.4592999999999998</v>
      </c>
      <c r="F4377" s="1323">
        <f t="shared" si="439"/>
        <v>4.2399510323106382</v>
      </c>
      <c r="G4377" s="1323">
        <f t="shared" si="441"/>
        <v>1997</v>
      </c>
      <c r="H4377" s="1323">
        <f t="shared" si="442"/>
        <v>3</v>
      </c>
      <c r="I4377" s="1323">
        <f t="shared" si="443"/>
        <v>7</v>
      </c>
      <c r="J4377" s="1323"/>
      <c r="K4377" s="1323"/>
      <c r="L4377" s="1323"/>
      <c r="M4377" s="1323"/>
      <c r="N4377" s="1323"/>
      <c r="O4377" s="1323"/>
      <c r="P4377" s="1323"/>
      <c r="Q4377" s="1323"/>
      <c r="R4377" s="1304"/>
      <c r="S4377" s="1304"/>
      <c r="T4377" s="1304"/>
    </row>
    <row r="4378" spans="1:20">
      <c r="A4378" s="1303"/>
      <c r="B4378" s="1322" t="s">
        <v>10594</v>
      </c>
      <c r="C4378" s="1323" t="s">
        <v>10595</v>
      </c>
      <c r="D4378" s="1324">
        <f t="shared" si="438"/>
        <v>35495</v>
      </c>
      <c r="E4378" s="1323">
        <f t="shared" si="440"/>
        <v>4.4534000000000002</v>
      </c>
      <c r="F4378" s="1323">
        <f t="shared" si="439"/>
        <v>4.2391380469317745</v>
      </c>
      <c r="G4378" s="1323">
        <f t="shared" si="441"/>
        <v>1997</v>
      </c>
      <c r="H4378" s="1323">
        <f t="shared" si="442"/>
        <v>3</v>
      </c>
      <c r="I4378" s="1323">
        <f t="shared" si="443"/>
        <v>6</v>
      </c>
      <c r="J4378" s="1323"/>
      <c r="K4378" s="1323"/>
      <c r="L4378" s="1323"/>
      <c r="M4378" s="1323"/>
      <c r="N4378" s="1323"/>
      <c r="O4378" s="1323"/>
      <c r="P4378" s="1323"/>
      <c r="Q4378" s="1323"/>
      <c r="R4378" s="1304"/>
      <c r="S4378" s="1304"/>
      <c r="T4378" s="1304"/>
    </row>
    <row r="4379" spans="1:20">
      <c r="A4379" s="1303"/>
      <c r="B4379" s="1322" t="s">
        <v>10596</v>
      </c>
      <c r="C4379" s="1323" t="s">
        <v>10597</v>
      </c>
      <c r="D4379" s="1324">
        <f t="shared" si="438"/>
        <v>35494</v>
      </c>
      <c r="E4379" s="1323">
        <f t="shared" si="440"/>
        <v>4.4573</v>
      </c>
      <c r="F4379" s="1323">
        <f t="shared" si="439"/>
        <v>4.2383252174380193</v>
      </c>
      <c r="G4379" s="1323">
        <f t="shared" si="441"/>
        <v>1997</v>
      </c>
      <c r="H4379" s="1323">
        <f t="shared" si="442"/>
        <v>3</v>
      </c>
      <c r="I4379" s="1323">
        <f t="shared" si="443"/>
        <v>5</v>
      </c>
      <c r="J4379" s="1323"/>
      <c r="K4379" s="1323"/>
      <c r="L4379" s="1323"/>
      <c r="M4379" s="1323"/>
      <c r="N4379" s="1323"/>
      <c r="O4379" s="1323"/>
      <c r="P4379" s="1323"/>
      <c r="Q4379" s="1323"/>
      <c r="R4379" s="1304"/>
      <c r="S4379" s="1304"/>
      <c r="T4379" s="1304"/>
    </row>
    <row r="4380" spans="1:20">
      <c r="A4380" s="1303"/>
      <c r="B4380" s="1322" t="s">
        <v>10598</v>
      </c>
      <c r="C4380" s="1323" t="s">
        <v>10536</v>
      </c>
      <c r="D4380" s="1324">
        <f t="shared" si="438"/>
        <v>35493</v>
      </c>
      <c r="E4380" s="1323">
        <f t="shared" si="440"/>
        <v>4.4722999999999997</v>
      </c>
      <c r="F4380" s="1323">
        <f t="shared" si="439"/>
        <v>4.2375125437994825</v>
      </c>
      <c r="G4380" s="1323">
        <f t="shared" si="441"/>
        <v>1997</v>
      </c>
      <c r="H4380" s="1323">
        <f t="shared" si="442"/>
        <v>3</v>
      </c>
      <c r="I4380" s="1323">
        <f t="shared" si="443"/>
        <v>4</v>
      </c>
      <c r="J4380" s="1323"/>
      <c r="K4380" s="1323"/>
      <c r="L4380" s="1323"/>
      <c r="M4380" s="1323"/>
      <c r="N4380" s="1323"/>
      <c r="O4380" s="1323"/>
      <c r="P4380" s="1323"/>
      <c r="Q4380" s="1323"/>
      <c r="R4380" s="1304"/>
      <c r="S4380" s="1304"/>
      <c r="T4380" s="1304"/>
    </row>
    <row r="4381" spans="1:20">
      <c r="A4381" s="1303"/>
      <c r="B4381" s="1322" t="s">
        <v>10599</v>
      </c>
      <c r="C4381" s="1323" t="s">
        <v>10506</v>
      </c>
      <c r="D4381" s="1324">
        <f t="shared" si="438"/>
        <v>35492</v>
      </c>
      <c r="E4381" s="1323">
        <f t="shared" si="440"/>
        <v>4.4692999999999996</v>
      </c>
      <c r="F4381" s="1323">
        <f t="shared" si="439"/>
        <v>4.2367000259862797</v>
      </c>
      <c r="G4381" s="1323">
        <f t="shared" si="441"/>
        <v>1997</v>
      </c>
      <c r="H4381" s="1323">
        <f t="shared" si="442"/>
        <v>3</v>
      </c>
      <c r="I4381" s="1323">
        <f t="shared" si="443"/>
        <v>3</v>
      </c>
      <c r="J4381" s="1323"/>
      <c r="K4381" s="1323"/>
      <c r="L4381" s="1323"/>
      <c r="M4381" s="1323"/>
      <c r="N4381" s="1323"/>
      <c r="O4381" s="1323"/>
      <c r="P4381" s="1323"/>
      <c r="Q4381" s="1323"/>
      <c r="R4381" s="1304"/>
      <c r="S4381" s="1304"/>
      <c r="T4381" s="1304"/>
    </row>
    <row r="4382" spans="1:20">
      <c r="A4382" s="1303"/>
      <c r="B4382" s="1322" t="s">
        <v>10600</v>
      </c>
      <c r="C4382" s="1323" t="s">
        <v>10601</v>
      </c>
      <c r="D4382" s="1324">
        <f t="shared" si="438"/>
        <v>35489</v>
      </c>
      <c r="E4382" s="1323">
        <f t="shared" si="440"/>
        <v>4.4722999999999997</v>
      </c>
      <c r="F4382" s="1323">
        <f t="shared" si="439"/>
        <v>4.2358876639685326</v>
      </c>
      <c r="G4382" s="1323">
        <f t="shared" si="441"/>
        <v>1997</v>
      </c>
      <c r="H4382" s="1323">
        <f t="shared" si="442"/>
        <v>2</v>
      </c>
      <c r="I4382" s="1323">
        <f t="shared" si="443"/>
        <v>28</v>
      </c>
      <c r="J4382" s="1323"/>
      <c r="K4382" s="1323"/>
      <c r="L4382" s="1323"/>
      <c r="M4382" s="1323"/>
      <c r="N4382" s="1323"/>
      <c r="O4382" s="1323"/>
      <c r="P4382" s="1323"/>
      <c r="Q4382" s="1323"/>
      <c r="R4382" s="1304"/>
      <c r="S4382" s="1304"/>
      <c r="T4382" s="1304"/>
    </row>
    <row r="4383" spans="1:20">
      <c r="A4383" s="1303"/>
      <c r="B4383" s="1322" t="s">
        <v>10602</v>
      </c>
      <c r="C4383" s="1323" t="s">
        <v>10506</v>
      </c>
      <c r="D4383" s="1324">
        <f t="shared" si="438"/>
        <v>35488</v>
      </c>
      <c r="E4383" s="1323">
        <f t="shared" si="440"/>
        <v>4.4562999999999997</v>
      </c>
      <c r="F4383" s="1323">
        <f t="shared" si="439"/>
        <v>4.2350754577163681</v>
      </c>
      <c r="G4383" s="1323">
        <f t="shared" si="441"/>
        <v>1997</v>
      </c>
      <c r="H4383" s="1323">
        <f t="shared" si="442"/>
        <v>2</v>
      </c>
      <c r="I4383" s="1323">
        <f t="shared" si="443"/>
        <v>27</v>
      </c>
      <c r="J4383" s="1323"/>
      <c r="K4383" s="1323"/>
      <c r="L4383" s="1323"/>
      <c r="M4383" s="1323"/>
      <c r="N4383" s="1323"/>
      <c r="O4383" s="1323"/>
      <c r="P4383" s="1323"/>
      <c r="Q4383" s="1323"/>
      <c r="R4383" s="1304"/>
      <c r="S4383" s="1304"/>
      <c r="T4383" s="1304"/>
    </row>
    <row r="4384" spans="1:20">
      <c r="A4384" s="1303"/>
      <c r="B4384" s="1322" t="s">
        <v>10603</v>
      </c>
      <c r="C4384" s="1323" t="s">
        <v>10538</v>
      </c>
      <c r="D4384" s="1324">
        <f t="shared" si="438"/>
        <v>35487</v>
      </c>
      <c r="E4384" s="1323">
        <f t="shared" si="440"/>
        <v>4.4287000000000001</v>
      </c>
      <c r="F4384" s="1323">
        <f t="shared" si="439"/>
        <v>4.2342634071999186</v>
      </c>
      <c r="G4384" s="1323">
        <f t="shared" si="441"/>
        <v>1997</v>
      </c>
      <c r="H4384" s="1323">
        <f t="shared" si="442"/>
        <v>2</v>
      </c>
      <c r="I4384" s="1323">
        <f t="shared" si="443"/>
        <v>26</v>
      </c>
      <c r="J4384" s="1323"/>
      <c r="K4384" s="1323"/>
      <c r="L4384" s="1323"/>
      <c r="M4384" s="1323"/>
      <c r="N4384" s="1323"/>
      <c r="O4384" s="1323"/>
      <c r="P4384" s="1323"/>
      <c r="Q4384" s="1323"/>
      <c r="R4384" s="1304"/>
      <c r="S4384" s="1304"/>
      <c r="T4384" s="1304"/>
    </row>
    <row r="4385" spans="1:20">
      <c r="A4385" s="1303"/>
      <c r="B4385" s="1322" t="s">
        <v>10604</v>
      </c>
      <c r="C4385" s="1323" t="s">
        <v>10605</v>
      </c>
      <c r="D4385" s="1324">
        <f t="shared" si="438"/>
        <v>35486</v>
      </c>
      <c r="E4385" s="1323">
        <f t="shared" si="440"/>
        <v>4.4188999999999998</v>
      </c>
      <c r="F4385" s="1323">
        <f t="shared" si="439"/>
        <v>4.2334515123893235</v>
      </c>
      <c r="G4385" s="1323">
        <f t="shared" si="441"/>
        <v>1997</v>
      </c>
      <c r="H4385" s="1323">
        <f t="shared" si="442"/>
        <v>2</v>
      </c>
      <c r="I4385" s="1323">
        <f t="shared" si="443"/>
        <v>25</v>
      </c>
      <c r="J4385" s="1323"/>
      <c r="K4385" s="1323"/>
      <c r="L4385" s="1323"/>
      <c r="M4385" s="1323"/>
      <c r="N4385" s="1323"/>
      <c r="O4385" s="1323"/>
      <c r="P4385" s="1323"/>
      <c r="Q4385" s="1323"/>
      <c r="R4385" s="1304"/>
      <c r="S4385" s="1304"/>
      <c r="T4385" s="1304"/>
    </row>
    <row r="4386" spans="1:20">
      <c r="A4386" s="1303"/>
      <c r="B4386" s="1322" t="s">
        <v>10606</v>
      </c>
      <c r="C4386" s="1323" t="s">
        <v>10607</v>
      </c>
      <c r="D4386" s="1324">
        <f t="shared" si="438"/>
        <v>35485</v>
      </c>
      <c r="E4386" s="1323">
        <f t="shared" si="440"/>
        <v>4.4663000000000004</v>
      </c>
      <c r="F4386" s="1323">
        <f t="shared" si="439"/>
        <v>4.2326397732547267</v>
      </c>
      <c r="G4386" s="1323">
        <f t="shared" si="441"/>
        <v>1997</v>
      </c>
      <c r="H4386" s="1323">
        <f t="shared" si="442"/>
        <v>2</v>
      </c>
      <c r="I4386" s="1323">
        <f t="shared" si="443"/>
        <v>24</v>
      </c>
      <c r="J4386" s="1323"/>
      <c r="K4386" s="1323"/>
      <c r="L4386" s="1323"/>
      <c r="M4386" s="1323"/>
      <c r="N4386" s="1323"/>
      <c r="O4386" s="1323"/>
      <c r="P4386" s="1323"/>
      <c r="Q4386" s="1323"/>
      <c r="R4386" s="1304"/>
      <c r="S4386" s="1304"/>
      <c r="T4386" s="1304"/>
    </row>
    <row r="4387" spans="1:20">
      <c r="A4387" s="1303"/>
      <c r="B4387" s="1322" t="s">
        <v>10608</v>
      </c>
      <c r="C4387" s="1323" t="s">
        <v>10528</v>
      </c>
      <c r="D4387" s="1324">
        <f t="shared" si="438"/>
        <v>35482</v>
      </c>
      <c r="E4387" s="1323">
        <f t="shared" si="440"/>
        <v>4.4823000000000004</v>
      </c>
      <c r="F4387" s="1323">
        <f t="shared" si="439"/>
        <v>4.2318281897662784</v>
      </c>
      <c r="G4387" s="1323">
        <f t="shared" si="441"/>
        <v>1997</v>
      </c>
      <c r="H4387" s="1323">
        <f t="shared" si="442"/>
        <v>2</v>
      </c>
      <c r="I4387" s="1323">
        <f t="shared" si="443"/>
        <v>21</v>
      </c>
      <c r="J4387" s="1323"/>
      <c r="K4387" s="1323"/>
      <c r="L4387" s="1323"/>
      <c r="M4387" s="1323"/>
      <c r="N4387" s="1323"/>
      <c r="O4387" s="1323"/>
      <c r="P4387" s="1323"/>
      <c r="Q4387" s="1323"/>
      <c r="R4387" s="1304"/>
      <c r="S4387" s="1304"/>
      <c r="T4387" s="1304"/>
    </row>
    <row r="4388" spans="1:20">
      <c r="A4388" s="1303"/>
      <c r="B4388" s="1322" t="s">
        <v>10609</v>
      </c>
      <c r="C4388" s="1323" t="s">
        <v>10498</v>
      </c>
      <c r="D4388" s="1324">
        <f t="shared" si="438"/>
        <v>35481</v>
      </c>
      <c r="E4388" s="1323">
        <f t="shared" si="440"/>
        <v>4.4663000000000004</v>
      </c>
      <c r="F4388" s="1323">
        <f t="shared" si="439"/>
        <v>4.2310167618941339</v>
      </c>
      <c r="G4388" s="1323">
        <f t="shared" si="441"/>
        <v>1997</v>
      </c>
      <c r="H4388" s="1323">
        <f t="shared" si="442"/>
        <v>2</v>
      </c>
      <c r="I4388" s="1323">
        <f t="shared" si="443"/>
        <v>20</v>
      </c>
      <c r="J4388" s="1323"/>
      <c r="K4388" s="1323"/>
      <c r="L4388" s="1323"/>
      <c r="M4388" s="1323"/>
      <c r="N4388" s="1323"/>
      <c r="O4388" s="1323"/>
      <c r="P4388" s="1323"/>
      <c r="Q4388" s="1323"/>
      <c r="R4388" s="1304"/>
      <c r="S4388" s="1304"/>
      <c r="T4388" s="1304"/>
    </row>
    <row r="4389" spans="1:20">
      <c r="A4389" s="1303"/>
      <c r="B4389" s="1322" t="s">
        <v>10610</v>
      </c>
      <c r="C4389" s="1323" t="s">
        <v>10528</v>
      </c>
      <c r="D4389" s="1324">
        <f t="shared" si="438"/>
        <v>35480</v>
      </c>
      <c r="E4389" s="1323">
        <f t="shared" si="440"/>
        <v>4.4964000000000004</v>
      </c>
      <c r="F4389" s="1323">
        <f t="shared" si="439"/>
        <v>4.2302054896084558</v>
      </c>
      <c r="G4389" s="1323">
        <f t="shared" si="441"/>
        <v>1997</v>
      </c>
      <c r="H4389" s="1323">
        <f t="shared" si="442"/>
        <v>2</v>
      </c>
      <c r="I4389" s="1323">
        <f t="shared" si="443"/>
        <v>19</v>
      </c>
      <c r="J4389" s="1323"/>
      <c r="K4389" s="1323"/>
      <c r="L4389" s="1323"/>
      <c r="M4389" s="1323"/>
      <c r="N4389" s="1323"/>
      <c r="O4389" s="1323"/>
      <c r="P4389" s="1323"/>
      <c r="Q4389" s="1323"/>
      <c r="R4389" s="1304"/>
      <c r="S4389" s="1304"/>
      <c r="T4389" s="1304"/>
    </row>
    <row r="4390" spans="1:20">
      <c r="A4390" s="1303"/>
      <c r="B4390" s="1322" t="s">
        <v>10611</v>
      </c>
      <c r="C4390" s="1323" t="s">
        <v>10612</v>
      </c>
      <c r="D4390" s="1324">
        <f t="shared" si="438"/>
        <v>35479</v>
      </c>
      <c r="E4390" s="1323">
        <f t="shared" si="440"/>
        <v>4.4111000000000002</v>
      </c>
      <c r="F4390" s="1323">
        <f t="shared" si="439"/>
        <v>4.2293943728794101</v>
      </c>
      <c r="G4390" s="1323">
        <f t="shared" si="441"/>
        <v>1997</v>
      </c>
      <c r="H4390" s="1323">
        <f t="shared" si="442"/>
        <v>2</v>
      </c>
      <c r="I4390" s="1323">
        <f t="shared" si="443"/>
        <v>18</v>
      </c>
      <c r="J4390" s="1323"/>
      <c r="K4390" s="1323"/>
      <c r="L4390" s="1323"/>
      <c r="M4390" s="1323"/>
      <c r="N4390" s="1323"/>
      <c r="O4390" s="1323"/>
      <c r="P4390" s="1323"/>
      <c r="Q4390" s="1323"/>
      <c r="R4390" s="1304"/>
      <c r="S4390" s="1304"/>
      <c r="T4390" s="1304"/>
    </row>
    <row r="4391" spans="1:20">
      <c r="A4391" s="1303"/>
      <c r="B4391" s="1322" t="s">
        <v>10613</v>
      </c>
      <c r="C4391" s="1323" t="s">
        <v>10614</v>
      </c>
      <c r="D4391" s="1324">
        <f t="shared" si="438"/>
        <v>35478</v>
      </c>
      <c r="E4391" s="1323">
        <f t="shared" si="440"/>
        <v>4.4208999999999996</v>
      </c>
      <c r="F4391" s="1323">
        <f t="shared" si="439"/>
        <v>4.2285834116771701</v>
      </c>
      <c r="G4391" s="1323">
        <f t="shared" si="441"/>
        <v>1997</v>
      </c>
      <c r="H4391" s="1323">
        <f t="shared" si="442"/>
        <v>2</v>
      </c>
      <c r="I4391" s="1323">
        <f t="shared" si="443"/>
        <v>17</v>
      </c>
      <c r="J4391" s="1323"/>
      <c r="K4391" s="1323"/>
      <c r="L4391" s="1323"/>
      <c r="M4391" s="1323"/>
      <c r="N4391" s="1323"/>
      <c r="O4391" s="1323"/>
      <c r="P4391" s="1323"/>
      <c r="Q4391" s="1323"/>
      <c r="R4391" s="1304"/>
      <c r="S4391" s="1304"/>
      <c r="T4391" s="1304"/>
    </row>
    <row r="4392" spans="1:20">
      <c r="A4392" s="1303"/>
      <c r="B4392" s="1322" t="s">
        <v>10615</v>
      </c>
      <c r="C4392" s="1323" t="s">
        <v>10616</v>
      </c>
      <c r="D4392" s="1324">
        <f t="shared" si="438"/>
        <v>35475</v>
      </c>
      <c r="E4392" s="1323">
        <f t="shared" si="440"/>
        <v>4.4248000000000003</v>
      </c>
      <c r="F4392" s="1323">
        <f t="shared" si="439"/>
        <v>4.2277726059719152</v>
      </c>
      <c r="G4392" s="1323">
        <f t="shared" si="441"/>
        <v>1997</v>
      </c>
      <c r="H4392" s="1323">
        <f t="shared" si="442"/>
        <v>2</v>
      </c>
      <c r="I4392" s="1323">
        <f t="shared" si="443"/>
        <v>14</v>
      </c>
      <c r="J4392" s="1323"/>
      <c r="K4392" s="1323"/>
      <c r="L4392" s="1323"/>
      <c r="M4392" s="1323"/>
      <c r="N4392" s="1323"/>
      <c r="O4392" s="1323"/>
      <c r="P4392" s="1323"/>
      <c r="Q4392" s="1323"/>
      <c r="R4392" s="1304"/>
      <c r="S4392" s="1304"/>
      <c r="T4392" s="1304"/>
    </row>
    <row r="4393" spans="1:20">
      <c r="A4393" s="1303"/>
      <c r="B4393" s="1322" t="s">
        <v>10617</v>
      </c>
      <c r="C4393" s="1323" t="s">
        <v>10618</v>
      </c>
      <c r="D4393" s="1324">
        <f t="shared" si="438"/>
        <v>35474</v>
      </c>
      <c r="E4393" s="1323">
        <f t="shared" si="440"/>
        <v>4.3907999999999996</v>
      </c>
      <c r="F4393" s="1323">
        <f t="shared" si="439"/>
        <v>4.2269619557338292</v>
      </c>
      <c r="G4393" s="1323">
        <f t="shared" si="441"/>
        <v>1997</v>
      </c>
      <c r="H4393" s="1323">
        <f t="shared" si="442"/>
        <v>2</v>
      </c>
      <c r="I4393" s="1323">
        <f t="shared" si="443"/>
        <v>13</v>
      </c>
      <c r="J4393" s="1323"/>
      <c r="K4393" s="1323"/>
      <c r="L4393" s="1323"/>
      <c r="M4393" s="1323"/>
      <c r="N4393" s="1323"/>
      <c r="O4393" s="1323"/>
      <c r="P4393" s="1323"/>
      <c r="Q4393" s="1323"/>
      <c r="R4393" s="1304"/>
      <c r="S4393" s="1304"/>
      <c r="T4393" s="1304"/>
    </row>
    <row r="4394" spans="1:20">
      <c r="A4394" s="1303"/>
      <c r="B4394" s="1322" t="s">
        <v>10619</v>
      </c>
      <c r="C4394" s="1323" t="s">
        <v>10620</v>
      </c>
      <c r="D4394" s="1324">
        <f t="shared" si="438"/>
        <v>35473</v>
      </c>
      <c r="E4394" s="1323">
        <f t="shared" si="440"/>
        <v>4.415</v>
      </c>
      <c r="F4394" s="1323">
        <f t="shared" si="439"/>
        <v>4.2261514609331021</v>
      </c>
      <c r="G4394" s="1323">
        <f t="shared" si="441"/>
        <v>1997</v>
      </c>
      <c r="H4394" s="1323">
        <f t="shared" si="442"/>
        <v>2</v>
      </c>
      <c r="I4394" s="1323">
        <f t="shared" si="443"/>
        <v>12</v>
      </c>
      <c r="J4394" s="1323"/>
      <c r="K4394" s="1323"/>
      <c r="L4394" s="1323"/>
      <c r="M4394" s="1323"/>
      <c r="N4394" s="1323"/>
      <c r="O4394" s="1323"/>
      <c r="P4394" s="1323"/>
      <c r="Q4394" s="1323"/>
      <c r="R4394" s="1304"/>
      <c r="S4394" s="1304"/>
      <c r="T4394" s="1304"/>
    </row>
    <row r="4395" spans="1:20">
      <c r="A4395" s="1303"/>
      <c r="B4395" s="1322" t="s">
        <v>10621</v>
      </c>
      <c r="C4395" s="1323" t="s">
        <v>10574</v>
      </c>
      <c r="D4395" s="1324">
        <f t="shared" si="438"/>
        <v>35472</v>
      </c>
      <c r="E4395" s="1323">
        <f t="shared" si="440"/>
        <v>4.3860000000000001</v>
      </c>
      <c r="F4395" s="1323">
        <f t="shared" si="439"/>
        <v>4.2253411215399304</v>
      </c>
      <c r="G4395" s="1323">
        <f t="shared" si="441"/>
        <v>1997</v>
      </c>
      <c r="H4395" s="1323">
        <f t="shared" si="442"/>
        <v>2</v>
      </c>
      <c r="I4395" s="1323">
        <f t="shared" si="443"/>
        <v>11</v>
      </c>
      <c r="J4395" s="1323"/>
      <c r="K4395" s="1323"/>
      <c r="L4395" s="1323"/>
      <c r="M4395" s="1323"/>
      <c r="N4395" s="1323"/>
      <c r="O4395" s="1323"/>
      <c r="P4395" s="1323"/>
      <c r="Q4395" s="1323"/>
      <c r="R4395" s="1304"/>
      <c r="S4395" s="1304"/>
      <c r="T4395" s="1304"/>
    </row>
    <row r="4396" spans="1:20">
      <c r="A4396" s="1303"/>
      <c r="B4396" s="1322" t="s">
        <v>10622</v>
      </c>
      <c r="C4396" s="1323" t="s">
        <v>10623</v>
      </c>
      <c r="D4396" s="1324">
        <f t="shared" si="438"/>
        <v>35471</v>
      </c>
      <c r="E4396" s="1323">
        <f t="shared" si="440"/>
        <v>4.4267000000000003</v>
      </c>
      <c r="F4396" s="1323">
        <f t="shared" si="439"/>
        <v>4.2245309375245146</v>
      </c>
      <c r="G4396" s="1323">
        <f t="shared" si="441"/>
        <v>1997</v>
      </c>
      <c r="H4396" s="1323">
        <f t="shared" si="442"/>
        <v>2</v>
      </c>
      <c r="I4396" s="1323">
        <f t="shared" si="443"/>
        <v>10</v>
      </c>
      <c r="J4396" s="1323"/>
      <c r="K4396" s="1323"/>
      <c r="L4396" s="1323"/>
      <c r="M4396" s="1323"/>
      <c r="N4396" s="1323"/>
      <c r="O4396" s="1323"/>
      <c r="P4396" s="1323"/>
      <c r="Q4396" s="1323"/>
      <c r="R4396" s="1304"/>
      <c r="S4396" s="1304"/>
      <c r="T4396" s="1304"/>
    </row>
    <row r="4397" spans="1:20">
      <c r="A4397" s="1303"/>
      <c r="B4397" s="1322" t="s">
        <v>10624</v>
      </c>
      <c r="C4397" s="1323" t="s">
        <v>10625</v>
      </c>
      <c r="D4397" s="1324">
        <f t="shared" si="438"/>
        <v>35468</v>
      </c>
      <c r="E4397" s="1323">
        <f t="shared" si="440"/>
        <v>4.4622999999999999</v>
      </c>
      <c r="F4397" s="1323">
        <f t="shared" si="439"/>
        <v>4.2237209088570626</v>
      </c>
      <c r="G4397" s="1323">
        <f t="shared" si="441"/>
        <v>1997</v>
      </c>
      <c r="H4397" s="1323">
        <f t="shared" si="442"/>
        <v>2</v>
      </c>
      <c r="I4397" s="1323">
        <f t="shared" si="443"/>
        <v>7</v>
      </c>
      <c r="J4397" s="1323"/>
      <c r="K4397" s="1323"/>
      <c r="L4397" s="1323"/>
      <c r="M4397" s="1323"/>
      <c r="N4397" s="1323"/>
      <c r="O4397" s="1323"/>
      <c r="P4397" s="1323"/>
      <c r="Q4397" s="1323"/>
      <c r="R4397" s="1304"/>
      <c r="S4397" s="1304"/>
      <c r="T4397" s="1304"/>
    </row>
    <row r="4398" spans="1:20">
      <c r="A4398" s="1303"/>
      <c r="B4398" s="1322" t="s">
        <v>10626</v>
      </c>
      <c r="C4398" s="1323" t="s">
        <v>10518</v>
      </c>
      <c r="D4398" s="1324">
        <f t="shared" si="438"/>
        <v>35467</v>
      </c>
      <c r="E4398" s="1323">
        <f t="shared" si="440"/>
        <v>4.4622999999999999</v>
      </c>
      <c r="F4398" s="1323">
        <f t="shared" si="439"/>
        <v>4.2229110355077868</v>
      </c>
      <c r="G4398" s="1323">
        <f t="shared" si="441"/>
        <v>1997</v>
      </c>
      <c r="H4398" s="1323">
        <f t="shared" si="442"/>
        <v>2</v>
      </c>
      <c r="I4398" s="1323">
        <f t="shared" si="443"/>
        <v>6</v>
      </c>
      <c r="J4398" s="1323"/>
      <c r="K4398" s="1323"/>
      <c r="L4398" s="1323"/>
      <c r="M4398" s="1323"/>
      <c r="N4398" s="1323"/>
      <c r="O4398" s="1323"/>
      <c r="P4398" s="1323"/>
      <c r="Q4398" s="1323"/>
      <c r="R4398" s="1304"/>
      <c r="S4398" s="1304"/>
      <c r="T4398" s="1304"/>
    </row>
    <row r="4399" spans="1:20">
      <c r="A4399" s="1303"/>
      <c r="B4399" s="1322" t="s">
        <v>10627</v>
      </c>
      <c r="C4399" s="1323" t="s">
        <v>10518</v>
      </c>
      <c r="D4399" s="1324">
        <f t="shared" si="438"/>
        <v>35466</v>
      </c>
      <c r="E4399" s="1323">
        <f t="shared" si="440"/>
        <v>4.5125999999999999</v>
      </c>
      <c r="F4399" s="1323">
        <f t="shared" si="439"/>
        <v>4.2221013174469064</v>
      </c>
      <c r="G4399" s="1323">
        <f t="shared" si="441"/>
        <v>1997</v>
      </c>
      <c r="H4399" s="1323">
        <f t="shared" si="442"/>
        <v>2</v>
      </c>
      <c r="I4399" s="1323">
        <f t="shared" si="443"/>
        <v>5</v>
      </c>
      <c r="J4399" s="1323"/>
      <c r="K4399" s="1323"/>
      <c r="L4399" s="1323"/>
      <c r="M4399" s="1323"/>
      <c r="N4399" s="1323"/>
      <c r="O4399" s="1323"/>
      <c r="P4399" s="1323"/>
      <c r="Q4399" s="1323"/>
      <c r="R4399" s="1304"/>
      <c r="S4399" s="1304"/>
      <c r="T4399" s="1304"/>
    </row>
    <row r="4400" spans="1:20">
      <c r="A4400" s="1303"/>
      <c r="B4400" s="1322" t="s">
        <v>10628</v>
      </c>
      <c r="C4400" s="1323" t="s">
        <v>10629</v>
      </c>
      <c r="D4400" s="1324">
        <f t="shared" si="438"/>
        <v>35465</v>
      </c>
      <c r="E4400" s="1323">
        <f t="shared" si="440"/>
        <v>4.5248999999999997</v>
      </c>
      <c r="F4400" s="1323">
        <f t="shared" si="439"/>
        <v>4.2212917546446453</v>
      </c>
      <c r="G4400" s="1323">
        <f t="shared" si="441"/>
        <v>1997</v>
      </c>
      <c r="H4400" s="1323">
        <f t="shared" si="442"/>
        <v>2</v>
      </c>
      <c r="I4400" s="1323">
        <f t="shared" si="443"/>
        <v>4</v>
      </c>
      <c r="J4400" s="1323"/>
      <c r="K4400" s="1323"/>
      <c r="L4400" s="1323"/>
      <c r="M4400" s="1323"/>
      <c r="N4400" s="1323"/>
      <c r="O4400" s="1323"/>
      <c r="P4400" s="1323"/>
      <c r="Q4400" s="1323"/>
      <c r="R4400" s="1304"/>
      <c r="S4400" s="1304"/>
      <c r="T4400" s="1304"/>
    </row>
    <row r="4401" spans="1:20">
      <c r="A4401" s="1303"/>
      <c r="B4401" s="1322" t="s">
        <v>10630</v>
      </c>
      <c r="C4401" s="1323" t="s">
        <v>10472</v>
      </c>
      <c r="D4401" s="1324">
        <f t="shared" si="438"/>
        <v>35464</v>
      </c>
      <c r="E4401" s="1323">
        <f t="shared" si="440"/>
        <v>4.5362</v>
      </c>
      <c r="F4401" s="1323">
        <f t="shared" si="439"/>
        <v>4.2204823470712345</v>
      </c>
      <c r="G4401" s="1323">
        <f t="shared" si="441"/>
        <v>1997</v>
      </c>
      <c r="H4401" s="1323">
        <f t="shared" si="442"/>
        <v>2</v>
      </c>
      <c r="I4401" s="1323">
        <f t="shared" si="443"/>
        <v>3</v>
      </c>
      <c r="J4401" s="1323"/>
      <c r="K4401" s="1323"/>
      <c r="L4401" s="1323"/>
      <c r="M4401" s="1323"/>
      <c r="N4401" s="1323"/>
      <c r="O4401" s="1323"/>
      <c r="P4401" s="1323"/>
      <c r="Q4401" s="1323"/>
      <c r="R4401" s="1304"/>
      <c r="S4401" s="1304"/>
      <c r="T4401" s="1304"/>
    </row>
    <row r="4402" spans="1:20">
      <c r="A4402" s="1303"/>
      <c r="B4402" s="1322" t="s">
        <v>10631</v>
      </c>
      <c r="C4402" s="1323" t="s">
        <v>10470</v>
      </c>
      <c r="D4402" s="1324">
        <f t="shared" si="438"/>
        <v>35461</v>
      </c>
      <c r="E4402" s="1323">
        <f t="shared" si="440"/>
        <v>4.5631000000000004</v>
      </c>
      <c r="F4402" s="1323">
        <f t="shared" si="439"/>
        <v>4.2196730946969092</v>
      </c>
      <c r="G4402" s="1323">
        <f t="shared" si="441"/>
        <v>1997</v>
      </c>
      <c r="H4402" s="1323">
        <f t="shared" si="442"/>
        <v>1</v>
      </c>
      <c r="I4402" s="1323">
        <f t="shared" si="443"/>
        <v>31</v>
      </c>
      <c r="J4402" s="1323"/>
      <c r="K4402" s="1323"/>
      <c r="L4402" s="1323"/>
      <c r="M4402" s="1323"/>
      <c r="N4402" s="1323"/>
      <c r="O4402" s="1323"/>
      <c r="P4402" s="1323"/>
      <c r="Q4402" s="1323"/>
      <c r="R4402" s="1304"/>
      <c r="S4402" s="1304"/>
      <c r="T4402" s="1304"/>
    </row>
    <row r="4403" spans="1:20">
      <c r="A4403" s="1303"/>
      <c r="B4403" s="1322" t="s">
        <v>10632</v>
      </c>
      <c r="C4403" s="1323" t="s">
        <v>10633</v>
      </c>
      <c r="D4403" s="1324">
        <f t="shared" si="438"/>
        <v>35460</v>
      </c>
      <c r="E4403" s="1323">
        <f t="shared" si="440"/>
        <v>4.5620000000000003</v>
      </c>
      <c r="F4403" s="1323">
        <f t="shared" si="439"/>
        <v>4.2188639974919102</v>
      </c>
      <c r="G4403" s="1323">
        <f t="shared" si="441"/>
        <v>1997</v>
      </c>
      <c r="H4403" s="1323">
        <f t="shared" si="442"/>
        <v>1</v>
      </c>
      <c r="I4403" s="1323">
        <f t="shared" si="443"/>
        <v>30</v>
      </c>
      <c r="J4403" s="1323"/>
      <c r="K4403" s="1323"/>
      <c r="L4403" s="1323"/>
      <c r="M4403" s="1323"/>
      <c r="N4403" s="1323"/>
      <c r="O4403" s="1323"/>
      <c r="P4403" s="1323"/>
      <c r="Q4403" s="1323"/>
      <c r="R4403" s="1304"/>
      <c r="S4403" s="1304"/>
      <c r="T4403" s="1304"/>
    </row>
    <row r="4404" spans="1:20">
      <c r="A4404" s="1303"/>
      <c r="B4404" s="1322" t="s">
        <v>10634</v>
      </c>
      <c r="C4404" s="1323" t="s">
        <v>10635</v>
      </c>
      <c r="D4404" s="1324">
        <f t="shared" si="438"/>
        <v>35459</v>
      </c>
      <c r="E4404" s="1323">
        <f t="shared" si="440"/>
        <v>4.5673000000000004</v>
      </c>
      <c r="F4404" s="1323">
        <f t="shared" si="439"/>
        <v>4.2180550554264862</v>
      </c>
      <c r="G4404" s="1323">
        <f t="shared" si="441"/>
        <v>1997</v>
      </c>
      <c r="H4404" s="1323">
        <f t="shared" si="442"/>
        <v>1</v>
      </c>
      <c r="I4404" s="1323">
        <f t="shared" si="443"/>
        <v>29</v>
      </c>
      <c r="J4404" s="1323"/>
      <c r="K4404" s="1323"/>
      <c r="L4404" s="1323"/>
      <c r="M4404" s="1323"/>
      <c r="N4404" s="1323"/>
      <c r="O4404" s="1323"/>
      <c r="P4404" s="1323"/>
      <c r="Q4404" s="1323"/>
      <c r="R4404" s="1304"/>
      <c r="S4404" s="1304"/>
      <c r="T4404" s="1304"/>
    </row>
    <row r="4405" spans="1:20">
      <c r="A4405" s="1303"/>
      <c r="B4405" s="1322" t="s">
        <v>10636</v>
      </c>
      <c r="C4405" s="1323" t="s">
        <v>10637</v>
      </c>
      <c r="D4405" s="1324">
        <f t="shared" si="438"/>
        <v>35458</v>
      </c>
      <c r="E4405" s="1323">
        <f t="shared" si="440"/>
        <v>4.5673000000000004</v>
      </c>
      <c r="F4405" s="1323">
        <f t="shared" si="439"/>
        <v>4.2172462684708885</v>
      </c>
      <c r="G4405" s="1323">
        <f t="shared" si="441"/>
        <v>1997</v>
      </c>
      <c r="H4405" s="1323">
        <f t="shared" si="442"/>
        <v>1</v>
      </c>
      <c r="I4405" s="1323">
        <f t="shared" si="443"/>
        <v>28</v>
      </c>
      <c r="J4405" s="1323"/>
      <c r="K4405" s="1323"/>
      <c r="L4405" s="1323"/>
      <c r="M4405" s="1323"/>
      <c r="N4405" s="1323"/>
      <c r="O4405" s="1323"/>
      <c r="P4405" s="1323"/>
      <c r="Q4405" s="1323"/>
      <c r="R4405" s="1304"/>
      <c r="S4405" s="1304"/>
      <c r="T4405" s="1304"/>
    </row>
    <row r="4406" spans="1:20">
      <c r="A4406" s="1303"/>
      <c r="B4406" s="1322" t="s">
        <v>10638</v>
      </c>
      <c r="C4406" s="1323" t="s">
        <v>10637</v>
      </c>
      <c r="D4406" s="1324">
        <f t="shared" si="438"/>
        <v>35457</v>
      </c>
      <c r="E4406" s="1323">
        <f t="shared" si="440"/>
        <v>4.6040999999999999</v>
      </c>
      <c r="F4406" s="1323">
        <f t="shared" si="439"/>
        <v>4.2164376365953773</v>
      </c>
      <c r="G4406" s="1323">
        <f t="shared" si="441"/>
        <v>1997</v>
      </c>
      <c r="H4406" s="1323">
        <f t="shared" si="442"/>
        <v>1</v>
      </c>
      <c r="I4406" s="1323">
        <f t="shared" si="443"/>
        <v>27</v>
      </c>
      <c r="J4406" s="1323"/>
      <c r="K4406" s="1323"/>
      <c r="L4406" s="1323"/>
      <c r="M4406" s="1323"/>
      <c r="N4406" s="1323"/>
      <c r="O4406" s="1323"/>
      <c r="P4406" s="1323"/>
      <c r="Q4406" s="1323"/>
      <c r="R4406" s="1304"/>
      <c r="S4406" s="1304"/>
      <c r="T4406" s="1304"/>
    </row>
    <row r="4407" spans="1:20">
      <c r="A4407" s="1303"/>
      <c r="B4407" s="1322" t="s">
        <v>10639</v>
      </c>
      <c r="C4407" s="1323" t="s">
        <v>10640</v>
      </c>
      <c r="D4407" s="1324">
        <f t="shared" si="438"/>
        <v>35454</v>
      </c>
      <c r="E4407" s="1323">
        <f t="shared" si="440"/>
        <v>4.6124999999999998</v>
      </c>
      <c r="F4407" s="1323">
        <f t="shared" si="439"/>
        <v>4.2156291597702156</v>
      </c>
      <c r="G4407" s="1323">
        <f t="shared" si="441"/>
        <v>1997</v>
      </c>
      <c r="H4407" s="1323">
        <f t="shared" si="442"/>
        <v>1</v>
      </c>
      <c r="I4407" s="1323">
        <f t="shared" si="443"/>
        <v>24</v>
      </c>
      <c r="J4407" s="1323"/>
      <c r="K4407" s="1323"/>
      <c r="L4407" s="1323"/>
      <c r="M4407" s="1323"/>
      <c r="N4407" s="1323"/>
      <c r="O4407" s="1323"/>
      <c r="P4407" s="1323"/>
      <c r="Q4407" s="1323"/>
      <c r="R4407" s="1304"/>
      <c r="S4407" s="1304"/>
      <c r="T4407" s="1304"/>
    </row>
    <row r="4408" spans="1:20">
      <c r="A4408" s="1303"/>
      <c r="B4408" s="1322" t="s">
        <v>10641</v>
      </c>
      <c r="C4408" s="1323" t="s">
        <v>10430</v>
      </c>
      <c r="D4408" s="1324">
        <f t="shared" si="438"/>
        <v>35453</v>
      </c>
      <c r="E4408" s="1323">
        <f t="shared" si="440"/>
        <v>4.6211000000000002</v>
      </c>
      <c r="F4408" s="1323">
        <f t="shared" si="439"/>
        <v>4.2148208379656742</v>
      </c>
      <c r="G4408" s="1323">
        <f t="shared" si="441"/>
        <v>1997</v>
      </c>
      <c r="H4408" s="1323">
        <f t="shared" si="442"/>
        <v>1</v>
      </c>
      <c r="I4408" s="1323">
        <f t="shared" si="443"/>
        <v>23</v>
      </c>
      <c r="J4408" s="1323"/>
      <c r="K4408" s="1323"/>
      <c r="L4408" s="1323"/>
      <c r="M4408" s="1323"/>
      <c r="N4408" s="1323"/>
      <c r="O4408" s="1323"/>
      <c r="P4408" s="1323"/>
      <c r="Q4408" s="1323"/>
      <c r="R4408" s="1304"/>
      <c r="S4408" s="1304"/>
      <c r="T4408" s="1304"/>
    </row>
    <row r="4409" spans="1:20">
      <c r="A4409" s="1303"/>
      <c r="B4409" s="1322" t="s">
        <v>10642</v>
      </c>
      <c r="C4409" s="1323" t="s">
        <v>10643</v>
      </c>
      <c r="D4409" s="1324">
        <f t="shared" si="438"/>
        <v>35452</v>
      </c>
      <c r="E4409" s="1323">
        <f t="shared" si="440"/>
        <v>4.6338999999999997</v>
      </c>
      <c r="F4409" s="1323">
        <f t="shared" si="439"/>
        <v>4.2140126711520285</v>
      </c>
      <c r="G4409" s="1323">
        <f t="shared" si="441"/>
        <v>1997</v>
      </c>
      <c r="H4409" s="1323">
        <f t="shared" si="442"/>
        <v>1</v>
      </c>
      <c r="I4409" s="1323">
        <f t="shared" si="443"/>
        <v>22</v>
      </c>
      <c r="J4409" s="1323"/>
      <c r="K4409" s="1323"/>
      <c r="L4409" s="1323"/>
      <c r="M4409" s="1323"/>
      <c r="N4409" s="1323"/>
      <c r="O4409" s="1323"/>
      <c r="P4409" s="1323"/>
      <c r="Q4409" s="1323"/>
      <c r="R4409" s="1304"/>
      <c r="S4409" s="1304"/>
      <c r="T4409" s="1304"/>
    </row>
    <row r="4410" spans="1:20">
      <c r="A4410" s="1303"/>
      <c r="B4410" s="1322" t="s">
        <v>10644</v>
      </c>
      <c r="C4410" s="1323" t="s">
        <v>10645</v>
      </c>
      <c r="D4410" s="1324">
        <f t="shared" si="438"/>
        <v>35451</v>
      </c>
      <c r="E4410" s="1323">
        <f t="shared" si="440"/>
        <v>4.6458000000000004</v>
      </c>
      <c r="F4410" s="1323">
        <f t="shared" si="439"/>
        <v>4.21320465929956</v>
      </c>
      <c r="G4410" s="1323">
        <f t="shared" si="441"/>
        <v>1997</v>
      </c>
      <c r="H4410" s="1323">
        <f t="shared" si="442"/>
        <v>1</v>
      </c>
      <c r="I4410" s="1323">
        <f t="shared" si="443"/>
        <v>21</v>
      </c>
      <c r="J4410" s="1323"/>
      <c r="K4410" s="1323"/>
      <c r="L4410" s="1323"/>
      <c r="M4410" s="1323"/>
      <c r="N4410" s="1323"/>
      <c r="O4410" s="1323"/>
      <c r="P4410" s="1323"/>
      <c r="Q4410" s="1323"/>
      <c r="R4410" s="1304"/>
      <c r="S4410" s="1304"/>
      <c r="T4410" s="1304"/>
    </row>
    <row r="4411" spans="1:20">
      <c r="A4411" s="1303"/>
      <c r="B4411" s="1322" t="s">
        <v>10646</v>
      </c>
      <c r="C4411" s="1323" t="s">
        <v>10647</v>
      </c>
      <c r="D4411" s="1324">
        <f t="shared" si="438"/>
        <v>35450</v>
      </c>
      <c r="E4411" s="1323">
        <f t="shared" si="440"/>
        <v>4.6512000000000002</v>
      </c>
      <c r="F4411" s="1323">
        <f t="shared" si="439"/>
        <v>4.2123968023785556</v>
      </c>
      <c r="G4411" s="1323">
        <f t="shared" si="441"/>
        <v>1997</v>
      </c>
      <c r="H4411" s="1323">
        <f t="shared" si="442"/>
        <v>1</v>
      </c>
      <c r="I4411" s="1323">
        <f t="shared" si="443"/>
        <v>20</v>
      </c>
      <c r="J4411" s="1323"/>
      <c r="K4411" s="1323"/>
      <c r="L4411" s="1323"/>
      <c r="M4411" s="1323"/>
      <c r="N4411" s="1323"/>
      <c r="O4411" s="1323"/>
      <c r="P4411" s="1323"/>
      <c r="Q4411" s="1323"/>
      <c r="R4411" s="1304"/>
      <c r="S4411" s="1304"/>
      <c r="T4411" s="1304"/>
    </row>
    <row r="4412" spans="1:20">
      <c r="A4412" s="1303"/>
      <c r="B4412" s="1322" t="s">
        <v>10648</v>
      </c>
      <c r="C4412" s="1323" t="s">
        <v>10649</v>
      </c>
      <c r="D4412" s="1324">
        <f t="shared" si="438"/>
        <v>35447</v>
      </c>
      <c r="E4412" s="1323">
        <f t="shared" si="440"/>
        <v>4.6684999999999999</v>
      </c>
      <c r="F4412" s="1323">
        <f t="shared" si="439"/>
        <v>4.2115891003593084</v>
      </c>
      <c r="G4412" s="1323">
        <f t="shared" si="441"/>
        <v>1997</v>
      </c>
      <c r="H4412" s="1323">
        <f t="shared" si="442"/>
        <v>1</v>
      </c>
      <c r="I4412" s="1323">
        <f t="shared" si="443"/>
        <v>17</v>
      </c>
      <c r="J4412" s="1323"/>
      <c r="K4412" s="1323"/>
      <c r="L4412" s="1323"/>
      <c r="M4412" s="1323"/>
      <c r="N4412" s="1323"/>
      <c r="O4412" s="1323"/>
      <c r="P4412" s="1323"/>
      <c r="Q4412" s="1323"/>
      <c r="R4412" s="1304"/>
      <c r="S4412" s="1304"/>
      <c r="T4412" s="1304"/>
    </row>
    <row r="4413" spans="1:20">
      <c r="A4413" s="1303"/>
      <c r="B4413" s="1322" t="s">
        <v>10650</v>
      </c>
      <c r="C4413" s="1323" t="s">
        <v>10651</v>
      </c>
      <c r="D4413" s="1324">
        <f t="shared" si="438"/>
        <v>35446</v>
      </c>
      <c r="E4413" s="1323">
        <f t="shared" si="440"/>
        <v>4.6555</v>
      </c>
      <c r="F4413" s="1323">
        <f t="shared" si="439"/>
        <v>4.2107815532121169</v>
      </c>
      <c r="G4413" s="1323">
        <f t="shared" si="441"/>
        <v>1997</v>
      </c>
      <c r="H4413" s="1323">
        <f t="shared" si="442"/>
        <v>1</v>
      </c>
      <c r="I4413" s="1323">
        <f t="shared" si="443"/>
        <v>16</v>
      </c>
      <c r="J4413" s="1323"/>
      <c r="K4413" s="1323"/>
      <c r="L4413" s="1323"/>
      <c r="M4413" s="1323"/>
      <c r="N4413" s="1323"/>
      <c r="O4413" s="1323"/>
      <c r="P4413" s="1323"/>
      <c r="Q4413" s="1323"/>
      <c r="R4413" s="1304"/>
      <c r="S4413" s="1304"/>
      <c r="T4413" s="1304"/>
    </row>
    <row r="4414" spans="1:20">
      <c r="A4414" s="1303"/>
      <c r="B4414" s="1322" t="s">
        <v>10652</v>
      </c>
      <c r="C4414" s="1323" t="s">
        <v>10653</v>
      </c>
      <c r="D4414" s="1324">
        <f t="shared" si="438"/>
        <v>35445</v>
      </c>
      <c r="E4414" s="1323">
        <f t="shared" si="440"/>
        <v>4.6653000000000002</v>
      </c>
      <c r="F4414" s="1323">
        <f t="shared" si="439"/>
        <v>4.2099741609072856</v>
      </c>
      <c r="G4414" s="1323">
        <f t="shared" si="441"/>
        <v>1997</v>
      </c>
      <c r="H4414" s="1323">
        <f t="shared" si="442"/>
        <v>1</v>
      </c>
      <c r="I4414" s="1323">
        <f t="shared" si="443"/>
        <v>15</v>
      </c>
      <c r="J4414" s="1323"/>
      <c r="K4414" s="1323"/>
      <c r="L4414" s="1323"/>
      <c r="M4414" s="1323"/>
      <c r="N4414" s="1323"/>
      <c r="O4414" s="1323"/>
      <c r="P4414" s="1323"/>
      <c r="Q4414" s="1323"/>
      <c r="R4414" s="1304"/>
      <c r="S4414" s="1304"/>
      <c r="T4414" s="1304"/>
    </row>
    <row r="4415" spans="1:20">
      <c r="A4415" s="1303"/>
      <c r="B4415" s="1322" t="s">
        <v>10654</v>
      </c>
      <c r="C4415" s="1323" t="s">
        <v>10418</v>
      </c>
      <c r="D4415" s="1324">
        <f t="shared" si="438"/>
        <v>35444</v>
      </c>
      <c r="E4415" s="1323">
        <f t="shared" si="440"/>
        <v>4.6750999999999996</v>
      </c>
      <c r="F4415" s="1323">
        <f t="shared" si="439"/>
        <v>4.2091669234151237</v>
      </c>
      <c r="G4415" s="1323">
        <f t="shared" si="441"/>
        <v>1997</v>
      </c>
      <c r="H4415" s="1323">
        <f t="shared" si="442"/>
        <v>1</v>
      </c>
      <c r="I4415" s="1323">
        <f t="shared" si="443"/>
        <v>14</v>
      </c>
      <c r="J4415" s="1323"/>
      <c r="K4415" s="1323"/>
      <c r="L4415" s="1323"/>
      <c r="M4415" s="1323"/>
      <c r="N4415" s="1323"/>
      <c r="O4415" s="1323"/>
      <c r="P4415" s="1323"/>
      <c r="Q4415" s="1323"/>
      <c r="R4415" s="1304"/>
      <c r="S4415" s="1304"/>
      <c r="T4415" s="1304"/>
    </row>
    <row r="4416" spans="1:20">
      <c r="A4416" s="1303"/>
      <c r="B4416" s="1322" t="s">
        <v>10655</v>
      </c>
      <c r="C4416" s="1323" t="s">
        <v>10656</v>
      </c>
      <c r="D4416" s="1324">
        <f t="shared" si="438"/>
        <v>35443</v>
      </c>
      <c r="E4416" s="1323">
        <f t="shared" si="440"/>
        <v>4.6806000000000001</v>
      </c>
      <c r="F4416" s="1323">
        <f t="shared" si="439"/>
        <v>4.2083598407059473</v>
      </c>
      <c r="G4416" s="1323">
        <f t="shared" si="441"/>
        <v>1997</v>
      </c>
      <c r="H4416" s="1323">
        <f t="shared" si="442"/>
        <v>1</v>
      </c>
      <c r="I4416" s="1323">
        <f t="shared" si="443"/>
        <v>13</v>
      </c>
      <c r="J4416" s="1323"/>
      <c r="K4416" s="1323"/>
      <c r="L4416" s="1323"/>
      <c r="M4416" s="1323"/>
      <c r="N4416" s="1323"/>
      <c r="O4416" s="1323"/>
      <c r="P4416" s="1323"/>
      <c r="Q4416" s="1323"/>
      <c r="R4416" s="1304"/>
      <c r="S4416" s="1304"/>
      <c r="T4416" s="1304"/>
    </row>
    <row r="4417" spans="1:20">
      <c r="A4417" s="1303"/>
      <c r="B4417" s="1322" t="s">
        <v>10657</v>
      </c>
      <c r="C4417" s="1323" t="s">
        <v>10378</v>
      </c>
      <c r="D4417" s="1324">
        <f t="shared" si="438"/>
        <v>35440</v>
      </c>
      <c r="E4417" s="1323">
        <f t="shared" si="440"/>
        <v>4.6664000000000003</v>
      </c>
      <c r="F4417" s="1323">
        <f t="shared" si="439"/>
        <v>4.207552912750077</v>
      </c>
      <c r="G4417" s="1323">
        <f t="shared" si="441"/>
        <v>1997</v>
      </c>
      <c r="H4417" s="1323">
        <f t="shared" si="442"/>
        <v>1</v>
      </c>
      <c r="I4417" s="1323">
        <f t="shared" si="443"/>
        <v>10</v>
      </c>
      <c r="J4417" s="1323"/>
      <c r="K4417" s="1323"/>
      <c r="L4417" s="1323"/>
      <c r="M4417" s="1323"/>
      <c r="N4417" s="1323"/>
      <c r="O4417" s="1323"/>
      <c r="P4417" s="1323"/>
      <c r="Q4417" s="1323"/>
      <c r="R4417" s="1304"/>
      <c r="S4417" s="1304"/>
      <c r="T4417" s="1304"/>
    </row>
    <row r="4418" spans="1:20">
      <c r="A4418" s="1303"/>
      <c r="B4418" s="1322" t="s">
        <v>10658</v>
      </c>
      <c r="C4418" s="1323" t="s">
        <v>10353</v>
      </c>
      <c r="D4418" s="1324">
        <f t="shared" si="438"/>
        <v>35439</v>
      </c>
      <c r="E4418" s="1323">
        <f t="shared" si="440"/>
        <v>4.6848999999999998</v>
      </c>
      <c r="F4418" s="1323">
        <f t="shared" si="439"/>
        <v>4.2067461395178407</v>
      </c>
      <c r="G4418" s="1323">
        <f t="shared" si="441"/>
        <v>1997</v>
      </c>
      <c r="H4418" s="1323">
        <f t="shared" si="442"/>
        <v>1</v>
      </c>
      <c r="I4418" s="1323">
        <f t="shared" si="443"/>
        <v>9</v>
      </c>
      <c r="J4418" s="1323"/>
      <c r="K4418" s="1323"/>
      <c r="L4418" s="1323"/>
      <c r="M4418" s="1323"/>
      <c r="N4418" s="1323"/>
      <c r="O4418" s="1323"/>
      <c r="P4418" s="1323"/>
      <c r="Q4418" s="1323"/>
      <c r="R4418" s="1304"/>
      <c r="S4418" s="1304"/>
      <c r="T4418" s="1304"/>
    </row>
    <row r="4419" spans="1:20">
      <c r="A4419" s="1303"/>
      <c r="B4419" s="1322" t="s">
        <v>10659</v>
      </c>
      <c r="C4419" s="1323" t="s">
        <v>10399</v>
      </c>
      <c r="D4419" s="1324">
        <f t="shared" si="438"/>
        <v>35438</v>
      </c>
      <c r="E4419" s="1323">
        <f t="shared" si="440"/>
        <v>4.6750999999999996</v>
      </c>
      <c r="F4419" s="1323">
        <f t="shared" si="439"/>
        <v>4.2059395209795705</v>
      </c>
      <c r="G4419" s="1323">
        <f t="shared" si="441"/>
        <v>1997</v>
      </c>
      <c r="H4419" s="1323">
        <f t="shared" si="442"/>
        <v>1</v>
      </c>
      <c r="I4419" s="1323">
        <f t="shared" si="443"/>
        <v>8</v>
      </c>
      <c r="J4419" s="1323"/>
      <c r="K4419" s="1323"/>
      <c r="L4419" s="1323"/>
      <c r="M4419" s="1323"/>
      <c r="N4419" s="1323"/>
      <c r="O4419" s="1323"/>
      <c r="P4419" s="1323"/>
      <c r="Q4419" s="1323"/>
      <c r="R4419" s="1304"/>
      <c r="S4419" s="1304"/>
      <c r="T4419" s="1304"/>
    </row>
    <row r="4420" spans="1:20">
      <c r="A4420" s="1303"/>
      <c r="B4420" s="1322" t="s">
        <v>10660</v>
      </c>
      <c r="C4420" s="1323" t="s">
        <v>10656</v>
      </c>
      <c r="D4420" s="1324">
        <f t="shared" si="438"/>
        <v>35437</v>
      </c>
      <c r="E4420" s="1323">
        <f t="shared" si="440"/>
        <v>4.6761999999999997</v>
      </c>
      <c r="F4420" s="1323">
        <f t="shared" si="439"/>
        <v>4.2051330571056047</v>
      </c>
      <c r="G4420" s="1323">
        <f t="shared" si="441"/>
        <v>1997</v>
      </c>
      <c r="H4420" s="1323">
        <f t="shared" si="442"/>
        <v>1</v>
      </c>
      <c r="I4420" s="1323">
        <f t="shared" si="443"/>
        <v>7</v>
      </c>
      <c r="J4420" s="1323"/>
      <c r="K4420" s="1323"/>
      <c r="L4420" s="1323"/>
      <c r="M4420" s="1323"/>
      <c r="N4420" s="1323"/>
      <c r="O4420" s="1323"/>
      <c r="P4420" s="1323"/>
      <c r="Q4420" s="1323"/>
      <c r="R4420" s="1304"/>
      <c r="S4420" s="1304"/>
      <c r="T4420" s="1304"/>
    </row>
    <row r="4421" spans="1:20">
      <c r="A4421" s="1303"/>
      <c r="B4421" s="1322" t="s">
        <v>10661</v>
      </c>
      <c r="C4421" s="1323" t="s">
        <v>10662</v>
      </c>
      <c r="D4421" s="1324">
        <f t="shared" si="438"/>
        <v>35436</v>
      </c>
      <c r="E4421" s="1323">
        <f t="shared" si="440"/>
        <v>4.7159000000000004</v>
      </c>
      <c r="F4421" s="1323">
        <f t="shared" si="439"/>
        <v>4.204326747866288</v>
      </c>
      <c r="G4421" s="1323">
        <f t="shared" si="441"/>
        <v>1997</v>
      </c>
      <c r="H4421" s="1323">
        <f t="shared" si="442"/>
        <v>1</v>
      </c>
      <c r="I4421" s="1323">
        <f t="shared" si="443"/>
        <v>6</v>
      </c>
      <c r="J4421" s="1323"/>
      <c r="K4421" s="1323"/>
      <c r="L4421" s="1323"/>
      <c r="M4421" s="1323"/>
      <c r="N4421" s="1323"/>
      <c r="O4421" s="1323"/>
      <c r="P4421" s="1323"/>
      <c r="Q4421" s="1323"/>
      <c r="R4421" s="1304"/>
      <c r="S4421" s="1304"/>
      <c r="T4421" s="1304"/>
    </row>
    <row r="4422" spans="1:20">
      <c r="A4422" s="1303"/>
      <c r="B4422" s="1322" t="s">
        <v>10663</v>
      </c>
      <c r="C4422" s="1323" t="s">
        <v>10339</v>
      </c>
      <c r="D4422" s="1324">
        <f t="shared" si="438"/>
        <v>35433</v>
      </c>
      <c r="E4422" s="1323">
        <f t="shared" si="440"/>
        <v>4.7037000000000004</v>
      </c>
      <c r="F4422" s="1323">
        <f t="shared" si="439"/>
        <v>4.2035205932319695</v>
      </c>
      <c r="G4422" s="1323">
        <f t="shared" si="441"/>
        <v>1997</v>
      </c>
      <c r="H4422" s="1323">
        <f t="shared" si="442"/>
        <v>1</v>
      </c>
      <c r="I4422" s="1323">
        <f t="shared" si="443"/>
        <v>3</v>
      </c>
      <c r="J4422" s="1323"/>
      <c r="K4422" s="1323"/>
      <c r="L4422" s="1323"/>
      <c r="M4422" s="1323"/>
      <c r="N4422" s="1323"/>
      <c r="O4422" s="1323"/>
      <c r="P4422" s="1323"/>
      <c r="Q4422" s="1323"/>
      <c r="R4422" s="1304"/>
      <c r="S4422" s="1304"/>
      <c r="T4422" s="1304"/>
    </row>
    <row r="4423" spans="1:20">
      <c r="A4423" s="1303"/>
      <c r="B4423" s="1322" t="s">
        <v>10664</v>
      </c>
      <c r="C4423" s="1323" t="s">
        <v>10396</v>
      </c>
      <c r="D4423" s="1324">
        <f t="shared" si="438"/>
        <v>35432</v>
      </c>
      <c r="E4423" s="1323">
        <f t="shared" si="440"/>
        <v>4.6882000000000001</v>
      </c>
      <c r="F4423" s="1323">
        <f t="shared" si="439"/>
        <v>4.2027145931730043</v>
      </c>
      <c r="G4423" s="1323">
        <f t="shared" si="441"/>
        <v>1997</v>
      </c>
      <c r="H4423" s="1323">
        <f t="shared" si="442"/>
        <v>1</v>
      </c>
      <c r="I4423" s="1323">
        <f t="shared" si="443"/>
        <v>2</v>
      </c>
      <c r="J4423" s="1323"/>
      <c r="K4423" s="1323"/>
      <c r="L4423" s="1323"/>
      <c r="M4423" s="1323"/>
      <c r="N4423" s="1323"/>
      <c r="O4423" s="1323"/>
      <c r="P4423" s="1323"/>
      <c r="Q4423" s="1323"/>
      <c r="R4423" s="1304"/>
      <c r="S4423" s="1304"/>
      <c r="T4423" s="1304"/>
    </row>
    <row r="4424" spans="1:20">
      <c r="A4424" s="1303"/>
      <c r="B4424" s="1322" t="s">
        <v>10665</v>
      </c>
      <c r="C4424" s="1323" t="s">
        <v>10666</v>
      </c>
      <c r="D4424" s="1324">
        <f t="shared" si="438"/>
        <v>35430</v>
      </c>
      <c r="E4424" s="1323">
        <f t="shared" si="440"/>
        <v>4.6837999999999997</v>
      </c>
      <c r="F4424" s="1323">
        <f t="shared" si="439"/>
        <v>4.2019087476597541</v>
      </c>
      <c r="G4424" s="1323">
        <f t="shared" si="441"/>
        <v>1996</v>
      </c>
      <c r="H4424" s="1323">
        <f t="shared" si="442"/>
        <v>12</v>
      </c>
      <c r="I4424" s="1323">
        <f t="shared" si="443"/>
        <v>31</v>
      </c>
      <c r="J4424" s="1323"/>
      <c r="K4424" s="1323"/>
      <c r="L4424" s="1323"/>
      <c r="M4424" s="1323"/>
      <c r="N4424" s="1323"/>
      <c r="O4424" s="1323"/>
      <c r="P4424" s="1323"/>
      <c r="Q4424" s="1323"/>
      <c r="R4424" s="1304"/>
      <c r="S4424" s="1304"/>
      <c r="T4424" s="1304"/>
    </row>
    <row r="4425" spans="1:20">
      <c r="A4425" s="1303"/>
      <c r="B4425" s="1322" t="s">
        <v>10667</v>
      </c>
      <c r="C4425" s="1323" t="s">
        <v>10668</v>
      </c>
      <c r="D4425" s="1324">
        <f t="shared" ref="D4425:D4488" si="444">DATE(G4425,H4425,I4425)</f>
        <v>35429</v>
      </c>
      <c r="E4425" s="1323">
        <f t="shared" si="440"/>
        <v>4.6772999999999998</v>
      </c>
      <c r="F4425" s="1323">
        <f t="shared" ref="F4425:F4488" si="445">F4426*(1+$F$7/365)</f>
        <v>4.2011030566625855</v>
      </c>
      <c r="G4425" s="1323">
        <f t="shared" si="441"/>
        <v>1996</v>
      </c>
      <c r="H4425" s="1323">
        <f t="shared" si="442"/>
        <v>12</v>
      </c>
      <c r="I4425" s="1323">
        <f t="shared" si="443"/>
        <v>30</v>
      </c>
      <c r="J4425" s="1323"/>
      <c r="K4425" s="1323"/>
      <c r="L4425" s="1323"/>
      <c r="M4425" s="1323"/>
      <c r="N4425" s="1323"/>
      <c r="O4425" s="1323"/>
      <c r="P4425" s="1323"/>
      <c r="Q4425" s="1323"/>
      <c r="R4425" s="1304"/>
      <c r="S4425" s="1304"/>
      <c r="T4425" s="1304"/>
    </row>
    <row r="4426" spans="1:20">
      <c r="A4426" s="1303"/>
      <c r="B4426" s="1322" t="s">
        <v>10669</v>
      </c>
      <c r="C4426" s="1323" t="s">
        <v>10376</v>
      </c>
      <c r="D4426" s="1324">
        <f t="shared" si="444"/>
        <v>35426</v>
      </c>
      <c r="E4426" s="1323">
        <f t="shared" si="440"/>
        <v>4.6837999999999997</v>
      </c>
      <c r="F4426" s="1323">
        <f t="shared" si="445"/>
        <v>4.2002975201518717</v>
      </c>
      <c r="G4426" s="1323">
        <f t="shared" si="441"/>
        <v>1996</v>
      </c>
      <c r="H4426" s="1323">
        <f t="shared" si="442"/>
        <v>12</v>
      </c>
      <c r="I4426" s="1323">
        <f t="shared" si="443"/>
        <v>27</v>
      </c>
      <c r="J4426" s="1323"/>
      <c r="K4426" s="1323"/>
      <c r="L4426" s="1323"/>
      <c r="M4426" s="1323"/>
      <c r="N4426" s="1323"/>
      <c r="O4426" s="1323"/>
      <c r="P4426" s="1323"/>
      <c r="Q4426" s="1323"/>
      <c r="R4426" s="1304"/>
      <c r="S4426" s="1304"/>
      <c r="T4426" s="1304"/>
    </row>
    <row r="4427" spans="1:20">
      <c r="A4427" s="1303"/>
      <c r="B4427" s="1322" t="s">
        <v>10670</v>
      </c>
      <c r="C4427" s="1323" t="s">
        <v>10668</v>
      </c>
      <c r="D4427" s="1324">
        <f t="shared" si="444"/>
        <v>35423</v>
      </c>
      <c r="E4427" s="1323">
        <f t="shared" si="440"/>
        <v>4.6893000000000002</v>
      </c>
      <c r="F4427" s="1323">
        <f t="shared" si="445"/>
        <v>4.1994921380979902</v>
      </c>
      <c r="G4427" s="1323">
        <f t="shared" si="441"/>
        <v>1996</v>
      </c>
      <c r="H4427" s="1323">
        <f t="shared" si="442"/>
        <v>12</v>
      </c>
      <c r="I4427" s="1323">
        <f t="shared" si="443"/>
        <v>24</v>
      </c>
      <c r="J4427" s="1323"/>
      <c r="K4427" s="1323"/>
      <c r="L4427" s="1323"/>
      <c r="M4427" s="1323"/>
      <c r="N4427" s="1323"/>
      <c r="O4427" s="1323"/>
      <c r="P4427" s="1323"/>
      <c r="Q4427" s="1323"/>
      <c r="R4427" s="1304"/>
      <c r="S4427" s="1304"/>
      <c r="T4427" s="1304"/>
    </row>
    <row r="4428" spans="1:20">
      <c r="A4428" s="1303"/>
      <c r="B4428" s="1322" t="s">
        <v>10671</v>
      </c>
      <c r="C4428" s="1323" t="s">
        <v>10370</v>
      </c>
      <c r="D4428" s="1324">
        <f t="shared" si="444"/>
        <v>35422</v>
      </c>
      <c r="E4428" s="1323">
        <f t="shared" si="440"/>
        <v>4.6859999999999999</v>
      </c>
      <c r="F4428" s="1323">
        <f t="shared" si="445"/>
        <v>4.1986869104713245</v>
      </c>
      <c r="G4428" s="1323">
        <f t="shared" si="441"/>
        <v>1996</v>
      </c>
      <c r="H4428" s="1323">
        <f t="shared" si="442"/>
        <v>12</v>
      </c>
      <c r="I4428" s="1323">
        <f t="shared" si="443"/>
        <v>23</v>
      </c>
      <c r="J4428" s="1323"/>
      <c r="K4428" s="1323"/>
      <c r="L4428" s="1323"/>
      <c r="M4428" s="1323"/>
      <c r="N4428" s="1323"/>
      <c r="O4428" s="1323"/>
      <c r="P4428" s="1323"/>
      <c r="Q4428" s="1323"/>
      <c r="R4428" s="1304"/>
      <c r="S4428" s="1304"/>
      <c r="T4428" s="1304"/>
    </row>
    <row r="4429" spans="1:20">
      <c r="A4429" s="1303"/>
      <c r="B4429" s="1322" t="s">
        <v>10672</v>
      </c>
      <c r="C4429" s="1323" t="s">
        <v>10673</v>
      </c>
      <c r="D4429" s="1324">
        <f t="shared" si="444"/>
        <v>35419</v>
      </c>
      <c r="E4429" s="1323">
        <f t="shared" si="440"/>
        <v>4.6795</v>
      </c>
      <c r="F4429" s="1323">
        <f t="shared" si="445"/>
        <v>4.1978818372422646</v>
      </c>
      <c r="G4429" s="1323">
        <f t="shared" si="441"/>
        <v>1996</v>
      </c>
      <c r="H4429" s="1323">
        <f t="shared" si="442"/>
        <v>12</v>
      </c>
      <c r="I4429" s="1323">
        <f t="shared" si="443"/>
        <v>20</v>
      </c>
      <c r="J4429" s="1323"/>
      <c r="K4429" s="1323"/>
      <c r="L4429" s="1323"/>
      <c r="M4429" s="1323"/>
      <c r="N4429" s="1323"/>
      <c r="O4429" s="1323"/>
      <c r="P4429" s="1323"/>
      <c r="Q4429" s="1323"/>
      <c r="R4429" s="1304"/>
      <c r="S4429" s="1304"/>
      <c r="T4429" s="1304"/>
    </row>
    <row r="4430" spans="1:20">
      <c r="A4430" s="1303"/>
      <c r="B4430" s="1322" t="s">
        <v>10674</v>
      </c>
      <c r="C4430" s="1323" t="s">
        <v>10389</v>
      </c>
      <c r="D4430" s="1324">
        <f t="shared" si="444"/>
        <v>35418</v>
      </c>
      <c r="E4430" s="1323">
        <f t="shared" si="440"/>
        <v>4.6904000000000003</v>
      </c>
      <c r="F4430" s="1323">
        <f t="shared" si="445"/>
        <v>4.1970769183812049</v>
      </c>
      <c r="G4430" s="1323">
        <f t="shared" si="441"/>
        <v>1996</v>
      </c>
      <c r="H4430" s="1323">
        <f t="shared" si="442"/>
        <v>12</v>
      </c>
      <c r="I4430" s="1323">
        <f t="shared" si="443"/>
        <v>19</v>
      </c>
      <c r="J4430" s="1323"/>
      <c r="K4430" s="1323"/>
      <c r="L4430" s="1323"/>
      <c r="M4430" s="1323"/>
      <c r="N4430" s="1323"/>
      <c r="O4430" s="1323"/>
      <c r="P4430" s="1323"/>
      <c r="Q4430" s="1323"/>
      <c r="R4430" s="1304"/>
      <c r="S4430" s="1304"/>
      <c r="T4430" s="1304"/>
    </row>
    <row r="4431" spans="1:20">
      <c r="A4431" s="1303"/>
      <c r="B4431" s="1322" t="s">
        <v>10675</v>
      </c>
      <c r="C4431" s="1323" t="s">
        <v>10383</v>
      </c>
      <c r="D4431" s="1324">
        <f t="shared" si="444"/>
        <v>35417</v>
      </c>
      <c r="E4431" s="1323">
        <f t="shared" si="440"/>
        <v>4.7259000000000002</v>
      </c>
      <c r="F4431" s="1323">
        <f t="shared" si="445"/>
        <v>4.1962721538585468</v>
      </c>
      <c r="G4431" s="1323">
        <f t="shared" si="441"/>
        <v>1996</v>
      </c>
      <c r="H4431" s="1323">
        <f t="shared" si="442"/>
        <v>12</v>
      </c>
      <c r="I4431" s="1323">
        <f t="shared" si="443"/>
        <v>18</v>
      </c>
      <c r="J4431" s="1323"/>
      <c r="K4431" s="1323"/>
      <c r="L4431" s="1323"/>
      <c r="M4431" s="1323"/>
      <c r="N4431" s="1323"/>
      <c r="O4431" s="1323"/>
      <c r="P4431" s="1323"/>
      <c r="Q4431" s="1323"/>
      <c r="R4431" s="1304"/>
      <c r="S4431" s="1304"/>
      <c r="T4431" s="1304"/>
    </row>
    <row r="4432" spans="1:20">
      <c r="A4432" s="1303"/>
      <c r="B4432" s="1322" t="s">
        <v>10676</v>
      </c>
      <c r="C4432" s="1323" t="s">
        <v>10677</v>
      </c>
      <c r="D4432" s="1324">
        <f t="shared" si="444"/>
        <v>35416</v>
      </c>
      <c r="E4432" s="1323">
        <f t="shared" si="440"/>
        <v>4.7259000000000002</v>
      </c>
      <c r="F4432" s="1323">
        <f t="shared" si="445"/>
        <v>4.1954675436446971</v>
      </c>
      <c r="G4432" s="1323">
        <f t="shared" si="441"/>
        <v>1996</v>
      </c>
      <c r="H4432" s="1323">
        <f t="shared" si="442"/>
        <v>12</v>
      </c>
      <c r="I4432" s="1323">
        <f t="shared" si="443"/>
        <v>17</v>
      </c>
      <c r="J4432" s="1323"/>
      <c r="K4432" s="1323"/>
      <c r="L4432" s="1323"/>
      <c r="M4432" s="1323"/>
      <c r="N4432" s="1323"/>
      <c r="O4432" s="1323"/>
      <c r="P4432" s="1323"/>
      <c r="Q4432" s="1323"/>
      <c r="R4432" s="1304"/>
      <c r="S4432" s="1304"/>
      <c r="T4432" s="1304"/>
    </row>
    <row r="4433" spans="1:20">
      <c r="A4433" s="1303"/>
      <c r="B4433" s="1322" t="s">
        <v>10678</v>
      </c>
      <c r="C4433" s="1323" t="s">
        <v>10677</v>
      </c>
      <c r="D4433" s="1324">
        <f t="shared" si="444"/>
        <v>35412</v>
      </c>
      <c r="E4433" s="1323">
        <f t="shared" si="440"/>
        <v>4.7370999999999999</v>
      </c>
      <c r="F4433" s="1323">
        <f t="shared" si="445"/>
        <v>4.1946630877100679</v>
      </c>
      <c r="G4433" s="1323">
        <f t="shared" si="441"/>
        <v>1996</v>
      </c>
      <c r="H4433" s="1323">
        <f t="shared" si="442"/>
        <v>12</v>
      </c>
      <c r="I4433" s="1323">
        <f t="shared" si="443"/>
        <v>13</v>
      </c>
      <c r="J4433" s="1323"/>
      <c r="K4433" s="1323"/>
      <c r="L4433" s="1323"/>
      <c r="M4433" s="1323"/>
      <c r="N4433" s="1323"/>
      <c r="O4433" s="1323"/>
      <c r="P4433" s="1323"/>
      <c r="Q4433" s="1323"/>
      <c r="R4433" s="1304"/>
      <c r="S4433" s="1304"/>
      <c r="T4433" s="1304"/>
    </row>
    <row r="4434" spans="1:20">
      <c r="A4434" s="1303"/>
      <c r="B4434" s="1322" t="s">
        <v>10679</v>
      </c>
      <c r="C4434" s="1323" t="s">
        <v>10680</v>
      </c>
      <c r="D4434" s="1324">
        <f t="shared" si="444"/>
        <v>35411</v>
      </c>
      <c r="E4434" s="1323">
        <f t="shared" si="440"/>
        <v>4.6859999999999999</v>
      </c>
      <c r="F4434" s="1323">
        <f t="shared" si="445"/>
        <v>4.1938587860250767</v>
      </c>
      <c r="G4434" s="1323">
        <f t="shared" si="441"/>
        <v>1996</v>
      </c>
      <c r="H4434" s="1323">
        <f t="shared" si="442"/>
        <v>12</v>
      </c>
      <c r="I4434" s="1323">
        <f t="shared" si="443"/>
        <v>12</v>
      </c>
      <c r="J4434" s="1323"/>
      <c r="K4434" s="1323"/>
      <c r="L4434" s="1323"/>
      <c r="M4434" s="1323"/>
      <c r="N4434" s="1323"/>
      <c r="O4434" s="1323"/>
      <c r="P4434" s="1323"/>
      <c r="Q4434" s="1323"/>
      <c r="R4434" s="1304"/>
      <c r="S4434" s="1304"/>
      <c r="T4434" s="1304"/>
    </row>
    <row r="4435" spans="1:20">
      <c r="A4435" s="1303"/>
      <c r="B4435" s="1322" t="s">
        <v>10681</v>
      </c>
      <c r="C4435" s="1323" t="s">
        <v>10673</v>
      </c>
      <c r="D4435" s="1324">
        <f t="shared" si="444"/>
        <v>35410</v>
      </c>
      <c r="E4435" s="1323">
        <f t="shared" si="440"/>
        <v>4.6772999999999998</v>
      </c>
      <c r="F4435" s="1323">
        <f t="shared" si="445"/>
        <v>4.193054638560147</v>
      </c>
      <c r="G4435" s="1323">
        <f t="shared" si="441"/>
        <v>1996</v>
      </c>
      <c r="H4435" s="1323">
        <f t="shared" si="442"/>
        <v>12</v>
      </c>
      <c r="I4435" s="1323">
        <f t="shared" si="443"/>
        <v>11</v>
      </c>
      <c r="J4435" s="1323"/>
      <c r="K4435" s="1323"/>
      <c r="L4435" s="1323"/>
      <c r="M4435" s="1323"/>
      <c r="N4435" s="1323"/>
      <c r="O4435" s="1323"/>
      <c r="P4435" s="1323"/>
      <c r="Q4435" s="1323"/>
      <c r="R4435" s="1304"/>
      <c r="S4435" s="1304"/>
      <c r="T4435" s="1304"/>
    </row>
    <row r="4436" spans="1:20">
      <c r="A4436" s="1303"/>
      <c r="B4436" s="1322" t="s">
        <v>10682</v>
      </c>
      <c r="C4436" s="1323" t="s">
        <v>10376</v>
      </c>
      <c r="D4436" s="1324">
        <f t="shared" si="444"/>
        <v>35409</v>
      </c>
      <c r="E4436" s="1323">
        <f t="shared" si="440"/>
        <v>4.6893000000000002</v>
      </c>
      <c r="F4436" s="1323">
        <f t="shared" si="445"/>
        <v>4.1922506452857089</v>
      </c>
      <c r="G4436" s="1323">
        <f t="shared" si="441"/>
        <v>1996</v>
      </c>
      <c r="H4436" s="1323">
        <f t="shared" si="442"/>
        <v>12</v>
      </c>
      <c r="I4436" s="1323">
        <f t="shared" si="443"/>
        <v>10</v>
      </c>
      <c r="J4436" s="1323"/>
      <c r="K4436" s="1323"/>
      <c r="L4436" s="1323"/>
      <c r="M4436" s="1323"/>
      <c r="N4436" s="1323"/>
      <c r="O4436" s="1323"/>
      <c r="P4436" s="1323"/>
      <c r="Q4436" s="1323"/>
      <c r="R4436" s="1304"/>
      <c r="S4436" s="1304"/>
      <c r="T4436" s="1304"/>
    </row>
    <row r="4437" spans="1:20">
      <c r="A4437" s="1303"/>
      <c r="B4437" s="1322" t="s">
        <v>10683</v>
      </c>
      <c r="C4437" s="1323" t="s">
        <v>10370</v>
      </c>
      <c r="D4437" s="1324">
        <f t="shared" si="444"/>
        <v>35408</v>
      </c>
      <c r="E4437" s="1323">
        <f t="shared" si="440"/>
        <v>4.6740000000000004</v>
      </c>
      <c r="F4437" s="1323">
        <f t="shared" si="445"/>
        <v>4.1914468061721966</v>
      </c>
      <c r="G4437" s="1323">
        <f t="shared" si="441"/>
        <v>1996</v>
      </c>
      <c r="H4437" s="1323">
        <f t="shared" si="442"/>
        <v>12</v>
      </c>
      <c r="I4437" s="1323">
        <f t="shared" si="443"/>
        <v>9</v>
      </c>
      <c r="J4437" s="1323"/>
      <c r="K4437" s="1323"/>
      <c r="L4437" s="1323"/>
      <c r="M4437" s="1323"/>
      <c r="N4437" s="1323"/>
      <c r="O4437" s="1323"/>
      <c r="P4437" s="1323"/>
      <c r="Q4437" s="1323"/>
      <c r="R4437" s="1304"/>
      <c r="S4437" s="1304"/>
      <c r="T4437" s="1304"/>
    </row>
    <row r="4438" spans="1:20">
      <c r="A4438" s="1303"/>
      <c r="B4438" s="1322" t="s">
        <v>10684</v>
      </c>
      <c r="C4438" s="1323" t="s">
        <v>10368</v>
      </c>
      <c r="D4438" s="1324">
        <f t="shared" si="444"/>
        <v>35405</v>
      </c>
      <c r="E4438" s="1323">
        <f t="shared" ref="E4438:E4501" si="446">VALUE(C4439)</f>
        <v>4.6673999999999998</v>
      </c>
      <c r="F4438" s="1323">
        <f t="shared" si="445"/>
        <v>4.1906431211900506</v>
      </c>
      <c r="G4438" s="1323">
        <f t="shared" ref="G4438:G4501" si="447">YEAR(B4439)</f>
        <v>1996</v>
      </c>
      <c r="H4438" s="1323">
        <f t="shared" ref="H4438:H4501" si="448">MONTH(B4439)</f>
        <v>12</v>
      </c>
      <c r="I4438" s="1323">
        <f t="shared" ref="I4438:I4501" si="449">DAY(B4439)</f>
        <v>6</v>
      </c>
      <c r="J4438" s="1323"/>
      <c r="K4438" s="1323"/>
      <c r="L4438" s="1323"/>
      <c r="M4438" s="1323"/>
      <c r="N4438" s="1323"/>
      <c r="O4438" s="1323"/>
      <c r="P4438" s="1323"/>
      <c r="Q4438" s="1323"/>
      <c r="R4438" s="1304"/>
      <c r="S4438" s="1304"/>
      <c r="T4438" s="1304"/>
    </row>
    <row r="4439" spans="1:20">
      <c r="A4439" s="1303"/>
      <c r="B4439" s="1322" t="s">
        <v>10685</v>
      </c>
      <c r="C4439" s="1323" t="s">
        <v>10351</v>
      </c>
      <c r="D4439" s="1324">
        <f t="shared" si="444"/>
        <v>35404</v>
      </c>
      <c r="E4439" s="1323">
        <f t="shared" si="446"/>
        <v>4.6684999999999999</v>
      </c>
      <c r="F4439" s="1323">
        <f t="shared" si="445"/>
        <v>4.1898395903097168</v>
      </c>
      <c r="G4439" s="1323">
        <f t="shared" si="447"/>
        <v>1996</v>
      </c>
      <c r="H4439" s="1323">
        <f t="shared" si="448"/>
        <v>12</v>
      </c>
      <c r="I4439" s="1323">
        <f t="shared" si="449"/>
        <v>5</v>
      </c>
      <c r="J4439" s="1323"/>
      <c r="K4439" s="1323"/>
      <c r="L4439" s="1323"/>
      <c r="M4439" s="1323"/>
      <c r="N4439" s="1323"/>
      <c r="O4439" s="1323"/>
      <c r="P4439" s="1323"/>
      <c r="Q4439" s="1323"/>
      <c r="R4439" s="1304"/>
      <c r="S4439" s="1304"/>
      <c r="T4439" s="1304"/>
    </row>
    <row r="4440" spans="1:20">
      <c r="A4440" s="1303"/>
      <c r="B4440" s="1322" t="s">
        <v>10686</v>
      </c>
      <c r="C4440" s="1323" t="s">
        <v>10651</v>
      </c>
      <c r="D4440" s="1324">
        <f t="shared" si="444"/>
        <v>35403</v>
      </c>
      <c r="E4440" s="1323">
        <f t="shared" si="446"/>
        <v>4.6512000000000002</v>
      </c>
      <c r="F4440" s="1323">
        <f t="shared" si="445"/>
        <v>4.1890362135016481</v>
      </c>
      <c r="G4440" s="1323">
        <f t="shared" si="447"/>
        <v>1996</v>
      </c>
      <c r="H4440" s="1323">
        <f t="shared" si="448"/>
        <v>12</v>
      </c>
      <c r="I4440" s="1323">
        <f t="shared" si="449"/>
        <v>4</v>
      </c>
      <c r="J4440" s="1323"/>
      <c r="K4440" s="1323"/>
      <c r="L4440" s="1323"/>
      <c r="M4440" s="1323"/>
      <c r="N4440" s="1323"/>
      <c r="O4440" s="1323"/>
      <c r="P4440" s="1323"/>
      <c r="Q4440" s="1323"/>
      <c r="R4440" s="1304"/>
      <c r="S4440" s="1304"/>
      <c r="T4440" s="1304"/>
    </row>
    <row r="4441" spans="1:20">
      <c r="A4441" s="1303"/>
      <c r="B4441" s="1322" t="s">
        <v>10687</v>
      </c>
      <c r="C4441" s="1323" t="s">
        <v>10649</v>
      </c>
      <c r="D4441" s="1324">
        <f t="shared" si="444"/>
        <v>35402</v>
      </c>
      <c r="E4441" s="1323">
        <f t="shared" si="446"/>
        <v>4.6425000000000001</v>
      </c>
      <c r="F4441" s="1323">
        <f t="shared" si="445"/>
        <v>4.1882329907363012</v>
      </c>
      <c r="G4441" s="1323">
        <f t="shared" si="447"/>
        <v>1996</v>
      </c>
      <c r="H4441" s="1323">
        <f t="shared" si="448"/>
        <v>12</v>
      </c>
      <c r="I4441" s="1323">
        <f t="shared" si="449"/>
        <v>3</v>
      </c>
      <c r="J4441" s="1323"/>
      <c r="K4441" s="1323"/>
      <c r="L4441" s="1323"/>
      <c r="M4441" s="1323"/>
      <c r="N4441" s="1323"/>
      <c r="O4441" s="1323"/>
      <c r="P4441" s="1323"/>
      <c r="Q4441" s="1323"/>
      <c r="R4441" s="1304"/>
      <c r="S4441" s="1304"/>
      <c r="T4441" s="1304"/>
    </row>
    <row r="4442" spans="1:20">
      <c r="A4442" s="1303"/>
      <c r="B4442" s="1322" t="s">
        <v>10688</v>
      </c>
      <c r="C4442" s="1323" t="s">
        <v>10689</v>
      </c>
      <c r="D4442" s="1324">
        <f t="shared" si="444"/>
        <v>35401</v>
      </c>
      <c r="E4442" s="1323">
        <f t="shared" si="446"/>
        <v>4.6189</v>
      </c>
      <c r="F4442" s="1323">
        <f t="shared" si="445"/>
        <v>4.1874299219841395</v>
      </c>
      <c r="G4442" s="1323">
        <f t="shared" si="447"/>
        <v>1996</v>
      </c>
      <c r="H4442" s="1323">
        <f t="shared" si="448"/>
        <v>12</v>
      </c>
      <c r="I4442" s="1323">
        <f t="shared" si="449"/>
        <v>2</v>
      </c>
      <c r="J4442" s="1323"/>
      <c r="K4442" s="1323"/>
      <c r="L4442" s="1323"/>
      <c r="M4442" s="1323"/>
      <c r="N4442" s="1323"/>
      <c r="O4442" s="1323"/>
      <c r="P4442" s="1323"/>
      <c r="Q4442" s="1323"/>
      <c r="R4442" s="1304"/>
      <c r="S4442" s="1304"/>
      <c r="T4442" s="1304"/>
    </row>
    <row r="4443" spans="1:20">
      <c r="A4443" s="1303"/>
      <c r="B4443" s="1322" t="s">
        <v>10690</v>
      </c>
      <c r="C4443" s="1323" t="s">
        <v>10691</v>
      </c>
      <c r="D4443" s="1324">
        <f t="shared" si="444"/>
        <v>35398</v>
      </c>
      <c r="E4443" s="1323">
        <f t="shared" si="446"/>
        <v>4.5934999999999997</v>
      </c>
      <c r="F4443" s="1323">
        <f t="shared" si="445"/>
        <v>4.1866270072156322</v>
      </c>
      <c r="G4443" s="1323">
        <f t="shared" si="447"/>
        <v>1996</v>
      </c>
      <c r="H4443" s="1323">
        <f t="shared" si="448"/>
        <v>11</v>
      </c>
      <c r="I4443" s="1323">
        <f t="shared" si="449"/>
        <v>29</v>
      </c>
      <c r="J4443" s="1323"/>
      <c r="K4443" s="1323"/>
      <c r="L4443" s="1323"/>
      <c r="M4443" s="1323"/>
      <c r="N4443" s="1323"/>
      <c r="O4443" s="1323"/>
      <c r="P4443" s="1323"/>
      <c r="Q4443" s="1323"/>
      <c r="R4443" s="1304"/>
      <c r="S4443" s="1304"/>
      <c r="T4443" s="1304"/>
    </row>
    <row r="4444" spans="1:20">
      <c r="A4444" s="1303"/>
      <c r="B4444" s="1322" t="s">
        <v>10692</v>
      </c>
      <c r="C4444" s="1323" t="s">
        <v>10693</v>
      </c>
      <c r="D4444" s="1324">
        <f t="shared" si="444"/>
        <v>35397</v>
      </c>
      <c r="E4444" s="1323">
        <f t="shared" si="446"/>
        <v>4.5631000000000004</v>
      </c>
      <c r="F4444" s="1323">
        <f t="shared" si="445"/>
        <v>4.1858242464012534</v>
      </c>
      <c r="G4444" s="1323">
        <f t="shared" si="447"/>
        <v>1996</v>
      </c>
      <c r="H4444" s="1323">
        <f t="shared" si="448"/>
        <v>11</v>
      </c>
      <c r="I4444" s="1323">
        <f t="shared" si="449"/>
        <v>28</v>
      </c>
      <c r="J4444" s="1323"/>
      <c r="K4444" s="1323"/>
      <c r="L4444" s="1323"/>
      <c r="M4444" s="1323"/>
      <c r="N4444" s="1323"/>
      <c r="O4444" s="1323"/>
      <c r="P4444" s="1323"/>
      <c r="Q4444" s="1323"/>
      <c r="R4444" s="1304"/>
      <c r="S4444" s="1304"/>
      <c r="T4444" s="1304"/>
    </row>
    <row r="4445" spans="1:20">
      <c r="A4445" s="1303"/>
      <c r="B4445" s="1322" t="s">
        <v>10694</v>
      </c>
      <c r="C4445" s="1323" t="s">
        <v>10633</v>
      </c>
      <c r="D4445" s="1324">
        <f t="shared" si="444"/>
        <v>35396</v>
      </c>
      <c r="E4445" s="1323">
        <f t="shared" si="446"/>
        <v>4.5682999999999998</v>
      </c>
      <c r="F4445" s="1323">
        <f t="shared" si="445"/>
        <v>4.1850216395114836</v>
      </c>
      <c r="G4445" s="1323">
        <f t="shared" si="447"/>
        <v>1996</v>
      </c>
      <c r="H4445" s="1323">
        <f t="shared" si="448"/>
        <v>11</v>
      </c>
      <c r="I4445" s="1323">
        <f t="shared" si="449"/>
        <v>27</v>
      </c>
      <c r="J4445" s="1323"/>
      <c r="K4445" s="1323"/>
      <c r="L4445" s="1323"/>
      <c r="M4445" s="1323"/>
      <c r="N4445" s="1323"/>
      <c r="O4445" s="1323"/>
      <c r="P4445" s="1323"/>
      <c r="Q4445" s="1323"/>
      <c r="R4445" s="1304"/>
      <c r="S4445" s="1304"/>
      <c r="T4445" s="1304"/>
    </row>
    <row r="4446" spans="1:20">
      <c r="A4446" s="1303"/>
      <c r="B4446" s="1322" t="s">
        <v>10695</v>
      </c>
      <c r="C4446" s="1323" t="s">
        <v>10696</v>
      </c>
      <c r="D4446" s="1324">
        <f t="shared" si="444"/>
        <v>35395</v>
      </c>
      <c r="E4446" s="1323">
        <f t="shared" si="446"/>
        <v>4.5976999999999997</v>
      </c>
      <c r="F4446" s="1323">
        <f t="shared" si="445"/>
        <v>4.1842191865168088</v>
      </c>
      <c r="G4446" s="1323">
        <f t="shared" si="447"/>
        <v>1996</v>
      </c>
      <c r="H4446" s="1323">
        <f t="shared" si="448"/>
        <v>11</v>
      </c>
      <c r="I4446" s="1323">
        <f t="shared" si="449"/>
        <v>26</v>
      </c>
      <c r="J4446" s="1323"/>
      <c r="K4446" s="1323"/>
      <c r="L4446" s="1323"/>
      <c r="M4446" s="1323"/>
      <c r="N4446" s="1323"/>
      <c r="O4446" s="1323"/>
      <c r="P4446" s="1323"/>
      <c r="Q4446" s="1323"/>
      <c r="R4446" s="1304"/>
      <c r="S4446" s="1304"/>
      <c r="T4446" s="1304"/>
    </row>
    <row r="4447" spans="1:20">
      <c r="A4447" s="1303"/>
      <c r="B4447" s="1322" t="s">
        <v>10697</v>
      </c>
      <c r="C4447" s="1323" t="s">
        <v>10698</v>
      </c>
      <c r="D4447" s="1324">
        <f t="shared" si="444"/>
        <v>35394</v>
      </c>
      <c r="E4447" s="1323">
        <f t="shared" si="446"/>
        <v>4.6104000000000003</v>
      </c>
      <c r="F4447" s="1323">
        <f t="shared" si="445"/>
        <v>4.1834168873877209</v>
      </c>
      <c r="G4447" s="1323">
        <f t="shared" si="447"/>
        <v>1996</v>
      </c>
      <c r="H4447" s="1323">
        <f t="shared" si="448"/>
        <v>11</v>
      </c>
      <c r="I4447" s="1323">
        <f t="shared" si="449"/>
        <v>25</v>
      </c>
      <c r="J4447" s="1323"/>
      <c r="K4447" s="1323"/>
      <c r="L4447" s="1323"/>
      <c r="M4447" s="1323"/>
      <c r="N4447" s="1323"/>
      <c r="O4447" s="1323"/>
      <c r="P4447" s="1323"/>
      <c r="Q4447" s="1323"/>
      <c r="R4447" s="1304"/>
      <c r="S4447" s="1304"/>
      <c r="T4447" s="1304"/>
    </row>
    <row r="4448" spans="1:20">
      <c r="A4448" s="1303"/>
      <c r="B4448" s="1322" t="s">
        <v>10699</v>
      </c>
      <c r="C4448" s="1323" t="s">
        <v>10700</v>
      </c>
      <c r="D4448" s="1324">
        <f t="shared" si="444"/>
        <v>35391</v>
      </c>
      <c r="E4448" s="1323">
        <f t="shared" si="446"/>
        <v>4.6135999999999999</v>
      </c>
      <c r="F4448" s="1323">
        <f t="shared" si="445"/>
        <v>4.1826147420947164</v>
      </c>
      <c r="G4448" s="1323">
        <f t="shared" si="447"/>
        <v>1996</v>
      </c>
      <c r="H4448" s="1323">
        <f t="shared" si="448"/>
        <v>11</v>
      </c>
      <c r="I4448" s="1323">
        <f t="shared" si="449"/>
        <v>22</v>
      </c>
      <c r="J4448" s="1323"/>
      <c r="K4448" s="1323"/>
      <c r="L4448" s="1323"/>
      <c r="M4448" s="1323"/>
      <c r="N4448" s="1323"/>
      <c r="O4448" s="1323"/>
      <c r="P4448" s="1323"/>
      <c r="Q4448" s="1323"/>
      <c r="R4448" s="1304"/>
      <c r="S4448" s="1304"/>
      <c r="T4448" s="1304"/>
    </row>
    <row r="4449" spans="1:20">
      <c r="A4449" s="1303"/>
      <c r="B4449" s="1322" t="s">
        <v>10701</v>
      </c>
      <c r="C4449" s="1323" t="s">
        <v>10432</v>
      </c>
      <c r="D4449" s="1324">
        <f t="shared" si="444"/>
        <v>35390</v>
      </c>
      <c r="E4449" s="1323">
        <f t="shared" si="446"/>
        <v>4.6425000000000001</v>
      </c>
      <c r="F4449" s="1323">
        <f t="shared" si="445"/>
        <v>4.181812750608298</v>
      </c>
      <c r="G4449" s="1323">
        <f t="shared" si="447"/>
        <v>1996</v>
      </c>
      <c r="H4449" s="1323">
        <f t="shared" si="448"/>
        <v>11</v>
      </c>
      <c r="I4449" s="1323">
        <f t="shared" si="449"/>
        <v>21</v>
      </c>
      <c r="J4449" s="1323"/>
      <c r="K4449" s="1323"/>
      <c r="L4449" s="1323"/>
      <c r="M4449" s="1323"/>
      <c r="N4449" s="1323"/>
      <c r="O4449" s="1323"/>
      <c r="P4449" s="1323"/>
      <c r="Q4449" s="1323"/>
      <c r="R4449" s="1304"/>
      <c r="S4449" s="1304"/>
      <c r="T4449" s="1304"/>
    </row>
    <row r="4450" spans="1:20">
      <c r="A4450" s="1303"/>
      <c r="B4450" s="1322" t="s">
        <v>10702</v>
      </c>
      <c r="C4450" s="1323" t="s">
        <v>10689</v>
      </c>
      <c r="D4450" s="1324">
        <f t="shared" si="444"/>
        <v>35389</v>
      </c>
      <c r="E4450" s="1323">
        <f t="shared" si="446"/>
        <v>4.6566000000000001</v>
      </c>
      <c r="F4450" s="1323">
        <f t="shared" si="445"/>
        <v>4.1810109128989748</v>
      </c>
      <c r="G4450" s="1323">
        <f t="shared" si="447"/>
        <v>1996</v>
      </c>
      <c r="H4450" s="1323">
        <f t="shared" si="448"/>
        <v>11</v>
      </c>
      <c r="I4450" s="1323">
        <f t="shared" si="449"/>
        <v>20</v>
      </c>
      <c r="J4450" s="1323"/>
      <c r="K4450" s="1323"/>
      <c r="L4450" s="1323"/>
      <c r="M4450" s="1323"/>
      <c r="N4450" s="1323"/>
      <c r="O4450" s="1323"/>
      <c r="P4450" s="1323"/>
      <c r="Q4450" s="1323"/>
      <c r="R4450" s="1304"/>
      <c r="S4450" s="1304"/>
      <c r="T4450" s="1304"/>
    </row>
    <row r="4451" spans="1:20">
      <c r="A4451" s="1303"/>
      <c r="B4451" s="1322" t="s">
        <v>10703</v>
      </c>
      <c r="C4451" s="1323" t="s">
        <v>10704</v>
      </c>
      <c r="D4451" s="1324">
        <f t="shared" si="444"/>
        <v>35388</v>
      </c>
      <c r="E4451" s="1323">
        <f t="shared" si="446"/>
        <v>4.6467999999999998</v>
      </c>
      <c r="F4451" s="1323">
        <f t="shared" si="445"/>
        <v>4.1802092289372608</v>
      </c>
      <c r="G4451" s="1323">
        <f t="shared" si="447"/>
        <v>1996</v>
      </c>
      <c r="H4451" s="1323">
        <f t="shared" si="448"/>
        <v>11</v>
      </c>
      <c r="I4451" s="1323">
        <f t="shared" si="449"/>
        <v>19</v>
      </c>
      <c r="J4451" s="1323"/>
      <c r="K4451" s="1323"/>
      <c r="L4451" s="1323"/>
      <c r="M4451" s="1323"/>
      <c r="N4451" s="1323"/>
      <c r="O4451" s="1323"/>
      <c r="P4451" s="1323"/>
      <c r="Q4451" s="1323"/>
      <c r="R4451" s="1304"/>
      <c r="S4451" s="1304"/>
      <c r="T4451" s="1304"/>
    </row>
    <row r="4452" spans="1:20">
      <c r="A4452" s="1303"/>
      <c r="B4452" s="1322" t="s">
        <v>10705</v>
      </c>
      <c r="C4452" s="1323" t="s">
        <v>10706</v>
      </c>
      <c r="D4452" s="1324">
        <f t="shared" si="444"/>
        <v>35387</v>
      </c>
      <c r="E4452" s="1323">
        <f t="shared" si="446"/>
        <v>4.6707000000000001</v>
      </c>
      <c r="F4452" s="1323">
        <f t="shared" si="445"/>
        <v>4.1794076986936757</v>
      </c>
      <c r="G4452" s="1323">
        <f t="shared" si="447"/>
        <v>1996</v>
      </c>
      <c r="H4452" s="1323">
        <f t="shared" si="448"/>
        <v>11</v>
      </c>
      <c r="I4452" s="1323">
        <f t="shared" si="449"/>
        <v>18</v>
      </c>
      <c r="J4452" s="1323"/>
      <c r="K4452" s="1323"/>
      <c r="L4452" s="1323"/>
      <c r="M4452" s="1323"/>
      <c r="N4452" s="1323"/>
      <c r="O4452" s="1323"/>
      <c r="P4452" s="1323"/>
      <c r="Q4452" s="1323"/>
      <c r="R4452" s="1304"/>
      <c r="S4452" s="1304"/>
      <c r="T4452" s="1304"/>
    </row>
    <row r="4453" spans="1:20">
      <c r="A4453" s="1303"/>
      <c r="B4453" s="1322" t="s">
        <v>10707</v>
      </c>
      <c r="C4453" s="1323" t="s">
        <v>10349</v>
      </c>
      <c r="D4453" s="1324">
        <f t="shared" si="444"/>
        <v>35384</v>
      </c>
      <c r="E4453" s="1323">
        <f t="shared" si="446"/>
        <v>4.6750999999999996</v>
      </c>
      <c r="F4453" s="1323">
        <f t="shared" si="445"/>
        <v>4.1786063221387444</v>
      </c>
      <c r="G4453" s="1323">
        <f t="shared" si="447"/>
        <v>1996</v>
      </c>
      <c r="H4453" s="1323">
        <f t="shared" si="448"/>
        <v>11</v>
      </c>
      <c r="I4453" s="1323">
        <f t="shared" si="449"/>
        <v>15</v>
      </c>
      <c r="J4453" s="1323"/>
      <c r="K4453" s="1323"/>
      <c r="L4453" s="1323"/>
      <c r="M4453" s="1323"/>
      <c r="N4453" s="1323"/>
      <c r="O4453" s="1323"/>
      <c r="P4453" s="1323"/>
      <c r="Q4453" s="1323"/>
      <c r="R4453" s="1304"/>
      <c r="S4453" s="1304"/>
      <c r="T4453" s="1304"/>
    </row>
    <row r="4454" spans="1:20">
      <c r="A4454" s="1303"/>
      <c r="B4454" s="1322" t="s">
        <v>10708</v>
      </c>
      <c r="C4454" s="1323" t="s">
        <v>10656</v>
      </c>
      <c r="D4454" s="1324">
        <f t="shared" si="444"/>
        <v>35383</v>
      </c>
      <c r="E4454" s="1323">
        <f t="shared" si="446"/>
        <v>4.6859999999999999</v>
      </c>
      <c r="F4454" s="1323">
        <f t="shared" si="445"/>
        <v>4.1778050992429989</v>
      </c>
      <c r="G4454" s="1323">
        <f t="shared" si="447"/>
        <v>1996</v>
      </c>
      <c r="H4454" s="1323">
        <f t="shared" si="448"/>
        <v>11</v>
      </c>
      <c r="I4454" s="1323">
        <f t="shared" si="449"/>
        <v>14</v>
      </c>
      <c r="J4454" s="1323"/>
      <c r="K4454" s="1323"/>
      <c r="L4454" s="1323"/>
      <c r="M4454" s="1323"/>
      <c r="N4454" s="1323"/>
      <c r="O4454" s="1323"/>
      <c r="P4454" s="1323"/>
      <c r="Q4454" s="1323"/>
      <c r="R4454" s="1304"/>
      <c r="S4454" s="1304"/>
      <c r="T4454" s="1304"/>
    </row>
    <row r="4455" spans="1:20">
      <c r="A4455" s="1303"/>
      <c r="B4455" s="1322" t="s">
        <v>10709</v>
      </c>
      <c r="C4455" s="1323" t="s">
        <v>10673</v>
      </c>
      <c r="D4455" s="1324">
        <f t="shared" si="444"/>
        <v>35382</v>
      </c>
      <c r="E4455" s="1323">
        <f t="shared" si="446"/>
        <v>4.6555</v>
      </c>
      <c r="F4455" s="1323">
        <f t="shared" si="445"/>
        <v>4.1770040299769757</v>
      </c>
      <c r="G4455" s="1323">
        <f t="shared" si="447"/>
        <v>1996</v>
      </c>
      <c r="H4455" s="1323">
        <f t="shared" si="448"/>
        <v>11</v>
      </c>
      <c r="I4455" s="1323">
        <f t="shared" si="449"/>
        <v>13</v>
      </c>
      <c r="J4455" s="1323"/>
      <c r="K4455" s="1323"/>
      <c r="L4455" s="1323"/>
      <c r="M4455" s="1323"/>
      <c r="N4455" s="1323"/>
      <c r="O4455" s="1323"/>
      <c r="P4455" s="1323"/>
      <c r="Q4455" s="1323"/>
      <c r="R4455" s="1304"/>
      <c r="S4455" s="1304"/>
      <c r="T4455" s="1304"/>
    </row>
    <row r="4456" spans="1:20">
      <c r="A4456" s="1303"/>
      <c r="B4456" s="1322" t="s">
        <v>10710</v>
      </c>
      <c r="C4456" s="1323" t="s">
        <v>10653</v>
      </c>
      <c r="D4456" s="1324">
        <f t="shared" si="444"/>
        <v>35381</v>
      </c>
      <c r="E4456" s="1323">
        <f t="shared" si="446"/>
        <v>4.7015000000000002</v>
      </c>
      <c r="F4456" s="1323">
        <f t="shared" si="445"/>
        <v>4.1762031143112175</v>
      </c>
      <c r="G4456" s="1323">
        <f t="shared" si="447"/>
        <v>1996</v>
      </c>
      <c r="H4456" s="1323">
        <f t="shared" si="448"/>
        <v>11</v>
      </c>
      <c r="I4456" s="1323">
        <f t="shared" si="449"/>
        <v>12</v>
      </c>
      <c r="J4456" s="1323"/>
      <c r="K4456" s="1323"/>
      <c r="L4456" s="1323"/>
      <c r="M4456" s="1323"/>
      <c r="N4456" s="1323"/>
      <c r="O4456" s="1323"/>
      <c r="P4456" s="1323"/>
      <c r="Q4456" s="1323"/>
      <c r="R4456" s="1304"/>
      <c r="S4456" s="1304"/>
      <c r="T4456" s="1304"/>
    </row>
    <row r="4457" spans="1:20">
      <c r="A4457" s="1303"/>
      <c r="B4457" s="1322" t="s">
        <v>10711</v>
      </c>
      <c r="C4457" s="1323" t="s">
        <v>10387</v>
      </c>
      <c r="D4457" s="1324">
        <f t="shared" si="444"/>
        <v>35380</v>
      </c>
      <c r="E4457" s="1323">
        <f t="shared" si="446"/>
        <v>4.7148000000000003</v>
      </c>
      <c r="F4457" s="1323">
        <f t="shared" si="445"/>
        <v>4.1754023522162722</v>
      </c>
      <c r="G4457" s="1323">
        <f t="shared" si="447"/>
        <v>1996</v>
      </c>
      <c r="H4457" s="1323">
        <f t="shared" si="448"/>
        <v>11</v>
      </c>
      <c r="I4457" s="1323">
        <f t="shared" si="449"/>
        <v>11</v>
      </c>
      <c r="J4457" s="1323"/>
      <c r="K4457" s="1323"/>
      <c r="L4457" s="1323"/>
      <c r="M4457" s="1323"/>
      <c r="N4457" s="1323"/>
      <c r="O4457" s="1323"/>
      <c r="P4457" s="1323"/>
      <c r="Q4457" s="1323"/>
      <c r="R4457" s="1304"/>
      <c r="S4457" s="1304"/>
      <c r="T4457" s="1304"/>
    </row>
    <row r="4458" spans="1:20">
      <c r="A4458" s="1303"/>
      <c r="B4458" s="1322" t="s">
        <v>10712</v>
      </c>
      <c r="C4458" s="1323" t="s">
        <v>10713</v>
      </c>
      <c r="D4458" s="1324">
        <f t="shared" si="444"/>
        <v>35377</v>
      </c>
      <c r="E4458" s="1323">
        <f t="shared" si="446"/>
        <v>4.6904000000000003</v>
      </c>
      <c r="F4458" s="1323">
        <f t="shared" si="445"/>
        <v>4.1746017436626932</v>
      </c>
      <c r="G4458" s="1323">
        <f t="shared" si="447"/>
        <v>1996</v>
      </c>
      <c r="H4458" s="1323">
        <f t="shared" si="448"/>
        <v>11</v>
      </c>
      <c r="I4458" s="1323">
        <f t="shared" si="449"/>
        <v>8</v>
      </c>
      <c r="J4458" s="1323"/>
      <c r="K4458" s="1323"/>
      <c r="L4458" s="1323"/>
      <c r="M4458" s="1323"/>
      <c r="N4458" s="1323"/>
      <c r="O4458" s="1323"/>
      <c r="P4458" s="1323"/>
      <c r="Q4458" s="1323"/>
      <c r="R4458" s="1304"/>
      <c r="S4458" s="1304"/>
      <c r="T4458" s="1304"/>
    </row>
    <row r="4459" spans="1:20">
      <c r="A4459" s="1303"/>
      <c r="B4459" s="1322" t="s">
        <v>10714</v>
      </c>
      <c r="C4459" s="1323" t="s">
        <v>10383</v>
      </c>
      <c r="D4459" s="1324">
        <f t="shared" si="444"/>
        <v>35376</v>
      </c>
      <c r="E4459" s="1323">
        <f t="shared" si="446"/>
        <v>4.7058999999999997</v>
      </c>
      <c r="F4459" s="1323">
        <f t="shared" si="445"/>
        <v>4.1738012886210401</v>
      </c>
      <c r="G4459" s="1323">
        <f t="shared" si="447"/>
        <v>1996</v>
      </c>
      <c r="H4459" s="1323">
        <f t="shared" si="448"/>
        <v>11</v>
      </c>
      <c r="I4459" s="1323">
        <f t="shared" si="449"/>
        <v>7</v>
      </c>
      <c r="J4459" s="1323"/>
      <c r="K4459" s="1323"/>
      <c r="L4459" s="1323"/>
      <c r="M4459" s="1323"/>
      <c r="N4459" s="1323"/>
      <c r="O4459" s="1323"/>
      <c r="P4459" s="1323"/>
      <c r="Q4459" s="1323"/>
      <c r="R4459" s="1304"/>
      <c r="S4459" s="1304"/>
      <c r="T4459" s="1304"/>
    </row>
    <row r="4460" spans="1:20">
      <c r="A4460" s="1303"/>
      <c r="B4460" s="1322" t="s">
        <v>10715</v>
      </c>
      <c r="C4460" s="1323" t="s">
        <v>10374</v>
      </c>
      <c r="D4460" s="1324">
        <f t="shared" si="444"/>
        <v>35375</v>
      </c>
      <c r="E4460" s="1323">
        <f t="shared" si="446"/>
        <v>4.7047999999999996</v>
      </c>
      <c r="F4460" s="1323">
        <f t="shared" si="445"/>
        <v>4.1730009870618776</v>
      </c>
      <c r="G4460" s="1323">
        <f t="shared" si="447"/>
        <v>1996</v>
      </c>
      <c r="H4460" s="1323">
        <f t="shared" si="448"/>
        <v>11</v>
      </c>
      <c r="I4460" s="1323">
        <f t="shared" si="449"/>
        <v>6</v>
      </c>
      <c r="J4460" s="1323"/>
      <c r="K4460" s="1323"/>
      <c r="L4460" s="1323"/>
      <c r="M4460" s="1323"/>
      <c r="N4460" s="1323"/>
      <c r="O4460" s="1323"/>
      <c r="P4460" s="1323"/>
      <c r="Q4460" s="1323"/>
      <c r="R4460" s="1304"/>
      <c r="S4460" s="1304"/>
      <c r="T4460" s="1304"/>
    </row>
    <row r="4461" spans="1:20">
      <c r="A4461" s="1303"/>
      <c r="B4461" s="1322" t="s">
        <v>10716</v>
      </c>
      <c r="C4461" s="1323" t="s">
        <v>10343</v>
      </c>
      <c r="D4461" s="1324">
        <f t="shared" si="444"/>
        <v>35374</v>
      </c>
      <c r="E4461" s="1323">
        <f t="shared" si="446"/>
        <v>4.7047999999999996</v>
      </c>
      <c r="F4461" s="1323">
        <f t="shared" si="445"/>
        <v>4.1722008389557761</v>
      </c>
      <c r="G4461" s="1323">
        <f t="shared" si="447"/>
        <v>1996</v>
      </c>
      <c r="H4461" s="1323">
        <f t="shared" si="448"/>
        <v>11</v>
      </c>
      <c r="I4461" s="1323">
        <f t="shared" si="449"/>
        <v>5</v>
      </c>
      <c r="J4461" s="1323"/>
      <c r="K4461" s="1323"/>
      <c r="L4461" s="1323"/>
      <c r="M4461" s="1323"/>
      <c r="N4461" s="1323"/>
      <c r="O4461" s="1323"/>
      <c r="P4461" s="1323"/>
      <c r="Q4461" s="1323"/>
      <c r="R4461" s="1304"/>
      <c r="S4461" s="1304"/>
      <c r="T4461" s="1304"/>
    </row>
    <row r="4462" spans="1:20">
      <c r="A4462" s="1303"/>
      <c r="B4462" s="1322" t="s">
        <v>10717</v>
      </c>
      <c r="C4462" s="1323" t="s">
        <v>10343</v>
      </c>
      <c r="D4462" s="1324">
        <f t="shared" si="444"/>
        <v>35373</v>
      </c>
      <c r="E4462" s="1323">
        <f t="shared" si="446"/>
        <v>4.6970000000000001</v>
      </c>
      <c r="F4462" s="1323">
        <f t="shared" si="445"/>
        <v>4.1714008442733128</v>
      </c>
      <c r="G4462" s="1323">
        <f t="shared" si="447"/>
        <v>1996</v>
      </c>
      <c r="H4462" s="1323">
        <f t="shared" si="448"/>
        <v>11</v>
      </c>
      <c r="I4462" s="1323">
        <f t="shared" si="449"/>
        <v>4</v>
      </c>
      <c r="J4462" s="1323"/>
      <c r="K4462" s="1323"/>
      <c r="L4462" s="1323"/>
      <c r="M4462" s="1323"/>
      <c r="N4462" s="1323"/>
      <c r="O4462" s="1323"/>
      <c r="P4462" s="1323"/>
      <c r="Q4462" s="1323"/>
      <c r="R4462" s="1304"/>
      <c r="S4462" s="1304"/>
      <c r="T4462" s="1304"/>
    </row>
    <row r="4463" spans="1:20">
      <c r="A4463" s="1303"/>
      <c r="B4463" s="1322" t="s">
        <v>10718</v>
      </c>
      <c r="C4463" s="1323" t="s">
        <v>10719</v>
      </c>
      <c r="D4463" s="1324">
        <f t="shared" si="444"/>
        <v>35370</v>
      </c>
      <c r="E4463" s="1323">
        <f t="shared" si="446"/>
        <v>4.6795</v>
      </c>
      <c r="F4463" s="1323">
        <f t="shared" si="445"/>
        <v>4.1706010029850686</v>
      </c>
      <c r="G4463" s="1323">
        <f t="shared" si="447"/>
        <v>1996</v>
      </c>
      <c r="H4463" s="1323">
        <f t="shared" si="448"/>
        <v>11</v>
      </c>
      <c r="I4463" s="1323">
        <f t="shared" si="449"/>
        <v>1</v>
      </c>
      <c r="J4463" s="1323"/>
      <c r="K4463" s="1323"/>
      <c r="L4463" s="1323"/>
      <c r="M4463" s="1323"/>
      <c r="N4463" s="1323"/>
      <c r="O4463" s="1323"/>
      <c r="P4463" s="1323"/>
      <c r="Q4463" s="1323"/>
      <c r="R4463" s="1304"/>
      <c r="S4463" s="1304"/>
      <c r="T4463" s="1304"/>
    </row>
    <row r="4464" spans="1:20">
      <c r="A4464" s="1303"/>
      <c r="B4464" s="1322" t="s">
        <v>10720</v>
      </c>
      <c r="C4464" s="1323" t="s">
        <v>10389</v>
      </c>
      <c r="D4464" s="1324">
        <f t="shared" si="444"/>
        <v>35369</v>
      </c>
      <c r="E4464" s="1323">
        <f t="shared" si="446"/>
        <v>4.7393000000000001</v>
      </c>
      <c r="F4464" s="1323">
        <f t="shared" si="445"/>
        <v>4.1698013150616324</v>
      </c>
      <c r="G4464" s="1323">
        <f t="shared" si="447"/>
        <v>1996</v>
      </c>
      <c r="H4464" s="1323">
        <f t="shared" si="448"/>
        <v>10</v>
      </c>
      <c r="I4464" s="1323">
        <f t="shared" si="449"/>
        <v>31</v>
      </c>
      <c r="J4464" s="1323"/>
      <c r="K4464" s="1323"/>
      <c r="L4464" s="1323"/>
      <c r="M4464" s="1323"/>
      <c r="N4464" s="1323"/>
      <c r="O4464" s="1323"/>
      <c r="P4464" s="1323"/>
      <c r="Q4464" s="1323"/>
      <c r="R4464" s="1304"/>
      <c r="S4464" s="1304"/>
      <c r="T4464" s="1304"/>
    </row>
    <row r="4465" spans="1:20">
      <c r="A4465" s="1303"/>
      <c r="B4465" s="1322" t="s">
        <v>10721</v>
      </c>
      <c r="C4465" s="1323" t="s">
        <v>10722</v>
      </c>
      <c r="D4465" s="1324">
        <f t="shared" si="444"/>
        <v>35368</v>
      </c>
      <c r="E4465" s="1323">
        <f t="shared" si="446"/>
        <v>4.7058999999999997</v>
      </c>
      <c r="F4465" s="1323">
        <f t="shared" si="445"/>
        <v>4.1690017804735966</v>
      </c>
      <c r="G4465" s="1323">
        <f t="shared" si="447"/>
        <v>1996</v>
      </c>
      <c r="H4465" s="1323">
        <f t="shared" si="448"/>
        <v>10</v>
      </c>
      <c r="I4465" s="1323">
        <f t="shared" si="449"/>
        <v>30</v>
      </c>
      <c r="J4465" s="1323"/>
      <c r="K4465" s="1323"/>
      <c r="L4465" s="1323"/>
      <c r="M4465" s="1323"/>
      <c r="N4465" s="1323"/>
      <c r="O4465" s="1323"/>
      <c r="P4465" s="1323"/>
      <c r="Q4465" s="1323"/>
      <c r="R4465" s="1304"/>
      <c r="S4465" s="1304"/>
      <c r="T4465" s="1304"/>
    </row>
    <row r="4466" spans="1:20">
      <c r="A4466" s="1303"/>
      <c r="B4466" s="1322" t="s">
        <v>10723</v>
      </c>
      <c r="C4466" s="1323" t="s">
        <v>10374</v>
      </c>
      <c r="D4466" s="1324">
        <f t="shared" si="444"/>
        <v>35367</v>
      </c>
      <c r="E4466" s="1323">
        <f t="shared" si="446"/>
        <v>4.6882000000000001</v>
      </c>
      <c r="F4466" s="1323">
        <f t="shared" si="445"/>
        <v>4.1682023991915598</v>
      </c>
      <c r="G4466" s="1323">
        <f t="shared" si="447"/>
        <v>1996</v>
      </c>
      <c r="H4466" s="1323">
        <f t="shared" si="448"/>
        <v>10</v>
      </c>
      <c r="I4466" s="1323">
        <f t="shared" si="449"/>
        <v>29</v>
      </c>
      <c r="J4466" s="1323"/>
      <c r="K4466" s="1323"/>
      <c r="L4466" s="1323"/>
      <c r="M4466" s="1323"/>
      <c r="N4466" s="1323"/>
      <c r="O4466" s="1323"/>
      <c r="P4466" s="1323"/>
      <c r="Q4466" s="1323"/>
      <c r="R4466" s="1304"/>
      <c r="S4466" s="1304"/>
      <c r="T4466" s="1304"/>
    </row>
    <row r="4467" spans="1:20">
      <c r="A4467" s="1303"/>
      <c r="B4467" s="1322" t="s">
        <v>10724</v>
      </c>
      <c r="C4467" s="1323" t="s">
        <v>10666</v>
      </c>
      <c r="D4467" s="1324">
        <f t="shared" si="444"/>
        <v>35366</v>
      </c>
      <c r="E4467" s="1323">
        <f t="shared" si="446"/>
        <v>4.6403999999999996</v>
      </c>
      <c r="F4467" s="1323">
        <f t="shared" si="445"/>
        <v>4.1674031711861268</v>
      </c>
      <c r="G4467" s="1323">
        <f t="shared" si="447"/>
        <v>1996</v>
      </c>
      <c r="H4467" s="1323">
        <f t="shared" si="448"/>
        <v>10</v>
      </c>
      <c r="I4467" s="1323">
        <f t="shared" si="449"/>
        <v>28</v>
      </c>
      <c r="J4467" s="1323"/>
      <c r="K4467" s="1323"/>
      <c r="L4467" s="1323"/>
      <c r="M4467" s="1323"/>
      <c r="N4467" s="1323"/>
      <c r="O4467" s="1323"/>
      <c r="P4467" s="1323"/>
      <c r="Q4467" s="1323"/>
      <c r="R4467" s="1304"/>
      <c r="S4467" s="1304"/>
      <c r="T4467" s="1304"/>
    </row>
    <row r="4468" spans="1:20">
      <c r="A4468" s="1303"/>
      <c r="B4468" s="1322" t="s">
        <v>10725</v>
      </c>
      <c r="C4468" s="1323" t="s">
        <v>10726</v>
      </c>
      <c r="D4468" s="1324">
        <f t="shared" si="444"/>
        <v>35363</v>
      </c>
      <c r="E4468" s="1323">
        <f t="shared" si="446"/>
        <v>4.5839999999999996</v>
      </c>
      <c r="F4468" s="1323">
        <f t="shared" si="445"/>
        <v>4.1666040964279079</v>
      </c>
      <c r="G4468" s="1323">
        <f t="shared" si="447"/>
        <v>1996</v>
      </c>
      <c r="H4468" s="1323">
        <f t="shared" si="448"/>
        <v>10</v>
      </c>
      <c r="I4468" s="1323">
        <f t="shared" si="449"/>
        <v>25</v>
      </c>
      <c r="J4468" s="1323"/>
      <c r="K4468" s="1323"/>
      <c r="L4468" s="1323"/>
      <c r="M4468" s="1323"/>
      <c r="N4468" s="1323"/>
      <c r="O4468" s="1323"/>
      <c r="P4468" s="1323"/>
      <c r="Q4468" s="1323"/>
      <c r="R4468" s="1304"/>
      <c r="S4468" s="1304"/>
      <c r="T4468" s="1304"/>
    </row>
    <row r="4469" spans="1:20">
      <c r="A4469" s="1303"/>
      <c r="B4469" s="1322" t="s">
        <v>10727</v>
      </c>
      <c r="C4469" s="1323" t="s">
        <v>10728</v>
      </c>
      <c r="D4469" s="1324">
        <f t="shared" si="444"/>
        <v>35362</v>
      </c>
      <c r="E4469" s="1323">
        <f t="shared" si="446"/>
        <v>4.5830000000000002</v>
      </c>
      <c r="F4469" s="1323">
        <f t="shared" si="445"/>
        <v>4.1658051748875184</v>
      </c>
      <c r="G4469" s="1323">
        <f t="shared" si="447"/>
        <v>1996</v>
      </c>
      <c r="H4469" s="1323">
        <f t="shared" si="448"/>
        <v>10</v>
      </c>
      <c r="I4469" s="1323">
        <f t="shared" si="449"/>
        <v>24</v>
      </c>
      <c r="J4469" s="1323"/>
      <c r="K4469" s="1323"/>
      <c r="L4469" s="1323"/>
      <c r="M4469" s="1323"/>
      <c r="N4469" s="1323"/>
      <c r="O4469" s="1323"/>
      <c r="P4469" s="1323"/>
      <c r="Q4469" s="1323"/>
      <c r="R4469" s="1304"/>
      <c r="S4469" s="1304"/>
      <c r="T4469" s="1304"/>
    </row>
    <row r="4470" spans="1:20">
      <c r="A4470" s="1303"/>
      <c r="B4470" s="1322" t="s">
        <v>10729</v>
      </c>
      <c r="C4470" s="1323" t="s">
        <v>10730</v>
      </c>
      <c r="D4470" s="1324">
        <f t="shared" si="444"/>
        <v>35361</v>
      </c>
      <c r="E4470" s="1323">
        <f t="shared" si="446"/>
        <v>4.5704000000000002</v>
      </c>
      <c r="F4470" s="1323">
        <f t="shared" si="445"/>
        <v>4.1650064065355803</v>
      </c>
      <c r="G4470" s="1323">
        <f t="shared" si="447"/>
        <v>1996</v>
      </c>
      <c r="H4470" s="1323">
        <f t="shared" si="448"/>
        <v>10</v>
      </c>
      <c r="I4470" s="1323">
        <f t="shared" si="449"/>
        <v>23</v>
      </c>
      <c r="J4470" s="1323"/>
      <c r="K4470" s="1323"/>
      <c r="L4470" s="1323"/>
      <c r="M4470" s="1323"/>
      <c r="N4470" s="1323"/>
      <c r="O4470" s="1323"/>
      <c r="P4470" s="1323"/>
      <c r="Q4470" s="1323"/>
      <c r="R4470" s="1304"/>
      <c r="S4470" s="1304"/>
      <c r="T4470" s="1304"/>
    </row>
    <row r="4471" spans="1:20">
      <c r="A4471" s="1303"/>
      <c r="B4471" s="1322" t="s">
        <v>10731</v>
      </c>
      <c r="C4471" s="1323" t="s">
        <v>10438</v>
      </c>
      <c r="D4471" s="1324">
        <f t="shared" si="444"/>
        <v>35360</v>
      </c>
      <c r="E4471" s="1323">
        <f t="shared" si="446"/>
        <v>4.5766999999999998</v>
      </c>
      <c r="F4471" s="1323">
        <f t="shared" si="445"/>
        <v>4.1642077913427196</v>
      </c>
      <c r="G4471" s="1323">
        <f t="shared" si="447"/>
        <v>1996</v>
      </c>
      <c r="H4471" s="1323">
        <f t="shared" si="448"/>
        <v>10</v>
      </c>
      <c r="I4471" s="1323">
        <f t="shared" si="449"/>
        <v>22</v>
      </c>
      <c r="J4471" s="1323"/>
      <c r="K4471" s="1323"/>
      <c r="L4471" s="1323"/>
      <c r="M4471" s="1323"/>
      <c r="N4471" s="1323"/>
      <c r="O4471" s="1323"/>
      <c r="P4471" s="1323"/>
      <c r="Q4471" s="1323"/>
      <c r="R4471" s="1304"/>
      <c r="S4471" s="1304"/>
      <c r="T4471" s="1304"/>
    </row>
    <row r="4472" spans="1:20">
      <c r="A4472" s="1303"/>
      <c r="B4472" s="1322" t="s">
        <v>10732</v>
      </c>
      <c r="C4472" s="1323" t="s">
        <v>10733</v>
      </c>
      <c r="D4472" s="1324">
        <f t="shared" si="444"/>
        <v>35359</v>
      </c>
      <c r="E4472" s="1323">
        <f t="shared" si="446"/>
        <v>4.5620000000000003</v>
      </c>
      <c r="F4472" s="1323">
        <f t="shared" si="445"/>
        <v>4.1634093292795695</v>
      </c>
      <c r="G4472" s="1323">
        <f t="shared" si="447"/>
        <v>1996</v>
      </c>
      <c r="H4472" s="1323">
        <f t="shared" si="448"/>
        <v>10</v>
      </c>
      <c r="I4472" s="1323">
        <f t="shared" si="449"/>
        <v>21</v>
      </c>
      <c r="J4472" s="1323"/>
      <c r="K4472" s="1323"/>
      <c r="L4472" s="1323"/>
      <c r="M4472" s="1323"/>
      <c r="N4472" s="1323"/>
      <c r="O4472" s="1323"/>
      <c r="P4472" s="1323"/>
      <c r="Q4472" s="1323"/>
      <c r="R4472" s="1304"/>
      <c r="S4472" s="1304"/>
      <c r="T4472" s="1304"/>
    </row>
    <row r="4473" spans="1:20">
      <c r="A4473" s="1303"/>
      <c r="B4473" s="1322" t="s">
        <v>10734</v>
      </c>
      <c r="C4473" s="1323" t="s">
        <v>10635</v>
      </c>
      <c r="D4473" s="1324">
        <f t="shared" si="444"/>
        <v>35356</v>
      </c>
      <c r="E4473" s="1323">
        <f t="shared" si="446"/>
        <v>4.5506000000000002</v>
      </c>
      <c r="F4473" s="1323">
        <f t="shared" si="445"/>
        <v>4.1626110203167688</v>
      </c>
      <c r="G4473" s="1323">
        <f t="shared" si="447"/>
        <v>1996</v>
      </c>
      <c r="H4473" s="1323">
        <f t="shared" si="448"/>
        <v>10</v>
      </c>
      <c r="I4473" s="1323">
        <f t="shared" si="449"/>
        <v>18</v>
      </c>
      <c r="J4473" s="1323"/>
      <c r="K4473" s="1323"/>
      <c r="L4473" s="1323"/>
      <c r="M4473" s="1323"/>
      <c r="N4473" s="1323"/>
      <c r="O4473" s="1323"/>
      <c r="P4473" s="1323"/>
      <c r="Q4473" s="1323"/>
      <c r="R4473" s="1304"/>
      <c r="S4473" s="1304"/>
      <c r="T4473" s="1304"/>
    </row>
    <row r="4474" spans="1:20">
      <c r="A4474" s="1303"/>
      <c r="B4474" s="1322" t="s">
        <v>10735</v>
      </c>
      <c r="C4474" s="1323" t="s">
        <v>10736</v>
      </c>
      <c r="D4474" s="1324">
        <f t="shared" si="444"/>
        <v>35355</v>
      </c>
      <c r="E4474" s="1323">
        <f t="shared" si="446"/>
        <v>4.5631000000000004</v>
      </c>
      <c r="F4474" s="1323">
        <f t="shared" si="445"/>
        <v>4.1618128644249612</v>
      </c>
      <c r="G4474" s="1323">
        <f t="shared" si="447"/>
        <v>1996</v>
      </c>
      <c r="H4474" s="1323">
        <f t="shared" si="448"/>
        <v>10</v>
      </c>
      <c r="I4474" s="1323">
        <f t="shared" si="449"/>
        <v>17</v>
      </c>
      <c r="J4474" s="1323"/>
      <c r="K4474" s="1323"/>
      <c r="L4474" s="1323"/>
      <c r="M4474" s="1323"/>
      <c r="N4474" s="1323"/>
      <c r="O4474" s="1323"/>
      <c r="P4474" s="1323"/>
      <c r="Q4474" s="1323"/>
      <c r="R4474" s="1304"/>
      <c r="S4474" s="1304"/>
      <c r="T4474" s="1304"/>
    </row>
    <row r="4475" spans="1:20">
      <c r="A4475" s="1303"/>
      <c r="B4475" s="1322" t="s">
        <v>10737</v>
      </c>
      <c r="C4475" s="1323" t="s">
        <v>10633</v>
      </c>
      <c r="D4475" s="1324">
        <f t="shared" si="444"/>
        <v>35354</v>
      </c>
      <c r="E4475" s="1323">
        <f t="shared" si="446"/>
        <v>4.5495999999999999</v>
      </c>
      <c r="F4475" s="1323">
        <f t="shared" si="445"/>
        <v>4.1610148615747962</v>
      </c>
      <c r="G4475" s="1323">
        <f t="shared" si="447"/>
        <v>1996</v>
      </c>
      <c r="H4475" s="1323">
        <f t="shared" si="448"/>
        <v>10</v>
      </c>
      <c r="I4475" s="1323">
        <f t="shared" si="449"/>
        <v>16</v>
      </c>
      <c r="J4475" s="1323"/>
      <c r="K4475" s="1323"/>
      <c r="L4475" s="1323"/>
      <c r="M4475" s="1323"/>
      <c r="N4475" s="1323"/>
      <c r="O4475" s="1323"/>
      <c r="P4475" s="1323"/>
      <c r="Q4475" s="1323"/>
      <c r="R4475" s="1304"/>
      <c r="S4475" s="1304"/>
      <c r="T4475" s="1304"/>
    </row>
    <row r="4476" spans="1:20">
      <c r="A4476" s="1303"/>
      <c r="B4476" s="1322" t="s">
        <v>10738</v>
      </c>
      <c r="C4476" s="1323" t="s">
        <v>10739</v>
      </c>
      <c r="D4476" s="1324">
        <f t="shared" si="444"/>
        <v>35353</v>
      </c>
      <c r="E4476" s="1323">
        <f t="shared" si="446"/>
        <v>4.5362</v>
      </c>
      <c r="F4476" s="1323">
        <f t="shared" si="445"/>
        <v>4.160217011736929</v>
      </c>
      <c r="G4476" s="1323">
        <f t="shared" si="447"/>
        <v>1996</v>
      </c>
      <c r="H4476" s="1323">
        <f t="shared" si="448"/>
        <v>10</v>
      </c>
      <c r="I4476" s="1323">
        <f t="shared" si="449"/>
        <v>15</v>
      </c>
      <c r="J4476" s="1323"/>
      <c r="K4476" s="1323"/>
      <c r="L4476" s="1323"/>
      <c r="M4476" s="1323"/>
      <c r="N4476" s="1323"/>
      <c r="O4476" s="1323"/>
      <c r="P4476" s="1323"/>
      <c r="Q4476" s="1323"/>
      <c r="R4476" s="1304"/>
      <c r="S4476" s="1304"/>
      <c r="T4476" s="1304"/>
    </row>
    <row r="4477" spans="1:20">
      <c r="A4477" s="1303"/>
      <c r="B4477" s="1322" t="s">
        <v>10740</v>
      </c>
      <c r="C4477" s="1323" t="s">
        <v>10470</v>
      </c>
      <c r="D4477" s="1324">
        <f t="shared" si="444"/>
        <v>35352</v>
      </c>
      <c r="E4477" s="1323">
        <f t="shared" si="446"/>
        <v>4.5412999999999997</v>
      </c>
      <c r="F4477" s="1323">
        <f t="shared" si="445"/>
        <v>4.1594193148820198</v>
      </c>
      <c r="G4477" s="1323">
        <f t="shared" si="447"/>
        <v>1996</v>
      </c>
      <c r="H4477" s="1323">
        <f t="shared" si="448"/>
        <v>10</v>
      </c>
      <c r="I4477" s="1323">
        <f t="shared" si="449"/>
        <v>14</v>
      </c>
      <c r="J4477" s="1323"/>
      <c r="K4477" s="1323"/>
      <c r="L4477" s="1323"/>
      <c r="M4477" s="1323"/>
      <c r="N4477" s="1323"/>
      <c r="O4477" s="1323"/>
      <c r="P4477" s="1323"/>
      <c r="Q4477" s="1323"/>
      <c r="R4477" s="1304"/>
      <c r="S4477" s="1304"/>
      <c r="T4477" s="1304"/>
    </row>
    <row r="4478" spans="1:20">
      <c r="A4478" s="1303"/>
      <c r="B4478" s="1322" t="s">
        <v>10741</v>
      </c>
      <c r="C4478" s="1323" t="s">
        <v>10742</v>
      </c>
      <c r="D4478" s="1324">
        <f t="shared" si="444"/>
        <v>35349</v>
      </c>
      <c r="E4478" s="1323">
        <f t="shared" si="446"/>
        <v>4.5506000000000002</v>
      </c>
      <c r="F4478" s="1323">
        <f t="shared" si="445"/>
        <v>4.1586217709807354</v>
      </c>
      <c r="G4478" s="1323">
        <f t="shared" si="447"/>
        <v>1996</v>
      </c>
      <c r="H4478" s="1323">
        <f t="shared" si="448"/>
        <v>10</v>
      </c>
      <c r="I4478" s="1323">
        <f t="shared" si="449"/>
        <v>11</v>
      </c>
      <c r="J4478" s="1323"/>
      <c r="K4478" s="1323"/>
      <c r="L4478" s="1323"/>
      <c r="M4478" s="1323"/>
      <c r="N4478" s="1323"/>
      <c r="O4478" s="1323"/>
      <c r="P4478" s="1323"/>
      <c r="Q4478" s="1323"/>
      <c r="R4478" s="1304"/>
      <c r="S4478" s="1304"/>
      <c r="T4478" s="1304"/>
    </row>
    <row r="4479" spans="1:20">
      <c r="A4479" s="1303"/>
      <c r="B4479" s="1322" t="s">
        <v>10743</v>
      </c>
      <c r="C4479" s="1323" t="s">
        <v>10736</v>
      </c>
      <c r="D4479" s="1324">
        <f t="shared" si="444"/>
        <v>35348</v>
      </c>
      <c r="E4479" s="1323">
        <f t="shared" si="446"/>
        <v>4.5589000000000004</v>
      </c>
      <c r="F4479" s="1323">
        <f t="shared" si="445"/>
        <v>4.1578243800037482</v>
      </c>
      <c r="G4479" s="1323">
        <f t="shared" si="447"/>
        <v>1996</v>
      </c>
      <c r="H4479" s="1323">
        <f t="shared" si="448"/>
        <v>10</v>
      </c>
      <c r="I4479" s="1323">
        <f t="shared" si="449"/>
        <v>10</v>
      </c>
      <c r="J4479" s="1323"/>
      <c r="K4479" s="1323"/>
      <c r="L4479" s="1323"/>
      <c r="M4479" s="1323"/>
      <c r="N4479" s="1323"/>
      <c r="O4479" s="1323"/>
      <c r="P4479" s="1323"/>
      <c r="Q4479" s="1323"/>
      <c r="R4479" s="1304"/>
      <c r="S4479" s="1304"/>
      <c r="T4479" s="1304"/>
    </row>
    <row r="4480" spans="1:20">
      <c r="A4480" s="1303"/>
      <c r="B4480" s="1322" t="s">
        <v>10744</v>
      </c>
      <c r="C4480" s="1323" t="s">
        <v>10745</v>
      </c>
      <c r="D4480" s="1324">
        <f t="shared" si="444"/>
        <v>35347</v>
      </c>
      <c r="E4480" s="1323">
        <f t="shared" si="446"/>
        <v>4.5372000000000003</v>
      </c>
      <c r="F4480" s="1323">
        <f t="shared" si="445"/>
        <v>4.1570271419217359</v>
      </c>
      <c r="G4480" s="1323">
        <f t="shared" si="447"/>
        <v>1996</v>
      </c>
      <c r="H4480" s="1323">
        <f t="shared" si="448"/>
        <v>10</v>
      </c>
      <c r="I4480" s="1323">
        <f t="shared" si="449"/>
        <v>9</v>
      </c>
      <c r="J4480" s="1323"/>
      <c r="K4480" s="1323"/>
      <c r="L4480" s="1323"/>
      <c r="M4480" s="1323"/>
      <c r="N4480" s="1323"/>
      <c r="O4480" s="1323"/>
      <c r="P4480" s="1323"/>
      <c r="Q4480" s="1323"/>
      <c r="R4480" s="1304"/>
      <c r="S4480" s="1304"/>
      <c r="T4480" s="1304"/>
    </row>
    <row r="4481" spans="1:20">
      <c r="A4481" s="1303"/>
      <c r="B4481" s="1322" t="s">
        <v>10746</v>
      </c>
      <c r="C4481" s="1323" t="s">
        <v>10463</v>
      </c>
      <c r="D4481" s="1324">
        <f t="shared" si="444"/>
        <v>35346</v>
      </c>
      <c r="E4481" s="1323">
        <f t="shared" si="446"/>
        <v>4.5331000000000001</v>
      </c>
      <c r="F4481" s="1323">
        <f t="shared" si="445"/>
        <v>4.1562300567053816</v>
      </c>
      <c r="G4481" s="1323">
        <f t="shared" si="447"/>
        <v>1996</v>
      </c>
      <c r="H4481" s="1323">
        <f t="shared" si="448"/>
        <v>10</v>
      </c>
      <c r="I4481" s="1323">
        <f t="shared" si="449"/>
        <v>8</v>
      </c>
      <c r="J4481" s="1323"/>
      <c r="K4481" s="1323"/>
      <c r="L4481" s="1323"/>
      <c r="M4481" s="1323"/>
      <c r="N4481" s="1323"/>
      <c r="O4481" s="1323"/>
      <c r="P4481" s="1323"/>
      <c r="Q4481" s="1323"/>
      <c r="R4481" s="1304"/>
      <c r="S4481" s="1304"/>
      <c r="T4481" s="1304"/>
    </row>
    <row r="4482" spans="1:20">
      <c r="A4482" s="1303"/>
      <c r="B4482" s="1322" t="s">
        <v>10747</v>
      </c>
      <c r="C4482" s="1323" t="s">
        <v>10748</v>
      </c>
      <c r="D4482" s="1324">
        <f t="shared" si="444"/>
        <v>35345</v>
      </c>
      <c r="E4482" s="1323">
        <f t="shared" si="446"/>
        <v>4.5331000000000001</v>
      </c>
      <c r="F4482" s="1323">
        <f t="shared" si="445"/>
        <v>4.1554331243253735</v>
      </c>
      <c r="G4482" s="1323">
        <f t="shared" si="447"/>
        <v>1996</v>
      </c>
      <c r="H4482" s="1323">
        <f t="shared" si="448"/>
        <v>10</v>
      </c>
      <c r="I4482" s="1323">
        <f t="shared" si="449"/>
        <v>7</v>
      </c>
      <c r="J4482" s="1323"/>
      <c r="K4482" s="1323"/>
      <c r="L4482" s="1323"/>
      <c r="M4482" s="1323"/>
      <c r="N4482" s="1323"/>
      <c r="O4482" s="1323"/>
      <c r="P4482" s="1323"/>
      <c r="Q4482" s="1323"/>
      <c r="R4482" s="1304"/>
      <c r="S4482" s="1304"/>
      <c r="T4482" s="1304"/>
    </row>
    <row r="4483" spans="1:20">
      <c r="A4483" s="1303"/>
      <c r="B4483" s="1322" t="s">
        <v>10749</v>
      </c>
      <c r="C4483" s="1323" t="s">
        <v>10748</v>
      </c>
      <c r="D4483" s="1324">
        <f t="shared" si="444"/>
        <v>35342</v>
      </c>
      <c r="E4483" s="1323">
        <f t="shared" si="446"/>
        <v>4.5217999999999998</v>
      </c>
      <c r="F4483" s="1323">
        <f t="shared" si="445"/>
        <v>4.1546363447524071</v>
      </c>
      <c r="G4483" s="1323">
        <f t="shared" si="447"/>
        <v>1996</v>
      </c>
      <c r="H4483" s="1323">
        <f t="shared" si="448"/>
        <v>10</v>
      </c>
      <c r="I4483" s="1323">
        <f t="shared" si="449"/>
        <v>4</v>
      </c>
      <c r="J4483" s="1323"/>
      <c r="K4483" s="1323"/>
      <c r="L4483" s="1323"/>
      <c r="M4483" s="1323"/>
      <c r="N4483" s="1323"/>
      <c r="O4483" s="1323"/>
      <c r="P4483" s="1323"/>
      <c r="Q4483" s="1323"/>
      <c r="R4483" s="1304"/>
      <c r="S4483" s="1304"/>
      <c r="T4483" s="1304"/>
    </row>
    <row r="4484" spans="1:20">
      <c r="A4484" s="1303"/>
      <c r="B4484" s="1322" t="s">
        <v>10750</v>
      </c>
      <c r="C4484" s="1323" t="s">
        <v>10751</v>
      </c>
      <c r="D4484" s="1324">
        <f t="shared" si="444"/>
        <v>35341</v>
      </c>
      <c r="E4484" s="1323">
        <f t="shared" si="446"/>
        <v>4.5086000000000004</v>
      </c>
      <c r="F4484" s="1323">
        <f t="shared" si="445"/>
        <v>4.1538397179571822</v>
      </c>
      <c r="G4484" s="1323">
        <f t="shared" si="447"/>
        <v>1996</v>
      </c>
      <c r="H4484" s="1323">
        <f t="shared" si="448"/>
        <v>10</v>
      </c>
      <c r="I4484" s="1323">
        <f t="shared" si="449"/>
        <v>3</v>
      </c>
      <c r="J4484" s="1323"/>
      <c r="K4484" s="1323"/>
      <c r="L4484" s="1323"/>
      <c r="M4484" s="1323"/>
      <c r="N4484" s="1323"/>
      <c r="O4484" s="1323"/>
      <c r="P4484" s="1323"/>
      <c r="Q4484" s="1323"/>
      <c r="R4484" s="1304"/>
      <c r="S4484" s="1304"/>
      <c r="T4484" s="1304"/>
    </row>
    <row r="4485" spans="1:20">
      <c r="A4485" s="1303"/>
      <c r="B4485" s="1322" t="s">
        <v>10752</v>
      </c>
      <c r="C4485" s="1323" t="s">
        <v>10484</v>
      </c>
      <c r="D4485" s="1324">
        <f t="shared" si="444"/>
        <v>35340</v>
      </c>
      <c r="E4485" s="1323">
        <f t="shared" si="446"/>
        <v>4.5115999999999996</v>
      </c>
      <c r="F4485" s="1323">
        <f t="shared" si="445"/>
        <v>4.153043243910405</v>
      </c>
      <c r="G4485" s="1323">
        <f t="shared" si="447"/>
        <v>1996</v>
      </c>
      <c r="H4485" s="1323">
        <f t="shared" si="448"/>
        <v>10</v>
      </c>
      <c r="I4485" s="1323">
        <f t="shared" si="449"/>
        <v>2</v>
      </c>
      <c r="J4485" s="1323"/>
      <c r="K4485" s="1323"/>
      <c r="L4485" s="1323"/>
      <c r="M4485" s="1323"/>
      <c r="N4485" s="1323"/>
      <c r="O4485" s="1323"/>
      <c r="P4485" s="1323"/>
      <c r="Q4485" s="1323"/>
      <c r="R4485" s="1304"/>
      <c r="S4485" s="1304"/>
      <c r="T4485" s="1304"/>
    </row>
    <row r="4486" spans="1:20">
      <c r="A4486" s="1303"/>
      <c r="B4486" s="1322" t="s">
        <v>10753</v>
      </c>
      <c r="C4486" s="1323" t="s">
        <v>10474</v>
      </c>
      <c r="D4486" s="1324">
        <f t="shared" si="444"/>
        <v>35339</v>
      </c>
      <c r="E4486" s="1323">
        <f t="shared" si="446"/>
        <v>4.5412999999999997</v>
      </c>
      <c r="F4486" s="1323">
        <f t="shared" si="445"/>
        <v>4.152246922582786</v>
      </c>
      <c r="G4486" s="1323">
        <f t="shared" si="447"/>
        <v>1996</v>
      </c>
      <c r="H4486" s="1323">
        <f t="shared" si="448"/>
        <v>10</v>
      </c>
      <c r="I4486" s="1323">
        <f t="shared" si="449"/>
        <v>1</v>
      </c>
      <c r="J4486" s="1323"/>
      <c r="K4486" s="1323"/>
      <c r="L4486" s="1323"/>
      <c r="M4486" s="1323"/>
      <c r="N4486" s="1323"/>
      <c r="O4486" s="1323"/>
      <c r="P4486" s="1323"/>
      <c r="Q4486" s="1323"/>
      <c r="R4486" s="1304"/>
      <c r="S4486" s="1304"/>
      <c r="T4486" s="1304"/>
    </row>
    <row r="4487" spans="1:20">
      <c r="A4487" s="1303"/>
      <c r="B4487" s="1322" t="s">
        <v>10754</v>
      </c>
      <c r="C4487" s="1323" t="s">
        <v>10742</v>
      </c>
      <c r="D4487" s="1324">
        <f t="shared" si="444"/>
        <v>35338</v>
      </c>
      <c r="E4487" s="1323">
        <f t="shared" si="446"/>
        <v>4.5198</v>
      </c>
      <c r="F4487" s="1323">
        <f t="shared" si="445"/>
        <v>4.1514507539450429</v>
      </c>
      <c r="G4487" s="1323">
        <f t="shared" si="447"/>
        <v>1996</v>
      </c>
      <c r="H4487" s="1323">
        <f t="shared" si="448"/>
        <v>9</v>
      </c>
      <c r="I4487" s="1323">
        <f t="shared" si="449"/>
        <v>30</v>
      </c>
      <c r="J4487" s="1323"/>
      <c r="K4487" s="1323"/>
      <c r="L4487" s="1323"/>
      <c r="M4487" s="1323"/>
      <c r="N4487" s="1323"/>
      <c r="O4487" s="1323"/>
      <c r="P4487" s="1323"/>
      <c r="Q4487" s="1323"/>
      <c r="R4487" s="1304"/>
      <c r="S4487" s="1304"/>
      <c r="T4487" s="1304"/>
    </row>
    <row r="4488" spans="1:20">
      <c r="A4488" s="1303"/>
      <c r="B4488" s="1322" t="s">
        <v>10755</v>
      </c>
      <c r="C4488" s="1323" t="s">
        <v>10756</v>
      </c>
      <c r="D4488" s="1324">
        <f t="shared" si="444"/>
        <v>35335</v>
      </c>
      <c r="E4488" s="1323">
        <f t="shared" si="446"/>
        <v>4.5350999999999999</v>
      </c>
      <c r="F4488" s="1323">
        <f t="shared" si="445"/>
        <v>4.1506547379678986</v>
      </c>
      <c r="G4488" s="1323">
        <f t="shared" si="447"/>
        <v>1996</v>
      </c>
      <c r="H4488" s="1323">
        <f t="shared" si="448"/>
        <v>9</v>
      </c>
      <c r="I4488" s="1323">
        <f t="shared" si="449"/>
        <v>27</v>
      </c>
      <c r="J4488" s="1323"/>
      <c r="K4488" s="1323"/>
      <c r="L4488" s="1323"/>
      <c r="M4488" s="1323"/>
      <c r="N4488" s="1323"/>
      <c r="O4488" s="1323"/>
      <c r="P4488" s="1323"/>
      <c r="Q4488" s="1323"/>
      <c r="R4488" s="1304"/>
      <c r="S4488" s="1304"/>
      <c r="T4488" s="1304"/>
    </row>
    <row r="4489" spans="1:20">
      <c r="A4489" s="1303"/>
      <c r="B4489" s="1322" t="s">
        <v>10757</v>
      </c>
      <c r="C4489" s="1323" t="s">
        <v>10758</v>
      </c>
      <c r="D4489" s="1324">
        <f t="shared" ref="D4489:D4552" si="450">DATE(G4489,H4489,I4489)</f>
        <v>35334</v>
      </c>
      <c r="E4489" s="1323">
        <f t="shared" si="446"/>
        <v>4.5167000000000002</v>
      </c>
      <c r="F4489" s="1323">
        <f t="shared" ref="F4489:F4552" si="451">F4490*(1+$F$7/365)</f>
        <v>4.1498588746220806</v>
      </c>
      <c r="G4489" s="1323">
        <f t="shared" si="447"/>
        <v>1996</v>
      </c>
      <c r="H4489" s="1323">
        <f t="shared" si="448"/>
        <v>9</v>
      </c>
      <c r="I4489" s="1323">
        <f t="shared" si="449"/>
        <v>26</v>
      </c>
      <c r="J4489" s="1323"/>
      <c r="K4489" s="1323"/>
      <c r="L4489" s="1323"/>
      <c r="M4489" s="1323"/>
      <c r="N4489" s="1323"/>
      <c r="O4489" s="1323"/>
      <c r="P4489" s="1323"/>
      <c r="Q4489" s="1323"/>
      <c r="R4489" s="1304"/>
      <c r="S4489" s="1304"/>
      <c r="T4489" s="1304"/>
    </row>
    <row r="4490" spans="1:20">
      <c r="A4490" s="1303"/>
      <c r="B4490" s="1322" t="s">
        <v>10759</v>
      </c>
      <c r="C4490" s="1323" t="s">
        <v>10760</v>
      </c>
      <c r="D4490" s="1324">
        <f t="shared" si="450"/>
        <v>35333</v>
      </c>
      <c r="E4490" s="1323">
        <f t="shared" si="446"/>
        <v>4.5137</v>
      </c>
      <c r="F4490" s="1323">
        <f t="shared" si="451"/>
        <v>4.1490631638783233</v>
      </c>
      <c r="G4490" s="1323">
        <f t="shared" si="447"/>
        <v>1996</v>
      </c>
      <c r="H4490" s="1323">
        <f t="shared" si="448"/>
        <v>9</v>
      </c>
      <c r="I4490" s="1323">
        <f t="shared" si="449"/>
        <v>25</v>
      </c>
      <c r="J4490" s="1323"/>
      <c r="K4490" s="1323"/>
      <c r="L4490" s="1323"/>
      <c r="M4490" s="1323"/>
      <c r="N4490" s="1323"/>
      <c r="O4490" s="1323"/>
      <c r="P4490" s="1323"/>
      <c r="Q4490" s="1323"/>
      <c r="R4490" s="1304"/>
      <c r="S4490" s="1304"/>
      <c r="T4490" s="1304"/>
    </row>
    <row r="4491" spans="1:20">
      <c r="A4491" s="1303"/>
      <c r="B4491" s="1322" t="s">
        <v>10761</v>
      </c>
      <c r="C4491" s="1323" t="s">
        <v>10762</v>
      </c>
      <c r="D4491" s="1324">
        <f t="shared" si="450"/>
        <v>35331</v>
      </c>
      <c r="E4491" s="1323">
        <f t="shared" si="446"/>
        <v>4.5125999999999999</v>
      </c>
      <c r="F4491" s="1323">
        <f t="shared" si="451"/>
        <v>4.1482676057073657</v>
      </c>
      <c r="G4491" s="1323">
        <f t="shared" si="447"/>
        <v>1996</v>
      </c>
      <c r="H4491" s="1323">
        <f t="shared" si="448"/>
        <v>9</v>
      </c>
      <c r="I4491" s="1323">
        <f t="shared" si="449"/>
        <v>23</v>
      </c>
      <c r="J4491" s="1323"/>
      <c r="K4491" s="1323"/>
      <c r="L4491" s="1323"/>
      <c r="M4491" s="1323"/>
      <c r="N4491" s="1323"/>
      <c r="O4491" s="1323"/>
      <c r="P4491" s="1323"/>
      <c r="Q4491" s="1323"/>
      <c r="R4491" s="1304"/>
      <c r="S4491" s="1304"/>
      <c r="T4491" s="1304"/>
    </row>
    <row r="4492" spans="1:20">
      <c r="A4492" s="1303"/>
      <c r="B4492" s="1322" t="s">
        <v>10763</v>
      </c>
      <c r="C4492" s="1323" t="s">
        <v>10629</v>
      </c>
      <c r="D4492" s="1324">
        <f t="shared" si="450"/>
        <v>35328</v>
      </c>
      <c r="E4492" s="1323">
        <f t="shared" si="446"/>
        <v>4.4934000000000003</v>
      </c>
      <c r="F4492" s="1323">
        <f t="shared" si="451"/>
        <v>4.1474722000799531</v>
      </c>
      <c r="G4492" s="1323">
        <f t="shared" si="447"/>
        <v>1996</v>
      </c>
      <c r="H4492" s="1323">
        <f t="shared" si="448"/>
        <v>9</v>
      </c>
      <c r="I4492" s="1323">
        <f t="shared" si="449"/>
        <v>20</v>
      </c>
      <c r="J4492" s="1323"/>
      <c r="K4492" s="1323"/>
      <c r="L4492" s="1323"/>
      <c r="M4492" s="1323"/>
      <c r="N4492" s="1323"/>
      <c r="O4492" s="1323"/>
      <c r="P4492" s="1323"/>
      <c r="Q4492" s="1323"/>
      <c r="R4492" s="1304"/>
      <c r="S4492" s="1304"/>
      <c r="T4492" s="1304"/>
    </row>
    <row r="4493" spans="1:20">
      <c r="A4493" s="1303"/>
      <c r="B4493" s="1322" t="s">
        <v>10764</v>
      </c>
      <c r="C4493" s="1323" t="s">
        <v>10765</v>
      </c>
      <c r="D4493" s="1324">
        <f t="shared" si="450"/>
        <v>35327</v>
      </c>
      <c r="E4493" s="1323">
        <f t="shared" si="446"/>
        <v>4.4852999999999996</v>
      </c>
      <c r="F4493" s="1323">
        <f t="shared" si="451"/>
        <v>4.1466769469668359</v>
      </c>
      <c r="G4493" s="1323">
        <f t="shared" si="447"/>
        <v>1996</v>
      </c>
      <c r="H4493" s="1323">
        <f t="shared" si="448"/>
        <v>9</v>
      </c>
      <c r="I4493" s="1323">
        <f t="shared" si="449"/>
        <v>19</v>
      </c>
      <c r="J4493" s="1323"/>
      <c r="K4493" s="1323"/>
      <c r="L4493" s="1323"/>
      <c r="M4493" s="1323"/>
      <c r="N4493" s="1323"/>
      <c r="O4493" s="1323"/>
      <c r="P4493" s="1323"/>
      <c r="Q4493" s="1323"/>
      <c r="R4493" s="1304"/>
      <c r="S4493" s="1304"/>
      <c r="T4493" s="1304"/>
    </row>
    <row r="4494" spans="1:20">
      <c r="A4494" s="1303"/>
      <c r="B4494" s="1322" t="s">
        <v>10766</v>
      </c>
      <c r="C4494" s="1323" t="s">
        <v>10767</v>
      </c>
      <c r="D4494" s="1324">
        <f t="shared" si="450"/>
        <v>35326</v>
      </c>
      <c r="E4494" s="1323">
        <f t="shared" si="446"/>
        <v>4.4863</v>
      </c>
      <c r="F4494" s="1323">
        <f t="shared" si="451"/>
        <v>4.1458818463387708</v>
      </c>
      <c r="G4494" s="1323">
        <f t="shared" si="447"/>
        <v>1996</v>
      </c>
      <c r="H4494" s="1323">
        <f t="shared" si="448"/>
        <v>9</v>
      </c>
      <c r="I4494" s="1323">
        <f t="shared" si="449"/>
        <v>18</v>
      </c>
      <c r="J4494" s="1323"/>
      <c r="K4494" s="1323"/>
      <c r="L4494" s="1323"/>
      <c r="M4494" s="1323"/>
      <c r="N4494" s="1323"/>
      <c r="O4494" s="1323"/>
      <c r="P4494" s="1323"/>
      <c r="Q4494" s="1323"/>
      <c r="R4494" s="1304"/>
      <c r="S4494" s="1304"/>
      <c r="T4494" s="1304"/>
    </row>
    <row r="4495" spans="1:20">
      <c r="A4495" s="1303"/>
      <c r="B4495" s="1322" t="s">
        <v>10768</v>
      </c>
      <c r="C4495" s="1323" t="s">
        <v>10769</v>
      </c>
      <c r="D4495" s="1324">
        <f t="shared" si="450"/>
        <v>35325</v>
      </c>
      <c r="E4495" s="1323">
        <f t="shared" si="446"/>
        <v>4.4852999999999996</v>
      </c>
      <c r="F4495" s="1323">
        <f t="shared" si="451"/>
        <v>4.1450868981665199</v>
      </c>
      <c r="G4495" s="1323">
        <f t="shared" si="447"/>
        <v>1996</v>
      </c>
      <c r="H4495" s="1323">
        <f t="shared" si="448"/>
        <v>9</v>
      </c>
      <c r="I4495" s="1323">
        <f t="shared" si="449"/>
        <v>17</v>
      </c>
      <c r="J4495" s="1323"/>
      <c r="K4495" s="1323"/>
      <c r="L4495" s="1323"/>
      <c r="M4495" s="1323"/>
      <c r="N4495" s="1323"/>
      <c r="O4495" s="1323"/>
      <c r="P4495" s="1323"/>
      <c r="Q4495" s="1323"/>
      <c r="R4495" s="1304"/>
      <c r="S4495" s="1304"/>
      <c r="T4495" s="1304"/>
    </row>
    <row r="4496" spans="1:20">
      <c r="A4496" s="1303"/>
      <c r="B4496" s="1322" t="s">
        <v>10770</v>
      </c>
      <c r="C4496" s="1323" t="s">
        <v>10767</v>
      </c>
      <c r="D4496" s="1324">
        <f t="shared" si="450"/>
        <v>35324</v>
      </c>
      <c r="E4496" s="1323">
        <f t="shared" si="446"/>
        <v>4.4863</v>
      </c>
      <c r="F4496" s="1323">
        <f t="shared" si="451"/>
        <v>4.1442921024208497</v>
      </c>
      <c r="G4496" s="1323">
        <f t="shared" si="447"/>
        <v>1996</v>
      </c>
      <c r="H4496" s="1323">
        <f t="shared" si="448"/>
        <v>9</v>
      </c>
      <c r="I4496" s="1323">
        <f t="shared" si="449"/>
        <v>16</v>
      </c>
      <c r="J4496" s="1323"/>
      <c r="K4496" s="1323"/>
      <c r="L4496" s="1323"/>
      <c r="M4496" s="1323"/>
      <c r="N4496" s="1323"/>
      <c r="O4496" s="1323"/>
      <c r="P4496" s="1323"/>
      <c r="Q4496" s="1323"/>
      <c r="R4496" s="1304"/>
      <c r="S4496" s="1304"/>
      <c r="T4496" s="1304"/>
    </row>
    <row r="4497" spans="1:20">
      <c r="A4497" s="1303"/>
      <c r="B4497" s="1322" t="s">
        <v>10771</v>
      </c>
      <c r="C4497" s="1323" t="s">
        <v>10769</v>
      </c>
      <c r="D4497" s="1324">
        <f t="shared" si="450"/>
        <v>35321</v>
      </c>
      <c r="E4497" s="1323">
        <f t="shared" si="446"/>
        <v>4.5015000000000001</v>
      </c>
      <c r="F4497" s="1323">
        <f t="shared" si="451"/>
        <v>4.1434974590725346</v>
      </c>
      <c r="G4497" s="1323">
        <f t="shared" si="447"/>
        <v>1996</v>
      </c>
      <c r="H4497" s="1323">
        <f t="shared" si="448"/>
        <v>9</v>
      </c>
      <c r="I4497" s="1323">
        <f t="shared" si="449"/>
        <v>13</v>
      </c>
      <c r="J4497" s="1323"/>
      <c r="K4497" s="1323"/>
      <c r="L4497" s="1323"/>
      <c r="M4497" s="1323"/>
      <c r="N4497" s="1323"/>
      <c r="O4497" s="1323"/>
      <c r="P4497" s="1323"/>
      <c r="Q4497" s="1323"/>
      <c r="R4497" s="1304"/>
      <c r="S4497" s="1304"/>
      <c r="T4497" s="1304"/>
    </row>
    <row r="4498" spans="1:20">
      <c r="A4498" s="1303"/>
      <c r="B4498" s="1322" t="s">
        <v>10772</v>
      </c>
      <c r="C4498" s="1323" t="s">
        <v>10482</v>
      </c>
      <c r="D4498" s="1324">
        <f t="shared" si="450"/>
        <v>35320</v>
      </c>
      <c r="E4498" s="1323">
        <f t="shared" si="446"/>
        <v>4.4852999999999996</v>
      </c>
      <c r="F4498" s="1323">
        <f t="shared" si="451"/>
        <v>4.1427029680923528</v>
      </c>
      <c r="G4498" s="1323">
        <f t="shared" si="447"/>
        <v>1996</v>
      </c>
      <c r="H4498" s="1323">
        <f t="shared" si="448"/>
        <v>9</v>
      </c>
      <c r="I4498" s="1323">
        <f t="shared" si="449"/>
        <v>12</v>
      </c>
      <c r="J4498" s="1323"/>
      <c r="K4498" s="1323"/>
      <c r="L4498" s="1323"/>
      <c r="M4498" s="1323"/>
      <c r="N4498" s="1323"/>
      <c r="O4498" s="1323"/>
      <c r="P4498" s="1323"/>
      <c r="Q4498" s="1323"/>
      <c r="R4498" s="1304"/>
      <c r="S4498" s="1304"/>
      <c r="T4498" s="1304"/>
    </row>
    <row r="4499" spans="1:20">
      <c r="A4499" s="1303"/>
      <c r="B4499" s="1322" t="s">
        <v>10773</v>
      </c>
      <c r="C4499" s="1323" t="s">
        <v>10767</v>
      </c>
      <c r="D4499" s="1324">
        <f t="shared" si="450"/>
        <v>35319</v>
      </c>
      <c r="E4499" s="1323">
        <f t="shared" si="446"/>
        <v>4.4863</v>
      </c>
      <c r="F4499" s="1323">
        <f t="shared" si="451"/>
        <v>4.1419086294510885</v>
      </c>
      <c r="G4499" s="1323">
        <f t="shared" si="447"/>
        <v>1996</v>
      </c>
      <c r="H4499" s="1323">
        <f t="shared" si="448"/>
        <v>9</v>
      </c>
      <c r="I4499" s="1323">
        <f t="shared" si="449"/>
        <v>11</v>
      </c>
      <c r="J4499" s="1323"/>
      <c r="K4499" s="1323"/>
      <c r="L4499" s="1323"/>
      <c r="M4499" s="1323"/>
      <c r="N4499" s="1323"/>
      <c r="O4499" s="1323"/>
      <c r="P4499" s="1323"/>
      <c r="Q4499" s="1323"/>
      <c r="R4499" s="1304"/>
      <c r="S4499" s="1304"/>
      <c r="T4499" s="1304"/>
    </row>
    <row r="4500" spans="1:20">
      <c r="A4500" s="1303"/>
      <c r="B4500" s="1322" t="s">
        <v>10774</v>
      </c>
      <c r="C4500" s="1323" t="s">
        <v>10769</v>
      </c>
      <c r="D4500" s="1324">
        <f t="shared" si="450"/>
        <v>35318</v>
      </c>
      <c r="E4500" s="1323">
        <f t="shared" si="446"/>
        <v>4.4913999999999996</v>
      </c>
      <c r="F4500" s="1323">
        <f t="shared" si="451"/>
        <v>4.1411144431195313</v>
      </c>
      <c r="G4500" s="1323">
        <f t="shared" si="447"/>
        <v>1996</v>
      </c>
      <c r="H4500" s="1323">
        <f t="shared" si="448"/>
        <v>9</v>
      </c>
      <c r="I4500" s="1323">
        <f t="shared" si="449"/>
        <v>10</v>
      </c>
      <c r="J4500" s="1323"/>
      <c r="K4500" s="1323"/>
      <c r="L4500" s="1323"/>
      <c r="M4500" s="1323"/>
      <c r="N4500" s="1323"/>
      <c r="O4500" s="1323"/>
      <c r="P4500" s="1323"/>
      <c r="Q4500" s="1323"/>
      <c r="R4500" s="1304"/>
      <c r="S4500" s="1304"/>
      <c r="T4500" s="1304"/>
    </row>
    <row r="4501" spans="1:20">
      <c r="A4501" s="1303"/>
      <c r="B4501" s="1322" t="s">
        <v>10775</v>
      </c>
      <c r="C4501" s="1323" t="s">
        <v>10776</v>
      </c>
      <c r="D4501" s="1324">
        <f t="shared" si="450"/>
        <v>35317</v>
      </c>
      <c r="E4501" s="1323">
        <f t="shared" si="446"/>
        <v>4.4993999999999996</v>
      </c>
      <c r="F4501" s="1323">
        <f t="shared" si="451"/>
        <v>4.1403204090684769</v>
      </c>
      <c r="G4501" s="1323">
        <f t="shared" si="447"/>
        <v>1996</v>
      </c>
      <c r="H4501" s="1323">
        <f t="shared" si="448"/>
        <v>9</v>
      </c>
      <c r="I4501" s="1323">
        <f t="shared" si="449"/>
        <v>9</v>
      </c>
      <c r="J4501" s="1323"/>
      <c r="K4501" s="1323"/>
      <c r="L4501" s="1323"/>
      <c r="M4501" s="1323"/>
      <c r="N4501" s="1323"/>
      <c r="O4501" s="1323"/>
      <c r="P4501" s="1323"/>
      <c r="Q4501" s="1323"/>
      <c r="R4501" s="1304"/>
      <c r="S4501" s="1304"/>
      <c r="T4501" s="1304"/>
    </row>
    <row r="4502" spans="1:20">
      <c r="A4502" s="1303"/>
      <c r="B4502" s="1322" t="s">
        <v>10777</v>
      </c>
      <c r="C4502" s="1323" t="s">
        <v>10480</v>
      </c>
      <c r="D4502" s="1324">
        <f t="shared" si="450"/>
        <v>35314</v>
      </c>
      <c r="E4502" s="1323">
        <f t="shared" ref="E4502:E4565" si="452">VALUE(C4503)</f>
        <v>4.5065</v>
      </c>
      <c r="F4502" s="1323">
        <f t="shared" si="451"/>
        <v>4.1395265272687265</v>
      </c>
      <c r="G4502" s="1323">
        <f t="shared" ref="G4502:G4565" si="453">YEAR(B4503)</f>
        <v>1996</v>
      </c>
      <c r="H4502" s="1323">
        <f t="shared" ref="H4502:H4565" si="454">MONTH(B4503)</f>
        <v>9</v>
      </c>
      <c r="I4502" s="1323">
        <f t="shared" ref="I4502:I4565" si="455">DAY(B4503)</f>
        <v>6</v>
      </c>
      <c r="J4502" s="1323"/>
      <c r="K4502" s="1323"/>
      <c r="L4502" s="1323"/>
      <c r="M4502" s="1323"/>
      <c r="N4502" s="1323"/>
      <c r="O4502" s="1323"/>
      <c r="P4502" s="1323"/>
      <c r="Q4502" s="1323"/>
      <c r="R4502" s="1304"/>
      <c r="S4502" s="1304"/>
      <c r="T4502" s="1304"/>
    </row>
    <row r="4503" spans="1:20">
      <c r="A4503" s="1303"/>
      <c r="B4503" s="1322" t="s">
        <v>10778</v>
      </c>
      <c r="C4503" s="1323" t="s">
        <v>10489</v>
      </c>
      <c r="D4503" s="1324">
        <f t="shared" si="450"/>
        <v>35313</v>
      </c>
      <c r="E4503" s="1323">
        <f t="shared" si="452"/>
        <v>4.4964000000000004</v>
      </c>
      <c r="F4503" s="1323">
        <f t="shared" si="451"/>
        <v>4.1387327976910866</v>
      </c>
      <c r="G4503" s="1323">
        <f t="shared" si="453"/>
        <v>1996</v>
      </c>
      <c r="H4503" s="1323">
        <f t="shared" si="454"/>
        <v>9</v>
      </c>
      <c r="I4503" s="1323">
        <f t="shared" si="455"/>
        <v>5</v>
      </c>
      <c r="J4503" s="1323"/>
      <c r="K4503" s="1323"/>
      <c r="L4503" s="1323"/>
      <c r="M4503" s="1323"/>
      <c r="N4503" s="1323"/>
      <c r="O4503" s="1323"/>
      <c r="P4503" s="1323"/>
      <c r="Q4503" s="1323"/>
      <c r="R4503" s="1304"/>
      <c r="S4503" s="1304"/>
      <c r="T4503" s="1304"/>
    </row>
    <row r="4504" spans="1:20">
      <c r="A4504" s="1303"/>
      <c r="B4504" s="1322" t="s">
        <v>10779</v>
      </c>
      <c r="C4504" s="1323" t="s">
        <v>10612</v>
      </c>
      <c r="D4504" s="1324">
        <f t="shared" si="450"/>
        <v>35312</v>
      </c>
      <c r="E4504" s="1323">
        <f t="shared" si="452"/>
        <v>4.4843000000000002</v>
      </c>
      <c r="F4504" s="1323">
        <f t="shared" si="451"/>
        <v>4.1379392203063698</v>
      </c>
      <c r="G4504" s="1323">
        <f t="shared" si="453"/>
        <v>1996</v>
      </c>
      <c r="H4504" s="1323">
        <f t="shared" si="454"/>
        <v>9</v>
      </c>
      <c r="I4504" s="1323">
        <f t="shared" si="455"/>
        <v>4</v>
      </c>
      <c r="J4504" s="1323"/>
      <c r="K4504" s="1323"/>
      <c r="L4504" s="1323"/>
      <c r="M4504" s="1323"/>
      <c r="N4504" s="1323"/>
      <c r="O4504" s="1323"/>
      <c r="P4504" s="1323"/>
      <c r="Q4504" s="1323"/>
      <c r="R4504" s="1304"/>
      <c r="S4504" s="1304"/>
      <c r="T4504" s="1304"/>
    </row>
    <row r="4505" spans="1:20">
      <c r="A4505" s="1303"/>
      <c r="B4505" s="1322" t="s">
        <v>10780</v>
      </c>
      <c r="C4505" s="1323" t="s">
        <v>10781</v>
      </c>
      <c r="D4505" s="1324">
        <f t="shared" si="450"/>
        <v>35311</v>
      </c>
      <c r="E4505" s="1323">
        <f t="shared" si="452"/>
        <v>4.4763000000000002</v>
      </c>
      <c r="F4505" s="1323">
        <f t="shared" si="451"/>
        <v>4.1371457950853943</v>
      </c>
      <c r="G4505" s="1323">
        <f t="shared" si="453"/>
        <v>1996</v>
      </c>
      <c r="H4505" s="1323">
        <f t="shared" si="454"/>
        <v>9</v>
      </c>
      <c r="I4505" s="1323">
        <f t="shared" si="455"/>
        <v>3</v>
      </c>
      <c r="J4505" s="1323"/>
      <c r="K4505" s="1323"/>
      <c r="L4505" s="1323"/>
      <c r="M4505" s="1323"/>
      <c r="N4505" s="1323"/>
      <c r="O4505" s="1323"/>
      <c r="P4505" s="1323"/>
      <c r="Q4505" s="1323"/>
      <c r="R4505" s="1304"/>
      <c r="S4505" s="1304"/>
      <c r="T4505" s="1304"/>
    </row>
    <row r="4506" spans="1:20">
      <c r="A4506" s="1303"/>
      <c r="B4506" s="1322" t="s">
        <v>10782</v>
      </c>
      <c r="C4506" s="1323" t="s">
        <v>10532</v>
      </c>
      <c r="D4506" s="1324">
        <f t="shared" si="450"/>
        <v>35310</v>
      </c>
      <c r="E4506" s="1323">
        <f t="shared" si="452"/>
        <v>4.4752999999999998</v>
      </c>
      <c r="F4506" s="1323">
        <f t="shared" si="451"/>
        <v>4.1363525219989832</v>
      </c>
      <c r="G4506" s="1323">
        <f t="shared" si="453"/>
        <v>1996</v>
      </c>
      <c r="H4506" s="1323">
        <f t="shared" si="454"/>
        <v>9</v>
      </c>
      <c r="I4506" s="1323">
        <f t="shared" si="455"/>
        <v>2</v>
      </c>
      <c r="J4506" s="1323"/>
      <c r="K4506" s="1323"/>
      <c r="L4506" s="1323"/>
      <c r="M4506" s="1323"/>
      <c r="N4506" s="1323"/>
      <c r="O4506" s="1323"/>
      <c r="P4506" s="1323"/>
      <c r="Q4506" s="1323"/>
      <c r="R4506" s="1304"/>
      <c r="S4506" s="1304"/>
      <c r="T4506" s="1304"/>
    </row>
    <row r="4507" spans="1:20">
      <c r="A4507" s="1303"/>
      <c r="B4507" s="1322" t="s">
        <v>10783</v>
      </c>
      <c r="C4507" s="1323" t="s">
        <v>10512</v>
      </c>
      <c r="D4507" s="1324">
        <f t="shared" si="450"/>
        <v>35307</v>
      </c>
      <c r="E4507" s="1323">
        <f t="shared" si="452"/>
        <v>4.4993999999999996</v>
      </c>
      <c r="F4507" s="1323">
        <f t="shared" si="451"/>
        <v>4.1355594010179662</v>
      </c>
      <c r="G4507" s="1323">
        <f t="shared" si="453"/>
        <v>1996</v>
      </c>
      <c r="H4507" s="1323">
        <f t="shared" si="454"/>
        <v>8</v>
      </c>
      <c r="I4507" s="1323">
        <f t="shared" si="455"/>
        <v>30</v>
      </c>
      <c r="J4507" s="1323"/>
      <c r="K4507" s="1323"/>
      <c r="L4507" s="1323"/>
      <c r="M4507" s="1323"/>
      <c r="N4507" s="1323"/>
      <c r="O4507" s="1323"/>
      <c r="P4507" s="1323"/>
      <c r="Q4507" s="1323"/>
      <c r="R4507" s="1304"/>
      <c r="S4507" s="1304"/>
      <c r="T4507" s="1304"/>
    </row>
    <row r="4508" spans="1:20">
      <c r="A4508" s="1303"/>
      <c r="B4508" s="1322" t="s">
        <v>10784</v>
      </c>
      <c r="C4508" s="1323" t="s">
        <v>10480</v>
      </c>
      <c r="D4508" s="1324">
        <f t="shared" si="450"/>
        <v>35306</v>
      </c>
      <c r="E4508" s="1323">
        <f t="shared" si="452"/>
        <v>4.5065</v>
      </c>
      <c r="F4508" s="1323">
        <f t="shared" si="451"/>
        <v>4.1347664321131772</v>
      </c>
      <c r="G4508" s="1323">
        <f t="shared" si="453"/>
        <v>1996</v>
      </c>
      <c r="H4508" s="1323">
        <f t="shared" si="454"/>
        <v>8</v>
      </c>
      <c r="I4508" s="1323">
        <f t="shared" si="455"/>
        <v>29</v>
      </c>
      <c r="J4508" s="1323"/>
      <c r="K4508" s="1323"/>
      <c r="L4508" s="1323"/>
      <c r="M4508" s="1323"/>
      <c r="N4508" s="1323"/>
      <c r="O4508" s="1323"/>
      <c r="P4508" s="1323"/>
      <c r="Q4508" s="1323"/>
      <c r="R4508" s="1304"/>
      <c r="S4508" s="1304"/>
      <c r="T4508" s="1304"/>
    </row>
    <row r="4509" spans="1:20">
      <c r="A4509" s="1303"/>
      <c r="B4509" s="1322" t="s">
        <v>10785</v>
      </c>
      <c r="C4509" s="1323" t="s">
        <v>10489</v>
      </c>
      <c r="D4509" s="1324">
        <f t="shared" si="450"/>
        <v>35305</v>
      </c>
      <c r="E4509" s="1323">
        <f t="shared" si="452"/>
        <v>4.5115999999999996</v>
      </c>
      <c r="F4509" s="1323">
        <f t="shared" si="451"/>
        <v>4.1339736152554565</v>
      </c>
      <c r="G4509" s="1323">
        <f t="shared" si="453"/>
        <v>1996</v>
      </c>
      <c r="H4509" s="1323">
        <f t="shared" si="454"/>
        <v>8</v>
      </c>
      <c r="I4509" s="1323">
        <f t="shared" si="455"/>
        <v>28</v>
      </c>
      <c r="J4509" s="1323"/>
      <c r="K4509" s="1323"/>
      <c r="L4509" s="1323"/>
      <c r="M4509" s="1323"/>
      <c r="N4509" s="1323"/>
      <c r="O4509" s="1323"/>
      <c r="P4509" s="1323"/>
      <c r="Q4509" s="1323"/>
      <c r="R4509" s="1304"/>
      <c r="S4509" s="1304"/>
      <c r="T4509" s="1304"/>
    </row>
    <row r="4510" spans="1:20">
      <c r="A4510" s="1303"/>
      <c r="B4510" s="1322" t="s">
        <v>10786</v>
      </c>
      <c r="C4510" s="1323" t="s">
        <v>10474</v>
      </c>
      <c r="D4510" s="1324">
        <f t="shared" si="450"/>
        <v>35304</v>
      </c>
      <c r="E4510" s="1323">
        <f t="shared" si="452"/>
        <v>4.5259</v>
      </c>
      <c r="F4510" s="1323">
        <f t="shared" si="451"/>
        <v>4.1331809504156505</v>
      </c>
      <c r="G4510" s="1323">
        <f t="shared" si="453"/>
        <v>1996</v>
      </c>
      <c r="H4510" s="1323">
        <f t="shared" si="454"/>
        <v>8</v>
      </c>
      <c r="I4510" s="1323">
        <f t="shared" si="455"/>
        <v>27</v>
      </c>
      <c r="J4510" s="1323"/>
      <c r="K4510" s="1323"/>
      <c r="L4510" s="1323"/>
      <c r="M4510" s="1323"/>
      <c r="N4510" s="1323"/>
      <c r="O4510" s="1323"/>
      <c r="P4510" s="1323"/>
      <c r="Q4510" s="1323"/>
      <c r="R4510" s="1304"/>
      <c r="S4510" s="1304"/>
      <c r="T4510" s="1304"/>
    </row>
    <row r="4511" spans="1:20">
      <c r="A4511" s="1303"/>
      <c r="B4511" s="1322" t="s">
        <v>10787</v>
      </c>
      <c r="C4511" s="1323" t="s">
        <v>10788</v>
      </c>
      <c r="D4511" s="1324">
        <f t="shared" si="450"/>
        <v>35303</v>
      </c>
      <c r="E4511" s="1323">
        <f t="shared" si="452"/>
        <v>4.5381999999999998</v>
      </c>
      <c r="F4511" s="1323">
        <f t="shared" si="451"/>
        <v>4.1323884375646109</v>
      </c>
      <c r="G4511" s="1323">
        <f t="shared" si="453"/>
        <v>1996</v>
      </c>
      <c r="H4511" s="1323">
        <f t="shared" si="454"/>
        <v>8</v>
      </c>
      <c r="I4511" s="1323">
        <f t="shared" si="455"/>
        <v>26</v>
      </c>
      <c r="J4511" s="1323"/>
      <c r="K4511" s="1323"/>
      <c r="L4511" s="1323"/>
      <c r="M4511" s="1323"/>
      <c r="N4511" s="1323"/>
      <c r="O4511" s="1323"/>
      <c r="P4511" s="1323"/>
      <c r="Q4511" s="1323"/>
      <c r="R4511" s="1304"/>
      <c r="S4511" s="1304"/>
      <c r="T4511" s="1304"/>
    </row>
    <row r="4512" spans="1:20">
      <c r="A4512" s="1303"/>
      <c r="B4512" s="1322" t="s">
        <v>10789</v>
      </c>
      <c r="C4512" s="1323" t="s">
        <v>10790</v>
      </c>
      <c r="D4512" s="1324">
        <f t="shared" si="450"/>
        <v>35300</v>
      </c>
      <c r="E4512" s="1323">
        <f t="shared" si="452"/>
        <v>4.5309999999999997</v>
      </c>
      <c r="F4512" s="1323">
        <f t="shared" si="451"/>
        <v>4.1315960766731941</v>
      </c>
      <c r="G4512" s="1323">
        <f t="shared" si="453"/>
        <v>1996</v>
      </c>
      <c r="H4512" s="1323">
        <f t="shared" si="454"/>
        <v>8</v>
      </c>
      <c r="I4512" s="1323">
        <f t="shared" si="455"/>
        <v>23</v>
      </c>
      <c r="J4512" s="1323"/>
      <c r="K4512" s="1323"/>
      <c r="L4512" s="1323"/>
      <c r="M4512" s="1323"/>
      <c r="N4512" s="1323"/>
      <c r="O4512" s="1323"/>
      <c r="P4512" s="1323"/>
      <c r="Q4512" s="1323"/>
      <c r="R4512" s="1304"/>
      <c r="S4512" s="1304"/>
      <c r="T4512" s="1304"/>
    </row>
    <row r="4513" spans="1:20">
      <c r="A4513" s="1303"/>
      <c r="B4513" s="1322" t="s">
        <v>10791</v>
      </c>
      <c r="C4513" s="1323" t="s">
        <v>10792</v>
      </c>
      <c r="D4513" s="1324">
        <f t="shared" si="450"/>
        <v>35299</v>
      </c>
      <c r="E4513" s="1323">
        <f t="shared" si="452"/>
        <v>4.5631000000000004</v>
      </c>
      <c r="F4513" s="1323">
        <f t="shared" si="451"/>
        <v>4.1308038677122632</v>
      </c>
      <c r="G4513" s="1323">
        <f t="shared" si="453"/>
        <v>1996</v>
      </c>
      <c r="H4513" s="1323">
        <f t="shared" si="454"/>
        <v>8</v>
      </c>
      <c r="I4513" s="1323">
        <f t="shared" si="455"/>
        <v>22</v>
      </c>
      <c r="J4513" s="1323"/>
      <c r="K4513" s="1323"/>
      <c r="L4513" s="1323"/>
      <c r="M4513" s="1323"/>
      <c r="N4513" s="1323"/>
      <c r="O4513" s="1323"/>
      <c r="P4513" s="1323"/>
      <c r="Q4513" s="1323"/>
      <c r="R4513" s="1304"/>
      <c r="S4513" s="1304"/>
      <c r="T4513" s="1304"/>
    </row>
    <row r="4514" spans="1:20">
      <c r="A4514" s="1303"/>
      <c r="B4514" s="1322" t="s">
        <v>10793</v>
      </c>
      <c r="C4514" s="1323" t="s">
        <v>10633</v>
      </c>
      <c r="D4514" s="1324">
        <f t="shared" si="450"/>
        <v>35298</v>
      </c>
      <c r="E4514" s="1323">
        <f t="shared" si="452"/>
        <v>4.5557999999999996</v>
      </c>
      <c r="F4514" s="1323">
        <f t="shared" si="451"/>
        <v>4.130011810652686</v>
      </c>
      <c r="G4514" s="1323">
        <f t="shared" si="453"/>
        <v>1996</v>
      </c>
      <c r="H4514" s="1323">
        <f t="shared" si="454"/>
        <v>8</v>
      </c>
      <c r="I4514" s="1323">
        <f t="shared" si="455"/>
        <v>21</v>
      </c>
      <c r="J4514" s="1323"/>
      <c r="K4514" s="1323"/>
      <c r="L4514" s="1323"/>
      <c r="M4514" s="1323"/>
      <c r="N4514" s="1323"/>
      <c r="O4514" s="1323"/>
      <c r="P4514" s="1323"/>
      <c r="Q4514" s="1323"/>
      <c r="R4514" s="1304"/>
      <c r="S4514" s="1304"/>
      <c r="T4514" s="1304"/>
    </row>
    <row r="4515" spans="1:20">
      <c r="A4515" s="1303"/>
      <c r="B4515" s="1322" t="s">
        <v>10794</v>
      </c>
      <c r="C4515" s="1323" t="s">
        <v>10451</v>
      </c>
      <c r="D4515" s="1324">
        <f t="shared" si="450"/>
        <v>35297</v>
      </c>
      <c r="E4515" s="1323">
        <f t="shared" si="452"/>
        <v>4.5662000000000003</v>
      </c>
      <c r="F4515" s="1323">
        <f t="shared" si="451"/>
        <v>4.1292199054653365</v>
      </c>
      <c r="G4515" s="1323">
        <f t="shared" si="453"/>
        <v>1996</v>
      </c>
      <c r="H4515" s="1323">
        <f t="shared" si="454"/>
        <v>8</v>
      </c>
      <c r="I4515" s="1323">
        <f t="shared" si="455"/>
        <v>20</v>
      </c>
      <c r="J4515" s="1323"/>
      <c r="K4515" s="1323"/>
      <c r="L4515" s="1323"/>
      <c r="M4515" s="1323"/>
      <c r="N4515" s="1323"/>
      <c r="O4515" s="1323"/>
      <c r="P4515" s="1323"/>
      <c r="Q4515" s="1323"/>
      <c r="R4515" s="1304"/>
      <c r="S4515" s="1304"/>
      <c r="T4515" s="1304"/>
    </row>
    <row r="4516" spans="1:20">
      <c r="A4516" s="1303"/>
      <c r="B4516" s="1322" t="s">
        <v>10795</v>
      </c>
      <c r="C4516" s="1323" t="s">
        <v>10444</v>
      </c>
      <c r="D4516" s="1324">
        <f t="shared" si="450"/>
        <v>35296</v>
      </c>
      <c r="E4516" s="1323">
        <f t="shared" si="452"/>
        <v>4.5434000000000001</v>
      </c>
      <c r="F4516" s="1323">
        <f t="shared" si="451"/>
        <v>4.1284281521210939</v>
      </c>
      <c r="G4516" s="1323">
        <f t="shared" si="453"/>
        <v>1996</v>
      </c>
      <c r="H4516" s="1323">
        <f t="shared" si="454"/>
        <v>8</v>
      </c>
      <c r="I4516" s="1323">
        <f t="shared" si="455"/>
        <v>19</v>
      </c>
      <c r="J4516" s="1323"/>
      <c r="K4516" s="1323"/>
      <c r="L4516" s="1323"/>
      <c r="M4516" s="1323"/>
      <c r="N4516" s="1323"/>
      <c r="O4516" s="1323"/>
      <c r="P4516" s="1323"/>
      <c r="Q4516" s="1323"/>
      <c r="R4516" s="1304"/>
      <c r="S4516" s="1304"/>
      <c r="T4516" s="1304"/>
    </row>
    <row r="4517" spans="1:20">
      <c r="A4517" s="1303"/>
      <c r="B4517" s="1322" t="s">
        <v>10796</v>
      </c>
      <c r="C4517" s="1323" t="s">
        <v>10440</v>
      </c>
      <c r="D4517" s="1324">
        <f t="shared" si="450"/>
        <v>35293</v>
      </c>
      <c r="E4517" s="1323">
        <f t="shared" si="452"/>
        <v>4.5526999999999997</v>
      </c>
      <c r="F4517" s="1323">
        <f t="shared" si="451"/>
        <v>4.1276365505908439</v>
      </c>
      <c r="G4517" s="1323">
        <f t="shared" si="453"/>
        <v>1996</v>
      </c>
      <c r="H4517" s="1323">
        <f t="shared" si="454"/>
        <v>8</v>
      </c>
      <c r="I4517" s="1323">
        <f t="shared" si="455"/>
        <v>16</v>
      </c>
      <c r="J4517" s="1323"/>
      <c r="K4517" s="1323"/>
      <c r="L4517" s="1323"/>
      <c r="M4517" s="1323"/>
      <c r="N4517" s="1323"/>
      <c r="O4517" s="1323"/>
      <c r="P4517" s="1323"/>
      <c r="Q4517" s="1323"/>
      <c r="R4517" s="1304"/>
      <c r="S4517" s="1304"/>
      <c r="T4517" s="1304"/>
    </row>
    <row r="4518" spans="1:20">
      <c r="A4518" s="1303"/>
      <c r="B4518" s="1322" t="s">
        <v>10797</v>
      </c>
      <c r="C4518" s="1323" t="s">
        <v>10798</v>
      </c>
      <c r="D4518" s="1324">
        <f t="shared" si="450"/>
        <v>35292</v>
      </c>
      <c r="E4518" s="1323">
        <f t="shared" si="452"/>
        <v>4.5423999999999998</v>
      </c>
      <c r="F4518" s="1323">
        <f t="shared" si="451"/>
        <v>4.1268451008454763</v>
      </c>
      <c r="G4518" s="1323">
        <f t="shared" si="453"/>
        <v>1996</v>
      </c>
      <c r="H4518" s="1323">
        <f t="shared" si="454"/>
        <v>8</v>
      </c>
      <c r="I4518" s="1323">
        <f t="shared" si="455"/>
        <v>15</v>
      </c>
      <c r="J4518" s="1323"/>
      <c r="K4518" s="1323"/>
      <c r="L4518" s="1323"/>
      <c r="M4518" s="1323"/>
      <c r="N4518" s="1323"/>
      <c r="O4518" s="1323"/>
      <c r="P4518" s="1323"/>
      <c r="Q4518" s="1323"/>
      <c r="R4518" s="1304"/>
      <c r="S4518" s="1304"/>
      <c r="T4518" s="1304"/>
    </row>
    <row r="4519" spans="1:20">
      <c r="A4519" s="1303"/>
      <c r="B4519" s="1322" t="s">
        <v>10799</v>
      </c>
      <c r="C4519" s="1323" t="s">
        <v>10800</v>
      </c>
      <c r="D4519" s="1324">
        <f t="shared" si="450"/>
        <v>35291</v>
      </c>
      <c r="E4519" s="1323">
        <f t="shared" si="452"/>
        <v>4.5475000000000003</v>
      </c>
      <c r="F4519" s="1323">
        <f t="shared" si="451"/>
        <v>4.1260538028558873</v>
      </c>
      <c r="G4519" s="1323">
        <f t="shared" si="453"/>
        <v>1996</v>
      </c>
      <c r="H4519" s="1323">
        <f t="shared" si="454"/>
        <v>8</v>
      </c>
      <c r="I4519" s="1323">
        <f t="shared" si="455"/>
        <v>14</v>
      </c>
      <c r="J4519" s="1323"/>
      <c r="K4519" s="1323"/>
      <c r="L4519" s="1323"/>
      <c r="M4519" s="1323"/>
      <c r="N4519" s="1323"/>
      <c r="O4519" s="1323"/>
      <c r="P4519" s="1323"/>
      <c r="Q4519" s="1323"/>
      <c r="R4519" s="1304"/>
      <c r="S4519" s="1304"/>
      <c r="T4519" s="1304"/>
    </row>
    <row r="4520" spans="1:20">
      <c r="A4520" s="1303"/>
      <c r="B4520" s="1322" t="s">
        <v>10801</v>
      </c>
      <c r="C4520" s="1323" t="s">
        <v>10802</v>
      </c>
      <c r="D4520" s="1324">
        <f t="shared" si="450"/>
        <v>35290</v>
      </c>
      <c r="E4520" s="1323">
        <f t="shared" si="452"/>
        <v>4.5350999999999999</v>
      </c>
      <c r="F4520" s="1323">
        <f t="shared" si="451"/>
        <v>4.1252626565929793</v>
      </c>
      <c r="G4520" s="1323">
        <f t="shared" si="453"/>
        <v>1996</v>
      </c>
      <c r="H4520" s="1323">
        <f t="shared" si="454"/>
        <v>8</v>
      </c>
      <c r="I4520" s="1323">
        <f t="shared" si="455"/>
        <v>13</v>
      </c>
      <c r="J4520" s="1323"/>
      <c r="K4520" s="1323"/>
      <c r="L4520" s="1323"/>
      <c r="M4520" s="1323"/>
      <c r="N4520" s="1323"/>
      <c r="O4520" s="1323"/>
      <c r="P4520" s="1323"/>
      <c r="Q4520" s="1323"/>
      <c r="R4520" s="1304"/>
      <c r="S4520" s="1304"/>
      <c r="T4520" s="1304"/>
    </row>
    <row r="4521" spans="1:20">
      <c r="A4521" s="1303"/>
      <c r="B4521" s="1322" t="s">
        <v>10803</v>
      </c>
      <c r="C4521" s="1323" t="s">
        <v>10758</v>
      </c>
      <c r="D4521" s="1324">
        <f t="shared" si="450"/>
        <v>35289</v>
      </c>
      <c r="E4521" s="1323">
        <f t="shared" si="452"/>
        <v>4.5198</v>
      </c>
      <c r="F4521" s="1323">
        <f t="shared" si="451"/>
        <v>4.1244716620276591</v>
      </c>
      <c r="G4521" s="1323">
        <f t="shared" si="453"/>
        <v>1996</v>
      </c>
      <c r="H4521" s="1323">
        <f t="shared" si="454"/>
        <v>8</v>
      </c>
      <c r="I4521" s="1323">
        <f t="shared" si="455"/>
        <v>12</v>
      </c>
      <c r="J4521" s="1323"/>
      <c r="K4521" s="1323"/>
      <c r="L4521" s="1323"/>
      <c r="M4521" s="1323"/>
      <c r="N4521" s="1323"/>
      <c r="O4521" s="1323"/>
      <c r="P4521" s="1323"/>
      <c r="Q4521" s="1323"/>
      <c r="R4521" s="1304"/>
      <c r="S4521" s="1304"/>
      <c r="T4521" s="1304"/>
    </row>
    <row r="4522" spans="1:20">
      <c r="A4522" s="1303"/>
      <c r="B4522" s="1322" t="s">
        <v>10804</v>
      </c>
      <c r="C4522" s="1323" t="s">
        <v>10756</v>
      </c>
      <c r="D4522" s="1324">
        <f t="shared" si="450"/>
        <v>35285</v>
      </c>
      <c r="E4522" s="1323">
        <f t="shared" si="452"/>
        <v>4.5147000000000004</v>
      </c>
      <c r="F4522" s="1323">
        <f t="shared" si="451"/>
        <v>4.1236808191308389</v>
      </c>
      <c r="G4522" s="1323">
        <f t="shared" si="453"/>
        <v>1996</v>
      </c>
      <c r="H4522" s="1323">
        <f t="shared" si="454"/>
        <v>8</v>
      </c>
      <c r="I4522" s="1323">
        <f t="shared" si="455"/>
        <v>8</v>
      </c>
      <c r="J4522" s="1323"/>
      <c r="K4522" s="1323"/>
      <c r="L4522" s="1323"/>
      <c r="M4522" s="1323"/>
      <c r="N4522" s="1323"/>
      <c r="O4522" s="1323"/>
      <c r="P4522" s="1323"/>
      <c r="Q4522" s="1323"/>
      <c r="R4522" s="1304"/>
      <c r="S4522" s="1304"/>
      <c r="T4522" s="1304"/>
    </row>
    <row r="4523" spans="1:20">
      <c r="A4523" s="1303"/>
      <c r="B4523" s="1322" t="s">
        <v>10805</v>
      </c>
      <c r="C4523" s="1323" t="s">
        <v>10806</v>
      </c>
      <c r="D4523" s="1324">
        <f t="shared" si="450"/>
        <v>35284</v>
      </c>
      <c r="E4523" s="1323">
        <f t="shared" si="452"/>
        <v>4.5015000000000001</v>
      </c>
      <c r="F4523" s="1323">
        <f t="shared" si="451"/>
        <v>4.122890127873438</v>
      </c>
      <c r="G4523" s="1323">
        <f t="shared" si="453"/>
        <v>1996</v>
      </c>
      <c r="H4523" s="1323">
        <f t="shared" si="454"/>
        <v>8</v>
      </c>
      <c r="I4523" s="1323">
        <f t="shared" si="455"/>
        <v>7</v>
      </c>
      <c r="J4523" s="1323"/>
      <c r="K4523" s="1323"/>
      <c r="L4523" s="1323"/>
      <c r="M4523" s="1323"/>
      <c r="N4523" s="1323"/>
      <c r="O4523" s="1323"/>
      <c r="P4523" s="1323"/>
      <c r="Q4523" s="1323"/>
      <c r="R4523" s="1304"/>
      <c r="S4523" s="1304"/>
      <c r="T4523" s="1304"/>
    </row>
    <row r="4524" spans="1:20">
      <c r="A4524" s="1303"/>
      <c r="B4524" s="1322" t="s">
        <v>10807</v>
      </c>
      <c r="C4524" s="1323" t="s">
        <v>10482</v>
      </c>
      <c r="D4524" s="1324">
        <f t="shared" si="450"/>
        <v>35283</v>
      </c>
      <c r="E4524" s="1323">
        <f t="shared" si="452"/>
        <v>4.4683000000000002</v>
      </c>
      <c r="F4524" s="1323">
        <f t="shared" si="451"/>
        <v>4.1220995882263809</v>
      </c>
      <c r="G4524" s="1323">
        <f t="shared" si="453"/>
        <v>1996</v>
      </c>
      <c r="H4524" s="1323">
        <f t="shared" si="454"/>
        <v>8</v>
      </c>
      <c r="I4524" s="1323">
        <f t="shared" si="455"/>
        <v>6</v>
      </c>
      <c r="J4524" s="1323"/>
      <c r="K4524" s="1323"/>
      <c r="L4524" s="1323"/>
      <c r="M4524" s="1323"/>
      <c r="N4524" s="1323"/>
      <c r="O4524" s="1323"/>
      <c r="P4524" s="1323"/>
      <c r="Q4524" s="1323"/>
      <c r="R4524" s="1304"/>
      <c r="S4524" s="1304"/>
      <c r="T4524" s="1304"/>
    </row>
    <row r="4525" spans="1:20">
      <c r="A4525" s="1303"/>
      <c r="B4525" s="1322" t="s">
        <v>10808</v>
      </c>
      <c r="C4525" s="1323" t="s">
        <v>10516</v>
      </c>
      <c r="D4525" s="1324">
        <f t="shared" si="450"/>
        <v>35282</v>
      </c>
      <c r="E4525" s="1323">
        <f t="shared" si="452"/>
        <v>4.4642999999999997</v>
      </c>
      <c r="F4525" s="1323">
        <f t="shared" si="451"/>
        <v>4.1213092001605967</v>
      </c>
      <c r="G4525" s="1323">
        <f t="shared" si="453"/>
        <v>1996</v>
      </c>
      <c r="H4525" s="1323">
        <f t="shared" si="454"/>
        <v>8</v>
      </c>
      <c r="I4525" s="1323">
        <f t="shared" si="455"/>
        <v>5</v>
      </c>
      <c r="J4525" s="1323"/>
      <c r="K4525" s="1323"/>
      <c r="L4525" s="1323"/>
      <c r="M4525" s="1323"/>
      <c r="N4525" s="1323"/>
      <c r="O4525" s="1323"/>
      <c r="P4525" s="1323"/>
      <c r="Q4525" s="1323"/>
      <c r="R4525" s="1304"/>
      <c r="S4525" s="1304"/>
      <c r="T4525" s="1304"/>
    </row>
    <row r="4526" spans="1:20">
      <c r="A4526" s="1303"/>
      <c r="B4526" s="1322" t="s">
        <v>10809</v>
      </c>
      <c r="C4526" s="1323" t="s">
        <v>10520</v>
      </c>
      <c r="D4526" s="1324">
        <f t="shared" si="450"/>
        <v>35279</v>
      </c>
      <c r="E4526" s="1323">
        <f t="shared" si="452"/>
        <v>4.4943999999999997</v>
      </c>
      <c r="F4526" s="1323">
        <f t="shared" si="451"/>
        <v>4.1205189636470205</v>
      </c>
      <c r="G4526" s="1323">
        <f t="shared" si="453"/>
        <v>1996</v>
      </c>
      <c r="H4526" s="1323">
        <f t="shared" si="454"/>
        <v>8</v>
      </c>
      <c r="I4526" s="1323">
        <f t="shared" si="455"/>
        <v>2</v>
      </c>
      <c r="J4526" s="1323"/>
      <c r="K4526" s="1323"/>
      <c r="L4526" s="1323"/>
      <c r="M4526" s="1323"/>
      <c r="N4526" s="1323"/>
      <c r="O4526" s="1323"/>
      <c r="P4526" s="1323"/>
      <c r="Q4526" s="1323"/>
      <c r="R4526" s="1304"/>
      <c r="S4526" s="1304"/>
      <c r="T4526" s="1304"/>
    </row>
    <row r="4527" spans="1:20">
      <c r="A4527" s="1303"/>
      <c r="B4527" s="1322" t="s">
        <v>10810</v>
      </c>
      <c r="C4527" s="1323" t="s">
        <v>10811</v>
      </c>
      <c r="D4527" s="1324">
        <f t="shared" si="450"/>
        <v>35278</v>
      </c>
      <c r="E4527" s="1323">
        <f t="shared" si="452"/>
        <v>4.5248999999999997</v>
      </c>
      <c r="F4527" s="1323">
        <f t="shared" si="451"/>
        <v>4.1197288786565931</v>
      </c>
      <c r="G4527" s="1323">
        <f t="shared" si="453"/>
        <v>1996</v>
      </c>
      <c r="H4527" s="1323">
        <f t="shared" si="454"/>
        <v>8</v>
      </c>
      <c r="I4527" s="1323">
        <f t="shared" si="455"/>
        <v>1</v>
      </c>
      <c r="J4527" s="1323"/>
      <c r="K4527" s="1323"/>
      <c r="L4527" s="1323"/>
      <c r="M4527" s="1323"/>
      <c r="N4527" s="1323"/>
      <c r="O4527" s="1323"/>
      <c r="P4527" s="1323"/>
      <c r="Q4527" s="1323"/>
      <c r="R4527" s="1304"/>
      <c r="S4527" s="1304"/>
      <c r="T4527" s="1304"/>
    </row>
    <row r="4528" spans="1:20">
      <c r="A4528" s="1303"/>
      <c r="B4528" s="1322" t="s">
        <v>10812</v>
      </c>
      <c r="C4528" s="1323" t="s">
        <v>10472</v>
      </c>
      <c r="D4528" s="1324">
        <f t="shared" si="450"/>
        <v>35277</v>
      </c>
      <c r="E4528" s="1323">
        <f t="shared" si="452"/>
        <v>4.4663000000000004</v>
      </c>
      <c r="F4528" s="1323">
        <f t="shared" si="451"/>
        <v>4.1189389451602612</v>
      </c>
      <c r="G4528" s="1323">
        <f t="shared" si="453"/>
        <v>1996</v>
      </c>
      <c r="H4528" s="1323">
        <f t="shared" si="454"/>
        <v>7</v>
      </c>
      <c r="I4528" s="1323">
        <f t="shared" si="455"/>
        <v>31</v>
      </c>
      <c r="J4528" s="1323"/>
      <c r="K4528" s="1323"/>
      <c r="L4528" s="1323"/>
      <c r="M4528" s="1323"/>
      <c r="N4528" s="1323"/>
      <c r="O4528" s="1323"/>
      <c r="P4528" s="1323"/>
      <c r="Q4528" s="1323"/>
      <c r="R4528" s="1304"/>
      <c r="S4528" s="1304"/>
      <c r="T4528" s="1304"/>
    </row>
    <row r="4529" spans="1:20">
      <c r="A4529" s="1303"/>
      <c r="B4529" s="1322" t="s">
        <v>10813</v>
      </c>
      <c r="C4529" s="1323" t="s">
        <v>10528</v>
      </c>
      <c r="D4529" s="1324">
        <f t="shared" si="450"/>
        <v>35276</v>
      </c>
      <c r="E4529" s="1323">
        <f t="shared" si="452"/>
        <v>4.4622999999999999</v>
      </c>
      <c r="F4529" s="1323">
        <f t="shared" si="451"/>
        <v>4.1181491631289759</v>
      </c>
      <c r="G4529" s="1323">
        <f t="shared" si="453"/>
        <v>1996</v>
      </c>
      <c r="H4529" s="1323">
        <f t="shared" si="454"/>
        <v>7</v>
      </c>
      <c r="I4529" s="1323">
        <f t="shared" si="455"/>
        <v>30</v>
      </c>
      <c r="J4529" s="1323"/>
      <c r="K4529" s="1323"/>
      <c r="L4529" s="1323"/>
      <c r="M4529" s="1323"/>
      <c r="N4529" s="1323"/>
      <c r="O4529" s="1323"/>
      <c r="P4529" s="1323"/>
      <c r="Q4529" s="1323"/>
      <c r="R4529" s="1304"/>
      <c r="S4529" s="1304"/>
      <c r="T4529" s="1304"/>
    </row>
    <row r="4530" spans="1:20">
      <c r="A4530" s="1303"/>
      <c r="B4530" s="1322" t="s">
        <v>10814</v>
      </c>
      <c r="C4530" s="1323" t="s">
        <v>10518</v>
      </c>
      <c r="D4530" s="1324">
        <f t="shared" si="450"/>
        <v>35275</v>
      </c>
      <c r="E4530" s="1323">
        <f t="shared" si="452"/>
        <v>4.4573</v>
      </c>
      <c r="F4530" s="1323">
        <f t="shared" si="451"/>
        <v>4.1173595325336958</v>
      </c>
      <c r="G4530" s="1323">
        <f t="shared" si="453"/>
        <v>1996</v>
      </c>
      <c r="H4530" s="1323">
        <f t="shared" si="454"/>
        <v>7</v>
      </c>
      <c r="I4530" s="1323">
        <f t="shared" si="455"/>
        <v>29</v>
      </c>
      <c r="J4530" s="1323"/>
      <c r="K4530" s="1323"/>
      <c r="L4530" s="1323"/>
      <c r="M4530" s="1323"/>
      <c r="N4530" s="1323"/>
      <c r="O4530" s="1323"/>
      <c r="P4530" s="1323"/>
      <c r="Q4530" s="1323"/>
      <c r="R4530" s="1304"/>
      <c r="S4530" s="1304"/>
      <c r="T4530" s="1304"/>
    </row>
    <row r="4531" spans="1:20">
      <c r="A4531" s="1303"/>
      <c r="B4531" s="1322" t="s">
        <v>10815</v>
      </c>
      <c r="C4531" s="1323" t="s">
        <v>10536</v>
      </c>
      <c r="D4531" s="1324">
        <f t="shared" si="450"/>
        <v>35272</v>
      </c>
      <c r="E4531" s="1323">
        <f t="shared" si="452"/>
        <v>4.4553000000000003</v>
      </c>
      <c r="F4531" s="1323">
        <f t="shared" si="451"/>
        <v>4.1165700533453826</v>
      </c>
      <c r="G4531" s="1323">
        <f t="shared" si="453"/>
        <v>1996</v>
      </c>
      <c r="H4531" s="1323">
        <f t="shared" si="454"/>
        <v>7</v>
      </c>
      <c r="I4531" s="1323">
        <f t="shared" si="455"/>
        <v>26</v>
      </c>
      <c r="J4531" s="1323"/>
      <c r="K4531" s="1323"/>
      <c r="L4531" s="1323"/>
      <c r="M4531" s="1323"/>
      <c r="N4531" s="1323"/>
      <c r="O4531" s="1323"/>
      <c r="P4531" s="1323"/>
      <c r="Q4531" s="1323"/>
      <c r="R4531" s="1304"/>
      <c r="S4531" s="1304"/>
      <c r="T4531" s="1304"/>
    </row>
    <row r="4532" spans="1:20">
      <c r="A4532" s="1303"/>
      <c r="B4532" s="1322" t="s">
        <v>10816</v>
      </c>
      <c r="C4532" s="1323" t="s">
        <v>10817</v>
      </c>
      <c r="D4532" s="1324">
        <f t="shared" si="450"/>
        <v>35271</v>
      </c>
      <c r="E4532" s="1323">
        <f t="shared" si="452"/>
        <v>4.4297000000000004</v>
      </c>
      <c r="F4532" s="1323">
        <f t="shared" si="451"/>
        <v>4.1157807255350063</v>
      </c>
      <c r="G4532" s="1323">
        <f t="shared" si="453"/>
        <v>1996</v>
      </c>
      <c r="H4532" s="1323">
        <f t="shared" si="454"/>
        <v>7</v>
      </c>
      <c r="I4532" s="1323">
        <f t="shared" si="455"/>
        <v>25</v>
      </c>
      <c r="J4532" s="1323"/>
      <c r="K4532" s="1323"/>
      <c r="L4532" s="1323"/>
      <c r="M4532" s="1323"/>
      <c r="N4532" s="1323"/>
      <c r="O4532" s="1323"/>
      <c r="P4532" s="1323"/>
      <c r="Q4532" s="1323"/>
      <c r="R4532" s="1304"/>
      <c r="S4532" s="1304"/>
      <c r="T4532" s="1304"/>
    </row>
    <row r="4533" spans="1:20">
      <c r="A4533" s="1303"/>
      <c r="B4533" s="1322" t="s">
        <v>10818</v>
      </c>
      <c r="C4533" s="1323" t="s">
        <v>10819</v>
      </c>
      <c r="D4533" s="1324">
        <f t="shared" si="450"/>
        <v>35270</v>
      </c>
      <c r="E4533" s="1323">
        <f t="shared" si="452"/>
        <v>4.4160000000000004</v>
      </c>
      <c r="F4533" s="1323">
        <f t="shared" si="451"/>
        <v>4.1149915490735403</v>
      </c>
      <c r="G4533" s="1323">
        <f t="shared" si="453"/>
        <v>1996</v>
      </c>
      <c r="H4533" s="1323">
        <f t="shared" si="454"/>
        <v>7</v>
      </c>
      <c r="I4533" s="1323">
        <f t="shared" si="455"/>
        <v>24</v>
      </c>
      <c r="J4533" s="1323"/>
      <c r="K4533" s="1323"/>
      <c r="L4533" s="1323"/>
      <c r="M4533" s="1323"/>
      <c r="N4533" s="1323"/>
      <c r="O4533" s="1323"/>
      <c r="P4533" s="1323"/>
      <c r="Q4533" s="1323"/>
      <c r="R4533" s="1304"/>
      <c r="S4533" s="1304"/>
      <c r="T4533" s="1304"/>
    </row>
    <row r="4534" spans="1:20">
      <c r="A4534" s="1303"/>
      <c r="B4534" s="1322" t="s">
        <v>10820</v>
      </c>
      <c r="C4534" s="1323" t="s">
        <v>10588</v>
      </c>
      <c r="D4534" s="1324">
        <f t="shared" si="450"/>
        <v>35269</v>
      </c>
      <c r="E4534" s="1323">
        <f t="shared" si="452"/>
        <v>4.4188999999999998</v>
      </c>
      <c r="F4534" s="1323">
        <f t="shared" si="451"/>
        <v>4.1142025239319642</v>
      </c>
      <c r="G4534" s="1323">
        <f t="shared" si="453"/>
        <v>1996</v>
      </c>
      <c r="H4534" s="1323">
        <f t="shared" si="454"/>
        <v>7</v>
      </c>
      <c r="I4534" s="1323">
        <f t="shared" si="455"/>
        <v>23</v>
      </c>
      <c r="J4534" s="1323"/>
      <c r="K4534" s="1323"/>
      <c r="L4534" s="1323"/>
      <c r="M4534" s="1323"/>
      <c r="N4534" s="1323"/>
      <c r="O4534" s="1323"/>
      <c r="P4534" s="1323"/>
      <c r="Q4534" s="1323"/>
      <c r="R4534" s="1304"/>
      <c r="S4534" s="1304"/>
      <c r="T4534" s="1304"/>
    </row>
    <row r="4535" spans="1:20">
      <c r="A4535" s="1303"/>
      <c r="B4535" s="1322" t="s">
        <v>10821</v>
      </c>
      <c r="C4535" s="1323" t="s">
        <v>10607</v>
      </c>
      <c r="D4535" s="1324">
        <f t="shared" si="450"/>
        <v>35268</v>
      </c>
      <c r="E4535" s="1323">
        <f t="shared" si="452"/>
        <v>4.3926999999999996</v>
      </c>
      <c r="F4535" s="1323">
        <f t="shared" si="451"/>
        <v>4.1134136500812639</v>
      </c>
      <c r="G4535" s="1323">
        <f t="shared" si="453"/>
        <v>1996</v>
      </c>
      <c r="H4535" s="1323">
        <f t="shared" si="454"/>
        <v>7</v>
      </c>
      <c r="I4535" s="1323">
        <f t="shared" si="455"/>
        <v>22</v>
      </c>
      <c r="J4535" s="1323"/>
      <c r="K4535" s="1323"/>
      <c r="L4535" s="1323"/>
      <c r="M4535" s="1323"/>
      <c r="N4535" s="1323"/>
      <c r="O4535" s="1323"/>
      <c r="P4535" s="1323"/>
      <c r="Q4535" s="1323"/>
      <c r="R4535" s="1304"/>
      <c r="S4535" s="1304"/>
      <c r="T4535" s="1304"/>
    </row>
    <row r="4536" spans="1:20">
      <c r="A4536" s="1303"/>
      <c r="B4536" s="1322" t="s">
        <v>10822</v>
      </c>
      <c r="C4536" s="1323" t="s">
        <v>10823</v>
      </c>
      <c r="D4536" s="1324">
        <f t="shared" si="450"/>
        <v>35265</v>
      </c>
      <c r="E4536" s="1323">
        <f t="shared" si="452"/>
        <v>4.3868999999999998</v>
      </c>
      <c r="F4536" s="1323">
        <f t="shared" si="451"/>
        <v>4.1126249274924298</v>
      </c>
      <c r="G4536" s="1323">
        <f t="shared" si="453"/>
        <v>1996</v>
      </c>
      <c r="H4536" s="1323">
        <f t="shared" si="454"/>
        <v>7</v>
      </c>
      <c r="I4536" s="1323">
        <f t="shared" si="455"/>
        <v>19</v>
      </c>
      <c r="J4536" s="1323"/>
      <c r="K4536" s="1323"/>
      <c r="L4536" s="1323"/>
      <c r="M4536" s="1323"/>
      <c r="N4536" s="1323"/>
      <c r="O4536" s="1323"/>
      <c r="P4536" s="1323"/>
      <c r="Q4536" s="1323"/>
      <c r="R4536" s="1304"/>
      <c r="S4536" s="1304"/>
      <c r="T4536" s="1304"/>
    </row>
    <row r="4537" spans="1:20">
      <c r="A4537" s="1303"/>
      <c r="B4537" s="1322" t="s">
        <v>10824</v>
      </c>
      <c r="C4537" s="1323" t="s">
        <v>10825</v>
      </c>
      <c r="D4537" s="1324">
        <f t="shared" si="450"/>
        <v>35264</v>
      </c>
      <c r="E4537" s="1323">
        <f t="shared" si="452"/>
        <v>4.3860000000000001</v>
      </c>
      <c r="F4537" s="1323">
        <f t="shared" si="451"/>
        <v>4.1118363561364584</v>
      </c>
      <c r="G4537" s="1323">
        <f t="shared" si="453"/>
        <v>1996</v>
      </c>
      <c r="H4537" s="1323">
        <f t="shared" si="454"/>
        <v>7</v>
      </c>
      <c r="I4537" s="1323">
        <f t="shared" si="455"/>
        <v>18</v>
      </c>
      <c r="J4537" s="1323"/>
      <c r="K4537" s="1323"/>
      <c r="L4537" s="1323"/>
      <c r="M4537" s="1323"/>
      <c r="N4537" s="1323"/>
      <c r="O4537" s="1323"/>
      <c r="P4537" s="1323"/>
      <c r="Q4537" s="1323"/>
      <c r="R4537" s="1304"/>
      <c r="S4537" s="1304"/>
      <c r="T4537" s="1304"/>
    </row>
    <row r="4538" spans="1:20">
      <c r="A4538" s="1303"/>
      <c r="B4538" s="1322" t="s">
        <v>10826</v>
      </c>
      <c r="C4538" s="1323" t="s">
        <v>10623</v>
      </c>
      <c r="D4538" s="1324">
        <f t="shared" si="450"/>
        <v>35263</v>
      </c>
      <c r="E4538" s="1323">
        <f t="shared" si="452"/>
        <v>4.4024000000000001</v>
      </c>
      <c r="F4538" s="1323">
        <f t="shared" si="451"/>
        <v>4.1110479359843515</v>
      </c>
      <c r="G4538" s="1323">
        <f t="shared" si="453"/>
        <v>1996</v>
      </c>
      <c r="H4538" s="1323">
        <f t="shared" si="454"/>
        <v>7</v>
      </c>
      <c r="I4538" s="1323">
        <f t="shared" si="455"/>
        <v>17</v>
      </c>
      <c r="J4538" s="1323"/>
      <c r="K4538" s="1323"/>
      <c r="L4538" s="1323"/>
      <c r="M4538" s="1323"/>
      <c r="N4538" s="1323"/>
      <c r="O4538" s="1323"/>
      <c r="P4538" s="1323"/>
      <c r="Q4538" s="1323"/>
      <c r="R4538" s="1304"/>
      <c r="S4538" s="1304"/>
      <c r="T4538" s="1304"/>
    </row>
    <row r="4539" spans="1:20">
      <c r="A4539" s="1303"/>
      <c r="B4539" s="1322" t="s">
        <v>10827</v>
      </c>
      <c r="C4539" s="1323" t="s">
        <v>10828</v>
      </c>
      <c r="D4539" s="1324">
        <f t="shared" si="450"/>
        <v>35262</v>
      </c>
      <c r="E4539" s="1323">
        <f t="shared" si="452"/>
        <v>4.4405000000000001</v>
      </c>
      <c r="F4539" s="1323">
        <f t="shared" si="451"/>
        <v>4.1102596670071172</v>
      </c>
      <c r="G4539" s="1323">
        <f t="shared" si="453"/>
        <v>1996</v>
      </c>
      <c r="H4539" s="1323">
        <f t="shared" si="454"/>
        <v>7</v>
      </c>
      <c r="I4539" s="1323">
        <f t="shared" si="455"/>
        <v>16</v>
      </c>
      <c r="J4539" s="1323"/>
      <c r="K4539" s="1323"/>
      <c r="L4539" s="1323"/>
      <c r="M4539" s="1323"/>
      <c r="N4539" s="1323"/>
      <c r="O4539" s="1323"/>
      <c r="P4539" s="1323"/>
      <c r="Q4539" s="1323"/>
      <c r="R4539" s="1304"/>
      <c r="S4539" s="1304"/>
      <c r="T4539" s="1304"/>
    </row>
    <row r="4540" spans="1:20">
      <c r="A4540" s="1303"/>
      <c r="B4540" s="1322" t="s">
        <v>10829</v>
      </c>
      <c r="C4540" s="1323" t="s">
        <v>10830</v>
      </c>
      <c r="D4540" s="1324">
        <f t="shared" si="450"/>
        <v>35261</v>
      </c>
      <c r="E4540" s="1323">
        <f t="shared" si="452"/>
        <v>4.4366000000000003</v>
      </c>
      <c r="F4540" s="1323">
        <f t="shared" si="451"/>
        <v>4.1094715491757681</v>
      </c>
      <c r="G4540" s="1323">
        <f t="shared" si="453"/>
        <v>1996</v>
      </c>
      <c r="H4540" s="1323">
        <f t="shared" si="454"/>
        <v>7</v>
      </c>
      <c r="I4540" s="1323">
        <f t="shared" si="455"/>
        <v>15</v>
      </c>
      <c r="J4540" s="1323"/>
      <c r="K4540" s="1323"/>
      <c r="L4540" s="1323"/>
      <c r="M4540" s="1323"/>
      <c r="N4540" s="1323"/>
      <c r="O4540" s="1323"/>
      <c r="P4540" s="1323"/>
      <c r="Q4540" s="1323"/>
      <c r="R4540" s="1304"/>
      <c r="S4540" s="1304"/>
      <c r="T4540" s="1304"/>
    </row>
    <row r="4541" spans="1:20">
      <c r="A4541" s="1303"/>
      <c r="B4541" s="1322" t="s">
        <v>10831</v>
      </c>
      <c r="C4541" s="1323" t="s">
        <v>10580</v>
      </c>
      <c r="D4541" s="1324">
        <f t="shared" si="450"/>
        <v>35258</v>
      </c>
      <c r="E4541" s="1323">
        <f t="shared" si="452"/>
        <v>4.3715999999999999</v>
      </c>
      <c r="F4541" s="1323">
        <f t="shared" si="451"/>
        <v>4.1086835824613237</v>
      </c>
      <c r="G4541" s="1323">
        <f t="shared" si="453"/>
        <v>1996</v>
      </c>
      <c r="H4541" s="1323">
        <f t="shared" si="454"/>
        <v>7</v>
      </c>
      <c r="I4541" s="1323">
        <f t="shared" si="455"/>
        <v>12</v>
      </c>
      <c r="J4541" s="1323"/>
      <c r="K4541" s="1323"/>
      <c r="L4541" s="1323"/>
      <c r="M4541" s="1323"/>
      <c r="N4541" s="1323"/>
      <c r="O4541" s="1323"/>
      <c r="P4541" s="1323"/>
      <c r="Q4541" s="1323"/>
      <c r="R4541" s="1304"/>
      <c r="S4541" s="1304"/>
      <c r="T4541" s="1304"/>
    </row>
    <row r="4542" spans="1:20">
      <c r="A4542" s="1303"/>
      <c r="B4542" s="1322" t="s">
        <v>10832</v>
      </c>
      <c r="C4542" s="1323" t="s">
        <v>10833</v>
      </c>
      <c r="D4542" s="1324">
        <f t="shared" si="450"/>
        <v>35257</v>
      </c>
      <c r="E4542" s="1323">
        <f t="shared" si="452"/>
        <v>4.3411999999999997</v>
      </c>
      <c r="F4542" s="1323">
        <f t="shared" si="451"/>
        <v>4.1078957668348073</v>
      </c>
      <c r="G4542" s="1323">
        <f t="shared" si="453"/>
        <v>1996</v>
      </c>
      <c r="H4542" s="1323">
        <f t="shared" si="454"/>
        <v>7</v>
      </c>
      <c r="I4542" s="1323">
        <f t="shared" si="455"/>
        <v>11</v>
      </c>
      <c r="J4542" s="1323"/>
      <c r="K4542" s="1323"/>
      <c r="L4542" s="1323"/>
      <c r="M4542" s="1323"/>
      <c r="N4542" s="1323"/>
      <c r="O4542" s="1323"/>
      <c r="P4542" s="1323"/>
      <c r="Q4542" s="1323"/>
      <c r="R4542" s="1304"/>
      <c r="S4542" s="1304"/>
      <c r="T4542" s="1304"/>
    </row>
    <row r="4543" spans="1:20">
      <c r="A4543" s="1303"/>
      <c r="B4543" s="1322" t="s">
        <v>10834</v>
      </c>
      <c r="C4543" s="1323" t="s">
        <v>10835</v>
      </c>
      <c r="D4543" s="1324">
        <f t="shared" si="450"/>
        <v>35256</v>
      </c>
      <c r="E4543" s="1323">
        <f t="shared" si="452"/>
        <v>4.3299000000000003</v>
      </c>
      <c r="F4543" s="1323">
        <f t="shared" si="451"/>
        <v>4.1071081022672491</v>
      </c>
      <c r="G4543" s="1323">
        <f t="shared" si="453"/>
        <v>1996</v>
      </c>
      <c r="H4543" s="1323">
        <f t="shared" si="454"/>
        <v>7</v>
      </c>
      <c r="I4543" s="1323">
        <f t="shared" si="455"/>
        <v>10</v>
      </c>
      <c r="J4543" s="1323"/>
      <c r="K4543" s="1323"/>
      <c r="L4543" s="1323"/>
      <c r="M4543" s="1323"/>
      <c r="N4543" s="1323"/>
      <c r="O4543" s="1323"/>
      <c r="P4543" s="1323"/>
      <c r="Q4543" s="1323"/>
      <c r="R4543" s="1304"/>
      <c r="S4543" s="1304"/>
      <c r="T4543" s="1304"/>
    </row>
    <row r="4544" spans="1:20">
      <c r="A4544" s="1303"/>
      <c r="B4544" s="1322" t="s">
        <v>10836</v>
      </c>
      <c r="C4544" s="1323" t="s">
        <v>10837</v>
      </c>
      <c r="D4544" s="1324">
        <f t="shared" si="450"/>
        <v>35255</v>
      </c>
      <c r="E4544" s="1323">
        <f t="shared" si="452"/>
        <v>4.3375000000000004</v>
      </c>
      <c r="F4544" s="1323">
        <f t="shared" si="451"/>
        <v>4.1063205887296848</v>
      </c>
      <c r="G4544" s="1323">
        <f t="shared" si="453"/>
        <v>1996</v>
      </c>
      <c r="H4544" s="1323">
        <f t="shared" si="454"/>
        <v>7</v>
      </c>
      <c r="I4544" s="1323">
        <f t="shared" si="455"/>
        <v>9</v>
      </c>
      <c r="J4544" s="1323"/>
      <c r="K4544" s="1323"/>
      <c r="L4544" s="1323"/>
      <c r="M4544" s="1323"/>
      <c r="N4544" s="1323"/>
      <c r="O4544" s="1323"/>
      <c r="P4544" s="1323"/>
      <c r="Q4544" s="1323"/>
      <c r="R4544" s="1304"/>
      <c r="S4544" s="1304"/>
      <c r="T4544" s="1304"/>
    </row>
    <row r="4545" spans="1:20">
      <c r="A4545" s="1303"/>
      <c r="B4545" s="1322" t="s">
        <v>10838</v>
      </c>
      <c r="C4545" s="1323" t="s">
        <v>10839</v>
      </c>
      <c r="D4545" s="1324">
        <f t="shared" si="450"/>
        <v>35254</v>
      </c>
      <c r="E4545" s="1323">
        <f t="shared" si="452"/>
        <v>4.3430999999999997</v>
      </c>
      <c r="F4545" s="1323">
        <f t="shared" si="451"/>
        <v>4.1055332261931543</v>
      </c>
      <c r="G4545" s="1323">
        <f t="shared" si="453"/>
        <v>1996</v>
      </c>
      <c r="H4545" s="1323">
        <f t="shared" si="454"/>
        <v>7</v>
      </c>
      <c r="I4545" s="1323">
        <f t="shared" si="455"/>
        <v>8</v>
      </c>
      <c r="J4545" s="1323"/>
      <c r="K4545" s="1323"/>
      <c r="L4545" s="1323"/>
      <c r="M4545" s="1323"/>
      <c r="N4545" s="1323"/>
      <c r="O4545" s="1323"/>
      <c r="P4545" s="1323"/>
      <c r="Q4545" s="1323"/>
      <c r="R4545" s="1304"/>
      <c r="S4545" s="1304"/>
      <c r="T4545" s="1304"/>
    </row>
    <row r="4546" spans="1:20">
      <c r="A4546" s="1303"/>
      <c r="B4546" s="1322" t="s">
        <v>10840</v>
      </c>
      <c r="C4546" s="1323" t="s">
        <v>10841</v>
      </c>
      <c r="D4546" s="1324">
        <f t="shared" si="450"/>
        <v>35251</v>
      </c>
      <c r="E4546" s="1323">
        <f t="shared" si="452"/>
        <v>4.3430999999999997</v>
      </c>
      <c r="F4546" s="1323">
        <f t="shared" si="451"/>
        <v>4.1047460146287049</v>
      </c>
      <c r="G4546" s="1323">
        <f t="shared" si="453"/>
        <v>1996</v>
      </c>
      <c r="H4546" s="1323">
        <f t="shared" si="454"/>
        <v>7</v>
      </c>
      <c r="I4546" s="1323">
        <f t="shared" si="455"/>
        <v>5</v>
      </c>
      <c r="J4546" s="1323"/>
      <c r="K4546" s="1323"/>
      <c r="L4546" s="1323"/>
      <c r="M4546" s="1323"/>
      <c r="N4546" s="1323"/>
      <c r="O4546" s="1323"/>
      <c r="P4546" s="1323"/>
      <c r="Q4546" s="1323"/>
      <c r="R4546" s="1304"/>
      <c r="S4546" s="1304"/>
      <c r="T4546" s="1304"/>
    </row>
    <row r="4547" spans="1:20">
      <c r="A4547" s="1303"/>
      <c r="B4547" s="1322" t="s">
        <v>10842</v>
      </c>
      <c r="C4547" s="1323" t="s">
        <v>10841</v>
      </c>
      <c r="D4547" s="1324">
        <f t="shared" si="450"/>
        <v>35250</v>
      </c>
      <c r="E4547" s="1323">
        <f t="shared" si="452"/>
        <v>4.3327999999999998</v>
      </c>
      <c r="F4547" s="1323">
        <f t="shared" si="451"/>
        <v>4.1039589540073882</v>
      </c>
      <c r="G4547" s="1323">
        <f t="shared" si="453"/>
        <v>1996</v>
      </c>
      <c r="H4547" s="1323">
        <f t="shared" si="454"/>
        <v>7</v>
      </c>
      <c r="I4547" s="1323">
        <f t="shared" si="455"/>
        <v>4</v>
      </c>
      <c r="J4547" s="1323"/>
      <c r="K4547" s="1323"/>
      <c r="L4547" s="1323"/>
      <c r="M4547" s="1323"/>
      <c r="N4547" s="1323"/>
      <c r="O4547" s="1323"/>
      <c r="P4547" s="1323"/>
      <c r="Q4547" s="1323"/>
      <c r="R4547" s="1304"/>
      <c r="S4547" s="1304"/>
      <c r="T4547" s="1304"/>
    </row>
    <row r="4548" spans="1:20">
      <c r="A4548" s="1303"/>
      <c r="B4548" s="1322" t="s">
        <v>10843</v>
      </c>
      <c r="C4548" s="1323" t="s">
        <v>10844</v>
      </c>
      <c r="D4548" s="1324">
        <f t="shared" si="450"/>
        <v>35249</v>
      </c>
      <c r="E4548" s="1323">
        <f t="shared" si="452"/>
        <v>4.3337000000000003</v>
      </c>
      <c r="F4548" s="1323">
        <f t="shared" si="451"/>
        <v>4.1031720443002619</v>
      </c>
      <c r="G4548" s="1323">
        <f t="shared" si="453"/>
        <v>1996</v>
      </c>
      <c r="H4548" s="1323">
        <f t="shared" si="454"/>
        <v>7</v>
      </c>
      <c r="I4548" s="1323">
        <f t="shared" si="455"/>
        <v>3</v>
      </c>
      <c r="J4548" s="1323"/>
      <c r="K4548" s="1323"/>
      <c r="L4548" s="1323"/>
      <c r="M4548" s="1323"/>
      <c r="N4548" s="1323"/>
      <c r="O4548" s="1323"/>
      <c r="P4548" s="1323"/>
      <c r="Q4548" s="1323"/>
      <c r="R4548" s="1304"/>
      <c r="S4548" s="1304"/>
      <c r="T4548" s="1304"/>
    </row>
    <row r="4549" spans="1:20">
      <c r="A4549" s="1303"/>
      <c r="B4549" s="1322" t="s">
        <v>10845</v>
      </c>
      <c r="C4549" s="1323" t="s">
        <v>10846</v>
      </c>
      <c r="D4549" s="1324">
        <f t="shared" si="450"/>
        <v>35248</v>
      </c>
      <c r="E4549" s="1323">
        <f t="shared" si="452"/>
        <v>4.3337000000000003</v>
      </c>
      <c r="F4549" s="1323">
        <f t="shared" si="451"/>
        <v>4.1023852854783893</v>
      </c>
      <c r="G4549" s="1323">
        <f t="shared" si="453"/>
        <v>1996</v>
      </c>
      <c r="H4549" s="1323">
        <f t="shared" si="454"/>
        <v>7</v>
      </c>
      <c r="I4549" s="1323">
        <f t="shared" si="455"/>
        <v>2</v>
      </c>
      <c r="J4549" s="1323"/>
      <c r="K4549" s="1323"/>
      <c r="L4549" s="1323"/>
      <c r="M4549" s="1323"/>
      <c r="N4549" s="1323"/>
      <c r="O4549" s="1323"/>
      <c r="P4549" s="1323"/>
      <c r="Q4549" s="1323"/>
      <c r="R4549" s="1304"/>
      <c r="S4549" s="1304"/>
      <c r="T4549" s="1304"/>
    </row>
    <row r="4550" spans="1:20">
      <c r="A4550" s="1303"/>
      <c r="B4550" s="1322" t="s">
        <v>10847</v>
      </c>
      <c r="C4550" s="1323" t="s">
        <v>10846</v>
      </c>
      <c r="D4550" s="1324">
        <f t="shared" si="450"/>
        <v>35247</v>
      </c>
      <c r="E4550" s="1323">
        <f t="shared" si="452"/>
        <v>4.3365</v>
      </c>
      <c r="F4550" s="1323">
        <f t="shared" si="451"/>
        <v>4.1015986775128388</v>
      </c>
      <c r="G4550" s="1323">
        <f t="shared" si="453"/>
        <v>1996</v>
      </c>
      <c r="H4550" s="1323">
        <f t="shared" si="454"/>
        <v>7</v>
      </c>
      <c r="I4550" s="1323">
        <f t="shared" si="455"/>
        <v>1</v>
      </c>
      <c r="J4550" s="1323"/>
      <c r="K4550" s="1323"/>
      <c r="L4550" s="1323"/>
      <c r="M4550" s="1323"/>
      <c r="N4550" s="1323"/>
      <c r="O4550" s="1323"/>
      <c r="P4550" s="1323"/>
      <c r="Q4550" s="1323"/>
      <c r="R4550" s="1304"/>
      <c r="S4550" s="1304"/>
      <c r="T4550" s="1304"/>
    </row>
    <row r="4551" spans="1:20">
      <c r="A4551" s="1303"/>
      <c r="B4551" s="1322" t="s">
        <v>10848</v>
      </c>
      <c r="C4551" s="1323" t="s">
        <v>10849</v>
      </c>
      <c r="D4551" s="1324">
        <f t="shared" si="450"/>
        <v>35244</v>
      </c>
      <c r="E4551" s="1323">
        <f t="shared" si="452"/>
        <v>4.3337000000000003</v>
      </c>
      <c r="F4551" s="1323">
        <f t="shared" si="451"/>
        <v>4.1008122203746842</v>
      </c>
      <c r="G4551" s="1323">
        <f t="shared" si="453"/>
        <v>1996</v>
      </c>
      <c r="H4551" s="1323">
        <f t="shared" si="454"/>
        <v>6</v>
      </c>
      <c r="I4551" s="1323">
        <f t="shared" si="455"/>
        <v>28</v>
      </c>
      <c r="J4551" s="1323"/>
      <c r="K4551" s="1323"/>
      <c r="L4551" s="1323"/>
      <c r="M4551" s="1323"/>
      <c r="N4551" s="1323"/>
      <c r="O4551" s="1323"/>
      <c r="P4551" s="1323"/>
      <c r="Q4551" s="1323"/>
      <c r="R4551" s="1304"/>
      <c r="S4551" s="1304"/>
      <c r="T4551" s="1304"/>
    </row>
    <row r="4552" spans="1:20">
      <c r="A4552" s="1303"/>
      <c r="B4552" s="1322" t="s">
        <v>10850</v>
      </c>
      <c r="C4552" s="1323" t="s">
        <v>10846</v>
      </c>
      <c r="D4552" s="1324">
        <f t="shared" si="450"/>
        <v>35243</v>
      </c>
      <c r="E4552" s="1323">
        <f t="shared" si="452"/>
        <v>4.3299000000000003</v>
      </c>
      <c r="F4552" s="1323">
        <f t="shared" si="451"/>
        <v>4.1000259140350064</v>
      </c>
      <c r="G4552" s="1323">
        <f t="shared" si="453"/>
        <v>1996</v>
      </c>
      <c r="H4552" s="1323">
        <f t="shared" si="454"/>
        <v>6</v>
      </c>
      <c r="I4552" s="1323">
        <f t="shared" si="455"/>
        <v>27</v>
      </c>
      <c r="J4552" s="1323"/>
      <c r="K4552" s="1323"/>
      <c r="L4552" s="1323"/>
      <c r="M4552" s="1323"/>
      <c r="N4552" s="1323"/>
      <c r="O4552" s="1323"/>
      <c r="P4552" s="1323"/>
      <c r="Q4552" s="1323"/>
      <c r="R4552" s="1304"/>
      <c r="S4552" s="1304"/>
      <c r="T4552" s="1304"/>
    </row>
    <row r="4553" spans="1:20">
      <c r="A4553" s="1303"/>
      <c r="B4553" s="1322" t="s">
        <v>10851</v>
      </c>
      <c r="C4553" s="1323" t="s">
        <v>10837</v>
      </c>
      <c r="D4553" s="1324">
        <f t="shared" ref="D4553:D4616" si="456">DATE(G4553,H4553,I4553)</f>
        <v>35242</v>
      </c>
      <c r="E4553" s="1323">
        <f t="shared" si="452"/>
        <v>4.3497000000000003</v>
      </c>
      <c r="F4553" s="1323">
        <f t="shared" ref="F4553:F4616" si="457">F4554*(1+$F$7/365)</f>
        <v>4.0992397584648899</v>
      </c>
      <c r="G4553" s="1323">
        <f t="shared" si="453"/>
        <v>1996</v>
      </c>
      <c r="H4553" s="1323">
        <f t="shared" si="454"/>
        <v>6</v>
      </c>
      <c r="I4553" s="1323">
        <f t="shared" si="455"/>
        <v>26</v>
      </c>
      <c r="J4553" s="1323"/>
      <c r="K4553" s="1323"/>
      <c r="L4553" s="1323"/>
      <c r="M4553" s="1323"/>
      <c r="N4553" s="1323"/>
      <c r="O4553" s="1323"/>
      <c r="P4553" s="1323"/>
      <c r="Q4553" s="1323"/>
      <c r="R4553" s="1304"/>
      <c r="S4553" s="1304"/>
      <c r="T4553" s="1304"/>
    </row>
    <row r="4554" spans="1:20">
      <c r="A4554" s="1303"/>
      <c r="B4554" s="1322" t="s">
        <v>10852</v>
      </c>
      <c r="C4554" s="1323" t="s">
        <v>10853</v>
      </c>
      <c r="D4554" s="1324">
        <f t="shared" si="456"/>
        <v>35241</v>
      </c>
      <c r="E4554" s="1323">
        <f t="shared" si="452"/>
        <v>4.3525999999999998</v>
      </c>
      <c r="F4554" s="1323">
        <f t="shared" si="457"/>
        <v>4.0984537536354253</v>
      </c>
      <c r="G4554" s="1323">
        <f t="shared" si="453"/>
        <v>1996</v>
      </c>
      <c r="H4554" s="1323">
        <f t="shared" si="454"/>
        <v>6</v>
      </c>
      <c r="I4554" s="1323">
        <f t="shared" si="455"/>
        <v>25</v>
      </c>
      <c r="J4554" s="1323"/>
      <c r="K4554" s="1323"/>
      <c r="L4554" s="1323"/>
      <c r="M4554" s="1323"/>
      <c r="N4554" s="1323"/>
      <c r="O4554" s="1323"/>
      <c r="P4554" s="1323"/>
      <c r="Q4554" s="1323"/>
      <c r="R4554" s="1304"/>
      <c r="S4554" s="1304"/>
      <c r="T4554" s="1304"/>
    </row>
    <row r="4555" spans="1:20">
      <c r="A4555" s="1303"/>
      <c r="B4555" s="1322" t="s">
        <v>10854</v>
      </c>
      <c r="C4555" s="1323" t="s">
        <v>10855</v>
      </c>
      <c r="D4555" s="1324">
        <f t="shared" si="456"/>
        <v>35240</v>
      </c>
      <c r="E4555" s="1323">
        <f t="shared" si="452"/>
        <v>4.3658999999999999</v>
      </c>
      <c r="F4555" s="1323">
        <f t="shared" si="457"/>
        <v>4.0976678995177096</v>
      </c>
      <c r="G4555" s="1323">
        <f t="shared" si="453"/>
        <v>1996</v>
      </c>
      <c r="H4555" s="1323">
        <f t="shared" si="454"/>
        <v>6</v>
      </c>
      <c r="I4555" s="1323">
        <f t="shared" si="455"/>
        <v>24</v>
      </c>
      <c r="J4555" s="1323"/>
      <c r="K4555" s="1323"/>
      <c r="L4555" s="1323"/>
      <c r="M4555" s="1323"/>
      <c r="N4555" s="1323"/>
      <c r="O4555" s="1323"/>
      <c r="P4555" s="1323"/>
      <c r="Q4555" s="1323"/>
      <c r="R4555" s="1304"/>
      <c r="S4555" s="1304"/>
      <c r="T4555" s="1304"/>
    </row>
    <row r="4556" spans="1:20">
      <c r="A4556" s="1303"/>
      <c r="B4556" s="1322" t="s">
        <v>10856</v>
      </c>
      <c r="C4556" s="1323" t="s">
        <v>10857</v>
      </c>
      <c r="D4556" s="1324">
        <f t="shared" si="456"/>
        <v>35237</v>
      </c>
      <c r="E4556" s="1323">
        <f t="shared" si="452"/>
        <v>4.3620999999999999</v>
      </c>
      <c r="F4556" s="1323">
        <f t="shared" si="457"/>
        <v>4.0968821960828441</v>
      </c>
      <c r="G4556" s="1323">
        <f t="shared" si="453"/>
        <v>1996</v>
      </c>
      <c r="H4556" s="1323">
        <f t="shared" si="454"/>
        <v>6</v>
      </c>
      <c r="I4556" s="1323">
        <f t="shared" si="455"/>
        <v>21</v>
      </c>
      <c r="J4556" s="1323"/>
      <c r="K4556" s="1323"/>
      <c r="L4556" s="1323"/>
      <c r="M4556" s="1323"/>
      <c r="N4556" s="1323"/>
      <c r="O4556" s="1323"/>
      <c r="P4556" s="1323"/>
      <c r="Q4556" s="1323"/>
      <c r="R4556" s="1304"/>
      <c r="S4556" s="1304"/>
      <c r="T4556" s="1304"/>
    </row>
    <row r="4557" spans="1:20">
      <c r="A4557" s="1303"/>
      <c r="B4557" s="1322" t="s">
        <v>10858</v>
      </c>
      <c r="C4557" s="1323" t="s">
        <v>10859</v>
      </c>
      <c r="D4557" s="1324">
        <f t="shared" si="456"/>
        <v>35236</v>
      </c>
      <c r="E4557" s="1323">
        <f t="shared" si="452"/>
        <v>4.3582000000000001</v>
      </c>
      <c r="F4557" s="1323">
        <f t="shared" si="457"/>
        <v>4.0960966433019363</v>
      </c>
      <c r="G4557" s="1323">
        <f t="shared" si="453"/>
        <v>1996</v>
      </c>
      <c r="H4557" s="1323">
        <f t="shared" si="454"/>
        <v>6</v>
      </c>
      <c r="I4557" s="1323">
        <f t="shared" si="455"/>
        <v>20</v>
      </c>
      <c r="J4557" s="1323"/>
      <c r="K4557" s="1323"/>
      <c r="L4557" s="1323"/>
      <c r="M4557" s="1323"/>
      <c r="N4557" s="1323"/>
      <c r="O4557" s="1323"/>
      <c r="P4557" s="1323"/>
      <c r="Q4557" s="1323"/>
      <c r="R4557" s="1304"/>
      <c r="S4557" s="1304"/>
      <c r="T4557" s="1304"/>
    </row>
    <row r="4558" spans="1:20">
      <c r="A4558" s="1303"/>
      <c r="B4558" s="1322" t="s">
        <v>10860</v>
      </c>
      <c r="C4558" s="1323" t="s">
        <v>10861</v>
      </c>
      <c r="D4558" s="1324">
        <f t="shared" si="456"/>
        <v>35235</v>
      </c>
      <c r="E4558" s="1323">
        <f t="shared" si="452"/>
        <v>4.3468999999999998</v>
      </c>
      <c r="F4558" s="1323">
        <f t="shared" si="457"/>
        <v>4.0953112411461001</v>
      </c>
      <c r="G4558" s="1323">
        <f t="shared" si="453"/>
        <v>1996</v>
      </c>
      <c r="H4558" s="1323">
        <f t="shared" si="454"/>
        <v>6</v>
      </c>
      <c r="I4558" s="1323">
        <f t="shared" si="455"/>
        <v>19</v>
      </c>
      <c r="J4558" s="1323"/>
      <c r="K4558" s="1323"/>
      <c r="L4558" s="1323"/>
      <c r="M4558" s="1323"/>
      <c r="N4558" s="1323"/>
      <c r="O4558" s="1323"/>
      <c r="P4558" s="1323"/>
      <c r="Q4558" s="1323"/>
      <c r="R4558" s="1304"/>
      <c r="S4558" s="1304"/>
      <c r="T4558" s="1304"/>
    </row>
    <row r="4559" spans="1:20">
      <c r="A4559" s="1303"/>
      <c r="B4559" s="1322" t="s">
        <v>10862</v>
      </c>
      <c r="C4559" s="1323" t="s">
        <v>10863</v>
      </c>
      <c r="D4559" s="1324">
        <f t="shared" si="456"/>
        <v>35234</v>
      </c>
      <c r="E4559" s="1323">
        <f t="shared" si="452"/>
        <v>4.3375000000000004</v>
      </c>
      <c r="F4559" s="1323">
        <f t="shared" si="457"/>
        <v>4.0945259895864536</v>
      </c>
      <c r="G4559" s="1323">
        <f t="shared" si="453"/>
        <v>1996</v>
      </c>
      <c r="H4559" s="1323">
        <f t="shared" si="454"/>
        <v>6</v>
      </c>
      <c r="I4559" s="1323">
        <f t="shared" si="455"/>
        <v>18</v>
      </c>
      <c r="J4559" s="1323"/>
      <c r="K4559" s="1323"/>
      <c r="L4559" s="1323"/>
      <c r="M4559" s="1323"/>
      <c r="N4559" s="1323"/>
      <c r="O4559" s="1323"/>
      <c r="P4559" s="1323"/>
      <c r="Q4559" s="1323"/>
      <c r="R4559" s="1304"/>
      <c r="S4559" s="1304"/>
      <c r="T4559" s="1304"/>
    </row>
    <row r="4560" spans="1:20">
      <c r="A4560" s="1303"/>
      <c r="B4560" s="1322" t="s">
        <v>10864</v>
      </c>
      <c r="C4560" s="1323" t="s">
        <v>10839</v>
      </c>
      <c r="D4560" s="1324">
        <f t="shared" si="456"/>
        <v>35230</v>
      </c>
      <c r="E4560" s="1323">
        <f t="shared" si="452"/>
        <v>4.3270999999999997</v>
      </c>
      <c r="F4560" s="1323">
        <f t="shared" si="457"/>
        <v>4.0937408885941204</v>
      </c>
      <c r="G4560" s="1323">
        <f t="shared" si="453"/>
        <v>1996</v>
      </c>
      <c r="H4560" s="1323">
        <f t="shared" si="454"/>
        <v>6</v>
      </c>
      <c r="I4560" s="1323">
        <f t="shared" si="455"/>
        <v>14</v>
      </c>
      <c r="J4560" s="1323"/>
      <c r="K4560" s="1323"/>
      <c r="L4560" s="1323"/>
      <c r="M4560" s="1323"/>
      <c r="N4560" s="1323"/>
      <c r="O4560" s="1323"/>
      <c r="P4560" s="1323"/>
      <c r="Q4560" s="1323"/>
      <c r="R4560" s="1304"/>
      <c r="S4560" s="1304"/>
      <c r="T4560" s="1304"/>
    </row>
    <row r="4561" spans="1:20">
      <c r="A4561" s="1303"/>
      <c r="B4561" s="1322" t="s">
        <v>10865</v>
      </c>
      <c r="C4561" s="1323" t="s">
        <v>10866</v>
      </c>
      <c r="D4561" s="1324">
        <f t="shared" si="456"/>
        <v>35229</v>
      </c>
      <c r="E4561" s="1323">
        <f t="shared" si="452"/>
        <v>4.3113000000000001</v>
      </c>
      <c r="F4561" s="1323">
        <f t="shared" si="457"/>
        <v>4.0929559381402303</v>
      </c>
      <c r="G4561" s="1323">
        <f t="shared" si="453"/>
        <v>1996</v>
      </c>
      <c r="H4561" s="1323">
        <f t="shared" si="454"/>
        <v>6</v>
      </c>
      <c r="I4561" s="1323">
        <f t="shared" si="455"/>
        <v>13</v>
      </c>
      <c r="J4561" s="1323"/>
      <c r="K4561" s="1323"/>
      <c r="L4561" s="1323"/>
      <c r="M4561" s="1323"/>
      <c r="N4561" s="1323"/>
      <c r="O4561" s="1323"/>
      <c r="P4561" s="1323"/>
      <c r="Q4561" s="1323"/>
      <c r="R4561" s="1304"/>
      <c r="S4561" s="1304"/>
      <c r="T4561" s="1304"/>
    </row>
    <row r="4562" spans="1:20">
      <c r="A4562" s="1303"/>
      <c r="B4562" s="1322" t="s">
        <v>10867</v>
      </c>
      <c r="C4562" s="1323" t="s">
        <v>10868</v>
      </c>
      <c r="D4562" s="1324">
        <f t="shared" si="456"/>
        <v>35228</v>
      </c>
      <c r="E4562" s="1323">
        <f t="shared" si="452"/>
        <v>4.3497000000000003</v>
      </c>
      <c r="F4562" s="1323">
        <f t="shared" si="457"/>
        <v>4.0921711381959183</v>
      </c>
      <c r="G4562" s="1323">
        <f t="shared" si="453"/>
        <v>1996</v>
      </c>
      <c r="H4562" s="1323">
        <f t="shared" si="454"/>
        <v>6</v>
      </c>
      <c r="I4562" s="1323">
        <f t="shared" si="455"/>
        <v>12</v>
      </c>
      <c r="J4562" s="1323"/>
      <c r="K4562" s="1323"/>
      <c r="L4562" s="1323"/>
      <c r="M4562" s="1323"/>
      <c r="N4562" s="1323"/>
      <c r="O4562" s="1323"/>
      <c r="P4562" s="1323"/>
      <c r="Q4562" s="1323"/>
      <c r="R4562" s="1304"/>
      <c r="S4562" s="1304"/>
      <c r="T4562" s="1304"/>
    </row>
    <row r="4563" spans="1:20">
      <c r="A4563" s="1303"/>
      <c r="B4563" s="1322" t="s">
        <v>10869</v>
      </c>
      <c r="C4563" s="1323" t="s">
        <v>10853</v>
      </c>
      <c r="D4563" s="1324">
        <f t="shared" si="456"/>
        <v>35227</v>
      </c>
      <c r="E4563" s="1323">
        <f t="shared" si="452"/>
        <v>4.3459000000000003</v>
      </c>
      <c r="F4563" s="1323">
        <f t="shared" si="457"/>
        <v>4.0913864887323257</v>
      </c>
      <c r="G4563" s="1323">
        <f t="shared" si="453"/>
        <v>1996</v>
      </c>
      <c r="H4563" s="1323">
        <f t="shared" si="454"/>
        <v>6</v>
      </c>
      <c r="I4563" s="1323">
        <f t="shared" si="455"/>
        <v>11</v>
      </c>
      <c r="J4563" s="1323"/>
      <c r="K4563" s="1323"/>
      <c r="L4563" s="1323"/>
      <c r="M4563" s="1323"/>
      <c r="N4563" s="1323"/>
      <c r="O4563" s="1323"/>
      <c r="P4563" s="1323"/>
      <c r="Q4563" s="1323"/>
      <c r="R4563" s="1304"/>
      <c r="S4563" s="1304"/>
      <c r="T4563" s="1304"/>
    </row>
    <row r="4564" spans="1:20">
      <c r="A4564" s="1303"/>
      <c r="B4564" s="1322" t="s">
        <v>10870</v>
      </c>
      <c r="C4564" s="1323" t="s">
        <v>10871</v>
      </c>
      <c r="D4564" s="1324">
        <f t="shared" si="456"/>
        <v>35226</v>
      </c>
      <c r="E4564" s="1323">
        <f t="shared" si="452"/>
        <v>4.3724999999999996</v>
      </c>
      <c r="F4564" s="1323">
        <f t="shared" si="457"/>
        <v>4.0906019897205983</v>
      </c>
      <c r="G4564" s="1323">
        <f t="shared" si="453"/>
        <v>1996</v>
      </c>
      <c r="H4564" s="1323">
        <f t="shared" si="454"/>
        <v>6</v>
      </c>
      <c r="I4564" s="1323">
        <f t="shared" si="455"/>
        <v>10</v>
      </c>
      <c r="J4564" s="1323"/>
      <c r="K4564" s="1323"/>
      <c r="L4564" s="1323"/>
      <c r="M4564" s="1323"/>
      <c r="N4564" s="1323"/>
      <c r="O4564" s="1323"/>
      <c r="P4564" s="1323"/>
      <c r="Q4564" s="1323"/>
      <c r="R4564" s="1304"/>
      <c r="S4564" s="1304"/>
      <c r="T4564" s="1304"/>
    </row>
    <row r="4565" spans="1:20">
      <c r="A4565" s="1303"/>
      <c r="B4565" s="1322" t="s">
        <v>10872</v>
      </c>
      <c r="C4565" s="1323" t="s">
        <v>10873</v>
      </c>
      <c r="D4565" s="1324">
        <f t="shared" si="456"/>
        <v>35223</v>
      </c>
      <c r="E4565" s="1323">
        <f t="shared" si="452"/>
        <v>4.3478000000000003</v>
      </c>
      <c r="F4565" s="1323">
        <f t="shared" si="457"/>
        <v>4.0898176411318881</v>
      </c>
      <c r="G4565" s="1323">
        <f t="shared" si="453"/>
        <v>1996</v>
      </c>
      <c r="H4565" s="1323">
        <f t="shared" si="454"/>
        <v>6</v>
      </c>
      <c r="I4565" s="1323">
        <f t="shared" si="455"/>
        <v>7</v>
      </c>
      <c r="J4565" s="1323"/>
      <c r="K4565" s="1323"/>
      <c r="L4565" s="1323"/>
      <c r="M4565" s="1323"/>
      <c r="N4565" s="1323"/>
      <c r="O4565" s="1323"/>
      <c r="P4565" s="1323"/>
      <c r="Q4565" s="1323"/>
      <c r="R4565" s="1304"/>
      <c r="S4565" s="1304"/>
      <c r="T4565" s="1304"/>
    </row>
    <row r="4566" spans="1:20">
      <c r="A4566" s="1303"/>
      <c r="B4566" s="1322" t="s">
        <v>10874</v>
      </c>
      <c r="C4566" s="1323" t="s">
        <v>10875</v>
      </c>
      <c r="D4566" s="1324">
        <f t="shared" si="456"/>
        <v>35222</v>
      </c>
      <c r="E4566" s="1323">
        <f t="shared" ref="E4566:E4629" si="458">VALUE(C4567)</f>
        <v>4.3715999999999999</v>
      </c>
      <c r="F4566" s="1323">
        <f t="shared" si="457"/>
        <v>4.0890334429373523</v>
      </c>
      <c r="G4566" s="1323">
        <f t="shared" ref="G4566:G4629" si="459">YEAR(B4567)</f>
        <v>1996</v>
      </c>
      <c r="H4566" s="1323">
        <f t="shared" ref="H4566:H4629" si="460">MONTH(B4567)</f>
        <v>6</v>
      </c>
      <c r="I4566" s="1323">
        <f t="shared" ref="I4566:I4629" si="461">DAY(B4567)</f>
        <v>6</v>
      </c>
      <c r="J4566" s="1323"/>
      <c r="K4566" s="1323"/>
      <c r="L4566" s="1323"/>
      <c r="M4566" s="1323"/>
      <c r="N4566" s="1323"/>
      <c r="O4566" s="1323"/>
      <c r="P4566" s="1323"/>
      <c r="Q4566" s="1323"/>
      <c r="R4566" s="1304"/>
      <c r="S4566" s="1304"/>
      <c r="T4566" s="1304"/>
    </row>
    <row r="4567" spans="1:20">
      <c r="A4567" s="1303"/>
      <c r="B4567" s="1322" t="s">
        <v>10876</v>
      </c>
      <c r="C4567" s="1323" t="s">
        <v>10833</v>
      </c>
      <c r="D4567" s="1324">
        <f t="shared" si="456"/>
        <v>35221</v>
      </c>
      <c r="E4567" s="1323">
        <f t="shared" si="458"/>
        <v>4.3811999999999998</v>
      </c>
      <c r="F4567" s="1323">
        <f t="shared" si="457"/>
        <v>4.0882493951081535</v>
      </c>
      <c r="G4567" s="1323">
        <f t="shared" si="459"/>
        <v>1996</v>
      </c>
      <c r="H4567" s="1323">
        <f t="shared" si="460"/>
        <v>6</v>
      </c>
      <c r="I4567" s="1323">
        <f t="shared" si="461"/>
        <v>5</v>
      </c>
      <c r="J4567" s="1323"/>
      <c r="K4567" s="1323"/>
      <c r="L4567" s="1323"/>
      <c r="M4567" s="1323"/>
      <c r="N4567" s="1323"/>
      <c r="O4567" s="1323"/>
      <c r="P4567" s="1323"/>
      <c r="Q4567" s="1323"/>
      <c r="R4567" s="1304"/>
      <c r="S4567" s="1304"/>
      <c r="T4567" s="1304"/>
    </row>
    <row r="4568" spans="1:20">
      <c r="A4568" s="1303"/>
      <c r="B4568" s="1322" t="s">
        <v>10877</v>
      </c>
      <c r="C4568" s="1323" t="s">
        <v>10878</v>
      </c>
      <c r="D4568" s="1324">
        <f t="shared" si="456"/>
        <v>35220</v>
      </c>
      <c r="E4568" s="1323">
        <f t="shared" si="458"/>
        <v>4.3620999999999999</v>
      </c>
      <c r="F4568" s="1323">
        <f t="shared" si="457"/>
        <v>4.0874654976154599</v>
      </c>
      <c r="G4568" s="1323">
        <f t="shared" si="459"/>
        <v>1996</v>
      </c>
      <c r="H4568" s="1323">
        <f t="shared" si="460"/>
        <v>6</v>
      </c>
      <c r="I4568" s="1323">
        <f t="shared" si="461"/>
        <v>4</v>
      </c>
      <c r="J4568" s="1323"/>
      <c r="K4568" s="1323"/>
      <c r="L4568" s="1323"/>
      <c r="M4568" s="1323"/>
      <c r="N4568" s="1323"/>
      <c r="O4568" s="1323"/>
      <c r="P4568" s="1323"/>
      <c r="Q4568" s="1323"/>
      <c r="R4568" s="1304"/>
      <c r="S4568" s="1304"/>
      <c r="T4568" s="1304"/>
    </row>
    <row r="4569" spans="1:20">
      <c r="A4569" s="1303"/>
      <c r="B4569" s="1322" t="s">
        <v>10879</v>
      </c>
      <c r="C4569" s="1323" t="s">
        <v>10859</v>
      </c>
      <c r="D4569" s="1324">
        <f t="shared" si="456"/>
        <v>35219</v>
      </c>
      <c r="E4569" s="1323">
        <f t="shared" si="458"/>
        <v>4.3497000000000003</v>
      </c>
      <c r="F4569" s="1323">
        <f t="shared" si="457"/>
        <v>4.0866817504304453</v>
      </c>
      <c r="G4569" s="1323">
        <f t="shared" si="459"/>
        <v>1996</v>
      </c>
      <c r="H4569" s="1323">
        <f t="shared" si="460"/>
        <v>6</v>
      </c>
      <c r="I4569" s="1323">
        <f t="shared" si="461"/>
        <v>3</v>
      </c>
      <c r="J4569" s="1323"/>
      <c r="K4569" s="1323"/>
      <c r="L4569" s="1323"/>
      <c r="M4569" s="1323"/>
      <c r="N4569" s="1323"/>
      <c r="O4569" s="1323"/>
      <c r="P4569" s="1323"/>
      <c r="Q4569" s="1323"/>
      <c r="R4569" s="1304"/>
      <c r="S4569" s="1304"/>
      <c r="T4569" s="1304"/>
    </row>
    <row r="4570" spans="1:20">
      <c r="A4570" s="1303"/>
      <c r="B4570" s="1322" t="s">
        <v>10880</v>
      </c>
      <c r="C4570" s="1323" t="s">
        <v>10853</v>
      </c>
      <c r="D4570" s="1324">
        <f t="shared" si="456"/>
        <v>35216</v>
      </c>
      <c r="E4570" s="1323">
        <f t="shared" si="458"/>
        <v>4.3648999999999996</v>
      </c>
      <c r="F4570" s="1323">
        <f t="shared" si="457"/>
        <v>4.0858981535242895</v>
      </c>
      <c r="G4570" s="1323">
        <f t="shared" si="459"/>
        <v>1996</v>
      </c>
      <c r="H4570" s="1323">
        <f t="shared" si="460"/>
        <v>5</v>
      </c>
      <c r="I4570" s="1323">
        <f t="shared" si="461"/>
        <v>31</v>
      </c>
      <c r="J4570" s="1323"/>
      <c r="K4570" s="1323"/>
      <c r="L4570" s="1323"/>
      <c r="M4570" s="1323"/>
      <c r="N4570" s="1323"/>
      <c r="O4570" s="1323"/>
      <c r="P4570" s="1323"/>
      <c r="Q4570" s="1323"/>
      <c r="R4570" s="1304"/>
      <c r="S4570" s="1304"/>
      <c r="T4570" s="1304"/>
    </row>
    <row r="4571" spans="1:20">
      <c r="A4571" s="1303"/>
      <c r="B4571" s="1322" t="s">
        <v>10881</v>
      </c>
      <c r="C4571" s="1323" t="s">
        <v>10882</v>
      </c>
      <c r="D4571" s="1324">
        <f t="shared" si="456"/>
        <v>35215</v>
      </c>
      <c r="E4571" s="1323">
        <f t="shared" si="458"/>
        <v>4.3658999999999999</v>
      </c>
      <c r="F4571" s="1323">
        <f t="shared" si="457"/>
        <v>4.0851147068681781</v>
      </c>
      <c r="G4571" s="1323">
        <f t="shared" si="459"/>
        <v>1996</v>
      </c>
      <c r="H4571" s="1323">
        <f t="shared" si="460"/>
        <v>5</v>
      </c>
      <c r="I4571" s="1323">
        <f t="shared" si="461"/>
        <v>30</v>
      </c>
      <c r="J4571" s="1323"/>
      <c r="K4571" s="1323"/>
      <c r="L4571" s="1323"/>
      <c r="M4571" s="1323"/>
      <c r="N4571" s="1323"/>
      <c r="O4571" s="1323"/>
      <c r="P4571" s="1323"/>
      <c r="Q4571" s="1323"/>
      <c r="R4571" s="1304"/>
      <c r="S4571" s="1304"/>
      <c r="T4571" s="1304"/>
    </row>
    <row r="4572" spans="1:20">
      <c r="A4572" s="1303"/>
      <c r="B4572" s="1322" t="s">
        <v>10883</v>
      </c>
      <c r="C4572" s="1323" t="s">
        <v>10857</v>
      </c>
      <c r="D4572" s="1324">
        <f t="shared" si="456"/>
        <v>35214</v>
      </c>
      <c r="E4572" s="1323">
        <f t="shared" si="458"/>
        <v>4.3945999999999996</v>
      </c>
      <c r="F4572" s="1323">
        <f t="shared" si="457"/>
        <v>4.0843314104333004</v>
      </c>
      <c r="G4572" s="1323">
        <f t="shared" si="459"/>
        <v>1996</v>
      </c>
      <c r="H4572" s="1323">
        <f t="shared" si="460"/>
        <v>5</v>
      </c>
      <c r="I4572" s="1323">
        <f t="shared" si="461"/>
        <v>29</v>
      </c>
      <c r="J4572" s="1323"/>
      <c r="K4572" s="1323"/>
      <c r="L4572" s="1323"/>
      <c r="M4572" s="1323"/>
      <c r="N4572" s="1323"/>
      <c r="O4572" s="1323"/>
      <c r="P4572" s="1323"/>
      <c r="Q4572" s="1323"/>
      <c r="R4572" s="1304"/>
      <c r="S4572" s="1304"/>
      <c r="T4572" s="1304"/>
    </row>
    <row r="4573" spans="1:20">
      <c r="A4573" s="1303"/>
      <c r="B4573" s="1322" t="s">
        <v>10884</v>
      </c>
      <c r="C4573" s="1323" t="s">
        <v>10885</v>
      </c>
      <c r="D4573" s="1324">
        <f t="shared" si="456"/>
        <v>35213</v>
      </c>
      <c r="E4573" s="1323">
        <f t="shared" si="458"/>
        <v>4.3945999999999996</v>
      </c>
      <c r="F4573" s="1323">
        <f t="shared" si="457"/>
        <v>4.0835482641908527</v>
      </c>
      <c r="G4573" s="1323">
        <f t="shared" si="459"/>
        <v>1996</v>
      </c>
      <c r="H4573" s="1323">
        <f t="shared" si="460"/>
        <v>5</v>
      </c>
      <c r="I4573" s="1323">
        <f t="shared" si="461"/>
        <v>28</v>
      </c>
      <c r="J4573" s="1323"/>
      <c r="K4573" s="1323"/>
      <c r="L4573" s="1323"/>
      <c r="M4573" s="1323"/>
      <c r="N4573" s="1323"/>
      <c r="O4573" s="1323"/>
      <c r="P4573" s="1323"/>
      <c r="Q4573" s="1323"/>
      <c r="R4573" s="1304"/>
      <c r="S4573" s="1304"/>
      <c r="T4573" s="1304"/>
    </row>
    <row r="4574" spans="1:20">
      <c r="A4574" s="1303"/>
      <c r="B4574" s="1322" t="s">
        <v>10886</v>
      </c>
      <c r="C4574" s="1323" t="s">
        <v>10885</v>
      </c>
      <c r="D4574" s="1324">
        <f t="shared" si="456"/>
        <v>35212</v>
      </c>
      <c r="E4574" s="1323">
        <f t="shared" si="458"/>
        <v>4.3648999999999996</v>
      </c>
      <c r="F4574" s="1323">
        <f t="shared" si="457"/>
        <v>4.0827652681120368</v>
      </c>
      <c r="G4574" s="1323">
        <f t="shared" si="459"/>
        <v>1996</v>
      </c>
      <c r="H4574" s="1323">
        <f t="shared" si="460"/>
        <v>5</v>
      </c>
      <c r="I4574" s="1323">
        <f t="shared" si="461"/>
        <v>27</v>
      </c>
      <c r="J4574" s="1323"/>
      <c r="K4574" s="1323"/>
      <c r="L4574" s="1323"/>
      <c r="M4574" s="1323"/>
      <c r="N4574" s="1323"/>
      <c r="O4574" s="1323"/>
      <c r="P4574" s="1323"/>
      <c r="Q4574" s="1323"/>
      <c r="R4574" s="1304"/>
      <c r="S4574" s="1304"/>
      <c r="T4574" s="1304"/>
    </row>
    <row r="4575" spans="1:20">
      <c r="A4575" s="1303"/>
      <c r="B4575" s="1322" t="s">
        <v>10887</v>
      </c>
      <c r="C4575" s="1323" t="s">
        <v>10882</v>
      </c>
      <c r="D4575" s="1324">
        <f t="shared" si="456"/>
        <v>35209</v>
      </c>
      <c r="E4575" s="1323">
        <f t="shared" si="458"/>
        <v>4.3563000000000001</v>
      </c>
      <c r="F4575" s="1323">
        <f t="shared" si="457"/>
        <v>4.0819824221680596</v>
      </c>
      <c r="G4575" s="1323">
        <f t="shared" si="459"/>
        <v>1996</v>
      </c>
      <c r="H4575" s="1323">
        <f t="shared" si="460"/>
        <v>5</v>
      </c>
      <c r="I4575" s="1323">
        <f t="shared" si="461"/>
        <v>24</v>
      </c>
      <c r="J4575" s="1323"/>
      <c r="K4575" s="1323"/>
      <c r="L4575" s="1323"/>
      <c r="M4575" s="1323"/>
      <c r="N4575" s="1323"/>
      <c r="O4575" s="1323"/>
      <c r="P4575" s="1323"/>
      <c r="Q4575" s="1323"/>
      <c r="R4575" s="1304"/>
      <c r="S4575" s="1304"/>
      <c r="T4575" s="1304"/>
    </row>
    <row r="4576" spans="1:20">
      <c r="A4576" s="1303"/>
      <c r="B4576" s="1322" t="s">
        <v>10888</v>
      </c>
      <c r="C4576" s="1323" t="s">
        <v>10889</v>
      </c>
      <c r="D4576" s="1324">
        <f t="shared" si="456"/>
        <v>35208</v>
      </c>
      <c r="E4576" s="1323">
        <f t="shared" si="458"/>
        <v>4.3715999999999999</v>
      </c>
      <c r="F4576" s="1323">
        <f t="shared" si="457"/>
        <v>4.0811997263301327</v>
      </c>
      <c r="G4576" s="1323">
        <f t="shared" si="459"/>
        <v>1996</v>
      </c>
      <c r="H4576" s="1323">
        <f t="shared" si="460"/>
        <v>5</v>
      </c>
      <c r="I4576" s="1323">
        <f t="shared" si="461"/>
        <v>23</v>
      </c>
      <c r="J4576" s="1323"/>
      <c r="K4576" s="1323"/>
      <c r="L4576" s="1323"/>
      <c r="M4576" s="1323"/>
      <c r="N4576" s="1323"/>
      <c r="O4576" s="1323"/>
      <c r="P4576" s="1323"/>
      <c r="Q4576" s="1323"/>
      <c r="R4576" s="1304"/>
      <c r="S4576" s="1304"/>
      <c r="T4576" s="1304"/>
    </row>
    <row r="4577" spans="1:20">
      <c r="A4577" s="1303"/>
      <c r="B4577" s="1322" t="s">
        <v>10890</v>
      </c>
      <c r="C4577" s="1323" t="s">
        <v>10833</v>
      </c>
      <c r="D4577" s="1324">
        <f t="shared" si="456"/>
        <v>35207</v>
      </c>
      <c r="E4577" s="1323">
        <f t="shared" si="458"/>
        <v>4.3403</v>
      </c>
      <c r="F4577" s="1323">
        <f t="shared" si="457"/>
        <v>4.0804171805694756</v>
      </c>
      <c r="G4577" s="1323">
        <f t="shared" si="459"/>
        <v>1996</v>
      </c>
      <c r="H4577" s="1323">
        <f t="shared" si="460"/>
        <v>5</v>
      </c>
      <c r="I4577" s="1323">
        <f t="shared" si="461"/>
        <v>22</v>
      </c>
      <c r="J4577" s="1323"/>
      <c r="K4577" s="1323"/>
      <c r="L4577" s="1323"/>
      <c r="M4577" s="1323"/>
      <c r="N4577" s="1323"/>
      <c r="O4577" s="1323"/>
      <c r="P4577" s="1323"/>
      <c r="Q4577" s="1323"/>
      <c r="R4577" s="1304"/>
      <c r="S4577" s="1304"/>
      <c r="T4577" s="1304"/>
    </row>
    <row r="4578" spans="1:20">
      <c r="A4578" s="1303"/>
      <c r="B4578" s="1322" t="s">
        <v>10891</v>
      </c>
      <c r="C4578" s="1323" t="s">
        <v>10892</v>
      </c>
      <c r="D4578" s="1324">
        <f t="shared" si="456"/>
        <v>35206</v>
      </c>
      <c r="E4578" s="1323">
        <f t="shared" si="458"/>
        <v>4.3253000000000004</v>
      </c>
      <c r="F4578" s="1323">
        <f t="shared" si="457"/>
        <v>4.0796347848573111</v>
      </c>
      <c r="G4578" s="1323">
        <f t="shared" si="459"/>
        <v>1996</v>
      </c>
      <c r="H4578" s="1323">
        <f t="shared" si="460"/>
        <v>5</v>
      </c>
      <c r="I4578" s="1323">
        <f t="shared" si="461"/>
        <v>21</v>
      </c>
      <c r="J4578" s="1323"/>
      <c r="K4578" s="1323"/>
      <c r="L4578" s="1323"/>
      <c r="M4578" s="1323"/>
      <c r="N4578" s="1323"/>
      <c r="O4578" s="1323"/>
      <c r="P4578" s="1323"/>
      <c r="Q4578" s="1323"/>
      <c r="R4578" s="1304"/>
      <c r="S4578" s="1304"/>
      <c r="T4578" s="1304"/>
    </row>
    <row r="4579" spans="1:20">
      <c r="A4579" s="1303"/>
      <c r="B4579" s="1322" t="s">
        <v>10893</v>
      </c>
      <c r="C4579" s="1323" t="s">
        <v>10894</v>
      </c>
      <c r="D4579" s="1324">
        <f t="shared" si="456"/>
        <v>35205</v>
      </c>
      <c r="E4579" s="1323">
        <f t="shared" si="458"/>
        <v>4.3299000000000003</v>
      </c>
      <c r="F4579" s="1323">
        <f t="shared" si="457"/>
        <v>4.0788525391648687</v>
      </c>
      <c r="G4579" s="1323">
        <f t="shared" si="459"/>
        <v>1996</v>
      </c>
      <c r="H4579" s="1323">
        <f t="shared" si="460"/>
        <v>5</v>
      </c>
      <c r="I4579" s="1323">
        <f t="shared" si="461"/>
        <v>20</v>
      </c>
      <c r="J4579" s="1323"/>
      <c r="K4579" s="1323"/>
      <c r="L4579" s="1323"/>
      <c r="M4579" s="1323"/>
      <c r="N4579" s="1323"/>
      <c r="O4579" s="1323"/>
      <c r="P4579" s="1323"/>
      <c r="Q4579" s="1323"/>
      <c r="R4579" s="1304"/>
      <c r="S4579" s="1304"/>
      <c r="T4579" s="1304"/>
    </row>
    <row r="4580" spans="1:20">
      <c r="A4580" s="1303"/>
      <c r="B4580" s="1322" t="s">
        <v>10895</v>
      </c>
      <c r="C4580" s="1323" t="s">
        <v>10837</v>
      </c>
      <c r="D4580" s="1324">
        <f t="shared" si="456"/>
        <v>35202</v>
      </c>
      <c r="E4580" s="1323">
        <f t="shared" si="458"/>
        <v>4.3392999999999997</v>
      </c>
      <c r="F4580" s="1323">
        <f t="shared" si="457"/>
        <v>4.0780704434633828</v>
      </c>
      <c r="G4580" s="1323">
        <f t="shared" si="459"/>
        <v>1996</v>
      </c>
      <c r="H4580" s="1323">
        <f t="shared" si="460"/>
        <v>5</v>
      </c>
      <c r="I4580" s="1323">
        <f t="shared" si="461"/>
        <v>17</v>
      </c>
      <c r="J4580" s="1323"/>
      <c r="K4580" s="1323"/>
      <c r="L4580" s="1323"/>
      <c r="M4580" s="1323"/>
      <c r="N4580" s="1323"/>
      <c r="O4580" s="1323"/>
      <c r="P4580" s="1323"/>
      <c r="Q4580" s="1323"/>
      <c r="R4580" s="1304"/>
      <c r="S4580" s="1304"/>
      <c r="T4580" s="1304"/>
    </row>
    <row r="4581" spans="1:20">
      <c r="A4581" s="1303"/>
      <c r="B4581" s="1322" t="s">
        <v>10896</v>
      </c>
      <c r="C4581" s="1323" t="s">
        <v>10897</v>
      </c>
      <c r="D4581" s="1324">
        <f t="shared" si="456"/>
        <v>35201</v>
      </c>
      <c r="E4581" s="1323">
        <f t="shared" si="458"/>
        <v>4.3365</v>
      </c>
      <c r="F4581" s="1323">
        <f t="shared" si="457"/>
        <v>4.0772884977240933</v>
      </c>
      <c r="G4581" s="1323">
        <f t="shared" si="459"/>
        <v>1996</v>
      </c>
      <c r="H4581" s="1323">
        <f t="shared" si="460"/>
        <v>5</v>
      </c>
      <c r="I4581" s="1323">
        <f t="shared" si="461"/>
        <v>16</v>
      </c>
      <c r="J4581" s="1323"/>
      <c r="K4581" s="1323"/>
      <c r="L4581" s="1323"/>
      <c r="M4581" s="1323"/>
      <c r="N4581" s="1323"/>
      <c r="O4581" s="1323"/>
      <c r="P4581" s="1323"/>
      <c r="Q4581" s="1323"/>
      <c r="R4581" s="1304"/>
      <c r="S4581" s="1304"/>
      <c r="T4581" s="1304"/>
    </row>
    <row r="4582" spans="1:20">
      <c r="A4582" s="1303"/>
      <c r="B4582" s="1322" t="s">
        <v>10898</v>
      </c>
      <c r="C4582" s="1323" t="s">
        <v>10849</v>
      </c>
      <c r="D4582" s="1324">
        <f t="shared" si="456"/>
        <v>35200</v>
      </c>
      <c r="E4582" s="1323">
        <f t="shared" si="458"/>
        <v>4.3186999999999998</v>
      </c>
      <c r="F4582" s="1323">
        <f t="shared" si="457"/>
        <v>4.0765067019182455</v>
      </c>
      <c r="G4582" s="1323">
        <f t="shared" si="459"/>
        <v>1996</v>
      </c>
      <c r="H4582" s="1323">
        <f t="shared" si="460"/>
        <v>5</v>
      </c>
      <c r="I4582" s="1323">
        <f t="shared" si="461"/>
        <v>15</v>
      </c>
      <c r="J4582" s="1323"/>
      <c r="K4582" s="1323"/>
      <c r="L4582" s="1323"/>
      <c r="M4582" s="1323"/>
      <c r="N4582" s="1323"/>
      <c r="O4582" s="1323"/>
      <c r="P4582" s="1323"/>
      <c r="Q4582" s="1323"/>
      <c r="R4582" s="1304"/>
      <c r="S4582" s="1304"/>
      <c r="T4582" s="1304"/>
    </row>
    <row r="4583" spans="1:20">
      <c r="A4583" s="1303"/>
      <c r="B4583" s="1322" t="s">
        <v>10899</v>
      </c>
      <c r="C4583" s="1323" t="s">
        <v>10900</v>
      </c>
      <c r="D4583" s="1324">
        <f t="shared" si="456"/>
        <v>35199</v>
      </c>
      <c r="E4583" s="1323">
        <f t="shared" si="458"/>
        <v>4.3563000000000001</v>
      </c>
      <c r="F4583" s="1323">
        <f t="shared" si="457"/>
        <v>4.0757250560170917</v>
      </c>
      <c r="G4583" s="1323">
        <f t="shared" si="459"/>
        <v>1996</v>
      </c>
      <c r="H4583" s="1323">
        <f t="shared" si="460"/>
        <v>5</v>
      </c>
      <c r="I4583" s="1323">
        <f t="shared" si="461"/>
        <v>14</v>
      </c>
      <c r="J4583" s="1323"/>
      <c r="K4583" s="1323"/>
      <c r="L4583" s="1323"/>
      <c r="M4583" s="1323"/>
      <c r="N4583" s="1323"/>
      <c r="O4583" s="1323"/>
      <c r="P4583" s="1323"/>
      <c r="Q4583" s="1323"/>
      <c r="R4583" s="1304"/>
      <c r="S4583" s="1304"/>
      <c r="T4583" s="1304"/>
    </row>
    <row r="4584" spans="1:20">
      <c r="A4584" s="1303"/>
      <c r="B4584" s="1322" t="s">
        <v>10901</v>
      </c>
      <c r="C4584" s="1323" t="s">
        <v>10889</v>
      </c>
      <c r="D4584" s="1324">
        <f t="shared" si="456"/>
        <v>35198</v>
      </c>
      <c r="E4584" s="1323">
        <f t="shared" si="458"/>
        <v>4.3696999999999999</v>
      </c>
      <c r="F4584" s="1323">
        <f t="shared" si="457"/>
        <v>4.0749435599918877</v>
      </c>
      <c r="G4584" s="1323">
        <f t="shared" si="459"/>
        <v>1996</v>
      </c>
      <c r="H4584" s="1323">
        <f t="shared" si="460"/>
        <v>5</v>
      </c>
      <c r="I4584" s="1323">
        <f t="shared" si="461"/>
        <v>13</v>
      </c>
      <c r="J4584" s="1323"/>
      <c r="K4584" s="1323"/>
      <c r="L4584" s="1323"/>
      <c r="M4584" s="1323"/>
      <c r="N4584" s="1323"/>
      <c r="O4584" s="1323"/>
      <c r="P4584" s="1323"/>
      <c r="Q4584" s="1323"/>
      <c r="R4584" s="1304"/>
      <c r="S4584" s="1304"/>
      <c r="T4584" s="1304"/>
    </row>
    <row r="4585" spans="1:20">
      <c r="A4585" s="1303"/>
      <c r="B4585" s="1322" t="s">
        <v>10902</v>
      </c>
      <c r="C4585" s="1323" t="s">
        <v>10903</v>
      </c>
      <c r="D4585" s="1324">
        <f t="shared" si="456"/>
        <v>35195</v>
      </c>
      <c r="E4585" s="1323">
        <f t="shared" si="458"/>
        <v>4.4336000000000002</v>
      </c>
      <c r="F4585" s="1323">
        <f t="shared" si="457"/>
        <v>4.0741622138138958</v>
      </c>
      <c r="G4585" s="1323">
        <f t="shared" si="459"/>
        <v>1996</v>
      </c>
      <c r="H4585" s="1323">
        <f t="shared" si="460"/>
        <v>5</v>
      </c>
      <c r="I4585" s="1323">
        <f t="shared" si="461"/>
        <v>10</v>
      </c>
      <c r="J4585" s="1323"/>
      <c r="K4585" s="1323"/>
      <c r="L4585" s="1323"/>
      <c r="M4585" s="1323"/>
      <c r="N4585" s="1323"/>
      <c r="O4585" s="1323"/>
      <c r="P4585" s="1323"/>
      <c r="Q4585" s="1323"/>
      <c r="R4585" s="1304"/>
      <c r="S4585" s="1304"/>
      <c r="T4585" s="1304"/>
    </row>
    <row r="4586" spans="1:20">
      <c r="A4586" s="1303"/>
      <c r="B4586" s="1322" t="s">
        <v>10904</v>
      </c>
      <c r="C4586" s="1323" t="s">
        <v>10562</v>
      </c>
      <c r="D4586" s="1324">
        <f t="shared" si="456"/>
        <v>35194</v>
      </c>
      <c r="E4586" s="1323">
        <f t="shared" si="458"/>
        <v>4.5381999999999998</v>
      </c>
      <c r="F4586" s="1323">
        <f t="shared" si="457"/>
        <v>4.0733810174543841</v>
      </c>
      <c r="G4586" s="1323">
        <f t="shared" si="459"/>
        <v>1996</v>
      </c>
      <c r="H4586" s="1323">
        <f t="shared" si="460"/>
        <v>5</v>
      </c>
      <c r="I4586" s="1323">
        <f t="shared" si="461"/>
        <v>9</v>
      </c>
      <c r="J4586" s="1323"/>
      <c r="K4586" s="1323"/>
      <c r="L4586" s="1323"/>
      <c r="M4586" s="1323"/>
      <c r="N4586" s="1323"/>
      <c r="O4586" s="1323"/>
      <c r="P4586" s="1323"/>
      <c r="Q4586" s="1323"/>
      <c r="R4586" s="1304"/>
      <c r="S4586" s="1304"/>
      <c r="T4586" s="1304"/>
    </row>
    <row r="4587" spans="1:20">
      <c r="A4587" s="1303"/>
      <c r="B4587" s="1322" t="s">
        <v>10905</v>
      </c>
      <c r="C4587" s="1323" t="s">
        <v>10790</v>
      </c>
      <c r="D4587" s="1324">
        <f t="shared" si="456"/>
        <v>35193</v>
      </c>
      <c r="E4587" s="1323">
        <f t="shared" si="458"/>
        <v>4.3898000000000001</v>
      </c>
      <c r="F4587" s="1323">
        <f t="shared" si="457"/>
        <v>4.0725999708846254</v>
      </c>
      <c r="G4587" s="1323">
        <f t="shared" si="459"/>
        <v>1996</v>
      </c>
      <c r="H4587" s="1323">
        <f t="shared" si="460"/>
        <v>5</v>
      </c>
      <c r="I4587" s="1323">
        <f t="shared" si="461"/>
        <v>8</v>
      </c>
      <c r="J4587" s="1323"/>
      <c r="K4587" s="1323"/>
      <c r="L4587" s="1323"/>
      <c r="M4587" s="1323"/>
      <c r="N4587" s="1323"/>
      <c r="O4587" s="1323"/>
      <c r="P4587" s="1323"/>
      <c r="Q4587" s="1323"/>
      <c r="R4587" s="1304"/>
      <c r="S4587" s="1304"/>
      <c r="T4587" s="1304"/>
    </row>
    <row r="4588" spans="1:20">
      <c r="A4588" s="1303"/>
      <c r="B4588" s="1322" t="s">
        <v>10906</v>
      </c>
      <c r="C4588" s="1323" t="s">
        <v>10907</v>
      </c>
      <c r="D4588" s="1324">
        <f t="shared" si="456"/>
        <v>35192</v>
      </c>
      <c r="E4588" s="1323">
        <f t="shared" si="458"/>
        <v>4.3966000000000003</v>
      </c>
      <c r="F4588" s="1323">
        <f t="shared" si="457"/>
        <v>4.0718190740758988</v>
      </c>
      <c r="G4588" s="1323">
        <f t="shared" si="459"/>
        <v>1996</v>
      </c>
      <c r="H4588" s="1323">
        <f t="shared" si="460"/>
        <v>5</v>
      </c>
      <c r="I4588" s="1323">
        <f t="shared" si="461"/>
        <v>7</v>
      </c>
      <c r="J4588" s="1323"/>
      <c r="K4588" s="1323"/>
      <c r="L4588" s="1323"/>
      <c r="M4588" s="1323"/>
      <c r="N4588" s="1323"/>
      <c r="O4588" s="1323"/>
      <c r="P4588" s="1323"/>
      <c r="Q4588" s="1323"/>
      <c r="R4588" s="1304"/>
      <c r="S4588" s="1304"/>
      <c r="T4588" s="1304"/>
    </row>
    <row r="4589" spans="1:20">
      <c r="A4589" s="1303"/>
      <c r="B4589" s="1322" t="s">
        <v>10908</v>
      </c>
      <c r="C4589" s="1323" t="s">
        <v>10909</v>
      </c>
      <c r="D4589" s="1324">
        <f t="shared" si="456"/>
        <v>35191</v>
      </c>
      <c r="E4589" s="1323">
        <f t="shared" si="458"/>
        <v>4.3907999999999996</v>
      </c>
      <c r="F4589" s="1323">
        <f t="shared" si="457"/>
        <v>4.0710383269994876</v>
      </c>
      <c r="G4589" s="1323">
        <f t="shared" si="459"/>
        <v>1996</v>
      </c>
      <c r="H4589" s="1323">
        <f t="shared" si="460"/>
        <v>5</v>
      </c>
      <c r="I4589" s="1323">
        <f t="shared" si="461"/>
        <v>6</v>
      </c>
      <c r="J4589" s="1323"/>
      <c r="K4589" s="1323"/>
      <c r="L4589" s="1323"/>
      <c r="M4589" s="1323"/>
      <c r="N4589" s="1323"/>
      <c r="O4589" s="1323"/>
      <c r="P4589" s="1323"/>
      <c r="Q4589" s="1323"/>
      <c r="R4589" s="1304"/>
      <c r="S4589" s="1304"/>
      <c r="T4589" s="1304"/>
    </row>
    <row r="4590" spans="1:20">
      <c r="A4590" s="1303"/>
      <c r="B4590" s="1322" t="s">
        <v>10910</v>
      </c>
      <c r="C4590" s="1323" t="s">
        <v>10620</v>
      </c>
      <c r="D4590" s="1324">
        <f t="shared" si="456"/>
        <v>35188</v>
      </c>
      <c r="E4590" s="1323">
        <f t="shared" si="458"/>
        <v>4.3792</v>
      </c>
      <c r="F4590" s="1323">
        <f t="shared" si="457"/>
        <v>4.0702577296266824</v>
      </c>
      <c r="G4590" s="1323">
        <f t="shared" si="459"/>
        <v>1996</v>
      </c>
      <c r="H4590" s="1323">
        <f t="shared" si="460"/>
        <v>5</v>
      </c>
      <c r="I4590" s="1323">
        <f t="shared" si="461"/>
        <v>3</v>
      </c>
      <c r="J4590" s="1323"/>
      <c r="K4590" s="1323"/>
      <c r="L4590" s="1323"/>
      <c r="M4590" s="1323"/>
      <c r="N4590" s="1323"/>
      <c r="O4590" s="1323"/>
      <c r="P4590" s="1323"/>
      <c r="Q4590" s="1323"/>
      <c r="R4590" s="1304"/>
      <c r="S4590" s="1304"/>
      <c r="T4590" s="1304"/>
    </row>
    <row r="4591" spans="1:20">
      <c r="A4591" s="1303"/>
      <c r="B4591" s="1322" t="s">
        <v>10911</v>
      </c>
      <c r="C4591" s="1323" t="s">
        <v>10912</v>
      </c>
      <c r="D4591" s="1324">
        <f t="shared" si="456"/>
        <v>35187</v>
      </c>
      <c r="E4591" s="1323">
        <f t="shared" si="458"/>
        <v>4.3525999999999998</v>
      </c>
      <c r="F4591" s="1323">
        <f t="shared" si="457"/>
        <v>4.0694772819287781</v>
      </c>
      <c r="G4591" s="1323">
        <f t="shared" si="459"/>
        <v>1996</v>
      </c>
      <c r="H4591" s="1323">
        <f t="shared" si="460"/>
        <v>5</v>
      </c>
      <c r="I4591" s="1323">
        <f t="shared" si="461"/>
        <v>2</v>
      </c>
      <c r="J4591" s="1323"/>
      <c r="K4591" s="1323"/>
      <c r="L4591" s="1323"/>
      <c r="M4591" s="1323"/>
      <c r="N4591" s="1323"/>
      <c r="O4591" s="1323"/>
      <c r="P4591" s="1323"/>
      <c r="Q4591" s="1323"/>
      <c r="R4591" s="1304"/>
      <c r="S4591" s="1304"/>
      <c r="T4591" s="1304"/>
    </row>
    <row r="4592" spans="1:20">
      <c r="A4592" s="1303"/>
      <c r="B4592" s="1322" t="s">
        <v>10913</v>
      </c>
      <c r="C4592" s="1323" t="s">
        <v>10855</v>
      </c>
      <c r="D4592" s="1324">
        <f t="shared" si="456"/>
        <v>35185</v>
      </c>
      <c r="E4592" s="1323">
        <f t="shared" si="458"/>
        <v>4.3868999999999998</v>
      </c>
      <c r="F4592" s="1323">
        <f t="shared" si="457"/>
        <v>4.0686969838770759</v>
      </c>
      <c r="G4592" s="1323">
        <f t="shared" si="459"/>
        <v>1996</v>
      </c>
      <c r="H4592" s="1323">
        <f t="shared" si="460"/>
        <v>4</v>
      </c>
      <c r="I4592" s="1323">
        <f t="shared" si="461"/>
        <v>30</v>
      </c>
      <c r="J4592" s="1323"/>
      <c r="K4592" s="1323"/>
      <c r="L4592" s="1323"/>
      <c r="M4592" s="1323"/>
      <c r="N4592" s="1323"/>
      <c r="O4592" s="1323"/>
      <c r="P4592" s="1323"/>
      <c r="Q4592" s="1323"/>
      <c r="R4592" s="1304"/>
      <c r="S4592" s="1304"/>
      <c r="T4592" s="1304"/>
    </row>
    <row r="4593" spans="1:20">
      <c r="A4593" s="1303"/>
      <c r="B4593" s="1322" t="s">
        <v>10914</v>
      </c>
      <c r="C4593" s="1323" t="s">
        <v>10825</v>
      </c>
      <c r="D4593" s="1324">
        <f t="shared" si="456"/>
        <v>35184</v>
      </c>
      <c r="E4593" s="1323">
        <f t="shared" si="458"/>
        <v>4.3411999999999997</v>
      </c>
      <c r="F4593" s="1323">
        <f t="shared" si="457"/>
        <v>4.0679168354428814</v>
      </c>
      <c r="G4593" s="1323">
        <f t="shared" si="459"/>
        <v>1996</v>
      </c>
      <c r="H4593" s="1323">
        <f t="shared" si="460"/>
        <v>4</v>
      </c>
      <c r="I4593" s="1323">
        <f t="shared" si="461"/>
        <v>29</v>
      </c>
      <c r="J4593" s="1323"/>
      <c r="K4593" s="1323"/>
      <c r="L4593" s="1323"/>
      <c r="M4593" s="1323"/>
      <c r="N4593" s="1323"/>
      <c r="O4593" s="1323"/>
      <c r="P4593" s="1323"/>
      <c r="Q4593" s="1323"/>
      <c r="R4593" s="1304"/>
      <c r="S4593" s="1304"/>
      <c r="T4593" s="1304"/>
    </row>
    <row r="4594" spans="1:20">
      <c r="A4594" s="1303"/>
      <c r="B4594" s="1322" t="s">
        <v>10915</v>
      </c>
      <c r="C4594" s="1323" t="s">
        <v>10835</v>
      </c>
      <c r="D4594" s="1324">
        <f t="shared" si="456"/>
        <v>35181</v>
      </c>
      <c r="E4594" s="1323">
        <f t="shared" si="458"/>
        <v>4.4553000000000003</v>
      </c>
      <c r="F4594" s="1323">
        <f t="shared" si="457"/>
        <v>4.0671368365975065</v>
      </c>
      <c r="G4594" s="1323">
        <f t="shared" si="459"/>
        <v>1996</v>
      </c>
      <c r="H4594" s="1323">
        <f t="shared" si="460"/>
        <v>4</v>
      </c>
      <c r="I4594" s="1323">
        <f t="shared" si="461"/>
        <v>26</v>
      </c>
      <c r="J4594" s="1323"/>
      <c r="K4594" s="1323"/>
      <c r="L4594" s="1323"/>
      <c r="M4594" s="1323"/>
      <c r="N4594" s="1323"/>
      <c r="O4594" s="1323"/>
      <c r="P4594" s="1323"/>
      <c r="Q4594" s="1323"/>
      <c r="R4594" s="1304"/>
      <c r="S4594" s="1304"/>
      <c r="T4594" s="1304"/>
    </row>
    <row r="4595" spans="1:20">
      <c r="A4595" s="1303"/>
      <c r="B4595" s="1322" t="s">
        <v>10916</v>
      </c>
      <c r="C4595" s="1323" t="s">
        <v>10817</v>
      </c>
      <c r="D4595" s="1324">
        <f t="shared" si="456"/>
        <v>35180</v>
      </c>
      <c r="E4595" s="1323">
        <f t="shared" si="458"/>
        <v>4.3234000000000004</v>
      </c>
      <c r="F4595" s="1323">
        <f t="shared" si="457"/>
        <v>4.0663569873122682</v>
      </c>
      <c r="G4595" s="1323">
        <f t="shared" si="459"/>
        <v>1996</v>
      </c>
      <c r="H4595" s="1323">
        <f t="shared" si="460"/>
        <v>4</v>
      </c>
      <c r="I4595" s="1323">
        <f t="shared" si="461"/>
        <v>25</v>
      </c>
      <c r="J4595" s="1323"/>
      <c r="K4595" s="1323"/>
      <c r="L4595" s="1323"/>
      <c r="M4595" s="1323"/>
      <c r="N4595" s="1323"/>
      <c r="O4595" s="1323"/>
      <c r="P4595" s="1323"/>
      <c r="Q4595" s="1323"/>
      <c r="R4595" s="1304"/>
      <c r="S4595" s="1304"/>
      <c r="T4595" s="1304"/>
    </row>
    <row r="4596" spans="1:20">
      <c r="A4596" s="1303"/>
      <c r="B4596" s="1322" t="s">
        <v>10917</v>
      </c>
      <c r="C4596" s="1323" t="s">
        <v>10918</v>
      </c>
      <c r="D4596" s="1324">
        <f t="shared" si="456"/>
        <v>35179</v>
      </c>
      <c r="E4596" s="1323">
        <f t="shared" si="458"/>
        <v>4.2373000000000003</v>
      </c>
      <c r="F4596" s="1323">
        <f t="shared" si="457"/>
        <v>4.0655772875584901</v>
      </c>
      <c r="G4596" s="1323">
        <f t="shared" si="459"/>
        <v>1996</v>
      </c>
      <c r="H4596" s="1323">
        <f t="shared" si="460"/>
        <v>4</v>
      </c>
      <c r="I4596" s="1323">
        <f t="shared" si="461"/>
        <v>24</v>
      </c>
      <c r="J4596" s="1323"/>
      <c r="K4596" s="1323"/>
      <c r="L4596" s="1323"/>
      <c r="M4596" s="1323"/>
      <c r="N4596" s="1323"/>
      <c r="O4596" s="1323"/>
      <c r="P4596" s="1323"/>
      <c r="Q4596" s="1323"/>
      <c r="R4596" s="1304"/>
      <c r="S4596" s="1304"/>
      <c r="T4596" s="1304"/>
    </row>
    <row r="4597" spans="1:20">
      <c r="A4597" s="1303"/>
      <c r="B4597" s="1322" t="s">
        <v>10919</v>
      </c>
      <c r="C4597" s="1323" t="s">
        <v>10920</v>
      </c>
      <c r="D4597" s="1324">
        <f t="shared" si="456"/>
        <v>35178</v>
      </c>
      <c r="E4597" s="1323">
        <f t="shared" si="458"/>
        <v>4.2408999999999999</v>
      </c>
      <c r="F4597" s="1323">
        <f t="shared" si="457"/>
        <v>4.0647977373074999</v>
      </c>
      <c r="G4597" s="1323">
        <f t="shared" si="459"/>
        <v>1996</v>
      </c>
      <c r="H4597" s="1323">
        <f t="shared" si="460"/>
        <v>4</v>
      </c>
      <c r="I4597" s="1323">
        <f t="shared" si="461"/>
        <v>23</v>
      </c>
      <c r="J4597" s="1323"/>
      <c r="K4597" s="1323"/>
      <c r="L4597" s="1323"/>
      <c r="M4597" s="1323"/>
      <c r="N4597" s="1323"/>
      <c r="O4597" s="1323"/>
      <c r="P4597" s="1323"/>
      <c r="Q4597" s="1323"/>
      <c r="R4597" s="1304"/>
      <c r="S4597" s="1304"/>
      <c r="T4597" s="1304"/>
    </row>
    <row r="4598" spans="1:20">
      <c r="A4598" s="1303"/>
      <c r="B4598" s="1322" t="s">
        <v>10921</v>
      </c>
      <c r="C4598" s="1323" t="s">
        <v>10922</v>
      </c>
      <c r="D4598" s="1324">
        <f t="shared" si="456"/>
        <v>35177</v>
      </c>
      <c r="E4598" s="1323">
        <f t="shared" si="458"/>
        <v>4.2599</v>
      </c>
      <c r="F4598" s="1323">
        <f t="shared" si="457"/>
        <v>4.0640183365306308</v>
      </c>
      <c r="G4598" s="1323">
        <f t="shared" si="459"/>
        <v>1996</v>
      </c>
      <c r="H4598" s="1323">
        <f t="shared" si="460"/>
        <v>4</v>
      </c>
      <c r="I4598" s="1323">
        <f t="shared" si="461"/>
        <v>22</v>
      </c>
      <c r="J4598" s="1323"/>
      <c r="K4598" s="1323"/>
      <c r="L4598" s="1323"/>
      <c r="M4598" s="1323"/>
      <c r="N4598" s="1323"/>
      <c r="O4598" s="1323"/>
      <c r="P4598" s="1323"/>
      <c r="Q4598" s="1323"/>
      <c r="R4598" s="1304"/>
      <c r="S4598" s="1304"/>
      <c r="T4598" s="1304"/>
    </row>
    <row r="4599" spans="1:20">
      <c r="A4599" s="1303"/>
      <c r="B4599" s="1322" t="s">
        <v>10923</v>
      </c>
      <c r="C4599" s="1323" t="s">
        <v>10924</v>
      </c>
      <c r="D4599" s="1324">
        <f t="shared" si="456"/>
        <v>35174</v>
      </c>
      <c r="E4599" s="1323">
        <f t="shared" si="458"/>
        <v>4.2625999999999999</v>
      </c>
      <c r="F4599" s="1323">
        <f t="shared" si="457"/>
        <v>4.0632390851992231</v>
      </c>
      <c r="G4599" s="1323">
        <f t="shared" si="459"/>
        <v>1996</v>
      </c>
      <c r="H4599" s="1323">
        <f t="shared" si="460"/>
        <v>4</v>
      </c>
      <c r="I4599" s="1323">
        <f t="shared" si="461"/>
        <v>19</v>
      </c>
      <c r="J4599" s="1323"/>
      <c r="K4599" s="1323"/>
      <c r="L4599" s="1323"/>
      <c r="M4599" s="1323"/>
      <c r="N4599" s="1323"/>
      <c r="O4599" s="1323"/>
      <c r="P4599" s="1323"/>
      <c r="Q4599" s="1323"/>
      <c r="R4599" s="1304"/>
      <c r="S4599" s="1304"/>
      <c r="T4599" s="1304"/>
    </row>
    <row r="4600" spans="1:20">
      <c r="A4600" s="1303"/>
      <c r="B4600" s="1322" t="s">
        <v>10925</v>
      </c>
      <c r="C4600" s="1323" t="s">
        <v>10926</v>
      </c>
      <c r="D4600" s="1324">
        <f t="shared" si="456"/>
        <v>35173</v>
      </c>
      <c r="E4600" s="1323">
        <f t="shared" si="458"/>
        <v>4.2408999999999999</v>
      </c>
      <c r="F4600" s="1323">
        <f t="shared" si="457"/>
        <v>4.0624599832846204</v>
      </c>
      <c r="G4600" s="1323">
        <f t="shared" si="459"/>
        <v>1996</v>
      </c>
      <c r="H4600" s="1323">
        <f t="shared" si="460"/>
        <v>4</v>
      </c>
      <c r="I4600" s="1323">
        <f t="shared" si="461"/>
        <v>18</v>
      </c>
      <c r="J4600" s="1323"/>
      <c r="K4600" s="1323"/>
      <c r="L4600" s="1323"/>
      <c r="M4600" s="1323"/>
      <c r="N4600" s="1323"/>
      <c r="O4600" s="1323"/>
      <c r="P4600" s="1323"/>
      <c r="Q4600" s="1323"/>
      <c r="R4600" s="1304"/>
      <c r="S4600" s="1304"/>
      <c r="T4600" s="1304"/>
    </row>
    <row r="4601" spans="1:20">
      <c r="A4601" s="1303"/>
      <c r="B4601" s="1322" t="s">
        <v>10927</v>
      </c>
      <c r="C4601" s="1323" t="s">
        <v>10922</v>
      </c>
      <c r="D4601" s="1324">
        <f t="shared" si="456"/>
        <v>35172</v>
      </c>
      <c r="E4601" s="1323">
        <f t="shared" si="458"/>
        <v>4.2309999999999999</v>
      </c>
      <c r="F4601" s="1323">
        <f t="shared" si="457"/>
        <v>4.0616810307581739</v>
      </c>
      <c r="G4601" s="1323">
        <f t="shared" si="459"/>
        <v>1996</v>
      </c>
      <c r="H4601" s="1323">
        <f t="shared" si="460"/>
        <v>4</v>
      </c>
      <c r="I4601" s="1323">
        <f t="shared" si="461"/>
        <v>17</v>
      </c>
      <c r="J4601" s="1323"/>
      <c r="K4601" s="1323"/>
      <c r="L4601" s="1323"/>
      <c r="M4601" s="1323"/>
      <c r="N4601" s="1323"/>
      <c r="O4601" s="1323"/>
      <c r="P4601" s="1323"/>
      <c r="Q4601" s="1323"/>
      <c r="R4601" s="1304"/>
      <c r="S4601" s="1304"/>
      <c r="T4601" s="1304"/>
    </row>
    <row r="4602" spans="1:20">
      <c r="A4602" s="1303"/>
      <c r="B4602" s="1322" t="s">
        <v>10928</v>
      </c>
      <c r="C4602" s="1323" t="s">
        <v>10929</v>
      </c>
      <c r="D4602" s="1324">
        <f t="shared" si="456"/>
        <v>35171</v>
      </c>
      <c r="E4602" s="1323">
        <f t="shared" si="458"/>
        <v>4.2417999999999996</v>
      </c>
      <c r="F4602" s="1323">
        <f t="shared" si="457"/>
        <v>4.0609022275912388</v>
      </c>
      <c r="G4602" s="1323">
        <f t="shared" si="459"/>
        <v>1996</v>
      </c>
      <c r="H4602" s="1323">
        <f t="shared" si="460"/>
        <v>4</v>
      </c>
      <c r="I4602" s="1323">
        <f t="shared" si="461"/>
        <v>16</v>
      </c>
      <c r="J4602" s="1323"/>
      <c r="K4602" s="1323"/>
      <c r="L4602" s="1323"/>
      <c r="M4602" s="1323"/>
      <c r="N4602" s="1323"/>
      <c r="O4602" s="1323"/>
      <c r="P4602" s="1323"/>
      <c r="Q4602" s="1323"/>
      <c r="R4602" s="1304"/>
      <c r="S4602" s="1304"/>
      <c r="T4602" s="1304"/>
    </row>
    <row r="4603" spans="1:20">
      <c r="A4603" s="1303"/>
      <c r="B4603" s="1322" t="s">
        <v>10930</v>
      </c>
      <c r="C4603" s="1323" t="s">
        <v>10931</v>
      </c>
      <c r="D4603" s="1324">
        <f t="shared" si="456"/>
        <v>35170</v>
      </c>
      <c r="E4603" s="1323">
        <f t="shared" si="458"/>
        <v>4.1973000000000003</v>
      </c>
      <c r="F4603" s="1323">
        <f t="shared" si="457"/>
        <v>4.0601235737551757</v>
      </c>
      <c r="G4603" s="1323">
        <f t="shared" si="459"/>
        <v>1996</v>
      </c>
      <c r="H4603" s="1323">
        <f t="shared" si="460"/>
        <v>4</v>
      </c>
      <c r="I4603" s="1323">
        <f t="shared" si="461"/>
        <v>15</v>
      </c>
      <c r="J4603" s="1323"/>
      <c r="K4603" s="1323"/>
      <c r="L4603" s="1323"/>
      <c r="M4603" s="1323"/>
      <c r="N4603" s="1323"/>
      <c r="O4603" s="1323"/>
      <c r="P4603" s="1323"/>
      <c r="Q4603" s="1323"/>
      <c r="R4603" s="1304"/>
      <c r="S4603" s="1304"/>
      <c r="T4603" s="1304"/>
    </row>
    <row r="4604" spans="1:20">
      <c r="A4604" s="1303"/>
      <c r="B4604" s="1322" t="s">
        <v>10932</v>
      </c>
      <c r="C4604" s="1323" t="s">
        <v>10933</v>
      </c>
      <c r="D4604" s="1324">
        <f t="shared" si="456"/>
        <v>35167</v>
      </c>
      <c r="E4604" s="1323">
        <f t="shared" si="458"/>
        <v>4.1544999999999996</v>
      </c>
      <c r="F4604" s="1323">
        <f t="shared" si="457"/>
        <v>4.0593450692213526</v>
      </c>
      <c r="G4604" s="1323">
        <f t="shared" si="459"/>
        <v>1996</v>
      </c>
      <c r="H4604" s="1323">
        <f t="shared" si="460"/>
        <v>4</v>
      </c>
      <c r="I4604" s="1323">
        <f t="shared" si="461"/>
        <v>12</v>
      </c>
      <c r="J4604" s="1323"/>
      <c r="K4604" s="1323"/>
      <c r="L4604" s="1323"/>
      <c r="M4604" s="1323"/>
      <c r="N4604" s="1323"/>
      <c r="O4604" s="1323"/>
      <c r="P4604" s="1323"/>
      <c r="Q4604" s="1323"/>
      <c r="R4604" s="1304"/>
      <c r="S4604" s="1304"/>
      <c r="T4604" s="1304"/>
    </row>
    <row r="4605" spans="1:20">
      <c r="A4605" s="1303"/>
      <c r="B4605" s="1322" t="s">
        <v>10934</v>
      </c>
      <c r="C4605" s="1323" t="s">
        <v>10935</v>
      </c>
      <c r="D4605" s="1324">
        <f t="shared" si="456"/>
        <v>35166</v>
      </c>
      <c r="E4605" s="1323">
        <f t="shared" si="458"/>
        <v>4.1425000000000001</v>
      </c>
      <c r="F4605" s="1323">
        <f t="shared" si="457"/>
        <v>4.0585667139611408</v>
      </c>
      <c r="G4605" s="1323">
        <f t="shared" si="459"/>
        <v>1996</v>
      </c>
      <c r="H4605" s="1323">
        <f t="shared" si="460"/>
        <v>4</v>
      </c>
      <c r="I4605" s="1323">
        <f t="shared" si="461"/>
        <v>11</v>
      </c>
      <c r="J4605" s="1323"/>
      <c r="K4605" s="1323"/>
      <c r="L4605" s="1323"/>
      <c r="M4605" s="1323"/>
      <c r="N4605" s="1323"/>
      <c r="O4605" s="1323"/>
      <c r="P4605" s="1323"/>
      <c r="Q4605" s="1323"/>
      <c r="R4605" s="1304"/>
      <c r="S4605" s="1304"/>
      <c r="T4605" s="1304"/>
    </row>
    <row r="4606" spans="1:20">
      <c r="A4606" s="1303"/>
      <c r="B4606" s="1322" t="s">
        <v>10936</v>
      </c>
      <c r="C4606" s="1323" t="s">
        <v>10937</v>
      </c>
      <c r="D4606" s="1324">
        <f t="shared" si="456"/>
        <v>35165</v>
      </c>
      <c r="E4606" s="1323">
        <f t="shared" si="458"/>
        <v>4.1631999999999998</v>
      </c>
      <c r="F4606" s="1323">
        <f t="shared" si="457"/>
        <v>4.0577885079459177</v>
      </c>
      <c r="G4606" s="1323">
        <f t="shared" si="459"/>
        <v>1996</v>
      </c>
      <c r="H4606" s="1323">
        <f t="shared" si="460"/>
        <v>4</v>
      </c>
      <c r="I4606" s="1323">
        <f t="shared" si="461"/>
        <v>10</v>
      </c>
      <c r="J4606" s="1323"/>
      <c r="K4606" s="1323"/>
      <c r="L4606" s="1323"/>
      <c r="M4606" s="1323"/>
      <c r="N4606" s="1323"/>
      <c r="O4606" s="1323"/>
      <c r="P4606" s="1323"/>
      <c r="Q4606" s="1323"/>
      <c r="R4606" s="1304"/>
      <c r="S4606" s="1304"/>
      <c r="T4606" s="1304"/>
    </row>
    <row r="4607" spans="1:20">
      <c r="A4607" s="1303"/>
      <c r="B4607" s="1322" t="s">
        <v>10938</v>
      </c>
      <c r="C4607" s="1323" t="s">
        <v>10939</v>
      </c>
      <c r="D4607" s="1324">
        <f t="shared" si="456"/>
        <v>35164</v>
      </c>
      <c r="E4607" s="1323">
        <f t="shared" si="458"/>
        <v>4.1322000000000001</v>
      </c>
      <c r="F4607" s="1323">
        <f t="shared" si="457"/>
        <v>4.0570104511470673</v>
      </c>
      <c r="G4607" s="1323">
        <f t="shared" si="459"/>
        <v>1996</v>
      </c>
      <c r="H4607" s="1323">
        <f t="shared" si="460"/>
        <v>4</v>
      </c>
      <c r="I4607" s="1323">
        <f t="shared" si="461"/>
        <v>9</v>
      </c>
      <c r="J4607" s="1323"/>
      <c r="K4607" s="1323"/>
      <c r="L4607" s="1323"/>
      <c r="M4607" s="1323"/>
      <c r="N4607" s="1323"/>
      <c r="O4607" s="1323"/>
      <c r="P4607" s="1323"/>
      <c r="Q4607" s="1323"/>
      <c r="R4607" s="1304"/>
      <c r="S4607" s="1304"/>
      <c r="T4607" s="1304"/>
    </row>
    <row r="4608" spans="1:20">
      <c r="A4608" s="1303"/>
      <c r="B4608" s="1322" t="s">
        <v>10940</v>
      </c>
      <c r="C4608" s="1323" t="s">
        <v>10941</v>
      </c>
      <c r="D4608" s="1324">
        <f t="shared" si="456"/>
        <v>35159</v>
      </c>
      <c r="E4608" s="1323">
        <f t="shared" si="458"/>
        <v>4.0865999999999998</v>
      </c>
      <c r="F4608" s="1323">
        <f t="shared" si="457"/>
        <v>4.0562325435359776</v>
      </c>
      <c r="G4608" s="1323">
        <f t="shared" si="459"/>
        <v>1996</v>
      </c>
      <c r="H4608" s="1323">
        <f t="shared" si="460"/>
        <v>4</v>
      </c>
      <c r="I4608" s="1323">
        <f t="shared" si="461"/>
        <v>4</v>
      </c>
      <c r="J4608" s="1323"/>
      <c r="K4608" s="1323"/>
      <c r="L4608" s="1323"/>
      <c r="M4608" s="1323"/>
      <c r="N4608" s="1323"/>
      <c r="O4608" s="1323"/>
      <c r="P4608" s="1323"/>
      <c r="Q4608" s="1323"/>
      <c r="R4608" s="1304"/>
      <c r="S4608" s="1304"/>
      <c r="T4608" s="1304"/>
    </row>
    <row r="4609" spans="1:20">
      <c r="A4609" s="1303"/>
      <c r="B4609" s="1322" t="s">
        <v>10942</v>
      </c>
      <c r="C4609" s="1323" t="s">
        <v>10943</v>
      </c>
      <c r="D4609" s="1324">
        <f t="shared" si="456"/>
        <v>35158</v>
      </c>
      <c r="E4609" s="1323">
        <f t="shared" si="458"/>
        <v>4.0891000000000002</v>
      </c>
      <c r="F4609" s="1323">
        <f t="shared" si="457"/>
        <v>4.0554547850840432</v>
      </c>
      <c r="G4609" s="1323">
        <f t="shared" si="459"/>
        <v>1996</v>
      </c>
      <c r="H4609" s="1323">
        <f t="shared" si="460"/>
        <v>4</v>
      </c>
      <c r="I4609" s="1323">
        <f t="shared" si="461"/>
        <v>3</v>
      </c>
      <c r="J4609" s="1323"/>
      <c r="K4609" s="1323"/>
      <c r="L4609" s="1323"/>
      <c r="M4609" s="1323"/>
      <c r="N4609" s="1323"/>
      <c r="O4609" s="1323"/>
      <c r="P4609" s="1323"/>
      <c r="Q4609" s="1323"/>
      <c r="R4609" s="1304"/>
      <c r="S4609" s="1304"/>
      <c r="T4609" s="1304"/>
    </row>
    <row r="4610" spans="1:20">
      <c r="A4610" s="1303"/>
      <c r="B4610" s="1322" t="s">
        <v>10944</v>
      </c>
      <c r="C4610" s="1323" t="s">
        <v>10945</v>
      </c>
      <c r="D4610" s="1324">
        <f t="shared" si="456"/>
        <v>35157</v>
      </c>
      <c r="E4610" s="1323">
        <f t="shared" si="458"/>
        <v>4.0185000000000004</v>
      </c>
      <c r="F4610" s="1323">
        <f t="shared" si="457"/>
        <v>4.0546771757626638</v>
      </c>
      <c r="G4610" s="1323">
        <f t="shared" si="459"/>
        <v>1996</v>
      </c>
      <c r="H4610" s="1323">
        <f t="shared" si="460"/>
        <v>4</v>
      </c>
      <c r="I4610" s="1323">
        <f t="shared" si="461"/>
        <v>2</v>
      </c>
      <c r="J4610" s="1323"/>
      <c r="K4610" s="1323"/>
      <c r="L4610" s="1323"/>
      <c r="M4610" s="1323"/>
      <c r="N4610" s="1323"/>
      <c r="O4610" s="1323"/>
      <c r="P4610" s="1323"/>
      <c r="Q4610" s="1323"/>
      <c r="R4610" s="1304"/>
      <c r="S4610" s="1304"/>
      <c r="T4610" s="1304"/>
    </row>
    <row r="4611" spans="1:20">
      <c r="A4611" s="1303"/>
      <c r="B4611" s="1322" t="s">
        <v>10946</v>
      </c>
      <c r="C4611" s="1323" t="s">
        <v>10947</v>
      </c>
      <c r="D4611" s="1324">
        <f t="shared" si="456"/>
        <v>35156</v>
      </c>
      <c r="E4611" s="1323">
        <f t="shared" si="458"/>
        <v>3.9738000000000002</v>
      </c>
      <c r="F4611" s="1323">
        <f t="shared" si="457"/>
        <v>4.0538997155432446</v>
      </c>
      <c r="G4611" s="1323">
        <f t="shared" si="459"/>
        <v>1996</v>
      </c>
      <c r="H4611" s="1323">
        <f t="shared" si="460"/>
        <v>4</v>
      </c>
      <c r="I4611" s="1323">
        <f t="shared" si="461"/>
        <v>1</v>
      </c>
      <c r="J4611" s="1323"/>
      <c r="K4611" s="1323"/>
      <c r="L4611" s="1323"/>
      <c r="M4611" s="1323"/>
      <c r="N4611" s="1323"/>
      <c r="O4611" s="1323"/>
      <c r="P4611" s="1323"/>
      <c r="Q4611" s="1323"/>
      <c r="R4611" s="1304"/>
      <c r="S4611" s="1304"/>
      <c r="T4611" s="1304"/>
    </row>
    <row r="4612" spans="1:20">
      <c r="A4612" s="1303"/>
      <c r="B4612" s="1322" t="s">
        <v>10948</v>
      </c>
      <c r="C4612" s="1323" t="s">
        <v>10949</v>
      </c>
      <c r="D4612" s="1324">
        <f t="shared" si="456"/>
        <v>35153</v>
      </c>
      <c r="E4612" s="1323">
        <f t="shared" si="458"/>
        <v>4.0048000000000004</v>
      </c>
      <c r="F4612" s="1323">
        <f t="shared" si="457"/>
        <v>4.0531224043971958</v>
      </c>
      <c r="G4612" s="1323">
        <f t="shared" si="459"/>
        <v>1996</v>
      </c>
      <c r="H4612" s="1323">
        <f t="shared" si="460"/>
        <v>3</v>
      </c>
      <c r="I4612" s="1323">
        <f t="shared" si="461"/>
        <v>29</v>
      </c>
      <c r="J4612" s="1323"/>
      <c r="K4612" s="1323"/>
      <c r="L4612" s="1323"/>
      <c r="M4612" s="1323"/>
      <c r="N4612" s="1323"/>
      <c r="O4612" s="1323"/>
      <c r="P4612" s="1323"/>
      <c r="Q4612" s="1323"/>
      <c r="R4612" s="1304"/>
      <c r="S4612" s="1304"/>
      <c r="T4612" s="1304"/>
    </row>
    <row r="4613" spans="1:20">
      <c r="A4613" s="1303"/>
      <c r="B4613" s="1322" t="s">
        <v>10950</v>
      </c>
      <c r="C4613" s="1323" t="s">
        <v>10951</v>
      </c>
      <c r="D4613" s="1324">
        <f t="shared" si="456"/>
        <v>35152</v>
      </c>
      <c r="E4613" s="1323">
        <f t="shared" si="458"/>
        <v>4.0007999999999999</v>
      </c>
      <c r="F4613" s="1323">
        <f t="shared" si="457"/>
        <v>4.0523452422959334</v>
      </c>
      <c r="G4613" s="1323">
        <f t="shared" si="459"/>
        <v>1996</v>
      </c>
      <c r="H4613" s="1323">
        <f t="shared" si="460"/>
        <v>3</v>
      </c>
      <c r="I4613" s="1323">
        <f t="shared" si="461"/>
        <v>28</v>
      </c>
      <c r="J4613" s="1323"/>
      <c r="K4613" s="1323"/>
      <c r="L4613" s="1323"/>
      <c r="M4613" s="1323"/>
      <c r="N4613" s="1323"/>
      <c r="O4613" s="1323"/>
      <c r="P4613" s="1323"/>
      <c r="Q4613" s="1323"/>
      <c r="R4613" s="1304"/>
      <c r="S4613" s="1304"/>
      <c r="T4613" s="1304"/>
    </row>
    <row r="4614" spans="1:20">
      <c r="A4614" s="1303"/>
      <c r="B4614" s="1322" t="s">
        <v>10952</v>
      </c>
      <c r="C4614" s="1323" t="s">
        <v>10953</v>
      </c>
      <c r="D4614" s="1324">
        <f t="shared" si="456"/>
        <v>35151</v>
      </c>
      <c r="E4614" s="1323">
        <f t="shared" si="458"/>
        <v>3.9611999999999998</v>
      </c>
      <c r="F4614" s="1323">
        <f t="shared" si="457"/>
        <v>4.0515682292108792</v>
      </c>
      <c r="G4614" s="1323">
        <f t="shared" si="459"/>
        <v>1996</v>
      </c>
      <c r="H4614" s="1323">
        <f t="shared" si="460"/>
        <v>3</v>
      </c>
      <c r="I4614" s="1323">
        <f t="shared" si="461"/>
        <v>27</v>
      </c>
      <c r="J4614" s="1323"/>
      <c r="K4614" s="1323"/>
      <c r="L4614" s="1323"/>
      <c r="M4614" s="1323"/>
      <c r="N4614" s="1323"/>
      <c r="O4614" s="1323"/>
      <c r="P4614" s="1323"/>
      <c r="Q4614" s="1323"/>
      <c r="R4614" s="1304"/>
      <c r="S4614" s="1304"/>
      <c r="T4614" s="1304"/>
    </row>
    <row r="4615" spans="1:20">
      <c r="A4615" s="1303"/>
      <c r="B4615" s="1322" t="s">
        <v>10954</v>
      </c>
      <c r="C4615" s="1323" t="s">
        <v>10955</v>
      </c>
      <c r="D4615" s="1324">
        <f t="shared" si="456"/>
        <v>35150</v>
      </c>
      <c r="E4615" s="1323">
        <f t="shared" si="458"/>
        <v>3.9361999999999999</v>
      </c>
      <c r="F4615" s="1323">
        <f t="shared" si="457"/>
        <v>4.0507913651134597</v>
      </c>
      <c r="G4615" s="1323">
        <f t="shared" si="459"/>
        <v>1996</v>
      </c>
      <c r="H4615" s="1323">
        <f t="shared" si="460"/>
        <v>3</v>
      </c>
      <c r="I4615" s="1323">
        <f t="shared" si="461"/>
        <v>26</v>
      </c>
      <c r="J4615" s="1323"/>
      <c r="K4615" s="1323"/>
      <c r="L4615" s="1323"/>
      <c r="M4615" s="1323"/>
      <c r="N4615" s="1323"/>
      <c r="O4615" s="1323"/>
      <c r="P4615" s="1323"/>
      <c r="Q4615" s="1323"/>
      <c r="R4615" s="1304"/>
      <c r="S4615" s="1304"/>
      <c r="T4615" s="1304"/>
    </row>
    <row r="4616" spans="1:20">
      <c r="A4616" s="1303"/>
      <c r="B4616" s="1322" t="s">
        <v>10956</v>
      </c>
      <c r="C4616" s="1323" t="s">
        <v>10957</v>
      </c>
      <c r="D4616" s="1324">
        <f t="shared" si="456"/>
        <v>35149</v>
      </c>
      <c r="E4616" s="1323">
        <f t="shared" si="458"/>
        <v>3.9262000000000001</v>
      </c>
      <c r="F4616" s="1323">
        <f t="shared" si="457"/>
        <v>4.0500146499751084</v>
      </c>
      <c r="G4616" s="1323">
        <f t="shared" si="459"/>
        <v>1996</v>
      </c>
      <c r="H4616" s="1323">
        <f t="shared" si="460"/>
        <v>3</v>
      </c>
      <c r="I4616" s="1323">
        <f t="shared" si="461"/>
        <v>25</v>
      </c>
      <c r="J4616" s="1323"/>
      <c r="K4616" s="1323"/>
      <c r="L4616" s="1323"/>
      <c r="M4616" s="1323"/>
      <c r="N4616" s="1323"/>
      <c r="O4616" s="1323"/>
      <c r="P4616" s="1323"/>
      <c r="Q4616" s="1323"/>
      <c r="R4616" s="1304"/>
      <c r="S4616" s="1304"/>
      <c r="T4616" s="1304"/>
    </row>
    <row r="4617" spans="1:20">
      <c r="A4617" s="1303"/>
      <c r="B4617" s="1322" t="s">
        <v>10958</v>
      </c>
      <c r="C4617" s="1323" t="s">
        <v>10959</v>
      </c>
      <c r="D4617" s="1324">
        <f t="shared" ref="D4617:D4680" si="462">DATE(G4617,H4617,I4617)</f>
        <v>35146</v>
      </c>
      <c r="E4617" s="1323">
        <f t="shared" si="458"/>
        <v>3.9216000000000002</v>
      </c>
      <c r="F4617" s="1323">
        <f t="shared" ref="F4617:F4680" si="463">F4618*(1+$F$7/365)</f>
        <v>4.0492380837672624</v>
      </c>
      <c r="G4617" s="1323">
        <f t="shared" si="459"/>
        <v>1996</v>
      </c>
      <c r="H4617" s="1323">
        <f t="shared" si="460"/>
        <v>3</v>
      </c>
      <c r="I4617" s="1323">
        <f t="shared" si="461"/>
        <v>22</v>
      </c>
      <c r="J4617" s="1323"/>
      <c r="K4617" s="1323"/>
      <c r="L4617" s="1323"/>
      <c r="M4617" s="1323"/>
      <c r="N4617" s="1323"/>
      <c r="O4617" s="1323"/>
      <c r="P4617" s="1323"/>
      <c r="Q4617" s="1323"/>
      <c r="R4617" s="1304"/>
      <c r="S4617" s="1304"/>
      <c r="T4617" s="1304"/>
    </row>
    <row r="4618" spans="1:20">
      <c r="A4618" s="1303"/>
      <c r="B4618" s="1322" t="s">
        <v>10960</v>
      </c>
      <c r="C4618" s="1323" t="s">
        <v>10961</v>
      </c>
      <c r="D4618" s="1324">
        <f t="shared" si="462"/>
        <v>35144</v>
      </c>
      <c r="E4618" s="1323">
        <f t="shared" si="458"/>
        <v>3.9293</v>
      </c>
      <c r="F4618" s="1323">
        <f t="shared" si="463"/>
        <v>4.0484616664613657</v>
      </c>
      <c r="G4618" s="1323">
        <f t="shared" si="459"/>
        <v>1996</v>
      </c>
      <c r="H4618" s="1323">
        <f t="shared" si="460"/>
        <v>3</v>
      </c>
      <c r="I4618" s="1323">
        <f t="shared" si="461"/>
        <v>20</v>
      </c>
      <c r="J4618" s="1323"/>
      <c r="K4618" s="1323"/>
      <c r="L4618" s="1323"/>
      <c r="M4618" s="1323"/>
      <c r="N4618" s="1323"/>
      <c r="O4618" s="1323"/>
      <c r="P4618" s="1323"/>
      <c r="Q4618" s="1323"/>
      <c r="R4618" s="1304"/>
      <c r="S4618" s="1304"/>
      <c r="T4618" s="1304"/>
    </row>
    <row r="4619" spans="1:20">
      <c r="A4619" s="1303"/>
      <c r="B4619" s="1322" t="s">
        <v>10962</v>
      </c>
      <c r="C4619" s="1323" t="s">
        <v>10963</v>
      </c>
      <c r="D4619" s="1324">
        <f t="shared" si="462"/>
        <v>35143</v>
      </c>
      <c r="E4619" s="1323">
        <f t="shared" si="458"/>
        <v>3.9339</v>
      </c>
      <c r="F4619" s="1323">
        <f t="shared" si="463"/>
        <v>4.0476853980288672</v>
      </c>
      <c r="G4619" s="1323">
        <f t="shared" si="459"/>
        <v>1996</v>
      </c>
      <c r="H4619" s="1323">
        <f t="shared" si="460"/>
        <v>3</v>
      </c>
      <c r="I4619" s="1323">
        <f t="shared" si="461"/>
        <v>19</v>
      </c>
      <c r="J4619" s="1323"/>
      <c r="K4619" s="1323"/>
      <c r="L4619" s="1323"/>
      <c r="M4619" s="1323"/>
      <c r="N4619" s="1323"/>
      <c r="O4619" s="1323"/>
      <c r="P4619" s="1323"/>
      <c r="Q4619" s="1323"/>
      <c r="R4619" s="1304"/>
      <c r="S4619" s="1304"/>
      <c r="T4619" s="1304"/>
    </row>
    <row r="4620" spans="1:20">
      <c r="A4620" s="1303"/>
      <c r="B4620" s="1322" t="s">
        <v>10964</v>
      </c>
      <c r="C4620" s="1323" t="s">
        <v>10965</v>
      </c>
      <c r="D4620" s="1324">
        <f t="shared" si="462"/>
        <v>35142</v>
      </c>
      <c r="E4620" s="1323">
        <f t="shared" si="458"/>
        <v>3.927</v>
      </c>
      <c r="F4620" s="1323">
        <f t="shared" si="463"/>
        <v>4.0469092784412206</v>
      </c>
      <c r="G4620" s="1323">
        <f t="shared" si="459"/>
        <v>1996</v>
      </c>
      <c r="H4620" s="1323">
        <f t="shared" si="460"/>
        <v>3</v>
      </c>
      <c r="I4620" s="1323">
        <f t="shared" si="461"/>
        <v>18</v>
      </c>
      <c r="J4620" s="1323"/>
      <c r="K4620" s="1323"/>
      <c r="L4620" s="1323"/>
      <c r="M4620" s="1323"/>
      <c r="N4620" s="1323"/>
      <c r="O4620" s="1323"/>
      <c r="P4620" s="1323"/>
      <c r="Q4620" s="1323"/>
      <c r="R4620" s="1304"/>
      <c r="S4620" s="1304"/>
      <c r="T4620" s="1304"/>
    </row>
    <row r="4621" spans="1:20">
      <c r="A4621" s="1303"/>
      <c r="B4621" s="1322" t="s">
        <v>10966</v>
      </c>
      <c r="C4621" s="1323" t="s">
        <v>10967</v>
      </c>
      <c r="D4621" s="1324">
        <f t="shared" si="462"/>
        <v>35139</v>
      </c>
      <c r="E4621" s="1323">
        <f t="shared" si="458"/>
        <v>3.9424000000000001</v>
      </c>
      <c r="F4621" s="1323">
        <f t="shared" si="463"/>
        <v>4.0461333076698862</v>
      </c>
      <c r="G4621" s="1323">
        <f t="shared" si="459"/>
        <v>1996</v>
      </c>
      <c r="H4621" s="1323">
        <f t="shared" si="460"/>
        <v>3</v>
      </c>
      <c r="I4621" s="1323">
        <f t="shared" si="461"/>
        <v>15</v>
      </c>
      <c r="J4621" s="1323"/>
      <c r="K4621" s="1323"/>
      <c r="L4621" s="1323"/>
      <c r="M4621" s="1323"/>
      <c r="N4621" s="1323"/>
      <c r="O4621" s="1323"/>
      <c r="P4621" s="1323"/>
      <c r="Q4621" s="1323"/>
      <c r="R4621" s="1304"/>
      <c r="S4621" s="1304"/>
      <c r="T4621" s="1304"/>
    </row>
    <row r="4622" spans="1:20">
      <c r="A4622" s="1303"/>
      <c r="B4622" s="1322" t="s">
        <v>10968</v>
      </c>
      <c r="C4622" s="1323" t="s">
        <v>10969</v>
      </c>
      <c r="D4622" s="1324">
        <f t="shared" si="462"/>
        <v>35138</v>
      </c>
      <c r="E4622" s="1323">
        <f t="shared" si="458"/>
        <v>3.9146999999999998</v>
      </c>
      <c r="F4622" s="1323">
        <f t="shared" si="463"/>
        <v>4.0453574856863295</v>
      </c>
      <c r="G4622" s="1323">
        <f t="shared" si="459"/>
        <v>1996</v>
      </c>
      <c r="H4622" s="1323">
        <f t="shared" si="460"/>
        <v>3</v>
      </c>
      <c r="I4622" s="1323">
        <f t="shared" si="461"/>
        <v>14</v>
      </c>
      <c r="J4622" s="1323"/>
      <c r="K4622" s="1323"/>
      <c r="L4622" s="1323"/>
      <c r="M4622" s="1323"/>
      <c r="N4622" s="1323"/>
      <c r="O4622" s="1323"/>
      <c r="P4622" s="1323"/>
      <c r="Q4622" s="1323"/>
      <c r="R4622" s="1304"/>
      <c r="S4622" s="1304"/>
      <c r="T4622" s="1304"/>
    </row>
    <row r="4623" spans="1:20">
      <c r="A4623" s="1303"/>
      <c r="B4623" s="1322" t="s">
        <v>10970</v>
      </c>
      <c r="C4623" s="1323" t="s">
        <v>10971</v>
      </c>
      <c r="D4623" s="1324">
        <f t="shared" si="462"/>
        <v>35137</v>
      </c>
      <c r="E4623" s="1323">
        <f t="shared" si="458"/>
        <v>3.9361999999999999</v>
      </c>
      <c r="F4623" s="1323">
        <f t="shared" si="463"/>
        <v>4.0445818124620212</v>
      </c>
      <c r="G4623" s="1323">
        <f t="shared" si="459"/>
        <v>1996</v>
      </c>
      <c r="H4623" s="1323">
        <f t="shared" si="460"/>
        <v>3</v>
      </c>
      <c r="I4623" s="1323">
        <f t="shared" si="461"/>
        <v>13</v>
      </c>
      <c r="J4623" s="1323"/>
      <c r="K4623" s="1323"/>
      <c r="L4623" s="1323"/>
      <c r="M4623" s="1323"/>
      <c r="N4623" s="1323"/>
      <c r="O4623" s="1323"/>
      <c r="P4623" s="1323"/>
      <c r="Q4623" s="1323"/>
      <c r="R4623" s="1304"/>
      <c r="S4623" s="1304"/>
      <c r="T4623" s="1304"/>
    </row>
    <row r="4624" spans="1:20">
      <c r="A4624" s="1303"/>
      <c r="B4624" s="1322" t="s">
        <v>10972</v>
      </c>
      <c r="C4624" s="1323" t="s">
        <v>10957</v>
      </c>
      <c r="D4624" s="1324">
        <f t="shared" si="462"/>
        <v>35136</v>
      </c>
      <c r="E4624" s="1323">
        <f t="shared" si="458"/>
        <v>3.9207999999999998</v>
      </c>
      <c r="F4624" s="1323">
        <f t="shared" si="463"/>
        <v>4.0438062879684384</v>
      </c>
      <c r="G4624" s="1323">
        <f t="shared" si="459"/>
        <v>1996</v>
      </c>
      <c r="H4624" s="1323">
        <f t="shared" si="460"/>
        <v>3</v>
      </c>
      <c r="I4624" s="1323">
        <f t="shared" si="461"/>
        <v>12</v>
      </c>
      <c r="J4624" s="1323"/>
      <c r="K4624" s="1323"/>
      <c r="L4624" s="1323"/>
      <c r="M4624" s="1323"/>
      <c r="N4624" s="1323"/>
      <c r="O4624" s="1323"/>
      <c r="P4624" s="1323"/>
      <c r="Q4624" s="1323"/>
      <c r="R4624" s="1304"/>
      <c r="S4624" s="1304"/>
      <c r="T4624" s="1304"/>
    </row>
    <row r="4625" spans="1:20">
      <c r="A4625" s="1303"/>
      <c r="B4625" s="1322" t="s">
        <v>10973</v>
      </c>
      <c r="C4625" s="1323" t="s">
        <v>10974</v>
      </c>
      <c r="D4625" s="1324">
        <f t="shared" si="462"/>
        <v>35135</v>
      </c>
      <c r="E4625" s="1323">
        <f t="shared" si="458"/>
        <v>3.9456000000000002</v>
      </c>
      <c r="F4625" s="1323">
        <f t="shared" si="463"/>
        <v>4.0430309121770618</v>
      </c>
      <c r="G4625" s="1323">
        <f t="shared" si="459"/>
        <v>1996</v>
      </c>
      <c r="H4625" s="1323">
        <f t="shared" si="460"/>
        <v>3</v>
      </c>
      <c r="I4625" s="1323">
        <f t="shared" si="461"/>
        <v>11</v>
      </c>
      <c r="J4625" s="1323"/>
      <c r="K4625" s="1323"/>
      <c r="L4625" s="1323"/>
      <c r="M4625" s="1323"/>
      <c r="N4625" s="1323"/>
      <c r="O4625" s="1323"/>
      <c r="P4625" s="1323"/>
      <c r="Q4625" s="1323"/>
      <c r="R4625" s="1304"/>
      <c r="S4625" s="1304"/>
      <c r="T4625" s="1304"/>
    </row>
    <row r="4626" spans="1:20">
      <c r="A4626" s="1303"/>
      <c r="B4626" s="1322" t="s">
        <v>10975</v>
      </c>
      <c r="C4626" s="1323" t="s">
        <v>10976</v>
      </c>
      <c r="D4626" s="1324">
        <f t="shared" si="462"/>
        <v>35132</v>
      </c>
      <c r="E4626" s="1323">
        <f t="shared" si="458"/>
        <v>3.9378000000000002</v>
      </c>
      <c r="F4626" s="1323">
        <f t="shared" si="463"/>
        <v>4.0422556850593789</v>
      </c>
      <c r="G4626" s="1323">
        <f t="shared" si="459"/>
        <v>1996</v>
      </c>
      <c r="H4626" s="1323">
        <f t="shared" si="460"/>
        <v>3</v>
      </c>
      <c r="I4626" s="1323">
        <f t="shared" si="461"/>
        <v>8</v>
      </c>
      <c r="J4626" s="1323"/>
      <c r="K4626" s="1323"/>
      <c r="L4626" s="1323"/>
      <c r="M4626" s="1323"/>
      <c r="N4626" s="1323"/>
      <c r="O4626" s="1323"/>
      <c r="P4626" s="1323"/>
      <c r="Q4626" s="1323"/>
      <c r="R4626" s="1304"/>
      <c r="S4626" s="1304"/>
      <c r="T4626" s="1304"/>
    </row>
    <row r="4627" spans="1:20">
      <c r="A4627" s="1303"/>
      <c r="B4627" s="1322" t="s">
        <v>10977</v>
      </c>
      <c r="C4627" s="1323" t="s">
        <v>10978</v>
      </c>
      <c r="D4627" s="1324">
        <f t="shared" si="462"/>
        <v>35131</v>
      </c>
      <c r="E4627" s="1323">
        <f t="shared" si="458"/>
        <v>3.8826999999999998</v>
      </c>
      <c r="F4627" s="1323">
        <f t="shared" si="463"/>
        <v>4.0414806065868829</v>
      </c>
      <c r="G4627" s="1323">
        <f t="shared" si="459"/>
        <v>1996</v>
      </c>
      <c r="H4627" s="1323">
        <f t="shared" si="460"/>
        <v>3</v>
      </c>
      <c r="I4627" s="1323">
        <f t="shared" si="461"/>
        <v>7</v>
      </c>
      <c r="J4627" s="1323"/>
      <c r="K4627" s="1323"/>
      <c r="L4627" s="1323"/>
      <c r="M4627" s="1323"/>
      <c r="N4627" s="1323"/>
      <c r="O4627" s="1323"/>
      <c r="P4627" s="1323"/>
      <c r="Q4627" s="1323"/>
      <c r="R4627" s="1304"/>
      <c r="S4627" s="1304"/>
      <c r="T4627" s="1304"/>
    </row>
    <row r="4628" spans="1:20">
      <c r="A4628" s="1303"/>
      <c r="B4628" s="1322" t="s">
        <v>10979</v>
      </c>
      <c r="C4628" s="1323" t="s">
        <v>10980</v>
      </c>
      <c r="D4628" s="1324">
        <f t="shared" si="462"/>
        <v>35130</v>
      </c>
      <c r="E4628" s="1323">
        <f t="shared" si="458"/>
        <v>3.8759999999999999</v>
      </c>
      <c r="F4628" s="1323">
        <f t="shared" si="463"/>
        <v>4.0407056767310712</v>
      </c>
      <c r="G4628" s="1323">
        <f t="shared" si="459"/>
        <v>1996</v>
      </c>
      <c r="H4628" s="1323">
        <f t="shared" si="460"/>
        <v>3</v>
      </c>
      <c r="I4628" s="1323">
        <f t="shared" si="461"/>
        <v>6</v>
      </c>
      <c r="J4628" s="1323"/>
      <c r="K4628" s="1323"/>
      <c r="L4628" s="1323"/>
      <c r="M4628" s="1323"/>
      <c r="N4628" s="1323"/>
      <c r="O4628" s="1323"/>
      <c r="P4628" s="1323"/>
      <c r="Q4628" s="1323"/>
      <c r="R4628" s="1304"/>
      <c r="S4628" s="1304"/>
      <c r="T4628" s="1304"/>
    </row>
    <row r="4629" spans="1:20">
      <c r="A4629" s="1303"/>
      <c r="B4629" s="1322" t="s">
        <v>10981</v>
      </c>
      <c r="C4629" s="1323" t="s">
        <v>10982</v>
      </c>
      <c r="D4629" s="1324">
        <f t="shared" si="462"/>
        <v>35129</v>
      </c>
      <c r="E4629" s="1323">
        <f t="shared" si="458"/>
        <v>3.8736999999999999</v>
      </c>
      <c r="F4629" s="1323">
        <f t="shared" si="463"/>
        <v>4.0399308954634483</v>
      </c>
      <c r="G4629" s="1323">
        <f t="shared" si="459"/>
        <v>1996</v>
      </c>
      <c r="H4629" s="1323">
        <f t="shared" si="460"/>
        <v>3</v>
      </c>
      <c r="I4629" s="1323">
        <f t="shared" si="461"/>
        <v>5</v>
      </c>
      <c r="J4629" s="1323"/>
      <c r="K4629" s="1323"/>
      <c r="L4629" s="1323"/>
      <c r="M4629" s="1323"/>
      <c r="N4629" s="1323"/>
      <c r="O4629" s="1323"/>
      <c r="P4629" s="1323"/>
      <c r="Q4629" s="1323"/>
      <c r="R4629" s="1304"/>
      <c r="S4629" s="1304"/>
      <c r="T4629" s="1304"/>
    </row>
    <row r="4630" spans="1:20">
      <c r="A4630" s="1303"/>
      <c r="B4630" s="1322" t="s">
        <v>10983</v>
      </c>
      <c r="C4630" s="1323" t="s">
        <v>10984</v>
      </c>
      <c r="D4630" s="1324">
        <f t="shared" si="462"/>
        <v>35128</v>
      </c>
      <c r="E4630" s="1323">
        <f t="shared" ref="E4630:E4693" si="464">VALUE(C4631)</f>
        <v>3.9032</v>
      </c>
      <c r="F4630" s="1323">
        <f t="shared" si="463"/>
        <v>4.0391562627555224</v>
      </c>
      <c r="G4630" s="1323">
        <f t="shared" ref="G4630:G4693" si="465">YEAR(B4631)</f>
        <v>1996</v>
      </c>
      <c r="H4630" s="1323">
        <f t="shared" ref="H4630:H4693" si="466">MONTH(B4631)</f>
        <v>3</v>
      </c>
      <c r="I4630" s="1323">
        <f t="shared" ref="I4630:I4693" si="467">DAY(B4631)</f>
        <v>4</v>
      </c>
      <c r="J4630" s="1323"/>
      <c r="K4630" s="1323"/>
      <c r="L4630" s="1323"/>
      <c r="M4630" s="1323"/>
      <c r="N4630" s="1323"/>
      <c r="O4630" s="1323"/>
      <c r="P4630" s="1323"/>
      <c r="Q4630" s="1323"/>
      <c r="R4630" s="1304"/>
      <c r="S4630" s="1304"/>
      <c r="T4630" s="1304"/>
    </row>
    <row r="4631" spans="1:20">
      <c r="A4631" s="1303"/>
      <c r="B4631" s="1322" t="s">
        <v>10985</v>
      </c>
      <c r="C4631" s="1323" t="s">
        <v>10986</v>
      </c>
      <c r="D4631" s="1324">
        <f t="shared" si="462"/>
        <v>35125</v>
      </c>
      <c r="E4631" s="1323">
        <f t="shared" si="464"/>
        <v>3.8956</v>
      </c>
      <c r="F4631" s="1323">
        <f t="shared" si="463"/>
        <v>4.0383817785788088</v>
      </c>
      <c r="G4631" s="1323">
        <f t="shared" si="465"/>
        <v>1996</v>
      </c>
      <c r="H4631" s="1323">
        <f t="shared" si="466"/>
        <v>3</v>
      </c>
      <c r="I4631" s="1323">
        <f t="shared" si="467"/>
        <v>1</v>
      </c>
      <c r="J4631" s="1323"/>
      <c r="K4631" s="1323"/>
      <c r="L4631" s="1323"/>
      <c r="M4631" s="1323"/>
      <c r="N4631" s="1323"/>
      <c r="O4631" s="1323"/>
      <c r="P4631" s="1323"/>
      <c r="Q4631" s="1323"/>
      <c r="R4631" s="1304"/>
      <c r="S4631" s="1304"/>
      <c r="T4631" s="1304"/>
    </row>
    <row r="4632" spans="1:20">
      <c r="A4632" s="1303"/>
      <c r="B4632" s="1322" t="s">
        <v>10987</v>
      </c>
      <c r="C4632" s="1323" t="s">
        <v>10988</v>
      </c>
      <c r="D4632" s="1324">
        <f t="shared" si="462"/>
        <v>35124</v>
      </c>
      <c r="E4632" s="1323">
        <f t="shared" si="464"/>
        <v>3.8469000000000002</v>
      </c>
      <c r="F4632" s="1323">
        <f t="shared" si="463"/>
        <v>4.037607442904827</v>
      </c>
      <c r="G4632" s="1323">
        <f t="shared" si="465"/>
        <v>1996</v>
      </c>
      <c r="H4632" s="1323">
        <f t="shared" si="466"/>
        <v>2</v>
      </c>
      <c r="I4632" s="1323">
        <f t="shared" si="467"/>
        <v>29</v>
      </c>
      <c r="J4632" s="1323"/>
      <c r="K4632" s="1323"/>
      <c r="L4632" s="1323"/>
      <c r="M4632" s="1323"/>
      <c r="N4632" s="1323"/>
      <c r="O4632" s="1323"/>
      <c r="P4632" s="1323"/>
      <c r="Q4632" s="1323"/>
      <c r="R4632" s="1304"/>
      <c r="S4632" s="1304"/>
      <c r="T4632" s="1304"/>
    </row>
    <row r="4633" spans="1:20">
      <c r="A4633" s="1303"/>
      <c r="B4633" s="1322" t="s">
        <v>10989</v>
      </c>
      <c r="C4633" s="1323" t="s">
        <v>10990</v>
      </c>
      <c r="D4633" s="1324">
        <f t="shared" si="462"/>
        <v>35123</v>
      </c>
      <c r="E4633" s="1323">
        <f t="shared" si="464"/>
        <v>3.8123999999999998</v>
      </c>
      <c r="F4633" s="1323">
        <f t="shared" si="463"/>
        <v>4.036833255705103</v>
      </c>
      <c r="G4633" s="1323">
        <f t="shared" si="465"/>
        <v>1996</v>
      </c>
      <c r="H4633" s="1323">
        <f t="shared" si="466"/>
        <v>2</v>
      </c>
      <c r="I4633" s="1323">
        <f t="shared" si="467"/>
        <v>28</v>
      </c>
      <c r="J4633" s="1323"/>
      <c r="K4633" s="1323"/>
      <c r="L4633" s="1323"/>
      <c r="M4633" s="1323"/>
      <c r="N4633" s="1323"/>
      <c r="O4633" s="1323"/>
      <c r="P4633" s="1323"/>
      <c r="Q4633" s="1323"/>
      <c r="R4633" s="1304"/>
      <c r="S4633" s="1304"/>
      <c r="T4633" s="1304"/>
    </row>
    <row r="4634" spans="1:20">
      <c r="A4634" s="1303"/>
      <c r="B4634" s="1322" t="s">
        <v>10991</v>
      </c>
      <c r="C4634" s="1323" t="s">
        <v>10992</v>
      </c>
      <c r="D4634" s="1324">
        <f t="shared" si="462"/>
        <v>35122</v>
      </c>
      <c r="E4634" s="1323">
        <f t="shared" si="464"/>
        <v>3.8248000000000002</v>
      </c>
      <c r="F4634" s="1323">
        <f t="shared" si="463"/>
        <v>4.0360592169511671</v>
      </c>
      <c r="G4634" s="1323">
        <f t="shared" si="465"/>
        <v>1996</v>
      </c>
      <c r="H4634" s="1323">
        <f t="shared" si="466"/>
        <v>2</v>
      </c>
      <c r="I4634" s="1323">
        <f t="shared" si="467"/>
        <v>27</v>
      </c>
      <c r="J4634" s="1323"/>
      <c r="K4634" s="1323"/>
      <c r="L4634" s="1323"/>
      <c r="M4634" s="1323"/>
      <c r="N4634" s="1323"/>
      <c r="O4634" s="1323"/>
      <c r="P4634" s="1323"/>
      <c r="Q4634" s="1323"/>
      <c r="R4634" s="1304"/>
      <c r="S4634" s="1304"/>
      <c r="T4634" s="1304"/>
    </row>
    <row r="4635" spans="1:20">
      <c r="A4635" s="1303"/>
      <c r="B4635" s="1322" t="s">
        <v>10993</v>
      </c>
      <c r="C4635" s="1323" t="s">
        <v>10994</v>
      </c>
      <c r="D4635" s="1324">
        <f t="shared" si="462"/>
        <v>35121</v>
      </c>
      <c r="E4635" s="1323">
        <f t="shared" si="464"/>
        <v>3.8624999999999998</v>
      </c>
      <c r="F4635" s="1323">
        <f t="shared" si="463"/>
        <v>4.0352853266145559</v>
      </c>
      <c r="G4635" s="1323">
        <f t="shared" si="465"/>
        <v>1996</v>
      </c>
      <c r="H4635" s="1323">
        <f t="shared" si="466"/>
        <v>2</v>
      </c>
      <c r="I4635" s="1323">
        <f t="shared" si="467"/>
        <v>26</v>
      </c>
      <c r="J4635" s="1323"/>
      <c r="K4635" s="1323"/>
      <c r="L4635" s="1323"/>
      <c r="M4635" s="1323"/>
      <c r="N4635" s="1323"/>
      <c r="O4635" s="1323"/>
      <c r="P4635" s="1323"/>
      <c r="Q4635" s="1323"/>
      <c r="R4635" s="1304"/>
      <c r="S4635" s="1304"/>
      <c r="T4635" s="1304"/>
    </row>
    <row r="4636" spans="1:20">
      <c r="A4636" s="1303"/>
      <c r="B4636" s="1322" t="s">
        <v>10995</v>
      </c>
      <c r="C4636" s="1323" t="s">
        <v>10996</v>
      </c>
      <c r="D4636" s="1324">
        <f t="shared" si="462"/>
        <v>35118</v>
      </c>
      <c r="E4636" s="1323">
        <f t="shared" si="464"/>
        <v>3.8588</v>
      </c>
      <c r="F4636" s="1323">
        <f t="shared" si="463"/>
        <v>4.0345115846668111</v>
      </c>
      <c r="G4636" s="1323">
        <f t="shared" si="465"/>
        <v>1996</v>
      </c>
      <c r="H4636" s="1323">
        <f t="shared" si="466"/>
        <v>2</v>
      </c>
      <c r="I4636" s="1323">
        <f t="shared" si="467"/>
        <v>23</v>
      </c>
      <c r="J4636" s="1323"/>
      <c r="K4636" s="1323"/>
      <c r="L4636" s="1323"/>
      <c r="M4636" s="1323"/>
      <c r="N4636" s="1323"/>
      <c r="O4636" s="1323"/>
      <c r="P4636" s="1323"/>
      <c r="Q4636" s="1323"/>
      <c r="R4636" s="1304"/>
      <c r="S4636" s="1304"/>
      <c r="T4636" s="1304"/>
    </row>
    <row r="4637" spans="1:20">
      <c r="A4637" s="1303"/>
      <c r="B4637" s="1322" t="s">
        <v>10997</v>
      </c>
      <c r="C4637" s="1323" t="s">
        <v>10998</v>
      </c>
      <c r="D4637" s="1324">
        <f t="shared" si="462"/>
        <v>35117</v>
      </c>
      <c r="E4637" s="1323">
        <f t="shared" si="464"/>
        <v>3.9285000000000001</v>
      </c>
      <c r="F4637" s="1323">
        <f t="shared" si="463"/>
        <v>4.0337379910794811</v>
      </c>
      <c r="G4637" s="1323">
        <f t="shared" si="465"/>
        <v>1996</v>
      </c>
      <c r="H4637" s="1323">
        <f t="shared" si="466"/>
        <v>2</v>
      </c>
      <c r="I4637" s="1323">
        <f t="shared" si="467"/>
        <v>22</v>
      </c>
      <c r="J4637" s="1323"/>
      <c r="K4637" s="1323"/>
      <c r="L4637" s="1323"/>
      <c r="M4637" s="1323"/>
      <c r="N4637" s="1323"/>
      <c r="O4637" s="1323"/>
      <c r="P4637" s="1323"/>
      <c r="Q4637" s="1323"/>
      <c r="R4637" s="1304"/>
      <c r="S4637" s="1304"/>
      <c r="T4637" s="1304"/>
    </row>
    <row r="4638" spans="1:20">
      <c r="A4638" s="1303"/>
      <c r="B4638" s="1322" t="s">
        <v>10999</v>
      </c>
      <c r="C4638" s="1323" t="s">
        <v>11000</v>
      </c>
      <c r="D4638" s="1324">
        <f t="shared" si="462"/>
        <v>35116</v>
      </c>
      <c r="E4638" s="1323">
        <f t="shared" si="464"/>
        <v>3.9746000000000001</v>
      </c>
      <c r="F4638" s="1323">
        <f t="shared" si="463"/>
        <v>4.0329645458241172</v>
      </c>
      <c r="G4638" s="1323">
        <f t="shared" si="465"/>
        <v>1996</v>
      </c>
      <c r="H4638" s="1323">
        <f t="shared" si="466"/>
        <v>2</v>
      </c>
      <c r="I4638" s="1323">
        <f t="shared" si="467"/>
        <v>21</v>
      </c>
      <c r="J4638" s="1323"/>
      <c r="K4638" s="1323"/>
      <c r="L4638" s="1323"/>
      <c r="M4638" s="1323"/>
      <c r="N4638" s="1323"/>
      <c r="O4638" s="1323"/>
      <c r="P4638" s="1323"/>
      <c r="Q4638" s="1323"/>
      <c r="R4638" s="1304"/>
      <c r="S4638" s="1304"/>
      <c r="T4638" s="1304"/>
    </row>
    <row r="4639" spans="1:20">
      <c r="A4639" s="1303"/>
      <c r="B4639" s="1322" t="s">
        <v>11001</v>
      </c>
      <c r="C4639" s="1323" t="s">
        <v>11002</v>
      </c>
      <c r="D4639" s="1324">
        <f t="shared" si="462"/>
        <v>35115</v>
      </c>
      <c r="E4639" s="1323">
        <f t="shared" si="464"/>
        <v>3.8685</v>
      </c>
      <c r="F4639" s="1323">
        <f t="shared" si="463"/>
        <v>4.0321912488722784</v>
      </c>
      <c r="G4639" s="1323">
        <f t="shared" si="465"/>
        <v>1996</v>
      </c>
      <c r="H4639" s="1323">
        <f t="shared" si="466"/>
        <v>2</v>
      </c>
      <c r="I4639" s="1323">
        <f t="shared" si="467"/>
        <v>20</v>
      </c>
      <c r="J4639" s="1323"/>
      <c r="K4639" s="1323"/>
      <c r="L4639" s="1323"/>
      <c r="M4639" s="1323"/>
      <c r="N4639" s="1323"/>
      <c r="O4639" s="1323"/>
      <c r="P4639" s="1323"/>
      <c r="Q4639" s="1323"/>
      <c r="R4639" s="1304"/>
      <c r="S4639" s="1304"/>
      <c r="T4639" s="1304"/>
    </row>
    <row r="4640" spans="1:20">
      <c r="A4640" s="1303"/>
      <c r="B4640" s="1322" t="s">
        <v>11003</v>
      </c>
      <c r="C4640" s="1323" t="s">
        <v>11004</v>
      </c>
      <c r="D4640" s="1324">
        <f t="shared" si="462"/>
        <v>35114</v>
      </c>
      <c r="E4640" s="1323">
        <f t="shared" si="464"/>
        <v>3.8146</v>
      </c>
      <c r="F4640" s="1323">
        <f t="shared" si="463"/>
        <v>4.0314181001955287</v>
      </c>
      <c r="G4640" s="1323">
        <f t="shared" si="465"/>
        <v>1996</v>
      </c>
      <c r="H4640" s="1323">
        <f t="shared" si="466"/>
        <v>2</v>
      </c>
      <c r="I4640" s="1323">
        <f t="shared" si="467"/>
        <v>19</v>
      </c>
      <c r="J4640" s="1323"/>
      <c r="K4640" s="1323"/>
      <c r="L4640" s="1323"/>
      <c r="M4640" s="1323"/>
      <c r="N4640" s="1323"/>
      <c r="O4640" s="1323"/>
      <c r="P4640" s="1323"/>
      <c r="Q4640" s="1323"/>
      <c r="R4640" s="1304"/>
      <c r="S4640" s="1304"/>
      <c r="T4640" s="1304"/>
    </row>
    <row r="4641" spans="1:20">
      <c r="A4641" s="1303"/>
      <c r="B4641" s="1322" t="s">
        <v>11005</v>
      </c>
      <c r="C4641" s="1323" t="s">
        <v>11006</v>
      </c>
      <c r="D4641" s="1324">
        <f t="shared" si="462"/>
        <v>35111</v>
      </c>
      <c r="E4641" s="1323">
        <f t="shared" si="464"/>
        <v>3.6974999999999998</v>
      </c>
      <c r="F4641" s="1323">
        <f t="shared" si="463"/>
        <v>4.0306450997654366</v>
      </c>
      <c r="G4641" s="1323">
        <f t="shared" si="465"/>
        <v>1996</v>
      </c>
      <c r="H4641" s="1323">
        <f t="shared" si="466"/>
        <v>2</v>
      </c>
      <c r="I4641" s="1323">
        <f t="shared" si="467"/>
        <v>16</v>
      </c>
      <c r="J4641" s="1323"/>
      <c r="K4641" s="1323"/>
      <c r="L4641" s="1323"/>
      <c r="M4641" s="1323"/>
      <c r="N4641" s="1323"/>
      <c r="O4641" s="1323"/>
      <c r="P4641" s="1323"/>
      <c r="Q4641" s="1323"/>
      <c r="R4641" s="1304"/>
      <c r="S4641" s="1304"/>
      <c r="T4641" s="1304"/>
    </row>
    <row r="4642" spans="1:20">
      <c r="A4642" s="1303"/>
      <c r="B4642" s="1322" t="s">
        <v>11007</v>
      </c>
      <c r="C4642" s="1323" t="s">
        <v>11008</v>
      </c>
      <c r="D4642" s="1324">
        <f t="shared" si="462"/>
        <v>35110</v>
      </c>
      <c r="E4642" s="1323">
        <f t="shared" si="464"/>
        <v>3.649</v>
      </c>
      <c r="F4642" s="1323">
        <f t="shared" si="463"/>
        <v>4.0298722475535769</v>
      </c>
      <c r="G4642" s="1323">
        <f t="shared" si="465"/>
        <v>1996</v>
      </c>
      <c r="H4642" s="1323">
        <f t="shared" si="466"/>
        <v>2</v>
      </c>
      <c r="I4642" s="1323">
        <f t="shared" si="467"/>
        <v>15</v>
      </c>
      <c r="J4642" s="1323"/>
      <c r="K4642" s="1323"/>
      <c r="L4642" s="1323"/>
      <c r="M4642" s="1323"/>
      <c r="N4642" s="1323"/>
      <c r="O4642" s="1323"/>
      <c r="P4642" s="1323"/>
      <c r="Q4642" s="1323"/>
      <c r="R4642" s="1304"/>
      <c r="S4642" s="1304"/>
      <c r="T4642" s="1304"/>
    </row>
    <row r="4643" spans="1:20">
      <c r="A4643" s="1303"/>
      <c r="B4643" s="1322" t="s">
        <v>11009</v>
      </c>
      <c r="C4643" s="1323" t="s">
        <v>11010</v>
      </c>
      <c r="D4643" s="1324">
        <f t="shared" si="462"/>
        <v>35109</v>
      </c>
      <c r="E4643" s="1323">
        <f t="shared" si="464"/>
        <v>3.645</v>
      </c>
      <c r="F4643" s="1323">
        <f t="shared" si="463"/>
        <v>4.0290995435315295</v>
      </c>
      <c r="G4643" s="1323">
        <f t="shared" si="465"/>
        <v>1996</v>
      </c>
      <c r="H4643" s="1323">
        <f t="shared" si="466"/>
        <v>2</v>
      </c>
      <c r="I4643" s="1323">
        <f t="shared" si="467"/>
        <v>14</v>
      </c>
      <c r="J4643" s="1323"/>
      <c r="K4643" s="1323"/>
      <c r="L4643" s="1323"/>
      <c r="M4643" s="1323"/>
      <c r="N4643" s="1323"/>
      <c r="O4643" s="1323"/>
      <c r="P4643" s="1323"/>
      <c r="Q4643" s="1323"/>
      <c r="R4643" s="1304"/>
      <c r="S4643" s="1304"/>
      <c r="T4643" s="1304"/>
    </row>
    <row r="4644" spans="1:20">
      <c r="A4644" s="1303"/>
      <c r="B4644" s="1322" t="s">
        <v>11011</v>
      </c>
      <c r="C4644" s="1323" t="s">
        <v>11012</v>
      </c>
      <c r="D4644" s="1324">
        <f t="shared" si="462"/>
        <v>35108</v>
      </c>
      <c r="E4644" s="1323">
        <f t="shared" si="464"/>
        <v>3.6476000000000002</v>
      </c>
      <c r="F4644" s="1323">
        <f t="shared" si="463"/>
        <v>4.02832698767088</v>
      </c>
      <c r="G4644" s="1323">
        <f t="shared" si="465"/>
        <v>1996</v>
      </c>
      <c r="H4644" s="1323">
        <f t="shared" si="466"/>
        <v>2</v>
      </c>
      <c r="I4644" s="1323">
        <f t="shared" si="467"/>
        <v>13</v>
      </c>
      <c r="J4644" s="1323"/>
      <c r="K4644" s="1323"/>
      <c r="L4644" s="1323"/>
      <c r="M4644" s="1323"/>
      <c r="N4644" s="1323"/>
      <c r="O4644" s="1323"/>
      <c r="P4644" s="1323"/>
      <c r="Q4644" s="1323"/>
      <c r="R4644" s="1304"/>
      <c r="S4644" s="1304"/>
      <c r="T4644" s="1304"/>
    </row>
    <row r="4645" spans="1:20">
      <c r="A4645" s="1303"/>
      <c r="B4645" s="1322" t="s">
        <v>11013</v>
      </c>
      <c r="C4645" s="1323" t="s">
        <v>11014</v>
      </c>
      <c r="D4645" s="1324">
        <f t="shared" si="462"/>
        <v>35107</v>
      </c>
      <c r="E4645" s="1323">
        <f t="shared" si="464"/>
        <v>3.649</v>
      </c>
      <c r="F4645" s="1323">
        <f t="shared" si="463"/>
        <v>4.02755457994322</v>
      </c>
      <c r="G4645" s="1323">
        <f t="shared" si="465"/>
        <v>1996</v>
      </c>
      <c r="H4645" s="1323">
        <f t="shared" si="466"/>
        <v>2</v>
      </c>
      <c r="I4645" s="1323">
        <f t="shared" si="467"/>
        <v>12</v>
      </c>
      <c r="J4645" s="1323"/>
      <c r="K4645" s="1323"/>
      <c r="L4645" s="1323"/>
      <c r="M4645" s="1323"/>
      <c r="N4645" s="1323"/>
      <c r="O4645" s="1323"/>
      <c r="P4645" s="1323"/>
      <c r="Q4645" s="1323"/>
      <c r="R4645" s="1304"/>
      <c r="S4645" s="1304"/>
      <c r="T4645" s="1304"/>
    </row>
    <row r="4646" spans="1:20">
      <c r="A4646" s="1303"/>
      <c r="B4646" s="1322" t="s">
        <v>11015</v>
      </c>
      <c r="C4646" s="1323" t="s">
        <v>11010</v>
      </c>
      <c r="D4646" s="1324">
        <f t="shared" si="462"/>
        <v>35104</v>
      </c>
      <c r="E4646" s="1323">
        <f t="shared" si="464"/>
        <v>3.6463000000000001</v>
      </c>
      <c r="F4646" s="1323">
        <f t="shared" si="463"/>
        <v>4.0267823203201445</v>
      </c>
      <c r="G4646" s="1323">
        <f t="shared" si="465"/>
        <v>1996</v>
      </c>
      <c r="H4646" s="1323">
        <f t="shared" si="466"/>
        <v>2</v>
      </c>
      <c r="I4646" s="1323">
        <f t="shared" si="467"/>
        <v>9</v>
      </c>
      <c r="J4646" s="1323"/>
      <c r="K4646" s="1323"/>
      <c r="L4646" s="1323"/>
      <c r="M4646" s="1323"/>
      <c r="N4646" s="1323"/>
      <c r="O4646" s="1323"/>
      <c r="P4646" s="1323"/>
      <c r="Q4646" s="1323"/>
      <c r="R4646" s="1304"/>
      <c r="S4646" s="1304"/>
      <c r="T4646" s="1304"/>
    </row>
    <row r="4647" spans="1:20">
      <c r="A4647" s="1303"/>
      <c r="B4647" s="1322" t="s">
        <v>11016</v>
      </c>
      <c r="C4647" s="1323" t="s">
        <v>11017</v>
      </c>
      <c r="D4647" s="1324">
        <f t="shared" si="462"/>
        <v>35103</v>
      </c>
      <c r="E4647" s="1323">
        <f t="shared" si="464"/>
        <v>3.6463000000000001</v>
      </c>
      <c r="F4647" s="1323">
        <f t="shared" si="463"/>
        <v>4.0260102087732568</v>
      </c>
      <c r="G4647" s="1323">
        <f t="shared" si="465"/>
        <v>1996</v>
      </c>
      <c r="H4647" s="1323">
        <f t="shared" si="466"/>
        <v>2</v>
      </c>
      <c r="I4647" s="1323">
        <f t="shared" si="467"/>
        <v>8</v>
      </c>
      <c r="J4647" s="1323"/>
      <c r="K4647" s="1323"/>
      <c r="L4647" s="1323"/>
      <c r="M4647" s="1323"/>
      <c r="N4647" s="1323"/>
      <c r="O4647" s="1323"/>
      <c r="P4647" s="1323"/>
      <c r="Q4647" s="1323"/>
      <c r="R4647" s="1304"/>
      <c r="S4647" s="1304"/>
      <c r="T4647" s="1304"/>
    </row>
    <row r="4648" spans="1:20">
      <c r="A4648" s="1303"/>
      <c r="B4648" s="1322" t="s">
        <v>11018</v>
      </c>
      <c r="C4648" s="1323" t="s">
        <v>11017</v>
      </c>
      <c r="D4648" s="1324">
        <f t="shared" si="462"/>
        <v>35102</v>
      </c>
      <c r="E4648" s="1323">
        <f t="shared" si="464"/>
        <v>3.6456</v>
      </c>
      <c r="F4648" s="1323">
        <f t="shared" si="463"/>
        <v>4.0252382452741626</v>
      </c>
      <c r="G4648" s="1323">
        <f t="shared" si="465"/>
        <v>1996</v>
      </c>
      <c r="H4648" s="1323">
        <f t="shared" si="466"/>
        <v>2</v>
      </c>
      <c r="I4648" s="1323">
        <f t="shared" si="467"/>
        <v>7</v>
      </c>
      <c r="J4648" s="1323"/>
      <c r="K4648" s="1323"/>
      <c r="L4648" s="1323"/>
      <c r="M4648" s="1323"/>
      <c r="N4648" s="1323"/>
      <c r="O4648" s="1323"/>
      <c r="P4648" s="1323"/>
      <c r="Q4648" s="1323"/>
      <c r="R4648" s="1304"/>
      <c r="S4648" s="1304"/>
      <c r="T4648" s="1304"/>
    </row>
    <row r="4649" spans="1:20">
      <c r="A4649" s="1303"/>
      <c r="B4649" s="1322" t="s">
        <v>11019</v>
      </c>
      <c r="C4649" s="1323" t="s">
        <v>11020</v>
      </c>
      <c r="D4649" s="1324">
        <f t="shared" si="462"/>
        <v>35101</v>
      </c>
      <c r="E4649" s="1323">
        <f t="shared" si="464"/>
        <v>3.6423000000000001</v>
      </c>
      <c r="F4649" s="1323">
        <f t="shared" si="463"/>
        <v>4.0244664297944759</v>
      </c>
      <c r="G4649" s="1323">
        <f t="shared" si="465"/>
        <v>1996</v>
      </c>
      <c r="H4649" s="1323">
        <f t="shared" si="466"/>
        <v>2</v>
      </c>
      <c r="I4649" s="1323">
        <f t="shared" si="467"/>
        <v>6</v>
      </c>
      <c r="J4649" s="1323"/>
      <c r="K4649" s="1323"/>
      <c r="L4649" s="1323"/>
      <c r="M4649" s="1323"/>
      <c r="N4649" s="1323"/>
      <c r="O4649" s="1323"/>
      <c r="P4649" s="1323"/>
      <c r="Q4649" s="1323"/>
      <c r="R4649" s="1304"/>
      <c r="S4649" s="1304"/>
      <c r="T4649" s="1304"/>
    </row>
    <row r="4650" spans="1:20">
      <c r="A4650" s="1303"/>
      <c r="B4650" s="1322" t="s">
        <v>11021</v>
      </c>
      <c r="C4650" s="1323" t="s">
        <v>11022</v>
      </c>
      <c r="D4650" s="1324">
        <f t="shared" si="462"/>
        <v>35100</v>
      </c>
      <c r="E4650" s="1323">
        <f t="shared" si="464"/>
        <v>3.6463000000000001</v>
      </c>
      <c r="F4650" s="1323">
        <f t="shared" si="463"/>
        <v>4.0236947623058148</v>
      </c>
      <c r="G4650" s="1323">
        <f t="shared" si="465"/>
        <v>1996</v>
      </c>
      <c r="H4650" s="1323">
        <f t="shared" si="466"/>
        <v>2</v>
      </c>
      <c r="I4650" s="1323">
        <f t="shared" si="467"/>
        <v>5</v>
      </c>
      <c r="J4650" s="1323"/>
      <c r="K4650" s="1323"/>
      <c r="L4650" s="1323"/>
      <c r="M4650" s="1323"/>
      <c r="N4650" s="1323"/>
      <c r="O4650" s="1323"/>
      <c r="P4650" s="1323"/>
      <c r="Q4650" s="1323"/>
      <c r="R4650" s="1304"/>
      <c r="S4650" s="1304"/>
      <c r="T4650" s="1304"/>
    </row>
    <row r="4651" spans="1:20">
      <c r="A4651" s="1303"/>
      <c r="B4651" s="1322" t="s">
        <v>11023</v>
      </c>
      <c r="C4651" s="1323" t="s">
        <v>11017</v>
      </c>
      <c r="D4651" s="1324">
        <f t="shared" si="462"/>
        <v>35097</v>
      </c>
      <c r="E4651" s="1323">
        <f t="shared" si="464"/>
        <v>3.6516000000000002</v>
      </c>
      <c r="F4651" s="1323">
        <f t="shared" si="463"/>
        <v>4.0229232427798021</v>
      </c>
      <c r="G4651" s="1323">
        <f t="shared" si="465"/>
        <v>1996</v>
      </c>
      <c r="H4651" s="1323">
        <f t="shared" si="466"/>
        <v>2</v>
      </c>
      <c r="I4651" s="1323">
        <f t="shared" si="467"/>
        <v>2</v>
      </c>
      <c r="J4651" s="1323"/>
      <c r="K4651" s="1323"/>
      <c r="L4651" s="1323"/>
      <c r="M4651" s="1323"/>
      <c r="N4651" s="1323"/>
      <c r="O4651" s="1323"/>
      <c r="P4651" s="1323"/>
      <c r="Q4651" s="1323"/>
      <c r="R4651" s="1304"/>
      <c r="S4651" s="1304"/>
      <c r="T4651" s="1304"/>
    </row>
    <row r="4652" spans="1:20">
      <c r="A4652" s="1303"/>
      <c r="B4652" s="1322" t="s">
        <v>11024</v>
      </c>
      <c r="C4652" s="1323" t="s">
        <v>11025</v>
      </c>
      <c r="D4652" s="1324">
        <f t="shared" si="462"/>
        <v>35096</v>
      </c>
      <c r="E4652" s="1323">
        <f t="shared" si="464"/>
        <v>3.6516000000000002</v>
      </c>
      <c r="F4652" s="1323">
        <f t="shared" si="463"/>
        <v>4.0221518711880675</v>
      </c>
      <c r="G4652" s="1323">
        <f t="shared" si="465"/>
        <v>1996</v>
      </c>
      <c r="H4652" s="1323">
        <f t="shared" si="466"/>
        <v>2</v>
      </c>
      <c r="I4652" s="1323">
        <f t="shared" si="467"/>
        <v>1</v>
      </c>
      <c r="J4652" s="1323"/>
      <c r="K4652" s="1323"/>
      <c r="L4652" s="1323"/>
      <c r="M4652" s="1323"/>
      <c r="N4652" s="1323"/>
      <c r="O4652" s="1323"/>
      <c r="P4652" s="1323"/>
      <c r="Q4652" s="1323"/>
      <c r="R4652" s="1304"/>
      <c r="S4652" s="1304"/>
      <c r="T4652" s="1304"/>
    </row>
    <row r="4653" spans="1:20">
      <c r="A4653" s="1303"/>
      <c r="B4653" s="1322" t="s">
        <v>11026</v>
      </c>
      <c r="C4653" s="1323" t="s">
        <v>11025</v>
      </c>
      <c r="D4653" s="1324">
        <f t="shared" si="462"/>
        <v>35095</v>
      </c>
      <c r="E4653" s="1323">
        <f t="shared" si="464"/>
        <v>3.6522999999999999</v>
      </c>
      <c r="F4653" s="1323">
        <f t="shared" si="463"/>
        <v>4.0213806475022453</v>
      </c>
      <c r="G4653" s="1323">
        <f t="shared" si="465"/>
        <v>1996</v>
      </c>
      <c r="H4653" s="1323">
        <f t="shared" si="466"/>
        <v>1</v>
      </c>
      <c r="I4653" s="1323">
        <f t="shared" si="467"/>
        <v>31</v>
      </c>
      <c r="J4653" s="1323"/>
      <c r="K4653" s="1323"/>
      <c r="L4653" s="1323"/>
      <c r="M4653" s="1323"/>
      <c r="N4653" s="1323"/>
      <c r="O4653" s="1323"/>
      <c r="P4653" s="1323"/>
      <c r="Q4653" s="1323"/>
      <c r="R4653" s="1304"/>
      <c r="S4653" s="1304"/>
      <c r="T4653" s="1304"/>
    </row>
    <row r="4654" spans="1:20">
      <c r="A4654" s="1303"/>
      <c r="B4654" s="1322" t="s">
        <v>11027</v>
      </c>
      <c r="C4654" s="1323" t="s">
        <v>11028</v>
      </c>
      <c r="D4654" s="1324">
        <f t="shared" si="462"/>
        <v>35094</v>
      </c>
      <c r="E4654" s="1323">
        <f t="shared" si="464"/>
        <v>3.653</v>
      </c>
      <c r="F4654" s="1323">
        <f t="shared" si="463"/>
        <v>4.0206095716939751</v>
      </c>
      <c r="G4654" s="1323">
        <f t="shared" si="465"/>
        <v>1996</v>
      </c>
      <c r="H4654" s="1323">
        <f t="shared" si="466"/>
        <v>1</v>
      </c>
      <c r="I4654" s="1323">
        <f t="shared" si="467"/>
        <v>30</v>
      </c>
      <c r="J4654" s="1323"/>
      <c r="K4654" s="1323"/>
      <c r="L4654" s="1323"/>
      <c r="M4654" s="1323"/>
      <c r="N4654" s="1323"/>
      <c r="O4654" s="1323"/>
      <c r="P4654" s="1323"/>
      <c r="Q4654" s="1323"/>
      <c r="R4654" s="1304"/>
      <c r="S4654" s="1304"/>
      <c r="T4654" s="1304"/>
    </row>
    <row r="4655" spans="1:20">
      <c r="A4655" s="1303"/>
      <c r="B4655" s="1322" t="s">
        <v>11029</v>
      </c>
      <c r="C4655" s="1323" t="s">
        <v>11030</v>
      </c>
      <c r="D4655" s="1324">
        <f t="shared" si="462"/>
        <v>35093</v>
      </c>
      <c r="E4655" s="1323">
        <f t="shared" si="464"/>
        <v>3.6543000000000001</v>
      </c>
      <c r="F4655" s="1323">
        <f t="shared" si="463"/>
        <v>4.0198386437349027</v>
      </c>
      <c r="G4655" s="1323">
        <f t="shared" si="465"/>
        <v>1996</v>
      </c>
      <c r="H4655" s="1323">
        <f t="shared" si="466"/>
        <v>1</v>
      </c>
      <c r="I4655" s="1323">
        <f t="shared" si="467"/>
        <v>29</v>
      </c>
      <c r="J4655" s="1323"/>
      <c r="K4655" s="1323"/>
      <c r="L4655" s="1323"/>
      <c r="M4655" s="1323"/>
      <c r="N4655" s="1323"/>
      <c r="O4655" s="1323"/>
      <c r="P4655" s="1323"/>
      <c r="Q4655" s="1323"/>
      <c r="R4655" s="1304"/>
      <c r="S4655" s="1304"/>
      <c r="T4655" s="1304"/>
    </row>
    <row r="4656" spans="1:20">
      <c r="A4656" s="1303"/>
      <c r="B4656" s="1322" t="s">
        <v>11031</v>
      </c>
      <c r="C4656" s="1323" t="s">
        <v>11032</v>
      </c>
      <c r="D4656" s="1324">
        <f t="shared" si="462"/>
        <v>35090</v>
      </c>
      <c r="E4656" s="1323">
        <f t="shared" si="464"/>
        <v>3.653</v>
      </c>
      <c r="F4656" s="1323">
        <f t="shared" si="463"/>
        <v>4.0190678635966783</v>
      </c>
      <c r="G4656" s="1323">
        <f t="shared" si="465"/>
        <v>1996</v>
      </c>
      <c r="H4656" s="1323">
        <f t="shared" si="466"/>
        <v>1</v>
      </c>
      <c r="I4656" s="1323">
        <f t="shared" si="467"/>
        <v>26</v>
      </c>
      <c r="J4656" s="1323"/>
      <c r="K4656" s="1323"/>
      <c r="L4656" s="1323"/>
      <c r="M4656" s="1323"/>
      <c r="N4656" s="1323"/>
      <c r="O4656" s="1323"/>
      <c r="P4656" s="1323"/>
      <c r="Q4656" s="1323"/>
      <c r="R4656" s="1304"/>
      <c r="S4656" s="1304"/>
      <c r="T4656" s="1304"/>
    </row>
    <row r="4657" spans="1:20">
      <c r="A4657" s="1303"/>
      <c r="B4657" s="1322" t="s">
        <v>11033</v>
      </c>
      <c r="C4657" s="1323" t="s">
        <v>11030</v>
      </c>
      <c r="D4657" s="1324">
        <f t="shared" si="462"/>
        <v>35089</v>
      </c>
      <c r="E4657" s="1323">
        <f t="shared" si="464"/>
        <v>3.649</v>
      </c>
      <c r="F4657" s="1323">
        <f t="shared" si="463"/>
        <v>4.0182972312509593</v>
      </c>
      <c r="G4657" s="1323">
        <f t="shared" si="465"/>
        <v>1996</v>
      </c>
      <c r="H4657" s="1323">
        <f t="shared" si="466"/>
        <v>1</v>
      </c>
      <c r="I4657" s="1323">
        <f t="shared" si="467"/>
        <v>25</v>
      </c>
      <c r="J4657" s="1323"/>
      <c r="K4657" s="1323"/>
      <c r="L4657" s="1323"/>
      <c r="M4657" s="1323"/>
      <c r="N4657" s="1323"/>
      <c r="O4657" s="1323"/>
      <c r="P4657" s="1323"/>
      <c r="Q4657" s="1323"/>
      <c r="R4657" s="1304"/>
      <c r="S4657" s="1304"/>
      <c r="T4657" s="1304"/>
    </row>
    <row r="4658" spans="1:20">
      <c r="A4658" s="1303"/>
      <c r="B4658" s="1322" t="s">
        <v>11034</v>
      </c>
      <c r="C4658" s="1323" t="s">
        <v>11010</v>
      </c>
      <c r="D4658" s="1324">
        <f t="shared" si="462"/>
        <v>35088</v>
      </c>
      <c r="E4658" s="1323">
        <f t="shared" si="464"/>
        <v>3.6503000000000001</v>
      </c>
      <c r="F4658" s="1323">
        <f t="shared" si="463"/>
        <v>4.0175267466694065</v>
      </c>
      <c r="G4658" s="1323">
        <f t="shared" si="465"/>
        <v>1996</v>
      </c>
      <c r="H4658" s="1323">
        <f t="shared" si="466"/>
        <v>1</v>
      </c>
      <c r="I4658" s="1323">
        <f t="shared" si="467"/>
        <v>24</v>
      </c>
      <c r="J4658" s="1323"/>
      <c r="K4658" s="1323"/>
      <c r="L4658" s="1323"/>
      <c r="M4658" s="1323"/>
      <c r="N4658" s="1323"/>
      <c r="O4658" s="1323"/>
      <c r="P4658" s="1323"/>
      <c r="Q4658" s="1323"/>
      <c r="R4658" s="1304"/>
      <c r="S4658" s="1304"/>
      <c r="T4658" s="1304"/>
    </row>
    <row r="4659" spans="1:20">
      <c r="A4659" s="1303"/>
      <c r="B4659" s="1322" t="s">
        <v>11035</v>
      </c>
      <c r="C4659" s="1323" t="s">
        <v>11036</v>
      </c>
      <c r="D4659" s="1324">
        <f t="shared" si="462"/>
        <v>35087</v>
      </c>
      <c r="E4659" s="1323">
        <f t="shared" si="464"/>
        <v>3.645</v>
      </c>
      <c r="F4659" s="1323">
        <f t="shared" si="463"/>
        <v>4.016756409823687</v>
      </c>
      <c r="G4659" s="1323">
        <f t="shared" si="465"/>
        <v>1996</v>
      </c>
      <c r="H4659" s="1323">
        <f t="shared" si="466"/>
        <v>1</v>
      </c>
      <c r="I4659" s="1323">
        <f t="shared" si="467"/>
        <v>23</v>
      </c>
      <c r="J4659" s="1323"/>
      <c r="K4659" s="1323"/>
      <c r="L4659" s="1323"/>
      <c r="M4659" s="1323"/>
      <c r="N4659" s="1323"/>
      <c r="O4659" s="1323"/>
      <c r="P4659" s="1323"/>
      <c r="Q4659" s="1323"/>
      <c r="R4659" s="1304"/>
      <c r="S4659" s="1304"/>
      <c r="T4659" s="1304"/>
    </row>
    <row r="4660" spans="1:20">
      <c r="A4660" s="1303"/>
      <c r="B4660" s="1322" t="s">
        <v>11037</v>
      </c>
      <c r="C4660" s="1323" t="s">
        <v>11012</v>
      </c>
      <c r="D4660" s="1324">
        <f t="shared" si="462"/>
        <v>35086</v>
      </c>
      <c r="E4660" s="1323">
        <f t="shared" si="464"/>
        <v>3.6503000000000001</v>
      </c>
      <c r="F4660" s="1323">
        <f t="shared" si="463"/>
        <v>4.0159862206854733</v>
      </c>
      <c r="G4660" s="1323">
        <f t="shared" si="465"/>
        <v>1996</v>
      </c>
      <c r="H4660" s="1323">
        <f t="shared" si="466"/>
        <v>1</v>
      </c>
      <c r="I4660" s="1323">
        <f t="shared" si="467"/>
        <v>22</v>
      </c>
      <c r="J4660" s="1323"/>
      <c r="K4660" s="1323"/>
      <c r="L4660" s="1323"/>
      <c r="M4660" s="1323"/>
      <c r="N4660" s="1323"/>
      <c r="O4660" s="1323"/>
      <c r="P4660" s="1323"/>
      <c r="Q4660" s="1323"/>
      <c r="R4660" s="1304"/>
      <c r="S4660" s="1304"/>
      <c r="T4660" s="1304"/>
    </row>
    <row r="4661" spans="1:20">
      <c r="A4661" s="1303"/>
      <c r="B4661" s="1322" t="s">
        <v>11038</v>
      </c>
      <c r="C4661" s="1323" t="s">
        <v>11036</v>
      </c>
      <c r="D4661" s="1324">
        <f t="shared" si="462"/>
        <v>35083</v>
      </c>
      <c r="E4661" s="1323">
        <f t="shared" si="464"/>
        <v>3.6476000000000002</v>
      </c>
      <c r="F4661" s="1323">
        <f t="shared" si="463"/>
        <v>4.0152161792264431</v>
      </c>
      <c r="G4661" s="1323">
        <f t="shared" si="465"/>
        <v>1996</v>
      </c>
      <c r="H4661" s="1323">
        <f t="shared" si="466"/>
        <v>1</v>
      </c>
      <c r="I4661" s="1323">
        <f t="shared" si="467"/>
        <v>19</v>
      </c>
      <c r="J4661" s="1323"/>
      <c r="K4661" s="1323"/>
      <c r="L4661" s="1323"/>
      <c r="M4661" s="1323"/>
      <c r="N4661" s="1323"/>
      <c r="O4661" s="1323"/>
      <c r="P4661" s="1323"/>
      <c r="Q4661" s="1323"/>
      <c r="R4661" s="1304"/>
      <c r="S4661" s="1304"/>
      <c r="T4661" s="1304"/>
    </row>
    <row r="4662" spans="1:20">
      <c r="A4662" s="1303"/>
      <c r="B4662" s="1322" t="s">
        <v>11039</v>
      </c>
      <c r="C4662" s="1323" t="s">
        <v>11014</v>
      </c>
      <c r="D4662" s="1324">
        <f t="shared" si="462"/>
        <v>35082</v>
      </c>
      <c r="E4662" s="1323">
        <f t="shared" si="464"/>
        <v>3.645</v>
      </c>
      <c r="F4662" s="1323">
        <f t="shared" si="463"/>
        <v>4.0144462854182805</v>
      </c>
      <c r="G4662" s="1323">
        <f t="shared" si="465"/>
        <v>1996</v>
      </c>
      <c r="H4662" s="1323">
        <f t="shared" si="466"/>
        <v>1</v>
      </c>
      <c r="I4662" s="1323">
        <f t="shared" si="467"/>
        <v>18</v>
      </c>
      <c r="J4662" s="1323"/>
      <c r="K4662" s="1323"/>
      <c r="L4662" s="1323"/>
      <c r="M4662" s="1323"/>
      <c r="N4662" s="1323"/>
      <c r="O4662" s="1323"/>
      <c r="P4662" s="1323"/>
      <c r="Q4662" s="1323"/>
      <c r="R4662" s="1304"/>
      <c r="S4662" s="1304"/>
      <c r="T4662" s="1304"/>
    </row>
    <row r="4663" spans="1:20">
      <c r="A4663" s="1303"/>
      <c r="B4663" s="1322" t="s">
        <v>11040</v>
      </c>
      <c r="C4663" s="1323" t="s">
        <v>11012</v>
      </c>
      <c r="D4663" s="1324">
        <f t="shared" si="462"/>
        <v>35081</v>
      </c>
      <c r="E4663" s="1323">
        <f t="shared" si="464"/>
        <v>3.6463000000000001</v>
      </c>
      <c r="F4663" s="1323">
        <f t="shared" si="463"/>
        <v>4.0136765392326739</v>
      </c>
      <c r="G4663" s="1323">
        <f t="shared" si="465"/>
        <v>1996</v>
      </c>
      <c r="H4663" s="1323">
        <f t="shared" si="466"/>
        <v>1</v>
      </c>
      <c r="I4663" s="1323">
        <f t="shared" si="467"/>
        <v>17</v>
      </c>
      <c r="J4663" s="1323"/>
      <c r="K4663" s="1323"/>
      <c r="L4663" s="1323"/>
      <c r="M4663" s="1323"/>
      <c r="N4663" s="1323"/>
      <c r="O4663" s="1323"/>
      <c r="P4663" s="1323"/>
      <c r="Q4663" s="1323"/>
      <c r="R4663" s="1304"/>
      <c r="S4663" s="1304"/>
      <c r="T4663" s="1304"/>
    </row>
    <row r="4664" spans="1:20">
      <c r="A4664" s="1303"/>
      <c r="B4664" s="1322" t="s">
        <v>11041</v>
      </c>
      <c r="C4664" s="1323" t="s">
        <v>11017</v>
      </c>
      <c r="D4664" s="1324">
        <f t="shared" si="462"/>
        <v>35080</v>
      </c>
      <c r="E4664" s="1323">
        <f t="shared" si="464"/>
        <v>3.6396999999999999</v>
      </c>
      <c r="F4664" s="1323">
        <f t="shared" si="463"/>
        <v>4.0129069406413178</v>
      </c>
      <c r="G4664" s="1323">
        <f t="shared" si="465"/>
        <v>1996</v>
      </c>
      <c r="H4664" s="1323">
        <f t="shared" si="466"/>
        <v>1</v>
      </c>
      <c r="I4664" s="1323">
        <f t="shared" si="467"/>
        <v>16</v>
      </c>
      <c r="J4664" s="1323"/>
      <c r="K4664" s="1323"/>
      <c r="L4664" s="1323"/>
      <c r="M4664" s="1323"/>
      <c r="N4664" s="1323"/>
      <c r="O4664" s="1323"/>
      <c r="P4664" s="1323"/>
      <c r="Q4664" s="1323"/>
      <c r="R4664" s="1304"/>
      <c r="S4664" s="1304"/>
      <c r="T4664" s="1304"/>
    </row>
    <row r="4665" spans="1:20">
      <c r="A4665" s="1303"/>
      <c r="B4665" s="1322" t="s">
        <v>11042</v>
      </c>
      <c r="C4665" s="1323" t="s">
        <v>11043</v>
      </c>
      <c r="D4665" s="1324">
        <f t="shared" si="462"/>
        <v>35079</v>
      </c>
      <c r="E4665" s="1323">
        <f t="shared" si="464"/>
        <v>3.6343999999999999</v>
      </c>
      <c r="F4665" s="1323">
        <f t="shared" si="463"/>
        <v>4.0121374896159123</v>
      </c>
      <c r="G4665" s="1323">
        <f t="shared" si="465"/>
        <v>1996</v>
      </c>
      <c r="H4665" s="1323">
        <f t="shared" si="466"/>
        <v>1</v>
      </c>
      <c r="I4665" s="1323">
        <f t="shared" si="467"/>
        <v>15</v>
      </c>
      <c r="J4665" s="1323"/>
      <c r="K4665" s="1323"/>
      <c r="L4665" s="1323"/>
      <c r="M4665" s="1323"/>
      <c r="N4665" s="1323"/>
      <c r="O4665" s="1323"/>
      <c r="P4665" s="1323"/>
      <c r="Q4665" s="1323"/>
      <c r="R4665" s="1304"/>
      <c r="S4665" s="1304"/>
      <c r="T4665" s="1304"/>
    </row>
    <row r="4666" spans="1:20">
      <c r="A4666" s="1303"/>
      <c r="B4666" s="1322" t="s">
        <v>11044</v>
      </c>
      <c r="C4666" s="1323" t="s">
        <v>11045</v>
      </c>
      <c r="D4666" s="1324">
        <f t="shared" si="462"/>
        <v>35076</v>
      </c>
      <c r="E4666" s="1323">
        <f t="shared" si="464"/>
        <v>3.6303999999999998</v>
      </c>
      <c r="F4666" s="1323">
        <f t="shared" si="463"/>
        <v>4.0113681861281618</v>
      </c>
      <c r="G4666" s="1323">
        <f t="shared" si="465"/>
        <v>1996</v>
      </c>
      <c r="H4666" s="1323">
        <f t="shared" si="466"/>
        <v>1</v>
      </c>
      <c r="I4666" s="1323">
        <f t="shared" si="467"/>
        <v>12</v>
      </c>
      <c r="J4666" s="1323"/>
      <c r="K4666" s="1323"/>
      <c r="L4666" s="1323"/>
      <c r="M4666" s="1323"/>
      <c r="N4666" s="1323"/>
      <c r="O4666" s="1323"/>
      <c r="P4666" s="1323"/>
      <c r="Q4666" s="1323"/>
      <c r="R4666" s="1304"/>
      <c r="S4666" s="1304"/>
      <c r="T4666" s="1304"/>
    </row>
    <row r="4667" spans="1:20">
      <c r="A4667" s="1303"/>
      <c r="B4667" s="1322" t="s">
        <v>11046</v>
      </c>
      <c r="C4667" s="1323" t="s">
        <v>11047</v>
      </c>
      <c r="D4667" s="1324">
        <f t="shared" si="462"/>
        <v>35075</v>
      </c>
      <c r="E4667" s="1323">
        <f t="shared" si="464"/>
        <v>3.6252</v>
      </c>
      <c r="F4667" s="1323">
        <f t="shared" si="463"/>
        <v>4.0105990301497769</v>
      </c>
      <c r="G4667" s="1323">
        <f t="shared" si="465"/>
        <v>1996</v>
      </c>
      <c r="H4667" s="1323">
        <f t="shared" si="466"/>
        <v>1</v>
      </c>
      <c r="I4667" s="1323">
        <f t="shared" si="467"/>
        <v>11</v>
      </c>
      <c r="J4667" s="1323"/>
      <c r="K4667" s="1323"/>
      <c r="L4667" s="1323"/>
      <c r="M4667" s="1323"/>
      <c r="N4667" s="1323"/>
      <c r="O4667" s="1323"/>
      <c r="P4667" s="1323"/>
      <c r="Q4667" s="1323"/>
      <c r="R4667" s="1304"/>
      <c r="S4667" s="1304"/>
      <c r="T4667" s="1304"/>
    </row>
    <row r="4668" spans="1:20">
      <c r="A4668" s="1303"/>
      <c r="B4668" s="1322" t="s">
        <v>11048</v>
      </c>
      <c r="C4668" s="1323" t="s">
        <v>11049</v>
      </c>
      <c r="D4668" s="1324">
        <f t="shared" si="462"/>
        <v>35074</v>
      </c>
      <c r="E4668" s="1323">
        <f t="shared" si="464"/>
        <v>3.6265000000000001</v>
      </c>
      <c r="F4668" s="1323">
        <f t="shared" si="463"/>
        <v>4.0098300216524736</v>
      </c>
      <c r="G4668" s="1323">
        <f t="shared" si="465"/>
        <v>1996</v>
      </c>
      <c r="H4668" s="1323">
        <f t="shared" si="466"/>
        <v>1</v>
      </c>
      <c r="I4668" s="1323">
        <f t="shared" si="467"/>
        <v>10</v>
      </c>
      <c r="J4668" s="1323"/>
      <c r="K4668" s="1323"/>
      <c r="L4668" s="1323"/>
      <c r="M4668" s="1323"/>
      <c r="N4668" s="1323"/>
      <c r="O4668" s="1323"/>
      <c r="P4668" s="1323"/>
      <c r="Q4668" s="1323"/>
      <c r="R4668" s="1304"/>
      <c r="S4668" s="1304"/>
      <c r="T4668" s="1304"/>
    </row>
    <row r="4669" spans="1:20">
      <c r="A4669" s="1303"/>
      <c r="B4669" s="1322" t="s">
        <v>11050</v>
      </c>
      <c r="C4669" s="1323" t="s">
        <v>11051</v>
      </c>
      <c r="D4669" s="1324">
        <f t="shared" si="462"/>
        <v>35073</v>
      </c>
      <c r="E4669" s="1323">
        <f t="shared" si="464"/>
        <v>3.6349999999999998</v>
      </c>
      <c r="F4669" s="1323">
        <f t="shared" si="463"/>
        <v>4.0090611606079731</v>
      </c>
      <c r="G4669" s="1323">
        <f t="shared" si="465"/>
        <v>1996</v>
      </c>
      <c r="H4669" s="1323">
        <f t="shared" si="466"/>
        <v>1</v>
      </c>
      <c r="I4669" s="1323">
        <f t="shared" si="467"/>
        <v>9</v>
      </c>
      <c r="J4669" s="1323"/>
      <c r="K4669" s="1323"/>
      <c r="L4669" s="1323"/>
      <c r="M4669" s="1323"/>
      <c r="N4669" s="1323"/>
      <c r="O4669" s="1323"/>
      <c r="P4669" s="1323"/>
      <c r="Q4669" s="1323"/>
      <c r="R4669" s="1304"/>
      <c r="S4669" s="1304"/>
      <c r="T4669" s="1304"/>
    </row>
    <row r="4670" spans="1:20">
      <c r="A4670" s="1303"/>
      <c r="B4670" s="1322" t="s">
        <v>11052</v>
      </c>
      <c r="C4670" s="1323" t="s">
        <v>11053</v>
      </c>
      <c r="D4670" s="1324">
        <f t="shared" si="462"/>
        <v>35072</v>
      </c>
      <c r="E4670" s="1323">
        <f t="shared" si="464"/>
        <v>3.6303999999999998</v>
      </c>
      <c r="F4670" s="1323">
        <f t="shared" si="463"/>
        <v>4.008292446988003</v>
      </c>
      <c r="G4670" s="1323">
        <f t="shared" si="465"/>
        <v>1996</v>
      </c>
      <c r="H4670" s="1323">
        <f t="shared" si="466"/>
        <v>1</v>
      </c>
      <c r="I4670" s="1323">
        <f t="shared" si="467"/>
        <v>8</v>
      </c>
      <c r="J4670" s="1323"/>
      <c r="K4670" s="1323"/>
      <c r="L4670" s="1323"/>
      <c r="M4670" s="1323"/>
      <c r="N4670" s="1323"/>
      <c r="O4670" s="1323"/>
      <c r="P4670" s="1323"/>
      <c r="Q4670" s="1323"/>
      <c r="R4670" s="1304"/>
      <c r="S4670" s="1304"/>
      <c r="T4670" s="1304"/>
    </row>
    <row r="4671" spans="1:20">
      <c r="A4671" s="1303"/>
      <c r="B4671" s="1322" t="s">
        <v>11054</v>
      </c>
      <c r="C4671" s="1323" t="s">
        <v>11047</v>
      </c>
      <c r="D4671" s="1324">
        <f t="shared" si="462"/>
        <v>35069</v>
      </c>
      <c r="E4671" s="1323">
        <f t="shared" si="464"/>
        <v>3.6278000000000001</v>
      </c>
      <c r="F4671" s="1323">
        <f t="shared" si="463"/>
        <v>4.0075238807642943</v>
      </c>
      <c r="G4671" s="1323">
        <f t="shared" si="465"/>
        <v>1996</v>
      </c>
      <c r="H4671" s="1323">
        <f t="shared" si="466"/>
        <v>1</v>
      </c>
      <c r="I4671" s="1323">
        <f t="shared" si="467"/>
        <v>5</v>
      </c>
      <c r="J4671" s="1323"/>
      <c r="K4671" s="1323"/>
      <c r="L4671" s="1323"/>
      <c r="M4671" s="1323"/>
      <c r="N4671" s="1323"/>
      <c r="O4671" s="1323"/>
      <c r="P4671" s="1323"/>
      <c r="Q4671" s="1323"/>
      <c r="R4671" s="1304"/>
      <c r="S4671" s="1304"/>
      <c r="T4671" s="1304"/>
    </row>
    <row r="4672" spans="1:20">
      <c r="A4672" s="1303"/>
      <c r="B4672" s="1322" t="s">
        <v>11055</v>
      </c>
      <c r="C4672" s="1323" t="s">
        <v>11056</v>
      </c>
      <c r="D4672" s="1324">
        <f t="shared" si="462"/>
        <v>35068</v>
      </c>
      <c r="E4672" s="1323">
        <f t="shared" si="464"/>
        <v>3.6291000000000002</v>
      </c>
      <c r="F4672" s="1323">
        <f t="shared" si="463"/>
        <v>4.0067554619085861</v>
      </c>
      <c r="G4672" s="1323">
        <f t="shared" si="465"/>
        <v>1996</v>
      </c>
      <c r="H4672" s="1323">
        <f t="shared" si="466"/>
        <v>1</v>
      </c>
      <c r="I4672" s="1323">
        <f t="shared" si="467"/>
        <v>4</v>
      </c>
      <c r="J4672" s="1323"/>
      <c r="K4672" s="1323"/>
      <c r="L4672" s="1323"/>
      <c r="M4672" s="1323"/>
      <c r="N4672" s="1323"/>
      <c r="O4672" s="1323"/>
      <c r="P4672" s="1323"/>
      <c r="Q4672" s="1323"/>
      <c r="R4672" s="1304"/>
      <c r="S4672" s="1304"/>
      <c r="T4672" s="1304"/>
    </row>
    <row r="4673" spans="1:20">
      <c r="A4673" s="1303"/>
      <c r="B4673" s="1322" t="s">
        <v>11057</v>
      </c>
      <c r="C4673" s="1323" t="s">
        <v>11058</v>
      </c>
      <c r="D4673" s="1324">
        <f t="shared" si="462"/>
        <v>35067</v>
      </c>
      <c r="E4673" s="1323">
        <f t="shared" si="464"/>
        <v>3.6356999999999999</v>
      </c>
      <c r="F4673" s="1323">
        <f t="shared" si="463"/>
        <v>4.0059871903926201</v>
      </c>
      <c r="G4673" s="1323">
        <f t="shared" si="465"/>
        <v>1996</v>
      </c>
      <c r="H4673" s="1323">
        <f t="shared" si="466"/>
        <v>1</v>
      </c>
      <c r="I4673" s="1323">
        <f t="shared" si="467"/>
        <v>3</v>
      </c>
      <c r="J4673" s="1323"/>
      <c r="K4673" s="1323"/>
      <c r="L4673" s="1323"/>
      <c r="M4673" s="1323"/>
      <c r="N4673" s="1323"/>
      <c r="O4673" s="1323"/>
      <c r="P4673" s="1323"/>
      <c r="Q4673" s="1323"/>
      <c r="R4673" s="1304"/>
      <c r="S4673" s="1304"/>
      <c r="T4673" s="1304"/>
    </row>
    <row r="4674" spans="1:20">
      <c r="A4674" s="1303"/>
      <c r="B4674" s="1322" t="s">
        <v>11059</v>
      </c>
      <c r="C4674" s="1323" t="s">
        <v>11060</v>
      </c>
      <c r="D4674" s="1324">
        <f t="shared" si="462"/>
        <v>35066</v>
      </c>
      <c r="E4674" s="1323">
        <f t="shared" si="464"/>
        <v>3.6423000000000001</v>
      </c>
      <c r="F4674" s="1323">
        <f t="shared" si="463"/>
        <v>4.0052190661881459</v>
      </c>
      <c r="G4674" s="1323">
        <f t="shared" si="465"/>
        <v>1996</v>
      </c>
      <c r="H4674" s="1323">
        <f t="shared" si="466"/>
        <v>1</v>
      </c>
      <c r="I4674" s="1323">
        <f t="shared" si="467"/>
        <v>2</v>
      </c>
      <c r="J4674" s="1323"/>
      <c r="K4674" s="1323"/>
      <c r="L4674" s="1323"/>
      <c r="M4674" s="1323"/>
      <c r="N4674" s="1323"/>
      <c r="O4674" s="1323"/>
      <c r="P4674" s="1323"/>
      <c r="Q4674" s="1323"/>
      <c r="R4674" s="1304"/>
      <c r="S4674" s="1304"/>
      <c r="T4674" s="1304"/>
    </row>
    <row r="4675" spans="1:20">
      <c r="A4675" s="1303"/>
      <c r="B4675" s="1322" t="s">
        <v>11061</v>
      </c>
      <c r="C4675" s="1323" t="s">
        <v>11022</v>
      </c>
      <c r="D4675" s="1324">
        <f t="shared" si="462"/>
        <v>35062</v>
      </c>
      <c r="E4675" s="1323">
        <f t="shared" si="464"/>
        <v>3.649</v>
      </c>
      <c r="F4675" s="1323">
        <f t="shared" si="463"/>
        <v>4.004451089266917</v>
      </c>
      <c r="G4675" s="1323">
        <f t="shared" si="465"/>
        <v>1995</v>
      </c>
      <c r="H4675" s="1323">
        <f t="shared" si="466"/>
        <v>12</v>
      </c>
      <c r="I4675" s="1323">
        <f t="shared" si="467"/>
        <v>29</v>
      </c>
      <c r="J4675" s="1323"/>
      <c r="K4675" s="1323"/>
      <c r="L4675" s="1323"/>
      <c r="M4675" s="1323"/>
      <c r="N4675" s="1323"/>
      <c r="O4675" s="1323"/>
      <c r="P4675" s="1323"/>
      <c r="Q4675" s="1323"/>
      <c r="R4675" s="1304"/>
      <c r="S4675" s="1304"/>
      <c r="T4675" s="1304"/>
    </row>
    <row r="4676" spans="1:20">
      <c r="A4676" s="1303"/>
      <c r="B4676" s="1322" t="s">
        <v>11062</v>
      </c>
      <c r="C4676" s="1323" t="s">
        <v>11010</v>
      </c>
      <c r="D4676" s="1324">
        <f t="shared" si="462"/>
        <v>35061</v>
      </c>
      <c r="E4676" s="1323">
        <f t="shared" si="464"/>
        <v>3.6516000000000002</v>
      </c>
      <c r="F4676" s="1323">
        <f t="shared" si="463"/>
        <v>4.0036832596006917</v>
      </c>
      <c r="G4676" s="1323">
        <f t="shared" si="465"/>
        <v>1995</v>
      </c>
      <c r="H4676" s="1323">
        <f t="shared" si="466"/>
        <v>12</v>
      </c>
      <c r="I4676" s="1323">
        <f t="shared" si="467"/>
        <v>28</v>
      </c>
      <c r="J4676" s="1323"/>
      <c r="K4676" s="1323"/>
      <c r="L4676" s="1323"/>
      <c r="M4676" s="1323"/>
      <c r="N4676" s="1323"/>
      <c r="O4676" s="1323"/>
      <c r="P4676" s="1323"/>
      <c r="Q4676" s="1323"/>
      <c r="R4676" s="1304"/>
      <c r="S4676" s="1304"/>
      <c r="T4676" s="1304"/>
    </row>
    <row r="4677" spans="1:20">
      <c r="A4677" s="1303"/>
      <c r="B4677" s="1322" t="s">
        <v>11063</v>
      </c>
      <c r="C4677" s="1323" t="s">
        <v>11025</v>
      </c>
      <c r="D4677" s="1324">
        <f t="shared" si="462"/>
        <v>35060</v>
      </c>
      <c r="E4677" s="1323">
        <f t="shared" si="464"/>
        <v>3.6583000000000001</v>
      </c>
      <c r="F4677" s="1323">
        <f t="shared" si="463"/>
        <v>4.0029155771612359</v>
      </c>
      <c r="G4677" s="1323">
        <f t="shared" si="465"/>
        <v>1995</v>
      </c>
      <c r="H4677" s="1323">
        <f t="shared" si="466"/>
        <v>12</v>
      </c>
      <c r="I4677" s="1323">
        <f t="shared" si="467"/>
        <v>27</v>
      </c>
      <c r="J4677" s="1323"/>
      <c r="K4677" s="1323"/>
      <c r="L4677" s="1323"/>
      <c r="M4677" s="1323"/>
      <c r="N4677" s="1323"/>
      <c r="O4677" s="1323"/>
      <c r="P4677" s="1323"/>
      <c r="Q4677" s="1323"/>
      <c r="R4677" s="1304"/>
      <c r="S4677" s="1304"/>
      <c r="T4677" s="1304"/>
    </row>
    <row r="4678" spans="1:20">
      <c r="A4678" s="1303"/>
      <c r="B4678" s="1322" t="s">
        <v>11064</v>
      </c>
      <c r="C4678" s="1323" t="s">
        <v>11065</v>
      </c>
      <c r="D4678" s="1324">
        <f t="shared" si="462"/>
        <v>35055</v>
      </c>
      <c r="E4678" s="1323">
        <f t="shared" si="464"/>
        <v>3.6642999999999999</v>
      </c>
      <c r="F4678" s="1323">
        <f t="shared" si="463"/>
        <v>4.0021480419203197</v>
      </c>
      <c r="G4678" s="1323">
        <f t="shared" si="465"/>
        <v>1995</v>
      </c>
      <c r="H4678" s="1323">
        <f t="shared" si="466"/>
        <v>12</v>
      </c>
      <c r="I4678" s="1323">
        <f t="shared" si="467"/>
        <v>22</v>
      </c>
      <c r="J4678" s="1323"/>
      <c r="K4678" s="1323"/>
      <c r="L4678" s="1323"/>
      <c r="M4678" s="1323"/>
      <c r="N4678" s="1323"/>
      <c r="O4678" s="1323"/>
      <c r="P4678" s="1323"/>
      <c r="Q4678" s="1323"/>
      <c r="R4678" s="1304"/>
      <c r="S4678" s="1304"/>
      <c r="T4678" s="1304"/>
    </row>
    <row r="4679" spans="1:20">
      <c r="A4679" s="1303"/>
      <c r="B4679" s="1322" t="s">
        <v>11066</v>
      </c>
      <c r="C4679" s="1323" t="s">
        <v>11067</v>
      </c>
      <c r="D4679" s="1324">
        <f t="shared" si="462"/>
        <v>35054</v>
      </c>
      <c r="E4679" s="1323">
        <f t="shared" si="464"/>
        <v>3.665</v>
      </c>
      <c r="F4679" s="1323">
        <f t="shared" si="463"/>
        <v>4.0013806538497185</v>
      </c>
      <c r="G4679" s="1323">
        <f t="shared" si="465"/>
        <v>1995</v>
      </c>
      <c r="H4679" s="1323">
        <f t="shared" si="466"/>
        <v>12</v>
      </c>
      <c r="I4679" s="1323">
        <f t="shared" si="467"/>
        <v>21</v>
      </c>
      <c r="J4679" s="1323"/>
      <c r="K4679" s="1323"/>
      <c r="L4679" s="1323"/>
      <c r="M4679" s="1323"/>
      <c r="N4679" s="1323"/>
      <c r="O4679" s="1323"/>
      <c r="P4679" s="1323"/>
      <c r="Q4679" s="1323"/>
      <c r="R4679" s="1304"/>
      <c r="S4679" s="1304"/>
      <c r="T4679" s="1304"/>
    </row>
    <row r="4680" spans="1:20">
      <c r="A4680" s="1303"/>
      <c r="B4680" s="1322" t="s">
        <v>11068</v>
      </c>
      <c r="C4680" s="1323" t="s">
        <v>11069</v>
      </c>
      <c r="D4680" s="1324">
        <f t="shared" si="462"/>
        <v>35053</v>
      </c>
      <c r="E4680" s="1323">
        <f t="shared" si="464"/>
        <v>3.6690999999999998</v>
      </c>
      <c r="F4680" s="1323">
        <f t="shared" si="463"/>
        <v>4.0006134129212132</v>
      </c>
      <c r="G4680" s="1323">
        <f t="shared" si="465"/>
        <v>1995</v>
      </c>
      <c r="H4680" s="1323">
        <f t="shared" si="466"/>
        <v>12</v>
      </c>
      <c r="I4680" s="1323">
        <f t="shared" si="467"/>
        <v>20</v>
      </c>
      <c r="J4680" s="1323"/>
      <c r="K4680" s="1323"/>
      <c r="L4680" s="1323"/>
      <c r="M4680" s="1323"/>
      <c r="N4680" s="1323"/>
      <c r="O4680" s="1323"/>
      <c r="P4680" s="1323"/>
      <c r="Q4680" s="1323"/>
      <c r="R4680" s="1304"/>
      <c r="S4680" s="1304"/>
      <c r="T4680" s="1304"/>
    </row>
    <row r="4681" spans="1:20">
      <c r="A4681" s="1303"/>
      <c r="B4681" s="1322" t="s">
        <v>11070</v>
      </c>
      <c r="C4681" s="1323" t="s">
        <v>11071</v>
      </c>
      <c r="D4681" s="1324">
        <f t="shared" ref="D4681:D4744" si="468">DATE(G4681,H4681,I4681)</f>
        <v>35052</v>
      </c>
      <c r="E4681" s="1323">
        <f t="shared" si="464"/>
        <v>3.6663999999999999</v>
      </c>
      <c r="F4681" s="1323">
        <f t="shared" ref="F4681:F4744" si="469">F4682*(1+$F$7/365)</f>
        <v>3.9998463191065898</v>
      </c>
      <c r="G4681" s="1323">
        <f t="shared" si="465"/>
        <v>1995</v>
      </c>
      <c r="H4681" s="1323">
        <f t="shared" si="466"/>
        <v>12</v>
      </c>
      <c r="I4681" s="1323">
        <f t="shared" si="467"/>
        <v>19</v>
      </c>
      <c r="J4681" s="1323"/>
      <c r="K4681" s="1323"/>
      <c r="L4681" s="1323"/>
      <c r="M4681" s="1323"/>
      <c r="N4681" s="1323"/>
      <c r="O4681" s="1323"/>
      <c r="P4681" s="1323"/>
      <c r="Q4681" s="1323"/>
      <c r="R4681" s="1304"/>
      <c r="S4681" s="1304"/>
      <c r="T4681" s="1304"/>
    </row>
    <row r="4682" spans="1:20">
      <c r="A4682" s="1303"/>
      <c r="B4682" s="1322" t="s">
        <v>11072</v>
      </c>
      <c r="C4682" s="1323" t="s">
        <v>11073</v>
      </c>
      <c r="D4682" s="1324">
        <f t="shared" si="468"/>
        <v>35051</v>
      </c>
      <c r="E4682" s="1323">
        <f t="shared" si="464"/>
        <v>3.6677</v>
      </c>
      <c r="F4682" s="1323">
        <f t="shared" si="469"/>
        <v>3.9990793723776408</v>
      </c>
      <c r="G4682" s="1323">
        <f t="shared" si="465"/>
        <v>1995</v>
      </c>
      <c r="H4682" s="1323">
        <f t="shared" si="466"/>
        <v>12</v>
      </c>
      <c r="I4682" s="1323">
        <f t="shared" si="467"/>
        <v>18</v>
      </c>
      <c r="J4682" s="1323"/>
      <c r="K4682" s="1323"/>
      <c r="L4682" s="1323"/>
      <c r="M4682" s="1323"/>
      <c r="N4682" s="1323"/>
      <c r="O4682" s="1323"/>
      <c r="P4682" s="1323"/>
      <c r="Q4682" s="1323"/>
      <c r="R4682" s="1304"/>
      <c r="S4682" s="1304"/>
      <c r="T4682" s="1304"/>
    </row>
    <row r="4683" spans="1:20">
      <c r="A4683" s="1303"/>
      <c r="B4683" s="1322" t="s">
        <v>11074</v>
      </c>
      <c r="C4683" s="1323" t="s">
        <v>11075</v>
      </c>
      <c r="D4683" s="1324">
        <f t="shared" si="468"/>
        <v>35048</v>
      </c>
      <c r="E4683" s="1323">
        <f t="shared" si="464"/>
        <v>3.6663999999999999</v>
      </c>
      <c r="F4683" s="1323">
        <f t="shared" si="469"/>
        <v>3.9983125727061628</v>
      </c>
      <c r="G4683" s="1323">
        <f t="shared" si="465"/>
        <v>1995</v>
      </c>
      <c r="H4683" s="1323">
        <f t="shared" si="466"/>
        <v>12</v>
      </c>
      <c r="I4683" s="1323">
        <f t="shared" si="467"/>
        <v>15</v>
      </c>
      <c r="J4683" s="1323"/>
      <c r="K4683" s="1323"/>
      <c r="L4683" s="1323"/>
      <c r="M4683" s="1323"/>
      <c r="N4683" s="1323"/>
      <c r="O4683" s="1323"/>
      <c r="P4683" s="1323"/>
      <c r="Q4683" s="1323"/>
      <c r="R4683" s="1304"/>
      <c r="S4683" s="1304"/>
      <c r="T4683" s="1304"/>
    </row>
    <row r="4684" spans="1:20">
      <c r="A4684" s="1303"/>
      <c r="B4684" s="1322" t="s">
        <v>11076</v>
      </c>
      <c r="C4684" s="1323" t="s">
        <v>11073</v>
      </c>
      <c r="D4684" s="1324">
        <f t="shared" si="468"/>
        <v>35047</v>
      </c>
      <c r="E4684" s="1323">
        <f t="shared" si="464"/>
        <v>3.6697000000000002</v>
      </c>
      <c r="F4684" s="1323">
        <f t="shared" si="469"/>
        <v>3.9975459200639585</v>
      </c>
      <c r="G4684" s="1323">
        <f t="shared" si="465"/>
        <v>1995</v>
      </c>
      <c r="H4684" s="1323">
        <f t="shared" si="466"/>
        <v>12</v>
      </c>
      <c r="I4684" s="1323">
        <f t="shared" si="467"/>
        <v>14</v>
      </c>
      <c r="J4684" s="1323"/>
      <c r="K4684" s="1323"/>
      <c r="L4684" s="1323"/>
      <c r="M4684" s="1323"/>
      <c r="N4684" s="1323"/>
      <c r="O4684" s="1323"/>
      <c r="P4684" s="1323"/>
      <c r="Q4684" s="1323"/>
      <c r="R4684" s="1304"/>
      <c r="S4684" s="1304"/>
      <c r="T4684" s="1304"/>
    </row>
    <row r="4685" spans="1:20">
      <c r="A4685" s="1303"/>
      <c r="B4685" s="1322" t="s">
        <v>11077</v>
      </c>
      <c r="C4685" s="1323" t="s">
        <v>11078</v>
      </c>
      <c r="D4685" s="1324">
        <f t="shared" si="468"/>
        <v>35046</v>
      </c>
      <c r="E4685" s="1323">
        <f t="shared" si="464"/>
        <v>3.6703999999999999</v>
      </c>
      <c r="F4685" s="1323">
        <f t="shared" si="469"/>
        <v>3.9967794144228361</v>
      </c>
      <c r="G4685" s="1323">
        <f t="shared" si="465"/>
        <v>1995</v>
      </c>
      <c r="H4685" s="1323">
        <f t="shared" si="466"/>
        <v>12</v>
      </c>
      <c r="I4685" s="1323">
        <f t="shared" si="467"/>
        <v>13</v>
      </c>
      <c r="J4685" s="1323"/>
      <c r="K4685" s="1323"/>
      <c r="L4685" s="1323"/>
      <c r="M4685" s="1323"/>
      <c r="N4685" s="1323"/>
      <c r="O4685" s="1323"/>
      <c r="P4685" s="1323"/>
      <c r="Q4685" s="1323"/>
      <c r="R4685" s="1304"/>
      <c r="S4685" s="1304"/>
      <c r="T4685" s="1304"/>
    </row>
    <row r="4686" spans="1:20">
      <c r="A4686" s="1303"/>
      <c r="B4686" s="1322" t="s">
        <v>11079</v>
      </c>
      <c r="C4686" s="1323" t="s">
        <v>11080</v>
      </c>
      <c r="D4686" s="1324">
        <f t="shared" si="468"/>
        <v>35045</v>
      </c>
      <c r="E4686" s="1323">
        <f t="shared" si="464"/>
        <v>3.6677</v>
      </c>
      <c r="F4686" s="1323">
        <f t="shared" si="469"/>
        <v>3.996013055754609</v>
      </c>
      <c r="G4686" s="1323">
        <f t="shared" si="465"/>
        <v>1995</v>
      </c>
      <c r="H4686" s="1323">
        <f t="shared" si="466"/>
        <v>12</v>
      </c>
      <c r="I4686" s="1323">
        <f t="shared" si="467"/>
        <v>12</v>
      </c>
      <c r="J4686" s="1323"/>
      <c r="K4686" s="1323"/>
      <c r="L4686" s="1323"/>
      <c r="M4686" s="1323"/>
      <c r="N4686" s="1323"/>
      <c r="O4686" s="1323"/>
      <c r="P4686" s="1323"/>
      <c r="Q4686" s="1323"/>
      <c r="R4686" s="1304"/>
      <c r="S4686" s="1304"/>
      <c r="T4686" s="1304"/>
    </row>
    <row r="4687" spans="1:20">
      <c r="A4687" s="1303"/>
      <c r="B4687" s="1322" t="s">
        <v>11081</v>
      </c>
      <c r="C4687" s="1323" t="s">
        <v>11075</v>
      </c>
      <c r="D4687" s="1324">
        <f t="shared" si="468"/>
        <v>35044</v>
      </c>
      <c r="E4687" s="1323">
        <f t="shared" si="464"/>
        <v>3.6677</v>
      </c>
      <c r="F4687" s="1323">
        <f t="shared" si="469"/>
        <v>3.995246844031096</v>
      </c>
      <c r="G4687" s="1323">
        <f t="shared" si="465"/>
        <v>1995</v>
      </c>
      <c r="H4687" s="1323">
        <f t="shared" si="466"/>
        <v>12</v>
      </c>
      <c r="I4687" s="1323">
        <f t="shared" si="467"/>
        <v>11</v>
      </c>
      <c r="J4687" s="1323"/>
      <c r="K4687" s="1323"/>
      <c r="L4687" s="1323"/>
      <c r="M4687" s="1323"/>
      <c r="N4687" s="1323"/>
      <c r="O4687" s="1323"/>
      <c r="P4687" s="1323"/>
      <c r="Q4687" s="1323"/>
      <c r="R4687" s="1304"/>
      <c r="S4687" s="1304"/>
      <c r="T4687" s="1304"/>
    </row>
    <row r="4688" spans="1:20">
      <c r="A4688" s="1303"/>
      <c r="B4688" s="1322" t="s">
        <v>11082</v>
      </c>
      <c r="C4688" s="1323" t="s">
        <v>11075</v>
      </c>
      <c r="D4688" s="1324">
        <f t="shared" si="468"/>
        <v>35041</v>
      </c>
      <c r="E4688" s="1323">
        <f t="shared" si="464"/>
        <v>3.6690999999999998</v>
      </c>
      <c r="F4688" s="1323">
        <f t="shared" si="469"/>
        <v>3.9944807792241215</v>
      </c>
      <c r="G4688" s="1323">
        <f t="shared" si="465"/>
        <v>1995</v>
      </c>
      <c r="H4688" s="1323">
        <f t="shared" si="466"/>
        <v>12</v>
      </c>
      <c r="I4688" s="1323">
        <f t="shared" si="467"/>
        <v>8</v>
      </c>
      <c r="J4688" s="1323"/>
      <c r="K4688" s="1323"/>
      <c r="L4688" s="1323"/>
      <c r="M4688" s="1323"/>
      <c r="N4688" s="1323"/>
      <c r="O4688" s="1323"/>
      <c r="P4688" s="1323"/>
      <c r="Q4688" s="1323"/>
      <c r="R4688" s="1304"/>
      <c r="S4688" s="1304"/>
      <c r="T4688" s="1304"/>
    </row>
    <row r="4689" spans="1:20">
      <c r="A4689" s="1303"/>
      <c r="B4689" s="1322" t="s">
        <v>11083</v>
      </c>
      <c r="C4689" s="1323" t="s">
        <v>11071</v>
      </c>
      <c r="D4689" s="1324">
        <f t="shared" si="468"/>
        <v>35040</v>
      </c>
      <c r="E4689" s="1323">
        <f t="shared" si="464"/>
        <v>3.6690999999999998</v>
      </c>
      <c r="F4689" s="1323">
        <f t="shared" si="469"/>
        <v>3.9937148613055147</v>
      </c>
      <c r="G4689" s="1323">
        <f t="shared" si="465"/>
        <v>1995</v>
      </c>
      <c r="H4689" s="1323">
        <f t="shared" si="466"/>
        <v>12</v>
      </c>
      <c r="I4689" s="1323">
        <f t="shared" si="467"/>
        <v>7</v>
      </c>
      <c r="J4689" s="1323"/>
      <c r="K4689" s="1323"/>
      <c r="L4689" s="1323"/>
      <c r="M4689" s="1323"/>
      <c r="N4689" s="1323"/>
      <c r="O4689" s="1323"/>
      <c r="P4689" s="1323"/>
      <c r="Q4689" s="1323"/>
      <c r="R4689" s="1304"/>
      <c r="S4689" s="1304"/>
      <c r="T4689" s="1304"/>
    </row>
    <row r="4690" spans="1:20">
      <c r="A4690" s="1303"/>
      <c r="B4690" s="1322" t="s">
        <v>11084</v>
      </c>
      <c r="C4690" s="1323" t="s">
        <v>11071</v>
      </c>
      <c r="D4690" s="1324">
        <f t="shared" si="468"/>
        <v>35039</v>
      </c>
      <c r="E4690" s="1323">
        <f t="shared" si="464"/>
        <v>3.6677</v>
      </c>
      <c r="F4690" s="1323">
        <f t="shared" si="469"/>
        <v>3.992949090247111</v>
      </c>
      <c r="G4690" s="1323">
        <f t="shared" si="465"/>
        <v>1995</v>
      </c>
      <c r="H4690" s="1323">
        <f t="shared" si="466"/>
        <v>12</v>
      </c>
      <c r="I4690" s="1323">
        <f t="shared" si="467"/>
        <v>6</v>
      </c>
      <c r="J4690" s="1323"/>
      <c r="K4690" s="1323"/>
      <c r="L4690" s="1323"/>
      <c r="M4690" s="1323"/>
      <c r="N4690" s="1323"/>
      <c r="O4690" s="1323"/>
      <c r="P4690" s="1323"/>
      <c r="Q4690" s="1323"/>
      <c r="R4690" s="1304"/>
      <c r="S4690" s="1304"/>
      <c r="T4690" s="1304"/>
    </row>
    <row r="4691" spans="1:20">
      <c r="A4691" s="1303"/>
      <c r="B4691" s="1322" t="s">
        <v>11085</v>
      </c>
      <c r="C4691" s="1323" t="s">
        <v>11075</v>
      </c>
      <c r="D4691" s="1324">
        <f t="shared" si="468"/>
        <v>35038</v>
      </c>
      <c r="E4691" s="1323">
        <f t="shared" si="464"/>
        <v>3.6657000000000002</v>
      </c>
      <c r="F4691" s="1323">
        <f t="shared" si="469"/>
        <v>3.9921834660207507</v>
      </c>
      <c r="G4691" s="1323">
        <f t="shared" si="465"/>
        <v>1995</v>
      </c>
      <c r="H4691" s="1323">
        <f t="shared" si="466"/>
        <v>12</v>
      </c>
      <c r="I4691" s="1323">
        <f t="shared" si="467"/>
        <v>5</v>
      </c>
      <c r="J4691" s="1323"/>
      <c r="K4691" s="1323"/>
      <c r="L4691" s="1323"/>
      <c r="M4691" s="1323"/>
      <c r="N4691" s="1323"/>
      <c r="O4691" s="1323"/>
      <c r="P4691" s="1323"/>
      <c r="Q4691" s="1323"/>
      <c r="R4691" s="1304"/>
      <c r="S4691" s="1304"/>
      <c r="T4691" s="1304"/>
    </row>
    <row r="4692" spans="1:20">
      <c r="A4692" s="1303"/>
      <c r="B4692" s="1322" t="s">
        <v>11086</v>
      </c>
      <c r="C4692" s="1323" t="s">
        <v>11087</v>
      </c>
      <c r="D4692" s="1324">
        <f t="shared" si="468"/>
        <v>35037</v>
      </c>
      <c r="E4692" s="1323">
        <f t="shared" si="464"/>
        <v>3.661</v>
      </c>
      <c r="F4692" s="1323">
        <f t="shared" si="469"/>
        <v>3.9914179885982795</v>
      </c>
      <c r="G4692" s="1323">
        <f t="shared" si="465"/>
        <v>1995</v>
      </c>
      <c r="H4692" s="1323">
        <f t="shared" si="466"/>
        <v>12</v>
      </c>
      <c r="I4692" s="1323">
        <f t="shared" si="467"/>
        <v>4</v>
      </c>
      <c r="J4692" s="1323"/>
      <c r="K4692" s="1323"/>
      <c r="L4692" s="1323"/>
      <c r="M4692" s="1323"/>
      <c r="N4692" s="1323"/>
      <c r="O4692" s="1323"/>
      <c r="P4692" s="1323"/>
      <c r="Q4692" s="1323"/>
      <c r="R4692" s="1304"/>
      <c r="S4692" s="1304"/>
      <c r="T4692" s="1304"/>
    </row>
    <row r="4693" spans="1:20">
      <c r="A4693" s="1303"/>
      <c r="B4693" s="1322" t="s">
        <v>11088</v>
      </c>
      <c r="C4693" s="1323" t="s">
        <v>11089</v>
      </c>
      <c r="D4693" s="1324">
        <f t="shared" si="468"/>
        <v>35034</v>
      </c>
      <c r="E4693" s="1323">
        <f t="shared" si="464"/>
        <v>3.6697000000000002</v>
      </c>
      <c r="F4693" s="1323">
        <f t="shared" si="469"/>
        <v>3.9906526579515487</v>
      </c>
      <c r="G4693" s="1323">
        <f t="shared" si="465"/>
        <v>1995</v>
      </c>
      <c r="H4693" s="1323">
        <f t="shared" si="466"/>
        <v>12</v>
      </c>
      <c r="I4693" s="1323">
        <f t="shared" si="467"/>
        <v>1</v>
      </c>
      <c r="J4693" s="1323"/>
      <c r="K4693" s="1323"/>
      <c r="L4693" s="1323"/>
      <c r="M4693" s="1323"/>
      <c r="N4693" s="1323"/>
      <c r="O4693" s="1323"/>
      <c r="P4693" s="1323"/>
      <c r="Q4693" s="1323"/>
      <c r="R4693" s="1304"/>
      <c r="S4693" s="1304"/>
      <c r="T4693" s="1304"/>
    </row>
    <row r="4694" spans="1:20">
      <c r="A4694" s="1303"/>
      <c r="B4694" s="1322" t="s">
        <v>11090</v>
      </c>
      <c r="C4694" s="1323" t="s">
        <v>11078</v>
      </c>
      <c r="D4694" s="1324">
        <f t="shared" si="468"/>
        <v>35033</v>
      </c>
      <c r="E4694" s="1323">
        <f t="shared" ref="E4694:E4757" si="470">VALUE(C4695)</f>
        <v>3.6637</v>
      </c>
      <c r="F4694" s="1323">
        <f t="shared" si="469"/>
        <v>3.9898874740524151</v>
      </c>
      <c r="G4694" s="1323">
        <f t="shared" ref="G4694:G4757" si="471">YEAR(B4695)</f>
        <v>1995</v>
      </c>
      <c r="H4694" s="1323">
        <f t="shared" ref="H4694:H4757" si="472">MONTH(B4695)</f>
        <v>11</v>
      </c>
      <c r="I4694" s="1323">
        <f t="shared" ref="I4694:I4757" si="473">DAY(B4695)</f>
        <v>30</v>
      </c>
      <c r="J4694" s="1323"/>
      <c r="K4694" s="1323"/>
      <c r="L4694" s="1323"/>
      <c r="M4694" s="1323"/>
      <c r="N4694" s="1323"/>
      <c r="O4694" s="1323"/>
      <c r="P4694" s="1323"/>
      <c r="Q4694" s="1323"/>
      <c r="R4694" s="1304"/>
      <c r="S4694" s="1304"/>
      <c r="T4694" s="1304"/>
    </row>
    <row r="4695" spans="1:20">
      <c r="A4695" s="1303"/>
      <c r="B4695" s="1322" t="s">
        <v>11091</v>
      </c>
      <c r="C4695" s="1323" t="s">
        <v>11092</v>
      </c>
      <c r="D4695" s="1324">
        <f t="shared" si="468"/>
        <v>35032</v>
      </c>
      <c r="E4695" s="1323">
        <f t="shared" si="470"/>
        <v>3.661</v>
      </c>
      <c r="F4695" s="1323">
        <f t="shared" si="469"/>
        <v>3.9891224368727407</v>
      </c>
      <c r="G4695" s="1323">
        <f t="shared" si="471"/>
        <v>1995</v>
      </c>
      <c r="H4695" s="1323">
        <f t="shared" si="472"/>
        <v>11</v>
      </c>
      <c r="I4695" s="1323">
        <f t="shared" si="473"/>
        <v>29</v>
      </c>
      <c r="J4695" s="1323"/>
      <c r="K4695" s="1323"/>
      <c r="L4695" s="1323"/>
      <c r="M4695" s="1323"/>
      <c r="N4695" s="1323"/>
      <c r="O4695" s="1323"/>
      <c r="P4695" s="1323"/>
      <c r="Q4695" s="1323"/>
      <c r="R4695" s="1304"/>
      <c r="S4695" s="1304"/>
      <c r="T4695" s="1304"/>
    </row>
    <row r="4696" spans="1:20">
      <c r="A4696" s="1303"/>
      <c r="B4696" s="1322" t="s">
        <v>11093</v>
      </c>
      <c r="C4696" s="1323" t="s">
        <v>11089</v>
      </c>
      <c r="D4696" s="1324">
        <f t="shared" si="468"/>
        <v>35031</v>
      </c>
      <c r="E4696" s="1323">
        <f t="shared" si="470"/>
        <v>3.661</v>
      </c>
      <c r="F4696" s="1323">
        <f t="shared" si="469"/>
        <v>3.988357546384393</v>
      </c>
      <c r="G4696" s="1323">
        <f t="shared" si="471"/>
        <v>1995</v>
      </c>
      <c r="H4696" s="1323">
        <f t="shared" si="472"/>
        <v>11</v>
      </c>
      <c r="I4696" s="1323">
        <f t="shared" si="473"/>
        <v>28</v>
      </c>
      <c r="J4696" s="1323"/>
      <c r="K4696" s="1323"/>
      <c r="L4696" s="1323"/>
      <c r="M4696" s="1323"/>
      <c r="N4696" s="1323"/>
      <c r="O4696" s="1323"/>
      <c r="P4696" s="1323"/>
      <c r="Q4696" s="1323"/>
      <c r="R4696" s="1304"/>
      <c r="S4696" s="1304"/>
      <c r="T4696" s="1304"/>
    </row>
    <row r="4697" spans="1:20">
      <c r="A4697" s="1303"/>
      <c r="B4697" s="1322" t="s">
        <v>11094</v>
      </c>
      <c r="C4697" s="1323" t="s">
        <v>11089</v>
      </c>
      <c r="D4697" s="1324">
        <f t="shared" si="468"/>
        <v>35030</v>
      </c>
      <c r="E4697" s="1323">
        <f t="shared" si="470"/>
        <v>3.6597</v>
      </c>
      <c r="F4697" s="1323">
        <f t="shared" si="469"/>
        <v>3.9875928025592446</v>
      </c>
      <c r="G4697" s="1323">
        <f t="shared" si="471"/>
        <v>1995</v>
      </c>
      <c r="H4697" s="1323">
        <f t="shared" si="472"/>
        <v>11</v>
      </c>
      <c r="I4697" s="1323">
        <f t="shared" si="473"/>
        <v>27</v>
      </c>
      <c r="J4697" s="1323"/>
      <c r="K4697" s="1323"/>
      <c r="L4697" s="1323"/>
      <c r="M4697" s="1323"/>
      <c r="N4697" s="1323"/>
      <c r="O4697" s="1323"/>
      <c r="P4697" s="1323"/>
      <c r="Q4697" s="1323"/>
      <c r="R4697" s="1304"/>
      <c r="S4697" s="1304"/>
      <c r="T4697" s="1304"/>
    </row>
    <row r="4698" spans="1:20">
      <c r="A4698" s="1303"/>
      <c r="B4698" s="1322" t="s">
        <v>11095</v>
      </c>
      <c r="C4698" s="1323" t="s">
        <v>11096</v>
      </c>
      <c r="D4698" s="1324">
        <f t="shared" si="468"/>
        <v>35027</v>
      </c>
      <c r="E4698" s="1323">
        <f t="shared" si="470"/>
        <v>3.6516000000000002</v>
      </c>
      <c r="F4698" s="1323">
        <f t="shared" si="469"/>
        <v>3.9868282053691737</v>
      </c>
      <c r="G4698" s="1323">
        <f t="shared" si="471"/>
        <v>1995</v>
      </c>
      <c r="H4698" s="1323">
        <f t="shared" si="472"/>
        <v>11</v>
      </c>
      <c r="I4698" s="1323">
        <f t="shared" si="473"/>
        <v>24</v>
      </c>
      <c r="J4698" s="1323"/>
      <c r="K4698" s="1323"/>
      <c r="L4698" s="1323"/>
      <c r="M4698" s="1323"/>
      <c r="N4698" s="1323"/>
      <c r="O4698" s="1323"/>
      <c r="P4698" s="1323"/>
      <c r="Q4698" s="1323"/>
      <c r="R4698" s="1304"/>
      <c r="S4698" s="1304"/>
      <c r="T4698" s="1304"/>
    </row>
    <row r="4699" spans="1:20">
      <c r="A4699" s="1303"/>
      <c r="B4699" s="1322" t="s">
        <v>11097</v>
      </c>
      <c r="C4699" s="1323" t="s">
        <v>11025</v>
      </c>
      <c r="D4699" s="1324">
        <f t="shared" si="468"/>
        <v>35026</v>
      </c>
      <c r="E4699" s="1323">
        <f t="shared" si="470"/>
        <v>3.6503000000000001</v>
      </c>
      <c r="F4699" s="1323">
        <f t="shared" si="469"/>
        <v>3.986063754786064</v>
      </c>
      <c r="G4699" s="1323">
        <f t="shared" si="471"/>
        <v>1995</v>
      </c>
      <c r="H4699" s="1323">
        <f t="shared" si="472"/>
        <v>11</v>
      </c>
      <c r="I4699" s="1323">
        <f t="shared" si="473"/>
        <v>23</v>
      </c>
      <c r="J4699" s="1323"/>
      <c r="K4699" s="1323"/>
      <c r="L4699" s="1323"/>
      <c r="M4699" s="1323"/>
      <c r="N4699" s="1323"/>
      <c r="O4699" s="1323"/>
      <c r="P4699" s="1323"/>
      <c r="Q4699" s="1323"/>
      <c r="R4699" s="1304"/>
      <c r="S4699" s="1304"/>
      <c r="T4699" s="1304"/>
    </row>
    <row r="4700" spans="1:20">
      <c r="A4700" s="1303"/>
      <c r="B4700" s="1322" t="s">
        <v>11098</v>
      </c>
      <c r="C4700" s="1323" t="s">
        <v>11036</v>
      </c>
      <c r="D4700" s="1324">
        <f t="shared" si="468"/>
        <v>35025</v>
      </c>
      <c r="E4700" s="1323">
        <f t="shared" si="470"/>
        <v>3.6476000000000002</v>
      </c>
      <c r="F4700" s="1323">
        <f t="shared" si="469"/>
        <v>3.9852994507818043</v>
      </c>
      <c r="G4700" s="1323">
        <f t="shared" si="471"/>
        <v>1995</v>
      </c>
      <c r="H4700" s="1323">
        <f t="shared" si="472"/>
        <v>11</v>
      </c>
      <c r="I4700" s="1323">
        <f t="shared" si="473"/>
        <v>22</v>
      </c>
      <c r="J4700" s="1323"/>
      <c r="K4700" s="1323"/>
      <c r="L4700" s="1323"/>
      <c r="M4700" s="1323"/>
      <c r="N4700" s="1323"/>
      <c r="O4700" s="1323"/>
      <c r="P4700" s="1323"/>
      <c r="Q4700" s="1323"/>
      <c r="R4700" s="1304"/>
      <c r="S4700" s="1304"/>
      <c r="T4700" s="1304"/>
    </row>
    <row r="4701" spans="1:20">
      <c r="A4701" s="1303"/>
      <c r="B4701" s="1322" t="s">
        <v>11099</v>
      </c>
      <c r="C4701" s="1323" t="s">
        <v>11014</v>
      </c>
      <c r="D4701" s="1324">
        <f t="shared" si="468"/>
        <v>35024</v>
      </c>
      <c r="E4701" s="1323">
        <f t="shared" si="470"/>
        <v>3.645</v>
      </c>
      <c r="F4701" s="1323">
        <f t="shared" si="469"/>
        <v>3.9845352933282889</v>
      </c>
      <c r="G4701" s="1323">
        <f t="shared" si="471"/>
        <v>1995</v>
      </c>
      <c r="H4701" s="1323">
        <f t="shared" si="472"/>
        <v>11</v>
      </c>
      <c r="I4701" s="1323">
        <f t="shared" si="473"/>
        <v>21</v>
      </c>
      <c r="J4701" s="1323"/>
      <c r="K4701" s="1323"/>
      <c r="L4701" s="1323"/>
      <c r="M4701" s="1323"/>
      <c r="N4701" s="1323"/>
      <c r="O4701" s="1323"/>
      <c r="P4701" s="1323"/>
      <c r="Q4701" s="1323"/>
      <c r="R4701" s="1304"/>
      <c r="S4701" s="1304"/>
      <c r="T4701" s="1304"/>
    </row>
    <row r="4702" spans="1:20">
      <c r="A4702" s="1303"/>
      <c r="B4702" s="1322" t="s">
        <v>11100</v>
      </c>
      <c r="C4702" s="1323" t="s">
        <v>11012</v>
      </c>
      <c r="D4702" s="1324">
        <f t="shared" si="468"/>
        <v>35023</v>
      </c>
      <c r="E4702" s="1323">
        <f t="shared" si="470"/>
        <v>3.653</v>
      </c>
      <c r="F4702" s="1323">
        <f t="shared" si="469"/>
        <v>3.9837712823974178</v>
      </c>
      <c r="G4702" s="1323">
        <f t="shared" si="471"/>
        <v>1995</v>
      </c>
      <c r="H4702" s="1323">
        <f t="shared" si="472"/>
        <v>11</v>
      </c>
      <c r="I4702" s="1323">
        <f t="shared" si="473"/>
        <v>20</v>
      </c>
      <c r="J4702" s="1323"/>
      <c r="K4702" s="1323"/>
      <c r="L4702" s="1323"/>
      <c r="M4702" s="1323"/>
      <c r="N4702" s="1323"/>
      <c r="O4702" s="1323"/>
      <c r="P4702" s="1323"/>
      <c r="Q4702" s="1323"/>
      <c r="R4702" s="1304"/>
      <c r="S4702" s="1304"/>
      <c r="T4702" s="1304"/>
    </row>
    <row r="4703" spans="1:20">
      <c r="A4703" s="1303"/>
      <c r="B4703" s="1322" t="s">
        <v>11101</v>
      </c>
      <c r="C4703" s="1323" t="s">
        <v>11030</v>
      </c>
      <c r="D4703" s="1324">
        <f t="shared" si="468"/>
        <v>35020</v>
      </c>
      <c r="E4703" s="1323">
        <f t="shared" si="470"/>
        <v>3.6476000000000002</v>
      </c>
      <c r="F4703" s="1323">
        <f t="shared" si="469"/>
        <v>3.9830074179610966</v>
      </c>
      <c r="G4703" s="1323">
        <f t="shared" si="471"/>
        <v>1995</v>
      </c>
      <c r="H4703" s="1323">
        <f t="shared" si="472"/>
        <v>11</v>
      </c>
      <c r="I4703" s="1323">
        <f t="shared" si="473"/>
        <v>17</v>
      </c>
      <c r="J4703" s="1323"/>
      <c r="K4703" s="1323"/>
      <c r="L4703" s="1323"/>
      <c r="M4703" s="1323"/>
      <c r="N4703" s="1323"/>
      <c r="O4703" s="1323"/>
      <c r="P4703" s="1323"/>
      <c r="Q4703" s="1323"/>
      <c r="R4703" s="1304"/>
      <c r="S4703" s="1304"/>
      <c r="T4703" s="1304"/>
    </row>
    <row r="4704" spans="1:20">
      <c r="A4704" s="1303"/>
      <c r="B4704" s="1322" t="s">
        <v>11102</v>
      </c>
      <c r="C4704" s="1323" t="s">
        <v>11014</v>
      </c>
      <c r="D4704" s="1324">
        <f t="shared" si="468"/>
        <v>35019</v>
      </c>
      <c r="E4704" s="1323">
        <f t="shared" si="470"/>
        <v>3.6436999999999999</v>
      </c>
      <c r="F4704" s="1323">
        <f t="shared" si="469"/>
        <v>3.9822436999912352</v>
      </c>
      <c r="G4704" s="1323">
        <f t="shared" si="471"/>
        <v>1995</v>
      </c>
      <c r="H4704" s="1323">
        <f t="shared" si="472"/>
        <v>11</v>
      </c>
      <c r="I4704" s="1323">
        <f t="shared" si="473"/>
        <v>16</v>
      </c>
      <c r="J4704" s="1323"/>
      <c r="K4704" s="1323"/>
      <c r="L4704" s="1323"/>
      <c r="M4704" s="1323"/>
      <c r="N4704" s="1323"/>
      <c r="O4704" s="1323"/>
      <c r="P4704" s="1323"/>
      <c r="Q4704" s="1323"/>
      <c r="R4704" s="1304"/>
      <c r="S4704" s="1304"/>
      <c r="T4704" s="1304"/>
    </row>
    <row r="4705" spans="1:20">
      <c r="A4705" s="1303"/>
      <c r="B4705" s="1322" t="s">
        <v>11103</v>
      </c>
      <c r="C4705" s="1323" t="s">
        <v>11104</v>
      </c>
      <c r="D4705" s="1324">
        <f t="shared" si="468"/>
        <v>35018</v>
      </c>
      <c r="E4705" s="1323">
        <f t="shared" si="470"/>
        <v>3.6383000000000001</v>
      </c>
      <c r="F4705" s="1323">
        <f t="shared" si="469"/>
        <v>3.9814801284597494</v>
      </c>
      <c r="G4705" s="1323">
        <f t="shared" si="471"/>
        <v>1995</v>
      </c>
      <c r="H4705" s="1323">
        <f t="shared" si="472"/>
        <v>11</v>
      </c>
      <c r="I4705" s="1323">
        <f t="shared" si="473"/>
        <v>15</v>
      </c>
      <c r="J4705" s="1323"/>
      <c r="K4705" s="1323"/>
      <c r="L4705" s="1323"/>
      <c r="M4705" s="1323"/>
      <c r="N4705" s="1323"/>
      <c r="O4705" s="1323"/>
      <c r="P4705" s="1323"/>
      <c r="Q4705" s="1323"/>
      <c r="R4705" s="1304"/>
      <c r="S4705" s="1304"/>
      <c r="T4705" s="1304"/>
    </row>
    <row r="4706" spans="1:20">
      <c r="A4706" s="1303"/>
      <c r="B4706" s="1322" t="s">
        <v>11105</v>
      </c>
      <c r="C4706" s="1323" t="s">
        <v>11106</v>
      </c>
      <c r="D4706" s="1324">
        <f t="shared" si="468"/>
        <v>35017</v>
      </c>
      <c r="E4706" s="1323">
        <f t="shared" si="470"/>
        <v>3.641</v>
      </c>
      <c r="F4706" s="1323">
        <f t="shared" si="469"/>
        <v>3.9807167033385609</v>
      </c>
      <c r="G4706" s="1323">
        <f t="shared" si="471"/>
        <v>1995</v>
      </c>
      <c r="H4706" s="1323">
        <f t="shared" si="472"/>
        <v>11</v>
      </c>
      <c r="I4706" s="1323">
        <f t="shared" si="473"/>
        <v>14</v>
      </c>
      <c r="J4706" s="1323"/>
      <c r="K4706" s="1323"/>
      <c r="L4706" s="1323"/>
      <c r="M4706" s="1323"/>
      <c r="N4706" s="1323"/>
      <c r="O4706" s="1323"/>
      <c r="P4706" s="1323"/>
      <c r="Q4706" s="1323"/>
      <c r="R4706" s="1304"/>
      <c r="S4706" s="1304"/>
      <c r="T4706" s="1304"/>
    </row>
    <row r="4707" spans="1:20">
      <c r="A4707" s="1303"/>
      <c r="B4707" s="1322" t="s">
        <v>11107</v>
      </c>
      <c r="C4707" s="1323" t="s">
        <v>11108</v>
      </c>
      <c r="D4707" s="1324">
        <f t="shared" si="468"/>
        <v>35016</v>
      </c>
      <c r="E4707" s="1323">
        <f t="shared" si="470"/>
        <v>3.6356999999999999</v>
      </c>
      <c r="F4707" s="1323">
        <f t="shared" si="469"/>
        <v>3.9799534245995964</v>
      </c>
      <c r="G4707" s="1323">
        <f t="shared" si="471"/>
        <v>1995</v>
      </c>
      <c r="H4707" s="1323">
        <f t="shared" si="472"/>
        <v>11</v>
      </c>
      <c r="I4707" s="1323">
        <f t="shared" si="473"/>
        <v>13</v>
      </c>
      <c r="J4707" s="1323"/>
      <c r="K4707" s="1323"/>
      <c r="L4707" s="1323"/>
      <c r="M4707" s="1323"/>
      <c r="N4707" s="1323"/>
      <c r="O4707" s="1323"/>
      <c r="P4707" s="1323"/>
      <c r="Q4707" s="1323"/>
      <c r="R4707" s="1304"/>
      <c r="S4707" s="1304"/>
      <c r="T4707" s="1304"/>
    </row>
    <row r="4708" spans="1:20">
      <c r="A4708" s="1303"/>
      <c r="B4708" s="1322" t="s">
        <v>11109</v>
      </c>
      <c r="C4708" s="1323" t="s">
        <v>11060</v>
      </c>
      <c r="D4708" s="1324">
        <f t="shared" si="468"/>
        <v>35013</v>
      </c>
      <c r="E4708" s="1323">
        <f t="shared" si="470"/>
        <v>3.6343999999999999</v>
      </c>
      <c r="F4708" s="1323">
        <f t="shared" si="469"/>
        <v>3.9791902922147879</v>
      </c>
      <c r="G4708" s="1323">
        <f t="shared" si="471"/>
        <v>1995</v>
      </c>
      <c r="H4708" s="1323">
        <f t="shared" si="472"/>
        <v>11</v>
      </c>
      <c r="I4708" s="1323">
        <f t="shared" si="473"/>
        <v>10</v>
      </c>
      <c r="J4708" s="1323"/>
      <c r="K4708" s="1323"/>
      <c r="L4708" s="1323"/>
      <c r="M4708" s="1323"/>
      <c r="N4708" s="1323"/>
      <c r="O4708" s="1323"/>
      <c r="P4708" s="1323"/>
      <c r="Q4708" s="1323"/>
      <c r="R4708" s="1304"/>
      <c r="S4708" s="1304"/>
      <c r="T4708" s="1304"/>
    </row>
    <row r="4709" spans="1:20">
      <c r="A4709" s="1303"/>
      <c r="B4709" s="1322" t="s">
        <v>11110</v>
      </c>
      <c r="C4709" s="1323" t="s">
        <v>11045</v>
      </c>
      <c r="D4709" s="1324">
        <f t="shared" si="468"/>
        <v>35012</v>
      </c>
      <c r="E4709" s="1323">
        <f t="shared" si="470"/>
        <v>3.6417000000000002</v>
      </c>
      <c r="F4709" s="1323">
        <f t="shared" si="469"/>
        <v>3.9784273061560729</v>
      </c>
      <c r="G4709" s="1323">
        <f t="shared" si="471"/>
        <v>1995</v>
      </c>
      <c r="H4709" s="1323">
        <f t="shared" si="472"/>
        <v>11</v>
      </c>
      <c r="I4709" s="1323">
        <f t="shared" si="473"/>
        <v>9</v>
      </c>
      <c r="J4709" s="1323"/>
      <c r="K4709" s="1323"/>
      <c r="L4709" s="1323"/>
      <c r="M4709" s="1323"/>
      <c r="N4709" s="1323"/>
      <c r="O4709" s="1323"/>
      <c r="P4709" s="1323"/>
      <c r="Q4709" s="1323"/>
      <c r="R4709" s="1304"/>
      <c r="S4709" s="1304"/>
      <c r="T4709" s="1304"/>
    </row>
    <row r="4710" spans="1:20">
      <c r="A4710" s="1303"/>
      <c r="B4710" s="1322" t="s">
        <v>11111</v>
      </c>
      <c r="C4710" s="1323" t="s">
        <v>11112</v>
      </c>
      <c r="D4710" s="1324">
        <f t="shared" si="468"/>
        <v>35011</v>
      </c>
      <c r="E4710" s="1323">
        <f t="shared" si="470"/>
        <v>3.6402999999999999</v>
      </c>
      <c r="F4710" s="1323">
        <f t="shared" si="469"/>
        <v>3.9776644663953942</v>
      </c>
      <c r="G4710" s="1323">
        <f t="shared" si="471"/>
        <v>1995</v>
      </c>
      <c r="H4710" s="1323">
        <f t="shared" si="472"/>
        <v>11</v>
      </c>
      <c r="I4710" s="1323">
        <f t="shared" si="473"/>
        <v>8</v>
      </c>
      <c r="J4710" s="1323"/>
      <c r="K4710" s="1323"/>
      <c r="L4710" s="1323"/>
      <c r="M4710" s="1323"/>
      <c r="N4710" s="1323"/>
      <c r="O4710" s="1323"/>
      <c r="P4710" s="1323"/>
      <c r="Q4710" s="1323"/>
      <c r="R4710" s="1304"/>
      <c r="S4710" s="1304"/>
      <c r="T4710" s="1304"/>
    </row>
    <row r="4711" spans="1:20">
      <c r="A4711" s="1303"/>
      <c r="B4711" s="1322" t="s">
        <v>11113</v>
      </c>
      <c r="C4711" s="1323" t="s">
        <v>11114</v>
      </c>
      <c r="D4711" s="1324">
        <f t="shared" si="468"/>
        <v>35010</v>
      </c>
      <c r="E4711" s="1323">
        <f t="shared" si="470"/>
        <v>3.6396999999999999</v>
      </c>
      <c r="F4711" s="1323">
        <f t="shared" si="469"/>
        <v>3.9769017729047</v>
      </c>
      <c r="G4711" s="1323">
        <f t="shared" si="471"/>
        <v>1995</v>
      </c>
      <c r="H4711" s="1323">
        <f t="shared" si="472"/>
        <v>11</v>
      </c>
      <c r="I4711" s="1323">
        <f t="shared" si="473"/>
        <v>7</v>
      </c>
      <c r="J4711" s="1323"/>
      <c r="K4711" s="1323"/>
      <c r="L4711" s="1323"/>
      <c r="M4711" s="1323"/>
      <c r="N4711" s="1323"/>
      <c r="O4711" s="1323"/>
      <c r="P4711" s="1323"/>
      <c r="Q4711" s="1323"/>
      <c r="R4711" s="1304"/>
      <c r="S4711" s="1304"/>
      <c r="T4711" s="1304"/>
    </row>
    <row r="4712" spans="1:20">
      <c r="A4712" s="1303"/>
      <c r="B4712" s="1322" t="s">
        <v>11115</v>
      </c>
      <c r="C4712" s="1323" t="s">
        <v>11043</v>
      </c>
      <c r="D4712" s="1324">
        <f t="shared" si="468"/>
        <v>35009</v>
      </c>
      <c r="E4712" s="1323">
        <f t="shared" si="470"/>
        <v>3.6482999999999999</v>
      </c>
      <c r="F4712" s="1323">
        <f t="shared" si="469"/>
        <v>3.976139225655944</v>
      </c>
      <c r="G4712" s="1323">
        <f t="shared" si="471"/>
        <v>1995</v>
      </c>
      <c r="H4712" s="1323">
        <f t="shared" si="472"/>
        <v>11</v>
      </c>
      <c r="I4712" s="1323">
        <f t="shared" si="473"/>
        <v>6</v>
      </c>
      <c r="J4712" s="1323"/>
      <c r="K4712" s="1323"/>
      <c r="L4712" s="1323"/>
      <c r="M4712" s="1323"/>
      <c r="N4712" s="1323"/>
      <c r="O4712" s="1323"/>
      <c r="P4712" s="1323"/>
      <c r="Q4712" s="1323"/>
      <c r="R4712" s="1304"/>
      <c r="S4712" s="1304"/>
      <c r="T4712" s="1304"/>
    </row>
    <row r="4713" spans="1:20">
      <c r="A4713" s="1303"/>
      <c r="B4713" s="1322" t="s">
        <v>11116</v>
      </c>
      <c r="C4713" s="1323" t="s">
        <v>11117</v>
      </c>
      <c r="D4713" s="1324">
        <f t="shared" si="468"/>
        <v>35006</v>
      </c>
      <c r="E4713" s="1323">
        <f t="shared" si="470"/>
        <v>3.6476000000000002</v>
      </c>
      <c r="F4713" s="1323">
        <f t="shared" si="469"/>
        <v>3.975376824621085</v>
      </c>
      <c r="G4713" s="1323">
        <f t="shared" si="471"/>
        <v>1995</v>
      </c>
      <c r="H4713" s="1323">
        <f t="shared" si="472"/>
        <v>11</v>
      </c>
      <c r="I4713" s="1323">
        <f t="shared" si="473"/>
        <v>3</v>
      </c>
      <c r="J4713" s="1323"/>
      <c r="K4713" s="1323"/>
      <c r="L4713" s="1323"/>
      <c r="M4713" s="1323"/>
      <c r="N4713" s="1323"/>
      <c r="O4713" s="1323"/>
      <c r="P4713" s="1323"/>
      <c r="Q4713" s="1323"/>
      <c r="R4713" s="1304"/>
      <c r="S4713" s="1304"/>
      <c r="T4713" s="1304"/>
    </row>
    <row r="4714" spans="1:20">
      <c r="A4714" s="1303"/>
      <c r="B4714" s="1322" t="s">
        <v>11118</v>
      </c>
      <c r="C4714" s="1323" t="s">
        <v>11014</v>
      </c>
      <c r="D4714" s="1324">
        <f t="shared" si="468"/>
        <v>35005</v>
      </c>
      <c r="E4714" s="1323">
        <f t="shared" si="470"/>
        <v>3.6463000000000001</v>
      </c>
      <c r="F4714" s="1323">
        <f t="shared" si="469"/>
        <v>3.9746145697720876</v>
      </c>
      <c r="G4714" s="1323">
        <f t="shared" si="471"/>
        <v>1995</v>
      </c>
      <c r="H4714" s="1323">
        <f t="shared" si="472"/>
        <v>11</v>
      </c>
      <c r="I4714" s="1323">
        <f t="shared" si="473"/>
        <v>2</v>
      </c>
      <c r="J4714" s="1323"/>
      <c r="K4714" s="1323"/>
      <c r="L4714" s="1323"/>
      <c r="M4714" s="1323"/>
      <c r="N4714" s="1323"/>
      <c r="O4714" s="1323"/>
      <c r="P4714" s="1323"/>
      <c r="Q4714" s="1323"/>
      <c r="R4714" s="1304"/>
      <c r="S4714" s="1304"/>
      <c r="T4714" s="1304"/>
    </row>
    <row r="4715" spans="1:20">
      <c r="A4715" s="1303"/>
      <c r="B4715" s="1322" t="s">
        <v>11119</v>
      </c>
      <c r="C4715" s="1323" t="s">
        <v>11017</v>
      </c>
      <c r="D4715" s="1324">
        <f t="shared" si="468"/>
        <v>35003</v>
      </c>
      <c r="E4715" s="1323">
        <f t="shared" si="470"/>
        <v>3.6476000000000002</v>
      </c>
      <c r="F4715" s="1323">
        <f t="shared" si="469"/>
        <v>3.9738524610809214</v>
      </c>
      <c r="G4715" s="1323">
        <f t="shared" si="471"/>
        <v>1995</v>
      </c>
      <c r="H4715" s="1323">
        <f t="shared" si="472"/>
        <v>10</v>
      </c>
      <c r="I4715" s="1323">
        <f t="shared" si="473"/>
        <v>31</v>
      </c>
      <c r="J4715" s="1323"/>
      <c r="K4715" s="1323"/>
      <c r="L4715" s="1323"/>
      <c r="M4715" s="1323"/>
      <c r="N4715" s="1323"/>
      <c r="O4715" s="1323"/>
      <c r="P4715" s="1323"/>
      <c r="Q4715" s="1323"/>
      <c r="R4715" s="1304"/>
      <c r="S4715" s="1304"/>
      <c r="T4715" s="1304"/>
    </row>
    <row r="4716" spans="1:20">
      <c r="A4716" s="1303"/>
      <c r="B4716" s="1322" t="s">
        <v>11120</v>
      </c>
      <c r="C4716" s="1323" t="s">
        <v>11014</v>
      </c>
      <c r="D4716" s="1324">
        <f t="shared" si="468"/>
        <v>35002</v>
      </c>
      <c r="E4716" s="1323">
        <f t="shared" si="470"/>
        <v>3.6482999999999999</v>
      </c>
      <c r="F4716" s="1323">
        <f t="shared" si="469"/>
        <v>3.9730904985195612</v>
      </c>
      <c r="G4716" s="1323">
        <f t="shared" si="471"/>
        <v>1995</v>
      </c>
      <c r="H4716" s="1323">
        <f t="shared" si="472"/>
        <v>10</v>
      </c>
      <c r="I4716" s="1323">
        <f t="shared" si="473"/>
        <v>30</v>
      </c>
      <c r="J4716" s="1323"/>
      <c r="K4716" s="1323"/>
      <c r="L4716" s="1323"/>
      <c r="M4716" s="1323"/>
      <c r="N4716" s="1323"/>
      <c r="O4716" s="1323"/>
      <c r="P4716" s="1323"/>
      <c r="Q4716" s="1323"/>
      <c r="R4716" s="1304"/>
      <c r="S4716" s="1304"/>
      <c r="T4716" s="1304"/>
    </row>
    <row r="4717" spans="1:20">
      <c r="A4717" s="1303"/>
      <c r="B4717" s="1322" t="s">
        <v>11121</v>
      </c>
      <c r="C4717" s="1323" t="s">
        <v>11117</v>
      </c>
      <c r="D4717" s="1324">
        <f t="shared" si="468"/>
        <v>34999</v>
      </c>
      <c r="E4717" s="1323">
        <f t="shared" si="470"/>
        <v>3.6349999999999998</v>
      </c>
      <c r="F4717" s="1323">
        <f t="shared" si="469"/>
        <v>3.9723286820599881</v>
      </c>
      <c r="G4717" s="1323">
        <f t="shared" si="471"/>
        <v>1995</v>
      </c>
      <c r="H4717" s="1323">
        <f t="shared" si="472"/>
        <v>10</v>
      </c>
      <c r="I4717" s="1323">
        <f t="shared" si="473"/>
        <v>27</v>
      </c>
      <c r="J4717" s="1323"/>
      <c r="K4717" s="1323"/>
      <c r="L4717" s="1323"/>
      <c r="M4717" s="1323"/>
      <c r="N4717" s="1323"/>
      <c r="O4717" s="1323"/>
      <c r="P4717" s="1323"/>
      <c r="Q4717" s="1323"/>
      <c r="R4717" s="1304"/>
      <c r="S4717" s="1304"/>
      <c r="T4717" s="1304"/>
    </row>
    <row r="4718" spans="1:20">
      <c r="A4718" s="1303"/>
      <c r="B4718" s="1322" t="s">
        <v>11122</v>
      </c>
      <c r="C4718" s="1323" t="s">
        <v>11053</v>
      </c>
      <c r="D4718" s="1324">
        <f t="shared" si="468"/>
        <v>34998</v>
      </c>
      <c r="E4718" s="1323">
        <f t="shared" si="470"/>
        <v>3.6356999999999999</v>
      </c>
      <c r="F4718" s="1323">
        <f t="shared" si="469"/>
        <v>3.9715670116741872</v>
      </c>
      <c r="G4718" s="1323">
        <f t="shared" si="471"/>
        <v>1995</v>
      </c>
      <c r="H4718" s="1323">
        <f t="shared" si="472"/>
        <v>10</v>
      </c>
      <c r="I4718" s="1323">
        <f t="shared" si="473"/>
        <v>26</v>
      </c>
      <c r="J4718" s="1323"/>
      <c r="K4718" s="1323"/>
      <c r="L4718" s="1323"/>
      <c r="M4718" s="1323"/>
      <c r="N4718" s="1323"/>
      <c r="O4718" s="1323"/>
      <c r="P4718" s="1323"/>
      <c r="Q4718" s="1323"/>
      <c r="R4718" s="1304"/>
      <c r="S4718" s="1304"/>
      <c r="T4718" s="1304"/>
    </row>
    <row r="4719" spans="1:20">
      <c r="A4719" s="1303"/>
      <c r="B4719" s="1322" t="s">
        <v>11123</v>
      </c>
      <c r="C4719" s="1323" t="s">
        <v>11060</v>
      </c>
      <c r="D4719" s="1324">
        <f t="shared" si="468"/>
        <v>34997</v>
      </c>
      <c r="E4719" s="1323">
        <f t="shared" si="470"/>
        <v>3.637</v>
      </c>
      <c r="F4719" s="1323">
        <f t="shared" si="469"/>
        <v>3.9708054873341503</v>
      </c>
      <c r="G4719" s="1323">
        <f t="shared" si="471"/>
        <v>1995</v>
      </c>
      <c r="H4719" s="1323">
        <f t="shared" si="472"/>
        <v>10</v>
      </c>
      <c r="I4719" s="1323">
        <f t="shared" si="473"/>
        <v>25</v>
      </c>
      <c r="J4719" s="1323"/>
      <c r="K4719" s="1323"/>
      <c r="L4719" s="1323"/>
      <c r="M4719" s="1323"/>
      <c r="N4719" s="1323"/>
      <c r="O4719" s="1323"/>
      <c r="P4719" s="1323"/>
      <c r="Q4719" s="1323"/>
      <c r="R4719" s="1304"/>
      <c r="S4719" s="1304"/>
      <c r="T4719" s="1304"/>
    </row>
    <row r="4720" spans="1:20">
      <c r="A4720" s="1303"/>
      <c r="B4720" s="1322" t="s">
        <v>11124</v>
      </c>
      <c r="C4720" s="1323" t="s">
        <v>11125</v>
      </c>
      <c r="D4720" s="1324">
        <f t="shared" si="468"/>
        <v>34996</v>
      </c>
      <c r="E4720" s="1323">
        <f t="shared" si="470"/>
        <v>3.6356999999999999</v>
      </c>
      <c r="F4720" s="1323">
        <f t="shared" si="469"/>
        <v>3.9700441090118739</v>
      </c>
      <c r="G4720" s="1323">
        <f t="shared" si="471"/>
        <v>1995</v>
      </c>
      <c r="H4720" s="1323">
        <f t="shared" si="472"/>
        <v>10</v>
      </c>
      <c r="I4720" s="1323">
        <f t="shared" si="473"/>
        <v>24</v>
      </c>
      <c r="J4720" s="1323"/>
      <c r="K4720" s="1323"/>
      <c r="L4720" s="1323"/>
      <c r="M4720" s="1323"/>
      <c r="N4720" s="1323"/>
      <c r="O4720" s="1323"/>
      <c r="P4720" s="1323"/>
      <c r="Q4720" s="1323"/>
      <c r="R4720" s="1304"/>
      <c r="S4720" s="1304"/>
      <c r="T4720" s="1304"/>
    </row>
    <row r="4721" spans="1:20">
      <c r="A4721" s="1303"/>
      <c r="B4721" s="1322" t="s">
        <v>11126</v>
      </c>
      <c r="C4721" s="1323" t="s">
        <v>11060</v>
      </c>
      <c r="D4721" s="1324">
        <f t="shared" si="468"/>
        <v>34995</v>
      </c>
      <c r="E4721" s="1323">
        <f t="shared" si="470"/>
        <v>3.6396999999999999</v>
      </c>
      <c r="F4721" s="1323">
        <f t="shared" si="469"/>
        <v>3.96928287667936</v>
      </c>
      <c r="G4721" s="1323">
        <f t="shared" si="471"/>
        <v>1995</v>
      </c>
      <c r="H4721" s="1323">
        <f t="shared" si="472"/>
        <v>10</v>
      </c>
      <c r="I4721" s="1323">
        <f t="shared" si="473"/>
        <v>23</v>
      </c>
      <c r="J4721" s="1323"/>
      <c r="K4721" s="1323"/>
      <c r="L4721" s="1323"/>
      <c r="M4721" s="1323"/>
      <c r="N4721" s="1323"/>
      <c r="O4721" s="1323"/>
      <c r="P4721" s="1323"/>
      <c r="Q4721" s="1323"/>
      <c r="R4721" s="1304"/>
      <c r="S4721" s="1304"/>
      <c r="T4721" s="1304"/>
    </row>
    <row r="4722" spans="1:20">
      <c r="A4722" s="1303"/>
      <c r="B4722" s="1322" t="s">
        <v>11127</v>
      </c>
      <c r="C4722" s="1323" t="s">
        <v>11043</v>
      </c>
      <c r="D4722" s="1324">
        <f t="shared" si="468"/>
        <v>34992</v>
      </c>
      <c r="E4722" s="1323">
        <f t="shared" si="470"/>
        <v>3.6476000000000002</v>
      </c>
      <c r="F4722" s="1323">
        <f t="shared" si="469"/>
        <v>3.9685217903086158</v>
      </c>
      <c r="G4722" s="1323">
        <f t="shared" si="471"/>
        <v>1995</v>
      </c>
      <c r="H4722" s="1323">
        <f t="shared" si="472"/>
        <v>10</v>
      </c>
      <c r="I4722" s="1323">
        <f t="shared" si="473"/>
        <v>20</v>
      </c>
      <c r="J4722" s="1323"/>
      <c r="K4722" s="1323"/>
      <c r="L4722" s="1323"/>
      <c r="M4722" s="1323"/>
      <c r="N4722" s="1323"/>
      <c r="O4722" s="1323"/>
      <c r="P4722" s="1323"/>
      <c r="Q4722" s="1323"/>
      <c r="R4722" s="1304"/>
      <c r="S4722" s="1304"/>
      <c r="T4722" s="1304"/>
    </row>
    <row r="4723" spans="1:20">
      <c r="A4723" s="1303"/>
      <c r="B4723" s="1322" t="s">
        <v>11128</v>
      </c>
      <c r="C4723" s="1323" t="s">
        <v>11014</v>
      </c>
      <c r="D4723" s="1324">
        <f t="shared" si="468"/>
        <v>34991</v>
      </c>
      <c r="E4723" s="1323">
        <f t="shared" si="470"/>
        <v>3.653</v>
      </c>
      <c r="F4723" s="1323">
        <f t="shared" si="469"/>
        <v>3.9677608498716541</v>
      </c>
      <c r="G4723" s="1323">
        <f t="shared" si="471"/>
        <v>1995</v>
      </c>
      <c r="H4723" s="1323">
        <f t="shared" si="472"/>
        <v>10</v>
      </c>
      <c r="I4723" s="1323">
        <f t="shared" si="473"/>
        <v>19</v>
      </c>
      <c r="J4723" s="1323"/>
      <c r="K4723" s="1323"/>
      <c r="L4723" s="1323"/>
      <c r="M4723" s="1323"/>
      <c r="N4723" s="1323"/>
      <c r="O4723" s="1323"/>
      <c r="P4723" s="1323"/>
      <c r="Q4723" s="1323"/>
      <c r="R4723" s="1304"/>
      <c r="S4723" s="1304"/>
      <c r="T4723" s="1304"/>
    </row>
    <row r="4724" spans="1:20">
      <c r="A4724" s="1303"/>
      <c r="B4724" s="1322" t="s">
        <v>11129</v>
      </c>
      <c r="C4724" s="1323" t="s">
        <v>11030</v>
      </c>
      <c r="D4724" s="1324">
        <f t="shared" si="468"/>
        <v>34990</v>
      </c>
      <c r="E4724" s="1323">
        <f t="shared" si="470"/>
        <v>3.6503000000000001</v>
      </c>
      <c r="F4724" s="1323">
        <f t="shared" si="469"/>
        <v>3.9670000553404927</v>
      </c>
      <c r="G4724" s="1323">
        <f t="shared" si="471"/>
        <v>1995</v>
      </c>
      <c r="H4724" s="1323">
        <f t="shared" si="472"/>
        <v>10</v>
      </c>
      <c r="I4724" s="1323">
        <f t="shared" si="473"/>
        <v>18</v>
      </c>
      <c r="J4724" s="1323"/>
      <c r="K4724" s="1323"/>
      <c r="L4724" s="1323"/>
      <c r="M4724" s="1323"/>
      <c r="N4724" s="1323"/>
      <c r="O4724" s="1323"/>
      <c r="P4724" s="1323"/>
      <c r="Q4724" s="1323"/>
      <c r="R4724" s="1304"/>
      <c r="S4724" s="1304"/>
      <c r="T4724" s="1304"/>
    </row>
    <row r="4725" spans="1:20">
      <c r="A4725" s="1303"/>
      <c r="B4725" s="1322" t="s">
        <v>11130</v>
      </c>
      <c r="C4725" s="1323" t="s">
        <v>11036</v>
      </c>
      <c r="D4725" s="1324">
        <f t="shared" si="468"/>
        <v>34989</v>
      </c>
      <c r="E4725" s="1323">
        <f t="shared" si="470"/>
        <v>3.6556000000000002</v>
      </c>
      <c r="F4725" s="1323">
        <f t="shared" si="469"/>
        <v>3.9662394066871554</v>
      </c>
      <c r="G4725" s="1323">
        <f t="shared" si="471"/>
        <v>1995</v>
      </c>
      <c r="H4725" s="1323">
        <f t="shared" si="472"/>
        <v>10</v>
      </c>
      <c r="I4725" s="1323">
        <f t="shared" si="473"/>
        <v>17</v>
      </c>
      <c r="J4725" s="1323"/>
      <c r="K4725" s="1323"/>
      <c r="L4725" s="1323"/>
      <c r="M4725" s="1323"/>
      <c r="N4725" s="1323"/>
      <c r="O4725" s="1323"/>
      <c r="P4725" s="1323"/>
      <c r="Q4725" s="1323"/>
      <c r="R4725" s="1304"/>
      <c r="S4725" s="1304"/>
      <c r="T4725" s="1304"/>
    </row>
    <row r="4726" spans="1:20">
      <c r="A4726" s="1303"/>
      <c r="B4726" s="1322" t="s">
        <v>11131</v>
      </c>
      <c r="C4726" s="1323" t="s">
        <v>11132</v>
      </c>
      <c r="D4726" s="1324">
        <f t="shared" si="468"/>
        <v>34988</v>
      </c>
      <c r="E4726" s="1323">
        <f t="shared" si="470"/>
        <v>3.6543000000000001</v>
      </c>
      <c r="F4726" s="1323">
        <f t="shared" si="469"/>
        <v>3.9654789038836706</v>
      </c>
      <c r="G4726" s="1323">
        <f t="shared" si="471"/>
        <v>1995</v>
      </c>
      <c r="H4726" s="1323">
        <f t="shared" si="472"/>
        <v>10</v>
      </c>
      <c r="I4726" s="1323">
        <f t="shared" si="473"/>
        <v>16</v>
      </c>
      <c r="J4726" s="1323"/>
      <c r="K4726" s="1323"/>
      <c r="L4726" s="1323"/>
      <c r="M4726" s="1323"/>
      <c r="N4726" s="1323"/>
      <c r="O4726" s="1323"/>
      <c r="P4726" s="1323"/>
      <c r="Q4726" s="1323"/>
      <c r="R4726" s="1304"/>
      <c r="S4726" s="1304"/>
      <c r="T4726" s="1304"/>
    </row>
    <row r="4727" spans="1:20">
      <c r="A4727" s="1303"/>
      <c r="B4727" s="1322" t="s">
        <v>11133</v>
      </c>
      <c r="C4727" s="1323" t="s">
        <v>11032</v>
      </c>
      <c r="D4727" s="1324">
        <f t="shared" si="468"/>
        <v>34985</v>
      </c>
      <c r="E4727" s="1323">
        <f t="shared" si="470"/>
        <v>3.6543000000000001</v>
      </c>
      <c r="F4727" s="1323">
        <f t="shared" si="469"/>
        <v>3.9647185469020729</v>
      </c>
      <c r="G4727" s="1323">
        <f t="shared" si="471"/>
        <v>1995</v>
      </c>
      <c r="H4727" s="1323">
        <f t="shared" si="472"/>
        <v>10</v>
      </c>
      <c r="I4727" s="1323">
        <f t="shared" si="473"/>
        <v>13</v>
      </c>
      <c r="J4727" s="1323"/>
      <c r="K4727" s="1323"/>
      <c r="L4727" s="1323"/>
      <c r="M4727" s="1323"/>
      <c r="N4727" s="1323"/>
      <c r="O4727" s="1323"/>
      <c r="P4727" s="1323"/>
      <c r="Q4727" s="1323"/>
      <c r="R4727" s="1304"/>
      <c r="S4727" s="1304"/>
      <c r="T4727" s="1304"/>
    </row>
    <row r="4728" spans="1:20">
      <c r="A4728" s="1303"/>
      <c r="B4728" s="1322" t="s">
        <v>11134</v>
      </c>
      <c r="C4728" s="1323" t="s">
        <v>11032</v>
      </c>
      <c r="D4728" s="1324">
        <f t="shared" si="468"/>
        <v>34984</v>
      </c>
      <c r="E4728" s="1323">
        <f t="shared" si="470"/>
        <v>3.657</v>
      </c>
      <c r="F4728" s="1323">
        <f t="shared" si="469"/>
        <v>3.9639583357144015</v>
      </c>
      <c r="G4728" s="1323">
        <f t="shared" si="471"/>
        <v>1995</v>
      </c>
      <c r="H4728" s="1323">
        <f t="shared" si="472"/>
        <v>10</v>
      </c>
      <c r="I4728" s="1323">
        <f t="shared" si="473"/>
        <v>12</v>
      </c>
      <c r="J4728" s="1323"/>
      <c r="K4728" s="1323"/>
      <c r="L4728" s="1323"/>
      <c r="M4728" s="1323"/>
      <c r="N4728" s="1323"/>
      <c r="O4728" s="1323"/>
      <c r="P4728" s="1323"/>
      <c r="Q4728" s="1323"/>
      <c r="R4728" s="1304"/>
      <c r="S4728" s="1304"/>
      <c r="T4728" s="1304"/>
    </row>
    <row r="4729" spans="1:20">
      <c r="A4729" s="1303"/>
      <c r="B4729" s="1322" t="s">
        <v>11135</v>
      </c>
      <c r="C4729" s="1323" t="s">
        <v>11136</v>
      </c>
      <c r="D4729" s="1324">
        <f t="shared" si="468"/>
        <v>34983</v>
      </c>
      <c r="E4729" s="1323">
        <f t="shared" si="470"/>
        <v>3.6503000000000001</v>
      </c>
      <c r="F4729" s="1323">
        <f t="shared" si="469"/>
        <v>3.9631982702927013</v>
      </c>
      <c r="G4729" s="1323">
        <f t="shared" si="471"/>
        <v>1995</v>
      </c>
      <c r="H4729" s="1323">
        <f t="shared" si="472"/>
        <v>10</v>
      </c>
      <c r="I4729" s="1323">
        <f t="shared" si="473"/>
        <v>11</v>
      </c>
      <c r="J4729" s="1323"/>
      <c r="K4729" s="1323"/>
      <c r="L4729" s="1323"/>
      <c r="M4729" s="1323"/>
      <c r="N4729" s="1323"/>
      <c r="O4729" s="1323"/>
      <c r="P4729" s="1323"/>
      <c r="Q4729" s="1323"/>
      <c r="R4729" s="1304"/>
      <c r="S4729" s="1304"/>
      <c r="T4729" s="1304"/>
    </row>
    <row r="4730" spans="1:20">
      <c r="A4730" s="1303"/>
      <c r="B4730" s="1322" t="s">
        <v>11137</v>
      </c>
      <c r="C4730" s="1323" t="s">
        <v>11036</v>
      </c>
      <c r="D4730" s="1324">
        <f t="shared" si="468"/>
        <v>34982</v>
      </c>
      <c r="E4730" s="1323">
        <f t="shared" si="470"/>
        <v>3.653</v>
      </c>
      <c r="F4730" s="1323">
        <f t="shared" si="469"/>
        <v>3.9624383506090228</v>
      </c>
      <c r="G4730" s="1323">
        <f t="shared" si="471"/>
        <v>1995</v>
      </c>
      <c r="H4730" s="1323">
        <f t="shared" si="472"/>
        <v>10</v>
      </c>
      <c r="I4730" s="1323">
        <f t="shared" si="473"/>
        <v>10</v>
      </c>
      <c r="J4730" s="1323"/>
      <c r="K4730" s="1323"/>
      <c r="L4730" s="1323"/>
      <c r="M4730" s="1323"/>
      <c r="N4730" s="1323"/>
      <c r="O4730" s="1323"/>
      <c r="P4730" s="1323"/>
      <c r="Q4730" s="1323"/>
      <c r="R4730" s="1304"/>
      <c r="S4730" s="1304"/>
      <c r="T4730" s="1304"/>
    </row>
    <row r="4731" spans="1:20">
      <c r="A4731" s="1303"/>
      <c r="B4731" s="1322" t="s">
        <v>11138</v>
      </c>
      <c r="C4731" s="1323" t="s">
        <v>11030</v>
      </c>
      <c r="D4731" s="1324">
        <f t="shared" si="468"/>
        <v>34981</v>
      </c>
      <c r="E4731" s="1323">
        <f t="shared" si="470"/>
        <v>3.6543000000000001</v>
      </c>
      <c r="F4731" s="1323">
        <f t="shared" si="469"/>
        <v>3.9616785766354212</v>
      </c>
      <c r="G4731" s="1323">
        <f t="shared" si="471"/>
        <v>1995</v>
      </c>
      <c r="H4731" s="1323">
        <f t="shared" si="472"/>
        <v>10</v>
      </c>
      <c r="I4731" s="1323">
        <f t="shared" si="473"/>
        <v>9</v>
      </c>
      <c r="J4731" s="1323"/>
      <c r="K4731" s="1323"/>
      <c r="L4731" s="1323"/>
      <c r="M4731" s="1323"/>
      <c r="N4731" s="1323"/>
      <c r="O4731" s="1323"/>
      <c r="P4731" s="1323"/>
      <c r="Q4731" s="1323"/>
      <c r="R4731" s="1304"/>
      <c r="S4731" s="1304"/>
      <c r="T4731" s="1304"/>
    </row>
    <row r="4732" spans="1:20">
      <c r="A4732" s="1303"/>
      <c r="B4732" s="1322" t="s">
        <v>11139</v>
      </c>
      <c r="C4732" s="1323" t="s">
        <v>11032</v>
      </c>
      <c r="D4732" s="1324">
        <f t="shared" si="468"/>
        <v>34978</v>
      </c>
      <c r="E4732" s="1323">
        <f t="shared" si="470"/>
        <v>3.665</v>
      </c>
      <c r="F4732" s="1323">
        <f t="shared" si="469"/>
        <v>3.960918948343958</v>
      </c>
      <c r="G4732" s="1323">
        <f t="shared" si="471"/>
        <v>1995</v>
      </c>
      <c r="H4732" s="1323">
        <f t="shared" si="472"/>
        <v>10</v>
      </c>
      <c r="I4732" s="1323">
        <f t="shared" si="473"/>
        <v>6</v>
      </c>
      <c r="J4732" s="1323"/>
      <c r="K4732" s="1323"/>
      <c r="L4732" s="1323"/>
      <c r="M4732" s="1323"/>
      <c r="N4732" s="1323"/>
      <c r="O4732" s="1323"/>
      <c r="P4732" s="1323"/>
      <c r="Q4732" s="1323"/>
      <c r="R4732" s="1304"/>
      <c r="S4732" s="1304"/>
      <c r="T4732" s="1304"/>
    </row>
    <row r="4733" spans="1:20">
      <c r="A4733" s="1303"/>
      <c r="B4733" s="1322" t="s">
        <v>11140</v>
      </c>
      <c r="C4733" s="1323" t="s">
        <v>11069</v>
      </c>
      <c r="D4733" s="1324">
        <f t="shared" si="468"/>
        <v>34977</v>
      </c>
      <c r="E4733" s="1323">
        <f t="shared" si="470"/>
        <v>3.6637</v>
      </c>
      <c r="F4733" s="1323">
        <f t="shared" si="469"/>
        <v>3.960159465706699</v>
      </c>
      <c r="G4733" s="1323">
        <f t="shared" si="471"/>
        <v>1995</v>
      </c>
      <c r="H4733" s="1323">
        <f t="shared" si="472"/>
        <v>10</v>
      </c>
      <c r="I4733" s="1323">
        <f t="shared" si="473"/>
        <v>5</v>
      </c>
      <c r="J4733" s="1323"/>
      <c r="K4733" s="1323"/>
      <c r="L4733" s="1323"/>
      <c r="M4733" s="1323"/>
      <c r="N4733" s="1323"/>
      <c r="O4733" s="1323"/>
      <c r="P4733" s="1323"/>
      <c r="Q4733" s="1323"/>
      <c r="R4733" s="1304"/>
      <c r="S4733" s="1304"/>
      <c r="T4733" s="1304"/>
    </row>
    <row r="4734" spans="1:20">
      <c r="A4734" s="1303"/>
      <c r="B4734" s="1322" t="s">
        <v>11141</v>
      </c>
      <c r="C4734" s="1323" t="s">
        <v>11092</v>
      </c>
      <c r="D4734" s="1324">
        <f t="shared" si="468"/>
        <v>34976</v>
      </c>
      <c r="E4734" s="1323">
        <f t="shared" si="470"/>
        <v>3.6623000000000001</v>
      </c>
      <c r="F4734" s="1323">
        <f t="shared" si="469"/>
        <v>3.9594001286957159</v>
      </c>
      <c r="G4734" s="1323">
        <f t="shared" si="471"/>
        <v>1995</v>
      </c>
      <c r="H4734" s="1323">
        <f t="shared" si="472"/>
        <v>10</v>
      </c>
      <c r="I4734" s="1323">
        <f t="shared" si="473"/>
        <v>4</v>
      </c>
      <c r="J4734" s="1323"/>
      <c r="K4734" s="1323"/>
      <c r="L4734" s="1323"/>
      <c r="M4734" s="1323"/>
      <c r="N4734" s="1323"/>
      <c r="O4734" s="1323"/>
      <c r="P4734" s="1323"/>
      <c r="Q4734" s="1323"/>
      <c r="R4734" s="1304"/>
      <c r="S4734" s="1304"/>
      <c r="T4734" s="1304"/>
    </row>
    <row r="4735" spans="1:20">
      <c r="A4735" s="1303"/>
      <c r="B4735" s="1322" t="s">
        <v>11142</v>
      </c>
      <c r="C4735" s="1323" t="s">
        <v>11143</v>
      </c>
      <c r="D4735" s="1324">
        <f t="shared" si="468"/>
        <v>34975</v>
      </c>
      <c r="E4735" s="1323">
        <f t="shared" si="470"/>
        <v>3.665</v>
      </c>
      <c r="F4735" s="1323">
        <f t="shared" si="469"/>
        <v>3.9586409372830862</v>
      </c>
      <c r="G4735" s="1323">
        <f t="shared" si="471"/>
        <v>1995</v>
      </c>
      <c r="H4735" s="1323">
        <f t="shared" si="472"/>
        <v>10</v>
      </c>
      <c r="I4735" s="1323">
        <f t="shared" si="473"/>
        <v>3</v>
      </c>
      <c r="J4735" s="1323"/>
      <c r="K4735" s="1323"/>
      <c r="L4735" s="1323"/>
      <c r="M4735" s="1323"/>
      <c r="N4735" s="1323"/>
      <c r="O4735" s="1323"/>
      <c r="P4735" s="1323"/>
      <c r="Q4735" s="1323"/>
      <c r="R4735" s="1304"/>
      <c r="S4735" s="1304"/>
      <c r="T4735" s="1304"/>
    </row>
    <row r="4736" spans="1:20">
      <c r="A4736" s="1303"/>
      <c r="B4736" s="1322" t="s">
        <v>11144</v>
      </c>
      <c r="C4736" s="1323" t="s">
        <v>11069</v>
      </c>
      <c r="D4736" s="1324">
        <f t="shared" si="468"/>
        <v>34974</v>
      </c>
      <c r="E4736" s="1323">
        <f t="shared" si="470"/>
        <v>3.6556000000000002</v>
      </c>
      <c r="F4736" s="1323">
        <f t="shared" si="469"/>
        <v>3.9578818914408918</v>
      </c>
      <c r="G4736" s="1323">
        <f t="shared" si="471"/>
        <v>1995</v>
      </c>
      <c r="H4736" s="1323">
        <f t="shared" si="472"/>
        <v>10</v>
      </c>
      <c r="I4736" s="1323">
        <f t="shared" si="473"/>
        <v>2</v>
      </c>
      <c r="J4736" s="1323"/>
      <c r="K4736" s="1323"/>
      <c r="L4736" s="1323"/>
      <c r="M4736" s="1323"/>
      <c r="N4736" s="1323"/>
      <c r="O4736" s="1323"/>
      <c r="P4736" s="1323"/>
      <c r="Q4736" s="1323"/>
      <c r="R4736" s="1304"/>
      <c r="S4736" s="1304"/>
      <c r="T4736" s="1304"/>
    </row>
    <row r="4737" spans="1:20">
      <c r="A4737" s="1303"/>
      <c r="B4737" s="1322" t="s">
        <v>11145</v>
      </c>
      <c r="C4737" s="1323" t="s">
        <v>11132</v>
      </c>
      <c r="D4737" s="1324">
        <f t="shared" si="468"/>
        <v>34971</v>
      </c>
      <c r="E4737" s="1323">
        <f t="shared" si="470"/>
        <v>3.6469999999999998</v>
      </c>
      <c r="F4737" s="1323">
        <f t="shared" si="469"/>
        <v>3.9571229911412207</v>
      </c>
      <c r="G4737" s="1323">
        <f t="shared" si="471"/>
        <v>1995</v>
      </c>
      <c r="H4737" s="1323">
        <f t="shared" si="472"/>
        <v>9</v>
      </c>
      <c r="I4737" s="1323">
        <f t="shared" si="473"/>
        <v>29</v>
      </c>
      <c r="J4737" s="1323"/>
      <c r="K4737" s="1323"/>
      <c r="L4737" s="1323"/>
      <c r="M4737" s="1323"/>
      <c r="N4737" s="1323"/>
      <c r="O4737" s="1323"/>
      <c r="P4737" s="1323"/>
      <c r="Q4737" s="1323"/>
      <c r="R4737" s="1304"/>
      <c r="S4737" s="1304"/>
      <c r="T4737" s="1304"/>
    </row>
    <row r="4738" spans="1:20">
      <c r="A4738" s="1303"/>
      <c r="B4738" s="1322" t="s">
        <v>11146</v>
      </c>
      <c r="C4738" s="1323" t="s">
        <v>11147</v>
      </c>
      <c r="D4738" s="1324">
        <f t="shared" si="468"/>
        <v>34970</v>
      </c>
      <c r="E4738" s="1323">
        <f t="shared" si="470"/>
        <v>3.6463000000000001</v>
      </c>
      <c r="F4738" s="1323">
        <f t="shared" si="469"/>
        <v>3.956364236356166</v>
      </c>
      <c r="G4738" s="1323">
        <f t="shared" si="471"/>
        <v>1995</v>
      </c>
      <c r="H4738" s="1323">
        <f t="shared" si="472"/>
        <v>9</v>
      </c>
      <c r="I4738" s="1323">
        <f t="shared" si="473"/>
        <v>28</v>
      </c>
      <c r="J4738" s="1323"/>
      <c r="K4738" s="1323"/>
      <c r="L4738" s="1323"/>
      <c r="M4738" s="1323"/>
      <c r="N4738" s="1323"/>
      <c r="O4738" s="1323"/>
      <c r="P4738" s="1323"/>
      <c r="Q4738" s="1323"/>
      <c r="R4738" s="1304"/>
      <c r="S4738" s="1304"/>
      <c r="T4738" s="1304"/>
    </row>
    <row r="4739" spans="1:20">
      <c r="A4739" s="1303"/>
      <c r="B4739" s="1322" t="s">
        <v>11148</v>
      </c>
      <c r="C4739" s="1323" t="s">
        <v>11017</v>
      </c>
      <c r="D4739" s="1324">
        <f t="shared" si="468"/>
        <v>34969</v>
      </c>
      <c r="E4739" s="1323">
        <f t="shared" si="470"/>
        <v>3.6482999999999999</v>
      </c>
      <c r="F4739" s="1323">
        <f t="shared" si="469"/>
        <v>3.9556056270578259</v>
      </c>
      <c r="G4739" s="1323">
        <f t="shared" si="471"/>
        <v>1995</v>
      </c>
      <c r="H4739" s="1323">
        <f t="shared" si="472"/>
        <v>9</v>
      </c>
      <c r="I4739" s="1323">
        <f t="shared" si="473"/>
        <v>27</v>
      </c>
      <c r="J4739" s="1323"/>
      <c r="K4739" s="1323"/>
      <c r="L4739" s="1323"/>
      <c r="M4739" s="1323"/>
      <c r="N4739" s="1323"/>
      <c r="O4739" s="1323"/>
      <c r="P4739" s="1323"/>
      <c r="Q4739" s="1323"/>
      <c r="R4739" s="1304"/>
      <c r="S4739" s="1304"/>
      <c r="T4739" s="1304"/>
    </row>
    <row r="4740" spans="1:20">
      <c r="A4740" s="1303"/>
      <c r="B4740" s="1322" t="s">
        <v>11149</v>
      </c>
      <c r="C4740" s="1323" t="s">
        <v>11117</v>
      </c>
      <c r="D4740" s="1324">
        <f t="shared" si="468"/>
        <v>34968</v>
      </c>
      <c r="E4740" s="1323">
        <f t="shared" si="470"/>
        <v>3.6583000000000001</v>
      </c>
      <c r="F4740" s="1323">
        <f t="shared" si="469"/>
        <v>3.9548471632183047</v>
      </c>
      <c r="G4740" s="1323">
        <f t="shared" si="471"/>
        <v>1995</v>
      </c>
      <c r="H4740" s="1323">
        <f t="shared" si="472"/>
        <v>9</v>
      </c>
      <c r="I4740" s="1323">
        <f t="shared" si="473"/>
        <v>26</v>
      </c>
      <c r="J4740" s="1323"/>
      <c r="K4740" s="1323"/>
      <c r="L4740" s="1323"/>
      <c r="M4740" s="1323"/>
      <c r="N4740" s="1323"/>
      <c r="O4740" s="1323"/>
      <c r="P4740" s="1323"/>
      <c r="Q4740" s="1323"/>
      <c r="R4740" s="1304"/>
      <c r="S4740" s="1304"/>
      <c r="T4740" s="1304"/>
    </row>
    <row r="4741" spans="1:20">
      <c r="A4741" s="1303"/>
      <c r="B4741" s="1322" t="s">
        <v>11150</v>
      </c>
      <c r="C4741" s="1323" t="s">
        <v>11065</v>
      </c>
      <c r="D4741" s="1324">
        <f t="shared" si="468"/>
        <v>34964</v>
      </c>
      <c r="E4741" s="1323">
        <f t="shared" si="470"/>
        <v>3.6463000000000001</v>
      </c>
      <c r="F4741" s="1323">
        <f t="shared" si="469"/>
        <v>3.9540888448097107</v>
      </c>
      <c r="G4741" s="1323">
        <f t="shared" si="471"/>
        <v>1995</v>
      </c>
      <c r="H4741" s="1323">
        <f t="shared" si="472"/>
        <v>9</v>
      </c>
      <c r="I4741" s="1323">
        <f t="shared" si="473"/>
        <v>22</v>
      </c>
      <c r="J4741" s="1323"/>
      <c r="K4741" s="1323"/>
      <c r="L4741" s="1323"/>
      <c r="M4741" s="1323"/>
      <c r="N4741" s="1323"/>
      <c r="O4741" s="1323"/>
      <c r="P4741" s="1323"/>
      <c r="Q4741" s="1323"/>
      <c r="R4741" s="1304"/>
      <c r="S4741" s="1304"/>
      <c r="T4741" s="1304"/>
    </row>
    <row r="4742" spans="1:20">
      <c r="A4742" s="1303"/>
      <c r="B4742" s="1322" t="s">
        <v>11151</v>
      </c>
      <c r="C4742" s="1323" t="s">
        <v>11017</v>
      </c>
      <c r="D4742" s="1324">
        <f t="shared" si="468"/>
        <v>34963</v>
      </c>
      <c r="E4742" s="1323">
        <f t="shared" si="470"/>
        <v>3.6637</v>
      </c>
      <c r="F4742" s="1323">
        <f t="shared" si="469"/>
        <v>3.9533306718041592</v>
      </c>
      <c r="G4742" s="1323">
        <f t="shared" si="471"/>
        <v>1995</v>
      </c>
      <c r="H4742" s="1323">
        <f t="shared" si="472"/>
        <v>9</v>
      </c>
      <c r="I4742" s="1323">
        <f t="shared" si="473"/>
        <v>21</v>
      </c>
      <c r="J4742" s="1323"/>
      <c r="K4742" s="1323"/>
      <c r="L4742" s="1323"/>
      <c r="M4742" s="1323"/>
      <c r="N4742" s="1323"/>
      <c r="O4742" s="1323"/>
      <c r="P4742" s="1323"/>
      <c r="Q4742" s="1323"/>
      <c r="R4742" s="1304"/>
      <c r="S4742" s="1304"/>
      <c r="T4742" s="1304"/>
    </row>
    <row r="4743" spans="1:20">
      <c r="A4743" s="1303"/>
      <c r="B4743" s="1322" t="s">
        <v>11152</v>
      </c>
      <c r="C4743" s="1323" t="s">
        <v>11092</v>
      </c>
      <c r="D4743" s="1324">
        <f t="shared" si="468"/>
        <v>34962</v>
      </c>
      <c r="E4743" s="1323">
        <f t="shared" si="470"/>
        <v>3.6743999999999999</v>
      </c>
      <c r="F4743" s="1323">
        <f t="shared" si="469"/>
        <v>3.9525726441737694</v>
      </c>
      <c r="G4743" s="1323">
        <f t="shared" si="471"/>
        <v>1995</v>
      </c>
      <c r="H4743" s="1323">
        <f t="shared" si="472"/>
        <v>9</v>
      </c>
      <c r="I4743" s="1323">
        <f t="shared" si="473"/>
        <v>20</v>
      </c>
      <c r="J4743" s="1323"/>
      <c r="K4743" s="1323"/>
      <c r="L4743" s="1323"/>
      <c r="M4743" s="1323"/>
      <c r="N4743" s="1323"/>
      <c r="O4743" s="1323"/>
      <c r="P4743" s="1323"/>
      <c r="Q4743" s="1323"/>
      <c r="R4743" s="1304"/>
      <c r="S4743" s="1304"/>
      <c r="T4743" s="1304"/>
    </row>
    <row r="4744" spans="1:20">
      <c r="A4744" s="1303"/>
      <c r="B4744" s="1322" t="s">
        <v>11153</v>
      </c>
      <c r="C4744" s="1323" t="s">
        <v>11154</v>
      </c>
      <c r="D4744" s="1324">
        <f t="shared" si="468"/>
        <v>34961</v>
      </c>
      <c r="E4744" s="1323">
        <f t="shared" si="470"/>
        <v>3.6743999999999999</v>
      </c>
      <c r="F4744" s="1323">
        <f t="shared" si="469"/>
        <v>3.9518147618906672</v>
      </c>
      <c r="G4744" s="1323">
        <f t="shared" si="471"/>
        <v>1995</v>
      </c>
      <c r="H4744" s="1323">
        <f t="shared" si="472"/>
        <v>9</v>
      </c>
      <c r="I4744" s="1323">
        <f t="shared" si="473"/>
        <v>19</v>
      </c>
      <c r="J4744" s="1323"/>
      <c r="K4744" s="1323"/>
      <c r="L4744" s="1323"/>
      <c r="M4744" s="1323"/>
      <c r="N4744" s="1323"/>
      <c r="O4744" s="1323"/>
      <c r="P4744" s="1323"/>
      <c r="Q4744" s="1323"/>
      <c r="R4744" s="1304"/>
      <c r="S4744" s="1304"/>
      <c r="T4744" s="1304"/>
    </row>
    <row r="4745" spans="1:20">
      <c r="A4745" s="1303"/>
      <c r="B4745" s="1322" t="s">
        <v>11155</v>
      </c>
      <c r="C4745" s="1323" t="s">
        <v>11154</v>
      </c>
      <c r="D4745" s="1324">
        <f t="shared" ref="D4745:D4808" si="474">DATE(G4745,H4745,I4745)</f>
        <v>34960</v>
      </c>
      <c r="E4745" s="1323">
        <f t="shared" si="470"/>
        <v>3.6758000000000002</v>
      </c>
      <c r="F4745" s="1323">
        <f t="shared" ref="F4745:F4808" si="475">F4746*(1+$F$7/365)</f>
        <v>3.9510570249269823</v>
      </c>
      <c r="G4745" s="1323">
        <f t="shared" si="471"/>
        <v>1995</v>
      </c>
      <c r="H4745" s="1323">
        <f t="shared" si="472"/>
        <v>9</v>
      </c>
      <c r="I4745" s="1323">
        <f t="shared" si="473"/>
        <v>18</v>
      </c>
      <c r="J4745" s="1323"/>
      <c r="K4745" s="1323"/>
      <c r="L4745" s="1323"/>
      <c r="M4745" s="1323"/>
      <c r="N4745" s="1323"/>
      <c r="O4745" s="1323"/>
      <c r="P4745" s="1323"/>
      <c r="Q4745" s="1323"/>
      <c r="R4745" s="1304"/>
      <c r="S4745" s="1304"/>
      <c r="T4745" s="1304"/>
    </row>
    <row r="4746" spans="1:20">
      <c r="A4746" s="1303"/>
      <c r="B4746" s="1322" t="s">
        <v>11156</v>
      </c>
      <c r="C4746" s="1323" t="s">
        <v>11157</v>
      </c>
      <c r="D4746" s="1324">
        <f t="shared" si="474"/>
        <v>34957</v>
      </c>
      <c r="E4746" s="1323">
        <f t="shared" si="470"/>
        <v>3.6717</v>
      </c>
      <c r="F4746" s="1323">
        <f t="shared" si="475"/>
        <v>3.9502994332548509</v>
      </c>
      <c r="G4746" s="1323">
        <f t="shared" si="471"/>
        <v>1995</v>
      </c>
      <c r="H4746" s="1323">
        <f t="shared" si="472"/>
        <v>9</v>
      </c>
      <c r="I4746" s="1323">
        <f t="shared" si="473"/>
        <v>15</v>
      </c>
      <c r="J4746" s="1323"/>
      <c r="K4746" s="1323"/>
      <c r="L4746" s="1323"/>
      <c r="M4746" s="1323"/>
      <c r="N4746" s="1323"/>
      <c r="O4746" s="1323"/>
      <c r="P4746" s="1323"/>
      <c r="Q4746" s="1323"/>
      <c r="R4746" s="1304"/>
      <c r="S4746" s="1304"/>
      <c r="T4746" s="1304"/>
    </row>
    <row r="4747" spans="1:20">
      <c r="A4747" s="1303"/>
      <c r="B4747" s="1322" t="s">
        <v>11158</v>
      </c>
      <c r="C4747" s="1323" t="s">
        <v>11159</v>
      </c>
      <c r="D4747" s="1324">
        <f t="shared" si="474"/>
        <v>34956</v>
      </c>
      <c r="E4747" s="1323">
        <f t="shared" si="470"/>
        <v>3.6738</v>
      </c>
      <c r="F4747" s="1323">
        <f t="shared" si="475"/>
        <v>3.9495419868464143</v>
      </c>
      <c r="G4747" s="1323">
        <f t="shared" si="471"/>
        <v>1995</v>
      </c>
      <c r="H4747" s="1323">
        <f t="shared" si="472"/>
        <v>9</v>
      </c>
      <c r="I4747" s="1323">
        <f t="shared" si="473"/>
        <v>14</v>
      </c>
      <c r="J4747" s="1323"/>
      <c r="K4747" s="1323"/>
      <c r="L4747" s="1323"/>
      <c r="M4747" s="1323"/>
      <c r="N4747" s="1323"/>
      <c r="O4747" s="1323"/>
      <c r="P4747" s="1323"/>
      <c r="Q4747" s="1323"/>
      <c r="R4747" s="1304"/>
      <c r="S4747" s="1304"/>
      <c r="T4747" s="1304"/>
    </row>
    <row r="4748" spans="1:20">
      <c r="A4748" s="1303"/>
      <c r="B4748" s="1322" t="s">
        <v>11160</v>
      </c>
      <c r="C4748" s="1323" t="s">
        <v>11161</v>
      </c>
      <c r="D4748" s="1324">
        <f t="shared" si="474"/>
        <v>34955</v>
      </c>
      <c r="E4748" s="1323">
        <f t="shared" si="470"/>
        <v>3.6637</v>
      </c>
      <c r="F4748" s="1323">
        <f t="shared" si="475"/>
        <v>3.9487846856738194</v>
      </c>
      <c r="G4748" s="1323">
        <f t="shared" si="471"/>
        <v>1995</v>
      </c>
      <c r="H4748" s="1323">
        <f t="shared" si="472"/>
        <v>9</v>
      </c>
      <c r="I4748" s="1323">
        <f t="shared" si="473"/>
        <v>13</v>
      </c>
      <c r="J4748" s="1323"/>
      <c r="K4748" s="1323"/>
      <c r="L4748" s="1323"/>
      <c r="M4748" s="1323"/>
      <c r="N4748" s="1323"/>
      <c r="O4748" s="1323"/>
      <c r="P4748" s="1323"/>
      <c r="Q4748" s="1323"/>
      <c r="R4748" s="1304"/>
      <c r="S4748" s="1304"/>
      <c r="T4748" s="1304"/>
    </row>
    <row r="4749" spans="1:20">
      <c r="A4749" s="1303"/>
      <c r="B4749" s="1322" t="s">
        <v>11162</v>
      </c>
      <c r="C4749" s="1323" t="s">
        <v>11092</v>
      </c>
      <c r="D4749" s="1324">
        <f t="shared" si="474"/>
        <v>34954</v>
      </c>
      <c r="E4749" s="1323">
        <f t="shared" si="470"/>
        <v>3.6637</v>
      </c>
      <c r="F4749" s="1323">
        <f t="shared" si="475"/>
        <v>3.9480275297092176</v>
      </c>
      <c r="G4749" s="1323">
        <f t="shared" si="471"/>
        <v>1995</v>
      </c>
      <c r="H4749" s="1323">
        <f t="shared" si="472"/>
        <v>9</v>
      </c>
      <c r="I4749" s="1323">
        <f t="shared" si="473"/>
        <v>12</v>
      </c>
      <c r="J4749" s="1323"/>
      <c r="K4749" s="1323"/>
      <c r="L4749" s="1323"/>
      <c r="M4749" s="1323"/>
      <c r="N4749" s="1323"/>
      <c r="O4749" s="1323"/>
      <c r="P4749" s="1323"/>
      <c r="Q4749" s="1323"/>
      <c r="R4749" s="1304"/>
      <c r="S4749" s="1304"/>
      <c r="T4749" s="1304"/>
    </row>
    <row r="4750" spans="1:20">
      <c r="A4750" s="1303"/>
      <c r="B4750" s="1322" t="s">
        <v>11163</v>
      </c>
      <c r="C4750" s="1323" t="s">
        <v>11092</v>
      </c>
      <c r="D4750" s="1324">
        <f t="shared" si="474"/>
        <v>34953</v>
      </c>
      <c r="E4750" s="1323">
        <f t="shared" si="470"/>
        <v>3.6637</v>
      </c>
      <c r="F4750" s="1323">
        <f t="shared" si="475"/>
        <v>3.9472705189247659</v>
      </c>
      <c r="G4750" s="1323">
        <f t="shared" si="471"/>
        <v>1995</v>
      </c>
      <c r="H4750" s="1323">
        <f t="shared" si="472"/>
        <v>9</v>
      </c>
      <c r="I4750" s="1323">
        <f t="shared" si="473"/>
        <v>11</v>
      </c>
      <c r="J4750" s="1323"/>
      <c r="K4750" s="1323"/>
      <c r="L4750" s="1323"/>
      <c r="M4750" s="1323"/>
      <c r="N4750" s="1323"/>
      <c r="O4750" s="1323"/>
      <c r="P4750" s="1323"/>
      <c r="Q4750" s="1323"/>
      <c r="R4750" s="1304"/>
      <c r="S4750" s="1304"/>
      <c r="T4750" s="1304"/>
    </row>
    <row r="4751" spans="1:20">
      <c r="A4751" s="1303"/>
      <c r="B4751" s="1322" t="s">
        <v>11164</v>
      </c>
      <c r="C4751" s="1323" t="s">
        <v>11092</v>
      </c>
      <c r="D4751" s="1324">
        <f t="shared" si="474"/>
        <v>34950</v>
      </c>
      <c r="E4751" s="1323">
        <f t="shared" si="470"/>
        <v>3.6663999999999999</v>
      </c>
      <c r="F4751" s="1323">
        <f t="shared" si="475"/>
        <v>3.9465136532926275</v>
      </c>
      <c r="G4751" s="1323">
        <f t="shared" si="471"/>
        <v>1995</v>
      </c>
      <c r="H4751" s="1323">
        <f t="shared" si="472"/>
        <v>9</v>
      </c>
      <c r="I4751" s="1323">
        <f t="shared" si="473"/>
        <v>8</v>
      </c>
      <c r="J4751" s="1323"/>
      <c r="K4751" s="1323"/>
      <c r="L4751" s="1323"/>
      <c r="M4751" s="1323"/>
      <c r="N4751" s="1323"/>
      <c r="O4751" s="1323"/>
      <c r="P4751" s="1323"/>
      <c r="Q4751" s="1323"/>
      <c r="R4751" s="1304"/>
      <c r="S4751" s="1304"/>
      <c r="T4751" s="1304"/>
    </row>
    <row r="4752" spans="1:20">
      <c r="A4752" s="1303"/>
      <c r="B4752" s="1322" t="s">
        <v>11165</v>
      </c>
      <c r="C4752" s="1323" t="s">
        <v>11073</v>
      </c>
      <c r="D4752" s="1324">
        <f t="shared" si="474"/>
        <v>34949</v>
      </c>
      <c r="E4752" s="1323">
        <f t="shared" si="470"/>
        <v>3.6637</v>
      </c>
      <c r="F4752" s="1323">
        <f t="shared" si="475"/>
        <v>3.94575693278497</v>
      </c>
      <c r="G4752" s="1323">
        <f t="shared" si="471"/>
        <v>1995</v>
      </c>
      <c r="H4752" s="1323">
        <f t="shared" si="472"/>
        <v>9</v>
      </c>
      <c r="I4752" s="1323">
        <f t="shared" si="473"/>
        <v>7</v>
      </c>
      <c r="J4752" s="1323"/>
      <c r="K4752" s="1323"/>
      <c r="L4752" s="1323"/>
      <c r="M4752" s="1323"/>
      <c r="N4752" s="1323"/>
      <c r="O4752" s="1323"/>
      <c r="P4752" s="1323"/>
      <c r="Q4752" s="1323"/>
      <c r="R4752" s="1304"/>
      <c r="S4752" s="1304"/>
      <c r="T4752" s="1304"/>
    </row>
    <row r="4753" spans="1:20">
      <c r="A4753" s="1303"/>
      <c r="B4753" s="1322" t="s">
        <v>11166</v>
      </c>
      <c r="C4753" s="1323" t="s">
        <v>11092</v>
      </c>
      <c r="D4753" s="1324">
        <f t="shared" si="474"/>
        <v>34948</v>
      </c>
      <c r="E4753" s="1323">
        <f t="shared" si="470"/>
        <v>3.6637</v>
      </c>
      <c r="F4753" s="1323">
        <f t="shared" si="475"/>
        <v>3.9450003573739667</v>
      </c>
      <c r="G4753" s="1323">
        <f t="shared" si="471"/>
        <v>1995</v>
      </c>
      <c r="H4753" s="1323">
        <f t="shared" si="472"/>
        <v>9</v>
      </c>
      <c r="I4753" s="1323">
        <f t="shared" si="473"/>
        <v>6</v>
      </c>
      <c r="J4753" s="1323"/>
      <c r="K4753" s="1323"/>
      <c r="L4753" s="1323"/>
      <c r="M4753" s="1323"/>
      <c r="N4753" s="1323"/>
      <c r="O4753" s="1323"/>
      <c r="P4753" s="1323"/>
      <c r="Q4753" s="1323"/>
      <c r="R4753" s="1304"/>
      <c r="S4753" s="1304"/>
      <c r="T4753" s="1304"/>
    </row>
    <row r="4754" spans="1:20">
      <c r="A4754" s="1303"/>
      <c r="B4754" s="1322" t="s">
        <v>11167</v>
      </c>
      <c r="C4754" s="1323" t="s">
        <v>11092</v>
      </c>
      <c r="D4754" s="1324">
        <f t="shared" si="474"/>
        <v>34947</v>
      </c>
      <c r="E4754" s="1323">
        <f t="shared" si="470"/>
        <v>3.661</v>
      </c>
      <c r="F4754" s="1323">
        <f t="shared" si="475"/>
        <v>3.9442439270317959</v>
      </c>
      <c r="G4754" s="1323">
        <f t="shared" si="471"/>
        <v>1995</v>
      </c>
      <c r="H4754" s="1323">
        <f t="shared" si="472"/>
        <v>9</v>
      </c>
      <c r="I4754" s="1323">
        <f t="shared" si="473"/>
        <v>5</v>
      </c>
      <c r="J4754" s="1323"/>
      <c r="K4754" s="1323"/>
      <c r="L4754" s="1323"/>
      <c r="M4754" s="1323"/>
      <c r="N4754" s="1323"/>
      <c r="O4754" s="1323"/>
      <c r="P4754" s="1323"/>
      <c r="Q4754" s="1323"/>
      <c r="R4754" s="1304"/>
      <c r="S4754" s="1304"/>
      <c r="T4754" s="1304"/>
    </row>
    <row r="4755" spans="1:20">
      <c r="A4755" s="1303"/>
      <c r="B4755" s="1322" t="s">
        <v>11168</v>
      </c>
      <c r="C4755" s="1323" t="s">
        <v>11089</v>
      </c>
      <c r="D4755" s="1324">
        <f t="shared" si="474"/>
        <v>34946</v>
      </c>
      <c r="E4755" s="1323">
        <f t="shared" si="470"/>
        <v>3.6583000000000001</v>
      </c>
      <c r="F4755" s="1323">
        <f t="shared" si="475"/>
        <v>3.9434876417306421</v>
      </c>
      <c r="G4755" s="1323">
        <f t="shared" si="471"/>
        <v>1995</v>
      </c>
      <c r="H4755" s="1323">
        <f t="shared" si="472"/>
        <v>9</v>
      </c>
      <c r="I4755" s="1323">
        <f t="shared" si="473"/>
        <v>4</v>
      </c>
      <c r="J4755" s="1323"/>
      <c r="K4755" s="1323"/>
      <c r="L4755" s="1323"/>
      <c r="M4755" s="1323"/>
      <c r="N4755" s="1323"/>
      <c r="O4755" s="1323"/>
      <c r="P4755" s="1323"/>
      <c r="Q4755" s="1323"/>
      <c r="R4755" s="1304"/>
      <c r="S4755" s="1304"/>
      <c r="T4755" s="1304"/>
    </row>
    <row r="4756" spans="1:20">
      <c r="A4756" s="1303"/>
      <c r="B4756" s="1322" t="s">
        <v>11169</v>
      </c>
      <c r="C4756" s="1323" t="s">
        <v>11065</v>
      </c>
      <c r="D4756" s="1324">
        <f t="shared" si="474"/>
        <v>34943</v>
      </c>
      <c r="E4756" s="1323">
        <f t="shared" si="470"/>
        <v>3.6556000000000002</v>
      </c>
      <c r="F4756" s="1323">
        <f t="shared" si="475"/>
        <v>3.9427315014426942</v>
      </c>
      <c r="G4756" s="1323">
        <f t="shared" si="471"/>
        <v>1995</v>
      </c>
      <c r="H4756" s="1323">
        <f t="shared" si="472"/>
        <v>9</v>
      </c>
      <c r="I4756" s="1323">
        <f t="shared" si="473"/>
        <v>1</v>
      </c>
      <c r="J4756" s="1323"/>
      <c r="K4756" s="1323"/>
      <c r="L4756" s="1323"/>
      <c r="M4756" s="1323"/>
      <c r="N4756" s="1323"/>
      <c r="O4756" s="1323"/>
      <c r="P4756" s="1323"/>
      <c r="Q4756" s="1323"/>
      <c r="R4756" s="1304"/>
      <c r="S4756" s="1304"/>
      <c r="T4756" s="1304"/>
    </row>
    <row r="4757" spans="1:20">
      <c r="A4757" s="1303"/>
      <c r="B4757" s="1322" t="s">
        <v>11170</v>
      </c>
      <c r="C4757" s="1323" t="s">
        <v>11132</v>
      </c>
      <c r="D4757" s="1324">
        <f t="shared" si="474"/>
        <v>34942</v>
      </c>
      <c r="E4757" s="1323">
        <f t="shared" si="470"/>
        <v>3.6576</v>
      </c>
      <c r="F4757" s="1323">
        <f t="shared" si="475"/>
        <v>3.9419755061401465</v>
      </c>
      <c r="G4757" s="1323">
        <f t="shared" si="471"/>
        <v>1995</v>
      </c>
      <c r="H4757" s="1323">
        <f t="shared" si="472"/>
        <v>8</v>
      </c>
      <c r="I4757" s="1323">
        <f t="shared" si="473"/>
        <v>31</v>
      </c>
      <c r="J4757" s="1323"/>
      <c r="K4757" s="1323"/>
      <c r="L4757" s="1323"/>
      <c r="M4757" s="1323"/>
      <c r="N4757" s="1323"/>
      <c r="O4757" s="1323"/>
      <c r="P4757" s="1323"/>
      <c r="Q4757" s="1323"/>
      <c r="R4757" s="1304"/>
      <c r="S4757" s="1304"/>
      <c r="T4757" s="1304"/>
    </row>
    <row r="4758" spans="1:20">
      <c r="A4758" s="1303"/>
      <c r="B4758" s="1322" t="s">
        <v>11171</v>
      </c>
      <c r="C4758" s="1323" t="s">
        <v>11172</v>
      </c>
      <c r="D4758" s="1324">
        <f t="shared" si="474"/>
        <v>34941</v>
      </c>
      <c r="E4758" s="1323">
        <f t="shared" ref="E4758:E4821" si="476">VALUE(C4759)</f>
        <v>3.6623000000000001</v>
      </c>
      <c r="F4758" s="1323">
        <f t="shared" si="475"/>
        <v>3.9412196557951993</v>
      </c>
      <c r="G4758" s="1323">
        <f t="shared" ref="G4758:G4821" si="477">YEAR(B4759)</f>
        <v>1995</v>
      </c>
      <c r="H4758" s="1323">
        <f t="shared" ref="H4758:H4821" si="478">MONTH(B4759)</f>
        <v>8</v>
      </c>
      <c r="I4758" s="1323">
        <f t="shared" ref="I4758:I4821" si="479">DAY(B4759)</f>
        <v>30</v>
      </c>
      <c r="J4758" s="1323"/>
      <c r="K4758" s="1323"/>
      <c r="L4758" s="1323"/>
      <c r="M4758" s="1323"/>
      <c r="N4758" s="1323"/>
      <c r="O4758" s="1323"/>
      <c r="P4758" s="1323"/>
      <c r="Q4758" s="1323"/>
      <c r="R4758" s="1304"/>
      <c r="S4758" s="1304"/>
      <c r="T4758" s="1304"/>
    </row>
    <row r="4759" spans="1:20">
      <c r="A4759" s="1303"/>
      <c r="B4759" s="1322" t="s">
        <v>11173</v>
      </c>
      <c r="C4759" s="1323" t="s">
        <v>11143</v>
      </c>
      <c r="D4759" s="1324">
        <f t="shared" si="474"/>
        <v>34940</v>
      </c>
      <c r="E4759" s="1323">
        <f t="shared" si="476"/>
        <v>3.661</v>
      </c>
      <c r="F4759" s="1323">
        <f t="shared" si="475"/>
        <v>3.9404639503800576</v>
      </c>
      <c r="G4759" s="1323">
        <f t="shared" si="477"/>
        <v>1995</v>
      </c>
      <c r="H4759" s="1323">
        <f t="shared" si="478"/>
        <v>8</v>
      </c>
      <c r="I4759" s="1323">
        <f t="shared" si="479"/>
        <v>29</v>
      </c>
      <c r="J4759" s="1323"/>
      <c r="K4759" s="1323"/>
      <c r="L4759" s="1323"/>
      <c r="M4759" s="1323"/>
      <c r="N4759" s="1323"/>
      <c r="O4759" s="1323"/>
      <c r="P4759" s="1323"/>
      <c r="Q4759" s="1323"/>
      <c r="R4759" s="1304"/>
      <c r="S4759" s="1304"/>
      <c r="T4759" s="1304"/>
    </row>
    <row r="4760" spans="1:20">
      <c r="A4760" s="1303"/>
      <c r="B4760" s="1322" t="s">
        <v>11174</v>
      </c>
      <c r="C4760" s="1323" t="s">
        <v>11089</v>
      </c>
      <c r="D4760" s="1324">
        <f t="shared" si="474"/>
        <v>34939</v>
      </c>
      <c r="E4760" s="1323">
        <f t="shared" si="476"/>
        <v>3.6583000000000001</v>
      </c>
      <c r="F4760" s="1323">
        <f t="shared" si="475"/>
        <v>3.9397083898669325</v>
      </c>
      <c r="G4760" s="1323">
        <f t="shared" si="477"/>
        <v>1995</v>
      </c>
      <c r="H4760" s="1323">
        <f t="shared" si="478"/>
        <v>8</v>
      </c>
      <c r="I4760" s="1323">
        <f t="shared" si="479"/>
        <v>28</v>
      </c>
      <c r="J4760" s="1323"/>
      <c r="K4760" s="1323"/>
      <c r="L4760" s="1323"/>
      <c r="M4760" s="1323"/>
      <c r="N4760" s="1323"/>
      <c r="O4760" s="1323"/>
      <c r="P4760" s="1323"/>
      <c r="Q4760" s="1323"/>
      <c r="R4760" s="1304"/>
      <c r="S4760" s="1304"/>
      <c r="T4760" s="1304"/>
    </row>
    <row r="4761" spans="1:20">
      <c r="A4761" s="1303"/>
      <c r="B4761" s="1322" t="s">
        <v>11175</v>
      </c>
      <c r="C4761" s="1323" t="s">
        <v>11065</v>
      </c>
      <c r="D4761" s="1324">
        <f t="shared" si="474"/>
        <v>34936</v>
      </c>
      <c r="E4761" s="1323">
        <f t="shared" si="476"/>
        <v>3.6597</v>
      </c>
      <c r="F4761" s="1323">
        <f t="shared" si="475"/>
        <v>3.9389529742280391</v>
      </c>
      <c r="G4761" s="1323">
        <f t="shared" si="477"/>
        <v>1995</v>
      </c>
      <c r="H4761" s="1323">
        <f t="shared" si="478"/>
        <v>8</v>
      </c>
      <c r="I4761" s="1323">
        <f t="shared" si="479"/>
        <v>25</v>
      </c>
      <c r="J4761" s="1323"/>
      <c r="K4761" s="1323"/>
      <c r="L4761" s="1323"/>
      <c r="M4761" s="1323"/>
      <c r="N4761" s="1323"/>
      <c r="O4761" s="1323"/>
      <c r="P4761" s="1323"/>
      <c r="Q4761" s="1323"/>
      <c r="R4761" s="1304"/>
      <c r="S4761" s="1304"/>
      <c r="T4761" s="1304"/>
    </row>
    <row r="4762" spans="1:20">
      <c r="A4762" s="1303"/>
      <c r="B4762" s="1322" t="s">
        <v>11176</v>
      </c>
      <c r="C4762" s="1323" t="s">
        <v>11096</v>
      </c>
      <c r="D4762" s="1324">
        <f t="shared" si="474"/>
        <v>34935</v>
      </c>
      <c r="E4762" s="1323">
        <f t="shared" si="476"/>
        <v>3.6583000000000001</v>
      </c>
      <c r="F4762" s="1323">
        <f t="shared" si="475"/>
        <v>3.9381977034355993</v>
      </c>
      <c r="G4762" s="1323">
        <f t="shared" si="477"/>
        <v>1995</v>
      </c>
      <c r="H4762" s="1323">
        <f t="shared" si="478"/>
        <v>8</v>
      </c>
      <c r="I4762" s="1323">
        <f t="shared" si="479"/>
        <v>24</v>
      </c>
      <c r="J4762" s="1323"/>
      <c r="K4762" s="1323"/>
      <c r="L4762" s="1323"/>
      <c r="M4762" s="1323"/>
      <c r="N4762" s="1323"/>
      <c r="O4762" s="1323"/>
      <c r="P4762" s="1323"/>
      <c r="Q4762" s="1323"/>
      <c r="R4762" s="1304"/>
      <c r="S4762" s="1304"/>
      <c r="T4762" s="1304"/>
    </row>
    <row r="4763" spans="1:20">
      <c r="A4763" s="1303"/>
      <c r="B4763" s="1322" t="s">
        <v>11177</v>
      </c>
      <c r="C4763" s="1323" t="s">
        <v>11065</v>
      </c>
      <c r="D4763" s="1324">
        <f t="shared" si="474"/>
        <v>34934</v>
      </c>
      <c r="E4763" s="1323">
        <f t="shared" si="476"/>
        <v>3.6556000000000002</v>
      </c>
      <c r="F4763" s="1323">
        <f t="shared" si="475"/>
        <v>3.9374425774618391</v>
      </c>
      <c r="G4763" s="1323">
        <f t="shared" si="477"/>
        <v>1995</v>
      </c>
      <c r="H4763" s="1323">
        <f t="shared" si="478"/>
        <v>8</v>
      </c>
      <c r="I4763" s="1323">
        <f t="shared" si="479"/>
        <v>23</v>
      </c>
      <c r="J4763" s="1323"/>
      <c r="K4763" s="1323"/>
      <c r="L4763" s="1323"/>
      <c r="M4763" s="1323"/>
      <c r="N4763" s="1323"/>
      <c r="O4763" s="1323"/>
      <c r="P4763" s="1323"/>
      <c r="Q4763" s="1323"/>
      <c r="R4763" s="1304"/>
      <c r="S4763" s="1304"/>
      <c r="T4763" s="1304"/>
    </row>
    <row r="4764" spans="1:20">
      <c r="A4764" s="1303"/>
      <c r="B4764" s="1322" t="s">
        <v>11178</v>
      </c>
      <c r="C4764" s="1323" t="s">
        <v>11132</v>
      </c>
      <c r="D4764" s="1324">
        <f t="shared" si="474"/>
        <v>34933</v>
      </c>
      <c r="E4764" s="1323">
        <f t="shared" si="476"/>
        <v>3.6597</v>
      </c>
      <c r="F4764" s="1323">
        <f t="shared" si="475"/>
        <v>3.9366875962789911</v>
      </c>
      <c r="G4764" s="1323">
        <f t="shared" si="477"/>
        <v>1995</v>
      </c>
      <c r="H4764" s="1323">
        <f t="shared" si="478"/>
        <v>8</v>
      </c>
      <c r="I4764" s="1323">
        <f t="shared" si="479"/>
        <v>22</v>
      </c>
      <c r="J4764" s="1323"/>
      <c r="K4764" s="1323"/>
      <c r="L4764" s="1323"/>
      <c r="M4764" s="1323"/>
      <c r="N4764" s="1323"/>
      <c r="O4764" s="1323"/>
      <c r="P4764" s="1323"/>
      <c r="Q4764" s="1323"/>
      <c r="R4764" s="1304"/>
      <c r="S4764" s="1304"/>
      <c r="T4764" s="1304"/>
    </row>
    <row r="4765" spans="1:20">
      <c r="A4765" s="1303"/>
      <c r="B4765" s="1322" t="s">
        <v>11179</v>
      </c>
      <c r="C4765" s="1323" t="s">
        <v>11096</v>
      </c>
      <c r="D4765" s="1324">
        <f t="shared" si="474"/>
        <v>34932</v>
      </c>
      <c r="E4765" s="1323">
        <f t="shared" si="476"/>
        <v>3.657</v>
      </c>
      <c r="F4765" s="1323">
        <f t="shared" si="475"/>
        <v>3.9359327598592921</v>
      </c>
      <c r="G4765" s="1323">
        <f t="shared" si="477"/>
        <v>1995</v>
      </c>
      <c r="H4765" s="1323">
        <f t="shared" si="478"/>
        <v>8</v>
      </c>
      <c r="I4765" s="1323">
        <f t="shared" si="479"/>
        <v>21</v>
      </c>
      <c r="J4765" s="1323"/>
      <c r="K4765" s="1323"/>
      <c r="L4765" s="1323"/>
      <c r="M4765" s="1323"/>
      <c r="N4765" s="1323"/>
      <c r="O4765" s="1323"/>
      <c r="P4765" s="1323"/>
      <c r="Q4765" s="1323"/>
      <c r="R4765" s="1304"/>
      <c r="S4765" s="1304"/>
      <c r="T4765" s="1304"/>
    </row>
    <row r="4766" spans="1:20">
      <c r="A4766" s="1303"/>
      <c r="B4766" s="1322" t="s">
        <v>11180</v>
      </c>
      <c r="C4766" s="1323" t="s">
        <v>11136</v>
      </c>
      <c r="D4766" s="1324">
        <f t="shared" si="474"/>
        <v>34929</v>
      </c>
      <c r="E4766" s="1323">
        <f t="shared" si="476"/>
        <v>3.6583000000000001</v>
      </c>
      <c r="F4766" s="1323">
        <f t="shared" si="475"/>
        <v>3.9351780681749844</v>
      </c>
      <c r="G4766" s="1323">
        <f t="shared" si="477"/>
        <v>1995</v>
      </c>
      <c r="H4766" s="1323">
        <f t="shared" si="478"/>
        <v>8</v>
      </c>
      <c r="I4766" s="1323">
        <f t="shared" si="479"/>
        <v>18</v>
      </c>
      <c r="J4766" s="1323"/>
      <c r="K4766" s="1323"/>
      <c r="L4766" s="1323"/>
      <c r="M4766" s="1323"/>
      <c r="N4766" s="1323"/>
      <c r="O4766" s="1323"/>
      <c r="P4766" s="1323"/>
      <c r="Q4766" s="1323"/>
      <c r="R4766" s="1304"/>
      <c r="S4766" s="1304"/>
      <c r="T4766" s="1304"/>
    </row>
    <row r="4767" spans="1:20">
      <c r="A4767" s="1303"/>
      <c r="B4767" s="1322" t="s">
        <v>11181</v>
      </c>
      <c r="C4767" s="1323" t="s">
        <v>11065</v>
      </c>
      <c r="D4767" s="1324">
        <f t="shared" si="474"/>
        <v>34928</v>
      </c>
      <c r="E4767" s="1323">
        <f t="shared" si="476"/>
        <v>3.6536</v>
      </c>
      <c r="F4767" s="1323">
        <f t="shared" si="475"/>
        <v>3.9344235211983163</v>
      </c>
      <c r="G4767" s="1323">
        <f t="shared" si="477"/>
        <v>1995</v>
      </c>
      <c r="H4767" s="1323">
        <f t="shared" si="478"/>
        <v>8</v>
      </c>
      <c r="I4767" s="1323">
        <f t="shared" si="479"/>
        <v>17</v>
      </c>
      <c r="J4767" s="1323"/>
      <c r="K4767" s="1323"/>
      <c r="L4767" s="1323"/>
      <c r="M4767" s="1323"/>
      <c r="N4767" s="1323"/>
      <c r="O4767" s="1323"/>
      <c r="P4767" s="1323"/>
      <c r="Q4767" s="1323"/>
      <c r="R4767" s="1304"/>
      <c r="S4767" s="1304"/>
      <c r="T4767" s="1304"/>
    </row>
    <row r="4768" spans="1:20">
      <c r="A4768" s="1303"/>
      <c r="B4768" s="1322" t="s">
        <v>11182</v>
      </c>
      <c r="C4768" s="1323" t="s">
        <v>11183</v>
      </c>
      <c r="D4768" s="1324">
        <f t="shared" si="474"/>
        <v>34927</v>
      </c>
      <c r="E4768" s="1323">
        <f t="shared" si="476"/>
        <v>3.6623000000000001</v>
      </c>
      <c r="F4768" s="1323">
        <f t="shared" si="475"/>
        <v>3.9336691189015407</v>
      </c>
      <c r="G4768" s="1323">
        <f t="shared" si="477"/>
        <v>1995</v>
      </c>
      <c r="H4768" s="1323">
        <f t="shared" si="478"/>
        <v>8</v>
      </c>
      <c r="I4768" s="1323">
        <f t="shared" si="479"/>
        <v>16</v>
      </c>
      <c r="J4768" s="1323"/>
      <c r="K4768" s="1323"/>
      <c r="L4768" s="1323"/>
      <c r="M4768" s="1323"/>
      <c r="N4768" s="1323"/>
      <c r="O4768" s="1323"/>
      <c r="P4768" s="1323"/>
      <c r="Q4768" s="1323"/>
      <c r="R4768" s="1304"/>
      <c r="S4768" s="1304"/>
      <c r="T4768" s="1304"/>
    </row>
    <row r="4769" spans="1:20">
      <c r="A4769" s="1303"/>
      <c r="B4769" s="1322" t="s">
        <v>11184</v>
      </c>
      <c r="C4769" s="1323" t="s">
        <v>11143</v>
      </c>
      <c r="D4769" s="1324">
        <f t="shared" si="474"/>
        <v>34926</v>
      </c>
      <c r="E4769" s="1323">
        <f t="shared" si="476"/>
        <v>3.6423000000000001</v>
      </c>
      <c r="F4769" s="1323">
        <f t="shared" si="475"/>
        <v>3.9329148612569158</v>
      </c>
      <c r="G4769" s="1323">
        <f t="shared" si="477"/>
        <v>1995</v>
      </c>
      <c r="H4769" s="1323">
        <f t="shared" si="478"/>
        <v>8</v>
      </c>
      <c r="I4769" s="1323">
        <f t="shared" si="479"/>
        <v>15</v>
      </c>
      <c r="J4769" s="1323"/>
      <c r="K4769" s="1323"/>
      <c r="L4769" s="1323"/>
      <c r="M4769" s="1323"/>
      <c r="N4769" s="1323"/>
      <c r="O4769" s="1323"/>
      <c r="P4769" s="1323"/>
      <c r="Q4769" s="1323"/>
      <c r="R4769" s="1304"/>
      <c r="S4769" s="1304"/>
      <c r="T4769" s="1304"/>
    </row>
    <row r="4770" spans="1:20">
      <c r="A4770" s="1303"/>
      <c r="B4770" s="1322" t="s">
        <v>11185</v>
      </c>
      <c r="C4770" s="1323" t="s">
        <v>11022</v>
      </c>
      <c r="D4770" s="1324">
        <f t="shared" si="474"/>
        <v>34925</v>
      </c>
      <c r="E4770" s="1323">
        <f t="shared" si="476"/>
        <v>3.6337000000000002</v>
      </c>
      <c r="F4770" s="1323">
        <f t="shared" si="475"/>
        <v>3.932160748236706</v>
      </c>
      <c r="G4770" s="1323">
        <f t="shared" si="477"/>
        <v>1995</v>
      </c>
      <c r="H4770" s="1323">
        <f t="shared" si="478"/>
        <v>8</v>
      </c>
      <c r="I4770" s="1323">
        <f t="shared" si="479"/>
        <v>14</v>
      </c>
      <c r="J4770" s="1323"/>
      <c r="K4770" s="1323"/>
      <c r="L4770" s="1323"/>
      <c r="M4770" s="1323"/>
      <c r="N4770" s="1323"/>
      <c r="O4770" s="1323"/>
      <c r="P4770" s="1323"/>
      <c r="Q4770" s="1323"/>
      <c r="R4770" s="1304"/>
      <c r="S4770" s="1304"/>
      <c r="T4770" s="1304"/>
    </row>
    <row r="4771" spans="1:20">
      <c r="A4771" s="1303"/>
      <c r="B4771" s="1322" t="s">
        <v>11186</v>
      </c>
      <c r="C4771" s="1323" t="s">
        <v>11187</v>
      </c>
      <c r="D4771" s="1324">
        <f t="shared" si="474"/>
        <v>34922</v>
      </c>
      <c r="E4771" s="1323">
        <f t="shared" si="476"/>
        <v>3.6291000000000002</v>
      </c>
      <c r="F4771" s="1323">
        <f t="shared" si="475"/>
        <v>3.9314067798131802</v>
      </c>
      <c r="G4771" s="1323">
        <f t="shared" si="477"/>
        <v>1995</v>
      </c>
      <c r="H4771" s="1323">
        <f t="shared" si="478"/>
        <v>8</v>
      </c>
      <c r="I4771" s="1323">
        <f t="shared" si="479"/>
        <v>11</v>
      </c>
      <c r="J4771" s="1323"/>
      <c r="K4771" s="1323"/>
      <c r="L4771" s="1323"/>
      <c r="M4771" s="1323"/>
      <c r="N4771" s="1323"/>
      <c r="O4771" s="1323"/>
      <c r="P4771" s="1323"/>
      <c r="Q4771" s="1323"/>
      <c r="R4771" s="1304"/>
      <c r="S4771" s="1304"/>
      <c r="T4771" s="1304"/>
    </row>
    <row r="4772" spans="1:20">
      <c r="A4772" s="1303"/>
      <c r="B4772" s="1322" t="s">
        <v>11188</v>
      </c>
      <c r="C4772" s="1323" t="s">
        <v>11058</v>
      </c>
      <c r="D4772" s="1324">
        <f t="shared" si="474"/>
        <v>34921</v>
      </c>
      <c r="E4772" s="1323">
        <f t="shared" si="476"/>
        <v>3.6095000000000002</v>
      </c>
      <c r="F4772" s="1323">
        <f t="shared" si="475"/>
        <v>3.9306529559586125</v>
      </c>
      <c r="G4772" s="1323">
        <f t="shared" si="477"/>
        <v>1995</v>
      </c>
      <c r="H4772" s="1323">
        <f t="shared" si="478"/>
        <v>8</v>
      </c>
      <c r="I4772" s="1323">
        <f t="shared" si="479"/>
        <v>10</v>
      </c>
      <c r="J4772" s="1323"/>
      <c r="K4772" s="1323"/>
      <c r="L4772" s="1323"/>
      <c r="M4772" s="1323"/>
      <c r="N4772" s="1323"/>
      <c r="O4772" s="1323"/>
      <c r="P4772" s="1323"/>
      <c r="Q4772" s="1323"/>
      <c r="R4772" s="1304"/>
      <c r="S4772" s="1304"/>
      <c r="T4772" s="1304"/>
    </row>
    <row r="4773" spans="1:20">
      <c r="A4773" s="1303"/>
      <c r="B4773" s="1322" t="s">
        <v>11189</v>
      </c>
      <c r="C4773" s="1323" t="s">
        <v>11190</v>
      </c>
      <c r="D4773" s="1324">
        <f t="shared" si="474"/>
        <v>34919</v>
      </c>
      <c r="E4773" s="1323">
        <f t="shared" si="476"/>
        <v>3.6107999999999998</v>
      </c>
      <c r="F4773" s="1323">
        <f t="shared" si="475"/>
        <v>3.9298992766452834</v>
      </c>
      <c r="G4773" s="1323">
        <f t="shared" si="477"/>
        <v>1995</v>
      </c>
      <c r="H4773" s="1323">
        <f t="shared" si="478"/>
        <v>8</v>
      </c>
      <c r="I4773" s="1323">
        <f t="shared" si="479"/>
        <v>8</v>
      </c>
      <c r="J4773" s="1323"/>
      <c r="K4773" s="1323"/>
      <c r="L4773" s="1323"/>
      <c r="M4773" s="1323"/>
      <c r="N4773" s="1323"/>
      <c r="O4773" s="1323"/>
      <c r="P4773" s="1323"/>
      <c r="Q4773" s="1323"/>
      <c r="R4773" s="1304"/>
      <c r="S4773" s="1304"/>
      <c r="T4773" s="1304"/>
    </row>
    <row r="4774" spans="1:20">
      <c r="A4774" s="1303"/>
      <c r="B4774" s="1322" t="s">
        <v>11191</v>
      </c>
      <c r="C4774" s="1323" t="s">
        <v>11192</v>
      </c>
      <c r="D4774" s="1324">
        <f t="shared" si="474"/>
        <v>34918</v>
      </c>
      <c r="E4774" s="1323">
        <f t="shared" si="476"/>
        <v>3.6133999999999999</v>
      </c>
      <c r="F4774" s="1323">
        <f t="shared" si="475"/>
        <v>3.9291457418454772</v>
      </c>
      <c r="G4774" s="1323">
        <f t="shared" si="477"/>
        <v>1995</v>
      </c>
      <c r="H4774" s="1323">
        <f t="shared" si="478"/>
        <v>8</v>
      </c>
      <c r="I4774" s="1323">
        <f t="shared" si="479"/>
        <v>7</v>
      </c>
      <c r="J4774" s="1323"/>
      <c r="K4774" s="1323"/>
      <c r="L4774" s="1323"/>
      <c r="M4774" s="1323"/>
      <c r="N4774" s="1323"/>
      <c r="O4774" s="1323"/>
      <c r="P4774" s="1323"/>
      <c r="Q4774" s="1323"/>
      <c r="R4774" s="1304"/>
      <c r="S4774" s="1304"/>
      <c r="T4774" s="1304"/>
    </row>
    <row r="4775" spans="1:20">
      <c r="A4775" s="1303"/>
      <c r="B4775" s="1322" t="s">
        <v>11193</v>
      </c>
      <c r="C4775" s="1323" t="s">
        <v>11194</v>
      </c>
      <c r="D4775" s="1324">
        <f t="shared" si="474"/>
        <v>34915</v>
      </c>
      <c r="E4775" s="1323">
        <f t="shared" si="476"/>
        <v>3.6173000000000002</v>
      </c>
      <c r="F4775" s="1323">
        <f t="shared" si="475"/>
        <v>3.9283923515314845</v>
      </c>
      <c r="G4775" s="1323">
        <f t="shared" si="477"/>
        <v>1995</v>
      </c>
      <c r="H4775" s="1323">
        <f t="shared" si="478"/>
        <v>8</v>
      </c>
      <c r="I4775" s="1323">
        <f t="shared" si="479"/>
        <v>4</v>
      </c>
      <c r="J4775" s="1323"/>
      <c r="K4775" s="1323"/>
      <c r="L4775" s="1323"/>
      <c r="M4775" s="1323"/>
      <c r="N4775" s="1323"/>
      <c r="O4775" s="1323"/>
      <c r="P4775" s="1323"/>
      <c r="Q4775" s="1323"/>
      <c r="R4775" s="1304"/>
      <c r="S4775" s="1304"/>
      <c r="T4775" s="1304"/>
    </row>
    <row r="4776" spans="1:20">
      <c r="A4776" s="1303"/>
      <c r="B4776" s="1322" t="s">
        <v>11195</v>
      </c>
      <c r="C4776" s="1323" t="s">
        <v>11196</v>
      </c>
      <c r="D4776" s="1324">
        <f t="shared" si="474"/>
        <v>34914</v>
      </c>
      <c r="E4776" s="1323">
        <f t="shared" si="476"/>
        <v>3.6173000000000002</v>
      </c>
      <c r="F4776" s="1323">
        <f t="shared" si="475"/>
        <v>3.9276391056756013</v>
      </c>
      <c r="G4776" s="1323">
        <f t="shared" si="477"/>
        <v>1995</v>
      </c>
      <c r="H4776" s="1323">
        <f t="shared" si="478"/>
        <v>8</v>
      </c>
      <c r="I4776" s="1323">
        <f t="shared" si="479"/>
        <v>3</v>
      </c>
      <c r="J4776" s="1323"/>
      <c r="K4776" s="1323"/>
      <c r="L4776" s="1323"/>
      <c r="M4776" s="1323"/>
      <c r="N4776" s="1323"/>
      <c r="O4776" s="1323"/>
      <c r="P4776" s="1323"/>
      <c r="Q4776" s="1323"/>
      <c r="R4776" s="1304"/>
      <c r="S4776" s="1304"/>
      <c r="T4776" s="1304"/>
    </row>
    <row r="4777" spans="1:20">
      <c r="A4777" s="1303"/>
      <c r="B4777" s="1322" t="s">
        <v>11197</v>
      </c>
      <c r="C4777" s="1323" t="s">
        <v>11196</v>
      </c>
      <c r="D4777" s="1324">
        <f t="shared" si="474"/>
        <v>34913</v>
      </c>
      <c r="E4777" s="1323">
        <f t="shared" si="476"/>
        <v>3.6055999999999999</v>
      </c>
      <c r="F4777" s="1323">
        <f t="shared" si="475"/>
        <v>3.9268860042501283</v>
      </c>
      <c r="G4777" s="1323">
        <f t="shared" si="477"/>
        <v>1995</v>
      </c>
      <c r="H4777" s="1323">
        <f t="shared" si="478"/>
        <v>8</v>
      </c>
      <c r="I4777" s="1323">
        <f t="shared" si="479"/>
        <v>2</v>
      </c>
      <c r="J4777" s="1323"/>
      <c r="K4777" s="1323"/>
      <c r="L4777" s="1323"/>
      <c r="M4777" s="1323"/>
      <c r="N4777" s="1323"/>
      <c r="O4777" s="1323"/>
      <c r="P4777" s="1323"/>
      <c r="Q4777" s="1323"/>
      <c r="R4777" s="1304"/>
      <c r="S4777" s="1304"/>
      <c r="T4777" s="1304"/>
    </row>
    <row r="4778" spans="1:20">
      <c r="A4778" s="1303"/>
      <c r="B4778" s="1322" t="s">
        <v>11198</v>
      </c>
      <c r="C4778" s="1323" t="s">
        <v>11199</v>
      </c>
      <c r="D4778" s="1324">
        <f t="shared" si="474"/>
        <v>34912</v>
      </c>
      <c r="E4778" s="1323">
        <f t="shared" si="476"/>
        <v>3.6166</v>
      </c>
      <c r="F4778" s="1323">
        <f t="shared" si="475"/>
        <v>3.9261330472273723</v>
      </c>
      <c r="G4778" s="1323">
        <f t="shared" si="477"/>
        <v>1995</v>
      </c>
      <c r="H4778" s="1323">
        <f t="shared" si="478"/>
        <v>8</v>
      </c>
      <c r="I4778" s="1323">
        <f t="shared" si="479"/>
        <v>1</v>
      </c>
      <c r="J4778" s="1323"/>
      <c r="K4778" s="1323"/>
      <c r="L4778" s="1323"/>
      <c r="M4778" s="1323"/>
      <c r="N4778" s="1323"/>
      <c r="O4778" s="1323"/>
      <c r="P4778" s="1323"/>
      <c r="Q4778" s="1323"/>
      <c r="R4778" s="1304"/>
      <c r="S4778" s="1304"/>
      <c r="T4778" s="1304"/>
    </row>
    <row r="4779" spans="1:20">
      <c r="A4779" s="1303"/>
      <c r="B4779" s="1322" t="s">
        <v>11200</v>
      </c>
      <c r="C4779" s="1323" t="s">
        <v>11201</v>
      </c>
      <c r="D4779" s="1324">
        <f t="shared" si="474"/>
        <v>34911</v>
      </c>
      <c r="E4779" s="1323">
        <f t="shared" si="476"/>
        <v>3.6225000000000001</v>
      </c>
      <c r="F4779" s="1323">
        <f t="shared" si="475"/>
        <v>3.9253802345796447</v>
      </c>
      <c r="G4779" s="1323">
        <f t="shared" si="477"/>
        <v>1995</v>
      </c>
      <c r="H4779" s="1323">
        <f t="shared" si="478"/>
        <v>7</v>
      </c>
      <c r="I4779" s="1323">
        <f t="shared" si="479"/>
        <v>31</v>
      </c>
      <c r="J4779" s="1323"/>
      <c r="K4779" s="1323"/>
      <c r="L4779" s="1323"/>
      <c r="M4779" s="1323"/>
      <c r="N4779" s="1323"/>
      <c r="O4779" s="1323"/>
      <c r="P4779" s="1323"/>
      <c r="Q4779" s="1323"/>
      <c r="R4779" s="1304"/>
      <c r="S4779" s="1304"/>
      <c r="T4779" s="1304"/>
    </row>
    <row r="4780" spans="1:20">
      <c r="A4780" s="1303"/>
      <c r="B4780" s="1322" t="s">
        <v>11202</v>
      </c>
      <c r="C4780" s="1323" t="s">
        <v>11203</v>
      </c>
      <c r="D4780" s="1324">
        <f t="shared" si="474"/>
        <v>34908</v>
      </c>
      <c r="E4780" s="1323">
        <f t="shared" si="476"/>
        <v>3.6278000000000001</v>
      </c>
      <c r="F4780" s="1323">
        <f t="shared" si="475"/>
        <v>3.9246275662792622</v>
      </c>
      <c r="G4780" s="1323">
        <f t="shared" si="477"/>
        <v>1995</v>
      </c>
      <c r="H4780" s="1323">
        <f t="shared" si="478"/>
        <v>7</v>
      </c>
      <c r="I4780" s="1323">
        <f t="shared" si="479"/>
        <v>28</v>
      </c>
      <c r="J4780" s="1323"/>
      <c r="K4780" s="1323"/>
      <c r="L4780" s="1323"/>
      <c r="M4780" s="1323"/>
      <c r="N4780" s="1323"/>
      <c r="O4780" s="1323"/>
      <c r="P4780" s="1323"/>
      <c r="Q4780" s="1323"/>
      <c r="R4780" s="1304"/>
      <c r="S4780" s="1304"/>
      <c r="T4780" s="1304"/>
    </row>
    <row r="4781" spans="1:20">
      <c r="A4781" s="1303"/>
      <c r="B4781" s="1322" t="s">
        <v>11204</v>
      </c>
      <c r="C4781" s="1323" t="s">
        <v>11056</v>
      </c>
      <c r="D4781" s="1324">
        <f t="shared" si="474"/>
        <v>34907</v>
      </c>
      <c r="E4781" s="1323">
        <f t="shared" si="476"/>
        <v>3.6356999999999999</v>
      </c>
      <c r="F4781" s="1323">
        <f t="shared" si="475"/>
        <v>3.9238750422985471</v>
      </c>
      <c r="G4781" s="1323">
        <f t="shared" si="477"/>
        <v>1995</v>
      </c>
      <c r="H4781" s="1323">
        <f t="shared" si="478"/>
        <v>7</v>
      </c>
      <c r="I4781" s="1323">
        <f t="shared" si="479"/>
        <v>27</v>
      </c>
      <c r="J4781" s="1323"/>
      <c r="K4781" s="1323"/>
      <c r="L4781" s="1323"/>
      <c r="M4781" s="1323"/>
      <c r="N4781" s="1323"/>
      <c r="O4781" s="1323"/>
      <c r="P4781" s="1323"/>
      <c r="Q4781" s="1323"/>
      <c r="R4781" s="1304"/>
      <c r="S4781" s="1304"/>
      <c r="T4781" s="1304"/>
    </row>
    <row r="4782" spans="1:20">
      <c r="A4782" s="1303"/>
      <c r="B4782" s="1322" t="s">
        <v>11205</v>
      </c>
      <c r="C4782" s="1323" t="s">
        <v>11060</v>
      </c>
      <c r="D4782" s="1324">
        <f t="shared" si="474"/>
        <v>34906</v>
      </c>
      <c r="E4782" s="1323">
        <f t="shared" si="476"/>
        <v>3.6349999999999998</v>
      </c>
      <c r="F4782" s="1323">
        <f t="shared" si="475"/>
        <v>3.9231226626098272</v>
      </c>
      <c r="G4782" s="1323">
        <f t="shared" si="477"/>
        <v>1995</v>
      </c>
      <c r="H4782" s="1323">
        <f t="shared" si="478"/>
        <v>7</v>
      </c>
      <c r="I4782" s="1323">
        <f t="shared" si="479"/>
        <v>26</v>
      </c>
      <c r="J4782" s="1323"/>
      <c r="K4782" s="1323"/>
      <c r="L4782" s="1323"/>
      <c r="M4782" s="1323"/>
      <c r="N4782" s="1323"/>
      <c r="O4782" s="1323"/>
      <c r="P4782" s="1323"/>
      <c r="Q4782" s="1323"/>
      <c r="R4782" s="1304"/>
      <c r="S4782" s="1304"/>
      <c r="T4782" s="1304"/>
    </row>
    <row r="4783" spans="1:20">
      <c r="A4783" s="1303"/>
      <c r="B4783" s="1322" t="s">
        <v>11206</v>
      </c>
      <c r="C4783" s="1323" t="s">
        <v>11053</v>
      </c>
      <c r="D4783" s="1324">
        <f t="shared" si="474"/>
        <v>34905</v>
      </c>
      <c r="E4783" s="1323">
        <f t="shared" si="476"/>
        <v>3.6349999999999998</v>
      </c>
      <c r="F4783" s="1323">
        <f t="shared" si="475"/>
        <v>3.9223704271854354</v>
      </c>
      <c r="G4783" s="1323">
        <f t="shared" si="477"/>
        <v>1995</v>
      </c>
      <c r="H4783" s="1323">
        <f t="shared" si="478"/>
        <v>7</v>
      </c>
      <c r="I4783" s="1323">
        <f t="shared" si="479"/>
        <v>25</v>
      </c>
      <c r="J4783" s="1323"/>
      <c r="K4783" s="1323"/>
      <c r="L4783" s="1323"/>
      <c r="M4783" s="1323"/>
      <c r="N4783" s="1323"/>
      <c r="O4783" s="1323"/>
      <c r="P4783" s="1323"/>
      <c r="Q4783" s="1323"/>
      <c r="R4783" s="1304"/>
      <c r="S4783" s="1304"/>
      <c r="T4783" s="1304"/>
    </row>
    <row r="4784" spans="1:20">
      <c r="A4784" s="1303"/>
      <c r="B4784" s="1322" t="s">
        <v>11207</v>
      </c>
      <c r="C4784" s="1323" t="s">
        <v>11053</v>
      </c>
      <c r="D4784" s="1324">
        <f t="shared" si="474"/>
        <v>34904</v>
      </c>
      <c r="E4784" s="1323">
        <f t="shared" si="476"/>
        <v>3.6423000000000001</v>
      </c>
      <c r="F4784" s="1323">
        <f t="shared" si="475"/>
        <v>3.9216183359977097</v>
      </c>
      <c r="G4784" s="1323">
        <f t="shared" si="477"/>
        <v>1995</v>
      </c>
      <c r="H4784" s="1323">
        <f t="shared" si="478"/>
        <v>7</v>
      </c>
      <c r="I4784" s="1323">
        <f t="shared" si="479"/>
        <v>24</v>
      </c>
      <c r="J4784" s="1323"/>
      <c r="K4784" s="1323"/>
      <c r="L4784" s="1323"/>
      <c r="M4784" s="1323"/>
      <c r="N4784" s="1323"/>
      <c r="O4784" s="1323"/>
      <c r="P4784" s="1323"/>
      <c r="Q4784" s="1323"/>
      <c r="R4784" s="1304"/>
      <c r="S4784" s="1304"/>
      <c r="T4784" s="1304"/>
    </row>
    <row r="4785" spans="1:20">
      <c r="A4785" s="1303"/>
      <c r="B4785" s="1322" t="s">
        <v>11208</v>
      </c>
      <c r="C4785" s="1323" t="s">
        <v>11022</v>
      </c>
      <c r="D4785" s="1324">
        <f t="shared" si="474"/>
        <v>34901</v>
      </c>
      <c r="E4785" s="1323">
        <f t="shared" si="476"/>
        <v>3.6436999999999999</v>
      </c>
      <c r="F4785" s="1323">
        <f t="shared" si="475"/>
        <v>3.9208663890189936</v>
      </c>
      <c r="G4785" s="1323">
        <f t="shared" si="477"/>
        <v>1995</v>
      </c>
      <c r="H4785" s="1323">
        <f t="shared" si="478"/>
        <v>7</v>
      </c>
      <c r="I4785" s="1323">
        <f t="shared" si="479"/>
        <v>21</v>
      </c>
      <c r="J4785" s="1323"/>
      <c r="K4785" s="1323"/>
      <c r="L4785" s="1323"/>
      <c r="M4785" s="1323"/>
      <c r="N4785" s="1323"/>
      <c r="O4785" s="1323"/>
      <c r="P4785" s="1323"/>
      <c r="Q4785" s="1323"/>
      <c r="R4785" s="1304"/>
      <c r="S4785" s="1304"/>
      <c r="T4785" s="1304"/>
    </row>
    <row r="4786" spans="1:20">
      <c r="A4786" s="1303"/>
      <c r="B4786" s="1322" t="s">
        <v>11209</v>
      </c>
      <c r="C4786" s="1323" t="s">
        <v>11104</v>
      </c>
      <c r="D4786" s="1324">
        <f t="shared" si="474"/>
        <v>34900</v>
      </c>
      <c r="E4786" s="1323">
        <f t="shared" si="476"/>
        <v>3.637</v>
      </c>
      <c r="F4786" s="1323">
        <f t="shared" si="475"/>
        <v>3.920114586221636</v>
      </c>
      <c r="G4786" s="1323">
        <f t="shared" si="477"/>
        <v>1995</v>
      </c>
      <c r="H4786" s="1323">
        <f t="shared" si="478"/>
        <v>7</v>
      </c>
      <c r="I4786" s="1323">
        <f t="shared" si="479"/>
        <v>20</v>
      </c>
      <c r="J4786" s="1323"/>
      <c r="K4786" s="1323"/>
      <c r="L4786" s="1323"/>
      <c r="M4786" s="1323"/>
      <c r="N4786" s="1323"/>
      <c r="O4786" s="1323"/>
      <c r="P4786" s="1323"/>
      <c r="Q4786" s="1323"/>
      <c r="R4786" s="1304"/>
      <c r="S4786" s="1304"/>
      <c r="T4786" s="1304"/>
    </row>
    <row r="4787" spans="1:20">
      <c r="A4787" s="1303"/>
      <c r="B4787" s="1322" t="s">
        <v>11210</v>
      </c>
      <c r="C4787" s="1323" t="s">
        <v>11125</v>
      </c>
      <c r="D4787" s="1324">
        <f t="shared" si="474"/>
        <v>34899</v>
      </c>
      <c r="E4787" s="1323">
        <f t="shared" si="476"/>
        <v>3.645</v>
      </c>
      <c r="F4787" s="1323">
        <f t="shared" si="475"/>
        <v>3.9193629275779909</v>
      </c>
      <c r="G4787" s="1323">
        <f t="shared" si="477"/>
        <v>1995</v>
      </c>
      <c r="H4787" s="1323">
        <f t="shared" si="478"/>
        <v>7</v>
      </c>
      <c r="I4787" s="1323">
        <f t="shared" si="479"/>
        <v>19</v>
      </c>
      <c r="J4787" s="1323"/>
      <c r="K4787" s="1323"/>
      <c r="L4787" s="1323"/>
      <c r="M4787" s="1323"/>
      <c r="N4787" s="1323"/>
      <c r="O4787" s="1323"/>
      <c r="P4787" s="1323"/>
      <c r="Q4787" s="1323"/>
      <c r="R4787" s="1304"/>
      <c r="S4787" s="1304"/>
      <c r="T4787" s="1304"/>
    </row>
    <row r="4788" spans="1:20">
      <c r="A4788" s="1303"/>
      <c r="B4788" s="1322" t="s">
        <v>11211</v>
      </c>
      <c r="C4788" s="1323" t="s">
        <v>11012</v>
      </c>
      <c r="D4788" s="1324">
        <f t="shared" si="474"/>
        <v>34898</v>
      </c>
      <c r="E4788" s="1323">
        <f t="shared" si="476"/>
        <v>3.649</v>
      </c>
      <c r="F4788" s="1323">
        <f t="shared" si="475"/>
        <v>3.9186114130604177</v>
      </c>
      <c r="G4788" s="1323">
        <f t="shared" si="477"/>
        <v>1995</v>
      </c>
      <c r="H4788" s="1323">
        <f t="shared" si="478"/>
        <v>7</v>
      </c>
      <c r="I4788" s="1323">
        <f t="shared" si="479"/>
        <v>18</v>
      </c>
      <c r="J4788" s="1323"/>
      <c r="K4788" s="1323"/>
      <c r="L4788" s="1323"/>
      <c r="M4788" s="1323"/>
      <c r="N4788" s="1323"/>
      <c r="O4788" s="1323"/>
      <c r="P4788" s="1323"/>
      <c r="Q4788" s="1323"/>
      <c r="R4788" s="1304"/>
      <c r="S4788" s="1304"/>
      <c r="T4788" s="1304"/>
    </row>
    <row r="4789" spans="1:20">
      <c r="A4789" s="1303"/>
      <c r="B4789" s="1322" t="s">
        <v>11212</v>
      </c>
      <c r="C4789" s="1323" t="s">
        <v>11010</v>
      </c>
      <c r="D4789" s="1324">
        <f t="shared" si="474"/>
        <v>34897</v>
      </c>
      <c r="E4789" s="1323">
        <f t="shared" si="476"/>
        <v>3.649</v>
      </c>
      <c r="F4789" s="1323">
        <f t="shared" si="475"/>
        <v>3.9178600426412808</v>
      </c>
      <c r="G4789" s="1323">
        <f t="shared" si="477"/>
        <v>1995</v>
      </c>
      <c r="H4789" s="1323">
        <f t="shared" si="478"/>
        <v>7</v>
      </c>
      <c r="I4789" s="1323">
        <f t="shared" si="479"/>
        <v>17</v>
      </c>
      <c r="J4789" s="1323"/>
      <c r="K4789" s="1323"/>
      <c r="L4789" s="1323"/>
      <c r="M4789" s="1323"/>
      <c r="N4789" s="1323"/>
      <c r="O4789" s="1323"/>
      <c r="P4789" s="1323"/>
      <c r="Q4789" s="1323"/>
      <c r="R4789" s="1304"/>
      <c r="S4789" s="1304"/>
      <c r="T4789" s="1304"/>
    </row>
    <row r="4790" spans="1:20">
      <c r="A4790" s="1303"/>
      <c r="B4790" s="1322" t="s">
        <v>11213</v>
      </c>
      <c r="C4790" s="1323" t="s">
        <v>11010</v>
      </c>
      <c r="D4790" s="1324">
        <f t="shared" si="474"/>
        <v>34894</v>
      </c>
      <c r="E4790" s="1323">
        <f t="shared" si="476"/>
        <v>3.6476000000000002</v>
      </c>
      <c r="F4790" s="1323">
        <f t="shared" si="475"/>
        <v>3.9171088162929504</v>
      </c>
      <c r="G4790" s="1323">
        <f t="shared" si="477"/>
        <v>1995</v>
      </c>
      <c r="H4790" s="1323">
        <f t="shared" si="478"/>
        <v>7</v>
      </c>
      <c r="I4790" s="1323">
        <f t="shared" si="479"/>
        <v>14</v>
      </c>
      <c r="J4790" s="1323"/>
      <c r="K4790" s="1323"/>
      <c r="L4790" s="1323"/>
      <c r="M4790" s="1323"/>
      <c r="N4790" s="1323"/>
      <c r="O4790" s="1323"/>
      <c r="P4790" s="1323"/>
      <c r="Q4790" s="1323"/>
      <c r="R4790" s="1304"/>
      <c r="S4790" s="1304"/>
      <c r="T4790" s="1304"/>
    </row>
    <row r="4791" spans="1:20">
      <c r="A4791" s="1303"/>
      <c r="B4791" s="1322" t="s">
        <v>11214</v>
      </c>
      <c r="C4791" s="1323" t="s">
        <v>11014</v>
      </c>
      <c r="D4791" s="1324">
        <f t="shared" si="474"/>
        <v>34893</v>
      </c>
      <c r="E4791" s="1323">
        <f t="shared" si="476"/>
        <v>3.653</v>
      </c>
      <c r="F4791" s="1323">
        <f t="shared" si="475"/>
        <v>3.9163577339878017</v>
      </c>
      <c r="G4791" s="1323">
        <f t="shared" si="477"/>
        <v>1995</v>
      </c>
      <c r="H4791" s="1323">
        <f t="shared" si="478"/>
        <v>7</v>
      </c>
      <c r="I4791" s="1323">
        <f t="shared" si="479"/>
        <v>13</v>
      </c>
      <c r="J4791" s="1323"/>
      <c r="K4791" s="1323"/>
      <c r="L4791" s="1323"/>
      <c r="M4791" s="1323"/>
      <c r="N4791" s="1323"/>
      <c r="O4791" s="1323"/>
      <c r="P4791" s="1323"/>
      <c r="Q4791" s="1323"/>
      <c r="R4791" s="1304"/>
      <c r="S4791" s="1304"/>
      <c r="T4791" s="1304"/>
    </row>
    <row r="4792" spans="1:20">
      <c r="A4792" s="1303"/>
      <c r="B4792" s="1322" t="s">
        <v>11215</v>
      </c>
      <c r="C4792" s="1323" t="s">
        <v>11030</v>
      </c>
      <c r="D4792" s="1324">
        <f t="shared" si="474"/>
        <v>34892</v>
      </c>
      <c r="E4792" s="1323">
        <f t="shared" si="476"/>
        <v>3.6556000000000002</v>
      </c>
      <c r="F4792" s="1323">
        <f t="shared" si="475"/>
        <v>3.9156067956982157</v>
      </c>
      <c r="G4792" s="1323">
        <f t="shared" si="477"/>
        <v>1995</v>
      </c>
      <c r="H4792" s="1323">
        <f t="shared" si="478"/>
        <v>7</v>
      </c>
      <c r="I4792" s="1323">
        <f t="shared" si="479"/>
        <v>12</v>
      </c>
      <c r="J4792" s="1323"/>
      <c r="K4792" s="1323"/>
      <c r="L4792" s="1323"/>
      <c r="M4792" s="1323"/>
      <c r="N4792" s="1323"/>
      <c r="O4792" s="1323"/>
      <c r="P4792" s="1323"/>
      <c r="Q4792" s="1323"/>
      <c r="R4792" s="1304"/>
      <c r="S4792" s="1304"/>
      <c r="T4792" s="1304"/>
    </row>
    <row r="4793" spans="1:20">
      <c r="A4793" s="1303"/>
      <c r="B4793" s="1322" t="s">
        <v>11216</v>
      </c>
      <c r="C4793" s="1323" t="s">
        <v>11132</v>
      </c>
      <c r="D4793" s="1324">
        <f t="shared" si="474"/>
        <v>34891</v>
      </c>
      <c r="E4793" s="1323">
        <f t="shared" si="476"/>
        <v>3.649</v>
      </c>
      <c r="F4793" s="1323">
        <f t="shared" si="475"/>
        <v>3.9148560013965779</v>
      </c>
      <c r="G4793" s="1323">
        <f t="shared" si="477"/>
        <v>1995</v>
      </c>
      <c r="H4793" s="1323">
        <f t="shared" si="478"/>
        <v>7</v>
      </c>
      <c r="I4793" s="1323">
        <f t="shared" si="479"/>
        <v>11</v>
      </c>
      <c r="J4793" s="1323"/>
      <c r="K4793" s="1323"/>
      <c r="L4793" s="1323"/>
      <c r="M4793" s="1323"/>
      <c r="N4793" s="1323"/>
      <c r="O4793" s="1323"/>
      <c r="P4793" s="1323"/>
      <c r="Q4793" s="1323"/>
      <c r="R4793" s="1304"/>
      <c r="S4793" s="1304"/>
      <c r="T4793" s="1304"/>
    </row>
    <row r="4794" spans="1:20">
      <c r="A4794" s="1303"/>
      <c r="B4794" s="1322" t="s">
        <v>11217</v>
      </c>
      <c r="C4794" s="1323" t="s">
        <v>11010</v>
      </c>
      <c r="D4794" s="1324">
        <f t="shared" si="474"/>
        <v>34890</v>
      </c>
      <c r="E4794" s="1323">
        <f t="shared" si="476"/>
        <v>3.649</v>
      </c>
      <c r="F4794" s="1323">
        <f t="shared" si="475"/>
        <v>3.9141053510552792</v>
      </c>
      <c r="G4794" s="1323">
        <f t="shared" si="477"/>
        <v>1995</v>
      </c>
      <c r="H4794" s="1323">
        <f t="shared" si="478"/>
        <v>7</v>
      </c>
      <c r="I4794" s="1323">
        <f t="shared" si="479"/>
        <v>10</v>
      </c>
      <c r="J4794" s="1323"/>
      <c r="K4794" s="1323"/>
      <c r="L4794" s="1323"/>
      <c r="M4794" s="1323"/>
      <c r="N4794" s="1323"/>
      <c r="O4794" s="1323"/>
      <c r="P4794" s="1323"/>
      <c r="Q4794" s="1323"/>
      <c r="R4794" s="1304"/>
      <c r="S4794" s="1304"/>
      <c r="T4794" s="1304"/>
    </row>
    <row r="4795" spans="1:20">
      <c r="A4795" s="1303"/>
      <c r="B4795" s="1322" t="s">
        <v>11218</v>
      </c>
      <c r="C4795" s="1323" t="s">
        <v>11010</v>
      </c>
      <c r="D4795" s="1324">
        <f t="shared" si="474"/>
        <v>34887</v>
      </c>
      <c r="E4795" s="1323">
        <f t="shared" si="476"/>
        <v>3.6364000000000001</v>
      </c>
      <c r="F4795" s="1323">
        <f t="shared" si="475"/>
        <v>3.9133548446467166</v>
      </c>
      <c r="G4795" s="1323">
        <f t="shared" si="477"/>
        <v>1995</v>
      </c>
      <c r="H4795" s="1323">
        <f t="shared" si="478"/>
        <v>7</v>
      </c>
      <c r="I4795" s="1323">
        <f t="shared" si="479"/>
        <v>7</v>
      </c>
      <c r="J4795" s="1323"/>
      <c r="K4795" s="1323"/>
      <c r="L4795" s="1323"/>
      <c r="M4795" s="1323"/>
      <c r="N4795" s="1323"/>
      <c r="O4795" s="1323"/>
      <c r="P4795" s="1323"/>
      <c r="Q4795" s="1323"/>
      <c r="R4795" s="1304"/>
      <c r="S4795" s="1304"/>
      <c r="T4795" s="1304"/>
    </row>
    <row r="4796" spans="1:20">
      <c r="A4796" s="1303"/>
      <c r="B4796" s="1322" t="s">
        <v>11219</v>
      </c>
      <c r="C4796" s="1323" t="s">
        <v>11220</v>
      </c>
      <c r="D4796" s="1324">
        <f t="shared" si="474"/>
        <v>34886</v>
      </c>
      <c r="E4796" s="1323">
        <f t="shared" si="476"/>
        <v>3.6356999999999999</v>
      </c>
      <c r="F4796" s="1323">
        <f t="shared" si="475"/>
        <v>3.9126044821432915</v>
      </c>
      <c r="G4796" s="1323">
        <f t="shared" si="477"/>
        <v>1995</v>
      </c>
      <c r="H4796" s="1323">
        <f t="shared" si="478"/>
        <v>7</v>
      </c>
      <c r="I4796" s="1323">
        <f t="shared" si="479"/>
        <v>6</v>
      </c>
      <c r="J4796" s="1323"/>
      <c r="K4796" s="1323"/>
      <c r="L4796" s="1323"/>
      <c r="M4796" s="1323"/>
      <c r="N4796" s="1323"/>
      <c r="O4796" s="1323"/>
      <c r="P4796" s="1323"/>
      <c r="Q4796" s="1323"/>
      <c r="R4796" s="1304"/>
      <c r="S4796" s="1304"/>
      <c r="T4796" s="1304"/>
    </row>
    <row r="4797" spans="1:20">
      <c r="A4797" s="1303"/>
      <c r="B4797" s="1322" t="s">
        <v>11221</v>
      </c>
      <c r="C4797" s="1323" t="s">
        <v>11060</v>
      </c>
      <c r="D4797" s="1324">
        <f t="shared" si="474"/>
        <v>34885</v>
      </c>
      <c r="E4797" s="1323">
        <f t="shared" si="476"/>
        <v>3.6396999999999999</v>
      </c>
      <c r="F4797" s="1323">
        <f t="shared" si="475"/>
        <v>3.9118542635174114</v>
      </c>
      <c r="G4797" s="1323">
        <f t="shared" si="477"/>
        <v>1995</v>
      </c>
      <c r="H4797" s="1323">
        <f t="shared" si="478"/>
        <v>7</v>
      </c>
      <c r="I4797" s="1323">
        <f t="shared" si="479"/>
        <v>5</v>
      </c>
      <c r="J4797" s="1323"/>
      <c r="K4797" s="1323"/>
      <c r="L4797" s="1323"/>
      <c r="M4797" s="1323"/>
      <c r="N4797" s="1323"/>
      <c r="O4797" s="1323"/>
      <c r="P4797" s="1323"/>
      <c r="Q4797" s="1323"/>
      <c r="R4797" s="1304"/>
      <c r="S4797" s="1304"/>
      <c r="T4797" s="1304"/>
    </row>
    <row r="4798" spans="1:20">
      <c r="A4798" s="1303"/>
      <c r="B4798" s="1322" t="s">
        <v>11222</v>
      </c>
      <c r="C4798" s="1323" t="s">
        <v>11043</v>
      </c>
      <c r="D4798" s="1324">
        <f t="shared" si="474"/>
        <v>34884</v>
      </c>
      <c r="E4798" s="1323">
        <f t="shared" si="476"/>
        <v>3.6316999999999999</v>
      </c>
      <c r="F4798" s="1323">
        <f t="shared" si="475"/>
        <v>3.9111041887414881</v>
      </c>
      <c r="G4798" s="1323">
        <f t="shared" si="477"/>
        <v>1995</v>
      </c>
      <c r="H4798" s="1323">
        <f t="shared" si="478"/>
        <v>7</v>
      </c>
      <c r="I4798" s="1323">
        <f t="shared" si="479"/>
        <v>4</v>
      </c>
      <c r="J4798" s="1323"/>
      <c r="K4798" s="1323"/>
      <c r="L4798" s="1323"/>
      <c r="M4798" s="1323"/>
      <c r="N4798" s="1323"/>
      <c r="O4798" s="1323"/>
      <c r="P4798" s="1323"/>
      <c r="Q4798" s="1323"/>
      <c r="R4798" s="1304"/>
      <c r="S4798" s="1304"/>
      <c r="T4798" s="1304"/>
    </row>
    <row r="4799" spans="1:20">
      <c r="A4799" s="1303"/>
      <c r="B4799" s="1322" t="s">
        <v>11223</v>
      </c>
      <c r="C4799" s="1323" t="s">
        <v>11224</v>
      </c>
      <c r="D4799" s="1324">
        <f t="shared" si="474"/>
        <v>34883</v>
      </c>
      <c r="E4799" s="1323">
        <f t="shared" si="476"/>
        <v>3.6343999999999999</v>
      </c>
      <c r="F4799" s="1323">
        <f t="shared" si="475"/>
        <v>3.9103542577879398</v>
      </c>
      <c r="G4799" s="1323">
        <f t="shared" si="477"/>
        <v>1995</v>
      </c>
      <c r="H4799" s="1323">
        <f t="shared" si="478"/>
        <v>7</v>
      </c>
      <c r="I4799" s="1323">
        <f t="shared" si="479"/>
        <v>3</v>
      </c>
      <c r="J4799" s="1323"/>
      <c r="K4799" s="1323"/>
      <c r="L4799" s="1323"/>
      <c r="M4799" s="1323"/>
      <c r="N4799" s="1323"/>
      <c r="O4799" s="1323"/>
      <c r="P4799" s="1323"/>
      <c r="Q4799" s="1323"/>
      <c r="R4799" s="1304"/>
      <c r="S4799" s="1304"/>
      <c r="T4799" s="1304"/>
    </row>
    <row r="4800" spans="1:20">
      <c r="A4800" s="1303"/>
      <c r="B4800" s="1322" t="s">
        <v>11225</v>
      </c>
      <c r="C4800" s="1323" t="s">
        <v>11045</v>
      </c>
      <c r="D4800" s="1324">
        <f t="shared" si="474"/>
        <v>34880</v>
      </c>
      <c r="E4800" s="1323">
        <f t="shared" si="476"/>
        <v>3.6383000000000001</v>
      </c>
      <c r="F4800" s="1323">
        <f t="shared" si="475"/>
        <v>3.9096044706291888</v>
      </c>
      <c r="G4800" s="1323">
        <f t="shared" si="477"/>
        <v>1995</v>
      </c>
      <c r="H4800" s="1323">
        <f t="shared" si="478"/>
        <v>6</v>
      </c>
      <c r="I4800" s="1323">
        <f t="shared" si="479"/>
        <v>30</v>
      </c>
      <c r="J4800" s="1323"/>
      <c r="K4800" s="1323"/>
      <c r="L4800" s="1323"/>
      <c r="M4800" s="1323"/>
      <c r="N4800" s="1323"/>
      <c r="O4800" s="1323"/>
      <c r="P4800" s="1323"/>
      <c r="Q4800" s="1323"/>
      <c r="R4800" s="1304"/>
      <c r="S4800" s="1304"/>
      <c r="T4800" s="1304"/>
    </row>
    <row r="4801" spans="1:20">
      <c r="A4801" s="1303"/>
      <c r="B4801" s="1322" t="s">
        <v>11226</v>
      </c>
      <c r="C4801" s="1323" t="s">
        <v>11106</v>
      </c>
      <c r="D4801" s="1324">
        <f t="shared" si="474"/>
        <v>34879</v>
      </c>
      <c r="E4801" s="1323">
        <f t="shared" si="476"/>
        <v>3.6543000000000001</v>
      </c>
      <c r="F4801" s="1323">
        <f t="shared" si="475"/>
        <v>3.9088548272376635</v>
      </c>
      <c r="G4801" s="1323">
        <f t="shared" si="477"/>
        <v>1995</v>
      </c>
      <c r="H4801" s="1323">
        <f t="shared" si="478"/>
        <v>6</v>
      </c>
      <c r="I4801" s="1323">
        <f t="shared" si="479"/>
        <v>29</v>
      </c>
      <c r="J4801" s="1323"/>
      <c r="K4801" s="1323"/>
      <c r="L4801" s="1323"/>
      <c r="M4801" s="1323"/>
      <c r="N4801" s="1323"/>
      <c r="O4801" s="1323"/>
      <c r="P4801" s="1323"/>
      <c r="Q4801" s="1323"/>
      <c r="R4801" s="1304"/>
      <c r="S4801" s="1304"/>
      <c r="T4801" s="1304"/>
    </row>
    <row r="4802" spans="1:20">
      <c r="A4802" s="1303"/>
      <c r="B4802" s="1322" t="s">
        <v>11227</v>
      </c>
      <c r="C4802" s="1323" t="s">
        <v>11032</v>
      </c>
      <c r="D4802" s="1324">
        <f t="shared" si="474"/>
        <v>34878</v>
      </c>
      <c r="E4802" s="1323">
        <f t="shared" si="476"/>
        <v>3.6356999999999999</v>
      </c>
      <c r="F4802" s="1323">
        <f t="shared" si="475"/>
        <v>3.9081053275857975</v>
      </c>
      <c r="G4802" s="1323">
        <f t="shared" si="477"/>
        <v>1995</v>
      </c>
      <c r="H4802" s="1323">
        <f t="shared" si="478"/>
        <v>6</v>
      </c>
      <c r="I4802" s="1323">
        <f t="shared" si="479"/>
        <v>28</v>
      </c>
      <c r="J4802" s="1323"/>
      <c r="K4802" s="1323"/>
      <c r="L4802" s="1323"/>
      <c r="M4802" s="1323"/>
      <c r="N4802" s="1323"/>
      <c r="O4802" s="1323"/>
      <c r="P4802" s="1323"/>
      <c r="Q4802" s="1323"/>
      <c r="R4802" s="1304"/>
      <c r="S4802" s="1304"/>
      <c r="T4802" s="1304"/>
    </row>
    <row r="4803" spans="1:20">
      <c r="A4803" s="1303"/>
      <c r="B4803" s="1322" t="s">
        <v>11228</v>
      </c>
      <c r="C4803" s="1323" t="s">
        <v>11060</v>
      </c>
      <c r="D4803" s="1324">
        <f t="shared" si="474"/>
        <v>34877</v>
      </c>
      <c r="E4803" s="1323">
        <f t="shared" si="476"/>
        <v>3.6331000000000002</v>
      </c>
      <c r="F4803" s="1323">
        <f t="shared" si="475"/>
        <v>3.9073559716460298</v>
      </c>
      <c r="G4803" s="1323">
        <f t="shared" si="477"/>
        <v>1995</v>
      </c>
      <c r="H4803" s="1323">
        <f t="shared" si="478"/>
        <v>6</v>
      </c>
      <c r="I4803" s="1323">
        <f t="shared" si="479"/>
        <v>27</v>
      </c>
      <c r="J4803" s="1323"/>
      <c r="K4803" s="1323"/>
      <c r="L4803" s="1323"/>
      <c r="M4803" s="1323"/>
      <c r="N4803" s="1323"/>
      <c r="O4803" s="1323"/>
      <c r="P4803" s="1323"/>
      <c r="Q4803" s="1323"/>
      <c r="R4803" s="1304"/>
      <c r="S4803" s="1304"/>
      <c r="T4803" s="1304"/>
    </row>
    <row r="4804" spans="1:20">
      <c r="A4804" s="1303"/>
      <c r="B4804" s="1322" t="s">
        <v>11229</v>
      </c>
      <c r="C4804" s="1323" t="s">
        <v>11230</v>
      </c>
      <c r="D4804" s="1324">
        <f t="shared" si="474"/>
        <v>34876</v>
      </c>
      <c r="E4804" s="1323">
        <f t="shared" si="476"/>
        <v>3.6303999999999998</v>
      </c>
      <c r="F4804" s="1323">
        <f t="shared" si="475"/>
        <v>3.906606759390804</v>
      </c>
      <c r="G4804" s="1323">
        <f t="shared" si="477"/>
        <v>1995</v>
      </c>
      <c r="H4804" s="1323">
        <f t="shared" si="478"/>
        <v>6</v>
      </c>
      <c r="I4804" s="1323">
        <f t="shared" si="479"/>
        <v>26</v>
      </c>
      <c r="J4804" s="1323"/>
      <c r="K4804" s="1323"/>
      <c r="L4804" s="1323"/>
      <c r="M4804" s="1323"/>
      <c r="N4804" s="1323"/>
      <c r="O4804" s="1323"/>
      <c r="P4804" s="1323"/>
      <c r="Q4804" s="1323"/>
      <c r="R4804" s="1304"/>
      <c r="S4804" s="1304"/>
      <c r="T4804" s="1304"/>
    </row>
    <row r="4805" spans="1:20">
      <c r="A4805" s="1303"/>
      <c r="B4805" s="1322" t="s">
        <v>11231</v>
      </c>
      <c r="C4805" s="1323" t="s">
        <v>11047</v>
      </c>
      <c r="D4805" s="1324">
        <f t="shared" si="474"/>
        <v>34873</v>
      </c>
      <c r="E4805" s="1323">
        <f t="shared" si="476"/>
        <v>3.6442999999999999</v>
      </c>
      <c r="F4805" s="1323">
        <f t="shared" si="475"/>
        <v>3.9058576907925695</v>
      </c>
      <c r="G4805" s="1323">
        <f t="shared" si="477"/>
        <v>1995</v>
      </c>
      <c r="H4805" s="1323">
        <f t="shared" si="478"/>
        <v>6</v>
      </c>
      <c r="I4805" s="1323">
        <f t="shared" si="479"/>
        <v>23</v>
      </c>
      <c r="J4805" s="1323"/>
      <c r="K4805" s="1323"/>
      <c r="L4805" s="1323"/>
      <c r="M4805" s="1323"/>
      <c r="N4805" s="1323"/>
      <c r="O4805" s="1323"/>
      <c r="P4805" s="1323"/>
      <c r="Q4805" s="1323"/>
      <c r="R4805" s="1304"/>
      <c r="S4805" s="1304"/>
      <c r="T4805" s="1304"/>
    </row>
    <row r="4806" spans="1:20">
      <c r="A4806" s="1303"/>
      <c r="B4806" s="1322" t="s">
        <v>11232</v>
      </c>
      <c r="C4806" s="1323" t="s">
        <v>11233</v>
      </c>
      <c r="D4806" s="1324">
        <f t="shared" si="474"/>
        <v>34872</v>
      </c>
      <c r="E4806" s="1323">
        <f t="shared" si="476"/>
        <v>3.6436999999999999</v>
      </c>
      <c r="F4806" s="1323">
        <f t="shared" si="475"/>
        <v>3.9051087658237811</v>
      </c>
      <c r="G4806" s="1323">
        <f t="shared" si="477"/>
        <v>1995</v>
      </c>
      <c r="H4806" s="1323">
        <f t="shared" si="478"/>
        <v>6</v>
      </c>
      <c r="I4806" s="1323">
        <f t="shared" si="479"/>
        <v>22</v>
      </c>
      <c r="J4806" s="1323"/>
      <c r="K4806" s="1323"/>
      <c r="L4806" s="1323"/>
      <c r="M4806" s="1323"/>
      <c r="N4806" s="1323"/>
      <c r="O4806" s="1323"/>
      <c r="P4806" s="1323"/>
      <c r="Q4806" s="1323"/>
      <c r="R4806" s="1304"/>
      <c r="S4806" s="1304"/>
      <c r="T4806" s="1304"/>
    </row>
    <row r="4807" spans="1:20">
      <c r="A4807" s="1303"/>
      <c r="B4807" s="1322" t="s">
        <v>11234</v>
      </c>
      <c r="C4807" s="1323" t="s">
        <v>11104</v>
      </c>
      <c r="D4807" s="1324">
        <f t="shared" si="474"/>
        <v>34871</v>
      </c>
      <c r="E4807" s="1323">
        <f t="shared" si="476"/>
        <v>3.653</v>
      </c>
      <c r="F4807" s="1323">
        <f t="shared" si="475"/>
        <v>3.904359984456899</v>
      </c>
      <c r="G4807" s="1323">
        <f t="shared" si="477"/>
        <v>1995</v>
      </c>
      <c r="H4807" s="1323">
        <f t="shared" si="478"/>
        <v>6</v>
      </c>
      <c r="I4807" s="1323">
        <f t="shared" si="479"/>
        <v>21</v>
      </c>
      <c r="J4807" s="1323"/>
      <c r="K4807" s="1323"/>
      <c r="L4807" s="1323"/>
      <c r="M4807" s="1323"/>
      <c r="N4807" s="1323"/>
      <c r="O4807" s="1323"/>
      <c r="P4807" s="1323"/>
      <c r="Q4807" s="1323"/>
      <c r="R4807" s="1304"/>
      <c r="S4807" s="1304"/>
      <c r="T4807" s="1304"/>
    </row>
    <row r="4808" spans="1:20">
      <c r="A4808" s="1303"/>
      <c r="B4808" s="1322" t="s">
        <v>11235</v>
      </c>
      <c r="C4808" s="1323" t="s">
        <v>11030</v>
      </c>
      <c r="D4808" s="1324">
        <f t="shared" si="474"/>
        <v>34870</v>
      </c>
      <c r="E4808" s="1323">
        <f t="shared" si="476"/>
        <v>3.6623000000000001</v>
      </c>
      <c r="F4808" s="1323">
        <f t="shared" si="475"/>
        <v>3.903611346664388</v>
      </c>
      <c r="G4808" s="1323">
        <f t="shared" si="477"/>
        <v>1995</v>
      </c>
      <c r="H4808" s="1323">
        <f t="shared" si="478"/>
        <v>6</v>
      </c>
      <c r="I4808" s="1323">
        <f t="shared" si="479"/>
        <v>20</v>
      </c>
      <c r="J4808" s="1323"/>
      <c r="K4808" s="1323"/>
      <c r="L4808" s="1323"/>
      <c r="M4808" s="1323"/>
      <c r="N4808" s="1323"/>
      <c r="O4808" s="1323"/>
      <c r="P4808" s="1323"/>
      <c r="Q4808" s="1323"/>
      <c r="R4808" s="1304"/>
      <c r="S4808" s="1304"/>
      <c r="T4808" s="1304"/>
    </row>
    <row r="4809" spans="1:20">
      <c r="A4809" s="1303"/>
      <c r="B4809" s="1322" t="s">
        <v>11236</v>
      </c>
      <c r="C4809" s="1323" t="s">
        <v>11143</v>
      </c>
      <c r="D4809" s="1324">
        <f t="shared" ref="D4809:D4872" si="480">DATE(G4809,H4809,I4809)</f>
        <v>34869</v>
      </c>
      <c r="E4809" s="1323">
        <f t="shared" si="476"/>
        <v>3.6677</v>
      </c>
      <c r="F4809" s="1323">
        <f t="shared" ref="F4809:F4872" si="481">F4810*(1+$F$7/365)</f>
        <v>3.9028628524187186</v>
      </c>
      <c r="G4809" s="1323">
        <f t="shared" si="477"/>
        <v>1995</v>
      </c>
      <c r="H4809" s="1323">
        <f t="shared" si="478"/>
        <v>6</v>
      </c>
      <c r="I4809" s="1323">
        <f t="shared" si="479"/>
        <v>19</v>
      </c>
      <c r="J4809" s="1323"/>
      <c r="K4809" s="1323"/>
      <c r="L4809" s="1323"/>
      <c r="M4809" s="1323"/>
      <c r="N4809" s="1323"/>
      <c r="O4809" s="1323"/>
      <c r="P4809" s="1323"/>
      <c r="Q4809" s="1323"/>
      <c r="R4809" s="1304"/>
      <c r="S4809" s="1304"/>
      <c r="T4809" s="1304"/>
    </row>
    <row r="4810" spans="1:20">
      <c r="A4810" s="1303"/>
      <c r="B4810" s="1322" t="s">
        <v>11237</v>
      </c>
      <c r="C4810" s="1323" t="s">
        <v>11075</v>
      </c>
      <c r="D4810" s="1324">
        <f t="shared" si="480"/>
        <v>34865</v>
      </c>
      <c r="E4810" s="1323">
        <f t="shared" si="476"/>
        <v>3.6623000000000001</v>
      </c>
      <c r="F4810" s="1323">
        <f t="shared" si="481"/>
        <v>3.9021145016923664</v>
      </c>
      <c r="G4810" s="1323">
        <f t="shared" si="477"/>
        <v>1995</v>
      </c>
      <c r="H4810" s="1323">
        <f t="shared" si="478"/>
        <v>6</v>
      </c>
      <c r="I4810" s="1323">
        <f t="shared" si="479"/>
        <v>15</v>
      </c>
      <c r="J4810" s="1323"/>
      <c r="K4810" s="1323"/>
      <c r="L4810" s="1323"/>
      <c r="M4810" s="1323"/>
      <c r="N4810" s="1323"/>
      <c r="O4810" s="1323"/>
      <c r="P4810" s="1323"/>
      <c r="Q4810" s="1323"/>
      <c r="R4810" s="1304"/>
      <c r="S4810" s="1304"/>
      <c r="T4810" s="1304"/>
    </row>
    <row r="4811" spans="1:20">
      <c r="A4811" s="1303"/>
      <c r="B4811" s="1322" t="s">
        <v>11238</v>
      </c>
      <c r="C4811" s="1323" t="s">
        <v>11143</v>
      </c>
      <c r="D4811" s="1324">
        <f t="shared" si="480"/>
        <v>34864</v>
      </c>
      <c r="E4811" s="1323">
        <f t="shared" si="476"/>
        <v>3.6663999999999999</v>
      </c>
      <c r="F4811" s="1323">
        <f t="shared" si="481"/>
        <v>3.9013662944578127</v>
      </c>
      <c r="G4811" s="1323">
        <f t="shared" si="477"/>
        <v>1995</v>
      </c>
      <c r="H4811" s="1323">
        <f t="shared" si="478"/>
        <v>6</v>
      </c>
      <c r="I4811" s="1323">
        <f t="shared" si="479"/>
        <v>14</v>
      </c>
      <c r="J4811" s="1323"/>
      <c r="K4811" s="1323"/>
      <c r="L4811" s="1323"/>
      <c r="M4811" s="1323"/>
      <c r="N4811" s="1323"/>
      <c r="O4811" s="1323"/>
      <c r="P4811" s="1323"/>
      <c r="Q4811" s="1323"/>
      <c r="R4811" s="1304"/>
      <c r="S4811" s="1304"/>
      <c r="T4811" s="1304"/>
    </row>
    <row r="4812" spans="1:20">
      <c r="A4812" s="1303"/>
      <c r="B4812" s="1322" t="s">
        <v>11239</v>
      </c>
      <c r="C4812" s="1323" t="s">
        <v>11073</v>
      </c>
      <c r="D4812" s="1324">
        <f t="shared" si="480"/>
        <v>34863</v>
      </c>
      <c r="E4812" s="1323">
        <f t="shared" si="476"/>
        <v>3.6703999999999999</v>
      </c>
      <c r="F4812" s="1323">
        <f t="shared" si="481"/>
        <v>3.9006182306875439</v>
      </c>
      <c r="G4812" s="1323">
        <f t="shared" si="477"/>
        <v>1995</v>
      </c>
      <c r="H4812" s="1323">
        <f t="shared" si="478"/>
        <v>6</v>
      </c>
      <c r="I4812" s="1323">
        <f t="shared" si="479"/>
        <v>13</v>
      </c>
      <c r="J4812" s="1323"/>
      <c r="K4812" s="1323"/>
      <c r="L4812" s="1323"/>
      <c r="M4812" s="1323"/>
      <c r="N4812" s="1323"/>
      <c r="O4812" s="1323"/>
      <c r="P4812" s="1323"/>
      <c r="Q4812" s="1323"/>
      <c r="R4812" s="1304"/>
      <c r="S4812" s="1304"/>
      <c r="T4812" s="1304"/>
    </row>
    <row r="4813" spans="1:20">
      <c r="A4813" s="1303"/>
      <c r="B4813" s="1322" t="s">
        <v>11240</v>
      </c>
      <c r="C4813" s="1323" t="s">
        <v>11080</v>
      </c>
      <c r="D4813" s="1324">
        <f t="shared" si="480"/>
        <v>34862</v>
      </c>
      <c r="E4813" s="1323">
        <f t="shared" si="476"/>
        <v>3.6758000000000002</v>
      </c>
      <c r="F4813" s="1323">
        <f t="shared" si="481"/>
        <v>3.8998703103540513</v>
      </c>
      <c r="G4813" s="1323">
        <f t="shared" si="477"/>
        <v>1995</v>
      </c>
      <c r="H4813" s="1323">
        <f t="shared" si="478"/>
        <v>6</v>
      </c>
      <c r="I4813" s="1323">
        <f t="shared" si="479"/>
        <v>12</v>
      </c>
      <c r="J4813" s="1323"/>
      <c r="K4813" s="1323"/>
      <c r="L4813" s="1323"/>
      <c r="M4813" s="1323"/>
      <c r="N4813" s="1323"/>
      <c r="O4813" s="1323"/>
      <c r="P4813" s="1323"/>
      <c r="Q4813" s="1323"/>
      <c r="R4813" s="1304"/>
      <c r="S4813" s="1304"/>
      <c r="T4813" s="1304"/>
    </row>
    <row r="4814" spans="1:20">
      <c r="A4814" s="1303"/>
      <c r="B4814" s="1322" t="s">
        <v>11241</v>
      </c>
      <c r="C4814" s="1323" t="s">
        <v>11157</v>
      </c>
      <c r="D4814" s="1324">
        <f t="shared" si="480"/>
        <v>34859</v>
      </c>
      <c r="E4814" s="1323">
        <f t="shared" si="476"/>
        <v>3.6798999999999999</v>
      </c>
      <c r="F4814" s="1323">
        <f t="shared" si="481"/>
        <v>3.8991225334298316</v>
      </c>
      <c r="G4814" s="1323">
        <f t="shared" si="477"/>
        <v>1995</v>
      </c>
      <c r="H4814" s="1323">
        <f t="shared" si="478"/>
        <v>6</v>
      </c>
      <c r="I4814" s="1323">
        <f t="shared" si="479"/>
        <v>9</v>
      </c>
      <c r="J4814" s="1323"/>
      <c r="K4814" s="1323"/>
      <c r="L4814" s="1323"/>
      <c r="M4814" s="1323"/>
      <c r="N4814" s="1323"/>
      <c r="O4814" s="1323"/>
      <c r="P4814" s="1323"/>
      <c r="Q4814" s="1323"/>
      <c r="R4814" s="1304"/>
      <c r="S4814" s="1304"/>
      <c r="T4814" s="1304"/>
    </row>
    <row r="4815" spans="1:20">
      <c r="A4815" s="1303"/>
      <c r="B4815" s="1322" t="s">
        <v>11242</v>
      </c>
      <c r="C4815" s="1323" t="s">
        <v>11243</v>
      </c>
      <c r="D4815" s="1324">
        <f t="shared" si="480"/>
        <v>34858</v>
      </c>
      <c r="E4815" s="1323">
        <f t="shared" si="476"/>
        <v>3.6798999999999999</v>
      </c>
      <c r="F4815" s="1323">
        <f t="shared" si="481"/>
        <v>3.8983748998873873</v>
      </c>
      <c r="G4815" s="1323">
        <f t="shared" si="477"/>
        <v>1995</v>
      </c>
      <c r="H4815" s="1323">
        <f t="shared" si="478"/>
        <v>6</v>
      </c>
      <c r="I4815" s="1323">
        <f t="shared" si="479"/>
        <v>8</v>
      </c>
      <c r="J4815" s="1323"/>
      <c r="K4815" s="1323"/>
      <c r="L4815" s="1323"/>
      <c r="M4815" s="1323"/>
      <c r="N4815" s="1323"/>
      <c r="O4815" s="1323"/>
      <c r="P4815" s="1323"/>
      <c r="Q4815" s="1323"/>
      <c r="R4815" s="1304"/>
      <c r="S4815" s="1304"/>
      <c r="T4815" s="1304"/>
    </row>
    <row r="4816" spans="1:20">
      <c r="A4816" s="1303"/>
      <c r="B4816" s="1322" t="s">
        <v>11244</v>
      </c>
      <c r="C4816" s="1323" t="s">
        <v>11243</v>
      </c>
      <c r="D4816" s="1324">
        <f t="shared" si="480"/>
        <v>34857</v>
      </c>
      <c r="E4816" s="1323">
        <f t="shared" si="476"/>
        <v>3.6758000000000002</v>
      </c>
      <c r="F4816" s="1323">
        <f t="shared" si="481"/>
        <v>3.8976274096992256</v>
      </c>
      <c r="G4816" s="1323">
        <f t="shared" si="477"/>
        <v>1995</v>
      </c>
      <c r="H4816" s="1323">
        <f t="shared" si="478"/>
        <v>6</v>
      </c>
      <c r="I4816" s="1323">
        <f t="shared" si="479"/>
        <v>7</v>
      </c>
      <c r="J4816" s="1323"/>
      <c r="K4816" s="1323"/>
      <c r="L4816" s="1323"/>
      <c r="M4816" s="1323"/>
      <c r="N4816" s="1323"/>
      <c r="O4816" s="1323"/>
      <c r="P4816" s="1323"/>
      <c r="Q4816" s="1323"/>
      <c r="R4816" s="1304"/>
      <c r="S4816" s="1304"/>
      <c r="T4816" s="1304"/>
    </row>
    <row r="4817" spans="1:20">
      <c r="A4817" s="1303"/>
      <c r="B4817" s="1322" t="s">
        <v>11245</v>
      </c>
      <c r="C4817" s="1323" t="s">
        <v>11157</v>
      </c>
      <c r="D4817" s="1324">
        <f t="shared" si="480"/>
        <v>34856</v>
      </c>
      <c r="E4817" s="1323">
        <f t="shared" si="476"/>
        <v>3.6770999999999998</v>
      </c>
      <c r="F4817" s="1323">
        <f t="shared" si="481"/>
        <v>3.8968800628378593</v>
      </c>
      <c r="G4817" s="1323">
        <f t="shared" si="477"/>
        <v>1995</v>
      </c>
      <c r="H4817" s="1323">
        <f t="shared" si="478"/>
        <v>6</v>
      </c>
      <c r="I4817" s="1323">
        <f t="shared" si="479"/>
        <v>6</v>
      </c>
      <c r="J4817" s="1323"/>
      <c r="K4817" s="1323"/>
      <c r="L4817" s="1323"/>
      <c r="M4817" s="1323"/>
      <c r="N4817" s="1323"/>
      <c r="O4817" s="1323"/>
      <c r="P4817" s="1323"/>
      <c r="Q4817" s="1323"/>
      <c r="R4817" s="1304"/>
      <c r="S4817" s="1304"/>
      <c r="T4817" s="1304"/>
    </row>
    <row r="4818" spans="1:20">
      <c r="A4818" s="1303"/>
      <c r="B4818" s="1322" t="s">
        <v>11246</v>
      </c>
      <c r="C4818" s="1323" t="s">
        <v>11247</v>
      </c>
      <c r="D4818" s="1324">
        <f t="shared" si="480"/>
        <v>34855</v>
      </c>
      <c r="E4818" s="1323">
        <f t="shared" si="476"/>
        <v>3.6778</v>
      </c>
      <c r="F4818" s="1323">
        <f t="shared" si="481"/>
        <v>3.8961328592758062</v>
      </c>
      <c r="G4818" s="1323">
        <f t="shared" si="477"/>
        <v>1995</v>
      </c>
      <c r="H4818" s="1323">
        <f t="shared" si="478"/>
        <v>6</v>
      </c>
      <c r="I4818" s="1323">
        <f t="shared" si="479"/>
        <v>5</v>
      </c>
      <c r="J4818" s="1323"/>
      <c r="K4818" s="1323"/>
      <c r="L4818" s="1323"/>
      <c r="M4818" s="1323"/>
      <c r="N4818" s="1323"/>
      <c r="O4818" s="1323"/>
      <c r="P4818" s="1323"/>
      <c r="Q4818" s="1323"/>
      <c r="R4818" s="1304"/>
      <c r="S4818" s="1304"/>
      <c r="T4818" s="1304"/>
    </row>
    <row r="4819" spans="1:20">
      <c r="A4819" s="1303"/>
      <c r="B4819" s="1322" t="s">
        <v>11248</v>
      </c>
      <c r="C4819" s="1323" t="s">
        <v>11249</v>
      </c>
      <c r="D4819" s="1324">
        <f t="shared" si="480"/>
        <v>34852</v>
      </c>
      <c r="E4819" s="1323">
        <f t="shared" si="476"/>
        <v>3.6831999999999998</v>
      </c>
      <c r="F4819" s="1323">
        <f t="shared" si="481"/>
        <v>3.8953857989855898</v>
      </c>
      <c r="G4819" s="1323">
        <f t="shared" si="477"/>
        <v>1995</v>
      </c>
      <c r="H4819" s="1323">
        <f t="shared" si="478"/>
        <v>6</v>
      </c>
      <c r="I4819" s="1323">
        <f t="shared" si="479"/>
        <v>2</v>
      </c>
      <c r="J4819" s="1323"/>
      <c r="K4819" s="1323"/>
      <c r="L4819" s="1323"/>
      <c r="M4819" s="1323"/>
      <c r="N4819" s="1323"/>
      <c r="O4819" s="1323"/>
      <c r="P4819" s="1323"/>
      <c r="Q4819" s="1323"/>
      <c r="R4819" s="1304"/>
      <c r="S4819" s="1304"/>
      <c r="T4819" s="1304"/>
    </row>
    <row r="4820" spans="1:20">
      <c r="A4820" s="1303"/>
      <c r="B4820" s="1322" t="s">
        <v>11250</v>
      </c>
      <c r="C4820" s="1323" t="s">
        <v>11251</v>
      </c>
      <c r="D4820" s="1324">
        <f t="shared" si="480"/>
        <v>34851</v>
      </c>
      <c r="E4820" s="1323">
        <f t="shared" si="476"/>
        <v>3.6894</v>
      </c>
      <c r="F4820" s="1323">
        <f t="shared" si="481"/>
        <v>3.8946388819397382</v>
      </c>
      <c r="G4820" s="1323">
        <f t="shared" si="477"/>
        <v>1995</v>
      </c>
      <c r="H4820" s="1323">
        <f t="shared" si="478"/>
        <v>6</v>
      </c>
      <c r="I4820" s="1323">
        <f t="shared" si="479"/>
        <v>1</v>
      </c>
      <c r="J4820" s="1323"/>
      <c r="K4820" s="1323"/>
      <c r="L4820" s="1323"/>
      <c r="M4820" s="1323"/>
      <c r="N4820" s="1323"/>
      <c r="O4820" s="1323"/>
      <c r="P4820" s="1323"/>
      <c r="Q4820" s="1323"/>
      <c r="R4820" s="1304"/>
      <c r="S4820" s="1304"/>
      <c r="T4820" s="1304"/>
    </row>
    <row r="4821" spans="1:20">
      <c r="A4821" s="1303"/>
      <c r="B4821" s="1322" t="s">
        <v>11252</v>
      </c>
      <c r="C4821" s="1323" t="s">
        <v>11253</v>
      </c>
      <c r="D4821" s="1324">
        <f t="shared" si="480"/>
        <v>34850</v>
      </c>
      <c r="E4821" s="1323">
        <f t="shared" si="476"/>
        <v>3.6663999999999999</v>
      </c>
      <c r="F4821" s="1323">
        <f t="shared" si="481"/>
        <v>3.8938921081107853</v>
      </c>
      <c r="G4821" s="1323">
        <f t="shared" si="477"/>
        <v>1995</v>
      </c>
      <c r="H4821" s="1323">
        <f t="shared" si="478"/>
        <v>5</v>
      </c>
      <c r="I4821" s="1323">
        <f t="shared" si="479"/>
        <v>31</v>
      </c>
      <c r="J4821" s="1323"/>
      <c r="K4821" s="1323"/>
      <c r="L4821" s="1323"/>
      <c r="M4821" s="1323"/>
      <c r="N4821" s="1323"/>
      <c r="O4821" s="1323"/>
      <c r="P4821" s="1323"/>
      <c r="Q4821" s="1323"/>
      <c r="R4821" s="1304"/>
      <c r="S4821" s="1304"/>
      <c r="T4821" s="1304"/>
    </row>
    <row r="4822" spans="1:20">
      <c r="A4822" s="1303"/>
      <c r="B4822" s="1322" t="s">
        <v>11254</v>
      </c>
      <c r="C4822" s="1323" t="s">
        <v>11073</v>
      </c>
      <c r="D4822" s="1324">
        <f t="shared" si="480"/>
        <v>34849</v>
      </c>
      <c r="E4822" s="1323">
        <f t="shared" ref="E4822:E4885" si="482">VALUE(C4823)</f>
        <v>3.6583000000000001</v>
      </c>
      <c r="F4822" s="1323">
        <f t="shared" si="481"/>
        <v>3.8931454774712702</v>
      </c>
      <c r="G4822" s="1323">
        <f t="shared" ref="G4822:G4885" si="483">YEAR(B4823)</f>
        <v>1995</v>
      </c>
      <c r="H4822" s="1323">
        <f t="shared" ref="H4822:H4885" si="484">MONTH(B4823)</f>
        <v>5</v>
      </c>
      <c r="I4822" s="1323">
        <f t="shared" ref="I4822:I4885" si="485">DAY(B4823)</f>
        <v>30</v>
      </c>
      <c r="J4822" s="1323"/>
      <c r="K4822" s="1323"/>
      <c r="L4822" s="1323"/>
      <c r="M4822" s="1323"/>
      <c r="N4822" s="1323"/>
      <c r="O4822" s="1323"/>
      <c r="P4822" s="1323"/>
      <c r="Q4822" s="1323"/>
      <c r="R4822" s="1304"/>
      <c r="S4822" s="1304"/>
      <c r="T4822" s="1304"/>
    </row>
    <row r="4823" spans="1:20">
      <c r="A4823" s="1303"/>
      <c r="B4823" s="1322" t="s">
        <v>11255</v>
      </c>
      <c r="C4823" s="1323" t="s">
        <v>11065</v>
      </c>
      <c r="D4823" s="1324">
        <f t="shared" si="480"/>
        <v>34848</v>
      </c>
      <c r="E4823" s="1323">
        <f t="shared" si="482"/>
        <v>3.6717</v>
      </c>
      <c r="F4823" s="1323">
        <f t="shared" si="481"/>
        <v>3.8923989899937368</v>
      </c>
      <c r="G4823" s="1323">
        <f t="shared" si="483"/>
        <v>1995</v>
      </c>
      <c r="H4823" s="1323">
        <f t="shared" si="484"/>
        <v>5</v>
      </c>
      <c r="I4823" s="1323">
        <f t="shared" si="485"/>
        <v>29</v>
      </c>
      <c r="J4823" s="1323"/>
      <c r="K4823" s="1323"/>
      <c r="L4823" s="1323"/>
      <c r="M4823" s="1323"/>
      <c r="N4823" s="1323"/>
      <c r="O4823" s="1323"/>
      <c r="P4823" s="1323"/>
      <c r="Q4823" s="1323"/>
      <c r="R4823" s="1304"/>
      <c r="S4823" s="1304"/>
      <c r="T4823" s="1304"/>
    </row>
    <row r="4824" spans="1:20">
      <c r="A4824" s="1303"/>
      <c r="B4824" s="1322" t="s">
        <v>11256</v>
      </c>
      <c r="C4824" s="1323" t="s">
        <v>11159</v>
      </c>
      <c r="D4824" s="1324">
        <f t="shared" si="480"/>
        <v>34845</v>
      </c>
      <c r="E4824" s="1323">
        <f t="shared" si="482"/>
        <v>3.6758000000000002</v>
      </c>
      <c r="F4824" s="1323">
        <f t="shared" si="481"/>
        <v>3.8916526456507352</v>
      </c>
      <c r="G4824" s="1323">
        <f t="shared" si="483"/>
        <v>1995</v>
      </c>
      <c r="H4824" s="1323">
        <f t="shared" si="484"/>
        <v>5</v>
      </c>
      <c r="I4824" s="1323">
        <f t="shared" si="485"/>
        <v>26</v>
      </c>
      <c r="J4824" s="1323"/>
      <c r="K4824" s="1323"/>
      <c r="L4824" s="1323"/>
      <c r="M4824" s="1323"/>
      <c r="N4824" s="1323"/>
      <c r="O4824" s="1323"/>
      <c r="P4824" s="1323"/>
      <c r="Q4824" s="1323"/>
      <c r="R4824" s="1304"/>
      <c r="S4824" s="1304"/>
      <c r="T4824" s="1304"/>
    </row>
    <row r="4825" spans="1:20">
      <c r="A4825" s="1303"/>
      <c r="B4825" s="1322" t="s">
        <v>11257</v>
      </c>
      <c r="C4825" s="1323" t="s">
        <v>11157</v>
      </c>
      <c r="D4825" s="1324">
        <f t="shared" si="480"/>
        <v>34844</v>
      </c>
      <c r="E4825" s="1323">
        <f t="shared" si="482"/>
        <v>3.6974999999999998</v>
      </c>
      <c r="F4825" s="1323">
        <f t="shared" si="481"/>
        <v>3.8909064444148198</v>
      </c>
      <c r="G4825" s="1323">
        <f t="shared" si="483"/>
        <v>1995</v>
      </c>
      <c r="H4825" s="1323">
        <f t="shared" si="484"/>
        <v>5</v>
      </c>
      <c r="I4825" s="1323">
        <f t="shared" si="485"/>
        <v>25</v>
      </c>
      <c r="J4825" s="1323"/>
      <c r="K4825" s="1323"/>
      <c r="L4825" s="1323"/>
      <c r="M4825" s="1323"/>
      <c r="N4825" s="1323"/>
      <c r="O4825" s="1323"/>
      <c r="P4825" s="1323"/>
      <c r="Q4825" s="1323"/>
      <c r="R4825" s="1304"/>
      <c r="S4825" s="1304"/>
      <c r="T4825" s="1304"/>
    </row>
    <row r="4826" spans="1:20">
      <c r="A4826" s="1303"/>
      <c r="B4826" s="1322" t="s">
        <v>11258</v>
      </c>
      <c r="C4826" s="1323" t="s">
        <v>11008</v>
      </c>
      <c r="D4826" s="1324">
        <f t="shared" si="480"/>
        <v>34843</v>
      </c>
      <c r="E4826" s="1323">
        <f t="shared" si="482"/>
        <v>3.6989000000000001</v>
      </c>
      <c r="F4826" s="1323">
        <f t="shared" si="481"/>
        <v>3.8901603862585508</v>
      </c>
      <c r="G4826" s="1323">
        <f t="shared" si="483"/>
        <v>1995</v>
      </c>
      <c r="H4826" s="1323">
        <f t="shared" si="484"/>
        <v>5</v>
      </c>
      <c r="I4826" s="1323">
        <f t="shared" si="485"/>
        <v>24</v>
      </c>
      <c r="J4826" s="1323"/>
      <c r="K4826" s="1323"/>
      <c r="L4826" s="1323"/>
      <c r="M4826" s="1323"/>
      <c r="N4826" s="1323"/>
      <c r="O4826" s="1323"/>
      <c r="P4826" s="1323"/>
      <c r="Q4826" s="1323"/>
      <c r="R4826" s="1304"/>
      <c r="S4826" s="1304"/>
      <c r="T4826" s="1304"/>
    </row>
    <row r="4827" spans="1:20">
      <c r="A4827" s="1303"/>
      <c r="B4827" s="1322" t="s">
        <v>11259</v>
      </c>
      <c r="C4827" s="1323" t="s">
        <v>11260</v>
      </c>
      <c r="D4827" s="1324">
        <f t="shared" si="480"/>
        <v>34842</v>
      </c>
      <c r="E4827" s="1323">
        <f t="shared" si="482"/>
        <v>3.6880000000000002</v>
      </c>
      <c r="F4827" s="1323">
        <f t="shared" si="481"/>
        <v>3.8894144711544936</v>
      </c>
      <c r="G4827" s="1323">
        <f t="shared" si="483"/>
        <v>1995</v>
      </c>
      <c r="H4827" s="1323">
        <f t="shared" si="484"/>
        <v>5</v>
      </c>
      <c r="I4827" s="1323">
        <f t="shared" si="485"/>
        <v>23</v>
      </c>
      <c r="J4827" s="1323"/>
      <c r="K4827" s="1323"/>
      <c r="L4827" s="1323"/>
      <c r="M4827" s="1323"/>
      <c r="N4827" s="1323"/>
      <c r="O4827" s="1323"/>
      <c r="P4827" s="1323"/>
      <c r="Q4827" s="1323"/>
      <c r="R4827" s="1304"/>
      <c r="S4827" s="1304"/>
      <c r="T4827" s="1304"/>
    </row>
    <row r="4828" spans="1:20">
      <c r="A4828" s="1303"/>
      <c r="B4828" s="1322" t="s">
        <v>11261</v>
      </c>
      <c r="C4828" s="1323" t="s">
        <v>11262</v>
      </c>
      <c r="D4828" s="1324">
        <f t="shared" si="480"/>
        <v>34841</v>
      </c>
      <c r="E4828" s="1323">
        <f t="shared" si="482"/>
        <v>3.6947999999999999</v>
      </c>
      <c r="F4828" s="1323">
        <f t="shared" si="481"/>
        <v>3.8886686990752186</v>
      </c>
      <c r="G4828" s="1323">
        <f t="shared" si="483"/>
        <v>1995</v>
      </c>
      <c r="H4828" s="1323">
        <f t="shared" si="484"/>
        <v>5</v>
      </c>
      <c r="I4828" s="1323">
        <f t="shared" si="485"/>
        <v>22</v>
      </c>
      <c r="J4828" s="1323"/>
      <c r="K4828" s="1323"/>
      <c r="L4828" s="1323"/>
      <c r="M4828" s="1323"/>
      <c r="N4828" s="1323"/>
      <c r="O4828" s="1323"/>
      <c r="P4828" s="1323"/>
      <c r="Q4828" s="1323"/>
      <c r="R4828" s="1304"/>
      <c r="S4828" s="1304"/>
      <c r="T4828" s="1304"/>
    </row>
    <row r="4829" spans="1:20">
      <c r="A4829" s="1303"/>
      <c r="B4829" s="1322" t="s">
        <v>11263</v>
      </c>
      <c r="C4829" s="1323" t="s">
        <v>11264</v>
      </c>
      <c r="D4829" s="1324">
        <f t="shared" si="480"/>
        <v>34838</v>
      </c>
      <c r="E4829" s="1323">
        <f t="shared" si="482"/>
        <v>3.6852999999999998</v>
      </c>
      <c r="F4829" s="1323">
        <f t="shared" si="481"/>
        <v>3.8879230699933021</v>
      </c>
      <c r="G4829" s="1323">
        <f t="shared" si="483"/>
        <v>1995</v>
      </c>
      <c r="H4829" s="1323">
        <f t="shared" si="484"/>
        <v>5</v>
      </c>
      <c r="I4829" s="1323">
        <f t="shared" si="485"/>
        <v>19</v>
      </c>
      <c r="J4829" s="1323"/>
      <c r="K4829" s="1323"/>
      <c r="L4829" s="1323"/>
      <c r="M4829" s="1323"/>
      <c r="N4829" s="1323"/>
      <c r="O4829" s="1323"/>
      <c r="P4829" s="1323"/>
      <c r="Q4829" s="1323"/>
      <c r="R4829" s="1304"/>
      <c r="S4829" s="1304"/>
      <c r="T4829" s="1304"/>
    </row>
    <row r="4830" spans="1:20">
      <c r="A4830" s="1303"/>
      <c r="B4830" s="1322" t="s">
        <v>11265</v>
      </c>
      <c r="C4830" s="1323" t="s">
        <v>11266</v>
      </c>
      <c r="D4830" s="1324">
        <f t="shared" si="480"/>
        <v>34837</v>
      </c>
      <c r="E4830" s="1323">
        <f t="shared" si="482"/>
        <v>3.6785000000000001</v>
      </c>
      <c r="F4830" s="1323">
        <f t="shared" si="481"/>
        <v>3.8871775838813245</v>
      </c>
      <c r="G4830" s="1323">
        <f t="shared" si="483"/>
        <v>1995</v>
      </c>
      <c r="H4830" s="1323">
        <f t="shared" si="484"/>
        <v>5</v>
      </c>
      <c r="I4830" s="1323">
        <f t="shared" si="485"/>
        <v>18</v>
      </c>
      <c r="J4830" s="1323"/>
      <c r="K4830" s="1323"/>
      <c r="L4830" s="1323"/>
      <c r="M4830" s="1323"/>
      <c r="N4830" s="1323"/>
      <c r="O4830" s="1323"/>
      <c r="P4830" s="1323"/>
      <c r="Q4830" s="1323"/>
      <c r="R4830" s="1304"/>
      <c r="S4830" s="1304"/>
      <c r="T4830" s="1304"/>
    </row>
    <row r="4831" spans="1:20">
      <c r="A4831" s="1303"/>
      <c r="B4831" s="1322" t="s">
        <v>11267</v>
      </c>
      <c r="C4831" s="1323" t="s">
        <v>11268</v>
      </c>
      <c r="D4831" s="1324">
        <f t="shared" si="480"/>
        <v>34836</v>
      </c>
      <c r="E4831" s="1323">
        <f t="shared" si="482"/>
        <v>3.6556000000000002</v>
      </c>
      <c r="F4831" s="1323">
        <f t="shared" si="481"/>
        <v>3.8864322407118728</v>
      </c>
      <c r="G4831" s="1323">
        <f t="shared" si="483"/>
        <v>1995</v>
      </c>
      <c r="H4831" s="1323">
        <f t="shared" si="484"/>
        <v>5</v>
      </c>
      <c r="I4831" s="1323">
        <f t="shared" si="485"/>
        <v>17</v>
      </c>
      <c r="J4831" s="1323"/>
      <c r="K4831" s="1323"/>
      <c r="L4831" s="1323"/>
      <c r="M4831" s="1323"/>
      <c r="N4831" s="1323"/>
      <c r="O4831" s="1323"/>
      <c r="P4831" s="1323"/>
      <c r="Q4831" s="1323"/>
      <c r="R4831" s="1304"/>
      <c r="S4831" s="1304"/>
      <c r="T4831" s="1304"/>
    </row>
    <row r="4832" spans="1:20">
      <c r="A4832" s="1303"/>
      <c r="B4832" s="1322" t="s">
        <v>11269</v>
      </c>
      <c r="C4832" s="1323" t="s">
        <v>11132</v>
      </c>
      <c r="D4832" s="1324">
        <f t="shared" si="480"/>
        <v>34835</v>
      </c>
      <c r="E4832" s="1323">
        <f t="shared" si="482"/>
        <v>3.6496</v>
      </c>
      <c r="F4832" s="1323">
        <f t="shared" si="481"/>
        <v>3.8856870404575381</v>
      </c>
      <c r="G4832" s="1323">
        <f t="shared" si="483"/>
        <v>1995</v>
      </c>
      <c r="H4832" s="1323">
        <f t="shared" si="484"/>
        <v>5</v>
      </c>
      <c r="I4832" s="1323">
        <f t="shared" si="485"/>
        <v>16</v>
      </c>
      <c r="J4832" s="1323"/>
      <c r="K4832" s="1323"/>
      <c r="L4832" s="1323"/>
      <c r="M4832" s="1323"/>
      <c r="N4832" s="1323"/>
      <c r="O4832" s="1323"/>
      <c r="P4832" s="1323"/>
      <c r="Q4832" s="1323"/>
      <c r="R4832" s="1304"/>
      <c r="S4832" s="1304"/>
      <c r="T4832" s="1304"/>
    </row>
    <row r="4833" spans="1:20">
      <c r="A4833" s="1303"/>
      <c r="B4833" s="1322" t="s">
        <v>11270</v>
      </c>
      <c r="C4833" s="1323" t="s">
        <v>11271</v>
      </c>
      <c r="D4833" s="1324">
        <f t="shared" si="480"/>
        <v>34834</v>
      </c>
      <c r="E4833" s="1323">
        <f t="shared" si="482"/>
        <v>3.6543000000000001</v>
      </c>
      <c r="F4833" s="1323">
        <f t="shared" si="481"/>
        <v>3.884941983090918</v>
      </c>
      <c r="G4833" s="1323">
        <f t="shared" si="483"/>
        <v>1995</v>
      </c>
      <c r="H4833" s="1323">
        <f t="shared" si="484"/>
        <v>5</v>
      </c>
      <c r="I4833" s="1323">
        <f t="shared" si="485"/>
        <v>15</v>
      </c>
      <c r="J4833" s="1323"/>
      <c r="K4833" s="1323"/>
      <c r="L4833" s="1323"/>
      <c r="M4833" s="1323"/>
      <c r="N4833" s="1323"/>
      <c r="O4833" s="1323"/>
      <c r="P4833" s="1323"/>
      <c r="Q4833" s="1323"/>
      <c r="R4833" s="1304"/>
      <c r="S4833" s="1304"/>
      <c r="T4833" s="1304"/>
    </row>
    <row r="4834" spans="1:20">
      <c r="A4834" s="1303"/>
      <c r="B4834" s="1322" t="s">
        <v>11272</v>
      </c>
      <c r="C4834" s="1323" t="s">
        <v>11032</v>
      </c>
      <c r="D4834" s="1324">
        <f t="shared" si="480"/>
        <v>34831</v>
      </c>
      <c r="E4834" s="1323">
        <f t="shared" si="482"/>
        <v>3.6556000000000002</v>
      </c>
      <c r="F4834" s="1323">
        <f t="shared" si="481"/>
        <v>3.8841970685846139</v>
      </c>
      <c r="G4834" s="1323">
        <f t="shared" si="483"/>
        <v>1995</v>
      </c>
      <c r="H4834" s="1323">
        <f t="shared" si="484"/>
        <v>5</v>
      </c>
      <c r="I4834" s="1323">
        <f t="shared" si="485"/>
        <v>12</v>
      </c>
      <c r="J4834" s="1323"/>
      <c r="K4834" s="1323"/>
      <c r="L4834" s="1323"/>
      <c r="M4834" s="1323"/>
      <c r="N4834" s="1323"/>
      <c r="O4834" s="1323"/>
      <c r="P4834" s="1323"/>
      <c r="Q4834" s="1323"/>
      <c r="R4834" s="1304"/>
      <c r="S4834" s="1304"/>
      <c r="T4834" s="1304"/>
    </row>
    <row r="4835" spans="1:20">
      <c r="A4835" s="1303"/>
      <c r="B4835" s="1322" t="s">
        <v>11273</v>
      </c>
      <c r="C4835" s="1323" t="s">
        <v>11132</v>
      </c>
      <c r="D4835" s="1324">
        <f t="shared" si="480"/>
        <v>34830</v>
      </c>
      <c r="E4835" s="1323">
        <f t="shared" si="482"/>
        <v>3.6396999999999999</v>
      </c>
      <c r="F4835" s="1323">
        <f t="shared" si="481"/>
        <v>3.8834522969112335</v>
      </c>
      <c r="G4835" s="1323">
        <f t="shared" si="483"/>
        <v>1995</v>
      </c>
      <c r="H4835" s="1323">
        <f t="shared" si="484"/>
        <v>5</v>
      </c>
      <c r="I4835" s="1323">
        <f t="shared" si="485"/>
        <v>11</v>
      </c>
      <c r="J4835" s="1323"/>
      <c r="K4835" s="1323"/>
      <c r="L4835" s="1323"/>
      <c r="M4835" s="1323"/>
      <c r="N4835" s="1323"/>
      <c r="O4835" s="1323"/>
      <c r="P4835" s="1323"/>
      <c r="Q4835" s="1323"/>
      <c r="R4835" s="1304"/>
      <c r="S4835" s="1304"/>
      <c r="T4835" s="1304"/>
    </row>
    <row r="4836" spans="1:20">
      <c r="A4836" s="1303"/>
      <c r="B4836" s="1322" t="s">
        <v>11274</v>
      </c>
      <c r="C4836" s="1323" t="s">
        <v>11043</v>
      </c>
      <c r="D4836" s="1324">
        <f t="shared" si="480"/>
        <v>34829</v>
      </c>
      <c r="E4836" s="1323">
        <f t="shared" si="482"/>
        <v>3.6343999999999999</v>
      </c>
      <c r="F4836" s="1323">
        <f t="shared" si="481"/>
        <v>3.8827076680433894</v>
      </c>
      <c r="G4836" s="1323">
        <f t="shared" si="483"/>
        <v>1995</v>
      </c>
      <c r="H4836" s="1323">
        <f t="shared" si="484"/>
        <v>5</v>
      </c>
      <c r="I4836" s="1323">
        <f t="shared" si="485"/>
        <v>10</v>
      </c>
      <c r="J4836" s="1323"/>
      <c r="K4836" s="1323"/>
      <c r="L4836" s="1323"/>
      <c r="M4836" s="1323"/>
      <c r="N4836" s="1323"/>
      <c r="O4836" s="1323"/>
      <c r="P4836" s="1323"/>
      <c r="Q4836" s="1323"/>
      <c r="R4836" s="1304"/>
      <c r="S4836" s="1304"/>
      <c r="T4836" s="1304"/>
    </row>
    <row r="4837" spans="1:20">
      <c r="A4837" s="1303"/>
      <c r="B4837" s="1322" t="s">
        <v>11275</v>
      </c>
      <c r="C4837" s="1323" t="s">
        <v>11045</v>
      </c>
      <c r="D4837" s="1324">
        <f t="shared" si="480"/>
        <v>34828</v>
      </c>
      <c r="E4837" s="1323">
        <f t="shared" si="482"/>
        <v>3.6303999999999998</v>
      </c>
      <c r="F4837" s="1323">
        <f t="shared" si="481"/>
        <v>3.8819631819536995</v>
      </c>
      <c r="G4837" s="1323">
        <f t="shared" si="483"/>
        <v>1995</v>
      </c>
      <c r="H4837" s="1323">
        <f t="shared" si="484"/>
        <v>5</v>
      </c>
      <c r="I4837" s="1323">
        <f t="shared" si="485"/>
        <v>9</v>
      </c>
      <c r="J4837" s="1323"/>
      <c r="K4837" s="1323"/>
      <c r="L4837" s="1323"/>
      <c r="M4837" s="1323"/>
      <c r="N4837" s="1323"/>
      <c r="O4837" s="1323"/>
      <c r="P4837" s="1323"/>
      <c r="Q4837" s="1323"/>
      <c r="R4837" s="1304"/>
      <c r="S4837" s="1304"/>
      <c r="T4837" s="1304"/>
    </row>
    <row r="4838" spans="1:20">
      <c r="A4838" s="1303"/>
      <c r="B4838" s="1322" t="s">
        <v>11276</v>
      </c>
      <c r="C4838" s="1323" t="s">
        <v>11047</v>
      </c>
      <c r="D4838" s="1324">
        <f t="shared" si="480"/>
        <v>34827</v>
      </c>
      <c r="E4838" s="1323">
        <f t="shared" si="482"/>
        <v>3.6265000000000001</v>
      </c>
      <c r="F4838" s="1323">
        <f t="shared" si="481"/>
        <v>3.881218838614787</v>
      </c>
      <c r="G4838" s="1323">
        <f t="shared" si="483"/>
        <v>1995</v>
      </c>
      <c r="H4838" s="1323">
        <f t="shared" si="484"/>
        <v>5</v>
      </c>
      <c r="I4838" s="1323">
        <f t="shared" si="485"/>
        <v>8</v>
      </c>
      <c r="J4838" s="1323"/>
      <c r="K4838" s="1323"/>
      <c r="L4838" s="1323"/>
      <c r="M4838" s="1323"/>
      <c r="N4838" s="1323"/>
      <c r="O4838" s="1323"/>
      <c r="P4838" s="1323"/>
      <c r="Q4838" s="1323"/>
      <c r="R4838" s="1304"/>
      <c r="S4838" s="1304"/>
      <c r="T4838" s="1304"/>
    </row>
    <row r="4839" spans="1:20">
      <c r="A4839" s="1303"/>
      <c r="B4839" s="1322" t="s">
        <v>11277</v>
      </c>
      <c r="C4839" s="1323" t="s">
        <v>11051</v>
      </c>
      <c r="D4839" s="1324">
        <f t="shared" si="480"/>
        <v>34824</v>
      </c>
      <c r="E4839" s="1323">
        <f t="shared" si="482"/>
        <v>3.6278000000000001</v>
      </c>
      <c r="F4839" s="1323">
        <f t="shared" si="481"/>
        <v>3.8804746379992801</v>
      </c>
      <c r="G4839" s="1323">
        <f t="shared" si="483"/>
        <v>1995</v>
      </c>
      <c r="H4839" s="1323">
        <f t="shared" si="484"/>
        <v>5</v>
      </c>
      <c r="I4839" s="1323">
        <f t="shared" si="485"/>
        <v>5</v>
      </c>
      <c r="J4839" s="1323"/>
      <c r="K4839" s="1323"/>
      <c r="L4839" s="1323"/>
      <c r="M4839" s="1323"/>
      <c r="N4839" s="1323"/>
      <c r="O4839" s="1323"/>
      <c r="P4839" s="1323"/>
      <c r="Q4839" s="1323"/>
      <c r="R4839" s="1304"/>
      <c r="S4839" s="1304"/>
      <c r="T4839" s="1304"/>
    </row>
    <row r="4840" spans="1:20">
      <c r="A4840" s="1303"/>
      <c r="B4840" s="1322" t="s">
        <v>11278</v>
      </c>
      <c r="C4840" s="1323" t="s">
        <v>11056</v>
      </c>
      <c r="D4840" s="1324">
        <f t="shared" si="480"/>
        <v>34823</v>
      </c>
      <c r="E4840" s="1323">
        <f t="shared" si="482"/>
        <v>3.637</v>
      </c>
      <c r="F4840" s="1323">
        <f t="shared" si="481"/>
        <v>3.8797305800798125</v>
      </c>
      <c r="G4840" s="1323">
        <f t="shared" si="483"/>
        <v>1995</v>
      </c>
      <c r="H4840" s="1323">
        <f t="shared" si="484"/>
        <v>5</v>
      </c>
      <c r="I4840" s="1323">
        <f t="shared" si="485"/>
        <v>4</v>
      </c>
      <c r="J4840" s="1323"/>
      <c r="K4840" s="1323"/>
      <c r="L4840" s="1323"/>
      <c r="M4840" s="1323"/>
      <c r="N4840" s="1323"/>
      <c r="O4840" s="1323"/>
      <c r="P4840" s="1323"/>
      <c r="Q4840" s="1323"/>
      <c r="R4840" s="1304"/>
      <c r="S4840" s="1304"/>
      <c r="T4840" s="1304"/>
    </row>
    <row r="4841" spans="1:20">
      <c r="A4841" s="1303"/>
      <c r="B4841" s="1322" t="s">
        <v>11279</v>
      </c>
      <c r="C4841" s="1323" t="s">
        <v>11125</v>
      </c>
      <c r="D4841" s="1324">
        <f t="shared" si="480"/>
        <v>34822</v>
      </c>
      <c r="E4841" s="1323">
        <f t="shared" si="482"/>
        <v>3.6265000000000001</v>
      </c>
      <c r="F4841" s="1323">
        <f t="shared" si="481"/>
        <v>3.8789866648290232</v>
      </c>
      <c r="G4841" s="1323">
        <f t="shared" si="483"/>
        <v>1995</v>
      </c>
      <c r="H4841" s="1323">
        <f t="shared" si="484"/>
        <v>5</v>
      </c>
      <c r="I4841" s="1323">
        <f t="shared" si="485"/>
        <v>3</v>
      </c>
      <c r="J4841" s="1323"/>
      <c r="K4841" s="1323"/>
      <c r="L4841" s="1323"/>
      <c r="M4841" s="1323"/>
      <c r="N4841" s="1323"/>
      <c r="O4841" s="1323"/>
      <c r="P4841" s="1323"/>
      <c r="Q4841" s="1323"/>
      <c r="R4841" s="1304"/>
      <c r="S4841" s="1304"/>
      <c r="T4841" s="1304"/>
    </row>
    <row r="4842" spans="1:20">
      <c r="A4842" s="1303"/>
      <c r="B4842" s="1322" t="s">
        <v>11280</v>
      </c>
      <c r="C4842" s="1323" t="s">
        <v>11051</v>
      </c>
      <c r="D4842" s="1324">
        <f t="shared" si="480"/>
        <v>34821</v>
      </c>
      <c r="E4842" s="1323">
        <f t="shared" si="482"/>
        <v>3.6265000000000001</v>
      </c>
      <c r="F4842" s="1323">
        <f t="shared" si="481"/>
        <v>3.8782428922195562</v>
      </c>
      <c r="G4842" s="1323">
        <f t="shared" si="483"/>
        <v>1995</v>
      </c>
      <c r="H4842" s="1323">
        <f t="shared" si="484"/>
        <v>5</v>
      </c>
      <c r="I4842" s="1323">
        <f t="shared" si="485"/>
        <v>2</v>
      </c>
      <c r="J4842" s="1323"/>
      <c r="K4842" s="1323"/>
      <c r="L4842" s="1323"/>
      <c r="M4842" s="1323"/>
      <c r="N4842" s="1323"/>
      <c r="O4842" s="1323"/>
      <c r="P4842" s="1323"/>
      <c r="Q4842" s="1323"/>
      <c r="R4842" s="1304"/>
      <c r="S4842" s="1304"/>
      <c r="T4842" s="1304"/>
    </row>
    <row r="4843" spans="1:20">
      <c r="A4843" s="1303"/>
      <c r="B4843" s="1322" t="s">
        <v>11281</v>
      </c>
      <c r="C4843" s="1323" t="s">
        <v>11051</v>
      </c>
      <c r="D4843" s="1324">
        <f t="shared" si="480"/>
        <v>34817</v>
      </c>
      <c r="E4843" s="1323">
        <f t="shared" si="482"/>
        <v>3.6193</v>
      </c>
      <c r="F4843" s="1323">
        <f t="shared" si="481"/>
        <v>3.8774992622240609</v>
      </c>
      <c r="G4843" s="1323">
        <f t="shared" si="483"/>
        <v>1995</v>
      </c>
      <c r="H4843" s="1323">
        <f t="shared" si="484"/>
        <v>4</v>
      </c>
      <c r="I4843" s="1323">
        <f t="shared" si="485"/>
        <v>28</v>
      </c>
      <c r="J4843" s="1323"/>
      <c r="K4843" s="1323"/>
      <c r="L4843" s="1323"/>
      <c r="M4843" s="1323"/>
      <c r="N4843" s="1323"/>
      <c r="O4843" s="1323"/>
      <c r="P4843" s="1323"/>
      <c r="Q4843" s="1323"/>
      <c r="R4843" s="1304"/>
      <c r="S4843" s="1304"/>
      <c r="T4843" s="1304"/>
    </row>
    <row r="4844" spans="1:20">
      <c r="A4844" s="1303"/>
      <c r="B4844" s="1322" t="s">
        <v>11282</v>
      </c>
      <c r="C4844" s="1323" t="s">
        <v>11283</v>
      </c>
      <c r="D4844" s="1324">
        <f t="shared" si="480"/>
        <v>34815</v>
      </c>
      <c r="E4844" s="1323">
        <f t="shared" si="482"/>
        <v>3.6219000000000001</v>
      </c>
      <c r="F4844" s="1323">
        <f t="shared" si="481"/>
        <v>3.8767557748151922</v>
      </c>
      <c r="G4844" s="1323">
        <f t="shared" si="483"/>
        <v>1995</v>
      </c>
      <c r="H4844" s="1323">
        <f t="shared" si="484"/>
        <v>4</v>
      </c>
      <c r="I4844" s="1323">
        <f t="shared" si="485"/>
        <v>26</v>
      </c>
      <c r="J4844" s="1323"/>
      <c r="K4844" s="1323"/>
      <c r="L4844" s="1323"/>
      <c r="M4844" s="1323"/>
      <c r="N4844" s="1323"/>
      <c r="O4844" s="1323"/>
      <c r="P4844" s="1323"/>
      <c r="Q4844" s="1323"/>
      <c r="R4844" s="1304"/>
      <c r="S4844" s="1304"/>
      <c r="T4844" s="1304"/>
    </row>
    <row r="4845" spans="1:20">
      <c r="A4845" s="1303"/>
      <c r="B4845" s="1322" t="s">
        <v>11284</v>
      </c>
      <c r="C4845" s="1323" t="s">
        <v>11285</v>
      </c>
      <c r="D4845" s="1324">
        <f t="shared" si="480"/>
        <v>34814</v>
      </c>
      <c r="E4845" s="1323">
        <f t="shared" si="482"/>
        <v>3.6139999999999999</v>
      </c>
      <c r="F4845" s="1323">
        <f t="shared" si="481"/>
        <v>3.8760124299656096</v>
      </c>
      <c r="G4845" s="1323">
        <f t="shared" si="483"/>
        <v>1995</v>
      </c>
      <c r="H4845" s="1323">
        <f t="shared" si="484"/>
        <v>4</v>
      </c>
      <c r="I4845" s="1323">
        <f t="shared" si="485"/>
        <v>25</v>
      </c>
      <c r="J4845" s="1323"/>
      <c r="K4845" s="1323"/>
      <c r="L4845" s="1323"/>
      <c r="M4845" s="1323"/>
      <c r="N4845" s="1323"/>
      <c r="O4845" s="1323"/>
      <c r="P4845" s="1323"/>
      <c r="Q4845" s="1323"/>
      <c r="R4845" s="1304"/>
      <c r="S4845" s="1304"/>
      <c r="T4845" s="1304"/>
    </row>
    <row r="4846" spans="1:20">
      <c r="A4846" s="1303"/>
      <c r="B4846" s="1322" t="s">
        <v>11286</v>
      </c>
      <c r="C4846" s="1323" t="s">
        <v>11287</v>
      </c>
      <c r="D4846" s="1324">
        <f t="shared" si="480"/>
        <v>34813</v>
      </c>
      <c r="E4846" s="1323">
        <f t="shared" si="482"/>
        <v>3.6042999999999998</v>
      </c>
      <c r="F4846" s="1323">
        <f t="shared" si="481"/>
        <v>3.8752692276479785</v>
      </c>
      <c r="G4846" s="1323">
        <f t="shared" si="483"/>
        <v>1995</v>
      </c>
      <c r="H4846" s="1323">
        <f t="shared" si="484"/>
        <v>4</v>
      </c>
      <c r="I4846" s="1323">
        <f t="shared" si="485"/>
        <v>24</v>
      </c>
      <c r="J4846" s="1323"/>
      <c r="K4846" s="1323"/>
      <c r="L4846" s="1323"/>
      <c r="M4846" s="1323"/>
      <c r="N4846" s="1323"/>
      <c r="O4846" s="1323"/>
      <c r="P4846" s="1323"/>
      <c r="Q4846" s="1323"/>
      <c r="R4846" s="1304"/>
      <c r="S4846" s="1304"/>
      <c r="T4846" s="1304"/>
    </row>
    <row r="4847" spans="1:20">
      <c r="A4847" s="1303"/>
      <c r="B4847" s="1322" t="s">
        <v>11288</v>
      </c>
      <c r="C4847" s="1323" t="s">
        <v>11289</v>
      </c>
      <c r="D4847" s="1324">
        <f t="shared" si="480"/>
        <v>34810</v>
      </c>
      <c r="E4847" s="1323">
        <f t="shared" si="482"/>
        <v>3.6160000000000001</v>
      </c>
      <c r="F4847" s="1323">
        <f t="shared" si="481"/>
        <v>3.8745261678349689</v>
      </c>
      <c r="G4847" s="1323">
        <f t="shared" si="483"/>
        <v>1995</v>
      </c>
      <c r="H4847" s="1323">
        <f t="shared" si="484"/>
        <v>4</v>
      </c>
      <c r="I4847" s="1323">
        <f t="shared" si="485"/>
        <v>21</v>
      </c>
      <c r="J4847" s="1323"/>
      <c r="K4847" s="1323"/>
      <c r="L4847" s="1323"/>
      <c r="M4847" s="1323"/>
      <c r="N4847" s="1323"/>
      <c r="O4847" s="1323"/>
      <c r="P4847" s="1323"/>
      <c r="Q4847" s="1323"/>
      <c r="R4847" s="1304"/>
      <c r="S4847" s="1304"/>
      <c r="T4847" s="1304"/>
    </row>
    <row r="4848" spans="1:20">
      <c r="A4848" s="1303"/>
      <c r="B4848" s="1322" t="s">
        <v>11290</v>
      </c>
      <c r="C4848" s="1323" t="s">
        <v>11291</v>
      </c>
      <c r="D4848" s="1324">
        <f t="shared" si="480"/>
        <v>34809</v>
      </c>
      <c r="E4848" s="1323">
        <f t="shared" si="482"/>
        <v>3.6023000000000001</v>
      </c>
      <c r="F4848" s="1323">
        <f t="shared" si="481"/>
        <v>3.8737832504992564</v>
      </c>
      <c r="G4848" s="1323">
        <f t="shared" si="483"/>
        <v>1995</v>
      </c>
      <c r="H4848" s="1323">
        <f t="shared" si="484"/>
        <v>4</v>
      </c>
      <c r="I4848" s="1323">
        <f t="shared" si="485"/>
        <v>20</v>
      </c>
      <c r="J4848" s="1323"/>
      <c r="K4848" s="1323"/>
      <c r="L4848" s="1323"/>
      <c r="M4848" s="1323"/>
      <c r="N4848" s="1323"/>
      <c r="O4848" s="1323"/>
      <c r="P4848" s="1323"/>
      <c r="Q4848" s="1323"/>
      <c r="R4848" s="1304"/>
      <c r="S4848" s="1304"/>
      <c r="T4848" s="1304"/>
    </row>
    <row r="4849" spans="1:20">
      <c r="A4849" s="1303"/>
      <c r="B4849" s="1322" t="s">
        <v>11292</v>
      </c>
      <c r="C4849" s="1323" t="s">
        <v>11293</v>
      </c>
      <c r="D4849" s="1324">
        <f t="shared" si="480"/>
        <v>34808</v>
      </c>
      <c r="E4849" s="1323">
        <f t="shared" si="482"/>
        <v>3.5823</v>
      </c>
      <c r="F4849" s="1323">
        <f t="shared" si="481"/>
        <v>3.8730404756135224</v>
      </c>
      <c r="G4849" s="1323">
        <f t="shared" si="483"/>
        <v>1995</v>
      </c>
      <c r="H4849" s="1323">
        <f t="shared" si="484"/>
        <v>4</v>
      </c>
      <c r="I4849" s="1323">
        <f t="shared" si="485"/>
        <v>19</v>
      </c>
      <c r="J4849" s="1323"/>
      <c r="K4849" s="1323"/>
      <c r="L4849" s="1323"/>
      <c r="M4849" s="1323"/>
      <c r="N4849" s="1323"/>
      <c r="O4849" s="1323"/>
      <c r="P4849" s="1323"/>
      <c r="Q4849" s="1323"/>
      <c r="R4849" s="1304"/>
      <c r="S4849" s="1304"/>
      <c r="T4849" s="1304"/>
    </row>
    <row r="4850" spans="1:20">
      <c r="A4850" s="1303"/>
      <c r="B4850" s="1322" t="s">
        <v>11294</v>
      </c>
      <c r="C4850" s="1323" t="s">
        <v>11295</v>
      </c>
      <c r="D4850" s="1324">
        <f t="shared" si="480"/>
        <v>34807</v>
      </c>
      <c r="E4850" s="1323">
        <f t="shared" si="482"/>
        <v>3.5931999999999999</v>
      </c>
      <c r="F4850" s="1323">
        <f t="shared" si="481"/>
        <v>3.8722978431504522</v>
      </c>
      <c r="G4850" s="1323">
        <f t="shared" si="483"/>
        <v>1995</v>
      </c>
      <c r="H4850" s="1323">
        <f t="shared" si="484"/>
        <v>4</v>
      </c>
      <c r="I4850" s="1323">
        <f t="shared" si="485"/>
        <v>18</v>
      </c>
      <c r="J4850" s="1323"/>
      <c r="K4850" s="1323"/>
      <c r="L4850" s="1323"/>
      <c r="M4850" s="1323"/>
      <c r="N4850" s="1323"/>
      <c r="O4850" s="1323"/>
      <c r="P4850" s="1323"/>
      <c r="Q4850" s="1323"/>
      <c r="R4850" s="1304"/>
      <c r="S4850" s="1304"/>
      <c r="T4850" s="1304"/>
    </row>
    <row r="4851" spans="1:20">
      <c r="A4851" s="1303"/>
      <c r="B4851" s="1322" t="s">
        <v>11296</v>
      </c>
      <c r="C4851" s="1323" t="s">
        <v>11297</v>
      </c>
      <c r="D4851" s="1324">
        <f t="shared" si="480"/>
        <v>34802</v>
      </c>
      <c r="E4851" s="1323">
        <f t="shared" si="482"/>
        <v>3.6133999999999999</v>
      </c>
      <c r="F4851" s="1323">
        <f t="shared" si="481"/>
        <v>3.8715553530827376</v>
      </c>
      <c r="G4851" s="1323">
        <f t="shared" si="483"/>
        <v>1995</v>
      </c>
      <c r="H4851" s="1323">
        <f t="shared" si="484"/>
        <v>4</v>
      </c>
      <c r="I4851" s="1323">
        <f t="shared" si="485"/>
        <v>13</v>
      </c>
      <c r="J4851" s="1323"/>
      <c r="K4851" s="1323"/>
      <c r="L4851" s="1323"/>
      <c r="M4851" s="1323"/>
      <c r="N4851" s="1323"/>
      <c r="O4851" s="1323"/>
      <c r="P4851" s="1323"/>
      <c r="Q4851" s="1323"/>
      <c r="R4851" s="1304"/>
      <c r="S4851" s="1304"/>
      <c r="T4851" s="1304"/>
    </row>
    <row r="4852" spans="1:20">
      <c r="A4852" s="1303"/>
      <c r="B4852" s="1322" t="s">
        <v>11298</v>
      </c>
      <c r="C4852" s="1323" t="s">
        <v>11194</v>
      </c>
      <c r="D4852" s="1324">
        <f t="shared" si="480"/>
        <v>34801</v>
      </c>
      <c r="E4852" s="1323">
        <f t="shared" si="482"/>
        <v>3.6042999999999998</v>
      </c>
      <c r="F4852" s="1323">
        <f t="shared" si="481"/>
        <v>3.8708130053830749</v>
      </c>
      <c r="G4852" s="1323">
        <f t="shared" si="483"/>
        <v>1995</v>
      </c>
      <c r="H4852" s="1323">
        <f t="shared" si="484"/>
        <v>4</v>
      </c>
      <c r="I4852" s="1323">
        <f t="shared" si="485"/>
        <v>12</v>
      </c>
      <c r="J4852" s="1323"/>
      <c r="K4852" s="1323"/>
      <c r="L4852" s="1323"/>
      <c r="M4852" s="1323"/>
      <c r="N4852" s="1323"/>
      <c r="O4852" s="1323"/>
      <c r="P4852" s="1323"/>
      <c r="Q4852" s="1323"/>
      <c r="R4852" s="1304"/>
      <c r="S4852" s="1304"/>
      <c r="T4852" s="1304"/>
    </row>
    <row r="4853" spans="1:20">
      <c r="A4853" s="1303"/>
      <c r="B4853" s="1322" t="s">
        <v>11299</v>
      </c>
      <c r="C4853" s="1323" t="s">
        <v>11289</v>
      </c>
      <c r="D4853" s="1324">
        <f t="shared" si="480"/>
        <v>34800</v>
      </c>
      <c r="E4853" s="1323">
        <f t="shared" si="482"/>
        <v>3.6004</v>
      </c>
      <c r="F4853" s="1323">
        <f t="shared" si="481"/>
        <v>3.8700708000241661</v>
      </c>
      <c r="G4853" s="1323">
        <f t="shared" si="483"/>
        <v>1995</v>
      </c>
      <c r="H4853" s="1323">
        <f t="shared" si="484"/>
        <v>4</v>
      </c>
      <c r="I4853" s="1323">
        <f t="shared" si="485"/>
        <v>11</v>
      </c>
      <c r="J4853" s="1323"/>
      <c r="K4853" s="1323"/>
      <c r="L4853" s="1323"/>
      <c r="M4853" s="1323"/>
      <c r="N4853" s="1323"/>
      <c r="O4853" s="1323"/>
      <c r="P4853" s="1323"/>
      <c r="Q4853" s="1323"/>
      <c r="R4853" s="1304"/>
      <c r="S4853" s="1304"/>
      <c r="T4853" s="1304"/>
    </row>
    <row r="4854" spans="1:20">
      <c r="A4854" s="1303"/>
      <c r="B4854" s="1322" t="s">
        <v>11300</v>
      </c>
      <c r="C4854" s="1323" t="s">
        <v>11301</v>
      </c>
      <c r="D4854" s="1324">
        <f t="shared" si="480"/>
        <v>34799</v>
      </c>
      <c r="E4854" s="1323">
        <f t="shared" si="482"/>
        <v>3.5964999999999998</v>
      </c>
      <c r="F4854" s="1323">
        <f t="shared" si="481"/>
        <v>3.8693287369787179</v>
      </c>
      <c r="G4854" s="1323">
        <f t="shared" si="483"/>
        <v>1995</v>
      </c>
      <c r="H4854" s="1323">
        <f t="shared" si="484"/>
        <v>4</v>
      </c>
      <c r="I4854" s="1323">
        <f t="shared" si="485"/>
        <v>10</v>
      </c>
      <c r="J4854" s="1323"/>
      <c r="K4854" s="1323"/>
      <c r="L4854" s="1323"/>
      <c r="M4854" s="1323"/>
      <c r="N4854" s="1323"/>
      <c r="O4854" s="1323"/>
      <c r="P4854" s="1323"/>
      <c r="Q4854" s="1323"/>
      <c r="R4854" s="1304"/>
      <c r="S4854" s="1304"/>
      <c r="T4854" s="1304"/>
    </row>
    <row r="4855" spans="1:20">
      <c r="A4855" s="1303"/>
      <c r="B4855" s="1322" t="s">
        <v>11302</v>
      </c>
      <c r="C4855" s="1323" t="s">
        <v>11303</v>
      </c>
      <c r="D4855" s="1324">
        <f t="shared" si="480"/>
        <v>34796</v>
      </c>
      <c r="E4855" s="1323">
        <f t="shared" si="482"/>
        <v>3.5939000000000001</v>
      </c>
      <c r="F4855" s="1323">
        <f t="shared" si="481"/>
        <v>3.8685868162194428</v>
      </c>
      <c r="G4855" s="1323">
        <f t="shared" si="483"/>
        <v>1995</v>
      </c>
      <c r="H4855" s="1323">
        <f t="shared" si="484"/>
        <v>4</v>
      </c>
      <c r="I4855" s="1323">
        <f t="shared" si="485"/>
        <v>7</v>
      </c>
      <c r="J4855" s="1323"/>
      <c r="K4855" s="1323"/>
      <c r="L4855" s="1323"/>
      <c r="M4855" s="1323"/>
      <c r="N4855" s="1323"/>
      <c r="O4855" s="1323"/>
      <c r="P4855" s="1323"/>
      <c r="Q4855" s="1323"/>
      <c r="R4855" s="1304"/>
      <c r="S4855" s="1304"/>
      <c r="T4855" s="1304"/>
    </row>
    <row r="4856" spans="1:20">
      <c r="A4856" s="1303"/>
      <c r="B4856" s="1322" t="s">
        <v>11304</v>
      </c>
      <c r="C4856" s="1323" t="s">
        <v>11305</v>
      </c>
      <c r="D4856" s="1324">
        <f t="shared" si="480"/>
        <v>34795</v>
      </c>
      <c r="E4856" s="1323">
        <f t="shared" si="482"/>
        <v>3.5886999999999998</v>
      </c>
      <c r="F4856" s="1323">
        <f t="shared" si="481"/>
        <v>3.8678450377190581</v>
      </c>
      <c r="G4856" s="1323">
        <f t="shared" si="483"/>
        <v>1995</v>
      </c>
      <c r="H4856" s="1323">
        <f t="shared" si="484"/>
        <v>4</v>
      </c>
      <c r="I4856" s="1323">
        <f t="shared" si="485"/>
        <v>6</v>
      </c>
      <c r="J4856" s="1323"/>
      <c r="K4856" s="1323"/>
      <c r="L4856" s="1323"/>
      <c r="M4856" s="1323"/>
      <c r="N4856" s="1323"/>
      <c r="O4856" s="1323"/>
      <c r="P4856" s="1323"/>
      <c r="Q4856" s="1323"/>
      <c r="R4856" s="1304"/>
      <c r="S4856" s="1304"/>
      <c r="T4856" s="1304"/>
    </row>
    <row r="4857" spans="1:20">
      <c r="A4857" s="1303"/>
      <c r="B4857" s="1322" t="s">
        <v>11306</v>
      </c>
      <c r="C4857" s="1323" t="s">
        <v>11307</v>
      </c>
      <c r="D4857" s="1324">
        <f t="shared" si="480"/>
        <v>34794</v>
      </c>
      <c r="E4857" s="1323">
        <f t="shared" si="482"/>
        <v>3.5886999999999998</v>
      </c>
      <c r="F4857" s="1323">
        <f t="shared" si="481"/>
        <v>3.8671034014502865</v>
      </c>
      <c r="G4857" s="1323">
        <f t="shared" si="483"/>
        <v>1995</v>
      </c>
      <c r="H4857" s="1323">
        <f t="shared" si="484"/>
        <v>4</v>
      </c>
      <c r="I4857" s="1323">
        <f t="shared" si="485"/>
        <v>5</v>
      </c>
      <c r="J4857" s="1323"/>
      <c r="K4857" s="1323"/>
      <c r="L4857" s="1323"/>
      <c r="M4857" s="1323"/>
      <c r="N4857" s="1323"/>
      <c r="O4857" s="1323"/>
      <c r="P4857" s="1323"/>
      <c r="Q4857" s="1323"/>
      <c r="R4857" s="1304"/>
      <c r="S4857" s="1304"/>
      <c r="T4857" s="1304"/>
    </row>
    <row r="4858" spans="1:20">
      <c r="A4858" s="1303"/>
      <c r="B4858" s="1322" t="s">
        <v>11308</v>
      </c>
      <c r="C4858" s="1323" t="s">
        <v>11307</v>
      </c>
      <c r="D4858" s="1324">
        <f t="shared" si="480"/>
        <v>34793</v>
      </c>
      <c r="E4858" s="1323">
        <f t="shared" si="482"/>
        <v>3.5874000000000001</v>
      </c>
      <c r="F4858" s="1323">
        <f t="shared" si="481"/>
        <v>3.8663619073858562</v>
      </c>
      <c r="G4858" s="1323">
        <f t="shared" si="483"/>
        <v>1995</v>
      </c>
      <c r="H4858" s="1323">
        <f t="shared" si="484"/>
        <v>4</v>
      </c>
      <c r="I4858" s="1323">
        <f t="shared" si="485"/>
        <v>4</v>
      </c>
      <c r="J4858" s="1323"/>
      <c r="K4858" s="1323"/>
      <c r="L4858" s="1323"/>
      <c r="M4858" s="1323"/>
      <c r="N4858" s="1323"/>
      <c r="O4858" s="1323"/>
      <c r="P4858" s="1323"/>
      <c r="Q4858" s="1323"/>
      <c r="R4858" s="1304"/>
      <c r="S4858" s="1304"/>
      <c r="T4858" s="1304"/>
    </row>
    <row r="4859" spans="1:20">
      <c r="A4859" s="1303"/>
      <c r="B4859" s="1322" t="s">
        <v>11309</v>
      </c>
      <c r="C4859" s="1323" t="s">
        <v>11310</v>
      </c>
      <c r="D4859" s="1324">
        <f t="shared" si="480"/>
        <v>34792</v>
      </c>
      <c r="E4859" s="1323">
        <f t="shared" si="482"/>
        <v>3.5849000000000002</v>
      </c>
      <c r="F4859" s="1323">
        <f t="shared" si="481"/>
        <v>3.8656205554985004</v>
      </c>
      <c r="G4859" s="1323">
        <f t="shared" si="483"/>
        <v>1995</v>
      </c>
      <c r="H4859" s="1323">
        <f t="shared" si="484"/>
        <v>4</v>
      </c>
      <c r="I4859" s="1323">
        <f t="shared" si="485"/>
        <v>3</v>
      </c>
      <c r="J4859" s="1323"/>
      <c r="K4859" s="1323"/>
      <c r="L4859" s="1323"/>
      <c r="M4859" s="1323"/>
      <c r="N4859" s="1323"/>
      <c r="O4859" s="1323"/>
      <c r="P4859" s="1323"/>
      <c r="Q4859" s="1323"/>
      <c r="R4859" s="1304"/>
      <c r="S4859" s="1304"/>
      <c r="T4859" s="1304"/>
    </row>
    <row r="4860" spans="1:20">
      <c r="A4860" s="1303"/>
      <c r="B4860" s="1322" t="s">
        <v>11311</v>
      </c>
      <c r="C4860" s="1323" t="s">
        <v>11312</v>
      </c>
      <c r="D4860" s="1324">
        <f t="shared" si="480"/>
        <v>34789</v>
      </c>
      <c r="E4860" s="1323">
        <f t="shared" si="482"/>
        <v>3.5939000000000001</v>
      </c>
      <c r="F4860" s="1323">
        <f t="shared" si="481"/>
        <v>3.8648793457609569</v>
      </c>
      <c r="G4860" s="1323">
        <f t="shared" si="483"/>
        <v>1995</v>
      </c>
      <c r="H4860" s="1323">
        <f t="shared" si="484"/>
        <v>3</v>
      </c>
      <c r="I4860" s="1323">
        <f t="shared" si="485"/>
        <v>31</v>
      </c>
      <c r="J4860" s="1323"/>
      <c r="K4860" s="1323"/>
      <c r="L4860" s="1323"/>
      <c r="M4860" s="1323"/>
      <c r="N4860" s="1323"/>
      <c r="O4860" s="1323"/>
      <c r="P4860" s="1323"/>
      <c r="Q4860" s="1323"/>
      <c r="R4860" s="1304"/>
      <c r="S4860" s="1304"/>
      <c r="T4860" s="1304"/>
    </row>
    <row r="4861" spans="1:20">
      <c r="A4861" s="1303"/>
      <c r="B4861" s="1322" t="s">
        <v>11313</v>
      </c>
      <c r="C4861" s="1323" t="s">
        <v>11305</v>
      </c>
      <c r="D4861" s="1324">
        <f t="shared" si="480"/>
        <v>34788</v>
      </c>
      <c r="E4861" s="1323">
        <f t="shared" si="482"/>
        <v>3.5886999999999998</v>
      </c>
      <c r="F4861" s="1323">
        <f t="shared" si="481"/>
        <v>3.8641382781459699</v>
      </c>
      <c r="G4861" s="1323">
        <f t="shared" si="483"/>
        <v>1995</v>
      </c>
      <c r="H4861" s="1323">
        <f t="shared" si="484"/>
        <v>3</v>
      </c>
      <c r="I4861" s="1323">
        <f t="shared" si="485"/>
        <v>30</v>
      </c>
      <c r="J4861" s="1323"/>
      <c r="K4861" s="1323"/>
      <c r="L4861" s="1323"/>
      <c r="M4861" s="1323"/>
      <c r="N4861" s="1323"/>
      <c r="O4861" s="1323"/>
      <c r="P4861" s="1323"/>
      <c r="Q4861" s="1323"/>
      <c r="R4861" s="1304"/>
      <c r="S4861" s="1304"/>
      <c r="T4861" s="1304"/>
    </row>
    <row r="4862" spans="1:20">
      <c r="A4862" s="1303"/>
      <c r="B4862" s="1322" t="s">
        <v>11314</v>
      </c>
      <c r="C4862" s="1323" t="s">
        <v>11307</v>
      </c>
      <c r="D4862" s="1324">
        <f t="shared" si="480"/>
        <v>34787</v>
      </c>
      <c r="E4862" s="1323">
        <f t="shared" si="482"/>
        <v>3.5893999999999999</v>
      </c>
      <c r="F4862" s="1323">
        <f t="shared" si="481"/>
        <v>3.8633973526262881</v>
      </c>
      <c r="G4862" s="1323">
        <f t="shared" si="483"/>
        <v>1995</v>
      </c>
      <c r="H4862" s="1323">
        <f t="shared" si="484"/>
        <v>3</v>
      </c>
      <c r="I4862" s="1323">
        <f t="shared" si="485"/>
        <v>29</v>
      </c>
      <c r="J4862" s="1323"/>
      <c r="K4862" s="1323"/>
      <c r="L4862" s="1323"/>
      <c r="M4862" s="1323"/>
      <c r="N4862" s="1323"/>
      <c r="O4862" s="1323"/>
      <c r="P4862" s="1323"/>
      <c r="Q4862" s="1323"/>
      <c r="R4862" s="1304"/>
      <c r="S4862" s="1304"/>
      <c r="T4862" s="1304"/>
    </row>
    <row r="4863" spans="1:20">
      <c r="A4863" s="1303"/>
      <c r="B4863" s="1322" t="s">
        <v>11315</v>
      </c>
      <c r="C4863" s="1323" t="s">
        <v>11316</v>
      </c>
      <c r="D4863" s="1324">
        <f t="shared" si="480"/>
        <v>34786</v>
      </c>
      <c r="E4863" s="1323">
        <f t="shared" si="482"/>
        <v>3.6004</v>
      </c>
      <c r="F4863" s="1323">
        <f t="shared" si="481"/>
        <v>3.8626565691746655</v>
      </c>
      <c r="G4863" s="1323">
        <f t="shared" si="483"/>
        <v>1995</v>
      </c>
      <c r="H4863" s="1323">
        <f t="shared" si="484"/>
        <v>3</v>
      </c>
      <c r="I4863" s="1323">
        <f t="shared" si="485"/>
        <v>28</v>
      </c>
      <c r="J4863" s="1323"/>
      <c r="K4863" s="1323"/>
      <c r="L4863" s="1323"/>
      <c r="M4863" s="1323"/>
      <c r="N4863" s="1323"/>
      <c r="O4863" s="1323"/>
      <c r="P4863" s="1323"/>
      <c r="Q4863" s="1323"/>
      <c r="R4863" s="1304"/>
      <c r="S4863" s="1304"/>
      <c r="T4863" s="1304"/>
    </row>
    <row r="4864" spans="1:20">
      <c r="A4864" s="1303"/>
      <c r="B4864" s="1322" t="s">
        <v>11317</v>
      </c>
      <c r="C4864" s="1323" t="s">
        <v>11301</v>
      </c>
      <c r="D4864" s="1324">
        <f t="shared" si="480"/>
        <v>34785</v>
      </c>
      <c r="E4864" s="1323">
        <f t="shared" si="482"/>
        <v>3.6030000000000002</v>
      </c>
      <c r="F4864" s="1323">
        <f t="shared" si="481"/>
        <v>3.8619159277638615</v>
      </c>
      <c r="G4864" s="1323">
        <f t="shared" si="483"/>
        <v>1995</v>
      </c>
      <c r="H4864" s="1323">
        <f t="shared" si="484"/>
        <v>3</v>
      </c>
      <c r="I4864" s="1323">
        <f t="shared" si="485"/>
        <v>27</v>
      </c>
      <c r="J4864" s="1323"/>
      <c r="K4864" s="1323"/>
      <c r="L4864" s="1323"/>
      <c r="M4864" s="1323"/>
      <c r="N4864" s="1323"/>
      <c r="O4864" s="1323"/>
      <c r="P4864" s="1323"/>
      <c r="Q4864" s="1323"/>
      <c r="R4864" s="1304"/>
      <c r="S4864" s="1304"/>
      <c r="T4864" s="1304"/>
    </row>
    <row r="4865" spans="1:20">
      <c r="A4865" s="1303"/>
      <c r="B4865" s="1322" t="s">
        <v>11318</v>
      </c>
      <c r="C4865" s="1323" t="s">
        <v>11319</v>
      </c>
      <c r="D4865" s="1324">
        <f t="shared" si="480"/>
        <v>34782</v>
      </c>
      <c r="E4865" s="1323">
        <f t="shared" si="482"/>
        <v>3.6120999999999999</v>
      </c>
      <c r="F4865" s="1323">
        <f t="shared" si="481"/>
        <v>3.8611754283666402</v>
      </c>
      <c r="G4865" s="1323">
        <f t="shared" si="483"/>
        <v>1995</v>
      </c>
      <c r="H4865" s="1323">
        <f t="shared" si="484"/>
        <v>3</v>
      </c>
      <c r="I4865" s="1323">
        <f t="shared" si="485"/>
        <v>24</v>
      </c>
      <c r="J4865" s="1323"/>
      <c r="K4865" s="1323"/>
      <c r="L4865" s="1323"/>
      <c r="M4865" s="1323"/>
      <c r="N4865" s="1323"/>
      <c r="O4865" s="1323"/>
      <c r="P4865" s="1323"/>
      <c r="Q4865" s="1323"/>
      <c r="R4865" s="1304"/>
      <c r="S4865" s="1304"/>
      <c r="T4865" s="1304"/>
    </row>
    <row r="4866" spans="1:20">
      <c r="A4866" s="1303"/>
      <c r="B4866" s="1322" t="s">
        <v>11320</v>
      </c>
      <c r="C4866" s="1323" t="s">
        <v>11321</v>
      </c>
      <c r="D4866" s="1324">
        <f t="shared" si="480"/>
        <v>34781</v>
      </c>
      <c r="E4866" s="1323">
        <f t="shared" si="482"/>
        <v>3.5991</v>
      </c>
      <c r="F4866" s="1323">
        <f t="shared" si="481"/>
        <v>3.8604350709557718</v>
      </c>
      <c r="G4866" s="1323">
        <f t="shared" si="483"/>
        <v>1995</v>
      </c>
      <c r="H4866" s="1323">
        <f t="shared" si="484"/>
        <v>3</v>
      </c>
      <c r="I4866" s="1323">
        <f t="shared" si="485"/>
        <v>23</v>
      </c>
      <c r="J4866" s="1323"/>
      <c r="K4866" s="1323"/>
      <c r="L4866" s="1323"/>
      <c r="M4866" s="1323"/>
      <c r="N4866" s="1323"/>
      <c r="O4866" s="1323"/>
      <c r="P4866" s="1323"/>
      <c r="Q4866" s="1323"/>
      <c r="R4866" s="1304"/>
      <c r="S4866" s="1304"/>
      <c r="T4866" s="1304"/>
    </row>
    <row r="4867" spans="1:20">
      <c r="A4867" s="1303"/>
      <c r="B4867" s="1322" t="s">
        <v>11322</v>
      </c>
      <c r="C4867" s="1323" t="s">
        <v>11323</v>
      </c>
      <c r="D4867" s="1324">
        <f t="shared" si="480"/>
        <v>34780</v>
      </c>
      <c r="E4867" s="1323">
        <f t="shared" si="482"/>
        <v>3.6252</v>
      </c>
      <c r="F4867" s="1323">
        <f t="shared" si="481"/>
        <v>3.8596948555040314</v>
      </c>
      <c r="G4867" s="1323">
        <f t="shared" si="483"/>
        <v>1995</v>
      </c>
      <c r="H4867" s="1323">
        <f t="shared" si="484"/>
        <v>3</v>
      </c>
      <c r="I4867" s="1323">
        <f t="shared" si="485"/>
        <v>22</v>
      </c>
      <c r="J4867" s="1323"/>
      <c r="K4867" s="1323"/>
      <c r="L4867" s="1323"/>
      <c r="M4867" s="1323"/>
      <c r="N4867" s="1323"/>
      <c r="O4867" s="1323"/>
      <c r="P4867" s="1323"/>
      <c r="Q4867" s="1323"/>
      <c r="R4867" s="1304"/>
      <c r="S4867" s="1304"/>
      <c r="T4867" s="1304"/>
    </row>
    <row r="4868" spans="1:20">
      <c r="A4868" s="1303"/>
      <c r="B4868" s="1322" t="s">
        <v>11324</v>
      </c>
      <c r="C4868" s="1323" t="s">
        <v>11049</v>
      </c>
      <c r="D4868" s="1324">
        <f t="shared" si="480"/>
        <v>34778</v>
      </c>
      <c r="E4868" s="1323">
        <f t="shared" si="482"/>
        <v>3.6225000000000001</v>
      </c>
      <c r="F4868" s="1323">
        <f t="shared" si="481"/>
        <v>3.8589547819841985</v>
      </c>
      <c r="G4868" s="1323">
        <f t="shared" si="483"/>
        <v>1995</v>
      </c>
      <c r="H4868" s="1323">
        <f t="shared" si="484"/>
        <v>3</v>
      </c>
      <c r="I4868" s="1323">
        <f t="shared" si="485"/>
        <v>20</v>
      </c>
      <c r="J4868" s="1323"/>
      <c r="K4868" s="1323"/>
      <c r="L4868" s="1323"/>
      <c r="M4868" s="1323"/>
      <c r="N4868" s="1323"/>
      <c r="O4868" s="1323"/>
      <c r="P4868" s="1323"/>
      <c r="Q4868" s="1323"/>
      <c r="R4868" s="1304"/>
      <c r="S4868" s="1304"/>
      <c r="T4868" s="1304"/>
    </row>
    <row r="4869" spans="1:20">
      <c r="A4869" s="1303"/>
      <c r="B4869" s="1322" t="s">
        <v>11325</v>
      </c>
      <c r="C4869" s="1323" t="s">
        <v>11203</v>
      </c>
      <c r="D4869" s="1324">
        <f t="shared" si="480"/>
        <v>34775</v>
      </c>
      <c r="E4869" s="1323">
        <f t="shared" si="482"/>
        <v>3.5829</v>
      </c>
      <c r="F4869" s="1323">
        <f t="shared" si="481"/>
        <v>3.858214850369059</v>
      </c>
      <c r="G4869" s="1323">
        <f t="shared" si="483"/>
        <v>1995</v>
      </c>
      <c r="H4869" s="1323">
        <f t="shared" si="484"/>
        <v>3</v>
      </c>
      <c r="I4869" s="1323">
        <f t="shared" si="485"/>
        <v>17</v>
      </c>
      <c r="J4869" s="1323"/>
      <c r="K4869" s="1323"/>
      <c r="L4869" s="1323"/>
      <c r="M4869" s="1323"/>
      <c r="N4869" s="1323"/>
      <c r="O4869" s="1323"/>
      <c r="P4869" s="1323"/>
      <c r="Q4869" s="1323"/>
      <c r="R4869" s="1304"/>
      <c r="S4869" s="1304"/>
      <c r="T4869" s="1304"/>
    </row>
    <row r="4870" spans="1:20">
      <c r="A4870" s="1303"/>
      <c r="B4870" s="1322" t="s">
        <v>11326</v>
      </c>
      <c r="C4870" s="1323" t="s">
        <v>11327</v>
      </c>
      <c r="D4870" s="1324">
        <f t="shared" si="480"/>
        <v>34774</v>
      </c>
      <c r="E4870" s="1323">
        <f t="shared" si="482"/>
        <v>3.5720999999999998</v>
      </c>
      <c r="F4870" s="1323">
        <f t="shared" si="481"/>
        <v>3.8574750606314034</v>
      </c>
      <c r="G4870" s="1323">
        <f t="shared" si="483"/>
        <v>1995</v>
      </c>
      <c r="H4870" s="1323">
        <f t="shared" si="484"/>
        <v>3</v>
      </c>
      <c r="I4870" s="1323">
        <f t="shared" si="485"/>
        <v>16</v>
      </c>
      <c r="J4870" s="1323"/>
      <c r="K4870" s="1323"/>
      <c r="L4870" s="1323"/>
      <c r="M4870" s="1323"/>
      <c r="N4870" s="1323"/>
      <c r="O4870" s="1323"/>
      <c r="P4870" s="1323"/>
      <c r="Q4870" s="1323"/>
      <c r="R4870" s="1304"/>
      <c r="S4870" s="1304"/>
      <c r="T4870" s="1304"/>
    </row>
    <row r="4871" spans="1:20">
      <c r="A4871" s="1303"/>
      <c r="B4871" s="1322" t="s">
        <v>11328</v>
      </c>
      <c r="C4871" s="1323" t="s">
        <v>11329</v>
      </c>
      <c r="D4871" s="1324">
        <f t="shared" si="480"/>
        <v>34773</v>
      </c>
      <c r="E4871" s="1323">
        <f t="shared" si="482"/>
        <v>3.6291000000000002</v>
      </c>
      <c r="F4871" s="1323">
        <f t="shared" si="481"/>
        <v>3.8567354127440279</v>
      </c>
      <c r="G4871" s="1323">
        <f t="shared" si="483"/>
        <v>1995</v>
      </c>
      <c r="H4871" s="1323">
        <f t="shared" si="484"/>
        <v>3</v>
      </c>
      <c r="I4871" s="1323">
        <f t="shared" si="485"/>
        <v>15</v>
      </c>
      <c r="J4871" s="1323"/>
      <c r="K4871" s="1323"/>
      <c r="L4871" s="1323"/>
      <c r="M4871" s="1323"/>
      <c r="N4871" s="1323"/>
      <c r="O4871" s="1323"/>
      <c r="P4871" s="1323"/>
      <c r="Q4871" s="1323"/>
      <c r="R4871" s="1304"/>
      <c r="S4871" s="1304"/>
      <c r="T4871" s="1304"/>
    </row>
    <row r="4872" spans="1:20">
      <c r="A4872" s="1303"/>
      <c r="B4872" s="1322" t="s">
        <v>11330</v>
      </c>
      <c r="C4872" s="1323" t="s">
        <v>11058</v>
      </c>
      <c r="D4872" s="1324">
        <f t="shared" si="480"/>
        <v>34772</v>
      </c>
      <c r="E4872" s="1323">
        <f t="shared" si="482"/>
        <v>3.6252</v>
      </c>
      <c r="F4872" s="1323">
        <f t="shared" si="481"/>
        <v>3.8559959066797331</v>
      </c>
      <c r="G4872" s="1323">
        <f t="shared" si="483"/>
        <v>1995</v>
      </c>
      <c r="H4872" s="1323">
        <f t="shared" si="484"/>
        <v>3</v>
      </c>
      <c r="I4872" s="1323">
        <f t="shared" si="485"/>
        <v>14</v>
      </c>
      <c r="J4872" s="1323"/>
      <c r="K4872" s="1323"/>
      <c r="L4872" s="1323"/>
      <c r="M4872" s="1323"/>
      <c r="N4872" s="1323"/>
      <c r="O4872" s="1323"/>
      <c r="P4872" s="1323"/>
      <c r="Q4872" s="1323"/>
      <c r="R4872" s="1304"/>
      <c r="S4872" s="1304"/>
      <c r="T4872" s="1304"/>
    </row>
    <row r="4873" spans="1:20">
      <c r="A4873" s="1303"/>
      <c r="B4873" s="1322" t="s">
        <v>11331</v>
      </c>
      <c r="C4873" s="1323" t="s">
        <v>11049</v>
      </c>
      <c r="D4873" s="1324">
        <f t="shared" ref="D4873:D4936" si="486">DATE(G4873,H4873,I4873)</f>
        <v>34771</v>
      </c>
      <c r="E4873" s="1323">
        <f t="shared" si="482"/>
        <v>3.6311</v>
      </c>
      <c r="F4873" s="1323">
        <f t="shared" ref="F4873:F4936" si="487">F4874*(1+$F$7/365)</f>
        <v>3.8552565424113254</v>
      </c>
      <c r="G4873" s="1323">
        <f t="shared" si="483"/>
        <v>1995</v>
      </c>
      <c r="H4873" s="1323">
        <f t="shared" si="484"/>
        <v>3</v>
      </c>
      <c r="I4873" s="1323">
        <f t="shared" si="485"/>
        <v>13</v>
      </c>
      <c r="J4873" s="1323"/>
      <c r="K4873" s="1323"/>
      <c r="L4873" s="1323"/>
      <c r="M4873" s="1323"/>
      <c r="N4873" s="1323"/>
      <c r="O4873" s="1323"/>
      <c r="P4873" s="1323"/>
      <c r="Q4873" s="1323"/>
      <c r="R4873" s="1304"/>
      <c r="S4873" s="1304"/>
      <c r="T4873" s="1304"/>
    </row>
    <row r="4874" spans="1:20">
      <c r="A4874" s="1303"/>
      <c r="B4874" s="1322" t="s">
        <v>11332</v>
      </c>
      <c r="C4874" s="1323" t="s">
        <v>11333</v>
      </c>
      <c r="D4874" s="1324">
        <f t="shared" si="486"/>
        <v>34768</v>
      </c>
      <c r="E4874" s="1323">
        <f t="shared" si="482"/>
        <v>3.6303999999999998</v>
      </c>
      <c r="F4874" s="1323">
        <f t="shared" si="487"/>
        <v>3.8545173199116163</v>
      </c>
      <c r="G4874" s="1323">
        <f t="shared" si="483"/>
        <v>1995</v>
      </c>
      <c r="H4874" s="1323">
        <f t="shared" si="484"/>
        <v>3</v>
      </c>
      <c r="I4874" s="1323">
        <f t="shared" si="485"/>
        <v>10</v>
      </c>
      <c r="J4874" s="1323"/>
      <c r="K4874" s="1323"/>
      <c r="L4874" s="1323"/>
      <c r="M4874" s="1323"/>
      <c r="N4874" s="1323"/>
      <c r="O4874" s="1323"/>
      <c r="P4874" s="1323"/>
      <c r="Q4874" s="1323"/>
      <c r="R4874" s="1304"/>
      <c r="S4874" s="1304"/>
      <c r="T4874" s="1304"/>
    </row>
    <row r="4875" spans="1:20">
      <c r="A4875" s="1303"/>
      <c r="B4875" s="1322" t="s">
        <v>11334</v>
      </c>
      <c r="C4875" s="1323" t="s">
        <v>11047</v>
      </c>
      <c r="D4875" s="1324">
        <f t="shared" si="486"/>
        <v>34767</v>
      </c>
      <c r="E4875" s="1323">
        <f t="shared" si="482"/>
        <v>3.6173000000000002</v>
      </c>
      <c r="F4875" s="1323">
        <f t="shared" si="487"/>
        <v>3.8537782391534225</v>
      </c>
      <c r="G4875" s="1323">
        <f t="shared" si="483"/>
        <v>1995</v>
      </c>
      <c r="H4875" s="1323">
        <f t="shared" si="484"/>
        <v>3</v>
      </c>
      <c r="I4875" s="1323">
        <f t="shared" si="485"/>
        <v>9</v>
      </c>
      <c r="J4875" s="1323"/>
      <c r="K4875" s="1323"/>
      <c r="L4875" s="1323"/>
      <c r="M4875" s="1323"/>
      <c r="N4875" s="1323"/>
      <c r="O4875" s="1323"/>
      <c r="P4875" s="1323"/>
      <c r="Q4875" s="1323"/>
      <c r="R4875" s="1304"/>
      <c r="S4875" s="1304"/>
      <c r="T4875" s="1304"/>
    </row>
    <row r="4876" spans="1:20">
      <c r="A4876" s="1303"/>
      <c r="B4876" s="1322" t="s">
        <v>11335</v>
      </c>
      <c r="C4876" s="1323" t="s">
        <v>11196</v>
      </c>
      <c r="D4876" s="1324">
        <f t="shared" si="486"/>
        <v>34766</v>
      </c>
      <c r="E4876" s="1323">
        <f t="shared" si="482"/>
        <v>3.5708000000000002</v>
      </c>
      <c r="F4876" s="1323">
        <f t="shared" si="487"/>
        <v>3.853039300109566</v>
      </c>
      <c r="G4876" s="1323">
        <f t="shared" si="483"/>
        <v>1995</v>
      </c>
      <c r="H4876" s="1323">
        <f t="shared" si="484"/>
        <v>3</v>
      </c>
      <c r="I4876" s="1323">
        <f t="shared" si="485"/>
        <v>8</v>
      </c>
      <c r="J4876" s="1323"/>
      <c r="K4876" s="1323"/>
      <c r="L4876" s="1323"/>
      <c r="M4876" s="1323"/>
      <c r="N4876" s="1323"/>
      <c r="O4876" s="1323"/>
      <c r="P4876" s="1323"/>
      <c r="Q4876" s="1323"/>
      <c r="R4876" s="1304"/>
      <c r="S4876" s="1304"/>
      <c r="T4876" s="1304"/>
    </row>
    <row r="4877" spans="1:20">
      <c r="A4877" s="1303"/>
      <c r="B4877" s="1322" t="s">
        <v>11336</v>
      </c>
      <c r="C4877" s="1323" t="s">
        <v>11337</v>
      </c>
      <c r="D4877" s="1324">
        <f t="shared" si="486"/>
        <v>34765</v>
      </c>
      <c r="E4877" s="1323">
        <f t="shared" si="482"/>
        <v>3.5644</v>
      </c>
      <c r="F4877" s="1323">
        <f t="shared" si="487"/>
        <v>3.8523005027528736</v>
      </c>
      <c r="G4877" s="1323">
        <f t="shared" si="483"/>
        <v>1995</v>
      </c>
      <c r="H4877" s="1323">
        <f t="shared" si="484"/>
        <v>3</v>
      </c>
      <c r="I4877" s="1323">
        <f t="shared" si="485"/>
        <v>7</v>
      </c>
      <c r="J4877" s="1323"/>
      <c r="K4877" s="1323"/>
      <c r="L4877" s="1323"/>
      <c r="M4877" s="1323"/>
      <c r="N4877" s="1323"/>
      <c r="O4877" s="1323"/>
      <c r="P4877" s="1323"/>
      <c r="Q4877" s="1323"/>
      <c r="R4877" s="1304"/>
      <c r="S4877" s="1304"/>
      <c r="T4877" s="1304"/>
    </row>
    <row r="4878" spans="1:20">
      <c r="A4878" s="1303"/>
      <c r="B4878" s="1322" t="s">
        <v>11338</v>
      </c>
      <c r="C4878" s="1323" t="s">
        <v>11339</v>
      </c>
      <c r="D4878" s="1324">
        <f t="shared" si="486"/>
        <v>34764</v>
      </c>
      <c r="E4878" s="1323">
        <f t="shared" si="482"/>
        <v>3.5379</v>
      </c>
      <c r="F4878" s="1323">
        <f t="shared" si="487"/>
        <v>3.8515618470561779</v>
      </c>
      <c r="G4878" s="1323">
        <f t="shared" si="483"/>
        <v>1995</v>
      </c>
      <c r="H4878" s="1323">
        <f t="shared" si="484"/>
        <v>3</v>
      </c>
      <c r="I4878" s="1323">
        <f t="shared" si="485"/>
        <v>6</v>
      </c>
      <c r="J4878" s="1323"/>
      <c r="K4878" s="1323"/>
      <c r="L4878" s="1323"/>
      <c r="M4878" s="1323"/>
      <c r="N4878" s="1323"/>
      <c r="O4878" s="1323"/>
      <c r="P4878" s="1323"/>
      <c r="Q4878" s="1323"/>
      <c r="R4878" s="1304"/>
      <c r="S4878" s="1304"/>
      <c r="T4878" s="1304"/>
    </row>
    <row r="4879" spans="1:20">
      <c r="A4879" s="1303"/>
      <c r="B4879" s="1322" t="s">
        <v>11340</v>
      </c>
      <c r="C4879" s="1323" t="s">
        <v>11341</v>
      </c>
      <c r="D4879" s="1324">
        <f t="shared" si="486"/>
        <v>34761</v>
      </c>
      <c r="E4879" s="1323">
        <f t="shared" si="482"/>
        <v>3.59</v>
      </c>
      <c r="F4879" s="1323">
        <f t="shared" si="487"/>
        <v>3.8508233329923161</v>
      </c>
      <c r="G4879" s="1323">
        <f t="shared" si="483"/>
        <v>1995</v>
      </c>
      <c r="H4879" s="1323">
        <f t="shared" si="484"/>
        <v>3</v>
      </c>
      <c r="I4879" s="1323">
        <f t="shared" si="485"/>
        <v>3</v>
      </c>
      <c r="J4879" s="1323"/>
      <c r="K4879" s="1323"/>
      <c r="L4879" s="1323"/>
      <c r="M4879" s="1323"/>
      <c r="N4879" s="1323"/>
      <c r="O4879" s="1323"/>
      <c r="P4879" s="1323"/>
      <c r="Q4879" s="1323"/>
      <c r="R4879" s="1304"/>
      <c r="S4879" s="1304"/>
      <c r="T4879" s="1304"/>
    </row>
    <row r="4880" spans="1:20">
      <c r="A4880" s="1303"/>
      <c r="B4880" s="1322" t="s">
        <v>11342</v>
      </c>
      <c r="C4880" s="1323" t="s">
        <v>11343</v>
      </c>
      <c r="D4880" s="1324">
        <f t="shared" si="486"/>
        <v>34760</v>
      </c>
      <c r="E4880" s="1323">
        <f t="shared" si="482"/>
        <v>3.6030000000000002</v>
      </c>
      <c r="F4880" s="1323">
        <f t="shared" si="487"/>
        <v>3.8500849605341312</v>
      </c>
      <c r="G4880" s="1323">
        <f t="shared" si="483"/>
        <v>1995</v>
      </c>
      <c r="H4880" s="1323">
        <f t="shared" si="484"/>
        <v>3</v>
      </c>
      <c r="I4880" s="1323">
        <f t="shared" si="485"/>
        <v>2</v>
      </c>
      <c r="J4880" s="1323"/>
      <c r="K4880" s="1323"/>
      <c r="L4880" s="1323"/>
      <c r="M4880" s="1323"/>
      <c r="N4880" s="1323"/>
      <c r="O4880" s="1323"/>
      <c r="P4880" s="1323"/>
      <c r="Q4880" s="1323"/>
      <c r="R4880" s="1304"/>
      <c r="S4880" s="1304"/>
      <c r="T4880" s="1304"/>
    </row>
    <row r="4881" spans="1:20">
      <c r="A4881" s="1303"/>
      <c r="B4881" s="1322" t="s">
        <v>11344</v>
      </c>
      <c r="C4881" s="1323" t="s">
        <v>11319</v>
      </c>
      <c r="D4881" s="1324">
        <f t="shared" si="486"/>
        <v>34759</v>
      </c>
      <c r="E4881" s="1323">
        <f t="shared" si="482"/>
        <v>3.5964999999999998</v>
      </c>
      <c r="F4881" s="1323">
        <f t="shared" si="487"/>
        <v>3.8493467296544712</v>
      </c>
      <c r="G4881" s="1323">
        <f t="shared" si="483"/>
        <v>1995</v>
      </c>
      <c r="H4881" s="1323">
        <f t="shared" si="484"/>
        <v>3</v>
      </c>
      <c r="I4881" s="1323">
        <f t="shared" si="485"/>
        <v>1</v>
      </c>
      <c r="J4881" s="1323"/>
      <c r="K4881" s="1323"/>
      <c r="L4881" s="1323"/>
      <c r="M4881" s="1323"/>
      <c r="N4881" s="1323"/>
      <c r="O4881" s="1323"/>
      <c r="P4881" s="1323"/>
      <c r="Q4881" s="1323"/>
      <c r="R4881" s="1304"/>
      <c r="S4881" s="1304"/>
      <c r="T4881" s="1304"/>
    </row>
    <row r="4882" spans="1:20">
      <c r="A4882" s="1303"/>
      <c r="B4882" s="1322" t="s">
        <v>11345</v>
      </c>
      <c r="C4882" s="1323" t="s">
        <v>11303</v>
      </c>
      <c r="D4882" s="1324">
        <f t="shared" si="486"/>
        <v>34758</v>
      </c>
      <c r="E4882" s="1323">
        <f t="shared" si="482"/>
        <v>3.6055999999999999</v>
      </c>
      <c r="F4882" s="1323">
        <f t="shared" si="487"/>
        <v>3.8486086403261894</v>
      </c>
      <c r="G4882" s="1323">
        <f t="shared" si="483"/>
        <v>1995</v>
      </c>
      <c r="H4882" s="1323">
        <f t="shared" si="484"/>
        <v>2</v>
      </c>
      <c r="I4882" s="1323">
        <f t="shared" si="485"/>
        <v>28</v>
      </c>
      <c r="J4882" s="1323"/>
      <c r="K4882" s="1323"/>
      <c r="L4882" s="1323"/>
      <c r="M4882" s="1323"/>
      <c r="N4882" s="1323"/>
      <c r="O4882" s="1323"/>
      <c r="P4882" s="1323"/>
      <c r="Q4882" s="1323"/>
      <c r="R4882" s="1304"/>
      <c r="S4882" s="1304"/>
      <c r="T4882" s="1304"/>
    </row>
    <row r="4883" spans="1:20">
      <c r="A4883" s="1303"/>
      <c r="B4883" s="1322" t="s">
        <v>11346</v>
      </c>
      <c r="C4883" s="1323" t="s">
        <v>11199</v>
      </c>
      <c r="D4883" s="1324">
        <f t="shared" si="486"/>
        <v>34757</v>
      </c>
      <c r="E4883" s="1323">
        <f t="shared" si="482"/>
        <v>3.6088</v>
      </c>
      <c r="F4883" s="1323">
        <f t="shared" si="487"/>
        <v>3.847870692522144</v>
      </c>
      <c r="G4883" s="1323">
        <f t="shared" si="483"/>
        <v>1995</v>
      </c>
      <c r="H4883" s="1323">
        <f t="shared" si="484"/>
        <v>2</v>
      </c>
      <c r="I4883" s="1323">
        <f t="shared" si="485"/>
        <v>27</v>
      </c>
      <c r="J4883" s="1323"/>
      <c r="K4883" s="1323"/>
      <c r="L4883" s="1323"/>
      <c r="M4883" s="1323"/>
      <c r="N4883" s="1323"/>
      <c r="O4883" s="1323"/>
      <c r="P4883" s="1323"/>
      <c r="Q4883" s="1323"/>
      <c r="R4883" s="1304"/>
      <c r="S4883" s="1304"/>
      <c r="T4883" s="1304"/>
    </row>
    <row r="4884" spans="1:20">
      <c r="A4884" s="1303"/>
      <c r="B4884" s="1322" t="s">
        <v>11347</v>
      </c>
      <c r="C4884" s="1323" t="s">
        <v>11348</v>
      </c>
      <c r="D4884" s="1324">
        <f t="shared" si="486"/>
        <v>34754</v>
      </c>
      <c r="E4884" s="1323">
        <f t="shared" si="482"/>
        <v>3.6160000000000001</v>
      </c>
      <c r="F4884" s="1323">
        <f t="shared" si="487"/>
        <v>3.8471328862151983</v>
      </c>
      <c r="G4884" s="1323">
        <f t="shared" si="483"/>
        <v>1995</v>
      </c>
      <c r="H4884" s="1323">
        <f t="shared" si="484"/>
        <v>2</v>
      </c>
      <c r="I4884" s="1323">
        <f t="shared" si="485"/>
        <v>24</v>
      </c>
      <c r="J4884" s="1323"/>
      <c r="K4884" s="1323"/>
      <c r="L4884" s="1323"/>
      <c r="M4884" s="1323"/>
      <c r="N4884" s="1323"/>
      <c r="O4884" s="1323"/>
      <c r="P4884" s="1323"/>
      <c r="Q4884" s="1323"/>
      <c r="R4884" s="1304"/>
      <c r="S4884" s="1304"/>
      <c r="T4884" s="1304"/>
    </row>
    <row r="4885" spans="1:20">
      <c r="A4885" s="1303"/>
      <c r="B4885" s="1322" t="s">
        <v>11349</v>
      </c>
      <c r="C4885" s="1323" t="s">
        <v>11291</v>
      </c>
      <c r="D4885" s="1324">
        <f t="shared" si="486"/>
        <v>34753</v>
      </c>
      <c r="E4885" s="1323">
        <f t="shared" si="482"/>
        <v>3.6107999999999998</v>
      </c>
      <c r="F4885" s="1323">
        <f t="shared" si="487"/>
        <v>3.8463952213782218</v>
      </c>
      <c r="G4885" s="1323">
        <f t="shared" si="483"/>
        <v>1995</v>
      </c>
      <c r="H4885" s="1323">
        <f t="shared" si="484"/>
        <v>2</v>
      </c>
      <c r="I4885" s="1323">
        <f t="shared" si="485"/>
        <v>23</v>
      </c>
      <c r="J4885" s="1323"/>
      <c r="K4885" s="1323"/>
      <c r="L4885" s="1323"/>
      <c r="M4885" s="1323"/>
      <c r="N4885" s="1323"/>
      <c r="O4885" s="1323"/>
      <c r="P4885" s="1323"/>
      <c r="Q4885" s="1323"/>
      <c r="R4885" s="1304"/>
      <c r="S4885" s="1304"/>
      <c r="T4885" s="1304"/>
    </row>
    <row r="4886" spans="1:20">
      <c r="A4886" s="1303"/>
      <c r="B4886" s="1322" t="s">
        <v>11350</v>
      </c>
      <c r="C4886" s="1323" t="s">
        <v>11192</v>
      </c>
      <c r="D4886" s="1324">
        <f t="shared" si="486"/>
        <v>34752</v>
      </c>
      <c r="E4886" s="1323">
        <f t="shared" ref="E4886:E4949" si="488">VALUE(C4887)</f>
        <v>3.5771999999999999</v>
      </c>
      <c r="F4886" s="1323">
        <f t="shared" si="487"/>
        <v>3.8456576979840875</v>
      </c>
      <c r="G4886" s="1323">
        <f t="shared" ref="G4886:G4949" si="489">YEAR(B4887)</f>
        <v>1995</v>
      </c>
      <c r="H4886" s="1323">
        <f t="shared" ref="H4886:H4949" si="490">MONTH(B4887)</f>
        <v>2</v>
      </c>
      <c r="I4886" s="1323">
        <f t="shared" ref="I4886:I4949" si="491">DAY(B4887)</f>
        <v>22</v>
      </c>
      <c r="J4886" s="1323"/>
      <c r="K4886" s="1323"/>
      <c r="L4886" s="1323"/>
      <c r="M4886" s="1323"/>
      <c r="N4886" s="1323"/>
      <c r="O4886" s="1323"/>
      <c r="P4886" s="1323"/>
      <c r="Q4886" s="1323"/>
      <c r="R4886" s="1304"/>
      <c r="S4886" s="1304"/>
      <c r="T4886" s="1304"/>
    </row>
    <row r="4887" spans="1:20">
      <c r="A4887" s="1303"/>
      <c r="B4887" s="1322" t="s">
        <v>11351</v>
      </c>
      <c r="C4887" s="1323" t="s">
        <v>11352</v>
      </c>
      <c r="D4887" s="1324">
        <f t="shared" si="486"/>
        <v>34751</v>
      </c>
      <c r="E4887" s="1323">
        <f t="shared" si="488"/>
        <v>3.5455000000000001</v>
      </c>
      <c r="F4887" s="1323">
        <f t="shared" si="487"/>
        <v>3.8449203160056755</v>
      </c>
      <c r="G4887" s="1323">
        <f t="shared" si="489"/>
        <v>1995</v>
      </c>
      <c r="H4887" s="1323">
        <f t="shared" si="490"/>
        <v>2</v>
      </c>
      <c r="I4887" s="1323">
        <f t="shared" si="491"/>
        <v>21</v>
      </c>
      <c r="J4887" s="1323"/>
      <c r="K4887" s="1323"/>
      <c r="L4887" s="1323"/>
      <c r="M4887" s="1323"/>
      <c r="N4887" s="1323"/>
      <c r="O4887" s="1323"/>
      <c r="P4887" s="1323"/>
      <c r="Q4887" s="1323"/>
      <c r="R4887" s="1304"/>
      <c r="S4887" s="1304"/>
      <c r="T4887" s="1304"/>
    </row>
    <row r="4888" spans="1:20">
      <c r="A4888" s="1303"/>
      <c r="B4888" s="1322" t="s">
        <v>11353</v>
      </c>
      <c r="C4888" s="1323" t="s">
        <v>11354</v>
      </c>
      <c r="D4888" s="1324">
        <f t="shared" si="486"/>
        <v>34750</v>
      </c>
      <c r="E4888" s="1323">
        <f t="shared" si="488"/>
        <v>3.5354000000000001</v>
      </c>
      <c r="F4888" s="1323">
        <f t="shared" si="487"/>
        <v>3.8441830754158697</v>
      </c>
      <c r="G4888" s="1323">
        <f t="shared" si="489"/>
        <v>1995</v>
      </c>
      <c r="H4888" s="1323">
        <f t="shared" si="490"/>
        <v>2</v>
      </c>
      <c r="I4888" s="1323">
        <f t="shared" si="491"/>
        <v>20</v>
      </c>
      <c r="J4888" s="1323"/>
      <c r="K4888" s="1323"/>
      <c r="L4888" s="1323"/>
      <c r="M4888" s="1323"/>
      <c r="N4888" s="1323"/>
      <c r="O4888" s="1323"/>
      <c r="P4888" s="1323"/>
      <c r="Q4888" s="1323"/>
      <c r="R4888" s="1304"/>
      <c r="S4888" s="1304"/>
      <c r="T4888" s="1304"/>
    </row>
    <row r="4889" spans="1:20">
      <c r="A4889" s="1303"/>
      <c r="B4889" s="1322" t="s">
        <v>11355</v>
      </c>
      <c r="C4889" s="1323" t="s">
        <v>11356</v>
      </c>
      <c r="D4889" s="1324">
        <f t="shared" si="486"/>
        <v>34747</v>
      </c>
      <c r="E4889" s="1323">
        <f t="shared" si="488"/>
        <v>3.5354000000000001</v>
      </c>
      <c r="F4889" s="1323">
        <f t="shared" si="487"/>
        <v>3.8434459761875597</v>
      </c>
      <c r="G4889" s="1323">
        <f t="shared" si="489"/>
        <v>1995</v>
      </c>
      <c r="H4889" s="1323">
        <f t="shared" si="490"/>
        <v>2</v>
      </c>
      <c r="I4889" s="1323">
        <f t="shared" si="491"/>
        <v>17</v>
      </c>
      <c r="J4889" s="1323"/>
      <c r="K4889" s="1323"/>
      <c r="L4889" s="1323"/>
      <c r="M4889" s="1323"/>
      <c r="N4889" s="1323"/>
      <c r="O4889" s="1323"/>
      <c r="P4889" s="1323"/>
      <c r="Q4889" s="1323"/>
      <c r="R4889" s="1304"/>
      <c r="S4889" s="1304"/>
      <c r="T4889" s="1304"/>
    </row>
    <row r="4890" spans="1:20">
      <c r="A4890" s="1303"/>
      <c r="B4890" s="1322" t="s">
        <v>11357</v>
      </c>
      <c r="C4890" s="1323" t="s">
        <v>11356</v>
      </c>
      <c r="D4890" s="1324">
        <f t="shared" si="486"/>
        <v>34746</v>
      </c>
      <c r="E4890" s="1323">
        <f t="shared" si="488"/>
        <v>3.5467</v>
      </c>
      <c r="F4890" s="1323">
        <f t="shared" si="487"/>
        <v>3.8427090182936401</v>
      </c>
      <c r="G4890" s="1323">
        <f t="shared" si="489"/>
        <v>1995</v>
      </c>
      <c r="H4890" s="1323">
        <f t="shared" si="490"/>
        <v>2</v>
      </c>
      <c r="I4890" s="1323">
        <f t="shared" si="491"/>
        <v>16</v>
      </c>
      <c r="J4890" s="1323"/>
      <c r="K4890" s="1323"/>
      <c r="L4890" s="1323"/>
      <c r="M4890" s="1323"/>
      <c r="N4890" s="1323"/>
      <c r="O4890" s="1323"/>
      <c r="P4890" s="1323"/>
      <c r="Q4890" s="1323"/>
      <c r="R4890" s="1304"/>
      <c r="S4890" s="1304"/>
      <c r="T4890" s="1304"/>
    </row>
    <row r="4891" spans="1:20">
      <c r="A4891" s="1303"/>
      <c r="B4891" s="1322" t="s">
        <v>11358</v>
      </c>
      <c r="C4891" s="1323" t="s">
        <v>11359</v>
      </c>
      <c r="D4891" s="1324">
        <f t="shared" si="486"/>
        <v>34745</v>
      </c>
      <c r="E4891" s="1323">
        <f t="shared" si="488"/>
        <v>3.5417000000000001</v>
      </c>
      <c r="F4891" s="1323">
        <f t="shared" si="487"/>
        <v>3.8419722017070113</v>
      </c>
      <c r="G4891" s="1323">
        <f t="shared" si="489"/>
        <v>1995</v>
      </c>
      <c r="H4891" s="1323">
        <f t="shared" si="490"/>
        <v>2</v>
      </c>
      <c r="I4891" s="1323">
        <f t="shared" si="491"/>
        <v>15</v>
      </c>
      <c r="J4891" s="1323"/>
      <c r="K4891" s="1323"/>
      <c r="L4891" s="1323"/>
      <c r="M4891" s="1323"/>
      <c r="N4891" s="1323"/>
      <c r="O4891" s="1323"/>
      <c r="P4891" s="1323"/>
      <c r="Q4891" s="1323"/>
      <c r="R4891" s="1304"/>
      <c r="S4891" s="1304"/>
      <c r="T4891" s="1304"/>
    </row>
    <row r="4892" spans="1:20">
      <c r="A4892" s="1303"/>
      <c r="B4892" s="1322" t="s">
        <v>11360</v>
      </c>
      <c r="C4892" s="1323" t="s">
        <v>11361</v>
      </c>
      <c r="D4892" s="1324">
        <f t="shared" si="486"/>
        <v>34744</v>
      </c>
      <c r="E4892" s="1323">
        <f t="shared" si="488"/>
        <v>3.5442</v>
      </c>
      <c r="F4892" s="1323">
        <f t="shared" si="487"/>
        <v>3.841235526400578</v>
      </c>
      <c r="G4892" s="1323">
        <f t="shared" si="489"/>
        <v>1995</v>
      </c>
      <c r="H4892" s="1323">
        <f t="shared" si="490"/>
        <v>2</v>
      </c>
      <c r="I4892" s="1323">
        <f t="shared" si="491"/>
        <v>14</v>
      </c>
      <c r="J4892" s="1323"/>
      <c r="K4892" s="1323"/>
      <c r="L4892" s="1323"/>
      <c r="M4892" s="1323"/>
      <c r="N4892" s="1323"/>
      <c r="O4892" s="1323"/>
      <c r="P4892" s="1323"/>
      <c r="Q4892" s="1323"/>
      <c r="R4892" s="1304"/>
      <c r="S4892" s="1304"/>
      <c r="T4892" s="1304"/>
    </row>
    <row r="4893" spans="1:20">
      <c r="A4893" s="1303"/>
      <c r="B4893" s="1322" t="s">
        <v>11362</v>
      </c>
      <c r="C4893" s="1323" t="s">
        <v>11363</v>
      </c>
      <c r="D4893" s="1324">
        <f t="shared" si="486"/>
        <v>34743</v>
      </c>
      <c r="E4893" s="1323">
        <f t="shared" si="488"/>
        <v>3.5442</v>
      </c>
      <c r="F4893" s="1323">
        <f t="shared" si="487"/>
        <v>3.8404989923472508</v>
      </c>
      <c r="G4893" s="1323">
        <f t="shared" si="489"/>
        <v>1995</v>
      </c>
      <c r="H4893" s="1323">
        <f t="shared" si="490"/>
        <v>2</v>
      </c>
      <c r="I4893" s="1323">
        <f t="shared" si="491"/>
        <v>13</v>
      </c>
      <c r="J4893" s="1323"/>
      <c r="K4893" s="1323"/>
      <c r="L4893" s="1323"/>
      <c r="M4893" s="1323"/>
      <c r="N4893" s="1323"/>
      <c r="O4893" s="1323"/>
      <c r="P4893" s="1323"/>
      <c r="Q4893" s="1323"/>
      <c r="R4893" s="1304"/>
      <c r="S4893" s="1304"/>
      <c r="T4893" s="1304"/>
    </row>
    <row r="4894" spans="1:20">
      <c r="A4894" s="1303"/>
      <c r="B4894" s="1322" t="s">
        <v>11364</v>
      </c>
      <c r="C4894" s="1323" t="s">
        <v>11363</v>
      </c>
      <c r="D4894" s="1324">
        <f t="shared" si="486"/>
        <v>34740</v>
      </c>
      <c r="E4894" s="1323">
        <f t="shared" si="488"/>
        <v>3.5491999999999999</v>
      </c>
      <c r="F4894" s="1323">
        <f t="shared" si="487"/>
        <v>3.8397625995199456</v>
      </c>
      <c r="G4894" s="1323">
        <f t="shared" si="489"/>
        <v>1995</v>
      </c>
      <c r="H4894" s="1323">
        <f t="shared" si="490"/>
        <v>2</v>
      </c>
      <c r="I4894" s="1323">
        <f t="shared" si="491"/>
        <v>10</v>
      </c>
      <c r="J4894" s="1323"/>
      <c r="K4894" s="1323"/>
      <c r="L4894" s="1323"/>
      <c r="M4894" s="1323"/>
      <c r="N4894" s="1323"/>
      <c r="O4894" s="1323"/>
      <c r="P4894" s="1323"/>
      <c r="Q4894" s="1323"/>
      <c r="R4894" s="1304"/>
      <c r="S4894" s="1304"/>
      <c r="T4894" s="1304"/>
    </row>
    <row r="4895" spans="1:20">
      <c r="A4895" s="1303"/>
      <c r="B4895" s="1322" t="s">
        <v>11365</v>
      </c>
      <c r="C4895" s="1323" t="s">
        <v>11366</v>
      </c>
      <c r="D4895" s="1324">
        <f t="shared" si="486"/>
        <v>34739</v>
      </c>
      <c r="E4895" s="1323">
        <f t="shared" si="488"/>
        <v>3.5518000000000001</v>
      </c>
      <c r="F4895" s="1323">
        <f t="shared" si="487"/>
        <v>3.8390263478915827</v>
      </c>
      <c r="G4895" s="1323">
        <f t="shared" si="489"/>
        <v>1995</v>
      </c>
      <c r="H4895" s="1323">
        <f t="shared" si="490"/>
        <v>2</v>
      </c>
      <c r="I4895" s="1323">
        <f t="shared" si="491"/>
        <v>9</v>
      </c>
      <c r="J4895" s="1323"/>
      <c r="K4895" s="1323"/>
      <c r="L4895" s="1323"/>
      <c r="M4895" s="1323"/>
      <c r="N4895" s="1323"/>
      <c r="O4895" s="1323"/>
      <c r="P4895" s="1323"/>
      <c r="Q4895" s="1323"/>
      <c r="R4895" s="1304"/>
      <c r="S4895" s="1304"/>
      <c r="T4895" s="1304"/>
    </row>
    <row r="4896" spans="1:20">
      <c r="A4896" s="1303"/>
      <c r="B4896" s="1322" t="s">
        <v>11367</v>
      </c>
      <c r="C4896" s="1323" t="s">
        <v>11368</v>
      </c>
      <c r="D4896" s="1324">
        <f t="shared" si="486"/>
        <v>34738</v>
      </c>
      <c r="E4896" s="1323">
        <f t="shared" si="488"/>
        <v>3.5491999999999999</v>
      </c>
      <c r="F4896" s="1323">
        <f t="shared" si="487"/>
        <v>3.8382902374350882</v>
      </c>
      <c r="G4896" s="1323">
        <f t="shared" si="489"/>
        <v>1995</v>
      </c>
      <c r="H4896" s="1323">
        <f t="shared" si="490"/>
        <v>2</v>
      </c>
      <c r="I4896" s="1323">
        <f t="shared" si="491"/>
        <v>8</v>
      </c>
      <c r="J4896" s="1323"/>
      <c r="K4896" s="1323"/>
      <c r="L4896" s="1323"/>
      <c r="M4896" s="1323"/>
      <c r="N4896" s="1323"/>
      <c r="O4896" s="1323"/>
      <c r="P4896" s="1323"/>
      <c r="Q4896" s="1323"/>
      <c r="R4896" s="1304"/>
      <c r="S4896" s="1304"/>
      <c r="T4896" s="1304"/>
    </row>
    <row r="4897" spans="1:20">
      <c r="A4897" s="1303"/>
      <c r="B4897" s="1322" t="s">
        <v>11369</v>
      </c>
      <c r="C4897" s="1323" t="s">
        <v>11366</v>
      </c>
      <c r="D4897" s="1324">
        <f t="shared" si="486"/>
        <v>34737</v>
      </c>
      <c r="E4897" s="1323">
        <f t="shared" si="488"/>
        <v>3.5474000000000001</v>
      </c>
      <c r="F4897" s="1323">
        <f t="shared" si="487"/>
        <v>3.8375542681233932</v>
      </c>
      <c r="G4897" s="1323">
        <f t="shared" si="489"/>
        <v>1995</v>
      </c>
      <c r="H4897" s="1323">
        <f t="shared" si="490"/>
        <v>2</v>
      </c>
      <c r="I4897" s="1323">
        <f t="shared" si="491"/>
        <v>7</v>
      </c>
      <c r="J4897" s="1323"/>
      <c r="K4897" s="1323"/>
      <c r="L4897" s="1323"/>
      <c r="M4897" s="1323"/>
      <c r="N4897" s="1323"/>
      <c r="O4897" s="1323"/>
      <c r="P4897" s="1323"/>
      <c r="Q4897" s="1323"/>
      <c r="R4897" s="1304"/>
      <c r="S4897" s="1304"/>
      <c r="T4897" s="1304"/>
    </row>
    <row r="4898" spans="1:20">
      <c r="A4898" s="1303"/>
      <c r="B4898" s="1322" t="s">
        <v>11370</v>
      </c>
      <c r="C4898" s="1323" t="s">
        <v>11371</v>
      </c>
      <c r="D4898" s="1324">
        <f t="shared" si="486"/>
        <v>34736</v>
      </c>
      <c r="E4898" s="1323">
        <f t="shared" si="488"/>
        <v>3.5499000000000001</v>
      </c>
      <c r="F4898" s="1323">
        <f t="shared" si="487"/>
        <v>3.8368184399294338</v>
      </c>
      <c r="G4898" s="1323">
        <f t="shared" si="489"/>
        <v>1995</v>
      </c>
      <c r="H4898" s="1323">
        <f t="shared" si="490"/>
        <v>2</v>
      </c>
      <c r="I4898" s="1323">
        <f t="shared" si="491"/>
        <v>6</v>
      </c>
      <c r="J4898" s="1323"/>
      <c r="K4898" s="1323"/>
      <c r="L4898" s="1323"/>
      <c r="M4898" s="1323"/>
      <c r="N4898" s="1323"/>
      <c r="O4898" s="1323"/>
      <c r="P4898" s="1323"/>
      <c r="Q4898" s="1323"/>
      <c r="R4898" s="1304"/>
      <c r="S4898" s="1304"/>
      <c r="T4898" s="1304"/>
    </row>
    <row r="4899" spans="1:20">
      <c r="A4899" s="1303"/>
      <c r="B4899" s="1322" t="s">
        <v>11372</v>
      </c>
      <c r="C4899" s="1323" t="s">
        <v>11373</v>
      </c>
      <c r="D4899" s="1324">
        <f t="shared" si="486"/>
        <v>34733</v>
      </c>
      <c r="E4899" s="1323">
        <f t="shared" si="488"/>
        <v>3.5474000000000001</v>
      </c>
      <c r="F4899" s="1323">
        <f t="shared" si="487"/>
        <v>3.8360827528261519</v>
      </c>
      <c r="G4899" s="1323">
        <f t="shared" si="489"/>
        <v>1995</v>
      </c>
      <c r="H4899" s="1323">
        <f t="shared" si="490"/>
        <v>2</v>
      </c>
      <c r="I4899" s="1323">
        <f t="shared" si="491"/>
        <v>3</v>
      </c>
      <c r="J4899" s="1323"/>
      <c r="K4899" s="1323"/>
      <c r="L4899" s="1323"/>
      <c r="M4899" s="1323"/>
      <c r="N4899" s="1323"/>
      <c r="O4899" s="1323"/>
      <c r="P4899" s="1323"/>
      <c r="Q4899" s="1323"/>
      <c r="R4899" s="1304"/>
      <c r="S4899" s="1304"/>
      <c r="T4899" s="1304"/>
    </row>
    <row r="4900" spans="1:20">
      <c r="A4900" s="1303"/>
      <c r="B4900" s="1322" t="s">
        <v>11374</v>
      </c>
      <c r="C4900" s="1323" t="s">
        <v>11371</v>
      </c>
      <c r="D4900" s="1324">
        <f t="shared" si="486"/>
        <v>34732</v>
      </c>
      <c r="E4900" s="1323">
        <f t="shared" si="488"/>
        <v>3.5430000000000001</v>
      </c>
      <c r="F4900" s="1323">
        <f t="shared" si="487"/>
        <v>3.8353472067864942</v>
      </c>
      <c r="G4900" s="1323">
        <f t="shared" si="489"/>
        <v>1995</v>
      </c>
      <c r="H4900" s="1323">
        <f t="shared" si="490"/>
        <v>2</v>
      </c>
      <c r="I4900" s="1323">
        <f t="shared" si="491"/>
        <v>2</v>
      </c>
      <c r="J4900" s="1323"/>
      <c r="K4900" s="1323"/>
      <c r="L4900" s="1323"/>
      <c r="M4900" s="1323"/>
      <c r="N4900" s="1323"/>
      <c r="O4900" s="1323"/>
      <c r="P4900" s="1323"/>
      <c r="Q4900" s="1323"/>
      <c r="R4900" s="1304"/>
      <c r="S4900" s="1304"/>
      <c r="T4900" s="1304"/>
    </row>
    <row r="4901" spans="1:20">
      <c r="A4901" s="1303"/>
      <c r="B4901" s="1322" t="s">
        <v>11375</v>
      </c>
      <c r="C4901" s="1323" t="s">
        <v>11376</v>
      </c>
      <c r="D4901" s="1324">
        <f t="shared" si="486"/>
        <v>34731</v>
      </c>
      <c r="E4901" s="1323">
        <f t="shared" si="488"/>
        <v>3.5404</v>
      </c>
      <c r="F4901" s="1323">
        <f t="shared" si="487"/>
        <v>3.8346118017834123</v>
      </c>
      <c r="G4901" s="1323">
        <f t="shared" si="489"/>
        <v>1995</v>
      </c>
      <c r="H4901" s="1323">
        <f t="shared" si="490"/>
        <v>2</v>
      </c>
      <c r="I4901" s="1323">
        <f t="shared" si="491"/>
        <v>1</v>
      </c>
      <c r="J4901" s="1323"/>
      <c r="K4901" s="1323"/>
      <c r="L4901" s="1323"/>
      <c r="M4901" s="1323"/>
      <c r="N4901" s="1323"/>
      <c r="O4901" s="1323"/>
      <c r="P4901" s="1323"/>
      <c r="Q4901" s="1323"/>
      <c r="R4901" s="1304"/>
      <c r="S4901" s="1304"/>
      <c r="T4901" s="1304"/>
    </row>
    <row r="4902" spans="1:20">
      <c r="A4902" s="1303"/>
      <c r="B4902" s="1322" t="s">
        <v>11377</v>
      </c>
      <c r="C4902" s="1323" t="s">
        <v>11378</v>
      </c>
      <c r="D4902" s="1324">
        <f t="shared" si="486"/>
        <v>34730</v>
      </c>
      <c r="E4902" s="1323">
        <f t="shared" si="488"/>
        <v>3.5255000000000001</v>
      </c>
      <c r="F4902" s="1323">
        <f t="shared" si="487"/>
        <v>3.8338765377898634</v>
      </c>
      <c r="G4902" s="1323">
        <f t="shared" si="489"/>
        <v>1995</v>
      </c>
      <c r="H4902" s="1323">
        <f t="shared" si="490"/>
        <v>1</v>
      </c>
      <c r="I4902" s="1323">
        <f t="shared" si="491"/>
        <v>31</v>
      </c>
      <c r="J4902" s="1323"/>
      <c r="K4902" s="1323"/>
      <c r="L4902" s="1323"/>
      <c r="M4902" s="1323"/>
      <c r="N4902" s="1323"/>
      <c r="O4902" s="1323"/>
      <c r="P4902" s="1323"/>
      <c r="Q4902" s="1323"/>
      <c r="R4902" s="1304"/>
      <c r="S4902" s="1304"/>
      <c r="T4902" s="1304"/>
    </row>
    <row r="4903" spans="1:20">
      <c r="A4903" s="1303"/>
      <c r="B4903" s="1322" t="s">
        <v>11379</v>
      </c>
      <c r="C4903" s="1323" t="s">
        <v>11380</v>
      </c>
      <c r="D4903" s="1324">
        <f t="shared" si="486"/>
        <v>34729</v>
      </c>
      <c r="E4903" s="1323">
        <f t="shared" si="488"/>
        <v>3.5354000000000001</v>
      </c>
      <c r="F4903" s="1323">
        <f t="shared" si="487"/>
        <v>3.8331414147788099</v>
      </c>
      <c r="G4903" s="1323">
        <f t="shared" si="489"/>
        <v>1995</v>
      </c>
      <c r="H4903" s="1323">
        <f t="shared" si="490"/>
        <v>1</v>
      </c>
      <c r="I4903" s="1323">
        <f t="shared" si="491"/>
        <v>30</v>
      </c>
      <c r="J4903" s="1323"/>
      <c r="K4903" s="1323"/>
      <c r="L4903" s="1323"/>
      <c r="M4903" s="1323"/>
      <c r="N4903" s="1323"/>
      <c r="O4903" s="1323"/>
      <c r="P4903" s="1323"/>
      <c r="Q4903" s="1323"/>
      <c r="R4903" s="1304"/>
      <c r="S4903" s="1304"/>
      <c r="T4903" s="1304"/>
    </row>
    <row r="4904" spans="1:20">
      <c r="A4904" s="1303"/>
      <c r="B4904" s="1322" t="s">
        <v>11381</v>
      </c>
      <c r="C4904" s="1323" t="s">
        <v>11356</v>
      </c>
      <c r="D4904" s="1324">
        <f t="shared" si="486"/>
        <v>34726</v>
      </c>
      <c r="E4904" s="1323">
        <f t="shared" si="488"/>
        <v>3.5354000000000001</v>
      </c>
      <c r="F4904" s="1323">
        <f t="shared" si="487"/>
        <v>3.8324064327232188</v>
      </c>
      <c r="G4904" s="1323">
        <f t="shared" si="489"/>
        <v>1995</v>
      </c>
      <c r="H4904" s="1323">
        <f t="shared" si="490"/>
        <v>1</v>
      </c>
      <c r="I4904" s="1323">
        <f t="shared" si="491"/>
        <v>27</v>
      </c>
      <c r="J4904" s="1323"/>
      <c r="K4904" s="1323"/>
      <c r="L4904" s="1323"/>
      <c r="M4904" s="1323"/>
      <c r="N4904" s="1323"/>
      <c r="O4904" s="1323"/>
      <c r="P4904" s="1323"/>
      <c r="Q4904" s="1323"/>
      <c r="R4904" s="1304"/>
      <c r="S4904" s="1304"/>
      <c r="T4904" s="1304"/>
    </row>
    <row r="4905" spans="1:20">
      <c r="A4905" s="1303"/>
      <c r="B4905" s="1322" t="s">
        <v>11382</v>
      </c>
      <c r="C4905" s="1323" t="s">
        <v>11356</v>
      </c>
      <c r="D4905" s="1324">
        <f t="shared" si="486"/>
        <v>34725</v>
      </c>
      <c r="E4905" s="1323">
        <f t="shared" si="488"/>
        <v>3.5367000000000002</v>
      </c>
      <c r="F4905" s="1323">
        <f t="shared" si="487"/>
        <v>3.8316715915960633</v>
      </c>
      <c r="G4905" s="1323">
        <f t="shared" si="489"/>
        <v>1995</v>
      </c>
      <c r="H4905" s="1323">
        <f t="shared" si="490"/>
        <v>1</v>
      </c>
      <c r="I4905" s="1323">
        <f t="shared" si="491"/>
        <v>26</v>
      </c>
      <c r="J4905" s="1323"/>
      <c r="K4905" s="1323"/>
      <c r="L4905" s="1323"/>
      <c r="M4905" s="1323"/>
      <c r="N4905" s="1323"/>
      <c r="O4905" s="1323"/>
      <c r="P4905" s="1323"/>
      <c r="Q4905" s="1323"/>
      <c r="R4905" s="1304"/>
      <c r="S4905" s="1304"/>
      <c r="T4905" s="1304"/>
    </row>
    <row r="4906" spans="1:20">
      <c r="A4906" s="1303"/>
      <c r="B4906" s="1322" t="s">
        <v>11383</v>
      </c>
      <c r="C4906" s="1323" t="s">
        <v>11384</v>
      </c>
      <c r="D4906" s="1324">
        <f t="shared" si="486"/>
        <v>34724</v>
      </c>
      <c r="E4906" s="1323">
        <f t="shared" si="488"/>
        <v>3.5323000000000002</v>
      </c>
      <c r="F4906" s="1323">
        <f t="shared" si="487"/>
        <v>3.830936891370321</v>
      </c>
      <c r="G4906" s="1323">
        <f t="shared" si="489"/>
        <v>1995</v>
      </c>
      <c r="H4906" s="1323">
        <f t="shared" si="490"/>
        <v>1</v>
      </c>
      <c r="I4906" s="1323">
        <f t="shared" si="491"/>
        <v>25</v>
      </c>
      <c r="J4906" s="1323"/>
      <c r="K4906" s="1323"/>
      <c r="L4906" s="1323"/>
      <c r="M4906" s="1323"/>
      <c r="N4906" s="1323"/>
      <c r="O4906" s="1323"/>
      <c r="P4906" s="1323"/>
      <c r="Q4906" s="1323"/>
      <c r="R4906" s="1304"/>
      <c r="S4906" s="1304"/>
      <c r="T4906" s="1304"/>
    </row>
    <row r="4907" spans="1:20">
      <c r="A4907" s="1303"/>
      <c r="B4907" s="1322" t="s">
        <v>11385</v>
      </c>
      <c r="C4907" s="1323" t="s">
        <v>11386</v>
      </c>
      <c r="D4907" s="1324">
        <f t="shared" si="486"/>
        <v>34723</v>
      </c>
      <c r="E4907" s="1323">
        <f t="shared" si="488"/>
        <v>3.5354000000000001</v>
      </c>
      <c r="F4907" s="1323">
        <f t="shared" si="487"/>
        <v>3.8302023320189749</v>
      </c>
      <c r="G4907" s="1323">
        <f t="shared" si="489"/>
        <v>1995</v>
      </c>
      <c r="H4907" s="1323">
        <f t="shared" si="490"/>
        <v>1</v>
      </c>
      <c r="I4907" s="1323">
        <f t="shared" si="491"/>
        <v>24</v>
      </c>
      <c r="J4907" s="1323"/>
      <c r="K4907" s="1323"/>
      <c r="L4907" s="1323"/>
      <c r="M4907" s="1323"/>
      <c r="N4907" s="1323"/>
      <c r="O4907" s="1323"/>
      <c r="P4907" s="1323"/>
      <c r="Q4907" s="1323"/>
      <c r="R4907" s="1304"/>
      <c r="S4907" s="1304"/>
      <c r="T4907" s="1304"/>
    </row>
    <row r="4908" spans="1:20">
      <c r="A4908" s="1303"/>
      <c r="B4908" s="1322" t="s">
        <v>11387</v>
      </c>
      <c r="C4908" s="1323" t="s">
        <v>11356</v>
      </c>
      <c r="D4908" s="1324">
        <f t="shared" si="486"/>
        <v>34722</v>
      </c>
      <c r="E4908" s="1323">
        <f t="shared" si="488"/>
        <v>3.5367000000000002</v>
      </c>
      <c r="F4908" s="1323">
        <f t="shared" si="487"/>
        <v>3.8294679135150131</v>
      </c>
      <c r="G4908" s="1323">
        <f t="shared" si="489"/>
        <v>1995</v>
      </c>
      <c r="H4908" s="1323">
        <f t="shared" si="490"/>
        <v>1</v>
      </c>
      <c r="I4908" s="1323">
        <f t="shared" si="491"/>
        <v>23</v>
      </c>
      <c r="J4908" s="1323"/>
      <c r="K4908" s="1323"/>
      <c r="L4908" s="1323"/>
      <c r="M4908" s="1323"/>
      <c r="N4908" s="1323"/>
      <c r="O4908" s="1323"/>
      <c r="P4908" s="1323"/>
      <c r="Q4908" s="1323"/>
      <c r="R4908" s="1304"/>
      <c r="S4908" s="1304"/>
      <c r="T4908" s="1304"/>
    </row>
    <row r="4909" spans="1:20">
      <c r="A4909" s="1303"/>
      <c r="B4909" s="1322" t="s">
        <v>11388</v>
      </c>
      <c r="C4909" s="1323" t="s">
        <v>11384</v>
      </c>
      <c r="D4909" s="1324">
        <f t="shared" si="486"/>
        <v>34719</v>
      </c>
      <c r="E4909" s="1323">
        <f t="shared" si="488"/>
        <v>3.528</v>
      </c>
      <c r="F4909" s="1323">
        <f t="shared" si="487"/>
        <v>3.828733635831429</v>
      </c>
      <c r="G4909" s="1323">
        <f t="shared" si="489"/>
        <v>1995</v>
      </c>
      <c r="H4909" s="1323">
        <f t="shared" si="490"/>
        <v>1</v>
      </c>
      <c r="I4909" s="1323">
        <f t="shared" si="491"/>
        <v>20</v>
      </c>
      <c r="J4909" s="1323"/>
      <c r="K4909" s="1323"/>
      <c r="L4909" s="1323"/>
      <c r="M4909" s="1323"/>
      <c r="N4909" s="1323"/>
      <c r="O4909" s="1323"/>
      <c r="P4909" s="1323"/>
      <c r="Q4909" s="1323"/>
      <c r="R4909" s="1304"/>
      <c r="S4909" s="1304"/>
      <c r="T4909" s="1304"/>
    </row>
    <row r="4910" spans="1:20">
      <c r="A4910" s="1303"/>
      <c r="B4910" s="1322" t="s">
        <v>11389</v>
      </c>
      <c r="C4910" s="1323" t="s">
        <v>11390</v>
      </c>
      <c r="D4910" s="1324">
        <f t="shared" si="486"/>
        <v>34718</v>
      </c>
      <c r="E4910" s="1323">
        <f t="shared" si="488"/>
        <v>3.5379</v>
      </c>
      <c r="F4910" s="1323">
        <f t="shared" si="487"/>
        <v>3.8279994989412209</v>
      </c>
      <c r="G4910" s="1323">
        <f t="shared" si="489"/>
        <v>1995</v>
      </c>
      <c r="H4910" s="1323">
        <f t="shared" si="490"/>
        <v>1</v>
      </c>
      <c r="I4910" s="1323">
        <f t="shared" si="491"/>
        <v>19</v>
      </c>
      <c r="J4910" s="1323"/>
      <c r="K4910" s="1323"/>
      <c r="L4910" s="1323"/>
      <c r="M4910" s="1323"/>
      <c r="N4910" s="1323"/>
      <c r="O4910" s="1323"/>
      <c r="P4910" s="1323"/>
      <c r="Q4910" s="1323"/>
      <c r="R4910" s="1304"/>
      <c r="S4910" s="1304"/>
      <c r="T4910" s="1304"/>
    </row>
    <row r="4911" spans="1:20">
      <c r="A4911" s="1303"/>
      <c r="B4911" s="1322" t="s">
        <v>11391</v>
      </c>
      <c r="C4911" s="1323" t="s">
        <v>11341</v>
      </c>
      <c r="D4911" s="1324">
        <f t="shared" si="486"/>
        <v>34717</v>
      </c>
      <c r="E4911" s="1323">
        <f t="shared" si="488"/>
        <v>3.5379</v>
      </c>
      <c r="F4911" s="1323">
        <f t="shared" si="487"/>
        <v>3.8272655028173928</v>
      </c>
      <c r="G4911" s="1323">
        <f t="shared" si="489"/>
        <v>1995</v>
      </c>
      <c r="H4911" s="1323">
        <f t="shared" si="490"/>
        <v>1</v>
      </c>
      <c r="I4911" s="1323">
        <f t="shared" si="491"/>
        <v>18</v>
      </c>
      <c r="J4911" s="1323"/>
      <c r="K4911" s="1323"/>
      <c r="L4911" s="1323"/>
      <c r="M4911" s="1323"/>
      <c r="N4911" s="1323"/>
      <c r="O4911" s="1323"/>
      <c r="P4911" s="1323"/>
      <c r="Q4911" s="1323"/>
      <c r="R4911" s="1304"/>
      <c r="S4911" s="1304"/>
      <c r="T4911" s="1304"/>
    </row>
    <row r="4912" spans="1:20">
      <c r="A4912" s="1303"/>
      <c r="B4912" s="1322" t="s">
        <v>11392</v>
      </c>
      <c r="C4912" s="1323" t="s">
        <v>11341</v>
      </c>
      <c r="D4912" s="1324">
        <f t="shared" si="486"/>
        <v>34716</v>
      </c>
      <c r="E4912" s="1323">
        <f t="shared" si="488"/>
        <v>3.5367000000000002</v>
      </c>
      <c r="F4912" s="1323">
        <f t="shared" si="487"/>
        <v>3.8265316474329536</v>
      </c>
      <c r="G4912" s="1323">
        <f t="shared" si="489"/>
        <v>1995</v>
      </c>
      <c r="H4912" s="1323">
        <f t="shared" si="490"/>
        <v>1</v>
      </c>
      <c r="I4912" s="1323">
        <f t="shared" si="491"/>
        <v>17</v>
      </c>
      <c r="J4912" s="1323"/>
      <c r="K4912" s="1323"/>
      <c r="L4912" s="1323"/>
      <c r="M4912" s="1323"/>
      <c r="N4912" s="1323"/>
      <c r="O4912" s="1323"/>
      <c r="P4912" s="1323"/>
      <c r="Q4912" s="1323"/>
      <c r="R4912" s="1304"/>
      <c r="S4912" s="1304"/>
      <c r="T4912" s="1304"/>
    </row>
    <row r="4913" spans="1:20">
      <c r="A4913" s="1303"/>
      <c r="B4913" s="1322" t="s">
        <v>11393</v>
      </c>
      <c r="C4913" s="1323" t="s">
        <v>11384</v>
      </c>
      <c r="D4913" s="1324">
        <f t="shared" si="486"/>
        <v>34715</v>
      </c>
      <c r="E4913" s="1323">
        <f t="shared" si="488"/>
        <v>3.5354000000000001</v>
      </c>
      <c r="F4913" s="1323">
        <f t="shared" si="487"/>
        <v>3.8257979327609171</v>
      </c>
      <c r="G4913" s="1323">
        <f t="shared" si="489"/>
        <v>1995</v>
      </c>
      <c r="H4913" s="1323">
        <f t="shared" si="490"/>
        <v>1</v>
      </c>
      <c r="I4913" s="1323">
        <f t="shared" si="491"/>
        <v>16</v>
      </c>
      <c r="J4913" s="1323"/>
      <c r="K4913" s="1323"/>
      <c r="L4913" s="1323"/>
      <c r="M4913" s="1323"/>
      <c r="N4913" s="1323"/>
      <c r="O4913" s="1323"/>
      <c r="P4913" s="1323"/>
      <c r="Q4913" s="1323"/>
      <c r="R4913" s="1304"/>
      <c r="S4913" s="1304"/>
      <c r="T4913" s="1304"/>
    </row>
    <row r="4914" spans="1:20">
      <c r="A4914" s="1303"/>
      <c r="B4914" s="1322" t="s">
        <v>11394</v>
      </c>
      <c r="C4914" s="1323" t="s">
        <v>11356</v>
      </c>
      <c r="D4914" s="1324">
        <f t="shared" si="486"/>
        <v>34712</v>
      </c>
      <c r="E4914" s="1323">
        <f t="shared" si="488"/>
        <v>3.5236000000000001</v>
      </c>
      <c r="F4914" s="1323">
        <f t="shared" si="487"/>
        <v>3.8250643587743025</v>
      </c>
      <c r="G4914" s="1323">
        <f t="shared" si="489"/>
        <v>1995</v>
      </c>
      <c r="H4914" s="1323">
        <f t="shared" si="490"/>
        <v>1</v>
      </c>
      <c r="I4914" s="1323">
        <f t="shared" si="491"/>
        <v>13</v>
      </c>
      <c r="J4914" s="1323"/>
      <c r="K4914" s="1323"/>
      <c r="L4914" s="1323"/>
      <c r="M4914" s="1323"/>
      <c r="N4914" s="1323"/>
      <c r="O4914" s="1323"/>
      <c r="P4914" s="1323"/>
      <c r="Q4914" s="1323"/>
      <c r="R4914" s="1304"/>
      <c r="S4914" s="1304"/>
      <c r="T4914" s="1304"/>
    </row>
    <row r="4915" spans="1:20">
      <c r="A4915" s="1303"/>
      <c r="B4915" s="1322" t="s">
        <v>11395</v>
      </c>
      <c r="C4915" s="1323" t="s">
        <v>11396</v>
      </c>
      <c r="D4915" s="1324">
        <f t="shared" si="486"/>
        <v>34711</v>
      </c>
      <c r="E4915" s="1323">
        <f t="shared" si="488"/>
        <v>3.5255000000000001</v>
      </c>
      <c r="F4915" s="1323">
        <f t="shared" si="487"/>
        <v>3.8243309254461346</v>
      </c>
      <c r="G4915" s="1323">
        <f t="shared" si="489"/>
        <v>1995</v>
      </c>
      <c r="H4915" s="1323">
        <f t="shared" si="490"/>
        <v>1</v>
      </c>
      <c r="I4915" s="1323">
        <f t="shared" si="491"/>
        <v>12</v>
      </c>
      <c r="J4915" s="1323"/>
      <c r="K4915" s="1323"/>
      <c r="L4915" s="1323"/>
      <c r="M4915" s="1323"/>
      <c r="N4915" s="1323"/>
      <c r="O4915" s="1323"/>
      <c r="P4915" s="1323"/>
      <c r="Q4915" s="1323"/>
      <c r="R4915" s="1304"/>
      <c r="S4915" s="1304"/>
      <c r="T4915" s="1304"/>
    </row>
    <row r="4916" spans="1:20">
      <c r="A4916" s="1303"/>
      <c r="B4916" s="1322" t="s">
        <v>11397</v>
      </c>
      <c r="C4916" s="1323" t="s">
        <v>11380</v>
      </c>
      <c r="D4916" s="1324">
        <f t="shared" si="486"/>
        <v>34710</v>
      </c>
      <c r="E4916" s="1323">
        <f t="shared" si="488"/>
        <v>3.5272999999999999</v>
      </c>
      <c r="F4916" s="1323">
        <f t="shared" si="487"/>
        <v>3.823597632749443</v>
      </c>
      <c r="G4916" s="1323">
        <f t="shared" si="489"/>
        <v>1995</v>
      </c>
      <c r="H4916" s="1323">
        <f t="shared" si="490"/>
        <v>1</v>
      </c>
      <c r="I4916" s="1323">
        <f t="shared" si="491"/>
        <v>11</v>
      </c>
      <c r="J4916" s="1323"/>
      <c r="K4916" s="1323"/>
      <c r="L4916" s="1323"/>
      <c r="M4916" s="1323"/>
      <c r="N4916" s="1323"/>
      <c r="O4916" s="1323"/>
      <c r="P4916" s="1323"/>
      <c r="Q4916" s="1323"/>
      <c r="R4916" s="1304"/>
      <c r="S4916" s="1304"/>
      <c r="T4916" s="1304"/>
    </row>
    <row r="4917" spans="1:20">
      <c r="A4917" s="1303"/>
      <c r="B4917" s="1322" t="s">
        <v>11398</v>
      </c>
      <c r="C4917" s="1323" t="s">
        <v>11399</v>
      </c>
      <c r="D4917" s="1324">
        <f t="shared" si="486"/>
        <v>34709</v>
      </c>
      <c r="E4917" s="1323">
        <f t="shared" si="488"/>
        <v>3.5367000000000002</v>
      </c>
      <c r="F4917" s="1323">
        <f t="shared" si="487"/>
        <v>3.822864480657262</v>
      </c>
      <c r="G4917" s="1323">
        <f t="shared" si="489"/>
        <v>1995</v>
      </c>
      <c r="H4917" s="1323">
        <f t="shared" si="490"/>
        <v>1</v>
      </c>
      <c r="I4917" s="1323">
        <f t="shared" si="491"/>
        <v>10</v>
      </c>
      <c r="J4917" s="1323"/>
      <c r="K4917" s="1323"/>
      <c r="L4917" s="1323"/>
      <c r="M4917" s="1323"/>
      <c r="N4917" s="1323"/>
      <c r="O4917" s="1323"/>
      <c r="P4917" s="1323"/>
      <c r="Q4917" s="1323"/>
      <c r="R4917" s="1304"/>
      <c r="S4917" s="1304"/>
      <c r="T4917" s="1304"/>
    </row>
    <row r="4918" spans="1:20">
      <c r="A4918" s="1303"/>
      <c r="B4918" s="1322" t="s">
        <v>11400</v>
      </c>
      <c r="C4918" s="1323" t="s">
        <v>11384</v>
      </c>
      <c r="D4918" s="1324">
        <f t="shared" si="486"/>
        <v>34708</v>
      </c>
      <c r="E4918" s="1323">
        <f t="shared" si="488"/>
        <v>3.5632000000000001</v>
      </c>
      <c r="F4918" s="1323">
        <f t="shared" si="487"/>
        <v>3.822131469142632</v>
      </c>
      <c r="G4918" s="1323">
        <f t="shared" si="489"/>
        <v>1995</v>
      </c>
      <c r="H4918" s="1323">
        <f t="shared" si="490"/>
        <v>1</v>
      </c>
      <c r="I4918" s="1323">
        <f t="shared" si="491"/>
        <v>9</v>
      </c>
      <c r="J4918" s="1323"/>
      <c r="K4918" s="1323"/>
      <c r="L4918" s="1323"/>
      <c r="M4918" s="1323"/>
      <c r="N4918" s="1323"/>
      <c r="O4918" s="1323"/>
      <c r="P4918" s="1323"/>
      <c r="Q4918" s="1323"/>
      <c r="R4918" s="1304"/>
      <c r="S4918" s="1304"/>
      <c r="T4918" s="1304"/>
    </row>
    <row r="4919" spans="1:20">
      <c r="A4919" s="1303"/>
      <c r="B4919" s="1322" t="s">
        <v>11401</v>
      </c>
      <c r="C4919" s="1323" t="s">
        <v>11402</v>
      </c>
      <c r="D4919" s="1324">
        <f t="shared" si="486"/>
        <v>34705</v>
      </c>
      <c r="E4919" s="1323">
        <f t="shared" si="488"/>
        <v>3.5543</v>
      </c>
      <c r="F4919" s="1323">
        <f t="shared" si="487"/>
        <v>3.8213985981785976</v>
      </c>
      <c r="G4919" s="1323">
        <f t="shared" si="489"/>
        <v>1995</v>
      </c>
      <c r="H4919" s="1323">
        <f t="shared" si="490"/>
        <v>1</v>
      </c>
      <c r="I4919" s="1323">
        <f t="shared" si="491"/>
        <v>6</v>
      </c>
      <c r="J4919" s="1323"/>
      <c r="K4919" s="1323"/>
      <c r="L4919" s="1323"/>
      <c r="M4919" s="1323"/>
      <c r="N4919" s="1323"/>
      <c r="O4919" s="1323"/>
      <c r="P4919" s="1323"/>
      <c r="Q4919" s="1323"/>
      <c r="R4919" s="1304"/>
      <c r="S4919" s="1304"/>
      <c r="T4919" s="1304"/>
    </row>
    <row r="4920" spans="1:20">
      <c r="A4920" s="1303"/>
      <c r="B4920" s="1322" t="s">
        <v>11403</v>
      </c>
      <c r="C4920" s="1323" t="s">
        <v>11404</v>
      </c>
      <c r="D4920" s="1324">
        <f t="shared" si="486"/>
        <v>34704</v>
      </c>
      <c r="E4920" s="1323">
        <f t="shared" si="488"/>
        <v>3.5537000000000001</v>
      </c>
      <c r="F4920" s="1323">
        <f t="shared" si="487"/>
        <v>3.8206658677382093</v>
      </c>
      <c r="G4920" s="1323">
        <f t="shared" si="489"/>
        <v>1995</v>
      </c>
      <c r="H4920" s="1323">
        <f t="shared" si="490"/>
        <v>1</v>
      </c>
      <c r="I4920" s="1323">
        <f t="shared" si="491"/>
        <v>5</v>
      </c>
      <c r="J4920" s="1323"/>
      <c r="K4920" s="1323"/>
      <c r="L4920" s="1323"/>
      <c r="M4920" s="1323"/>
      <c r="N4920" s="1323"/>
      <c r="O4920" s="1323"/>
      <c r="P4920" s="1323"/>
      <c r="Q4920" s="1323"/>
      <c r="R4920" s="1304"/>
      <c r="S4920" s="1304"/>
      <c r="T4920" s="1304"/>
    </row>
    <row r="4921" spans="1:20">
      <c r="A4921" s="1303"/>
      <c r="B4921" s="1322" t="s">
        <v>11405</v>
      </c>
      <c r="C4921" s="1323" t="s">
        <v>11406</v>
      </c>
      <c r="D4921" s="1324">
        <f t="shared" si="486"/>
        <v>34703</v>
      </c>
      <c r="E4921" s="1323">
        <f t="shared" si="488"/>
        <v>3.5529999999999999</v>
      </c>
      <c r="F4921" s="1323">
        <f t="shared" si="487"/>
        <v>3.8199332777945223</v>
      </c>
      <c r="G4921" s="1323">
        <f t="shared" si="489"/>
        <v>1995</v>
      </c>
      <c r="H4921" s="1323">
        <f t="shared" si="490"/>
        <v>1</v>
      </c>
      <c r="I4921" s="1323">
        <f t="shared" si="491"/>
        <v>4</v>
      </c>
      <c r="J4921" s="1323"/>
      <c r="K4921" s="1323"/>
      <c r="L4921" s="1323"/>
      <c r="M4921" s="1323"/>
      <c r="N4921" s="1323"/>
      <c r="O4921" s="1323"/>
      <c r="P4921" s="1323"/>
      <c r="Q4921" s="1323"/>
      <c r="R4921" s="1304"/>
      <c r="S4921" s="1304"/>
      <c r="T4921" s="1304"/>
    </row>
    <row r="4922" spans="1:20">
      <c r="A4922" s="1303"/>
      <c r="B4922" s="1322" t="s">
        <v>11407</v>
      </c>
      <c r="C4922" s="1323" t="s">
        <v>11408</v>
      </c>
      <c r="D4922" s="1324">
        <f t="shared" si="486"/>
        <v>34702</v>
      </c>
      <c r="E4922" s="1323">
        <f t="shared" si="488"/>
        <v>3.5486</v>
      </c>
      <c r="F4922" s="1323">
        <f t="shared" si="487"/>
        <v>3.8192008283205978</v>
      </c>
      <c r="G4922" s="1323">
        <f t="shared" si="489"/>
        <v>1995</v>
      </c>
      <c r="H4922" s="1323">
        <f t="shared" si="490"/>
        <v>1</v>
      </c>
      <c r="I4922" s="1323">
        <f t="shared" si="491"/>
        <v>3</v>
      </c>
      <c r="J4922" s="1323"/>
      <c r="K4922" s="1323"/>
      <c r="L4922" s="1323"/>
      <c r="M4922" s="1323"/>
      <c r="N4922" s="1323"/>
      <c r="O4922" s="1323"/>
      <c r="P4922" s="1323"/>
      <c r="Q4922" s="1323"/>
      <c r="R4922" s="1304"/>
      <c r="S4922" s="1304"/>
      <c r="T4922" s="1304"/>
    </row>
    <row r="4923" spans="1:20">
      <c r="A4923" s="1303"/>
      <c r="B4923" s="1322" t="s">
        <v>11409</v>
      </c>
      <c r="C4923" s="1323" t="s">
        <v>11410</v>
      </c>
      <c r="D4923" s="1324">
        <f t="shared" si="486"/>
        <v>34698</v>
      </c>
      <c r="E4923" s="1323">
        <f t="shared" si="488"/>
        <v>3.5442</v>
      </c>
      <c r="F4923" s="1323">
        <f t="shared" si="487"/>
        <v>3.8184685192895009</v>
      </c>
      <c r="G4923" s="1323">
        <f t="shared" si="489"/>
        <v>1994</v>
      </c>
      <c r="H4923" s="1323">
        <f t="shared" si="490"/>
        <v>12</v>
      </c>
      <c r="I4923" s="1323">
        <f t="shared" si="491"/>
        <v>30</v>
      </c>
      <c r="J4923" s="1323"/>
      <c r="K4923" s="1323"/>
      <c r="L4923" s="1323"/>
      <c r="M4923" s="1323"/>
      <c r="N4923" s="1323"/>
      <c r="O4923" s="1323"/>
      <c r="P4923" s="1323"/>
      <c r="Q4923" s="1323"/>
      <c r="R4923" s="1304"/>
      <c r="S4923" s="1304"/>
      <c r="T4923" s="1304"/>
    </row>
    <row r="4924" spans="1:20">
      <c r="A4924" s="1303"/>
      <c r="B4924" s="1322" t="s">
        <v>11411</v>
      </c>
      <c r="C4924" s="1323" t="s">
        <v>11363</v>
      </c>
      <c r="D4924" s="1324">
        <f t="shared" si="486"/>
        <v>34697</v>
      </c>
      <c r="E4924" s="1323">
        <f t="shared" si="488"/>
        <v>3.5505</v>
      </c>
      <c r="F4924" s="1323">
        <f t="shared" si="487"/>
        <v>3.8177363506743029</v>
      </c>
      <c r="G4924" s="1323">
        <f t="shared" si="489"/>
        <v>1994</v>
      </c>
      <c r="H4924" s="1323">
        <f t="shared" si="490"/>
        <v>12</v>
      </c>
      <c r="I4924" s="1323">
        <f t="shared" si="491"/>
        <v>29</v>
      </c>
      <c r="J4924" s="1323"/>
      <c r="K4924" s="1323"/>
      <c r="L4924" s="1323"/>
      <c r="M4924" s="1323"/>
      <c r="N4924" s="1323"/>
      <c r="O4924" s="1323"/>
      <c r="P4924" s="1323"/>
      <c r="Q4924" s="1323"/>
      <c r="R4924" s="1304"/>
      <c r="S4924" s="1304"/>
      <c r="T4924" s="1304"/>
    </row>
    <row r="4925" spans="1:20">
      <c r="A4925" s="1303"/>
      <c r="B4925" s="1322" t="s">
        <v>11412</v>
      </c>
      <c r="C4925" s="1323" t="s">
        <v>11413</v>
      </c>
      <c r="D4925" s="1324">
        <f t="shared" si="486"/>
        <v>34696</v>
      </c>
      <c r="E4925" s="1323">
        <f t="shared" si="488"/>
        <v>3.5613000000000001</v>
      </c>
      <c r="F4925" s="1323">
        <f t="shared" si="487"/>
        <v>3.8170043224480801</v>
      </c>
      <c r="G4925" s="1323">
        <f t="shared" si="489"/>
        <v>1994</v>
      </c>
      <c r="H4925" s="1323">
        <f t="shared" si="490"/>
        <v>12</v>
      </c>
      <c r="I4925" s="1323">
        <f t="shared" si="491"/>
        <v>28</v>
      </c>
      <c r="J4925" s="1323"/>
      <c r="K4925" s="1323"/>
      <c r="L4925" s="1323"/>
      <c r="M4925" s="1323"/>
      <c r="N4925" s="1323"/>
      <c r="O4925" s="1323"/>
      <c r="P4925" s="1323"/>
      <c r="Q4925" s="1323"/>
      <c r="R4925" s="1304"/>
      <c r="S4925" s="1304"/>
      <c r="T4925" s="1304"/>
    </row>
    <row r="4926" spans="1:20">
      <c r="A4926" s="1303"/>
      <c r="B4926" s="1322" t="s">
        <v>11414</v>
      </c>
      <c r="C4926" s="1323" t="s">
        <v>11415</v>
      </c>
      <c r="D4926" s="1324">
        <f t="shared" si="486"/>
        <v>34695</v>
      </c>
      <c r="E4926" s="1323">
        <f t="shared" si="488"/>
        <v>3.5670000000000002</v>
      </c>
      <c r="F4926" s="1323">
        <f t="shared" si="487"/>
        <v>3.816272434583913</v>
      </c>
      <c r="G4926" s="1323">
        <f t="shared" si="489"/>
        <v>1994</v>
      </c>
      <c r="H4926" s="1323">
        <f t="shared" si="490"/>
        <v>12</v>
      </c>
      <c r="I4926" s="1323">
        <f t="shared" si="491"/>
        <v>27</v>
      </c>
      <c r="J4926" s="1323"/>
      <c r="K4926" s="1323"/>
      <c r="L4926" s="1323"/>
      <c r="M4926" s="1323"/>
      <c r="N4926" s="1323"/>
      <c r="O4926" s="1323"/>
      <c r="P4926" s="1323"/>
      <c r="Q4926" s="1323"/>
      <c r="R4926" s="1304"/>
      <c r="S4926" s="1304"/>
      <c r="T4926" s="1304"/>
    </row>
    <row r="4927" spans="1:20">
      <c r="A4927" s="1303"/>
      <c r="B4927" s="1322" t="s">
        <v>11416</v>
      </c>
      <c r="C4927" s="1323" t="s">
        <v>11417</v>
      </c>
      <c r="D4927" s="1324">
        <f t="shared" si="486"/>
        <v>34691</v>
      </c>
      <c r="E4927" s="1323">
        <f t="shared" si="488"/>
        <v>3.5644</v>
      </c>
      <c r="F4927" s="1323">
        <f t="shared" si="487"/>
        <v>3.8155406870548885</v>
      </c>
      <c r="G4927" s="1323">
        <f t="shared" si="489"/>
        <v>1994</v>
      </c>
      <c r="H4927" s="1323">
        <f t="shared" si="490"/>
        <v>12</v>
      </c>
      <c r="I4927" s="1323">
        <f t="shared" si="491"/>
        <v>23</v>
      </c>
      <c r="J4927" s="1323"/>
      <c r="K4927" s="1323"/>
      <c r="L4927" s="1323"/>
      <c r="M4927" s="1323"/>
      <c r="N4927" s="1323"/>
      <c r="O4927" s="1323"/>
      <c r="P4927" s="1323"/>
      <c r="Q4927" s="1323"/>
      <c r="R4927" s="1304"/>
      <c r="S4927" s="1304"/>
      <c r="T4927" s="1304"/>
    </row>
    <row r="4928" spans="1:20">
      <c r="A4928" s="1303"/>
      <c r="B4928" s="1322" t="s">
        <v>11418</v>
      </c>
      <c r="C4928" s="1323" t="s">
        <v>11339</v>
      </c>
      <c r="D4928" s="1324">
        <f t="shared" si="486"/>
        <v>34690</v>
      </c>
      <c r="E4928" s="1323">
        <f t="shared" si="488"/>
        <v>3.5594000000000001</v>
      </c>
      <c r="F4928" s="1323">
        <f t="shared" si="487"/>
        <v>3.8148090798340983</v>
      </c>
      <c r="G4928" s="1323">
        <f t="shared" si="489"/>
        <v>1994</v>
      </c>
      <c r="H4928" s="1323">
        <f t="shared" si="490"/>
        <v>12</v>
      </c>
      <c r="I4928" s="1323">
        <f t="shared" si="491"/>
        <v>22</v>
      </c>
      <c r="J4928" s="1323"/>
      <c r="K4928" s="1323"/>
      <c r="L4928" s="1323"/>
      <c r="M4928" s="1323"/>
      <c r="N4928" s="1323"/>
      <c r="O4928" s="1323"/>
      <c r="P4928" s="1323"/>
      <c r="Q4928" s="1323"/>
      <c r="R4928" s="1304"/>
      <c r="S4928" s="1304"/>
      <c r="T4928" s="1304"/>
    </row>
    <row r="4929" spans="1:20">
      <c r="A4929" s="1303"/>
      <c r="B4929" s="1322" t="s">
        <v>11419</v>
      </c>
      <c r="C4929" s="1323" t="s">
        <v>11420</v>
      </c>
      <c r="D4929" s="1324">
        <f t="shared" si="486"/>
        <v>34689</v>
      </c>
      <c r="E4929" s="1323">
        <f t="shared" si="488"/>
        <v>3.5524</v>
      </c>
      <c r="F4929" s="1323">
        <f t="shared" si="487"/>
        <v>3.8140776128946388</v>
      </c>
      <c r="G4929" s="1323">
        <f t="shared" si="489"/>
        <v>1994</v>
      </c>
      <c r="H4929" s="1323">
        <f t="shared" si="490"/>
        <v>12</v>
      </c>
      <c r="I4929" s="1323">
        <f t="shared" si="491"/>
        <v>21</v>
      </c>
      <c r="J4929" s="1323"/>
      <c r="K4929" s="1323"/>
      <c r="L4929" s="1323"/>
      <c r="M4929" s="1323"/>
      <c r="N4929" s="1323"/>
      <c r="O4929" s="1323"/>
      <c r="P4929" s="1323"/>
      <c r="Q4929" s="1323"/>
      <c r="R4929" s="1304"/>
      <c r="S4929" s="1304"/>
      <c r="T4929" s="1304"/>
    </row>
    <row r="4930" spans="1:20">
      <c r="A4930" s="1303"/>
      <c r="B4930" s="1322" t="s">
        <v>11421</v>
      </c>
      <c r="C4930" s="1323" t="s">
        <v>11422</v>
      </c>
      <c r="D4930" s="1324">
        <f t="shared" si="486"/>
        <v>34688</v>
      </c>
      <c r="E4930" s="1323">
        <f t="shared" si="488"/>
        <v>3.5543</v>
      </c>
      <c r="F4930" s="1323">
        <f t="shared" si="487"/>
        <v>3.8133462862096121</v>
      </c>
      <c r="G4930" s="1323">
        <f t="shared" si="489"/>
        <v>1994</v>
      </c>
      <c r="H4930" s="1323">
        <f t="shared" si="490"/>
        <v>12</v>
      </c>
      <c r="I4930" s="1323">
        <f t="shared" si="491"/>
        <v>20</v>
      </c>
      <c r="J4930" s="1323"/>
      <c r="K4930" s="1323"/>
      <c r="L4930" s="1323"/>
      <c r="M4930" s="1323"/>
      <c r="N4930" s="1323"/>
      <c r="O4930" s="1323"/>
      <c r="P4930" s="1323"/>
      <c r="Q4930" s="1323"/>
      <c r="R4930" s="1304"/>
      <c r="S4930" s="1304"/>
      <c r="T4930" s="1304"/>
    </row>
    <row r="4931" spans="1:20">
      <c r="A4931" s="1303"/>
      <c r="B4931" s="1322" t="s">
        <v>11423</v>
      </c>
      <c r="C4931" s="1323" t="s">
        <v>11404</v>
      </c>
      <c r="D4931" s="1324">
        <f t="shared" si="486"/>
        <v>34687</v>
      </c>
      <c r="E4931" s="1323">
        <f t="shared" si="488"/>
        <v>3.5657000000000001</v>
      </c>
      <c r="F4931" s="1323">
        <f t="shared" si="487"/>
        <v>3.8126150997521253</v>
      </c>
      <c r="G4931" s="1323">
        <f t="shared" si="489"/>
        <v>1994</v>
      </c>
      <c r="H4931" s="1323">
        <f t="shared" si="490"/>
        <v>12</v>
      </c>
      <c r="I4931" s="1323">
        <f t="shared" si="491"/>
        <v>19</v>
      </c>
      <c r="J4931" s="1323"/>
      <c r="K4931" s="1323"/>
      <c r="L4931" s="1323"/>
      <c r="M4931" s="1323"/>
      <c r="N4931" s="1323"/>
      <c r="O4931" s="1323"/>
      <c r="P4931" s="1323"/>
      <c r="Q4931" s="1323"/>
      <c r="R4931" s="1304"/>
      <c r="S4931" s="1304"/>
      <c r="T4931" s="1304"/>
    </row>
    <row r="4932" spans="1:20">
      <c r="A4932" s="1303"/>
      <c r="B4932" s="1322" t="s">
        <v>11424</v>
      </c>
      <c r="C4932" s="1323" t="s">
        <v>11425</v>
      </c>
      <c r="D4932" s="1324">
        <f t="shared" si="486"/>
        <v>34683</v>
      </c>
      <c r="E4932" s="1323">
        <f t="shared" si="488"/>
        <v>3.5670000000000002</v>
      </c>
      <c r="F4932" s="1323">
        <f t="shared" si="487"/>
        <v>3.8118840534952905</v>
      </c>
      <c r="G4932" s="1323">
        <f t="shared" si="489"/>
        <v>1994</v>
      </c>
      <c r="H4932" s="1323">
        <f t="shared" si="490"/>
        <v>12</v>
      </c>
      <c r="I4932" s="1323">
        <f t="shared" si="491"/>
        <v>15</v>
      </c>
      <c r="J4932" s="1323"/>
      <c r="K4932" s="1323"/>
      <c r="L4932" s="1323"/>
      <c r="M4932" s="1323"/>
      <c r="N4932" s="1323"/>
      <c r="O4932" s="1323"/>
      <c r="P4932" s="1323"/>
      <c r="Q4932" s="1323"/>
      <c r="R4932" s="1304"/>
      <c r="S4932" s="1304"/>
      <c r="T4932" s="1304"/>
    </row>
    <row r="4933" spans="1:20">
      <c r="A4933" s="1303"/>
      <c r="B4933" s="1322" t="s">
        <v>11426</v>
      </c>
      <c r="C4933" s="1323" t="s">
        <v>11417</v>
      </c>
      <c r="D4933" s="1324">
        <f t="shared" si="486"/>
        <v>34682</v>
      </c>
      <c r="E4933" s="1323">
        <f t="shared" si="488"/>
        <v>3.5657000000000001</v>
      </c>
      <c r="F4933" s="1323">
        <f t="shared" si="487"/>
        <v>3.8111531474122251</v>
      </c>
      <c r="G4933" s="1323">
        <f t="shared" si="489"/>
        <v>1994</v>
      </c>
      <c r="H4933" s="1323">
        <f t="shared" si="490"/>
        <v>12</v>
      </c>
      <c r="I4933" s="1323">
        <f t="shared" si="491"/>
        <v>14</v>
      </c>
      <c r="J4933" s="1323"/>
      <c r="K4933" s="1323"/>
      <c r="L4933" s="1323"/>
      <c r="M4933" s="1323"/>
      <c r="N4933" s="1323"/>
      <c r="O4933" s="1323"/>
      <c r="P4933" s="1323"/>
      <c r="Q4933" s="1323"/>
      <c r="R4933" s="1304"/>
      <c r="S4933" s="1304"/>
      <c r="T4933" s="1304"/>
    </row>
    <row r="4934" spans="1:20">
      <c r="A4934" s="1303"/>
      <c r="B4934" s="1322" t="s">
        <v>11427</v>
      </c>
      <c r="C4934" s="1323" t="s">
        <v>11425</v>
      </c>
      <c r="D4934" s="1324">
        <f t="shared" si="486"/>
        <v>34681</v>
      </c>
      <c r="E4934" s="1323">
        <f t="shared" si="488"/>
        <v>3.5632000000000001</v>
      </c>
      <c r="F4934" s="1323">
        <f t="shared" si="487"/>
        <v>3.8104223814760516</v>
      </c>
      <c r="G4934" s="1323">
        <f t="shared" si="489"/>
        <v>1994</v>
      </c>
      <c r="H4934" s="1323">
        <f t="shared" si="490"/>
        <v>12</v>
      </c>
      <c r="I4934" s="1323">
        <f t="shared" si="491"/>
        <v>13</v>
      </c>
      <c r="J4934" s="1323"/>
      <c r="K4934" s="1323"/>
      <c r="L4934" s="1323"/>
      <c r="M4934" s="1323"/>
      <c r="N4934" s="1323"/>
      <c r="O4934" s="1323"/>
      <c r="P4934" s="1323"/>
      <c r="Q4934" s="1323"/>
      <c r="R4934" s="1304"/>
      <c r="S4934" s="1304"/>
      <c r="T4934" s="1304"/>
    </row>
    <row r="4935" spans="1:20">
      <c r="A4935" s="1303"/>
      <c r="B4935" s="1322" t="s">
        <v>11428</v>
      </c>
      <c r="C4935" s="1323" t="s">
        <v>11402</v>
      </c>
      <c r="D4935" s="1324">
        <f t="shared" si="486"/>
        <v>34680</v>
      </c>
      <c r="E4935" s="1323">
        <f t="shared" si="488"/>
        <v>3.5638000000000001</v>
      </c>
      <c r="F4935" s="1323">
        <f t="shared" si="487"/>
        <v>3.8096917556598977</v>
      </c>
      <c r="G4935" s="1323">
        <f t="shared" si="489"/>
        <v>1994</v>
      </c>
      <c r="H4935" s="1323">
        <f t="shared" si="490"/>
        <v>12</v>
      </c>
      <c r="I4935" s="1323">
        <f t="shared" si="491"/>
        <v>12</v>
      </c>
      <c r="J4935" s="1323"/>
      <c r="K4935" s="1323"/>
      <c r="L4935" s="1323"/>
      <c r="M4935" s="1323"/>
      <c r="N4935" s="1323"/>
      <c r="O4935" s="1323"/>
      <c r="P4935" s="1323"/>
      <c r="Q4935" s="1323"/>
      <c r="R4935" s="1304"/>
      <c r="S4935" s="1304"/>
      <c r="T4935" s="1304"/>
    </row>
    <row r="4936" spans="1:20">
      <c r="A4936" s="1303"/>
      <c r="B4936" s="1322" t="s">
        <v>11429</v>
      </c>
      <c r="C4936" s="1323" t="s">
        <v>11430</v>
      </c>
      <c r="D4936" s="1324">
        <f t="shared" si="486"/>
        <v>34677</v>
      </c>
      <c r="E4936" s="1323">
        <f t="shared" si="488"/>
        <v>3.5644</v>
      </c>
      <c r="F4936" s="1323">
        <f t="shared" si="487"/>
        <v>3.808961269936896</v>
      </c>
      <c r="G4936" s="1323">
        <f t="shared" si="489"/>
        <v>1994</v>
      </c>
      <c r="H4936" s="1323">
        <f t="shared" si="490"/>
        <v>12</v>
      </c>
      <c r="I4936" s="1323">
        <f t="shared" si="491"/>
        <v>9</v>
      </c>
      <c r="J4936" s="1323"/>
      <c r="K4936" s="1323"/>
      <c r="L4936" s="1323"/>
      <c r="M4936" s="1323"/>
      <c r="N4936" s="1323"/>
      <c r="O4936" s="1323"/>
      <c r="P4936" s="1323"/>
      <c r="Q4936" s="1323"/>
      <c r="R4936" s="1304"/>
      <c r="S4936" s="1304"/>
      <c r="T4936" s="1304"/>
    </row>
    <row r="4937" spans="1:20">
      <c r="A4937" s="1303"/>
      <c r="B4937" s="1322" t="s">
        <v>11431</v>
      </c>
      <c r="C4937" s="1323" t="s">
        <v>11339</v>
      </c>
      <c r="D4937" s="1324">
        <f t="shared" ref="D4937:D5000" si="492">DATE(G4937,H4937,I4937)</f>
        <v>34676</v>
      </c>
      <c r="E4937" s="1323">
        <f t="shared" si="488"/>
        <v>3.5556000000000001</v>
      </c>
      <c r="F4937" s="1323">
        <f t="shared" ref="F4937:F5000" si="493">F4938*(1+$F$7/365)</f>
        <v>3.8082309242801844</v>
      </c>
      <c r="G4937" s="1323">
        <f t="shared" si="489"/>
        <v>1994</v>
      </c>
      <c r="H4937" s="1323">
        <f t="shared" si="490"/>
        <v>12</v>
      </c>
      <c r="I4937" s="1323">
        <f t="shared" si="491"/>
        <v>8</v>
      </c>
      <c r="J4937" s="1323"/>
      <c r="K4937" s="1323"/>
      <c r="L4937" s="1323"/>
      <c r="M4937" s="1323"/>
      <c r="N4937" s="1323"/>
      <c r="O4937" s="1323"/>
      <c r="P4937" s="1323"/>
      <c r="Q4937" s="1323"/>
      <c r="R4937" s="1304"/>
      <c r="S4937" s="1304"/>
      <c r="T4937" s="1304"/>
    </row>
    <row r="4938" spans="1:20">
      <c r="A4938" s="1303"/>
      <c r="B4938" s="1322" t="s">
        <v>11432</v>
      </c>
      <c r="C4938" s="1323" t="s">
        <v>11433</v>
      </c>
      <c r="D4938" s="1324">
        <f t="shared" si="492"/>
        <v>34675</v>
      </c>
      <c r="E4938" s="1323">
        <f t="shared" si="488"/>
        <v>3.5543</v>
      </c>
      <c r="F4938" s="1323">
        <f t="shared" si="493"/>
        <v>3.8075007186629066</v>
      </c>
      <c r="G4938" s="1323">
        <f t="shared" si="489"/>
        <v>1994</v>
      </c>
      <c r="H4938" s="1323">
        <f t="shared" si="490"/>
        <v>12</v>
      </c>
      <c r="I4938" s="1323">
        <f t="shared" si="491"/>
        <v>7</v>
      </c>
      <c r="J4938" s="1323"/>
      <c r="K4938" s="1323"/>
      <c r="L4938" s="1323"/>
      <c r="M4938" s="1323"/>
      <c r="N4938" s="1323"/>
      <c r="O4938" s="1323"/>
      <c r="P4938" s="1323"/>
      <c r="Q4938" s="1323"/>
      <c r="R4938" s="1304"/>
      <c r="S4938" s="1304"/>
      <c r="T4938" s="1304"/>
    </row>
    <row r="4939" spans="1:20">
      <c r="A4939" s="1303"/>
      <c r="B4939" s="1322" t="s">
        <v>11434</v>
      </c>
      <c r="C4939" s="1323" t="s">
        <v>11404</v>
      </c>
      <c r="D4939" s="1324">
        <f t="shared" si="492"/>
        <v>34674</v>
      </c>
      <c r="E4939" s="1323">
        <f t="shared" si="488"/>
        <v>3.5644</v>
      </c>
      <c r="F4939" s="1323">
        <f t="shared" si="493"/>
        <v>3.8067706530582104</v>
      </c>
      <c r="G4939" s="1323">
        <f t="shared" si="489"/>
        <v>1994</v>
      </c>
      <c r="H4939" s="1323">
        <f t="shared" si="490"/>
        <v>12</v>
      </c>
      <c r="I4939" s="1323">
        <f t="shared" si="491"/>
        <v>6</v>
      </c>
      <c r="J4939" s="1323"/>
      <c r="K4939" s="1323"/>
      <c r="L4939" s="1323"/>
      <c r="M4939" s="1323"/>
      <c r="N4939" s="1323"/>
      <c r="O4939" s="1323"/>
      <c r="P4939" s="1323"/>
      <c r="Q4939" s="1323"/>
      <c r="R4939" s="1304"/>
      <c r="S4939" s="1304"/>
      <c r="T4939" s="1304"/>
    </row>
    <row r="4940" spans="1:20">
      <c r="A4940" s="1303"/>
      <c r="B4940" s="1322" t="s">
        <v>11435</v>
      </c>
      <c r="C4940" s="1323" t="s">
        <v>11339</v>
      </c>
      <c r="D4940" s="1324">
        <f t="shared" si="492"/>
        <v>34673</v>
      </c>
      <c r="E4940" s="1323">
        <f t="shared" si="488"/>
        <v>3.5670000000000002</v>
      </c>
      <c r="F4940" s="1323">
        <f t="shared" si="493"/>
        <v>3.8060407274392491</v>
      </c>
      <c r="G4940" s="1323">
        <f t="shared" si="489"/>
        <v>1994</v>
      </c>
      <c r="H4940" s="1323">
        <f t="shared" si="490"/>
        <v>12</v>
      </c>
      <c r="I4940" s="1323">
        <f t="shared" si="491"/>
        <v>5</v>
      </c>
      <c r="J4940" s="1323"/>
      <c r="K4940" s="1323"/>
      <c r="L4940" s="1323"/>
      <c r="M4940" s="1323"/>
      <c r="N4940" s="1323"/>
      <c r="O4940" s="1323"/>
      <c r="P4940" s="1323"/>
      <c r="Q4940" s="1323"/>
      <c r="R4940" s="1304"/>
      <c r="S4940" s="1304"/>
      <c r="T4940" s="1304"/>
    </row>
    <row r="4941" spans="1:20">
      <c r="A4941" s="1303"/>
      <c r="B4941" s="1322" t="s">
        <v>11436</v>
      </c>
      <c r="C4941" s="1323" t="s">
        <v>11417</v>
      </c>
      <c r="D4941" s="1324">
        <f t="shared" si="492"/>
        <v>34670</v>
      </c>
      <c r="E4941" s="1323">
        <f t="shared" si="488"/>
        <v>3.5657000000000001</v>
      </c>
      <c r="F4941" s="1323">
        <f t="shared" si="493"/>
        <v>3.8053109417791817</v>
      </c>
      <c r="G4941" s="1323">
        <f t="shared" si="489"/>
        <v>1994</v>
      </c>
      <c r="H4941" s="1323">
        <f t="shared" si="490"/>
        <v>12</v>
      </c>
      <c r="I4941" s="1323">
        <f t="shared" si="491"/>
        <v>2</v>
      </c>
      <c r="J4941" s="1323"/>
      <c r="K4941" s="1323"/>
      <c r="L4941" s="1323"/>
      <c r="M4941" s="1323"/>
      <c r="N4941" s="1323"/>
      <c r="O4941" s="1323"/>
      <c r="P4941" s="1323"/>
      <c r="Q4941" s="1323"/>
      <c r="R4941" s="1304"/>
      <c r="S4941" s="1304"/>
      <c r="T4941" s="1304"/>
    </row>
    <row r="4942" spans="1:20">
      <c r="A4942" s="1303"/>
      <c r="B4942" s="1322" t="s">
        <v>11437</v>
      </c>
      <c r="C4942" s="1323" t="s">
        <v>11425</v>
      </c>
      <c r="D4942" s="1324">
        <f t="shared" si="492"/>
        <v>34669</v>
      </c>
      <c r="E4942" s="1323">
        <f t="shared" si="488"/>
        <v>3.5518000000000001</v>
      </c>
      <c r="F4942" s="1323">
        <f t="shared" si="493"/>
        <v>3.8045812960511718</v>
      </c>
      <c r="G4942" s="1323">
        <f t="shared" si="489"/>
        <v>1994</v>
      </c>
      <c r="H4942" s="1323">
        <f t="shared" si="490"/>
        <v>12</v>
      </c>
      <c r="I4942" s="1323">
        <f t="shared" si="491"/>
        <v>1</v>
      </c>
      <c r="J4942" s="1323"/>
      <c r="K4942" s="1323"/>
      <c r="L4942" s="1323"/>
      <c r="M4942" s="1323"/>
      <c r="N4942" s="1323"/>
      <c r="O4942" s="1323"/>
      <c r="P4942" s="1323"/>
      <c r="Q4942" s="1323"/>
      <c r="R4942" s="1304"/>
      <c r="S4942" s="1304"/>
      <c r="T4942" s="1304"/>
    </row>
    <row r="4943" spans="1:20">
      <c r="A4943" s="1303"/>
      <c r="B4943" s="1322" t="s">
        <v>11438</v>
      </c>
      <c r="C4943" s="1323" t="s">
        <v>11368</v>
      </c>
      <c r="D4943" s="1324">
        <f t="shared" si="492"/>
        <v>34668</v>
      </c>
      <c r="E4943" s="1323">
        <f t="shared" si="488"/>
        <v>3.5543</v>
      </c>
      <c r="F4943" s="1323">
        <f t="shared" si="493"/>
        <v>3.8038517902283879</v>
      </c>
      <c r="G4943" s="1323">
        <f t="shared" si="489"/>
        <v>1994</v>
      </c>
      <c r="H4943" s="1323">
        <f t="shared" si="490"/>
        <v>11</v>
      </c>
      <c r="I4943" s="1323">
        <f t="shared" si="491"/>
        <v>30</v>
      </c>
      <c r="J4943" s="1323"/>
      <c r="K4943" s="1323"/>
      <c r="L4943" s="1323"/>
      <c r="M4943" s="1323"/>
      <c r="N4943" s="1323"/>
      <c r="O4943" s="1323"/>
      <c r="P4943" s="1323"/>
      <c r="Q4943" s="1323"/>
      <c r="R4943" s="1304"/>
      <c r="S4943" s="1304"/>
      <c r="T4943" s="1304"/>
    </row>
    <row r="4944" spans="1:20">
      <c r="A4944" s="1303"/>
      <c r="B4944" s="1322" t="s">
        <v>11439</v>
      </c>
      <c r="C4944" s="1323" t="s">
        <v>11404</v>
      </c>
      <c r="D4944" s="1324">
        <f t="shared" si="492"/>
        <v>34667</v>
      </c>
      <c r="E4944" s="1323">
        <f t="shared" si="488"/>
        <v>3.5430000000000001</v>
      </c>
      <c r="F4944" s="1323">
        <f t="shared" si="493"/>
        <v>3.8031224242840045</v>
      </c>
      <c r="G4944" s="1323">
        <f t="shared" si="489"/>
        <v>1994</v>
      </c>
      <c r="H4944" s="1323">
        <f t="shared" si="490"/>
        <v>11</v>
      </c>
      <c r="I4944" s="1323">
        <f t="shared" si="491"/>
        <v>29</v>
      </c>
      <c r="J4944" s="1323"/>
      <c r="K4944" s="1323"/>
      <c r="L4944" s="1323"/>
      <c r="M4944" s="1323"/>
      <c r="N4944" s="1323"/>
      <c r="O4944" s="1323"/>
      <c r="P4944" s="1323"/>
      <c r="Q4944" s="1323"/>
      <c r="R4944" s="1304"/>
      <c r="S4944" s="1304"/>
      <c r="T4944" s="1304"/>
    </row>
    <row r="4945" spans="1:20">
      <c r="A4945" s="1303"/>
      <c r="B4945" s="1322" t="s">
        <v>11440</v>
      </c>
      <c r="C4945" s="1323" t="s">
        <v>11376</v>
      </c>
      <c r="D4945" s="1324">
        <f t="shared" si="492"/>
        <v>34666</v>
      </c>
      <c r="E4945" s="1323">
        <f t="shared" si="488"/>
        <v>3.5455000000000001</v>
      </c>
      <c r="F4945" s="1323">
        <f t="shared" si="493"/>
        <v>3.8023931981912007</v>
      </c>
      <c r="G4945" s="1323">
        <f t="shared" si="489"/>
        <v>1994</v>
      </c>
      <c r="H4945" s="1323">
        <f t="shared" si="490"/>
        <v>11</v>
      </c>
      <c r="I4945" s="1323">
        <f t="shared" si="491"/>
        <v>28</v>
      </c>
      <c r="J4945" s="1323"/>
      <c r="K4945" s="1323"/>
      <c r="L4945" s="1323"/>
      <c r="M4945" s="1323"/>
      <c r="N4945" s="1323"/>
      <c r="O4945" s="1323"/>
      <c r="P4945" s="1323"/>
      <c r="Q4945" s="1323"/>
      <c r="R4945" s="1304"/>
      <c r="S4945" s="1304"/>
      <c r="T4945" s="1304"/>
    </row>
    <row r="4946" spans="1:20">
      <c r="A4946" s="1303"/>
      <c r="B4946" s="1322" t="s">
        <v>11441</v>
      </c>
      <c r="C4946" s="1323" t="s">
        <v>11354</v>
      </c>
      <c r="D4946" s="1324">
        <f t="shared" si="492"/>
        <v>34663</v>
      </c>
      <c r="E4946" s="1323">
        <f t="shared" si="488"/>
        <v>3.5367000000000002</v>
      </c>
      <c r="F4946" s="1323">
        <f t="shared" si="493"/>
        <v>3.8016641119231607</v>
      </c>
      <c r="G4946" s="1323">
        <f t="shared" si="489"/>
        <v>1994</v>
      </c>
      <c r="H4946" s="1323">
        <f t="shared" si="490"/>
        <v>11</v>
      </c>
      <c r="I4946" s="1323">
        <f t="shared" si="491"/>
        <v>25</v>
      </c>
      <c r="J4946" s="1323"/>
      <c r="K4946" s="1323"/>
      <c r="L4946" s="1323"/>
      <c r="M4946" s="1323"/>
      <c r="N4946" s="1323"/>
      <c r="O4946" s="1323"/>
      <c r="P4946" s="1323"/>
      <c r="Q4946" s="1323"/>
      <c r="R4946" s="1304"/>
      <c r="S4946" s="1304"/>
      <c r="T4946" s="1304"/>
    </row>
    <row r="4947" spans="1:20">
      <c r="A4947" s="1303"/>
      <c r="B4947" s="1322" t="s">
        <v>11442</v>
      </c>
      <c r="C4947" s="1323" t="s">
        <v>11384</v>
      </c>
      <c r="D4947" s="1324">
        <f t="shared" si="492"/>
        <v>34662</v>
      </c>
      <c r="E4947" s="1323">
        <f t="shared" si="488"/>
        <v>3.5367000000000002</v>
      </c>
      <c r="F4947" s="1323">
        <f t="shared" si="493"/>
        <v>3.8009351654530739</v>
      </c>
      <c r="G4947" s="1323">
        <f t="shared" si="489"/>
        <v>1994</v>
      </c>
      <c r="H4947" s="1323">
        <f t="shared" si="490"/>
        <v>11</v>
      </c>
      <c r="I4947" s="1323">
        <f t="shared" si="491"/>
        <v>24</v>
      </c>
      <c r="J4947" s="1323"/>
      <c r="K4947" s="1323"/>
      <c r="L4947" s="1323"/>
      <c r="M4947" s="1323"/>
      <c r="N4947" s="1323"/>
      <c r="O4947" s="1323"/>
      <c r="P4947" s="1323"/>
      <c r="Q4947" s="1323"/>
      <c r="R4947" s="1304"/>
      <c r="S4947" s="1304"/>
      <c r="T4947" s="1304"/>
    </row>
    <row r="4948" spans="1:20">
      <c r="A4948" s="1303"/>
      <c r="B4948" s="1322" t="s">
        <v>11443</v>
      </c>
      <c r="C4948" s="1323" t="s">
        <v>11384</v>
      </c>
      <c r="D4948" s="1324">
        <f t="shared" si="492"/>
        <v>34661</v>
      </c>
      <c r="E4948" s="1323">
        <f t="shared" si="488"/>
        <v>3.5392000000000001</v>
      </c>
      <c r="F4948" s="1323">
        <f t="shared" si="493"/>
        <v>3.8002063587541346</v>
      </c>
      <c r="G4948" s="1323">
        <f t="shared" si="489"/>
        <v>1994</v>
      </c>
      <c r="H4948" s="1323">
        <f t="shared" si="490"/>
        <v>11</v>
      </c>
      <c r="I4948" s="1323">
        <f t="shared" si="491"/>
        <v>23</v>
      </c>
      <c r="J4948" s="1323"/>
      <c r="K4948" s="1323"/>
      <c r="L4948" s="1323"/>
      <c r="M4948" s="1323"/>
      <c r="N4948" s="1323"/>
      <c r="O4948" s="1323"/>
      <c r="P4948" s="1323"/>
      <c r="Q4948" s="1323"/>
      <c r="R4948" s="1304"/>
      <c r="S4948" s="1304"/>
      <c r="T4948" s="1304"/>
    </row>
    <row r="4949" spans="1:20">
      <c r="A4949" s="1303"/>
      <c r="B4949" s="1322" t="s">
        <v>11444</v>
      </c>
      <c r="C4949" s="1323" t="s">
        <v>11445</v>
      </c>
      <c r="D4949" s="1324">
        <f t="shared" si="492"/>
        <v>34660</v>
      </c>
      <c r="E4949" s="1323">
        <f t="shared" si="488"/>
        <v>3.5354000000000001</v>
      </c>
      <c r="F4949" s="1323">
        <f t="shared" si="493"/>
        <v>3.799477691799543</v>
      </c>
      <c r="G4949" s="1323">
        <f t="shared" si="489"/>
        <v>1994</v>
      </c>
      <c r="H4949" s="1323">
        <f t="shared" si="490"/>
        <v>11</v>
      </c>
      <c r="I4949" s="1323">
        <f t="shared" si="491"/>
        <v>22</v>
      </c>
      <c r="J4949" s="1323"/>
      <c r="K4949" s="1323"/>
      <c r="L4949" s="1323"/>
      <c r="M4949" s="1323"/>
      <c r="N4949" s="1323"/>
      <c r="O4949" s="1323"/>
      <c r="P4949" s="1323"/>
      <c r="Q4949" s="1323"/>
      <c r="R4949" s="1304"/>
      <c r="S4949" s="1304"/>
      <c r="T4949" s="1304"/>
    </row>
    <row r="4950" spans="1:20">
      <c r="A4950" s="1303"/>
      <c r="B4950" s="1322" t="s">
        <v>11446</v>
      </c>
      <c r="C4950" s="1323" t="s">
        <v>11356</v>
      </c>
      <c r="D4950" s="1324">
        <f t="shared" si="492"/>
        <v>34659</v>
      </c>
      <c r="E4950" s="1323">
        <f t="shared" ref="E4950:E5013" si="494">VALUE(C4951)</f>
        <v>3.5430000000000001</v>
      </c>
      <c r="F4950" s="1323">
        <f t="shared" si="493"/>
        <v>3.7987491645625036</v>
      </c>
      <c r="G4950" s="1323">
        <f t="shared" ref="G4950:G5013" si="495">YEAR(B4951)</f>
        <v>1994</v>
      </c>
      <c r="H4950" s="1323">
        <f t="shared" ref="H4950:H5013" si="496">MONTH(B4951)</f>
        <v>11</v>
      </c>
      <c r="I4950" s="1323">
        <f t="shared" ref="I4950:I5013" si="497">DAY(B4951)</f>
        <v>21</v>
      </c>
      <c r="J4950" s="1323"/>
      <c r="K4950" s="1323"/>
      <c r="L4950" s="1323"/>
      <c r="M4950" s="1323"/>
      <c r="N4950" s="1323"/>
      <c r="O4950" s="1323"/>
      <c r="P4950" s="1323"/>
      <c r="Q4950" s="1323"/>
      <c r="R4950" s="1304"/>
      <c r="S4950" s="1304"/>
      <c r="T4950" s="1304"/>
    </row>
    <row r="4951" spans="1:20">
      <c r="A4951" s="1303"/>
      <c r="B4951" s="1322" t="s">
        <v>11447</v>
      </c>
      <c r="C4951" s="1323" t="s">
        <v>11376</v>
      </c>
      <c r="D4951" s="1324">
        <f t="shared" si="492"/>
        <v>34656</v>
      </c>
      <c r="E4951" s="1323">
        <f t="shared" si="494"/>
        <v>3.5367000000000002</v>
      </c>
      <c r="F4951" s="1323">
        <f t="shared" si="493"/>
        <v>3.7980207770162262</v>
      </c>
      <c r="G4951" s="1323">
        <f t="shared" si="495"/>
        <v>1994</v>
      </c>
      <c r="H4951" s="1323">
        <f t="shared" si="496"/>
        <v>11</v>
      </c>
      <c r="I4951" s="1323">
        <f t="shared" si="497"/>
        <v>18</v>
      </c>
      <c r="J4951" s="1323"/>
      <c r="K4951" s="1323"/>
      <c r="L4951" s="1323"/>
      <c r="M4951" s="1323"/>
      <c r="N4951" s="1323"/>
      <c r="O4951" s="1323"/>
      <c r="P4951" s="1323"/>
      <c r="Q4951" s="1323"/>
      <c r="R4951" s="1304"/>
      <c r="S4951" s="1304"/>
      <c r="T4951" s="1304"/>
    </row>
    <row r="4952" spans="1:20">
      <c r="A4952" s="1303"/>
      <c r="B4952" s="1322" t="s">
        <v>11448</v>
      </c>
      <c r="C4952" s="1323" t="s">
        <v>11384</v>
      </c>
      <c r="D4952" s="1324">
        <f t="shared" si="492"/>
        <v>34655</v>
      </c>
      <c r="E4952" s="1323">
        <f t="shared" si="494"/>
        <v>3.5255000000000001</v>
      </c>
      <c r="F4952" s="1323">
        <f t="shared" si="493"/>
        <v>3.7972925291339266</v>
      </c>
      <c r="G4952" s="1323">
        <f t="shared" si="495"/>
        <v>1994</v>
      </c>
      <c r="H4952" s="1323">
        <f t="shared" si="496"/>
        <v>11</v>
      </c>
      <c r="I4952" s="1323">
        <f t="shared" si="497"/>
        <v>17</v>
      </c>
      <c r="J4952" s="1323"/>
      <c r="K4952" s="1323"/>
      <c r="L4952" s="1323"/>
      <c r="M4952" s="1323"/>
      <c r="N4952" s="1323"/>
      <c r="O4952" s="1323"/>
      <c r="P4952" s="1323"/>
      <c r="Q4952" s="1323"/>
      <c r="R4952" s="1304"/>
      <c r="S4952" s="1304"/>
      <c r="T4952" s="1304"/>
    </row>
    <row r="4953" spans="1:20">
      <c r="A4953" s="1303"/>
      <c r="B4953" s="1322" t="s">
        <v>11449</v>
      </c>
      <c r="C4953" s="1323" t="s">
        <v>11380</v>
      </c>
      <c r="D4953" s="1324">
        <f t="shared" si="492"/>
        <v>34654</v>
      </c>
      <c r="E4953" s="1323">
        <f t="shared" si="494"/>
        <v>3.5272999999999999</v>
      </c>
      <c r="F4953" s="1323">
        <f t="shared" si="493"/>
        <v>3.7965644208888243</v>
      </c>
      <c r="G4953" s="1323">
        <f t="shared" si="495"/>
        <v>1994</v>
      </c>
      <c r="H4953" s="1323">
        <f t="shared" si="496"/>
        <v>11</v>
      </c>
      <c r="I4953" s="1323">
        <f t="shared" si="497"/>
        <v>16</v>
      </c>
      <c r="J4953" s="1323"/>
      <c r="K4953" s="1323"/>
      <c r="L4953" s="1323"/>
      <c r="M4953" s="1323"/>
      <c r="N4953" s="1323"/>
      <c r="O4953" s="1323"/>
      <c r="P4953" s="1323"/>
      <c r="Q4953" s="1323"/>
      <c r="R4953" s="1304"/>
      <c r="S4953" s="1304"/>
      <c r="T4953" s="1304"/>
    </row>
    <row r="4954" spans="1:20">
      <c r="A4954" s="1303"/>
      <c r="B4954" s="1322" t="s">
        <v>11450</v>
      </c>
      <c r="C4954" s="1323" t="s">
        <v>11399</v>
      </c>
      <c r="D4954" s="1324">
        <f t="shared" si="492"/>
        <v>34653</v>
      </c>
      <c r="E4954" s="1323">
        <f t="shared" si="494"/>
        <v>3.5192999999999999</v>
      </c>
      <c r="F4954" s="1323">
        <f t="shared" si="493"/>
        <v>3.7958364522541452</v>
      </c>
      <c r="G4954" s="1323">
        <f t="shared" si="495"/>
        <v>1994</v>
      </c>
      <c r="H4954" s="1323">
        <f t="shared" si="496"/>
        <v>11</v>
      </c>
      <c r="I4954" s="1323">
        <f t="shared" si="497"/>
        <v>15</v>
      </c>
      <c r="J4954" s="1323"/>
      <c r="K4954" s="1323"/>
      <c r="L4954" s="1323"/>
      <c r="M4954" s="1323"/>
      <c r="N4954" s="1323"/>
      <c r="O4954" s="1323"/>
      <c r="P4954" s="1323"/>
      <c r="Q4954" s="1323"/>
      <c r="R4954" s="1304"/>
      <c r="S4954" s="1304"/>
      <c r="T4954" s="1304"/>
    </row>
    <row r="4955" spans="1:20">
      <c r="A4955" s="1303"/>
      <c r="B4955" s="1322" t="s">
        <v>11451</v>
      </c>
      <c r="C4955" s="1323" t="s">
        <v>11452</v>
      </c>
      <c r="D4955" s="1324">
        <f t="shared" si="492"/>
        <v>34652</v>
      </c>
      <c r="E4955" s="1323">
        <f t="shared" si="494"/>
        <v>3.5316999999999998</v>
      </c>
      <c r="F4955" s="1323">
        <f t="shared" si="493"/>
        <v>3.7951086232031197</v>
      </c>
      <c r="G4955" s="1323">
        <f t="shared" si="495"/>
        <v>1994</v>
      </c>
      <c r="H4955" s="1323">
        <f t="shared" si="496"/>
        <v>11</v>
      </c>
      <c r="I4955" s="1323">
        <f t="shared" si="497"/>
        <v>14</v>
      </c>
      <c r="J4955" s="1323"/>
      <c r="K4955" s="1323"/>
      <c r="L4955" s="1323"/>
      <c r="M4955" s="1323"/>
      <c r="N4955" s="1323"/>
      <c r="O4955" s="1323"/>
      <c r="P4955" s="1323"/>
      <c r="Q4955" s="1323"/>
      <c r="R4955" s="1304"/>
      <c r="S4955" s="1304"/>
      <c r="T4955" s="1304"/>
    </row>
    <row r="4956" spans="1:20">
      <c r="A4956" s="1303"/>
      <c r="B4956" s="1322" t="s">
        <v>11453</v>
      </c>
      <c r="C4956" s="1323" t="s">
        <v>11454</v>
      </c>
      <c r="D4956" s="1324">
        <f t="shared" si="492"/>
        <v>34649</v>
      </c>
      <c r="E4956" s="1323">
        <f t="shared" si="494"/>
        <v>3.5192999999999999</v>
      </c>
      <c r="F4956" s="1323">
        <f t="shared" si="493"/>
        <v>3.7943809337089838</v>
      </c>
      <c r="G4956" s="1323">
        <f t="shared" si="495"/>
        <v>1994</v>
      </c>
      <c r="H4956" s="1323">
        <f t="shared" si="496"/>
        <v>11</v>
      </c>
      <c r="I4956" s="1323">
        <f t="shared" si="497"/>
        <v>11</v>
      </c>
      <c r="J4956" s="1323"/>
      <c r="K4956" s="1323"/>
      <c r="L4956" s="1323"/>
      <c r="M4956" s="1323"/>
      <c r="N4956" s="1323"/>
      <c r="O4956" s="1323"/>
      <c r="P4956" s="1323"/>
      <c r="Q4956" s="1323"/>
      <c r="R4956" s="1304"/>
      <c r="S4956" s="1304"/>
      <c r="T4956" s="1304"/>
    </row>
    <row r="4957" spans="1:20">
      <c r="A4957" s="1303"/>
      <c r="B4957" s="1322" t="s">
        <v>11455</v>
      </c>
      <c r="C4957" s="1323" t="s">
        <v>11452</v>
      </c>
      <c r="D4957" s="1324">
        <f t="shared" si="492"/>
        <v>34648</v>
      </c>
      <c r="E4957" s="1323">
        <f t="shared" si="494"/>
        <v>3.5186000000000002</v>
      </c>
      <c r="F4957" s="1323">
        <f t="shared" si="493"/>
        <v>3.793653383744978</v>
      </c>
      <c r="G4957" s="1323">
        <f t="shared" si="495"/>
        <v>1994</v>
      </c>
      <c r="H4957" s="1323">
        <f t="shared" si="496"/>
        <v>11</v>
      </c>
      <c r="I4957" s="1323">
        <f t="shared" si="497"/>
        <v>10</v>
      </c>
      <c r="J4957" s="1323"/>
      <c r="K4957" s="1323"/>
      <c r="L4957" s="1323"/>
      <c r="M4957" s="1323"/>
      <c r="N4957" s="1323"/>
      <c r="O4957" s="1323"/>
      <c r="P4957" s="1323"/>
      <c r="Q4957" s="1323"/>
      <c r="R4957" s="1304"/>
      <c r="S4957" s="1304"/>
      <c r="T4957" s="1304"/>
    </row>
    <row r="4958" spans="1:20">
      <c r="A4958" s="1303"/>
      <c r="B4958" s="1322" t="s">
        <v>11456</v>
      </c>
      <c r="C4958" s="1323" t="s">
        <v>11457</v>
      </c>
      <c r="D4958" s="1324">
        <f t="shared" si="492"/>
        <v>34647</v>
      </c>
      <c r="E4958" s="1323">
        <f t="shared" si="494"/>
        <v>3.5007999999999999</v>
      </c>
      <c r="F4958" s="1323">
        <f t="shared" si="493"/>
        <v>3.7929259732843481</v>
      </c>
      <c r="G4958" s="1323">
        <f t="shared" si="495"/>
        <v>1994</v>
      </c>
      <c r="H4958" s="1323">
        <f t="shared" si="496"/>
        <v>11</v>
      </c>
      <c r="I4958" s="1323">
        <f t="shared" si="497"/>
        <v>9</v>
      </c>
      <c r="J4958" s="1323"/>
      <c r="K4958" s="1323"/>
      <c r="L4958" s="1323"/>
      <c r="M4958" s="1323"/>
      <c r="N4958" s="1323"/>
      <c r="O4958" s="1323"/>
      <c r="P4958" s="1323"/>
      <c r="Q4958" s="1323"/>
      <c r="R4958" s="1304"/>
      <c r="S4958" s="1304"/>
      <c r="T4958" s="1304"/>
    </row>
    <row r="4959" spans="1:20">
      <c r="A4959" s="1303"/>
      <c r="B4959" s="1322" t="s">
        <v>11458</v>
      </c>
      <c r="C4959" s="1323" t="s">
        <v>11459</v>
      </c>
      <c r="D4959" s="1324">
        <f t="shared" si="492"/>
        <v>34646</v>
      </c>
      <c r="E4959" s="1323">
        <f t="shared" si="494"/>
        <v>3.5019999999999998</v>
      </c>
      <c r="F4959" s="1323">
        <f t="shared" si="493"/>
        <v>3.7921987023003454</v>
      </c>
      <c r="G4959" s="1323">
        <f t="shared" si="495"/>
        <v>1994</v>
      </c>
      <c r="H4959" s="1323">
        <f t="shared" si="496"/>
        <v>11</v>
      </c>
      <c r="I4959" s="1323">
        <f t="shared" si="497"/>
        <v>8</v>
      </c>
      <c r="J4959" s="1323"/>
      <c r="K4959" s="1323"/>
      <c r="L4959" s="1323"/>
      <c r="M4959" s="1323"/>
      <c r="N4959" s="1323"/>
      <c r="O4959" s="1323"/>
      <c r="P4959" s="1323"/>
      <c r="Q4959" s="1323"/>
      <c r="R4959" s="1304"/>
      <c r="S4959" s="1304"/>
      <c r="T4959" s="1304"/>
    </row>
    <row r="4960" spans="1:20">
      <c r="A4960" s="1303"/>
      <c r="B4960" s="1322" t="s">
        <v>11460</v>
      </c>
      <c r="C4960" s="1323" t="s">
        <v>11461</v>
      </c>
      <c r="D4960" s="1324">
        <f t="shared" si="492"/>
        <v>34645</v>
      </c>
      <c r="E4960" s="1323">
        <f t="shared" si="494"/>
        <v>3.5106000000000002</v>
      </c>
      <c r="F4960" s="1323">
        <f t="shared" si="493"/>
        <v>3.7914715707662259</v>
      </c>
      <c r="G4960" s="1323">
        <f t="shared" si="495"/>
        <v>1994</v>
      </c>
      <c r="H4960" s="1323">
        <f t="shared" si="496"/>
        <v>11</v>
      </c>
      <c r="I4960" s="1323">
        <f t="shared" si="497"/>
        <v>7</v>
      </c>
      <c r="J4960" s="1323"/>
      <c r="K4960" s="1323"/>
      <c r="L4960" s="1323"/>
      <c r="M4960" s="1323"/>
      <c r="N4960" s="1323"/>
      <c r="O4960" s="1323"/>
      <c r="P4960" s="1323"/>
      <c r="Q4960" s="1323"/>
      <c r="R4960" s="1304"/>
      <c r="S4960" s="1304"/>
      <c r="T4960" s="1304"/>
    </row>
    <row r="4961" spans="1:20">
      <c r="A4961" s="1303"/>
      <c r="B4961" s="1322" t="s">
        <v>11462</v>
      </c>
      <c r="C4961" s="1323" t="s">
        <v>11463</v>
      </c>
      <c r="D4961" s="1324">
        <f t="shared" si="492"/>
        <v>34642</v>
      </c>
      <c r="E4961" s="1323">
        <f t="shared" si="494"/>
        <v>3.5125000000000002</v>
      </c>
      <c r="F4961" s="1323">
        <f t="shared" si="493"/>
        <v>3.7907445786552509</v>
      </c>
      <c r="G4961" s="1323">
        <f t="shared" si="495"/>
        <v>1994</v>
      </c>
      <c r="H4961" s="1323">
        <f t="shared" si="496"/>
        <v>11</v>
      </c>
      <c r="I4961" s="1323">
        <f t="shared" si="497"/>
        <v>4</v>
      </c>
      <c r="J4961" s="1323"/>
      <c r="K4961" s="1323"/>
      <c r="L4961" s="1323"/>
      <c r="M4961" s="1323"/>
      <c r="N4961" s="1323"/>
      <c r="O4961" s="1323"/>
      <c r="P4961" s="1323"/>
      <c r="Q4961" s="1323"/>
      <c r="R4961" s="1304"/>
      <c r="S4961" s="1304"/>
      <c r="T4961" s="1304"/>
    </row>
    <row r="4962" spans="1:20">
      <c r="A4962" s="1303"/>
      <c r="B4962" s="1322" t="s">
        <v>11464</v>
      </c>
      <c r="C4962" s="1323" t="s">
        <v>11465</v>
      </c>
      <c r="D4962" s="1324">
        <f t="shared" si="492"/>
        <v>34641</v>
      </c>
      <c r="E4962" s="1323">
        <f t="shared" si="494"/>
        <v>3.5057</v>
      </c>
      <c r="F4962" s="1323">
        <f t="shared" si="493"/>
        <v>3.7900177259406869</v>
      </c>
      <c r="G4962" s="1323">
        <f t="shared" si="495"/>
        <v>1994</v>
      </c>
      <c r="H4962" s="1323">
        <f t="shared" si="496"/>
        <v>11</v>
      </c>
      <c r="I4962" s="1323">
        <f t="shared" si="497"/>
        <v>3</v>
      </c>
      <c r="J4962" s="1323"/>
      <c r="K4962" s="1323"/>
      <c r="L4962" s="1323"/>
      <c r="M4962" s="1323"/>
      <c r="N4962" s="1323"/>
      <c r="O4962" s="1323"/>
      <c r="P4962" s="1323"/>
      <c r="Q4962" s="1323"/>
      <c r="R4962" s="1304"/>
      <c r="S4962" s="1304"/>
      <c r="T4962" s="1304"/>
    </row>
    <row r="4963" spans="1:20">
      <c r="A4963" s="1303"/>
      <c r="B4963" s="1322" t="s">
        <v>11466</v>
      </c>
      <c r="C4963" s="1323" t="s">
        <v>11467</v>
      </c>
      <c r="D4963" s="1324">
        <f t="shared" si="492"/>
        <v>34640</v>
      </c>
      <c r="E4963" s="1323">
        <f t="shared" si="494"/>
        <v>3.4941</v>
      </c>
      <c r="F4963" s="1323">
        <f t="shared" si="493"/>
        <v>3.7892910125958053</v>
      </c>
      <c r="G4963" s="1323">
        <f t="shared" si="495"/>
        <v>1994</v>
      </c>
      <c r="H4963" s="1323">
        <f t="shared" si="496"/>
        <v>11</v>
      </c>
      <c r="I4963" s="1323">
        <f t="shared" si="497"/>
        <v>2</v>
      </c>
      <c r="J4963" s="1323"/>
      <c r="K4963" s="1323"/>
      <c r="L4963" s="1323"/>
      <c r="M4963" s="1323"/>
      <c r="N4963" s="1323"/>
      <c r="O4963" s="1323"/>
      <c r="P4963" s="1323"/>
      <c r="Q4963" s="1323"/>
      <c r="R4963" s="1304"/>
      <c r="S4963" s="1304"/>
      <c r="T4963" s="1304"/>
    </row>
    <row r="4964" spans="1:20">
      <c r="A4964" s="1303"/>
      <c r="B4964" s="1322" t="s">
        <v>11468</v>
      </c>
      <c r="C4964" s="1323" t="s">
        <v>11469</v>
      </c>
      <c r="D4964" s="1324">
        <f t="shared" si="492"/>
        <v>34639</v>
      </c>
      <c r="E4964" s="1323">
        <f t="shared" si="494"/>
        <v>3.4952999999999999</v>
      </c>
      <c r="F4964" s="1323">
        <f t="shared" si="493"/>
        <v>3.788564438593883</v>
      </c>
      <c r="G4964" s="1323">
        <f t="shared" si="495"/>
        <v>1994</v>
      </c>
      <c r="H4964" s="1323">
        <f t="shared" si="496"/>
        <v>11</v>
      </c>
      <c r="I4964" s="1323">
        <f t="shared" si="497"/>
        <v>1</v>
      </c>
      <c r="J4964" s="1323"/>
      <c r="K4964" s="1323"/>
      <c r="L4964" s="1323"/>
      <c r="M4964" s="1323"/>
      <c r="N4964" s="1323"/>
      <c r="O4964" s="1323"/>
      <c r="P4964" s="1323"/>
      <c r="Q4964" s="1323"/>
      <c r="R4964" s="1304"/>
      <c r="S4964" s="1304"/>
      <c r="T4964" s="1304"/>
    </row>
    <row r="4965" spans="1:20">
      <c r="A4965" s="1303"/>
      <c r="B4965" s="1322" t="s">
        <v>11470</v>
      </c>
      <c r="C4965" s="1323" t="s">
        <v>11471</v>
      </c>
      <c r="D4965" s="1324">
        <f t="shared" si="492"/>
        <v>34638</v>
      </c>
      <c r="E4965" s="1323">
        <f t="shared" si="494"/>
        <v>3.5051000000000001</v>
      </c>
      <c r="F4965" s="1323">
        <f t="shared" si="493"/>
        <v>3.787838003908202</v>
      </c>
      <c r="G4965" s="1323">
        <f t="shared" si="495"/>
        <v>1994</v>
      </c>
      <c r="H4965" s="1323">
        <f t="shared" si="496"/>
        <v>10</v>
      </c>
      <c r="I4965" s="1323">
        <f t="shared" si="497"/>
        <v>31</v>
      </c>
      <c r="J4965" s="1323"/>
      <c r="K4965" s="1323"/>
      <c r="L4965" s="1323"/>
      <c r="M4965" s="1323"/>
      <c r="N4965" s="1323"/>
      <c r="O4965" s="1323"/>
      <c r="P4965" s="1323"/>
      <c r="Q4965" s="1323"/>
      <c r="R4965" s="1304"/>
      <c r="S4965" s="1304"/>
      <c r="T4965" s="1304"/>
    </row>
    <row r="4966" spans="1:20">
      <c r="A4966" s="1303"/>
      <c r="B4966" s="1322" t="s">
        <v>11472</v>
      </c>
      <c r="C4966" s="1323" t="s">
        <v>11473</v>
      </c>
      <c r="D4966" s="1324">
        <f t="shared" si="492"/>
        <v>34635</v>
      </c>
      <c r="E4966" s="1323">
        <f t="shared" si="494"/>
        <v>3.5019999999999998</v>
      </c>
      <c r="F4966" s="1323">
        <f t="shared" si="493"/>
        <v>3.7871117085120489</v>
      </c>
      <c r="G4966" s="1323">
        <f t="shared" si="495"/>
        <v>1994</v>
      </c>
      <c r="H4966" s="1323">
        <f t="shared" si="496"/>
        <v>10</v>
      </c>
      <c r="I4966" s="1323">
        <f t="shared" si="497"/>
        <v>28</v>
      </c>
      <c r="J4966" s="1323"/>
      <c r="K4966" s="1323"/>
      <c r="L4966" s="1323"/>
      <c r="M4966" s="1323"/>
      <c r="N4966" s="1323"/>
      <c r="O4966" s="1323"/>
      <c r="P4966" s="1323"/>
      <c r="Q4966" s="1323"/>
      <c r="R4966" s="1304"/>
      <c r="S4966" s="1304"/>
      <c r="T4966" s="1304"/>
    </row>
    <row r="4967" spans="1:20">
      <c r="A4967" s="1303"/>
      <c r="B4967" s="1322" t="s">
        <v>11474</v>
      </c>
      <c r="C4967" s="1323" t="s">
        <v>11461</v>
      </c>
      <c r="D4967" s="1324">
        <f t="shared" si="492"/>
        <v>34634</v>
      </c>
      <c r="E4967" s="1323">
        <f t="shared" si="494"/>
        <v>3.4983</v>
      </c>
      <c r="F4967" s="1323">
        <f t="shared" si="493"/>
        <v>3.7863855523787158</v>
      </c>
      <c r="G4967" s="1323">
        <f t="shared" si="495"/>
        <v>1994</v>
      </c>
      <c r="H4967" s="1323">
        <f t="shared" si="496"/>
        <v>10</v>
      </c>
      <c r="I4967" s="1323">
        <f t="shared" si="497"/>
        <v>27</v>
      </c>
      <c r="J4967" s="1323"/>
      <c r="K4967" s="1323"/>
      <c r="L4967" s="1323"/>
      <c r="M4967" s="1323"/>
      <c r="N4967" s="1323"/>
      <c r="O4967" s="1323"/>
      <c r="P4967" s="1323"/>
      <c r="Q4967" s="1323"/>
      <c r="R4967" s="1304"/>
      <c r="S4967" s="1304"/>
      <c r="T4967" s="1304"/>
    </row>
    <row r="4968" spans="1:20">
      <c r="A4968" s="1303"/>
      <c r="B4968" s="1322" t="s">
        <v>11475</v>
      </c>
      <c r="C4968" s="1323" t="s">
        <v>11476</v>
      </c>
      <c r="D4968" s="1324">
        <f t="shared" si="492"/>
        <v>34633</v>
      </c>
      <c r="E4968" s="1323">
        <f t="shared" si="494"/>
        <v>3.4977</v>
      </c>
      <c r="F4968" s="1323">
        <f t="shared" si="493"/>
        <v>3.7856595354814999</v>
      </c>
      <c r="G4968" s="1323">
        <f t="shared" si="495"/>
        <v>1994</v>
      </c>
      <c r="H4968" s="1323">
        <f t="shared" si="496"/>
        <v>10</v>
      </c>
      <c r="I4968" s="1323">
        <f t="shared" si="497"/>
        <v>26</v>
      </c>
      <c r="J4968" s="1323"/>
      <c r="K4968" s="1323"/>
      <c r="L4968" s="1323"/>
      <c r="M4968" s="1323"/>
      <c r="N4968" s="1323"/>
      <c r="O4968" s="1323"/>
      <c r="P4968" s="1323"/>
      <c r="Q4968" s="1323"/>
      <c r="R4968" s="1304"/>
      <c r="S4968" s="1304"/>
      <c r="T4968" s="1304"/>
    </row>
    <row r="4969" spans="1:20">
      <c r="A4969" s="1303"/>
      <c r="B4969" s="1322" t="s">
        <v>11477</v>
      </c>
      <c r="C4969" s="1323" t="s">
        <v>11478</v>
      </c>
      <c r="D4969" s="1324">
        <f t="shared" si="492"/>
        <v>34632</v>
      </c>
      <c r="E4969" s="1323">
        <f t="shared" si="494"/>
        <v>3.4946999999999999</v>
      </c>
      <c r="F4969" s="1323">
        <f t="shared" si="493"/>
        <v>3.7849336577937036</v>
      </c>
      <c r="G4969" s="1323">
        <f t="shared" si="495"/>
        <v>1994</v>
      </c>
      <c r="H4969" s="1323">
        <f t="shared" si="496"/>
        <v>10</v>
      </c>
      <c r="I4969" s="1323">
        <f t="shared" si="497"/>
        <v>25</v>
      </c>
      <c r="J4969" s="1323"/>
      <c r="K4969" s="1323"/>
      <c r="L4969" s="1323"/>
      <c r="M4969" s="1323"/>
      <c r="N4969" s="1323"/>
      <c r="O4969" s="1323"/>
      <c r="P4969" s="1323"/>
      <c r="Q4969" s="1323"/>
      <c r="R4969" s="1304"/>
      <c r="S4969" s="1304"/>
      <c r="T4969" s="1304"/>
    </row>
    <row r="4970" spans="1:20">
      <c r="A4970" s="1303"/>
      <c r="B4970" s="1322" t="s">
        <v>11479</v>
      </c>
      <c r="C4970" s="1323" t="s">
        <v>11480</v>
      </c>
      <c r="D4970" s="1324">
        <f t="shared" si="492"/>
        <v>34631</v>
      </c>
      <c r="E4970" s="1323">
        <f t="shared" si="494"/>
        <v>3.5063</v>
      </c>
      <c r="F4970" s="1323">
        <f t="shared" si="493"/>
        <v>3.7842079192886344</v>
      </c>
      <c r="G4970" s="1323">
        <f t="shared" si="495"/>
        <v>1994</v>
      </c>
      <c r="H4970" s="1323">
        <f t="shared" si="496"/>
        <v>10</v>
      </c>
      <c r="I4970" s="1323">
        <f t="shared" si="497"/>
        <v>24</v>
      </c>
      <c r="J4970" s="1323"/>
      <c r="K4970" s="1323"/>
      <c r="L4970" s="1323"/>
      <c r="M4970" s="1323"/>
      <c r="N4970" s="1323"/>
      <c r="O4970" s="1323"/>
      <c r="P4970" s="1323"/>
      <c r="Q4970" s="1323"/>
      <c r="R4970" s="1304"/>
      <c r="S4970" s="1304"/>
      <c r="T4970" s="1304"/>
    </row>
    <row r="4971" spans="1:20">
      <c r="A4971" s="1303"/>
      <c r="B4971" s="1322" t="s">
        <v>11481</v>
      </c>
      <c r="C4971" s="1323" t="s">
        <v>11482</v>
      </c>
      <c r="D4971" s="1324">
        <f t="shared" si="492"/>
        <v>34628</v>
      </c>
      <c r="E4971" s="1323">
        <f t="shared" si="494"/>
        <v>3.5179999999999998</v>
      </c>
      <c r="F4971" s="1323">
        <f t="shared" si="493"/>
        <v>3.7834823199396048</v>
      </c>
      <c r="G4971" s="1323">
        <f t="shared" si="495"/>
        <v>1994</v>
      </c>
      <c r="H4971" s="1323">
        <f t="shared" si="496"/>
        <v>10</v>
      </c>
      <c r="I4971" s="1323">
        <f t="shared" si="497"/>
        <v>21</v>
      </c>
      <c r="J4971" s="1323"/>
      <c r="K4971" s="1323"/>
      <c r="L4971" s="1323"/>
      <c r="M4971" s="1323"/>
      <c r="N4971" s="1323"/>
      <c r="O4971" s="1323"/>
      <c r="P4971" s="1323"/>
      <c r="Q4971" s="1323"/>
      <c r="R4971" s="1304"/>
      <c r="S4971" s="1304"/>
      <c r="T4971" s="1304"/>
    </row>
    <row r="4972" spans="1:20">
      <c r="A4972" s="1303"/>
      <c r="B4972" s="1322" t="s">
        <v>11483</v>
      </c>
      <c r="C4972" s="1323" t="s">
        <v>11484</v>
      </c>
      <c r="D4972" s="1324">
        <f t="shared" si="492"/>
        <v>34627</v>
      </c>
      <c r="E4972" s="1323">
        <f t="shared" si="494"/>
        <v>3.5217000000000001</v>
      </c>
      <c r="F4972" s="1323">
        <f t="shared" si="493"/>
        <v>3.7827568597199326</v>
      </c>
      <c r="G4972" s="1323">
        <f t="shared" si="495"/>
        <v>1994</v>
      </c>
      <c r="H4972" s="1323">
        <f t="shared" si="496"/>
        <v>10</v>
      </c>
      <c r="I4972" s="1323">
        <f t="shared" si="497"/>
        <v>20</v>
      </c>
      <c r="J4972" s="1323"/>
      <c r="K4972" s="1323"/>
      <c r="L4972" s="1323"/>
      <c r="M4972" s="1323"/>
      <c r="N4972" s="1323"/>
      <c r="O4972" s="1323"/>
      <c r="P4972" s="1323"/>
      <c r="Q4972" s="1323"/>
      <c r="R4972" s="1304"/>
      <c r="S4972" s="1304"/>
      <c r="T4972" s="1304"/>
    </row>
    <row r="4973" spans="1:20">
      <c r="A4973" s="1303"/>
      <c r="B4973" s="1322" t="s">
        <v>11485</v>
      </c>
      <c r="C4973" s="1323" t="s">
        <v>11486</v>
      </c>
      <c r="D4973" s="1324">
        <f t="shared" si="492"/>
        <v>34626</v>
      </c>
      <c r="E4973" s="1323">
        <f t="shared" si="494"/>
        <v>3.5131000000000001</v>
      </c>
      <c r="F4973" s="1323">
        <f t="shared" si="493"/>
        <v>3.7820315386029399</v>
      </c>
      <c r="G4973" s="1323">
        <f t="shared" si="495"/>
        <v>1994</v>
      </c>
      <c r="H4973" s="1323">
        <f t="shared" si="496"/>
        <v>10</v>
      </c>
      <c r="I4973" s="1323">
        <f t="shared" si="497"/>
        <v>19</v>
      </c>
      <c r="J4973" s="1323"/>
      <c r="K4973" s="1323"/>
      <c r="L4973" s="1323"/>
      <c r="M4973" s="1323"/>
      <c r="N4973" s="1323"/>
      <c r="O4973" s="1323"/>
      <c r="P4973" s="1323"/>
      <c r="Q4973" s="1323"/>
      <c r="R4973" s="1304"/>
      <c r="S4973" s="1304"/>
      <c r="T4973" s="1304"/>
    </row>
    <row r="4974" spans="1:20">
      <c r="A4974" s="1303"/>
      <c r="B4974" s="1322" t="s">
        <v>11487</v>
      </c>
      <c r="C4974" s="1323" t="s">
        <v>11488</v>
      </c>
      <c r="D4974" s="1324">
        <f t="shared" si="492"/>
        <v>34625</v>
      </c>
      <c r="E4974" s="1323">
        <f t="shared" si="494"/>
        <v>3.528</v>
      </c>
      <c r="F4974" s="1323">
        <f t="shared" si="493"/>
        <v>3.7813063565619554</v>
      </c>
      <c r="G4974" s="1323">
        <f t="shared" si="495"/>
        <v>1994</v>
      </c>
      <c r="H4974" s="1323">
        <f t="shared" si="496"/>
        <v>10</v>
      </c>
      <c r="I4974" s="1323">
        <f t="shared" si="497"/>
        <v>18</v>
      </c>
      <c r="J4974" s="1323"/>
      <c r="K4974" s="1323"/>
      <c r="L4974" s="1323"/>
      <c r="M4974" s="1323"/>
      <c r="N4974" s="1323"/>
      <c r="O4974" s="1323"/>
      <c r="P4974" s="1323"/>
      <c r="Q4974" s="1323"/>
      <c r="R4974" s="1304"/>
      <c r="S4974" s="1304"/>
      <c r="T4974" s="1304"/>
    </row>
    <row r="4975" spans="1:20">
      <c r="A4975" s="1303"/>
      <c r="B4975" s="1322" t="s">
        <v>11489</v>
      </c>
      <c r="C4975" s="1323" t="s">
        <v>11390</v>
      </c>
      <c r="D4975" s="1324">
        <f t="shared" si="492"/>
        <v>34624</v>
      </c>
      <c r="E4975" s="1323">
        <f t="shared" si="494"/>
        <v>3.5543</v>
      </c>
      <c r="F4975" s="1323">
        <f t="shared" si="493"/>
        <v>3.7805813135703117</v>
      </c>
      <c r="G4975" s="1323">
        <f t="shared" si="495"/>
        <v>1994</v>
      </c>
      <c r="H4975" s="1323">
        <f t="shared" si="496"/>
        <v>10</v>
      </c>
      <c r="I4975" s="1323">
        <f t="shared" si="497"/>
        <v>17</v>
      </c>
      <c r="J4975" s="1323"/>
      <c r="K4975" s="1323"/>
      <c r="L4975" s="1323"/>
      <c r="M4975" s="1323"/>
      <c r="N4975" s="1323"/>
      <c r="O4975" s="1323"/>
      <c r="P4975" s="1323"/>
      <c r="Q4975" s="1323"/>
      <c r="R4975" s="1304"/>
      <c r="S4975" s="1304"/>
      <c r="T4975" s="1304"/>
    </row>
    <row r="4976" spans="1:20">
      <c r="A4976" s="1303"/>
      <c r="B4976" s="1322" t="s">
        <v>11490</v>
      </c>
      <c r="C4976" s="1323" t="s">
        <v>11404</v>
      </c>
      <c r="D4976" s="1324">
        <f t="shared" si="492"/>
        <v>34621</v>
      </c>
      <c r="E4976" s="1323">
        <f t="shared" si="494"/>
        <v>3.5708000000000002</v>
      </c>
      <c r="F4976" s="1323">
        <f t="shared" si="493"/>
        <v>3.7798564096013467</v>
      </c>
      <c r="G4976" s="1323">
        <f t="shared" si="495"/>
        <v>1994</v>
      </c>
      <c r="H4976" s="1323">
        <f t="shared" si="496"/>
        <v>10</v>
      </c>
      <c r="I4976" s="1323">
        <f t="shared" si="497"/>
        <v>14</v>
      </c>
      <c r="J4976" s="1323"/>
      <c r="K4976" s="1323"/>
      <c r="L4976" s="1323"/>
      <c r="M4976" s="1323"/>
      <c r="N4976" s="1323"/>
      <c r="O4976" s="1323"/>
      <c r="P4976" s="1323"/>
      <c r="Q4976" s="1323"/>
      <c r="R4976" s="1304"/>
      <c r="S4976" s="1304"/>
      <c r="T4976" s="1304"/>
    </row>
    <row r="4977" spans="1:20">
      <c r="A4977" s="1303"/>
      <c r="B4977" s="1322" t="s">
        <v>11491</v>
      </c>
      <c r="C4977" s="1323" t="s">
        <v>11337</v>
      </c>
      <c r="D4977" s="1324">
        <f t="shared" si="492"/>
        <v>34620</v>
      </c>
      <c r="E4977" s="1323">
        <f t="shared" si="494"/>
        <v>3.5746000000000002</v>
      </c>
      <c r="F4977" s="1323">
        <f t="shared" si="493"/>
        <v>3.779131644628404</v>
      </c>
      <c r="G4977" s="1323">
        <f t="shared" si="495"/>
        <v>1994</v>
      </c>
      <c r="H4977" s="1323">
        <f t="shared" si="496"/>
        <v>10</v>
      </c>
      <c r="I4977" s="1323">
        <f t="shared" si="497"/>
        <v>13</v>
      </c>
      <c r="J4977" s="1323"/>
      <c r="K4977" s="1323"/>
      <c r="L4977" s="1323"/>
      <c r="M4977" s="1323"/>
      <c r="N4977" s="1323"/>
      <c r="O4977" s="1323"/>
      <c r="P4977" s="1323"/>
      <c r="Q4977" s="1323"/>
      <c r="R4977" s="1304"/>
      <c r="S4977" s="1304"/>
      <c r="T4977" s="1304"/>
    </row>
    <row r="4978" spans="1:20">
      <c r="A4978" s="1303"/>
      <c r="B4978" s="1322" t="s">
        <v>11492</v>
      </c>
      <c r="C4978" s="1323" t="s">
        <v>11493</v>
      </c>
      <c r="D4978" s="1324">
        <f t="shared" si="492"/>
        <v>34619</v>
      </c>
      <c r="E4978" s="1323">
        <f t="shared" si="494"/>
        <v>3.5714000000000001</v>
      </c>
      <c r="F4978" s="1323">
        <f t="shared" si="493"/>
        <v>3.778407018624832</v>
      </c>
      <c r="G4978" s="1323">
        <f t="shared" si="495"/>
        <v>1994</v>
      </c>
      <c r="H4978" s="1323">
        <f t="shared" si="496"/>
        <v>10</v>
      </c>
      <c r="I4978" s="1323">
        <f t="shared" si="497"/>
        <v>12</v>
      </c>
      <c r="J4978" s="1323"/>
      <c r="K4978" s="1323"/>
      <c r="L4978" s="1323"/>
      <c r="M4978" s="1323"/>
      <c r="N4978" s="1323"/>
      <c r="O4978" s="1323"/>
      <c r="P4978" s="1323"/>
      <c r="Q4978" s="1323"/>
      <c r="R4978" s="1304"/>
      <c r="S4978" s="1304"/>
      <c r="T4978" s="1304"/>
    </row>
    <row r="4979" spans="1:20">
      <c r="A4979" s="1303"/>
      <c r="B4979" s="1322" t="s">
        <v>11494</v>
      </c>
      <c r="C4979" s="1323" t="s">
        <v>11495</v>
      </c>
      <c r="D4979" s="1324">
        <f t="shared" si="492"/>
        <v>34618</v>
      </c>
      <c r="E4979" s="1323">
        <f t="shared" si="494"/>
        <v>3.5676000000000001</v>
      </c>
      <c r="F4979" s="1323">
        <f t="shared" si="493"/>
        <v>3.7776825315639839</v>
      </c>
      <c r="G4979" s="1323">
        <f t="shared" si="495"/>
        <v>1994</v>
      </c>
      <c r="H4979" s="1323">
        <f t="shared" si="496"/>
        <v>10</v>
      </c>
      <c r="I4979" s="1323">
        <f t="shared" si="497"/>
        <v>11</v>
      </c>
      <c r="J4979" s="1323"/>
      <c r="K4979" s="1323"/>
      <c r="L4979" s="1323"/>
      <c r="M4979" s="1323"/>
      <c r="N4979" s="1323"/>
      <c r="O4979" s="1323"/>
      <c r="P4979" s="1323"/>
      <c r="Q4979" s="1323"/>
      <c r="R4979" s="1304"/>
      <c r="S4979" s="1304"/>
      <c r="T4979" s="1304"/>
    </row>
    <row r="4980" spans="1:20">
      <c r="A4980" s="1303"/>
      <c r="B4980" s="1322" t="s">
        <v>11496</v>
      </c>
      <c r="C4980" s="1323" t="s">
        <v>11497</v>
      </c>
      <c r="D4980" s="1324">
        <f t="shared" si="492"/>
        <v>34614</v>
      </c>
      <c r="E4980" s="1323">
        <f t="shared" si="494"/>
        <v>3.5720999999999998</v>
      </c>
      <c r="F4980" s="1323">
        <f t="shared" si="493"/>
        <v>3.7769581834192185</v>
      </c>
      <c r="G4980" s="1323">
        <f t="shared" si="495"/>
        <v>1994</v>
      </c>
      <c r="H4980" s="1323">
        <f t="shared" si="496"/>
        <v>10</v>
      </c>
      <c r="I4980" s="1323">
        <f t="shared" si="497"/>
        <v>7</v>
      </c>
      <c r="J4980" s="1323"/>
      <c r="K4980" s="1323"/>
      <c r="L4980" s="1323"/>
      <c r="M4980" s="1323"/>
      <c r="N4980" s="1323"/>
      <c r="O4980" s="1323"/>
      <c r="P4980" s="1323"/>
      <c r="Q4980" s="1323"/>
      <c r="R4980" s="1304"/>
      <c r="S4980" s="1304"/>
      <c r="T4980" s="1304"/>
    </row>
    <row r="4981" spans="1:20">
      <c r="A4981" s="1303"/>
      <c r="B4981" s="1322" t="s">
        <v>11498</v>
      </c>
      <c r="C4981" s="1323" t="s">
        <v>11329</v>
      </c>
      <c r="D4981" s="1324">
        <f t="shared" si="492"/>
        <v>34613</v>
      </c>
      <c r="E4981" s="1323">
        <f t="shared" si="494"/>
        <v>3.5644</v>
      </c>
      <c r="F4981" s="1323">
        <f t="shared" si="493"/>
        <v>3.7762339741638993</v>
      </c>
      <c r="G4981" s="1323">
        <f t="shared" si="495"/>
        <v>1994</v>
      </c>
      <c r="H4981" s="1323">
        <f t="shared" si="496"/>
        <v>10</v>
      </c>
      <c r="I4981" s="1323">
        <f t="shared" si="497"/>
        <v>6</v>
      </c>
      <c r="J4981" s="1323"/>
      <c r="K4981" s="1323"/>
      <c r="L4981" s="1323"/>
      <c r="M4981" s="1323"/>
      <c r="N4981" s="1323"/>
      <c r="O4981" s="1323"/>
      <c r="P4981" s="1323"/>
      <c r="Q4981" s="1323"/>
      <c r="R4981" s="1304"/>
      <c r="S4981" s="1304"/>
      <c r="T4981" s="1304"/>
    </row>
    <row r="4982" spans="1:20">
      <c r="A4982" s="1303"/>
      <c r="B4982" s="1322" t="s">
        <v>11499</v>
      </c>
      <c r="C4982" s="1323" t="s">
        <v>11339</v>
      </c>
      <c r="D4982" s="1324">
        <f t="shared" si="492"/>
        <v>34612</v>
      </c>
      <c r="E4982" s="1323">
        <f t="shared" si="494"/>
        <v>3.5720999999999998</v>
      </c>
      <c r="F4982" s="1323">
        <f t="shared" si="493"/>
        <v>3.7755099037713951</v>
      </c>
      <c r="G4982" s="1323">
        <f t="shared" si="495"/>
        <v>1994</v>
      </c>
      <c r="H4982" s="1323">
        <f t="shared" si="496"/>
        <v>10</v>
      </c>
      <c r="I4982" s="1323">
        <f t="shared" si="497"/>
        <v>5</v>
      </c>
      <c r="J4982" s="1323"/>
      <c r="K4982" s="1323"/>
      <c r="L4982" s="1323"/>
      <c r="M4982" s="1323"/>
      <c r="N4982" s="1323"/>
      <c r="O4982" s="1323"/>
      <c r="P4982" s="1323"/>
      <c r="Q4982" s="1323"/>
      <c r="R4982" s="1304"/>
      <c r="S4982" s="1304"/>
      <c r="T4982" s="1304"/>
    </row>
    <row r="4983" spans="1:20">
      <c r="A4983" s="1303"/>
      <c r="B4983" s="1322" t="s">
        <v>11500</v>
      </c>
      <c r="C4983" s="1323" t="s">
        <v>11329</v>
      </c>
      <c r="D4983" s="1324">
        <f t="shared" si="492"/>
        <v>34611</v>
      </c>
      <c r="E4983" s="1323">
        <f t="shared" si="494"/>
        <v>3.5682</v>
      </c>
      <c r="F4983" s="1323">
        <f t="shared" si="493"/>
        <v>3.7747859722150796</v>
      </c>
      <c r="G4983" s="1323">
        <f t="shared" si="495"/>
        <v>1994</v>
      </c>
      <c r="H4983" s="1323">
        <f t="shared" si="496"/>
        <v>10</v>
      </c>
      <c r="I4983" s="1323">
        <f t="shared" si="497"/>
        <v>4</v>
      </c>
      <c r="J4983" s="1323"/>
      <c r="K4983" s="1323"/>
      <c r="L4983" s="1323"/>
      <c r="M4983" s="1323"/>
      <c r="N4983" s="1323"/>
      <c r="O4983" s="1323"/>
      <c r="P4983" s="1323"/>
      <c r="Q4983" s="1323"/>
      <c r="R4983" s="1304"/>
      <c r="S4983" s="1304"/>
      <c r="T4983" s="1304"/>
    </row>
    <row r="4984" spans="1:20">
      <c r="A4984" s="1303"/>
      <c r="B4984" s="1322" t="s">
        <v>11501</v>
      </c>
      <c r="C4984" s="1323" t="s">
        <v>11502</v>
      </c>
      <c r="D4984" s="1324">
        <f t="shared" si="492"/>
        <v>34610</v>
      </c>
      <c r="E4984" s="1323">
        <f t="shared" si="494"/>
        <v>3.5785</v>
      </c>
      <c r="F4984" s="1323">
        <f t="shared" si="493"/>
        <v>3.774062179468332</v>
      </c>
      <c r="G4984" s="1323">
        <f t="shared" si="495"/>
        <v>1994</v>
      </c>
      <c r="H4984" s="1323">
        <f t="shared" si="496"/>
        <v>10</v>
      </c>
      <c r="I4984" s="1323">
        <f t="shared" si="497"/>
        <v>3</v>
      </c>
      <c r="J4984" s="1323"/>
      <c r="K4984" s="1323"/>
      <c r="L4984" s="1323"/>
      <c r="M4984" s="1323"/>
      <c r="N4984" s="1323"/>
      <c r="O4984" s="1323"/>
      <c r="P4984" s="1323"/>
      <c r="Q4984" s="1323"/>
      <c r="R4984" s="1304"/>
      <c r="S4984" s="1304"/>
      <c r="T4984" s="1304"/>
    </row>
    <row r="4985" spans="1:20">
      <c r="A4985" s="1303"/>
      <c r="B4985" s="1322" t="s">
        <v>11503</v>
      </c>
      <c r="C4985" s="1323" t="s">
        <v>11504</v>
      </c>
      <c r="D4985" s="1324">
        <f t="shared" si="492"/>
        <v>34607</v>
      </c>
      <c r="E4985" s="1323">
        <f t="shared" si="494"/>
        <v>3.5733000000000001</v>
      </c>
      <c r="F4985" s="1323">
        <f t="shared" si="493"/>
        <v>3.7733385255045366</v>
      </c>
      <c r="G4985" s="1323">
        <f t="shared" si="495"/>
        <v>1994</v>
      </c>
      <c r="H4985" s="1323">
        <f t="shared" si="496"/>
        <v>9</v>
      </c>
      <c r="I4985" s="1323">
        <f t="shared" si="497"/>
        <v>30</v>
      </c>
      <c r="J4985" s="1323"/>
      <c r="K4985" s="1323"/>
      <c r="L4985" s="1323"/>
      <c r="M4985" s="1323"/>
      <c r="N4985" s="1323"/>
      <c r="O4985" s="1323"/>
      <c r="P4985" s="1323"/>
      <c r="Q4985" s="1323"/>
      <c r="R4985" s="1304"/>
      <c r="S4985" s="1304"/>
      <c r="T4985" s="1304"/>
    </row>
    <row r="4986" spans="1:20">
      <c r="A4986" s="1303"/>
      <c r="B4986" s="1322" t="s">
        <v>11505</v>
      </c>
      <c r="C4986" s="1323" t="s">
        <v>11506</v>
      </c>
      <c r="D4986" s="1324">
        <f t="shared" si="492"/>
        <v>34606</v>
      </c>
      <c r="E4986" s="1323">
        <f t="shared" si="494"/>
        <v>3.5644</v>
      </c>
      <c r="F4986" s="1323">
        <f t="shared" si="493"/>
        <v>3.7726150102970823</v>
      </c>
      <c r="G4986" s="1323">
        <f t="shared" si="495"/>
        <v>1994</v>
      </c>
      <c r="H4986" s="1323">
        <f t="shared" si="496"/>
        <v>9</v>
      </c>
      <c r="I4986" s="1323">
        <f t="shared" si="497"/>
        <v>29</v>
      </c>
      <c r="J4986" s="1323"/>
      <c r="K4986" s="1323"/>
      <c r="L4986" s="1323"/>
      <c r="M4986" s="1323"/>
      <c r="N4986" s="1323"/>
      <c r="O4986" s="1323"/>
      <c r="P4986" s="1323"/>
      <c r="Q4986" s="1323"/>
      <c r="R4986" s="1304"/>
      <c r="S4986" s="1304"/>
      <c r="T4986" s="1304"/>
    </row>
    <row r="4987" spans="1:20">
      <c r="A4987" s="1303"/>
      <c r="B4987" s="1322" t="s">
        <v>11507</v>
      </c>
      <c r="C4987" s="1323" t="s">
        <v>11339</v>
      </c>
      <c r="D4987" s="1324">
        <f t="shared" si="492"/>
        <v>34605</v>
      </c>
      <c r="E4987" s="1323">
        <f t="shared" si="494"/>
        <v>3.5518000000000001</v>
      </c>
      <c r="F4987" s="1323">
        <f t="shared" si="493"/>
        <v>3.7718916338193633</v>
      </c>
      <c r="G4987" s="1323">
        <f t="shared" si="495"/>
        <v>1994</v>
      </c>
      <c r="H4987" s="1323">
        <f t="shared" si="496"/>
        <v>9</v>
      </c>
      <c r="I4987" s="1323">
        <f t="shared" si="497"/>
        <v>28</v>
      </c>
      <c r="J4987" s="1323"/>
      <c r="K4987" s="1323"/>
      <c r="L4987" s="1323"/>
      <c r="M4987" s="1323"/>
      <c r="N4987" s="1323"/>
      <c r="O4987" s="1323"/>
      <c r="P4987" s="1323"/>
      <c r="Q4987" s="1323"/>
      <c r="R4987" s="1304"/>
      <c r="S4987" s="1304"/>
      <c r="T4987" s="1304"/>
    </row>
    <row r="4988" spans="1:20">
      <c r="A4988" s="1303"/>
      <c r="B4988" s="1322" t="s">
        <v>11508</v>
      </c>
      <c r="C4988" s="1323" t="s">
        <v>11368</v>
      </c>
      <c r="D4988" s="1324">
        <f t="shared" si="492"/>
        <v>34604</v>
      </c>
      <c r="E4988" s="1323">
        <f t="shared" si="494"/>
        <v>3.5491999999999999</v>
      </c>
      <c r="F4988" s="1323">
        <f t="shared" si="493"/>
        <v>3.771168396044779</v>
      </c>
      <c r="G4988" s="1323">
        <f t="shared" si="495"/>
        <v>1994</v>
      </c>
      <c r="H4988" s="1323">
        <f t="shared" si="496"/>
        <v>9</v>
      </c>
      <c r="I4988" s="1323">
        <f t="shared" si="497"/>
        <v>27</v>
      </c>
      <c r="J4988" s="1323"/>
      <c r="K4988" s="1323"/>
      <c r="L4988" s="1323"/>
      <c r="M4988" s="1323"/>
      <c r="N4988" s="1323"/>
      <c r="O4988" s="1323"/>
      <c r="P4988" s="1323"/>
      <c r="Q4988" s="1323"/>
      <c r="R4988" s="1304"/>
      <c r="S4988" s="1304"/>
      <c r="T4988" s="1304"/>
    </row>
    <row r="4989" spans="1:20">
      <c r="A4989" s="1303"/>
      <c r="B4989" s="1322" t="s">
        <v>11509</v>
      </c>
      <c r="C4989" s="1323" t="s">
        <v>11366</v>
      </c>
      <c r="D4989" s="1324">
        <f t="shared" si="492"/>
        <v>34603</v>
      </c>
      <c r="E4989" s="1323">
        <f t="shared" si="494"/>
        <v>3.5392000000000001</v>
      </c>
      <c r="F4989" s="1323">
        <f t="shared" si="493"/>
        <v>3.7704452969467344</v>
      </c>
      <c r="G4989" s="1323">
        <f t="shared" si="495"/>
        <v>1994</v>
      </c>
      <c r="H4989" s="1323">
        <f t="shared" si="496"/>
        <v>9</v>
      </c>
      <c r="I4989" s="1323">
        <f t="shared" si="497"/>
        <v>26</v>
      </c>
      <c r="J4989" s="1323"/>
      <c r="K4989" s="1323"/>
      <c r="L4989" s="1323"/>
      <c r="M4989" s="1323"/>
      <c r="N4989" s="1323"/>
      <c r="O4989" s="1323"/>
      <c r="P4989" s="1323"/>
      <c r="Q4989" s="1323"/>
      <c r="R4989" s="1304"/>
      <c r="S4989" s="1304"/>
      <c r="T4989" s="1304"/>
    </row>
    <row r="4990" spans="1:20">
      <c r="A4990" s="1303"/>
      <c r="B4990" s="1322" t="s">
        <v>11510</v>
      </c>
      <c r="C4990" s="1323" t="s">
        <v>11445</v>
      </c>
      <c r="D4990" s="1324">
        <f t="shared" si="492"/>
        <v>34600</v>
      </c>
      <c r="E4990" s="1323">
        <f t="shared" si="494"/>
        <v>3.5341999999999998</v>
      </c>
      <c r="F4990" s="1323">
        <f t="shared" si="493"/>
        <v>3.7697223364986385</v>
      </c>
      <c r="G4990" s="1323">
        <f t="shared" si="495"/>
        <v>1994</v>
      </c>
      <c r="H4990" s="1323">
        <f t="shared" si="496"/>
        <v>9</v>
      </c>
      <c r="I4990" s="1323">
        <f t="shared" si="497"/>
        <v>23</v>
      </c>
      <c r="J4990" s="1323"/>
      <c r="K4990" s="1323"/>
      <c r="L4990" s="1323"/>
      <c r="M4990" s="1323"/>
      <c r="N4990" s="1323"/>
      <c r="O4990" s="1323"/>
      <c r="P4990" s="1323"/>
      <c r="Q4990" s="1323"/>
      <c r="R4990" s="1304"/>
      <c r="S4990" s="1304"/>
      <c r="T4990" s="1304"/>
    </row>
    <row r="4991" spans="1:20">
      <c r="A4991" s="1303"/>
      <c r="B4991" s="1322" t="s">
        <v>11511</v>
      </c>
      <c r="C4991" s="1323" t="s">
        <v>11512</v>
      </c>
      <c r="D4991" s="1324">
        <f t="shared" si="492"/>
        <v>34599</v>
      </c>
      <c r="E4991" s="1323">
        <f t="shared" si="494"/>
        <v>3.5430000000000001</v>
      </c>
      <c r="F4991" s="1323">
        <f t="shared" si="493"/>
        <v>3.7689995146739066</v>
      </c>
      <c r="G4991" s="1323">
        <f t="shared" si="495"/>
        <v>1994</v>
      </c>
      <c r="H4991" s="1323">
        <f t="shared" si="496"/>
        <v>9</v>
      </c>
      <c r="I4991" s="1323">
        <f t="shared" si="497"/>
        <v>22</v>
      </c>
      <c r="J4991" s="1323"/>
      <c r="K4991" s="1323"/>
      <c r="L4991" s="1323"/>
      <c r="M4991" s="1323"/>
      <c r="N4991" s="1323"/>
      <c r="O4991" s="1323"/>
      <c r="P4991" s="1323"/>
      <c r="Q4991" s="1323"/>
      <c r="R4991" s="1304"/>
      <c r="S4991" s="1304"/>
      <c r="T4991" s="1304"/>
    </row>
    <row r="4992" spans="1:20">
      <c r="A4992" s="1303"/>
      <c r="B4992" s="1322" t="s">
        <v>11513</v>
      </c>
      <c r="C4992" s="1323" t="s">
        <v>11376</v>
      </c>
      <c r="D4992" s="1324">
        <f t="shared" si="492"/>
        <v>34598</v>
      </c>
      <c r="E4992" s="1323">
        <f t="shared" si="494"/>
        <v>3.5430000000000001</v>
      </c>
      <c r="F4992" s="1323">
        <f t="shared" si="493"/>
        <v>3.768276831445958</v>
      </c>
      <c r="G4992" s="1323">
        <f t="shared" si="495"/>
        <v>1994</v>
      </c>
      <c r="H4992" s="1323">
        <f t="shared" si="496"/>
        <v>9</v>
      </c>
      <c r="I4992" s="1323">
        <f t="shared" si="497"/>
        <v>21</v>
      </c>
      <c r="J4992" s="1323"/>
      <c r="K4992" s="1323"/>
      <c r="L4992" s="1323"/>
      <c r="M4992" s="1323"/>
      <c r="N4992" s="1323"/>
      <c r="O4992" s="1323"/>
      <c r="P4992" s="1323"/>
      <c r="Q4992" s="1323"/>
      <c r="R4992" s="1304"/>
      <c r="S4992" s="1304"/>
      <c r="T4992" s="1304"/>
    </row>
    <row r="4993" spans="1:20">
      <c r="A4993" s="1303"/>
      <c r="B4993" s="1322" t="s">
        <v>11514</v>
      </c>
      <c r="C4993" s="1323" t="s">
        <v>11376</v>
      </c>
      <c r="D4993" s="1324">
        <f t="shared" si="492"/>
        <v>34597</v>
      </c>
      <c r="E4993" s="1323">
        <f t="shared" si="494"/>
        <v>3.5442</v>
      </c>
      <c r="F4993" s="1323">
        <f t="shared" si="493"/>
        <v>3.7675542867882177</v>
      </c>
      <c r="G4993" s="1323">
        <f t="shared" si="495"/>
        <v>1994</v>
      </c>
      <c r="H4993" s="1323">
        <f t="shared" si="496"/>
        <v>9</v>
      </c>
      <c r="I4993" s="1323">
        <f t="shared" si="497"/>
        <v>20</v>
      </c>
      <c r="J4993" s="1323"/>
      <c r="K4993" s="1323"/>
      <c r="L4993" s="1323"/>
      <c r="M4993" s="1323"/>
      <c r="N4993" s="1323"/>
      <c r="O4993" s="1323"/>
      <c r="P4993" s="1323"/>
      <c r="Q4993" s="1323"/>
      <c r="R4993" s="1304"/>
      <c r="S4993" s="1304"/>
      <c r="T4993" s="1304"/>
    </row>
    <row r="4994" spans="1:20">
      <c r="A4994" s="1303"/>
      <c r="B4994" s="1322" t="s">
        <v>11515</v>
      </c>
      <c r="C4994" s="1323" t="s">
        <v>11363</v>
      </c>
      <c r="D4994" s="1324">
        <f t="shared" si="492"/>
        <v>34596</v>
      </c>
      <c r="E4994" s="1323">
        <f t="shared" si="494"/>
        <v>3.5491999999999999</v>
      </c>
      <c r="F4994" s="1323">
        <f t="shared" si="493"/>
        <v>3.7668318806741157</v>
      </c>
      <c r="G4994" s="1323">
        <f t="shared" si="495"/>
        <v>1994</v>
      </c>
      <c r="H4994" s="1323">
        <f t="shared" si="496"/>
        <v>9</v>
      </c>
      <c r="I4994" s="1323">
        <f t="shared" si="497"/>
        <v>19</v>
      </c>
      <c r="J4994" s="1323"/>
      <c r="K4994" s="1323"/>
      <c r="L4994" s="1323"/>
      <c r="M4994" s="1323"/>
      <c r="N4994" s="1323"/>
      <c r="O4994" s="1323"/>
      <c r="P4994" s="1323"/>
      <c r="Q4994" s="1323"/>
      <c r="R4994" s="1304"/>
      <c r="S4994" s="1304"/>
      <c r="T4994" s="1304"/>
    </row>
    <row r="4995" spans="1:20">
      <c r="A4995" s="1303"/>
      <c r="B4995" s="1322" t="s">
        <v>11516</v>
      </c>
      <c r="C4995" s="1323" t="s">
        <v>11366</v>
      </c>
      <c r="D4995" s="1324">
        <f t="shared" si="492"/>
        <v>34593</v>
      </c>
      <c r="E4995" s="1323">
        <f t="shared" si="494"/>
        <v>3.5568</v>
      </c>
      <c r="F4995" s="1323">
        <f t="shared" si="493"/>
        <v>3.766109613077087</v>
      </c>
      <c r="G4995" s="1323">
        <f t="shared" si="495"/>
        <v>1994</v>
      </c>
      <c r="H4995" s="1323">
        <f t="shared" si="496"/>
        <v>9</v>
      </c>
      <c r="I4995" s="1323">
        <f t="shared" si="497"/>
        <v>16</v>
      </c>
      <c r="J4995" s="1323"/>
      <c r="K4995" s="1323"/>
      <c r="L4995" s="1323"/>
      <c r="M4995" s="1323"/>
      <c r="N4995" s="1323"/>
      <c r="O4995" s="1323"/>
      <c r="P4995" s="1323"/>
      <c r="Q4995" s="1323"/>
      <c r="R4995" s="1304"/>
      <c r="S4995" s="1304"/>
      <c r="T4995" s="1304"/>
    </row>
    <row r="4996" spans="1:20">
      <c r="A4996" s="1303"/>
      <c r="B4996" s="1322" t="s">
        <v>11517</v>
      </c>
      <c r="C4996" s="1323" t="s">
        <v>11518</v>
      </c>
      <c r="D4996" s="1324">
        <f t="shared" si="492"/>
        <v>34592</v>
      </c>
      <c r="E4996" s="1323">
        <f t="shared" si="494"/>
        <v>3.5537000000000001</v>
      </c>
      <c r="F4996" s="1323">
        <f t="shared" si="493"/>
        <v>3.7653874839705721</v>
      </c>
      <c r="G4996" s="1323">
        <f t="shared" si="495"/>
        <v>1994</v>
      </c>
      <c r="H4996" s="1323">
        <f t="shared" si="496"/>
        <v>9</v>
      </c>
      <c r="I4996" s="1323">
        <f t="shared" si="497"/>
        <v>15</v>
      </c>
      <c r="J4996" s="1323"/>
      <c r="K4996" s="1323"/>
      <c r="L4996" s="1323"/>
      <c r="M4996" s="1323"/>
      <c r="N4996" s="1323"/>
      <c r="O4996" s="1323"/>
      <c r="P4996" s="1323"/>
      <c r="Q4996" s="1323"/>
      <c r="R4996" s="1304"/>
      <c r="S4996" s="1304"/>
      <c r="T4996" s="1304"/>
    </row>
    <row r="4997" spans="1:20">
      <c r="A4997" s="1303"/>
      <c r="B4997" s="1322" t="s">
        <v>11519</v>
      </c>
      <c r="C4997" s="1323" t="s">
        <v>11406</v>
      </c>
      <c r="D4997" s="1324">
        <f t="shared" si="492"/>
        <v>34591</v>
      </c>
      <c r="E4997" s="1323">
        <f t="shared" si="494"/>
        <v>3.5491999999999999</v>
      </c>
      <c r="F4997" s="1323">
        <f t="shared" si="493"/>
        <v>3.7646654933280157</v>
      </c>
      <c r="G4997" s="1323">
        <f t="shared" si="495"/>
        <v>1994</v>
      </c>
      <c r="H4997" s="1323">
        <f t="shared" si="496"/>
        <v>9</v>
      </c>
      <c r="I4997" s="1323">
        <f t="shared" si="497"/>
        <v>14</v>
      </c>
      <c r="J4997" s="1323"/>
      <c r="K4997" s="1323"/>
      <c r="L4997" s="1323"/>
      <c r="M4997" s="1323"/>
      <c r="N4997" s="1323"/>
      <c r="O4997" s="1323"/>
      <c r="P4997" s="1323"/>
      <c r="Q4997" s="1323"/>
      <c r="R4997" s="1304"/>
      <c r="S4997" s="1304"/>
      <c r="T4997" s="1304"/>
    </row>
    <row r="4998" spans="1:20">
      <c r="A4998" s="1303"/>
      <c r="B4998" s="1322" t="s">
        <v>11520</v>
      </c>
      <c r="C4998" s="1323" t="s">
        <v>11366</v>
      </c>
      <c r="D4998" s="1324">
        <f t="shared" si="492"/>
        <v>34590</v>
      </c>
      <c r="E4998" s="1323">
        <f t="shared" si="494"/>
        <v>3.5518000000000001</v>
      </c>
      <c r="F4998" s="1323">
        <f t="shared" si="493"/>
        <v>3.7639436411228688</v>
      </c>
      <c r="G4998" s="1323">
        <f t="shared" si="495"/>
        <v>1994</v>
      </c>
      <c r="H4998" s="1323">
        <f t="shared" si="496"/>
        <v>9</v>
      </c>
      <c r="I4998" s="1323">
        <f t="shared" si="497"/>
        <v>13</v>
      </c>
      <c r="J4998" s="1323"/>
      <c r="K4998" s="1323"/>
      <c r="L4998" s="1323"/>
      <c r="M4998" s="1323"/>
      <c r="N4998" s="1323"/>
      <c r="O4998" s="1323"/>
      <c r="P4998" s="1323"/>
      <c r="Q4998" s="1323"/>
      <c r="R4998" s="1304"/>
      <c r="S4998" s="1304"/>
      <c r="T4998" s="1304"/>
    </row>
    <row r="4999" spans="1:20">
      <c r="A4999" s="1303"/>
      <c r="B4999" s="1322" t="s">
        <v>11521</v>
      </c>
      <c r="C4999" s="1323" t="s">
        <v>11368</v>
      </c>
      <c r="D4999" s="1324">
        <f t="shared" si="492"/>
        <v>34589</v>
      </c>
      <c r="E4999" s="1323">
        <f t="shared" si="494"/>
        <v>3.5467</v>
      </c>
      <c r="F4999" s="1323">
        <f t="shared" si="493"/>
        <v>3.7632219273285865</v>
      </c>
      <c r="G4999" s="1323">
        <f t="shared" si="495"/>
        <v>1994</v>
      </c>
      <c r="H4999" s="1323">
        <f t="shared" si="496"/>
        <v>9</v>
      </c>
      <c r="I4999" s="1323">
        <f t="shared" si="497"/>
        <v>12</v>
      </c>
      <c r="J4999" s="1323"/>
      <c r="K4999" s="1323"/>
      <c r="L4999" s="1323"/>
      <c r="M4999" s="1323"/>
      <c r="N4999" s="1323"/>
      <c r="O4999" s="1323"/>
      <c r="P4999" s="1323"/>
      <c r="Q4999" s="1323"/>
      <c r="R4999" s="1304"/>
      <c r="S4999" s="1304"/>
      <c r="T4999" s="1304"/>
    </row>
    <row r="5000" spans="1:20">
      <c r="A5000" s="1303"/>
      <c r="B5000" s="1322" t="s">
        <v>11522</v>
      </c>
      <c r="C5000" s="1323" t="s">
        <v>11359</v>
      </c>
      <c r="D5000" s="1324">
        <f t="shared" si="492"/>
        <v>34586</v>
      </c>
      <c r="E5000" s="1323">
        <f t="shared" si="494"/>
        <v>3.5581</v>
      </c>
      <c r="F5000" s="1323">
        <f t="shared" si="493"/>
        <v>3.7625003519186295</v>
      </c>
      <c r="G5000" s="1323">
        <f t="shared" si="495"/>
        <v>1994</v>
      </c>
      <c r="H5000" s="1323">
        <f t="shared" si="496"/>
        <v>9</v>
      </c>
      <c r="I5000" s="1323">
        <f t="shared" si="497"/>
        <v>9</v>
      </c>
      <c r="J5000" s="1323"/>
      <c r="K5000" s="1323"/>
      <c r="L5000" s="1323"/>
      <c r="M5000" s="1323"/>
      <c r="N5000" s="1323"/>
      <c r="O5000" s="1323"/>
      <c r="P5000" s="1323"/>
      <c r="Q5000" s="1323"/>
      <c r="R5000" s="1304"/>
      <c r="S5000" s="1304"/>
      <c r="T5000" s="1304"/>
    </row>
    <row r="5001" spans="1:20">
      <c r="A5001" s="1303"/>
      <c r="B5001" s="1322" t="s">
        <v>11523</v>
      </c>
      <c r="C5001" s="1323" t="s">
        <v>11524</v>
      </c>
      <c r="D5001" s="1324">
        <f t="shared" ref="D5001:D5064" si="498">DATE(G5001,H5001,I5001)</f>
        <v>34585</v>
      </c>
      <c r="E5001" s="1323">
        <f t="shared" si="494"/>
        <v>3.5632000000000001</v>
      </c>
      <c r="F5001" s="1323">
        <f t="shared" ref="F5001:F5064" si="499">F5002*(1+$F$7/365)</f>
        <v>3.7617789148664631</v>
      </c>
      <c r="G5001" s="1323">
        <f t="shared" si="495"/>
        <v>1994</v>
      </c>
      <c r="H5001" s="1323">
        <f t="shared" si="496"/>
        <v>9</v>
      </c>
      <c r="I5001" s="1323">
        <f t="shared" si="497"/>
        <v>8</v>
      </c>
      <c r="J5001" s="1323"/>
      <c r="K5001" s="1323"/>
      <c r="L5001" s="1323"/>
      <c r="M5001" s="1323"/>
      <c r="N5001" s="1323"/>
      <c r="O5001" s="1323"/>
      <c r="P5001" s="1323"/>
      <c r="Q5001" s="1323"/>
      <c r="R5001" s="1304"/>
      <c r="S5001" s="1304"/>
      <c r="T5001" s="1304"/>
    </row>
    <row r="5002" spans="1:20">
      <c r="A5002" s="1303"/>
      <c r="B5002" s="1322" t="s">
        <v>11525</v>
      </c>
      <c r="C5002" s="1323" t="s">
        <v>11402</v>
      </c>
      <c r="D5002" s="1324">
        <f t="shared" si="498"/>
        <v>34584</v>
      </c>
      <c r="E5002" s="1323">
        <f t="shared" si="494"/>
        <v>3.5657000000000001</v>
      </c>
      <c r="F5002" s="1323">
        <f t="shared" si="499"/>
        <v>3.7610576161455582</v>
      </c>
      <c r="G5002" s="1323">
        <f t="shared" si="495"/>
        <v>1994</v>
      </c>
      <c r="H5002" s="1323">
        <f t="shared" si="496"/>
        <v>9</v>
      </c>
      <c r="I5002" s="1323">
        <f t="shared" si="497"/>
        <v>7</v>
      </c>
      <c r="J5002" s="1323"/>
      <c r="K5002" s="1323"/>
      <c r="L5002" s="1323"/>
      <c r="M5002" s="1323"/>
      <c r="N5002" s="1323"/>
      <c r="O5002" s="1323"/>
      <c r="P5002" s="1323"/>
      <c r="Q5002" s="1323"/>
      <c r="R5002" s="1304"/>
      <c r="S5002" s="1304"/>
      <c r="T5002" s="1304"/>
    </row>
    <row r="5003" spans="1:20">
      <c r="A5003" s="1303"/>
      <c r="B5003" s="1322" t="s">
        <v>11526</v>
      </c>
      <c r="C5003" s="1323" t="s">
        <v>11425</v>
      </c>
      <c r="D5003" s="1324">
        <f t="shared" si="498"/>
        <v>34583</v>
      </c>
      <c r="E5003" s="1323">
        <f t="shared" si="494"/>
        <v>3.5638000000000001</v>
      </c>
      <c r="F5003" s="1323">
        <f t="shared" si="499"/>
        <v>3.7603364557293908</v>
      </c>
      <c r="G5003" s="1323">
        <f t="shared" si="495"/>
        <v>1994</v>
      </c>
      <c r="H5003" s="1323">
        <f t="shared" si="496"/>
        <v>9</v>
      </c>
      <c r="I5003" s="1323">
        <f t="shared" si="497"/>
        <v>6</v>
      </c>
      <c r="J5003" s="1323"/>
      <c r="K5003" s="1323"/>
      <c r="L5003" s="1323"/>
      <c r="M5003" s="1323"/>
      <c r="N5003" s="1323"/>
      <c r="O5003" s="1323"/>
      <c r="P5003" s="1323"/>
      <c r="Q5003" s="1323"/>
      <c r="R5003" s="1304"/>
      <c r="S5003" s="1304"/>
      <c r="T5003" s="1304"/>
    </row>
    <row r="5004" spans="1:20">
      <c r="A5004" s="1303"/>
      <c r="B5004" s="1322" t="s">
        <v>11527</v>
      </c>
      <c r="C5004" s="1323" t="s">
        <v>11430</v>
      </c>
      <c r="D5004" s="1324">
        <f t="shared" si="498"/>
        <v>34582</v>
      </c>
      <c r="E5004" s="1323">
        <f t="shared" si="494"/>
        <v>3.5714000000000001</v>
      </c>
      <c r="F5004" s="1323">
        <f t="shared" si="499"/>
        <v>3.7596154335914416</v>
      </c>
      <c r="G5004" s="1323">
        <f t="shared" si="495"/>
        <v>1994</v>
      </c>
      <c r="H5004" s="1323">
        <f t="shared" si="496"/>
        <v>9</v>
      </c>
      <c r="I5004" s="1323">
        <f t="shared" si="497"/>
        <v>5</v>
      </c>
      <c r="J5004" s="1323"/>
      <c r="K5004" s="1323"/>
      <c r="L5004" s="1323"/>
      <c r="M5004" s="1323"/>
      <c r="N5004" s="1323"/>
      <c r="O5004" s="1323"/>
      <c r="P5004" s="1323"/>
      <c r="Q5004" s="1323"/>
      <c r="R5004" s="1304"/>
      <c r="S5004" s="1304"/>
      <c r="T5004" s="1304"/>
    </row>
    <row r="5005" spans="1:20">
      <c r="A5005" s="1303"/>
      <c r="B5005" s="1322" t="s">
        <v>11528</v>
      </c>
      <c r="C5005" s="1323" t="s">
        <v>11495</v>
      </c>
      <c r="D5005" s="1324">
        <f t="shared" si="498"/>
        <v>34579</v>
      </c>
      <c r="E5005" s="1323">
        <f t="shared" si="494"/>
        <v>3.5836000000000001</v>
      </c>
      <c r="F5005" s="1323">
        <f t="shared" si="499"/>
        <v>3.7588945497051967</v>
      </c>
      <c r="G5005" s="1323">
        <f t="shared" si="495"/>
        <v>1994</v>
      </c>
      <c r="H5005" s="1323">
        <f t="shared" si="496"/>
        <v>9</v>
      </c>
      <c r="I5005" s="1323">
        <f t="shared" si="497"/>
        <v>2</v>
      </c>
      <c r="J5005" s="1323"/>
      <c r="K5005" s="1323"/>
      <c r="L5005" s="1323"/>
      <c r="M5005" s="1323"/>
      <c r="N5005" s="1323"/>
      <c r="O5005" s="1323"/>
      <c r="P5005" s="1323"/>
      <c r="Q5005" s="1323"/>
      <c r="R5005" s="1304"/>
      <c r="S5005" s="1304"/>
      <c r="T5005" s="1304"/>
    </row>
    <row r="5006" spans="1:20">
      <c r="A5006" s="1303"/>
      <c r="B5006" s="1322" t="s">
        <v>11529</v>
      </c>
      <c r="C5006" s="1323" t="s">
        <v>11530</v>
      </c>
      <c r="D5006" s="1324">
        <f t="shared" si="498"/>
        <v>34578</v>
      </c>
      <c r="E5006" s="1323">
        <f t="shared" si="494"/>
        <v>3.5874000000000001</v>
      </c>
      <c r="F5006" s="1323">
        <f t="shared" si="499"/>
        <v>3.758173804044147</v>
      </c>
      <c r="G5006" s="1323">
        <f t="shared" si="495"/>
        <v>1994</v>
      </c>
      <c r="H5006" s="1323">
        <f t="shared" si="496"/>
        <v>9</v>
      </c>
      <c r="I5006" s="1323">
        <f t="shared" si="497"/>
        <v>1</v>
      </c>
      <c r="J5006" s="1323"/>
      <c r="K5006" s="1323"/>
      <c r="L5006" s="1323"/>
      <c r="M5006" s="1323"/>
      <c r="N5006" s="1323"/>
      <c r="O5006" s="1323"/>
      <c r="P5006" s="1323"/>
      <c r="Q5006" s="1323"/>
      <c r="R5006" s="1304"/>
      <c r="S5006" s="1304"/>
      <c r="T5006" s="1304"/>
    </row>
    <row r="5007" spans="1:20">
      <c r="A5007" s="1303"/>
      <c r="B5007" s="1322" t="s">
        <v>11531</v>
      </c>
      <c r="C5007" s="1323" t="s">
        <v>11310</v>
      </c>
      <c r="D5007" s="1324">
        <f t="shared" si="498"/>
        <v>34577</v>
      </c>
      <c r="E5007" s="1323">
        <f t="shared" si="494"/>
        <v>3.5861999999999998</v>
      </c>
      <c r="F5007" s="1323">
        <f t="shared" si="499"/>
        <v>3.7574531965817886</v>
      </c>
      <c r="G5007" s="1323">
        <f t="shared" si="495"/>
        <v>1994</v>
      </c>
      <c r="H5007" s="1323">
        <f t="shared" si="496"/>
        <v>8</v>
      </c>
      <c r="I5007" s="1323">
        <f t="shared" si="497"/>
        <v>31</v>
      </c>
      <c r="J5007" s="1323"/>
      <c r="K5007" s="1323"/>
      <c r="L5007" s="1323"/>
      <c r="M5007" s="1323"/>
      <c r="N5007" s="1323"/>
      <c r="O5007" s="1323"/>
      <c r="P5007" s="1323"/>
      <c r="Q5007" s="1323"/>
      <c r="R5007" s="1304"/>
      <c r="S5007" s="1304"/>
      <c r="T5007" s="1304"/>
    </row>
    <row r="5008" spans="1:20">
      <c r="A5008" s="1303"/>
      <c r="B5008" s="1322" t="s">
        <v>11532</v>
      </c>
      <c r="C5008" s="1323" t="s">
        <v>11533</v>
      </c>
      <c r="D5008" s="1324">
        <f t="shared" si="498"/>
        <v>34576</v>
      </c>
      <c r="E5008" s="1323">
        <f t="shared" si="494"/>
        <v>3.5836000000000001</v>
      </c>
      <c r="F5008" s="1323">
        <f t="shared" si="499"/>
        <v>3.7567327272916229</v>
      </c>
      <c r="G5008" s="1323">
        <f t="shared" si="495"/>
        <v>1994</v>
      </c>
      <c r="H5008" s="1323">
        <f t="shared" si="496"/>
        <v>8</v>
      </c>
      <c r="I5008" s="1323">
        <f t="shared" si="497"/>
        <v>30</v>
      </c>
      <c r="J5008" s="1323"/>
      <c r="K5008" s="1323"/>
      <c r="L5008" s="1323"/>
      <c r="M5008" s="1323"/>
      <c r="N5008" s="1323"/>
      <c r="O5008" s="1323"/>
      <c r="P5008" s="1323"/>
      <c r="Q5008" s="1323"/>
      <c r="R5008" s="1304"/>
      <c r="S5008" s="1304"/>
      <c r="T5008" s="1304"/>
    </row>
    <row r="5009" spans="1:20">
      <c r="A5009" s="1303"/>
      <c r="B5009" s="1322" t="s">
        <v>11534</v>
      </c>
      <c r="C5009" s="1323" t="s">
        <v>11530</v>
      </c>
      <c r="D5009" s="1324">
        <f t="shared" si="498"/>
        <v>34575</v>
      </c>
      <c r="E5009" s="1323">
        <f t="shared" si="494"/>
        <v>3.5886999999999998</v>
      </c>
      <c r="F5009" s="1323">
        <f t="shared" si="499"/>
        <v>3.7560123961471561</v>
      </c>
      <c r="G5009" s="1323">
        <f t="shared" si="495"/>
        <v>1994</v>
      </c>
      <c r="H5009" s="1323">
        <f t="shared" si="496"/>
        <v>8</v>
      </c>
      <c r="I5009" s="1323">
        <f t="shared" si="497"/>
        <v>29</v>
      </c>
      <c r="J5009" s="1323"/>
      <c r="K5009" s="1323"/>
      <c r="L5009" s="1323"/>
      <c r="M5009" s="1323"/>
      <c r="N5009" s="1323"/>
      <c r="O5009" s="1323"/>
      <c r="P5009" s="1323"/>
      <c r="Q5009" s="1323"/>
      <c r="R5009" s="1304"/>
      <c r="S5009" s="1304"/>
      <c r="T5009" s="1304"/>
    </row>
    <row r="5010" spans="1:20">
      <c r="A5010" s="1303"/>
      <c r="B5010" s="1322" t="s">
        <v>11535</v>
      </c>
      <c r="C5010" s="1323" t="s">
        <v>11307</v>
      </c>
      <c r="D5010" s="1324">
        <f t="shared" si="498"/>
        <v>34572</v>
      </c>
      <c r="E5010" s="1323">
        <f t="shared" si="494"/>
        <v>3.5785</v>
      </c>
      <c r="F5010" s="1323">
        <f t="shared" si="499"/>
        <v>3.7552922031218996</v>
      </c>
      <c r="G5010" s="1323">
        <f t="shared" si="495"/>
        <v>1994</v>
      </c>
      <c r="H5010" s="1323">
        <f t="shared" si="496"/>
        <v>8</v>
      </c>
      <c r="I5010" s="1323">
        <f t="shared" si="497"/>
        <v>26</v>
      </c>
      <c r="J5010" s="1323"/>
      <c r="K5010" s="1323"/>
      <c r="L5010" s="1323"/>
      <c r="M5010" s="1323"/>
      <c r="N5010" s="1323"/>
      <c r="O5010" s="1323"/>
      <c r="P5010" s="1323"/>
      <c r="Q5010" s="1323"/>
      <c r="R5010" s="1304"/>
      <c r="S5010" s="1304"/>
      <c r="T5010" s="1304"/>
    </row>
    <row r="5011" spans="1:20">
      <c r="A5011" s="1303"/>
      <c r="B5011" s="1322" t="s">
        <v>11536</v>
      </c>
      <c r="C5011" s="1323" t="s">
        <v>11504</v>
      </c>
      <c r="D5011" s="1324">
        <f t="shared" si="498"/>
        <v>34571</v>
      </c>
      <c r="E5011" s="1323">
        <f t="shared" si="494"/>
        <v>3.5796999999999999</v>
      </c>
      <c r="F5011" s="1323">
        <f t="shared" si="499"/>
        <v>3.7545721481893701</v>
      </c>
      <c r="G5011" s="1323">
        <f t="shared" si="495"/>
        <v>1994</v>
      </c>
      <c r="H5011" s="1323">
        <f t="shared" si="496"/>
        <v>8</v>
      </c>
      <c r="I5011" s="1323">
        <f t="shared" si="497"/>
        <v>25</v>
      </c>
      <c r="J5011" s="1323"/>
      <c r="K5011" s="1323"/>
      <c r="L5011" s="1323"/>
      <c r="M5011" s="1323"/>
      <c r="N5011" s="1323"/>
      <c r="O5011" s="1323"/>
      <c r="P5011" s="1323"/>
      <c r="Q5011" s="1323"/>
      <c r="R5011" s="1304"/>
      <c r="S5011" s="1304"/>
      <c r="T5011" s="1304"/>
    </row>
    <row r="5012" spans="1:20">
      <c r="A5012" s="1303"/>
      <c r="B5012" s="1322" t="s">
        <v>11537</v>
      </c>
      <c r="C5012" s="1323" t="s">
        <v>11538</v>
      </c>
      <c r="D5012" s="1324">
        <f t="shared" si="498"/>
        <v>34570</v>
      </c>
      <c r="E5012" s="1323">
        <f t="shared" si="494"/>
        <v>3.5796999999999999</v>
      </c>
      <c r="F5012" s="1323">
        <f t="shared" si="499"/>
        <v>3.7538522313230889</v>
      </c>
      <c r="G5012" s="1323">
        <f t="shared" si="495"/>
        <v>1994</v>
      </c>
      <c r="H5012" s="1323">
        <f t="shared" si="496"/>
        <v>8</v>
      </c>
      <c r="I5012" s="1323">
        <f t="shared" si="497"/>
        <v>24</v>
      </c>
      <c r="J5012" s="1323"/>
      <c r="K5012" s="1323"/>
      <c r="L5012" s="1323"/>
      <c r="M5012" s="1323"/>
      <c r="N5012" s="1323"/>
      <c r="O5012" s="1323"/>
      <c r="P5012" s="1323"/>
      <c r="Q5012" s="1323"/>
      <c r="R5012" s="1304"/>
      <c r="S5012" s="1304"/>
      <c r="T5012" s="1304"/>
    </row>
    <row r="5013" spans="1:20">
      <c r="A5013" s="1303"/>
      <c r="B5013" s="1322" t="s">
        <v>11539</v>
      </c>
      <c r="C5013" s="1323" t="s">
        <v>11538</v>
      </c>
      <c r="D5013" s="1324">
        <f t="shared" si="498"/>
        <v>34569</v>
      </c>
      <c r="E5013" s="1323">
        <f t="shared" si="494"/>
        <v>3.5771999999999999</v>
      </c>
      <c r="F5013" s="1323">
        <f t="shared" si="499"/>
        <v>3.7531324524965823</v>
      </c>
      <c r="G5013" s="1323">
        <f t="shared" si="495"/>
        <v>1994</v>
      </c>
      <c r="H5013" s="1323">
        <f t="shared" si="496"/>
        <v>8</v>
      </c>
      <c r="I5013" s="1323">
        <f t="shared" si="497"/>
        <v>23</v>
      </c>
      <c r="J5013" s="1323"/>
      <c r="K5013" s="1323"/>
      <c r="L5013" s="1323"/>
      <c r="M5013" s="1323"/>
      <c r="N5013" s="1323"/>
      <c r="O5013" s="1323"/>
      <c r="P5013" s="1323"/>
      <c r="Q5013" s="1323"/>
      <c r="R5013" s="1304"/>
      <c r="S5013" s="1304"/>
      <c r="T5013" s="1304"/>
    </row>
    <row r="5014" spans="1:20">
      <c r="A5014" s="1303"/>
      <c r="B5014" s="1322" t="s">
        <v>11540</v>
      </c>
      <c r="C5014" s="1323" t="s">
        <v>11352</v>
      </c>
      <c r="D5014" s="1324">
        <f t="shared" si="498"/>
        <v>34568</v>
      </c>
      <c r="E5014" s="1323">
        <f t="shared" ref="E5014:E5077" si="500">VALUE(C5015)</f>
        <v>3.5746000000000002</v>
      </c>
      <c r="F5014" s="1323">
        <f t="shared" si="499"/>
        <v>3.7524128116833828</v>
      </c>
      <c r="G5014" s="1323">
        <f t="shared" ref="G5014:G5077" si="501">YEAR(B5015)</f>
        <v>1994</v>
      </c>
      <c r="H5014" s="1323">
        <f t="shared" ref="H5014:H5077" si="502">MONTH(B5015)</f>
        <v>8</v>
      </c>
      <c r="I5014" s="1323">
        <f t="shared" ref="I5014:I5077" si="503">DAY(B5015)</f>
        <v>22</v>
      </c>
      <c r="J5014" s="1323"/>
      <c r="K5014" s="1323"/>
      <c r="L5014" s="1323"/>
      <c r="M5014" s="1323"/>
      <c r="N5014" s="1323"/>
      <c r="O5014" s="1323"/>
      <c r="P5014" s="1323"/>
      <c r="Q5014" s="1323"/>
      <c r="R5014" s="1304"/>
      <c r="S5014" s="1304"/>
      <c r="T5014" s="1304"/>
    </row>
    <row r="5015" spans="1:20">
      <c r="A5015" s="1303"/>
      <c r="B5015" s="1322" t="s">
        <v>11541</v>
      </c>
      <c r="C5015" s="1323" t="s">
        <v>11493</v>
      </c>
      <c r="D5015" s="1324">
        <f t="shared" si="498"/>
        <v>34565</v>
      </c>
      <c r="E5015" s="1323">
        <f t="shared" si="500"/>
        <v>3.5720999999999998</v>
      </c>
      <c r="F5015" s="1323">
        <f t="shared" si="499"/>
        <v>3.7516933088570266</v>
      </c>
      <c r="G5015" s="1323">
        <f t="shared" si="501"/>
        <v>1994</v>
      </c>
      <c r="H5015" s="1323">
        <f t="shared" si="502"/>
        <v>8</v>
      </c>
      <c r="I5015" s="1323">
        <f t="shared" si="503"/>
        <v>19</v>
      </c>
      <c r="J5015" s="1323"/>
      <c r="K5015" s="1323"/>
      <c r="L5015" s="1323"/>
      <c r="M5015" s="1323"/>
      <c r="N5015" s="1323"/>
      <c r="O5015" s="1323"/>
      <c r="P5015" s="1323"/>
      <c r="Q5015" s="1323"/>
      <c r="R5015" s="1304"/>
      <c r="S5015" s="1304"/>
      <c r="T5015" s="1304"/>
    </row>
    <row r="5016" spans="1:20">
      <c r="A5016" s="1303"/>
      <c r="B5016" s="1322" t="s">
        <v>11542</v>
      </c>
      <c r="C5016" s="1323" t="s">
        <v>11329</v>
      </c>
      <c r="D5016" s="1324">
        <f t="shared" si="498"/>
        <v>34564</v>
      </c>
      <c r="E5016" s="1323">
        <f t="shared" si="500"/>
        <v>3.5771999999999999</v>
      </c>
      <c r="F5016" s="1323">
        <f t="shared" si="499"/>
        <v>3.7509739439910557</v>
      </c>
      <c r="G5016" s="1323">
        <f t="shared" si="501"/>
        <v>1994</v>
      </c>
      <c r="H5016" s="1323">
        <f t="shared" si="502"/>
        <v>8</v>
      </c>
      <c r="I5016" s="1323">
        <f t="shared" si="503"/>
        <v>18</v>
      </c>
      <c r="J5016" s="1323"/>
      <c r="K5016" s="1323"/>
      <c r="L5016" s="1323"/>
      <c r="M5016" s="1323"/>
      <c r="N5016" s="1323"/>
      <c r="O5016" s="1323"/>
      <c r="P5016" s="1323"/>
      <c r="Q5016" s="1323"/>
      <c r="R5016" s="1304"/>
      <c r="S5016" s="1304"/>
      <c r="T5016" s="1304"/>
    </row>
    <row r="5017" spans="1:20">
      <c r="A5017" s="1303"/>
      <c r="B5017" s="1322" t="s">
        <v>11543</v>
      </c>
      <c r="C5017" s="1323" t="s">
        <v>11352</v>
      </c>
      <c r="D5017" s="1324">
        <f t="shared" si="498"/>
        <v>34563</v>
      </c>
      <c r="E5017" s="1323">
        <f t="shared" si="500"/>
        <v>3.5849000000000002</v>
      </c>
      <c r="F5017" s="1323">
        <f t="shared" si="499"/>
        <v>3.750254717059017</v>
      </c>
      <c r="G5017" s="1323">
        <f t="shared" si="501"/>
        <v>1994</v>
      </c>
      <c r="H5017" s="1323">
        <f t="shared" si="502"/>
        <v>8</v>
      </c>
      <c r="I5017" s="1323">
        <f t="shared" si="503"/>
        <v>17</v>
      </c>
      <c r="J5017" s="1323"/>
      <c r="K5017" s="1323"/>
      <c r="L5017" s="1323"/>
      <c r="M5017" s="1323"/>
      <c r="N5017" s="1323"/>
      <c r="O5017" s="1323"/>
      <c r="P5017" s="1323"/>
      <c r="Q5017" s="1323"/>
      <c r="R5017" s="1304"/>
      <c r="S5017" s="1304"/>
      <c r="T5017" s="1304"/>
    </row>
    <row r="5018" spans="1:20">
      <c r="A5018" s="1303"/>
      <c r="B5018" s="1322" t="s">
        <v>11544</v>
      </c>
      <c r="C5018" s="1323" t="s">
        <v>11312</v>
      </c>
      <c r="D5018" s="1324">
        <f t="shared" si="498"/>
        <v>34562</v>
      </c>
      <c r="E5018" s="1323">
        <f t="shared" si="500"/>
        <v>3.5823</v>
      </c>
      <c r="F5018" s="1323">
        <f t="shared" si="499"/>
        <v>3.7495356280344625</v>
      </c>
      <c r="G5018" s="1323">
        <f t="shared" si="501"/>
        <v>1994</v>
      </c>
      <c r="H5018" s="1323">
        <f t="shared" si="502"/>
        <v>8</v>
      </c>
      <c r="I5018" s="1323">
        <f t="shared" si="503"/>
        <v>16</v>
      </c>
      <c r="J5018" s="1323"/>
      <c r="K5018" s="1323"/>
      <c r="L5018" s="1323"/>
      <c r="M5018" s="1323"/>
      <c r="N5018" s="1323"/>
      <c r="O5018" s="1323"/>
      <c r="P5018" s="1323"/>
      <c r="Q5018" s="1323"/>
      <c r="R5018" s="1304"/>
      <c r="S5018" s="1304"/>
      <c r="T5018" s="1304"/>
    </row>
    <row r="5019" spans="1:20">
      <c r="A5019" s="1303"/>
      <c r="B5019" s="1322" t="s">
        <v>11545</v>
      </c>
      <c r="C5019" s="1323" t="s">
        <v>11295</v>
      </c>
      <c r="D5019" s="1324">
        <f t="shared" si="498"/>
        <v>34561</v>
      </c>
      <c r="E5019" s="1323">
        <f t="shared" si="500"/>
        <v>3.5855000000000001</v>
      </c>
      <c r="F5019" s="1323">
        <f t="shared" si="499"/>
        <v>3.7488166768909492</v>
      </c>
      <c r="G5019" s="1323">
        <f t="shared" si="501"/>
        <v>1994</v>
      </c>
      <c r="H5019" s="1323">
        <f t="shared" si="502"/>
        <v>8</v>
      </c>
      <c r="I5019" s="1323">
        <f t="shared" si="503"/>
        <v>15</v>
      </c>
      <c r="J5019" s="1323"/>
      <c r="K5019" s="1323"/>
      <c r="L5019" s="1323"/>
      <c r="M5019" s="1323"/>
      <c r="N5019" s="1323"/>
      <c r="O5019" s="1323"/>
      <c r="P5019" s="1323"/>
      <c r="Q5019" s="1323"/>
      <c r="R5019" s="1304"/>
      <c r="S5019" s="1304"/>
      <c r="T5019" s="1304"/>
    </row>
    <row r="5020" spans="1:20">
      <c r="A5020" s="1303"/>
      <c r="B5020" s="1322" t="s">
        <v>11546</v>
      </c>
      <c r="C5020" s="1323" t="s">
        <v>11547</v>
      </c>
      <c r="D5020" s="1324">
        <f t="shared" si="498"/>
        <v>34558</v>
      </c>
      <c r="E5020" s="1323">
        <f t="shared" si="500"/>
        <v>3.5874000000000001</v>
      </c>
      <c r="F5020" s="1323">
        <f t="shared" si="499"/>
        <v>3.7480978636020392</v>
      </c>
      <c r="G5020" s="1323">
        <f t="shared" si="501"/>
        <v>1994</v>
      </c>
      <c r="H5020" s="1323">
        <f t="shared" si="502"/>
        <v>8</v>
      </c>
      <c r="I5020" s="1323">
        <f t="shared" si="503"/>
        <v>12</v>
      </c>
      <c r="J5020" s="1323"/>
      <c r="K5020" s="1323"/>
      <c r="L5020" s="1323"/>
      <c r="M5020" s="1323"/>
      <c r="N5020" s="1323"/>
      <c r="O5020" s="1323"/>
      <c r="P5020" s="1323"/>
      <c r="Q5020" s="1323"/>
      <c r="R5020" s="1304"/>
      <c r="S5020" s="1304"/>
      <c r="T5020" s="1304"/>
    </row>
    <row r="5021" spans="1:20">
      <c r="A5021" s="1303"/>
      <c r="B5021" s="1322" t="s">
        <v>11548</v>
      </c>
      <c r="C5021" s="1323" t="s">
        <v>11310</v>
      </c>
      <c r="D5021" s="1324">
        <f t="shared" si="498"/>
        <v>34557</v>
      </c>
      <c r="E5021" s="1323">
        <f t="shared" si="500"/>
        <v>3.6160000000000001</v>
      </c>
      <c r="F5021" s="1323">
        <f t="shared" si="499"/>
        <v>3.7473791881412999</v>
      </c>
      <c r="G5021" s="1323">
        <f t="shared" si="501"/>
        <v>1994</v>
      </c>
      <c r="H5021" s="1323">
        <f t="shared" si="502"/>
        <v>8</v>
      </c>
      <c r="I5021" s="1323">
        <f t="shared" si="503"/>
        <v>11</v>
      </c>
      <c r="J5021" s="1323"/>
      <c r="K5021" s="1323"/>
      <c r="L5021" s="1323"/>
      <c r="M5021" s="1323"/>
      <c r="N5021" s="1323"/>
      <c r="O5021" s="1323"/>
      <c r="P5021" s="1323"/>
      <c r="Q5021" s="1323"/>
      <c r="R5021" s="1304"/>
      <c r="S5021" s="1304"/>
      <c r="T5021" s="1304"/>
    </row>
    <row r="5022" spans="1:20">
      <c r="A5022" s="1303"/>
      <c r="B5022" s="1322" t="s">
        <v>11549</v>
      </c>
      <c r="C5022" s="1323" t="s">
        <v>11291</v>
      </c>
      <c r="D5022" s="1324">
        <f t="shared" si="498"/>
        <v>34556</v>
      </c>
      <c r="E5022" s="1323">
        <f t="shared" si="500"/>
        <v>3.6095000000000002</v>
      </c>
      <c r="F5022" s="1323">
        <f t="shared" si="499"/>
        <v>3.746660650482303</v>
      </c>
      <c r="G5022" s="1323">
        <f t="shared" si="501"/>
        <v>1994</v>
      </c>
      <c r="H5022" s="1323">
        <f t="shared" si="502"/>
        <v>8</v>
      </c>
      <c r="I5022" s="1323">
        <f t="shared" si="503"/>
        <v>10</v>
      </c>
      <c r="J5022" s="1323"/>
      <c r="K5022" s="1323"/>
      <c r="L5022" s="1323"/>
      <c r="M5022" s="1323"/>
      <c r="N5022" s="1323"/>
      <c r="O5022" s="1323"/>
      <c r="P5022" s="1323"/>
      <c r="Q5022" s="1323"/>
      <c r="R5022" s="1304"/>
      <c r="S5022" s="1304"/>
      <c r="T5022" s="1304"/>
    </row>
    <row r="5023" spans="1:20">
      <c r="A5023" s="1303"/>
      <c r="B5023" s="1322" t="s">
        <v>11550</v>
      </c>
      <c r="C5023" s="1323" t="s">
        <v>11190</v>
      </c>
      <c r="D5023" s="1324">
        <f t="shared" si="498"/>
        <v>34555</v>
      </c>
      <c r="E5023" s="1323">
        <f t="shared" si="500"/>
        <v>3.6095000000000002</v>
      </c>
      <c r="F5023" s="1323">
        <f t="shared" si="499"/>
        <v>3.7459422505986266</v>
      </c>
      <c r="G5023" s="1323">
        <f t="shared" si="501"/>
        <v>1994</v>
      </c>
      <c r="H5023" s="1323">
        <f t="shared" si="502"/>
        <v>8</v>
      </c>
      <c r="I5023" s="1323">
        <f t="shared" si="503"/>
        <v>9</v>
      </c>
      <c r="J5023" s="1323"/>
      <c r="K5023" s="1323"/>
      <c r="L5023" s="1323"/>
      <c r="M5023" s="1323"/>
      <c r="N5023" s="1323"/>
      <c r="O5023" s="1323"/>
      <c r="P5023" s="1323"/>
      <c r="Q5023" s="1323"/>
      <c r="R5023" s="1304"/>
      <c r="S5023" s="1304"/>
      <c r="T5023" s="1304"/>
    </row>
    <row r="5024" spans="1:20">
      <c r="A5024" s="1303"/>
      <c r="B5024" s="1322" t="s">
        <v>11551</v>
      </c>
      <c r="C5024" s="1323" t="s">
        <v>11190</v>
      </c>
      <c r="D5024" s="1324">
        <f t="shared" si="498"/>
        <v>34554</v>
      </c>
      <c r="E5024" s="1323">
        <f t="shared" si="500"/>
        <v>3.6120999999999999</v>
      </c>
      <c r="F5024" s="1323">
        <f t="shared" si="499"/>
        <v>3.7452239884638527</v>
      </c>
      <c r="G5024" s="1323">
        <f t="shared" si="501"/>
        <v>1994</v>
      </c>
      <c r="H5024" s="1323">
        <f t="shared" si="502"/>
        <v>8</v>
      </c>
      <c r="I5024" s="1323">
        <f t="shared" si="503"/>
        <v>8</v>
      </c>
      <c r="J5024" s="1323"/>
      <c r="K5024" s="1323"/>
      <c r="L5024" s="1323"/>
      <c r="M5024" s="1323"/>
      <c r="N5024" s="1323"/>
      <c r="O5024" s="1323"/>
      <c r="P5024" s="1323"/>
      <c r="Q5024" s="1323"/>
      <c r="R5024" s="1304"/>
      <c r="S5024" s="1304"/>
      <c r="T5024" s="1304"/>
    </row>
    <row r="5025" spans="1:20">
      <c r="A5025" s="1303"/>
      <c r="B5025" s="1322" t="s">
        <v>11552</v>
      </c>
      <c r="C5025" s="1323" t="s">
        <v>11321</v>
      </c>
      <c r="D5025" s="1324">
        <f t="shared" si="498"/>
        <v>34551</v>
      </c>
      <c r="E5025" s="1323">
        <f t="shared" si="500"/>
        <v>3.6284000000000001</v>
      </c>
      <c r="F5025" s="1323">
        <f t="shared" si="499"/>
        <v>3.7445058640515687</v>
      </c>
      <c r="G5025" s="1323">
        <f t="shared" si="501"/>
        <v>1994</v>
      </c>
      <c r="H5025" s="1323">
        <f t="shared" si="502"/>
        <v>8</v>
      </c>
      <c r="I5025" s="1323">
        <f t="shared" si="503"/>
        <v>5</v>
      </c>
      <c r="J5025" s="1323"/>
      <c r="K5025" s="1323"/>
      <c r="L5025" s="1323"/>
      <c r="M5025" s="1323"/>
      <c r="N5025" s="1323"/>
      <c r="O5025" s="1323"/>
      <c r="P5025" s="1323"/>
      <c r="Q5025" s="1323"/>
      <c r="R5025" s="1304"/>
      <c r="S5025" s="1304"/>
      <c r="T5025" s="1304"/>
    </row>
    <row r="5026" spans="1:20">
      <c r="A5026" s="1303"/>
      <c r="B5026" s="1322" t="s">
        <v>11553</v>
      </c>
      <c r="C5026" s="1323" t="s">
        <v>11554</v>
      </c>
      <c r="D5026" s="1324">
        <f t="shared" si="498"/>
        <v>34550</v>
      </c>
      <c r="E5026" s="1323">
        <f t="shared" si="500"/>
        <v>3.6153</v>
      </c>
      <c r="F5026" s="1323">
        <f t="shared" si="499"/>
        <v>3.7437878773353672</v>
      </c>
      <c r="G5026" s="1323">
        <f t="shared" si="501"/>
        <v>1994</v>
      </c>
      <c r="H5026" s="1323">
        <f t="shared" si="502"/>
        <v>8</v>
      </c>
      <c r="I5026" s="1323">
        <f t="shared" si="503"/>
        <v>4</v>
      </c>
      <c r="J5026" s="1323"/>
      <c r="K5026" s="1323"/>
      <c r="L5026" s="1323"/>
      <c r="M5026" s="1323"/>
      <c r="N5026" s="1323"/>
      <c r="O5026" s="1323"/>
      <c r="P5026" s="1323"/>
      <c r="Q5026" s="1323"/>
      <c r="R5026" s="1304"/>
      <c r="S5026" s="1304"/>
      <c r="T5026" s="1304"/>
    </row>
    <row r="5027" spans="1:20">
      <c r="A5027" s="1303"/>
      <c r="B5027" s="1322" t="s">
        <v>11555</v>
      </c>
      <c r="C5027" s="1323" t="s">
        <v>11556</v>
      </c>
      <c r="D5027" s="1324">
        <f t="shared" si="498"/>
        <v>34549</v>
      </c>
      <c r="E5027" s="1323">
        <f t="shared" si="500"/>
        <v>3.6503000000000001</v>
      </c>
      <c r="F5027" s="1323">
        <f t="shared" si="499"/>
        <v>3.7430700282888458</v>
      </c>
      <c r="G5027" s="1323">
        <f t="shared" si="501"/>
        <v>1994</v>
      </c>
      <c r="H5027" s="1323">
        <f t="shared" si="502"/>
        <v>8</v>
      </c>
      <c r="I5027" s="1323">
        <f t="shared" si="503"/>
        <v>3</v>
      </c>
      <c r="J5027" s="1323"/>
      <c r="K5027" s="1323"/>
      <c r="L5027" s="1323"/>
      <c r="M5027" s="1323"/>
      <c r="N5027" s="1323"/>
      <c r="O5027" s="1323"/>
      <c r="P5027" s="1323"/>
      <c r="Q5027" s="1323"/>
      <c r="R5027" s="1304"/>
      <c r="S5027" s="1304"/>
      <c r="T5027" s="1304"/>
    </row>
    <row r="5028" spans="1:20">
      <c r="A5028" s="1303"/>
      <c r="B5028" s="1322" t="s">
        <v>11557</v>
      </c>
      <c r="C5028" s="1323" t="s">
        <v>11036</v>
      </c>
      <c r="D5028" s="1324">
        <f t="shared" si="498"/>
        <v>34548</v>
      </c>
      <c r="E5028" s="1323">
        <f t="shared" si="500"/>
        <v>3.6556000000000002</v>
      </c>
      <c r="F5028" s="1323">
        <f t="shared" si="499"/>
        <v>3.7423523168856074</v>
      </c>
      <c r="G5028" s="1323">
        <f t="shared" si="501"/>
        <v>1994</v>
      </c>
      <c r="H5028" s="1323">
        <f t="shared" si="502"/>
        <v>8</v>
      </c>
      <c r="I5028" s="1323">
        <f t="shared" si="503"/>
        <v>2</v>
      </c>
      <c r="J5028" s="1323"/>
      <c r="K5028" s="1323"/>
      <c r="L5028" s="1323"/>
      <c r="M5028" s="1323"/>
      <c r="N5028" s="1323"/>
      <c r="O5028" s="1323"/>
      <c r="P5028" s="1323"/>
      <c r="Q5028" s="1323"/>
      <c r="R5028" s="1304"/>
      <c r="S5028" s="1304"/>
      <c r="T5028" s="1304"/>
    </row>
    <row r="5029" spans="1:20">
      <c r="A5029" s="1303"/>
      <c r="B5029" s="1322" t="s">
        <v>11558</v>
      </c>
      <c r="C5029" s="1323" t="s">
        <v>11132</v>
      </c>
      <c r="D5029" s="1324">
        <f t="shared" si="498"/>
        <v>34547</v>
      </c>
      <c r="E5029" s="1323">
        <f t="shared" si="500"/>
        <v>3.6556000000000002</v>
      </c>
      <c r="F5029" s="1323">
        <f t="shared" si="499"/>
        <v>3.7416347430992594</v>
      </c>
      <c r="G5029" s="1323">
        <f t="shared" si="501"/>
        <v>1994</v>
      </c>
      <c r="H5029" s="1323">
        <f t="shared" si="502"/>
        <v>8</v>
      </c>
      <c r="I5029" s="1323">
        <f t="shared" si="503"/>
        <v>1</v>
      </c>
      <c r="J5029" s="1323"/>
      <c r="K5029" s="1323"/>
      <c r="L5029" s="1323"/>
      <c r="M5029" s="1323"/>
      <c r="N5029" s="1323"/>
      <c r="O5029" s="1323"/>
      <c r="P5029" s="1323"/>
      <c r="Q5029" s="1323"/>
      <c r="R5029" s="1304"/>
      <c r="S5029" s="1304"/>
      <c r="T5029" s="1304"/>
    </row>
    <row r="5030" spans="1:20">
      <c r="A5030" s="1303"/>
      <c r="B5030" s="1322" t="s">
        <v>11559</v>
      </c>
      <c r="C5030" s="1323" t="s">
        <v>11132</v>
      </c>
      <c r="D5030" s="1324">
        <f t="shared" si="498"/>
        <v>34544</v>
      </c>
      <c r="E5030" s="1323">
        <f t="shared" si="500"/>
        <v>3.6703999999999999</v>
      </c>
      <c r="F5030" s="1323">
        <f t="shared" si="499"/>
        <v>3.7409173069034147</v>
      </c>
      <c r="G5030" s="1323">
        <f t="shared" si="501"/>
        <v>1994</v>
      </c>
      <c r="H5030" s="1323">
        <f t="shared" si="502"/>
        <v>7</v>
      </c>
      <c r="I5030" s="1323">
        <f t="shared" si="503"/>
        <v>29</v>
      </c>
      <c r="J5030" s="1323"/>
      <c r="K5030" s="1323"/>
      <c r="L5030" s="1323"/>
      <c r="M5030" s="1323"/>
      <c r="N5030" s="1323"/>
      <c r="O5030" s="1323"/>
      <c r="P5030" s="1323"/>
      <c r="Q5030" s="1323"/>
      <c r="R5030" s="1304"/>
      <c r="S5030" s="1304"/>
      <c r="T5030" s="1304"/>
    </row>
    <row r="5031" spans="1:20">
      <c r="A5031" s="1303"/>
      <c r="B5031" s="1322" t="s">
        <v>11560</v>
      </c>
      <c r="C5031" s="1323" t="s">
        <v>11080</v>
      </c>
      <c r="D5031" s="1324">
        <f t="shared" si="498"/>
        <v>34543</v>
      </c>
      <c r="E5031" s="1323">
        <f t="shared" si="500"/>
        <v>3.6669999999999998</v>
      </c>
      <c r="F5031" s="1323">
        <f t="shared" si="499"/>
        <v>3.7402000082716911</v>
      </c>
      <c r="G5031" s="1323">
        <f t="shared" si="501"/>
        <v>1994</v>
      </c>
      <c r="H5031" s="1323">
        <f t="shared" si="502"/>
        <v>7</v>
      </c>
      <c r="I5031" s="1323">
        <f t="shared" si="503"/>
        <v>28</v>
      </c>
      <c r="J5031" s="1323"/>
      <c r="K5031" s="1323"/>
      <c r="L5031" s="1323"/>
      <c r="M5031" s="1323"/>
      <c r="N5031" s="1323"/>
      <c r="O5031" s="1323"/>
      <c r="P5031" s="1323"/>
      <c r="Q5031" s="1323"/>
      <c r="R5031" s="1304"/>
      <c r="S5031" s="1304"/>
      <c r="T5031" s="1304"/>
    </row>
    <row r="5032" spans="1:20">
      <c r="A5032" s="1303"/>
      <c r="B5032" s="1322" t="s">
        <v>11561</v>
      </c>
      <c r="C5032" s="1323" t="s">
        <v>11562</v>
      </c>
      <c r="D5032" s="1324">
        <f t="shared" si="498"/>
        <v>34542</v>
      </c>
      <c r="E5032" s="1323">
        <f t="shared" si="500"/>
        <v>3.6758000000000002</v>
      </c>
      <c r="F5032" s="1323">
        <f t="shared" si="499"/>
        <v>3.7394828471777117</v>
      </c>
      <c r="G5032" s="1323">
        <f t="shared" si="501"/>
        <v>1994</v>
      </c>
      <c r="H5032" s="1323">
        <f t="shared" si="502"/>
        <v>7</v>
      </c>
      <c r="I5032" s="1323">
        <f t="shared" si="503"/>
        <v>27</v>
      </c>
      <c r="J5032" s="1323"/>
      <c r="K5032" s="1323"/>
      <c r="L5032" s="1323"/>
      <c r="M5032" s="1323"/>
      <c r="N5032" s="1323"/>
      <c r="O5032" s="1323"/>
      <c r="P5032" s="1323"/>
      <c r="Q5032" s="1323"/>
      <c r="R5032" s="1304"/>
      <c r="S5032" s="1304"/>
      <c r="T5032" s="1304"/>
    </row>
    <row r="5033" spans="1:20">
      <c r="A5033" s="1303"/>
      <c r="B5033" s="1322" t="s">
        <v>11563</v>
      </c>
      <c r="C5033" s="1323" t="s">
        <v>11157</v>
      </c>
      <c r="D5033" s="1324">
        <f t="shared" si="498"/>
        <v>34541</v>
      </c>
      <c r="E5033" s="1323">
        <f t="shared" si="500"/>
        <v>3.6974999999999998</v>
      </c>
      <c r="F5033" s="1323">
        <f t="shared" si="499"/>
        <v>3.7387658235951045</v>
      </c>
      <c r="G5033" s="1323">
        <f t="shared" si="501"/>
        <v>1994</v>
      </c>
      <c r="H5033" s="1323">
        <f t="shared" si="502"/>
        <v>7</v>
      </c>
      <c r="I5033" s="1323">
        <f t="shared" si="503"/>
        <v>26</v>
      </c>
      <c r="J5033" s="1323"/>
      <c r="K5033" s="1323"/>
      <c r="L5033" s="1323"/>
      <c r="M5033" s="1323"/>
      <c r="N5033" s="1323"/>
      <c r="O5033" s="1323"/>
      <c r="P5033" s="1323"/>
      <c r="Q5033" s="1323"/>
      <c r="R5033" s="1304"/>
      <c r="S5033" s="1304"/>
      <c r="T5033" s="1304"/>
    </row>
    <row r="5034" spans="1:20">
      <c r="A5034" s="1303"/>
      <c r="B5034" s="1322" t="s">
        <v>11564</v>
      </c>
      <c r="C5034" s="1323" t="s">
        <v>11008</v>
      </c>
      <c r="D5034" s="1324">
        <f t="shared" si="498"/>
        <v>34540</v>
      </c>
      <c r="E5034" s="1323">
        <f t="shared" si="500"/>
        <v>3.6928000000000001</v>
      </c>
      <c r="F5034" s="1323">
        <f t="shared" si="499"/>
        <v>3.7380489374975019</v>
      </c>
      <c r="G5034" s="1323">
        <f t="shared" si="501"/>
        <v>1994</v>
      </c>
      <c r="H5034" s="1323">
        <f t="shared" si="502"/>
        <v>7</v>
      </c>
      <c r="I5034" s="1323">
        <f t="shared" si="503"/>
        <v>25</v>
      </c>
      <c r="J5034" s="1323"/>
      <c r="K5034" s="1323"/>
      <c r="L5034" s="1323"/>
      <c r="M5034" s="1323"/>
      <c r="N5034" s="1323"/>
      <c r="O5034" s="1323"/>
      <c r="P5034" s="1323"/>
      <c r="Q5034" s="1323"/>
      <c r="R5034" s="1304"/>
      <c r="S5034" s="1304"/>
      <c r="T5034" s="1304"/>
    </row>
    <row r="5035" spans="1:20">
      <c r="A5035" s="1303"/>
      <c r="B5035" s="1322" t="s">
        <v>11565</v>
      </c>
      <c r="C5035" s="1323" t="s">
        <v>11566</v>
      </c>
      <c r="D5035" s="1324">
        <f t="shared" si="498"/>
        <v>34537</v>
      </c>
      <c r="E5035" s="1323">
        <f t="shared" si="500"/>
        <v>3.6907000000000001</v>
      </c>
      <c r="F5035" s="1323">
        <f t="shared" si="499"/>
        <v>3.7373321888585425</v>
      </c>
      <c r="G5035" s="1323">
        <f t="shared" si="501"/>
        <v>1994</v>
      </c>
      <c r="H5035" s="1323">
        <f t="shared" si="502"/>
        <v>7</v>
      </c>
      <c r="I5035" s="1323">
        <f t="shared" si="503"/>
        <v>22</v>
      </c>
      <c r="J5035" s="1323"/>
      <c r="K5035" s="1323"/>
      <c r="L5035" s="1323"/>
      <c r="M5035" s="1323"/>
      <c r="N5035" s="1323"/>
      <c r="O5035" s="1323"/>
      <c r="P5035" s="1323"/>
      <c r="Q5035" s="1323"/>
      <c r="R5035" s="1304"/>
      <c r="S5035" s="1304"/>
      <c r="T5035" s="1304"/>
    </row>
    <row r="5036" spans="1:20">
      <c r="A5036" s="1303"/>
      <c r="B5036" s="1322" t="s">
        <v>11567</v>
      </c>
      <c r="C5036" s="1323" t="s">
        <v>11568</v>
      </c>
      <c r="D5036" s="1324">
        <f t="shared" si="498"/>
        <v>34536</v>
      </c>
      <c r="E5036" s="1323">
        <f t="shared" si="500"/>
        <v>3.6743999999999999</v>
      </c>
      <c r="F5036" s="1323">
        <f t="shared" si="499"/>
        <v>3.7366155776518695</v>
      </c>
      <c r="G5036" s="1323">
        <f t="shared" si="501"/>
        <v>1994</v>
      </c>
      <c r="H5036" s="1323">
        <f t="shared" si="502"/>
        <v>7</v>
      </c>
      <c r="I5036" s="1323">
        <f t="shared" si="503"/>
        <v>21</v>
      </c>
      <c r="J5036" s="1323"/>
      <c r="K5036" s="1323"/>
      <c r="L5036" s="1323"/>
      <c r="M5036" s="1323"/>
      <c r="N5036" s="1323"/>
      <c r="O5036" s="1323"/>
      <c r="P5036" s="1323"/>
      <c r="Q5036" s="1323"/>
      <c r="R5036" s="1304"/>
      <c r="S5036" s="1304"/>
      <c r="T5036" s="1304"/>
    </row>
    <row r="5037" spans="1:20">
      <c r="A5037" s="1303"/>
      <c r="B5037" s="1322" t="s">
        <v>11569</v>
      </c>
      <c r="C5037" s="1323" t="s">
        <v>11154</v>
      </c>
      <c r="D5037" s="1324">
        <f t="shared" si="498"/>
        <v>34535</v>
      </c>
      <c r="E5037" s="1323">
        <f t="shared" si="500"/>
        <v>3.6785000000000001</v>
      </c>
      <c r="F5037" s="1323">
        <f t="shared" si="499"/>
        <v>3.7358991038511307</v>
      </c>
      <c r="G5037" s="1323">
        <f t="shared" si="501"/>
        <v>1994</v>
      </c>
      <c r="H5037" s="1323">
        <f t="shared" si="502"/>
        <v>7</v>
      </c>
      <c r="I5037" s="1323">
        <f t="shared" si="503"/>
        <v>20</v>
      </c>
      <c r="J5037" s="1323"/>
      <c r="K5037" s="1323"/>
      <c r="L5037" s="1323"/>
      <c r="M5037" s="1323"/>
      <c r="N5037" s="1323"/>
      <c r="O5037" s="1323"/>
      <c r="P5037" s="1323"/>
      <c r="Q5037" s="1323"/>
      <c r="R5037" s="1304"/>
      <c r="S5037" s="1304"/>
      <c r="T5037" s="1304"/>
    </row>
    <row r="5038" spans="1:20">
      <c r="A5038" s="1303"/>
      <c r="B5038" s="1322" t="s">
        <v>11570</v>
      </c>
      <c r="C5038" s="1323" t="s">
        <v>11268</v>
      </c>
      <c r="D5038" s="1324">
        <f t="shared" si="498"/>
        <v>34534</v>
      </c>
      <c r="E5038" s="1323">
        <f t="shared" si="500"/>
        <v>3.665</v>
      </c>
      <c r="F5038" s="1323">
        <f t="shared" si="499"/>
        <v>3.7351827674299796</v>
      </c>
      <c r="G5038" s="1323">
        <f t="shared" si="501"/>
        <v>1994</v>
      </c>
      <c r="H5038" s="1323">
        <f t="shared" si="502"/>
        <v>7</v>
      </c>
      <c r="I5038" s="1323">
        <f t="shared" si="503"/>
        <v>19</v>
      </c>
      <c r="J5038" s="1323"/>
      <c r="K5038" s="1323"/>
      <c r="L5038" s="1323"/>
      <c r="M5038" s="1323"/>
      <c r="N5038" s="1323"/>
      <c r="O5038" s="1323"/>
      <c r="P5038" s="1323"/>
      <c r="Q5038" s="1323"/>
      <c r="R5038" s="1304"/>
      <c r="S5038" s="1304"/>
      <c r="T5038" s="1304"/>
    </row>
    <row r="5039" spans="1:20">
      <c r="A5039" s="1303"/>
      <c r="B5039" s="1322" t="s">
        <v>11571</v>
      </c>
      <c r="C5039" s="1323" t="s">
        <v>11069</v>
      </c>
      <c r="D5039" s="1324">
        <f t="shared" si="498"/>
        <v>34533</v>
      </c>
      <c r="E5039" s="1323">
        <f t="shared" si="500"/>
        <v>3.6556000000000002</v>
      </c>
      <c r="F5039" s="1323">
        <f t="shared" si="499"/>
        <v>3.7344665683620746</v>
      </c>
      <c r="G5039" s="1323">
        <f t="shared" si="501"/>
        <v>1994</v>
      </c>
      <c r="H5039" s="1323">
        <f t="shared" si="502"/>
        <v>7</v>
      </c>
      <c r="I5039" s="1323">
        <f t="shared" si="503"/>
        <v>18</v>
      </c>
      <c r="J5039" s="1323"/>
      <c r="K5039" s="1323"/>
      <c r="L5039" s="1323"/>
      <c r="M5039" s="1323"/>
      <c r="N5039" s="1323"/>
      <c r="O5039" s="1323"/>
      <c r="P5039" s="1323"/>
      <c r="Q5039" s="1323"/>
      <c r="R5039" s="1304"/>
      <c r="S5039" s="1304"/>
      <c r="T5039" s="1304"/>
    </row>
    <row r="5040" spans="1:20">
      <c r="A5040" s="1303"/>
      <c r="B5040" s="1322" t="s">
        <v>11572</v>
      </c>
      <c r="C5040" s="1323" t="s">
        <v>11132</v>
      </c>
      <c r="D5040" s="1324">
        <f t="shared" si="498"/>
        <v>34530</v>
      </c>
      <c r="E5040" s="1323">
        <f t="shared" si="500"/>
        <v>3.6637</v>
      </c>
      <c r="F5040" s="1323">
        <f t="shared" si="499"/>
        <v>3.7337505066210785</v>
      </c>
      <c r="G5040" s="1323">
        <f t="shared" si="501"/>
        <v>1994</v>
      </c>
      <c r="H5040" s="1323">
        <f t="shared" si="502"/>
        <v>7</v>
      </c>
      <c r="I5040" s="1323">
        <f t="shared" si="503"/>
        <v>15</v>
      </c>
      <c r="J5040" s="1323"/>
      <c r="K5040" s="1323"/>
      <c r="L5040" s="1323"/>
      <c r="M5040" s="1323"/>
      <c r="N5040" s="1323"/>
      <c r="O5040" s="1323"/>
      <c r="P5040" s="1323"/>
      <c r="Q5040" s="1323"/>
      <c r="R5040" s="1304"/>
      <c r="S5040" s="1304"/>
      <c r="T5040" s="1304"/>
    </row>
    <row r="5041" spans="1:20">
      <c r="A5041" s="1303"/>
      <c r="B5041" s="1322" t="s">
        <v>11573</v>
      </c>
      <c r="C5041" s="1323" t="s">
        <v>11092</v>
      </c>
      <c r="D5041" s="1324">
        <f t="shared" si="498"/>
        <v>34529</v>
      </c>
      <c r="E5041" s="1323">
        <f t="shared" si="500"/>
        <v>3.6576</v>
      </c>
      <c r="F5041" s="1323">
        <f t="shared" si="499"/>
        <v>3.7330345821806601</v>
      </c>
      <c r="G5041" s="1323">
        <f t="shared" si="501"/>
        <v>1994</v>
      </c>
      <c r="H5041" s="1323">
        <f t="shared" si="502"/>
        <v>7</v>
      </c>
      <c r="I5041" s="1323">
        <f t="shared" si="503"/>
        <v>14</v>
      </c>
      <c r="J5041" s="1323"/>
      <c r="K5041" s="1323"/>
      <c r="L5041" s="1323"/>
      <c r="M5041" s="1323"/>
      <c r="N5041" s="1323"/>
      <c r="O5041" s="1323"/>
      <c r="P5041" s="1323"/>
      <c r="Q5041" s="1323"/>
      <c r="R5041" s="1304"/>
      <c r="S5041" s="1304"/>
      <c r="T5041" s="1304"/>
    </row>
    <row r="5042" spans="1:20">
      <c r="A5042" s="1303"/>
      <c r="B5042" s="1322" t="s">
        <v>11574</v>
      </c>
      <c r="C5042" s="1323" t="s">
        <v>11172</v>
      </c>
      <c r="D5042" s="1324">
        <f t="shared" si="498"/>
        <v>34528</v>
      </c>
      <c r="E5042" s="1323">
        <f t="shared" si="500"/>
        <v>3.6543000000000001</v>
      </c>
      <c r="F5042" s="1323">
        <f t="shared" si="499"/>
        <v>3.7323187950144927</v>
      </c>
      <c r="G5042" s="1323">
        <f t="shared" si="501"/>
        <v>1994</v>
      </c>
      <c r="H5042" s="1323">
        <f t="shared" si="502"/>
        <v>7</v>
      </c>
      <c r="I5042" s="1323">
        <f t="shared" si="503"/>
        <v>13</v>
      </c>
      <c r="J5042" s="1323"/>
      <c r="K5042" s="1323"/>
      <c r="L5042" s="1323"/>
      <c r="M5042" s="1323"/>
      <c r="N5042" s="1323"/>
      <c r="O5042" s="1323"/>
      <c r="P5042" s="1323"/>
      <c r="Q5042" s="1323"/>
      <c r="R5042" s="1304"/>
      <c r="S5042" s="1304"/>
      <c r="T5042" s="1304"/>
    </row>
    <row r="5043" spans="1:20">
      <c r="A5043" s="1303"/>
      <c r="B5043" s="1322" t="s">
        <v>11575</v>
      </c>
      <c r="C5043" s="1323" t="s">
        <v>11032</v>
      </c>
      <c r="D5043" s="1324">
        <f t="shared" si="498"/>
        <v>34527</v>
      </c>
      <c r="E5043" s="1323">
        <f t="shared" si="500"/>
        <v>3.649</v>
      </c>
      <c r="F5043" s="1323">
        <f t="shared" si="499"/>
        <v>3.7316031450962548</v>
      </c>
      <c r="G5043" s="1323">
        <f t="shared" si="501"/>
        <v>1994</v>
      </c>
      <c r="H5043" s="1323">
        <f t="shared" si="502"/>
        <v>7</v>
      </c>
      <c r="I5043" s="1323">
        <f t="shared" si="503"/>
        <v>12</v>
      </c>
      <c r="J5043" s="1323"/>
      <c r="K5043" s="1323"/>
      <c r="L5043" s="1323"/>
      <c r="M5043" s="1323"/>
      <c r="N5043" s="1323"/>
      <c r="O5043" s="1323"/>
      <c r="P5043" s="1323"/>
      <c r="Q5043" s="1323"/>
      <c r="R5043" s="1304"/>
      <c r="S5043" s="1304"/>
      <c r="T5043" s="1304"/>
    </row>
    <row r="5044" spans="1:20">
      <c r="A5044" s="1303"/>
      <c r="B5044" s="1322" t="s">
        <v>11576</v>
      </c>
      <c r="C5044" s="1323" t="s">
        <v>11010</v>
      </c>
      <c r="D5044" s="1324">
        <f t="shared" si="498"/>
        <v>34526</v>
      </c>
      <c r="E5044" s="1323">
        <f t="shared" si="500"/>
        <v>3.6663999999999999</v>
      </c>
      <c r="F5044" s="1323">
        <f t="shared" si="499"/>
        <v>3.7308876323996301</v>
      </c>
      <c r="G5044" s="1323">
        <f t="shared" si="501"/>
        <v>1994</v>
      </c>
      <c r="H5044" s="1323">
        <f t="shared" si="502"/>
        <v>7</v>
      </c>
      <c r="I5044" s="1323">
        <f t="shared" si="503"/>
        <v>11</v>
      </c>
      <c r="J5044" s="1323"/>
      <c r="K5044" s="1323"/>
      <c r="L5044" s="1323"/>
      <c r="M5044" s="1323"/>
      <c r="N5044" s="1323"/>
      <c r="O5044" s="1323"/>
      <c r="P5044" s="1323"/>
      <c r="Q5044" s="1323"/>
      <c r="R5044" s="1304"/>
      <c r="S5044" s="1304"/>
      <c r="T5044" s="1304"/>
    </row>
    <row r="5045" spans="1:20">
      <c r="A5045" s="1303"/>
      <c r="B5045" s="1322" t="s">
        <v>11577</v>
      </c>
      <c r="C5045" s="1323" t="s">
        <v>11073</v>
      </c>
      <c r="D5045" s="1324">
        <f t="shared" si="498"/>
        <v>34523</v>
      </c>
      <c r="E5045" s="1323">
        <f t="shared" si="500"/>
        <v>3.6770999999999998</v>
      </c>
      <c r="F5045" s="1323">
        <f t="shared" si="499"/>
        <v>3.7301722568983071</v>
      </c>
      <c r="G5045" s="1323">
        <f t="shared" si="501"/>
        <v>1994</v>
      </c>
      <c r="H5045" s="1323">
        <f t="shared" si="502"/>
        <v>7</v>
      </c>
      <c r="I5045" s="1323">
        <f t="shared" si="503"/>
        <v>8</v>
      </c>
      <c r="J5045" s="1323"/>
      <c r="K5045" s="1323"/>
      <c r="L5045" s="1323"/>
      <c r="M5045" s="1323"/>
      <c r="N5045" s="1323"/>
      <c r="O5045" s="1323"/>
      <c r="P5045" s="1323"/>
      <c r="Q5045" s="1323"/>
      <c r="R5045" s="1304"/>
      <c r="S5045" s="1304"/>
      <c r="T5045" s="1304"/>
    </row>
    <row r="5046" spans="1:20">
      <c r="A5046" s="1303"/>
      <c r="B5046" s="1322" t="s">
        <v>11578</v>
      </c>
      <c r="C5046" s="1323" t="s">
        <v>11247</v>
      </c>
      <c r="D5046" s="1324">
        <f t="shared" si="498"/>
        <v>34522</v>
      </c>
      <c r="E5046" s="1323">
        <f t="shared" si="500"/>
        <v>3.6663999999999999</v>
      </c>
      <c r="F5046" s="1323">
        <f t="shared" si="499"/>
        <v>3.7294570185659794</v>
      </c>
      <c r="G5046" s="1323">
        <f t="shared" si="501"/>
        <v>1994</v>
      </c>
      <c r="H5046" s="1323">
        <f t="shared" si="502"/>
        <v>7</v>
      </c>
      <c r="I5046" s="1323">
        <f t="shared" si="503"/>
        <v>7</v>
      </c>
      <c r="J5046" s="1323"/>
      <c r="K5046" s="1323"/>
      <c r="L5046" s="1323"/>
      <c r="M5046" s="1323"/>
      <c r="N5046" s="1323"/>
      <c r="O5046" s="1323"/>
      <c r="P5046" s="1323"/>
      <c r="Q5046" s="1323"/>
      <c r="R5046" s="1304"/>
      <c r="S5046" s="1304"/>
      <c r="T5046" s="1304"/>
    </row>
    <row r="5047" spans="1:20">
      <c r="A5047" s="1303"/>
      <c r="B5047" s="1322" t="s">
        <v>11579</v>
      </c>
      <c r="C5047" s="1323" t="s">
        <v>11073</v>
      </c>
      <c r="D5047" s="1324">
        <f t="shared" si="498"/>
        <v>34521</v>
      </c>
      <c r="E5047" s="1323">
        <f t="shared" si="500"/>
        <v>3.6684000000000001</v>
      </c>
      <c r="F5047" s="1323">
        <f t="shared" si="499"/>
        <v>3.7287419173763454</v>
      </c>
      <c r="G5047" s="1323">
        <f t="shared" si="501"/>
        <v>1994</v>
      </c>
      <c r="H5047" s="1323">
        <f t="shared" si="502"/>
        <v>7</v>
      </c>
      <c r="I5047" s="1323">
        <f t="shared" si="503"/>
        <v>6</v>
      </c>
      <c r="J5047" s="1323"/>
      <c r="K5047" s="1323"/>
      <c r="L5047" s="1323"/>
      <c r="M5047" s="1323"/>
      <c r="N5047" s="1323"/>
      <c r="O5047" s="1323"/>
      <c r="P5047" s="1323"/>
      <c r="Q5047" s="1323"/>
      <c r="R5047" s="1304"/>
      <c r="S5047" s="1304"/>
      <c r="T5047" s="1304"/>
    </row>
    <row r="5048" spans="1:20">
      <c r="A5048" s="1303"/>
      <c r="B5048" s="1322" t="s">
        <v>11580</v>
      </c>
      <c r="C5048" s="1323" t="s">
        <v>11581</v>
      </c>
      <c r="D5048" s="1324">
        <f t="shared" si="498"/>
        <v>34520</v>
      </c>
      <c r="E5048" s="1323">
        <f t="shared" si="500"/>
        <v>3.6516000000000002</v>
      </c>
      <c r="F5048" s="1323">
        <f t="shared" si="499"/>
        <v>3.7280269533031092</v>
      </c>
      <c r="G5048" s="1323">
        <f t="shared" si="501"/>
        <v>1994</v>
      </c>
      <c r="H5048" s="1323">
        <f t="shared" si="502"/>
        <v>7</v>
      </c>
      <c r="I5048" s="1323">
        <f t="shared" si="503"/>
        <v>5</v>
      </c>
      <c r="J5048" s="1323"/>
      <c r="K5048" s="1323"/>
      <c r="L5048" s="1323"/>
      <c r="M5048" s="1323"/>
      <c r="N5048" s="1323"/>
      <c r="O5048" s="1323"/>
      <c r="P5048" s="1323"/>
      <c r="Q5048" s="1323"/>
      <c r="R5048" s="1304"/>
      <c r="S5048" s="1304"/>
      <c r="T5048" s="1304"/>
    </row>
    <row r="5049" spans="1:20">
      <c r="A5049" s="1303"/>
      <c r="B5049" s="1322" t="s">
        <v>11582</v>
      </c>
      <c r="C5049" s="1323" t="s">
        <v>11025</v>
      </c>
      <c r="D5049" s="1324">
        <f t="shared" si="498"/>
        <v>34519</v>
      </c>
      <c r="E5049" s="1323">
        <f t="shared" si="500"/>
        <v>3.6556000000000002</v>
      </c>
      <c r="F5049" s="1323">
        <f t="shared" si="499"/>
        <v>3.7273121263199793</v>
      </c>
      <c r="G5049" s="1323">
        <f t="shared" si="501"/>
        <v>1994</v>
      </c>
      <c r="H5049" s="1323">
        <f t="shared" si="502"/>
        <v>7</v>
      </c>
      <c r="I5049" s="1323">
        <f t="shared" si="503"/>
        <v>4</v>
      </c>
      <c r="J5049" s="1323"/>
      <c r="K5049" s="1323"/>
      <c r="L5049" s="1323"/>
      <c r="M5049" s="1323"/>
      <c r="N5049" s="1323"/>
      <c r="O5049" s="1323"/>
      <c r="P5049" s="1323"/>
      <c r="Q5049" s="1323"/>
      <c r="R5049" s="1304"/>
      <c r="S5049" s="1304"/>
      <c r="T5049" s="1304"/>
    </row>
    <row r="5050" spans="1:20">
      <c r="A5050" s="1303"/>
      <c r="B5050" s="1322" t="s">
        <v>11583</v>
      </c>
      <c r="C5050" s="1323" t="s">
        <v>11132</v>
      </c>
      <c r="D5050" s="1324">
        <f t="shared" si="498"/>
        <v>34516</v>
      </c>
      <c r="E5050" s="1323">
        <f t="shared" si="500"/>
        <v>3.6556000000000002</v>
      </c>
      <c r="F5050" s="1323">
        <f t="shared" si="499"/>
        <v>3.7265974364006693</v>
      </c>
      <c r="G5050" s="1323">
        <f t="shared" si="501"/>
        <v>1994</v>
      </c>
      <c r="H5050" s="1323">
        <f t="shared" si="502"/>
        <v>7</v>
      </c>
      <c r="I5050" s="1323">
        <f t="shared" si="503"/>
        <v>1</v>
      </c>
      <c r="J5050" s="1323"/>
      <c r="K5050" s="1323"/>
      <c r="L5050" s="1323"/>
      <c r="M5050" s="1323"/>
      <c r="N5050" s="1323"/>
      <c r="O5050" s="1323"/>
      <c r="P5050" s="1323"/>
      <c r="Q5050" s="1323"/>
      <c r="R5050" s="1304"/>
      <c r="S5050" s="1304"/>
      <c r="T5050" s="1304"/>
    </row>
    <row r="5051" spans="1:20">
      <c r="A5051" s="1303"/>
      <c r="B5051" s="1322" t="s">
        <v>11584</v>
      </c>
      <c r="C5051" s="1323" t="s">
        <v>11132</v>
      </c>
      <c r="D5051" s="1324">
        <f t="shared" si="498"/>
        <v>34515</v>
      </c>
      <c r="E5051" s="1323">
        <f t="shared" si="500"/>
        <v>3.6516000000000002</v>
      </c>
      <c r="F5051" s="1323">
        <f t="shared" si="499"/>
        <v>3.7258828835188984</v>
      </c>
      <c r="G5051" s="1323">
        <f t="shared" si="501"/>
        <v>1994</v>
      </c>
      <c r="H5051" s="1323">
        <f t="shared" si="502"/>
        <v>6</v>
      </c>
      <c r="I5051" s="1323">
        <f t="shared" si="503"/>
        <v>30</v>
      </c>
      <c r="J5051" s="1323"/>
      <c r="K5051" s="1323"/>
      <c r="L5051" s="1323"/>
      <c r="M5051" s="1323"/>
      <c r="N5051" s="1323"/>
      <c r="O5051" s="1323"/>
      <c r="P5051" s="1323"/>
      <c r="Q5051" s="1323"/>
      <c r="R5051" s="1304"/>
      <c r="S5051" s="1304"/>
      <c r="T5051" s="1304"/>
    </row>
    <row r="5052" spans="1:20">
      <c r="A5052" s="1303"/>
      <c r="B5052" s="1322" t="s">
        <v>11585</v>
      </c>
      <c r="C5052" s="1323" t="s">
        <v>11025</v>
      </c>
      <c r="D5052" s="1324">
        <f t="shared" si="498"/>
        <v>34514</v>
      </c>
      <c r="E5052" s="1323">
        <f t="shared" si="500"/>
        <v>3.6343999999999999</v>
      </c>
      <c r="F5052" s="1323">
        <f t="shared" si="499"/>
        <v>3.7251684676483903</v>
      </c>
      <c r="G5052" s="1323">
        <f t="shared" si="501"/>
        <v>1994</v>
      </c>
      <c r="H5052" s="1323">
        <f t="shared" si="502"/>
        <v>6</v>
      </c>
      <c r="I5052" s="1323">
        <f t="shared" si="503"/>
        <v>29</v>
      </c>
      <c r="J5052" s="1323"/>
      <c r="K5052" s="1323"/>
      <c r="L5052" s="1323"/>
      <c r="M5052" s="1323"/>
      <c r="N5052" s="1323"/>
      <c r="O5052" s="1323"/>
      <c r="P5052" s="1323"/>
      <c r="Q5052" s="1323"/>
      <c r="R5052" s="1304"/>
      <c r="S5052" s="1304"/>
      <c r="T5052" s="1304"/>
    </row>
    <row r="5053" spans="1:20">
      <c r="A5053" s="1303"/>
      <c r="B5053" s="1322" t="s">
        <v>11586</v>
      </c>
      <c r="C5053" s="1323" t="s">
        <v>11045</v>
      </c>
      <c r="D5053" s="1324">
        <f t="shared" si="498"/>
        <v>34513</v>
      </c>
      <c r="E5053" s="1323">
        <f t="shared" si="500"/>
        <v>3.6271</v>
      </c>
      <c r="F5053" s="1323">
        <f t="shared" si="499"/>
        <v>3.7244541887628739</v>
      </c>
      <c r="G5053" s="1323">
        <f t="shared" si="501"/>
        <v>1994</v>
      </c>
      <c r="H5053" s="1323">
        <f t="shared" si="502"/>
        <v>6</v>
      </c>
      <c r="I5053" s="1323">
        <f t="shared" si="503"/>
        <v>28</v>
      </c>
      <c r="J5053" s="1323"/>
      <c r="K5053" s="1323"/>
      <c r="L5053" s="1323"/>
      <c r="M5053" s="1323"/>
      <c r="N5053" s="1323"/>
      <c r="O5053" s="1323"/>
      <c r="P5053" s="1323"/>
      <c r="Q5053" s="1323"/>
      <c r="R5053" s="1304"/>
      <c r="S5053" s="1304"/>
      <c r="T5053" s="1304"/>
    </row>
    <row r="5054" spans="1:20">
      <c r="A5054" s="1303"/>
      <c r="B5054" s="1322" t="s">
        <v>11587</v>
      </c>
      <c r="C5054" s="1323" t="s">
        <v>11588</v>
      </c>
      <c r="D5054" s="1324">
        <f t="shared" si="498"/>
        <v>34512</v>
      </c>
      <c r="E5054" s="1323">
        <f t="shared" si="500"/>
        <v>3.6133999999999999</v>
      </c>
      <c r="F5054" s="1323">
        <f t="shared" si="499"/>
        <v>3.7237400468360833</v>
      </c>
      <c r="G5054" s="1323">
        <f t="shared" si="501"/>
        <v>1994</v>
      </c>
      <c r="H5054" s="1323">
        <f t="shared" si="502"/>
        <v>6</v>
      </c>
      <c r="I5054" s="1323">
        <f t="shared" si="503"/>
        <v>27</v>
      </c>
      <c r="J5054" s="1323"/>
      <c r="K5054" s="1323"/>
      <c r="L5054" s="1323"/>
      <c r="M5054" s="1323"/>
      <c r="N5054" s="1323"/>
      <c r="O5054" s="1323"/>
      <c r="P5054" s="1323"/>
      <c r="Q5054" s="1323"/>
      <c r="R5054" s="1304"/>
      <c r="S5054" s="1304"/>
      <c r="T5054" s="1304"/>
    </row>
    <row r="5055" spans="1:20">
      <c r="A5055" s="1303"/>
      <c r="B5055" s="1322" t="s">
        <v>11589</v>
      </c>
      <c r="C5055" s="1323" t="s">
        <v>11194</v>
      </c>
      <c r="D5055" s="1324">
        <f t="shared" si="498"/>
        <v>34509</v>
      </c>
      <c r="E5055" s="1323">
        <f t="shared" si="500"/>
        <v>3.5977999999999999</v>
      </c>
      <c r="F5055" s="1323">
        <f t="shared" si="499"/>
        <v>3.7230260418417576</v>
      </c>
      <c r="G5055" s="1323">
        <f t="shared" si="501"/>
        <v>1994</v>
      </c>
      <c r="H5055" s="1323">
        <f t="shared" si="502"/>
        <v>6</v>
      </c>
      <c r="I5055" s="1323">
        <f t="shared" si="503"/>
        <v>24</v>
      </c>
      <c r="J5055" s="1323"/>
      <c r="K5055" s="1323"/>
      <c r="L5055" s="1323"/>
      <c r="M5055" s="1323"/>
      <c r="N5055" s="1323"/>
      <c r="O5055" s="1323"/>
      <c r="P5055" s="1323"/>
      <c r="Q5055" s="1323"/>
      <c r="R5055" s="1304"/>
      <c r="S5055" s="1304"/>
      <c r="T5055" s="1304"/>
    </row>
    <row r="5056" spans="1:20">
      <c r="A5056" s="1303"/>
      <c r="B5056" s="1322" t="s">
        <v>11590</v>
      </c>
      <c r="C5056" s="1323" t="s">
        <v>11591</v>
      </c>
      <c r="D5056" s="1324">
        <f t="shared" si="498"/>
        <v>34508</v>
      </c>
      <c r="E5056" s="1323">
        <f t="shared" si="500"/>
        <v>3.6147</v>
      </c>
      <c r="F5056" s="1323">
        <f t="shared" si="499"/>
        <v>3.7223121737536404</v>
      </c>
      <c r="G5056" s="1323">
        <f t="shared" si="501"/>
        <v>1994</v>
      </c>
      <c r="H5056" s="1323">
        <f t="shared" si="502"/>
        <v>6</v>
      </c>
      <c r="I5056" s="1323">
        <f t="shared" si="503"/>
        <v>23</v>
      </c>
      <c r="J5056" s="1323"/>
      <c r="K5056" s="1323"/>
      <c r="L5056" s="1323"/>
      <c r="M5056" s="1323"/>
      <c r="N5056" s="1323"/>
      <c r="O5056" s="1323"/>
      <c r="P5056" s="1323"/>
      <c r="Q5056" s="1323"/>
      <c r="R5056" s="1304"/>
      <c r="S5056" s="1304"/>
      <c r="T5056" s="1304"/>
    </row>
    <row r="5057" spans="1:20">
      <c r="A5057" s="1303"/>
      <c r="B5057" s="1322" t="s">
        <v>11592</v>
      </c>
      <c r="C5057" s="1323" t="s">
        <v>11593</v>
      </c>
      <c r="D5057" s="1324">
        <f t="shared" si="498"/>
        <v>34507</v>
      </c>
      <c r="E5057" s="1323">
        <f t="shared" si="500"/>
        <v>3.641</v>
      </c>
      <c r="F5057" s="1323">
        <f t="shared" si="499"/>
        <v>3.7215984425454809</v>
      </c>
      <c r="G5057" s="1323">
        <f t="shared" si="501"/>
        <v>1994</v>
      </c>
      <c r="H5057" s="1323">
        <f t="shared" si="502"/>
        <v>6</v>
      </c>
      <c r="I5057" s="1323">
        <f t="shared" si="503"/>
        <v>22</v>
      </c>
      <c r="J5057" s="1323"/>
      <c r="K5057" s="1323"/>
      <c r="L5057" s="1323"/>
      <c r="M5057" s="1323"/>
      <c r="N5057" s="1323"/>
      <c r="O5057" s="1323"/>
      <c r="P5057" s="1323"/>
      <c r="Q5057" s="1323"/>
      <c r="R5057" s="1304"/>
      <c r="S5057" s="1304"/>
      <c r="T5057" s="1304"/>
    </row>
    <row r="5058" spans="1:20">
      <c r="A5058" s="1303"/>
      <c r="B5058" s="1322" t="s">
        <v>11594</v>
      </c>
      <c r="C5058" s="1323" t="s">
        <v>11108</v>
      </c>
      <c r="D5058" s="1324">
        <f t="shared" si="498"/>
        <v>34506</v>
      </c>
      <c r="E5058" s="1323">
        <f t="shared" si="500"/>
        <v>3.6556000000000002</v>
      </c>
      <c r="F5058" s="1323">
        <f t="shared" si="499"/>
        <v>3.7208848481910333</v>
      </c>
      <c r="G5058" s="1323">
        <f t="shared" si="501"/>
        <v>1994</v>
      </c>
      <c r="H5058" s="1323">
        <f t="shared" si="502"/>
        <v>6</v>
      </c>
      <c r="I5058" s="1323">
        <f t="shared" si="503"/>
        <v>21</v>
      </c>
      <c r="J5058" s="1323"/>
      <c r="K5058" s="1323"/>
      <c r="L5058" s="1323"/>
      <c r="M5058" s="1323"/>
      <c r="N5058" s="1323"/>
      <c r="O5058" s="1323"/>
      <c r="P5058" s="1323"/>
      <c r="Q5058" s="1323"/>
      <c r="R5058" s="1304"/>
      <c r="S5058" s="1304"/>
      <c r="T5058" s="1304"/>
    </row>
    <row r="5059" spans="1:20">
      <c r="A5059" s="1303"/>
      <c r="B5059" s="1322" t="s">
        <v>11595</v>
      </c>
      <c r="C5059" s="1323" t="s">
        <v>11132</v>
      </c>
      <c r="D5059" s="1324">
        <f t="shared" si="498"/>
        <v>34505</v>
      </c>
      <c r="E5059" s="1323">
        <f t="shared" si="500"/>
        <v>3.641</v>
      </c>
      <c r="F5059" s="1323">
        <f t="shared" si="499"/>
        <v>3.7201713906640563</v>
      </c>
      <c r="G5059" s="1323">
        <f t="shared" si="501"/>
        <v>1994</v>
      </c>
      <c r="H5059" s="1323">
        <f t="shared" si="502"/>
        <v>6</v>
      </c>
      <c r="I5059" s="1323">
        <f t="shared" si="503"/>
        <v>20</v>
      </c>
      <c r="J5059" s="1323"/>
      <c r="K5059" s="1323"/>
      <c r="L5059" s="1323"/>
      <c r="M5059" s="1323"/>
      <c r="N5059" s="1323"/>
      <c r="O5059" s="1323"/>
      <c r="P5059" s="1323"/>
      <c r="Q5059" s="1323"/>
      <c r="R5059" s="1304"/>
      <c r="S5059" s="1304"/>
      <c r="T5059" s="1304"/>
    </row>
    <row r="5060" spans="1:20">
      <c r="A5060" s="1303"/>
      <c r="B5060" s="1322" t="s">
        <v>11596</v>
      </c>
      <c r="C5060" s="1323" t="s">
        <v>11108</v>
      </c>
      <c r="D5060" s="1324">
        <f t="shared" si="498"/>
        <v>34502</v>
      </c>
      <c r="E5060" s="1323">
        <f t="shared" si="500"/>
        <v>3.6509999999999998</v>
      </c>
      <c r="F5060" s="1323">
        <f t="shared" si="499"/>
        <v>3.7194580699383146</v>
      </c>
      <c r="G5060" s="1323">
        <f t="shared" si="501"/>
        <v>1994</v>
      </c>
      <c r="H5060" s="1323">
        <f t="shared" si="502"/>
        <v>6</v>
      </c>
      <c r="I5060" s="1323">
        <f t="shared" si="503"/>
        <v>17</v>
      </c>
      <c r="J5060" s="1323"/>
      <c r="K5060" s="1323"/>
      <c r="L5060" s="1323"/>
      <c r="M5060" s="1323"/>
      <c r="N5060" s="1323"/>
      <c r="O5060" s="1323"/>
      <c r="P5060" s="1323"/>
      <c r="Q5060" s="1323"/>
      <c r="R5060" s="1304"/>
      <c r="S5060" s="1304"/>
      <c r="T5060" s="1304"/>
    </row>
    <row r="5061" spans="1:20">
      <c r="A5061" s="1303"/>
      <c r="B5061" s="1322" t="s">
        <v>11597</v>
      </c>
      <c r="C5061" s="1323" t="s">
        <v>11598</v>
      </c>
      <c r="D5061" s="1324">
        <f t="shared" si="498"/>
        <v>34501</v>
      </c>
      <c r="E5061" s="1323">
        <f t="shared" si="500"/>
        <v>3.6173000000000002</v>
      </c>
      <c r="F5061" s="1323">
        <f t="shared" si="499"/>
        <v>3.7187448859875771</v>
      </c>
      <c r="G5061" s="1323">
        <f t="shared" si="501"/>
        <v>1994</v>
      </c>
      <c r="H5061" s="1323">
        <f t="shared" si="502"/>
        <v>6</v>
      </c>
      <c r="I5061" s="1323">
        <f t="shared" si="503"/>
        <v>16</v>
      </c>
      <c r="J5061" s="1323"/>
      <c r="K5061" s="1323"/>
      <c r="L5061" s="1323"/>
      <c r="M5061" s="1323"/>
      <c r="N5061" s="1323"/>
      <c r="O5061" s="1323"/>
      <c r="P5061" s="1323"/>
      <c r="Q5061" s="1323"/>
      <c r="R5061" s="1304"/>
      <c r="S5061" s="1304"/>
      <c r="T5061" s="1304"/>
    </row>
    <row r="5062" spans="1:20">
      <c r="A5062" s="1303"/>
      <c r="B5062" s="1322" t="s">
        <v>11599</v>
      </c>
      <c r="C5062" s="1323" t="s">
        <v>11196</v>
      </c>
      <c r="D5062" s="1324">
        <f t="shared" si="498"/>
        <v>34500</v>
      </c>
      <c r="E5062" s="1323">
        <f t="shared" si="500"/>
        <v>3.6198999999999999</v>
      </c>
      <c r="F5062" s="1323">
        <f t="shared" si="499"/>
        <v>3.7180318387856182</v>
      </c>
      <c r="G5062" s="1323">
        <f t="shared" si="501"/>
        <v>1994</v>
      </c>
      <c r="H5062" s="1323">
        <f t="shared" si="502"/>
        <v>6</v>
      </c>
      <c r="I5062" s="1323">
        <f t="shared" si="503"/>
        <v>15</v>
      </c>
      <c r="J5062" s="1323"/>
      <c r="K5062" s="1323"/>
      <c r="L5062" s="1323"/>
      <c r="M5062" s="1323"/>
      <c r="N5062" s="1323"/>
      <c r="O5062" s="1323"/>
      <c r="P5062" s="1323"/>
      <c r="Q5062" s="1323"/>
      <c r="R5062" s="1304"/>
      <c r="S5062" s="1304"/>
      <c r="T5062" s="1304"/>
    </row>
    <row r="5063" spans="1:20">
      <c r="A5063" s="1303"/>
      <c r="B5063" s="1322" t="s">
        <v>11600</v>
      </c>
      <c r="C5063" s="1323" t="s">
        <v>11601</v>
      </c>
      <c r="D5063" s="1324">
        <f t="shared" si="498"/>
        <v>34499</v>
      </c>
      <c r="E5063" s="1323">
        <f t="shared" si="500"/>
        <v>3.6095000000000002</v>
      </c>
      <c r="F5063" s="1323">
        <f t="shared" si="499"/>
        <v>3.7173189283062169</v>
      </c>
      <c r="G5063" s="1323">
        <f t="shared" si="501"/>
        <v>1994</v>
      </c>
      <c r="H5063" s="1323">
        <f t="shared" si="502"/>
        <v>6</v>
      </c>
      <c r="I5063" s="1323">
        <f t="shared" si="503"/>
        <v>14</v>
      </c>
      <c r="J5063" s="1323"/>
      <c r="K5063" s="1323"/>
      <c r="L5063" s="1323"/>
      <c r="M5063" s="1323"/>
      <c r="N5063" s="1323"/>
      <c r="O5063" s="1323"/>
      <c r="P5063" s="1323"/>
      <c r="Q5063" s="1323"/>
      <c r="R5063" s="1304"/>
      <c r="S5063" s="1304"/>
      <c r="T5063" s="1304"/>
    </row>
    <row r="5064" spans="1:20">
      <c r="A5064" s="1303"/>
      <c r="B5064" s="1322" t="s">
        <v>11602</v>
      </c>
      <c r="C5064" s="1323" t="s">
        <v>11190</v>
      </c>
      <c r="D5064" s="1324">
        <f t="shared" si="498"/>
        <v>34498</v>
      </c>
      <c r="E5064" s="1323">
        <f t="shared" si="500"/>
        <v>3.6198999999999999</v>
      </c>
      <c r="F5064" s="1323">
        <f t="shared" si="499"/>
        <v>3.7166061545231575</v>
      </c>
      <c r="G5064" s="1323">
        <f t="shared" si="501"/>
        <v>1994</v>
      </c>
      <c r="H5064" s="1323">
        <f t="shared" si="502"/>
        <v>6</v>
      </c>
      <c r="I5064" s="1323">
        <f t="shared" si="503"/>
        <v>13</v>
      </c>
      <c r="J5064" s="1323"/>
      <c r="K5064" s="1323"/>
      <c r="L5064" s="1323"/>
      <c r="M5064" s="1323"/>
      <c r="N5064" s="1323"/>
      <c r="O5064" s="1323"/>
      <c r="P5064" s="1323"/>
      <c r="Q5064" s="1323"/>
      <c r="R5064" s="1304"/>
      <c r="S5064" s="1304"/>
      <c r="T5064" s="1304"/>
    </row>
    <row r="5065" spans="1:20">
      <c r="A5065" s="1303"/>
      <c r="B5065" s="1322" t="s">
        <v>11603</v>
      </c>
      <c r="C5065" s="1323" t="s">
        <v>11601</v>
      </c>
      <c r="D5065" s="1324">
        <f t="shared" ref="D5065:D5128" si="504">DATE(G5065,H5065,I5065)</f>
        <v>34495</v>
      </c>
      <c r="E5065" s="1323">
        <f t="shared" si="500"/>
        <v>3.6160000000000001</v>
      </c>
      <c r="F5065" s="1323">
        <f t="shared" ref="F5065:F5128" si="505">F5066*(1+$F$7/365)</f>
        <v>3.7158935174102292</v>
      </c>
      <c r="G5065" s="1323">
        <f t="shared" si="501"/>
        <v>1994</v>
      </c>
      <c r="H5065" s="1323">
        <f t="shared" si="502"/>
        <v>6</v>
      </c>
      <c r="I5065" s="1323">
        <f t="shared" si="503"/>
        <v>10</v>
      </c>
      <c r="J5065" s="1323"/>
      <c r="K5065" s="1323"/>
      <c r="L5065" s="1323"/>
      <c r="M5065" s="1323"/>
      <c r="N5065" s="1323"/>
      <c r="O5065" s="1323"/>
      <c r="P5065" s="1323"/>
      <c r="Q5065" s="1323"/>
      <c r="R5065" s="1304"/>
      <c r="S5065" s="1304"/>
      <c r="T5065" s="1304"/>
    </row>
    <row r="5066" spans="1:20">
      <c r="A5066" s="1303"/>
      <c r="B5066" s="1322" t="s">
        <v>11604</v>
      </c>
      <c r="C5066" s="1323" t="s">
        <v>11291</v>
      </c>
      <c r="D5066" s="1324">
        <f t="shared" si="504"/>
        <v>34494</v>
      </c>
      <c r="E5066" s="1323">
        <f t="shared" si="500"/>
        <v>3.6185999999999998</v>
      </c>
      <c r="F5066" s="1323">
        <f t="shared" si="505"/>
        <v>3.7151810169412265</v>
      </c>
      <c r="G5066" s="1323">
        <f t="shared" si="501"/>
        <v>1994</v>
      </c>
      <c r="H5066" s="1323">
        <f t="shared" si="502"/>
        <v>6</v>
      </c>
      <c r="I5066" s="1323">
        <f t="shared" si="503"/>
        <v>9</v>
      </c>
      <c r="J5066" s="1323"/>
      <c r="K5066" s="1323"/>
      <c r="L5066" s="1323"/>
      <c r="M5066" s="1323"/>
      <c r="N5066" s="1323"/>
      <c r="O5066" s="1323"/>
      <c r="P5066" s="1323"/>
      <c r="Q5066" s="1323"/>
      <c r="R5066" s="1304"/>
      <c r="S5066" s="1304"/>
      <c r="T5066" s="1304"/>
    </row>
    <row r="5067" spans="1:20">
      <c r="A5067" s="1303"/>
      <c r="B5067" s="1322" t="s">
        <v>11605</v>
      </c>
      <c r="C5067" s="1323" t="s">
        <v>11606</v>
      </c>
      <c r="D5067" s="1324">
        <f t="shared" si="504"/>
        <v>34493</v>
      </c>
      <c r="E5067" s="1323">
        <f t="shared" si="500"/>
        <v>3.6147</v>
      </c>
      <c r="F5067" s="1323">
        <f t="shared" si="505"/>
        <v>3.7144686530899489</v>
      </c>
      <c r="G5067" s="1323">
        <f t="shared" si="501"/>
        <v>1994</v>
      </c>
      <c r="H5067" s="1323">
        <f t="shared" si="502"/>
        <v>6</v>
      </c>
      <c r="I5067" s="1323">
        <f t="shared" si="503"/>
        <v>8</v>
      </c>
      <c r="J5067" s="1323"/>
      <c r="K5067" s="1323"/>
      <c r="L5067" s="1323"/>
      <c r="M5067" s="1323"/>
      <c r="N5067" s="1323"/>
      <c r="O5067" s="1323"/>
      <c r="P5067" s="1323"/>
      <c r="Q5067" s="1323"/>
      <c r="R5067" s="1304"/>
      <c r="S5067" s="1304"/>
      <c r="T5067" s="1304"/>
    </row>
    <row r="5068" spans="1:20">
      <c r="A5068" s="1303"/>
      <c r="B5068" s="1322" t="s">
        <v>11607</v>
      </c>
      <c r="C5068" s="1323" t="s">
        <v>11593</v>
      </c>
      <c r="D5068" s="1324">
        <f t="shared" si="504"/>
        <v>34492</v>
      </c>
      <c r="E5068" s="1323">
        <f t="shared" si="500"/>
        <v>3.6147</v>
      </c>
      <c r="F5068" s="1323">
        <f t="shared" si="505"/>
        <v>3.7137564258302005</v>
      </c>
      <c r="G5068" s="1323">
        <f t="shared" si="501"/>
        <v>1994</v>
      </c>
      <c r="H5068" s="1323">
        <f t="shared" si="502"/>
        <v>6</v>
      </c>
      <c r="I5068" s="1323">
        <f t="shared" si="503"/>
        <v>7</v>
      </c>
      <c r="J5068" s="1323"/>
      <c r="K5068" s="1323"/>
      <c r="L5068" s="1323"/>
      <c r="M5068" s="1323"/>
      <c r="N5068" s="1323"/>
      <c r="O5068" s="1323"/>
      <c r="P5068" s="1323"/>
      <c r="Q5068" s="1323"/>
      <c r="R5068" s="1304"/>
      <c r="S5068" s="1304"/>
      <c r="T5068" s="1304"/>
    </row>
    <row r="5069" spans="1:20">
      <c r="A5069" s="1303"/>
      <c r="B5069" s="1322" t="s">
        <v>11608</v>
      </c>
      <c r="C5069" s="1323" t="s">
        <v>11593</v>
      </c>
      <c r="D5069" s="1324">
        <f t="shared" si="504"/>
        <v>34491</v>
      </c>
      <c r="E5069" s="1323">
        <f t="shared" si="500"/>
        <v>3.6185999999999998</v>
      </c>
      <c r="F5069" s="1323">
        <f t="shared" si="505"/>
        <v>3.7130443351357907</v>
      </c>
      <c r="G5069" s="1323">
        <f t="shared" si="501"/>
        <v>1994</v>
      </c>
      <c r="H5069" s="1323">
        <f t="shared" si="502"/>
        <v>6</v>
      </c>
      <c r="I5069" s="1323">
        <f t="shared" si="503"/>
        <v>6</v>
      </c>
      <c r="J5069" s="1323"/>
      <c r="K5069" s="1323"/>
      <c r="L5069" s="1323"/>
      <c r="M5069" s="1323"/>
      <c r="N5069" s="1323"/>
      <c r="O5069" s="1323"/>
      <c r="P5069" s="1323"/>
      <c r="Q5069" s="1323"/>
      <c r="R5069" s="1304"/>
      <c r="S5069" s="1304"/>
      <c r="T5069" s="1304"/>
    </row>
    <row r="5070" spans="1:20">
      <c r="A5070" s="1303"/>
      <c r="B5070" s="1322" t="s">
        <v>11609</v>
      </c>
      <c r="C5070" s="1323" t="s">
        <v>11606</v>
      </c>
      <c r="D5070" s="1324">
        <f t="shared" si="504"/>
        <v>34488</v>
      </c>
      <c r="E5070" s="1323">
        <f t="shared" si="500"/>
        <v>3.6225000000000001</v>
      </c>
      <c r="F5070" s="1323">
        <f t="shared" si="505"/>
        <v>3.7123323809805342</v>
      </c>
      <c r="G5070" s="1323">
        <f t="shared" si="501"/>
        <v>1994</v>
      </c>
      <c r="H5070" s="1323">
        <f t="shared" si="502"/>
        <v>6</v>
      </c>
      <c r="I5070" s="1323">
        <f t="shared" si="503"/>
        <v>3</v>
      </c>
      <c r="J5070" s="1323"/>
      <c r="K5070" s="1323"/>
      <c r="L5070" s="1323"/>
      <c r="M5070" s="1323"/>
      <c r="N5070" s="1323"/>
      <c r="O5070" s="1323"/>
      <c r="P5070" s="1323"/>
      <c r="Q5070" s="1323"/>
      <c r="R5070" s="1304"/>
      <c r="S5070" s="1304"/>
      <c r="T5070" s="1304"/>
    </row>
    <row r="5071" spans="1:20">
      <c r="A5071" s="1303"/>
      <c r="B5071" s="1322" t="s">
        <v>11610</v>
      </c>
      <c r="C5071" s="1323" t="s">
        <v>11203</v>
      </c>
      <c r="D5071" s="1324">
        <f t="shared" si="504"/>
        <v>34487</v>
      </c>
      <c r="E5071" s="1323">
        <f t="shared" si="500"/>
        <v>3.6303999999999998</v>
      </c>
      <c r="F5071" s="1323">
        <f t="shared" si="505"/>
        <v>3.7116205633382502</v>
      </c>
      <c r="G5071" s="1323">
        <f t="shared" si="501"/>
        <v>1994</v>
      </c>
      <c r="H5071" s="1323">
        <f t="shared" si="502"/>
        <v>6</v>
      </c>
      <c r="I5071" s="1323">
        <f t="shared" si="503"/>
        <v>2</v>
      </c>
      <c r="J5071" s="1323"/>
      <c r="K5071" s="1323"/>
      <c r="L5071" s="1323"/>
      <c r="M5071" s="1323"/>
      <c r="N5071" s="1323"/>
      <c r="O5071" s="1323"/>
      <c r="P5071" s="1323"/>
      <c r="Q5071" s="1323"/>
      <c r="R5071" s="1304"/>
      <c r="S5071" s="1304"/>
      <c r="T5071" s="1304"/>
    </row>
    <row r="5072" spans="1:20">
      <c r="A5072" s="1303"/>
      <c r="B5072" s="1322" t="s">
        <v>11611</v>
      </c>
      <c r="C5072" s="1323" t="s">
        <v>11047</v>
      </c>
      <c r="D5072" s="1324">
        <f t="shared" si="504"/>
        <v>34486</v>
      </c>
      <c r="E5072" s="1323">
        <f t="shared" si="500"/>
        <v>3.6278000000000001</v>
      </c>
      <c r="F5072" s="1323">
        <f t="shared" si="505"/>
        <v>3.7109088821827632</v>
      </c>
      <c r="G5072" s="1323">
        <f t="shared" si="501"/>
        <v>1994</v>
      </c>
      <c r="H5072" s="1323">
        <f t="shared" si="502"/>
        <v>6</v>
      </c>
      <c r="I5072" s="1323">
        <f t="shared" si="503"/>
        <v>1</v>
      </c>
      <c r="J5072" s="1323"/>
      <c r="K5072" s="1323"/>
      <c r="L5072" s="1323"/>
      <c r="M5072" s="1323"/>
      <c r="N5072" s="1323"/>
      <c r="O5072" s="1323"/>
      <c r="P5072" s="1323"/>
      <c r="Q5072" s="1323"/>
      <c r="R5072" s="1304"/>
      <c r="S5072" s="1304"/>
      <c r="T5072" s="1304"/>
    </row>
    <row r="5073" spans="1:20">
      <c r="A5073" s="1303"/>
      <c r="B5073" s="1322" t="s">
        <v>11612</v>
      </c>
      <c r="C5073" s="1323" t="s">
        <v>11056</v>
      </c>
      <c r="D5073" s="1324">
        <f t="shared" si="504"/>
        <v>34484</v>
      </c>
      <c r="E5073" s="1323">
        <f t="shared" si="500"/>
        <v>3.6173000000000002</v>
      </c>
      <c r="F5073" s="1323">
        <f t="shared" si="505"/>
        <v>3.7101973374879025</v>
      </c>
      <c r="G5073" s="1323">
        <f t="shared" si="501"/>
        <v>1994</v>
      </c>
      <c r="H5073" s="1323">
        <f t="shared" si="502"/>
        <v>5</v>
      </c>
      <c r="I5073" s="1323">
        <f t="shared" si="503"/>
        <v>30</v>
      </c>
      <c r="J5073" s="1323"/>
      <c r="K5073" s="1323"/>
      <c r="L5073" s="1323"/>
      <c r="M5073" s="1323"/>
      <c r="N5073" s="1323"/>
      <c r="O5073" s="1323"/>
      <c r="P5073" s="1323"/>
      <c r="Q5073" s="1323"/>
      <c r="R5073" s="1304"/>
      <c r="S5073" s="1304"/>
      <c r="T5073" s="1304"/>
    </row>
    <row r="5074" spans="1:20">
      <c r="A5074" s="1303"/>
      <c r="B5074" s="1322" t="s">
        <v>11613</v>
      </c>
      <c r="C5074" s="1323" t="s">
        <v>11196</v>
      </c>
      <c r="D5074" s="1324">
        <f t="shared" si="504"/>
        <v>34481</v>
      </c>
      <c r="E5074" s="1323">
        <f t="shared" si="500"/>
        <v>3.6583000000000001</v>
      </c>
      <c r="F5074" s="1323">
        <f t="shared" si="505"/>
        <v>3.7094859292275024</v>
      </c>
      <c r="G5074" s="1323">
        <f t="shared" si="501"/>
        <v>1994</v>
      </c>
      <c r="H5074" s="1323">
        <f t="shared" si="502"/>
        <v>5</v>
      </c>
      <c r="I5074" s="1323">
        <f t="shared" si="503"/>
        <v>27</v>
      </c>
      <c r="J5074" s="1323"/>
      <c r="K5074" s="1323"/>
      <c r="L5074" s="1323"/>
      <c r="M5074" s="1323"/>
      <c r="N5074" s="1323"/>
      <c r="O5074" s="1323"/>
      <c r="P5074" s="1323"/>
      <c r="Q5074" s="1323"/>
      <c r="R5074" s="1304"/>
      <c r="S5074" s="1304"/>
      <c r="T5074" s="1304"/>
    </row>
    <row r="5075" spans="1:20">
      <c r="A5075" s="1303"/>
      <c r="B5075" s="1322" t="s">
        <v>11614</v>
      </c>
      <c r="C5075" s="1323" t="s">
        <v>11065</v>
      </c>
      <c r="D5075" s="1324">
        <f t="shared" si="504"/>
        <v>34480</v>
      </c>
      <c r="E5075" s="1323">
        <f t="shared" si="500"/>
        <v>3.6503000000000001</v>
      </c>
      <c r="F5075" s="1323">
        <f t="shared" si="505"/>
        <v>3.708774657375403</v>
      </c>
      <c r="G5075" s="1323">
        <f t="shared" si="501"/>
        <v>1994</v>
      </c>
      <c r="H5075" s="1323">
        <f t="shared" si="502"/>
        <v>5</v>
      </c>
      <c r="I5075" s="1323">
        <f t="shared" si="503"/>
        <v>26</v>
      </c>
      <c r="J5075" s="1323"/>
      <c r="K5075" s="1323"/>
      <c r="L5075" s="1323"/>
      <c r="M5075" s="1323"/>
      <c r="N5075" s="1323"/>
      <c r="O5075" s="1323"/>
      <c r="P5075" s="1323"/>
      <c r="Q5075" s="1323"/>
      <c r="R5075" s="1304"/>
      <c r="S5075" s="1304"/>
      <c r="T5075" s="1304"/>
    </row>
    <row r="5076" spans="1:20">
      <c r="A5076" s="1303"/>
      <c r="B5076" s="1322" t="s">
        <v>11615</v>
      </c>
      <c r="C5076" s="1323" t="s">
        <v>11036</v>
      </c>
      <c r="D5076" s="1324">
        <f t="shared" si="504"/>
        <v>34479</v>
      </c>
      <c r="E5076" s="1323">
        <f t="shared" si="500"/>
        <v>3.6703999999999999</v>
      </c>
      <c r="F5076" s="1323">
        <f t="shared" si="505"/>
        <v>3.7080635219054483</v>
      </c>
      <c r="G5076" s="1323">
        <f t="shared" si="501"/>
        <v>1994</v>
      </c>
      <c r="H5076" s="1323">
        <f t="shared" si="502"/>
        <v>5</v>
      </c>
      <c r="I5076" s="1323">
        <f t="shared" si="503"/>
        <v>25</v>
      </c>
      <c r="J5076" s="1323"/>
      <c r="K5076" s="1323"/>
      <c r="L5076" s="1323"/>
      <c r="M5076" s="1323"/>
      <c r="N5076" s="1323"/>
      <c r="O5076" s="1323"/>
      <c r="P5076" s="1323"/>
      <c r="Q5076" s="1323"/>
      <c r="R5076" s="1304"/>
      <c r="S5076" s="1304"/>
      <c r="T5076" s="1304"/>
    </row>
    <row r="5077" spans="1:20">
      <c r="A5077" s="1303"/>
      <c r="B5077" s="1322" t="s">
        <v>11616</v>
      </c>
      <c r="C5077" s="1323" t="s">
        <v>11080</v>
      </c>
      <c r="D5077" s="1324">
        <f t="shared" si="504"/>
        <v>34478</v>
      </c>
      <c r="E5077" s="1323">
        <f t="shared" si="500"/>
        <v>3.6583000000000001</v>
      </c>
      <c r="F5077" s="1323">
        <f t="shared" si="505"/>
        <v>3.7073525227914881</v>
      </c>
      <c r="G5077" s="1323">
        <f t="shared" si="501"/>
        <v>1994</v>
      </c>
      <c r="H5077" s="1323">
        <f t="shared" si="502"/>
        <v>5</v>
      </c>
      <c r="I5077" s="1323">
        <f t="shared" si="503"/>
        <v>24</v>
      </c>
      <c r="J5077" s="1323"/>
      <c r="K5077" s="1323"/>
      <c r="L5077" s="1323"/>
      <c r="M5077" s="1323"/>
      <c r="N5077" s="1323"/>
      <c r="O5077" s="1323"/>
      <c r="P5077" s="1323"/>
      <c r="Q5077" s="1323"/>
      <c r="R5077" s="1304"/>
      <c r="S5077" s="1304"/>
      <c r="T5077" s="1304"/>
    </row>
    <row r="5078" spans="1:20">
      <c r="A5078" s="1303"/>
      <c r="B5078" s="1322" t="s">
        <v>11617</v>
      </c>
      <c r="C5078" s="1323" t="s">
        <v>11065</v>
      </c>
      <c r="D5078" s="1324">
        <f t="shared" si="504"/>
        <v>34477</v>
      </c>
      <c r="E5078" s="1323">
        <f t="shared" ref="E5078:E5141" si="506">VALUE(C5079)</f>
        <v>3.6730999999999998</v>
      </c>
      <c r="F5078" s="1323">
        <f t="shared" si="505"/>
        <v>3.706641660007377</v>
      </c>
      <c r="G5078" s="1323">
        <f t="shared" ref="G5078:G5141" si="507">YEAR(B5079)</f>
        <v>1994</v>
      </c>
      <c r="H5078" s="1323">
        <f t="shared" ref="H5078:H5141" si="508">MONTH(B5079)</f>
        <v>5</v>
      </c>
      <c r="I5078" s="1323">
        <f t="shared" ref="I5078:I5141" si="509">DAY(B5079)</f>
        <v>23</v>
      </c>
      <c r="J5078" s="1323"/>
      <c r="K5078" s="1323"/>
      <c r="L5078" s="1323"/>
      <c r="M5078" s="1323"/>
      <c r="N5078" s="1323"/>
      <c r="O5078" s="1323"/>
      <c r="P5078" s="1323"/>
      <c r="Q5078" s="1323"/>
      <c r="R5078" s="1304"/>
      <c r="S5078" s="1304"/>
      <c r="T5078" s="1304"/>
    </row>
    <row r="5079" spans="1:20">
      <c r="A5079" s="1303"/>
      <c r="B5079" s="1322" t="s">
        <v>11618</v>
      </c>
      <c r="C5079" s="1323" t="s">
        <v>11619</v>
      </c>
      <c r="D5079" s="1324">
        <f t="shared" si="504"/>
        <v>34474</v>
      </c>
      <c r="E5079" s="1323">
        <f t="shared" si="506"/>
        <v>3.6730999999999998</v>
      </c>
      <c r="F5079" s="1323">
        <f t="shared" si="505"/>
        <v>3.7059309335269743</v>
      </c>
      <c r="G5079" s="1323">
        <f t="shared" si="507"/>
        <v>1994</v>
      </c>
      <c r="H5079" s="1323">
        <f t="shared" si="508"/>
        <v>5</v>
      </c>
      <c r="I5079" s="1323">
        <f t="shared" si="509"/>
        <v>20</v>
      </c>
      <c r="J5079" s="1323"/>
      <c r="K5079" s="1323"/>
      <c r="L5079" s="1323"/>
      <c r="M5079" s="1323"/>
      <c r="N5079" s="1323"/>
      <c r="O5079" s="1323"/>
      <c r="P5079" s="1323"/>
      <c r="Q5079" s="1323"/>
      <c r="R5079" s="1304"/>
      <c r="S5079" s="1304"/>
      <c r="T5079" s="1304"/>
    </row>
    <row r="5080" spans="1:20">
      <c r="A5080" s="1303"/>
      <c r="B5080" s="1322" t="s">
        <v>11620</v>
      </c>
      <c r="C5080" s="1323" t="s">
        <v>11619</v>
      </c>
      <c r="D5080" s="1324">
        <f t="shared" si="504"/>
        <v>34473</v>
      </c>
      <c r="E5080" s="1323">
        <f t="shared" si="506"/>
        <v>3.6684000000000001</v>
      </c>
      <c r="F5080" s="1323">
        <f t="shared" si="505"/>
        <v>3.7052203433241448</v>
      </c>
      <c r="G5080" s="1323">
        <f t="shared" si="507"/>
        <v>1994</v>
      </c>
      <c r="H5080" s="1323">
        <f t="shared" si="508"/>
        <v>5</v>
      </c>
      <c r="I5080" s="1323">
        <f t="shared" si="509"/>
        <v>19</v>
      </c>
      <c r="J5080" s="1323"/>
      <c r="K5080" s="1323"/>
      <c r="L5080" s="1323"/>
      <c r="M5080" s="1323"/>
      <c r="N5080" s="1323"/>
      <c r="O5080" s="1323"/>
      <c r="P5080" s="1323"/>
      <c r="Q5080" s="1323"/>
      <c r="R5080" s="1304"/>
      <c r="S5080" s="1304"/>
      <c r="T5080" s="1304"/>
    </row>
    <row r="5081" spans="1:20">
      <c r="A5081" s="1303"/>
      <c r="B5081" s="1322" t="s">
        <v>11621</v>
      </c>
      <c r="C5081" s="1323" t="s">
        <v>11581</v>
      </c>
      <c r="D5081" s="1324">
        <f t="shared" si="504"/>
        <v>34472</v>
      </c>
      <c r="E5081" s="1323">
        <f t="shared" si="506"/>
        <v>3.6597</v>
      </c>
      <c r="F5081" s="1323">
        <f t="shared" si="505"/>
        <v>3.7045098893727584</v>
      </c>
      <c r="G5081" s="1323">
        <f t="shared" si="507"/>
        <v>1994</v>
      </c>
      <c r="H5081" s="1323">
        <f t="shared" si="508"/>
        <v>5</v>
      </c>
      <c r="I5081" s="1323">
        <f t="shared" si="509"/>
        <v>18</v>
      </c>
      <c r="J5081" s="1323"/>
      <c r="K5081" s="1323"/>
      <c r="L5081" s="1323"/>
      <c r="M5081" s="1323"/>
      <c r="N5081" s="1323"/>
      <c r="O5081" s="1323"/>
      <c r="P5081" s="1323"/>
      <c r="Q5081" s="1323"/>
      <c r="R5081" s="1304"/>
      <c r="S5081" s="1304"/>
      <c r="T5081" s="1304"/>
    </row>
    <row r="5082" spans="1:20">
      <c r="A5082" s="1303"/>
      <c r="B5082" s="1322" t="s">
        <v>11622</v>
      </c>
      <c r="C5082" s="1323" t="s">
        <v>11096</v>
      </c>
      <c r="D5082" s="1324">
        <f t="shared" si="504"/>
        <v>34471</v>
      </c>
      <c r="E5082" s="1323">
        <f t="shared" si="506"/>
        <v>3.6543000000000001</v>
      </c>
      <c r="F5082" s="1323">
        <f t="shared" si="505"/>
        <v>3.7037995716466892</v>
      </c>
      <c r="G5082" s="1323">
        <f t="shared" si="507"/>
        <v>1994</v>
      </c>
      <c r="H5082" s="1323">
        <f t="shared" si="508"/>
        <v>5</v>
      </c>
      <c r="I5082" s="1323">
        <f t="shared" si="509"/>
        <v>17</v>
      </c>
      <c r="J5082" s="1323"/>
      <c r="K5082" s="1323"/>
      <c r="L5082" s="1323"/>
      <c r="M5082" s="1323"/>
      <c r="N5082" s="1323"/>
      <c r="O5082" s="1323"/>
      <c r="P5082" s="1323"/>
      <c r="Q5082" s="1323"/>
      <c r="R5082" s="1304"/>
      <c r="S5082" s="1304"/>
      <c r="T5082" s="1304"/>
    </row>
    <row r="5083" spans="1:20">
      <c r="A5083" s="1303"/>
      <c r="B5083" s="1322" t="s">
        <v>11623</v>
      </c>
      <c r="C5083" s="1323" t="s">
        <v>11032</v>
      </c>
      <c r="D5083" s="1324">
        <f t="shared" si="504"/>
        <v>34470</v>
      </c>
      <c r="E5083" s="1323">
        <f t="shared" si="506"/>
        <v>3.661</v>
      </c>
      <c r="F5083" s="1323">
        <f t="shared" si="505"/>
        <v>3.7030893901198167</v>
      </c>
      <c r="G5083" s="1323">
        <f t="shared" si="507"/>
        <v>1994</v>
      </c>
      <c r="H5083" s="1323">
        <f t="shared" si="508"/>
        <v>5</v>
      </c>
      <c r="I5083" s="1323">
        <f t="shared" si="509"/>
        <v>16</v>
      </c>
      <c r="J5083" s="1323"/>
      <c r="K5083" s="1323"/>
      <c r="L5083" s="1323"/>
      <c r="M5083" s="1323"/>
      <c r="N5083" s="1323"/>
      <c r="O5083" s="1323"/>
      <c r="P5083" s="1323"/>
      <c r="Q5083" s="1323"/>
      <c r="R5083" s="1304"/>
      <c r="S5083" s="1304"/>
      <c r="T5083" s="1304"/>
    </row>
    <row r="5084" spans="1:20">
      <c r="A5084" s="1303"/>
      <c r="B5084" s="1322" t="s">
        <v>11624</v>
      </c>
      <c r="C5084" s="1323" t="s">
        <v>11089</v>
      </c>
      <c r="D5084" s="1324">
        <f t="shared" si="504"/>
        <v>34467</v>
      </c>
      <c r="E5084" s="1323">
        <f t="shared" si="506"/>
        <v>3.6456</v>
      </c>
      <c r="F5084" s="1323">
        <f t="shared" si="505"/>
        <v>3.702379344766026</v>
      </c>
      <c r="G5084" s="1323">
        <f t="shared" si="507"/>
        <v>1994</v>
      </c>
      <c r="H5084" s="1323">
        <f t="shared" si="508"/>
        <v>5</v>
      </c>
      <c r="I5084" s="1323">
        <f t="shared" si="509"/>
        <v>13</v>
      </c>
      <c r="J5084" s="1323"/>
      <c r="K5084" s="1323"/>
      <c r="L5084" s="1323"/>
      <c r="M5084" s="1323"/>
      <c r="N5084" s="1323"/>
      <c r="O5084" s="1323"/>
      <c r="P5084" s="1323"/>
      <c r="Q5084" s="1323"/>
      <c r="R5084" s="1304"/>
      <c r="S5084" s="1304"/>
      <c r="T5084" s="1304"/>
    </row>
    <row r="5085" spans="1:20">
      <c r="A5085" s="1303"/>
      <c r="B5085" s="1322" t="s">
        <v>11625</v>
      </c>
      <c r="C5085" s="1323" t="s">
        <v>11020</v>
      </c>
      <c r="D5085" s="1324">
        <f t="shared" si="504"/>
        <v>34465</v>
      </c>
      <c r="E5085" s="1323">
        <f t="shared" si="506"/>
        <v>3.641</v>
      </c>
      <c r="F5085" s="1323">
        <f t="shared" si="505"/>
        <v>3.7016694355592064</v>
      </c>
      <c r="G5085" s="1323">
        <f t="shared" si="507"/>
        <v>1994</v>
      </c>
      <c r="H5085" s="1323">
        <f t="shared" si="508"/>
        <v>5</v>
      </c>
      <c r="I5085" s="1323">
        <f t="shared" si="509"/>
        <v>11</v>
      </c>
      <c r="J5085" s="1323"/>
      <c r="K5085" s="1323"/>
      <c r="L5085" s="1323"/>
      <c r="M5085" s="1323"/>
      <c r="N5085" s="1323"/>
      <c r="O5085" s="1323"/>
      <c r="P5085" s="1323"/>
      <c r="Q5085" s="1323"/>
      <c r="R5085" s="1304"/>
      <c r="S5085" s="1304"/>
      <c r="T5085" s="1304"/>
    </row>
    <row r="5086" spans="1:20">
      <c r="A5086" s="1303"/>
      <c r="B5086" s="1322" t="s">
        <v>11626</v>
      </c>
      <c r="C5086" s="1323" t="s">
        <v>11108</v>
      </c>
      <c r="D5086" s="1324">
        <f t="shared" si="504"/>
        <v>34463</v>
      </c>
      <c r="E5086" s="1323">
        <f t="shared" si="506"/>
        <v>3.5796999999999999</v>
      </c>
      <c r="F5086" s="1323">
        <f t="shared" si="505"/>
        <v>3.7009596624732524</v>
      </c>
      <c r="G5086" s="1323">
        <f t="shared" si="507"/>
        <v>1994</v>
      </c>
      <c r="H5086" s="1323">
        <f t="shared" si="508"/>
        <v>5</v>
      </c>
      <c r="I5086" s="1323">
        <f t="shared" si="509"/>
        <v>9</v>
      </c>
      <c r="J5086" s="1323"/>
      <c r="K5086" s="1323"/>
      <c r="L5086" s="1323"/>
      <c r="M5086" s="1323"/>
      <c r="N5086" s="1323"/>
      <c r="O5086" s="1323"/>
      <c r="P5086" s="1323"/>
      <c r="Q5086" s="1323"/>
      <c r="R5086" s="1304"/>
      <c r="S5086" s="1304"/>
      <c r="T5086" s="1304"/>
    </row>
    <row r="5087" spans="1:20">
      <c r="A5087" s="1303"/>
      <c r="B5087" s="1322" t="s">
        <v>11627</v>
      </c>
      <c r="C5087" s="1323" t="s">
        <v>11538</v>
      </c>
      <c r="D5087" s="1324">
        <f t="shared" si="504"/>
        <v>34460</v>
      </c>
      <c r="E5087" s="1323">
        <f t="shared" si="506"/>
        <v>3.5746000000000002</v>
      </c>
      <c r="F5087" s="1323">
        <f t="shared" si="505"/>
        <v>3.7002500254820641</v>
      </c>
      <c r="G5087" s="1323">
        <f t="shared" si="507"/>
        <v>1994</v>
      </c>
      <c r="H5087" s="1323">
        <f t="shared" si="508"/>
        <v>5</v>
      </c>
      <c r="I5087" s="1323">
        <f t="shared" si="509"/>
        <v>6</v>
      </c>
      <c r="J5087" s="1323"/>
      <c r="K5087" s="1323"/>
      <c r="L5087" s="1323"/>
      <c r="M5087" s="1323"/>
      <c r="N5087" s="1323"/>
      <c r="O5087" s="1323"/>
      <c r="P5087" s="1323"/>
      <c r="Q5087" s="1323"/>
      <c r="R5087" s="1304"/>
      <c r="S5087" s="1304"/>
      <c r="T5087" s="1304"/>
    </row>
    <row r="5088" spans="1:20">
      <c r="A5088" s="1303"/>
      <c r="B5088" s="1322" t="s">
        <v>11628</v>
      </c>
      <c r="C5088" s="1323" t="s">
        <v>11493</v>
      </c>
      <c r="D5088" s="1324">
        <f t="shared" si="504"/>
        <v>34459</v>
      </c>
      <c r="E5088" s="1323">
        <f t="shared" si="506"/>
        <v>3.6133999999999999</v>
      </c>
      <c r="F5088" s="1323">
        <f t="shared" si="505"/>
        <v>3.6995405245595459</v>
      </c>
      <c r="G5088" s="1323">
        <f t="shared" si="507"/>
        <v>1994</v>
      </c>
      <c r="H5088" s="1323">
        <f t="shared" si="508"/>
        <v>5</v>
      </c>
      <c r="I5088" s="1323">
        <f t="shared" si="509"/>
        <v>5</v>
      </c>
      <c r="J5088" s="1323"/>
      <c r="K5088" s="1323"/>
      <c r="L5088" s="1323"/>
      <c r="M5088" s="1323"/>
      <c r="N5088" s="1323"/>
      <c r="O5088" s="1323"/>
      <c r="P5088" s="1323"/>
      <c r="Q5088" s="1323"/>
      <c r="R5088" s="1304"/>
      <c r="S5088" s="1304"/>
      <c r="T5088" s="1304"/>
    </row>
    <row r="5089" spans="1:20">
      <c r="A5089" s="1303"/>
      <c r="B5089" s="1322" t="s">
        <v>11629</v>
      </c>
      <c r="C5089" s="1323" t="s">
        <v>11194</v>
      </c>
      <c r="D5089" s="1324">
        <f t="shared" si="504"/>
        <v>34458</v>
      </c>
      <c r="E5089" s="1323">
        <f t="shared" si="506"/>
        <v>3.5581</v>
      </c>
      <c r="F5089" s="1323">
        <f t="shared" si="505"/>
        <v>3.6988311596796071</v>
      </c>
      <c r="G5089" s="1323">
        <f t="shared" si="507"/>
        <v>1994</v>
      </c>
      <c r="H5089" s="1323">
        <f t="shared" si="508"/>
        <v>5</v>
      </c>
      <c r="I5089" s="1323">
        <f t="shared" si="509"/>
        <v>4</v>
      </c>
      <c r="J5089" s="1323"/>
      <c r="K5089" s="1323"/>
      <c r="L5089" s="1323"/>
      <c r="M5089" s="1323"/>
      <c r="N5089" s="1323"/>
      <c r="O5089" s="1323"/>
      <c r="P5089" s="1323"/>
      <c r="Q5089" s="1323"/>
      <c r="R5089" s="1304"/>
      <c r="S5089" s="1304"/>
      <c r="T5089" s="1304"/>
    </row>
    <row r="5090" spans="1:20">
      <c r="A5090" s="1303"/>
      <c r="B5090" s="1322" t="s">
        <v>11630</v>
      </c>
      <c r="C5090" s="1323" t="s">
        <v>11524</v>
      </c>
      <c r="D5090" s="1324">
        <f t="shared" si="504"/>
        <v>34457</v>
      </c>
      <c r="E5090" s="1323">
        <f t="shared" si="506"/>
        <v>3.528</v>
      </c>
      <c r="F5090" s="1323">
        <f t="shared" si="505"/>
        <v>3.6981219308161628</v>
      </c>
      <c r="G5090" s="1323">
        <f t="shared" si="507"/>
        <v>1994</v>
      </c>
      <c r="H5090" s="1323">
        <f t="shared" si="508"/>
        <v>5</v>
      </c>
      <c r="I5090" s="1323">
        <f t="shared" si="509"/>
        <v>3</v>
      </c>
      <c r="J5090" s="1323"/>
      <c r="K5090" s="1323"/>
      <c r="L5090" s="1323"/>
      <c r="M5090" s="1323"/>
      <c r="N5090" s="1323"/>
      <c r="O5090" s="1323"/>
      <c r="P5090" s="1323"/>
      <c r="Q5090" s="1323"/>
      <c r="R5090" s="1304"/>
      <c r="S5090" s="1304"/>
      <c r="T5090" s="1304"/>
    </row>
    <row r="5091" spans="1:20">
      <c r="A5091" s="1303"/>
      <c r="B5091" s="1322" t="s">
        <v>11631</v>
      </c>
      <c r="C5091" s="1323" t="s">
        <v>11390</v>
      </c>
      <c r="D5091" s="1324">
        <f t="shared" si="504"/>
        <v>34456</v>
      </c>
      <c r="E5091" s="1323">
        <f t="shared" si="506"/>
        <v>3.5106000000000002</v>
      </c>
      <c r="F5091" s="1323">
        <f t="shared" si="505"/>
        <v>3.6974128379431326</v>
      </c>
      <c r="G5091" s="1323">
        <f t="shared" si="507"/>
        <v>1994</v>
      </c>
      <c r="H5091" s="1323">
        <f t="shared" si="508"/>
        <v>5</v>
      </c>
      <c r="I5091" s="1323">
        <f t="shared" si="509"/>
        <v>2</v>
      </c>
      <c r="J5091" s="1323"/>
      <c r="K5091" s="1323"/>
      <c r="L5091" s="1323"/>
      <c r="M5091" s="1323"/>
      <c r="N5091" s="1323"/>
      <c r="O5091" s="1323"/>
      <c r="P5091" s="1323"/>
      <c r="Q5091" s="1323"/>
      <c r="R5091" s="1304"/>
      <c r="S5091" s="1304"/>
      <c r="T5091" s="1304"/>
    </row>
    <row r="5092" spans="1:20">
      <c r="A5092" s="1303"/>
      <c r="B5092" s="1322" t="s">
        <v>11632</v>
      </c>
      <c r="C5092" s="1323" t="s">
        <v>11463</v>
      </c>
      <c r="D5092" s="1324">
        <f t="shared" si="504"/>
        <v>34453</v>
      </c>
      <c r="E5092" s="1323">
        <f t="shared" si="506"/>
        <v>3.5297999999999998</v>
      </c>
      <c r="F5092" s="1323">
        <f t="shared" si="505"/>
        <v>3.6967038810344408</v>
      </c>
      <c r="G5092" s="1323">
        <f t="shared" si="507"/>
        <v>1994</v>
      </c>
      <c r="H5092" s="1323">
        <f t="shared" si="508"/>
        <v>4</v>
      </c>
      <c r="I5092" s="1323">
        <f t="shared" si="509"/>
        <v>29</v>
      </c>
      <c r="J5092" s="1323"/>
      <c r="K5092" s="1323"/>
      <c r="L5092" s="1323"/>
      <c r="M5092" s="1323"/>
      <c r="N5092" s="1323"/>
      <c r="O5092" s="1323"/>
      <c r="P5092" s="1323"/>
      <c r="Q5092" s="1323"/>
      <c r="R5092" s="1304"/>
      <c r="S5092" s="1304"/>
      <c r="T5092" s="1304"/>
    </row>
    <row r="5093" spans="1:20">
      <c r="A5093" s="1303"/>
      <c r="B5093" s="1322" t="s">
        <v>11633</v>
      </c>
      <c r="C5093" s="1323" t="s">
        <v>11634</v>
      </c>
      <c r="D5093" s="1324">
        <f t="shared" si="504"/>
        <v>34450</v>
      </c>
      <c r="E5093" s="1323">
        <f t="shared" si="506"/>
        <v>3.5886999999999998</v>
      </c>
      <c r="F5093" s="1323">
        <f t="shared" si="505"/>
        <v>3.6959950600640172</v>
      </c>
      <c r="G5093" s="1323">
        <f t="shared" si="507"/>
        <v>1994</v>
      </c>
      <c r="H5093" s="1323">
        <f t="shared" si="508"/>
        <v>4</v>
      </c>
      <c r="I5093" s="1323">
        <f t="shared" si="509"/>
        <v>26</v>
      </c>
      <c r="J5093" s="1323"/>
      <c r="K5093" s="1323"/>
      <c r="L5093" s="1323"/>
      <c r="M5093" s="1323"/>
      <c r="N5093" s="1323"/>
      <c r="O5093" s="1323"/>
      <c r="P5093" s="1323"/>
      <c r="Q5093" s="1323"/>
      <c r="R5093" s="1304"/>
      <c r="S5093" s="1304"/>
      <c r="T5093" s="1304"/>
    </row>
    <row r="5094" spans="1:20">
      <c r="A5094" s="1303"/>
      <c r="B5094" s="1322" t="s">
        <v>11635</v>
      </c>
      <c r="C5094" s="1323" t="s">
        <v>11307</v>
      </c>
      <c r="D5094" s="1324">
        <f t="shared" si="504"/>
        <v>34449</v>
      </c>
      <c r="E5094" s="1323">
        <f t="shared" si="506"/>
        <v>3.6095000000000002</v>
      </c>
      <c r="F5094" s="1323">
        <f t="shared" si="505"/>
        <v>3.6952863750057969</v>
      </c>
      <c r="G5094" s="1323">
        <f t="shared" si="507"/>
        <v>1994</v>
      </c>
      <c r="H5094" s="1323">
        <f t="shared" si="508"/>
        <v>4</v>
      </c>
      <c r="I5094" s="1323">
        <f t="shared" si="509"/>
        <v>25</v>
      </c>
      <c r="J5094" s="1323"/>
      <c r="K5094" s="1323"/>
      <c r="L5094" s="1323"/>
      <c r="M5094" s="1323"/>
      <c r="N5094" s="1323"/>
      <c r="O5094" s="1323"/>
      <c r="P5094" s="1323"/>
      <c r="Q5094" s="1323"/>
      <c r="R5094" s="1304"/>
      <c r="S5094" s="1304"/>
      <c r="T5094" s="1304"/>
    </row>
    <row r="5095" spans="1:20">
      <c r="A5095" s="1303"/>
      <c r="B5095" s="1322" t="s">
        <v>11636</v>
      </c>
      <c r="C5095" s="1323" t="s">
        <v>11190</v>
      </c>
      <c r="D5095" s="1324">
        <f t="shared" si="504"/>
        <v>34446</v>
      </c>
      <c r="E5095" s="1323">
        <f t="shared" si="506"/>
        <v>3.6030000000000002</v>
      </c>
      <c r="F5095" s="1323">
        <f t="shared" si="505"/>
        <v>3.694577825833719</v>
      </c>
      <c r="G5095" s="1323">
        <f t="shared" si="507"/>
        <v>1994</v>
      </c>
      <c r="H5095" s="1323">
        <f t="shared" si="508"/>
        <v>4</v>
      </c>
      <c r="I5095" s="1323">
        <f t="shared" si="509"/>
        <v>22</v>
      </c>
      <c r="J5095" s="1323"/>
      <c r="K5095" s="1323"/>
      <c r="L5095" s="1323"/>
      <c r="M5095" s="1323"/>
      <c r="N5095" s="1323"/>
      <c r="O5095" s="1323"/>
      <c r="P5095" s="1323"/>
      <c r="Q5095" s="1323"/>
      <c r="R5095" s="1304"/>
      <c r="S5095" s="1304"/>
      <c r="T5095" s="1304"/>
    </row>
    <row r="5096" spans="1:20">
      <c r="A5096" s="1303"/>
      <c r="B5096" s="1322" t="s">
        <v>11637</v>
      </c>
      <c r="C5096" s="1323" t="s">
        <v>11319</v>
      </c>
      <c r="D5096" s="1324">
        <f t="shared" si="504"/>
        <v>34445</v>
      </c>
      <c r="E5096" s="1323">
        <f t="shared" si="506"/>
        <v>3.5939000000000001</v>
      </c>
      <c r="F5096" s="1323">
        <f t="shared" si="505"/>
        <v>3.6938694125217282</v>
      </c>
      <c r="G5096" s="1323">
        <f t="shared" si="507"/>
        <v>1994</v>
      </c>
      <c r="H5096" s="1323">
        <f t="shared" si="508"/>
        <v>4</v>
      </c>
      <c r="I5096" s="1323">
        <f t="shared" si="509"/>
        <v>21</v>
      </c>
      <c r="J5096" s="1323"/>
      <c r="K5096" s="1323"/>
      <c r="L5096" s="1323"/>
      <c r="M5096" s="1323"/>
      <c r="N5096" s="1323"/>
      <c r="O5096" s="1323"/>
      <c r="P5096" s="1323"/>
      <c r="Q5096" s="1323"/>
      <c r="R5096" s="1304"/>
      <c r="S5096" s="1304"/>
      <c r="T5096" s="1304"/>
    </row>
    <row r="5097" spans="1:20">
      <c r="A5097" s="1303"/>
      <c r="B5097" s="1322" t="s">
        <v>11638</v>
      </c>
      <c r="C5097" s="1323" t="s">
        <v>11305</v>
      </c>
      <c r="D5097" s="1324">
        <f t="shared" si="504"/>
        <v>34444</v>
      </c>
      <c r="E5097" s="1323">
        <f t="shared" si="506"/>
        <v>3.5411000000000001</v>
      </c>
      <c r="F5097" s="1323">
        <f t="shared" si="505"/>
        <v>3.6931611350437743</v>
      </c>
      <c r="G5097" s="1323">
        <f t="shared" si="507"/>
        <v>1994</v>
      </c>
      <c r="H5097" s="1323">
        <f t="shared" si="508"/>
        <v>4</v>
      </c>
      <c r="I5097" s="1323">
        <f t="shared" si="509"/>
        <v>20</v>
      </c>
      <c r="J5097" s="1323"/>
      <c r="K5097" s="1323"/>
      <c r="L5097" s="1323"/>
      <c r="M5097" s="1323"/>
      <c r="N5097" s="1323"/>
      <c r="O5097" s="1323"/>
      <c r="P5097" s="1323"/>
      <c r="Q5097" s="1323"/>
      <c r="R5097" s="1304"/>
      <c r="S5097" s="1304"/>
      <c r="T5097" s="1304"/>
    </row>
    <row r="5098" spans="1:20">
      <c r="A5098" s="1303"/>
      <c r="B5098" s="1322" t="s">
        <v>11639</v>
      </c>
      <c r="C5098" s="1323" t="s">
        <v>11640</v>
      </c>
      <c r="D5098" s="1324">
        <f t="shared" si="504"/>
        <v>34443</v>
      </c>
      <c r="E5098" s="1323">
        <f t="shared" si="506"/>
        <v>3.6291000000000002</v>
      </c>
      <c r="F5098" s="1323">
        <f t="shared" si="505"/>
        <v>3.6924529933738119</v>
      </c>
      <c r="G5098" s="1323">
        <f t="shared" si="507"/>
        <v>1994</v>
      </c>
      <c r="H5098" s="1323">
        <f t="shared" si="508"/>
        <v>4</v>
      </c>
      <c r="I5098" s="1323">
        <f t="shared" si="509"/>
        <v>19</v>
      </c>
      <c r="J5098" s="1323"/>
      <c r="K5098" s="1323"/>
      <c r="L5098" s="1323"/>
      <c r="M5098" s="1323"/>
      <c r="N5098" s="1323"/>
      <c r="O5098" s="1323"/>
      <c r="P5098" s="1323"/>
      <c r="Q5098" s="1323"/>
      <c r="R5098" s="1304"/>
      <c r="S5098" s="1304"/>
      <c r="T5098" s="1304"/>
    </row>
    <row r="5099" spans="1:20">
      <c r="A5099" s="1303"/>
      <c r="B5099" s="1322" t="s">
        <v>11641</v>
      </c>
      <c r="C5099" s="1323" t="s">
        <v>11058</v>
      </c>
      <c r="D5099" s="1324">
        <f t="shared" si="504"/>
        <v>34442</v>
      </c>
      <c r="E5099" s="1323">
        <f t="shared" si="506"/>
        <v>3.6423000000000001</v>
      </c>
      <c r="F5099" s="1323">
        <f t="shared" si="505"/>
        <v>3.691744987485801</v>
      </c>
      <c r="G5099" s="1323">
        <f t="shared" si="507"/>
        <v>1994</v>
      </c>
      <c r="H5099" s="1323">
        <f t="shared" si="508"/>
        <v>4</v>
      </c>
      <c r="I5099" s="1323">
        <f t="shared" si="509"/>
        <v>18</v>
      </c>
      <c r="J5099" s="1323"/>
      <c r="K5099" s="1323"/>
      <c r="L5099" s="1323"/>
      <c r="M5099" s="1323"/>
      <c r="N5099" s="1323"/>
      <c r="O5099" s="1323"/>
      <c r="P5099" s="1323"/>
      <c r="Q5099" s="1323"/>
      <c r="R5099" s="1304"/>
      <c r="S5099" s="1304"/>
      <c r="T5099" s="1304"/>
    </row>
    <row r="5100" spans="1:20">
      <c r="A5100" s="1303"/>
      <c r="B5100" s="1322" t="s">
        <v>11642</v>
      </c>
      <c r="C5100" s="1323" t="s">
        <v>11022</v>
      </c>
      <c r="D5100" s="1324">
        <f t="shared" si="504"/>
        <v>34439</v>
      </c>
      <c r="E5100" s="1323">
        <f t="shared" si="506"/>
        <v>3.6198999999999999</v>
      </c>
      <c r="F5100" s="1323">
        <f t="shared" si="505"/>
        <v>3.6910371173537055</v>
      </c>
      <c r="G5100" s="1323">
        <f t="shared" si="507"/>
        <v>1994</v>
      </c>
      <c r="H5100" s="1323">
        <f t="shared" si="508"/>
        <v>4</v>
      </c>
      <c r="I5100" s="1323">
        <f t="shared" si="509"/>
        <v>15</v>
      </c>
      <c r="J5100" s="1323"/>
      <c r="K5100" s="1323"/>
      <c r="L5100" s="1323"/>
      <c r="M5100" s="1323"/>
      <c r="N5100" s="1323"/>
      <c r="O5100" s="1323"/>
      <c r="P5100" s="1323"/>
      <c r="Q5100" s="1323"/>
      <c r="R5100" s="1304"/>
      <c r="S5100" s="1304"/>
      <c r="T5100" s="1304"/>
    </row>
    <row r="5101" spans="1:20">
      <c r="A5101" s="1303"/>
      <c r="B5101" s="1322" t="s">
        <v>11643</v>
      </c>
      <c r="C5101" s="1323" t="s">
        <v>11601</v>
      </c>
      <c r="D5101" s="1324">
        <f t="shared" si="504"/>
        <v>34438</v>
      </c>
      <c r="E5101" s="1323">
        <f t="shared" si="506"/>
        <v>3.6198999999999999</v>
      </c>
      <c r="F5101" s="1323">
        <f t="shared" si="505"/>
        <v>3.6903293829514956</v>
      </c>
      <c r="G5101" s="1323">
        <f t="shared" si="507"/>
        <v>1994</v>
      </c>
      <c r="H5101" s="1323">
        <f t="shared" si="508"/>
        <v>4</v>
      </c>
      <c r="I5101" s="1323">
        <f t="shared" si="509"/>
        <v>14</v>
      </c>
      <c r="J5101" s="1323"/>
      <c r="K5101" s="1323"/>
      <c r="L5101" s="1323"/>
      <c r="M5101" s="1323"/>
      <c r="N5101" s="1323"/>
      <c r="O5101" s="1323"/>
      <c r="P5101" s="1323"/>
      <c r="Q5101" s="1323"/>
      <c r="R5101" s="1304"/>
      <c r="S5101" s="1304"/>
      <c r="T5101" s="1304"/>
    </row>
    <row r="5102" spans="1:20">
      <c r="A5102" s="1303"/>
      <c r="B5102" s="1322" t="s">
        <v>11644</v>
      </c>
      <c r="C5102" s="1323" t="s">
        <v>11601</v>
      </c>
      <c r="D5102" s="1324">
        <f t="shared" si="504"/>
        <v>34437</v>
      </c>
      <c r="E5102" s="1323">
        <f t="shared" si="506"/>
        <v>3.5964999999999998</v>
      </c>
      <c r="F5102" s="1323">
        <f t="shared" si="505"/>
        <v>3.6896217842531454</v>
      </c>
      <c r="G5102" s="1323">
        <f t="shared" si="507"/>
        <v>1994</v>
      </c>
      <c r="H5102" s="1323">
        <f t="shared" si="508"/>
        <v>4</v>
      </c>
      <c r="I5102" s="1323">
        <f t="shared" si="509"/>
        <v>13</v>
      </c>
      <c r="J5102" s="1323"/>
      <c r="K5102" s="1323"/>
      <c r="L5102" s="1323"/>
      <c r="M5102" s="1323"/>
      <c r="N5102" s="1323"/>
      <c r="O5102" s="1323"/>
      <c r="P5102" s="1323"/>
      <c r="Q5102" s="1323"/>
      <c r="R5102" s="1304"/>
      <c r="S5102" s="1304"/>
      <c r="T5102" s="1304"/>
    </row>
    <row r="5103" spans="1:20">
      <c r="A5103" s="1303"/>
      <c r="B5103" s="1322" t="s">
        <v>11645</v>
      </c>
      <c r="C5103" s="1323" t="s">
        <v>11303</v>
      </c>
      <c r="D5103" s="1324">
        <f t="shared" si="504"/>
        <v>34436</v>
      </c>
      <c r="E5103" s="1323">
        <f t="shared" si="506"/>
        <v>3.6004</v>
      </c>
      <c r="F5103" s="1323">
        <f t="shared" si="505"/>
        <v>3.6889143212326347</v>
      </c>
      <c r="G5103" s="1323">
        <f t="shared" si="507"/>
        <v>1994</v>
      </c>
      <c r="H5103" s="1323">
        <f t="shared" si="508"/>
        <v>4</v>
      </c>
      <c r="I5103" s="1323">
        <f t="shared" si="509"/>
        <v>12</v>
      </c>
      <c r="J5103" s="1323"/>
      <c r="K5103" s="1323"/>
      <c r="L5103" s="1323"/>
      <c r="M5103" s="1323"/>
      <c r="N5103" s="1323"/>
      <c r="O5103" s="1323"/>
      <c r="P5103" s="1323"/>
      <c r="Q5103" s="1323"/>
      <c r="R5103" s="1304"/>
      <c r="S5103" s="1304"/>
      <c r="T5103" s="1304"/>
    </row>
    <row r="5104" spans="1:20">
      <c r="A5104" s="1303"/>
      <c r="B5104" s="1322" t="s">
        <v>11646</v>
      </c>
      <c r="C5104" s="1323" t="s">
        <v>11301</v>
      </c>
      <c r="D5104" s="1324">
        <f t="shared" si="504"/>
        <v>34435</v>
      </c>
      <c r="E5104" s="1323">
        <f t="shared" si="506"/>
        <v>3.5886999999999998</v>
      </c>
      <c r="F5104" s="1323">
        <f t="shared" si="505"/>
        <v>3.6882069938639486</v>
      </c>
      <c r="G5104" s="1323">
        <f t="shared" si="507"/>
        <v>1994</v>
      </c>
      <c r="H5104" s="1323">
        <f t="shared" si="508"/>
        <v>4</v>
      </c>
      <c r="I5104" s="1323">
        <f t="shared" si="509"/>
        <v>11</v>
      </c>
      <c r="J5104" s="1323"/>
      <c r="K5104" s="1323"/>
      <c r="L5104" s="1323"/>
      <c r="M5104" s="1323"/>
      <c r="N5104" s="1323"/>
      <c r="O5104" s="1323"/>
      <c r="P5104" s="1323"/>
      <c r="Q5104" s="1323"/>
      <c r="R5104" s="1304"/>
      <c r="S5104" s="1304"/>
      <c r="T5104" s="1304"/>
    </row>
    <row r="5105" spans="1:20">
      <c r="A5105" s="1303"/>
      <c r="B5105" s="1322" t="s">
        <v>11647</v>
      </c>
      <c r="C5105" s="1323" t="s">
        <v>11307</v>
      </c>
      <c r="D5105" s="1324">
        <f t="shared" si="504"/>
        <v>34432</v>
      </c>
      <c r="E5105" s="1323">
        <f t="shared" si="506"/>
        <v>3.5461</v>
      </c>
      <c r="F5105" s="1323">
        <f t="shared" si="505"/>
        <v>3.6874998021210761</v>
      </c>
      <c r="G5105" s="1323">
        <f t="shared" si="507"/>
        <v>1994</v>
      </c>
      <c r="H5105" s="1323">
        <f t="shared" si="508"/>
        <v>4</v>
      </c>
      <c r="I5105" s="1323">
        <f t="shared" si="509"/>
        <v>8</v>
      </c>
      <c r="J5105" s="1323"/>
      <c r="K5105" s="1323"/>
      <c r="L5105" s="1323"/>
      <c r="M5105" s="1323"/>
      <c r="N5105" s="1323"/>
      <c r="O5105" s="1323"/>
      <c r="P5105" s="1323"/>
      <c r="Q5105" s="1323"/>
      <c r="R5105" s="1304"/>
      <c r="S5105" s="1304"/>
      <c r="T5105" s="1304"/>
    </row>
    <row r="5106" spans="1:20">
      <c r="A5106" s="1303"/>
      <c r="B5106" s="1322" t="s">
        <v>11648</v>
      </c>
      <c r="C5106" s="1323" t="s">
        <v>11649</v>
      </c>
      <c r="D5106" s="1324">
        <f t="shared" si="504"/>
        <v>34431</v>
      </c>
      <c r="E5106" s="1323">
        <f t="shared" si="506"/>
        <v>3.5467</v>
      </c>
      <c r="F5106" s="1323">
        <f t="shared" si="505"/>
        <v>3.6867927459780119</v>
      </c>
      <c r="G5106" s="1323">
        <f t="shared" si="507"/>
        <v>1994</v>
      </c>
      <c r="H5106" s="1323">
        <f t="shared" si="508"/>
        <v>4</v>
      </c>
      <c r="I5106" s="1323">
        <f t="shared" si="509"/>
        <v>7</v>
      </c>
      <c r="J5106" s="1323"/>
      <c r="K5106" s="1323"/>
      <c r="L5106" s="1323"/>
      <c r="M5106" s="1323"/>
      <c r="N5106" s="1323"/>
      <c r="O5106" s="1323"/>
      <c r="P5106" s="1323"/>
      <c r="Q5106" s="1323"/>
      <c r="R5106" s="1304"/>
      <c r="S5106" s="1304"/>
      <c r="T5106" s="1304"/>
    </row>
    <row r="5107" spans="1:20">
      <c r="A5107" s="1303"/>
      <c r="B5107" s="1322" t="s">
        <v>11650</v>
      </c>
      <c r="C5107" s="1323" t="s">
        <v>11359</v>
      </c>
      <c r="D5107" s="1324">
        <f t="shared" si="504"/>
        <v>34429</v>
      </c>
      <c r="E5107" s="1323">
        <f t="shared" si="506"/>
        <v>3.5131000000000001</v>
      </c>
      <c r="F5107" s="1323">
        <f t="shared" si="505"/>
        <v>3.6860858254087554</v>
      </c>
      <c r="G5107" s="1323">
        <f t="shared" si="507"/>
        <v>1994</v>
      </c>
      <c r="H5107" s="1323">
        <f t="shared" si="508"/>
        <v>4</v>
      </c>
      <c r="I5107" s="1323">
        <f t="shared" si="509"/>
        <v>5</v>
      </c>
      <c r="J5107" s="1323"/>
      <c r="K5107" s="1323"/>
      <c r="L5107" s="1323"/>
      <c r="M5107" s="1323"/>
      <c r="N5107" s="1323"/>
      <c r="O5107" s="1323"/>
      <c r="P5107" s="1323"/>
      <c r="Q5107" s="1323"/>
      <c r="R5107" s="1304"/>
      <c r="S5107" s="1304"/>
      <c r="T5107" s="1304"/>
    </row>
    <row r="5108" spans="1:20">
      <c r="A5108" s="1303"/>
      <c r="B5108" s="1322" t="s">
        <v>11651</v>
      </c>
      <c r="C5108" s="1323" t="s">
        <v>11488</v>
      </c>
      <c r="D5108" s="1324">
        <f t="shared" si="504"/>
        <v>34424</v>
      </c>
      <c r="E5108" s="1323">
        <f t="shared" si="506"/>
        <v>3.4716</v>
      </c>
      <c r="F5108" s="1323">
        <f t="shared" si="505"/>
        <v>3.685379040387311</v>
      </c>
      <c r="G5108" s="1323">
        <f t="shared" si="507"/>
        <v>1994</v>
      </c>
      <c r="H5108" s="1323">
        <f t="shared" si="508"/>
        <v>3</v>
      </c>
      <c r="I5108" s="1323">
        <f t="shared" si="509"/>
        <v>31</v>
      </c>
      <c r="J5108" s="1323"/>
      <c r="K5108" s="1323"/>
      <c r="L5108" s="1323"/>
      <c r="M5108" s="1323"/>
      <c r="N5108" s="1323"/>
      <c r="O5108" s="1323"/>
      <c r="P5108" s="1323"/>
      <c r="Q5108" s="1323"/>
      <c r="R5108" s="1304"/>
      <c r="S5108" s="1304"/>
      <c r="T5108" s="1304"/>
    </row>
    <row r="5109" spans="1:20">
      <c r="A5109" s="1303"/>
      <c r="B5109" s="1322" t="s">
        <v>11652</v>
      </c>
      <c r="C5109" s="1323" t="s">
        <v>11653</v>
      </c>
      <c r="D5109" s="1324">
        <f t="shared" si="504"/>
        <v>34423</v>
      </c>
      <c r="E5109" s="1323">
        <f t="shared" si="506"/>
        <v>3.4590000000000001</v>
      </c>
      <c r="F5109" s="1323">
        <f t="shared" si="505"/>
        <v>3.6846723908876884</v>
      </c>
      <c r="G5109" s="1323">
        <f t="shared" si="507"/>
        <v>1994</v>
      </c>
      <c r="H5109" s="1323">
        <f t="shared" si="508"/>
        <v>3</v>
      </c>
      <c r="I5109" s="1323">
        <f t="shared" si="509"/>
        <v>30</v>
      </c>
      <c r="J5109" s="1323"/>
      <c r="K5109" s="1323"/>
      <c r="L5109" s="1323"/>
      <c r="M5109" s="1323"/>
      <c r="N5109" s="1323"/>
      <c r="O5109" s="1323"/>
      <c r="P5109" s="1323"/>
      <c r="Q5109" s="1323"/>
      <c r="R5109" s="1304"/>
      <c r="S5109" s="1304"/>
      <c r="T5109" s="1304"/>
    </row>
    <row r="5110" spans="1:20">
      <c r="A5110" s="1303"/>
      <c r="B5110" s="1322" t="s">
        <v>11654</v>
      </c>
      <c r="C5110" s="1323" t="s">
        <v>11655</v>
      </c>
      <c r="D5110" s="1324">
        <f t="shared" si="504"/>
        <v>34422</v>
      </c>
      <c r="E5110" s="1323">
        <f t="shared" si="506"/>
        <v>3.4483000000000001</v>
      </c>
      <c r="F5110" s="1323">
        <f t="shared" si="505"/>
        <v>3.6839658768839021</v>
      </c>
      <c r="G5110" s="1323">
        <f t="shared" si="507"/>
        <v>1994</v>
      </c>
      <c r="H5110" s="1323">
        <f t="shared" si="508"/>
        <v>3</v>
      </c>
      <c r="I5110" s="1323">
        <f t="shared" si="509"/>
        <v>29</v>
      </c>
      <c r="J5110" s="1323"/>
      <c r="K5110" s="1323"/>
      <c r="L5110" s="1323"/>
      <c r="M5110" s="1323"/>
      <c r="N5110" s="1323"/>
      <c r="O5110" s="1323"/>
      <c r="P5110" s="1323"/>
      <c r="Q5110" s="1323"/>
      <c r="R5110" s="1304"/>
      <c r="S5110" s="1304"/>
      <c r="T5110" s="1304"/>
    </row>
    <row r="5111" spans="1:20">
      <c r="A5111" s="1303"/>
      <c r="B5111" s="1322" t="s">
        <v>11656</v>
      </c>
      <c r="C5111" s="1323" t="s">
        <v>11657</v>
      </c>
      <c r="D5111" s="1324">
        <f t="shared" si="504"/>
        <v>34421</v>
      </c>
      <c r="E5111" s="1323">
        <f t="shared" si="506"/>
        <v>3.4358</v>
      </c>
      <c r="F5111" s="1323">
        <f t="shared" si="505"/>
        <v>3.683259498349972</v>
      </c>
      <c r="G5111" s="1323">
        <f t="shared" si="507"/>
        <v>1994</v>
      </c>
      <c r="H5111" s="1323">
        <f t="shared" si="508"/>
        <v>3</v>
      </c>
      <c r="I5111" s="1323">
        <f t="shared" si="509"/>
        <v>28</v>
      </c>
      <c r="J5111" s="1323"/>
      <c r="K5111" s="1323"/>
      <c r="L5111" s="1323"/>
      <c r="M5111" s="1323"/>
      <c r="N5111" s="1323"/>
      <c r="O5111" s="1323"/>
      <c r="P5111" s="1323"/>
      <c r="Q5111" s="1323"/>
      <c r="R5111" s="1304"/>
      <c r="S5111" s="1304"/>
      <c r="T5111" s="1304"/>
    </row>
    <row r="5112" spans="1:20">
      <c r="A5112" s="1303"/>
      <c r="B5112" s="1322" t="s">
        <v>11658</v>
      </c>
      <c r="C5112" s="1323" t="s">
        <v>11659</v>
      </c>
      <c r="D5112" s="1324">
        <f t="shared" si="504"/>
        <v>34418</v>
      </c>
      <c r="E5112" s="1323">
        <f t="shared" si="506"/>
        <v>3.4323000000000001</v>
      </c>
      <c r="F5112" s="1323">
        <f t="shared" si="505"/>
        <v>3.6825532552599221</v>
      </c>
      <c r="G5112" s="1323">
        <f t="shared" si="507"/>
        <v>1994</v>
      </c>
      <c r="H5112" s="1323">
        <f t="shared" si="508"/>
        <v>3</v>
      </c>
      <c r="I5112" s="1323">
        <f t="shared" si="509"/>
        <v>25</v>
      </c>
      <c r="J5112" s="1323"/>
      <c r="K5112" s="1323"/>
      <c r="L5112" s="1323"/>
      <c r="M5112" s="1323"/>
      <c r="N5112" s="1323"/>
      <c r="O5112" s="1323"/>
      <c r="P5112" s="1323"/>
      <c r="Q5112" s="1323"/>
      <c r="R5112" s="1304"/>
      <c r="S5112" s="1304"/>
      <c r="T5112" s="1304"/>
    </row>
    <row r="5113" spans="1:20">
      <c r="A5113" s="1303"/>
      <c r="B5113" s="1322" t="s">
        <v>11660</v>
      </c>
      <c r="C5113" s="1323" t="s">
        <v>11661</v>
      </c>
      <c r="D5113" s="1324">
        <f t="shared" si="504"/>
        <v>34417</v>
      </c>
      <c r="E5113" s="1323">
        <f t="shared" si="506"/>
        <v>3.4411999999999998</v>
      </c>
      <c r="F5113" s="1323">
        <f t="shared" si="505"/>
        <v>3.6818471475877819</v>
      </c>
      <c r="G5113" s="1323">
        <f t="shared" si="507"/>
        <v>1994</v>
      </c>
      <c r="H5113" s="1323">
        <f t="shared" si="508"/>
        <v>3</v>
      </c>
      <c r="I5113" s="1323">
        <f t="shared" si="509"/>
        <v>24</v>
      </c>
      <c r="J5113" s="1323"/>
      <c r="K5113" s="1323"/>
      <c r="L5113" s="1323"/>
      <c r="M5113" s="1323"/>
      <c r="N5113" s="1323"/>
      <c r="O5113" s="1323"/>
      <c r="P5113" s="1323"/>
      <c r="Q5113" s="1323"/>
      <c r="R5113" s="1304"/>
      <c r="S5113" s="1304"/>
      <c r="T5113" s="1304"/>
    </row>
    <row r="5114" spans="1:20">
      <c r="A5114" s="1303"/>
      <c r="B5114" s="1322" t="s">
        <v>11662</v>
      </c>
      <c r="C5114" s="1323" t="s">
        <v>11663</v>
      </c>
      <c r="D5114" s="1324">
        <f t="shared" si="504"/>
        <v>34416</v>
      </c>
      <c r="E5114" s="1323">
        <f t="shared" si="506"/>
        <v>3.4464999999999999</v>
      </c>
      <c r="F5114" s="1323">
        <f t="shared" si="505"/>
        <v>3.6811411753075856</v>
      </c>
      <c r="G5114" s="1323">
        <f t="shared" si="507"/>
        <v>1994</v>
      </c>
      <c r="H5114" s="1323">
        <f t="shared" si="508"/>
        <v>3</v>
      </c>
      <c r="I5114" s="1323">
        <f t="shared" si="509"/>
        <v>23</v>
      </c>
      <c r="J5114" s="1323"/>
      <c r="K5114" s="1323"/>
      <c r="L5114" s="1323"/>
      <c r="M5114" s="1323"/>
      <c r="N5114" s="1323"/>
      <c r="O5114" s="1323"/>
      <c r="P5114" s="1323"/>
      <c r="Q5114" s="1323"/>
      <c r="R5114" s="1304"/>
      <c r="S5114" s="1304"/>
      <c r="T5114" s="1304"/>
    </row>
    <row r="5115" spans="1:20">
      <c r="A5115" s="1303"/>
      <c r="B5115" s="1322" t="s">
        <v>11664</v>
      </c>
      <c r="C5115" s="1323" t="s">
        <v>11665</v>
      </c>
      <c r="D5115" s="1324">
        <f t="shared" si="504"/>
        <v>34415</v>
      </c>
      <c r="E5115" s="1323">
        <f t="shared" si="506"/>
        <v>3.4417</v>
      </c>
      <c r="F5115" s="1323">
        <f t="shared" si="505"/>
        <v>3.680435338393373</v>
      </c>
      <c r="G5115" s="1323">
        <f t="shared" si="507"/>
        <v>1994</v>
      </c>
      <c r="H5115" s="1323">
        <f t="shared" si="508"/>
        <v>3</v>
      </c>
      <c r="I5115" s="1323">
        <f t="shared" si="509"/>
        <v>22</v>
      </c>
      <c r="J5115" s="1323"/>
      <c r="K5115" s="1323"/>
      <c r="L5115" s="1323"/>
      <c r="M5115" s="1323"/>
      <c r="N5115" s="1323"/>
      <c r="O5115" s="1323"/>
      <c r="P5115" s="1323"/>
      <c r="Q5115" s="1323"/>
      <c r="R5115" s="1304"/>
      <c r="S5115" s="1304"/>
      <c r="T5115" s="1304"/>
    </row>
    <row r="5116" spans="1:20">
      <c r="A5116" s="1303"/>
      <c r="B5116" s="1322" t="s">
        <v>11666</v>
      </c>
      <c r="C5116" s="1323" t="s">
        <v>11667</v>
      </c>
      <c r="D5116" s="1324">
        <f t="shared" si="504"/>
        <v>34414</v>
      </c>
      <c r="E5116" s="1323">
        <f t="shared" si="506"/>
        <v>3.4512999999999998</v>
      </c>
      <c r="F5116" s="1323">
        <f t="shared" si="505"/>
        <v>3.6797296368191885</v>
      </c>
      <c r="G5116" s="1323">
        <f t="shared" si="507"/>
        <v>1994</v>
      </c>
      <c r="H5116" s="1323">
        <f t="shared" si="508"/>
        <v>3</v>
      </c>
      <c r="I5116" s="1323">
        <f t="shared" si="509"/>
        <v>21</v>
      </c>
      <c r="J5116" s="1323"/>
      <c r="K5116" s="1323"/>
      <c r="L5116" s="1323"/>
      <c r="M5116" s="1323"/>
      <c r="N5116" s="1323"/>
      <c r="O5116" s="1323"/>
      <c r="P5116" s="1323"/>
      <c r="Q5116" s="1323"/>
      <c r="R5116" s="1304"/>
      <c r="S5116" s="1304"/>
      <c r="T5116" s="1304"/>
    </row>
    <row r="5117" spans="1:20">
      <c r="A5117" s="1303"/>
      <c r="B5117" s="1322" t="s">
        <v>11668</v>
      </c>
      <c r="C5117" s="1323" t="s">
        <v>11669</v>
      </c>
      <c r="D5117" s="1324">
        <f t="shared" si="504"/>
        <v>34411</v>
      </c>
      <c r="E5117" s="1323">
        <f t="shared" si="506"/>
        <v>3.4417</v>
      </c>
      <c r="F5117" s="1323">
        <f t="shared" si="505"/>
        <v>3.6790240705590813</v>
      </c>
      <c r="G5117" s="1323">
        <f t="shared" si="507"/>
        <v>1994</v>
      </c>
      <c r="H5117" s="1323">
        <f t="shared" si="508"/>
        <v>3</v>
      </c>
      <c r="I5117" s="1323">
        <f t="shared" si="509"/>
        <v>18</v>
      </c>
      <c r="J5117" s="1323"/>
      <c r="K5117" s="1323"/>
      <c r="L5117" s="1323"/>
      <c r="M5117" s="1323"/>
      <c r="N5117" s="1323"/>
      <c r="O5117" s="1323"/>
      <c r="P5117" s="1323"/>
      <c r="Q5117" s="1323"/>
      <c r="R5117" s="1304"/>
      <c r="S5117" s="1304"/>
      <c r="T5117" s="1304"/>
    </row>
    <row r="5118" spans="1:20">
      <c r="A5118" s="1303"/>
      <c r="B5118" s="1322" t="s">
        <v>11670</v>
      </c>
      <c r="C5118" s="1323" t="s">
        <v>11667</v>
      </c>
      <c r="D5118" s="1324">
        <f t="shared" si="504"/>
        <v>34410</v>
      </c>
      <c r="E5118" s="1323">
        <f t="shared" si="506"/>
        <v>3.4411999999999998</v>
      </c>
      <c r="F5118" s="1323">
        <f t="shared" si="505"/>
        <v>3.6783186395871055</v>
      </c>
      <c r="G5118" s="1323">
        <f t="shared" si="507"/>
        <v>1994</v>
      </c>
      <c r="H5118" s="1323">
        <f t="shared" si="508"/>
        <v>3</v>
      </c>
      <c r="I5118" s="1323">
        <f t="shared" si="509"/>
        <v>17</v>
      </c>
      <c r="J5118" s="1323"/>
      <c r="K5118" s="1323"/>
      <c r="L5118" s="1323"/>
      <c r="M5118" s="1323"/>
      <c r="N5118" s="1323"/>
      <c r="O5118" s="1323"/>
      <c r="P5118" s="1323"/>
      <c r="Q5118" s="1323"/>
      <c r="R5118" s="1304"/>
      <c r="S5118" s="1304"/>
      <c r="T5118" s="1304"/>
    </row>
    <row r="5119" spans="1:20">
      <c r="A5119" s="1303"/>
      <c r="B5119" s="1322" t="s">
        <v>11671</v>
      </c>
      <c r="C5119" s="1323" t="s">
        <v>11663</v>
      </c>
      <c r="D5119" s="1324">
        <f t="shared" si="504"/>
        <v>34409</v>
      </c>
      <c r="E5119" s="1323">
        <f t="shared" si="506"/>
        <v>3.4523999999999999</v>
      </c>
      <c r="F5119" s="1323">
        <f t="shared" si="505"/>
        <v>3.6776133438773209</v>
      </c>
      <c r="G5119" s="1323">
        <f t="shared" si="507"/>
        <v>1994</v>
      </c>
      <c r="H5119" s="1323">
        <f t="shared" si="508"/>
        <v>3</v>
      </c>
      <c r="I5119" s="1323">
        <f t="shared" si="509"/>
        <v>16</v>
      </c>
      <c r="J5119" s="1323"/>
      <c r="K5119" s="1323"/>
      <c r="L5119" s="1323"/>
      <c r="M5119" s="1323"/>
      <c r="N5119" s="1323"/>
      <c r="O5119" s="1323"/>
      <c r="P5119" s="1323"/>
      <c r="Q5119" s="1323"/>
      <c r="R5119" s="1304"/>
      <c r="S5119" s="1304"/>
      <c r="T5119" s="1304"/>
    </row>
    <row r="5120" spans="1:20">
      <c r="A5120" s="1303"/>
      <c r="B5120" s="1322" t="s">
        <v>11672</v>
      </c>
      <c r="C5120" s="1323" t="s">
        <v>11673</v>
      </c>
      <c r="D5120" s="1324">
        <f t="shared" si="504"/>
        <v>34408</v>
      </c>
      <c r="E5120" s="1323">
        <f t="shared" si="506"/>
        <v>3.4489000000000001</v>
      </c>
      <c r="F5120" s="1323">
        <f t="shared" si="505"/>
        <v>3.6769081834037913</v>
      </c>
      <c r="G5120" s="1323">
        <f t="shared" si="507"/>
        <v>1994</v>
      </c>
      <c r="H5120" s="1323">
        <f t="shared" si="508"/>
        <v>3</v>
      </c>
      <c r="I5120" s="1323">
        <f t="shared" si="509"/>
        <v>15</v>
      </c>
      <c r="J5120" s="1323"/>
      <c r="K5120" s="1323"/>
      <c r="L5120" s="1323"/>
      <c r="M5120" s="1323"/>
      <c r="N5120" s="1323"/>
      <c r="O5120" s="1323"/>
      <c r="P5120" s="1323"/>
      <c r="Q5120" s="1323"/>
      <c r="R5120" s="1304"/>
      <c r="S5120" s="1304"/>
      <c r="T5120" s="1304"/>
    </row>
    <row r="5121" spans="1:20">
      <c r="A5121" s="1303"/>
      <c r="B5121" s="1322" t="s">
        <v>11674</v>
      </c>
      <c r="C5121" s="1323" t="s">
        <v>11675</v>
      </c>
      <c r="D5121" s="1324">
        <f t="shared" si="504"/>
        <v>34407</v>
      </c>
      <c r="E5121" s="1323">
        <f t="shared" si="506"/>
        <v>3.4434999999999998</v>
      </c>
      <c r="F5121" s="1323">
        <f t="shared" si="505"/>
        <v>3.6762031581405861</v>
      </c>
      <c r="G5121" s="1323">
        <f t="shared" si="507"/>
        <v>1994</v>
      </c>
      <c r="H5121" s="1323">
        <f t="shared" si="508"/>
        <v>3</v>
      </c>
      <c r="I5121" s="1323">
        <f t="shared" si="509"/>
        <v>14</v>
      </c>
      <c r="J5121" s="1323"/>
      <c r="K5121" s="1323"/>
      <c r="L5121" s="1323"/>
      <c r="M5121" s="1323"/>
      <c r="N5121" s="1323"/>
      <c r="O5121" s="1323"/>
      <c r="P5121" s="1323"/>
      <c r="Q5121" s="1323"/>
      <c r="R5121" s="1304"/>
      <c r="S5121" s="1304"/>
      <c r="T5121" s="1304"/>
    </row>
    <row r="5122" spans="1:20">
      <c r="A5122" s="1303"/>
      <c r="B5122" s="1322" t="s">
        <v>11676</v>
      </c>
      <c r="C5122" s="1323" t="s">
        <v>11677</v>
      </c>
      <c r="D5122" s="1324">
        <f t="shared" si="504"/>
        <v>34404</v>
      </c>
      <c r="E5122" s="1323">
        <f t="shared" si="506"/>
        <v>3.4211</v>
      </c>
      <c r="F5122" s="1323">
        <f t="shared" si="505"/>
        <v>3.6754982680617796</v>
      </c>
      <c r="G5122" s="1323">
        <f t="shared" si="507"/>
        <v>1994</v>
      </c>
      <c r="H5122" s="1323">
        <f t="shared" si="508"/>
        <v>3</v>
      </c>
      <c r="I5122" s="1323">
        <f t="shared" si="509"/>
        <v>11</v>
      </c>
      <c r="J5122" s="1323"/>
      <c r="K5122" s="1323"/>
      <c r="L5122" s="1323"/>
      <c r="M5122" s="1323"/>
      <c r="N5122" s="1323"/>
      <c r="O5122" s="1323"/>
      <c r="P5122" s="1323"/>
      <c r="Q5122" s="1323"/>
      <c r="R5122" s="1304"/>
      <c r="S5122" s="1304"/>
      <c r="T5122" s="1304"/>
    </row>
    <row r="5123" spans="1:20">
      <c r="A5123" s="1303"/>
      <c r="B5123" s="1322" t="s">
        <v>11678</v>
      </c>
      <c r="C5123" s="1323" t="s">
        <v>11679</v>
      </c>
      <c r="D5123" s="1324">
        <f t="shared" si="504"/>
        <v>34403</v>
      </c>
      <c r="E5123" s="1323">
        <f t="shared" si="506"/>
        <v>3.4447000000000001</v>
      </c>
      <c r="F5123" s="1323">
        <f t="shared" si="505"/>
        <v>3.6747935131414509</v>
      </c>
      <c r="G5123" s="1323">
        <f t="shared" si="507"/>
        <v>1994</v>
      </c>
      <c r="H5123" s="1323">
        <f t="shared" si="508"/>
        <v>3</v>
      </c>
      <c r="I5123" s="1323">
        <f t="shared" si="509"/>
        <v>10</v>
      </c>
      <c r="J5123" s="1323"/>
      <c r="K5123" s="1323"/>
      <c r="L5123" s="1323"/>
      <c r="M5123" s="1323"/>
      <c r="N5123" s="1323"/>
      <c r="O5123" s="1323"/>
      <c r="P5123" s="1323"/>
      <c r="Q5123" s="1323"/>
      <c r="R5123" s="1304"/>
      <c r="S5123" s="1304"/>
      <c r="T5123" s="1304"/>
    </row>
    <row r="5124" spans="1:20">
      <c r="A5124" s="1303"/>
      <c r="B5124" s="1322" t="s">
        <v>11680</v>
      </c>
      <c r="C5124" s="1323" t="s">
        <v>11681</v>
      </c>
      <c r="D5124" s="1324">
        <f t="shared" si="504"/>
        <v>34402</v>
      </c>
      <c r="E5124" s="1323">
        <f t="shared" si="506"/>
        <v>3.4752000000000001</v>
      </c>
      <c r="F5124" s="1323">
        <f t="shared" si="505"/>
        <v>3.6740888933536842</v>
      </c>
      <c r="G5124" s="1323">
        <f t="shared" si="507"/>
        <v>1994</v>
      </c>
      <c r="H5124" s="1323">
        <f t="shared" si="508"/>
        <v>3</v>
      </c>
      <c r="I5124" s="1323">
        <f t="shared" si="509"/>
        <v>9</v>
      </c>
      <c r="J5124" s="1323"/>
      <c r="K5124" s="1323"/>
      <c r="L5124" s="1323"/>
      <c r="M5124" s="1323"/>
      <c r="N5124" s="1323"/>
      <c r="O5124" s="1323"/>
      <c r="P5124" s="1323"/>
      <c r="Q5124" s="1323"/>
      <c r="R5124" s="1304"/>
      <c r="S5124" s="1304"/>
      <c r="T5124" s="1304"/>
    </row>
    <row r="5125" spans="1:20">
      <c r="A5125" s="1303"/>
      <c r="B5125" s="1322" t="s">
        <v>11682</v>
      </c>
      <c r="C5125" s="1323" t="s">
        <v>11683</v>
      </c>
      <c r="D5125" s="1324">
        <f t="shared" si="504"/>
        <v>34401</v>
      </c>
      <c r="E5125" s="1323">
        <f t="shared" si="506"/>
        <v>3.4885999999999999</v>
      </c>
      <c r="F5125" s="1323">
        <f t="shared" si="505"/>
        <v>3.6733844086725687</v>
      </c>
      <c r="G5125" s="1323">
        <f t="shared" si="507"/>
        <v>1994</v>
      </c>
      <c r="H5125" s="1323">
        <f t="shared" si="508"/>
        <v>3</v>
      </c>
      <c r="I5125" s="1323">
        <f t="shared" si="509"/>
        <v>8</v>
      </c>
      <c r="J5125" s="1323"/>
      <c r="K5125" s="1323"/>
      <c r="L5125" s="1323"/>
      <c r="M5125" s="1323"/>
      <c r="N5125" s="1323"/>
      <c r="O5125" s="1323"/>
      <c r="P5125" s="1323"/>
      <c r="Q5125" s="1323"/>
      <c r="R5125" s="1304"/>
      <c r="S5125" s="1304"/>
      <c r="T5125" s="1304"/>
    </row>
    <row r="5126" spans="1:20">
      <c r="A5126" s="1303"/>
      <c r="B5126" s="1322" t="s">
        <v>11684</v>
      </c>
      <c r="C5126" s="1323" t="s">
        <v>11685</v>
      </c>
      <c r="D5126" s="1324">
        <f t="shared" si="504"/>
        <v>34400</v>
      </c>
      <c r="E5126" s="1323">
        <f t="shared" si="506"/>
        <v>3.4874000000000001</v>
      </c>
      <c r="F5126" s="1323">
        <f t="shared" si="505"/>
        <v>3.6726800590721984</v>
      </c>
      <c r="G5126" s="1323">
        <f t="shared" si="507"/>
        <v>1994</v>
      </c>
      <c r="H5126" s="1323">
        <f t="shared" si="508"/>
        <v>3</v>
      </c>
      <c r="I5126" s="1323">
        <f t="shared" si="509"/>
        <v>7</v>
      </c>
      <c r="J5126" s="1323"/>
      <c r="K5126" s="1323"/>
      <c r="L5126" s="1323"/>
      <c r="M5126" s="1323"/>
      <c r="N5126" s="1323"/>
      <c r="O5126" s="1323"/>
      <c r="P5126" s="1323"/>
      <c r="Q5126" s="1323"/>
      <c r="R5126" s="1304"/>
      <c r="S5126" s="1304"/>
      <c r="T5126" s="1304"/>
    </row>
    <row r="5127" spans="1:20">
      <c r="A5127" s="1303"/>
      <c r="B5127" s="1322" t="s">
        <v>11686</v>
      </c>
      <c r="C5127" s="1323" t="s">
        <v>11687</v>
      </c>
      <c r="D5127" s="1324">
        <f t="shared" si="504"/>
        <v>34397</v>
      </c>
      <c r="E5127" s="1323">
        <f t="shared" si="506"/>
        <v>3.4704000000000002</v>
      </c>
      <c r="F5127" s="1323">
        <f t="shared" si="505"/>
        <v>3.6719758445266728</v>
      </c>
      <c r="G5127" s="1323">
        <f t="shared" si="507"/>
        <v>1994</v>
      </c>
      <c r="H5127" s="1323">
        <f t="shared" si="508"/>
        <v>3</v>
      </c>
      <c r="I5127" s="1323">
        <f t="shared" si="509"/>
        <v>4</v>
      </c>
      <c r="J5127" s="1323"/>
      <c r="K5127" s="1323"/>
      <c r="L5127" s="1323"/>
      <c r="M5127" s="1323"/>
      <c r="N5127" s="1323"/>
      <c r="O5127" s="1323"/>
      <c r="P5127" s="1323"/>
      <c r="Q5127" s="1323"/>
      <c r="R5127" s="1304"/>
      <c r="S5127" s="1304"/>
      <c r="T5127" s="1304"/>
    </row>
    <row r="5128" spans="1:20">
      <c r="A5128" s="1303"/>
      <c r="B5128" s="1322" t="s">
        <v>11688</v>
      </c>
      <c r="C5128" s="1323" t="s">
        <v>11689</v>
      </c>
      <c r="D5128" s="1324">
        <f t="shared" si="504"/>
        <v>34396</v>
      </c>
      <c r="E5128" s="1323">
        <f t="shared" si="506"/>
        <v>3.4649999999999999</v>
      </c>
      <c r="F5128" s="1323">
        <f t="shared" si="505"/>
        <v>3.6712717650100952</v>
      </c>
      <c r="G5128" s="1323">
        <f t="shared" si="507"/>
        <v>1994</v>
      </c>
      <c r="H5128" s="1323">
        <f t="shared" si="508"/>
        <v>3</v>
      </c>
      <c r="I5128" s="1323">
        <f t="shared" si="509"/>
        <v>3</v>
      </c>
      <c r="J5128" s="1323"/>
      <c r="K5128" s="1323"/>
      <c r="L5128" s="1323"/>
      <c r="M5128" s="1323"/>
      <c r="N5128" s="1323"/>
      <c r="O5128" s="1323"/>
      <c r="P5128" s="1323"/>
      <c r="Q5128" s="1323"/>
      <c r="R5128" s="1304"/>
      <c r="S5128" s="1304"/>
      <c r="T5128" s="1304"/>
    </row>
    <row r="5129" spans="1:20">
      <c r="A5129" s="1303"/>
      <c r="B5129" s="1322" t="s">
        <v>11690</v>
      </c>
      <c r="C5129" s="1323" t="s">
        <v>11691</v>
      </c>
      <c r="D5129" s="1324">
        <f t="shared" ref="D5129:D5192" si="510">DATE(G5129,H5129,I5129)</f>
        <v>34395</v>
      </c>
      <c r="E5129" s="1323">
        <f t="shared" si="506"/>
        <v>3.4655999999999998</v>
      </c>
      <c r="F5129" s="1323">
        <f t="shared" ref="F5129:F5192" si="511">F5130*(1+$F$7/365)</f>
        <v>3.6705678204965753</v>
      </c>
      <c r="G5129" s="1323">
        <f t="shared" si="507"/>
        <v>1994</v>
      </c>
      <c r="H5129" s="1323">
        <f t="shared" si="508"/>
        <v>3</v>
      </c>
      <c r="I5129" s="1323">
        <f t="shared" si="509"/>
        <v>2</v>
      </c>
      <c r="J5129" s="1323"/>
      <c r="K5129" s="1323"/>
      <c r="L5129" s="1323"/>
      <c r="M5129" s="1323"/>
      <c r="N5129" s="1323"/>
      <c r="O5129" s="1323"/>
      <c r="P5129" s="1323"/>
      <c r="Q5129" s="1323"/>
      <c r="R5129" s="1304"/>
      <c r="S5129" s="1304"/>
      <c r="T5129" s="1304"/>
    </row>
    <row r="5130" spans="1:20">
      <c r="A5130" s="1303"/>
      <c r="B5130" s="1322" t="s">
        <v>11692</v>
      </c>
      <c r="C5130" s="1323" t="s">
        <v>11693</v>
      </c>
      <c r="D5130" s="1324">
        <f t="shared" si="510"/>
        <v>34394</v>
      </c>
      <c r="E5130" s="1323">
        <f t="shared" si="506"/>
        <v>3.4584000000000001</v>
      </c>
      <c r="F5130" s="1323">
        <f t="shared" si="511"/>
        <v>3.6698640109602265</v>
      </c>
      <c r="G5130" s="1323">
        <f t="shared" si="507"/>
        <v>1994</v>
      </c>
      <c r="H5130" s="1323">
        <f t="shared" si="508"/>
        <v>3</v>
      </c>
      <c r="I5130" s="1323">
        <f t="shared" si="509"/>
        <v>1</v>
      </c>
      <c r="J5130" s="1323"/>
      <c r="K5130" s="1323"/>
      <c r="L5130" s="1323"/>
      <c r="M5130" s="1323"/>
      <c r="N5130" s="1323"/>
      <c r="O5130" s="1323"/>
      <c r="P5130" s="1323"/>
      <c r="Q5130" s="1323"/>
      <c r="R5130" s="1304"/>
      <c r="S5130" s="1304"/>
      <c r="T5130" s="1304"/>
    </row>
    <row r="5131" spans="1:20">
      <c r="A5131" s="1303"/>
      <c r="B5131" s="1322" t="s">
        <v>11694</v>
      </c>
      <c r="C5131" s="1323" t="s">
        <v>11695</v>
      </c>
      <c r="D5131" s="1324">
        <f t="shared" si="510"/>
        <v>34393</v>
      </c>
      <c r="E5131" s="1323">
        <f t="shared" si="506"/>
        <v>3.4716</v>
      </c>
      <c r="F5131" s="1323">
        <f t="shared" si="511"/>
        <v>3.6691603363751684</v>
      </c>
      <c r="G5131" s="1323">
        <f t="shared" si="507"/>
        <v>1994</v>
      </c>
      <c r="H5131" s="1323">
        <f t="shared" si="508"/>
        <v>2</v>
      </c>
      <c r="I5131" s="1323">
        <f t="shared" si="509"/>
        <v>28</v>
      </c>
      <c r="J5131" s="1323"/>
      <c r="K5131" s="1323"/>
      <c r="L5131" s="1323"/>
      <c r="M5131" s="1323"/>
      <c r="N5131" s="1323"/>
      <c r="O5131" s="1323"/>
      <c r="P5131" s="1323"/>
      <c r="Q5131" s="1323"/>
      <c r="R5131" s="1304"/>
      <c r="S5131" s="1304"/>
      <c r="T5131" s="1304"/>
    </row>
    <row r="5132" spans="1:20">
      <c r="A5132" s="1303"/>
      <c r="B5132" s="1322" t="s">
        <v>11696</v>
      </c>
      <c r="C5132" s="1323" t="s">
        <v>11653</v>
      </c>
      <c r="D5132" s="1324">
        <f t="shared" si="510"/>
        <v>34390</v>
      </c>
      <c r="E5132" s="1323">
        <f t="shared" si="506"/>
        <v>3.4782999999999999</v>
      </c>
      <c r="F5132" s="1323">
        <f t="shared" si="511"/>
        <v>3.6684567967155242</v>
      </c>
      <c r="G5132" s="1323">
        <f t="shared" si="507"/>
        <v>1994</v>
      </c>
      <c r="H5132" s="1323">
        <f t="shared" si="508"/>
        <v>2</v>
      </c>
      <c r="I5132" s="1323">
        <f t="shared" si="509"/>
        <v>25</v>
      </c>
      <c r="J5132" s="1323"/>
      <c r="K5132" s="1323"/>
      <c r="L5132" s="1323"/>
      <c r="M5132" s="1323"/>
      <c r="N5132" s="1323"/>
      <c r="O5132" s="1323"/>
      <c r="P5132" s="1323"/>
      <c r="Q5132" s="1323"/>
      <c r="R5132" s="1304"/>
      <c r="S5132" s="1304"/>
      <c r="T5132" s="1304"/>
    </row>
    <row r="5133" spans="1:20">
      <c r="A5133" s="1303"/>
      <c r="B5133" s="1322" t="s">
        <v>11697</v>
      </c>
      <c r="C5133" s="1323" t="s">
        <v>11698</v>
      </c>
      <c r="D5133" s="1324">
        <f t="shared" si="510"/>
        <v>34389</v>
      </c>
      <c r="E5133" s="1323">
        <f t="shared" si="506"/>
        <v>3.5529999999999999</v>
      </c>
      <c r="F5133" s="1323">
        <f t="shared" si="511"/>
        <v>3.667753391955423</v>
      </c>
      <c r="G5133" s="1323">
        <f t="shared" si="507"/>
        <v>1994</v>
      </c>
      <c r="H5133" s="1323">
        <f t="shared" si="508"/>
        <v>2</v>
      </c>
      <c r="I5133" s="1323">
        <f t="shared" si="509"/>
        <v>24</v>
      </c>
      <c r="J5133" s="1323"/>
      <c r="K5133" s="1323"/>
      <c r="L5133" s="1323"/>
      <c r="M5133" s="1323"/>
      <c r="N5133" s="1323"/>
      <c r="O5133" s="1323"/>
      <c r="P5133" s="1323"/>
      <c r="Q5133" s="1323"/>
      <c r="R5133" s="1304"/>
      <c r="S5133" s="1304"/>
      <c r="T5133" s="1304"/>
    </row>
    <row r="5134" spans="1:20">
      <c r="A5134" s="1303"/>
      <c r="B5134" s="1322" t="s">
        <v>11699</v>
      </c>
      <c r="C5134" s="1323" t="s">
        <v>11408</v>
      </c>
      <c r="D5134" s="1324">
        <f t="shared" si="510"/>
        <v>34388</v>
      </c>
      <c r="E5134" s="1323">
        <f t="shared" si="506"/>
        <v>3.4861</v>
      </c>
      <c r="F5134" s="1323">
        <f t="shared" si="511"/>
        <v>3.6670501220689986</v>
      </c>
      <c r="G5134" s="1323">
        <f t="shared" si="507"/>
        <v>1994</v>
      </c>
      <c r="H5134" s="1323">
        <f t="shared" si="508"/>
        <v>2</v>
      </c>
      <c r="I5134" s="1323">
        <f t="shared" si="509"/>
        <v>23</v>
      </c>
      <c r="J5134" s="1323"/>
      <c r="K5134" s="1323"/>
      <c r="L5134" s="1323"/>
      <c r="M5134" s="1323"/>
      <c r="N5134" s="1323"/>
      <c r="O5134" s="1323"/>
      <c r="P5134" s="1323"/>
      <c r="Q5134" s="1323"/>
      <c r="R5134" s="1304"/>
      <c r="S5134" s="1304"/>
      <c r="T5134" s="1304"/>
    </row>
    <row r="5135" spans="1:20">
      <c r="A5135" s="1303"/>
      <c r="B5135" s="1322" t="s">
        <v>11700</v>
      </c>
      <c r="C5135" s="1323" t="s">
        <v>11701</v>
      </c>
      <c r="D5135" s="1324">
        <f t="shared" si="510"/>
        <v>34387</v>
      </c>
      <c r="E5135" s="1323">
        <f t="shared" si="506"/>
        <v>3.4685999999999999</v>
      </c>
      <c r="F5135" s="1323">
        <f t="shared" si="511"/>
        <v>3.6663469870303897</v>
      </c>
      <c r="G5135" s="1323">
        <f t="shared" si="507"/>
        <v>1994</v>
      </c>
      <c r="H5135" s="1323">
        <f t="shared" si="508"/>
        <v>2</v>
      </c>
      <c r="I5135" s="1323">
        <f t="shared" si="509"/>
        <v>22</v>
      </c>
      <c r="J5135" s="1323"/>
      <c r="K5135" s="1323"/>
      <c r="L5135" s="1323"/>
      <c r="M5135" s="1323"/>
      <c r="N5135" s="1323"/>
      <c r="O5135" s="1323"/>
      <c r="P5135" s="1323"/>
      <c r="Q5135" s="1323"/>
      <c r="R5135" s="1304"/>
      <c r="S5135" s="1304"/>
      <c r="T5135" s="1304"/>
    </row>
    <row r="5136" spans="1:20">
      <c r="A5136" s="1303"/>
      <c r="B5136" s="1322" t="s">
        <v>11702</v>
      </c>
      <c r="C5136" s="1323" t="s">
        <v>11703</v>
      </c>
      <c r="D5136" s="1324">
        <f t="shared" si="510"/>
        <v>34386</v>
      </c>
      <c r="E5136" s="1323">
        <f t="shared" si="506"/>
        <v>3.4584000000000001</v>
      </c>
      <c r="F5136" s="1323">
        <f t="shared" si="511"/>
        <v>3.6656439868137403</v>
      </c>
      <c r="G5136" s="1323">
        <f t="shared" si="507"/>
        <v>1994</v>
      </c>
      <c r="H5136" s="1323">
        <f t="shared" si="508"/>
        <v>2</v>
      </c>
      <c r="I5136" s="1323">
        <f t="shared" si="509"/>
        <v>21</v>
      </c>
      <c r="J5136" s="1323"/>
      <c r="K5136" s="1323"/>
      <c r="L5136" s="1323"/>
      <c r="M5136" s="1323"/>
      <c r="N5136" s="1323"/>
      <c r="O5136" s="1323"/>
      <c r="P5136" s="1323"/>
      <c r="Q5136" s="1323"/>
      <c r="R5136" s="1304"/>
      <c r="S5136" s="1304"/>
      <c r="T5136" s="1304"/>
    </row>
    <row r="5137" spans="1:20">
      <c r="A5137" s="1303"/>
      <c r="B5137" s="1322" t="s">
        <v>11704</v>
      </c>
      <c r="C5137" s="1323" t="s">
        <v>11695</v>
      </c>
      <c r="D5137" s="1324">
        <f t="shared" si="510"/>
        <v>34383</v>
      </c>
      <c r="E5137" s="1323">
        <f t="shared" si="506"/>
        <v>3.4518</v>
      </c>
      <c r="F5137" s="1323">
        <f t="shared" si="511"/>
        <v>3.6649411213931988</v>
      </c>
      <c r="G5137" s="1323">
        <f t="shared" si="507"/>
        <v>1994</v>
      </c>
      <c r="H5137" s="1323">
        <f t="shared" si="508"/>
        <v>2</v>
      </c>
      <c r="I5137" s="1323">
        <f t="shared" si="509"/>
        <v>18</v>
      </c>
      <c r="J5137" s="1323"/>
      <c r="K5137" s="1323"/>
      <c r="L5137" s="1323"/>
      <c r="M5137" s="1323"/>
      <c r="N5137" s="1323"/>
      <c r="O5137" s="1323"/>
      <c r="P5137" s="1323"/>
      <c r="Q5137" s="1323"/>
      <c r="R5137" s="1304"/>
      <c r="S5137" s="1304"/>
      <c r="T5137" s="1304"/>
    </row>
    <row r="5138" spans="1:20">
      <c r="A5138" s="1303"/>
      <c r="B5138" s="1322" t="s">
        <v>11705</v>
      </c>
      <c r="C5138" s="1323" t="s">
        <v>11706</v>
      </c>
      <c r="D5138" s="1324">
        <f t="shared" si="510"/>
        <v>34382</v>
      </c>
      <c r="E5138" s="1323">
        <f t="shared" si="506"/>
        <v>3.4500999999999999</v>
      </c>
      <c r="F5138" s="1323">
        <f t="shared" si="511"/>
        <v>3.6642383907429195</v>
      </c>
      <c r="G5138" s="1323">
        <f t="shared" si="507"/>
        <v>1994</v>
      </c>
      <c r="H5138" s="1323">
        <f t="shared" si="508"/>
        <v>2</v>
      </c>
      <c r="I5138" s="1323">
        <f t="shared" si="509"/>
        <v>17</v>
      </c>
      <c r="J5138" s="1323"/>
      <c r="K5138" s="1323"/>
      <c r="L5138" s="1323"/>
      <c r="M5138" s="1323"/>
      <c r="N5138" s="1323"/>
      <c r="O5138" s="1323"/>
      <c r="P5138" s="1323"/>
      <c r="Q5138" s="1323"/>
      <c r="R5138" s="1304"/>
      <c r="S5138" s="1304"/>
      <c r="T5138" s="1304"/>
    </row>
    <row r="5139" spans="1:20">
      <c r="A5139" s="1303"/>
      <c r="B5139" s="1322" t="s">
        <v>11707</v>
      </c>
      <c r="C5139" s="1323" t="s">
        <v>11708</v>
      </c>
      <c r="D5139" s="1324">
        <f t="shared" si="510"/>
        <v>34381</v>
      </c>
      <c r="E5139" s="1323">
        <f t="shared" si="506"/>
        <v>3.4477000000000002</v>
      </c>
      <c r="F5139" s="1323">
        <f t="shared" si="511"/>
        <v>3.6635357948370602</v>
      </c>
      <c r="G5139" s="1323">
        <f t="shared" si="507"/>
        <v>1994</v>
      </c>
      <c r="H5139" s="1323">
        <f t="shared" si="508"/>
        <v>2</v>
      </c>
      <c r="I5139" s="1323">
        <f t="shared" si="509"/>
        <v>16</v>
      </c>
      <c r="J5139" s="1323"/>
      <c r="K5139" s="1323"/>
      <c r="L5139" s="1323"/>
      <c r="M5139" s="1323"/>
      <c r="N5139" s="1323"/>
      <c r="O5139" s="1323"/>
      <c r="P5139" s="1323"/>
      <c r="Q5139" s="1323"/>
      <c r="R5139" s="1304"/>
      <c r="S5139" s="1304"/>
      <c r="T5139" s="1304"/>
    </row>
    <row r="5140" spans="1:20">
      <c r="A5140" s="1303"/>
      <c r="B5140" s="1322" t="s">
        <v>11709</v>
      </c>
      <c r="C5140" s="1323" t="s">
        <v>11710</v>
      </c>
      <c r="D5140" s="1324">
        <f t="shared" si="510"/>
        <v>34380</v>
      </c>
      <c r="E5140" s="1323">
        <f t="shared" si="506"/>
        <v>3.4340999999999999</v>
      </c>
      <c r="F5140" s="1323">
        <f t="shared" si="511"/>
        <v>3.6628333336497847</v>
      </c>
      <c r="G5140" s="1323">
        <f t="shared" si="507"/>
        <v>1994</v>
      </c>
      <c r="H5140" s="1323">
        <f t="shared" si="508"/>
        <v>2</v>
      </c>
      <c r="I5140" s="1323">
        <f t="shared" si="509"/>
        <v>15</v>
      </c>
      <c r="J5140" s="1323"/>
      <c r="K5140" s="1323"/>
      <c r="L5140" s="1323"/>
      <c r="M5140" s="1323"/>
      <c r="N5140" s="1323"/>
      <c r="O5140" s="1323"/>
      <c r="P5140" s="1323"/>
      <c r="Q5140" s="1323"/>
      <c r="R5140" s="1304"/>
      <c r="S5140" s="1304"/>
      <c r="T5140" s="1304"/>
    </row>
    <row r="5141" spans="1:20">
      <c r="A5141" s="1303"/>
      <c r="B5141" s="1322" t="s">
        <v>11711</v>
      </c>
      <c r="C5141" s="1323" t="s">
        <v>11712</v>
      </c>
      <c r="D5141" s="1324">
        <f t="shared" si="510"/>
        <v>34379</v>
      </c>
      <c r="E5141" s="1323">
        <f t="shared" si="506"/>
        <v>3.4464999999999999</v>
      </c>
      <c r="F5141" s="1323">
        <f t="shared" si="511"/>
        <v>3.6621310071552617</v>
      </c>
      <c r="G5141" s="1323">
        <f t="shared" si="507"/>
        <v>1994</v>
      </c>
      <c r="H5141" s="1323">
        <f t="shared" si="508"/>
        <v>2</v>
      </c>
      <c r="I5141" s="1323">
        <f t="shared" si="509"/>
        <v>14</v>
      </c>
      <c r="J5141" s="1323"/>
      <c r="K5141" s="1323"/>
      <c r="L5141" s="1323"/>
      <c r="M5141" s="1323"/>
      <c r="N5141" s="1323"/>
      <c r="O5141" s="1323"/>
      <c r="P5141" s="1323"/>
      <c r="Q5141" s="1323"/>
      <c r="R5141" s="1304"/>
      <c r="S5141" s="1304"/>
      <c r="T5141" s="1304"/>
    </row>
    <row r="5142" spans="1:20">
      <c r="A5142" s="1303"/>
      <c r="B5142" s="1322" t="s">
        <v>11713</v>
      </c>
      <c r="C5142" s="1323" t="s">
        <v>11665</v>
      </c>
      <c r="D5142" s="1324">
        <f t="shared" si="510"/>
        <v>34376</v>
      </c>
      <c r="E5142" s="1323">
        <f t="shared" ref="E5142:E5205" si="512">VALUE(C5143)</f>
        <v>3.4489000000000001</v>
      </c>
      <c r="F5142" s="1323">
        <f t="shared" si="511"/>
        <v>3.6614288153276644</v>
      </c>
      <c r="G5142" s="1323">
        <f t="shared" ref="G5142:G5205" si="513">YEAR(B5143)</f>
        <v>1994</v>
      </c>
      <c r="H5142" s="1323">
        <f t="shared" ref="H5142:H5205" si="514">MONTH(B5143)</f>
        <v>2</v>
      </c>
      <c r="I5142" s="1323">
        <f t="shared" ref="I5142:I5205" si="515">DAY(B5143)</f>
        <v>11</v>
      </c>
      <c r="J5142" s="1323"/>
      <c r="K5142" s="1323"/>
      <c r="L5142" s="1323"/>
      <c r="M5142" s="1323"/>
      <c r="N5142" s="1323"/>
      <c r="O5142" s="1323"/>
      <c r="P5142" s="1323"/>
      <c r="Q5142" s="1323"/>
      <c r="R5142" s="1304"/>
      <c r="S5142" s="1304"/>
      <c r="T5142" s="1304"/>
    </row>
    <row r="5143" spans="1:20">
      <c r="A5143" s="1303"/>
      <c r="B5143" s="1322" t="s">
        <v>11714</v>
      </c>
      <c r="C5143" s="1323" t="s">
        <v>11675</v>
      </c>
      <c r="D5143" s="1324">
        <f t="shared" si="510"/>
        <v>34375</v>
      </c>
      <c r="E5143" s="1323">
        <f t="shared" si="512"/>
        <v>3.4453</v>
      </c>
      <c r="F5143" s="1323">
        <f t="shared" si="511"/>
        <v>3.6607267581411715</v>
      </c>
      <c r="G5143" s="1323">
        <f t="shared" si="513"/>
        <v>1994</v>
      </c>
      <c r="H5143" s="1323">
        <f t="shared" si="514"/>
        <v>2</v>
      </c>
      <c r="I5143" s="1323">
        <f t="shared" si="515"/>
        <v>10</v>
      </c>
      <c r="J5143" s="1323"/>
      <c r="K5143" s="1323"/>
      <c r="L5143" s="1323"/>
      <c r="M5143" s="1323"/>
      <c r="N5143" s="1323"/>
      <c r="O5143" s="1323"/>
      <c r="P5143" s="1323"/>
      <c r="Q5143" s="1323"/>
      <c r="R5143" s="1304"/>
      <c r="S5143" s="1304"/>
      <c r="T5143" s="1304"/>
    </row>
    <row r="5144" spans="1:20">
      <c r="A5144" s="1303"/>
      <c r="B5144" s="1322" t="s">
        <v>11715</v>
      </c>
      <c r="C5144" s="1323" t="s">
        <v>11716</v>
      </c>
      <c r="D5144" s="1324">
        <f t="shared" si="510"/>
        <v>34374</v>
      </c>
      <c r="E5144" s="1323">
        <f t="shared" si="512"/>
        <v>3.4369999999999998</v>
      </c>
      <c r="F5144" s="1323">
        <f t="shared" si="511"/>
        <v>3.6600248355699661</v>
      </c>
      <c r="G5144" s="1323">
        <f t="shared" si="513"/>
        <v>1994</v>
      </c>
      <c r="H5144" s="1323">
        <f t="shared" si="514"/>
        <v>2</v>
      </c>
      <c r="I5144" s="1323">
        <f t="shared" si="515"/>
        <v>9</v>
      </c>
      <c r="J5144" s="1323"/>
      <c r="K5144" s="1323"/>
      <c r="L5144" s="1323"/>
      <c r="M5144" s="1323"/>
      <c r="N5144" s="1323"/>
      <c r="O5144" s="1323"/>
      <c r="P5144" s="1323"/>
      <c r="Q5144" s="1323"/>
      <c r="R5144" s="1304"/>
      <c r="S5144" s="1304"/>
      <c r="T5144" s="1304"/>
    </row>
    <row r="5145" spans="1:20">
      <c r="A5145" s="1303"/>
      <c r="B5145" s="1322" t="s">
        <v>11717</v>
      </c>
      <c r="C5145" s="1323" t="s">
        <v>11718</v>
      </c>
      <c r="D5145" s="1324">
        <f t="shared" si="510"/>
        <v>34373</v>
      </c>
      <c r="E5145" s="1323">
        <f t="shared" si="512"/>
        <v>3.4323000000000001</v>
      </c>
      <c r="F5145" s="1323">
        <f t="shared" si="511"/>
        <v>3.6593230475882366</v>
      </c>
      <c r="G5145" s="1323">
        <f t="shared" si="513"/>
        <v>1994</v>
      </c>
      <c r="H5145" s="1323">
        <f t="shared" si="514"/>
        <v>2</v>
      </c>
      <c r="I5145" s="1323">
        <f t="shared" si="515"/>
        <v>8</v>
      </c>
      <c r="J5145" s="1323"/>
      <c r="K5145" s="1323"/>
      <c r="L5145" s="1323"/>
      <c r="M5145" s="1323"/>
      <c r="N5145" s="1323"/>
      <c r="O5145" s="1323"/>
      <c r="P5145" s="1323"/>
      <c r="Q5145" s="1323"/>
      <c r="R5145" s="1304"/>
      <c r="S5145" s="1304"/>
      <c r="T5145" s="1304"/>
    </row>
    <row r="5146" spans="1:20">
      <c r="A5146" s="1303"/>
      <c r="B5146" s="1322" t="s">
        <v>11719</v>
      </c>
      <c r="C5146" s="1323" t="s">
        <v>11661</v>
      </c>
      <c r="D5146" s="1324">
        <f t="shared" si="510"/>
        <v>34372</v>
      </c>
      <c r="E5146" s="1323">
        <f t="shared" si="512"/>
        <v>3.4358</v>
      </c>
      <c r="F5146" s="1323">
        <f t="shared" si="511"/>
        <v>3.6586213941701766</v>
      </c>
      <c r="G5146" s="1323">
        <f t="shared" si="513"/>
        <v>1994</v>
      </c>
      <c r="H5146" s="1323">
        <f t="shared" si="514"/>
        <v>2</v>
      </c>
      <c r="I5146" s="1323">
        <f t="shared" si="515"/>
        <v>7</v>
      </c>
      <c r="J5146" s="1323"/>
      <c r="K5146" s="1323"/>
      <c r="L5146" s="1323"/>
      <c r="M5146" s="1323"/>
      <c r="N5146" s="1323"/>
      <c r="O5146" s="1323"/>
      <c r="P5146" s="1323"/>
      <c r="Q5146" s="1323"/>
      <c r="R5146" s="1304"/>
      <c r="S5146" s="1304"/>
      <c r="T5146" s="1304"/>
    </row>
    <row r="5147" spans="1:20">
      <c r="A5147" s="1303"/>
      <c r="B5147" s="1322" t="s">
        <v>11720</v>
      </c>
      <c r="C5147" s="1323" t="s">
        <v>11659</v>
      </c>
      <c r="D5147" s="1324">
        <f t="shared" si="510"/>
        <v>34369</v>
      </c>
      <c r="E5147" s="1323">
        <f t="shared" si="512"/>
        <v>3.4222999999999999</v>
      </c>
      <c r="F5147" s="1323">
        <f t="shared" si="511"/>
        <v>3.6579198752899837</v>
      </c>
      <c r="G5147" s="1323">
        <f t="shared" si="513"/>
        <v>1994</v>
      </c>
      <c r="H5147" s="1323">
        <f t="shared" si="514"/>
        <v>2</v>
      </c>
      <c r="I5147" s="1323">
        <f t="shared" si="515"/>
        <v>4</v>
      </c>
      <c r="J5147" s="1323"/>
      <c r="K5147" s="1323"/>
      <c r="L5147" s="1323"/>
      <c r="M5147" s="1323"/>
      <c r="N5147" s="1323"/>
      <c r="O5147" s="1323"/>
      <c r="P5147" s="1323"/>
      <c r="Q5147" s="1323"/>
      <c r="R5147" s="1304"/>
      <c r="S5147" s="1304"/>
      <c r="T5147" s="1304"/>
    </row>
    <row r="5148" spans="1:20">
      <c r="A5148" s="1303"/>
      <c r="B5148" s="1322" t="s">
        <v>11721</v>
      </c>
      <c r="C5148" s="1323" t="s">
        <v>11722</v>
      </c>
      <c r="D5148" s="1324">
        <f t="shared" si="510"/>
        <v>34368</v>
      </c>
      <c r="E5148" s="1323">
        <f t="shared" si="512"/>
        <v>3.4159000000000002</v>
      </c>
      <c r="F5148" s="1323">
        <f t="shared" si="511"/>
        <v>3.6572184909218617</v>
      </c>
      <c r="G5148" s="1323">
        <f t="shared" si="513"/>
        <v>1994</v>
      </c>
      <c r="H5148" s="1323">
        <f t="shared" si="514"/>
        <v>2</v>
      </c>
      <c r="I5148" s="1323">
        <f t="shared" si="515"/>
        <v>3</v>
      </c>
      <c r="J5148" s="1323"/>
      <c r="K5148" s="1323"/>
      <c r="L5148" s="1323"/>
      <c r="M5148" s="1323"/>
      <c r="N5148" s="1323"/>
      <c r="O5148" s="1323"/>
      <c r="P5148" s="1323"/>
      <c r="Q5148" s="1323"/>
      <c r="R5148" s="1304"/>
      <c r="S5148" s="1304"/>
      <c r="T5148" s="1304"/>
    </row>
    <row r="5149" spans="1:20">
      <c r="A5149" s="1303"/>
      <c r="B5149" s="1322" t="s">
        <v>11723</v>
      </c>
      <c r="C5149" s="1323" t="s">
        <v>11724</v>
      </c>
      <c r="D5149" s="1324">
        <f t="shared" si="510"/>
        <v>34367</v>
      </c>
      <c r="E5149" s="1323">
        <f t="shared" si="512"/>
        <v>3.4123999999999999</v>
      </c>
      <c r="F5149" s="1323">
        <f t="shared" si="511"/>
        <v>3.6565172410400182</v>
      </c>
      <c r="G5149" s="1323">
        <f t="shared" si="513"/>
        <v>1994</v>
      </c>
      <c r="H5149" s="1323">
        <f t="shared" si="514"/>
        <v>2</v>
      </c>
      <c r="I5149" s="1323">
        <f t="shared" si="515"/>
        <v>2</v>
      </c>
      <c r="J5149" s="1323"/>
      <c r="K5149" s="1323"/>
      <c r="L5149" s="1323"/>
      <c r="M5149" s="1323"/>
      <c r="N5149" s="1323"/>
      <c r="O5149" s="1323"/>
      <c r="P5149" s="1323"/>
      <c r="Q5149" s="1323"/>
      <c r="R5149" s="1304"/>
      <c r="S5149" s="1304"/>
      <c r="T5149" s="1304"/>
    </row>
    <row r="5150" spans="1:20">
      <c r="A5150" s="1303"/>
      <c r="B5150" s="1322" t="s">
        <v>11725</v>
      </c>
      <c r="C5150" s="1323" t="s">
        <v>11726</v>
      </c>
      <c r="D5150" s="1324">
        <f t="shared" si="510"/>
        <v>34366</v>
      </c>
      <c r="E5150" s="1323">
        <f t="shared" si="512"/>
        <v>3.4159000000000002</v>
      </c>
      <c r="F5150" s="1323">
        <f t="shared" si="511"/>
        <v>3.6558161256186668</v>
      </c>
      <c r="G5150" s="1323">
        <f t="shared" si="513"/>
        <v>1994</v>
      </c>
      <c r="H5150" s="1323">
        <f t="shared" si="514"/>
        <v>2</v>
      </c>
      <c r="I5150" s="1323">
        <f t="shared" si="515"/>
        <v>1</v>
      </c>
      <c r="J5150" s="1323"/>
      <c r="K5150" s="1323"/>
      <c r="L5150" s="1323"/>
      <c r="M5150" s="1323"/>
      <c r="N5150" s="1323"/>
      <c r="O5150" s="1323"/>
      <c r="P5150" s="1323"/>
      <c r="Q5150" s="1323"/>
      <c r="R5150" s="1304"/>
      <c r="S5150" s="1304"/>
      <c r="T5150" s="1304"/>
    </row>
    <row r="5151" spans="1:20">
      <c r="A5151" s="1303"/>
      <c r="B5151" s="1322" t="s">
        <v>11727</v>
      </c>
      <c r="C5151" s="1323" t="s">
        <v>11724</v>
      </c>
      <c r="D5151" s="1324">
        <f t="shared" si="510"/>
        <v>34365</v>
      </c>
      <c r="E5151" s="1323">
        <f t="shared" si="512"/>
        <v>3.4228999999999998</v>
      </c>
      <c r="F5151" s="1323">
        <f t="shared" si="511"/>
        <v>3.6551151446320249</v>
      </c>
      <c r="G5151" s="1323">
        <f t="shared" si="513"/>
        <v>1994</v>
      </c>
      <c r="H5151" s="1323">
        <f t="shared" si="514"/>
        <v>1</v>
      </c>
      <c r="I5151" s="1323">
        <f t="shared" si="515"/>
        <v>31</v>
      </c>
      <c r="J5151" s="1323"/>
      <c r="K5151" s="1323"/>
      <c r="L5151" s="1323"/>
      <c r="M5151" s="1323"/>
      <c r="N5151" s="1323"/>
      <c r="O5151" s="1323"/>
      <c r="P5151" s="1323"/>
      <c r="Q5151" s="1323"/>
      <c r="R5151" s="1304"/>
      <c r="S5151" s="1304"/>
      <c r="T5151" s="1304"/>
    </row>
    <row r="5152" spans="1:20">
      <c r="A5152" s="1303"/>
      <c r="B5152" s="1322" t="s">
        <v>11728</v>
      </c>
      <c r="C5152" s="1323" t="s">
        <v>11729</v>
      </c>
      <c r="D5152" s="1324">
        <f t="shared" si="510"/>
        <v>34362</v>
      </c>
      <c r="E5152" s="1323">
        <f t="shared" si="512"/>
        <v>3.4152999999999998</v>
      </c>
      <c r="F5152" s="1323">
        <f t="shared" si="511"/>
        <v>3.6544142980543159</v>
      </c>
      <c r="G5152" s="1323">
        <f t="shared" si="513"/>
        <v>1994</v>
      </c>
      <c r="H5152" s="1323">
        <f t="shared" si="514"/>
        <v>1</v>
      </c>
      <c r="I5152" s="1323">
        <f t="shared" si="515"/>
        <v>28</v>
      </c>
      <c r="J5152" s="1323"/>
      <c r="K5152" s="1323"/>
      <c r="L5152" s="1323"/>
      <c r="M5152" s="1323"/>
      <c r="N5152" s="1323"/>
      <c r="O5152" s="1323"/>
      <c r="P5152" s="1323"/>
      <c r="Q5152" s="1323"/>
      <c r="R5152" s="1304"/>
      <c r="S5152" s="1304"/>
      <c r="T5152" s="1304"/>
    </row>
    <row r="5153" spans="1:20">
      <c r="A5153" s="1303"/>
      <c r="B5153" s="1322" t="s">
        <v>11730</v>
      </c>
      <c r="C5153" s="1323" t="s">
        <v>11731</v>
      </c>
      <c r="D5153" s="1324">
        <f t="shared" si="510"/>
        <v>34361</v>
      </c>
      <c r="E5153" s="1323">
        <f t="shared" si="512"/>
        <v>3.42</v>
      </c>
      <c r="F5153" s="1323">
        <f t="shared" si="511"/>
        <v>3.6537135858597676</v>
      </c>
      <c r="G5153" s="1323">
        <f t="shared" si="513"/>
        <v>1994</v>
      </c>
      <c r="H5153" s="1323">
        <f t="shared" si="514"/>
        <v>1</v>
      </c>
      <c r="I5153" s="1323">
        <f t="shared" si="515"/>
        <v>27</v>
      </c>
      <c r="J5153" s="1323"/>
      <c r="K5153" s="1323"/>
      <c r="L5153" s="1323"/>
      <c r="M5153" s="1323"/>
      <c r="N5153" s="1323"/>
      <c r="O5153" s="1323"/>
      <c r="P5153" s="1323"/>
      <c r="Q5153" s="1323"/>
      <c r="R5153" s="1304"/>
      <c r="S5153" s="1304"/>
      <c r="T5153" s="1304"/>
    </row>
    <row r="5154" spans="1:20">
      <c r="A5154" s="1303"/>
      <c r="B5154" s="1322" t="s">
        <v>11732</v>
      </c>
      <c r="C5154" s="1323" t="s">
        <v>11733</v>
      </c>
      <c r="D5154" s="1324">
        <f t="shared" si="510"/>
        <v>34360</v>
      </c>
      <c r="E5154" s="1323">
        <f t="shared" si="512"/>
        <v>3.4188000000000001</v>
      </c>
      <c r="F5154" s="1323">
        <f t="shared" si="511"/>
        <v>3.6530130080226124</v>
      </c>
      <c r="G5154" s="1323">
        <f t="shared" si="513"/>
        <v>1994</v>
      </c>
      <c r="H5154" s="1323">
        <f t="shared" si="514"/>
        <v>1</v>
      </c>
      <c r="I5154" s="1323">
        <f t="shared" si="515"/>
        <v>26</v>
      </c>
      <c r="J5154" s="1323"/>
      <c r="K5154" s="1323"/>
      <c r="L5154" s="1323"/>
      <c r="M5154" s="1323"/>
      <c r="N5154" s="1323"/>
      <c r="O5154" s="1323"/>
      <c r="P5154" s="1323"/>
      <c r="Q5154" s="1323"/>
      <c r="R5154" s="1304"/>
      <c r="S5154" s="1304"/>
      <c r="T5154" s="1304"/>
    </row>
    <row r="5155" spans="1:20">
      <c r="A5155" s="1303"/>
      <c r="B5155" s="1322" t="s">
        <v>11734</v>
      </c>
      <c r="C5155" s="1323" t="s">
        <v>11735</v>
      </c>
      <c r="D5155" s="1324">
        <f t="shared" si="510"/>
        <v>34359</v>
      </c>
      <c r="E5155" s="1323">
        <f t="shared" si="512"/>
        <v>3.4222999999999999</v>
      </c>
      <c r="F5155" s="1323">
        <f t="shared" si="511"/>
        <v>3.6523125645170884</v>
      </c>
      <c r="G5155" s="1323">
        <f t="shared" si="513"/>
        <v>1994</v>
      </c>
      <c r="H5155" s="1323">
        <f t="shared" si="514"/>
        <v>1</v>
      </c>
      <c r="I5155" s="1323">
        <f t="shared" si="515"/>
        <v>25</v>
      </c>
      <c r="J5155" s="1323"/>
      <c r="K5155" s="1323"/>
      <c r="L5155" s="1323"/>
      <c r="M5155" s="1323"/>
      <c r="N5155" s="1323"/>
      <c r="O5155" s="1323"/>
      <c r="P5155" s="1323"/>
      <c r="Q5155" s="1323"/>
      <c r="R5155" s="1304"/>
      <c r="S5155" s="1304"/>
      <c r="T5155" s="1304"/>
    </row>
    <row r="5156" spans="1:20">
      <c r="A5156" s="1303"/>
      <c r="B5156" s="1322" t="s">
        <v>11736</v>
      </c>
      <c r="C5156" s="1323" t="s">
        <v>11722</v>
      </c>
      <c r="D5156" s="1324">
        <f t="shared" si="510"/>
        <v>34358</v>
      </c>
      <c r="E5156" s="1323">
        <f t="shared" si="512"/>
        <v>3.4205999999999999</v>
      </c>
      <c r="F5156" s="1323">
        <f t="shared" si="511"/>
        <v>3.6516122553174384</v>
      </c>
      <c r="G5156" s="1323">
        <f t="shared" si="513"/>
        <v>1994</v>
      </c>
      <c r="H5156" s="1323">
        <f t="shared" si="514"/>
        <v>1</v>
      </c>
      <c r="I5156" s="1323">
        <f t="shared" si="515"/>
        <v>24</v>
      </c>
      <c r="J5156" s="1323"/>
      <c r="K5156" s="1323"/>
      <c r="L5156" s="1323"/>
      <c r="M5156" s="1323"/>
      <c r="N5156" s="1323"/>
      <c r="O5156" s="1323"/>
      <c r="P5156" s="1323"/>
      <c r="Q5156" s="1323"/>
      <c r="R5156" s="1304"/>
      <c r="S5156" s="1304"/>
      <c r="T5156" s="1304"/>
    </row>
    <row r="5157" spans="1:20">
      <c r="A5157" s="1303"/>
      <c r="B5157" s="1322" t="s">
        <v>11737</v>
      </c>
      <c r="C5157" s="1323" t="s">
        <v>11738</v>
      </c>
      <c r="D5157" s="1324">
        <f t="shared" si="510"/>
        <v>34355</v>
      </c>
      <c r="E5157" s="1323">
        <f t="shared" si="512"/>
        <v>3.4089</v>
      </c>
      <c r="F5157" s="1323">
        <f t="shared" si="511"/>
        <v>3.65091208039791</v>
      </c>
      <c r="G5157" s="1323">
        <f t="shared" si="513"/>
        <v>1994</v>
      </c>
      <c r="H5157" s="1323">
        <f t="shared" si="514"/>
        <v>1</v>
      </c>
      <c r="I5157" s="1323">
        <f t="shared" si="515"/>
        <v>21</v>
      </c>
      <c r="J5157" s="1323"/>
      <c r="K5157" s="1323"/>
      <c r="L5157" s="1323"/>
      <c r="M5157" s="1323"/>
      <c r="N5157" s="1323"/>
      <c r="O5157" s="1323"/>
      <c r="P5157" s="1323"/>
      <c r="Q5157" s="1323"/>
      <c r="R5157" s="1304"/>
      <c r="S5157" s="1304"/>
      <c r="T5157" s="1304"/>
    </row>
    <row r="5158" spans="1:20">
      <c r="A5158" s="1303"/>
      <c r="B5158" s="1322" t="s">
        <v>11739</v>
      </c>
      <c r="C5158" s="1323" t="s">
        <v>11740</v>
      </c>
      <c r="D5158" s="1324">
        <f t="shared" si="510"/>
        <v>34354</v>
      </c>
      <c r="E5158" s="1323">
        <f t="shared" si="512"/>
        <v>3.4140999999999999</v>
      </c>
      <c r="F5158" s="1323">
        <f t="shared" si="511"/>
        <v>3.6502120397327555</v>
      </c>
      <c r="G5158" s="1323">
        <f t="shared" si="513"/>
        <v>1994</v>
      </c>
      <c r="H5158" s="1323">
        <f t="shared" si="514"/>
        <v>1</v>
      </c>
      <c r="I5158" s="1323">
        <f t="shared" si="515"/>
        <v>20</v>
      </c>
      <c r="J5158" s="1323"/>
      <c r="K5158" s="1323"/>
      <c r="L5158" s="1323"/>
      <c r="M5158" s="1323"/>
      <c r="N5158" s="1323"/>
      <c r="O5158" s="1323"/>
      <c r="P5158" s="1323"/>
      <c r="Q5158" s="1323"/>
      <c r="R5158" s="1304"/>
      <c r="S5158" s="1304"/>
      <c r="T5158" s="1304"/>
    </row>
    <row r="5159" spans="1:20">
      <c r="A5159" s="1303"/>
      <c r="B5159" s="1322" t="s">
        <v>11741</v>
      </c>
      <c r="C5159" s="1323" t="s">
        <v>11742</v>
      </c>
      <c r="D5159" s="1324">
        <f t="shared" si="510"/>
        <v>34353</v>
      </c>
      <c r="E5159" s="1323">
        <f t="shared" si="512"/>
        <v>3.4100999999999999</v>
      </c>
      <c r="F5159" s="1323">
        <f t="shared" si="511"/>
        <v>3.6495121332962328</v>
      </c>
      <c r="G5159" s="1323">
        <f t="shared" si="513"/>
        <v>1994</v>
      </c>
      <c r="H5159" s="1323">
        <f t="shared" si="514"/>
        <v>1</v>
      </c>
      <c r="I5159" s="1323">
        <f t="shared" si="515"/>
        <v>19</v>
      </c>
      <c r="J5159" s="1323"/>
      <c r="K5159" s="1323"/>
      <c r="L5159" s="1323"/>
      <c r="M5159" s="1323"/>
      <c r="N5159" s="1323"/>
      <c r="O5159" s="1323"/>
      <c r="P5159" s="1323"/>
      <c r="Q5159" s="1323"/>
      <c r="R5159" s="1304"/>
      <c r="S5159" s="1304"/>
      <c r="T5159" s="1304"/>
    </row>
    <row r="5160" spans="1:20">
      <c r="A5160" s="1303"/>
      <c r="B5160" s="1322" t="s">
        <v>11743</v>
      </c>
      <c r="C5160" s="1323" t="s">
        <v>11744</v>
      </c>
      <c r="D5160" s="1324">
        <f t="shared" si="510"/>
        <v>34352</v>
      </c>
      <c r="E5160" s="1323">
        <f t="shared" si="512"/>
        <v>3.4146999999999998</v>
      </c>
      <c r="F5160" s="1323">
        <f t="shared" si="511"/>
        <v>3.6488123610626042</v>
      </c>
      <c r="G5160" s="1323">
        <f t="shared" si="513"/>
        <v>1994</v>
      </c>
      <c r="H5160" s="1323">
        <f t="shared" si="514"/>
        <v>1</v>
      </c>
      <c r="I5160" s="1323">
        <f t="shared" si="515"/>
        <v>18</v>
      </c>
      <c r="J5160" s="1323"/>
      <c r="K5160" s="1323"/>
      <c r="L5160" s="1323"/>
      <c r="M5160" s="1323"/>
      <c r="N5160" s="1323"/>
      <c r="O5160" s="1323"/>
      <c r="P5160" s="1323"/>
      <c r="Q5160" s="1323"/>
      <c r="R5160" s="1304"/>
      <c r="S5160" s="1304"/>
      <c r="T5160" s="1304"/>
    </row>
    <row r="5161" spans="1:20">
      <c r="A5161" s="1303"/>
      <c r="B5161" s="1322" t="s">
        <v>11745</v>
      </c>
      <c r="C5161" s="1323" t="s">
        <v>11746</v>
      </c>
      <c r="D5161" s="1324">
        <f t="shared" si="510"/>
        <v>34351</v>
      </c>
      <c r="E5161" s="1323">
        <f t="shared" si="512"/>
        <v>3.4136000000000002</v>
      </c>
      <c r="F5161" s="1323">
        <f t="shared" si="511"/>
        <v>3.648112723006137</v>
      </c>
      <c r="G5161" s="1323">
        <f t="shared" si="513"/>
        <v>1994</v>
      </c>
      <c r="H5161" s="1323">
        <f t="shared" si="514"/>
        <v>1</v>
      </c>
      <c r="I5161" s="1323">
        <f t="shared" si="515"/>
        <v>17</v>
      </c>
      <c r="J5161" s="1323"/>
      <c r="K5161" s="1323"/>
      <c r="L5161" s="1323"/>
      <c r="M5161" s="1323"/>
      <c r="N5161" s="1323"/>
      <c r="O5161" s="1323"/>
      <c r="P5161" s="1323"/>
      <c r="Q5161" s="1323"/>
      <c r="R5161" s="1304"/>
      <c r="S5161" s="1304"/>
      <c r="T5161" s="1304"/>
    </row>
    <row r="5162" spans="1:20">
      <c r="A5162" s="1303"/>
      <c r="B5162" s="1322" t="s">
        <v>11747</v>
      </c>
      <c r="C5162" s="1323" t="s">
        <v>11748</v>
      </c>
      <c r="D5162" s="1324">
        <f t="shared" si="510"/>
        <v>34348</v>
      </c>
      <c r="E5162" s="1323">
        <f t="shared" si="512"/>
        <v>3.4089</v>
      </c>
      <c r="F5162" s="1323">
        <f t="shared" si="511"/>
        <v>3.6474132191011037</v>
      </c>
      <c r="G5162" s="1323">
        <f t="shared" si="513"/>
        <v>1994</v>
      </c>
      <c r="H5162" s="1323">
        <f t="shared" si="514"/>
        <v>1</v>
      </c>
      <c r="I5162" s="1323">
        <f t="shared" si="515"/>
        <v>14</v>
      </c>
      <c r="J5162" s="1323"/>
      <c r="K5162" s="1323"/>
      <c r="L5162" s="1323"/>
      <c r="M5162" s="1323"/>
      <c r="N5162" s="1323"/>
      <c r="O5162" s="1323"/>
      <c r="P5162" s="1323"/>
      <c r="Q5162" s="1323"/>
      <c r="R5162" s="1304"/>
      <c r="S5162" s="1304"/>
      <c r="T5162" s="1304"/>
    </row>
    <row r="5163" spans="1:20">
      <c r="A5163" s="1303"/>
      <c r="B5163" s="1322" t="s">
        <v>11749</v>
      </c>
      <c r="C5163" s="1323" t="s">
        <v>11740</v>
      </c>
      <c r="D5163" s="1324">
        <f t="shared" si="510"/>
        <v>34347</v>
      </c>
      <c r="E5163" s="1323">
        <f t="shared" si="512"/>
        <v>3.3984999999999999</v>
      </c>
      <c r="F5163" s="1323">
        <f t="shared" si="511"/>
        <v>3.6467138493217814</v>
      </c>
      <c r="G5163" s="1323">
        <f t="shared" si="513"/>
        <v>1994</v>
      </c>
      <c r="H5163" s="1323">
        <f t="shared" si="514"/>
        <v>1</v>
      </c>
      <c r="I5163" s="1323">
        <f t="shared" si="515"/>
        <v>13</v>
      </c>
      <c r="J5163" s="1323"/>
      <c r="K5163" s="1323"/>
      <c r="L5163" s="1323"/>
      <c r="M5163" s="1323"/>
      <c r="N5163" s="1323"/>
      <c r="O5163" s="1323"/>
      <c r="P5163" s="1323"/>
      <c r="Q5163" s="1323"/>
      <c r="R5163" s="1304"/>
      <c r="S5163" s="1304"/>
      <c r="T5163" s="1304"/>
    </row>
    <row r="5164" spans="1:20">
      <c r="A5164" s="1303"/>
      <c r="B5164" s="1322" t="s">
        <v>11750</v>
      </c>
      <c r="C5164" s="1323" t="s">
        <v>11751</v>
      </c>
      <c r="D5164" s="1324">
        <f t="shared" si="510"/>
        <v>34346</v>
      </c>
      <c r="E5164" s="1323">
        <f t="shared" si="512"/>
        <v>3.4014000000000002</v>
      </c>
      <c r="F5164" s="1323">
        <f t="shared" si="511"/>
        <v>3.6460146136424525</v>
      </c>
      <c r="G5164" s="1323">
        <f t="shared" si="513"/>
        <v>1994</v>
      </c>
      <c r="H5164" s="1323">
        <f t="shared" si="514"/>
        <v>1</v>
      </c>
      <c r="I5164" s="1323">
        <f t="shared" si="515"/>
        <v>12</v>
      </c>
      <c r="J5164" s="1323"/>
      <c r="K5164" s="1323"/>
      <c r="L5164" s="1323"/>
      <c r="M5164" s="1323"/>
      <c r="N5164" s="1323"/>
      <c r="O5164" s="1323"/>
      <c r="P5164" s="1323"/>
      <c r="Q5164" s="1323"/>
      <c r="R5164" s="1304"/>
      <c r="S5164" s="1304"/>
      <c r="T5164" s="1304"/>
    </row>
    <row r="5165" spans="1:20">
      <c r="A5165" s="1303"/>
      <c r="B5165" s="1322" t="s">
        <v>11752</v>
      </c>
      <c r="C5165" s="1323" t="s">
        <v>11753</v>
      </c>
      <c r="D5165" s="1324">
        <f t="shared" si="510"/>
        <v>34345</v>
      </c>
      <c r="E5165" s="1323">
        <f t="shared" si="512"/>
        <v>3.4007999999999998</v>
      </c>
      <c r="F5165" s="1323">
        <f t="shared" si="511"/>
        <v>3.6453155120374041</v>
      </c>
      <c r="G5165" s="1323">
        <f t="shared" si="513"/>
        <v>1994</v>
      </c>
      <c r="H5165" s="1323">
        <f t="shared" si="514"/>
        <v>1</v>
      </c>
      <c r="I5165" s="1323">
        <f t="shared" si="515"/>
        <v>11</v>
      </c>
      <c r="J5165" s="1323"/>
      <c r="K5165" s="1323"/>
      <c r="L5165" s="1323"/>
      <c r="M5165" s="1323"/>
      <c r="N5165" s="1323"/>
      <c r="O5165" s="1323"/>
      <c r="P5165" s="1323"/>
      <c r="Q5165" s="1323"/>
      <c r="R5165" s="1304"/>
      <c r="S5165" s="1304"/>
      <c r="T5165" s="1304"/>
    </row>
    <row r="5166" spans="1:20">
      <c r="A5166" s="1303"/>
      <c r="B5166" s="1322" t="s">
        <v>11754</v>
      </c>
      <c r="C5166" s="1323" t="s">
        <v>11755</v>
      </c>
      <c r="D5166" s="1324">
        <f t="shared" si="510"/>
        <v>34344</v>
      </c>
      <c r="E5166" s="1323">
        <f t="shared" si="512"/>
        <v>3.3967000000000001</v>
      </c>
      <c r="F5166" s="1323">
        <f t="shared" si="511"/>
        <v>3.644616544480928</v>
      </c>
      <c r="G5166" s="1323">
        <f t="shared" si="513"/>
        <v>1994</v>
      </c>
      <c r="H5166" s="1323">
        <f t="shared" si="514"/>
        <v>1</v>
      </c>
      <c r="I5166" s="1323">
        <f t="shared" si="515"/>
        <v>10</v>
      </c>
      <c r="J5166" s="1323"/>
      <c r="K5166" s="1323"/>
      <c r="L5166" s="1323"/>
      <c r="M5166" s="1323"/>
      <c r="N5166" s="1323"/>
      <c r="O5166" s="1323"/>
      <c r="P5166" s="1323"/>
      <c r="Q5166" s="1323"/>
      <c r="R5166" s="1304"/>
      <c r="S5166" s="1304"/>
      <c r="T5166" s="1304"/>
    </row>
    <row r="5167" spans="1:20">
      <c r="A5167" s="1303"/>
      <c r="B5167" s="1322" t="s">
        <v>11756</v>
      </c>
      <c r="C5167" s="1323" t="s">
        <v>11757</v>
      </c>
      <c r="D5167" s="1324">
        <f t="shared" si="510"/>
        <v>34341</v>
      </c>
      <c r="E5167" s="1323">
        <f t="shared" si="512"/>
        <v>3.4014000000000002</v>
      </c>
      <c r="F5167" s="1323">
        <f t="shared" si="511"/>
        <v>3.6439177109473215</v>
      </c>
      <c r="G5167" s="1323">
        <f t="shared" si="513"/>
        <v>1994</v>
      </c>
      <c r="H5167" s="1323">
        <f t="shared" si="514"/>
        <v>1</v>
      </c>
      <c r="I5167" s="1323">
        <f t="shared" si="515"/>
        <v>7</v>
      </c>
      <c r="J5167" s="1323"/>
      <c r="K5167" s="1323"/>
      <c r="L5167" s="1323"/>
      <c r="M5167" s="1323"/>
      <c r="N5167" s="1323"/>
      <c r="O5167" s="1323"/>
      <c r="P5167" s="1323"/>
      <c r="Q5167" s="1323"/>
      <c r="R5167" s="1304"/>
      <c r="S5167" s="1304"/>
      <c r="T5167" s="1304"/>
    </row>
    <row r="5168" spans="1:20">
      <c r="A5168" s="1303"/>
      <c r="B5168" s="1322" t="s">
        <v>11758</v>
      </c>
      <c r="C5168" s="1323" t="s">
        <v>11753</v>
      </c>
      <c r="D5168" s="1324">
        <f t="shared" si="510"/>
        <v>34340</v>
      </c>
      <c r="E5168" s="1323">
        <f t="shared" si="512"/>
        <v>3.4014000000000002</v>
      </c>
      <c r="F5168" s="1323">
        <f t="shared" si="511"/>
        <v>3.6432190114108867</v>
      </c>
      <c r="G5168" s="1323">
        <f t="shared" si="513"/>
        <v>1994</v>
      </c>
      <c r="H5168" s="1323">
        <f t="shared" si="514"/>
        <v>1</v>
      </c>
      <c r="I5168" s="1323">
        <f t="shared" si="515"/>
        <v>6</v>
      </c>
      <c r="J5168" s="1323"/>
      <c r="K5168" s="1323"/>
      <c r="L5168" s="1323"/>
      <c r="M5168" s="1323"/>
      <c r="N5168" s="1323"/>
      <c r="O5168" s="1323"/>
      <c r="P5168" s="1323"/>
      <c r="Q5168" s="1323"/>
      <c r="R5168" s="1304"/>
      <c r="S5168" s="1304"/>
      <c r="T5168" s="1304"/>
    </row>
    <row r="5169" spans="1:20">
      <c r="A5169" s="1303"/>
      <c r="B5169" s="1322" t="s">
        <v>11759</v>
      </c>
      <c r="C5169" s="1323" t="s">
        <v>11753</v>
      </c>
      <c r="D5169" s="1324">
        <f t="shared" si="510"/>
        <v>34339</v>
      </c>
      <c r="E5169" s="1323">
        <f t="shared" si="512"/>
        <v>3.4030999999999998</v>
      </c>
      <c r="F5169" s="1323">
        <f t="shared" si="511"/>
        <v>3.6425204458459297</v>
      </c>
      <c r="G5169" s="1323">
        <f t="shared" si="513"/>
        <v>1994</v>
      </c>
      <c r="H5169" s="1323">
        <f t="shared" si="514"/>
        <v>1</v>
      </c>
      <c r="I5169" s="1323">
        <f t="shared" si="515"/>
        <v>5</v>
      </c>
      <c r="J5169" s="1323"/>
      <c r="K5169" s="1323"/>
      <c r="L5169" s="1323"/>
      <c r="M5169" s="1323"/>
      <c r="N5169" s="1323"/>
      <c r="O5169" s="1323"/>
      <c r="P5169" s="1323"/>
      <c r="Q5169" s="1323"/>
      <c r="R5169" s="1304"/>
      <c r="S5169" s="1304"/>
      <c r="T5169" s="1304"/>
    </row>
    <row r="5170" spans="1:20">
      <c r="A5170" s="1303"/>
      <c r="B5170" s="1322" t="s">
        <v>11760</v>
      </c>
      <c r="C5170" s="1323" t="s">
        <v>11761</v>
      </c>
      <c r="D5170" s="1324">
        <f t="shared" si="510"/>
        <v>34338</v>
      </c>
      <c r="E5170" s="1323">
        <f t="shared" si="512"/>
        <v>3.4043000000000001</v>
      </c>
      <c r="F5170" s="1323">
        <f t="shared" si="511"/>
        <v>3.6418220142267628</v>
      </c>
      <c r="G5170" s="1323">
        <f t="shared" si="513"/>
        <v>1994</v>
      </c>
      <c r="H5170" s="1323">
        <f t="shared" si="514"/>
        <v>1</v>
      </c>
      <c r="I5170" s="1323">
        <f t="shared" si="515"/>
        <v>4</v>
      </c>
      <c r="J5170" s="1323"/>
      <c r="K5170" s="1323"/>
      <c r="L5170" s="1323"/>
      <c r="M5170" s="1323"/>
      <c r="N5170" s="1323"/>
      <c r="O5170" s="1323"/>
      <c r="P5170" s="1323"/>
      <c r="Q5170" s="1323"/>
      <c r="R5170" s="1304"/>
      <c r="S5170" s="1304"/>
      <c r="T5170" s="1304"/>
    </row>
    <row r="5171" spans="1:20">
      <c r="A5171" s="1303"/>
      <c r="B5171" s="1322" t="s">
        <v>11762</v>
      </c>
      <c r="C5171" s="1323" t="s">
        <v>11763</v>
      </c>
      <c r="D5171" s="1324">
        <f t="shared" si="510"/>
        <v>34337</v>
      </c>
      <c r="E5171" s="1323">
        <f t="shared" si="512"/>
        <v>3.3984999999999999</v>
      </c>
      <c r="F5171" s="1323">
        <f t="shared" si="511"/>
        <v>3.6411237165277024</v>
      </c>
      <c r="G5171" s="1323">
        <f t="shared" si="513"/>
        <v>1994</v>
      </c>
      <c r="H5171" s="1323">
        <f t="shared" si="514"/>
        <v>1</v>
      </c>
      <c r="I5171" s="1323">
        <f t="shared" si="515"/>
        <v>3</v>
      </c>
      <c r="J5171" s="1323"/>
      <c r="K5171" s="1323"/>
      <c r="L5171" s="1323"/>
      <c r="M5171" s="1323"/>
      <c r="N5171" s="1323"/>
      <c r="O5171" s="1323"/>
      <c r="P5171" s="1323"/>
      <c r="Q5171" s="1323"/>
      <c r="R5171" s="1304"/>
      <c r="S5171" s="1304"/>
      <c r="T5171" s="1304"/>
    </row>
    <row r="5172" spans="1:20">
      <c r="A5172" s="1303"/>
      <c r="B5172" s="1322" t="s">
        <v>11764</v>
      </c>
      <c r="C5172" s="1323" t="s">
        <v>11751</v>
      </c>
      <c r="D5172" s="1324">
        <f t="shared" si="510"/>
        <v>34334</v>
      </c>
      <c r="E5172" s="1323">
        <f t="shared" si="512"/>
        <v>3.3984999999999999</v>
      </c>
      <c r="F5172" s="1323">
        <f t="shared" si="511"/>
        <v>3.6404255527230704</v>
      </c>
      <c r="G5172" s="1323">
        <f t="shared" si="513"/>
        <v>1993</v>
      </c>
      <c r="H5172" s="1323">
        <f t="shared" si="514"/>
        <v>12</v>
      </c>
      <c r="I5172" s="1323">
        <f t="shared" si="515"/>
        <v>31</v>
      </c>
      <c r="J5172" s="1323"/>
      <c r="K5172" s="1323"/>
      <c r="L5172" s="1323"/>
      <c r="M5172" s="1323"/>
      <c r="N5172" s="1323"/>
      <c r="O5172" s="1323"/>
      <c r="P5172" s="1323"/>
      <c r="Q5172" s="1323"/>
      <c r="R5172" s="1304"/>
      <c r="S5172" s="1304"/>
      <c r="T5172" s="1304"/>
    </row>
    <row r="5173" spans="1:20">
      <c r="A5173" s="1303"/>
      <c r="B5173" s="1322" t="s">
        <v>11765</v>
      </c>
      <c r="C5173" s="1323" t="s">
        <v>11751</v>
      </c>
      <c r="D5173" s="1324">
        <f t="shared" si="510"/>
        <v>34333</v>
      </c>
      <c r="E5173" s="1323">
        <f t="shared" si="512"/>
        <v>3.3996</v>
      </c>
      <c r="F5173" s="1323">
        <f t="shared" si="511"/>
        <v>3.6397275227871932</v>
      </c>
      <c r="G5173" s="1323">
        <f t="shared" si="513"/>
        <v>1993</v>
      </c>
      <c r="H5173" s="1323">
        <f t="shared" si="514"/>
        <v>12</v>
      </c>
      <c r="I5173" s="1323">
        <f t="shared" si="515"/>
        <v>30</v>
      </c>
      <c r="J5173" s="1323"/>
      <c r="K5173" s="1323"/>
      <c r="L5173" s="1323"/>
      <c r="M5173" s="1323"/>
      <c r="N5173" s="1323"/>
      <c r="O5173" s="1323"/>
      <c r="P5173" s="1323"/>
      <c r="Q5173" s="1323"/>
      <c r="R5173" s="1304"/>
      <c r="S5173" s="1304"/>
      <c r="T5173" s="1304"/>
    </row>
    <row r="5174" spans="1:20">
      <c r="A5174" s="1303"/>
      <c r="B5174" s="1322" t="s">
        <v>11766</v>
      </c>
      <c r="C5174" s="1323" t="s">
        <v>11767</v>
      </c>
      <c r="D5174" s="1324">
        <f t="shared" si="510"/>
        <v>34332</v>
      </c>
      <c r="E5174" s="1323">
        <f t="shared" si="512"/>
        <v>3.3772000000000002</v>
      </c>
      <c r="F5174" s="1323">
        <f t="shared" si="511"/>
        <v>3.6390296266944024</v>
      </c>
      <c r="G5174" s="1323">
        <f t="shared" si="513"/>
        <v>1993</v>
      </c>
      <c r="H5174" s="1323">
        <f t="shared" si="514"/>
        <v>12</v>
      </c>
      <c r="I5174" s="1323">
        <f t="shared" si="515"/>
        <v>29</v>
      </c>
      <c r="J5174" s="1323"/>
      <c r="K5174" s="1323"/>
      <c r="L5174" s="1323"/>
      <c r="M5174" s="1323"/>
      <c r="N5174" s="1323"/>
      <c r="O5174" s="1323"/>
      <c r="P5174" s="1323"/>
      <c r="Q5174" s="1323"/>
      <c r="R5174" s="1304"/>
      <c r="S5174" s="1304"/>
      <c r="T5174" s="1304"/>
    </row>
    <row r="5175" spans="1:20">
      <c r="A5175" s="1303"/>
      <c r="B5175" s="1322" t="s">
        <v>11768</v>
      </c>
      <c r="C5175" s="1323" t="s">
        <v>11769</v>
      </c>
      <c r="D5175" s="1324">
        <f t="shared" si="510"/>
        <v>34331</v>
      </c>
      <c r="E5175" s="1323">
        <f t="shared" si="512"/>
        <v>3.3755000000000002</v>
      </c>
      <c r="F5175" s="1323">
        <f t="shared" si="511"/>
        <v>3.6383318644190341</v>
      </c>
      <c r="G5175" s="1323">
        <f t="shared" si="513"/>
        <v>1993</v>
      </c>
      <c r="H5175" s="1323">
        <f t="shared" si="514"/>
        <v>12</v>
      </c>
      <c r="I5175" s="1323">
        <f t="shared" si="515"/>
        <v>28</v>
      </c>
      <c r="J5175" s="1323"/>
      <c r="K5175" s="1323"/>
      <c r="L5175" s="1323"/>
      <c r="M5175" s="1323"/>
      <c r="N5175" s="1323"/>
      <c r="O5175" s="1323"/>
      <c r="P5175" s="1323"/>
      <c r="Q5175" s="1323"/>
      <c r="R5175" s="1304"/>
      <c r="S5175" s="1304"/>
      <c r="T5175" s="1304"/>
    </row>
    <row r="5176" spans="1:20">
      <c r="A5176" s="1303"/>
      <c r="B5176" s="1322" t="s">
        <v>11770</v>
      </c>
      <c r="C5176" s="1323" t="s">
        <v>11771</v>
      </c>
      <c r="D5176" s="1324">
        <f t="shared" si="510"/>
        <v>34330</v>
      </c>
      <c r="E5176" s="1323">
        <f t="shared" si="512"/>
        <v>3.3733</v>
      </c>
      <c r="F5176" s="1323">
        <f t="shared" si="511"/>
        <v>3.6376342359354301</v>
      </c>
      <c r="G5176" s="1323">
        <f t="shared" si="513"/>
        <v>1993</v>
      </c>
      <c r="H5176" s="1323">
        <f t="shared" si="514"/>
        <v>12</v>
      </c>
      <c r="I5176" s="1323">
        <f t="shared" si="515"/>
        <v>27</v>
      </c>
      <c r="J5176" s="1323"/>
      <c r="K5176" s="1323"/>
      <c r="L5176" s="1323"/>
      <c r="M5176" s="1323"/>
      <c r="N5176" s="1323"/>
      <c r="O5176" s="1323"/>
      <c r="P5176" s="1323"/>
      <c r="Q5176" s="1323"/>
      <c r="R5176" s="1304"/>
      <c r="S5176" s="1304"/>
      <c r="T5176" s="1304"/>
    </row>
    <row r="5177" spans="1:20">
      <c r="A5177" s="1303"/>
      <c r="B5177" s="1322" t="s">
        <v>11772</v>
      </c>
      <c r="C5177" s="1323" t="s">
        <v>11773</v>
      </c>
      <c r="D5177" s="1324">
        <f t="shared" si="510"/>
        <v>34327</v>
      </c>
      <c r="E5177" s="1323">
        <f t="shared" si="512"/>
        <v>3.3767</v>
      </c>
      <c r="F5177" s="1323">
        <f t="shared" si="511"/>
        <v>3.6369367412179363</v>
      </c>
      <c r="G5177" s="1323">
        <f t="shared" si="513"/>
        <v>1993</v>
      </c>
      <c r="H5177" s="1323">
        <f t="shared" si="514"/>
        <v>12</v>
      </c>
      <c r="I5177" s="1323">
        <f t="shared" si="515"/>
        <v>24</v>
      </c>
      <c r="J5177" s="1323"/>
      <c r="K5177" s="1323"/>
      <c r="L5177" s="1323"/>
      <c r="M5177" s="1323"/>
      <c r="N5177" s="1323"/>
      <c r="O5177" s="1323"/>
      <c r="P5177" s="1323"/>
      <c r="Q5177" s="1323"/>
      <c r="R5177" s="1304"/>
      <c r="S5177" s="1304"/>
      <c r="T5177" s="1304"/>
    </row>
    <row r="5178" spans="1:20">
      <c r="A5178" s="1303"/>
      <c r="B5178" s="1322" t="s">
        <v>11774</v>
      </c>
      <c r="C5178" s="1323" t="s">
        <v>11775</v>
      </c>
      <c r="D5178" s="1324">
        <f t="shared" si="510"/>
        <v>34326</v>
      </c>
      <c r="E5178" s="1323">
        <f t="shared" si="512"/>
        <v>3.3788999999999998</v>
      </c>
      <c r="F5178" s="1323">
        <f t="shared" si="511"/>
        <v>3.6362393802409039</v>
      </c>
      <c r="G5178" s="1323">
        <f t="shared" si="513"/>
        <v>1993</v>
      </c>
      <c r="H5178" s="1323">
        <f t="shared" si="514"/>
        <v>12</v>
      </c>
      <c r="I5178" s="1323">
        <f t="shared" si="515"/>
        <v>23</v>
      </c>
      <c r="J5178" s="1323"/>
      <c r="K5178" s="1323"/>
      <c r="L5178" s="1323"/>
      <c r="M5178" s="1323"/>
      <c r="N5178" s="1323"/>
      <c r="O5178" s="1323"/>
      <c r="P5178" s="1323"/>
      <c r="Q5178" s="1323"/>
      <c r="R5178" s="1304"/>
      <c r="S5178" s="1304"/>
      <c r="T5178" s="1304"/>
    </row>
    <row r="5179" spans="1:20">
      <c r="A5179" s="1303"/>
      <c r="B5179" s="1322" t="s">
        <v>11776</v>
      </c>
      <c r="C5179" s="1323" t="s">
        <v>11777</v>
      </c>
      <c r="D5179" s="1324">
        <f t="shared" si="510"/>
        <v>34325</v>
      </c>
      <c r="E5179" s="1323">
        <f t="shared" si="512"/>
        <v>3.3835000000000002</v>
      </c>
      <c r="F5179" s="1323">
        <f t="shared" si="511"/>
        <v>3.6355421529786889</v>
      </c>
      <c r="G5179" s="1323">
        <f t="shared" si="513"/>
        <v>1993</v>
      </c>
      <c r="H5179" s="1323">
        <f t="shared" si="514"/>
        <v>12</v>
      </c>
      <c r="I5179" s="1323">
        <f t="shared" si="515"/>
        <v>22</v>
      </c>
      <c r="J5179" s="1323"/>
      <c r="K5179" s="1323"/>
      <c r="L5179" s="1323"/>
      <c r="M5179" s="1323"/>
      <c r="N5179" s="1323"/>
      <c r="O5179" s="1323"/>
      <c r="P5179" s="1323"/>
      <c r="Q5179" s="1323"/>
      <c r="R5179" s="1304"/>
      <c r="S5179" s="1304"/>
      <c r="T5179" s="1304"/>
    </row>
    <row r="5180" spans="1:20">
      <c r="A5180" s="1303"/>
      <c r="B5180" s="1322" t="s">
        <v>11778</v>
      </c>
      <c r="C5180" s="1323" t="s">
        <v>11779</v>
      </c>
      <c r="D5180" s="1324">
        <f t="shared" si="510"/>
        <v>34324</v>
      </c>
      <c r="E5180" s="1323">
        <f t="shared" si="512"/>
        <v>3.3852000000000002</v>
      </c>
      <c r="F5180" s="1323">
        <f t="shared" si="511"/>
        <v>3.6348450594056518</v>
      </c>
      <c r="G5180" s="1323">
        <f t="shared" si="513"/>
        <v>1993</v>
      </c>
      <c r="H5180" s="1323">
        <f t="shared" si="514"/>
        <v>12</v>
      </c>
      <c r="I5180" s="1323">
        <f t="shared" si="515"/>
        <v>21</v>
      </c>
      <c r="J5180" s="1323"/>
      <c r="K5180" s="1323"/>
      <c r="L5180" s="1323"/>
      <c r="M5180" s="1323"/>
      <c r="N5180" s="1323"/>
      <c r="O5180" s="1323"/>
      <c r="P5180" s="1323"/>
      <c r="Q5180" s="1323"/>
      <c r="R5180" s="1304"/>
      <c r="S5180" s="1304"/>
      <c r="T5180" s="1304"/>
    </row>
    <row r="5181" spans="1:20">
      <c r="A5181" s="1303"/>
      <c r="B5181" s="1322" t="s">
        <v>11780</v>
      </c>
      <c r="C5181" s="1323" t="s">
        <v>11781</v>
      </c>
      <c r="D5181" s="1324">
        <f t="shared" si="510"/>
        <v>34323</v>
      </c>
      <c r="E5181" s="1323">
        <f t="shared" si="512"/>
        <v>3.3852000000000002</v>
      </c>
      <c r="F5181" s="1323">
        <f t="shared" si="511"/>
        <v>3.6341480994961595</v>
      </c>
      <c r="G5181" s="1323">
        <f t="shared" si="513"/>
        <v>1993</v>
      </c>
      <c r="H5181" s="1323">
        <f t="shared" si="514"/>
        <v>12</v>
      </c>
      <c r="I5181" s="1323">
        <f t="shared" si="515"/>
        <v>20</v>
      </c>
      <c r="J5181" s="1323"/>
      <c r="K5181" s="1323"/>
      <c r="L5181" s="1323"/>
      <c r="M5181" s="1323"/>
      <c r="N5181" s="1323"/>
      <c r="O5181" s="1323"/>
      <c r="P5181" s="1323"/>
      <c r="Q5181" s="1323"/>
      <c r="R5181" s="1304"/>
      <c r="S5181" s="1304"/>
      <c r="T5181" s="1304"/>
    </row>
    <row r="5182" spans="1:20">
      <c r="A5182" s="1303"/>
      <c r="B5182" s="1322" t="s">
        <v>11782</v>
      </c>
      <c r="C5182" s="1323" t="s">
        <v>11781</v>
      </c>
      <c r="D5182" s="1324">
        <f t="shared" si="510"/>
        <v>34320</v>
      </c>
      <c r="E5182" s="1323">
        <f t="shared" si="512"/>
        <v>3.3824000000000001</v>
      </c>
      <c r="F5182" s="1323">
        <f t="shared" si="511"/>
        <v>3.6334512732245821</v>
      </c>
      <c r="G5182" s="1323">
        <f t="shared" si="513"/>
        <v>1993</v>
      </c>
      <c r="H5182" s="1323">
        <f t="shared" si="514"/>
        <v>12</v>
      </c>
      <c r="I5182" s="1323">
        <f t="shared" si="515"/>
        <v>17</v>
      </c>
      <c r="J5182" s="1323"/>
      <c r="K5182" s="1323"/>
      <c r="L5182" s="1323"/>
      <c r="M5182" s="1323"/>
      <c r="N5182" s="1323"/>
      <c r="O5182" s="1323"/>
      <c r="P5182" s="1323"/>
      <c r="Q5182" s="1323"/>
      <c r="R5182" s="1304"/>
      <c r="S5182" s="1304"/>
      <c r="T5182" s="1304"/>
    </row>
    <row r="5183" spans="1:20">
      <c r="A5183" s="1303"/>
      <c r="B5183" s="1322" t="s">
        <v>11783</v>
      </c>
      <c r="C5183" s="1323" t="s">
        <v>11784</v>
      </c>
      <c r="D5183" s="1324">
        <f t="shared" si="510"/>
        <v>34318</v>
      </c>
      <c r="E5183" s="1323">
        <f t="shared" si="512"/>
        <v>3.3778000000000001</v>
      </c>
      <c r="F5183" s="1323">
        <f t="shared" si="511"/>
        <v>3.6327545805652957</v>
      </c>
      <c r="G5183" s="1323">
        <f t="shared" si="513"/>
        <v>1993</v>
      </c>
      <c r="H5183" s="1323">
        <f t="shared" si="514"/>
        <v>12</v>
      </c>
      <c r="I5183" s="1323">
        <f t="shared" si="515"/>
        <v>15</v>
      </c>
      <c r="J5183" s="1323"/>
      <c r="K5183" s="1323"/>
      <c r="L5183" s="1323"/>
      <c r="M5183" s="1323"/>
      <c r="N5183" s="1323"/>
      <c r="O5183" s="1323"/>
      <c r="P5183" s="1323"/>
      <c r="Q5183" s="1323"/>
      <c r="R5183" s="1304"/>
      <c r="S5183" s="1304"/>
      <c r="T5183" s="1304"/>
    </row>
    <row r="5184" spans="1:20">
      <c r="A5184" s="1303"/>
      <c r="B5184" s="1322" t="s">
        <v>11785</v>
      </c>
      <c r="C5184" s="1323" t="s">
        <v>11786</v>
      </c>
      <c r="D5184" s="1324">
        <f t="shared" si="510"/>
        <v>34317</v>
      </c>
      <c r="E5184" s="1323">
        <f t="shared" si="512"/>
        <v>3.3687</v>
      </c>
      <c r="F5184" s="1323">
        <f t="shared" si="511"/>
        <v>3.6320580214926803</v>
      </c>
      <c r="G5184" s="1323">
        <f t="shared" si="513"/>
        <v>1993</v>
      </c>
      <c r="H5184" s="1323">
        <f t="shared" si="514"/>
        <v>12</v>
      </c>
      <c r="I5184" s="1323">
        <f t="shared" si="515"/>
        <v>14</v>
      </c>
      <c r="J5184" s="1323"/>
      <c r="K5184" s="1323"/>
      <c r="L5184" s="1323"/>
      <c r="M5184" s="1323"/>
      <c r="N5184" s="1323"/>
      <c r="O5184" s="1323"/>
      <c r="P5184" s="1323"/>
      <c r="Q5184" s="1323"/>
      <c r="R5184" s="1304"/>
      <c r="S5184" s="1304"/>
      <c r="T5184" s="1304"/>
    </row>
    <row r="5185" spans="1:20">
      <c r="A5185" s="1303"/>
      <c r="B5185" s="1322" t="s">
        <v>11787</v>
      </c>
      <c r="C5185" s="1323" t="s">
        <v>11788</v>
      </c>
      <c r="D5185" s="1324">
        <f t="shared" si="510"/>
        <v>34316</v>
      </c>
      <c r="E5185" s="1323">
        <f t="shared" si="512"/>
        <v>3.3580000000000001</v>
      </c>
      <c r="F5185" s="1323">
        <f t="shared" si="511"/>
        <v>3.6313615959811223</v>
      </c>
      <c r="G5185" s="1323">
        <f t="shared" si="513"/>
        <v>1993</v>
      </c>
      <c r="H5185" s="1323">
        <f t="shared" si="514"/>
        <v>12</v>
      </c>
      <c r="I5185" s="1323">
        <f t="shared" si="515"/>
        <v>13</v>
      </c>
      <c r="J5185" s="1323"/>
      <c r="K5185" s="1323"/>
      <c r="L5185" s="1323"/>
      <c r="M5185" s="1323"/>
      <c r="N5185" s="1323"/>
      <c r="O5185" s="1323"/>
      <c r="P5185" s="1323"/>
      <c r="Q5185" s="1323"/>
      <c r="R5185" s="1304"/>
      <c r="S5185" s="1304"/>
      <c r="T5185" s="1304"/>
    </row>
    <row r="5186" spans="1:20">
      <c r="A5186" s="1303"/>
      <c r="B5186" s="1322" t="s">
        <v>11789</v>
      </c>
      <c r="C5186" s="1323" t="s">
        <v>11790</v>
      </c>
      <c r="D5186" s="1324">
        <f t="shared" si="510"/>
        <v>34313</v>
      </c>
      <c r="E5186" s="1323">
        <f t="shared" si="512"/>
        <v>3.363</v>
      </c>
      <c r="F5186" s="1323">
        <f t="shared" si="511"/>
        <v>3.6306653040050114</v>
      </c>
      <c r="G5186" s="1323">
        <f t="shared" si="513"/>
        <v>1993</v>
      </c>
      <c r="H5186" s="1323">
        <f t="shared" si="514"/>
        <v>12</v>
      </c>
      <c r="I5186" s="1323">
        <f t="shared" si="515"/>
        <v>10</v>
      </c>
      <c r="J5186" s="1323"/>
      <c r="K5186" s="1323"/>
      <c r="L5186" s="1323"/>
      <c r="M5186" s="1323"/>
      <c r="N5186" s="1323"/>
      <c r="O5186" s="1323"/>
      <c r="P5186" s="1323"/>
      <c r="Q5186" s="1323"/>
      <c r="R5186" s="1304"/>
      <c r="S5186" s="1304"/>
      <c r="T5186" s="1304"/>
    </row>
    <row r="5187" spans="1:20">
      <c r="A5187" s="1303"/>
      <c r="B5187" s="1322" t="s">
        <v>11791</v>
      </c>
      <c r="C5187" s="1323" t="s">
        <v>11792</v>
      </c>
      <c r="D5187" s="1324">
        <f t="shared" si="510"/>
        <v>34312</v>
      </c>
      <c r="E5187" s="1323">
        <f t="shared" si="512"/>
        <v>3.3664000000000001</v>
      </c>
      <c r="F5187" s="1323">
        <f t="shared" si="511"/>
        <v>3.6299691455387437</v>
      </c>
      <c r="G5187" s="1323">
        <f t="shared" si="513"/>
        <v>1993</v>
      </c>
      <c r="H5187" s="1323">
        <f t="shared" si="514"/>
        <v>12</v>
      </c>
      <c r="I5187" s="1323">
        <f t="shared" si="515"/>
        <v>9</v>
      </c>
      <c r="J5187" s="1323"/>
      <c r="K5187" s="1323"/>
      <c r="L5187" s="1323"/>
      <c r="M5187" s="1323"/>
      <c r="N5187" s="1323"/>
      <c r="O5187" s="1323"/>
      <c r="P5187" s="1323"/>
      <c r="Q5187" s="1323"/>
      <c r="R5187" s="1304"/>
      <c r="S5187" s="1304"/>
      <c r="T5187" s="1304"/>
    </row>
    <row r="5188" spans="1:20">
      <c r="A5188" s="1303"/>
      <c r="B5188" s="1322" t="s">
        <v>11793</v>
      </c>
      <c r="C5188" s="1323" t="s">
        <v>11794</v>
      </c>
      <c r="D5188" s="1324">
        <f t="shared" si="510"/>
        <v>34311</v>
      </c>
      <c r="E5188" s="1323">
        <f t="shared" si="512"/>
        <v>3.3658999999999999</v>
      </c>
      <c r="F5188" s="1323">
        <f t="shared" si="511"/>
        <v>3.6292731205567192</v>
      </c>
      <c r="G5188" s="1323">
        <f t="shared" si="513"/>
        <v>1993</v>
      </c>
      <c r="H5188" s="1323">
        <f t="shared" si="514"/>
        <v>12</v>
      </c>
      <c r="I5188" s="1323">
        <f t="shared" si="515"/>
        <v>8</v>
      </c>
      <c r="J5188" s="1323"/>
      <c r="K5188" s="1323"/>
      <c r="L5188" s="1323"/>
      <c r="M5188" s="1323"/>
      <c r="N5188" s="1323"/>
      <c r="O5188" s="1323"/>
      <c r="P5188" s="1323"/>
      <c r="Q5188" s="1323"/>
      <c r="R5188" s="1304"/>
      <c r="S5188" s="1304"/>
      <c r="T5188" s="1304"/>
    </row>
    <row r="5189" spans="1:20">
      <c r="A5189" s="1303"/>
      <c r="B5189" s="1322" t="s">
        <v>11795</v>
      </c>
      <c r="C5189" s="1323" t="s">
        <v>11796</v>
      </c>
      <c r="D5189" s="1324">
        <f t="shared" si="510"/>
        <v>34310</v>
      </c>
      <c r="E5189" s="1323">
        <f t="shared" si="512"/>
        <v>3.3574000000000002</v>
      </c>
      <c r="F5189" s="1323">
        <f t="shared" si="511"/>
        <v>3.6285772290333429</v>
      </c>
      <c r="G5189" s="1323">
        <f t="shared" si="513"/>
        <v>1993</v>
      </c>
      <c r="H5189" s="1323">
        <f t="shared" si="514"/>
        <v>12</v>
      </c>
      <c r="I5189" s="1323">
        <f t="shared" si="515"/>
        <v>7</v>
      </c>
      <c r="J5189" s="1323"/>
      <c r="K5189" s="1323"/>
      <c r="L5189" s="1323"/>
      <c r="M5189" s="1323"/>
      <c r="N5189" s="1323"/>
      <c r="O5189" s="1323"/>
      <c r="P5189" s="1323"/>
      <c r="Q5189" s="1323"/>
      <c r="R5189" s="1304"/>
      <c r="S5189" s="1304"/>
      <c r="T5189" s="1304"/>
    </row>
    <row r="5190" spans="1:20">
      <c r="A5190" s="1303"/>
      <c r="B5190" s="1322" t="s">
        <v>11797</v>
      </c>
      <c r="C5190" s="1323" t="s">
        <v>11798</v>
      </c>
      <c r="D5190" s="1324">
        <f t="shared" si="510"/>
        <v>34309</v>
      </c>
      <c r="E5190" s="1323">
        <f t="shared" si="512"/>
        <v>3.3653</v>
      </c>
      <c r="F5190" s="1323">
        <f t="shared" si="511"/>
        <v>3.6278814709430249</v>
      </c>
      <c r="G5190" s="1323">
        <f t="shared" si="513"/>
        <v>1993</v>
      </c>
      <c r="H5190" s="1323">
        <f t="shared" si="514"/>
        <v>12</v>
      </c>
      <c r="I5190" s="1323">
        <f t="shared" si="515"/>
        <v>6</v>
      </c>
      <c r="J5190" s="1323"/>
      <c r="K5190" s="1323"/>
      <c r="L5190" s="1323"/>
      <c r="M5190" s="1323"/>
      <c r="N5190" s="1323"/>
      <c r="O5190" s="1323"/>
      <c r="P5190" s="1323"/>
      <c r="Q5190" s="1323"/>
      <c r="R5190" s="1304"/>
      <c r="S5190" s="1304"/>
      <c r="T5190" s="1304"/>
    </row>
    <row r="5191" spans="1:20">
      <c r="A5191" s="1303"/>
      <c r="B5191" s="1322" t="s">
        <v>11799</v>
      </c>
      <c r="C5191" s="1323" t="s">
        <v>11800</v>
      </c>
      <c r="D5191" s="1324">
        <f t="shared" si="510"/>
        <v>34306</v>
      </c>
      <c r="E5191" s="1323">
        <f t="shared" si="512"/>
        <v>3.371</v>
      </c>
      <c r="F5191" s="1323">
        <f t="shared" si="511"/>
        <v>3.6271858462601805</v>
      </c>
      <c r="G5191" s="1323">
        <f t="shared" si="513"/>
        <v>1993</v>
      </c>
      <c r="H5191" s="1323">
        <f t="shared" si="514"/>
        <v>12</v>
      </c>
      <c r="I5191" s="1323">
        <f t="shared" si="515"/>
        <v>3</v>
      </c>
      <c r="J5191" s="1323"/>
      <c r="K5191" s="1323"/>
      <c r="L5191" s="1323"/>
      <c r="M5191" s="1323"/>
      <c r="N5191" s="1323"/>
      <c r="O5191" s="1323"/>
      <c r="P5191" s="1323"/>
      <c r="Q5191" s="1323"/>
      <c r="R5191" s="1304"/>
      <c r="S5191" s="1304"/>
      <c r="T5191" s="1304"/>
    </row>
    <row r="5192" spans="1:20">
      <c r="A5192" s="1303"/>
      <c r="B5192" s="1322" t="s">
        <v>11801</v>
      </c>
      <c r="C5192" s="1323" t="s">
        <v>11802</v>
      </c>
      <c r="D5192" s="1324">
        <f t="shared" si="510"/>
        <v>34305</v>
      </c>
      <c r="E5192" s="1323">
        <f t="shared" si="512"/>
        <v>3.371</v>
      </c>
      <c r="F5192" s="1323">
        <f t="shared" si="511"/>
        <v>3.6264903549592291</v>
      </c>
      <c r="G5192" s="1323">
        <f t="shared" si="513"/>
        <v>1993</v>
      </c>
      <c r="H5192" s="1323">
        <f t="shared" si="514"/>
        <v>12</v>
      </c>
      <c r="I5192" s="1323">
        <f t="shared" si="515"/>
        <v>2</v>
      </c>
      <c r="J5192" s="1323"/>
      <c r="K5192" s="1323"/>
      <c r="L5192" s="1323"/>
      <c r="M5192" s="1323"/>
      <c r="N5192" s="1323"/>
      <c r="O5192" s="1323"/>
      <c r="P5192" s="1323"/>
      <c r="Q5192" s="1323"/>
      <c r="R5192" s="1304"/>
      <c r="S5192" s="1304"/>
      <c r="T5192" s="1304"/>
    </row>
    <row r="5193" spans="1:20">
      <c r="A5193" s="1303"/>
      <c r="B5193" s="1322" t="s">
        <v>11803</v>
      </c>
      <c r="C5193" s="1323" t="s">
        <v>11802</v>
      </c>
      <c r="D5193" s="1324">
        <f t="shared" ref="D5193:D5256" si="516">DATE(G5193,H5193,I5193)</f>
        <v>34304</v>
      </c>
      <c r="E5193" s="1323">
        <f t="shared" si="512"/>
        <v>3.3698000000000001</v>
      </c>
      <c r="F5193" s="1323">
        <f t="shared" ref="F5193:F5256" si="517">F5194*(1+$F$7/365)</f>
        <v>3.6257949970145962</v>
      </c>
      <c r="G5193" s="1323">
        <f t="shared" si="513"/>
        <v>1993</v>
      </c>
      <c r="H5193" s="1323">
        <f t="shared" si="514"/>
        <v>12</v>
      </c>
      <c r="I5193" s="1323">
        <f t="shared" si="515"/>
        <v>1</v>
      </c>
      <c r="J5193" s="1323"/>
      <c r="K5193" s="1323"/>
      <c r="L5193" s="1323"/>
      <c r="M5193" s="1323"/>
      <c r="N5193" s="1323"/>
      <c r="O5193" s="1323"/>
      <c r="P5193" s="1323"/>
      <c r="Q5193" s="1323"/>
      <c r="R5193" s="1304"/>
      <c r="S5193" s="1304"/>
      <c r="T5193" s="1304"/>
    </row>
    <row r="5194" spans="1:20">
      <c r="A5194" s="1303"/>
      <c r="B5194" s="1322" t="s">
        <v>11804</v>
      </c>
      <c r="C5194" s="1323" t="s">
        <v>11805</v>
      </c>
      <c r="D5194" s="1324">
        <f t="shared" si="516"/>
        <v>34303</v>
      </c>
      <c r="E5194" s="1323">
        <f t="shared" si="512"/>
        <v>3.363</v>
      </c>
      <c r="F5194" s="1323">
        <f t="shared" si="517"/>
        <v>3.625099772400711</v>
      </c>
      <c r="G5194" s="1323">
        <f t="shared" si="513"/>
        <v>1993</v>
      </c>
      <c r="H5194" s="1323">
        <f t="shared" si="514"/>
        <v>11</v>
      </c>
      <c r="I5194" s="1323">
        <f t="shared" si="515"/>
        <v>30</v>
      </c>
      <c r="J5194" s="1323"/>
      <c r="K5194" s="1323"/>
      <c r="L5194" s="1323"/>
      <c r="M5194" s="1323"/>
      <c r="N5194" s="1323"/>
      <c r="O5194" s="1323"/>
      <c r="P5194" s="1323"/>
      <c r="Q5194" s="1323"/>
      <c r="R5194" s="1304"/>
      <c r="S5194" s="1304"/>
      <c r="T5194" s="1304"/>
    </row>
    <row r="5195" spans="1:20">
      <c r="A5195" s="1303"/>
      <c r="B5195" s="1322" t="s">
        <v>11806</v>
      </c>
      <c r="C5195" s="1323" t="s">
        <v>11792</v>
      </c>
      <c r="D5195" s="1324">
        <f t="shared" si="516"/>
        <v>34302</v>
      </c>
      <c r="E5195" s="1323">
        <f t="shared" si="512"/>
        <v>3.371</v>
      </c>
      <c r="F5195" s="1323">
        <f t="shared" si="517"/>
        <v>3.6244046810920083</v>
      </c>
      <c r="G5195" s="1323">
        <f t="shared" si="513"/>
        <v>1993</v>
      </c>
      <c r="H5195" s="1323">
        <f t="shared" si="514"/>
        <v>11</v>
      </c>
      <c r="I5195" s="1323">
        <f t="shared" si="515"/>
        <v>29</v>
      </c>
      <c r="J5195" s="1323"/>
      <c r="K5195" s="1323"/>
      <c r="L5195" s="1323"/>
      <c r="M5195" s="1323"/>
      <c r="N5195" s="1323"/>
      <c r="O5195" s="1323"/>
      <c r="P5195" s="1323"/>
      <c r="Q5195" s="1323"/>
      <c r="R5195" s="1304"/>
      <c r="S5195" s="1304"/>
      <c r="T5195" s="1304"/>
    </row>
    <row r="5196" spans="1:20">
      <c r="A5196" s="1303"/>
      <c r="B5196" s="1322" t="s">
        <v>11807</v>
      </c>
      <c r="C5196" s="1323" t="s">
        <v>11802</v>
      </c>
      <c r="D5196" s="1324">
        <f t="shared" si="516"/>
        <v>34299</v>
      </c>
      <c r="E5196" s="1323">
        <f t="shared" si="512"/>
        <v>3.371</v>
      </c>
      <c r="F5196" s="1323">
        <f t="shared" si="517"/>
        <v>3.6237097230629276</v>
      </c>
      <c r="G5196" s="1323">
        <f t="shared" si="513"/>
        <v>1993</v>
      </c>
      <c r="H5196" s="1323">
        <f t="shared" si="514"/>
        <v>11</v>
      </c>
      <c r="I5196" s="1323">
        <f t="shared" si="515"/>
        <v>26</v>
      </c>
      <c r="J5196" s="1323"/>
      <c r="K5196" s="1323"/>
      <c r="L5196" s="1323"/>
      <c r="M5196" s="1323"/>
      <c r="N5196" s="1323"/>
      <c r="O5196" s="1323"/>
      <c r="P5196" s="1323"/>
      <c r="Q5196" s="1323"/>
      <c r="R5196" s="1304"/>
      <c r="S5196" s="1304"/>
      <c r="T5196" s="1304"/>
    </row>
    <row r="5197" spans="1:20">
      <c r="A5197" s="1303"/>
      <c r="B5197" s="1322" t="s">
        <v>11808</v>
      </c>
      <c r="C5197" s="1323" t="s">
        <v>11802</v>
      </c>
      <c r="D5197" s="1324">
        <f t="shared" si="516"/>
        <v>34298</v>
      </c>
      <c r="E5197" s="1323">
        <f t="shared" si="512"/>
        <v>3.363</v>
      </c>
      <c r="F5197" s="1323">
        <f t="shared" si="517"/>
        <v>3.6230148982879133</v>
      </c>
      <c r="G5197" s="1323">
        <f t="shared" si="513"/>
        <v>1993</v>
      </c>
      <c r="H5197" s="1323">
        <f t="shared" si="514"/>
        <v>11</v>
      </c>
      <c r="I5197" s="1323">
        <f t="shared" si="515"/>
        <v>25</v>
      </c>
      <c r="J5197" s="1323"/>
      <c r="K5197" s="1323"/>
      <c r="L5197" s="1323"/>
      <c r="M5197" s="1323"/>
      <c r="N5197" s="1323"/>
      <c r="O5197" s="1323"/>
      <c r="P5197" s="1323"/>
      <c r="Q5197" s="1323"/>
      <c r="R5197" s="1304"/>
      <c r="S5197" s="1304"/>
      <c r="T5197" s="1304"/>
    </row>
    <row r="5198" spans="1:20">
      <c r="A5198" s="1303"/>
      <c r="B5198" s="1322" t="s">
        <v>11809</v>
      </c>
      <c r="C5198" s="1323" t="s">
        <v>11792</v>
      </c>
      <c r="D5198" s="1324">
        <f t="shared" si="516"/>
        <v>34297</v>
      </c>
      <c r="E5198" s="1323">
        <f t="shared" si="512"/>
        <v>3.3563000000000001</v>
      </c>
      <c r="F5198" s="1323">
        <f t="shared" si="517"/>
        <v>3.6223202067414149</v>
      </c>
      <c r="G5198" s="1323">
        <f t="shared" si="513"/>
        <v>1993</v>
      </c>
      <c r="H5198" s="1323">
        <f t="shared" si="514"/>
        <v>11</v>
      </c>
      <c r="I5198" s="1323">
        <f t="shared" si="515"/>
        <v>24</v>
      </c>
      <c r="J5198" s="1323"/>
      <c r="K5198" s="1323"/>
      <c r="L5198" s="1323"/>
      <c r="M5198" s="1323"/>
      <c r="N5198" s="1323"/>
      <c r="O5198" s="1323"/>
      <c r="P5198" s="1323"/>
      <c r="Q5198" s="1323"/>
      <c r="R5198" s="1304"/>
      <c r="S5198" s="1304"/>
      <c r="T5198" s="1304"/>
    </row>
    <row r="5199" spans="1:20">
      <c r="A5199" s="1303"/>
      <c r="B5199" s="1322" t="s">
        <v>11810</v>
      </c>
      <c r="C5199" s="1323" t="s">
        <v>11811</v>
      </c>
      <c r="D5199" s="1324">
        <f t="shared" si="516"/>
        <v>34296</v>
      </c>
      <c r="E5199" s="1323">
        <f t="shared" si="512"/>
        <v>3.3574000000000002</v>
      </c>
      <c r="F5199" s="1323">
        <f t="shared" si="517"/>
        <v>3.6216256483978864</v>
      </c>
      <c r="G5199" s="1323">
        <f t="shared" si="513"/>
        <v>1993</v>
      </c>
      <c r="H5199" s="1323">
        <f t="shared" si="514"/>
        <v>11</v>
      </c>
      <c r="I5199" s="1323">
        <f t="shared" si="515"/>
        <v>23</v>
      </c>
      <c r="J5199" s="1323"/>
      <c r="K5199" s="1323"/>
      <c r="L5199" s="1323"/>
      <c r="M5199" s="1323"/>
      <c r="N5199" s="1323"/>
      <c r="O5199" s="1323"/>
      <c r="P5199" s="1323"/>
      <c r="Q5199" s="1323"/>
      <c r="R5199" s="1304"/>
      <c r="S5199" s="1304"/>
      <c r="T5199" s="1304"/>
    </row>
    <row r="5200" spans="1:20">
      <c r="A5200" s="1303"/>
      <c r="B5200" s="1322" t="s">
        <v>11812</v>
      </c>
      <c r="C5200" s="1323" t="s">
        <v>11798</v>
      </c>
      <c r="D5200" s="1324">
        <f t="shared" si="516"/>
        <v>34295</v>
      </c>
      <c r="E5200" s="1323">
        <f t="shared" si="512"/>
        <v>3.3675999999999999</v>
      </c>
      <c r="F5200" s="1323">
        <f t="shared" si="517"/>
        <v>3.620931223231787</v>
      </c>
      <c r="G5200" s="1323">
        <f t="shared" si="513"/>
        <v>1993</v>
      </c>
      <c r="H5200" s="1323">
        <f t="shared" si="514"/>
        <v>11</v>
      </c>
      <c r="I5200" s="1323">
        <f t="shared" si="515"/>
        <v>22</v>
      </c>
      <c r="J5200" s="1323"/>
      <c r="K5200" s="1323"/>
      <c r="L5200" s="1323"/>
      <c r="M5200" s="1323"/>
      <c r="N5200" s="1323"/>
      <c r="O5200" s="1323"/>
      <c r="P5200" s="1323"/>
      <c r="Q5200" s="1323"/>
      <c r="R5200" s="1304"/>
      <c r="S5200" s="1304"/>
      <c r="T5200" s="1304"/>
    </row>
    <row r="5201" spans="1:20">
      <c r="A5201" s="1303"/>
      <c r="B5201" s="1322" t="s">
        <v>11813</v>
      </c>
      <c r="C5201" s="1323" t="s">
        <v>11814</v>
      </c>
      <c r="D5201" s="1324">
        <f t="shared" si="516"/>
        <v>34292</v>
      </c>
      <c r="E5201" s="1323">
        <f t="shared" si="512"/>
        <v>3.3693</v>
      </c>
      <c r="F5201" s="1323">
        <f t="shared" si="517"/>
        <v>3.6202369312175806</v>
      </c>
      <c r="G5201" s="1323">
        <f t="shared" si="513"/>
        <v>1993</v>
      </c>
      <c r="H5201" s="1323">
        <f t="shared" si="514"/>
        <v>11</v>
      </c>
      <c r="I5201" s="1323">
        <f t="shared" si="515"/>
        <v>19</v>
      </c>
      <c r="J5201" s="1323"/>
      <c r="K5201" s="1323"/>
      <c r="L5201" s="1323"/>
      <c r="M5201" s="1323"/>
      <c r="N5201" s="1323"/>
      <c r="O5201" s="1323"/>
      <c r="P5201" s="1323"/>
      <c r="Q5201" s="1323"/>
      <c r="R5201" s="1304"/>
      <c r="S5201" s="1304"/>
      <c r="T5201" s="1304"/>
    </row>
    <row r="5202" spans="1:20">
      <c r="A5202" s="1303"/>
      <c r="B5202" s="1322" t="s">
        <v>11815</v>
      </c>
      <c r="C5202" s="1323" t="s">
        <v>11816</v>
      </c>
      <c r="D5202" s="1324">
        <f t="shared" si="516"/>
        <v>34291</v>
      </c>
      <c r="E5202" s="1323">
        <f t="shared" si="512"/>
        <v>3.3675999999999999</v>
      </c>
      <c r="F5202" s="1323">
        <f t="shared" si="517"/>
        <v>3.6195427723297366</v>
      </c>
      <c r="G5202" s="1323">
        <f t="shared" si="513"/>
        <v>1993</v>
      </c>
      <c r="H5202" s="1323">
        <f t="shared" si="514"/>
        <v>11</v>
      </c>
      <c r="I5202" s="1323">
        <f t="shared" si="515"/>
        <v>18</v>
      </c>
      <c r="J5202" s="1323"/>
      <c r="K5202" s="1323"/>
      <c r="L5202" s="1323"/>
      <c r="M5202" s="1323"/>
      <c r="N5202" s="1323"/>
      <c r="O5202" s="1323"/>
      <c r="P5202" s="1323"/>
      <c r="Q5202" s="1323"/>
      <c r="R5202" s="1304"/>
      <c r="S5202" s="1304"/>
      <c r="T5202" s="1304"/>
    </row>
    <row r="5203" spans="1:20">
      <c r="A5203" s="1303"/>
      <c r="B5203" s="1322" t="s">
        <v>11817</v>
      </c>
      <c r="C5203" s="1323" t="s">
        <v>11814</v>
      </c>
      <c r="D5203" s="1324">
        <f t="shared" si="516"/>
        <v>34290</v>
      </c>
      <c r="E5203" s="1323">
        <f t="shared" si="512"/>
        <v>3.3664000000000001</v>
      </c>
      <c r="F5203" s="1323">
        <f t="shared" si="517"/>
        <v>3.6188487465427284</v>
      </c>
      <c r="G5203" s="1323">
        <f t="shared" si="513"/>
        <v>1993</v>
      </c>
      <c r="H5203" s="1323">
        <f t="shared" si="514"/>
        <v>11</v>
      </c>
      <c r="I5203" s="1323">
        <f t="shared" si="515"/>
        <v>17</v>
      </c>
      <c r="J5203" s="1323"/>
      <c r="K5203" s="1323"/>
      <c r="L5203" s="1323"/>
      <c r="M5203" s="1323"/>
      <c r="N5203" s="1323"/>
      <c r="O5203" s="1323"/>
      <c r="P5203" s="1323"/>
      <c r="Q5203" s="1323"/>
      <c r="R5203" s="1304"/>
      <c r="S5203" s="1304"/>
      <c r="T5203" s="1304"/>
    </row>
    <row r="5204" spans="1:20">
      <c r="A5204" s="1303"/>
      <c r="B5204" s="1322" t="s">
        <v>11818</v>
      </c>
      <c r="C5204" s="1323" t="s">
        <v>11794</v>
      </c>
      <c r="D5204" s="1324">
        <f t="shared" si="516"/>
        <v>34289</v>
      </c>
      <c r="E5204" s="1323">
        <f t="shared" si="512"/>
        <v>3.3584999999999998</v>
      </c>
      <c r="F5204" s="1323">
        <f t="shared" si="517"/>
        <v>3.6181548538310344</v>
      </c>
      <c r="G5204" s="1323">
        <f t="shared" si="513"/>
        <v>1993</v>
      </c>
      <c r="H5204" s="1323">
        <f t="shared" si="514"/>
        <v>11</v>
      </c>
      <c r="I5204" s="1323">
        <f t="shared" si="515"/>
        <v>16</v>
      </c>
      <c r="J5204" s="1323"/>
      <c r="K5204" s="1323"/>
      <c r="L5204" s="1323"/>
      <c r="M5204" s="1323"/>
      <c r="N5204" s="1323"/>
      <c r="O5204" s="1323"/>
      <c r="P5204" s="1323"/>
      <c r="Q5204" s="1323"/>
      <c r="R5204" s="1304"/>
      <c r="S5204" s="1304"/>
      <c r="T5204" s="1304"/>
    </row>
    <row r="5205" spans="1:20">
      <c r="A5205" s="1303"/>
      <c r="B5205" s="1322" t="s">
        <v>11819</v>
      </c>
      <c r="C5205" s="1323" t="s">
        <v>11820</v>
      </c>
      <c r="D5205" s="1324">
        <f t="shared" si="516"/>
        <v>34288</v>
      </c>
      <c r="E5205" s="1323">
        <f t="shared" si="512"/>
        <v>3.3574000000000002</v>
      </c>
      <c r="F5205" s="1323">
        <f t="shared" si="517"/>
        <v>3.6174610941691387</v>
      </c>
      <c r="G5205" s="1323">
        <f t="shared" si="513"/>
        <v>1993</v>
      </c>
      <c r="H5205" s="1323">
        <f t="shared" si="514"/>
        <v>11</v>
      </c>
      <c r="I5205" s="1323">
        <f t="shared" si="515"/>
        <v>15</v>
      </c>
      <c r="J5205" s="1323"/>
      <c r="K5205" s="1323"/>
      <c r="L5205" s="1323"/>
      <c r="M5205" s="1323"/>
      <c r="N5205" s="1323"/>
      <c r="O5205" s="1323"/>
      <c r="P5205" s="1323"/>
      <c r="Q5205" s="1323"/>
      <c r="R5205" s="1304"/>
      <c r="S5205" s="1304"/>
      <c r="T5205" s="1304"/>
    </row>
    <row r="5206" spans="1:20">
      <c r="A5206" s="1303"/>
      <c r="B5206" s="1322" t="s">
        <v>11821</v>
      </c>
      <c r="C5206" s="1323" t="s">
        <v>11798</v>
      </c>
      <c r="D5206" s="1324">
        <f t="shared" si="516"/>
        <v>34285</v>
      </c>
      <c r="E5206" s="1323">
        <f t="shared" ref="E5206:E5269" si="518">VALUE(C5207)</f>
        <v>3.3635999999999999</v>
      </c>
      <c r="F5206" s="1323">
        <f t="shared" si="517"/>
        <v>3.6167674675315298</v>
      </c>
      <c r="G5206" s="1323">
        <f t="shared" ref="G5206:G5269" si="519">YEAR(B5207)</f>
        <v>1993</v>
      </c>
      <c r="H5206" s="1323">
        <f t="shared" ref="H5206:H5269" si="520">MONTH(B5207)</f>
        <v>11</v>
      </c>
      <c r="I5206" s="1323">
        <f t="shared" ref="I5206:I5269" si="521">DAY(B5207)</f>
        <v>12</v>
      </c>
      <c r="J5206" s="1323"/>
      <c r="K5206" s="1323"/>
      <c r="L5206" s="1323"/>
      <c r="M5206" s="1323"/>
      <c r="N5206" s="1323"/>
      <c r="O5206" s="1323"/>
      <c r="P5206" s="1323"/>
      <c r="Q5206" s="1323"/>
      <c r="R5206" s="1304"/>
      <c r="S5206" s="1304"/>
      <c r="T5206" s="1304"/>
    </row>
    <row r="5207" spans="1:20">
      <c r="A5207" s="1303"/>
      <c r="B5207" s="1322" t="s">
        <v>11822</v>
      </c>
      <c r="C5207" s="1323" t="s">
        <v>11823</v>
      </c>
      <c r="D5207" s="1324">
        <f t="shared" si="516"/>
        <v>34284</v>
      </c>
      <c r="E5207" s="1323">
        <f t="shared" si="518"/>
        <v>3.3580000000000001</v>
      </c>
      <c r="F5207" s="1323">
        <f t="shared" si="517"/>
        <v>3.6160739738927008</v>
      </c>
      <c r="G5207" s="1323">
        <f t="shared" si="519"/>
        <v>1993</v>
      </c>
      <c r="H5207" s="1323">
        <f t="shared" si="520"/>
        <v>11</v>
      </c>
      <c r="I5207" s="1323">
        <f t="shared" si="521"/>
        <v>11</v>
      </c>
      <c r="J5207" s="1323"/>
      <c r="K5207" s="1323"/>
      <c r="L5207" s="1323"/>
      <c r="M5207" s="1323"/>
      <c r="N5207" s="1323"/>
      <c r="O5207" s="1323"/>
      <c r="P5207" s="1323"/>
      <c r="Q5207" s="1323"/>
      <c r="R5207" s="1304"/>
      <c r="S5207" s="1304"/>
      <c r="T5207" s="1304"/>
    </row>
    <row r="5208" spans="1:20">
      <c r="A5208" s="1303"/>
      <c r="B5208" s="1322" t="s">
        <v>11824</v>
      </c>
      <c r="C5208" s="1323" t="s">
        <v>11790</v>
      </c>
      <c r="D5208" s="1324">
        <f t="shared" si="516"/>
        <v>34283</v>
      </c>
      <c r="E5208" s="1323">
        <f t="shared" si="518"/>
        <v>3.363</v>
      </c>
      <c r="F5208" s="1323">
        <f t="shared" si="517"/>
        <v>3.6153806132271504</v>
      </c>
      <c r="G5208" s="1323">
        <f t="shared" si="519"/>
        <v>1993</v>
      </c>
      <c r="H5208" s="1323">
        <f t="shared" si="520"/>
        <v>11</v>
      </c>
      <c r="I5208" s="1323">
        <f t="shared" si="521"/>
        <v>10</v>
      </c>
      <c r="J5208" s="1323"/>
      <c r="K5208" s="1323"/>
      <c r="L5208" s="1323"/>
      <c r="M5208" s="1323"/>
      <c r="N5208" s="1323"/>
      <c r="O5208" s="1323"/>
      <c r="P5208" s="1323"/>
      <c r="Q5208" s="1323"/>
      <c r="R5208" s="1304"/>
      <c r="S5208" s="1304"/>
      <c r="T5208" s="1304"/>
    </row>
    <row r="5209" spans="1:20">
      <c r="A5209" s="1303"/>
      <c r="B5209" s="1322" t="s">
        <v>11825</v>
      </c>
      <c r="C5209" s="1323" t="s">
        <v>11792</v>
      </c>
      <c r="D5209" s="1324">
        <f t="shared" si="516"/>
        <v>34282</v>
      </c>
      <c r="E5209" s="1323">
        <f t="shared" si="518"/>
        <v>3.3574000000000002</v>
      </c>
      <c r="F5209" s="1323">
        <f t="shared" si="517"/>
        <v>3.6146873855093813</v>
      </c>
      <c r="G5209" s="1323">
        <f t="shared" si="519"/>
        <v>1993</v>
      </c>
      <c r="H5209" s="1323">
        <f t="shared" si="520"/>
        <v>11</v>
      </c>
      <c r="I5209" s="1323">
        <f t="shared" si="521"/>
        <v>9</v>
      </c>
      <c r="J5209" s="1323"/>
      <c r="K5209" s="1323"/>
      <c r="L5209" s="1323"/>
      <c r="M5209" s="1323"/>
      <c r="N5209" s="1323"/>
      <c r="O5209" s="1323"/>
      <c r="P5209" s="1323"/>
      <c r="Q5209" s="1323"/>
      <c r="R5209" s="1304"/>
      <c r="S5209" s="1304"/>
      <c r="T5209" s="1304"/>
    </row>
    <row r="5210" spans="1:20">
      <c r="A5210" s="1303"/>
      <c r="B5210" s="1322" t="s">
        <v>11826</v>
      </c>
      <c r="C5210" s="1323" t="s">
        <v>11798</v>
      </c>
      <c r="D5210" s="1324">
        <f t="shared" si="516"/>
        <v>34281</v>
      </c>
      <c r="E5210" s="1323">
        <f t="shared" si="518"/>
        <v>3.363</v>
      </c>
      <c r="F5210" s="1323">
        <f t="shared" si="517"/>
        <v>3.6139942907139018</v>
      </c>
      <c r="G5210" s="1323">
        <f t="shared" si="519"/>
        <v>1993</v>
      </c>
      <c r="H5210" s="1323">
        <f t="shared" si="520"/>
        <v>11</v>
      </c>
      <c r="I5210" s="1323">
        <f t="shared" si="521"/>
        <v>8</v>
      </c>
      <c r="J5210" s="1323"/>
      <c r="K5210" s="1323"/>
      <c r="L5210" s="1323"/>
      <c r="M5210" s="1323"/>
      <c r="N5210" s="1323"/>
      <c r="O5210" s="1323"/>
      <c r="P5210" s="1323"/>
      <c r="Q5210" s="1323"/>
      <c r="R5210" s="1304"/>
      <c r="S5210" s="1304"/>
      <c r="T5210" s="1304"/>
    </row>
    <row r="5211" spans="1:20">
      <c r="A5211" s="1303"/>
      <c r="B5211" s="1322" t="s">
        <v>11827</v>
      </c>
      <c r="C5211" s="1323" t="s">
        <v>11792</v>
      </c>
      <c r="D5211" s="1324">
        <f t="shared" si="516"/>
        <v>34278</v>
      </c>
      <c r="E5211" s="1323">
        <f t="shared" si="518"/>
        <v>3.3653</v>
      </c>
      <c r="F5211" s="1323">
        <f t="shared" si="517"/>
        <v>3.6133013288152247</v>
      </c>
      <c r="G5211" s="1323">
        <f t="shared" si="519"/>
        <v>1993</v>
      </c>
      <c r="H5211" s="1323">
        <f t="shared" si="520"/>
        <v>11</v>
      </c>
      <c r="I5211" s="1323">
        <f t="shared" si="521"/>
        <v>5</v>
      </c>
      <c r="J5211" s="1323"/>
      <c r="K5211" s="1323"/>
      <c r="L5211" s="1323"/>
      <c r="M5211" s="1323"/>
      <c r="N5211" s="1323"/>
      <c r="O5211" s="1323"/>
      <c r="P5211" s="1323"/>
      <c r="Q5211" s="1323"/>
      <c r="R5211" s="1304"/>
      <c r="S5211" s="1304"/>
      <c r="T5211" s="1304"/>
    </row>
    <row r="5212" spans="1:20">
      <c r="A5212" s="1303"/>
      <c r="B5212" s="1322" t="s">
        <v>11828</v>
      </c>
      <c r="C5212" s="1323" t="s">
        <v>11800</v>
      </c>
      <c r="D5212" s="1324">
        <f t="shared" si="516"/>
        <v>34277</v>
      </c>
      <c r="E5212" s="1323">
        <f t="shared" si="518"/>
        <v>3.3567999999999998</v>
      </c>
      <c r="F5212" s="1323">
        <f t="shared" si="517"/>
        <v>3.6126084997878678</v>
      </c>
      <c r="G5212" s="1323">
        <f t="shared" si="519"/>
        <v>1993</v>
      </c>
      <c r="H5212" s="1323">
        <f t="shared" si="520"/>
        <v>11</v>
      </c>
      <c r="I5212" s="1323">
        <f t="shared" si="521"/>
        <v>4</v>
      </c>
      <c r="J5212" s="1323"/>
      <c r="K5212" s="1323"/>
      <c r="L5212" s="1323"/>
      <c r="M5212" s="1323"/>
      <c r="N5212" s="1323"/>
      <c r="O5212" s="1323"/>
      <c r="P5212" s="1323"/>
      <c r="Q5212" s="1323"/>
      <c r="R5212" s="1304"/>
      <c r="S5212" s="1304"/>
      <c r="T5212" s="1304"/>
    </row>
    <row r="5213" spans="1:20">
      <c r="A5213" s="1303"/>
      <c r="B5213" s="1322" t="s">
        <v>11829</v>
      </c>
      <c r="C5213" s="1323" t="s">
        <v>11830</v>
      </c>
      <c r="D5213" s="1324">
        <f t="shared" si="516"/>
        <v>34276</v>
      </c>
      <c r="E5213" s="1323">
        <f t="shared" si="518"/>
        <v>3.3778000000000001</v>
      </c>
      <c r="F5213" s="1323">
        <f t="shared" si="517"/>
        <v>3.6119158036063541</v>
      </c>
      <c r="G5213" s="1323">
        <f t="shared" si="519"/>
        <v>1993</v>
      </c>
      <c r="H5213" s="1323">
        <f t="shared" si="520"/>
        <v>11</v>
      </c>
      <c r="I5213" s="1323">
        <f t="shared" si="521"/>
        <v>3</v>
      </c>
      <c r="J5213" s="1323"/>
      <c r="K5213" s="1323"/>
      <c r="L5213" s="1323"/>
      <c r="M5213" s="1323"/>
      <c r="N5213" s="1323"/>
      <c r="O5213" s="1323"/>
      <c r="P5213" s="1323"/>
      <c r="Q5213" s="1323"/>
      <c r="R5213" s="1304"/>
      <c r="S5213" s="1304"/>
      <c r="T5213" s="1304"/>
    </row>
    <row r="5214" spans="1:20">
      <c r="A5214" s="1303"/>
      <c r="B5214" s="1322" t="s">
        <v>11831</v>
      </c>
      <c r="C5214" s="1323" t="s">
        <v>11786</v>
      </c>
      <c r="D5214" s="1324">
        <f t="shared" si="516"/>
        <v>34275</v>
      </c>
      <c r="E5214" s="1323">
        <f t="shared" si="518"/>
        <v>3.3727</v>
      </c>
      <c r="F5214" s="1323">
        <f t="shared" si="517"/>
        <v>3.6112232402452111</v>
      </c>
      <c r="G5214" s="1323">
        <f t="shared" si="519"/>
        <v>1993</v>
      </c>
      <c r="H5214" s="1323">
        <f t="shared" si="520"/>
        <v>11</v>
      </c>
      <c r="I5214" s="1323">
        <f t="shared" si="521"/>
        <v>2</v>
      </c>
      <c r="J5214" s="1323"/>
      <c r="K5214" s="1323"/>
      <c r="L5214" s="1323"/>
      <c r="M5214" s="1323"/>
      <c r="N5214" s="1323"/>
      <c r="O5214" s="1323"/>
      <c r="P5214" s="1323"/>
      <c r="Q5214" s="1323"/>
      <c r="R5214" s="1304"/>
      <c r="S5214" s="1304"/>
      <c r="T5214" s="1304"/>
    </row>
    <row r="5215" spans="1:20">
      <c r="A5215" s="1303"/>
      <c r="B5215" s="1322" t="s">
        <v>11832</v>
      </c>
      <c r="C5215" s="1323" t="s">
        <v>11833</v>
      </c>
      <c r="D5215" s="1324">
        <f t="shared" si="516"/>
        <v>34274</v>
      </c>
      <c r="E5215" s="1323">
        <f t="shared" si="518"/>
        <v>3.3675999999999999</v>
      </c>
      <c r="F5215" s="1323">
        <f t="shared" si="517"/>
        <v>3.6105308096789712</v>
      </c>
      <c r="G5215" s="1323">
        <f t="shared" si="519"/>
        <v>1993</v>
      </c>
      <c r="H5215" s="1323">
        <f t="shared" si="520"/>
        <v>11</v>
      </c>
      <c r="I5215" s="1323">
        <f t="shared" si="521"/>
        <v>1</v>
      </c>
      <c r="J5215" s="1323"/>
      <c r="K5215" s="1323"/>
      <c r="L5215" s="1323"/>
      <c r="M5215" s="1323"/>
      <c r="N5215" s="1323"/>
      <c r="O5215" s="1323"/>
      <c r="P5215" s="1323"/>
      <c r="Q5215" s="1323"/>
      <c r="R5215" s="1304"/>
      <c r="S5215" s="1304"/>
      <c r="T5215" s="1304"/>
    </row>
    <row r="5216" spans="1:20">
      <c r="A5216" s="1303"/>
      <c r="B5216" s="1322" t="s">
        <v>11834</v>
      </c>
      <c r="C5216" s="1323" t="s">
        <v>11814</v>
      </c>
      <c r="D5216" s="1324">
        <f t="shared" si="516"/>
        <v>34271</v>
      </c>
      <c r="E5216" s="1323">
        <f t="shared" si="518"/>
        <v>3.3591000000000002</v>
      </c>
      <c r="F5216" s="1323">
        <f t="shared" si="517"/>
        <v>3.6098385118821716</v>
      </c>
      <c r="G5216" s="1323">
        <f t="shared" si="519"/>
        <v>1993</v>
      </c>
      <c r="H5216" s="1323">
        <f t="shared" si="520"/>
        <v>10</v>
      </c>
      <c r="I5216" s="1323">
        <f t="shared" si="521"/>
        <v>29</v>
      </c>
      <c r="J5216" s="1323"/>
      <c r="K5216" s="1323"/>
      <c r="L5216" s="1323"/>
      <c r="M5216" s="1323"/>
      <c r="N5216" s="1323"/>
      <c r="O5216" s="1323"/>
      <c r="P5216" s="1323"/>
      <c r="Q5216" s="1323"/>
      <c r="R5216" s="1304"/>
      <c r="S5216" s="1304"/>
      <c r="T5216" s="1304"/>
    </row>
    <row r="5217" spans="1:20">
      <c r="A5217" s="1303"/>
      <c r="B5217" s="1322" t="s">
        <v>11835</v>
      </c>
      <c r="C5217" s="1323" t="s">
        <v>11836</v>
      </c>
      <c r="D5217" s="1324">
        <f t="shared" si="516"/>
        <v>34270</v>
      </c>
      <c r="E5217" s="1323">
        <f t="shared" si="518"/>
        <v>3.3698000000000001</v>
      </c>
      <c r="F5217" s="1323">
        <f t="shared" si="517"/>
        <v>3.609146346829355</v>
      </c>
      <c r="G5217" s="1323">
        <f t="shared" si="519"/>
        <v>1993</v>
      </c>
      <c r="H5217" s="1323">
        <f t="shared" si="520"/>
        <v>10</v>
      </c>
      <c r="I5217" s="1323">
        <f t="shared" si="521"/>
        <v>28</v>
      </c>
      <c r="J5217" s="1323"/>
      <c r="K5217" s="1323"/>
      <c r="L5217" s="1323"/>
      <c r="M5217" s="1323"/>
      <c r="N5217" s="1323"/>
      <c r="O5217" s="1323"/>
      <c r="P5217" s="1323"/>
      <c r="Q5217" s="1323"/>
      <c r="R5217" s="1304"/>
      <c r="S5217" s="1304"/>
      <c r="T5217" s="1304"/>
    </row>
    <row r="5218" spans="1:20">
      <c r="A5218" s="1303"/>
      <c r="B5218" s="1322" t="s">
        <v>11837</v>
      </c>
      <c r="C5218" s="1323" t="s">
        <v>11805</v>
      </c>
      <c r="D5218" s="1324">
        <f t="shared" si="516"/>
        <v>34269</v>
      </c>
      <c r="E5218" s="1323">
        <f t="shared" si="518"/>
        <v>3.3698000000000001</v>
      </c>
      <c r="F5218" s="1323">
        <f t="shared" si="517"/>
        <v>3.6084543144950683</v>
      </c>
      <c r="G5218" s="1323">
        <f t="shared" si="519"/>
        <v>1993</v>
      </c>
      <c r="H5218" s="1323">
        <f t="shared" si="520"/>
        <v>10</v>
      </c>
      <c r="I5218" s="1323">
        <f t="shared" si="521"/>
        <v>27</v>
      </c>
      <c r="J5218" s="1323"/>
      <c r="K5218" s="1323"/>
      <c r="L5218" s="1323"/>
      <c r="M5218" s="1323"/>
      <c r="N5218" s="1323"/>
      <c r="O5218" s="1323"/>
      <c r="P5218" s="1323"/>
      <c r="Q5218" s="1323"/>
      <c r="R5218" s="1304"/>
      <c r="S5218" s="1304"/>
      <c r="T5218" s="1304"/>
    </row>
    <row r="5219" spans="1:20">
      <c r="A5219" s="1303"/>
      <c r="B5219" s="1322" t="s">
        <v>11838</v>
      </c>
      <c r="C5219" s="1323" t="s">
        <v>11805</v>
      </c>
      <c r="D5219" s="1324">
        <f t="shared" si="516"/>
        <v>34268</v>
      </c>
      <c r="E5219" s="1323">
        <f t="shared" si="518"/>
        <v>3.3698000000000001</v>
      </c>
      <c r="F5219" s="1323">
        <f t="shared" si="517"/>
        <v>3.6077624148538634</v>
      </c>
      <c r="G5219" s="1323">
        <f t="shared" si="519"/>
        <v>1993</v>
      </c>
      <c r="H5219" s="1323">
        <f t="shared" si="520"/>
        <v>10</v>
      </c>
      <c r="I5219" s="1323">
        <f t="shared" si="521"/>
        <v>26</v>
      </c>
      <c r="J5219" s="1323"/>
      <c r="K5219" s="1323"/>
      <c r="L5219" s="1323"/>
      <c r="M5219" s="1323"/>
      <c r="N5219" s="1323"/>
      <c r="O5219" s="1323"/>
      <c r="P5219" s="1323"/>
      <c r="Q5219" s="1323"/>
      <c r="R5219" s="1304"/>
      <c r="S5219" s="1304"/>
      <c r="T5219" s="1304"/>
    </row>
    <row r="5220" spans="1:20">
      <c r="A5220" s="1303"/>
      <c r="B5220" s="1322" t="s">
        <v>11839</v>
      </c>
      <c r="C5220" s="1323" t="s">
        <v>11805</v>
      </c>
      <c r="D5220" s="1324">
        <f t="shared" si="516"/>
        <v>34267</v>
      </c>
      <c r="E5220" s="1323">
        <f t="shared" si="518"/>
        <v>3.3635999999999999</v>
      </c>
      <c r="F5220" s="1323">
        <f t="shared" si="517"/>
        <v>3.6070706478802972</v>
      </c>
      <c r="G5220" s="1323">
        <f t="shared" si="519"/>
        <v>1993</v>
      </c>
      <c r="H5220" s="1323">
        <f t="shared" si="520"/>
        <v>10</v>
      </c>
      <c r="I5220" s="1323">
        <f t="shared" si="521"/>
        <v>25</v>
      </c>
      <c r="J5220" s="1323"/>
      <c r="K5220" s="1323"/>
      <c r="L5220" s="1323"/>
      <c r="M5220" s="1323"/>
      <c r="N5220" s="1323"/>
      <c r="O5220" s="1323"/>
      <c r="P5220" s="1323"/>
      <c r="Q5220" s="1323"/>
      <c r="R5220" s="1304"/>
      <c r="S5220" s="1304"/>
      <c r="T5220" s="1304"/>
    </row>
    <row r="5221" spans="1:20">
      <c r="A5221" s="1303"/>
      <c r="B5221" s="1322" t="s">
        <v>11840</v>
      </c>
      <c r="C5221" s="1323" t="s">
        <v>11823</v>
      </c>
      <c r="D5221" s="1324">
        <f t="shared" si="516"/>
        <v>34264</v>
      </c>
      <c r="E5221" s="1323">
        <f t="shared" si="518"/>
        <v>3.363</v>
      </c>
      <c r="F5221" s="1323">
        <f t="shared" si="517"/>
        <v>3.6063790135489313</v>
      </c>
      <c r="G5221" s="1323">
        <f t="shared" si="519"/>
        <v>1993</v>
      </c>
      <c r="H5221" s="1323">
        <f t="shared" si="520"/>
        <v>10</v>
      </c>
      <c r="I5221" s="1323">
        <f t="shared" si="521"/>
        <v>22</v>
      </c>
      <c r="J5221" s="1323"/>
      <c r="K5221" s="1323"/>
      <c r="L5221" s="1323"/>
      <c r="M5221" s="1323"/>
      <c r="N5221" s="1323"/>
      <c r="O5221" s="1323"/>
      <c r="P5221" s="1323"/>
      <c r="Q5221" s="1323"/>
      <c r="R5221" s="1304"/>
      <c r="S5221" s="1304"/>
      <c r="T5221" s="1304"/>
    </row>
    <row r="5222" spans="1:20">
      <c r="A5222" s="1303"/>
      <c r="B5222" s="1322" t="s">
        <v>11841</v>
      </c>
      <c r="C5222" s="1323" t="s">
        <v>11792</v>
      </c>
      <c r="D5222" s="1324">
        <f t="shared" si="516"/>
        <v>34263</v>
      </c>
      <c r="E5222" s="1323">
        <f t="shared" si="518"/>
        <v>3.3490000000000002</v>
      </c>
      <c r="F5222" s="1323">
        <f t="shared" si="517"/>
        <v>3.6056875118343328</v>
      </c>
      <c r="G5222" s="1323">
        <f t="shared" si="519"/>
        <v>1993</v>
      </c>
      <c r="H5222" s="1323">
        <f t="shared" si="520"/>
        <v>10</v>
      </c>
      <c r="I5222" s="1323">
        <f t="shared" si="521"/>
        <v>21</v>
      </c>
      <c r="J5222" s="1323"/>
      <c r="K5222" s="1323"/>
      <c r="L5222" s="1323"/>
      <c r="M5222" s="1323"/>
      <c r="N5222" s="1323"/>
      <c r="O5222" s="1323"/>
      <c r="P5222" s="1323"/>
      <c r="Q5222" s="1323"/>
      <c r="R5222" s="1304"/>
      <c r="S5222" s="1304"/>
      <c r="T5222" s="1304"/>
    </row>
    <row r="5223" spans="1:20">
      <c r="A5223" s="1303"/>
      <c r="B5223" s="1322" t="s">
        <v>11842</v>
      </c>
      <c r="C5223" s="1323" t="s">
        <v>11843</v>
      </c>
      <c r="D5223" s="1324">
        <f t="shared" si="516"/>
        <v>34262</v>
      </c>
      <c r="E5223" s="1323">
        <f t="shared" si="518"/>
        <v>3.3477999999999999</v>
      </c>
      <c r="F5223" s="1323">
        <f t="shared" si="517"/>
        <v>3.604996142711073</v>
      </c>
      <c r="G5223" s="1323">
        <f t="shared" si="519"/>
        <v>1993</v>
      </c>
      <c r="H5223" s="1323">
        <f t="shared" si="520"/>
        <v>10</v>
      </c>
      <c r="I5223" s="1323">
        <f t="shared" si="521"/>
        <v>20</v>
      </c>
      <c r="J5223" s="1323"/>
      <c r="K5223" s="1323"/>
      <c r="L5223" s="1323"/>
      <c r="M5223" s="1323"/>
      <c r="N5223" s="1323"/>
      <c r="O5223" s="1323"/>
      <c r="P5223" s="1323"/>
      <c r="Q5223" s="1323"/>
      <c r="R5223" s="1304"/>
      <c r="S5223" s="1304"/>
      <c r="T5223" s="1304"/>
    </row>
    <row r="5224" spans="1:20">
      <c r="A5224" s="1303"/>
      <c r="B5224" s="1322" t="s">
        <v>11844</v>
      </c>
      <c r="C5224" s="1323" t="s">
        <v>11845</v>
      </c>
      <c r="D5224" s="1324">
        <f t="shared" si="516"/>
        <v>34261</v>
      </c>
      <c r="E5224" s="1323">
        <f t="shared" si="518"/>
        <v>3.3477999999999999</v>
      </c>
      <c r="F5224" s="1323">
        <f t="shared" si="517"/>
        <v>3.6043049061537284</v>
      </c>
      <c r="G5224" s="1323">
        <f t="shared" si="519"/>
        <v>1993</v>
      </c>
      <c r="H5224" s="1323">
        <f t="shared" si="520"/>
        <v>10</v>
      </c>
      <c r="I5224" s="1323">
        <f t="shared" si="521"/>
        <v>19</v>
      </c>
      <c r="J5224" s="1323"/>
      <c r="K5224" s="1323"/>
      <c r="L5224" s="1323"/>
      <c r="M5224" s="1323"/>
      <c r="N5224" s="1323"/>
      <c r="O5224" s="1323"/>
      <c r="P5224" s="1323"/>
      <c r="Q5224" s="1323"/>
      <c r="R5224" s="1304"/>
      <c r="S5224" s="1304"/>
      <c r="T5224" s="1304"/>
    </row>
    <row r="5225" spans="1:20">
      <c r="A5225" s="1303"/>
      <c r="B5225" s="1322" t="s">
        <v>11846</v>
      </c>
      <c r="C5225" s="1323" t="s">
        <v>11845</v>
      </c>
      <c r="D5225" s="1324">
        <f t="shared" si="516"/>
        <v>34260</v>
      </c>
      <c r="E5225" s="1323">
        <f t="shared" si="518"/>
        <v>3.3355999999999999</v>
      </c>
      <c r="F5225" s="1323">
        <f t="shared" si="517"/>
        <v>3.6036138021368802</v>
      </c>
      <c r="G5225" s="1323">
        <f t="shared" si="519"/>
        <v>1993</v>
      </c>
      <c r="H5225" s="1323">
        <f t="shared" si="520"/>
        <v>10</v>
      </c>
      <c r="I5225" s="1323">
        <f t="shared" si="521"/>
        <v>18</v>
      </c>
      <c r="J5225" s="1323"/>
      <c r="K5225" s="1323"/>
      <c r="L5225" s="1323"/>
      <c r="M5225" s="1323"/>
      <c r="N5225" s="1323"/>
      <c r="O5225" s="1323"/>
      <c r="P5225" s="1323"/>
      <c r="Q5225" s="1323"/>
      <c r="R5225" s="1304"/>
      <c r="S5225" s="1304"/>
      <c r="T5225" s="1304"/>
    </row>
    <row r="5226" spans="1:20">
      <c r="A5226" s="1303"/>
      <c r="B5226" s="1322" t="s">
        <v>11847</v>
      </c>
      <c r="C5226" s="1323" t="s">
        <v>11848</v>
      </c>
      <c r="D5226" s="1324">
        <f t="shared" si="516"/>
        <v>34257</v>
      </c>
      <c r="E5226" s="1323">
        <f t="shared" si="518"/>
        <v>3.3462000000000001</v>
      </c>
      <c r="F5226" s="1323">
        <f t="shared" si="517"/>
        <v>3.6029228306351144</v>
      </c>
      <c r="G5226" s="1323">
        <f t="shared" si="519"/>
        <v>1993</v>
      </c>
      <c r="H5226" s="1323">
        <f t="shared" si="520"/>
        <v>10</v>
      </c>
      <c r="I5226" s="1323">
        <f t="shared" si="521"/>
        <v>15</v>
      </c>
      <c r="J5226" s="1323"/>
      <c r="K5226" s="1323"/>
      <c r="L5226" s="1323"/>
      <c r="M5226" s="1323"/>
      <c r="N5226" s="1323"/>
      <c r="O5226" s="1323"/>
      <c r="P5226" s="1323"/>
      <c r="Q5226" s="1323"/>
      <c r="R5226" s="1304"/>
      <c r="S5226" s="1304"/>
      <c r="T5226" s="1304"/>
    </row>
    <row r="5227" spans="1:20">
      <c r="A5227" s="1303"/>
      <c r="B5227" s="1322" t="s">
        <v>11849</v>
      </c>
      <c r="C5227" s="1323" t="s">
        <v>11850</v>
      </c>
      <c r="D5227" s="1324">
        <f t="shared" si="516"/>
        <v>34256</v>
      </c>
      <c r="E5227" s="1323">
        <f t="shared" si="518"/>
        <v>3.3761000000000001</v>
      </c>
      <c r="F5227" s="1323">
        <f t="shared" si="517"/>
        <v>3.6022319916230221</v>
      </c>
      <c r="G5227" s="1323">
        <f t="shared" si="519"/>
        <v>1993</v>
      </c>
      <c r="H5227" s="1323">
        <f t="shared" si="520"/>
        <v>10</v>
      </c>
      <c r="I5227" s="1323">
        <f t="shared" si="521"/>
        <v>14</v>
      </c>
      <c r="J5227" s="1323"/>
      <c r="K5227" s="1323"/>
      <c r="L5227" s="1323"/>
      <c r="M5227" s="1323"/>
      <c r="N5227" s="1323"/>
      <c r="O5227" s="1323"/>
      <c r="P5227" s="1323"/>
      <c r="Q5227" s="1323"/>
      <c r="R5227" s="1304"/>
      <c r="S5227" s="1304"/>
      <c r="T5227" s="1304"/>
    </row>
    <row r="5228" spans="1:20">
      <c r="A5228" s="1303"/>
      <c r="B5228" s="1322" t="s">
        <v>11851</v>
      </c>
      <c r="C5228" s="1323" t="s">
        <v>11852</v>
      </c>
      <c r="D5228" s="1324">
        <f t="shared" si="516"/>
        <v>34255</v>
      </c>
      <c r="E5228" s="1323">
        <f t="shared" si="518"/>
        <v>3.4095</v>
      </c>
      <c r="F5228" s="1323">
        <f t="shared" si="517"/>
        <v>3.6015412850751995</v>
      </c>
      <c r="G5228" s="1323">
        <f t="shared" si="519"/>
        <v>1993</v>
      </c>
      <c r="H5228" s="1323">
        <f t="shared" si="520"/>
        <v>10</v>
      </c>
      <c r="I5228" s="1323">
        <f t="shared" si="521"/>
        <v>13</v>
      </c>
      <c r="J5228" s="1323"/>
      <c r="K5228" s="1323"/>
      <c r="L5228" s="1323"/>
      <c r="M5228" s="1323"/>
      <c r="N5228" s="1323"/>
      <c r="O5228" s="1323"/>
      <c r="P5228" s="1323"/>
      <c r="Q5228" s="1323"/>
      <c r="R5228" s="1304"/>
      <c r="S5228" s="1304"/>
      <c r="T5228" s="1304"/>
    </row>
    <row r="5229" spans="1:20">
      <c r="A5229" s="1303"/>
      <c r="B5229" s="1322" t="s">
        <v>11853</v>
      </c>
      <c r="C5229" s="1323" t="s">
        <v>11854</v>
      </c>
      <c r="D5229" s="1324">
        <f t="shared" si="516"/>
        <v>34254</v>
      </c>
      <c r="E5229" s="1323">
        <f t="shared" si="518"/>
        <v>3.4477000000000002</v>
      </c>
      <c r="F5229" s="1323">
        <f t="shared" si="517"/>
        <v>3.6008507109662471</v>
      </c>
      <c r="G5229" s="1323">
        <f t="shared" si="519"/>
        <v>1993</v>
      </c>
      <c r="H5229" s="1323">
        <f t="shared" si="520"/>
        <v>10</v>
      </c>
      <c r="I5229" s="1323">
        <f t="shared" si="521"/>
        <v>12</v>
      </c>
      <c r="J5229" s="1323"/>
      <c r="K5229" s="1323"/>
      <c r="L5229" s="1323"/>
      <c r="M5229" s="1323"/>
      <c r="N5229" s="1323"/>
      <c r="O5229" s="1323"/>
      <c r="P5229" s="1323"/>
      <c r="Q5229" s="1323"/>
      <c r="R5229" s="1304"/>
      <c r="S5229" s="1304"/>
      <c r="T5229" s="1304"/>
    </row>
    <row r="5230" spans="1:20">
      <c r="A5230" s="1303"/>
      <c r="B5230" s="1322" t="s">
        <v>11855</v>
      </c>
      <c r="C5230" s="1323" t="s">
        <v>11710</v>
      </c>
      <c r="D5230" s="1324">
        <f t="shared" si="516"/>
        <v>34253</v>
      </c>
      <c r="E5230" s="1323">
        <f t="shared" si="518"/>
        <v>3.44</v>
      </c>
      <c r="F5230" s="1323">
        <f t="shared" si="517"/>
        <v>3.6001602692707704</v>
      </c>
      <c r="G5230" s="1323">
        <f t="shared" si="519"/>
        <v>1993</v>
      </c>
      <c r="H5230" s="1323">
        <f t="shared" si="520"/>
        <v>10</v>
      </c>
      <c r="I5230" s="1323">
        <f t="shared" si="521"/>
        <v>11</v>
      </c>
      <c r="J5230" s="1323"/>
      <c r="K5230" s="1323"/>
      <c r="L5230" s="1323"/>
      <c r="M5230" s="1323"/>
      <c r="N5230" s="1323"/>
      <c r="O5230" s="1323"/>
      <c r="P5230" s="1323"/>
      <c r="Q5230" s="1323"/>
      <c r="R5230" s="1304"/>
      <c r="S5230" s="1304"/>
      <c r="T5230" s="1304"/>
    </row>
    <row r="5231" spans="1:20">
      <c r="A5231" s="1303"/>
      <c r="B5231" s="1322" t="s">
        <v>11856</v>
      </c>
      <c r="C5231" s="1323" t="s">
        <v>11857</v>
      </c>
      <c r="D5231" s="1324">
        <f t="shared" si="516"/>
        <v>34250</v>
      </c>
      <c r="E5231" s="1323">
        <f t="shared" si="518"/>
        <v>3.4571999999999998</v>
      </c>
      <c r="F5231" s="1323">
        <f t="shared" si="517"/>
        <v>3.5994699599633799</v>
      </c>
      <c r="G5231" s="1323">
        <f t="shared" si="519"/>
        <v>1993</v>
      </c>
      <c r="H5231" s="1323">
        <f t="shared" si="520"/>
        <v>10</v>
      </c>
      <c r="I5231" s="1323">
        <f t="shared" si="521"/>
        <v>8</v>
      </c>
      <c r="J5231" s="1323"/>
      <c r="K5231" s="1323"/>
      <c r="L5231" s="1323"/>
      <c r="M5231" s="1323"/>
      <c r="N5231" s="1323"/>
      <c r="O5231" s="1323"/>
      <c r="P5231" s="1323"/>
      <c r="Q5231" s="1323"/>
      <c r="R5231" s="1304"/>
      <c r="S5231" s="1304"/>
      <c r="T5231" s="1304"/>
    </row>
    <row r="5232" spans="1:20">
      <c r="A5232" s="1303"/>
      <c r="B5232" s="1322" t="s">
        <v>11858</v>
      </c>
      <c r="C5232" s="1323" t="s">
        <v>11859</v>
      </c>
      <c r="D5232" s="1324">
        <f t="shared" si="516"/>
        <v>34249</v>
      </c>
      <c r="E5232" s="1323">
        <f t="shared" si="518"/>
        <v>3.4523999999999999</v>
      </c>
      <c r="F5232" s="1323">
        <f t="shared" si="517"/>
        <v>3.5987797830186912</v>
      </c>
      <c r="G5232" s="1323">
        <f t="shared" si="519"/>
        <v>1993</v>
      </c>
      <c r="H5232" s="1323">
        <f t="shared" si="520"/>
        <v>10</v>
      </c>
      <c r="I5232" s="1323">
        <f t="shared" si="521"/>
        <v>7</v>
      </c>
      <c r="J5232" s="1323"/>
      <c r="K5232" s="1323"/>
      <c r="L5232" s="1323"/>
      <c r="M5232" s="1323"/>
      <c r="N5232" s="1323"/>
      <c r="O5232" s="1323"/>
      <c r="P5232" s="1323"/>
      <c r="Q5232" s="1323"/>
      <c r="R5232" s="1304"/>
      <c r="S5232" s="1304"/>
      <c r="T5232" s="1304"/>
    </row>
    <row r="5233" spans="1:20">
      <c r="A5233" s="1303"/>
      <c r="B5233" s="1322" t="s">
        <v>11860</v>
      </c>
      <c r="C5233" s="1323" t="s">
        <v>11673</v>
      </c>
      <c r="D5233" s="1324">
        <f t="shared" si="516"/>
        <v>34248</v>
      </c>
      <c r="E5233" s="1323">
        <f t="shared" si="518"/>
        <v>3.4584000000000001</v>
      </c>
      <c r="F5233" s="1323">
        <f t="shared" si="517"/>
        <v>3.5980897384113244</v>
      </c>
      <c r="G5233" s="1323">
        <f t="shared" si="519"/>
        <v>1993</v>
      </c>
      <c r="H5233" s="1323">
        <f t="shared" si="520"/>
        <v>10</v>
      </c>
      <c r="I5233" s="1323">
        <f t="shared" si="521"/>
        <v>6</v>
      </c>
      <c r="J5233" s="1323"/>
      <c r="K5233" s="1323"/>
      <c r="L5233" s="1323"/>
      <c r="M5233" s="1323"/>
      <c r="N5233" s="1323"/>
      <c r="O5233" s="1323"/>
      <c r="P5233" s="1323"/>
      <c r="Q5233" s="1323"/>
      <c r="R5233" s="1304"/>
      <c r="S5233" s="1304"/>
      <c r="T5233" s="1304"/>
    </row>
    <row r="5234" spans="1:20">
      <c r="A5234" s="1303"/>
      <c r="B5234" s="1322" t="s">
        <v>11861</v>
      </c>
      <c r="C5234" s="1323" t="s">
        <v>11695</v>
      </c>
      <c r="D5234" s="1324">
        <f t="shared" si="516"/>
        <v>34247</v>
      </c>
      <c r="E5234" s="1323">
        <f t="shared" si="518"/>
        <v>3.4369999999999998</v>
      </c>
      <c r="F5234" s="1323">
        <f t="shared" si="517"/>
        <v>3.5973998261159048</v>
      </c>
      <c r="G5234" s="1323">
        <f t="shared" si="519"/>
        <v>1993</v>
      </c>
      <c r="H5234" s="1323">
        <f t="shared" si="520"/>
        <v>10</v>
      </c>
      <c r="I5234" s="1323">
        <f t="shared" si="521"/>
        <v>5</v>
      </c>
      <c r="J5234" s="1323"/>
      <c r="K5234" s="1323"/>
      <c r="L5234" s="1323"/>
      <c r="M5234" s="1323"/>
      <c r="N5234" s="1323"/>
      <c r="O5234" s="1323"/>
      <c r="P5234" s="1323"/>
      <c r="Q5234" s="1323"/>
      <c r="R5234" s="1304"/>
      <c r="S5234" s="1304"/>
      <c r="T5234" s="1304"/>
    </row>
    <row r="5235" spans="1:20">
      <c r="A5235" s="1303"/>
      <c r="B5235" s="1322" t="s">
        <v>11862</v>
      </c>
      <c r="C5235" s="1323" t="s">
        <v>11718</v>
      </c>
      <c r="D5235" s="1324">
        <f t="shared" si="516"/>
        <v>34246</v>
      </c>
      <c r="E5235" s="1323">
        <f t="shared" si="518"/>
        <v>3.4535999999999998</v>
      </c>
      <c r="F5235" s="1323">
        <f t="shared" si="517"/>
        <v>3.596710046107062</v>
      </c>
      <c r="G5235" s="1323">
        <f t="shared" si="519"/>
        <v>1993</v>
      </c>
      <c r="H5235" s="1323">
        <f t="shared" si="520"/>
        <v>10</v>
      </c>
      <c r="I5235" s="1323">
        <f t="shared" si="521"/>
        <v>4</v>
      </c>
      <c r="J5235" s="1323"/>
      <c r="K5235" s="1323"/>
      <c r="L5235" s="1323"/>
      <c r="M5235" s="1323"/>
      <c r="N5235" s="1323"/>
      <c r="O5235" s="1323"/>
      <c r="P5235" s="1323"/>
      <c r="Q5235" s="1323"/>
      <c r="R5235" s="1304"/>
      <c r="S5235" s="1304"/>
      <c r="T5235" s="1304"/>
    </row>
    <row r="5236" spans="1:20">
      <c r="A5236" s="1303"/>
      <c r="B5236" s="1322" t="s">
        <v>11863</v>
      </c>
      <c r="C5236" s="1323" t="s">
        <v>11864</v>
      </c>
      <c r="D5236" s="1324">
        <f t="shared" si="516"/>
        <v>34243</v>
      </c>
      <c r="E5236" s="1323">
        <f t="shared" si="518"/>
        <v>3.456</v>
      </c>
      <c r="F5236" s="1323">
        <f t="shared" si="517"/>
        <v>3.5960203983594314</v>
      </c>
      <c r="G5236" s="1323">
        <f t="shared" si="519"/>
        <v>1993</v>
      </c>
      <c r="H5236" s="1323">
        <f t="shared" si="520"/>
        <v>10</v>
      </c>
      <c r="I5236" s="1323">
        <f t="shared" si="521"/>
        <v>1</v>
      </c>
      <c r="J5236" s="1323"/>
      <c r="K5236" s="1323"/>
      <c r="L5236" s="1323"/>
      <c r="M5236" s="1323"/>
      <c r="N5236" s="1323"/>
      <c r="O5236" s="1323"/>
      <c r="P5236" s="1323"/>
      <c r="Q5236" s="1323"/>
      <c r="R5236" s="1304"/>
      <c r="S5236" s="1304"/>
      <c r="T5236" s="1304"/>
    </row>
    <row r="5237" spans="1:20">
      <c r="A5237" s="1303"/>
      <c r="B5237" s="1322" t="s">
        <v>11865</v>
      </c>
      <c r="C5237" s="1323" t="s">
        <v>11866</v>
      </c>
      <c r="D5237" s="1324">
        <f t="shared" si="516"/>
        <v>34242</v>
      </c>
      <c r="E5237" s="1323">
        <f t="shared" si="518"/>
        <v>3.4323000000000001</v>
      </c>
      <c r="F5237" s="1323">
        <f t="shared" si="517"/>
        <v>3.5953308828476525</v>
      </c>
      <c r="G5237" s="1323">
        <f t="shared" si="519"/>
        <v>1993</v>
      </c>
      <c r="H5237" s="1323">
        <f t="shared" si="520"/>
        <v>9</v>
      </c>
      <c r="I5237" s="1323">
        <f t="shared" si="521"/>
        <v>30</v>
      </c>
      <c r="J5237" s="1323"/>
      <c r="K5237" s="1323"/>
      <c r="L5237" s="1323"/>
      <c r="M5237" s="1323"/>
      <c r="N5237" s="1323"/>
      <c r="O5237" s="1323"/>
      <c r="P5237" s="1323"/>
      <c r="Q5237" s="1323"/>
      <c r="R5237" s="1304"/>
      <c r="S5237" s="1304"/>
      <c r="T5237" s="1304"/>
    </row>
    <row r="5238" spans="1:20">
      <c r="A5238" s="1303"/>
      <c r="B5238" s="1322" t="s">
        <v>11867</v>
      </c>
      <c r="C5238" s="1323" t="s">
        <v>11661</v>
      </c>
      <c r="D5238" s="1324">
        <f t="shared" si="516"/>
        <v>34241</v>
      </c>
      <c r="E5238" s="1323">
        <f t="shared" si="518"/>
        <v>3.42</v>
      </c>
      <c r="F5238" s="1323">
        <f t="shared" si="517"/>
        <v>3.5946414995463694</v>
      </c>
      <c r="G5238" s="1323">
        <f t="shared" si="519"/>
        <v>1993</v>
      </c>
      <c r="H5238" s="1323">
        <f t="shared" si="520"/>
        <v>9</v>
      </c>
      <c r="I5238" s="1323">
        <f t="shared" si="521"/>
        <v>29</v>
      </c>
      <c r="J5238" s="1323"/>
      <c r="K5238" s="1323"/>
      <c r="L5238" s="1323"/>
      <c r="M5238" s="1323"/>
      <c r="N5238" s="1323"/>
      <c r="O5238" s="1323"/>
      <c r="P5238" s="1323"/>
      <c r="Q5238" s="1323"/>
      <c r="R5238" s="1304"/>
      <c r="S5238" s="1304"/>
      <c r="T5238" s="1304"/>
    </row>
    <row r="5239" spans="1:20">
      <c r="A5239" s="1303"/>
      <c r="B5239" s="1322" t="s">
        <v>11868</v>
      </c>
      <c r="C5239" s="1323" t="s">
        <v>11733</v>
      </c>
      <c r="D5239" s="1324">
        <f t="shared" si="516"/>
        <v>34240</v>
      </c>
      <c r="E5239" s="1323">
        <f t="shared" si="518"/>
        <v>3.4194</v>
      </c>
      <c r="F5239" s="1323">
        <f t="shared" si="517"/>
        <v>3.5939522484302318</v>
      </c>
      <c r="G5239" s="1323">
        <f t="shared" si="519"/>
        <v>1993</v>
      </c>
      <c r="H5239" s="1323">
        <f t="shared" si="520"/>
        <v>9</v>
      </c>
      <c r="I5239" s="1323">
        <f t="shared" si="521"/>
        <v>28</v>
      </c>
      <c r="J5239" s="1323"/>
      <c r="K5239" s="1323"/>
      <c r="L5239" s="1323"/>
      <c r="M5239" s="1323"/>
      <c r="N5239" s="1323"/>
      <c r="O5239" s="1323"/>
      <c r="P5239" s="1323"/>
      <c r="Q5239" s="1323"/>
      <c r="R5239" s="1304"/>
      <c r="S5239" s="1304"/>
      <c r="T5239" s="1304"/>
    </row>
    <row r="5240" spans="1:20">
      <c r="A5240" s="1303"/>
      <c r="B5240" s="1322" t="s">
        <v>11869</v>
      </c>
      <c r="C5240" s="1323" t="s">
        <v>11870</v>
      </c>
      <c r="D5240" s="1324">
        <f t="shared" si="516"/>
        <v>34239</v>
      </c>
      <c r="E5240" s="1323">
        <f t="shared" si="518"/>
        <v>3.4287999999999998</v>
      </c>
      <c r="F5240" s="1323">
        <f t="shared" si="517"/>
        <v>3.5932631294738941</v>
      </c>
      <c r="G5240" s="1323">
        <f t="shared" si="519"/>
        <v>1993</v>
      </c>
      <c r="H5240" s="1323">
        <f t="shared" si="520"/>
        <v>9</v>
      </c>
      <c r="I5240" s="1323">
        <f t="shared" si="521"/>
        <v>27</v>
      </c>
      <c r="J5240" s="1323"/>
      <c r="K5240" s="1323"/>
      <c r="L5240" s="1323"/>
      <c r="M5240" s="1323"/>
      <c r="N5240" s="1323"/>
      <c r="O5240" s="1323"/>
      <c r="P5240" s="1323"/>
      <c r="Q5240" s="1323"/>
      <c r="R5240" s="1304"/>
      <c r="S5240" s="1304"/>
      <c r="T5240" s="1304"/>
    </row>
    <row r="5241" spans="1:20">
      <c r="A5241" s="1303"/>
      <c r="B5241" s="1322" t="s">
        <v>11871</v>
      </c>
      <c r="C5241" s="1323" t="s">
        <v>11872</v>
      </c>
      <c r="D5241" s="1324">
        <f t="shared" si="516"/>
        <v>34236</v>
      </c>
      <c r="E5241" s="1323">
        <f t="shared" si="518"/>
        <v>3.4358</v>
      </c>
      <c r="F5241" s="1323">
        <f t="shared" si="517"/>
        <v>3.5925741426520155</v>
      </c>
      <c r="G5241" s="1323">
        <f t="shared" si="519"/>
        <v>1993</v>
      </c>
      <c r="H5241" s="1323">
        <f t="shared" si="520"/>
        <v>9</v>
      </c>
      <c r="I5241" s="1323">
        <f t="shared" si="521"/>
        <v>24</v>
      </c>
      <c r="J5241" s="1323"/>
      <c r="K5241" s="1323"/>
      <c r="L5241" s="1323"/>
      <c r="M5241" s="1323"/>
      <c r="N5241" s="1323"/>
      <c r="O5241" s="1323"/>
      <c r="P5241" s="1323"/>
      <c r="Q5241" s="1323"/>
      <c r="R5241" s="1304"/>
      <c r="S5241" s="1304"/>
      <c r="T5241" s="1304"/>
    </row>
    <row r="5242" spans="1:20">
      <c r="A5242" s="1303"/>
      <c r="B5242" s="1322" t="s">
        <v>11873</v>
      </c>
      <c r="C5242" s="1323" t="s">
        <v>11659</v>
      </c>
      <c r="D5242" s="1324">
        <f t="shared" si="516"/>
        <v>34235</v>
      </c>
      <c r="E5242" s="1323">
        <f t="shared" si="518"/>
        <v>3.4217</v>
      </c>
      <c r="F5242" s="1323">
        <f t="shared" si="517"/>
        <v>3.59188528793926</v>
      </c>
      <c r="G5242" s="1323">
        <f t="shared" si="519"/>
        <v>1993</v>
      </c>
      <c r="H5242" s="1323">
        <f t="shared" si="520"/>
        <v>9</v>
      </c>
      <c r="I5242" s="1323">
        <f t="shared" si="521"/>
        <v>23</v>
      </c>
      <c r="J5242" s="1323"/>
      <c r="K5242" s="1323"/>
      <c r="L5242" s="1323"/>
      <c r="M5242" s="1323"/>
      <c r="N5242" s="1323"/>
      <c r="O5242" s="1323"/>
      <c r="P5242" s="1323"/>
      <c r="Q5242" s="1323"/>
      <c r="R5242" s="1304"/>
      <c r="S5242" s="1304"/>
      <c r="T5242" s="1304"/>
    </row>
    <row r="5243" spans="1:20">
      <c r="A5243" s="1303"/>
      <c r="B5243" s="1322" t="s">
        <v>11874</v>
      </c>
      <c r="C5243" s="1323" t="s">
        <v>11875</v>
      </c>
      <c r="D5243" s="1324">
        <f t="shared" si="516"/>
        <v>34234</v>
      </c>
      <c r="E5243" s="1323">
        <f t="shared" si="518"/>
        <v>3.4293999999999998</v>
      </c>
      <c r="F5243" s="1323">
        <f t="shared" si="517"/>
        <v>3.5911965653102964</v>
      </c>
      <c r="G5243" s="1323">
        <f t="shared" si="519"/>
        <v>1993</v>
      </c>
      <c r="H5243" s="1323">
        <f t="shared" si="520"/>
        <v>9</v>
      </c>
      <c r="I5243" s="1323">
        <f t="shared" si="521"/>
        <v>22</v>
      </c>
      <c r="J5243" s="1323"/>
      <c r="K5243" s="1323"/>
      <c r="L5243" s="1323"/>
      <c r="M5243" s="1323"/>
      <c r="N5243" s="1323"/>
      <c r="O5243" s="1323"/>
      <c r="P5243" s="1323"/>
      <c r="Q5243" s="1323"/>
      <c r="R5243" s="1304"/>
      <c r="S5243" s="1304"/>
      <c r="T5243" s="1304"/>
    </row>
    <row r="5244" spans="1:20">
      <c r="A5244" s="1303"/>
      <c r="B5244" s="1322" t="s">
        <v>11876</v>
      </c>
      <c r="C5244" s="1323" t="s">
        <v>11877</v>
      </c>
      <c r="D5244" s="1324">
        <f t="shared" si="516"/>
        <v>34233</v>
      </c>
      <c r="E5244" s="1323">
        <f t="shared" si="518"/>
        <v>3.4043000000000001</v>
      </c>
      <c r="F5244" s="1323">
        <f t="shared" si="517"/>
        <v>3.5905079747397983</v>
      </c>
      <c r="G5244" s="1323">
        <f t="shared" si="519"/>
        <v>1993</v>
      </c>
      <c r="H5244" s="1323">
        <f t="shared" si="520"/>
        <v>9</v>
      </c>
      <c r="I5244" s="1323">
        <f t="shared" si="521"/>
        <v>21</v>
      </c>
      <c r="J5244" s="1323"/>
      <c r="K5244" s="1323"/>
      <c r="L5244" s="1323"/>
      <c r="M5244" s="1323"/>
      <c r="N5244" s="1323"/>
      <c r="O5244" s="1323"/>
      <c r="P5244" s="1323"/>
      <c r="Q5244" s="1323"/>
      <c r="R5244" s="1304"/>
      <c r="S5244" s="1304"/>
      <c r="T5244" s="1304"/>
    </row>
    <row r="5245" spans="1:20">
      <c r="A5245" s="1303"/>
      <c r="B5245" s="1322" t="s">
        <v>11878</v>
      </c>
      <c r="C5245" s="1323" t="s">
        <v>11763</v>
      </c>
      <c r="D5245" s="1324">
        <f t="shared" si="516"/>
        <v>34232</v>
      </c>
      <c r="E5245" s="1323">
        <f t="shared" si="518"/>
        <v>3.4217</v>
      </c>
      <c r="F5245" s="1323">
        <f t="shared" si="517"/>
        <v>3.5898195162024442</v>
      </c>
      <c r="G5245" s="1323">
        <f t="shared" si="519"/>
        <v>1993</v>
      </c>
      <c r="H5245" s="1323">
        <f t="shared" si="520"/>
        <v>9</v>
      </c>
      <c r="I5245" s="1323">
        <f t="shared" si="521"/>
        <v>20</v>
      </c>
      <c r="J5245" s="1323"/>
      <c r="K5245" s="1323"/>
      <c r="L5245" s="1323"/>
      <c r="M5245" s="1323"/>
      <c r="N5245" s="1323"/>
      <c r="O5245" s="1323"/>
      <c r="P5245" s="1323"/>
      <c r="Q5245" s="1323"/>
      <c r="R5245" s="1304"/>
      <c r="S5245" s="1304"/>
      <c r="T5245" s="1304"/>
    </row>
    <row r="5246" spans="1:20">
      <c r="A5246" s="1303"/>
      <c r="B5246" s="1322" t="s">
        <v>11879</v>
      </c>
      <c r="C5246" s="1323" t="s">
        <v>11875</v>
      </c>
      <c r="D5246" s="1324">
        <f t="shared" si="516"/>
        <v>34229</v>
      </c>
      <c r="E5246" s="1323">
        <f t="shared" si="518"/>
        <v>3.4140999999999999</v>
      </c>
      <c r="F5246" s="1323">
        <f t="shared" si="517"/>
        <v>3.5891311896729179</v>
      </c>
      <c r="G5246" s="1323">
        <f t="shared" si="519"/>
        <v>1993</v>
      </c>
      <c r="H5246" s="1323">
        <f t="shared" si="520"/>
        <v>9</v>
      </c>
      <c r="I5246" s="1323">
        <f t="shared" si="521"/>
        <v>17</v>
      </c>
      <c r="J5246" s="1323"/>
      <c r="K5246" s="1323"/>
      <c r="L5246" s="1323"/>
      <c r="M5246" s="1323"/>
      <c r="N5246" s="1323"/>
      <c r="O5246" s="1323"/>
      <c r="P5246" s="1323"/>
      <c r="Q5246" s="1323"/>
      <c r="R5246" s="1304"/>
      <c r="S5246" s="1304"/>
      <c r="T5246" s="1304"/>
    </row>
    <row r="5247" spans="1:20">
      <c r="A5247" s="1303"/>
      <c r="B5247" s="1322" t="s">
        <v>11880</v>
      </c>
      <c r="C5247" s="1323" t="s">
        <v>11742</v>
      </c>
      <c r="D5247" s="1324">
        <f t="shared" si="516"/>
        <v>34228</v>
      </c>
      <c r="E5247" s="1323">
        <f t="shared" si="518"/>
        <v>3.3996</v>
      </c>
      <c r="F5247" s="1323">
        <f t="shared" si="517"/>
        <v>3.5884429951259071</v>
      </c>
      <c r="G5247" s="1323">
        <f t="shared" si="519"/>
        <v>1993</v>
      </c>
      <c r="H5247" s="1323">
        <f t="shared" si="520"/>
        <v>9</v>
      </c>
      <c r="I5247" s="1323">
        <f t="shared" si="521"/>
        <v>16</v>
      </c>
      <c r="J5247" s="1323"/>
      <c r="K5247" s="1323"/>
      <c r="L5247" s="1323"/>
      <c r="M5247" s="1323"/>
      <c r="N5247" s="1323"/>
      <c r="O5247" s="1323"/>
      <c r="P5247" s="1323"/>
      <c r="Q5247" s="1323"/>
      <c r="R5247" s="1304"/>
      <c r="S5247" s="1304"/>
      <c r="T5247" s="1304"/>
    </row>
    <row r="5248" spans="1:20">
      <c r="A5248" s="1303"/>
      <c r="B5248" s="1322" t="s">
        <v>11881</v>
      </c>
      <c r="C5248" s="1323" t="s">
        <v>11767</v>
      </c>
      <c r="D5248" s="1324">
        <f t="shared" si="516"/>
        <v>34227</v>
      </c>
      <c r="E5248" s="1323">
        <f t="shared" si="518"/>
        <v>3.4077000000000002</v>
      </c>
      <c r="F5248" s="1323">
        <f t="shared" si="517"/>
        <v>3.5877549325361056</v>
      </c>
      <c r="G5248" s="1323">
        <f t="shared" si="519"/>
        <v>1993</v>
      </c>
      <c r="H5248" s="1323">
        <f t="shared" si="520"/>
        <v>9</v>
      </c>
      <c r="I5248" s="1323">
        <f t="shared" si="521"/>
        <v>15</v>
      </c>
      <c r="J5248" s="1323"/>
      <c r="K5248" s="1323"/>
      <c r="L5248" s="1323"/>
      <c r="M5248" s="1323"/>
      <c r="N5248" s="1323"/>
      <c r="O5248" s="1323"/>
      <c r="P5248" s="1323"/>
      <c r="Q5248" s="1323"/>
      <c r="R5248" s="1304"/>
      <c r="S5248" s="1304"/>
      <c r="T5248" s="1304"/>
    </row>
    <row r="5249" spans="1:20">
      <c r="A5249" s="1303"/>
      <c r="B5249" s="1322" t="s">
        <v>11882</v>
      </c>
      <c r="C5249" s="1323" t="s">
        <v>11883</v>
      </c>
      <c r="D5249" s="1324">
        <f t="shared" si="516"/>
        <v>34226</v>
      </c>
      <c r="E5249" s="1323">
        <f t="shared" si="518"/>
        <v>3.4182000000000001</v>
      </c>
      <c r="F5249" s="1323">
        <f t="shared" si="517"/>
        <v>3.5870670018782111</v>
      </c>
      <c r="G5249" s="1323">
        <f t="shared" si="519"/>
        <v>1993</v>
      </c>
      <c r="H5249" s="1323">
        <f t="shared" si="520"/>
        <v>9</v>
      </c>
      <c r="I5249" s="1323">
        <f t="shared" si="521"/>
        <v>14</v>
      </c>
      <c r="J5249" s="1323"/>
      <c r="K5249" s="1323"/>
      <c r="L5249" s="1323"/>
      <c r="M5249" s="1323"/>
      <c r="N5249" s="1323"/>
      <c r="O5249" s="1323"/>
      <c r="P5249" s="1323"/>
      <c r="Q5249" s="1323"/>
      <c r="R5249" s="1304"/>
      <c r="S5249" s="1304"/>
      <c r="T5249" s="1304"/>
    </row>
    <row r="5250" spans="1:20">
      <c r="A5250" s="1303"/>
      <c r="B5250" s="1322" t="s">
        <v>11884</v>
      </c>
      <c r="C5250" s="1323" t="s">
        <v>11885</v>
      </c>
      <c r="D5250" s="1324">
        <f t="shared" si="516"/>
        <v>34225</v>
      </c>
      <c r="E5250" s="1323">
        <f t="shared" si="518"/>
        <v>3.4043000000000001</v>
      </c>
      <c r="F5250" s="1323">
        <f t="shared" si="517"/>
        <v>3.5863792031269264</v>
      </c>
      <c r="G5250" s="1323">
        <f t="shared" si="519"/>
        <v>1993</v>
      </c>
      <c r="H5250" s="1323">
        <f t="shared" si="520"/>
        <v>9</v>
      </c>
      <c r="I5250" s="1323">
        <f t="shared" si="521"/>
        <v>13</v>
      </c>
      <c r="J5250" s="1323"/>
      <c r="K5250" s="1323"/>
      <c r="L5250" s="1323"/>
      <c r="M5250" s="1323"/>
      <c r="N5250" s="1323"/>
      <c r="O5250" s="1323"/>
      <c r="P5250" s="1323"/>
      <c r="Q5250" s="1323"/>
      <c r="R5250" s="1304"/>
      <c r="S5250" s="1304"/>
      <c r="T5250" s="1304"/>
    </row>
    <row r="5251" spans="1:20">
      <c r="A5251" s="1303"/>
      <c r="B5251" s="1322" t="s">
        <v>11886</v>
      </c>
      <c r="C5251" s="1323" t="s">
        <v>11763</v>
      </c>
      <c r="D5251" s="1324">
        <f t="shared" si="516"/>
        <v>34222</v>
      </c>
      <c r="E5251" s="1323">
        <f t="shared" si="518"/>
        <v>3.4007999999999998</v>
      </c>
      <c r="F5251" s="1323">
        <f t="shared" si="517"/>
        <v>3.585691536256959</v>
      </c>
      <c r="G5251" s="1323">
        <f t="shared" si="519"/>
        <v>1993</v>
      </c>
      <c r="H5251" s="1323">
        <f t="shared" si="520"/>
        <v>9</v>
      </c>
      <c r="I5251" s="1323">
        <f t="shared" si="521"/>
        <v>10</v>
      </c>
      <c r="J5251" s="1323"/>
      <c r="K5251" s="1323"/>
      <c r="L5251" s="1323"/>
      <c r="M5251" s="1323"/>
      <c r="N5251" s="1323"/>
      <c r="O5251" s="1323"/>
      <c r="P5251" s="1323"/>
      <c r="Q5251" s="1323"/>
      <c r="R5251" s="1304"/>
      <c r="S5251" s="1304"/>
      <c r="T5251" s="1304"/>
    </row>
    <row r="5252" spans="1:20">
      <c r="A5252" s="1303"/>
      <c r="B5252" s="1322" t="s">
        <v>11887</v>
      </c>
      <c r="C5252" s="1323" t="s">
        <v>11755</v>
      </c>
      <c r="D5252" s="1324">
        <f t="shared" si="516"/>
        <v>34221</v>
      </c>
      <c r="E5252" s="1323">
        <f t="shared" si="518"/>
        <v>3.4106000000000001</v>
      </c>
      <c r="F5252" s="1323">
        <f t="shared" si="517"/>
        <v>3.5850040012430218</v>
      </c>
      <c r="G5252" s="1323">
        <f t="shared" si="519"/>
        <v>1993</v>
      </c>
      <c r="H5252" s="1323">
        <f t="shared" si="520"/>
        <v>9</v>
      </c>
      <c r="I5252" s="1323">
        <f t="shared" si="521"/>
        <v>9</v>
      </c>
      <c r="J5252" s="1323"/>
      <c r="K5252" s="1323"/>
      <c r="L5252" s="1323"/>
      <c r="M5252" s="1323"/>
      <c r="N5252" s="1323"/>
      <c r="O5252" s="1323"/>
      <c r="P5252" s="1323"/>
      <c r="Q5252" s="1323"/>
      <c r="R5252" s="1304"/>
      <c r="S5252" s="1304"/>
      <c r="T5252" s="1304"/>
    </row>
    <row r="5253" spans="1:20">
      <c r="A5253" s="1303"/>
      <c r="B5253" s="1322" t="s">
        <v>11888</v>
      </c>
      <c r="C5253" s="1323" t="s">
        <v>11889</v>
      </c>
      <c r="D5253" s="1324">
        <f t="shared" si="516"/>
        <v>34220</v>
      </c>
      <c r="E5253" s="1323">
        <f t="shared" si="518"/>
        <v>3.4043000000000001</v>
      </c>
      <c r="F5253" s="1323">
        <f t="shared" si="517"/>
        <v>3.5843165980598322</v>
      </c>
      <c r="G5253" s="1323">
        <f t="shared" si="519"/>
        <v>1993</v>
      </c>
      <c r="H5253" s="1323">
        <f t="shared" si="520"/>
        <v>9</v>
      </c>
      <c r="I5253" s="1323">
        <f t="shared" si="521"/>
        <v>8</v>
      </c>
      <c r="J5253" s="1323"/>
      <c r="K5253" s="1323"/>
      <c r="L5253" s="1323"/>
      <c r="M5253" s="1323"/>
      <c r="N5253" s="1323"/>
      <c r="O5253" s="1323"/>
      <c r="P5253" s="1323"/>
      <c r="Q5253" s="1323"/>
      <c r="R5253" s="1304"/>
      <c r="S5253" s="1304"/>
      <c r="T5253" s="1304"/>
    </row>
    <row r="5254" spans="1:20">
      <c r="A5254" s="1303"/>
      <c r="B5254" s="1322" t="s">
        <v>11890</v>
      </c>
      <c r="C5254" s="1323" t="s">
        <v>11763</v>
      </c>
      <c r="D5254" s="1324">
        <f t="shared" si="516"/>
        <v>34219</v>
      </c>
      <c r="E5254" s="1323">
        <f t="shared" si="518"/>
        <v>3.387</v>
      </c>
      <c r="F5254" s="1323">
        <f t="shared" si="517"/>
        <v>3.5836293266821122</v>
      </c>
      <c r="G5254" s="1323">
        <f t="shared" si="519"/>
        <v>1993</v>
      </c>
      <c r="H5254" s="1323">
        <f t="shared" si="520"/>
        <v>9</v>
      </c>
      <c r="I5254" s="1323">
        <f t="shared" si="521"/>
        <v>7</v>
      </c>
      <c r="J5254" s="1323"/>
      <c r="K5254" s="1323"/>
      <c r="L5254" s="1323"/>
      <c r="M5254" s="1323"/>
      <c r="N5254" s="1323"/>
      <c r="O5254" s="1323"/>
      <c r="P5254" s="1323"/>
      <c r="Q5254" s="1323"/>
      <c r="R5254" s="1304"/>
      <c r="S5254" s="1304"/>
      <c r="T5254" s="1304"/>
    </row>
    <row r="5255" spans="1:20">
      <c r="A5255" s="1303"/>
      <c r="B5255" s="1322" t="s">
        <v>11891</v>
      </c>
      <c r="C5255" s="1323" t="s">
        <v>11892</v>
      </c>
      <c r="D5255" s="1324">
        <f t="shared" si="516"/>
        <v>34218</v>
      </c>
      <c r="E5255" s="1323">
        <f t="shared" si="518"/>
        <v>3.3721000000000001</v>
      </c>
      <c r="F5255" s="1323">
        <f t="shared" si="517"/>
        <v>3.5829421870845892</v>
      </c>
      <c r="G5255" s="1323">
        <f t="shared" si="519"/>
        <v>1993</v>
      </c>
      <c r="H5255" s="1323">
        <f t="shared" si="520"/>
        <v>9</v>
      </c>
      <c r="I5255" s="1323">
        <f t="shared" si="521"/>
        <v>6</v>
      </c>
      <c r="J5255" s="1323"/>
      <c r="K5255" s="1323"/>
      <c r="L5255" s="1323"/>
      <c r="M5255" s="1323"/>
      <c r="N5255" s="1323"/>
      <c r="O5255" s="1323"/>
      <c r="P5255" s="1323"/>
      <c r="Q5255" s="1323"/>
      <c r="R5255" s="1304"/>
      <c r="S5255" s="1304"/>
      <c r="T5255" s="1304"/>
    </row>
    <row r="5256" spans="1:20">
      <c r="A5256" s="1303"/>
      <c r="B5256" s="1322" t="s">
        <v>11893</v>
      </c>
      <c r="C5256" s="1323" t="s">
        <v>11894</v>
      </c>
      <c r="D5256" s="1324">
        <f t="shared" si="516"/>
        <v>34215</v>
      </c>
      <c r="E5256" s="1323">
        <f t="shared" si="518"/>
        <v>3.3801000000000001</v>
      </c>
      <c r="F5256" s="1323">
        <f t="shared" si="517"/>
        <v>3.5822551792419945</v>
      </c>
      <c r="G5256" s="1323">
        <f t="shared" si="519"/>
        <v>1993</v>
      </c>
      <c r="H5256" s="1323">
        <f t="shared" si="520"/>
        <v>9</v>
      </c>
      <c r="I5256" s="1323">
        <f t="shared" si="521"/>
        <v>3</v>
      </c>
      <c r="J5256" s="1323"/>
      <c r="K5256" s="1323"/>
      <c r="L5256" s="1323"/>
      <c r="M5256" s="1323"/>
      <c r="N5256" s="1323"/>
      <c r="O5256" s="1323"/>
      <c r="P5256" s="1323"/>
      <c r="Q5256" s="1323"/>
      <c r="R5256" s="1304"/>
      <c r="S5256" s="1304"/>
      <c r="T5256" s="1304"/>
    </row>
    <row r="5257" spans="1:20">
      <c r="A5257" s="1303"/>
      <c r="B5257" s="1322" t="s">
        <v>11895</v>
      </c>
      <c r="C5257" s="1323" t="s">
        <v>11896</v>
      </c>
      <c r="D5257" s="1324">
        <f t="shared" ref="D5257:D5320" si="522">DATE(G5257,H5257,I5257)</f>
        <v>34214</v>
      </c>
      <c r="E5257" s="1323">
        <f t="shared" si="518"/>
        <v>3.3687</v>
      </c>
      <c r="F5257" s="1323">
        <f t="shared" ref="F5257:F5320" si="523">F5258*(1+$F$7/365)</f>
        <v>3.5815683031290657</v>
      </c>
      <c r="G5257" s="1323">
        <f t="shared" si="519"/>
        <v>1993</v>
      </c>
      <c r="H5257" s="1323">
        <f t="shared" si="520"/>
        <v>9</v>
      </c>
      <c r="I5257" s="1323">
        <f t="shared" si="521"/>
        <v>2</v>
      </c>
      <c r="J5257" s="1323"/>
      <c r="K5257" s="1323"/>
      <c r="L5257" s="1323"/>
      <c r="M5257" s="1323"/>
      <c r="N5257" s="1323"/>
      <c r="O5257" s="1323"/>
      <c r="P5257" s="1323"/>
      <c r="Q5257" s="1323"/>
      <c r="R5257" s="1304"/>
      <c r="S5257" s="1304"/>
      <c r="T5257" s="1304"/>
    </row>
    <row r="5258" spans="1:20">
      <c r="A5258" s="1303"/>
      <c r="B5258" s="1322" t="s">
        <v>11897</v>
      </c>
      <c r="C5258" s="1323" t="s">
        <v>11788</v>
      </c>
      <c r="D5258" s="1324">
        <f t="shared" si="522"/>
        <v>34213</v>
      </c>
      <c r="E5258" s="1323">
        <f t="shared" si="518"/>
        <v>3.3795000000000002</v>
      </c>
      <c r="F5258" s="1323">
        <f t="shared" si="523"/>
        <v>3.5808815587205438</v>
      </c>
      <c r="G5258" s="1323">
        <f t="shared" si="519"/>
        <v>1993</v>
      </c>
      <c r="H5258" s="1323">
        <f t="shared" si="520"/>
        <v>9</v>
      </c>
      <c r="I5258" s="1323">
        <f t="shared" si="521"/>
        <v>1</v>
      </c>
      <c r="J5258" s="1323"/>
      <c r="K5258" s="1323"/>
      <c r="L5258" s="1323"/>
      <c r="M5258" s="1323"/>
      <c r="N5258" s="1323"/>
      <c r="O5258" s="1323"/>
      <c r="P5258" s="1323"/>
      <c r="Q5258" s="1323"/>
      <c r="R5258" s="1304"/>
      <c r="S5258" s="1304"/>
      <c r="T5258" s="1304"/>
    </row>
    <row r="5259" spans="1:20">
      <c r="A5259" s="1303"/>
      <c r="B5259" s="1322" t="s">
        <v>11898</v>
      </c>
      <c r="C5259" s="1323" t="s">
        <v>11899</v>
      </c>
      <c r="D5259" s="1324">
        <f t="shared" si="522"/>
        <v>34212</v>
      </c>
      <c r="E5259" s="1323">
        <f t="shared" si="518"/>
        <v>3.375</v>
      </c>
      <c r="F5259" s="1323">
        <f t="shared" si="523"/>
        <v>3.5801949459911757</v>
      </c>
      <c r="G5259" s="1323">
        <f t="shared" si="519"/>
        <v>1993</v>
      </c>
      <c r="H5259" s="1323">
        <f t="shared" si="520"/>
        <v>8</v>
      </c>
      <c r="I5259" s="1323">
        <f t="shared" si="521"/>
        <v>31</v>
      </c>
      <c r="J5259" s="1323"/>
      <c r="K5259" s="1323"/>
      <c r="L5259" s="1323"/>
      <c r="M5259" s="1323"/>
      <c r="N5259" s="1323"/>
      <c r="O5259" s="1323"/>
      <c r="P5259" s="1323"/>
      <c r="Q5259" s="1323"/>
      <c r="R5259" s="1304"/>
      <c r="S5259" s="1304"/>
      <c r="T5259" s="1304"/>
    </row>
    <row r="5260" spans="1:20">
      <c r="A5260" s="1303"/>
      <c r="B5260" s="1322" t="s">
        <v>11900</v>
      </c>
      <c r="C5260" s="1323" t="s">
        <v>11901</v>
      </c>
      <c r="D5260" s="1324">
        <f t="shared" si="522"/>
        <v>34211</v>
      </c>
      <c r="E5260" s="1323">
        <f t="shared" si="518"/>
        <v>3.367</v>
      </c>
      <c r="F5260" s="1323">
        <f t="shared" si="523"/>
        <v>3.5795084649157123</v>
      </c>
      <c r="G5260" s="1323">
        <f t="shared" si="519"/>
        <v>1993</v>
      </c>
      <c r="H5260" s="1323">
        <f t="shared" si="520"/>
        <v>8</v>
      </c>
      <c r="I5260" s="1323">
        <f t="shared" si="521"/>
        <v>30</v>
      </c>
      <c r="J5260" s="1323"/>
      <c r="K5260" s="1323"/>
      <c r="L5260" s="1323"/>
      <c r="M5260" s="1323"/>
      <c r="N5260" s="1323"/>
      <c r="O5260" s="1323"/>
      <c r="P5260" s="1323"/>
      <c r="Q5260" s="1323"/>
      <c r="R5260" s="1304"/>
      <c r="S5260" s="1304"/>
      <c r="T5260" s="1304"/>
    </row>
    <row r="5261" spans="1:20">
      <c r="A5261" s="1303"/>
      <c r="B5261" s="1322" t="s">
        <v>11902</v>
      </c>
      <c r="C5261" s="1323" t="s">
        <v>11903</v>
      </c>
      <c r="D5261" s="1324">
        <f t="shared" si="522"/>
        <v>34208</v>
      </c>
      <c r="E5261" s="1323">
        <f t="shared" si="518"/>
        <v>3.3607999999999998</v>
      </c>
      <c r="F5261" s="1323">
        <f t="shared" si="523"/>
        <v>3.5788221154689097</v>
      </c>
      <c r="G5261" s="1323">
        <f t="shared" si="519"/>
        <v>1993</v>
      </c>
      <c r="H5261" s="1323">
        <f t="shared" si="520"/>
        <v>8</v>
      </c>
      <c r="I5261" s="1323">
        <f t="shared" si="521"/>
        <v>27</v>
      </c>
      <c r="J5261" s="1323"/>
      <c r="K5261" s="1323"/>
      <c r="L5261" s="1323"/>
      <c r="M5261" s="1323"/>
      <c r="N5261" s="1323"/>
      <c r="O5261" s="1323"/>
      <c r="P5261" s="1323"/>
      <c r="Q5261" s="1323"/>
      <c r="R5261" s="1304"/>
      <c r="S5261" s="1304"/>
      <c r="T5261" s="1304"/>
    </row>
    <row r="5262" spans="1:20">
      <c r="A5262" s="1303"/>
      <c r="B5262" s="1322" t="s">
        <v>11904</v>
      </c>
      <c r="C5262" s="1323" t="s">
        <v>11905</v>
      </c>
      <c r="D5262" s="1324">
        <f t="shared" si="522"/>
        <v>34207</v>
      </c>
      <c r="E5262" s="1323">
        <f t="shared" si="518"/>
        <v>3.3687</v>
      </c>
      <c r="F5262" s="1323">
        <f t="shared" si="523"/>
        <v>3.5781358976255295</v>
      </c>
      <c r="G5262" s="1323">
        <f t="shared" si="519"/>
        <v>1993</v>
      </c>
      <c r="H5262" s="1323">
        <f t="shared" si="520"/>
        <v>8</v>
      </c>
      <c r="I5262" s="1323">
        <f t="shared" si="521"/>
        <v>26</v>
      </c>
      <c r="J5262" s="1323"/>
      <c r="K5262" s="1323"/>
      <c r="L5262" s="1323"/>
      <c r="M5262" s="1323"/>
      <c r="N5262" s="1323"/>
      <c r="O5262" s="1323"/>
      <c r="P5262" s="1323"/>
      <c r="Q5262" s="1323"/>
      <c r="R5262" s="1304"/>
      <c r="S5262" s="1304"/>
      <c r="T5262" s="1304"/>
    </row>
    <row r="5263" spans="1:20">
      <c r="A5263" s="1303"/>
      <c r="B5263" s="1322" t="s">
        <v>11906</v>
      </c>
      <c r="C5263" s="1323" t="s">
        <v>11788</v>
      </c>
      <c r="D5263" s="1324">
        <f t="shared" si="522"/>
        <v>34206</v>
      </c>
      <c r="E5263" s="1323">
        <f t="shared" si="518"/>
        <v>3.363</v>
      </c>
      <c r="F5263" s="1323">
        <f t="shared" si="523"/>
        <v>3.5774498113603368</v>
      </c>
      <c r="G5263" s="1323">
        <f t="shared" si="519"/>
        <v>1993</v>
      </c>
      <c r="H5263" s="1323">
        <f t="shared" si="520"/>
        <v>8</v>
      </c>
      <c r="I5263" s="1323">
        <f t="shared" si="521"/>
        <v>25</v>
      </c>
      <c r="J5263" s="1323"/>
      <c r="K5263" s="1323"/>
      <c r="L5263" s="1323"/>
      <c r="M5263" s="1323"/>
      <c r="N5263" s="1323"/>
      <c r="O5263" s="1323"/>
      <c r="P5263" s="1323"/>
      <c r="Q5263" s="1323"/>
      <c r="R5263" s="1304"/>
      <c r="S5263" s="1304"/>
      <c r="T5263" s="1304"/>
    </row>
    <row r="5264" spans="1:20">
      <c r="A5264" s="1303"/>
      <c r="B5264" s="1322" t="s">
        <v>11907</v>
      </c>
      <c r="C5264" s="1323" t="s">
        <v>11792</v>
      </c>
      <c r="D5264" s="1324">
        <f t="shared" si="522"/>
        <v>34205</v>
      </c>
      <c r="E5264" s="1323">
        <f t="shared" si="518"/>
        <v>3.3715000000000002</v>
      </c>
      <c r="F5264" s="1323">
        <f t="shared" si="523"/>
        <v>3.5767638566481028</v>
      </c>
      <c r="G5264" s="1323">
        <f t="shared" si="519"/>
        <v>1993</v>
      </c>
      <c r="H5264" s="1323">
        <f t="shared" si="520"/>
        <v>8</v>
      </c>
      <c r="I5264" s="1323">
        <f t="shared" si="521"/>
        <v>24</v>
      </c>
      <c r="J5264" s="1323"/>
      <c r="K5264" s="1323"/>
      <c r="L5264" s="1323"/>
      <c r="M5264" s="1323"/>
      <c r="N5264" s="1323"/>
      <c r="O5264" s="1323"/>
      <c r="P5264" s="1323"/>
      <c r="Q5264" s="1323"/>
      <c r="R5264" s="1304"/>
      <c r="S5264" s="1304"/>
      <c r="T5264" s="1304"/>
    </row>
    <row r="5265" spans="1:20">
      <c r="A5265" s="1303"/>
      <c r="B5265" s="1322" t="s">
        <v>11908</v>
      </c>
      <c r="C5265" s="1323" t="s">
        <v>11909</v>
      </c>
      <c r="D5265" s="1324">
        <f t="shared" si="522"/>
        <v>34204</v>
      </c>
      <c r="E5265" s="1323">
        <f t="shared" si="518"/>
        <v>3.3641999999999999</v>
      </c>
      <c r="F5265" s="1323">
        <f t="shared" si="523"/>
        <v>3.5760780334636029</v>
      </c>
      <c r="G5265" s="1323">
        <f t="shared" si="519"/>
        <v>1993</v>
      </c>
      <c r="H5265" s="1323">
        <f t="shared" si="520"/>
        <v>8</v>
      </c>
      <c r="I5265" s="1323">
        <f t="shared" si="521"/>
        <v>23</v>
      </c>
      <c r="J5265" s="1323"/>
      <c r="K5265" s="1323"/>
      <c r="L5265" s="1323"/>
      <c r="M5265" s="1323"/>
      <c r="N5265" s="1323"/>
      <c r="O5265" s="1323"/>
      <c r="P5265" s="1323"/>
      <c r="Q5265" s="1323"/>
      <c r="R5265" s="1304"/>
      <c r="S5265" s="1304"/>
      <c r="T5265" s="1304"/>
    </row>
    <row r="5266" spans="1:20">
      <c r="A5266" s="1303"/>
      <c r="B5266" s="1322" t="s">
        <v>11910</v>
      </c>
      <c r="C5266" s="1323" t="s">
        <v>11911</v>
      </c>
      <c r="D5266" s="1324">
        <f t="shared" si="522"/>
        <v>34201</v>
      </c>
      <c r="E5266" s="1323">
        <f t="shared" si="518"/>
        <v>3.3721000000000001</v>
      </c>
      <c r="F5266" s="1323">
        <f t="shared" si="523"/>
        <v>3.5753923417816171</v>
      </c>
      <c r="G5266" s="1323">
        <f t="shared" si="519"/>
        <v>1993</v>
      </c>
      <c r="H5266" s="1323">
        <f t="shared" si="520"/>
        <v>8</v>
      </c>
      <c r="I5266" s="1323">
        <f t="shared" si="521"/>
        <v>20</v>
      </c>
      <c r="J5266" s="1323"/>
      <c r="K5266" s="1323"/>
      <c r="L5266" s="1323"/>
      <c r="M5266" s="1323"/>
      <c r="N5266" s="1323"/>
      <c r="O5266" s="1323"/>
      <c r="P5266" s="1323"/>
      <c r="Q5266" s="1323"/>
      <c r="R5266" s="1304"/>
      <c r="S5266" s="1304"/>
      <c r="T5266" s="1304"/>
    </row>
    <row r="5267" spans="1:20">
      <c r="A5267" s="1303"/>
      <c r="B5267" s="1322" t="s">
        <v>11912</v>
      </c>
      <c r="C5267" s="1323" t="s">
        <v>11894</v>
      </c>
      <c r="D5267" s="1324">
        <f t="shared" si="522"/>
        <v>34200</v>
      </c>
      <c r="E5267" s="1323">
        <f t="shared" si="518"/>
        <v>3.3483999999999998</v>
      </c>
      <c r="F5267" s="1323">
        <f t="shared" si="523"/>
        <v>3.5747067815769311</v>
      </c>
      <c r="G5267" s="1323">
        <f t="shared" si="519"/>
        <v>1993</v>
      </c>
      <c r="H5267" s="1323">
        <f t="shared" si="520"/>
        <v>8</v>
      </c>
      <c r="I5267" s="1323">
        <f t="shared" si="521"/>
        <v>19</v>
      </c>
      <c r="J5267" s="1323"/>
      <c r="K5267" s="1323"/>
      <c r="L5267" s="1323"/>
      <c r="M5267" s="1323"/>
      <c r="N5267" s="1323"/>
      <c r="O5267" s="1323"/>
      <c r="P5267" s="1323"/>
      <c r="Q5267" s="1323"/>
      <c r="R5267" s="1304"/>
      <c r="S5267" s="1304"/>
      <c r="T5267" s="1304"/>
    </row>
    <row r="5268" spans="1:20">
      <c r="A5268" s="1303"/>
      <c r="B5268" s="1322" t="s">
        <v>11913</v>
      </c>
      <c r="C5268" s="1323" t="s">
        <v>11914</v>
      </c>
      <c r="D5268" s="1324">
        <f t="shared" si="522"/>
        <v>34199</v>
      </c>
      <c r="E5268" s="1323">
        <f t="shared" si="518"/>
        <v>3.3462000000000001</v>
      </c>
      <c r="F5268" s="1323">
        <f t="shared" si="523"/>
        <v>3.5740213528243348</v>
      </c>
      <c r="G5268" s="1323">
        <f t="shared" si="519"/>
        <v>1993</v>
      </c>
      <c r="H5268" s="1323">
        <f t="shared" si="520"/>
        <v>8</v>
      </c>
      <c r="I5268" s="1323">
        <f t="shared" si="521"/>
        <v>18</v>
      </c>
      <c r="J5268" s="1323"/>
      <c r="K5268" s="1323"/>
      <c r="L5268" s="1323"/>
      <c r="M5268" s="1323"/>
      <c r="N5268" s="1323"/>
      <c r="O5268" s="1323"/>
      <c r="P5268" s="1323"/>
      <c r="Q5268" s="1323"/>
      <c r="R5268" s="1304"/>
      <c r="S5268" s="1304"/>
      <c r="T5268" s="1304"/>
    </row>
    <row r="5269" spans="1:20">
      <c r="A5269" s="1303"/>
      <c r="B5269" s="1322" t="s">
        <v>11915</v>
      </c>
      <c r="C5269" s="1323" t="s">
        <v>11850</v>
      </c>
      <c r="D5269" s="1324">
        <f t="shared" si="522"/>
        <v>34198</v>
      </c>
      <c r="E5269" s="1323">
        <f t="shared" si="518"/>
        <v>3.3473000000000002</v>
      </c>
      <c r="F5269" s="1323">
        <f t="shared" si="523"/>
        <v>3.5733360554986224</v>
      </c>
      <c r="G5269" s="1323">
        <f t="shared" si="519"/>
        <v>1993</v>
      </c>
      <c r="H5269" s="1323">
        <f t="shared" si="520"/>
        <v>8</v>
      </c>
      <c r="I5269" s="1323">
        <f t="shared" si="521"/>
        <v>17</v>
      </c>
      <c r="J5269" s="1323"/>
      <c r="K5269" s="1323"/>
      <c r="L5269" s="1323"/>
      <c r="M5269" s="1323"/>
      <c r="N5269" s="1323"/>
      <c r="O5269" s="1323"/>
      <c r="P5269" s="1323"/>
      <c r="Q5269" s="1323"/>
      <c r="R5269" s="1304"/>
      <c r="S5269" s="1304"/>
      <c r="T5269" s="1304"/>
    </row>
    <row r="5270" spans="1:20">
      <c r="A5270" s="1303"/>
      <c r="B5270" s="1322" t="s">
        <v>11916</v>
      </c>
      <c r="C5270" s="1323" t="s">
        <v>11917</v>
      </c>
      <c r="D5270" s="1324">
        <f t="shared" si="522"/>
        <v>34197</v>
      </c>
      <c r="E5270" s="1323">
        <f t="shared" ref="E5270:E5333" si="524">VALUE(C5271)</f>
        <v>3.3698000000000001</v>
      </c>
      <c r="F5270" s="1323">
        <f t="shared" si="523"/>
        <v>3.5726508895745943</v>
      </c>
      <c r="G5270" s="1323">
        <f t="shared" ref="G5270:G5333" si="525">YEAR(B5271)</f>
        <v>1993</v>
      </c>
      <c r="H5270" s="1323">
        <f t="shared" ref="H5270:H5333" si="526">MONTH(B5271)</f>
        <v>8</v>
      </c>
      <c r="I5270" s="1323">
        <f t="shared" ref="I5270:I5333" si="527">DAY(B5271)</f>
        <v>16</v>
      </c>
      <c r="J5270" s="1323"/>
      <c r="K5270" s="1323"/>
      <c r="L5270" s="1323"/>
      <c r="M5270" s="1323"/>
      <c r="N5270" s="1323"/>
      <c r="O5270" s="1323"/>
      <c r="P5270" s="1323"/>
      <c r="Q5270" s="1323"/>
      <c r="R5270" s="1304"/>
      <c r="S5270" s="1304"/>
      <c r="T5270" s="1304"/>
    </row>
    <row r="5271" spans="1:20">
      <c r="A5271" s="1303"/>
      <c r="B5271" s="1322" t="s">
        <v>11918</v>
      </c>
      <c r="C5271" s="1323" t="s">
        <v>11805</v>
      </c>
      <c r="D5271" s="1324">
        <f t="shared" si="522"/>
        <v>34194</v>
      </c>
      <c r="E5271" s="1323">
        <f t="shared" si="524"/>
        <v>3.3744000000000001</v>
      </c>
      <c r="F5271" s="1323">
        <f t="shared" si="523"/>
        <v>3.5719658550270545</v>
      </c>
      <c r="G5271" s="1323">
        <f t="shared" si="525"/>
        <v>1993</v>
      </c>
      <c r="H5271" s="1323">
        <f t="shared" si="526"/>
        <v>8</v>
      </c>
      <c r="I5271" s="1323">
        <f t="shared" si="527"/>
        <v>13</v>
      </c>
      <c r="J5271" s="1323"/>
      <c r="K5271" s="1323"/>
      <c r="L5271" s="1323"/>
      <c r="M5271" s="1323"/>
      <c r="N5271" s="1323"/>
      <c r="O5271" s="1323"/>
      <c r="P5271" s="1323"/>
      <c r="Q5271" s="1323"/>
      <c r="R5271" s="1304"/>
      <c r="S5271" s="1304"/>
      <c r="T5271" s="1304"/>
    </row>
    <row r="5272" spans="1:20">
      <c r="A5272" s="1303"/>
      <c r="B5272" s="1322" t="s">
        <v>11919</v>
      </c>
      <c r="C5272" s="1323" t="s">
        <v>11920</v>
      </c>
      <c r="D5272" s="1324">
        <f t="shared" si="522"/>
        <v>34193</v>
      </c>
      <c r="E5272" s="1323">
        <f t="shared" si="524"/>
        <v>3.3795000000000002</v>
      </c>
      <c r="F5272" s="1323">
        <f t="shared" si="523"/>
        <v>3.5712809518308131</v>
      </c>
      <c r="G5272" s="1323">
        <f t="shared" si="525"/>
        <v>1993</v>
      </c>
      <c r="H5272" s="1323">
        <f t="shared" si="526"/>
        <v>8</v>
      </c>
      <c r="I5272" s="1323">
        <f t="shared" si="527"/>
        <v>12</v>
      </c>
      <c r="J5272" s="1323"/>
      <c r="K5272" s="1323"/>
      <c r="L5272" s="1323"/>
      <c r="M5272" s="1323"/>
      <c r="N5272" s="1323"/>
      <c r="O5272" s="1323"/>
      <c r="P5272" s="1323"/>
      <c r="Q5272" s="1323"/>
      <c r="R5272" s="1304"/>
      <c r="S5272" s="1304"/>
      <c r="T5272" s="1304"/>
    </row>
    <row r="5273" spans="1:20">
      <c r="A5273" s="1303"/>
      <c r="B5273" s="1322" t="s">
        <v>11921</v>
      </c>
      <c r="C5273" s="1323" t="s">
        <v>11899</v>
      </c>
      <c r="D5273" s="1324">
        <f t="shared" si="522"/>
        <v>34192</v>
      </c>
      <c r="E5273" s="1323">
        <f t="shared" si="524"/>
        <v>3.3744000000000001</v>
      </c>
      <c r="F5273" s="1323">
        <f t="shared" si="523"/>
        <v>3.5705961799606833</v>
      </c>
      <c r="G5273" s="1323">
        <f t="shared" si="525"/>
        <v>1993</v>
      </c>
      <c r="H5273" s="1323">
        <f t="shared" si="526"/>
        <v>8</v>
      </c>
      <c r="I5273" s="1323">
        <f t="shared" si="527"/>
        <v>11</v>
      </c>
      <c r="J5273" s="1323"/>
      <c r="K5273" s="1323"/>
      <c r="L5273" s="1323"/>
      <c r="M5273" s="1323"/>
      <c r="N5273" s="1323"/>
      <c r="O5273" s="1323"/>
      <c r="P5273" s="1323"/>
      <c r="Q5273" s="1323"/>
      <c r="R5273" s="1304"/>
      <c r="S5273" s="1304"/>
      <c r="T5273" s="1304"/>
    </row>
    <row r="5274" spans="1:20">
      <c r="A5274" s="1303"/>
      <c r="B5274" s="1322" t="s">
        <v>11922</v>
      </c>
      <c r="C5274" s="1323" t="s">
        <v>11920</v>
      </c>
      <c r="D5274" s="1324">
        <f t="shared" si="522"/>
        <v>34191</v>
      </c>
      <c r="E5274" s="1323">
        <f t="shared" si="524"/>
        <v>3.3664000000000001</v>
      </c>
      <c r="F5274" s="1323">
        <f t="shared" si="523"/>
        <v>3.5699115393914846</v>
      </c>
      <c r="G5274" s="1323">
        <f t="shared" si="525"/>
        <v>1993</v>
      </c>
      <c r="H5274" s="1323">
        <f t="shared" si="526"/>
        <v>8</v>
      </c>
      <c r="I5274" s="1323">
        <f t="shared" si="527"/>
        <v>10</v>
      </c>
      <c r="J5274" s="1323"/>
      <c r="K5274" s="1323"/>
      <c r="L5274" s="1323"/>
      <c r="M5274" s="1323"/>
      <c r="N5274" s="1323"/>
      <c r="O5274" s="1323"/>
      <c r="P5274" s="1323"/>
      <c r="Q5274" s="1323"/>
      <c r="R5274" s="1304"/>
      <c r="S5274" s="1304"/>
      <c r="T5274" s="1304"/>
    </row>
    <row r="5275" spans="1:20">
      <c r="A5275" s="1303"/>
      <c r="B5275" s="1322" t="s">
        <v>11923</v>
      </c>
      <c r="C5275" s="1323" t="s">
        <v>11794</v>
      </c>
      <c r="D5275" s="1324">
        <f t="shared" si="522"/>
        <v>34190</v>
      </c>
      <c r="E5275" s="1323">
        <f t="shared" si="524"/>
        <v>3.3574000000000002</v>
      </c>
      <c r="F5275" s="1323">
        <f t="shared" si="523"/>
        <v>3.5692270300980411</v>
      </c>
      <c r="G5275" s="1323">
        <f t="shared" si="525"/>
        <v>1993</v>
      </c>
      <c r="H5275" s="1323">
        <f t="shared" si="526"/>
        <v>8</v>
      </c>
      <c r="I5275" s="1323">
        <f t="shared" si="527"/>
        <v>9</v>
      </c>
      <c r="J5275" s="1323"/>
      <c r="K5275" s="1323"/>
      <c r="L5275" s="1323"/>
      <c r="M5275" s="1323"/>
      <c r="N5275" s="1323"/>
      <c r="O5275" s="1323"/>
      <c r="P5275" s="1323"/>
      <c r="Q5275" s="1323"/>
      <c r="R5275" s="1304"/>
      <c r="S5275" s="1304"/>
      <c r="T5275" s="1304"/>
    </row>
    <row r="5276" spans="1:20">
      <c r="A5276" s="1303"/>
      <c r="B5276" s="1322" t="s">
        <v>11924</v>
      </c>
      <c r="C5276" s="1323" t="s">
        <v>11798</v>
      </c>
      <c r="D5276" s="1324">
        <f t="shared" si="522"/>
        <v>34187</v>
      </c>
      <c r="E5276" s="1323">
        <f t="shared" si="524"/>
        <v>3.3687</v>
      </c>
      <c r="F5276" s="1323">
        <f t="shared" si="523"/>
        <v>3.5685426520551813</v>
      </c>
      <c r="G5276" s="1323">
        <f t="shared" si="525"/>
        <v>1993</v>
      </c>
      <c r="H5276" s="1323">
        <f t="shared" si="526"/>
        <v>8</v>
      </c>
      <c r="I5276" s="1323">
        <f t="shared" si="527"/>
        <v>6</v>
      </c>
      <c r="J5276" s="1323"/>
      <c r="K5276" s="1323"/>
      <c r="L5276" s="1323"/>
      <c r="M5276" s="1323"/>
      <c r="N5276" s="1323"/>
      <c r="O5276" s="1323"/>
      <c r="P5276" s="1323"/>
      <c r="Q5276" s="1323"/>
      <c r="R5276" s="1304"/>
      <c r="S5276" s="1304"/>
      <c r="T5276" s="1304"/>
    </row>
    <row r="5277" spans="1:20">
      <c r="A5277" s="1303"/>
      <c r="B5277" s="1322" t="s">
        <v>11925</v>
      </c>
      <c r="C5277" s="1323" t="s">
        <v>11788</v>
      </c>
      <c r="D5277" s="1324">
        <f t="shared" si="522"/>
        <v>34186</v>
      </c>
      <c r="E5277" s="1323">
        <f t="shared" si="524"/>
        <v>3.363</v>
      </c>
      <c r="F5277" s="1323">
        <f t="shared" si="523"/>
        <v>3.5678584052377382</v>
      </c>
      <c r="G5277" s="1323">
        <f t="shared" si="525"/>
        <v>1993</v>
      </c>
      <c r="H5277" s="1323">
        <f t="shared" si="526"/>
        <v>8</v>
      </c>
      <c r="I5277" s="1323">
        <f t="shared" si="527"/>
        <v>5</v>
      </c>
      <c r="J5277" s="1323"/>
      <c r="K5277" s="1323"/>
      <c r="L5277" s="1323"/>
      <c r="M5277" s="1323"/>
      <c r="N5277" s="1323"/>
      <c r="O5277" s="1323"/>
      <c r="P5277" s="1323"/>
      <c r="Q5277" s="1323"/>
      <c r="R5277" s="1304"/>
      <c r="S5277" s="1304"/>
      <c r="T5277" s="1304"/>
    </row>
    <row r="5278" spans="1:20">
      <c r="A5278" s="1303"/>
      <c r="B5278" s="1322" t="s">
        <v>11926</v>
      </c>
      <c r="C5278" s="1323" t="s">
        <v>11792</v>
      </c>
      <c r="D5278" s="1324">
        <f t="shared" si="522"/>
        <v>34185</v>
      </c>
      <c r="E5278" s="1323">
        <f t="shared" si="524"/>
        <v>3.3591000000000002</v>
      </c>
      <c r="F5278" s="1323">
        <f t="shared" si="523"/>
        <v>3.5671742896205507</v>
      </c>
      <c r="G5278" s="1323">
        <f t="shared" si="525"/>
        <v>1993</v>
      </c>
      <c r="H5278" s="1323">
        <f t="shared" si="526"/>
        <v>8</v>
      </c>
      <c r="I5278" s="1323">
        <f t="shared" si="527"/>
        <v>4</v>
      </c>
      <c r="J5278" s="1323"/>
      <c r="K5278" s="1323"/>
      <c r="L5278" s="1323"/>
      <c r="M5278" s="1323"/>
      <c r="N5278" s="1323"/>
      <c r="O5278" s="1323"/>
      <c r="P5278" s="1323"/>
      <c r="Q5278" s="1323"/>
      <c r="R5278" s="1304"/>
      <c r="S5278" s="1304"/>
      <c r="T5278" s="1304"/>
    </row>
    <row r="5279" spans="1:20">
      <c r="A5279" s="1303"/>
      <c r="B5279" s="1322" t="s">
        <v>11927</v>
      </c>
      <c r="C5279" s="1323" t="s">
        <v>11836</v>
      </c>
      <c r="D5279" s="1324">
        <f t="shared" si="522"/>
        <v>34184</v>
      </c>
      <c r="E5279" s="1323">
        <f t="shared" si="524"/>
        <v>3.3439000000000001</v>
      </c>
      <c r="F5279" s="1323">
        <f t="shared" si="523"/>
        <v>3.5664903051784616</v>
      </c>
      <c r="G5279" s="1323">
        <f t="shared" si="525"/>
        <v>1993</v>
      </c>
      <c r="H5279" s="1323">
        <f t="shared" si="526"/>
        <v>8</v>
      </c>
      <c r="I5279" s="1323">
        <f t="shared" si="527"/>
        <v>3</v>
      </c>
      <c r="J5279" s="1323"/>
      <c r="K5279" s="1323"/>
      <c r="L5279" s="1323"/>
      <c r="M5279" s="1323"/>
      <c r="N5279" s="1323"/>
      <c r="O5279" s="1323"/>
      <c r="P5279" s="1323"/>
      <c r="Q5279" s="1323"/>
      <c r="R5279" s="1304"/>
      <c r="S5279" s="1304"/>
      <c r="T5279" s="1304"/>
    </row>
    <row r="5280" spans="1:20">
      <c r="A5280" s="1303"/>
      <c r="B5280" s="1322" t="s">
        <v>11928</v>
      </c>
      <c r="C5280" s="1323" t="s">
        <v>11929</v>
      </c>
      <c r="D5280" s="1324">
        <f t="shared" si="522"/>
        <v>34183</v>
      </c>
      <c r="E5280" s="1323">
        <f t="shared" si="524"/>
        <v>3.3801000000000001</v>
      </c>
      <c r="F5280" s="1323">
        <f t="shared" si="523"/>
        <v>3.5658064518863188</v>
      </c>
      <c r="G5280" s="1323">
        <f t="shared" si="525"/>
        <v>1993</v>
      </c>
      <c r="H5280" s="1323">
        <f t="shared" si="526"/>
        <v>8</v>
      </c>
      <c r="I5280" s="1323">
        <f t="shared" si="527"/>
        <v>2</v>
      </c>
      <c r="J5280" s="1323"/>
      <c r="K5280" s="1323"/>
      <c r="L5280" s="1323"/>
      <c r="M5280" s="1323"/>
      <c r="N5280" s="1323"/>
      <c r="O5280" s="1323"/>
      <c r="P5280" s="1323"/>
      <c r="Q5280" s="1323"/>
      <c r="R5280" s="1304"/>
      <c r="S5280" s="1304"/>
      <c r="T5280" s="1304"/>
    </row>
    <row r="5281" spans="1:20">
      <c r="A5281" s="1303"/>
      <c r="B5281" s="1322" t="s">
        <v>11930</v>
      </c>
      <c r="C5281" s="1323" t="s">
        <v>11896</v>
      </c>
      <c r="D5281" s="1324">
        <f t="shared" si="522"/>
        <v>34180</v>
      </c>
      <c r="E5281" s="1323">
        <f t="shared" si="524"/>
        <v>3.3835000000000002</v>
      </c>
      <c r="F5281" s="1323">
        <f t="shared" si="523"/>
        <v>3.5651227297189751</v>
      </c>
      <c r="G5281" s="1323">
        <f t="shared" si="525"/>
        <v>1993</v>
      </c>
      <c r="H5281" s="1323">
        <f t="shared" si="526"/>
        <v>7</v>
      </c>
      <c r="I5281" s="1323">
        <f t="shared" si="527"/>
        <v>30</v>
      </c>
      <c r="J5281" s="1323"/>
      <c r="K5281" s="1323"/>
      <c r="L5281" s="1323"/>
      <c r="M5281" s="1323"/>
      <c r="N5281" s="1323"/>
      <c r="O5281" s="1323"/>
      <c r="P5281" s="1323"/>
      <c r="Q5281" s="1323"/>
      <c r="R5281" s="1304"/>
      <c r="S5281" s="1304"/>
      <c r="T5281" s="1304"/>
    </row>
    <row r="5282" spans="1:20">
      <c r="A5282" s="1303"/>
      <c r="B5282" s="1322" t="s">
        <v>11931</v>
      </c>
      <c r="C5282" s="1323" t="s">
        <v>11779</v>
      </c>
      <c r="D5282" s="1324">
        <f t="shared" si="522"/>
        <v>34179</v>
      </c>
      <c r="E5282" s="1323">
        <f t="shared" si="524"/>
        <v>3.3567999999999998</v>
      </c>
      <c r="F5282" s="1323">
        <f t="shared" si="523"/>
        <v>3.5644391386512884</v>
      </c>
      <c r="G5282" s="1323">
        <f t="shared" si="525"/>
        <v>1993</v>
      </c>
      <c r="H5282" s="1323">
        <f t="shared" si="526"/>
        <v>7</v>
      </c>
      <c r="I5282" s="1323">
        <f t="shared" si="527"/>
        <v>29</v>
      </c>
      <c r="J5282" s="1323"/>
      <c r="K5282" s="1323"/>
      <c r="L5282" s="1323"/>
      <c r="M5282" s="1323"/>
      <c r="N5282" s="1323"/>
      <c r="O5282" s="1323"/>
      <c r="P5282" s="1323"/>
      <c r="Q5282" s="1323"/>
      <c r="R5282" s="1304"/>
      <c r="S5282" s="1304"/>
      <c r="T5282" s="1304"/>
    </row>
    <row r="5283" spans="1:20">
      <c r="A5283" s="1303"/>
      <c r="B5283" s="1322" t="s">
        <v>11932</v>
      </c>
      <c r="C5283" s="1323" t="s">
        <v>11830</v>
      </c>
      <c r="D5283" s="1324">
        <f t="shared" si="522"/>
        <v>34178</v>
      </c>
      <c r="E5283" s="1323">
        <f t="shared" si="524"/>
        <v>3.3567999999999998</v>
      </c>
      <c r="F5283" s="1323">
        <f t="shared" si="523"/>
        <v>3.5637556786581208</v>
      </c>
      <c r="G5283" s="1323">
        <f t="shared" si="525"/>
        <v>1993</v>
      </c>
      <c r="H5283" s="1323">
        <f t="shared" si="526"/>
        <v>7</v>
      </c>
      <c r="I5283" s="1323">
        <f t="shared" si="527"/>
        <v>28</v>
      </c>
      <c r="J5283" s="1323"/>
      <c r="K5283" s="1323"/>
      <c r="L5283" s="1323"/>
      <c r="M5283" s="1323"/>
      <c r="N5283" s="1323"/>
      <c r="O5283" s="1323"/>
      <c r="P5283" s="1323"/>
      <c r="Q5283" s="1323"/>
      <c r="R5283" s="1304"/>
      <c r="S5283" s="1304"/>
      <c r="T5283" s="1304"/>
    </row>
    <row r="5284" spans="1:20">
      <c r="A5284" s="1303"/>
      <c r="B5284" s="1322" t="s">
        <v>11933</v>
      </c>
      <c r="C5284" s="1323" t="s">
        <v>11830</v>
      </c>
      <c r="D5284" s="1324">
        <f t="shared" si="522"/>
        <v>34177</v>
      </c>
      <c r="E5284" s="1323">
        <f t="shared" si="524"/>
        <v>3.3546</v>
      </c>
      <c r="F5284" s="1323">
        <f t="shared" si="523"/>
        <v>3.5630723497143397</v>
      </c>
      <c r="G5284" s="1323">
        <f t="shared" si="525"/>
        <v>1993</v>
      </c>
      <c r="H5284" s="1323">
        <f t="shared" si="526"/>
        <v>7</v>
      </c>
      <c r="I5284" s="1323">
        <f t="shared" si="527"/>
        <v>27</v>
      </c>
      <c r="J5284" s="1323"/>
      <c r="K5284" s="1323"/>
      <c r="L5284" s="1323"/>
      <c r="M5284" s="1323"/>
      <c r="N5284" s="1323"/>
      <c r="O5284" s="1323"/>
      <c r="P5284" s="1323"/>
      <c r="Q5284" s="1323"/>
      <c r="R5284" s="1304"/>
      <c r="S5284" s="1304"/>
      <c r="T5284" s="1304"/>
    </row>
    <row r="5285" spans="1:20">
      <c r="A5285" s="1303"/>
      <c r="B5285" s="1322" t="s">
        <v>11934</v>
      </c>
      <c r="C5285" s="1323" t="s">
        <v>11935</v>
      </c>
      <c r="D5285" s="1324">
        <f t="shared" si="522"/>
        <v>34176</v>
      </c>
      <c r="E5285" s="1323">
        <f t="shared" si="524"/>
        <v>3.3567999999999998</v>
      </c>
      <c r="F5285" s="1323">
        <f t="shared" si="523"/>
        <v>3.5623891517948172</v>
      </c>
      <c r="G5285" s="1323">
        <f t="shared" si="525"/>
        <v>1993</v>
      </c>
      <c r="H5285" s="1323">
        <f t="shared" si="526"/>
        <v>7</v>
      </c>
      <c r="I5285" s="1323">
        <f t="shared" si="527"/>
        <v>26</v>
      </c>
      <c r="J5285" s="1323"/>
      <c r="K5285" s="1323"/>
      <c r="L5285" s="1323"/>
      <c r="M5285" s="1323"/>
      <c r="N5285" s="1323"/>
      <c r="O5285" s="1323"/>
      <c r="P5285" s="1323"/>
      <c r="Q5285" s="1323"/>
      <c r="R5285" s="1304"/>
      <c r="S5285" s="1304"/>
      <c r="T5285" s="1304"/>
    </row>
    <row r="5286" spans="1:20">
      <c r="A5286" s="1303"/>
      <c r="B5286" s="1322" t="s">
        <v>11936</v>
      </c>
      <c r="C5286" s="1323" t="s">
        <v>11830</v>
      </c>
      <c r="D5286" s="1324">
        <f t="shared" si="522"/>
        <v>34173</v>
      </c>
      <c r="E5286" s="1323">
        <f t="shared" si="524"/>
        <v>3.3473000000000002</v>
      </c>
      <c r="F5286" s="1323">
        <f t="shared" si="523"/>
        <v>3.5617060848744302</v>
      </c>
      <c r="G5286" s="1323">
        <f t="shared" si="525"/>
        <v>1993</v>
      </c>
      <c r="H5286" s="1323">
        <f t="shared" si="526"/>
        <v>7</v>
      </c>
      <c r="I5286" s="1323">
        <f t="shared" si="527"/>
        <v>23</v>
      </c>
      <c r="J5286" s="1323"/>
      <c r="K5286" s="1323"/>
      <c r="L5286" s="1323"/>
      <c r="M5286" s="1323"/>
      <c r="N5286" s="1323"/>
      <c r="O5286" s="1323"/>
      <c r="P5286" s="1323"/>
      <c r="Q5286" s="1323"/>
      <c r="R5286" s="1304"/>
      <c r="S5286" s="1304"/>
      <c r="T5286" s="1304"/>
    </row>
    <row r="5287" spans="1:20">
      <c r="A5287" s="1303"/>
      <c r="B5287" s="1322" t="s">
        <v>11937</v>
      </c>
      <c r="C5287" s="1323" t="s">
        <v>11917</v>
      </c>
      <c r="D5287" s="1324">
        <f t="shared" si="522"/>
        <v>34172</v>
      </c>
      <c r="E5287" s="1323">
        <f t="shared" si="524"/>
        <v>3.3473000000000002</v>
      </c>
      <c r="F5287" s="1323">
        <f t="shared" si="523"/>
        <v>3.5610231489280602</v>
      </c>
      <c r="G5287" s="1323">
        <f t="shared" si="525"/>
        <v>1993</v>
      </c>
      <c r="H5287" s="1323">
        <f t="shared" si="526"/>
        <v>7</v>
      </c>
      <c r="I5287" s="1323">
        <f t="shared" si="527"/>
        <v>22</v>
      </c>
      <c r="J5287" s="1323"/>
      <c r="K5287" s="1323"/>
      <c r="L5287" s="1323"/>
      <c r="M5287" s="1323"/>
      <c r="N5287" s="1323"/>
      <c r="O5287" s="1323"/>
      <c r="P5287" s="1323"/>
      <c r="Q5287" s="1323"/>
      <c r="R5287" s="1304"/>
      <c r="S5287" s="1304"/>
      <c r="T5287" s="1304"/>
    </row>
    <row r="5288" spans="1:20">
      <c r="A5288" s="1303"/>
      <c r="B5288" s="1322" t="s">
        <v>11938</v>
      </c>
      <c r="C5288" s="1323" t="s">
        <v>11917</v>
      </c>
      <c r="D5288" s="1324">
        <f t="shared" si="522"/>
        <v>34171</v>
      </c>
      <c r="E5288" s="1323">
        <f t="shared" si="524"/>
        <v>3.3328000000000002</v>
      </c>
      <c r="F5288" s="1323">
        <f t="shared" si="523"/>
        <v>3.5603403439305938</v>
      </c>
      <c r="G5288" s="1323">
        <f t="shared" si="525"/>
        <v>1993</v>
      </c>
      <c r="H5288" s="1323">
        <f t="shared" si="526"/>
        <v>7</v>
      </c>
      <c r="I5288" s="1323">
        <f t="shared" si="527"/>
        <v>21</v>
      </c>
      <c r="J5288" s="1323"/>
      <c r="K5288" s="1323"/>
      <c r="L5288" s="1323"/>
      <c r="M5288" s="1323"/>
      <c r="N5288" s="1323"/>
      <c r="O5288" s="1323"/>
      <c r="P5288" s="1323"/>
      <c r="Q5288" s="1323"/>
      <c r="R5288" s="1304"/>
      <c r="S5288" s="1304"/>
      <c r="T5288" s="1304"/>
    </row>
    <row r="5289" spans="1:20">
      <c r="A5289" s="1303"/>
      <c r="B5289" s="1322" t="s">
        <v>11939</v>
      </c>
      <c r="C5289" s="1323" t="s">
        <v>11940</v>
      </c>
      <c r="D5289" s="1324">
        <f t="shared" si="522"/>
        <v>34170</v>
      </c>
      <c r="E5289" s="1323">
        <f t="shared" si="524"/>
        <v>3.3462000000000001</v>
      </c>
      <c r="F5289" s="1323">
        <f t="shared" si="523"/>
        <v>3.5596576698569224</v>
      </c>
      <c r="G5289" s="1323">
        <f t="shared" si="525"/>
        <v>1993</v>
      </c>
      <c r="H5289" s="1323">
        <f t="shared" si="526"/>
        <v>7</v>
      </c>
      <c r="I5289" s="1323">
        <f t="shared" si="527"/>
        <v>20</v>
      </c>
      <c r="J5289" s="1323"/>
      <c r="K5289" s="1323"/>
      <c r="L5289" s="1323"/>
      <c r="M5289" s="1323"/>
      <c r="N5289" s="1323"/>
      <c r="O5289" s="1323"/>
      <c r="P5289" s="1323"/>
      <c r="Q5289" s="1323"/>
      <c r="R5289" s="1304"/>
      <c r="S5289" s="1304"/>
      <c r="T5289" s="1304"/>
    </row>
    <row r="5290" spans="1:20">
      <c r="A5290" s="1303"/>
      <c r="B5290" s="1322" t="s">
        <v>11941</v>
      </c>
      <c r="C5290" s="1323" t="s">
        <v>11850</v>
      </c>
      <c r="D5290" s="1324">
        <f t="shared" si="522"/>
        <v>34169</v>
      </c>
      <c r="E5290" s="1323">
        <f t="shared" si="524"/>
        <v>3.3416999999999999</v>
      </c>
      <c r="F5290" s="1323">
        <f t="shared" si="523"/>
        <v>3.558975126681942</v>
      </c>
      <c r="G5290" s="1323">
        <f t="shared" si="525"/>
        <v>1993</v>
      </c>
      <c r="H5290" s="1323">
        <f t="shared" si="526"/>
        <v>7</v>
      </c>
      <c r="I5290" s="1323">
        <f t="shared" si="527"/>
        <v>19</v>
      </c>
      <c r="J5290" s="1323"/>
      <c r="K5290" s="1323"/>
      <c r="L5290" s="1323"/>
      <c r="M5290" s="1323"/>
      <c r="N5290" s="1323"/>
      <c r="O5290" s="1323"/>
      <c r="P5290" s="1323"/>
      <c r="Q5290" s="1323"/>
      <c r="R5290" s="1304"/>
      <c r="S5290" s="1304"/>
      <c r="T5290" s="1304"/>
    </row>
    <row r="5291" spans="1:20">
      <c r="A5291" s="1303"/>
      <c r="B5291" s="1322" t="s">
        <v>11942</v>
      </c>
      <c r="C5291" s="1323" t="s">
        <v>11943</v>
      </c>
      <c r="D5291" s="1324">
        <f t="shared" si="522"/>
        <v>34166</v>
      </c>
      <c r="E5291" s="1323">
        <f t="shared" si="524"/>
        <v>3.3597000000000001</v>
      </c>
      <c r="F5291" s="1323">
        <f t="shared" si="523"/>
        <v>3.5582927143805541</v>
      </c>
      <c r="G5291" s="1323">
        <f t="shared" si="525"/>
        <v>1993</v>
      </c>
      <c r="H5291" s="1323">
        <f t="shared" si="526"/>
        <v>7</v>
      </c>
      <c r="I5291" s="1323">
        <f t="shared" si="527"/>
        <v>16</v>
      </c>
      <c r="J5291" s="1323"/>
      <c r="K5291" s="1323"/>
      <c r="L5291" s="1323"/>
      <c r="M5291" s="1323"/>
      <c r="N5291" s="1323"/>
      <c r="O5291" s="1323"/>
      <c r="P5291" s="1323"/>
      <c r="Q5291" s="1323"/>
      <c r="R5291" s="1304"/>
      <c r="S5291" s="1304"/>
      <c r="T5291" s="1304"/>
    </row>
    <row r="5292" spans="1:20">
      <c r="A5292" s="1303"/>
      <c r="B5292" s="1322" t="s">
        <v>11944</v>
      </c>
      <c r="C5292" s="1323" t="s">
        <v>11945</v>
      </c>
      <c r="D5292" s="1324">
        <f t="shared" si="522"/>
        <v>34165</v>
      </c>
      <c r="E5292" s="1323">
        <f t="shared" si="524"/>
        <v>3.3500999999999999</v>
      </c>
      <c r="F5292" s="1323">
        <f t="shared" si="523"/>
        <v>3.5576104329276639</v>
      </c>
      <c r="G5292" s="1323">
        <f t="shared" si="525"/>
        <v>1993</v>
      </c>
      <c r="H5292" s="1323">
        <f t="shared" si="526"/>
        <v>7</v>
      </c>
      <c r="I5292" s="1323">
        <f t="shared" si="527"/>
        <v>15</v>
      </c>
      <c r="J5292" s="1323"/>
      <c r="K5292" s="1323"/>
      <c r="L5292" s="1323"/>
      <c r="M5292" s="1323"/>
      <c r="N5292" s="1323"/>
      <c r="O5292" s="1323"/>
      <c r="P5292" s="1323"/>
      <c r="Q5292" s="1323"/>
      <c r="R5292" s="1304"/>
      <c r="S5292" s="1304"/>
      <c r="T5292" s="1304"/>
    </row>
    <row r="5293" spans="1:20">
      <c r="A5293" s="1303"/>
      <c r="B5293" s="1322" t="s">
        <v>11946</v>
      </c>
      <c r="C5293" s="1323" t="s">
        <v>11947</v>
      </c>
      <c r="D5293" s="1324">
        <f t="shared" si="522"/>
        <v>34164</v>
      </c>
      <c r="E5293" s="1323">
        <f t="shared" si="524"/>
        <v>3.3613</v>
      </c>
      <c r="F5293" s="1323">
        <f t="shared" si="523"/>
        <v>3.5569282822981818</v>
      </c>
      <c r="G5293" s="1323">
        <f t="shared" si="525"/>
        <v>1993</v>
      </c>
      <c r="H5293" s="1323">
        <f t="shared" si="526"/>
        <v>7</v>
      </c>
      <c r="I5293" s="1323">
        <f t="shared" si="527"/>
        <v>14</v>
      </c>
      <c r="J5293" s="1323"/>
      <c r="K5293" s="1323"/>
      <c r="L5293" s="1323"/>
      <c r="M5293" s="1323"/>
      <c r="N5293" s="1323"/>
      <c r="O5293" s="1323"/>
      <c r="P5293" s="1323"/>
      <c r="Q5293" s="1323"/>
      <c r="R5293" s="1304"/>
      <c r="S5293" s="1304"/>
      <c r="T5293" s="1304"/>
    </row>
    <row r="5294" spans="1:20">
      <c r="A5294" s="1303"/>
      <c r="B5294" s="1322" t="s">
        <v>11948</v>
      </c>
      <c r="C5294" s="1323" t="s">
        <v>11949</v>
      </c>
      <c r="D5294" s="1324">
        <f t="shared" si="522"/>
        <v>34163</v>
      </c>
      <c r="E5294" s="1323">
        <f t="shared" si="524"/>
        <v>3.3512</v>
      </c>
      <c r="F5294" s="1323">
        <f t="shared" si="523"/>
        <v>3.5562462624670235</v>
      </c>
      <c r="G5294" s="1323">
        <f t="shared" si="525"/>
        <v>1993</v>
      </c>
      <c r="H5294" s="1323">
        <f t="shared" si="526"/>
        <v>7</v>
      </c>
      <c r="I5294" s="1323">
        <f t="shared" si="527"/>
        <v>13</v>
      </c>
      <c r="J5294" s="1323"/>
      <c r="K5294" s="1323"/>
      <c r="L5294" s="1323"/>
      <c r="M5294" s="1323"/>
      <c r="N5294" s="1323"/>
      <c r="O5294" s="1323"/>
      <c r="P5294" s="1323"/>
      <c r="Q5294" s="1323"/>
      <c r="R5294" s="1304"/>
      <c r="S5294" s="1304"/>
      <c r="T5294" s="1304"/>
    </row>
    <row r="5295" spans="1:20">
      <c r="A5295" s="1303"/>
      <c r="B5295" s="1322" t="s">
        <v>11950</v>
      </c>
      <c r="C5295" s="1323" t="s">
        <v>11951</v>
      </c>
      <c r="D5295" s="1324">
        <f t="shared" si="522"/>
        <v>34162</v>
      </c>
      <c r="E5295" s="1323">
        <f t="shared" si="524"/>
        <v>3.3653</v>
      </c>
      <c r="F5295" s="1323">
        <f t="shared" si="523"/>
        <v>3.5555643734091094</v>
      </c>
      <c r="G5295" s="1323">
        <f t="shared" si="525"/>
        <v>1993</v>
      </c>
      <c r="H5295" s="1323">
        <f t="shared" si="526"/>
        <v>7</v>
      </c>
      <c r="I5295" s="1323">
        <f t="shared" si="527"/>
        <v>12</v>
      </c>
      <c r="J5295" s="1323"/>
      <c r="K5295" s="1323"/>
      <c r="L5295" s="1323"/>
      <c r="M5295" s="1323"/>
      <c r="N5295" s="1323"/>
      <c r="O5295" s="1323"/>
      <c r="P5295" s="1323"/>
      <c r="Q5295" s="1323"/>
      <c r="R5295" s="1304"/>
      <c r="S5295" s="1304"/>
      <c r="T5295" s="1304"/>
    </row>
    <row r="5296" spans="1:20">
      <c r="A5296" s="1303"/>
      <c r="B5296" s="1322" t="s">
        <v>11952</v>
      </c>
      <c r="C5296" s="1323" t="s">
        <v>11800</v>
      </c>
      <c r="D5296" s="1324">
        <f t="shared" si="522"/>
        <v>34159</v>
      </c>
      <c r="E5296" s="1323">
        <f t="shared" si="524"/>
        <v>3.3389000000000002</v>
      </c>
      <c r="F5296" s="1323">
        <f t="shared" si="523"/>
        <v>3.554882615099364</v>
      </c>
      <c r="G5296" s="1323">
        <f t="shared" si="525"/>
        <v>1993</v>
      </c>
      <c r="H5296" s="1323">
        <f t="shared" si="526"/>
        <v>7</v>
      </c>
      <c r="I5296" s="1323">
        <f t="shared" si="527"/>
        <v>9</v>
      </c>
      <c r="J5296" s="1323"/>
      <c r="K5296" s="1323"/>
      <c r="L5296" s="1323"/>
      <c r="M5296" s="1323"/>
      <c r="N5296" s="1323"/>
      <c r="O5296" s="1323"/>
      <c r="P5296" s="1323"/>
      <c r="Q5296" s="1323"/>
      <c r="R5296" s="1304"/>
      <c r="S5296" s="1304"/>
      <c r="T5296" s="1304"/>
    </row>
    <row r="5297" spans="1:20">
      <c r="A5297" s="1303"/>
      <c r="B5297" s="1322" t="s">
        <v>11953</v>
      </c>
      <c r="C5297" s="1323" t="s">
        <v>11954</v>
      </c>
      <c r="D5297" s="1324">
        <f t="shared" si="522"/>
        <v>34158</v>
      </c>
      <c r="E5297" s="1323">
        <f t="shared" si="524"/>
        <v>3.3361000000000001</v>
      </c>
      <c r="F5297" s="1323">
        <f t="shared" si="523"/>
        <v>3.5542009875127176</v>
      </c>
      <c r="G5297" s="1323">
        <f t="shared" si="525"/>
        <v>1993</v>
      </c>
      <c r="H5297" s="1323">
        <f t="shared" si="526"/>
        <v>7</v>
      </c>
      <c r="I5297" s="1323">
        <f t="shared" si="527"/>
        <v>8</v>
      </c>
      <c r="J5297" s="1323"/>
      <c r="K5297" s="1323"/>
      <c r="L5297" s="1323"/>
      <c r="M5297" s="1323"/>
      <c r="N5297" s="1323"/>
      <c r="O5297" s="1323"/>
      <c r="P5297" s="1323"/>
      <c r="Q5297" s="1323"/>
      <c r="R5297" s="1304"/>
      <c r="S5297" s="1304"/>
      <c r="T5297" s="1304"/>
    </row>
    <row r="5298" spans="1:20">
      <c r="A5298" s="1303"/>
      <c r="B5298" s="1322" t="s">
        <v>11955</v>
      </c>
      <c r="C5298" s="1323" t="s">
        <v>11956</v>
      </c>
      <c r="D5298" s="1324">
        <f t="shared" si="522"/>
        <v>34157</v>
      </c>
      <c r="E5298" s="1323">
        <f t="shared" si="524"/>
        <v>3.3317000000000001</v>
      </c>
      <c r="F5298" s="1323">
        <f t="shared" si="523"/>
        <v>3.5535194906241045</v>
      </c>
      <c r="G5298" s="1323">
        <f t="shared" si="525"/>
        <v>1993</v>
      </c>
      <c r="H5298" s="1323">
        <f t="shared" si="526"/>
        <v>7</v>
      </c>
      <c r="I5298" s="1323">
        <f t="shared" si="527"/>
        <v>7</v>
      </c>
      <c r="J5298" s="1323"/>
      <c r="K5298" s="1323"/>
      <c r="L5298" s="1323"/>
      <c r="M5298" s="1323"/>
      <c r="N5298" s="1323"/>
      <c r="O5298" s="1323"/>
      <c r="P5298" s="1323"/>
      <c r="Q5298" s="1323"/>
      <c r="R5298" s="1304"/>
      <c r="S5298" s="1304"/>
      <c r="T5298" s="1304"/>
    </row>
    <row r="5299" spans="1:20">
      <c r="A5299" s="1303"/>
      <c r="B5299" s="1322" t="s">
        <v>11957</v>
      </c>
      <c r="C5299" s="1323" t="s">
        <v>11958</v>
      </c>
      <c r="D5299" s="1324">
        <f t="shared" si="522"/>
        <v>34156</v>
      </c>
      <c r="E5299" s="1323">
        <f t="shared" si="524"/>
        <v>3.3641999999999999</v>
      </c>
      <c r="F5299" s="1323">
        <f t="shared" si="523"/>
        <v>3.5528381244084644</v>
      </c>
      <c r="G5299" s="1323">
        <f t="shared" si="525"/>
        <v>1993</v>
      </c>
      <c r="H5299" s="1323">
        <f t="shared" si="526"/>
        <v>7</v>
      </c>
      <c r="I5299" s="1323">
        <f t="shared" si="527"/>
        <v>6</v>
      </c>
      <c r="J5299" s="1323"/>
      <c r="K5299" s="1323"/>
      <c r="L5299" s="1323"/>
      <c r="M5299" s="1323"/>
      <c r="N5299" s="1323"/>
      <c r="O5299" s="1323"/>
      <c r="P5299" s="1323"/>
      <c r="Q5299" s="1323"/>
      <c r="R5299" s="1304"/>
      <c r="S5299" s="1304"/>
      <c r="T5299" s="1304"/>
    </row>
    <row r="5300" spans="1:20">
      <c r="A5300" s="1303"/>
      <c r="B5300" s="1322" t="s">
        <v>11959</v>
      </c>
      <c r="C5300" s="1323" t="s">
        <v>11911</v>
      </c>
      <c r="D5300" s="1324">
        <f t="shared" si="522"/>
        <v>34155</v>
      </c>
      <c r="E5300" s="1323">
        <f t="shared" si="524"/>
        <v>3.3395000000000001</v>
      </c>
      <c r="F5300" s="1323">
        <f t="shared" si="523"/>
        <v>3.5521568888407415</v>
      </c>
      <c r="G5300" s="1323">
        <f t="shared" si="525"/>
        <v>1993</v>
      </c>
      <c r="H5300" s="1323">
        <f t="shared" si="526"/>
        <v>7</v>
      </c>
      <c r="I5300" s="1323">
        <f t="shared" si="527"/>
        <v>5</v>
      </c>
      <c r="J5300" s="1323"/>
      <c r="K5300" s="1323"/>
      <c r="L5300" s="1323"/>
      <c r="M5300" s="1323"/>
      <c r="N5300" s="1323"/>
      <c r="O5300" s="1323"/>
      <c r="P5300" s="1323"/>
      <c r="Q5300" s="1323"/>
      <c r="R5300" s="1304"/>
      <c r="S5300" s="1304"/>
      <c r="T5300" s="1304"/>
    </row>
    <row r="5301" spans="1:20">
      <c r="A5301" s="1303"/>
      <c r="B5301" s="1322" t="s">
        <v>11960</v>
      </c>
      <c r="C5301" s="1323" t="s">
        <v>11961</v>
      </c>
      <c r="D5301" s="1324">
        <f t="shared" si="522"/>
        <v>34152</v>
      </c>
      <c r="E5301" s="1323">
        <f t="shared" si="524"/>
        <v>3.3306</v>
      </c>
      <c r="F5301" s="1323">
        <f t="shared" si="523"/>
        <v>3.5514757838958846</v>
      </c>
      <c r="G5301" s="1323">
        <f t="shared" si="525"/>
        <v>1993</v>
      </c>
      <c r="H5301" s="1323">
        <f t="shared" si="526"/>
        <v>7</v>
      </c>
      <c r="I5301" s="1323">
        <f t="shared" si="527"/>
        <v>2</v>
      </c>
      <c r="J5301" s="1323"/>
      <c r="K5301" s="1323"/>
      <c r="L5301" s="1323"/>
      <c r="M5301" s="1323"/>
      <c r="N5301" s="1323"/>
      <c r="O5301" s="1323"/>
      <c r="P5301" s="1323"/>
      <c r="Q5301" s="1323"/>
      <c r="R5301" s="1304"/>
      <c r="S5301" s="1304"/>
      <c r="T5301" s="1304"/>
    </row>
    <row r="5302" spans="1:20">
      <c r="A5302" s="1303"/>
      <c r="B5302" s="1322" t="s">
        <v>11962</v>
      </c>
      <c r="C5302" s="1323" t="s">
        <v>11963</v>
      </c>
      <c r="D5302" s="1324">
        <f t="shared" si="522"/>
        <v>34151</v>
      </c>
      <c r="E5302" s="1323">
        <f t="shared" si="524"/>
        <v>3.3512</v>
      </c>
      <c r="F5302" s="1323">
        <f t="shared" si="523"/>
        <v>3.5507948095488477</v>
      </c>
      <c r="G5302" s="1323">
        <f t="shared" si="525"/>
        <v>1993</v>
      </c>
      <c r="H5302" s="1323">
        <f t="shared" si="526"/>
        <v>7</v>
      </c>
      <c r="I5302" s="1323">
        <f t="shared" si="527"/>
        <v>1</v>
      </c>
      <c r="J5302" s="1323"/>
      <c r="K5302" s="1323"/>
      <c r="L5302" s="1323"/>
      <c r="M5302" s="1323"/>
      <c r="N5302" s="1323"/>
      <c r="O5302" s="1323"/>
      <c r="P5302" s="1323"/>
      <c r="Q5302" s="1323"/>
      <c r="R5302" s="1304"/>
      <c r="S5302" s="1304"/>
      <c r="T5302" s="1304"/>
    </row>
    <row r="5303" spans="1:20">
      <c r="A5303" s="1303"/>
      <c r="B5303" s="1322" t="s">
        <v>11964</v>
      </c>
      <c r="C5303" s="1323" t="s">
        <v>11951</v>
      </c>
      <c r="D5303" s="1324">
        <f t="shared" si="522"/>
        <v>34150</v>
      </c>
      <c r="E5303" s="1323">
        <f t="shared" si="524"/>
        <v>3.3250000000000002</v>
      </c>
      <c r="F5303" s="1323">
        <f t="shared" si="523"/>
        <v>3.5501139657745893</v>
      </c>
      <c r="G5303" s="1323">
        <f t="shared" si="525"/>
        <v>1993</v>
      </c>
      <c r="H5303" s="1323">
        <f t="shared" si="526"/>
        <v>6</v>
      </c>
      <c r="I5303" s="1323">
        <f t="shared" si="527"/>
        <v>30</v>
      </c>
      <c r="J5303" s="1323"/>
      <c r="K5303" s="1323"/>
      <c r="L5303" s="1323"/>
      <c r="M5303" s="1323"/>
      <c r="N5303" s="1323"/>
      <c r="O5303" s="1323"/>
      <c r="P5303" s="1323"/>
      <c r="Q5303" s="1323"/>
      <c r="R5303" s="1304"/>
      <c r="S5303" s="1304"/>
      <c r="T5303" s="1304"/>
    </row>
    <row r="5304" spans="1:20">
      <c r="A5304" s="1303"/>
      <c r="B5304" s="1322" t="s">
        <v>11965</v>
      </c>
      <c r="C5304" s="1323" t="s">
        <v>11966</v>
      </c>
      <c r="D5304" s="1324">
        <f t="shared" si="522"/>
        <v>34149</v>
      </c>
      <c r="E5304" s="1323">
        <f t="shared" si="524"/>
        <v>3.3267000000000002</v>
      </c>
      <c r="F5304" s="1323">
        <f t="shared" si="523"/>
        <v>3.5494332525480732</v>
      </c>
      <c r="G5304" s="1323">
        <f t="shared" si="525"/>
        <v>1993</v>
      </c>
      <c r="H5304" s="1323">
        <f t="shared" si="526"/>
        <v>6</v>
      </c>
      <c r="I5304" s="1323">
        <f t="shared" si="527"/>
        <v>29</v>
      </c>
      <c r="J5304" s="1323"/>
      <c r="K5304" s="1323"/>
      <c r="L5304" s="1323"/>
      <c r="M5304" s="1323"/>
      <c r="N5304" s="1323"/>
      <c r="O5304" s="1323"/>
      <c r="P5304" s="1323"/>
      <c r="Q5304" s="1323"/>
      <c r="R5304" s="1304"/>
      <c r="S5304" s="1304"/>
      <c r="T5304" s="1304"/>
    </row>
    <row r="5305" spans="1:20">
      <c r="A5305" s="1303"/>
      <c r="B5305" s="1322" t="s">
        <v>11967</v>
      </c>
      <c r="C5305" s="1323" t="s">
        <v>11968</v>
      </c>
      <c r="D5305" s="1324">
        <f t="shared" si="522"/>
        <v>34148</v>
      </c>
      <c r="E5305" s="1323">
        <f t="shared" si="524"/>
        <v>3.33</v>
      </c>
      <c r="F5305" s="1323">
        <f t="shared" si="523"/>
        <v>3.5487526698442675</v>
      </c>
      <c r="G5305" s="1323">
        <f t="shared" si="525"/>
        <v>1993</v>
      </c>
      <c r="H5305" s="1323">
        <f t="shared" si="526"/>
        <v>6</v>
      </c>
      <c r="I5305" s="1323">
        <f t="shared" si="527"/>
        <v>28</v>
      </c>
      <c r="J5305" s="1323"/>
      <c r="K5305" s="1323"/>
      <c r="L5305" s="1323"/>
      <c r="M5305" s="1323"/>
      <c r="N5305" s="1323"/>
      <c r="O5305" s="1323"/>
      <c r="P5305" s="1323"/>
      <c r="Q5305" s="1323"/>
      <c r="R5305" s="1304"/>
      <c r="S5305" s="1304"/>
      <c r="T5305" s="1304"/>
    </row>
    <row r="5306" spans="1:20">
      <c r="A5306" s="1303"/>
      <c r="B5306" s="1322" t="s">
        <v>11969</v>
      </c>
      <c r="C5306" s="1323" t="s">
        <v>11970</v>
      </c>
      <c r="D5306" s="1324">
        <f t="shared" si="522"/>
        <v>34145</v>
      </c>
      <c r="E5306" s="1323">
        <f t="shared" si="524"/>
        <v>3.3025000000000002</v>
      </c>
      <c r="F5306" s="1323">
        <f t="shared" si="523"/>
        <v>3.5480722176381452</v>
      </c>
      <c r="G5306" s="1323">
        <f t="shared" si="525"/>
        <v>1993</v>
      </c>
      <c r="H5306" s="1323">
        <f t="shared" si="526"/>
        <v>6</v>
      </c>
      <c r="I5306" s="1323">
        <f t="shared" si="527"/>
        <v>25</v>
      </c>
      <c r="J5306" s="1323"/>
      <c r="K5306" s="1323"/>
      <c r="L5306" s="1323"/>
      <c r="M5306" s="1323"/>
      <c r="N5306" s="1323"/>
      <c r="O5306" s="1323"/>
      <c r="P5306" s="1323"/>
      <c r="Q5306" s="1323"/>
      <c r="R5306" s="1304"/>
      <c r="S5306" s="1304"/>
      <c r="T5306" s="1304"/>
    </row>
    <row r="5307" spans="1:20">
      <c r="A5307" s="1303"/>
      <c r="B5307" s="1322" t="s">
        <v>11971</v>
      </c>
      <c r="C5307" s="1323" t="s">
        <v>11972</v>
      </c>
      <c r="D5307" s="1324">
        <f t="shared" si="522"/>
        <v>34144</v>
      </c>
      <c r="E5307" s="1323">
        <f t="shared" si="524"/>
        <v>3.3031000000000001</v>
      </c>
      <c r="F5307" s="1323">
        <f t="shared" si="523"/>
        <v>3.547391895904684</v>
      </c>
      <c r="G5307" s="1323">
        <f t="shared" si="525"/>
        <v>1993</v>
      </c>
      <c r="H5307" s="1323">
        <f t="shared" si="526"/>
        <v>6</v>
      </c>
      <c r="I5307" s="1323">
        <f t="shared" si="527"/>
        <v>24</v>
      </c>
      <c r="J5307" s="1323"/>
      <c r="K5307" s="1323"/>
      <c r="L5307" s="1323"/>
      <c r="M5307" s="1323"/>
      <c r="N5307" s="1323"/>
      <c r="O5307" s="1323"/>
      <c r="P5307" s="1323"/>
      <c r="Q5307" s="1323"/>
      <c r="R5307" s="1304"/>
      <c r="S5307" s="1304"/>
      <c r="T5307" s="1304"/>
    </row>
    <row r="5308" spans="1:20">
      <c r="A5308" s="1303"/>
      <c r="B5308" s="1322" t="s">
        <v>11973</v>
      </c>
      <c r="C5308" s="1323" t="s">
        <v>11974</v>
      </c>
      <c r="D5308" s="1324">
        <f t="shared" si="522"/>
        <v>34143</v>
      </c>
      <c r="E5308" s="1323">
        <f t="shared" si="524"/>
        <v>3.3014000000000001</v>
      </c>
      <c r="F5308" s="1323">
        <f t="shared" si="523"/>
        <v>3.5467117046188665</v>
      </c>
      <c r="G5308" s="1323">
        <f t="shared" si="525"/>
        <v>1993</v>
      </c>
      <c r="H5308" s="1323">
        <f t="shared" si="526"/>
        <v>6</v>
      </c>
      <c r="I5308" s="1323">
        <f t="shared" si="527"/>
        <v>23</v>
      </c>
      <c r="J5308" s="1323"/>
      <c r="K5308" s="1323"/>
      <c r="L5308" s="1323"/>
      <c r="M5308" s="1323"/>
      <c r="N5308" s="1323"/>
      <c r="O5308" s="1323"/>
      <c r="P5308" s="1323"/>
      <c r="Q5308" s="1323"/>
      <c r="R5308" s="1304"/>
      <c r="S5308" s="1304"/>
      <c r="T5308" s="1304"/>
    </row>
    <row r="5309" spans="1:20">
      <c r="A5309" s="1303"/>
      <c r="B5309" s="1322" t="s">
        <v>11975</v>
      </c>
      <c r="C5309" s="1323" t="s">
        <v>11976</v>
      </c>
      <c r="D5309" s="1324">
        <f t="shared" si="522"/>
        <v>34142</v>
      </c>
      <c r="E5309" s="1323">
        <f t="shared" si="524"/>
        <v>3.2867999999999999</v>
      </c>
      <c r="F5309" s="1323">
        <f t="shared" si="523"/>
        <v>3.5460316437556805</v>
      </c>
      <c r="G5309" s="1323">
        <f t="shared" si="525"/>
        <v>1993</v>
      </c>
      <c r="H5309" s="1323">
        <f t="shared" si="526"/>
        <v>6</v>
      </c>
      <c r="I5309" s="1323">
        <f t="shared" si="527"/>
        <v>22</v>
      </c>
      <c r="J5309" s="1323"/>
      <c r="K5309" s="1323"/>
      <c r="L5309" s="1323"/>
      <c r="M5309" s="1323"/>
      <c r="N5309" s="1323"/>
      <c r="O5309" s="1323"/>
      <c r="P5309" s="1323"/>
      <c r="Q5309" s="1323"/>
      <c r="R5309" s="1304"/>
      <c r="S5309" s="1304"/>
      <c r="T5309" s="1304"/>
    </row>
    <row r="5310" spans="1:20">
      <c r="A5310" s="1303"/>
      <c r="B5310" s="1322" t="s">
        <v>11977</v>
      </c>
      <c r="C5310" s="1323" t="s">
        <v>11978</v>
      </c>
      <c r="D5310" s="1324">
        <f t="shared" si="522"/>
        <v>34141</v>
      </c>
      <c r="E5310" s="1323">
        <f t="shared" si="524"/>
        <v>3.2690000000000001</v>
      </c>
      <c r="F5310" s="1323">
        <f t="shared" si="523"/>
        <v>3.5453517132901178</v>
      </c>
      <c r="G5310" s="1323">
        <f t="shared" si="525"/>
        <v>1993</v>
      </c>
      <c r="H5310" s="1323">
        <f t="shared" si="526"/>
        <v>6</v>
      </c>
      <c r="I5310" s="1323">
        <f t="shared" si="527"/>
        <v>21</v>
      </c>
      <c r="J5310" s="1323"/>
      <c r="K5310" s="1323"/>
      <c r="L5310" s="1323"/>
      <c r="M5310" s="1323"/>
      <c r="N5310" s="1323"/>
      <c r="O5310" s="1323"/>
      <c r="P5310" s="1323"/>
      <c r="Q5310" s="1323"/>
      <c r="R5310" s="1304"/>
      <c r="S5310" s="1304"/>
      <c r="T5310" s="1304"/>
    </row>
    <row r="5311" spans="1:20">
      <c r="A5311" s="1303"/>
      <c r="B5311" s="1322" t="s">
        <v>11979</v>
      </c>
      <c r="C5311" s="1323" t="s">
        <v>11980</v>
      </c>
      <c r="D5311" s="1324">
        <f t="shared" si="522"/>
        <v>34138</v>
      </c>
      <c r="E5311" s="1323">
        <f t="shared" si="524"/>
        <v>3.2372999999999998</v>
      </c>
      <c r="F5311" s="1323">
        <f t="shared" si="523"/>
        <v>3.5446719131971758</v>
      </c>
      <c r="G5311" s="1323">
        <f t="shared" si="525"/>
        <v>1993</v>
      </c>
      <c r="H5311" s="1323">
        <f t="shared" si="526"/>
        <v>6</v>
      </c>
      <c r="I5311" s="1323">
        <f t="shared" si="527"/>
        <v>18</v>
      </c>
      <c r="J5311" s="1323"/>
      <c r="K5311" s="1323"/>
      <c r="L5311" s="1323"/>
      <c r="M5311" s="1323"/>
      <c r="N5311" s="1323"/>
      <c r="O5311" s="1323"/>
      <c r="P5311" s="1323"/>
      <c r="Q5311" s="1323"/>
      <c r="R5311" s="1304"/>
      <c r="S5311" s="1304"/>
      <c r="T5311" s="1304"/>
    </row>
    <row r="5312" spans="1:20">
      <c r="A5312" s="1303"/>
      <c r="B5312" s="1322" t="s">
        <v>11981</v>
      </c>
      <c r="C5312" s="1323" t="s">
        <v>11982</v>
      </c>
      <c r="D5312" s="1324">
        <f t="shared" si="522"/>
        <v>34137</v>
      </c>
      <c r="E5312" s="1323">
        <f t="shared" si="524"/>
        <v>3.2231999999999998</v>
      </c>
      <c r="F5312" s="1323">
        <f t="shared" si="523"/>
        <v>3.5439922434518563</v>
      </c>
      <c r="G5312" s="1323">
        <f t="shared" si="525"/>
        <v>1993</v>
      </c>
      <c r="H5312" s="1323">
        <f t="shared" si="526"/>
        <v>6</v>
      </c>
      <c r="I5312" s="1323">
        <f t="shared" si="527"/>
        <v>17</v>
      </c>
      <c r="J5312" s="1323"/>
      <c r="K5312" s="1323"/>
      <c r="L5312" s="1323"/>
      <c r="M5312" s="1323"/>
      <c r="N5312" s="1323"/>
      <c r="O5312" s="1323"/>
      <c r="P5312" s="1323"/>
      <c r="Q5312" s="1323"/>
      <c r="R5312" s="1304"/>
      <c r="S5312" s="1304"/>
      <c r="T5312" s="1304"/>
    </row>
    <row r="5313" spans="1:20">
      <c r="A5313" s="1303"/>
      <c r="B5313" s="1322" t="s">
        <v>11983</v>
      </c>
      <c r="C5313" s="1323" t="s">
        <v>11984</v>
      </c>
      <c r="D5313" s="1324">
        <f t="shared" si="522"/>
        <v>34136</v>
      </c>
      <c r="E5313" s="1323">
        <f t="shared" si="524"/>
        <v>3.2050999999999998</v>
      </c>
      <c r="F5313" s="1323">
        <f t="shared" si="523"/>
        <v>3.5433127040291654</v>
      </c>
      <c r="G5313" s="1323">
        <f t="shared" si="525"/>
        <v>1993</v>
      </c>
      <c r="H5313" s="1323">
        <f t="shared" si="526"/>
        <v>6</v>
      </c>
      <c r="I5313" s="1323">
        <f t="shared" si="527"/>
        <v>16</v>
      </c>
      <c r="J5313" s="1323"/>
      <c r="K5313" s="1323"/>
      <c r="L5313" s="1323"/>
      <c r="M5313" s="1323"/>
      <c r="N5313" s="1323"/>
      <c r="O5313" s="1323"/>
      <c r="P5313" s="1323"/>
      <c r="Q5313" s="1323"/>
      <c r="R5313" s="1304"/>
      <c r="S5313" s="1304"/>
      <c r="T5313" s="1304"/>
    </row>
    <row r="5314" spans="1:20">
      <c r="A5314" s="1303"/>
      <c r="B5314" s="1322" t="s">
        <v>11985</v>
      </c>
      <c r="C5314" s="1323" t="s">
        <v>11986</v>
      </c>
      <c r="D5314" s="1324">
        <f t="shared" si="522"/>
        <v>34135</v>
      </c>
      <c r="E5314" s="1323">
        <f t="shared" si="524"/>
        <v>3.1907999999999999</v>
      </c>
      <c r="F5314" s="1323">
        <f t="shared" si="523"/>
        <v>3.5426332949041153</v>
      </c>
      <c r="G5314" s="1323">
        <f t="shared" si="525"/>
        <v>1993</v>
      </c>
      <c r="H5314" s="1323">
        <f t="shared" si="526"/>
        <v>6</v>
      </c>
      <c r="I5314" s="1323">
        <f t="shared" si="527"/>
        <v>15</v>
      </c>
      <c r="J5314" s="1323"/>
      <c r="K5314" s="1323"/>
      <c r="L5314" s="1323"/>
      <c r="M5314" s="1323"/>
      <c r="N5314" s="1323"/>
      <c r="O5314" s="1323"/>
      <c r="P5314" s="1323"/>
      <c r="Q5314" s="1323"/>
      <c r="R5314" s="1304"/>
      <c r="S5314" s="1304"/>
      <c r="T5314" s="1304"/>
    </row>
    <row r="5315" spans="1:20">
      <c r="A5315" s="1303"/>
      <c r="B5315" s="1322" t="s">
        <v>11987</v>
      </c>
      <c r="C5315" s="1323" t="s">
        <v>11988</v>
      </c>
      <c r="D5315" s="1324">
        <f t="shared" si="522"/>
        <v>34134</v>
      </c>
      <c r="E5315" s="1323">
        <f t="shared" si="524"/>
        <v>3.1873</v>
      </c>
      <c r="F5315" s="1323">
        <f t="shared" si="523"/>
        <v>3.5419540160517218</v>
      </c>
      <c r="G5315" s="1323">
        <f t="shared" si="525"/>
        <v>1993</v>
      </c>
      <c r="H5315" s="1323">
        <f t="shared" si="526"/>
        <v>6</v>
      </c>
      <c r="I5315" s="1323">
        <f t="shared" si="527"/>
        <v>14</v>
      </c>
      <c r="J5315" s="1323"/>
      <c r="K5315" s="1323"/>
      <c r="L5315" s="1323"/>
      <c r="M5315" s="1323"/>
      <c r="N5315" s="1323"/>
      <c r="O5315" s="1323"/>
      <c r="P5315" s="1323"/>
      <c r="Q5315" s="1323"/>
      <c r="R5315" s="1304"/>
      <c r="S5315" s="1304"/>
      <c r="T5315" s="1304"/>
    </row>
    <row r="5316" spans="1:20">
      <c r="A5316" s="1303"/>
      <c r="B5316" s="1322" t="s">
        <v>11989</v>
      </c>
      <c r="C5316" s="1323" t="s">
        <v>11990</v>
      </c>
      <c r="D5316" s="1324">
        <f t="shared" si="522"/>
        <v>34131</v>
      </c>
      <c r="E5316" s="1323">
        <f t="shared" si="524"/>
        <v>3.1878000000000002</v>
      </c>
      <c r="F5316" s="1323">
        <f t="shared" si="523"/>
        <v>3.5412748674470058</v>
      </c>
      <c r="G5316" s="1323">
        <f t="shared" si="525"/>
        <v>1993</v>
      </c>
      <c r="H5316" s="1323">
        <f t="shared" si="526"/>
        <v>6</v>
      </c>
      <c r="I5316" s="1323">
        <f t="shared" si="527"/>
        <v>11</v>
      </c>
      <c r="J5316" s="1323"/>
      <c r="K5316" s="1323"/>
      <c r="L5316" s="1323"/>
      <c r="M5316" s="1323"/>
      <c r="N5316" s="1323"/>
      <c r="O5316" s="1323"/>
      <c r="P5316" s="1323"/>
      <c r="Q5316" s="1323"/>
      <c r="R5316" s="1304"/>
      <c r="S5316" s="1304"/>
      <c r="T5316" s="1304"/>
    </row>
    <row r="5317" spans="1:20">
      <c r="A5317" s="1303"/>
      <c r="B5317" s="1322" t="s">
        <v>11991</v>
      </c>
      <c r="C5317" s="1323" t="s">
        <v>11992</v>
      </c>
      <c r="D5317" s="1324">
        <f t="shared" si="522"/>
        <v>34130</v>
      </c>
      <c r="E5317" s="1323">
        <f t="shared" si="524"/>
        <v>3.1943999999999999</v>
      </c>
      <c r="F5317" s="1323">
        <f t="shared" si="523"/>
        <v>3.5405958490649931</v>
      </c>
      <c r="G5317" s="1323">
        <f t="shared" si="525"/>
        <v>1993</v>
      </c>
      <c r="H5317" s="1323">
        <f t="shared" si="526"/>
        <v>6</v>
      </c>
      <c r="I5317" s="1323">
        <f t="shared" si="527"/>
        <v>10</v>
      </c>
      <c r="J5317" s="1323"/>
      <c r="K5317" s="1323"/>
      <c r="L5317" s="1323"/>
      <c r="M5317" s="1323"/>
      <c r="N5317" s="1323"/>
      <c r="O5317" s="1323"/>
      <c r="P5317" s="1323"/>
      <c r="Q5317" s="1323"/>
      <c r="R5317" s="1304"/>
      <c r="S5317" s="1304"/>
      <c r="T5317" s="1304"/>
    </row>
    <row r="5318" spans="1:20">
      <c r="A5318" s="1303"/>
      <c r="B5318" s="1322" t="s">
        <v>11993</v>
      </c>
      <c r="C5318" s="1323" t="s">
        <v>11994</v>
      </c>
      <c r="D5318" s="1324">
        <f t="shared" si="522"/>
        <v>34129</v>
      </c>
      <c r="E5318" s="1323">
        <f t="shared" si="524"/>
        <v>3.1907999999999999</v>
      </c>
      <c r="F5318" s="1323">
        <f t="shared" si="523"/>
        <v>3.5399169608807144</v>
      </c>
      <c r="G5318" s="1323">
        <f t="shared" si="525"/>
        <v>1993</v>
      </c>
      <c r="H5318" s="1323">
        <f t="shared" si="526"/>
        <v>6</v>
      </c>
      <c r="I5318" s="1323">
        <f t="shared" si="527"/>
        <v>9</v>
      </c>
      <c r="J5318" s="1323"/>
      <c r="K5318" s="1323"/>
      <c r="L5318" s="1323"/>
      <c r="M5318" s="1323"/>
      <c r="N5318" s="1323"/>
      <c r="O5318" s="1323"/>
      <c r="P5318" s="1323"/>
      <c r="Q5318" s="1323"/>
      <c r="R5318" s="1304"/>
      <c r="S5318" s="1304"/>
      <c r="T5318" s="1304"/>
    </row>
    <row r="5319" spans="1:20">
      <c r="A5319" s="1303"/>
      <c r="B5319" s="1322" t="s">
        <v>11995</v>
      </c>
      <c r="C5319" s="1323" t="s">
        <v>11988</v>
      </c>
      <c r="D5319" s="1324">
        <f t="shared" si="522"/>
        <v>34128</v>
      </c>
      <c r="E5319" s="1323">
        <f t="shared" si="524"/>
        <v>3.1861999999999999</v>
      </c>
      <c r="F5319" s="1323">
        <f t="shared" si="523"/>
        <v>3.5392382028692051</v>
      </c>
      <c r="G5319" s="1323">
        <f t="shared" si="525"/>
        <v>1993</v>
      </c>
      <c r="H5319" s="1323">
        <f t="shared" si="526"/>
        <v>6</v>
      </c>
      <c r="I5319" s="1323">
        <f t="shared" si="527"/>
        <v>8</v>
      </c>
      <c r="J5319" s="1323"/>
      <c r="K5319" s="1323"/>
      <c r="L5319" s="1323"/>
      <c r="M5319" s="1323"/>
      <c r="N5319" s="1323"/>
      <c r="O5319" s="1323"/>
      <c r="P5319" s="1323"/>
      <c r="Q5319" s="1323"/>
      <c r="R5319" s="1304"/>
      <c r="S5319" s="1304"/>
      <c r="T5319" s="1304"/>
    </row>
    <row r="5320" spans="1:20">
      <c r="A5320" s="1303"/>
      <c r="B5320" s="1322" t="s">
        <v>11996</v>
      </c>
      <c r="C5320" s="1323" t="s">
        <v>11997</v>
      </c>
      <c r="D5320" s="1324">
        <f t="shared" si="522"/>
        <v>34127</v>
      </c>
      <c r="E5320" s="1323">
        <f t="shared" si="524"/>
        <v>3.1922999999999999</v>
      </c>
      <c r="F5320" s="1323">
        <f t="shared" si="523"/>
        <v>3.5385595750055052</v>
      </c>
      <c r="G5320" s="1323">
        <f t="shared" si="525"/>
        <v>1993</v>
      </c>
      <c r="H5320" s="1323">
        <f t="shared" si="526"/>
        <v>6</v>
      </c>
      <c r="I5320" s="1323">
        <f t="shared" si="527"/>
        <v>7</v>
      </c>
      <c r="J5320" s="1323"/>
      <c r="K5320" s="1323"/>
      <c r="L5320" s="1323"/>
      <c r="M5320" s="1323"/>
      <c r="N5320" s="1323"/>
      <c r="O5320" s="1323"/>
      <c r="P5320" s="1323"/>
      <c r="Q5320" s="1323"/>
      <c r="R5320" s="1304"/>
      <c r="S5320" s="1304"/>
      <c r="T5320" s="1304"/>
    </row>
    <row r="5321" spans="1:20">
      <c r="A5321" s="1303"/>
      <c r="B5321" s="1322" t="s">
        <v>11998</v>
      </c>
      <c r="C5321" s="1323" t="s">
        <v>11999</v>
      </c>
      <c r="D5321" s="1324">
        <f t="shared" ref="D5321:D5384" si="528">DATE(G5321,H5321,I5321)</f>
        <v>34124</v>
      </c>
      <c r="E5321" s="1323">
        <f t="shared" si="524"/>
        <v>3.1857000000000002</v>
      </c>
      <c r="F5321" s="1323">
        <f t="shared" ref="F5321:F5384" si="529">F5322*(1+$F$7/365)</f>
        <v>3.5378810772646596</v>
      </c>
      <c r="G5321" s="1323">
        <f t="shared" si="525"/>
        <v>1993</v>
      </c>
      <c r="H5321" s="1323">
        <f t="shared" si="526"/>
        <v>6</v>
      </c>
      <c r="I5321" s="1323">
        <f t="shared" si="527"/>
        <v>4</v>
      </c>
      <c r="J5321" s="1323"/>
      <c r="K5321" s="1323"/>
      <c r="L5321" s="1323"/>
      <c r="M5321" s="1323"/>
      <c r="N5321" s="1323"/>
      <c r="O5321" s="1323"/>
      <c r="P5321" s="1323"/>
      <c r="Q5321" s="1323"/>
      <c r="R5321" s="1304"/>
      <c r="S5321" s="1304"/>
      <c r="T5321" s="1304"/>
    </row>
    <row r="5322" spans="1:20">
      <c r="A5322" s="1303"/>
      <c r="B5322" s="1322" t="s">
        <v>12000</v>
      </c>
      <c r="C5322" s="1323" t="s">
        <v>12001</v>
      </c>
      <c r="D5322" s="1324">
        <f t="shared" si="528"/>
        <v>34123</v>
      </c>
      <c r="E5322" s="1323">
        <f t="shared" si="524"/>
        <v>3.1873</v>
      </c>
      <c r="F5322" s="1323">
        <f t="shared" si="529"/>
        <v>3.5372027096217185</v>
      </c>
      <c r="G5322" s="1323">
        <f t="shared" si="525"/>
        <v>1993</v>
      </c>
      <c r="H5322" s="1323">
        <f t="shared" si="526"/>
        <v>6</v>
      </c>
      <c r="I5322" s="1323">
        <f t="shared" si="527"/>
        <v>3</v>
      </c>
      <c r="J5322" s="1323"/>
      <c r="K5322" s="1323"/>
      <c r="L5322" s="1323"/>
      <c r="M5322" s="1323"/>
      <c r="N5322" s="1323"/>
      <c r="O5322" s="1323"/>
      <c r="P5322" s="1323"/>
      <c r="Q5322" s="1323"/>
      <c r="R5322" s="1304"/>
      <c r="S5322" s="1304"/>
      <c r="T5322" s="1304"/>
    </row>
    <row r="5323" spans="1:20">
      <c r="A5323" s="1303"/>
      <c r="B5323" s="1322" t="s">
        <v>12002</v>
      </c>
      <c r="C5323" s="1323" t="s">
        <v>11990</v>
      </c>
      <c r="D5323" s="1324">
        <f t="shared" si="528"/>
        <v>34122</v>
      </c>
      <c r="E5323" s="1323">
        <f t="shared" si="524"/>
        <v>3.1726000000000001</v>
      </c>
      <c r="F5323" s="1323">
        <f t="shared" si="529"/>
        <v>3.5365244720517359</v>
      </c>
      <c r="G5323" s="1323">
        <f t="shared" si="525"/>
        <v>1993</v>
      </c>
      <c r="H5323" s="1323">
        <f t="shared" si="526"/>
        <v>6</v>
      </c>
      <c r="I5323" s="1323">
        <f t="shared" si="527"/>
        <v>2</v>
      </c>
      <c r="J5323" s="1323"/>
      <c r="K5323" s="1323"/>
      <c r="L5323" s="1323"/>
      <c r="M5323" s="1323"/>
      <c r="N5323" s="1323"/>
      <c r="O5323" s="1323"/>
      <c r="P5323" s="1323"/>
      <c r="Q5323" s="1323"/>
      <c r="R5323" s="1304"/>
      <c r="S5323" s="1304"/>
      <c r="T5323" s="1304"/>
    </row>
    <row r="5324" spans="1:20">
      <c r="A5324" s="1303"/>
      <c r="B5324" s="1322" t="s">
        <v>12003</v>
      </c>
      <c r="C5324" s="1323" t="s">
        <v>12004</v>
      </c>
      <c r="D5324" s="1324">
        <f t="shared" si="528"/>
        <v>34121</v>
      </c>
      <c r="E5324" s="1323">
        <f t="shared" si="524"/>
        <v>3.1791</v>
      </c>
      <c r="F5324" s="1323">
        <f t="shared" si="529"/>
        <v>3.5358463645297711</v>
      </c>
      <c r="G5324" s="1323">
        <f t="shared" si="525"/>
        <v>1993</v>
      </c>
      <c r="H5324" s="1323">
        <f t="shared" si="526"/>
        <v>6</v>
      </c>
      <c r="I5324" s="1323">
        <f t="shared" si="527"/>
        <v>1</v>
      </c>
      <c r="J5324" s="1323"/>
      <c r="K5324" s="1323"/>
      <c r="L5324" s="1323"/>
      <c r="M5324" s="1323"/>
      <c r="N5324" s="1323"/>
      <c r="O5324" s="1323"/>
      <c r="P5324" s="1323"/>
      <c r="Q5324" s="1323"/>
      <c r="R5324" s="1304"/>
      <c r="S5324" s="1304"/>
      <c r="T5324" s="1304"/>
    </row>
    <row r="5325" spans="1:20">
      <c r="A5325" s="1303"/>
      <c r="B5325" s="1322" t="s">
        <v>12005</v>
      </c>
      <c r="C5325" s="1323" t="s">
        <v>12006</v>
      </c>
      <c r="D5325" s="1324">
        <f t="shared" si="528"/>
        <v>34117</v>
      </c>
      <c r="E5325" s="1323">
        <f t="shared" si="524"/>
        <v>3.1751</v>
      </c>
      <c r="F5325" s="1323">
        <f t="shared" si="529"/>
        <v>3.5351683870308883</v>
      </c>
      <c r="G5325" s="1323">
        <f t="shared" si="525"/>
        <v>1993</v>
      </c>
      <c r="H5325" s="1323">
        <f t="shared" si="526"/>
        <v>5</v>
      </c>
      <c r="I5325" s="1323">
        <f t="shared" si="527"/>
        <v>28</v>
      </c>
      <c r="J5325" s="1323"/>
      <c r="K5325" s="1323"/>
      <c r="L5325" s="1323"/>
      <c r="M5325" s="1323"/>
      <c r="N5325" s="1323"/>
      <c r="O5325" s="1323"/>
      <c r="P5325" s="1323"/>
      <c r="Q5325" s="1323"/>
      <c r="R5325" s="1304"/>
      <c r="S5325" s="1304"/>
      <c r="T5325" s="1304"/>
    </row>
    <row r="5326" spans="1:20">
      <c r="A5326" s="1303"/>
      <c r="B5326" s="1322" t="s">
        <v>12007</v>
      </c>
      <c r="C5326" s="1323" t="s">
        <v>12008</v>
      </c>
      <c r="D5326" s="1324">
        <f t="shared" si="528"/>
        <v>34116</v>
      </c>
      <c r="E5326" s="1323">
        <f t="shared" si="524"/>
        <v>3.1857000000000002</v>
      </c>
      <c r="F5326" s="1323">
        <f t="shared" si="529"/>
        <v>3.5344905395301565</v>
      </c>
      <c r="G5326" s="1323">
        <f t="shared" si="525"/>
        <v>1993</v>
      </c>
      <c r="H5326" s="1323">
        <f t="shared" si="526"/>
        <v>5</v>
      </c>
      <c r="I5326" s="1323">
        <f t="shared" si="527"/>
        <v>27</v>
      </c>
      <c r="J5326" s="1323"/>
      <c r="K5326" s="1323"/>
      <c r="L5326" s="1323"/>
      <c r="M5326" s="1323"/>
      <c r="N5326" s="1323"/>
      <c r="O5326" s="1323"/>
      <c r="P5326" s="1323"/>
      <c r="Q5326" s="1323"/>
      <c r="R5326" s="1304"/>
      <c r="S5326" s="1304"/>
      <c r="T5326" s="1304"/>
    </row>
    <row r="5327" spans="1:20">
      <c r="A5327" s="1303"/>
      <c r="B5327" s="1322" t="s">
        <v>12009</v>
      </c>
      <c r="C5327" s="1323" t="s">
        <v>12001</v>
      </c>
      <c r="D5327" s="1324">
        <f t="shared" si="528"/>
        <v>34115</v>
      </c>
      <c r="E5327" s="1323">
        <f t="shared" si="524"/>
        <v>3.1861999999999999</v>
      </c>
      <c r="F5327" s="1323">
        <f t="shared" si="529"/>
        <v>3.5338128220026488</v>
      </c>
      <c r="G5327" s="1323">
        <f t="shared" si="525"/>
        <v>1993</v>
      </c>
      <c r="H5327" s="1323">
        <f t="shared" si="526"/>
        <v>5</v>
      </c>
      <c r="I5327" s="1323">
        <f t="shared" si="527"/>
        <v>26</v>
      </c>
      <c r="J5327" s="1323"/>
      <c r="K5327" s="1323"/>
      <c r="L5327" s="1323"/>
      <c r="M5327" s="1323"/>
      <c r="N5327" s="1323"/>
      <c r="O5327" s="1323"/>
      <c r="P5327" s="1323"/>
      <c r="Q5327" s="1323"/>
      <c r="R5327" s="1304"/>
      <c r="S5327" s="1304"/>
      <c r="T5327" s="1304"/>
    </row>
    <row r="5328" spans="1:20">
      <c r="A5328" s="1303"/>
      <c r="B5328" s="1322" t="s">
        <v>12010</v>
      </c>
      <c r="C5328" s="1323" t="s">
        <v>11997</v>
      </c>
      <c r="D5328" s="1324">
        <f t="shared" si="528"/>
        <v>34114</v>
      </c>
      <c r="E5328" s="1323">
        <f t="shared" si="524"/>
        <v>3.1913</v>
      </c>
      <c r="F5328" s="1323">
        <f t="shared" si="529"/>
        <v>3.5331352344234443</v>
      </c>
      <c r="G5328" s="1323">
        <f t="shared" si="525"/>
        <v>1993</v>
      </c>
      <c r="H5328" s="1323">
        <f t="shared" si="526"/>
        <v>5</v>
      </c>
      <c r="I5328" s="1323">
        <f t="shared" si="527"/>
        <v>25</v>
      </c>
      <c r="J5328" s="1323"/>
      <c r="K5328" s="1323"/>
      <c r="L5328" s="1323"/>
      <c r="M5328" s="1323"/>
      <c r="N5328" s="1323"/>
      <c r="O5328" s="1323"/>
      <c r="P5328" s="1323"/>
      <c r="Q5328" s="1323"/>
      <c r="R5328" s="1304"/>
      <c r="S5328" s="1304"/>
      <c r="T5328" s="1304"/>
    </row>
    <row r="5329" spans="1:20">
      <c r="A5329" s="1303"/>
      <c r="B5329" s="1322" t="s">
        <v>12011</v>
      </c>
      <c r="C5329" s="1323" t="s">
        <v>12012</v>
      </c>
      <c r="D5329" s="1324">
        <f t="shared" si="528"/>
        <v>34113</v>
      </c>
      <c r="E5329" s="1323">
        <f t="shared" si="524"/>
        <v>3.198</v>
      </c>
      <c r="F5329" s="1323">
        <f t="shared" si="529"/>
        <v>3.5324577767676257</v>
      </c>
      <c r="G5329" s="1323">
        <f t="shared" si="525"/>
        <v>1993</v>
      </c>
      <c r="H5329" s="1323">
        <f t="shared" si="526"/>
        <v>5</v>
      </c>
      <c r="I5329" s="1323">
        <f t="shared" si="527"/>
        <v>24</v>
      </c>
      <c r="J5329" s="1323"/>
      <c r="K5329" s="1323"/>
      <c r="L5329" s="1323"/>
      <c r="M5329" s="1323"/>
      <c r="N5329" s="1323"/>
      <c r="O5329" s="1323"/>
      <c r="P5329" s="1323"/>
      <c r="Q5329" s="1323"/>
      <c r="R5329" s="1304"/>
      <c r="S5329" s="1304"/>
      <c r="T5329" s="1304"/>
    </row>
    <row r="5330" spans="1:20">
      <c r="A5330" s="1303"/>
      <c r="B5330" s="1322" t="s">
        <v>12013</v>
      </c>
      <c r="C5330" s="1323" t="s">
        <v>12014</v>
      </c>
      <c r="D5330" s="1324">
        <f t="shared" si="528"/>
        <v>34110</v>
      </c>
      <c r="E5330" s="1323">
        <f t="shared" si="524"/>
        <v>3.1802000000000001</v>
      </c>
      <c r="F5330" s="1323">
        <f t="shared" si="529"/>
        <v>3.5317804490102813</v>
      </c>
      <c r="G5330" s="1323">
        <f t="shared" si="525"/>
        <v>1993</v>
      </c>
      <c r="H5330" s="1323">
        <f t="shared" si="526"/>
        <v>5</v>
      </c>
      <c r="I5330" s="1323">
        <f t="shared" si="527"/>
        <v>21</v>
      </c>
      <c r="J5330" s="1323"/>
      <c r="K5330" s="1323"/>
      <c r="L5330" s="1323"/>
      <c r="M5330" s="1323"/>
      <c r="N5330" s="1323"/>
      <c r="O5330" s="1323"/>
      <c r="P5330" s="1323"/>
      <c r="Q5330" s="1323"/>
      <c r="R5330" s="1304"/>
      <c r="S5330" s="1304"/>
      <c r="T5330" s="1304"/>
    </row>
    <row r="5331" spans="1:20">
      <c r="A5331" s="1303"/>
      <c r="B5331" s="1322" t="s">
        <v>12015</v>
      </c>
      <c r="C5331" s="1323" t="s">
        <v>12016</v>
      </c>
      <c r="D5331" s="1324">
        <f t="shared" si="528"/>
        <v>34108</v>
      </c>
      <c r="E5331" s="1323">
        <f t="shared" si="524"/>
        <v>3.1821999999999999</v>
      </c>
      <c r="F5331" s="1323">
        <f t="shared" si="529"/>
        <v>3.5311032511265035</v>
      </c>
      <c r="G5331" s="1323">
        <f t="shared" si="525"/>
        <v>1993</v>
      </c>
      <c r="H5331" s="1323">
        <f t="shared" si="526"/>
        <v>5</v>
      </c>
      <c r="I5331" s="1323">
        <f t="shared" si="527"/>
        <v>19</v>
      </c>
      <c r="J5331" s="1323"/>
      <c r="K5331" s="1323"/>
      <c r="L5331" s="1323"/>
      <c r="M5331" s="1323"/>
      <c r="N5331" s="1323"/>
      <c r="O5331" s="1323"/>
      <c r="P5331" s="1323"/>
      <c r="Q5331" s="1323"/>
      <c r="R5331" s="1304"/>
      <c r="S5331" s="1304"/>
      <c r="T5331" s="1304"/>
    </row>
    <row r="5332" spans="1:20">
      <c r="A5332" s="1303"/>
      <c r="B5332" s="1322" t="s">
        <v>12017</v>
      </c>
      <c r="C5332" s="1323" t="s">
        <v>12018</v>
      </c>
      <c r="D5332" s="1324">
        <f t="shared" si="528"/>
        <v>34107</v>
      </c>
      <c r="E5332" s="1323">
        <f t="shared" si="524"/>
        <v>3.1892999999999998</v>
      </c>
      <c r="F5332" s="1323">
        <f t="shared" si="529"/>
        <v>3.5304261830913899</v>
      </c>
      <c r="G5332" s="1323">
        <f t="shared" si="525"/>
        <v>1993</v>
      </c>
      <c r="H5332" s="1323">
        <f t="shared" si="526"/>
        <v>5</v>
      </c>
      <c r="I5332" s="1323">
        <f t="shared" si="527"/>
        <v>18</v>
      </c>
      <c r="J5332" s="1323"/>
      <c r="K5332" s="1323"/>
      <c r="L5332" s="1323"/>
      <c r="M5332" s="1323"/>
      <c r="N5332" s="1323"/>
      <c r="O5332" s="1323"/>
      <c r="P5332" s="1323"/>
      <c r="Q5332" s="1323"/>
      <c r="R5332" s="1304"/>
      <c r="S5332" s="1304"/>
      <c r="T5332" s="1304"/>
    </row>
    <row r="5333" spans="1:20">
      <c r="A5333" s="1303"/>
      <c r="B5333" s="1322" t="s">
        <v>12019</v>
      </c>
      <c r="C5333" s="1323" t="s">
        <v>12020</v>
      </c>
      <c r="D5333" s="1324">
        <f t="shared" si="528"/>
        <v>34106</v>
      </c>
      <c r="E5333" s="1323">
        <f t="shared" si="524"/>
        <v>3.1730999999999998</v>
      </c>
      <c r="F5333" s="1323">
        <f t="shared" si="529"/>
        <v>3.5297492448800427</v>
      </c>
      <c r="G5333" s="1323">
        <f t="shared" si="525"/>
        <v>1993</v>
      </c>
      <c r="H5333" s="1323">
        <f t="shared" si="526"/>
        <v>5</v>
      </c>
      <c r="I5333" s="1323">
        <f t="shared" si="527"/>
        <v>17</v>
      </c>
      <c r="J5333" s="1323"/>
      <c r="K5333" s="1323"/>
      <c r="L5333" s="1323"/>
      <c r="M5333" s="1323"/>
      <c r="N5333" s="1323"/>
      <c r="O5333" s="1323"/>
      <c r="P5333" s="1323"/>
      <c r="Q5333" s="1323"/>
      <c r="R5333" s="1304"/>
      <c r="S5333" s="1304"/>
      <c r="T5333" s="1304"/>
    </row>
    <row r="5334" spans="1:20">
      <c r="A5334" s="1303"/>
      <c r="B5334" s="1322" t="s">
        <v>12021</v>
      </c>
      <c r="C5334" s="1323" t="s">
        <v>12022</v>
      </c>
      <c r="D5334" s="1324">
        <f t="shared" si="528"/>
        <v>34103</v>
      </c>
      <c r="E5334" s="1323">
        <f t="shared" ref="E5334:E5397" si="530">VALUE(C5335)</f>
        <v>3.1751</v>
      </c>
      <c r="F5334" s="1323">
        <f t="shared" si="529"/>
        <v>3.5290724364675694</v>
      </c>
      <c r="G5334" s="1323">
        <f t="shared" ref="G5334:G5397" si="531">YEAR(B5335)</f>
        <v>1993</v>
      </c>
      <c r="H5334" s="1323">
        <f t="shared" ref="H5334:H5397" si="532">MONTH(B5335)</f>
        <v>5</v>
      </c>
      <c r="I5334" s="1323">
        <f t="shared" ref="I5334:I5397" si="533">DAY(B5335)</f>
        <v>14</v>
      </c>
      <c r="J5334" s="1323"/>
      <c r="K5334" s="1323"/>
      <c r="L5334" s="1323"/>
      <c r="M5334" s="1323"/>
      <c r="N5334" s="1323"/>
      <c r="O5334" s="1323"/>
      <c r="P5334" s="1323"/>
      <c r="Q5334" s="1323"/>
      <c r="R5334" s="1304"/>
      <c r="S5334" s="1304"/>
      <c r="T5334" s="1304"/>
    </row>
    <row r="5335" spans="1:20">
      <c r="A5335" s="1303"/>
      <c r="B5335" s="1322" t="s">
        <v>12023</v>
      </c>
      <c r="C5335" s="1323" t="s">
        <v>12008</v>
      </c>
      <c r="D5335" s="1324">
        <f t="shared" si="528"/>
        <v>34102</v>
      </c>
      <c r="E5335" s="1323">
        <f t="shared" si="530"/>
        <v>3.1785999999999999</v>
      </c>
      <c r="F5335" s="1323">
        <f t="shared" si="529"/>
        <v>3.5283957578290814</v>
      </c>
      <c r="G5335" s="1323">
        <f t="shared" si="531"/>
        <v>1993</v>
      </c>
      <c r="H5335" s="1323">
        <f t="shared" si="532"/>
        <v>5</v>
      </c>
      <c r="I5335" s="1323">
        <f t="shared" si="533"/>
        <v>13</v>
      </c>
      <c r="J5335" s="1323"/>
      <c r="K5335" s="1323"/>
      <c r="L5335" s="1323"/>
      <c r="M5335" s="1323"/>
      <c r="N5335" s="1323"/>
      <c r="O5335" s="1323"/>
      <c r="P5335" s="1323"/>
      <c r="Q5335" s="1323"/>
      <c r="R5335" s="1304"/>
      <c r="S5335" s="1304"/>
      <c r="T5335" s="1304"/>
    </row>
    <row r="5336" spans="1:20">
      <c r="A5336" s="1303"/>
      <c r="B5336" s="1322" t="s">
        <v>12024</v>
      </c>
      <c r="C5336" s="1323" t="s">
        <v>12025</v>
      </c>
      <c r="D5336" s="1324">
        <f t="shared" si="528"/>
        <v>34101</v>
      </c>
      <c r="E5336" s="1323">
        <f t="shared" si="530"/>
        <v>3.1831999999999998</v>
      </c>
      <c r="F5336" s="1323">
        <f t="shared" si="529"/>
        <v>3.5277192089396956</v>
      </c>
      <c r="G5336" s="1323">
        <f t="shared" si="531"/>
        <v>1993</v>
      </c>
      <c r="H5336" s="1323">
        <f t="shared" si="532"/>
        <v>5</v>
      </c>
      <c r="I5336" s="1323">
        <f t="shared" si="533"/>
        <v>12</v>
      </c>
      <c r="J5336" s="1323"/>
      <c r="K5336" s="1323"/>
      <c r="L5336" s="1323"/>
      <c r="M5336" s="1323"/>
      <c r="N5336" s="1323"/>
      <c r="O5336" s="1323"/>
      <c r="P5336" s="1323"/>
      <c r="Q5336" s="1323"/>
      <c r="R5336" s="1304"/>
      <c r="S5336" s="1304"/>
      <c r="T5336" s="1304"/>
    </row>
    <row r="5337" spans="1:20">
      <c r="A5337" s="1303"/>
      <c r="B5337" s="1322" t="s">
        <v>12026</v>
      </c>
      <c r="C5337" s="1323" t="s">
        <v>12027</v>
      </c>
      <c r="D5337" s="1324">
        <f t="shared" si="528"/>
        <v>34100</v>
      </c>
      <c r="E5337" s="1323">
        <f t="shared" si="530"/>
        <v>3.1817000000000002</v>
      </c>
      <c r="F5337" s="1323">
        <f t="shared" si="529"/>
        <v>3.5270427897745331</v>
      </c>
      <c r="G5337" s="1323">
        <f t="shared" si="531"/>
        <v>1993</v>
      </c>
      <c r="H5337" s="1323">
        <f t="shared" si="532"/>
        <v>5</v>
      </c>
      <c r="I5337" s="1323">
        <f t="shared" si="533"/>
        <v>11</v>
      </c>
      <c r="J5337" s="1323"/>
      <c r="K5337" s="1323"/>
      <c r="L5337" s="1323"/>
      <c r="M5337" s="1323"/>
      <c r="N5337" s="1323"/>
      <c r="O5337" s="1323"/>
      <c r="P5337" s="1323"/>
      <c r="Q5337" s="1323"/>
      <c r="R5337" s="1304"/>
      <c r="S5337" s="1304"/>
      <c r="T5337" s="1304"/>
    </row>
    <row r="5338" spans="1:20">
      <c r="A5338" s="1303"/>
      <c r="B5338" s="1322" t="s">
        <v>12028</v>
      </c>
      <c r="C5338" s="1323" t="s">
        <v>12029</v>
      </c>
      <c r="D5338" s="1324">
        <f t="shared" si="528"/>
        <v>34099</v>
      </c>
      <c r="E5338" s="1323">
        <f t="shared" si="530"/>
        <v>3.1650999999999998</v>
      </c>
      <c r="F5338" s="1323">
        <f t="shared" si="529"/>
        <v>3.5263665003087206</v>
      </c>
      <c r="G5338" s="1323">
        <f t="shared" si="531"/>
        <v>1993</v>
      </c>
      <c r="H5338" s="1323">
        <f t="shared" si="532"/>
        <v>5</v>
      </c>
      <c r="I5338" s="1323">
        <f t="shared" si="533"/>
        <v>10</v>
      </c>
      <c r="J5338" s="1323"/>
      <c r="K5338" s="1323"/>
      <c r="L5338" s="1323"/>
      <c r="M5338" s="1323"/>
      <c r="N5338" s="1323"/>
      <c r="O5338" s="1323"/>
      <c r="P5338" s="1323"/>
      <c r="Q5338" s="1323"/>
      <c r="R5338" s="1304"/>
      <c r="S5338" s="1304"/>
      <c r="T5338" s="1304"/>
    </row>
    <row r="5339" spans="1:20">
      <c r="A5339" s="1303"/>
      <c r="B5339" s="1322" t="s">
        <v>12030</v>
      </c>
      <c r="C5339" s="1323" t="s">
        <v>12031</v>
      </c>
      <c r="D5339" s="1324">
        <f t="shared" si="528"/>
        <v>34096</v>
      </c>
      <c r="E5339" s="1323">
        <f t="shared" si="530"/>
        <v>3.1545999999999998</v>
      </c>
      <c r="F5339" s="1323">
        <f t="shared" si="529"/>
        <v>3.5256903405173885</v>
      </c>
      <c r="G5339" s="1323">
        <f t="shared" si="531"/>
        <v>1993</v>
      </c>
      <c r="H5339" s="1323">
        <f t="shared" si="532"/>
        <v>5</v>
      </c>
      <c r="I5339" s="1323">
        <f t="shared" si="533"/>
        <v>7</v>
      </c>
      <c r="J5339" s="1323"/>
      <c r="K5339" s="1323"/>
      <c r="L5339" s="1323"/>
      <c r="M5339" s="1323"/>
      <c r="N5339" s="1323"/>
      <c r="O5339" s="1323"/>
      <c r="P5339" s="1323"/>
      <c r="Q5339" s="1323"/>
      <c r="R5339" s="1304"/>
      <c r="S5339" s="1304"/>
      <c r="T5339" s="1304"/>
    </row>
    <row r="5340" spans="1:20">
      <c r="A5340" s="1303"/>
      <c r="B5340" s="1322" t="s">
        <v>12032</v>
      </c>
      <c r="C5340" s="1323" t="s">
        <v>12033</v>
      </c>
      <c r="D5340" s="1324">
        <f t="shared" si="528"/>
        <v>34095</v>
      </c>
      <c r="E5340" s="1323">
        <f t="shared" si="530"/>
        <v>3.1606000000000001</v>
      </c>
      <c r="F5340" s="1323">
        <f t="shared" si="529"/>
        <v>3.5250143103756724</v>
      </c>
      <c r="G5340" s="1323">
        <f t="shared" si="531"/>
        <v>1993</v>
      </c>
      <c r="H5340" s="1323">
        <f t="shared" si="532"/>
        <v>5</v>
      </c>
      <c r="I5340" s="1323">
        <f t="shared" si="533"/>
        <v>6</v>
      </c>
      <c r="J5340" s="1323"/>
      <c r="K5340" s="1323"/>
      <c r="L5340" s="1323"/>
      <c r="M5340" s="1323"/>
      <c r="N5340" s="1323"/>
      <c r="O5340" s="1323"/>
      <c r="P5340" s="1323"/>
      <c r="Q5340" s="1323"/>
      <c r="R5340" s="1304"/>
      <c r="S5340" s="1304"/>
      <c r="T5340" s="1304"/>
    </row>
    <row r="5341" spans="1:20">
      <c r="A5341" s="1303"/>
      <c r="B5341" s="1322" t="s">
        <v>12034</v>
      </c>
      <c r="C5341" s="1323" t="s">
        <v>12035</v>
      </c>
      <c r="D5341" s="1324">
        <f t="shared" si="528"/>
        <v>34094</v>
      </c>
      <c r="E5341" s="1323">
        <f t="shared" si="530"/>
        <v>3.1541000000000001</v>
      </c>
      <c r="F5341" s="1323">
        <f t="shared" si="529"/>
        <v>3.5243384098587129</v>
      </c>
      <c r="G5341" s="1323">
        <f t="shared" si="531"/>
        <v>1993</v>
      </c>
      <c r="H5341" s="1323">
        <f t="shared" si="532"/>
        <v>5</v>
      </c>
      <c r="I5341" s="1323">
        <f t="shared" si="533"/>
        <v>5</v>
      </c>
      <c r="J5341" s="1323"/>
      <c r="K5341" s="1323"/>
      <c r="L5341" s="1323"/>
      <c r="M5341" s="1323"/>
      <c r="N5341" s="1323"/>
      <c r="O5341" s="1323"/>
      <c r="P5341" s="1323"/>
      <c r="Q5341" s="1323"/>
      <c r="R5341" s="1304"/>
      <c r="S5341" s="1304"/>
      <c r="T5341" s="1304"/>
    </row>
    <row r="5342" spans="1:20">
      <c r="A5342" s="1303"/>
      <c r="B5342" s="1322" t="s">
        <v>12036</v>
      </c>
      <c r="C5342" s="1323" t="s">
        <v>12037</v>
      </c>
      <c r="D5342" s="1324">
        <f t="shared" si="528"/>
        <v>34093</v>
      </c>
      <c r="E5342" s="1323">
        <f t="shared" si="530"/>
        <v>3.1576</v>
      </c>
      <c r="F5342" s="1323">
        <f t="shared" si="529"/>
        <v>3.5236626389416554</v>
      </c>
      <c r="G5342" s="1323">
        <f t="shared" si="531"/>
        <v>1993</v>
      </c>
      <c r="H5342" s="1323">
        <f t="shared" si="532"/>
        <v>5</v>
      </c>
      <c r="I5342" s="1323">
        <f t="shared" si="533"/>
        <v>4</v>
      </c>
      <c r="J5342" s="1323"/>
      <c r="K5342" s="1323"/>
      <c r="L5342" s="1323"/>
      <c r="M5342" s="1323"/>
      <c r="N5342" s="1323"/>
      <c r="O5342" s="1323"/>
      <c r="P5342" s="1323"/>
      <c r="Q5342" s="1323"/>
      <c r="R5342" s="1304"/>
      <c r="S5342" s="1304"/>
      <c r="T5342" s="1304"/>
    </row>
    <row r="5343" spans="1:20">
      <c r="A5343" s="1303"/>
      <c r="B5343" s="1322" t="s">
        <v>12038</v>
      </c>
      <c r="C5343" s="1323" t="s">
        <v>12039</v>
      </c>
      <c r="D5343" s="1324">
        <f t="shared" si="528"/>
        <v>34092</v>
      </c>
      <c r="E5343" s="1323">
        <f t="shared" si="530"/>
        <v>3.1650999999999998</v>
      </c>
      <c r="F5343" s="1323">
        <f t="shared" si="529"/>
        <v>3.5229869975996499</v>
      </c>
      <c r="G5343" s="1323">
        <f t="shared" si="531"/>
        <v>1993</v>
      </c>
      <c r="H5343" s="1323">
        <f t="shared" si="532"/>
        <v>5</v>
      </c>
      <c r="I5343" s="1323">
        <f t="shared" si="533"/>
        <v>3</v>
      </c>
      <c r="J5343" s="1323"/>
      <c r="K5343" s="1323"/>
      <c r="L5343" s="1323"/>
      <c r="M5343" s="1323"/>
      <c r="N5343" s="1323"/>
      <c r="O5343" s="1323"/>
      <c r="P5343" s="1323"/>
      <c r="Q5343" s="1323"/>
      <c r="R5343" s="1304"/>
      <c r="S5343" s="1304"/>
      <c r="T5343" s="1304"/>
    </row>
    <row r="5344" spans="1:20">
      <c r="A5344" s="1303"/>
      <c r="B5344" s="1322" t="s">
        <v>12040</v>
      </c>
      <c r="C5344" s="1323" t="s">
        <v>12031</v>
      </c>
      <c r="D5344" s="1324">
        <f t="shared" si="528"/>
        <v>34089</v>
      </c>
      <c r="E5344" s="1323">
        <f t="shared" si="530"/>
        <v>3.1556000000000002</v>
      </c>
      <c r="F5344" s="1323">
        <f t="shared" si="529"/>
        <v>3.522311485807851</v>
      </c>
      <c r="G5344" s="1323">
        <f t="shared" si="531"/>
        <v>1993</v>
      </c>
      <c r="H5344" s="1323">
        <f t="shared" si="532"/>
        <v>4</v>
      </c>
      <c r="I5344" s="1323">
        <f t="shared" si="533"/>
        <v>30</v>
      </c>
      <c r="J5344" s="1323"/>
      <c r="K5344" s="1323"/>
      <c r="L5344" s="1323"/>
      <c r="M5344" s="1323"/>
      <c r="N5344" s="1323"/>
      <c r="O5344" s="1323"/>
      <c r="P5344" s="1323"/>
      <c r="Q5344" s="1323"/>
      <c r="R5344" s="1304"/>
      <c r="S5344" s="1304"/>
      <c r="T5344" s="1304"/>
    </row>
    <row r="5345" spans="1:20">
      <c r="A5345" s="1303"/>
      <c r="B5345" s="1322" t="s">
        <v>12041</v>
      </c>
      <c r="C5345" s="1323" t="s">
        <v>12042</v>
      </c>
      <c r="D5345" s="1324">
        <f t="shared" si="528"/>
        <v>34088</v>
      </c>
      <c r="E5345" s="1323">
        <f t="shared" si="530"/>
        <v>3.1520999999999999</v>
      </c>
      <c r="F5345" s="1323">
        <f t="shared" si="529"/>
        <v>3.5216361035414181</v>
      </c>
      <c r="G5345" s="1323">
        <f t="shared" si="531"/>
        <v>1993</v>
      </c>
      <c r="H5345" s="1323">
        <f t="shared" si="532"/>
        <v>4</v>
      </c>
      <c r="I5345" s="1323">
        <f t="shared" si="533"/>
        <v>29</v>
      </c>
      <c r="J5345" s="1323"/>
      <c r="K5345" s="1323"/>
      <c r="L5345" s="1323"/>
      <c r="M5345" s="1323"/>
      <c r="N5345" s="1323"/>
      <c r="O5345" s="1323"/>
      <c r="P5345" s="1323"/>
      <c r="Q5345" s="1323"/>
      <c r="R5345" s="1304"/>
      <c r="S5345" s="1304"/>
      <c r="T5345" s="1304"/>
    </row>
    <row r="5346" spans="1:20">
      <c r="A5346" s="1303"/>
      <c r="B5346" s="1322" t="s">
        <v>12043</v>
      </c>
      <c r="C5346" s="1323" t="s">
        <v>12044</v>
      </c>
      <c r="D5346" s="1324">
        <f t="shared" si="528"/>
        <v>34087</v>
      </c>
      <c r="E5346" s="1323">
        <f t="shared" si="530"/>
        <v>3.1690999999999998</v>
      </c>
      <c r="F5346" s="1323">
        <f t="shared" si="529"/>
        <v>3.5209608507755159</v>
      </c>
      <c r="G5346" s="1323">
        <f t="shared" si="531"/>
        <v>1993</v>
      </c>
      <c r="H5346" s="1323">
        <f t="shared" si="532"/>
        <v>4</v>
      </c>
      <c r="I5346" s="1323">
        <f t="shared" si="533"/>
        <v>28</v>
      </c>
      <c r="J5346" s="1323"/>
      <c r="K5346" s="1323"/>
      <c r="L5346" s="1323"/>
      <c r="M5346" s="1323"/>
      <c r="N5346" s="1323"/>
      <c r="O5346" s="1323"/>
      <c r="P5346" s="1323"/>
      <c r="Q5346" s="1323"/>
      <c r="R5346" s="1304"/>
      <c r="S5346" s="1304"/>
      <c r="T5346" s="1304"/>
    </row>
    <row r="5347" spans="1:20">
      <c r="A5347" s="1303"/>
      <c r="B5347" s="1322" t="s">
        <v>12045</v>
      </c>
      <c r="C5347" s="1323" t="s">
        <v>12046</v>
      </c>
      <c r="D5347" s="1324">
        <f t="shared" si="528"/>
        <v>34086</v>
      </c>
      <c r="E5347" s="1323">
        <f t="shared" si="530"/>
        <v>3.1436999999999999</v>
      </c>
      <c r="F5347" s="1323">
        <f t="shared" si="529"/>
        <v>3.5202857274853132</v>
      </c>
      <c r="G5347" s="1323">
        <f t="shared" si="531"/>
        <v>1993</v>
      </c>
      <c r="H5347" s="1323">
        <f t="shared" si="532"/>
        <v>4</v>
      </c>
      <c r="I5347" s="1323">
        <f t="shared" si="533"/>
        <v>27</v>
      </c>
      <c r="J5347" s="1323"/>
      <c r="K5347" s="1323"/>
      <c r="L5347" s="1323"/>
      <c r="M5347" s="1323"/>
      <c r="N5347" s="1323"/>
      <c r="O5347" s="1323"/>
      <c r="P5347" s="1323"/>
      <c r="Q5347" s="1323"/>
      <c r="R5347" s="1304"/>
      <c r="S5347" s="1304"/>
      <c r="T5347" s="1304"/>
    </row>
    <row r="5348" spans="1:20">
      <c r="A5348" s="1303"/>
      <c r="B5348" s="1322" t="s">
        <v>12047</v>
      </c>
      <c r="C5348" s="1323" t="s">
        <v>12048</v>
      </c>
      <c r="D5348" s="1324">
        <f t="shared" si="528"/>
        <v>34085</v>
      </c>
      <c r="E5348" s="1323">
        <f t="shared" si="530"/>
        <v>3.1421999999999999</v>
      </c>
      <c r="F5348" s="1323">
        <f t="shared" si="529"/>
        <v>3.5196107336459836</v>
      </c>
      <c r="G5348" s="1323">
        <f t="shared" si="531"/>
        <v>1993</v>
      </c>
      <c r="H5348" s="1323">
        <f t="shared" si="532"/>
        <v>4</v>
      </c>
      <c r="I5348" s="1323">
        <f t="shared" si="533"/>
        <v>26</v>
      </c>
      <c r="J5348" s="1323"/>
      <c r="K5348" s="1323"/>
      <c r="L5348" s="1323"/>
      <c r="M5348" s="1323"/>
      <c r="N5348" s="1323"/>
      <c r="O5348" s="1323"/>
      <c r="P5348" s="1323"/>
      <c r="Q5348" s="1323"/>
      <c r="R5348" s="1304"/>
      <c r="S5348" s="1304"/>
      <c r="T5348" s="1304"/>
    </row>
    <row r="5349" spans="1:20">
      <c r="A5349" s="1303"/>
      <c r="B5349" s="1322" t="s">
        <v>12049</v>
      </c>
      <c r="C5349" s="1323" t="s">
        <v>12050</v>
      </c>
      <c r="D5349" s="1324">
        <f t="shared" si="528"/>
        <v>34082</v>
      </c>
      <c r="E5349" s="1323">
        <f t="shared" si="530"/>
        <v>3.1530999999999998</v>
      </c>
      <c r="F5349" s="1323">
        <f t="shared" si="529"/>
        <v>3.5189358692327062</v>
      </c>
      <c r="G5349" s="1323">
        <f t="shared" si="531"/>
        <v>1993</v>
      </c>
      <c r="H5349" s="1323">
        <f t="shared" si="532"/>
        <v>4</v>
      </c>
      <c r="I5349" s="1323">
        <f t="shared" si="533"/>
        <v>23</v>
      </c>
      <c r="J5349" s="1323"/>
      <c r="K5349" s="1323"/>
      <c r="L5349" s="1323"/>
      <c r="M5349" s="1323"/>
      <c r="N5349" s="1323"/>
      <c r="O5349" s="1323"/>
      <c r="P5349" s="1323"/>
      <c r="Q5349" s="1323"/>
      <c r="R5349" s="1304"/>
      <c r="S5349" s="1304"/>
      <c r="T5349" s="1304"/>
    </row>
    <row r="5350" spans="1:20">
      <c r="A5350" s="1303"/>
      <c r="B5350" s="1322" t="s">
        <v>12051</v>
      </c>
      <c r="C5350" s="1323" t="s">
        <v>12052</v>
      </c>
      <c r="D5350" s="1324">
        <f t="shared" si="528"/>
        <v>34081</v>
      </c>
      <c r="E5350" s="1323">
        <f t="shared" si="530"/>
        <v>3.1640999999999999</v>
      </c>
      <c r="F5350" s="1323">
        <f t="shared" si="529"/>
        <v>3.5182611342206638</v>
      </c>
      <c r="G5350" s="1323">
        <f t="shared" si="531"/>
        <v>1993</v>
      </c>
      <c r="H5350" s="1323">
        <f t="shared" si="532"/>
        <v>4</v>
      </c>
      <c r="I5350" s="1323">
        <f t="shared" si="533"/>
        <v>22</v>
      </c>
      <c r="J5350" s="1323"/>
      <c r="K5350" s="1323"/>
      <c r="L5350" s="1323"/>
      <c r="M5350" s="1323"/>
      <c r="N5350" s="1323"/>
      <c r="O5350" s="1323"/>
      <c r="P5350" s="1323"/>
      <c r="Q5350" s="1323"/>
      <c r="R5350" s="1304"/>
      <c r="S5350" s="1304"/>
      <c r="T5350" s="1304"/>
    </row>
    <row r="5351" spans="1:20">
      <c r="A5351" s="1303"/>
      <c r="B5351" s="1322" t="s">
        <v>12053</v>
      </c>
      <c r="C5351" s="1323" t="s">
        <v>12054</v>
      </c>
      <c r="D5351" s="1324">
        <f t="shared" si="528"/>
        <v>34080</v>
      </c>
      <c r="E5351" s="1323">
        <f t="shared" si="530"/>
        <v>3.1671</v>
      </c>
      <c r="F5351" s="1323">
        <f t="shared" si="529"/>
        <v>3.5175865285850447</v>
      </c>
      <c r="G5351" s="1323">
        <f t="shared" si="531"/>
        <v>1993</v>
      </c>
      <c r="H5351" s="1323">
        <f t="shared" si="532"/>
        <v>4</v>
      </c>
      <c r="I5351" s="1323">
        <f t="shared" si="533"/>
        <v>21</v>
      </c>
      <c r="J5351" s="1323"/>
      <c r="K5351" s="1323"/>
      <c r="L5351" s="1323"/>
      <c r="M5351" s="1323"/>
      <c r="N5351" s="1323"/>
      <c r="O5351" s="1323"/>
      <c r="P5351" s="1323"/>
      <c r="Q5351" s="1323"/>
      <c r="R5351" s="1304"/>
      <c r="S5351" s="1304"/>
      <c r="T5351" s="1304"/>
    </row>
    <row r="5352" spans="1:20">
      <c r="A5352" s="1303"/>
      <c r="B5352" s="1322" t="s">
        <v>12055</v>
      </c>
      <c r="C5352" s="1323" t="s">
        <v>12056</v>
      </c>
      <c r="D5352" s="1324">
        <f t="shared" si="528"/>
        <v>34079</v>
      </c>
      <c r="E5352" s="1323">
        <f t="shared" si="530"/>
        <v>3.1631</v>
      </c>
      <c r="F5352" s="1323">
        <f t="shared" si="529"/>
        <v>3.5169120523010418</v>
      </c>
      <c r="G5352" s="1323">
        <f t="shared" si="531"/>
        <v>1993</v>
      </c>
      <c r="H5352" s="1323">
        <f t="shared" si="532"/>
        <v>4</v>
      </c>
      <c r="I5352" s="1323">
        <f t="shared" si="533"/>
        <v>20</v>
      </c>
      <c r="J5352" s="1323"/>
      <c r="K5352" s="1323"/>
      <c r="L5352" s="1323"/>
      <c r="M5352" s="1323"/>
      <c r="N5352" s="1323"/>
      <c r="O5352" s="1323"/>
      <c r="P5352" s="1323"/>
      <c r="Q5352" s="1323"/>
      <c r="R5352" s="1304"/>
      <c r="S5352" s="1304"/>
      <c r="T5352" s="1304"/>
    </row>
    <row r="5353" spans="1:20">
      <c r="A5353" s="1303"/>
      <c r="B5353" s="1322" t="s">
        <v>12057</v>
      </c>
      <c r="C5353" s="1323" t="s">
        <v>12058</v>
      </c>
      <c r="D5353" s="1324">
        <f t="shared" si="528"/>
        <v>34078</v>
      </c>
      <c r="E5353" s="1323">
        <f t="shared" si="530"/>
        <v>3.1898</v>
      </c>
      <c r="F5353" s="1323">
        <f t="shared" si="529"/>
        <v>3.5162377053438525</v>
      </c>
      <c r="G5353" s="1323">
        <f t="shared" si="531"/>
        <v>1993</v>
      </c>
      <c r="H5353" s="1323">
        <f t="shared" si="532"/>
        <v>4</v>
      </c>
      <c r="I5353" s="1323">
        <f t="shared" si="533"/>
        <v>19</v>
      </c>
      <c r="J5353" s="1323"/>
      <c r="K5353" s="1323"/>
      <c r="L5353" s="1323"/>
      <c r="M5353" s="1323"/>
      <c r="N5353" s="1323"/>
      <c r="O5353" s="1323"/>
      <c r="P5353" s="1323"/>
      <c r="Q5353" s="1323"/>
      <c r="R5353" s="1304"/>
      <c r="S5353" s="1304"/>
      <c r="T5353" s="1304"/>
    </row>
    <row r="5354" spans="1:20">
      <c r="A5354" s="1303"/>
      <c r="B5354" s="1322" t="s">
        <v>12059</v>
      </c>
      <c r="C5354" s="1323" t="s">
        <v>12060</v>
      </c>
      <c r="D5354" s="1324">
        <f t="shared" si="528"/>
        <v>34075</v>
      </c>
      <c r="E5354" s="1323">
        <f t="shared" si="530"/>
        <v>3.1861999999999999</v>
      </c>
      <c r="F5354" s="1323">
        <f t="shared" si="529"/>
        <v>3.515563487688679</v>
      </c>
      <c r="G5354" s="1323">
        <f t="shared" si="531"/>
        <v>1993</v>
      </c>
      <c r="H5354" s="1323">
        <f t="shared" si="532"/>
        <v>4</v>
      </c>
      <c r="I5354" s="1323">
        <f t="shared" si="533"/>
        <v>16</v>
      </c>
      <c r="J5354" s="1323"/>
      <c r="K5354" s="1323"/>
      <c r="L5354" s="1323"/>
      <c r="M5354" s="1323"/>
      <c r="N5354" s="1323"/>
      <c r="O5354" s="1323"/>
      <c r="P5354" s="1323"/>
      <c r="Q5354" s="1323"/>
      <c r="R5354" s="1304"/>
      <c r="S5354" s="1304"/>
      <c r="T5354" s="1304"/>
    </row>
    <row r="5355" spans="1:20">
      <c r="A5355" s="1303"/>
      <c r="B5355" s="1322" t="s">
        <v>12061</v>
      </c>
      <c r="C5355" s="1323" t="s">
        <v>11997</v>
      </c>
      <c r="D5355" s="1324">
        <f t="shared" si="528"/>
        <v>34074</v>
      </c>
      <c r="E5355" s="1323">
        <f t="shared" si="530"/>
        <v>3.1776</v>
      </c>
      <c r="F5355" s="1323">
        <f t="shared" si="529"/>
        <v>3.5148893993107291</v>
      </c>
      <c r="G5355" s="1323">
        <f t="shared" si="531"/>
        <v>1993</v>
      </c>
      <c r="H5355" s="1323">
        <f t="shared" si="532"/>
        <v>4</v>
      </c>
      <c r="I5355" s="1323">
        <f t="shared" si="533"/>
        <v>15</v>
      </c>
      <c r="J5355" s="1323"/>
      <c r="K5355" s="1323"/>
      <c r="L5355" s="1323"/>
      <c r="M5355" s="1323"/>
      <c r="N5355" s="1323"/>
      <c r="O5355" s="1323"/>
      <c r="P5355" s="1323"/>
      <c r="Q5355" s="1323"/>
      <c r="R5355" s="1304"/>
      <c r="S5355" s="1304"/>
      <c r="T5355" s="1304"/>
    </row>
    <row r="5356" spans="1:20">
      <c r="A5356" s="1303"/>
      <c r="B5356" s="1322" t="s">
        <v>12062</v>
      </c>
      <c r="C5356" s="1323" t="s">
        <v>12063</v>
      </c>
      <c r="D5356" s="1324">
        <f t="shared" si="528"/>
        <v>34073</v>
      </c>
      <c r="E5356" s="1323">
        <f t="shared" si="530"/>
        <v>3.1570999999999998</v>
      </c>
      <c r="F5356" s="1323">
        <f t="shared" si="529"/>
        <v>3.5142154401852141</v>
      </c>
      <c r="G5356" s="1323">
        <f t="shared" si="531"/>
        <v>1993</v>
      </c>
      <c r="H5356" s="1323">
        <f t="shared" si="532"/>
        <v>4</v>
      </c>
      <c r="I5356" s="1323">
        <f t="shared" si="533"/>
        <v>14</v>
      </c>
      <c r="J5356" s="1323"/>
      <c r="K5356" s="1323"/>
      <c r="L5356" s="1323"/>
      <c r="M5356" s="1323"/>
      <c r="N5356" s="1323"/>
      <c r="O5356" s="1323"/>
      <c r="P5356" s="1323"/>
      <c r="Q5356" s="1323"/>
      <c r="R5356" s="1304"/>
      <c r="S5356" s="1304"/>
      <c r="T5356" s="1304"/>
    </row>
    <row r="5357" spans="1:20">
      <c r="A5357" s="1303"/>
      <c r="B5357" s="1322" t="s">
        <v>12064</v>
      </c>
      <c r="C5357" s="1323" t="s">
        <v>12065</v>
      </c>
      <c r="D5357" s="1324">
        <f t="shared" si="528"/>
        <v>34072</v>
      </c>
      <c r="E5357" s="1323">
        <f t="shared" si="530"/>
        <v>3.1701000000000001</v>
      </c>
      <c r="F5357" s="1323">
        <f t="shared" si="529"/>
        <v>3.5135416102873509</v>
      </c>
      <c r="G5357" s="1323">
        <f t="shared" si="531"/>
        <v>1993</v>
      </c>
      <c r="H5357" s="1323">
        <f t="shared" si="532"/>
        <v>4</v>
      </c>
      <c r="I5357" s="1323">
        <f t="shared" si="533"/>
        <v>13</v>
      </c>
      <c r="J5357" s="1323"/>
      <c r="K5357" s="1323"/>
      <c r="L5357" s="1323"/>
      <c r="M5357" s="1323"/>
      <c r="N5357" s="1323"/>
      <c r="O5357" s="1323"/>
      <c r="P5357" s="1323"/>
      <c r="Q5357" s="1323"/>
      <c r="R5357" s="1304"/>
      <c r="S5357" s="1304"/>
      <c r="T5357" s="1304"/>
    </row>
    <row r="5358" spans="1:20">
      <c r="A5358" s="1303"/>
      <c r="B5358" s="1322" t="s">
        <v>12066</v>
      </c>
      <c r="C5358" s="1323" t="s">
        <v>12067</v>
      </c>
      <c r="D5358" s="1324">
        <f t="shared" si="528"/>
        <v>34067</v>
      </c>
      <c r="E5358" s="1323">
        <f t="shared" si="530"/>
        <v>3.1831999999999998</v>
      </c>
      <c r="F5358" s="1323">
        <f t="shared" si="529"/>
        <v>3.5128679095923605</v>
      </c>
      <c r="G5358" s="1323">
        <f t="shared" si="531"/>
        <v>1993</v>
      </c>
      <c r="H5358" s="1323">
        <f t="shared" si="532"/>
        <v>4</v>
      </c>
      <c r="I5358" s="1323">
        <f t="shared" si="533"/>
        <v>8</v>
      </c>
      <c r="J5358" s="1323"/>
      <c r="K5358" s="1323"/>
      <c r="L5358" s="1323"/>
      <c r="M5358" s="1323"/>
      <c r="N5358" s="1323"/>
      <c r="O5358" s="1323"/>
      <c r="P5358" s="1323"/>
      <c r="Q5358" s="1323"/>
      <c r="R5358" s="1304"/>
      <c r="S5358" s="1304"/>
      <c r="T5358" s="1304"/>
    </row>
    <row r="5359" spans="1:20">
      <c r="A5359" s="1303"/>
      <c r="B5359" s="1322" t="s">
        <v>12068</v>
      </c>
      <c r="C5359" s="1323" t="s">
        <v>12027</v>
      </c>
      <c r="D5359" s="1324">
        <f t="shared" si="528"/>
        <v>34066</v>
      </c>
      <c r="E5359" s="1323">
        <f t="shared" si="530"/>
        <v>3.1898</v>
      </c>
      <c r="F5359" s="1323">
        <f t="shared" si="529"/>
        <v>3.512194338075469</v>
      </c>
      <c r="G5359" s="1323">
        <f t="shared" si="531"/>
        <v>1993</v>
      </c>
      <c r="H5359" s="1323">
        <f t="shared" si="532"/>
        <v>4</v>
      </c>
      <c r="I5359" s="1323">
        <f t="shared" si="533"/>
        <v>7</v>
      </c>
      <c r="J5359" s="1323"/>
      <c r="K5359" s="1323"/>
      <c r="L5359" s="1323"/>
      <c r="M5359" s="1323"/>
      <c r="N5359" s="1323"/>
      <c r="O5359" s="1323"/>
      <c r="P5359" s="1323"/>
      <c r="Q5359" s="1323"/>
      <c r="R5359" s="1304"/>
      <c r="S5359" s="1304"/>
      <c r="T5359" s="1304"/>
    </row>
    <row r="5360" spans="1:20">
      <c r="A5360" s="1303"/>
      <c r="B5360" s="1322" t="s">
        <v>12069</v>
      </c>
      <c r="C5360" s="1323" t="s">
        <v>12060</v>
      </c>
      <c r="D5360" s="1324">
        <f t="shared" si="528"/>
        <v>34064</v>
      </c>
      <c r="E5360" s="1323">
        <f t="shared" si="530"/>
        <v>3.1785999999999999</v>
      </c>
      <c r="F5360" s="1323">
        <f t="shared" si="529"/>
        <v>3.5115208957119077</v>
      </c>
      <c r="G5360" s="1323">
        <f t="shared" si="531"/>
        <v>1993</v>
      </c>
      <c r="H5360" s="1323">
        <f t="shared" si="532"/>
        <v>4</v>
      </c>
      <c r="I5360" s="1323">
        <f t="shared" si="533"/>
        <v>5</v>
      </c>
      <c r="J5360" s="1323"/>
      <c r="K5360" s="1323"/>
      <c r="L5360" s="1323"/>
      <c r="M5360" s="1323"/>
      <c r="N5360" s="1323"/>
      <c r="O5360" s="1323"/>
      <c r="P5360" s="1323"/>
      <c r="Q5360" s="1323"/>
      <c r="R5360" s="1304"/>
      <c r="S5360" s="1304"/>
      <c r="T5360" s="1304"/>
    </row>
    <row r="5361" spans="1:20">
      <c r="A5361" s="1303"/>
      <c r="B5361" s="1322" t="s">
        <v>12070</v>
      </c>
      <c r="C5361" s="1323" t="s">
        <v>12025</v>
      </c>
      <c r="D5361" s="1324">
        <f t="shared" si="528"/>
        <v>34061</v>
      </c>
      <c r="E5361" s="1323">
        <f t="shared" si="530"/>
        <v>3.1676000000000002</v>
      </c>
      <c r="F5361" s="1323">
        <f t="shared" si="529"/>
        <v>3.5108475824769121</v>
      </c>
      <c r="G5361" s="1323">
        <f t="shared" si="531"/>
        <v>1993</v>
      </c>
      <c r="H5361" s="1323">
        <f t="shared" si="532"/>
        <v>4</v>
      </c>
      <c r="I5361" s="1323">
        <f t="shared" si="533"/>
        <v>2</v>
      </c>
      <c r="J5361" s="1323"/>
      <c r="K5361" s="1323"/>
      <c r="L5361" s="1323"/>
      <c r="M5361" s="1323"/>
      <c r="N5361" s="1323"/>
      <c r="O5361" s="1323"/>
      <c r="P5361" s="1323"/>
      <c r="Q5361" s="1323"/>
      <c r="R5361" s="1304"/>
      <c r="S5361" s="1304"/>
      <c r="T5361" s="1304"/>
    </row>
    <row r="5362" spans="1:20">
      <c r="A5362" s="1303"/>
      <c r="B5362" s="1322" t="s">
        <v>12071</v>
      </c>
      <c r="C5362" s="1323" t="s">
        <v>12072</v>
      </c>
      <c r="D5362" s="1324">
        <f t="shared" si="528"/>
        <v>34060</v>
      </c>
      <c r="E5362" s="1323">
        <f t="shared" si="530"/>
        <v>3.1760999999999999</v>
      </c>
      <c r="F5362" s="1323">
        <f t="shared" si="529"/>
        <v>3.5101743983457223</v>
      </c>
      <c r="G5362" s="1323">
        <f t="shared" si="531"/>
        <v>1993</v>
      </c>
      <c r="H5362" s="1323">
        <f t="shared" si="532"/>
        <v>4</v>
      </c>
      <c r="I5362" s="1323">
        <f t="shared" si="533"/>
        <v>1</v>
      </c>
      <c r="J5362" s="1323"/>
      <c r="K5362" s="1323"/>
      <c r="L5362" s="1323"/>
      <c r="M5362" s="1323"/>
      <c r="N5362" s="1323"/>
      <c r="O5362" s="1323"/>
      <c r="P5362" s="1323"/>
      <c r="Q5362" s="1323"/>
      <c r="R5362" s="1304"/>
      <c r="S5362" s="1304"/>
      <c r="T5362" s="1304"/>
    </row>
    <row r="5363" spans="1:20">
      <c r="A5363" s="1303"/>
      <c r="B5363" s="1322" t="s">
        <v>12073</v>
      </c>
      <c r="C5363" s="1323" t="s">
        <v>12074</v>
      </c>
      <c r="D5363" s="1324">
        <f t="shared" si="528"/>
        <v>34059</v>
      </c>
      <c r="E5363" s="1323">
        <f t="shared" si="530"/>
        <v>3.1751</v>
      </c>
      <c r="F5363" s="1323">
        <f t="shared" si="529"/>
        <v>3.5095013432935835</v>
      </c>
      <c r="G5363" s="1323">
        <f t="shared" si="531"/>
        <v>1993</v>
      </c>
      <c r="H5363" s="1323">
        <f t="shared" si="532"/>
        <v>3</v>
      </c>
      <c r="I5363" s="1323">
        <f t="shared" si="533"/>
        <v>31</v>
      </c>
      <c r="J5363" s="1323"/>
      <c r="K5363" s="1323"/>
      <c r="L5363" s="1323"/>
      <c r="M5363" s="1323"/>
      <c r="N5363" s="1323"/>
      <c r="O5363" s="1323"/>
      <c r="P5363" s="1323"/>
      <c r="Q5363" s="1323"/>
      <c r="R5363" s="1304"/>
      <c r="S5363" s="1304"/>
      <c r="T5363" s="1304"/>
    </row>
    <row r="5364" spans="1:20">
      <c r="A5364" s="1303"/>
      <c r="B5364" s="1322" t="s">
        <v>12075</v>
      </c>
      <c r="C5364" s="1323" t="s">
        <v>12008</v>
      </c>
      <c r="D5364" s="1324">
        <f t="shared" si="528"/>
        <v>34058</v>
      </c>
      <c r="E5364" s="1323">
        <f t="shared" si="530"/>
        <v>3.1785999999999999</v>
      </c>
      <c r="F5364" s="1323">
        <f t="shared" si="529"/>
        <v>3.5088284172957458</v>
      </c>
      <c r="G5364" s="1323">
        <f t="shared" si="531"/>
        <v>1993</v>
      </c>
      <c r="H5364" s="1323">
        <f t="shared" si="532"/>
        <v>3</v>
      </c>
      <c r="I5364" s="1323">
        <f t="shared" si="533"/>
        <v>30</v>
      </c>
      <c r="J5364" s="1323"/>
      <c r="K5364" s="1323"/>
      <c r="L5364" s="1323"/>
      <c r="M5364" s="1323"/>
      <c r="N5364" s="1323"/>
      <c r="O5364" s="1323"/>
      <c r="P5364" s="1323"/>
      <c r="Q5364" s="1323"/>
      <c r="R5364" s="1304"/>
      <c r="S5364" s="1304"/>
      <c r="T5364" s="1304"/>
    </row>
    <row r="5365" spans="1:20">
      <c r="A5365" s="1303"/>
      <c r="B5365" s="1322" t="s">
        <v>12076</v>
      </c>
      <c r="C5365" s="1323" t="s">
        <v>12025</v>
      </c>
      <c r="D5365" s="1324">
        <f t="shared" si="528"/>
        <v>34057</v>
      </c>
      <c r="E5365" s="1323">
        <f t="shared" si="530"/>
        <v>3.1802000000000001</v>
      </c>
      <c r="F5365" s="1323">
        <f t="shared" si="529"/>
        <v>3.5081556203274635</v>
      </c>
      <c r="G5365" s="1323">
        <f t="shared" si="531"/>
        <v>1993</v>
      </c>
      <c r="H5365" s="1323">
        <f t="shared" si="532"/>
        <v>3</v>
      </c>
      <c r="I5365" s="1323">
        <f t="shared" si="533"/>
        <v>29</v>
      </c>
      <c r="J5365" s="1323"/>
      <c r="K5365" s="1323"/>
      <c r="L5365" s="1323"/>
      <c r="M5365" s="1323"/>
      <c r="N5365" s="1323"/>
      <c r="O5365" s="1323"/>
      <c r="P5365" s="1323"/>
      <c r="Q5365" s="1323"/>
      <c r="R5365" s="1304"/>
      <c r="S5365" s="1304"/>
      <c r="T5365" s="1304"/>
    </row>
    <row r="5366" spans="1:20">
      <c r="A5366" s="1303"/>
      <c r="B5366" s="1322" t="s">
        <v>12077</v>
      </c>
      <c r="C5366" s="1323" t="s">
        <v>12016</v>
      </c>
      <c r="D5366" s="1324">
        <f t="shared" si="528"/>
        <v>34054</v>
      </c>
      <c r="E5366" s="1323">
        <f t="shared" si="530"/>
        <v>3.1898</v>
      </c>
      <c r="F5366" s="1323">
        <f t="shared" si="529"/>
        <v>3.5074829523639965</v>
      </c>
      <c r="G5366" s="1323">
        <f t="shared" si="531"/>
        <v>1993</v>
      </c>
      <c r="H5366" s="1323">
        <f t="shared" si="532"/>
        <v>3</v>
      </c>
      <c r="I5366" s="1323">
        <f t="shared" si="533"/>
        <v>26</v>
      </c>
      <c r="J5366" s="1323"/>
      <c r="K5366" s="1323"/>
      <c r="L5366" s="1323"/>
      <c r="M5366" s="1323"/>
      <c r="N5366" s="1323"/>
      <c r="O5366" s="1323"/>
      <c r="P5366" s="1323"/>
      <c r="Q5366" s="1323"/>
      <c r="R5366" s="1304"/>
      <c r="S5366" s="1304"/>
      <c r="T5366" s="1304"/>
    </row>
    <row r="5367" spans="1:20">
      <c r="A5367" s="1303"/>
      <c r="B5367" s="1322" t="s">
        <v>12078</v>
      </c>
      <c r="C5367" s="1323" t="s">
        <v>12060</v>
      </c>
      <c r="D5367" s="1324">
        <f t="shared" si="528"/>
        <v>34053</v>
      </c>
      <c r="E5367" s="1323">
        <f t="shared" si="530"/>
        <v>3.1776</v>
      </c>
      <c r="F5367" s="1323">
        <f t="shared" si="529"/>
        <v>3.5068104133806082</v>
      </c>
      <c r="G5367" s="1323">
        <f t="shared" si="531"/>
        <v>1993</v>
      </c>
      <c r="H5367" s="1323">
        <f t="shared" si="532"/>
        <v>3</v>
      </c>
      <c r="I5367" s="1323">
        <f t="shared" si="533"/>
        <v>25</v>
      </c>
      <c r="J5367" s="1323"/>
      <c r="K5367" s="1323"/>
      <c r="L5367" s="1323"/>
      <c r="M5367" s="1323"/>
      <c r="N5367" s="1323"/>
      <c r="O5367" s="1323"/>
      <c r="P5367" s="1323"/>
      <c r="Q5367" s="1323"/>
      <c r="R5367" s="1304"/>
      <c r="S5367" s="1304"/>
      <c r="T5367" s="1304"/>
    </row>
    <row r="5368" spans="1:20">
      <c r="A5368" s="1303"/>
      <c r="B5368" s="1322" t="s">
        <v>12079</v>
      </c>
      <c r="C5368" s="1323" t="s">
        <v>12063</v>
      </c>
      <c r="D5368" s="1324">
        <f t="shared" si="528"/>
        <v>34052</v>
      </c>
      <c r="E5368" s="1323">
        <f t="shared" si="530"/>
        <v>3.1711</v>
      </c>
      <c r="F5368" s="1323">
        <f t="shared" si="529"/>
        <v>3.506138003352568</v>
      </c>
      <c r="G5368" s="1323">
        <f t="shared" si="531"/>
        <v>1993</v>
      </c>
      <c r="H5368" s="1323">
        <f t="shared" si="532"/>
        <v>3</v>
      </c>
      <c r="I5368" s="1323">
        <f t="shared" si="533"/>
        <v>24</v>
      </c>
      <c r="J5368" s="1323"/>
      <c r="K5368" s="1323"/>
      <c r="L5368" s="1323"/>
      <c r="M5368" s="1323"/>
      <c r="N5368" s="1323"/>
      <c r="O5368" s="1323"/>
      <c r="P5368" s="1323"/>
      <c r="Q5368" s="1323"/>
      <c r="R5368" s="1304"/>
      <c r="S5368" s="1304"/>
      <c r="T5368" s="1304"/>
    </row>
    <row r="5369" spans="1:20">
      <c r="A5369" s="1303"/>
      <c r="B5369" s="1322" t="s">
        <v>12080</v>
      </c>
      <c r="C5369" s="1323" t="s">
        <v>12081</v>
      </c>
      <c r="D5369" s="1324">
        <f t="shared" si="528"/>
        <v>34051</v>
      </c>
      <c r="E5369" s="1323">
        <f t="shared" si="530"/>
        <v>3.1791</v>
      </c>
      <c r="F5369" s="1323">
        <f t="shared" si="529"/>
        <v>3.5054657222551491</v>
      </c>
      <c r="G5369" s="1323">
        <f t="shared" si="531"/>
        <v>1993</v>
      </c>
      <c r="H5369" s="1323">
        <f t="shared" si="532"/>
        <v>3</v>
      </c>
      <c r="I5369" s="1323">
        <f t="shared" si="533"/>
        <v>23</v>
      </c>
      <c r="J5369" s="1323"/>
      <c r="K5369" s="1323"/>
      <c r="L5369" s="1323"/>
      <c r="M5369" s="1323"/>
      <c r="N5369" s="1323"/>
      <c r="O5369" s="1323"/>
      <c r="P5369" s="1323"/>
      <c r="Q5369" s="1323"/>
      <c r="R5369" s="1304"/>
      <c r="S5369" s="1304"/>
      <c r="T5369" s="1304"/>
    </row>
    <row r="5370" spans="1:20">
      <c r="A5370" s="1303"/>
      <c r="B5370" s="1322" t="s">
        <v>12082</v>
      </c>
      <c r="C5370" s="1323" t="s">
        <v>12006</v>
      </c>
      <c r="D5370" s="1324">
        <f t="shared" si="528"/>
        <v>34050</v>
      </c>
      <c r="E5370" s="1323">
        <f t="shared" si="530"/>
        <v>3.1756000000000002</v>
      </c>
      <c r="F5370" s="1323">
        <f t="shared" si="529"/>
        <v>3.5047935700636299</v>
      </c>
      <c r="G5370" s="1323">
        <f t="shared" si="531"/>
        <v>1993</v>
      </c>
      <c r="H5370" s="1323">
        <f t="shared" si="532"/>
        <v>3</v>
      </c>
      <c r="I5370" s="1323">
        <f t="shared" si="533"/>
        <v>22</v>
      </c>
      <c r="J5370" s="1323"/>
      <c r="K5370" s="1323"/>
      <c r="L5370" s="1323"/>
      <c r="M5370" s="1323"/>
      <c r="N5370" s="1323"/>
      <c r="O5370" s="1323"/>
      <c r="P5370" s="1323"/>
      <c r="Q5370" s="1323"/>
      <c r="R5370" s="1304"/>
      <c r="S5370" s="1304"/>
      <c r="T5370" s="1304"/>
    </row>
    <row r="5371" spans="1:20">
      <c r="A5371" s="1303"/>
      <c r="B5371" s="1322" t="s">
        <v>12083</v>
      </c>
      <c r="C5371" s="1323" t="s">
        <v>12084</v>
      </c>
      <c r="D5371" s="1324">
        <f t="shared" si="528"/>
        <v>34047</v>
      </c>
      <c r="E5371" s="1323">
        <f t="shared" si="530"/>
        <v>3.1812</v>
      </c>
      <c r="F5371" s="1323">
        <f t="shared" si="529"/>
        <v>3.5041215467532933</v>
      </c>
      <c r="G5371" s="1323">
        <f t="shared" si="531"/>
        <v>1993</v>
      </c>
      <c r="H5371" s="1323">
        <f t="shared" si="532"/>
        <v>3</v>
      </c>
      <c r="I5371" s="1323">
        <f t="shared" si="533"/>
        <v>19</v>
      </c>
      <c r="J5371" s="1323"/>
      <c r="K5371" s="1323"/>
      <c r="L5371" s="1323"/>
      <c r="M5371" s="1323"/>
      <c r="N5371" s="1323"/>
      <c r="O5371" s="1323"/>
      <c r="P5371" s="1323"/>
      <c r="Q5371" s="1323"/>
      <c r="R5371" s="1304"/>
      <c r="S5371" s="1304"/>
      <c r="T5371" s="1304"/>
    </row>
    <row r="5372" spans="1:20">
      <c r="A5372" s="1303"/>
      <c r="B5372" s="1322" t="s">
        <v>12085</v>
      </c>
      <c r="C5372" s="1323" t="s">
        <v>12086</v>
      </c>
      <c r="D5372" s="1324">
        <f t="shared" si="528"/>
        <v>34046</v>
      </c>
      <c r="E5372" s="1323">
        <f t="shared" si="530"/>
        <v>3.1959</v>
      </c>
      <c r="F5372" s="1323">
        <f t="shared" si="529"/>
        <v>3.5034496522994276</v>
      </c>
      <c r="G5372" s="1323">
        <f t="shared" si="531"/>
        <v>1993</v>
      </c>
      <c r="H5372" s="1323">
        <f t="shared" si="532"/>
        <v>3</v>
      </c>
      <c r="I5372" s="1323">
        <f t="shared" si="533"/>
        <v>18</v>
      </c>
      <c r="J5372" s="1323"/>
      <c r="K5372" s="1323"/>
      <c r="L5372" s="1323"/>
      <c r="M5372" s="1323"/>
      <c r="N5372" s="1323"/>
      <c r="O5372" s="1323"/>
      <c r="P5372" s="1323"/>
      <c r="Q5372" s="1323"/>
      <c r="R5372" s="1304"/>
      <c r="S5372" s="1304"/>
      <c r="T5372" s="1304"/>
    </row>
    <row r="5373" spans="1:20">
      <c r="A5373" s="1303"/>
      <c r="B5373" s="1322" t="s">
        <v>12087</v>
      </c>
      <c r="C5373" s="1323" t="s">
        <v>12088</v>
      </c>
      <c r="D5373" s="1324">
        <f t="shared" si="528"/>
        <v>34045</v>
      </c>
      <c r="E5373" s="1323">
        <f t="shared" si="530"/>
        <v>3.1943999999999999</v>
      </c>
      <c r="F5373" s="1323">
        <f t="shared" si="529"/>
        <v>3.5027778866773249</v>
      </c>
      <c r="G5373" s="1323">
        <f t="shared" si="531"/>
        <v>1993</v>
      </c>
      <c r="H5373" s="1323">
        <f t="shared" si="532"/>
        <v>3</v>
      </c>
      <c r="I5373" s="1323">
        <f t="shared" si="533"/>
        <v>17</v>
      </c>
      <c r="J5373" s="1323"/>
      <c r="K5373" s="1323"/>
      <c r="L5373" s="1323"/>
      <c r="M5373" s="1323"/>
      <c r="N5373" s="1323"/>
      <c r="O5373" s="1323"/>
      <c r="P5373" s="1323"/>
      <c r="Q5373" s="1323"/>
      <c r="R5373" s="1304"/>
      <c r="S5373" s="1304"/>
      <c r="T5373" s="1304"/>
    </row>
    <row r="5374" spans="1:20">
      <c r="A5374" s="1303"/>
      <c r="B5374" s="1322" t="s">
        <v>12089</v>
      </c>
      <c r="C5374" s="1323" t="s">
        <v>11994</v>
      </c>
      <c r="D5374" s="1324">
        <f t="shared" si="528"/>
        <v>34044</v>
      </c>
      <c r="E5374" s="1323">
        <f t="shared" si="530"/>
        <v>3.1943999999999999</v>
      </c>
      <c r="F5374" s="1323">
        <f t="shared" si="529"/>
        <v>3.5021062498622828</v>
      </c>
      <c r="G5374" s="1323">
        <f t="shared" si="531"/>
        <v>1993</v>
      </c>
      <c r="H5374" s="1323">
        <f t="shared" si="532"/>
        <v>3</v>
      </c>
      <c r="I5374" s="1323">
        <f t="shared" si="533"/>
        <v>16</v>
      </c>
      <c r="J5374" s="1323"/>
      <c r="K5374" s="1323"/>
      <c r="L5374" s="1323"/>
      <c r="M5374" s="1323"/>
      <c r="N5374" s="1323"/>
      <c r="O5374" s="1323"/>
      <c r="P5374" s="1323"/>
      <c r="Q5374" s="1323"/>
      <c r="R5374" s="1304"/>
      <c r="S5374" s="1304"/>
      <c r="T5374" s="1304"/>
    </row>
    <row r="5375" spans="1:20">
      <c r="A5375" s="1303"/>
      <c r="B5375" s="1322" t="s">
        <v>12090</v>
      </c>
      <c r="C5375" s="1323" t="s">
        <v>11994</v>
      </c>
      <c r="D5375" s="1324">
        <f t="shared" si="528"/>
        <v>34043</v>
      </c>
      <c r="E5375" s="1323">
        <f t="shared" si="530"/>
        <v>3.2</v>
      </c>
      <c r="F5375" s="1323">
        <f t="shared" si="529"/>
        <v>3.5014347418296032</v>
      </c>
      <c r="G5375" s="1323">
        <f t="shared" si="531"/>
        <v>1993</v>
      </c>
      <c r="H5375" s="1323">
        <f t="shared" si="532"/>
        <v>3</v>
      </c>
      <c r="I5375" s="1323">
        <f t="shared" si="533"/>
        <v>15</v>
      </c>
      <c r="J5375" s="1323"/>
      <c r="K5375" s="1323"/>
      <c r="L5375" s="1323"/>
      <c r="M5375" s="1323"/>
      <c r="N5375" s="1323"/>
      <c r="O5375" s="1323"/>
      <c r="P5375" s="1323"/>
      <c r="Q5375" s="1323"/>
      <c r="R5375" s="1304"/>
      <c r="S5375" s="1304"/>
      <c r="T5375" s="1304"/>
    </row>
    <row r="5376" spans="1:20">
      <c r="A5376" s="1303"/>
      <c r="B5376" s="1322" t="s">
        <v>12091</v>
      </c>
      <c r="C5376" s="1323" t="s">
        <v>12092</v>
      </c>
      <c r="D5376" s="1324">
        <f t="shared" si="528"/>
        <v>34040</v>
      </c>
      <c r="E5376" s="1323">
        <f t="shared" si="530"/>
        <v>3.1903000000000001</v>
      </c>
      <c r="F5376" s="1323">
        <f t="shared" si="529"/>
        <v>3.5007633625545926</v>
      </c>
      <c r="G5376" s="1323">
        <f t="shared" si="531"/>
        <v>1993</v>
      </c>
      <c r="H5376" s="1323">
        <f t="shared" si="532"/>
        <v>3</v>
      </c>
      <c r="I5376" s="1323">
        <f t="shared" si="533"/>
        <v>12</v>
      </c>
      <c r="J5376" s="1323"/>
      <c r="K5376" s="1323"/>
      <c r="L5376" s="1323"/>
      <c r="M5376" s="1323"/>
      <c r="N5376" s="1323"/>
      <c r="O5376" s="1323"/>
      <c r="P5376" s="1323"/>
      <c r="Q5376" s="1323"/>
      <c r="R5376" s="1304"/>
      <c r="S5376" s="1304"/>
      <c r="T5376" s="1304"/>
    </row>
    <row r="5377" spans="1:20">
      <c r="A5377" s="1303"/>
      <c r="B5377" s="1322" t="s">
        <v>12093</v>
      </c>
      <c r="C5377" s="1323" t="s">
        <v>12094</v>
      </c>
      <c r="D5377" s="1324">
        <f t="shared" si="528"/>
        <v>34039</v>
      </c>
      <c r="E5377" s="1323">
        <f t="shared" si="530"/>
        <v>3.1873</v>
      </c>
      <c r="F5377" s="1323">
        <f t="shared" si="529"/>
        <v>3.5000921120125628</v>
      </c>
      <c r="G5377" s="1323">
        <f t="shared" si="531"/>
        <v>1993</v>
      </c>
      <c r="H5377" s="1323">
        <f t="shared" si="532"/>
        <v>3</v>
      </c>
      <c r="I5377" s="1323">
        <f t="shared" si="533"/>
        <v>11</v>
      </c>
      <c r="J5377" s="1323"/>
      <c r="K5377" s="1323"/>
      <c r="L5377" s="1323"/>
      <c r="M5377" s="1323"/>
      <c r="N5377" s="1323"/>
      <c r="O5377" s="1323"/>
      <c r="P5377" s="1323"/>
      <c r="Q5377" s="1323"/>
      <c r="R5377" s="1304"/>
      <c r="S5377" s="1304"/>
      <c r="T5377" s="1304"/>
    </row>
    <row r="5378" spans="1:20">
      <c r="A5378" s="1303"/>
      <c r="B5378" s="1322" t="s">
        <v>12095</v>
      </c>
      <c r="C5378" s="1323" t="s">
        <v>11990</v>
      </c>
      <c r="D5378" s="1324">
        <f t="shared" si="528"/>
        <v>34038</v>
      </c>
      <c r="E5378" s="1323">
        <f t="shared" si="530"/>
        <v>3.1842000000000001</v>
      </c>
      <c r="F5378" s="1323">
        <f t="shared" si="529"/>
        <v>3.4994209901788298</v>
      </c>
      <c r="G5378" s="1323">
        <f t="shared" si="531"/>
        <v>1993</v>
      </c>
      <c r="H5378" s="1323">
        <f t="shared" si="532"/>
        <v>3</v>
      </c>
      <c r="I5378" s="1323">
        <f t="shared" si="533"/>
        <v>10</v>
      </c>
      <c r="J5378" s="1323"/>
      <c r="K5378" s="1323"/>
      <c r="L5378" s="1323"/>
      <c r="M5378" s="1323"/>
      <c r="N5378" s="1323"/>
      <c r="O5378" s="1323"/>
      <c r="P5378" s="1323"/>
      <c r="Q5378" s="1323"/>
      <c r="R5378" s="1304"/>
      <c r="S5378" s="1304"/>
      <c r="T5378" s="1304"/>
    </row>
    <row r="5379" spans="1:20">
      <c r="A5379" s="1303"/>
      <c r="B5379" s="1322" t="s">
        <v>12096</v>
      </c>
      <c r="C5379" s="1323" t="s">
        <v>12097</v>
      </c>
      <c r="D5379" s="1324">
        <f t="shared" si="528"/>
        <v>34037</v>
      </c>
      <c r="E5379" s="1323">
        <f t="shared" si="530"/>
        <v>3.1846999999999999</v>
      </c>
      <c r="F5379" s="1323">
        <f t="shared" si="529"/>
        <v>3.4987499970287144</v>
      </c>
      <c r="G5379" s="1323">
        <f t="shared" si="531"/>
        <v>1993</v>
      </c>
      <c r="H5379" s="1323">
        <f t="shared" si="532"/>
        <v>3</v>
      </c>
      <c r="I5379" s="1323">
        <f t="shared" si="533"/>
        <v>9</v>
      </c>
      <c r="J5379" s="1323"/>
      <c r="K5379" s="1323"/>
      <c r="L5379" s="1323"/>
      <c r="M5379" s="1323"/>
      <c r="N5379" s="1323"/>
      <c r="O5379" s="1323"/>
      <c r="P5379" s="1323"/>
      <c r="Q5379" s="1323"/>
      <c r="R5379" s="1304"/>
      <c r="S5379" s="1304"/>
      <c r="T5379" s="1304"/>
    </row>
    <row r="5380" spans="1:20">
      <c r="A5380" s="1303"/>
      <c r="B5380" s="1322" t="s">
        <v>12098</v>
      </c>
      <c r="C5380" s="1323" t="s">
        <v>12099</v>
      </c>
      <c r="D5380" s="1324">
        <f t="shared" si="528"/>
        <v>34036</v>
      </c>
      <c r="E5380" s="1323">
        <f t="shared" si="530"/>
        <v>3.1878000000000002</v>
      </c>
      <c r="F5380" s="1323">
        <f t="shared" si="529"/>
        <v>3.4980791325375429</v>
      </c>
      <c r="G5380" s="1323">
        <f t="shared" si="531"/>
        <v>1993</v>
      </c>
      <c r="H5380" s="1323">
        <f t="shared" si="532"/>
        <v>3</v>
      </c>
      <c r="I5380" s="1323">
        <f t="shared" si="533"/>
        <v>8</v>
      </c>
      <c r="J5380" s="1323"/>
      <c r="K5380" s="1323"/>
      <c r="L5380" s="1323"/>
      <c r="M5380" s="1323"/>
      <c r="N5380" s="1323"/>
      <c r="O5380" s="1323"/>
      <c r="P5380" s="1323"/>
      <c r="Q5380" s="1323"/>
      <c r="R5380" s="1304"/>
      <c r="S5380" s="1304"/>
      <c r="T5380" s="1304"/>
    </row>
    <row r="5381" spans="1:20">
      <c r="A5381" s="1303"/>
      <c r="B5381" s="1322" t="s">
        <v>12100</v>
      </c>
      <c r="C5381" s="1323" t="s">
        <v>11992</v>
      </c>
      <c r="D5381" s="1324">
        <f t="shared" si="528"/>
        <v>34033</v>
      </c>
      <c r="E5381" s="1323">
        <f t="shared" si="530"/>
        <v>3.1631</v>
      </c>
      <c r="F5381" s="1323">
        <f t="shared" si="529"/>
        <v>3.4974083966806453</v>
      </c>
      <c r="G5381" s="1323">
        <f t="shared" si="531"/>
        <v>1993</v>
      </c>
      <c r="H5381" s="1323">
        <f t="shared" si="532"/>
        <v>3</v>
      </c>
      <c r="I5381" s="1323">
        <f t="shared" si="533"/>
        <v>5</v>
      </c>
      <c r="J5381" s="1323"/>
      <c r="K5381" s="1323"/>
      <c r="L5381" s="1323"/>
      <c r="M5381" s="1323"/>
      <c r="N5381" s="1323"/>
      <c r="O5381" s="1323"/>
      <c r="P5381" s="1323"/>
      <c r="Q5381" s="1323"/>
      <c r="R5381" s="1304"/>
      <c r="S5381" s="1304"/>
      <c r="T5381" s="1304"/>
    </row>
    <row r="5382" spans="1:20">
      <c r="A5382" s="1303"/>
      <c r="B5382" s="1322" t="s">
        <v>12101</v>
      </c>
      <c r="C5382" s="1323" t="s">
        <v>12058</v>
      </c>
      <c r="D5382" s="1324">
        <f t="shared" si="528"/>
        <v>34032</v>
      </c>
      <c r="E5382" s="1323">
        <f t="shared" si="530"/>
        <v>3.1656</v>
      </c>
      <c r="F5382" s="1323">
        <f t="shared" si="529"/>
        <v>3.4967377894333564</v>
      </c>
      <c r="G5382" s="1323">
        <f t="shared" si="531"/>
        <v>1993</v>
      </c>
      <c r="H5382" s="1323">
        <f t="shared" si="532"/>
        <v>3</v>
      </c>
      <c r="I5382" s="1323">
        <f t="shared" si="533"/>
        <v>4</v>
      </c>
      <c r="J5382" s="1323"/>
      <c r="K5382" s="1323"/>
      <c r="L5382" s="1323"/>
      <c r="M5382" s="1323"/>
      <c r="N5382" s="1323"/>
      <c r="O5382" s="1323"/>
      <c r="P5382" s="1323"/>
      <c r="Q5382" s="1323"/>
      <c r="R5382" s="1304"/>
      <c r="S5382" s="1304"/>
      <c r="T5382" s="1304"/>
    </row>
    <row r="5383" spans="1:20">
      <c r="A5383" s="1303"/>
      <c r="B5383" s="1322" t="s">
        <v>12102</v>
      </c>
      <c r="C5383" s="1323" t="s">
        <v>12103</v>
      </c>
      <c r="D5383" s="1324">
        <f t="shared" si="528"/>
        <v>34031</v>
      </c>
      <c r="E5383" s="1323">
        <f t="shared" si="530"/>
        <v>3.1490999999999998</v>
      </c>
      <c r="F5383" s="1323">
        <f t="shared" si="529"/>
        <v>3.4960673107710165</v>
      </c>
      <c r="G5383" s="1323">
        <f t="shared" si="531"/>
        <v>1993</v>
      </c>
      <c r="H5383" s="1323">
        <f t="shared" si="532"/>
        <v>3</v>
      </c>
      <c r="I5383" s="1323">
        <f t="shared" si="533"/>
        <v>3</v>
      </c>
      <c r="J5383" s="1323"/>
      <c r="K5383" s="1323"/>
      <c r="L5383" s="1323"/>
      <c r="M5383" s="1323"/>
      <c r="N5383" s="1323"/>
      <c r="O5383" s="1323"/>
      <c r="P5383" s="1323"/>
      <c r="Q5383" s="1323"/>
      <c r="R5383" s="1304"/>
      <c r="S5383" s="1304"/>
      <c r="T5383" s="1304"/>
    </row>
    <row r="5384" spans="1:20">
      <c r="A5384" s="1303"/>
      <c r="B5384" s="1322" t="s">
        <v>12104</v>
      </c>
      <c r="C5384" s="1323" t="s">
        <v>12105</v>
      </c>
      <c r="D5384" s="1324">
        <f t="shared" si="528"/>
        <v>34030</v>
      </c>
      <c r="E5384" s="1323">
        <f t="shared" si="530"/>
        <v>3.1526000000000001</v>
      </c>
      <c r="F5384" s="1323">
        <f t="shared" si="529"/>
        <v>3.4953969606689701</v>
      </c>
      <c r="G5384" s="1323">
        <f t="shared" si="531"/>
        <v>1993</v>
      </c>
      <c r="H5384" s="1323">
        <f t="shared" si="532"/>
        <v>3</v>
      </c>
      <c r="I5384" s="1323">
        <f t="shared" si="533"/>
        <v>2</v>
      </c>
      <c r="J5384" s="1323"/>
      <c r="K5384" s="1323"/>
      <c r="L5384" s="1323"/>
      <c r="M5384" s="1323"/>
      <c r="N5384" s="1323"/>
      <c r="O5384" s="1323"/>
      <c r="P5384" s="1323"/>
      <c r="Q5384" s="1323"/>
      <c r="R5384" s="1304"/>
      <c r="S5384" s="1304"/>
      <c r="T5384" s="1304"/>
    </row>
    <row r="5385" spans="1:20">
      <c r="A5385" s="1303"/>
      <c r="B5385" s="1322" t="s">
        <v>12106</v>
      </c>
      <c r="C5385" s="1323" t="s">
        <v>12107</v>
      </c>
      <c r="D5385" s="1324">
        <f t="shared" ref="D5385:D5448" si="534">DATE(G5385,H5385,I5385)</f>
        <v>34029</v>
      </c>
      <c r="E5385" s="1323">
        <f t="shared" si="530"/>
        <v>3.1516000000000002</v>
      </c>
      <c r="F5385" s="1323">
        <f t="shared" ref="F5385:F5448" si="535">F5386*(1+$F$7/365)</f>
        <v>3.4947267391025667</v>
      </c>
      <c r="G5385" s="1323">
        <f t="shared" si="531"/>
        <v>1993</v>
      </c>
      <c r="H5385" s="1323">
        <f t="shared" si="532"/>
        <v>3</v>
      </c>
      <c r="I5385" s="1323">
        <f t="shared" si="533"/>
        <v>1</v>
      </c>
      <c r="J5385" s="1323"/>
      <c r="K5385" s="1323"/>
      <c r="L5385" s="1323"/>
      <c r="M5385" s="1323"/>
      <c r="N5385" s="1323"/>
      <c r="O5385" s="1323"/>
      <c r="P5385" s="1323"/>
      <c r="Q5385" s="1323"/>
      <c r="R5385" s="1304"/>
      <c r="S5385" s="1304"/>
      <c r="T5385" s="1304"/>
    </row>
    <row r="5386" spans="1:20">
      <c r="A5386" s="1303"/>
      <c r="B5386" s="1322" t="s">
        <v>12108</v>
      </c>
      <c r="C5386" s="1323" t="s">
        <v>12109</v>
      </c>
      <c r="D5386" s="1324">
        <f t="shared" si="534"/>
        <v>34026</v>
      </c>
      <c r="E5386" s="1323">
        <f t="shared" si="530"/>
        <v>3.1412</v>
      </c>
      <c r="F5386" s="1323">
        <f t="shared" si="535"/>
        <v>3.4940566460471603</v>
      </c>
      <c r="G5386" s="1323">
        <f t="shared" si="531"/>
        <v>1993</v>
      </c>
      <c r="H5386" s="1323">
        <f t="shared" si="532"/>
        <v>2</v>
      </c>
      <c r="I5386" s="1323">
        <f t="shared" si="533"/>
        <v>26</v>
      </c>
      <c r="J5386" s="1323"/>
      <c r="K5386" s="1323"/>
      <c r="L5386" s="1323"/>
      <c r="M5386" s="1323"/>
      <c r="N5386" s="1323"/>
      <c r="O5386" s="1323"/>
      <c r="P5386" s="1323"/>
      <c r="Q5386" s="1323"/>
      <c r="R5386" s="1304"/>
      <c r="S5386" s="1304"/>
      <c r="T5386" s="1304"/>
    </row>
    <row r="5387" spans="1:20">
      <c r="A5387" s="1303"/>
      <c r="B5387" s="1322" t="s">
        <v>12110</v>
      </c>
      <c r="C5387" s="1323" t="s">
        <v>12111</v>
      </c>
      <c r="D5387" s="1324">
        <f t="shared" si="534"/>
        <v>34025</v>
      </c>
      <c r="E5387" s="1323">
        <f t="shared" si="530"/>
        <v>3.1303999999999998</v>
      </c>
      <c r="F5387" s="1323">
        <f t="shared" si="535"/>
        <v>3.4933866814781096</v>
      </c>
      <c r="G5387" s="1323">
        <f t="shared" si="531"/>
        <v>1993</v>
      </c>
      <c r="H5387" s="1323">
        <f t="shared" si="532"/>
        <v>2</v>
      </c>
      <c r="I5387" s="1323">
        <f t="shared" si="533"/>
        <v>25</v>
      </c>
      <c r="J5387" s="1323"/>
      <c r="K5387" s="1323"/>
      <c r="L5387" s="1323"/>
      <c r="M5387" s="1323"/>
      <c r="N5387" s="1323"/>
      <c r="O5387" s="1323"/>
      <c r="P5387" s="1323"/>
      <c r="Q5387" s="1323"/>
      <c r="R5387" s="1304"/>
      <c r="S5387" s="1304"/>
      <c r="T5387" s="1304"/>
    </row>
    <row r="5388" spans="1:20">
      <c r="A5388" s="1303"/>
      <c r="B5388" s="1322" t="s">
        <v>12112</v>
      </c>
      <c r="C5388" s="1323" t="s">
        <v>12113</v>
      </c>
      <c r="D5388" s="1324">
        <f t="shared" si="534"/>
        <v>34024</v>
      </c>
      <c r="E5388" s="1323">
        <f t="shared" si="530"/>
        <v>3.1230000000000002</v>
      </c>
      <c r="F5388" s="1323">
        <f t="shared" si="535"/>
        <v>3.492716845370778</v>
      </c>
      <c r="G5388" s="1323">
        <f t="shared" si="531"/>
        <v>1993</v>
      </c>
      <c r="H5388" s="1323">
        <f t="shared" si="532"/>
        <v>2</v>
      </c>
      <c r="I5388" s="1323">
        <f t="shared" si="533"/>
        <v>24</v>
      </c>
      <c r="J5388" s="1323"/>
      <c r="K5388" s="1323"/>
      <c r="L5388" s="1323"/>
      <c r="M5388" s="1323"/>
      <c r="N5388" s="1323"/>
      <c r="O5388" s="1323"/>
      <c r="P5388" s="1323"/>
      <c r="Q5388" s="1323"/>
      <c r="R5388" s="1304"/>
      <c r="S5388" s="1304"/>
      <c r="T5388" s="1304"/>
    </row>
    <row r="5389" spans="1:20">
      <c r="A5389" s="1303"/>
      <c r="B5389" s="1322" t="s">
        <v>12114</v>
      </c>
      <c r="C5389" s="1323" t="s">
        <v>12115</v>
      </c>
      <c r="D5389" s="1324">
        <f t="shared" si="534"/>
        <v>34023</v>
      </c>
      <c r="E5389" s="1323">
        <f t="shared" si="530"/>
        <v>3.1221000000000001</v>
      </c>
      <c r="F5389" s="1323">
        <f t="shared" si="535"/>
        <v>3.492047137700534</v>
      </c>
      <c r="G5389" s="1323">
        <f t="shared" si="531"/>
        <v>1993</v>
      </c>
      <c r="H5389" s="1323">
        <f t="shared" si="532"/>
        <v>2</v>
      </c>
      <c r="I5389" s="1323">
        <f t="shared" si="533"/>
        <v>23</v>
      </c>
      <c r="J5389" s="1323"/>
      <c r="K5389" s="1323"/>
      <c r="L5389" s="1323"/>
      <c r="M5389" s="1323"/>
      <c r="N5389" s="1323"/>
      <c r="O5389" s="1323"/>
      <c r="P5389" s="1323"/>
      <c r="Q5389" s="1323"/>
      <c r="R5389" s="1304"/>
      <c r="S5389" s="1304"/>
      <c r="T5389" s="1304"/>
    </row>
    <row r="5390" spans="1:20">
      <c r="A5390" s="1303"/>
      <c r="B5390" s="1322" t="s">
        <v>12116</v>
      </c>
      <c r="C5390" s="1323" t="s">
        <v>12117</v>
      </c>
      <c r="D5390" s="1324">
        <f t="shared" si="534"/>
        <v>34022</v>
      </c>
      <c r="E5390" s="1323">
        <f t="shared" si="530"/>
        <v>3.1221000000000001</v>
      </c>
      <c r="F5390" s="1323">
        <f t="shared" si="535"/>
        <v>3.4913775584427502</v>
      </c>
      <c r="G5390" s="1323">
        <f t="shared" si="531"/>
        <v>1993</v>
      </c>
      <c r="H5390" s="1323">
        <f t="shared" si="532"/>
        <v>2</v>
      </c>
      <c r="I5390" s="1323">
        <f t="shared" si="533"/>
        <v>22</v>
      </c>
      <c r="J5390" s="1323"/>
      <c r="K5390" s="1323"/>
      <c r="L5390" s="1323"/>
      <c r="M5390" s="1323"/>
      <c r="N5390" s="1323"/>
      <c r="O5390" s="1323"/>
      <c r="P5390" s="1323"/>
      <c r="Q5390" s="1323"/>
      <c r="R5390" s="1304"/>
      <c r="S5390" s="1304"/>
      <c r="T5390" s="1304"/>
    </row>
    <row r="5391" spans="1:20">
      <c r="A5391" s="1303"/>
      <c r="B5391" s="1322" t="s">
        <v>12118</v>
      </c>
      <c r="C5391" s="1323" t="s">
        <v>12117</v>
      </c>
      <c r="D5391" s="1324">
        <f t="shared" si="534"/>
        <v>34019</v>
      </c>
      <c r="E5391" s="1323">
        <f t="shared" si="530"/>
        <v>3.1196000000000002</v>
      </c>
      <c r="F5391" s="1323">
        <f t="shared" si="535"/>
        <v>3.4907081075728046</v>
      </c>
      <c r="G5391" s="1323">
        <f t="shared" si="531"/>
        <v>1993</v>
      </c>
      <c r="H5391" s="1323">
        <f t="shared" si="532"/>
        <v>2</v>
      </c>
      <c r="I5391" s="1323">
        <f t="shared" si="533"/>
        <v>19</v>
      </c>
      <c r="J5391" s="1323"/>
      <c r="K5391" s="1323"/>
      <c r="L5391" s="1323"/>
      <c r="M5391" s="1323"/>
      <c r="N5391" s="1323"/>
      <c r="O5391" s="1323"/>
      <c r="P5391" s="1323"/>
      <c r="Q5391" s="1323"/>
      <c r="R5391" s="1304"/>
      <c r="S5391" s="1304"/>
      <c r="T5391" s="1304"/>
    </row>
    <row r="5392" spans="1:20">
      <c r="A5392" s="1303"/>
      <c r="B5392" s="1322" t="s">
        <v>12119</v>
      </c>
      <c r="C5392" s="1323" t="s">
        <v>12120</v>
      </c>
      <c r="D5392" s="1324">
        <f t="shared" si="534"/>
        <v>34018</v>
      </c>
      <c r="E5392" s="1323">
        <f t="shared" si="530"/>
        <v>3.1265000000000001</v>
      </c>
      <c r="F5392" s="1323">
        <f t="shared" si="535"/>
        <v>3.4900387850660795</v>
      </c>
      <c r="G5392" s="1323">
        <f t="shared" si="531"/>
        <v>1993</v>
      </c>
      <c r="H5392" s="1323">
        <f t="shared" si="532"/>
        <v>2</v>
      </c>
      <c r="I5392" s="1323">
        <f t="shared" si="533"/>
        <v>18</v>
      </c>
      <c r="J5392" s="1323"/>
      <c r="K5392" s="1323"/>
      <c r="L5392" s="1323"/>
      <c r="M5392" s="1323"/>
      <c r="N5392" s="1323"/>
      <c r="O5392" s="1323"/>
      <c r="P5392" s="1323"/>
      <c r="Q5392" s="1323"/>
      <c r="R5392" s="1304"/>
      <c r="S5392" s="1304"/>
      <c r="T5392" s="1304"/>
    </row>
    <row r="5393" spans="1:20">
      <c r="A5393" s="1303"/>
      <c r="B5393" s="1322" t="s">
        <v>12121</v>
      </c>
      <c r="C5393" s="1323" t="s">
        <v>12122</v>
      </c>
      <c r="D5393" s="1324">
        <f t="shared" si="534"/>
        <v>34017</v>
      </c>
      <c r="E5393" s="1323">
        <f t="shared" si="530"/>
        <v>3.1147999999999998</v>
      </c>
      <c r="F5393" s="1323">
        <f t="shared" si="535"/>
        <v>3.4893695908979621</v>
      </c>
      <c r="G5393" s="1323">
        <f t="shared" si="531"/>
        <v>1993</v>
      </c>
      <c r="H5393" s="1323">
        <f t="shared" si="532"/>
        <v>2</v>
      </c>
      <c r="I5393" s="1323">
        <f t="shared" si="533"/>
        <v>17</v>
      </c>
      <c r="J5393" s="1323"/>
      <c r="K5393" s="1323"/>
      <c r="L5393" s="1323"/>
      <c r="M5393" s="1323"/>
      <c r="N5393" s="1323"/>
      <c r="O5393" s="1323"/>
      <c r="P5393" s="1323"/>
      <c r="Q5393" s="1323"/>
      <c r="R5393" s="1304"/>
      <c r="S5393" s="1304"/>
      <c r="T5393" s="1304"/>
    </row>
    <row r="5394" spans="1:20">
      <c r="A5394" s="1303"/>
      <c r="B5394" s="1322" t="s">
        <v>12123</v>
      </c>
      <c r="C5394" s="1323" t="s">
        <v>12124</v>
      </c>
      <c r="D5394" s="1324">
        <f t="shared" si="534"/>
        <v>34016</v>
      </c>
      <c r="E5394" s="1323">
        <f t="shared" si="530"/>
        <v>3.1347999999999998</v>
      </c>
      <c r="F5394" s="1323">
        <f t="shared" si="535"/>
        <v>3.4887005250438441</v>
      </c>
      <c r="G5394" s="1323">
        <f t="shared" si="531"/>
        <v>1993</v>
      </c>
      <c r="H5394" s="1323">
        <f t="shared" si="532"/>
        <v>2</v>
      </c>
      <c r="I5394" s="1323">
        <f t="shared" si="533"/>
        <v>16</v>
      </c>
      <c r="J5394" s="1323"/>
      <c r="K5394" s="1323"/>
      <c r="L5394" s="1323"/>
      <c r="M5394" s="1323"/>
      <c r="N5394" s="1323"/>
      <c r="O5394" s="1323"/>
      <c r="P5394" s="1323"/>
      <c r="Q5394" s="1323"/>
      <c r="R5394" s="1304"/>
      <c r="S5394" s="1304"/>
      <c r="T5394" s="1304"/>
    </row>
    <row r="5395" spans="1:20">
      <c r="A5395" s="1303"/>
      <c r="B5395" s="1322" t="s">
        <v>12125</v>
      </c>
      <c r="C5395" s="1323" t="s">
        <v>12126</v>
      </c>
      <c r="D5395" s="1324">
        <f t="shared" si="534"/>
        <v>34015</v>
      </c>
      <c r="E5395" s="1323">
        <f t="shared" si="530"/>
        <v>3.1377000000000002</v>
      </c>
      <c r="F5395" s="1323">
        <f t="shared" si="535"/>
        <v>3.4880315874791221</v>
      </c>
      <c r="G5395" s="1323">
        <f t="shared" si="531"/>
        <v>1993</v>
      </c>
      <c r="H5395" s="1323">
        <f t="shared" si="532"/>
        <v>2</v>
      </c>
      <c r="I5395" s="1323">
        <f t="shared" si="533"/>
        <v>15</v>
      </c>
      <c r="J5395" s="1323"/>
      <c r="K5395" s="1323"/>
      <c r="L5395" s="1323"/>
      <c r="M5395" s="1323"/>
      <c r="N5395" s="1323"/>
      <c r="O5395" s="1323"/>
      <c r="P5395" s="1323"/>
      <c r="Q5395" s="1323"/>
      <c r="R5395" s="1304"/>
      <c r="S5395" s="1304"/>
      <c r="T5395" s="1304"/>
    </row>
    <row r="5396" spans="1:20">
      <c r="A5396" s="1303"/>
      <c r="B5396" s="1322" t="s">
        <v>12127</v>
      </c>
      <c r="C5396" s="1323" t="s">
        <v>12128</v>
      </c>
      <c r="D5396" s="1324">
        <f t="shared" si="534"/>
        <v>34012</v>
      </c>
      <c r="E5396" s="1323">
        <f t="shared" si="530"/>
        <v>3.1255000000000002</v>
      </c>
      <c r="F5396" s="1323">
        <f t="shared" si="535"/>
        <v>3.4873627781791972</v>
      </c>
      <c r="G5396" s="1323">
        <f t="shared" si="531"/>
        <v>1993</v>
      </c>
      <c r="H5396" s="1323">
        <f t="shared" si="532"/>
        <v>2</v>
      </c>
      <c r="I5396" s="1323">
        <f t="shared" si="533"/>
        <v>12</v>
      </c>
      <c r="J5396" s="1323"/>
      <c r="K5396" s="1323"/>
      <c r="L5396" s="1323"/>
      <c r="M5396" s="1323"/>
      <c r="N5396" s="1323"/>
      <c r="O5396" s="1323"/>
      <c r="P5396" s="1323"/>
      <c r="Q5396" s="1323"/>
      <c r="R5396" s="1304"/>
      <c r="S5396" s="1304"/>
      <c r="T5396" s="1304"/>
    </row>
    <row r="5397" spans="1:20">
      <c r="A5397" s="1303"/>
      <c r="B5397" s="1322" t="s">
        <v>12129</v>
      </c>
      <c r="C5397" s="1323" t="s">
        <v>12130</v>
      </c>
      <c r="D5397" s="1324">
        <f t="shared" si="534"/>
        <v>34011</v>
      </c>
      <c r="E5397" s="1323">
        <f t="shared" si="530"/>
        <v>3.1278999999999999</v>
      </c>
      <c r="F5397" s="1323">
        <f t="shared" si="535"/>
        <v>3.4866940971194755</v>
      </c>
      <c r="G5397" s="1323">
        <f t="shared" si="531"/>
        <v>1993</v>
      </c>
      <c r="H5397" s="1323">
        <f t="shared" si="532"/>
        <v>2</v>
      </c>
      <c r="I5397" s="1323">
        <f t="shared" si="533"/>
        <v>11</v>
      </c>
      <c r="J5397" s="1323"/>
      <c r="K5397" s="1323"/>
      <c r="L5397" s="1323"/>
      <c r="M5397" s="1323"/>
      <c r="N5397" s="1323"/>
      <c r="O5397" s="1323"/>
      <c r="P5397" s="1323"/>
      <c r="Q5397" s="1323"/>
      <c r="R5397" s="1304"/>
      <c r="S5397" s="1304"/>
      <c r="T5397" s="1304"/>
    </row>
    <row r="5398" spans="1:20">
      <c r="A5398" s="1303"/>
      <c r="B5398" s="1322" t="s">
        <v>12131</v>
      </c>
      <c r="C5398" s="1323" t="s">
        <v>12132</v>
      </c>
      <c r="D5398" s="1324">
        <f t="shared" si="534"/>
        <v>34010</v>
      </c>
      <c r="E5398" s="1323">
        <f t="shared" ref="E5398:E5461" si="536">VALUE(C5399)</f>
        <v>3.1153</v>
      </c>
      <c r="F5398" s="1323">
        <f t="shared" si="535"/>
        <v>3.4860255442753676</v>
      </c>
      <c r="G5398" s="1323">
        <f t="shared" ref="G5398:G5461" si="537">YEAR(B5399)</f>
        <v>1993</v>
      </c>
      <c r="H5398" s="1323">
        <f t="shared" ref="H5398:H5461" si="538">MONTH(B5399)</f>
        <v>2</v>
      </c>
      <c r="I5398" s="1323">
        <f t="shared" ref="I5398:I5461" si="539">DAY(B5399)</f>
        <v>10</v>
      </c>
      <c r="J5398" s="1323"/>
      <c r="K5398" s="1323"/>
      <c r="L5398" s="1323"/>
      <c r="M5398" s="1323"/>
      <c r="N5398" s="1323"/>
      <c r="O5398" s="1323"/>
      <c r="P5398" s="1323"/>
      <c r="Q5398" s="1323"/>
      <c r="R5398" s="1304"/>
      <c r="S5398" s="1304"/>
      <c r="T5398" s="1304"/>
    </row>
    <row r="5399" spans="1:20">
      <c r="A5399" s="1303"/>
      <c r="B5399" s="1322" t="s">
        <v>12133</v>
      </c>
      <c r="C5399" s="1323" t="s">
        <v>12134</v>
      </c>
      <c r="D5399" s="1324">
        <f t="shared" si="534"/>
        <v>34009</v>
      </c>
      <c r="E5399" s="1323">
        <f t="shared" si="536"/>
        <v>3.1288999999999998</v>
      </c>
      <c r="F5399" s="1323">
        <f t="shared" si="535"/>
        <v>3.4853571196222894</v>
      </c>
      <c r="G5399" s="1323">
        <f t="shared" si="537"/>
        <v>1993</v>
      </c>
      <c r="H5399" s="1323">
        <f t="shared" si="538"/>
        <v>2</v>
      </c>
      <c r="I5399" s="1323">
        <f t="shared" si="539"/>
        <v>9</v>
      </c>
      <c r="J5399" s="1323"/>
      <c r="K5399" s="1323"/>
      <c r="L5399" s="1323"/>
      <c r="M5399" s="1323"/>
      <c r="N5399" s="1323"/>
      <c r="O5399" s="1323"/>
      <c r="P5399" s="1323"/>
      <c r="Q5399" s="1323"/>
      <c r="R5399" s="1304"/>
      <c r="S5399" s="1304"/>
      <c r="T5399" s="1304"/>
    </row>
    <row r="5400" spans="1:20">
      <c r="A5400" s="1303"/>
      <c r="B5400" s="1322" t="s">
        <v>12135</v>
      </c>
      <c r="C5400" s="1323" t="s">
        <v>12136</v>
      </c>
      <c r="D5400" s="1324">
        <f t="shared" si="534"/>
        <v>34008</v>
      </c>
      <c r="E5400" s="1323">
        <f t="shared" si="536"/>
        <v>3.1187</v>
      </c>
      <c r="F5400" s="1323">
        <f t="shared" si="535"/>
        <v>3.4846888231356608</v>
      </c>
      <c r="G5400" s="1323">
        <f t="shared" si="537"/>
        <v>1993</v>
      </c>
      <c r="H5400" s="1323">
        <f t="shared" si="538"/>
        <v>2</v>
      </c>
      <c r="I5400" s="1323">
        <f t="shared" si="539"/>
        <v>8</v>
      </c>
      <c r="J5400" s="1323"/>
      <c r="K5400" s="1323"/>
      <c r="L5400" s="1323"/>
      <c r="M5400" s="1323"/>
      <c r="N5400" s="1323"/>
      <c r="O5400" s="1323"/>
      <c r="P5400" s="1323"/>
      <c r="Q5400" s="1323"/>
      <c r="R5400" s="1304"/>
      <c r="S5400" s="1304"/>
      <c r="T5400" s="1304"/>
    </row>
    <row r="5401" spans="1:20">
      <c r="A5401" s="1303"/>
      <c r="B5401" s="1322" t="s">
        <v>12137</v>
      </c>
      <c r="C5401" s="1323" t="s">
        <v>12138</v>
      </c>
      <c r="D5401" s="1324">
        <f t="shared" si="534"/>
        <v>34005</v>
      </c>
      <c r="E5401" s="1323">
        <f t="shared" si="536"/>
        <v>3.1196000000000002</v>
      </c>
      <c r="F5401" s="1323">
        <f t="shared" si="535"/>
        <v>3.4840206547909061</v>
      </c>
      <c r="G5401" s="1323">
        <f t="shared" si="537"/>
        <v>1993</v>
      </c>
      <c r="H5401" s="1323">
        <f t="shared" si="538"/>
        <v>2</v>
      </c>
      <c r="I5401" s="1323">
        <f t="shared" si="539"/>
        <v>5</v>
      </c>
      <c r="J5401" s="1323"/>
      <c r="K5401" s="1323"/>
      <c r="L5401" s="1323"/>
      <c r="M5401" s="1323"/>
      <c r="N5401" s="1323"/>
      <c r="O5401" s="1323"/>
      <c r="P5401" s="1323"/>
      <c r="Q5401" s="1323"/>
      <c r="R5401" s="1304"/>
      <c r="S5401" s="1304"/>
      <c r="T5401" s="1304"/>
    </row>
    <row r="5402" spans="1:20">
      <c r="A5402" s="1303"/>
      <c r="B5402" s="1322" t="s">
        <v>12139</v>
      </c>
      <c r="C5402" s="1323" t="s">
        <v>12120</v>
      </c>
      <c r="D5402" s="1324">
        <f t="shared" si="534"/>
        <v>34004</v>
      </c>
      <c r="E5402" s="1323">
        <f t="shared" si="536"/>
        <v>3.1099000000000001</v>
      </c>
      <c r="F5402" s="1323">
        <f t="shared" si="535"/>
        <v>3.4833526145634552</v>
      </c>
      <c r="G5402" s="1323">
        <f t="shared" si="537"/>
        <v>1993</v>
      </c>
      <c r="H5402" s="1323">
        <f t="shared" si="538"/>
        <v>2</v>
      </c>
      <c r="I5402" s="1323">
        <f t="shared" si="539"/>
        <v>4</v>
      </c>
      <c r="J5402" s="1323"/>
      <c r="K5402" s="1323"/>
      <c r="L5402" s="1323"/>
      <c r="M5402" s="1323"/>
      <c r="N5402" s="1323"/>
      <c r="O5402" s="1323"/>
      <c r="P5402" s="1323"/>
      <c r="Q5402" s="1323"/>
      <c r="R5402" s="1304"/>
      <c r="S5402" s="1304"/>
      <c r="T5402" s="1304"/>
    </row>
    <row r="5403" spans="1:20">
      <c r="A5403" s="1303"/>
      <c r="B5403" s="1322" t="s">
        <v>12140</v>
      </c>
      <c r="C5403" s="1323" t="s">
        <v>12141</v>
      </c>
      <c r="D5403" s="1324">
        <f t="shared" si="534"/>
        <v>34003</v>
      </c>
      <c r="E5403" s="1323">
        <f t="shared" si="536"/>
        <v>3.0979000000000001</v>
      </c>
      <c r="F5403" s="1323">
        <f t="shared" si="535"/>
        <v>3.4826847024287426</v>
      </c>
      <c r="G5403" s="1323">
        <f t="shared" si="537"/>
        <v>1993</v>
      </c>
      <c r="H5403" s="1323">
        <f t="shared" si="538"/>
        <v>2</v>
      </c>
      <c r="I5403" s="1323">
        <f t="shared" si="539"/>
        <v>3</v>
      </c>
      <c r="J5403" s="1323"/>
      <c r="K5403" s="1323"/>
      <c r="L5403" s="1323"/>
      <c r="M5403" s="1323"/>
      <c r="N5403" s="1323"/>
      <c r="O5403" s="1323"/>
      <c r="P5403" s="1323"/>
      <c r="Q5403" s="1323"/>
      <c r="R5403" s="1304"/>
      <c r="S5403" s="1304"/>
      <c r="T5403" s="1304"/>
    </row>
    <row r="5404" spans="1:20">
      <c r="A5404" s="1303"/>
      <c r="B5404" s="1322" t="s">
        <v>12142</v>
      </c>
      <c r="C5404" s="1323" t="s">
        <v>12143</v>
      </c>
      <c r="D5404" s="1324">
        <f t="shared" si="534"/>
        <v>34002</v>
      </c>
      <c r="E5404" s="1323">
        <f t="shared" si="536"/>
        <v>3.0926</v>
      </c>
      <c r="F5404" s="1323">
        <f t="shared" si="535"/>
        <v>3.4820169183622074</v>
      </c>
      <c r="G5404" s="1323">
        <f t="shared" si="537"/>
        <v>1993</v>
      </c>
      <c r="H5404" s="1323">
        <f t="shared" si="538"/>
        <v>2</v>
      </c>
      <c r="I5404" s="1323">
        <f t="shared" si="539"/>
        <v>2</v>
      </c>
      <c r="J5404" s="1323"/>
      <c r="K5404" s="1323"/>
      <c r="L5404" s="1323"/>
      <c r="M5404" s="1323"/>
      <c r="N5404" s="1323"/>
      <c r="O5404" s="1323"/>
      <c r="P5404" s="1323"/>
      <c r="Q5404" s="1323"/>
      <c r="R5404" s="1304"/>
      <c r="S5404" s="1304"/>
      <c r="T5404" s="1304"/>
    </row>
    <row r="5405" spans="1:20">
      <c r="A5405" s="1303"/>
      <c r="B5405" s="1322" t="s">
        <v>12144</v>
      </c>
      <c r="C5405" s="1323" t="s">
        <v>12145</v>
      </c>
      <c r="D5405" s="1324">
        <f t="shared" si="534"/>
        <v>34001</v>
      </c>
      <c r="E5405" s="1323">
        <f t="shared" si="536"/>
        <v>3.0893000000000002</v>
      </c>
      <c r="F5405" s="1323">
        <f t="shared" si="535"/>
        <v>3.4813492623392928</v>
      </c>
      <c r="G5405" s="1323">
        <f t="shared" si="537"/>
        <v>1993</v>
      </c>
      <c r="H5405" s="1323">
        <f t="shared" si="538"/>
        <v>2</v>
      </c>
      <c r="I5405" s="1323">
        <f t="shared" si="539"/>
        <v>1</v>
      </c>
      <c r="J5405" s="1323"/>
      <c r="K5405" s="1323"/>
      <c r="L5405" s="1323"/>
      <c r="M5405" s="1323"/>
      <c r="N5405" s="1323"/>
      <c r="O5405" s="1323"/>
      <c r="P5405" s="1323"/>
      <c r="Q5405" s="1323"/>
      <c r="R5405" s="1304"/>
      <c r="S5405" s="1304"/>
      <c r="T5405" s="1304"/>
    </row>
    <row r="5406" spans="1:20">
      <c r="A5406" s="1303"/>
      <c r="B5406" s="1322" t="s">
        <v>12146</v>
      </c>
      <c r="C5406" s="1323" t="s">
        <v>12147</v>
      </c>
      <c r="D5406" s="1324">
        <f t="shared" si="534"/>
        <v>33998</v>
      </c>
      <c r="E5406" s="1323">
        <f t="shared" si="536"/>
        <v>3.0661</v>
      </c>
      <c r="F5406" s="1323">
        <f t="shared" si="535"/>
        <v>3.4806817343354477</v>
      </c>
      <c r="G5406" s="1323">
        <f t="shared" si="537"/>
        <v>1993</v>
      </c>
      <c r="H5406" s="1323">
        <f t="shared" si="538"/>
        <v>1</v>
      </c>
      <c r="I5406" s="1323">
        <f t="shared" si="539"/>
        <v>29</v>
      </c>
      <c r="J5406" s="1323"/>
      <c r="K5406" s="1323"/>
      <c r="L5406" s="1323"/>
      <c r="M5406" s="1323"/>
      <c r="N5406" s="1323"/>
      <c r="O5406" s="1323"/>
      <c r="P5406" s="1323"/>
      <c r="Q5406" s="1323"/>
      <c r="R5406" s="1304"/>
      <c r="S5406" s="1304"/>
      <c r="T5406" s="1304"/>
    </row>
    <row r="5407" spans="1:20">
      <c r="A5407" s="1303"/>
      <c r="B5407" s="1322" t="s">
        <v>12148</v>
      </c>
      <c r="C5407" s="1323" t="s">
        <v>12149</v>
      </c>
      <c r="D5407" s="1324">
        <f t="shared" si="534"/>
        <v>33997</v>
      </c>
      <c r="E5407" s="1323">
        <f t="shared" si="536"/>
        <v>3.0562</v>
      </c>
      <c r="F5407" s="1323">
        <f t="shared" si="535"/>
        <v>3.4800143343261247</v>
      </c>
      <c r="G5407" s="1323">
        <f t="shared" si="537"/>
        <v>1993</v>
      </c>
      <c r="H5407" s="1323">
        <f t="shared" si="538"/>
        <v>1</v>
      </c>
      <c r="I5407" s="1323">
        <f t="shared" si="539"/>
        <v>28</v>
      </c>
      <c r="J5407" s="1323"/>
      <c r="K5407" s="1323"/>
      <c r="L5407" s="1323"/>
      <c r="M5407" s="1323"/>
      <c r="N5407" s="1323"/>
      <c r="O5407" s="1323"/>
      <c r="P5407" s="1323"/>
      <c r="Q5407" s="1323"/>
      <c r="R5407" s="1304"/>
      <c r="S5407" s="1304"/>
      <c r="T5407" s="1304"/>
    </row>
    <row r="5408" spans="1:20">
      <c r="A5408" s="1303"/>
      <c r="B5408" s="1322" t="s">
        <v>12150</v>
      </c>
      <c r="C5408" s="1323" t="s">
        <v>12151</v>
      </c>
      <c r="D5408" s="1324">
        <f t="shared" si="534"/>
        <v>33996</v>
      </c>
      <c r="E5408" s="1323">
        <f t="shared" si="536"/>
        <v>3.0632999999999999</v>
      </c>
      <c r="F5408" s="1323">
        <f t="shared" si="535"/>
        <v>3.4793470622867821</v>
      </c>
      <c r="G5408" s="1323">
        <f t="shared" si="537"/>
        <v>1993</v>
      </c>
      <c r="H5408" s="1323">
        <f t="shared" si="538"/>
        <v>1</v>
      </c>
      <c r="I5408" s="1323">
        <f t="shared" si="539"/>
        <v>27</v>
      </c>
      <c r="J5408" s="1323"/>
      <c r="K5408" s="1323"/>
      <c r="L5408" s="1323"/>
      <c r="M5408" s="1323"/>
      <c r="N5408" s="1323"/>
      <c r="O5408" s="1323"/>
      <c r="P5408" s="1323"/>
      <c r="Q5408" s="1323"/>
      <c r="R5408" s="1304"/>
      <c r="S5408" s="1304"/>
      <c r="T5408" s="1304"/>
    </row>
    <row r="5409" spans="1:20">
      <c r="A5409" s="1303"/>
      <c r="B5409" s="1322" t="s">
        <v>12152</v>
      </c>
      <c r="C5409" s="1323" t="s">
        <v>12153</v>
      </c>
      <c r="D5409" s="1324">
        <f t="shared" si="534"/>
        <v>33995</v>
      </c>
      <c r="E5409" s="1323">
        <f t="shared" si="536"/>
        <v>3.0575999999999999</v>
      </c>
      <c r="F5409" s="1323">
        <f t="shared" si="535"/>
        <v>3.4786799181928818</v>
      </c>
      <c r="G5409" s="1323">
        <f t="shared" si="537"/>
        <v>1993</v>
      </c>
      <c r="H5409" s="1323">
        <f t="shared" si="538"/>
        <v>1</v>
      </c>
      <c r="I5409" s="1323">
        <f t="shared" si="539"/>
        <v>26</v>
      </c>
      <c r="J5409" s="1323"/>
      <c r="K5409" s="1323"/>
      <c r="L5409" s="1323"/>
      <c r="M5409" s="1323"/>
      <c r="N5409" s="1323"/>
      <c r="O5409" s="1323"/>
      <c r="P5409" s="1323"/>
      <c r="Q5409" s="1323"/>
      <c r="R5409" s="1304"/>
      <c r="S5409" s="1304"/>
      <c r="T5409" s="1304"/>
    </row>
    <row r="5410" spans="1:20">
      <c r="A5410" s="1303"/>
      <c r="B5410" s="1322" t="s">
        <v>12154</v>
      </c>
      <c r="C5410" s="1323" t="s">
        <v>12155</v>
      </c>
      <c r="D5410" s="1324">
        <f t="shared" si="534"/>
        <v>33994</v>
      </c>
      <c r="E5410" s="1323">
        <f t="shared" si="536"/>
        <v>3.0571999999999999</v>
      </c>
      <c r="F5410" s="1323">
        <f t="shared" si="535"/>
        <v>3.4780129020198918</v>
      </c>
      <c r="G5410" s="1323">
        <f t="shared" si="537"/>
        <v>1993</v>
      </c>
      <c r="H5410" s="1323">
        <f t="shared" si="538"/>
        <v>1</v>
      </c>
      <c r="I5410" s="1323">
        <f t="shared" si="539"/>
        <v>25</v>
      </c>
      <c r="J5410" s="1323"/>
      <c r="K5410" s="1323"/>
      <c r="L5410" s="1323"/>
      <c r="M5410" s="1323"/>
      <c r="N5410" s="1323"/>
      <c r="O5410" s="1323"/>
      <c r="P5410" s="1323"/>
      <c r="Q5410" s="1323"/>
      <c r="R5410" s="1304"/>
      <c r="S5410" s="1304"/>
      <c r="T5410" s="1304"/>
    </row>
    <row r="5411" spans="1:20">
      <c r="A5411" s="1303"/>
      <c r="B5411" s="1322" t="s">
        <v>12156</v>
      </c>
      <c r="C5411" s="1323" t="s">
        <v>12157</v>
      </c>
      <c r="D5411" s="1324">
        <f t="shared" si="534"/>
        <v>33991</v>
      </c>
      <c r="E5411" s="1323">
        <f t="shared" si="536"/>
        <v>3.0754999999999999</v>
      </c>
      <c r="F5411" s="1323">
        <f t="shared" si="535"/>
        <v>3.4773460137432832</v>
      </c>
      <c r="G5411" s="1323">
        <f t="shared" si="537"/>
        <v>1993</v>
      </c>
      <c r="H5411" s="1323">
        <f t="shared" si="538"/>
        <v>1</v>
      </c>
      <c r="I5411" s="1323">
        <f t="shared" si="539"/>
        <v>22</v>
      </c>
      <c r="J5411" s="1323"/>
      <c r="K5411" s="1323"/>
      <c r="L5411" s="1323"/>
      <c r="M5411" s="1323"/>
      <c r="N5411" s="1323"/>
      <c r="O5411" s="1323"/>
      <c r="P5411" s="1323"/>
      <c r="Q5411" s="1323"/>
      <c r="R5411" s="1304"/>
      <c r="S5411" s="1304"/>
      <c r="T5411" s="1304"/>
    </row>
    <row r="5412" spans="1:20">
      <c r="A5412" s="1303"/>
      <c r="B5412" s="1322" t="s">
        <v>12158</v>
      </c>
      <c r="C5412" s="1323" t="s">
        <v>12159</v>
      </c>
      <c r="D5412" s="1324">
        <f t="shared" si="534"/>
        <v>33990</v>
      </c>
      <c r="E5412" s="1323">
        <f t="shared" si="536"/>
        <v>3.0703</v>
      </c>
      <c r="F5412" s="1323">
        <f t="shared" si="535"/>
        <v>3.4766792533385331</v>
      </c>
      <c r="G5412" s="1323">
        <f t="shared" si="537"/>
        <v>1993</v>
      </c>
      <c r="H5412" s="1323">
        <f t="shared" si="538"/>
        <v>1</v>
      </c>
      <c r="I5412" s="1323">
        <f t="shared" si="539"/>
        <v>21</v>
      </c>
      <c r="J5412" s="1323"/>
      <c r="K5412" s="1323"/>
      <c r="L5412" s="1323"/>
      <c r="M5412" s="1323"/>
      <c r="N5412" s="1323"/>
      <c r="O5412" s="1323"/>
      <c r="P5412" s="1323"/>
      <c r="Q5412" s="1323"/>
      <c r="R5412" s="1304"/>
      <c r="S5412" s="1304"/>
      <c r="T5412" s="1304"/>
    </row>
    <row r="5413" spans="1:20">
      <c r="A5413" s="1303"/>
      <c r="B5413" s="1322" t="s">
        <v>12160</v>
      </c>
      <c r="C5413" s="1323" t="s">
        <v>12161</v>
      </c>
      <c r="D5413" s="1324">
        <f t="shared" si="534"/>
        <v>33989</v>
      </c>
      <c r="E5413" s="1323">
        <f t="shared" si="536"/>
        <v>3.0703</v>
      </c>
      <c r="F5413" s="1323">
        <f t="shared" si="535"/>
        <v>3.4760126207811228</v>
      </c>
      <c r="G5413" s="1323">
        <f t="shared" si="537"/>
        <v>1993</v>
      </c>
      <c r="H5413" s="1323">
        <f t="shared" si="538"/>
        <v>1</v>
      </c>
      <c r="I5413" s="1323">
        <f t="shared" si="539"/>
        <v>20</v>
      </c>
      <c r="J5413" s="1323"/>
      <c r="K5413" s="1323"/>
      <c r="L5413" s="1323"/>
      <c r="M5413" s="1323"/>
      <c r="N5413" s="1323"/>
      <c r="O5413" s="1323"/>
      <c r="P5413" s="1323"/>
      <c r="Q5413" s="1323"/>
      <c r="R5413" s="1304"/>
      <c r="S5413" s="1304"/>
      <c r="T5413" s="1304"/>
    </row>
    <row r="5414" spans="1:20">
      <c r="A5414" s="1303"/>
      <c r="B5414" s="1322" t="s">
        <v>12162</v>
      </c>
      <c r="C5414" s="1323" t="s">
        <v>12161</v>
      </c>
      <c r="D5414" s="1324">
        <f t="shared" si="534"/>
        <v>33988</v>
      </c>
      <c r="E5414" s="1323">
        <f t="shared" si="536"/>
        <v>3.0655999999999999</v>
      </c>
      <c r="F5414" s="1323">
        <f t="shared" si="535"/>
        <v>3.4753461160465386</v>
      </c>
      <c r="G5414" s="1323">
        <f t="shared" si="537"/>
        <v>1993</v>
      </c>
      <c r="H5414" s="1323">
        <f t="shared" si="538"/>
        <v>1</v>
      </c>
      <c r="I5414" s="1323">
        <f t="shared" si="539"/>
        <v>19</v>
      </c>
      <c r="J5414" s="1323"/>
      <c r="K5414" s="1323"/>
      <c r="L5414" s="1323"/>
      <c r="M5414" s="1323"/>
      <c r="N5414" s="1323"/>
      <c r="O5414" s="1323"/>
      <c r="P5414" s="1323"/>
      <c r="Q5414" s="1323"/>
      <c r="R5414" s="1304"/>
      <c r="S5414" s="1304"/>
      <c r="T5414" s="1304"/>
    </row>
    <row r="5415" spans="1:20">
      <c r="A5415" s="1303"/>
      <c r="B5415" s="1322" t="s">
        <v>12163</v>
      </c>
      <c r="C5415" s="1323" t="s">
        <v>12164</v>
      </c>
      <c r="D5415" s="1324">
        <f t="shared" si="534"/>
        <v>33987</v>
      </c>
      <c r="E5415" s="1323">
        <f t="shared" si="536"/>
        <v>3.0893000000000002</v>
      </c>
      <c r="F5415" s="1323">
        <f t="shared" si="535"/>
        <v>3.4746797391102708</v>
      </c>
      <c r="G5415" s="1323">
        <f t="shared" si="537"/>
        <v>1993</v>
      </c>
      <c r="H5415" s="1323">
        <f t="shared" si="538"/>
        <v>1</v>
      </c>
      <c r="I5415" s="1323">
        <f t="shared" si="539"/>
        <v>18</v>
      </c>
      <c r="J5415" s="1323"/>
      <c r="K5415" s="1323"/>
      <c r="L5415" s="1323"/>
      <c r="M5415" s="1323"/>
      <c r="N5415" s="1323"/>
      <c r="O5415" s="1323"/>
      <c r="P5415" s="1323"/>
      <c r="Q5415" s="1323"/>
      <c r="R5415" s="1304"/>
      <c r="S5415" s="1304"/>
      <c r="T5415" s="1304"/>
    </row>
    <row r="5416" spans="1:20">
      <c r="A5416" s="1303"/>
      <c r="B5416" s="1322" t="s">
        <v>12165</v>
      </c>
      <c r="C5416" s="1323" t="s">
        <v>12147</v>
      </c>
      <c r="D5416" s="1324">
        <f t="shared" si="534"/>
        <v>33984</v>
      </c>
      <c r="E5416" s="1323">
        <f t="shared" si="536"/>
        <v>3.0731000000000002</v>
      </c>
      <c r="F5416" s="1323">
        <f t="shared" si="535"/>
        <v>3.474013489947815</v>
      </c>
      <c r="G5416" s="1323">
        <f t="shared" si="537"/>
        <v>1993</v>
      </c>
      <c r="H5416" s="1323">
        <f t="shared" si="538"/>
        <v>1</v>
      </c>
      <c r="I5416" s="1323">
        <f t="shared" si="539"/>
        <v>15</v>
      </c>
      <c r="J5416" s="1323"/>
      <c r="K5416" s="1323"/>
      <c r="L5416" s="1323"/>
      <c r="M5416" s="1323"/>
      <c r="N5416" s="1323"/>
      <c r="O5416" s="1323"/>
      <c r="P5416" s="1323"/>
      <c r="Q5416" s="1323"/>
      <c r="R5416" s="1304"/>
      <c r="S5416" s="1304"/>
      <c r="T5416" s="1304"/>
    </row>
    <row r="5417" spans="1:20">
      <c r="A5417" s="1303"/>
      <c r="B5417" s="1322" t="s">
        <v>12166</v>
      </c>
      <c r="C5417" s="1323" t="s">
        <v>12167</v>
      </c>
      <c r="D5417" s="1324">
        <f t="shared" si="534"/>
        <v>33983</v>
      </c>
      <c r="E5417" s="1323">
        <f t="shared" si="536"/>
        <v>3.0651000000000002</v>
      </c>
      <c r="F5417" s="1323">
        <f t="shared" si="535"/>
        <v>3.4733473685346712</v>
      </c>
      <c r="G5417" s="1323">
        <f t="shared" si="537"/>
        <v>1993</v>
      </c>
      <c r="H5417" s="1323">
        <f t="shared" si="538"/>
        <v>1</v>
      </c>
      <c r="I5417" s="1323">
        <f t="shared" si="539"/>
        <v>14</v>
      </c>
      <c r="J5417" s="1323"/>
      <c r="K5417" s="1323"/>
      <c r="L5417" s="1323"/>
      <c r="M5417" s="1323"/>
      <c r="N5417" s="1323"/>
      <c r="O5417" s="1323"/>
      <c r="P5417" s="1323"/>
      <c r="Q5417" s="1323"/>
      <c r="R5417" s="1304"/>
      <c r="S5417" s="1304"/>
      <c r="T5417" s="1304"/>
    </row>
    <row r="5418" spans="1:20">
      <c r="A5418" s="1303"/>
      <c r="B5418" s="1322" t="s">
        <v>12168</v>
      </c>
      <c r="C5418" s="1323" t="s">
        <v>12169</v>
      </c>
      <c r="D5418" s="1324">
        <f t="shared" si="534"/>
        <v>33982</v>
      </c>
      <c r="E5418" s="1323">
        <f t="shared" si="536"/>
        <v>3.0760000000000001</v>
      </c>
      <c r="F5418" s="1323">
        <f t="shared" si="535"/>
        <v>3.4726813748463443</v>
      </c>
      <c r="G5418" s="1323">
        <f t="shared" si="537"/>
        <v>1993</v>
      </c>
      <c r="H5418" s="1323">
        <f t="shared" si="538"/>
        <v>1</v>
      </c>
      <c r="I5418" s="1323">
        <f t="shared" si="539"/>
        <v>13</v>
      </c>
      <c r="J5418" s="1323"/>
      <c r="K5418" s="1323"/>
      <c r="L5418" s="1323"/>
      <c r="M5418" s="1323"/>
      <c r="N5418" s="1323"/>
      <c r="O5418" s="1323"/>
      <c r="P5418" s="1323"/>
      <c r="Q5418" s="1323"/>
      <c r="R5418" s="1304"/>
      <c r="S5418" s="1304"/>
      <c r="T5418" s="1304"/>
    </row>
    <row r="5419" spans="1:20">
      <c r="A5419" s="1303"/>
      <c r="B5419" s="1322" t="s">
        <v>12170</v>
      </c>
      <c r="C5419" s="1323" t="s">
        <v>12171</v>
      </c>
      <c r="D5419" s="1324">
        <f t="shared" si="534"/>
        <v>33981</v>
      </c>
      <c r="E5419" s="1323">
        <f t="shared" si="536"/>
        <v>3.0571999999999999</v>
      </c>
      <c r="F5419" s="1323">
        <f t="shared" si="535"/>
        <v>3.4720155088583438</v>
      </c>
      <c r="G5419" s="1323">
        <f t="shared" si="537"/>
        <v>1993</v>
      </c>
      <c r="H5419" s="1323">
        <f t="shared" si="538"/>
        <v>1</v>
      </c>
      <c r="I5419" s="1323">
        <f t="shared" si="539"/>
        <v>12</v>
      </c>
      <c r="J5419" s="1323"/>
      <c r="K5419" s="1323"/>
      <c r="L5419" s="1323"/>
      <c r="M5419" s="1323"/>
      <c r="N5419" s="1323"/>
      <c r="O5419" s="1323"/>
      <c r="P5419" s="1323"/>
      <c r="Q5419" s="1323"/>
      <c r="R5419" s="1304"/>
      <c r="S5419" s="1304"/>
      <c r="T5419" s="1304"/>
    </row>
    <row r="5420" spans="1:20">
      <c r="A5420" s="1303"/>
      <c r="B5420" s="1322" t="s">
        <v>12172</v>
      </c>
      <c r="C5420" s="1323" t="s">
        <v>12157</v>
      </c>
      <c r="D5420" s="1324">
        <f t="shared" si="534"/>
        <v>33980</v>
      </c>
      <c r="E5420" s="1323">
        <f t="shared" si="536"/>
        <v>3.0825999999999998</v>
      </c>
      <c r="F5420" s="1323">
        <f t="shared" si="535"/>
        <v>3.4713497705461842</v>
      </c>
      <c r="G5420" s="1323">
        <f t="shared" si="537"/>
        <v>1993</v>
      </c>
      <c r="H5420" s="1323">
        <f t="shared" si="538"/>
        <v>1</v>
      </c>
      <c r="I5420" s="1323">
        <f t="shared" si="539"/>
        <v>11</v>
      </c>
      <c r="J5420" s="1323"/>
      <c r="K5420" s="1323"/>
      <c r="L5420" s="1323"/>
      <c r="M5420" s="1323"/>
      <c r="N5420" s="1323"/>
      <c r="O5420" s="1323"/>
      <c r="P5420" s="1323"/>
      <c r="Q5420" s="1323"/>
      <c r="R5420" s="1304"/>
      <c r="S5420" s="1304"/>
      <c r="T5420" s="1304"/>
    </row>
    <row r="5421" spans="1:20">
      <c r="A5421" s="1303"/>
      <c r="B5421" s="1322" t="s">
        <v>12173</v>
      </c>
      <c r="C5421" s="1323" t="s">
        <v>12174</v>
      </c>
      <c r="D5421" s="1324">
        <f t="shared" si="534"/>
        <v>33977</v>
      </c>
      <c r="E5421" s="1323">
        <f t="shared" si="536"/>
        <v>3.0844999999999998</v>
      </c>
      <c r="F5421" s="1323">
        <f t="shared" si="535"/>
        <v>3.4706841598853844</v>
      </c>
      <c r="G5421" s="1323">
        <f t="shared" si="537"/>
        <v>1993</v>
      </c>
      <c r="H5421" s="1323">
        <f t="shared" si="538"/>
        <v>1</v>
      </c>
      <c r="I5421" s="1323">
        <f t="shared" si="539"/>
        <v>8</v>
      </c>
      <c r="J5421" s="1323"/>
      <c r="K5421" s="1323"/>
      <c r="L5421" s="1323"/>
      <c r="M5421" s="1323"/>
      <c r="N5421" s="1323"/>
      <c r="O5421" s="1323"/>
      <c r="P5421" s="1323"/>
      <c r="Q5421" s="1323"/>
      <c r="R5421" s="1304"/>
      <c r="S5421" s="1304"/>
      <c r="T5421" s="1304"/>
    </row>
    <row r="5422" spans="1:20">
      <c r="A5422" s="1303"/>
      <c r="B5422" s="1322" t="s">
        <v>12175</v>
      </c>
      <c r="C5422" s="1323" t="s">
        <v>12176</v>
      </c>
      <c r="D5422" s="1324">
        <f t="shared" si="534"/>
        <v>33976</v>
      </c>
      <c r="E5422" s="1323">
        <f t="shared" si="536"/>
        <v>3.0647000000000002</v>
      </c>
      <c r="F5422" s="1323">
        <f t="shared" si="535"/>
        <v>3.4700186768514674</v>
      </c>
      <c r="G5422" s="1323">
        <f t="shared" si="537"/>
        <v>1993</v>
      </c>
      <c r="H5422" s="1323">
        <f t="shared" si="538"/>
        <v>1</v>
      </c>
      <c r="I5422" s="1323">
        <f t="shared" si="539"/>
        <v>7</v>
      </c>
      <c r="J5422" s="1323"/>
      <c r="K5422" s="1323"/>
      <c r="L5422" s="1323"/>
      <c r="M5422" s="1323"/>
      <c r="N5422" s="1323"/>
      <c r="O5422" s="1323"/>
      <c r="P5422" s="1323"/>
      <c r="Q5422" s="1323"/>
      <c r="R5422" s="1304"/>
      <c r="S5422" s="1304"/>
      <c r="T5422" s="1304"/>
    </row>
    <row r="5423" spans="1:20">
      <c r="A5423" s="1303"/>
      <c r="B5423" s="1322" t="s">
        <v>12177</v>
      </c>
      <c r="C5423" s="1323" t="s">
        <v>12178</v>
      </c>
      <c r="D5423" s="1324">
        <f t="shared" si="534"/>
        <v>33975</v>
      </c>
      <c r="E5423" s="1323">
        <f t="shared" si="536"/>
        <v>3.0543999999999998</v>
      </c>
      <c r="F5423" s="1323">
        <f t="shared" si="535"/>
        <v>3.4693533214199621</v>
      </c>
      <c r="G5423" s="1323">
        <f t="shared" si="537"/>
        <v>1993</v>
      </c>
      <c r="H5423" s="1323">
        <f t="shared" si="538"/>
        <v>1</v>
      </c>
      <c r="I5423" s="1323">
        <f t="shared" si="539"/>
        <v>6</v>
      </c>
      <c r="J5423" s="1323"/>
      <c r="K5423" s="1323"/>
      <c r="L5423" s="1323"/>
      <c r="M5423" s="1323"/>
      <c r="N5423" s="1323"/>
      <c r="O5423" s="1323"/>
      <c r="P5423" s="1323"/>
      <c r="Q5423" s="1323"/>
      <c r="R5423" s="1304"/>
      <c r="S5423" s="1304"/>
      <c r="T5423" s="1304"/>
    </row>
    <row r="5424" spans="1:20">
      <c r="A5424" s="1303"/>
      <c r="B5424" s="1322" t="s">
        <v>12179</v>
      </c>
      <c r="C5424" s="1323" t="s">
        <v>12180</v>
      </c>
      <c r="D5424" s="1324">
        <f t="shared" si="534"/>
        <v>33974</v>
      </c>
      <c r="E5424" s="1323">
        <f t="shared" si="536"/>
        <v>3.0722</v>
      </c>
      <c r="F5424" s="1323">
        <f t="shared" si="535"/>
        <v>3.4686880935664015</v>
      </c>
      <c r="G5424" s="1323">
        <f t="shared" si="537"/>
        <v>1993</v>
      </c>
      <c r="H5424" s="1323">
        <f t="shared" si="538"/>
        <v>1</v>
      </c>
      <c r="I5424" s="1323">
        <f t="shared" si="539"/>
        <v>5</v>
      </c>
      <c r="J5424" s="1323"/>
      <c r="K5424" s="1323"/>
      <c r="L5424" s="1323"/>
      <c r="M5424" s="1323"/>
      <c r="N5424" s="1323"/>
      <c r="O5424" s="1323"/>
      <c r="P5424" s="1323"/>
      <c r="Q5424" s="1323"/>
      <c r="R5424" s="1304"/>
      <c r="S5424" s="1304"/>
      <c r="T5424" s="1304"/>
    </row>
    <row r="5425" spans="1:20">
      <c r="A5425" s="1303"/>
      <c r="B5425" s="1322" t="s">
        <v>12181</v>
      </c>
      <c r="C5425" s="1323" t="s">
        <v>12182</v>
      </c>
      <c r="D5425" s="1324">
        <f t="shared" si="534"/>
        <v>33973</v>
      </c>
      <c r="E5425" s="1323">
        <f t="shared" si="536"/>
        <v>3.0722</v>
      </c>
      <c r="F5425" s="1323">
        <f t="shared" si="535"/>
        <v>3.4680229932663229</v>
      </c>
      <c r="G5425" s="1323">
        <f t="shared" si="537"/>
        <v>1993</v>
      </c>
      <c r="H5425" s="1323">
        <f t="shared" si="538"/>
        <v>1</v>
      </c>
      <c r="I5425" s="1323">
        <f t="shared" si="539"/>
        <v>4</v>
      </c>
      <c r="J5425" s="1323"/>
      <c r="K5425" s="1323"/>
      <c r="L5425" s="1323"/>
      <c r="M5425" s="1323"/>
      <c r="N5425" s="1323"/>
      <c r="O5425" s="1323"/>
      <c r="P5425" s="1323"/>
      <c r="Q5425" s="1323"/>
      <c r="R5425" s="1304"/>
      <c r="S5425" s="1304"/>
      <c r="T5425" s="1304"/>
    </row>
    <row r="5426" spans="1:20">
      <c r="A5426" s="1303"/>
      <c r="B5426" s="1322" t="s">
        <v>12183</v>
      </c>
      <c r="C5426" s="1323" t="s">
        <v>12182</v>
      </c>
      <c r="D5426" s="1324">
        <f t="shared" si="534"/>
        <v>33969</v>
      </c>
      <c r="E5426" s="1323">
        <f t="shared" si="536"/>
        <v>3.0543999999999998</v>
      </c>
      <c r="F5426" s="1323">
        <f t="shared" si="535"/>
        <v>3.467358020495269</v>
      </c>
      <c r="G5426" s="1323">
        <f t="shared" si="537"/>
        <v>1992</v>
      </c>
      <c r="H5426" s="1323">
        <f t="shared" si="538"/>
        <v>12</v>
      </c>
      <c r="I5426" s="1323">
        <f t="shared" si="539"/>
        <v>31</v>
      </c>
      <c r="J5426" s="1323"/>
      <c r="K5426" s="1323"/>
      <c r="L5426" s="1323"/>
      <c r="M5426" s="1323"/>
      <c r="N5426" s="1323"/>
      <c r="O5426" s="1323"/>
      <c r="P5426" s="1323"/>
      <c r="Q5426" s="1323"/>
      <c r="R5426" s="1304"/>
      <c r="S5426" s="1304"/>
      <c r="T5426" s="1304"/>
    </row>
    <row r="5427" spans="1:20">
      <c r="A5427" s="1303"/>
      <c r="B5427" s="1322" t="s">
        <v>12184</v>
      </c>
      <c r="C5427" s="1323" t="s">
        <v>12180</v>
      </c>
      <c r="D5427" s="1324">
        <f t="shared" si="534"/>
        <v>33968</v>
      </c>
      <c r="E5427" s="1323">
        <f t="shared" si="536"/>
        <v>3.0548000000000002</v>
      </c>
      <c r="F5427" s="1323">
        <f t="shared" si="535"/>
        <v>3.4666931752287868</v>
      </c>
      <c r="G5427" s="1323">
        <f t="shared" si="537"/>
        <v>1992</v>
      </c>
      <c r="H5427" s="1323">
        <f t="shared" si="538"/>
        <v>12</v>
      </c>
      <c r="I5427" s="1323">
        <f t="shared" si="539"/>
        <v>30</v>
      </c>
      <c r="J5427" s="1323"/>
      <c r="K5427" s="1323"/>
      <c r="L5427" s="1323"/>
      <c r="M5427" s="1323"/>
      <c r="N5427" s="1323"/>
      <c r="O5427" s="1323"/>
      <c r="P5427" s="1323"/>
      <c r="Q5427" s="1323"/>
      <c r="R5427" s="1304"/>
      <c r="S5427" s="1304"/>
      <c r="T5427" s="1304"/>
    </row>
    <row r="5428" spans="1:20">
      <c r="A5428" s="1303"/>
      <c r="B5428" s="1322" t="s">
        <v>12185</v>
      </c>
      <c r="C5428" s="1323" t="s">
        <v>12186</v>
      </c>
      <c r="D5428" s="1324">
        <f t="shared" si="534"/>
        <v>33967</v>
      </c>
      <c r="E5428" s="1323">
        <f t="shared" si="536"/>
        <v>3.0506000000000002</v>
      </c>
      <c r="F5428" s="1323">
        <f t="shared" si="535"/>
        <v>3.466028457442428</v>
      </c>
      <c r="G5428" s="1323">
        <f t="shared" si="537"/>
        <v>1992</v>
      </c>
      <c r="H5428" s="1323">
        <f t="shared" si="538"/>
        <v>12</v>
      </c>
      <c r="I5428" s="1323">
        <f t="shared" si="539"/>
        <v>29</v>
      </c>
      <c r="J5428" s="1323"/>
      <c r="K5428" s="1323"/>
      <c r="L5428" s="1323"/>
      <c r="M5428" s="1323"/>
      <c r="N5428" s="1323"/>
      <c r="O5428" s="1323"/>
      <c r="P5428" s="1323"/>
      <c r="Q5428" s="1323"/>
      <c r="R5428" s="1304"/>
      <c r="S5428" s="1304"/>
      <c r="T5428" s="1304"/>
    </row>
    <row r="5429" spans="1:20">
      <c r="A5429" s="1303"/>
      <c r="B5429" s="1322" t="s">
        <v>12187</v>
      </c>
      <c r="C5429" s="1323" t="s">
        <v>12188</v>
      </c>
      <c r="D5429" s="1324">
        <f t="shared" si="534"/>
        <v>33966</v>
      </c>
      <c r="E5429" s="1323">
        <f t="shared" si="536"/>
        <v>3.0331000000000001</v>
      </c>
      <c r="F5429" s="1323">
        <f t="shared" si="535"/>
        <v>3.465363867111749</v>
      </c>
      <c r="G5429" s="1323">
        <f t="shared" si="537"/>
        <v>1992</v>
      </c>
      <c r="H5429" s="1323">
        <f t="shared" si="538"/>
        <v>12</v>
      </c>
      <c r="I5429" s="1323">
        <f t="shared" si="539"/>
        <v>28</v>
      </c>
      <c r="J5429" s="1323"/>
      <c r="K5429" s="1323"/>
      <c r="L5429" s="1323"/>
      <c r="M5429" s="1323"/>
      <c r="N5429" s="1323"/>
      <c r="O5429" s="1323"/>
      <c r="P5429" s="1323"/>
      <c r="Q5429" s="1323"/>
      <c r="R5429" s="1304"/>
      <c r="S5429" s="1304"/>
      <c r="T5429" s="1304"/>
    </row>
    <row r="5430" spans="1:20">
      <c r="A5430" s="1303"/>
      <c r="B5430" s="1322" t="s">
        <v>12189</v>
      </c>
      <c r="C5430" s="1323" t="s">
        <v>12190</v>
      </c>
      <c r="D5430" s="1324">
        <f t="shared" si="534"/>
        <v>33962</v>
      </c>
      <c r="E5430" s="1323">
        <f t="shared" si="536"/>
        <v>3.0184000000000002</v>
      </c>
      <c r="F5430" s="1323">
        <f t="shared" si="535"/>
        <v>3.4646994042123112</v>
      </c>
      <c r="G5430" s="1323">
        <f t="shared" si="537"/>
        <v>1992</v>
      </c>
      <c r="H5430" s="1323">
        <f t="shared" si="538"/>
        <v>12</v>
      </c>
      <c r="I5430" s="1323">
        <f t="shared" si="539"/>
        <v>24</v>
      </c>
      <c r="J5430" s="1323"/>
      <c r="K5430" s="1323"/>
      <c r="L5430" s="1323"/>
      <c r="M5430" s="1323"/>
      <c r="N5430" s="1323"/>
      <c r="O5430" s="1323"/>
      <c r="P5430" s="1323"/>
      <c r="Q5430" s="1323"/>
      <c r="R5430" s="1304"/>
      <c r="S5430" s="1304"/>
      <c r="T5430" s="1304"/>
    </row>
    <row r="5431" spans="1:20">
      <c r="A5431" s="1303"/>
      <c r="B5431" s="1322" t="s">
        <v>12191</v>
      </c>
      <c r="C5431" s="1323" t="s">
        <v>12192</v>
      </c>
      <c r="D5431" s="1324">
        <f t="shared" si="534"/>
        <v>33961</v>
      </c>
      <c r="E5431" s="1323">
        <f t="shared" si="536"/>
        <v>3.0238999999999998</v>
      </c>
      <c r="F5431" s="1323">
        <f t="shared" si="535"/>
        <v>3.4640350687196797</v>
      </c>
      <c r="G5431" s="1323">
        <f t="shared" si="537"/>
        <v>1992</v>
      </c>
      <c r="H5431" s="1323">
        <f t="shared" si="538"/>
        <v>12</v>
      </c>
      <c r="I5431" s="1323">
        <f t="shared" si="539"/>
        <v>23</v>
      </c>
      <c r="J5431" s="1323"/>
      <c r="K5431" s="1323"/>
      <c r="L5431" s="1323"/>
      <c r="M5431" s="1323"/>
      <c r="N5431" s="1323"/>
      <c r="O5431" s="1323"/>
      <c r="P5431" s="1323"/>
      <c r="Q5431" s="1323"/>
      <c r="R5431" s="1304"/>
      <c r="S5431" s="1304"/>
      <c r="T5431" s="1304"/>
    </row>
    <row r="5432" spans="1:20">
      <c r="A5432" s="1303"/>
      <c r="B5432" s="1322" t="s">
        <v>12193</v>
      </c>
      <c r="C5432" s="1323" t="s">
        <v>12194</v>
      </c>
      <c r="D5432" s="1324">
        <f t="shared" si="534"/>
        <v>33960</v>
      </c>
      <c r="E5432" s="1323">
        <f t="shared" si="536"/>
        <v>3.0148000000000001</v>
      </c>
      <c r="F5432" s="1323">
        <f t="shared" si="535"/>
        <v>3.4633708606094258</v>
      </c>
      <c r="G5432" s="1323">
        <f t="shared" si="537"/>
        <v>1992</v>
      </c>
      <c r="H5432" s="1323">
        <f t="shared" si="538"/>
        <v>12</v>
      </c>
      <c r="I5432" s="1323">
        <f t="shared" si="539"/>
        <v>22</v>
      </c>
      <c r="J5432" s="1323"/>
      <c r="K5432" s="1323"/>
      <c r="L5432" s="1323"/>
      <c r="M5432" s="1323"/>
      <c r="N5432" s="1323"/>
      <c r="O5432" s="1323"/>
      <c r="P5432" s="1323"/>
      <c r="Q5432" s="1323"/>
      <c r="R5432" s="1304"/>
      <c r="S5432" s="1304"/>
      <c r="T5432" s="1304"/>
    </row>
    <row r="5433" spans="1:20">
      <c r="A5433" s="1303"/>
      <c r="B5433" s="1322" t="s">
        <v>12195</v>
      </c>
      <c r="C5433" s="1323" t="s">
        <v>12196</v>
      </c>
      <c r="D5433" s="1324">
        <f t="shared" si="534"/>
        <v>33959</v>
      </c>
      <c r="E5433" s="1323">
        <f t="shared" si="536"/>
        <v>3.0047999999999999</v>
      </c>
      <c r="F5433" s="1323">
        <f t="shared" si="535"/>
        <v>3.4627067798571245</v>
      </c>
      <c r="G5433" s="1323">
        <f t="shared" si="537"/>
        <v>1992</v>
      </c>
      <c r="H5433" s="1323">
        <f t="shared" si="538"/>
        <v>12</v>
      </c>
      <c r="I5433" s="1323">
        <f t="shared" si="539"/>
        <v>21</v>
      </c>
      <c r="J5433" s="1323"/>
      <c r="K5433" s="1323"/>
      <c r="L5433" s="1323"/>
      <c r="M5433" s="1323"/>
      <c r="N5433" s="1323"/>
      <c r="O5433" s="1323"/>
      <c r="P5433" s="1323"/>
      <c r="Q5433" s="1323"/>
      <c r="R5433" s="1304"/>
      <c r="S5433" s="1304"/>
      <c r="T5433" s="1304"/>
    </row>
    <row r="5434" spans="1:20">
      <c r="A5434" s="1303"/>
      <c r="B5434" s="1322" t="s">
        <v>12197</v>
      </c>
      <c r="C5434" s="1323" t="s">
        <v>12198</v>
      </c>
      <c r="D5434" s="1324">
        <f t="shared" si="534"/>
        <v>33956</v>
      </c>
      <c r="E5434" s="1323">
        <f t="shared" si="536"/>
        <v>3.0062000000000002</v>
      </c>
      <c r="F5434" s="1323">
        <f t="shared" si="535"/>
        <v>3.4620428264383554</v>
      </c>
      <c r="G5434" s="1323">
        <f t="shared" si="537"/>
        <v>1992</v>
      </c>
      <c r="H5434" s="1323">
        <f t="shared" si="538"/>
        <v>12</v>
      </c>
      <c r="I5434" s="1323">
        <f t="shared" si="539"/>
        <v>18</v>
      </c>
      <c r="J5434" s="1323"/>
      <c r="K5434" s="1323"/>
      <c r="L5434" s="1323"/>
      <c r="M5434" s="1323"/>
      <c r="N5434" s="1323"/>
      <c r="O5434" s="1323"/>
      <c r="P5434" s="1323"/>
      <c r="Q5434" s="1323"/>
      <c r="R5434" s="1304"/>
      <c r="S5434" s="1304"/>
      <c r="T5434" s="1304"/>
    </row>
    <row r="5435" spans="1:20">
      <c r="A5435" s="1303"/>
      <c r="B5435" s="1322" t="s">
        <v>12199</v>
      </c>
      <c r="C5435" s="1323" t="s">
        <v>12200</v>
      </c>
      <c r="D5435" s="1324">
        <f t="shared" si="534"/>
        <v>33955</v>
      </c>
      <c r="E5435" s="1323">
        <f t="shared" si="536"/>
        <v>2.9885999999999999</v>
      </c>
      <c r="F5435" s="1323">
        <f t="shared" si="535"/>
        <v>3.4613790003287033</v>
      </c>
      <c r="G5435" s="1323">
        <f t="shared" si="537"/>
        <v>1992</v>
      </c>
      <c r="H5435" s="1323">
        <f t="shared" si="538"/>
        <v>12</v>
      </c>
      <c r="I5435" s="1323">
        <f t="shared" si="539"/>
        <v>17</v>
      </c>
      <c r="J5435" s="1323"/>
      <c r="K5435" s="1323"/>
      <c r="L5435" s="1323"/>
      <c r="M5435" s="1323"/>
      <c r="N5435" s="1323"/>
      <c r="O5435" s="1323"/>
      <c r="P5435" s="1323"/>
      <c r="Q5435" s="1323"/>
      <c r="R5435" s="1304"/>
      <c r="S5435" s="1304"/>
      <c r="T5435" s="1304"/>
    </row>
    <row r="5436" spans="1:20">
      <c r="A5436" s="1303"/>
      <c r="B5436" s="1322" t="s">
        <v>12201</v>
      </c>
      <c r="C5436" s="1323" t="s">
        <v>12202</v>
      </c>
      <c r="D5436" s="1324">
        <f t="shared" si="534"/>
        <v>33953</v>
      </c>
      <c r="E5436" s="1323">
        <f t="shared" si="536"/>
        <v>3.0110999999999999</v>
      </c>
      <c r="F5436" s="1323">
        <f t="shared" si="535"/>
        <v>3.4607153015037571</v>
      </c>
      <c r="G5436" s="1323">
        <f t="shared" si="537"/>
        <v>1992</v>
      </c>
      <c r="H5436" s="1323">
        <f t="shared" si="538"/>
        <v>12</v>
      </c>
      <c r="I5436" s="1323">
        <f t="shared" si="539"/>
        <v>15</v>
      </c>
      <c r="J5436" s="1323"/>
      <c r="K5436" s="1323"/>
      <c r="L5436" s="1323"/>
      <c r="M5436" s="1323"/>
      <c r="N5436" s="1323"/>
      <c r="O5436" s="1323"/>
      <c r="P5436" s="1323"/>
      <c r="Q5436" s="1323"/>
      <c r="R5436" s="1304"/>
      <c r="S5436" s="1304"/>
      <c r="T5436" s="1304"/>
    </row>
    <row r="5437" spans="1:20">
      <c r="A5437" s="1303"/>
      <c r="B5437" s="1322" t="s">
        <v>12203</v>
      </c>
      <c r="C5437" s="1323" t="s">
        <v>12204</v>
      </c>
      <c r="D5437" s="1324">
        <f t="shared" si="534"/>
        <v>33952</v>
      </c>
      <c r="E5437" s="1323">
        <f t="shared" si="536"/>
        <v>3.0084</v>
      </c>
      <c r="F5437" s="1323">
        <f t="shared" si="535"/>
        <v>3.4600517299391109</v>
      </c>
      <c r="G5437" s="1323">
        <f t="shared" si="537"/>
        <v>1992</v>
      </c>
      <c r="H5437" s="1323">
        <f t="shared" si="538"/>
        <v>12</v>
      </c>
      <c r="I5437" s="1323">
        <f t="shared" si="539"/>
        <v>14</v>
      </c>
      <c r="J5437" s="1323"/>
      <c r="K5437" s="1323"/>
      <c r="L5437" s="1323"/>
      <c r="M5437" s="1323"/>
      <c r="N5437" s="1323"/>
      <c r="O5437" s="1323"/>
      <c r="P5437" s="1323"/>
      <c r="Q5437" s="1323"/>
      <c r="R5437" s="1304"/>
      <c r="S5437" s="1304"/>
      <c r="T5437" s="1304"/>
    </row>
    <row r="5438" spans="1:20">
      <c r="A5438" s="1303"/>
      <c r="B5438" s="1322" t="s">
        <v>12205</v>
      </c>
      <c r="C5438" s="1323" t="s">
        <v>12206</v>
      </c>
      <c r="D5438" s="1324">
        <f t="shared" si="534"/>
        <v>33949</v>
      </c>
      <c r="E5438" s="1323">
        <f t="shared" si="536"/>
        <v>3.0143</v>
      </c>
      <c r="F5438" s="1323">
        <f t="shared" si="535"/>
        <v>3.4593882856103635</v>
      </c>
      <c r="G5438" s="1323">
        <f t="shared" si="537"/>
        <v>1992</v>
      </c>
      <c r="H5438" s="1323">
        <f t="shared" si="538"/>
        <v>12</v>
      </c>
      <c r="I5438" s="1323">
        <f t="shared" si="539"/>
        <v>11</v>
      </c>
      <c r="J5438" s="1323"/>
      <c r="K5438" s="1323"/>
      <c r="L5438" s="1323"/>
      <c r="M5438" s="1323"/>
      <c r="N5438" s="1323"/>
      <c r="O5438" s="1323"/>
      <c r="P5438" s="1323"/>
      <c r="Q5438" s="1323"/>
      <c r="R5438" s="1304"/>
      <c r="S5438" s="1304"/>
      <c r="T5438" s="1304"/>
    </row>
    <row r="5439" spans="1:20">
      <c r="A5439" s="1303"/>
      <c r="B5439" s="1322" t="s">
        <v>12207</v>
      </c>
      <c r="C5439" s="1323" t="s">
        <v>12208</v>
      </c>
      <c r="D5439" s="1324">
        <f t="shared" si="534"/>
        <v>33948</v>
      </c>
      <c r="E5439" s="1323">
        <f t="shared" si="536"/>
        <v>3.0038999999999998</v>
      </c>
      <c r="F5439" s="1323">
        <f t="shared" si="535"/>
        <v>3.4587249684931183</v>
      </c>
      <c r="G5439" s="1323">
        <f t="shared" si="537"/>
        <v>1992</v>
      </c>
      <c r="H5439" s="1323">
        <f t="shared" si="538"/>
        <v>12</v>
      </c>
      <c r="I5439" s="1323">
        <f t="shared" si="539"/>
        <v>10</v>
      </c>
      <c r="J5439" s="1323"/>
      <c r="K5439" s="1323"/>
      <c r="L5439" s="1323"/>
      <c r="M5439" s="1323"/>
      <c r="N5439" s="1323"/>
      <c r="O5439" s="1323"/>
      <c r="P5439" s="1323"/>
      <c r="Q5439" s="1323"/>
      <c r="R5439" s="1304"/>
      <c r="S5439" s="1304"/>
      <c r="T5439" s="1304"/>
    </row>
    <row r="5440" spans="1:20">
      <c r="A5440" s="1303"/>
      <c r="B5440" s="1322" t="s">
        <v>12209</v>
      </c>
      <c r="C5440" s="1323" t="s">
        <v>12210</v>
      </c>
      <c r="D5440" s="1324">
        <f t="shared" si="534"/>
        <v>33947</v>
      </c>
      <c r="E5440" s="1323">
        <f t="shared" si="536"/>
        <v>2.9912999999999998</v>
      </c>
      <c r="F5440" s="1323">
        <f t="shared" si="535"/>
        <v>3.4580617785629828</v>
      </c>
      <c r="G5440" s="1323">
        <f t="shared" si="537"/>
        <v>1992</v>
      </c>
      <c r="H5440" s="1323">
        <f t="shared" si="538"/>
        <v>12</v>
      </c>
      <c r="I5440" s="1323">
        <f t="shared" si="539"/>
        <v>9</v>
      </c>
      <c r="J5440" s="1323"/>
      <c r="K5440" s="1323"/>
      <c r="L5440" s="1323"/>
      <c r="M5440" s="1323"/>
      <c r="N5440" s="1323"/>
      <c r="O5440" s="1323"/>
      <c r="P5440" s="1323"/>
      <c r="Q5440" s="1323"/>
      <c r="R5440" s="1304"/>
      <c r="S5440" s="1304"/>
      <c r="T5440" s="1304"/>
    </row>
    <row r="5441" spans="1:20">
      <c r="A5441" s="1303"/>
      <c r="B5441" s="1322" t="s">
        <v>12211</v>
      </c>
      <c r="C5441" s="1323" t="s">
        <v>12212</v>
      </c>
      <c r="D5441" s="1324">
        <f t="shared" si="534"/>
        <v>33946</v>
      </c>
      <c r="E5441" s="1323">
        <f t="shared" si="536"/>
        <v>2.9832999999999998</v>
      </c>
      <c r="F5441" s="1323">
        <f t="shared" si="535"/>
        <v>3.4573987157955699</v>
      </c>
      <c r="G5441" s="1323">
        <f t="shared" si="537"/>
        <v>1992</v>
      </c>
      <c r="H5441" s="1323">
        <f t="shared" si="538"/>
        <v>12</v>
      </c>
      <c r="I5441" s="1323">
        <f t="shared" si="539"/>
        <v>8</v>
      </c>
      <c r="J5441" s="1323"/>
      <c r="K5441" s="1323"/>
      <c r="L5441" s="1323"/>
      <c r="M5441" s="1323"/>
      <c r="N5441" s="1323"/>
      <c r="O5441" s="1323"/>
      <c r="P5441" s="1323"/>
      <c r="Q5441" s="1323"/>
      <c r="R5441" s="1304"/>
      <c r="S5441" s="1304"/>
      <c r="T5441" s="1304"/>
    </row>
    <row r="5442" spans="1:20">
      <c r="A5442" s="1303"/>
      <c r="B5442" s="1322" t="s">
        <v>12213</v>
      </c>
      <c r="C5442" s="1323" t="s">
        <v>12214</v>
      </c>
      <c r="D5442" s="1324">
        <f t="shared" si="534"/>
        <v>33945</v>
      </c>
      <c r="E5442" s="1323">
        <f t="shared" si="536"/>
        <v>3.0179999999999998</v>
      </c>
      <c r="F5442" s="1323">
        <f t="shared" si="535"/>
        <v>3.4567357801664969</v>
      </c>
      <c r="G5442" s="1323">
        <f t="shared" si="537"/>
        <v>1992</v>
      </c>
      <c r="H5442" s="1323">
        <f t="shared" si="538"/>
        <v>12</v>
      </c>
      <c r="I5442" s="1323">
        <f t="shared" si="539"/>
        <v>7</v>
      </c>
      <c r="J5442" s="1323"/>
      <c r="K5442" s="1323"/>
      <c r="L5442" s="1323"/>
      <c r="M5442" s="1323"/>
      <c r="N5442" s="1323"/>
      <c r="O5442" s="1323"/>
      <c r="P5442" s="1323"/>
      <c r="Q5442" s="1323"/>
      <c r="R5442" s="1304"/>
      <c r="S5442" s="1304"/>
      <c r="T5442" s="1304"/>
    </row>
    <row r="5443" spans="1:20">
      <c r="A5443" s="1303"/>
      <c r="B5443" s="1322" t="s">
        <v>12215</v>
      </c>
      <c r="C5443" s="1323" t="s">
        <v>12216</v>
      </c>
      <c r="D5443" s="1324">
        <f t="shared" si="534"/>
        <v>33942</v>
      </c>
      <c r="E5443" s="1323">
        <f t="shared" si="536"/>
        <v>2.9967000000000001</v>
      </c>
      <c r="F5443" s="1323">
        <f t="shared" si="535"/>
        <v>3.4560729716513854</v>
      </c>
      <c r="G5443" s="1323">
        <f t="shared" si="537"/>
        <v>1992</v>
      </c>
      <c r="H5443" s="1323">
        <f t="shared" si="538"/>
        <v>12</v>
      </c>
      <c r="I5443" s="1323">
        <f t="shared" si="539"/>
        <v>4</v>
      </c>
      <c r="J5443" s="1323"/>
      <c r="K5443" s="1323"/>
      <c r="L5443" s="1323"/>
      <c r="M5443" s="1323"/>
      <c r="N5443" s="1323"/>
      <c r="O5443" s="1323"/>
      <c r="P5443" s="1323"/>
      <c r="Q5443" s="1323"/>
      <c r="R5443" s="1304"/>
      <c r="S5443" s="1304"/>
      <c r="T5443" s="1304"/>
    </row>
    <row r="5444" spans="1:20">
      <c r="A5444" s="1303"/>
      <c r="B5444" s="1322" t="s">
        <v>12217</v>
      </c>
      <c r="C5444" s="1323" t="s">
        <v>12218</v>
      </c>
      <c r="D5444" s="1324">
        <f t="shared" si="534"/>
        <v>33941</v>
      </c>
      <c r="E5444" s="1323">
        <f t="shared" si="536"/>
        <v>3.0003000000000002</v>
      </c>
      <c r="F5444" s="1323">
        <f t="shared" si="535"/>
        <v>3.4554102902258625</v>
      </c>
      <c r="G5444" s="1323">
        <f t="shared" si="537"/>
        <v>1992</v>
      </c>
      <c r="H5444" s="1323">
        <f t="shared" si="538"/>
        <v>12</v>
      </c>
      <c r="I5444" s="1323">
        <f t="shared" si="539"/>
        <v>3</v>
      </c>
      <c r="J5444" s="1323"/>
      <c r="K5444" s="1323"/>
      <c r="L5444" s="1323"/>
      <c r="M5444" s="1323"/>
      <c r="N5444" s="1323"/>
      <c r="O5444" s="1323"/>
      <c r="P5444" s="1323"/>
      <c r="Q5444" s="1323"/>
      <c r="R5444" s="1304"/>
      <c r="S5444" s="1304"/>
      <c r="T5444" s="1304"/>
    </row>
    <row r="5445" spans="1:20">
      <c r="A5445" s="1303"/>
      <c r="B5445" s="1322" t="s">
        <v>12219</v>
      </c>
      <c r="C5445" s="1323" t="s">
        <v>12220</v>
      </c>
      <c r="D5445" s="1324">
        <f t="shared" si="534"/>
        <v>33940</v>
      </c>
      <c r="E5445" s="1323">
        <f t="shared" si="536"/>
        <v>2.9971999999999999</v>
      </c>
      <c r="F5445" s="1323">
        <f t="shared" si="535"/>
        <v>3.4547477358655594</v>
      </c>
      <c r="G5445" s="1323">
        <f t="shared" si="537"/>
        <v>1992</v>
      </c>
      <c r="H5445" s="1323">
        <f t="shared" si="538"/>
        <v>12</v>
      </c>
      <c r="I5445" s="1323">
        <f t="shared" si="539"/>
        <v>2</v>
      </c>
      <c r="J5445" s="1323"/>
      <c r="K5445" s="1323"/>
      <c r="L5445" s="1323"/>
      <c r="M5445" s="1323"/>
      <c r="N5445" s="1323"/>
      <c r="O5445" s="1323"/>
      <c r="P5445" s="1323"/>
      <c r="Q5445" s="1323"/>
      <c r="R5445" s="1304"/>
      <c r="S5445" s="1304"/>
      <c r="T5445" s="1304"/>
    </row>
    <row r="5446" spans="1:20">
      <c r="A5446" s="1303"/>
      <c r="B5446" s="1322" t="s">
        <v>12221</v>
      </c>
      <c r="C5446" s="1323" t="s">
        <v>12222</v>
      </c>
      <c r="D5446" s="1324">
        <f t="shared" si="534"/>
        <v>33939</v>
      </c>
      <c r="E5446" s="1323">
        <f t="shared" si="536"/>
        <v>3.0110999999999999</v>
      </c>
      <c r="F5446" s="1323">
        <f t="shared" si="535"/>
        <v>3.4540853085461123</v>
      </c>
      <c r="G5446" s="1323">
        <f t="shared" si="537"/>
        <v>1992</v>
      </c>
      <c r="H5446" s="1323">
        <f t="shared" si="538"/>
        <v>12</v>
      </c>
      <c r="I5446" s="1323">
        <f t="shared" si="539"/>
        <v>1</v>
      </c>
      <c r="J5446" s="1323"/>
      <c r="K5446" s="1323"/>
      <c r="L5446" s="1323"/>
      <c r="M5446" s="1323"/>
      <c r="N5446" s="1323"/>
      <c r="O5446" s="1323"/>
      <c r="P5446" s="1323"/>
      <c r="Q5446" s="1323"/>
      <c r="R5446" s="1304"/>
      <c r="S5446" s="1304"/>
      <c r="T5446" s="1304"/>
    </row>
    <row r="5447" spans="1:20">
      <c r="A5447" s="1303"/>
      <c r="B5447" s="1322" t="s">
        <v>12223</v>
      </c>
      <c r="C5447" s="1323" t="s">
        <v>12204</v>
      </c>
      <c r="D5447" s="1324">
        <f t="shared" si="534"/>
        <v>33938</v>
      </c>
      <c r="E5447" s="1323">
        <f t="shared" si="536"/>
        <v>3.0285000000000002</v>
      </c>
      <c r="F5447" s="1323">
        <f t="shared" si="535"/>
        <v>3.4534230082431616</v>
      </c>
      <c r="G5447" s="1323">
        <f t="shared" si="537"/>
        <v>1992</v>
      </c>
      <c r="H5447" s="1323">
        <f t="shared" si="538"/>
        <v>11</v>
      </c>
      <c r="I5447" s="1323">
        <f t="shared" si="539"/>
        <v>30</v>
      </c>
      <c r="J5447" s="1323"/>
      <c r="K5447" s="1323"/>
      <c r="L5447" s="1323"/>
      <c r="M5447" s="1323"/>
      <c r="N5447" s="1323"/>
      <c r="O5447" s="1323"/>
      <c r="P5447" s="1323"/>
      <c r="Q5447" s="1323"/>
      <c r="R5447" s="1304"/>
      <c r="S5447" s="1304"/>
      <c r="T5447" s="1304"/>
    </row>
    <row r="5448" spans="1:20">
      <c r="A5448" s="1303"/>
      <c r="B5448" s="1322" t="s">
        <v>12224</v>
      </c>
      <c r="C5448" s="1323" t="s">
        <v>12225</v>
      </c>
      <c r="D5448" s="1324">
        <f t="shared" si="534"/>
        <v>33935</v>
      </c>
      <c r="E5448" s="1323">
        <f t="shared" si="536"/>
        <v>3.0207000000000002</v>
      </c>
      <c r="F5448" s="1323">
        <f t="shared" si="535"/>
        <v>3.4527608349323526</v>
      </c>
      <c r="G5448" s="1323">
        <f t="shared" si="537"/>
        <v>1992</v>
      </c>
      <c r="H5448" s="1323">
        <f t="shared" si="538"/>
        <v>11</v>
      </c>
      <c r="I5448" s="1323">
        <f t="shared" si="539"/>
        <v>27</v>
      </c>
      <c r="J5448" s="1323"/>
      <c r="K5448" s="1323"/>
      <c r="L5448" s="1323"/>
      <c r="M5448" s="1323"/>
      <c r="N5448" s="1323"/>
      <c r="O5448" s="1323"/>
      <c r="P5448" s="1323"/>
      <c r="Q5448" s="1323"/>
      <c r="R5448" s="1304"/>
      <c r="S5448" s="1304"/>
      <c r="T5448" s="1304"/>
    </row>
    <row r="5449" spans="1:20">
      <c r="A5449" s="1303"/>
      <c r="B5449" s="1322" t="s">
        <v>12226</v>
      </c>
      <c r="C5449" s="1323" t="s">
        <v>12227</v>
      </c>
      <c r="D5449" s="1324">
        <f t="shared" ref="D5449:D5512" si="540">DATE(G5449,H5449,I5449)</f>
        <v>33934</v>
      </c>
      <c r="E5449" s="1323">
        <f t="shared" si="536"/>
        <v>3.0026000000000002</v>
      </c>
      <c r="F5449" s="1323">
        <f t="shared" ref="F5449:F5512" si="541">F5450*(1+$F$7/365)</f>
        <v>3.4520987885893355</v>
      </c>
      <c r="G5449" s="1323">
        <f t="shared" si="537"/>
        <v>1992</v>
      </c>
      <c r="H5449" s="1323">
        <f t="shared" si="538"/>
        <v>11</v>
      </c>
      <c r="I5449" s="1323">
        <f t="shared" si="539"/>
        <v>26</v>
      </c>
      <c r="J5449" s="1323"/>
      <c r="K5449" s="1323"/>
      <c r="L5449" s="1323"/>
      <c r="M5449" s="1323"/>
      <c r="N5449" s="1323"/>
      <c r="O5449" s="1323"/>
      <c r="P5449" s="1323"/>
      <c r="Q5449" s="1323"/>
      <c r="R5449" s="1304"/>
      <c r="S5449" s="1304"/>
      <c r="T5449" s="1304"/>
    </row>
    <row r="5450" spans="1:20">
      <c r="A5450" s="1303"/>
      <c r="B5450" s="1322" t="s">
        <v>12228</v>
      </c>
      <c r="C5450" s="1323" t="s">
        <v>12229</v>
      </c>
      <c r="D5450" s="1324">
        <f t="shared" si="540"/>
        <v>33933</v>
      </c>
      <c r="E5450" s="1323">
        <f t="shared" si="536"/>
        <v>3.0093000000000001</v>
      </c>
      <c r="F5450" s="1323">
        <f t="shared" si="541"/>
        <v>3.4514368691897648</v>
      </c>
      <c r="G5450" s="1323">
        <f t="shared" si="537"/>
        <v>1992</v>
      </c>
      <c r="H5450" s="1323">
        <f t="shared" si="538"/>
        <v>11</v>
      </c>
      <c r="I5450" s="1323">
        <f t="shared" si="539"/>
        <v>25</v>
      </c>
      <c r="J5450" s="1323"/>
      <c r="K5450" s="1323"/>
      <c r="L5450" s="1323"/>
      <c r="M5450" s="1323"/>
      <c r="N5450" s="1323"/>
      <c r="O5450" s="1323"/>
      <c r="P5450" s="1323"/>
      <c r="Q5450" s="1323"/>
      <c r="R5450" s="1304"/>
      <c r="S5450" s="1304"/>
      <c r="T5450" s="1304"/>
    </row>
    <row r="5451" spans="1:20">
      <c r="A5451" s="1303"/>
      <c r="B5451" s="1322" t="s">
        <v>12230</v>
      </c>
      <c r="C5451" s="1323" t="s">
        <v>12231</v>
      </c>
      <c r="D5451" s="1324">
        <f t="shared" si="540"/>
        <v>33932</v>
      </c>
      <c r="E5451" s="1323">
        <f t="shared" si="536"/>
        <v>3.0093000000000001</v>
      </c>
      <c r="F5451" s="1323">
        <f t="shared" si="541"/>
        <v>3.4507750767092999</v>
      </c>
      <c r="G5451" s="1323">
        <f t="shared" si="537"/>
        <v>1992</v>
      </c>
      <c r="H5451" s="1323">
        <f t="shared" si="538"/>
        <v>11</v>
      </c>
      <c r="I5451" s="1323">
        <f t="shared" si="539"/>
        <v>24</v>
      </c>
      <c r="J5451" s="1323"/>
      <c r="K5451" s="1323"/>
      <c r="L5451" s="1323"/>
      <c r="M5451" s="1323"/>
      <c r="N5451" s="1323"/>
      <c r="O5451" s="1323"/>
      <c r="P5451" s="1323"/>
      <c r="Q5451" s="1323"/>
      <c r="R5451" s="1304"/>
      <c r="S5451" s="1304"/>
      <c r="T5451" s="1304"/>
    </row>
    <row r="5452" spans="1:20">
      <c r="A5452" s="1303"/>
      <c r="B5452" s="1322" t="s">
        <v>12232</v>
      </c>
      <c r="C5452" s="1323" t="s">
        <v>12231</v>
      </c>
      <c r="D5452" s="1324">
        <f t="shared" si="540"/>
        <v>33931</v>
      </c>
      <c r="E5452" s="1323">
        <f t="shared" si="536"/>
        <v>3.0165999999999999</v>
      </c>
      <c r="F5452" s="1323">
        <f t="shared" si="541"/>
        <v>3.4501134111236049</v>
      </c>
      <c r="G5452" s="1323">
        <f t="shared" si="537"/>
        <v>1992</v>
      </c>
      <c r="H5452" s="1323">
        <f t="shared" si="538"/>
        <v>11</v>
      </c>
      <c r="I5452" s="1323">
        <f t="shared" si="539"/>
        <v>23</v>
      </c>
      <c r="J5452" s="1323"/>
      <c r="K5452" s="1323"/>
      <c r="L5452" s="1323"/>
      <c r="M5452" s="1323"/>
      <c r="N5452" s="1323"/>
      <c r="O5452" s="1323"/>
      <c r="P5452" s="1323"/>
      <c r="Q5452" s="1323"/>
      <c r="R5452" s="1304"/>
      <c r="S5452" s="1304"/>
      <c r="T5452" s="1304"/>
    </row>
    <row r="5453" spans="1:20">
      <c r="A5453" s="1303"/>
      <c r="B5453" s="1322" t="s">
        <v>12233</v>
      </c>
      <c r="C5453" s="1323" t="s">
        <v>12234</v>
      </c>
      <c r="D5453" s="1324">
        <f t="shared" si="540"/>
        <v>33928</v>
      </c>
      <c r="E5453" s="1323">
        <f t="shared" si="536"/>
        <v>2.9805999999999999</v>
      </c>
      <c r="F5453" s="1323">
        <f t="shared" si="541"/>
        <v>3.4494518724083485</v>
      </c>
      <c r="G5453" s="1323">
        <f t="shared" si="537"/>
        <v>1992</v>
      </c>
      <c r="H5453" s="1323">
        <f t="shared" si="538"/>
        <v>11</v>
      </c>
      <c r="I5453" s="1323">
        <f t="shared" si="539"/>
        <v>20</v>
      </c>
      <c r="J5453" s="1323"/>
      <c r="K5453" s="1323"/>
      <c r="L5453" s="1323"/>
      <c r="M5453" s="1323"/>
      <c r="N5453" s="1323"/>
      <c r="O5453" s="1323"/>
      <c r="P5453" s="1323"/>
      <c r="Q5453" s="1323"/>
      <c r="R5453" s="1304"/>
      <c r="S5453" s="1304"/>
      <c r="T5453" s="1304"/>
    </row>
    <row r="5454" spans="1:20">
      <c r="A5454" s="1303"/>
      <c r="B5454" s="1322" t="s">
        <v>12235</v>
      </c>
      <c r="C5454" s="1323" t="s">
        <v>12236</v>
      </c>
      <c r="D5454" s="1324">
        <f t="shared" si="540"/>
        <v>33927</v>
      </c>
      <c r="E5454" s="1323">
        <f t="shared" si="536"/>
        <v>2.9912999999999998</v>
      </c>
      <c r="F5454" s="1323">
        <f t="shared" si="541"/>
        <v>3.4487904605392039</v>
      </c>
      <c r="G5454" s="1323">
        <f t="shared" si="537"/>
        <v>1992</v>
      </c>
      <c r="H5454" s="1323">
        <f t="shared" si="538"/>
        <v>11</v>
      </c>
      <c r="I5454" s="1323">
        <f t="shared" si="539"/>
        <v>19</v>
      </c>
      <c r="J5454" s="1323"/>
      <c r="K5454" s="1323"/>
      <c r="L5454" s="1323"/>
      <c r="M5454" s="1323"/>
      <c r="N5454" s="1323"/>
      <c r="O5454" s="1323"/>
      <c r="P5454" s="1323"/>
      <c r="Q5454" s="1323"/>
      <c r="R5454" s="1304"/>
      <c r="S5454" s="1304"/>
      <c r="T5454" s="1304"/>
    </row>
    <row r="5455" spans="1:20">
      <c r="A5455" s="1303"/>
      <c r="B5455" s="1322" t="s">
        <v>12237</v>
      </c>
      <c r="C5455" s="1323" t="s">
        <v>12212</v>
      </c>
      <c r="D5455" s="1324">
        <f t="shared" si="540"/>
        <v>33926</v>
      </c>
      <c r="E5455" s="1323">
        <f t="shared" si="536"/>
        <v>2.9984999999999999</v>
      </c>
      <c r="F5455" s="1323">
        <f t="shared" si="541"/>
        <v>3.4481291754918493</v>
      </c>
      <c r="G5455" s="1323">
        <f t="shared" si="537"/>
        <v>1992</v>
      </c>
      <c r="H5455" s="1323">
        <f t="shared" si="538"/>
        <v>11</v>
      </c>
      <c r="I5455" s="1323">
        <f t="shared" si="539"/>
        <v>18</v>
      </c>
      <c r="J5455" s="1323"/>
      <c r="K5455" s="1323"/>
      <c r="L5455" s="1323"/>
      <c r="M5455" s="1323"/>
      <c r="N5455" s="1323"/>
      <c r="O5455" s="1323"/>
      <c r="P5455" s="1323"/>
      <c r="Q5455" s="1323"/>
      <c r="R5455" s="1304"/>
      <c r="S5455" s="1304"/>
      <c r="T5455" s="1304"/>
    </row>
    <row r="5456" spans="1:20">
      <c r="A5456" s="1303"/>
      <c r="B5456" s="1322" t="s">
        <v>12238</v>
      </c>
      <c r="C5456" s="1323" t="s">
        <v>12239</v>
      </c>
      <c r="D5456" s="1324">
        <f t="shared" si="540"/>
        <v>33925</v>
      </c>
      <c r="E5456" s="1323">
        <f t="shared" si="536"/>
        <v>3.0129999999999999</v>
      </c>
      <c r="F5456" s="1323">
        <f t="shared" si="541"/>
        <v>3.4474680172419672</v>
      </c>
      <c r="G5456" s="1323">
        <f t="shared" si="537"/>
        <v>1992</v>
      </c>
      <c r="H5456" s="1323">
        <f t="shared" si="538"/>
        <v>11</v>
      </c>
      <c r="I5456" s="1323">
        <f t="shared" si="539"/>
        <v>17</v>
      </c>
      <c r="J5456" s="1323"/>
      <c r="K5456" s="1323"/>
      <c r="L5456" s="1323"/>
      <c r="M5456" s="1323"/>
      <c r="N5456" s="1323"/>
      <c r="O5456" s="1323"/>
      <c r="P5456" s="1323"/>
      <c r="Q5456" s="1323"/>
      <c r="R5456" s="1304"/>
      <c r="S5456" s="1304"/>
      <c r="T5456" s="1304"/>
    </row>
    <row r="5457" spans="1:20">
      <c r="A5457" s="1303"/>
      <c r="B5457" s="1322" t="s">
        <v>12240</v>
      </c>
      <c r="C5457" s="1323" t="s">
        <v>12241</v>
      </c>
      <c r="D5457" s="1324">
        <f t="shared" si="540"/>
        <v>33924</v>
      </c>
      <c r="E5457" s="1323">
        <f t="shared" si="536"/>
        <v>2.9931000000000001</v>
      </c>
      <c r="F5457" s="1323">
        <f t="shared" si="541"/>
        <v>3.446806985765245</v>
      </c>
      <c r="G5457" s="1323">
        <f t="shared" si="537"/>
        <v>1992</v>
      </c>
      <c r="H5457" s="1323">
        <f t="shared" si="538"/>
        <v>11</v>
      </c>
      <c r="I5457" s="1323">
        <f t="shared" si="539"/>
        <v>16</v>
      </c>
      <c r="J5457" s="1323"/>
      <c r="K5457" s="1323"/>
      <c r="L5457" s="1323"/>
      <c r="M5457" s="1323"/>
      <c r="N5457" s="1323"/>
      <c r="O5457" s="1323"/>
      <c r="P5457" s="1323"/>
      <c r="Q5457" s="1323"/>
      <c r="R5457" s="1304"/>
      <c r="S5457" s="1304"/>
      <c r="T5457" s="1304"/>
    </row>
    <row r="5458" spans="1:20">
      <c r="A5458" s="1303"/>
      <c r="B5458" s="1322" t="s">
        <v>12242</v>
      </c>
      <c r="C5458" s="1323" t="s">
        <v>12243</v>
      </c>
      <c r="D5458" s="1324">
        <f t="shared" si="540"/>
        <v>33921</v>
      </c>
      <c r="E5458" s="1323">
        <f t="shared" si="536"/>
        <v>2.9842</v>
      </c>
      <c r="F5458" s="1323">
        <f t="shared" si="541"/>
        <v>3.4461460810373747</v>
      </c>
      <c r="G5458" s="1323">
        <f t="shared" si="537"/>
        <v>1992</v>
      </c>
      <c r="H5458" s="1323">
        <f t="shared" si="538"/>
        <v>11</v>
      </c>
      <c r="I5458" s="1323">
        <f t="shared" si="539"/>
        <v>13</v>
      </c>
      <c r="J5458" s="1323"/>
      <c r="K5458" s="1323"/>
      <c r="L5458" s="1323"/>
      <c r="M5458" s="1323"/>
      <c r="N5458" s="1323"/>
      <c r="O5458" s="1323"/>
      <c r="P5458" s="1323"/>
      <c r="Q5458" s="1323"/>
      <c r="R5458" s="1304"/>
      <c r="S5458" s="1304"/>
      <c r="T5458" s="1304"/>
    </row>
    <row r="5459" spans="1:20">
      <c r="A5459" s="1303"/>
      <c r="B5459" s="1322" t="s">
        <v>12244</v>
      </c>
      <c r="C5459" s="1323" t="s">
        <v>12245</v>
      </c>
      <c r="D5459" s="1324">
        <f t="shared" si="540"/>
        <v>33920</v>
      </c>
      <c r="E5459" s="1323">
        <f t="shared" si="536"/>
        <v>2.9878</v>
      </c>
      <c r="F5459" s="1323">
        <f t="shared" si="541"/>
        <v>3.4454853030340531</v>
      </c>
      <c r="G5459" s="1323">
        <f t="shared" si="537"/>
        <v>1992</v>
      </c>
      <c r="H5459" s="1323">
        <f t="shared" si="538"/>
        <v>11</v>
      </c>
      <c r="I5459" s="1323">
        <f t="shared" si="539"/>
        <v>12</v>
      </c>
      <c r="J5459" s="1323"/>
      <c r="K5459" s="1323"/>
      <c r="L5459" s="1323"/>
      <c r="M5459" s="1323"/>
      <c r="N5459" s="1323"/>
      <c r="O5459" s="1323"/>
      <c r="P5459" s="1323"/>
      <c r="Q5459" s="1323"/>
      <c r="R5459" s="1304"/>
      <c r="S5459" s="1304"/>
      <c r="T5459" s="1304"/>
    </row>
    <row r="5460" spans="1:20">
      <c r="A5460" s="1303"/>
      <c r="B5460" s="1322" t="s">
        <v>12246</v>
      </c>
      <c r="C5460" s="1323" t="s">
        <v>12247</v>
      </c>
      <c r="D5460" s="1324">
        <f t="shared" si="540"/>
        <v>33919</v>
      </c>
      <c r="E5460" s="1323">
        <f t="shared" si="536"/>
        <v>2.9922</v>
      </c>
      <c r="F5460" s="1323">
        <f t="shared" si="541"/>
        <v>3.4448246517309813</v>
      </c>
      <c r="G5460" s="1323">
        <f t="shared" si="537"/>
        <v>1992</v>
      </c>
      <c r="H5460" s="1323">
        <f t="shared" si="538"/>
        <v>11</v>
      </c>
      <c r="I5460" s="1323">
        <f t="shared" si="539"/>
        <v>11</v>
      </c>
      <c r="J5460" s="1323"/>
      <c r="K5460" s="1323"/>
      <c r="L5460" s="1323"/>
      <c r="M5460" s="1323"/>
      <c r="N5460" s="1323"/>
      <c r="O5460" s="1323"/>
      <c r="P5460" s="1323"/>
      <c r="Q5460" s="1323"/>
      <c r="R5460" s="1304"/>
      <c r="S5460" s="1304"/>
      <c r="T5460" s="1304"/>
    </row>
    <row r="5461" spans="1:20">
      <c r="A5461" s="1303"/>
      <c r="B5461" s="1322" t="s">
        <v>12248</v>
      </c>
      <c r="C5461" s="1323" t="s">
        <v>12249</v>
      </c>
      <c r="D5461" s="1324">
        <f t="shared" si="540"/>
        <v>33918</v>
      </c>
      <c r="E5461" s="1323">
        <f t="shared" si="536"/>
        <v>3.0066000000000002</v>
      </c>
      <c r="F5461" s="1323">
        <f t="shared" si="541"/>
        <v>3.4441641271038654</v>
      </c>
      <c r="G5461" s="1323">
        <f t="shared" si="537"/>
        <v>1992</v>
      </c>
      <c r="H5461" s="1323">
        <f t="shared" si="538"/>
        <v>11</v>
      </c>
      <c r="I5461" s="1323">
        <f t="shared" si="539"/>
        <v>10</v>
      </c>
      <c r="J5461" s="1323"/>
      <c r="K5461" s="1323"/>
      <c r="L5461" s="1323"/>
      <c r="M5461" s="1323"/>
      <c r="N5461" s="1323"/>
      <c r="O5461" s="1323"/>
      <c r="P5461" s="1323"/>
      <c r="Q5461" s="1323"/>
      <c r="R5461" s="1304"/>
      <c r="S5461" s="1304"/>
      <c r="T5461" s="1304"/>
    </row>
    <row r="5462" spans="1:20">
      <c r="A5462" s="1303"/>
      <c r="B5462" s="1322" t="s">
        <v>12250</v>
      </c>
      <c r="C5462" s="1323" t="s">
        <v>12251</v>
      </c>
      <c r="D5462" s="1324">
        <f t="shared" si="540"/>
        <v>33917</v>
      </c>
      <c r="E5462" s="1323">
        <f t="shared" ref="E5462:E5525" si="542">VALUE(C5463)</f>
        <v>2.9954000000000001</v>
      </c>
      <c r="F5462" s="1323">
        <f t="shared" si="541"/>
        <v>3.4435037291284161</v>
      </c>
      <c r="G5462" s="1323">
        <f t="shared" ref="G5462:G5525" si="543">YEAR(B5463)</f>
        <v>1992</v>
      </c>
      <c r="H5462" s="1323">
        <f t="shared" ref="H5462:H5525" si="544">MONTH(B5463)</f>
        <v>11</v>
      </c>
      <c r="I5462" s="1323">
        <f t="shared" ref="I5462:I5525" si="545">DAY(B5463)</f>
        <v>9</v>
      </c>
      <c r="J5462" s="1323"/>
      <c r="K5462" s="1323"/>
      <c r="L5462" s="1323"/>
      <c r="M5462" s="1323"/>
      <c r="N5462" s="1323"/>
      <c r="O5462" s="1323"/>
      <c r="P5462" s="1323"/>
      <c r="Q5462" s="1323"/>
      <c r="R5462" s="1304"/>
      <c r="S5462" s="1304"/>
      <c r="T5462" s="1304"/>
    </row>
    <row r="5463" spans="1:20">
      <c r="A5463" s="1303"/>
      <c r="B5463" s="1322" t="s">
        <v>12252</v>
      </c>
      <c r="C5463" s="1323" t="s">
        <v>12253</v>
      </c>
      <c r="D5463" s="1324">
        <f t="shared" si="540"/>
        <v>33914</v>
      </c>
      <c r="E5463" s="1323">
        <f t="shared" si="542"/>
        <v>2.9824000000000002</v>
      </c>
      <c r="F5463" s="1323">
        <f t="shared" si="541"/>
        <v>3.4428434577803486</v>
      </c>
      <c r="G5463" s="1323">
        <f t="shared" si="543"/>
        <v>1992</v>
      </c>
      <c r="H5463" s="1323">
        <f t="shared" si="544"/>
        <v>11</v>
      </c>
      <c r="I5463" s="1323">
        <f t="shared" si="545"/>
        <v>6</v>
      </c>
      <c r="J5463" s="1323"/>
      <c r="K5463" s="1323"/>
      <c r="L5463" s="1323"/>
      <c r="M5463" s="1323"/>
      <c r="N5463" s="1323"/>
      <c r="O5463" s="1323"/>
      <c r="P5463" s="1323"/>
      <c r="Q5463" s="1323"/>
      <c r="R5463" s="1304"/>
      <c r="S5463" s="1304"/>
      <c r="T5463" s="1304"/>
    </row>
    <row r="5464" spans="1:20">
      <c r="A5464" s="1303"/>
      <c r="B5464" s="1322" t="s">
        <v>12254</v>
      </c>
      <c r="C5464" s="1323" t="s">
        <v>12255</v>
      </c>
      <c r="D5464" s="1324">
        <f t="shared" si="540"/>
        <v>33913</v>
      </c>
      <c r="E5464" s="1323">
        <f t="shared" si="542"/>
        <v>2.9752999999999998</v>
      </c>
      <c r="F5464" s="1323">
        <f t="shared" si="541"/>
        <v>3.4421833130353829</v>
      </c>
      <c r="G5464" s="1323">
        <f t="shared" si="543"/>
        <v>1992</v>
      </c>
      <c r="H5464" s="1323">
        <f t="shared" si="544"/>
        <v>11</v>
      </c>
      <c r="I5464" s="1323">
        <f t="shared" si="545"/>
        <v>5</v>
      </c>
      <c r="J5464" s="1323"/>
      <c r="K5464" s="1323"/>
      <c r="L5464" s="1323"/>
      <c r="M5464" s="1323"/>
      <c r="N5464" s="1323"/>
      <c r="O5464" s="1323"/>
      <c r="P5464" s="1323"/>
      <c r="Q5464" s="1323"/>
      <c r="R5464" s="1304"/>
      <c r="S5464" s="1304"/>
      <c r="T5464" s="1304"/>
    </row>
    <row r="5465" spans="1:20">
      <c r="A5465" s="1303"/>
      <c r="B5465" s="1322" t="s">
        <v>12256</v>
      </c>
      <c r="C5465" s="1323" t="s">
        <v>12257</v>
      </c>
      <c r="D5465" s="1324">
        <f t="shared" si="540"/>
        <v>33912</v>
      </c>
      <c r="E5465" s="1323">
        <f t="shared" si="542"/>
        <v>2.9748999999999999</v>
      </c>
      <c r="F5465" s="1323">
        <f t="shared" si="541"/>
        <v>3.4415232948692434</v>
      </c>
      <c r="G5465" s="1323">
        <f t="shared" si="543"/>
        <v>1992</v>
      </c>
      <c r="H5465" s="1323">
        <f t="shared" si="544"/>
        <v>11</v>
      </c>
      <c r="I5465" s="1323">
        <f t="shared" si="545"/>
        <v>4</v>
      </c>
      <c r="J5465" s="1323"/>
      <c r="K5465" s="1323"/>
      <c r="L5465" s="1323"/>
      <c r="M5465" s="1323"/>
      <c r="N5465" s="1323"/>
      <c r="O5465" s="1323"/>
      <c r="P5465" s="1323"/>
      <c r="Q5465" s="1323"/>
      <c r="R5465" s="1304"/>
      <c r="S5465" s="1304"/>
      <c r="T5465" s="1304"/>
    </row>
    <row r="5466" spans="1:20">
      <c r="A5466" s="1303"/>
      <c r="B5466" s="1322" t="s">
        <v>12258</v>
      </c>
      <c r="C5466" s="1323" t="s">
        <v>12259</v>
      </c>
      <c r="D5466" s="1324">
        <f t="shared" si="540"/>
        <v>33911</v>
      </c>
      <c r="E5466" s="1323">
        <f t="shared" si="542"/>
        <v>2.9868999999999999</v>
      </c>
      <c r="F5466" s="1323">
        <f t="shared" si="541"/>
        <v>3.4408634032576595</v>
      </c>
      <c r="G5466" s="1323">
        <f t="shared" si="543"/>
        <v>1992</v>
      </c>
      <c r="H5466" s="1323">
        <f t="shared" si="544"/>
        <v>11</v>
      </c>
      <c r="I5466" s="1323">
        <f t="shared" si="545"/>
        <v>3</v>
      </c>
      <c r="J5466" s="1323"/>
      <c r="K5466" s="1323"/>
      <c r="L5466" s="1323"/>
      <c r="M5466" s="1323"/>
      <c r="N5466" s="1323"/>
      <c r="O5466" s="1323"/>
      <c r="P5466" s="1323"/>
      <c r="Q5466" s="1323"/>
      <c r="R5466" s="1304"/>
      <c r="S5466" s="1304"/>
      <c r="T5466" s="1304"/>
    </row>
    <row r="5467" spans="1:20">
      <c r="A5467" s="1303"/>
      <c r="B5467" s="1322" t="s">
        <v>12260</v>
      </c>
      <c r="C5467" s="1323" t="s">
        <v>12261</v>
      </c>
      <c r="D5467" s="1324">
        <f t="shared" si="540"/>
        <v>33910</v>
      </c>
      <c r="E5467" s="1323">
        <f t="shared" si="542"/>
        <v>2.9607999999999999</v>
      </c>
      <c r="F5467" s="1323">
        <f t="shared" si="541"/>
        <v>3.4402036381763654</v>
      </c>
      <c r="G5467" s="1323">
        <f t="shared" si="543"/>
        <v>1992</v>
      </c>
      <c r="H5467" s="1323">
        <f t="shared" si="544"/>
        <v>11</v>
      </c>
      <c r="I5467" s="1323">
        <f t="shared" si="545"/>
        <v>2</v>
      </c>
      <c r="J5467" s="1323"/>
      <c r="K5467" s="1323"/>
      <c r="L5467" s="1323"/>
      <c r="M5467" s="1323"/>
      <c r="N5467" s="1323"/>
      <c r="O5467" s="1323"/>
      <c r="P5467" s="1323"/>
      <c r="Q5467" s="1323"/>
      <c r="R5467" s="1304"/>
      <c r="S5467" s="1304"/>
      <c r="T5467" s="1304"/>
    </row>
    <row r="5468" spans="1:20">
      <c r="A5468" s="1303"/>
      <c r="B5468" s="1322" t="s">
        <v>12262</v>
      </c>
      <c r="C5468" s="1323" t="s">
        <v>12263</v>
      </c>
      <c r="D5468" s="1324">
        <f t="shared" si="540"/>
        <v>33907</v>
      </c>
      <c r="E5468" s="1323">
        <f t="shared" si="542"/>
        <v>2.9573</v>
      </c>
      <c r="F5468" s="1323">
        <f t="shared" si="541"/>
        <v>3.4395439996010992</v>
      </c>
      <c r="G5468" s="1323">
        <f t="shared" si="543"/>
        <v>1992</v>
      </c>
      <c r="H5468" s="1323">
        <f t="shared" si="544"/>
        <v>10</v>
      </c>
      <c r="I5468" s="1323">
        <f t="shared" si="545"/>
        <v>30</v>
      </c>
      <c r="J5468" s="1323"/>
      <c r="K5468" s="1323"/>
      <c r="L5468" s="1323"/>
      <c r="M5468" s="1323"/>
      <c r="N5468" s="1323"/>
      <c r="O5468" s="1323"/>
      <c r="P5468" s="1323"/>
      <c r="Q5468" s="1323"/>
      <c r="R5468" s="1304"/>
      <c r="S5468" s="1304"/>
      <c r="T5468" s="1304"/>
    </row>
    <row r="5469" spans="1:20">
      <c r="A5469" s="1303"/>
      <c r="B5469" s="1322" t="s">
        <v>12264</v>
      </c>
      <c r="C5469" s="1323" t="s">
        <v>12265</v>
      </c>
      <c r="D5469" s="1324">
        <f t="shared" si="540"/>
        <v>33906</v>
      </c>
      <c r="E5469" s="1323">
        <f t="shared" si="542"/>
        <v>2.9542000000000002</v>
      </c>
      <c r="F5469" s="1323">
        <f t="shared" si="541"/>
        <v>3.4388844875076043</v>
      </c>
      <c r="G5469" s="1323">
        <f t="shared" si="543"/>
        <v>1992</v>
      </c>
      <c r="H5469" s="1323">
        <f t="shared" si="544"/>
        <v>10</v>
      </c>
      <c r="I5469" s="1323">
        <f t="shared" si="545"/>
        <v>29</v>
      </c>
      <c r="J5469" s="1323"/>
      <c r="K5469" s="1323"/>
      <c r="L5469" s="1323"/>
      <c r="M5469" s="1323"/>
      <c r="N5469" s="1323"/>
      <c r="O5469" s="1323"/>
      <c r="P5469" s="1323"/>
      <c r="Q5469" s="1323"/>
      <c r="R5469" s="1304"/>
      <c r="S5469" s="1304"/>
      <c r="T5469" s="1304"/>
    </row>
    <row r="5470" spans="1:20">
      <c r="A5470" s="1303"/>
      <c r="B5470" s="1322" t="s">
        <v>12266</v>
      </c>
      <c r="C5470" s="1323" t="s">
        <v>12267</v>
      </c>
      <c r="D5470" s="1324">
        <f t="shared" si="540"/>
        <v>33905</v>
      </c>
      <c r="E5470" s="1323">
        <f t="shared" si="542"/>
        <v>2.9481000000000002</v>
      </c>
      <c r="F5470" s="1323">
        <f t="shared" si="541"/>
        <v>3.438225101871629</v>
      </c>
      <c r="G5470" s="1323">
        <f t="shared" si="543"/>
        <v>1992</v>
      </c>
      <c r="H5470" s="1323">
        <f t="shared" si="544"/>
        <v>10</v>
      </c>
      <c r="I5470" s="1323">
        <f t="shared" si="545"/>
        <v>28</v>
      </c>
      <c r="J5470" s="1323"/>
      <c r="K5470" s="1323"/>
      <c r="L5470" s="1323"/>
      <c r="M5470" s="1323"/>
      <c r="N5470" s="1323"/>
      <c r="O5470" s="1323"/>
      <c r="P5470" s="1323"/>
      <c r="Q5470" s="1323"/>
      <c r="R5470" s="1304"/>
      <c r="S5470" s="1304"/>
      <c r="T5470" s="1304"/>
    </row>
    <row r="5471" spans="1:20">
      <c r="A5471" s="1303"/>
      <c r="B5471" s="1322" t="s">
        <v>12268</v>
      </c>
      <c r="C5471" s="1323" t="s">
        <v>12269</v>
      </c>
      <c r="D5471" s="1324">
        <f t="shared" si="540"/>
        <v>33904</v>
      </c>
      <c r="E5471" s="1323">
        <f t="shared" si="542"/>
        <v>2.9516</v>
      </c>
      <c r="F5471" s="1323">
        <f t="shared" si="541"/>
        <v>3.4375658426689251</v>
      </c>
      <c r="G5471" s="1323">
        <f t="shared" si="543"/>
        <v>1992</v>
      </c>
      <c r="H5471" s="1323">
        <f t="shared" si="544"/>
        <v>10</v>
      </c>
      <c r="I5471" s="1323">
        <f t="shared" si="545"/>
        <v>27</v>
      </c>
      <c r="J5471" s="1323"/>
      <c r="K5471" s="1323"/>
      <c r="L5471" s="1323"/>
      <c r="M5471" s="1323"/>
      <c r="N5471" s="1323"/>
      <c r="O5471" s="1323"/>
      <c r="P5471" s="1323"/>
      <c r="Q5471" s="1323"/>
      <c r="R5471" s="1304"/>
      <c r="S5471" s="1304"/>
      <c r="T5471" s="1304"/>
    </row>
    <row r="5472" spans="1:20">
      <c r="A5472" s="1303"/>
      <c r="B5472" s="1322" t="s">
        <v>12270</v>
      </c>
      <c r="C5472" s="1323" t="s">
        <v>12271</v>
      </c>
      <c r="D5472" s="1324">
        <f t="shared" si="540"/>
        <v>33903</v>
      </c>
      <c r="E5472" s="1323">
        <f t="shared" si="542"/>
        <v>2.9350999999999998</v>
      </c>
      <c r="F5472" s="1323">
        <f t="shared" si="541"/>
        <v>3.4369067098752502</v>
      </c>
      <c r="G5472" s="1323">
        <f t="shared" si="543"/>
        <v>1992</v>
      </c>
      <c r="H5472" s="1323">
        <f t="shared" si="544"/>
        <v>10</v>
      </c>
      <c r="I5472" s="1323">
        <f t="shared" si="545"/>
        <v>26</v>
      </c>
      <c r="J5472" s="1323"/>
      <c r="K5472" s="1323"/>
      <c r="L5472" s="1323"/>
      <c r="M5472" s="1323"/>
      <c r="N5472" s="1323"/>
      <c r="O5472" s="1323"/>
      <c r="P5472" s="1323"/>
      <c r="Q5472" s="1323"/>
      <c r="R5472" s="1304"/>
      <c r="S5472" s="1304"/>
      <c r="T5472" s="1304"/>
    </row>
    <row r="5473" spans="1:20">
      <c r="A5473" s="1303"/>
      <c r="B5473" s="1322" t="s">
        <v>12272</v>
      </c>
      <c r="C5473" s="1323" t="s">
        <v>12273</v>
      </c>
      <c r="D5473" s="1324">
        <f t="shared" si="540"/>
        <v>33900</v>
      </c>
      <c r="E5473" s="1323">
        <f t="shared" si="542"/>
        <v>2.9138000000000002</v>
      </c>
      <c r="F5473" s="1323">
        <f t="shared" si="541"/>
        <v>3.4362477034663659</v>
      </c>
      <c r="G5473" s="1323">
        <f t="shared" si="543"/>
        <v>1992</v>
      </c>
      <c r="H5473" s="1323">
        <f t="shared" si="544"/>
        <v>10</v>
      </c>
      <c r="I5473" s="1323">
        <f t="shared" si="545"/>
        <v>23</v>
      </c>
      <c r="J5473" s="1323"/>
      <c r="K5473" s="1323"/>
      <c r="L5473" s="1323"/>
      <c r="M5473" s="1323"/>
      <c r="N5473" s="1323"/>
      <c r="O5473" s="1323"/>
      <c r="P5473" s="1323"/>
      <c r="Q5473" s="1323"/>
      <c r="R5473" s="1304"/>
      <c r="S5473" s="1304"/>
      <c r="T5473" s="1304"/>
    </row>
    <row r="5474" spans="1:20">
      <c r="A5474" s="1303"/>
      <c r="B5474" s="1322" t="s">
        <v>12274</v>
      </c>
      <c r="C5474" s="1323" t="s">
        <v>12275</v>
      </c>
      <c r="D5474" s="1324">
        <f t="shared" si="540"/>
        <v>33899</v>
      </c>
      <c r="E5474" s="1323">
        <f t="shared" si="542"/>
        <v>2.9274</v>
      </c>
      <c r="F5474" s="1323">
        <f t="shared" si="541"/>
        <v>3.4355888234180392</v>
      </c>
      <c r="G5474" s="1323">
        <f t="shared" si="543"/>
        <v>1992</v>
      </c>
      <c r="H5474" s="1323">
        <f t="shared" si="544"/>
        <v>10</v>
      </c>
      <c r="I5474" s="1323">
        <f t="shared" si="545"/>
        <v>22</v>
      </c>
      <c r="J5474" s="1323"/>
      <c r="K5474" s="1323"/>
      <c r="L5474" s="1323"/>
      <c r="M5474" s="1323"/>
      <c r="N5474" s="1323"/>
      <c r="O5474" s="1323"/>
      <c r="P5474" s="1323"/>
      <c r="Q5474" s="1323"/>
      <c r="R5474" s="1304"/>
      <c r="S5474" s="1304"/>
      <c r="T5474" s="1304"/>
    </row>
    <row r="5475" spans="1:20">
      <c r="A5475" s="1303"/>
      <c r="B5475" s="1322" t="s">
        <v>12276</v>
      </c>
      <c r="C5475" s="1323" t="s">
        <v>12277</v>
      </c>
      <c r="D5475" s="1324">
        <f t="shared" si="540"/>
        <v>33898</v>
      </c>
      <c r="E5475" s="1323">
        <f t="shared" si="542"/>
        <v>2.9205999999999999</v>
      </c>
      <c r="F5475" s="1323">
        <f t="shared" si="541"/>
        <v>3.4349300697060405</v>
      </c>
      <c r="G5475" s="1323">
        <f t="shared" si="543"/>
        <v>1992</v>
      </c>
      <c r="H5475" s="1323">
        <f t="shared" si="544"/>
        <v>10</v>
      </c>
      <c r="I5475" s="1323">
        <f t="shared" si="545"/>
        <v>21</v>
      </c>
      <c r="J5475" s="1323"/>
      <c r="K5475" s="1323"/>
      <c r="L5475" s="1323"/>
      <c r="M5475" s="1323"/>
      <c r="N5475" s="1323"/>
      <c r="O5475" s="1323"/>
      <c r="P5475" s="1323"/>
      <c r="Q5475" s="1323"/>
      <c r="R5475" s="1304"/>
      <c r="S5475" s="1304"/>
      <c r="T5475" s="1304"/>
    </row>
    <row r="5476" spans="1:20">
      <c r="A5476" s="1303"/>
      <c r="B5476" s="1322" t="s">
        <v>12278</v>
      </c>
      <c r="C5476" s="1323" t="s">
        <v>12279</v>
      </c>
      <c r="D5476" s="1324">
        <f t="shared" si="540"/>
        <v>33897</v>
      </c>
      <c r="E5476" s="1323">
        <f t="shared" si="542"/>
        <v>2.9060999999999999</v>
      </c>
      <c r="F5476" s="1323">
        <f t="shared" si="541"/>
        <v>3.4342714423061462</v>
      </c>
      <c r="G5476" s="1323">
        <f t="shared" si="543"/>
        <v>1992</v>
      </c>
      <c r="H5476" s="1323">
        <f t="shared" si="544"/>
        <v>10</v>
      </c>
      <c r="I5476" s="1323">
        <f t="shared" si="545"/>
        <v>20</v>
      </c>
      <c r="J5476" s="1323"/>
      <c r="K5476" s="1323"/>
      <c r="L5476" s="1323"/>
      <c r="M5476" s="1323"/>
      <c r="N5476" s="1323"/>
      <c r="O5476" s="1323"/>
      <c r="P5476" s="1323"/>
      <c r="Q5476" s="1323"/>
      <c r="R5476" s="1304"/>
      <c r="S5476" s="1304"/>
      <c r="T5476" s="1304"/>
    </row>
    <row r="5477" spans="1:20">
      <c r="A5477" s="1303"/>
      <c r="B5477" s="1322" t="s">
        <v>12280</v>
      </c>
      <c r="C5477" s="1323" t="s">
        <v>12281</v>
      </c>
      <c r="D5477" s="1324">
        <f t="shared" si="540"/>
        <v>33896</v>
      </c>
      <c r="E5477" s="1323">
        <f t="shared" si="542"/>
        <v>2.8969</v>
      </c>
      <c r="F5477" s="1323">
        <f t="shared" si="541"/>
        <v>3.4336129411941361</v>
      </c>
      <c r="G5477" s="1323">
        <f t="shared" si="543"/>
        <v>1992</v>
      </c>
      <c r="H5477" s="1323">
        <f t="shared" si="544"/>
        <v>10</v>
      </c>
      <c r="I5477" s="1323">
        <f t="shared" si="545"/>
        <v>19</v>
      </c>
      <c r="J5477" s="1323"/>
      <c r="K5477" s="1323"/>
      <c r="L5477" s="1323"/>
      <c r="M5477" s="1323"/>
      <c r="N5477" s="1323"/>
      <c r="O5477" s="1323"/>
      <c r="P5477" s="1323"/>
      <c r="Q5477" s="1323"/>
      <c r="R5477" s="1304"/>
      <c r="S5477" s="1304"/>
      <c r="T5477" s="1304"/>
    </row>
    <row r="5478" spans="1:20">
      <c r="A5478" s="1303"/>
      <c r="B5478" s="1322" t="s">
        <v>12282</v>
      </c>
      <c r="C5478" s="1323" t="s">
        <v>12283</v>
      </c>
      <c r="D5478" s="1324">
        <f t="shared" si="540"/>
        <v>33893</v>
      </c>
      <c r="E5478" s="1323">
        <f t="shared" si="542"/>
        <v>2.8637000000000001</v>
      </c>
      <c r="F5478" s="1323">
        <f t="shared" si="541"/>
        <v>3.4329545663457957</v>
      </c>
      <c r="G5478" s="1323">
        <f t="shared" si="543"/>
        <v>1992</v>
      </c>
      <c r="H5478" s="1323">
        <f t="shared" si="544"/>
        <v>10</v>
      </c>
      <c r="I5478" s="1323">
        <f t="shared" si="545"/>
        <v>16</v>
      </c>
      <c r="J5478" s="1323"/>
      <c r="K5478" s="1323"/>
      <c r="L5478" s="1323"/>
      <c r="M5478" s="1323"/>
      <c r="N5478" s="1323"/>
      <c r="O5478" s="1323"/>
      <c r="P5478" s="1323"/>
      <c r="Q5478" s="1323"/>
      <c r="R5478" s="1304"/>
      <c r="S5478" s="1304"/>
      <c r="T5478" s="1304"/>
    </row>
    <row r="5479" spans="1:20">
      <c r="A5479" s="1303"/>
      <c r="B5479" s="1322" t="s">
        <v>12284</v>
      </c>
      <c r="C5479" s="1323" t="s">
        <v>12285</v>
      </c>
      <c r="D5479" s="1324">
        <f t="shared" si="540"/>
        <v>33892</v>
      </c>
      <c r="E5479" s="1323">
        <f t="shared" si="542"/>
        <v>2.8481999999999998</v>
      </c>
      <c r="F5479" s="1323">
        <f t="shared" si="541"/>
        <v>3.4322963177369146</v>
      </c>
      <c r="G5479" s="1323">
        <f t="shared" si="543"/>
        <v>1992</v>
      </c>
      <c r="H5479" s="1323">
        <f t="shared" si="544"/>
        <v>10</v>
      </c>
      <c r="I5479" s="1323">
        <f t="shared" si="545"/>
        <v>15</v>
      </c>
      <c r="J5479" s="1323"/>
      <c r="K5479" s="1323"/>
      <c r="L5479" s="1323"/>
      <c r="M5479" s="1323"/>
      <c r="N5479" s="1323"/>
      <c r="O5479" s="1323"/>
      <c r="P5479" s="1323"/>
      <c r="Q5479" s="1323"/>
      <c r="R5479" s="1304"/>
      <c r="S5479" s="1304"/>
      <c r="T5479" s="1304"/>
    </row>
    <row r="5480" spans="1:20">
      <c r="A5480" s="1303"/>
      <c r="B5480" s="1322" t="s">
        <v>12286</v>
      </c>
      <c r="C5480" s="1323" t="s">
        <v>12287</v>
      </c>
      <c r="D5480" s="1324">
        <f t="shared" si="540"/>
        <v>33891</v>
      </c>
      <c r="E5480" s="1323">
        <f t="shared" si="542"/>
        <v>2.8546999999999998</v>
      </c>
      <c r="F5480" s="1323">
        <f t="shared" si="541"/>
        <v>3.4316381953432868</v>
      </c>
      <c r="G5480" s="1323">
        <f t="shared" si="543"/>
        <v>1992</v>
      </c>
      <c r="H5480" s="1323">
        <f t="shared" si="544"/>
        <v>10</v>
      </c>
      <c r="I5480" s="1323">
        <f t="shared" si="545"/>
        <v>14</v>
      </c>
      <c r="J5480" s="1323"/>
      <c r="K5480" s="1323"/>
      <c r="L5480" s="1323"/>
      <c r="M5480" s="1323"/>
      <c r="N5480" s="1323"/>
      <c r="O5480" s="1323"/>
      <c r="P5480" s="1323"/>
      <c r="Q5480" s="1323"/>
      <c r="R5480" s="1304"/>
      <c r="S5480" s="1304"/>
      <c r="T5480" s="1304"/>
    </row>
    <row r="5481" spans="1:20">
      <c r="A5481" s="1303"/>
      <c r="B5481" s="1322" t="s">
        <v>12288</v>
      </c>
      <c r="C5481" s="1323" t="s">
        <v>12289</v>
      </c>
      <c r="D5481" s="1324">
        <f t="shared" si="540"/>
        <v>33890</v>
      </c>
      <c r="E5481" s="1323">
        <f t="shared" si="542"/>
        <v>2.8736000000000002</v>
      </c>
      <c r="F5481" s="1323">
        <f t="shared" si="541"/>
        <v>3.4309801991407118</v>
      </c>
      <c r="G5481" s="1323">
        <f t="shared" si="543"/>
        <v>1992</v>
      </c>
      <c r="H5481" s="1323">
        <f t="shared" si="544"/>
        <v>10</v>
      </c>
      <c r="I5481" s="1323">
        <f t="shared" si="545"/>
        <v>13</v>
      </c>
      <c r="J5481" s="1323"/>
      <c r="K5481" s="1323"/>
      <c r="L5481" s="1323"/>
      <c r="M5481" s="1323"/>
      <c r="N5481" s="1323"/>
      <c r="O5481" s="1323"/>
      <c r="P5481" s="1323"/>
      <c r="Q5481" s="1323"/>
      <c r="R5481" s="1304"/>
      <c r="S5481" s="1304"/>
      <c r="T5481" s="1304"/>
    </row>
    <row r="5482" spans="1:20">
      <c r="A5482" s="1303"/>
      <c r="B5482" s="1322" t="s">
        <v>12290</v>
      </c>
      <c r="C5482" s="1323" t="s">
        <v>12291</v>
      </c>
      <c r="D5482" s="1324">
        <f t="shared" si="540"/>
        <v>33889</v>
      </c>
      <c r="E5482" s="1323">
        <f t="shared" si="542"/>
        <v>2.8580000000000001</v>
      </c>
      <c r="F5482" s="1323">
        <f t="shared" si="541"/>
        <v>3.4303223291049929</v>
      </c>
      <c r="G5482" s="1323">
        <f t="shared" si="543"/>
        <v>1992</v>
      </c>
      <c r="H5482" s="1323">
        <f t="shared" si="544"/>
        <v>10</v>
      </c>
      <c r="I5482" s="1323">
        <f t="shared" si="545"/>
        <v>12</v>
      </c>
      <c r="J5482" s="1323"/>
      <c r="K5482" s="1323"/>
      <c r="L5482" s="1323"/>
      <c r="M5482" s="1323"/>
      <c r="N5482" s="1323"/>
      <c r="O5482" s="1323"/>
      <c r="P5482" s="1323"/>
      <c r="Q5482" s="1323"/>
      <c r="R5482" s="1304"/>
      <c r="S5482" s="1304"/>
      <c r="T5482" s="1304"/>
    </row>
    <row r="5483" spans="1:20">
      <c r="A5483" s="1303"/>
      <c r="B5483" s="1322" t="s">
        <v>12292</v>
      </c>
      <c r="C5483" s="1323" t="s">
        <v>12293</v>
      </c>
      <c r="D5483" s="1324">
        <f t="shared" si="540"/>
        <v>33886</v>
      </c>
      <c r="E5483" s="1323">
        <f t="shared" si="542"/>
        <v>2.8685999999999998</v>
      </c>
      <c r="F5483" s="1323">
        <f t="shared" si="541"/>
        <v>3.4296645852119383</v>
      </c>
      <c r="G5483" s="1323">
        <f t="shared" si="543"/>
        <v>1992</v>
      </c>
      <c r="H5483" s="1323">
        <f t="shared" si="544"/>
        <v>10</v>
      </c>
      <c r="I5483" s="1323">
        <f t="shared" si="545"/>
        <v>9</v>
      </c>
      <c r="J5483" s="1323"/>
      <c r="K5483" s="1323"/>
      <c r="L5483" s="1323"/>
      <c r="M5483" s="1323"/>
      <c r="N5483" s="1323"/>
      <c r="O5483" s="1323"/>
      <c r="P5483" s="1323"/>
      <c r="Q5483" s="1323"/>
      <c r="R5483" s="1304"/>
      <c r="S5483" s="1304"/>
      <c r="T5483" s="1304"/>
    </row>
    <row r="5484" spans="1:20">
      <c r="A5484" s="1303"/>
      <c r="B5484" s="1322" t="s">
        <v>12294</v>
      </c>
      <c r="C5484" s="1323" t="s">
        <v>12295</v>
      </c>
      <c r="D5484" s="1324">
        <f t="shared" si="540"/>
        <v>33885</v>
      </c>
      <c r="E5484" s="1323">
        <f t="shared" si="542"/>
        <v>2.8555000000000001</v>
      </c>
      <c r="F5484" s="1323">
        <f t="shared" si="541"/>
        <v>3.4290069674373611</v>
      </c>
      <c r="G5484" s="1323">
        <f t="shared" si="543"/>
        <v>1992</v>
      </c>
      <c r="H5484" s="1323">
        <f t="shared" si="544"/>
        <v>10</v>
      </c>
      <c r="I5484" s="1323">
        <f t="shared" si="545"/>
        <v>8</v>
      </c>
      <c r="J5484" s="1323"/>
      <c r="K5484" s="1323"/>
      <c r="L5484" s="1323"/>
      <c r="M5484" s="1323"/>
      <c r="N5484" s="1323"/>
      <c r="O5484" s="1323"/>
      <c r="P5484" s="1323"/>
      <c r="Q5484" s="1323"/>
      <c r="R5484" s="1304"/>
      <c r="S5484" s="1304"/>
      <c r="T5484" s="1304"/>
    </row>
    <row r="5485" spans="1:20">
      <c r="A5485" s="1303"/>
      <c r="B5485" s="1322" t="s">
        <v>12296</v>
      </c>
      <c r="C5485" s="1323" t="s">
        <v>12297</v>
      </c>
      <c r="D5485" s="1324">
        <f t="shared" si="540"/>
        <v>33884</v>
      </c>
      <c r="E5485" s="1323">
        <f t="shared" si="542"/>
        <v>2.8344999999999998</v>
      </c>
      <c r="F5485" s="1323">
        <f t="shared" si="541"/>
        <v>3.4283494757570789</v>
      </c>
      <c r="G5485" s="1323">
        <f t="shared" si="543"/>
        <v>1992</v>
      </c>
      <c r="H5485" s="1323">
        <f t="shared" si="544"/>
        <v>10</v>
      </c>
      <c r="I5485" s="1323">
        <f t="shared" si="545"/>
        <v>7</v>
      </c>
      <c r="J5485" s="1323"/>
      <c r="K5485" s="1323"/>
      <c r="L5485" s="1323"/>
      <c r="M5485" s="1323"/>
      <c r="N5485" s="1323"/>
      <c r="O5485" s="1323"/>
      <c r="P5485" s="1323"/>
      <c r="Q5485" s="1323"/>
      <c r="R5485" s="1304"/>
      <c r="S5485" s="1304"/>
      <c r="T5485" s="1304"/>
    </row>
    <row r="5486" spans="1:20">
      <c r="A5486" s="1303"/>
      <c r="B5486" s="1322" t="s">
        <v>12298</v>
      </c>
      <c r="C5486" s="1323" t="s">
        <v>12299</v>
      </c>
      <c r="D5486" s="1324">
        <f t="shared" si="540"/>
        <v>33883</v>
      </c>
      <c r="E5486" s="1323">
        <f t="shared" si="542"/>
        <v>2.8233000000000001</v>
      </c>
      <c r="F5486" s="1323">
        <f t="shared" si="541"/>
        <v>3.4276921101469138</v>
      </c>
      <c r="G5486" s="1323">
        <f t="shared" si="543"/>
        <v>1992</v>
      </c>
      <c r="H5486" s="1323">
        <f t="shared" si="544"/>
        <v>10</v>
      </c>
      <c r="I5486" s="1323">
        <f t="shared" si="545"/>
        <v>6</v>
      </c>
      <c r="J5486" s="1323"/>
      <c r="K5486" s="1323"/>
      <c r="L5486" s="1323"/>
      <c r="M5486" s="1323"/>
      <c r="N5486" s="1323"/>
      <c r="O5486" s="1323"/>
      <c r="P5486" s="1323"/>
      <c r="Q5486" s="1323"/>
      <c r="R5486" s="1304"/>
      <c r="S5486" s="1304"/>
      <c r="T5486" s="1304"/>
    </row>
    <row r="5487" spans="1:20">
      <c r="A5487" s="1303"/>
      <c r="B5487" s="1322" t="s">
        <v>12300</v>
      </c>
      <c r="C5487" s="1323" t="s">
        <v>12301</v>
      </c>
      <c r="D5487" s="1324">
        <f t="shared" si="540"/>
        <v>33882</v>
      </c>
      <c r="E5487" s="1323">
        <f t="shared" si="542"/>
        <v>2.8153000000000001</v>
      </c>
      <c r="F5487" s="1323">
        <f t="shared" si="541"/>
        <v>3.4270348705826925</v>
      </c>
      <c r="G5487" s="1323">
        <f t="shared" si="543"/>
        <v>1992</v>
      </c>
      <c r="H5487" s="1323">
        <f t="shared" si="544"/>
        <v>10</v>
      </c>
      <c r="I5487" s="1323">
        <f t="shared" si="545"/>
        <v>5</v>
      </c>
      <c r="J5487" s="1323"/>
      <c r="K5487" s="1323"/>
      <c r="L5487" s="1323"/>
      <c r="M5487" s="1323"/>
      <c r="N5487" s="1323"/>
      <c r="O5487" s="1323"/>
      <c r="P5487" s="1323"/>
      <c r="Q5487" s="1323"/>
      <c r="R5487" s="1304"/>
      <c r="S5487" s="1304"/>
      <c r="T5487" s="1304"/>
    </row>
    <row r="5488" spans="1:20">
      <c r="A5488" s="1303"/>
      <c r="B5488" s="1322" t="s">
        <v>12302</v>
      </c>
      <c r="C5488" s="1323" t="s">
        <v>12303</v>
      </c>
      <c r="D5488" s="1324">
        <f t="shared" si="540"/>
        <v>33879</v>
      </c>
      <c r="E5488" s="1323">
        <f t="shared" si="542"/>
        <v>2.8289</v>
      </c>
      <c r="F5488" s="1323">
        <f t="shared" si="541"/>
        <v>3.4263777570402465</v>
      </c>
      <c r="G5488" s="1323">
        <f t="shared" si="543"/>
        <v>1992</v>
      </c>
      <c r="H5488" s="1323">
        <f t="shared" si="544"/>
        <v>10</v>
      </c>
      <c r="I5488" s="1323">
        <f t="shared" si="545"/>
        <v>2</v>
      </c>
      <c r="J5488" s="1323"/>
      <c r="K5488" s="1323"/>
      <c r="L5488" s="1323"/>
      <c r="M5488" s="1323"/>
      <c r="N5488" s="1323"/>
      <c r="O5488" s="1323"/>
      <c r="P5488" s="1323"/>
      <c r="Q5488" s="1323"/>
      <c r="R5488" s="1304"/>
      <c r="S5488" s="1304"/>
      <c r="T5488" s="1304"/>
    </row>
    <row r="5489" spans="1:20">
      <c r="A5489" s="1303"/>
      <c r="B5489" s="1322" t="s">
        <v>12304</v>
      </c>
      <c r="C5489" s="1323" t="s">
        <v>12305</v>
      </c>
      <c r="D5489" s="1324">
        <f t="shared" si="540"/>
        <v>33878</v>
      </c>
      <c r="E5489" s="1323">
        <f t="shared" si="542"/>
        <v>2.8201000000000001</v>
      </c>
      <c r="F5489" s="1323">
        <f t="shared" si="541"/>
        <v>3.4257207694954115</v>
      </c>
      <c r="G5489" s="1323">
        <f t="shared" si="543"/>
        <v>1992</v>
      </c>
      <c r="H5489" s="1323">
        <f t="shared" si="544"/>
        <v>10</v>
      </c>
      <c r="I5489" s="1323">
        <f t="shared" si="545"/>
        <v>1</v>
      </c>
      <c r="J5489" s="1323"/>
      <c r="K5489" s="1323"/>
      <c r="L5489" s="1323"/>
      <c r="M5489" s="1323"/>
      <c r="N5489" s="1323"/>
      <c r="O5489" s="1323"/>
      <c r="P5489" s="1323"/>
      <c r="Q5489" s="1323"/>
      <c r="R5489" s="1304"/>
      <c r="S5489" s="1304"/>
      <c r="T5489" s="1304"/>
    </row>
    <row r="5490" spans="1:20">
      <c r="A5490" s="1303"/>
      <c r="B5490" s="1322" t="s">
        <v>12306</v>
      </c>
      <c r="C5490" s="1323" t="s">
        <v>12307</v>
      </c>
      <c r="D5490" s="1324">
        <f t="shared" si="540"/>
        <v>33877</v>
      </c>
      <c r="E5490" s="1323">
        <f t="shared" si="542"/>
        <v>2.8106</v>
      </c>
      <c r="F5490" s="1323">
        <f t="shared" si="541"/>
        <v>3.4250639079240286</v>
      </c>
      <c r="G5490" s="1323">
        <f t="shared" si="543"/>
        <v>1992</v>
      </c>
      <c r="H5490" s="1323">
        <f t="shared" si="544"/>
        <v>9</v>
      </c>
      <c r="I5490" s="1323">
        <f t="shared" si="545"/>
        <v>30</v>
      </c>
      <c r="J5490" s="1323"/>
      <c r="K5490" s="1323"/>
      <c r="L5490" s="1323"/>
      <c r="M5490" s="1323"/>
      <c r="N5490" s="1323"/>
      <c r="O5490" s="1323"/>
      <c r="P5490" s="1323"/>
      <c r="Q5490" s="1323"/>
      <c r="R5490" s="1304"/>
      <c r="S5490" s="1304"/>
      <c r="T5490" s="1304"/>
    </row>
    <row r="5491" spans="1:20">
      <c r="A5491" s="1303"/>
      <c r="B5491" s="1322" t="s">
        <v>12308</v>
      </c>
      <c r="C5491" s="1323" t="s">
        <v>12309</v>
      </c>
      <c r="D5491" s="1324">
        <f t="shared" si="540"/>
        <v>33876</v>
      </c>
      <c r="E5491" s="1323">
        <f t="shared" si="542"/>
        <v>2.8304999999999998</v>
      </c>
      <c r="F5491" s="1323">
        <f t="shared" si="541"/>
        <v>3.4244071723019434</v>
      </c>
      <c r="G5491" s="1323">
        <f t="shared" si="543"/>
        <v>1992</v>
      </c>
      <c r="H5491" s="1323">
        <f t="shared" si="544"/>
        <v>9</v>
      </c>
      <c r="I5491" s="1323">
        <f t="shared" si="545"/>
        <v>29</v>
      </c>
      <c r="J5491" s="1323"/>
      <c r="K5491" s="1323"/>
      <c r="L5491" s="1323"/>
      <c r="M5491" s="1323"/>
      <c r="N5491" s="1323"/>
      <c r="O5491" s="1323"/>
      <c r="P5491" s="1323"/>
      <c r="Q5491" s="1323"/>
      <c r="R5491" s="1304"/>
      <c r="S5491" s="1304"/>
      <c r="T5491" s="1304"/>
    </row>
    <row r="5492" spans="1:20">
      <c r="A5492" s="1303"/>
      <c r="B5492" s="1322" t="s">
        <v>12310</v>
      </c>
      <c r="C5492" s="1323" t="s">
        <v>12311</v>
      </c>
      <c r="D5492" s="1324">
        <f t="shared" si="540"/>
        <v>33875</v>
      </c>
      <c r="E5492" s="1323">
        <f t="shared" si="542"/>
        <v>2.8401000000000001</v>
      </c>
      <c r="F5492" s="1323">
        <f t="shared" si="541"/>
        <v>3.4237505626050053</v>
      </c>
      <c r="G5492" s="1323">
        <f t="shared" si="543"/>
        <v>1992</v>
      </c>
      <c r="H5492" s="1323">
        <f t="shared" si="544"/>
        <v>9</v>
      </c>
      <c r="I5492" s="1323">
        <f t="shared" si="545"/>
        <v>28</v>
      </c>
      <c r="J5492" s="1323"/>
      <c r="K5492" s="1323"/>
      <c r="L5492" s="1323"/>
      <c r="M5492" s="1323"/>
      <c r="N5492" s="1323"/>
      <c r="O5492" s="1323"/>
      <c r="P5492" s="1323"/>
      <c r="Q5492" s="1323"/>
      <c r="R5492" s="1304"/>
      <c r="S5492" s="1304"/>
      <c r="T5492" s="1304"/>
    </row>
    <row r="5493" spans="1:20">
      <c r="A5493" s="1303"/>
      <c r="B5493" s="1322" t="s">
        <v>12312</v>
      </c>
      <c r="C5493" s="1323" t="s">
        <v>12313</v>
      </c>
      <c r="D5493" s="1324">
        <f t="shared" si="540"/>
        <v>33872</v>
      </c>
      <c r="E5493" s="1323">
        <f t="shared" si="542"/>
        <v>2.8466</v>
      </c>
      <c r="F5493" s="1323">
        <f t="shared" si="541"/>
        <v>3.4230940788090694</v>
      </c>
      <c r="G5493" s="1323">
        <f t="shared" si="543"/>
        <v>1992</v>
      </c>
      <c r="H5493" s="1323">
        <f t="shared" si="544"/>
        <v>9</v>
      </c>
      <c r="I5493" s="1323">
        <f t="shared" si="545"/>
        <v>25</v>
      </c>
      <c r="J5493" s="1323"/>
      <c r="K5493" s="1323"/>
      <c r="L5493" s="1323"/>
      <c r="M5493" s="1323"/>
      <c r="N5493" s="1323"/>
      <c r="O5493" s="1323"/>
      <c r="P5493" s="1323"/>
      <c r="Q5493" s="1323"/>
      <c r="R5493" s="1304"/>
      <c r="S5493" s="1304"/>
      <c r="T5493" s="1304"/>
    </row>
    <row r="5494" spans="1:20">
      <c r="A5494" s="1303"/>
      <c r="B5494" s="1322" t="s">
        <v>12314</v>
      </c>
      <c r="C5494" s="1323" t="s">
        <v>12315</v>
      </c>
      <c r="D5494" s="1324">
        <f t="shared" si="540"/>
        <v>33871</v>
      </c>
      <c r="E5494" s="1323">
        <f t="shared" si="542"/>
        <v>2.8531</v>
      </c>
      <c r="F5494" s="1323">
        <f t="shared" si="541"/>
        <v>3.4224377208899943</v>
      </c>
      <c r="G5494" s="1323">
        <f t="shared" si="543"/>
        <v>1992</v>
      </c>
      <c r="H5494" s="1323">
        <f t="shared" si="544"/>
        <v>9</v>
      </c>
      <c r="I5494" s="1323">
        <f t="shared" si="545"/>
        <v>24</v>
      </c>
      <c r="J5494" s="1323"/>
      <c r="K5494" s="1323"/>
      <c r="L5494" s="1323"/>
      <c r="M5494" s="1323"/>
      <c r="N5494" s="1323"/>
      <c r="O5494" s="1323"/>
      <c r="P5494" s="1323"/>
      <c r="Q5494" s="1323"/>
      <c r="R5494" s="1304"/>
      <c r="S5494" s="1304"/>
      <c r="T5494" s="1304"/>
    </row>
    <row r="5495" spans="1:20">
      <c r="A5495" s="1303"/>
      <c r="B5495" s="1322" t="s">
        <v>12316</v>
      </c>
      <c r="C5495" s="1323" t="s">
        <v>12317</v>
      </c>
      <c r="D5495" s="1324">
        <f t="shared" si="540"/>
        <v>33870</v>
      </c>
      <c r="E5495" s="1323">
        <f t="shared" si="542"/>
        <v>2.86</v>
      </c>
      <c r="F5495" s="1323">
        <f t="shared" si="541"/>
        <v>3.4217814888236444</v>
      </c>
      <c r="G5495" s="1323">
        <f t="shared" si="543"/>
        <v>1992</v>
      </c>
      <c r="H5495" s="1323">
        <f t="shared" si="544"/>
        <v>9</v>
      </c>
      <c r="I5495" s="1323">
        <f t="shared" si="545"/>
        <v>23</v>
      </c>
      <c r="J5495" s="1323"/>
      <c r="K5495" s="1323"/>
      <c r="L5495" s="1323"/>
      <c r="M5495" s="1323"/>
      <c r="N5495" s="1323"/>
      <c r="O5495" s="1323"/>
      <c r="P5495" s="1323"/>
      <c r="Q5495" s="1323"/>
      <c r="R5495" s="1304"/>
      <c r="S5495" s="1304"/>
      <c r="T5495" s="1304"/>
    </row>
    <row r="5496" spans="1:20">
      <c r="A5496" s="1303"/>
      <c r="B5496" s="1322" t="s">
        <v>12318</v>
      </c>
      <c r="C5496" s="1323" t="s">
        <v>12319</v>
      </c>
      <c r="D5496" s="1324">
        <f t="shared" si="540"/>
        <v>33869</v>
      </c>
      <c r="E5496" s="1323">
        <f t="shared" si="542"/>
        <v>2.8441000000000001</v>
      </c>
      <c r="F5496" s="1323">
        <f t="shared" si="541"/>
        <v>3.4211253825858883</v>
      </c>
      <c r="G5496" s="1323">
        <f t="shared" si="543"/>
        <v>1992</v>
      </c>
      <c r="H5496" s="1323">
        <f t="shared" si="544"/>
        <v>9</v>
      </c>
      <c r="I5496" s="1323">
        <f t="shared" si="545"/>
        <v>22</v>
      </c>
      <c r="J5496" s="1323"/>
      <c r="K5496" s="1323"/>
      <c r="L5496" s="1323"/>
      <c r="M5496" s="1323"/>
      <c r="N5496" s="1323"/>
      <c r="O5496" s="1323"/>
      <c r="P5496" s="1323"/>
      <c r="Q5496" s="1323"/>
      <c r="R5496" s="1304"/>
      <c r="S5496" s="1304"/>
      <c r="T5496" s="1304"/>
    </row>
    <row r="5497" spans="1:20">
      <c r="A5497" s="1303"/>
      <c r="B5497" s="1322" t="s">
        <v>12320</v>
      </c>
      <c r="C5497" s="1323" t="s">
        <v>12321</v>
      </c>
      <c r="D5497" s="1324">
        <f t="shared" si="540"/>
        <v>33868</v>
      </c>
      <c r="E5497" s="1323">
        <f t="shared" si="542"/>
        <v>2.8473999999999999</v>
      </c>
      <c r="F5497" s="1323">
        <f t="shared" si="541"/>
        <v>3.4204694021525985</v>
      </c>
      <c r="G5497" s="1323">
        <f t="shared" si="543"/>
        <v>1992</v>
      </c>
      <c r="H5497" s="1323">
        <f t="shared" si="544"/>
        <v>9</v>
      </c>
      <c r="I5497" s="1323">
        <f t="shared" si="545"/>
        <v>21</v>
      </c>
      <c r="J5497" s="1323"/>
      <c r="K5497" s="1323"/>
      <c r="L5497" s="1323"/>
      <c r="M5497" s="1323"/>
      <c r="N5497" s="1323"/>
      <c r="O5497" s="1323"/>
      <c r="P5497" s="1323"/>
      <c r="Q5497" s="1323"/>
      <c r="R5497" s="1304"/>
      <c r="S5497" s="1304"/>
      <c r="T5497" s="1304"/>
    </row>
    <row r="5498" spans="1:20">
      <c r="A5498" s="1303"/>
      <c r="B5498" s="1322" t="s">
        <v>12322</v>
      </c>
      <c r="C5498" s="1323" t="s">
        <v>12323</v>
      </c>
      <c r="D5498" s="1324">
        <f t="shared" si="540"/>
        <v>33865</v>
      </c>
      <c r="E5498" s="1323">
        <f t="shared" si="542"/>
        <v>2.8458000000000001</v>
      </c>
      <c r="F5498" s="1323">
        <f t="shared" si="541"/>
        <v>3.4198135474996532</v>
      </c>
      <c r="G5498" s="1323">
        <f t="shared" si="543"/>
        <v>1992</v>
      </c>
      <c r="H5498" s="1323">
        <f t="shared" si="544"/>
        <v>9</v>
      </c>
      <c r="I5498" s="1323">
        <f t="shared" si="545"/>
        <v>18</v>
      </c>
      <c r="J5498" s="1323"/>
      <c r="K5498" s="1323"/>
      <c r="L5498" s="1323"/>
      <c r="M5498" s="1323"/>
      <c r="N5498" s="1323"/>
      <c r="O5498" s="1323"/>
      <c r="P5498" s="1323"/>
      <c r="Q5498" s="1323"/>
      <c r="R5498" s="1304"/>
      <c r="S5498" s="1304"/>
      <c r="T5498" s="1304"/>
    </row>
    <row r="5499" spans="1:20">
      <c r="A5499" s="1303"/>
      <c r="B5499" s="1322" t="s">
        <v>12324</v>
      </c>
      <c r="C5499" s="1323" t="s">
        <v>12325</v>
      </c>
      <c r="D5499" s="1324">
        <f t="shared" si="540"/>
        <v>33864</v>
      </c>
      <c r="E5499" s="1323">
        <f t="shared" si="542"/>
        <v>2.8416999999999999</v>
      </c>
      <c r="F5499" s="1323">
        <f t="shared" si="541"/>
        <v>3.4191578186029346</v>
      </c>
      <c r="G5499" s="1323">
        <f t="shared" si="543"/>
        <v>1992</v>
      </c>
      <c r="H5499" s="1323">
        <f t="shared" si="544"/>
        <v>9</v>
      </c>
      <c r="I5499" s="1323">
        <f t="shared" si="545"/>
        <v>17</v>
      </c>
      <c r="J5499" s="1323"/>
      <c r="K5499" s="1323"/>
      <c r="L5499" s="1323"/>
      <c r="M5499" s="1323"/>
      <c r="N5499" s="1323"/>
      <c r="O5499" s="1323"/>
      <c r="P5499" s="1323"/>
      <c r="Q5499" s="1323"/>
      <c r="R5499" s="1304"/>
      <c r="S5499" s="1304"/>
      <c r="T5499" s="1304"/>
    </row>
    <row r="5500" spans="1:20">
      <c r="A5500" s="1303"/>
      <c r="B5500" s="1322" t="s">
        <v>12326</v>
      </c>
      <c r="C5500" s="1323" t="s">
        <v>12327</v>
      </c>
      <c r="D5500" s="1324">
        <f t="shared" si="540"/>
        <v>33863</v>
      </c>
      <c r="E5500" s="1323">
        <f t="shared" si="542"/>
        <v>2.8090000000000002</v>
      </c>
      <c r="F5500" s="1323">
        <f t="shared" si="541"/>
        <v>3.41850221543833</v>
      </c>
      <c r="G5500" s="1323">
        <f t="shared" si="543"/>
        <v>1992</v>
      </c>
      <c r="H5500" s="1323">
        <f t="shared" si="544"/>
        <v>9</v>
      </c>
      <c r="I5500" s="1323">
        <f t="shared" si="545"/>
        <v>16</v>
      </c>
      <c r="J5500" s="1323"/>
      <c r="K5500" s="1323"/>
      <c r="L5500" s="1323"/>
      <c r="M5500" s="1323"/>
      <c r="N5500" s="1323"/>
      <c r="O5500" s="1323"/>
      <c r="P5500" s="1323"/>
      <c r="Q5500" s="1323"/>
      <c r="R5500" s="1304"/>
      <c r="S5500" s="1304"/>
      <c r="T5500" s="1304"/>
    </row>
    <row r="5501" spans="1:20">
      <c r="A5501" s="1303"/>
      <c r="B5501" s="1322" t="s">
        <v>12328</v>
      </c>
      <c r="C5501" s="1323" t="s">
        <v>12329</v>
      </c>
      <c r="D5501" s="1324">
        <f t="shared" si="540"/>
        <v>33862</v>
      </c>
      <c r="E5501" s="1323">
        <f t="shared" si="542"/>
        <v>2.7925</v>
      </c>
      <c r="F5501" s="1323">
        <f t="shared" si="541"/>
        <v>3.4178467379817308</v>
      </c>
      <c r="G5501" s="1323">
        <f t="shared" si="543"/>
        <v>1992</v>
      </c>
      <c r="H5501" s="1323">
        <f t="shared" si="544"/>
        <v>9</v>
      </c>
      <c r="I5501" s="1323">
        <f t="shared" si="545"/>
        <v>15</v>
      </c>
      <c r="J5501" s="1323"/>
      <c r="K5501" s="1323"/>
      <c r="L5501" s="1323"/>
      <c r="M5501" s="1323"/>
      <c r="N5501" s="1323"/>
      <c r="O5501" s="1323"/>
      <c r="P5501" s="1323"/>
      <c r="Q5501" s="1323"/>
      <c r="R5501" s="1304"/>
      <c r="S5501" s="1304"/>
      <c r="T5501" s="1304"/>
    </row>
    <row r="5502" spans="1:20">
      <c r="A5502" s="1303"/>
      <c r="B5502" s="1322" t="s">
        <v>12330</v>
      </c>
      <c r="C5502" s="1323" t="s">
        <v>12331</v>
      </c>
      <c r="D5502" s="1324">
        <f t="shared" si="540"/>
        <v>33861</v>
      </c>
      <c r="E5502" s="1323">
        <f t="shared" si="542"/>
        <v>2.8109999999999999</v>
      </c>
      <c r="F5502" s="1323">
        <f t="shared" si="541"/>
        <v>3.4171913862090331</v>
      </c>
      <c r="G5502" s="1323">
        <f t="shared" si="543"/>
        <v>1992</v>
      </c>
      <c r="H5502" s="1323">
        <f t="shared" si="544"/>
        <v>9</v>
      </c>
      <c r="I5502" s="1323">
        <f t="shared" si="545"/>
        <v>14</v>
      </c>
      <c r="J5502" s="1323"/>
      <c r="K5502" s="1323"/>
      <c r="L5502" s="1323"/>
      <c r="M5502" s="1323"/>
      <c r="N5502" s="1323"/>
      <c r="O5502" s="1323"/>
      <c r="P5502" s="1323"/>
      <c r="Q5502" s="1323"/>
      <c r="R5502" s="1304"/>
      <c r="S5502" s="1304"/>
      <c r="T5502" s="1304"/>
    </row>
    <row r="5503" spans="1:20">
      <c r="A5503" s="1303"/>
      <c r="B5503" s="1322" t="s">
        <v>12332</v>
      </c>
      <c r="C5503" s="1323" t="s">
        <v>12333</v>
      </c>
      <c r="D5503" s="1324">
        <f t="shared" si="540"/>
        <v>33858</v>
      </c>
      <c r="E5503" s="1323">
        <f t="shared" si="542"/>
        <v>2.7732000000000001</v>
      </c>
      <c r="F5503" s="1323">
        <f t="shared" si="541"/>
        <v>3.4165361600961379</v>
      </c>
      <c r="G5503" s="1323">
        <f t="shared" si="543"/>
        <v>1992</v>
      </c>
      <c r="H5503" s="1323">
        <f t="shared" si="544"/>
        <v>9</v>
      </c>
      <c r="I5503" s="1323">
        <f t="shared" si="545"/>
        <v>11</v>
      </c>
      <c r="J5503" s="1323"/>
      <c r="K5503" s="1323"/>
      <c r="L5503" s="1323"/>
      <c r="M5503" s="1323"/>
      <c r="N5503" s="1323"/>
      <c r="O5503" s="1323"/>
      <c r="P5503" s="1323"/>
      <c r="Q5503" s="1323"/>
      <c r="R5503" s="1304"/>
      <c r="S5503" s="1304"/>
      <c r="T5503" s="1304"/>
    </row>
    <row r="5504" spans="1:20">
      <c r="A5504" s="1303"/>
      <c r="B5504" s="1322" t="s">
        <v>12334</v>
      </c>
      <c r="C5504" s="1323" t="s">
        <v>12335</v>
      </c>
      <c r="D5504" s="1324">
        <f t="shared" si="540"/>
        <v>33857</v>
      </c>
      <c r="E5504" s="1323">
        <f t="shared" si="542"/>
        <v>2.7692999999999999</v>
      </c>
      <c r="F5504" s="1323">
        <f t="shared" si="541"/>
        <v>3.4158810596189504</v>
      </c>
      <c r="G5504" s="1323">
        <f t="shared" si="543"/>
        <v>1992</v>
      </c>
      <c r="H5504" s="1323">
        <f t="shared" si="544"/>
        <v>9</v>
      </c>
      <c r="I5504" s="1323">
        <f t="shared" si="545"/>
        <v>10</v>
      </c>
      <c r="J5504" s="1323"/>
      <c r="K5504" s="1323"/>
      <c r="L5504" s="1323"/>
      <c r="M5504" s="1323"/>
      <c r="N5504" s="1323"/>
      <c r="O5504" s="1323"/>
      <c r="P5504" s="1323"/>
      <c r="Q5504" s="1323"/>
      <c r="R5504" s="1304"/>
      <c r="S5504" s="1304"/>
      <c r="T5504" s="1304"/>
    </row>
    <row r="5505" spans="1:20">
      <c r="A5505" s="1303"/>
      <c r="B5505" s="1322" t="s">
        <v>12336</v>
      </c>
      <c r="C5505" s="1323" t="s">
        <v>12337</v>
      </c>
      <c r="D5505" s="1324">
        <f t="shared" si="540"/>
        <v>33856</v>
      </c>
      <c r="E5505" s="1323">
        <f t="shared" si="542"/>
        <v>2.7503000000000002</v>
      </c>
      <c r="F5505" s="1323">
        <f t="shared" si="541"/>
        <v>3.4152260847533813</v>
      </c>
      <c r="G5505" s="1323">
        <f t="shared" si="543"/>
        <v>1992</v>
      </c>
      <c r="H5505" s="1323">
        <f t="shared" si="544"/>
        <v>9</v>
      </c>
      <c r="I5505" s="1323">
        <f t="shared" si="545"/>
        <v>9</v>
      </c>
      <c r="J5505" s="1323"/>
      <c r="K5505" s="1323"/>
      <c r="L5505" s="1323"/>
      <c r="M5505" s="1323"/>
      <c r="N5505" s="1323"/>
      <c r="O5505" s="1323"/>
      <c r="P5505" s="1323"/>
      <c r="Q5505" s="1323"/>
      <c r="R5505" s="1304"/>
      <c r="S5505" s="1304"/>
      <c r="T5505" s="1304"/>
    </row>
    <row r="5506" spans="1:20">
      <c r="A5506" s="1303"/>
      <c r="B5506" s="1322" t="s">
        <v>12338</v>
      </c>
      <c r="C5506" s="1323" t="s">
        <v>12339</v>
      </c>
      <c r="D5506" s="1324">
        <f t="shared" si="540"/>
        <v>33855</v>
      </c>
      <c r="E5506" s="1323">
        <f t="shared" si="542"/>
        <v>2.7366999999999999</v>
      </c>
      <c r="F5506" s="1323">
        <f t="shared" si="541"/>
        <v>3.414571235475345</v>
      </c>
      <c r="G5506" s="1323">
        <f t="shared" si="543"/>
        <v>1992</v>
      </c>
      <c r="H5506" s="1323">
        <f t="shared" si="544"/>
        <v>9</v>
      </c>
      <c r="I5506" s="1323">
        <f t="shared" si="545"/>
        <v>8</v>
      </c>
      <c r="J5506" s="1323"/>
      <c r="K5506" s="1323"/>
      <c r="L5506" s="1323"/>
      <c r="M5506" s="1323"/>
      <c r="N5506" s="1323"/>
      <c r="O5506" s="1323"/>
      <c r="P5506" s="1323"/>
      <c r="Q5506" s="1323"/>
      <c r="R5506" s="1304"/>
      <c r="S5506" s="1304"/>
      <c r="T5506" s="1304"/>
    </row>
    <row r="5507" spans="1:20">
      <c r="A5507" s="1303"/>
      <c r="B5507" s="1322" t="s">
        <v>12340</v>
      </c>
      <c r="C5507" s="1323" t="s">
        <v>12341</v>
      </c>
      <c r="D5507" s="1324">
        <f t="shared" si="540"/>
        <v>33854</v>
      </c>
      <c r="E5507" s="1323">
        <f t="shared" si="542"/>
        <v>2.7503000000000002</v>
      </c>
      <c r="F5507" s="1323">
        <f t="shared" si="541"/>
        <v>3.4139165117607608</v>
      </c>
      <c r="G5507" s="1323">
        <f t="shared" si="543"/>
        <v>1992</v>
      </c>
      <c r="H5507" s="1323">
        <f t="shared" si="544"/>
        <v>9</v>
      </c>
      <c r="I5507" s="1323">
        <f t="shared" si="545"/>
        <v>7</v>
      </c>
      <c r="J5507" s="1323"/>
      <c r="K5507" s="1323"/>
      <c r="L5507" s="1323"/>
      <c r="M5507" s="1323"/>
      <c r="N5507" s="1323"/>
      <c r="O5507" s="1323"/>
      <c r="P5507" s="1323"/>
      <c r="Q5507" s="1323"/>
      <c r="R5507" s="1304"/>
      <c r="S5507" s="1304"/>
      <c r="T5507" s="1304"/>
    </row>
    <row r="5508" spans="1:20">
      <c r="A5508" s="1303"/>
      <c r="B5508" s="1322" t="s">
        <v>12342</v>
      </c>
      <c r="C5508" s="1323" t="s">
        <v>12339</v>
      </c>
      <c r="D5508" s="1324">
        <f t="shared" si="540"/>
        <v>33851</v>
      </c>
      <c r="E5508" s="1323">
        <f t="shared" si="542"/>
        <v>2.7646999999999999</v>
      </c>
      <c r="F5508" s="1323">
        <f t="shared" si="541"/>
        <v>3.4132619135855524</v>
      </c>
      <c r="G5508" s="1323">
        <f t="shared" si="543"/>
        <v>1992</v>
      </c>
      <c r="H5508" s="1323">
        <f t="shared" si="544"/>
        <v>9</v>
      </c>
      <c r="I5508" s="1323">
        <f t="shared" si="545"/>
        <v>4</v>
      </c>
      <c r="J5508" s="1323"/>
      <c r="K5508" s="1323"/>
      <c r="L5508" s="1323"/>
      <c r="M5508" s="1323"/>
      <c r="N5508" s="1323"/>
      <c r="O5508" s="1323"/>
      <c r="P5508" s="1323"/>
      <c r="Q5508" s="1323"/>
      <c r="R5508" s="1304"/>
      <c r="S5508" s="1304"/>
      <c r="T5508" s="1304"/>
    </row>
    <row r="5509" spans="1:20">
      <c r="A5509" s="1303"/>
      <c r="B5509" s="1322" t="s">
        <v>12343</v>
      </c>
      <c r="C5509" s="1323" t="s">
        <v>12344</v>
      </c>
      <c r="D5509" s="1324">
        <f t="shared" si="540"/>
        <v>33850</v>
      </c>
      <c r="E5509" s="1323">
        <f t="shared" si="542"/>
        <v>2.742</v>
      </c>
      <c r="F5509" s="1323">
        <f t="shared" si="541"/>
        <v>3.4126074409256488</v>
      </c>
      <c r="G5509" s="1323">
        <f t="shared" si="543"/>
        <v>1992</v>
      </c>
      <c r="H5509" s="1323">
        <f t="shared" si="544"/>
        <v>9</v>
      </c>
      <c r="I5509" s="1323">
        <f t="shared" si="545"/>
        <v>3</v>
      </c>
      <c r="J5509" s="1323"/>
      <c r="K5509" s="1323"/>
      <c r="L5509" s="1323"/>
      <c r="M5509" s="1323"/>
      <c r="N5509" s="1323"/>
      <c r="O5509" s="1323"/>
      <c r="P5509" s="1323"/>
      <c r="Q5509" s="1323"/>
      <c r="R5509" s="1304"/>
      <c r="S5509" s="1304"/>
      <c r="T5509" s="1304"/>
    </row>
    <row r="5510" spans="1:20">
      <c r="A5510" s="1303"/>
      <c r="B5510" s="1322" t="s">
        <v>12345</v>
      </c>
      <c r="C5510" s="1323" t="s">
        <v>12346</v>
      </c>
      <c r="D5510" s="1324">
        <f t="shared" si="540"/>
        <v>33849</v>
      </c>
      <c r="E5510" s="1323">
        <f t="shared" si="542"/>
        <v>2.7233000000000001</v>
      </c>
      <c r="F5510" s="1323">
        <f t="shared" si="541"/>
        <v>3.4119530937569831</v>
      </c>
      <c r="G5510" s="1323">
        <f t="shared" si="543"/>
        <v>1992</v>
      </c>
      <c r="H5510" s="1323">
        <f t="shared" si="544"/>
        <v>9</v>
      </c>
      <c r="I5510" s="1323">
        <f t="shared" si="545"/>
        <v>2</v>
      </c>
      <c r="J5510" s="1323"/>
      <c r="K5510" s="1323"/>
      <c r="L5510" s="1323"/>
      <c r="M5510" s="1323"/>
      <c r="N5510" s="1323"/>
      <c r="O5510" s="1323"/>
      <c r="P5510" s="1323"/>
      <c r="Q5510" s="1323"/>
      <c r="R5510" s="1304"/>
      <c r="S5510" s="1304"/>
      <c r="T5510" s="1304"/>
    </row>
    <row r="5511" spans="1:20">
      <c r="A5511" s="1303"/>
      <c r="B5511" s="1322" t="s">
        <v>12347</v>
      </c>
      <c r="C5511" s="1323" t="s">
        <v>12348</v>
      </c>
      <c r="D5511" s="1324">
        <f t="shared" si="540"/>
        <v>33848</v>
      </c>
      <c r="E5511" s="1323">
        <f t="shared" si="542"/>
        <v>2.7248000000000001</v>
      </c>
      <c r="F5511" s="1323">
        <f t="shared" si="541"/>
        <v>3.4112988720554931</v>
      </c>
      <c r="G5511" s="1323">
        <f t="shared" si="543"/>
        <v>1992</v>
      </c>
      <c r="H5511" s="1323">
        <f t="shared" si="544"/>
        <v>9</v>
      </c>
      <c r="I5511" s="1323">
        <f t="shared" si="545"/>
        <v>1</v>
      </c>
      <c r="J5511" s="1323"/>
      <c r="K5511" s="1323"/>
      <c r="L5511" s="1323"/>
      <c r="M5511" s="1323"/>
      <c r="N5511" s="1323"/>
      <c r="O5511" s="1323"/>
      <c r="P5511" s="1323"/>
      <c r="Q5511" s="1323"/>
      <c r="R5511" s="1304"/>
      <c r="S5511" s="1304"/>
      <c r="T5511" s="1304"/>
    </row>
    <row r="5512" spans="1:20">
      <c r="A5512" s="1303"/>
      <c r="B5512" s="1322" t="s">
        <v>12349</v>
      </c>
      <c r="C5512" s="1323" t="s">
        <v>12350</v>
      </c>
      <c r="D5512" s="1324">
        <f t="shared" si="540"/>
        <v>33847</v>
      </c>
      <c r="E5512" s="1323">
        <f t="shared" si="542"/>
        <v>2.7382</v>
      </c>
      <c r="F5512" s="1323">
        <f t="shared" si="541"/>
        <v>3.4106447757971208</v>
      </c>
      <c r="G5512" s="1323">
        <f t="shared" si="543"/>
        <v>1992</v>
      </c>
      <c r="H5512" s="1323">
        <f t="shared" si="544"/>
        <v>8</v>
      </c>
      <c r="I5512" s="1323">
        <f t="shared" si="545"/>
        <v>31</v>
      </c>
      <c r="J5512" s="1323"/>
      <c r="K5512" s="1323"/>
      <c r="L5512" s="1323"/>
      <c r="M5512" s="1323"/>
      <c r="N5512" s="1323"/>
      <c r="O5512" s="1323"/>
      <c r="P5512" s="1323"/>
      <c r="Q5512" s="1323"/>
      <c r="R5512" s="1304"/>
      <c r="S5512" s="1304"/>
      <c r="T5512" s="1304"/>
    </row>
    <row r="5513" spans="1:20">
      <c r="A5513" s="1303"/>
      <c r="B5513" s="1322" t="s">
        <v>12351</v>
      </c>
      <c r="C5513" s="1323" t="s">
        <v>12352</v>
      </c>
      <c r="D5513" s="1324">
        <f t="shared" ref="D5513:D5576" si="546">DATE(G5513,H5513,I5513)</f>
        <v>33844</v>
      </c>
      <c r="E5513" s="1323">
        <f t="shared" si="542"/>
        <v>2.7427000000000001</v>
      </c>
      <c r="F5513" s="1323">
        <f t="shared" ref="F5513:F5576" si="547">F5514*(1+$F$7/365)</f>
        <v>3.4099908049578138</v>
      </c>
      <c r="G5513" s="1323">
        <f t="shared" si="543"/>
        <v>1992</v>
      </c>
      <c r="H5513" s="1323">
        <f t="shared" si="544"/>
        <v>8</v>
      </c>
      <c r="I5513" s="1323">
        <f t="shared" si="545"/>
        <v>28</v>
      </c>
      <c r="J5513" s="1323"/>
      <c r="K5513" s="1323"/>
      <c r="L5513" s="1323"/>
      <c r="M5513" s="1323"/>
      <c r="N5513" s="1323"/>
      <c r="O5513" s="1323"/>
      <c r="P5513" s="1323"/>
      <c r="Q5513" s="1323"/>
      <c r="R5513" s="1304"/>
      <c r="S5513" s="1304"/>
      <c r="T5513" s="1304"/>
    </row>
    <row r="5514" spans="1:20">
      <c r="A5514" s="1303"/>
      <c r="B5514" s="1322" t="s">
        <v>12353</v>
      </c>
      <c r="C5514" s="1323" t="s">
        <v>12354</v>
      </c>
      <c r="D5514" s="1324">
        <f t="shared" si="546"/>
        <v>33843</v>
      </c>
      <c r="E5514" s="1323">
        <f t="shared" si="542"/>
        <v>2.7532999999999999</v>
      </c>
      <c r="F5514" s="1323">
        <f t="shared" si="547"/>
        <v>3.4093369595135234</v>
      </c>
      <c r="G5514" s="1323">
        <f t="shared" si="543"/>
        <v>1992</v>
      </c>
      <c r="H5514" s="1323">
        <f t="shared" si="544"/>
        <v>8</v>
      </c>
      <c r="I5514" s="1323">
        <f t="shared" si="545"/>
        <v>27</v>
      </c>
      <c r="J5514" s="1323"/>
      <c r="K5514" s="1323"/>
      <c r="L5514" s="1323"/>
      <c r="M5514" s="1323"/>
      <c r="N5514" s="1323"/>
      <c r="O5514" s="1323"/>
      <c r="P5514" s="1323"/>
      <c r="Q5514" s="1323"/>
      <c r="R5514" s="1304"/>
      <c r="S5514" s="1304"/>
      <c r="T5514" s="1304"/>
    </row>
    <row r="5515" spans="1:20">
      <c r="A5515" s="1303"/>
      <c r="B5515" s="1322" t="s">
        <v>12355</v>
      </c>
      <c r="C5515" s="1323" t="s">
        <v>12356</v>
      </c>
      <c r="D5515" s="1324">
        <f t="shared" si="546"/>
        <v>33842</v>
      </c>
      <c r="E5515" s="1323">
        <f t="shared" si="542"/>
        <v>2.7494999999999998</v>
      </c>
      <c r="F5515" s="1323">
        <f t="shared" si="547"/>
        <v>3.4086832394402062</v>
      </c>
      <c r="G5515" s="1323">
        <f t="shared" si="543"/>
        <v>1992</v>
      </c>
      <c r="H5515" s="1323">
        <f t="shared" si="544"/>
        <v>8</v>
      </c>
      <c r="I5515" s="1323">
        <f t="shared" si="545"/>
        <v>26</v>
      </c>
      <c r="J5515" s="1323"/>
      <c r="K5515" s="1323"/>
      <c r="L5515" s="1323"/>
      <c r="M5515" s="1323"/>
      <c r="N5515" s="1323"/>
      <c r="O5515" s="1323"/>
      <c r="P5515" s="1323"/>
      <c r="Q5515" s="1323"/>
      <c r="R5515" s="1304"/>
      <c r="S5515" s="1304"/>
      <c r="T5515" s="1304"/>
    </row>
    <row r="5516" spans="1:20">
      <c r="A5516" s="1303"/>
      <c r="B5516" s="1322" t="s">
        <v>12357</v>
      </c>
      <c r="C5516" s="1323" t="s">
        <v>12358</v>
      </c>
      <c r="D5516" s="1324">
        <f t="shared" si="546"/>
        <v>33841</v>
      </c>
      <c r="E5516" s="1323">
        <f t="shared" si="542"/>
        <v>2.7593999999999999</v>
      </c>
      <c r="F5516" s="1323">
        <f t="shared" si="547"/>
        <v>3.4080296447138227</v>
      </c>
      <c r="G5516" s="1323">
        <f t="shared" si="543"/>
        <v>1992</v>
      </c>
      <c r="H5516" s="1323">
        <f t="shared" si="544"/>
        <v>8</v>
      </c>
      <c r="I5516" s="1323">
        <f t="shared" si="545"/>
        <v>25</v>
      </c>
      <c r="J5516" s="1323"/>
      <c r="K5516" s="1323"/>
      <c r="L5516" s="1323"/>
      <c r="M5516" s="1323"/>
      <c r="N5516" s="1323"/>
      <c r="O5516" s="1323"/>
      <c r="P5516" s="1323"/>
      <c r="Q5516" s="1323"/>
      <c r="R5516" s="1304"/>
      <c r="S5516" s="1304"/>
      <c r="T5516" s="1304"/>
    </row>
    <row r="5517" spans="1:20">
      <c r="A5517" s="1303"/>
      <c r="B5517" s="1322" t="s">
        <v>12359</v>
      </c>
      <c r="C5517" s="1323" t="s">
        <v>12360</v>
      </c>
      <c r="D5517" s="1324">
        <f t="shared" si="546"/>
        <v>33840</v>
      </c>
      <c r="E5517" s="1323">
        <f t="shared" si="542"/>
        <v>2.7608999999999999</v>
      </c>
      <c r="F5517" s="1323">
        <f t="shared" si="547"/>
        <v>3.4073761753103384</v>
      </c>
      <c r="G5517" s="1323">
        <f t="shared" si="543"/>
        <v>1992</v>
      </c>
      <c r="H5517" s="1323">
        <f t="shared" si="544"/>
        <v>8</v>
      </c>
      <c r="I5517" s="1323">
        <f t="shared" si="545"/>
        <v>24</v>
      </c>
      <c r="J5517" s="1323"/>
      <c r="K5517" s="1323"/>
      <c r="L5517" s="1323"/>
      <c r="M5517" s="1323"/>
      <c r="N5517" s="1323"/>
      <c r="O5517" s="1323"/>
      <c r="P5517" s="1323"/>
      <c r="Q5517" s="1323"/>
      <c r="R5517" s="1304"/>
      <c r="S5517" s="1304"/>
      <c r="T5517" s="1304"/>
    </row>
    <row r="5518" spans="1:20">
      <c r="A5518" s="1303"/>
      <c r="B5518" s="1322" t="s">
        <v>12361</v>
      </c>
      <c r="C5518" s="1323" t="s">
        <v>12362</v>
      </c>
      <c r="D5518" s="1324">
        <f t="shared" si="546"/>
        <v>33837</v>
      </c>
      <c r="E5518" s="1323">
        <f t="shared" si="542"/>
        <v>2.7732000000000001</v>
      </c>
      <c r="F5518" s="1323">
        <f t="shared" si="547"/>
        <v>3.4067228312057236</v>
      </c>
      <c r="G5518" s="1323">
        <f t="shared" si="543"/>
        <v>1992</v>
      </c>
      <c r="H5518" s="1323">
        <f t="shared" si="544"/>
        <v>8</v>
      </c>
      <c r="I5518" s="1323">
        <f t="shared" si="545"/>
        <v>21</v>
      </c>
      <c r="J5518" s="1323"/>
      <c r="K5518" s="1323"/>
      <c r="L5518" s="1323"/>
      <c r="M5518" s="1323"/>
      <c r="N5518" s="1323"/>
      <c r="O5518" s="1323"/>
      <c r="P5518" s="1323"/>
      <c r="Q5518" s="1323"/>
      <c r="R5518" s="1304"/>
      <c r="S5518" s="1304"/>
      <c r="T5518" s="1304"/>
    </row>
    <row r="5519" spans="1:20">
      <c r="A5519" s="1303"/>
      <c r="B5519" s="1322" t="s">
        <v>12363</v>
      </c>
      <c r="C5519" s="1323" t="s">
        <v>12335</v>
      </c>
      <c r="D5519" s="1324">
        <f t="shared" si="546"/>
        <v>33836</v>
      </c>
      <c r="E5519" s="1323">
        <f t="shared" si="542"/>
        <v>2.7677999999999998</v>
      </c>
      <c r="F5519" s="1323">
        <f t="shared" si="547"/>
        <v>3.4060696123759526</v>
      </c>
      <c r="G5519" s="1323">
        <f t="shared" si="543"/>
        <v>1992</v>
      </c>
      <c r="H5519" s="1323">
        <f t="shared" si="544"/>
        <v>8</v>
      </c>
      <c r="I5519" s="1323">
        <f t="shared" si="545"/>
        <v>20</v>
      </c>
      <c r="J5519" s="1323"/>
      <c r="K5519" s="1323"/>
      <c r="L5519" s="1323"/>
      <c r="M5519" s="1323"/>
      <c r="N5519" s="1323"/>
      <c r="O5519" s="1323"/>
      <c r="P5519" s="1323"/>
      <c r="Q5519" s="1323"/>
      <c r="R5519" s="1304"/>
      <c r="S5519" s="1304"/>
      <c r="T5519" s="1304"/>
    </row>
    <row r="5520" spans="1:20">
      <c r="A5520" s="1303"/>
      <c r="B5520" s="1322" t="s">
        <v>12364</v>
      </c>
      <c r="C5520" s="1323" t="s">
        <v>12365</v>
      </c>
      <c r="D5520" s="1324">
        <f t="shared" si="546"/>
        <v>33835</v>
      </c>
      <c r="E5520" s="1323">
        <f t="shared" si="542"/>
        <v>2.7663000000000002</v>
      </c>
      <c r="F5520" s="1323">
        <f t="shared" si="547"/>
        <v>3.4054165187970051</v>
      </c>
      <c r="G5520" s="1323">
        <f t="shared" si="543"/>
        <v>1992</v>
      </c>
      <c r="H5520" s="1323">
        <f t="shared" si="544"/>
        <v>8</v>
      </c>
      <c r="I5520" s="1323">
        <f t="shared" si="545"/>
        <v>19</v>
      </c>
      <c r="J5520" s="1323"/>
      <c r="K5520" s="1323"/>
      <c r="L5520" s="1323"/>
      <c r="M5520" s="1323"/>
      <c r="N5520" s="1323"/>
      <c r="O5520" s="1323"/>
      <c r="P5520" s="1323"/>
      <c r="Q5520" s="1323"/>
      <c r="R5520" s="1304"/>
      <c r="S5520" s="1304"/>
      <c r="T5520" s="1304"/>
    </row>
    <row r="5521" spans="1:20">
      <c r="A5521" s="1303"/>
      <c r="B5521" s="1322" t="s">
        <v>12366</v>
      </c>
      <c r="C5521" s="1323" t="s">
        <v>12367</v>
      </c>
      <c r="D5521" s="1324">
        <f t="shared" si="546"/>
        <v>33834</v>
      </c>
      <c r="E5521" s="1323">
        <f t="shared" si="542"/>
        <v>2.7685</v>
      </c>
      <c r="F5521" s="1323">
        <f t="shared" si="547"/>
        <v>3.4047635504448648</v>
      </c>
      <c r="G5521" s="1323">
        <f t="shared" si="543"/>
        <v>1992</v>
      </c>
      <c r="H5521" s="1323">
        <f t="shared" si="544"/>
        <v>8</v>
      </c>
      <c r="I5521" s="1323">
        <f t="shared" si="545"/>
        <v>18</v>
      </c>
      <c r="J5521" s="1323"/>
      <c r="K5521" s="1323"/>
      <c r="L5521" s="1323"/>
      <c r="M5521" s="1323"/>
      <c r="N5521" s="1323"/>
      <c r="O5521" s="1323"/>
      <c r="P5521" s="1323"/>
      <c r="Q5521" s="1323"/>
      <c r="R5521" s="1304"/>
      <c r="S5521" s="1304"/>
      <c r="T5521" s="1304"/>
    </row>
    <row r="5522" spans="1:20">
      <c r="A5522" s="1303"/>
      <c r="B5522" s="1322" t="s">
        <v>12368</v>
      </c>
      <c r="C5522" s="1323" t="s">
        <v>12369</v>
      </c>
      <c r="D5522" s="1324">
        <f t="shared" si="546"/>
        <v>33833</v>
      </c>
      <c r="E5522" s="1323">
        <f t="shared" si="542"/>
        <v>2.7785000000000002</v>
      </c>
      <c r="F5522" s="1323">
        <f t="shared" si="547"/>
        <v>3.4041107072955201</v>
      </c>
      <c r="G5522" s="1323">
        <f t="shared" si="543"/>
        <v>1992</v>
      </c>
      <c r="H5522" s="1323">
        <f t="shared" si="544"/>
        <v>8</v>
      </c>
      <c r="I5522" s="1323">
        <f t="shared" si="545"/>
        <v>17</v>
      </c>
      <c r="J5522" s="1323"/>
      <c r="K5522" s="1323"/>
      <c r="L5522" s="1323"/>
      <c r="M5522" s="1323"/>
      <c r="N5522" s="1323"/>
      <c r="O5522" s="1323"/>
      <c r="P5522" s="1323"/>
      <c r="Q5522" s="1323"/>
      <c r="R5522" s="1304"/>
      <c r="S5522" s="1304"/>
      <c r="T5522" s="1304"/>
    </row>
    <row r="5523" spans="1:20">
      <c r="A5523" s="1303"/>
      <c r="B5523" s="1322" t="s">
        <v>12370</v>
      </c>
      <c r="C5523" s="1323" t="s">
        <v>12371</v>
      </c>
      <c r="D5523" s="1324">
        <f t="shared" si="546"/>
        <v>33830</v>
      </c>
      <c r="E5523" s="1323">
        <f t="shared" si="542"/>
        <v>2.7654999999999998</v>
      </c>
      <c r="F5523" s="1323">
        <f t="shared" si="547"/>
        <v>3.4034579893249646</v>
      </c>
      <c r="G5523" s="1323">
        <f t="shared" si="543"/>
        <v>1992</v>
      </c>
      <c r="H5523" s="1323">
        <f t="shared" si="544"/>
        <v>8</v>
      </c>
      <c r="I5523" s="1323">
        <f t="shared" si="545"/>
        <v>14</v>
      </c>
      <c r="J5523" s="1323"/>
      <c r="K5523" s="1323"/>
      <c r="L5523" s="1323"/>
      <c r="M5523" s="1323"/>
      <c r="N5523" s="1323"/>
      <c r="O5523" s="1323"/>
      <c r="P5523" s="1323"/>
      <c r="Q5523" s="1323"/>
      <c r="R5523" s="1304"/>
      <c r="S5523" s="1304"/>
      <c r="T5523" s="1304"/>
    </row>
    <row r="5524" spans="1:20">
      <c r="A5524" s="1303"/>
      <c r="B5524" s="1322" t="s">
        <v>12372</v>
      </c>
      <c r="C5524" s="1323" t="s">
        <v>12373</v>
      </c>
      <c r="D5524" s="1324">
        <f t="shared" si="546"/>
        <v>33829</v>
      </c>
      <c r="E5524" s="1323">
        <f t="shared" si="542"/>
        <v>2.7700999999999998</v>
      </c>
      <c r="F5524" s="1323">
        <f t="shared" si="547"/>
        <v>3.4028053965091956</v>
      </c>
      <c r="G5524" s="1323">
        <f t="shared" si="543"/>
        <v>1992</v>
      </c>
      <c r="H5524" s="1323">
        <f t="shared" si="544"/>
        <v>8</v>
      </c>
      <c r="I5524" s="1323">
        <f t="shared" si="545"/>
        <v>13</v>
      </c>
      <c r="J5524" s="1323"/>
      <c r="K5524" s="1323"/>
      <c r="L5524" s="1323"/>
      <c r="M5524" s="1323"/>
      <c r="N5524" s="1323"/>
      <c r="O5524" s="1323"/>
      <c r="P5524" s="1323"/>
      <c r="Q5524" s="1323"/>
      <c r="R5524" s="1304"/>
      <c r="S5524" s="1304"/>
      <c r="T5524" s="1304"/>
    </row>
    <row r="5525" spans="1:20">
      <c r="A5525" s="1303"/>
      <c r="B5525" s="1322" t="s">
        <v>12374</v>
      </c>
      <c r="C5525" s="1323" t="s">
        <v>12375</v>
      </c>
      <c r="D5525" s="1324">
        <f t="shared" si="546"/>
        <v>33828</v>
      </c>
      <c r="E5525" s="1323">
        <f t="shared" si="542"/>
        <v>2.7715999999999998</v>
      </c>
      <c r="F5525" s="1323">
        <f t="shared" si="547"/>
        <v>3.4021529288242154</v>
      </c>
      <c r="G5525" s="1323">
        <f t="shared" si="543"/>
        <v>1992</v>
      </c>
      <c r="H5525" s="1323">
        <f t="shared" si="544"/>
        <v>8</v>
      </c>
      <c r="I5525" s="1323">
        <f t="shared" si="545"/>
        <v>12</v>
      </c>
      <c r="J5525" s="1323"/>
      <c r="K5525" s="1323"/>
      <c r="L5525" s="1323"/>
      <c r="M5525" s="1323"/>
      <c r="N5525" s="1323"/>
      <c r="O5525" s="1323"/>
      <c r="P5525" s="1323"/>
      <c r="Q5525" s="1323"/>
      <c r="R5525" s="1304"/>
      <c r="S5525" s="1304"/>
      <c r="T5525" s="1304"/>
    </row>
    <row r="5526" spans="1:20">
      <c r="A5526" s="1303"/>
      <c r="B5526" s="1322" t="s">
        <v>12376</v>
      </c>
      <c r="C5526" s="1323" t="s">
        <v>12377</v>
      </c>
      <c r="D5526" s="1324">
        <f t="shared" si="546"/>
        <v>33827</v>
      </c>
      <c r="E5526" s="1323">
        <f t="shared" ref="E5526:E5589" si="548">VALUE(C5527)</f>
        <v>2.7608999999999999</v>
      </c>
      <c r="F5526" s="1323">
        <f t="shared" si="547"/>
        <v>3.4015005862460312</v>
      </c>
      <c r="G5526" s="1323">
        <f t="shared" ref="G5526:G5589" si="549">YEAR(B5527)</f>
        <v>1992</v>
      </c>
      <c r="H5526" s="1323">
        <f t="shared" ref="H5526:H5589" si="550">MONTH(B5527)</f>
        <v>8</v>
      </c>
      <c r="I5526" s="1323">
        <f t="shared" ref="I5526:I5589" si="551">DAY(B5527)</f>
        <v>11</v>
      </c>
      <c r="J5526" s="1323"/>
      <c r="K5526" s="1323"/>
      <c r="L5526" s="1323"/>
      <c r="M5526" s="1323"/>
      <c r="N5526" s="1323"/>
      <c r="O5526" s="1323"/>
      <c r="P5526" s="1323"/>
      <c r="Q5526" s="1323"/>
      <c r="R5526" s="1304"/>
      <c r="S5526" s="1304"/>
      <c r="T5526" s="1304"/>
    </row>
    <row r="5527" spans="1:20">
      <c r="A5527" s="1303"/>
      <c r="B5527" s="1322" t="s">
        <v>12378</v>
      </c>
      <c r="C5527" s="1323" t="s">
        <v>12362</v>
      </c>
      <c r="D5527" s="1324">
        <f t="shared" si="546"/>
        <v>33826</v>
      </c>
      <c r="E5527" s="1323">
        <f t="shared" si="548"/>
        <v>2.7639999999999998</v>
      </c>
      <c r="F5527" s="1323">
        <f t="shared" si="547"/>
        <v>3.4008483687506543</v>
      </c>
      <c r="G5527" s="1323">
        <f t="shared" si="549"/>
        <v>1992</v>
      </c>
      <c r="H5527" s="1323">
        <f t="shared" si="550"/>
        <v>8</v>
      </c>
      <c r="I5527" s="1323">
        <f t="shared" si="551"/>
        <v>10</v>
      </c>
      <c r="J5527" s="1323"/>
      <c r="K5527" s="1323"/>
      <c r="L5527" s="1323"/>
      <c r="M5527" s="1323"/>
      <c r="N5527" s="1323"/>
      <c r="O5527" s="1323"/>
      <c r="P5527" s="1323"/>
      <c r="Q5527" s="1323"/>
      <c r="R5527" s="1304"/>
      <c r="S5527" s="1304"/>
      <c r="T5527" s="1304"/>
    </row>
    <row r="5528" spans="1:20">
      <c r="A5528" s="1303"/>
      <c r="B5528" s="1322" t="s">
        <v>12379</v>
      </c>
      <c r="C5528" s="1323" t="s">
        <v>12380</v>
      </c>
      <c r="D5528" s="1324">
        <f t="shared" si="546"/>
        <v>33823</v>
      </c>
      <c r="E5528" s="1323">
        <f t="shared" si="548"/>
        <v>2.7700999999999998</v>
      </c>
      <c r="F5528" s="1323">
        <f t="shared" si="547"/>
        <v>3.4001962763141007</v>
      </c>
      <c r="G5528" s="1323">
        <f t="shared" si="549"/>
        <v>1992</v>
      </c>
      <c r="H5528" s="1323">
        <f t="shared" si="550"/>
        <v>8</v>
      </c>
      <c r="I5528" s="1323">
        <f t="shared" si="551"/>
        <v>7</v>
      </c>
      <c r="J5528" s="1323"/>
      <c r="K5528" s="1323"/>
      <c r="L5528" s="1323"/>
      <c r="M5528" s="1323"/>
      <c r="N5528" s="1323"/>
      <c r="O5528" s="1323"/>
      <c r="P5528" s="1323"/>
      <c r="Q5528" s="1323"/>
      <c r="R5528" s="1304"/>
      <c r="S5528" s="1304"/>
      <c r="T5528" s="1304"/>
    </row>
    <row r="5529" spans="1:20">
      <c r="A5529" s="1303"/>
      <c r="B5529" s="1322" t="s">
        <v>12381</v>
      </c>
      <c r="C5529" s="1323" t="s">
        <v>12375</v>
      </c>
      <c r="D5529" s="1324">
        <f t="shared" si="546"/>
        <v>33822</v>
      </c>
      <c r="E5529" s="1323">
        <f t="shared" si="548"/>
        <v>2.7738999999999998</v>
      </c>
      <c r="F5529" s="1323">
        <f t="shared" si="547"/>
        <v>3.3995443089123913</v>
      </c>
      <c r="G5529" s="1323">
        <f t="shared" si="549"/>
        <v>1992</v>
      </c>
      <c r="H5529" s="1323">
        <f t="shared" si="550"/>
        <v>8</v>
      </c>
      <c r="I5529" s="1323">
        <f t="shared" si="551"/>
        <v>6</v>
      </c>
      <c r="J5529" s="1323"/>
      <c r="K5529" s="1323"/>
      <c r="L5529" s="1323"/>
      <c r="M5529" s="1323"/>
      <c r="N5529" s="1323"/>
      <c r="O5529" s="1323"/>
      <c r="P5529" s="1323"/>
      <c r="Q5529" s="1323"/>
      <c r="R5529" s="1304"/>
      <c r="S5529" s="1304"/>
      <c r="T5529" s="1304"/>
    </row>
    <row r="5530" spans="1:20">
      <c r="A5530" s="1303"/>
      <c r="B5530" s="1322" t="s">
        <v>12382</v>
      </c>
      <c r="C5530" s="1323" t="s">
        <v>12383</v>
      </c>
      <c r="D5530" s="1324">
        <f t="shared" si="546"/>
        <v>33821</v>
      </c>
      <c r="E5530" s="1323">
        <f t="shared" si="548"/>
        <v>2.7639999999999998</v>
      </c>
      <c r="F5530" s="1323">
        <f t="shared" si="547"/>
        <v>3.3988924665215516</v>
      </c>
      <c r="G5530" s="1323">
        <f t="shared" si="549"/>
        <v>1992</v>
      </c>
      <c r="H5530" s="1323">
        <f t="shared" si="550"/>
        <v>8</v>
      </c>
      <c r="I5530" s="1323">
        <f t="shared" si="551"/>
        <v>5</v>
      </c>
      <c r="J5530" s="1323"/>
      <c r="K5530" s="1323"/>
      <c r="L5530" s="1323"/>
      <c r="M5530" s="1323"/>
      <c r="N5530" s="1323"/>
      <c r="O5530" s="1323"/>
      <c r="P5530" s="1323"/>
      <c r="Q5530" s="1323"/>
      <c r="R5530" s="1304"/>
      <c r="S5530" s="1304"/>
      <c r="T5530" s="1304"/>
    </row>
    <row r="5531" spans="1:20">
      <c r="A5531" s="1303"/>
      <c r="B5531" s="1322" t="s">
        <v>12384</v>
      </c>
      <c r="C5531" s="1323" t="s">
        <v>12380</v>
      </c>
      <c r="D5531" s="1324">
        <f t="shared" si="546"/>
        <v>33820</v>
      </c>
      <c r="E5531" s="1323">
        <f t="shared" si="548"/>
        <v>2.7700999999999998</v>
      </c>
      <c r="F5531" s="1323">
        <f t="shared" si="547"/>
        <v>3.398240749117611</v>
      </c>
      <c r="G5531" s="1323">
        <f t="shared" si="549"/>
        <v>1992</v>
      </c>
      <c r="H5531" s="1323">
        <f t="shared" si="550"/>
        <v>8</v>
      </c>
      <c r="I5531" s="1323">
        <f t="shared" si="551"/>
        <v>4</v>
      </c>
      <c r="J5531" s="1323"/>
      <c r="K5531" s="1323"/>
      <c r="L5531" s="1323"/>
      <c r="M5531" s="1323"/>
      <c r="N5531" s="1323"/>
      <c r="O5531" s="1323"/>
      <c r="P5531" s="1323"/>
      <c r="Q5531" s="1323"/>
      <c r="R5531" s="1304"/>
      <c r="S5531" s="1304"/>
      <c r="T5531" s="1304"/>
    </row>
    <row r="5532" spans="1:20">
      <c r="A5532" s="1303"/>
      <c r="B5532" s="1322" t="s">
        <v>12385</v>
      </c>
      <c r="C5532" s="1323" t="s">
        <v>12375</v>
      </c>
      <c r="D5532" s="1324">
        <f t="shared" si="546"/>
        <v>33819</v>
      </c>
      <c r="E5532" s="1323">
        <f t="shared" si="548"/>
        <v>2.7608999999999999</v>
      </c>
      <c r="F5532" s="1323">
        <f t="shared" si="547"/>
        <v>3.3975891566766045</v>
      </c>
      <c r="G5532" s="1323">
        <f t="shared" si="549"/>
        <v>1992</v>
      </c>
      <c r="H5532" s="1323">
        <f t="shared" si="550"/>
        <v>8</v>
      </c>
      <c r="I5532" s="1323">
        <f t="shared" si="551"/>
        <v>3</v>
      </c>
      <c r="J5532" s="1323"/>
      <c r="K5532" s="1323"/>
      <c r="L5532" s="1323"/>
      <c r="M5532" s="1323"/>
      <c r="N5532" s="1323"/>
      <c r="O5532" s="1323"/>
      <c r="P5532" s="1323"/>
      <c r="Q5532" s="1323"/>
      <c r="R5532" s="1304"/>
      <c r="S5532" s="1304"/>
      <c r="T5532" s="1304"/>
    </row>
    <row r="5533" spans="1:20">
      <c r="A5533" s="1303"/>
      <c r="B5533" s="1322" t="s">
        <v>12386</v>
      </c>
      <c r="C5533" s="1323" t="s">
        <v>12362</v>
      </c>
      <c r="D5533" s="1324">
        <f t="shared" si="546"/>
        <v>33816</v>
      </c>
      <c r="E5533" s="1323">
        <f t="shared" si="548"/>
        <v>2.7627999999999999</v>
      </c>
      <c r="F5533" s="1323">
        <f t="shared" si="547"/>
        <v>3.3969376891745711</v>
      </c>
      <c r="G5533" s="1323">
        <f t="shared" si="549"/>
        <v>1992</v>
      </c>
      <c r="H5533" s="1323">
        <f t="shared" si="550"/>
        <v>7</v>
      </c>
      <c r="I5533" s="1323">
        <f t="shared" si="551"/>
        <v>31</v>
      </c>
      <c r="J5533" s="1323"/>
      <c r="K5533" s="1323"/>
      <c r="L5533" s="1323"/>
      <c r="M5533" s="1323"/>
      <c r="N5533" s="1323"/>
      <c r="O5533" s="1323"/>
      <c r="P5533" s="1323"/>
      <c r="Q5533" s="1323"/>
      <c r="R5533" s="1304"/>
      <c r="S5533" s="1304"/>
      <c r="T5533" s="1304"/>
    </row>
    <row r="5534" spans="1:20">
      <c r="A5534" s="1303"/>
      <c r="B5534" s="1322" t="s">
        <v>12387</v>
      </c>
      <c r="C5534" s="1323" t="s">
        <v>12388</v>
      </c>
      <c r="D5534" s="1324">
        <f t="shared" si="546"/>
        <v>33815</v>
      </c>
      <c r="E5534" s="1323">
        <f t="shared" si="548"/>
        <v>2.7715999999999998</v>
      </c>
      <c r="F5534" s="1323">
        <f t="shared" si="547"/>
        <v>3.3962863465875541</v>
      </c>
      <c r="G5534" s="1323">
        <f t="shared" si="549"/>
        <v>1992</v>
      </c>
      <c r="H5534" s="1323">
        <f t="shared" si="550"/>
        <v>7</v>
      </c>
      <c r="I5534" s="1323">
        <f t="shared" si="551"/>
        <v>30</v>
      </c>
      <c r="J5534" s="1323"/>
      <c r="K5534" s="1323"/>
      <c r="L5534" s="1323"/>
      <c r="M5534" s="1323"/>
      <c r="N5534" s="1323"/>
      <c r="O5534" s="1323"/>
      <c r="P5534" s="1323"/>
      <c r="Q5534" s="1323"/>
      <c r="R5534" s="1304"/>
      <c r="S5534" s="1304"/>
      <c r="T5534" s="1304"/>
    </row>
    <row r="5535" spans="1:20">
      <c r="A5535" s="1303"/>
      <c r="B5535" s="1322" t="s">
        <v>12389</v>
      </c>
      <c r="C5535" s="1323" t="s">
        <v>12377</v>
      </c>
      <c r="D5535" s="1324">
        <f t="shared" si="546"/>
        <v>33814</v>
      </c>
      <c r="E5535" s="1323">
        <f t="shared" si="548"/>
        <v>2.7541000000000002</v>
      </c>
      <c r="F5535" s="1323">
        <f t="shared" si="547"/>
        <v>3.3956351288916022</v>
      </c>
      <c r="G5535" s="1323">
        <f t="shared" si="549"/>
        <v>1992</v>
      </c>
      <c r="H5535" s="1323">
        <f t="shared" si="550"/>
        <v>7</v>
      </c>
      <c r="I5535" s="1323">
        <f t="shared" si="551"/>
        <v>29</v>
      </c>
      <c r="J5535" s="1323"/>
      <c r="K5535" s="1323"/>
      <c r="L5535" s="1323"/>
      <c r="M5535" s="1323"/>
      <c r="N5535" s="1323"/>
      <c r="O5535" s="1323"/>
      <c r="P5535" s="1323"/>
      <c r="Q5535" s="1323"/>
      <c r="R5535" s="1304"/>
      <c r="S5535" s="1304"/>
      <c r="T5535" s="1304"/>
    </row>
    <row r="5536" spans="1:20">
      <c r="A5536" s="1303"/>
      <c r="B5536" s="1322" t="s">
        <v>12390</v>
      </c>
      <c r="C5536" s="1323" t="s">
        <v>12391</v>
      </c>
      <c r="D5536" s="1324">
        <f t="shared" si="546"/>
        <v>33813</v>
      </c>
      <c r="E5536" s="1323">
        <f t="shared" si="548"/>
        <v>2.7547999999999999</v>
      </c>
      <c r="F5536" s="1323">
        <f t="shared" si="547"/>
        <v>3.3949840360627683</v>
      </c>
      <c r="G5536" s="1323">
        <f t="shared" si="549"/>
        <v>1992</v>
      </c>
      <c r="H5536" s="1323">
        <f t="shared" si="550"/>
        <v>7</v>
      </c>
      <c r="I5536" s="1323">
        <f t="shared" si="551"/>
        <v>28</v>
      </c>
      <c r="J5536" s="1323"/>
      <c r="K5536" s="1323"/>
      <c r="L5536" s="1323"/>
      <c r="M5536" s="1323"/>
      <c r="N5536" s="1323"/>
      <c r="O5536" s="1323"/>
      <c r="P5536" s="1323"/>
      <c r="Q5536" s="1323"/>
      <c r="R5536" s="1304"/>
      <c r="S5536" s="1304"/>
      <c r="T5536" s="1304"/>
    </row>
    <row r="5537" spans="1:20">
      <c r="A5537" s="1303"/>
      <c r="B5537" s="1322" t="s">
        <v>12392</v>
      </c>
      <c r="C5537" s="1323" t="s">
        <v>12393</v>
      </c>
      <c r="D5537" s="1324">
        <f t="shared" si="546"/>
        <v>33812</v>
      </c>
      <c r="E5537" s="1323">
        <f t="shared" si="548"/>
        <v>2.7631999999999999</v>
      </c>
      <c r="F5537" s="1323">
        <f t="shared" si="547"/>
        <v>3.3943330680771098</v>
      </c>
      <c r="G5537" s="1323">
        <f t="shared" si="549"/>
        <v>1992</v>
      </c>
      <c r="H5537" s="1323">
        <f t="shared" si="550"/>
        <v>7</v>
      </c>
      <c r="I5537" s="1323">
        <f t="shared" si="551"/>
        <v>27</v>
      </c>
      <c r="J5537" s="1323"/>
      <c r="K5537" s="1323"/>
      <c r="L5537" s="1323"/>
      <c r="M5537" s="1323"/>
      <c r="N5537" s="1323"/>
      <c r="O5537" s="1323"/>
      <c r="P5537" s="1323"/>
      <c r="Q5537" s="1323"/>
      <c r="R5537" s="1304"/>
      <c r="S5537" s="1304"/>
      <c r="T5537" s="1304"/>
    </row>
    <row r="5538" spans="1:20">
      <c r="A5538" s="1303"/>
      <c r="B5538" s="1322" t="s">
        <v>12394</v>
      </c>
      <c r="C5538" s="1323" t="s">
        <v>12395</v>
      </c>
      <c r="D5538" s="1324">
        <f t="shared" si="546"/>
        <v>33809</v>
      </c>
      <c r="E5538" s="1323">
        <f t="shared" si="548"/>
        <v>2.7608999999999999</v>
      </c>
      <c r="F5538" s="1323">
        <f t="shared" si="547"/>
        <v>3.3936822249106884</v>
      </c>
      <c r="G5538" s="1323">
        <f t="shared" si="549"/>
        <v>1992</v>
      </c>
      <c r="H5538" s="1323">
        <f t="shared" si="550"/>
        <v>7</v>
      </c>
      <c r="I5538" s="1323">
        <f t="shared" si="551"/>
        <v>24</v>
      </c>
      <c r="J5538" s="1323"/>
      <c r="K5538" s="1323"/>
      <c r="L5538" s="1323"/>
      <c r="M5538" s="1323"/>
      <c r="N5538" s="1323"/>
      <c r="O5538" s="1323"/>
      <c r="P5538" s="1323"/>
      <c r="Q5538" s="1323"/>
      <c r="R5538" s="1304"/>
      <c r="S5538" s="1304"/>
      <c r="T5538" s="1304"/>
    </row>
    <row r="5539" spans="1:20">
      <c r="A5539" s="1303"/>
      <c r="B5539" s="1322" t="s">
        <v>12396</v>
      </c>
      <c r="C5539" s="1323" t="s">
        <v>12362</v>
      </c>
      <c r="D5539" s="1324">
        <f t="shared" si="546"/>
        <v>33808</v>
      </c>
      <c r="E5539" s="1323">
        <f t="shared" si="548"/>
        <v>2.7646999999999999</v>
      </c>
      <c r="F5539" s="1323">
        <f t="shared" si="547"/>
        <v>3.3930315065395713</v>
      </c>
      <c r="G5539" s="1323">
        <f t="shared" si="549"/>
        <v>1992</v>
      </c>
      <c r="H5539" s="1323">
        <f t="shared" si="550"/>
        <v>7</v>
      </c>
      <c r="I5539" s="1323">
        <f t="shared" si="551"/>
        <v>23</v>
      </c>
      <c r="J5539" s="1323"/>
      <c r="K5539" s="1323"/>
      <c r="L5539" s="1323"/>
      <c r="M5539" s="1323"/>
      <c r="N5539" s="1323"/>
      <c r="O5539" s="1323"/>
      <c r="P5539" s="1323"/>
      <c r="Q5539" s="1323"/>
      <c r="R5539" s="1304"/>
      <c r="S5539" s="1304"/>
      <c r="T5539" s="1304"/>
    </row>
    <row r="5540" spans="1:20">
      <c r="A5540" s="1303"/>
      <c r="B5540" s="1322" t="s">
        <v>12397</v>
      </c>
      <c r="C5540" s="1323" t="s">
        <v>12344</v>
      </c>
      <c r="D5540" s="1324">
        <f t="shared" si="546"/>
        <v>33807</v>
      </c>
      <c r="E5540" s="1323">
        <f t="shared" si="548"/>
        <v>2.7555999999999998</v>
      </c>
      <c r="F5540" s="1323">
        <f t="shared" si="547"/>
        <v>3.3923809129398292</v>
      </c>
      <c r="G5540" s="1323">
        <f t="shared" si="549"/>
        <v>1992</v>
      </c>
      <c r="H5540" s="1323">
        <f t="shared" si="550"/>
        <v>7</v>
      </c>
      <c r="I5540" s="1323">
        <f t="shared" si="551"/>
        <v>22</v>
      </c>
      <c r="J5540" s="1323"/>
      <c r="K5540" s="1323"/>
      <c r="L5540" s="1323"/>
      <c r="M5540" s="1323"/>
      <c r="N5540" s="1323"/>
      <c r="O5540" s="1323"/>
      <c r="P5540" s="1323"/>
      <c r="Q5540" s="1323"/>
      <c r="R5540" s="1304"/>
      <c r="S5540" s="1304"/>
      <c r="T5540" s="1304"/>
    </row>
    <row r="5541" spans="1:20">
      <c r="A5541" s="1303"/>
      <c r="B5541" s="1322" t="s">
        <v>12398</v>
      </c>
      <c r="C5541" s="1323" t="s">
        <v>12399</v>
      </c>
      <c r="D5541" s="1324">
        <f t="shared" si="546"/>
        <v>33806</v>
      </c>
      <c r="E5541" s="1323">
        <f t="shared" si="548"/>
        <v>2.7608999999999999</v>
      </c>
      <c r="F5541" s="1323">
        <f t="shared" si="547"/>
        <v>3.3917304440875382</v>
      </c>
      <c r="G5541" s="1323">
        <f t="shared" si="549"/>
        <v>1992</v>
      </c>
      <c r="H5541" s="1323">
        <f t="shared" si="550"/>
        <v>7</v>
      </c>
      <c r="I5541" s="1323">
        <f t="shared" si="551"/>
        <v>21</v>
      </c>
      <c r="J5541" s="1323"/>
      <c r="K5541" s="1323"/>
      <c r="L5541" s="1323"/>
      <c r="M5541" s="1323"/>
      <c r="N5541" s="1323"/>
      <c r="O5541" s="1323"/>
      <c r="P5541" s="1323"/>
      <c r="Q5541" s="1323"/>
      <c r="R5541" s="1304"/>
      <c r="S5541" s="1304"/>
      <c r="T5541" s="1304"/>
    </row>
    <row r="5542" spans="1:20">
      <c r="A5542" s="1303"/>
      <c r="B5542" s="1322" t="s">
        <v>12400</v>
      </c>
      <c r="C5542" s="1323" t="s">
        <v>12362</v>
      </c>
      <c r="D5542" s="1324">
        <f t="shared" si="546"/>
        <v>33805</v>
      </c>
      <c r="E5542" s="1323">
        <f t="shared" si="548"/>
        <v>2.7210999999999999</v>
      </c>
      <c r="F5542" s="1323">
        <f t="shared" si="547"/>
        <v>3.3910800999587787</v>
      </c>
      <c r="G5542" s="1323">
        <f t="shared" si="549"/>
        <v>1992</v>
      </c>
      <c r="H5542" s="1323">
        <f t="shared" si="550"/>
        <v>7</v>
      </c>
      <c r="I5542" s="1323">
        <f t="shared" si="551"/>
        <v>20</v>
      </c>
      <c r="J5542" s="1323"/>
      <c r="K5542" s="1323"/>
      <c r="L5542" s="1323"/>
      <c r="M5542" s="1323"/>
      <c r="N5542" s="1323"/>
      <c r="O5542" s="1323"/>
      <c r="P5542" s="1323"/>
      <c r="Q5542" s="1323"/>
      <c r="R5542" s="1304"/>
      <c r="S5542" s="1304"/>
      <c r="T5542" s="1304"/>
    </row>
    <row r="5543" spans="1:20">
      <c r="A5543" s="1303"/>
      <c r="B5543" s="1322" t="s">
        <v>12401</v>
      </c>
      <c r="C5543" s="1323" t="s">
        <v>12402</v>
      </c>
      <c r="D5543" s="1324">
        <f t="shared" si="546"/>
        <v>33802</v>
      </c>
      <c r="E5543" s="1323">
        <f t="shared" si="548"/>
        <v>2.7412000000000001</v>
      </c>
      <c r="F5543" s="1323">
        <f t="shared" si="547"/>
        <v>3.390429880529636</v>
      </c>
      <c r="G5543" s="1323">
        <f t="shared" si="549"/>
        <v>1992</v>
      </c>
      <c r="H5543" s="1323">
        <f t="shared" si="550"/>
        <v>7</v>
      </c>
      <c r="I5543" s="1323">
        <f t="shared" si="551"/>
        <v>17</v>
      </c>
      <c r="J5543" s="1323"/>
      <c r="K5543" s="1323"/>
      <c r="L5543" s="1323"/>
      <c r="M5543" s="1323"/>
      <c r="N5543" s="1323"/>
      <c r="O5543" s="1323"/>
      <c r="P5543" s="1323"/>
      <c r="Q5543" s="1323"/>
      <c r="R5543" s="1304"/>
      <c r="S5543" s="1304"/>
      <c r="T5543" s="1304"/>
    </row>
    <row r="5544" spans="1:20">
      <c r="A5544" s="1303"/>
      <c r="B5544" s="1322" t="s">
        <v>12403</v>
      </c>
      <c r="C5544" s="1323" t="s">
        <v>12404</v>
      </c>
      <c r="D5544" s="1324">
        <f t="shared" si="546"/>
        <v>33801</v>
      </c>
      <c r="E5544" s="1323">
        <f t="shared" si="548"/>
        <v>2.7503000000000002</v>
      </c>
      <c r="F5544" s="1323">
        <f t="shared" si="547"/>
        <v>3.3897797857761995</v>
      </c>
      <c r="G5544" s="1323">
        <f t="shared" si="549"/>
        <v>1992</v>
      </c>
      <c r="H5544" s="1323">
        <f t="shared" si="550"/>
        <v>7</v>
      </c>
      <c r="I5544" s="1323">
        <f t="shared" si="551"/>
        <v>16</v>
      </c>
      <c r="J5544" s="1323"/>
      <c r="K5544" s="1323"/>
      <c r="L5544" s="1323"/>
      <c r="M5544" s="1323"/>
      <c r="N5544" s="1323"/>
      <c r="O5544" s="1323"/>
      <c r="P5544" s="1323"/>
      <c r="Q5544" s="1323"/>
      <c r="R5544" s="1304"/>
      <c r="S5544" s="1304"/>
      <c r="T5544" s="1304"/>
    </row>
    <row r="5545" spans="1:20">
      <c r="A5545" s="1303"/>
      <c r="B5545" s="1322" t="s">
        <v>12405</v>
      </c>
      <c r="C5545" s="1323" t="s">
        <v>12339</v>
      </c>
      <c r="D5545" s="1324">
        <f t="shared" si="546"/>
        <v>33800</v>
      </c>
      <c r="E5545" s="1323">
        <f t="shared" si="548"/>
        <v>2.7494999999999998</v>
      </c>
      <c r="F5545" s="1323">
        <f t="shared" si="547"/>
        <v>3.3891298156745631</v>
      </c>
      <c r="G5545" s="1323">
        <f t="shared" si="549"/>
        <v>1992</v>
      </c>
      <c r="H5545" s="1323">
        <f t="shared" si="550"/>
        <v>7</v>
      </c>
      <c r="I5545" s="1323">
        <f t="shared" si="551"/>
        <v>15</v>
      </c>
      <c r="J5545" s="1323"/>
      <c r="K5545" s="1323"/>
      <c r="L5545" s="1323"/>
      <c r="M5545" s="1323"/>
      <c r="N5545" s="1323"/>
      <c r="O5545" s="1323"/>
      <c r="P5545" s="1323"/>
      <c r="Q5545" s="1323"/>
      <c r="R5545" s="1304"/>
      <c r="S5545" s="1304"/>
      <c r="T5545" s="1304"/>
    </row>
    <row r="5546" spans="1:20">
      <c r="A5546" s="1303"/>
      <c r="B5546" s="1322" t="s">
        <v>12406</v>
      </c>
      <c r="C5546" s="1323" t="s">
        <v>12358</v>
      </c>
      <c r="D5546" s="1324">
        <f t="shared" si="546"/>
        <v>33799</v>
      </c>
      <c r="E5546" s="1323">
        <f t="shared" si="548"/>
        <v>2.7473000000000001</v>
      </c>
      <c r="F5546" s="1323">
        <f t="shared" si="547"/>
        <v>3.3884799702008257</v>
      </c>
      <c r="G5546" s="1323">
        <f t="shared" si="549"/>
        <v>1992</v>
      </c>
      <c r="H5546" s="1323">
        <f t="shared" si="550"/>
        <v>7</v>
      </c>
      <c r="I5546" s="1323">
        <f t="shared" si="551"/>
        <v>14</v>
      </c>
      <c r="J5546" s="1323"/>
      <c r="K5546" s="1323"/>
      <c r="L5546" s="1323"/>
      <c r="M5546" s="1323"/>
      <c r="N5546" s="1323"/>
      <c r="O5546" s="1323"/>
      <c r="P5546" s="1323"/>
      <c r="Q5546" s="1323"/>
      <c r="R5546" s="1304"/>
      <c r="S5546" s="1304"/>
      <c r="T5546" s="1304"/>
    </row>
    <row r="5547" spans="1:20">
      <c r="A5547" s="1303"/>
      <c r="B5547" s="1322" t="s">
        <v>12407</v>
      </c>
      <c r="C5547" s="1323" t="s">
        <v>12408</v>
      </c>
      <c r="D5547" s="1324">
        <f t="shared" si="546"/>
        <v>33798</v>
      </c>
      <c r="E5547" s="1323">
        <f t="shared" si="548"/>
        <v>2.7366999999999999</v>
      </c>
      <c r="F5547" s="1323">
        <f t="shared" si="547"/>
        <v>3.387830249331091</v>
      </c>
      <c r="G5547" s="1323">
        <f t="shared" si="549"/>
        <v>1992</v>
      </c>
      <c r="H5547" s="1323">
        <f t="shared" si="550"/>
        <v>7</v>
      </c>
      <c r="I5547" s="1323">
        <f t="shared" si="551"/>
        <v>13</v>
      </c>
      <c r="J5547" s="1323"/>
      <c r="K5547" s="1323"/>
      <c r="L5547" s="1323"/>
      <c r="M5547" s="1323"/>
      <c r="N5547" s="1323"/>
      <c r="O5547" s="1323"/>
      <c r="P5547" s="1323"/>
      <c r="Q5547" s="1323"/>
      <c r="R5547" s="1304"/>
      <c r="S5547" s="1304"/>
      <c r="T5547" s="1304"/>
    </row>
    <row r="5548" spans="1:20">
      <c r="A5548" s="1303"/>
      <c r="B5548" s="1322" t="s">
        <v>12409</v>
      </c>
      <c r="C5548" s="1323" t="s">
        <v>12341</v>
      </c>
      <c r="D5548" s="1324">
        <f t="shared" si="546"/>
        <v>33795</v>
      </c>
      <c r="E5548" s="1323">
        <f t="shared" si="548"/>
        <v>2.7663000000000002</v>
      </c>
      <c r="F5548" s="1323">
        <f t="shared" si="547"/>
        <v>3.3871806530414665</v>
      </c>
      <c r="G5548" s="1323">
        <f t="shared" si="549"/>
        <v>1992</v>
      </c>
      <c r="H5548" s="1323">
        <f t="shared" si="550"/>
        <v>7</v>
      </c>
      <c r="I5548" s="1323">
        <f t="shared" si="551"/>
        <v>10</v>
      </c>
      <c r="J5548" s="1323"/>
      <c r="K5548" s="1323"/>
      <c r="L5548" s="1323"/>
      <c r="M5548" s="1323"/>
      <c r="N5548" s="1323"/>
      <c r="O5548" s="1323"/>
      <c r="P5548" s="1323"/>
      <c r="Q5548" s="1323"/>
      <c r="R5548" s="1304"/>
      <c r="S5548" s="1304"/>
      <c r="T5548" s="1304"/>
    </row>
    <row r="5549" spans="1:20">
      <c r="A5549" s="1303"/>
      <c r="B5549" s="1322" t="s">
        <v>12410</v>
      </c>
      <c r="C5549" s="1323" t="s">
        <v>12367</v>
      </c>
      <c r="D5549" s="1324">
        <f t="shared" si="546"/>
        <v>33794</v>
      </c>
      <c r="E5549" s="1323">
        <f t="shared" si="548"/>
        <v>2.7442000000000002</v>
      </c>
      <c r="F5549" s="1323">
        <f t="shared" si="547"/>
        <v>3.3865311813080647</v>
      </c>
      <c r="G5549" s="1323">
        <f t="shared" si="549"/>
        <v>1992</v>
      </c>
      <c r="H5549" s="1323">
        <f t="shared" si="550"/>
        <v>7</v>
      </c>
      <c r="I5549" s="1323">
        <f t="shared" si="551"/>
        <v>9</v>
      </c>
      <c r="J5549" s="1323"/>
      <c r="K5549" s="1323"/>
      <c r="L5549" s="1323"/>
      <c r="M5549" s="1323"/>
      <c r="N5549" s="1323"/>
      <c r="O5549" s="1323"/>
      <c r="P5549" s="1323"/>
      <c r="Q5549" s="1323"/>
      <c r="R5549" s="1304"/>
      <c r="S5549" s="1304"/>
      <c r="T5549" s="1304"/>
    </row>
    <row r="5550" spans="1:20">
      <c r="A5550" s="1303"/>
      <c r="B5550" s="1322" t="s">
        <v>12411</v>
      </c>
      <c r="C5550" s="1323" t="s">
        <v>12412</v>
      </c>
      <c r="D5550" s="1324">
        <f t="shared" si="546"/>
        <v>33793</v>
      </c>
      <c r="E5550" s="1323">
        <f t="shared" si="548"/>
        <v>2.7336999999999998</v>
      </c>
      <c r="F5550" s="1323">
        <f t="shared" si="547"/>
        <v>3.3858818341070029</v>
      </c>
      <c r="G5550" s="1323">
        <f t="shared" si="549"/>
        <v>1992</v>
      </c>
      <c r="H5550" s="1323">
        <f t="shared" si="550"/>
        <v>7</v>
      </c>
      <c r="I5550" s="1323">
        <f t="shared" si="551"/>
        <v>8</v>
      </c>
      <c r="J5550" s="1323"/>
      <c r="K5550" s="1323"/>
      <c r="L5550" s="1323"/>
      <c r="M5550" s="1323"/>
      <c r="N5550" s="1323"/>
      <c r="O5550" s="1323"/>
      <c r="P5550" s="1323"/>
      <c r="Q5550" s="1323"/>
      <c r="R5550" s="1304"/>
      <c r="S5550" s="1304"/>
      <c r="T5550" s="1304"/>
    </row>
    <row r="5551" spans="1:20">
      <c r="A5551" s="1303"/>
      <c r="B5551" s="1322" t="s">
        <v>12413</v>
      </c>
      <c r="C5551" s="1323" t="s">
        <v>12414</v>
      </c>
      <c r="D5551" s="1324">
        <f t="shared" si="546"/>
        <v>33792</v>
      </c>
      <c r="E5551" s="1323">
        <f t="shared" si="548"/>
        <v>2.7503000000000002</v>
      </c>
      <c r="F5551" s="1323">
        <f t="shared" si="547"/>
        <v>3.3852326114144029</v>
      </c>
      <c r="G5551" s="1323">
        <f t="shared" si="549"/>
        <v>1992</v>
      </c>
      <c r="H5551" s="1323">
        <f t="shared" si="550"/>
        <v>7</v>
      </c>
      <c r="I5551" s="1323">
        <f t="shared" si="551"/>
        <v>7</v>
      </c>
      <c r="J5551" s="1323"/>
      <c r="K5551" s="1323"/>
      <c r="L5551" s="1323"/>
      <c r="M5551" s="1323"/>
      <c r="N5551" s="1323"/>
      <c r="O5551" s="1323"/>
      <c r="P5551" s="1323"/>
      <c r="Q5551" s="1323"/>
      <c r="R5551" s="1304"/>
      <c r="S5551" s="1304"/>
      <c r="T5551" s="1304"/>
    </row>
    <row r="5552" spans="1:20">
      <c r="A5552" s="1303"/>
      <c r="B5552" s="1322" t="s">
        <v>12415</v>
      </c>
      <c r="C5552" s="1323" t="s">
        <v>12339</v>
      </c>
      <c r="D5552" s="1324">
        <f t="shared" si="546"/>
        <v>33791</v>
      </c>
      <c r="E5552" s="1323">
        <f t="shared" si="548"/>
        <v>2.7692999999999999</v>
      </c>
      <c r="F5552" s="1323">
        <f t="shared" si="547"/>
        <v>3.3845835132063904</v>
      </c>
      <c r="G5552" s="1323">
        <f t="shared" si="549"/>
        <v>1992</v>
      </c>
      <c r="H5552" s="1323">
        <f t="shared" si="550"/>
        <v>7</v>
      </c>
      <c r="I5552" s="1323">
        <f t="shared" si="551"/>
        <v>6</v>
      </c>
      <c r="J5552" s="1323"/>
      <c r="K5552" s="1323"/>
      <c r="L5552" s="1323"/>
      <c r="M5552" s="1323"/>
      <c r="N5552" s="1323"/>
      <c r="O5552" s="1323"/>
      <c r="P5552" s="1323"/>
      <c r="Q5552" s="1323"/>
      <c r="R5552" s="1304"/>
      <c r="S5552" s="1304"/>
      <c r="T5552" s="1304"/>
    </row>
    <row r="5553" spans="1:20">
      <c r="A5553" s="1303"/>
      <c r="B5553" s="1322" t="s">
        <v>12416</v>
      </c>
      <c r="C5553" s="1323" t="s">
        <v>12337</v>
      </c>
      <c r="D5553" s="1324">
        <f t="shared" si="546"/>
        <v>33788</v>
      </c>
      <c r="E5553" s="1323">
        <f t="shared" si="548"/>
        <v>2.7509999999999999</v>
      </c>
      <c r="F5553" s="1323">
        <f t="shared" si="547"/>
        <v>3.3839345394590969</v>
      </c>
      <c r="G5553" s="1323">
        <f t="shared" si="549"/>
        <v>1992</v>
      </c>
      <c r="H5553" s="1323">
        <f t="shared" si="550"/>
        <v>7</v>
      </c>
      <c r="I5553" s="1323">
        <f t="shared" si="551"/>
        <v>3</v>
      </c>
      <c r="J5553" s="1323"/>
      <c r="K5553" s="1323"/>
      <c r="L5553" s="1323"/>
      <c r="M5553" s="1323"/>
      <c r="N5553" s="1323"/>
      <c r="O5553" s="1323"/>
      <c r="P5553" s="1323"/>
      <c r="Q5553" s="1323"/>
      <c r="R5553" s="1304"/>
      <c r="S5553" s="1304"/>
      <c r="T5553" s="1304"/>
    </row>
    <row r="5554" spans="1:20">
      <c r="A5554" s="1303"/>
      <c r="B5554" s="1322" t="s">
        <v>12417</v>
      </c>
      <c r="C5554" s="1323" t="s">
        <v>12418</v>
      </c>
      <c r="D5554" s="1324">
        <f t="shared" si="546"/>
        <v>33787</v>
      </c>
      <c r="E5554" s="1323">
        <f t="shared" si="548"/>
        <v>2.7631999999999999</v>
      </c>
      <c r="F5554" s="1323">
        <f t="shared" si="547"/>
        <v>3.3832856901486572</v>
      </c>
      <c r="G5554" s="1323">
        <f t="shared" si="549"/>
        <v>1992</v>
      </c>
      <c r="H5554" s="1323">
        <f t="shared" si="550"/>
        <v>7</v>
      </c>
      <c r="I5554" s="1323">
        <f t="shared" si="551"/>
        <v>2</v>
      </c>
      <c r="J5554" s="1323"/>
      <c r="K5554" s="1323"/>
      <c r="L5554" s="1323"/>
      <c r="M5554" s="1323"/>
      <c r="N5554" s="1323"/>
      <c r="O5554" s="1323"/>
      <c r="P5554" s="1323"/>
      <c r="Q5554" s="1323"/>
      <c r="R5554" s="1304"/>
      <c r="S5554" s="1304"/>
      <c r="T5554" s="1304"/>
    </row>
    <row r="5555" spans="1:20">
      <c r="A5555" s="1303"/>
      <c r="B5555" s="1322" t="s">
        <v>12419</v>
      </c>
      <c r="C5555" s="1323" t="s">
        <v>12395</v>
      </c>
      <c r="D5555" s="1324">
        <f t="shared" si="546"/>
        <v>33786</v>
      </c>
      <c r="E5555" s="1323">
        <f t="shared" si="548"/>
        <v>2.7593999999999999</v>
      </c>
      <c r="F5555" s="1323">
        <f t="shared" si="547"/>
        <v>3.3826369652512116</v>
      </c>
      <c r="G5555" s="1323">
        <f t="shared" si="549"/>
        <v>1992</v>
      </c>
      <c r="H5555" s="1323">
        <f t="shared" si="550"/>
        <v>7</v>
      </c>
      <c r="I5555" s="1323">
        <f t="shared" si="551"/>
        <v>1</v>
      </c>
      <c r="J5555" s="1323"/>
      <c r="K5555" s="1323"/>
      <c r="L5555" s="1323"/>
      <c r="M5555" s="1323"/>
      <c r="N5555" s="1323"/>
      <c r="O5555" s="1323"/>
      <c r="P5555" s="1323"/>
      <c r="Q5555" s="1323"/>
      <c r="R5555" s="1304"/>
      <c r="S5555" s="1304"/>
      <c r="T5555" s="1304"/>
    </row>
    <row r="5556" spans="1:20">
      <c r="A5556" s="1303"/>
      <c r="B5556" s="1322" t="s">
        <v>12420</v>
      </c>
      <c r="C5556" s="1323" t="s">
        <v>12360</v>
      </c>
      <c r="D5556" s="1324">
        <f t="shared" si="546"/>
        <v>33785</v>
      </c>
      <c r="E5556" s="1323">
        <f t="shared" si="548"/>
        <v>2.7724000000000002</v>
      </c>
      <c r="F5556" s="1323">
        <f t="shared" si="547"/>
        <v>3.3819883647429045</v>
      </c>
      <c r="G5556" s="1323">
        <f t="shared" si="549"/>
        <v>1992</v>
      </c>
      <c r="H5556" s="1323">
        <f t="shared" si="550"/>
        <v>6</v>
      </c>
      <c r="I5556" s="1323">
        <f t="shared" si="551"/>
        <v>30</v>
      </c>
      <c r="J5556" s="1323"/>
      <c r="K5556" s="1323"/>
      <c r="L5556" s="1323"/>
      <c r="M5556" s="1323"/>
      <c r="N5556" s="1323"/>
      <c r="O5556" s="1323"/>
      <c r="P5556" s="1323"/>
      <c r="Q5556" s="1323"/>
      <c r="R5556" s="1304"/>
      <c r="S5556" s="1304"/>
      <c r="T5556" s="1304"/>
    </row>
    <row r="5557" spans="1:20">
      <c r="A5557" s="1303"/>
      <c r="B5557" s="1322" t="s">
        <v>12421</v>
      </c>
      <c r="C5557" s="1323" t="s">
        <v>12422</v>
      </c>
      <c r="D5557" s="1324">
        <f t="shared" si="546"/>
        <v>33784</v>
      </c>
      <c r="E5557" s="1323">
        <f t="shared" si="548"/>
        <v>2.7732000000000001</v>
      </c>
      <c r="F5557" s="1323">
        <f t="shared" si="547"/>
        <v>3.3813398885998853</v>
      </c>
      <c r="G5557" s="1323">
        <f t="shared" si="549"/>
        <v>1992</v>
      </c>
      <c r="H5557" s="1323">
        <f t="shared" si="550"/>
        <v>6</v>
      </c>
      <c r="I5557" s="1323">
        <f t="shared" si="551"/>
        <v>29</v>
      </c>
      <c r="J5557" s="1323"/>
      <c r="K5557" s="1323"/>
      <c r="L5557" s="1323"/>
      <c r="M5557" s="1323"/>
      <c r="N5557" s="1323"/>
      <c r="O5557" s="1323"/>
      <c r="P5557" s="1323"/>
      <c r="Q5557" s="1323"/>
      <c r="R5557" s="1304"/>
      <c r="S5557" s="1304"/>
      <c r="T5557" s="1304"/>
    </row>
    <row r="5558" spans="1:20">
      <c r="A5558" s="1303"/>
      <c r="B5558" s="1322" t="s">
        <v>12423</v>
      </c>
      <c r="C5558" s="1323" t="s">
        <v>12335</v>
      </c>
      <c r="D5558" s="1324">
        <f t="shared" si="546"/>
        <v>33781</v>
      </c>
      <c r="E5558" s="1323">
        <f t="shared" si="548"/>
        <v>2.7863000000000002</v>
      </c>
      <c r="F5558" s="1323">
        <f t="shared" si="547"/>
        <v>3.3806915367983073</v>
      </c>
      <c r="G5558" s="1323">
        <f t="shared" si="549"/>
        <v>1992</v>
      </c>
      <c r="H5558" s="1323">
        <f t="shared" si="550"/>
        <v>6</v>
      </c>
      <c r="I5558" s="1323">
        <f t="shared" si="551"/>
        <v>26</v>
      </c>
      <c r="J5558" s="1323"/>
      <c r="K5558" s="1323"/>
      <c r="L5558" s="1323"/>
      <c r="M5558" s="1323"/>
      <c r="N5558" s="1323"/>
      <c r="O5558" s="1323"/>
      <c r="P5558" s="1323"/>
      <c r="Q5558" s="1323"/>
      <c r="R5558" s="1304"/>
      <c r="S5558" s="1304"/>
      <c r="T5558" s="1304"/>
    </row>
    <row r="5559" spans="1:20">
      <c r="A5559" s="1303"/>
      <c r="B5559" s="1322" t="s">
        <v>12424</v>
      </c>
      <c r="C5559" s="1323" t="s">
        <v>12425</v>
      </c>
      <c r="D5559" s="1324">
        <f t="shared" si="546"/>
        <v>33780</v>
      </c>
      <c r="E5559" s="1323">
        <f t="shared" si="548"/>
        <v>2.7940999999999998</v>
      </c>
      <c r="F5559" s="1323">
        <f t="shared" si="547"/>
        <v>3.3800433093143289</v>
      </c>
      <c r="G5559" s="1323">
        <f t="shared" si="549"/>
        <v>1992</v>
      </c>
      <c r="H5559" s="1323">
        <f t="shared" si="550"/>
        <v>6</v>
      </c>
      <c r="I5559" s="1323">
        <f t="shared" si="551"/>
        <v>25</v>
      </c>
      <c r="J5559" s="1323"/>
      <c r="K5559" s="1323"/>
      <c r="L5559" s="1323"/>
      <c r="M5559" s="1323"/>
      <c r="N5559" s="1323"/>
      <c r="O5559" s="1323"/>
      <c r="P5559" s="1323"/>
      <c r="Q5559" s="1323"/>
      <c r="R5559" s="1304"/>
      <c r="S5559" s="1304"/>
      <c r="T5559" s="1304"/>
    </row>
    <row r="5560" spans="1:20">
      <c r="A5560" s="1303"/>
      <c r="B5560" s="1322" t="s">
        <v>12426</v>
      </c>
      <c r="C5560" s="1323" t="s">
        <v>12427</v>
      </c>
      <c r="D5560" s="1324">
        <f t="shared" si="546"/>
        <v>33779</v>
      </c>
      <c r="E5560" s="1323">
        <f t="shared" si="548"/>
        <v>2.7995999999999999</v>
      </c>
      <c r="F5560" s="1323">
        <f t="shared" si="547"/>
        <v>3.379395206124113</v>
      </c>
      <c r="G5560" s="1323">
        <f t="shared" si="549"/>
        <v>1992</v>
      </c>
      <c r="H5560" s="1323">
        <f t="shared" si="550"/>
        <v>6</v>
      </c>
      <c r="I5560" s="1323">
        <f t="shared" si="551"/>
        <v>24</v>
      </c>
      <c r="J5560" s="1323"/>
      <c r="K5560" s="1323"/>
      <c r="L5560" s="1323"/>
      <c r="M5560" s="1323"/>
      <c r="N5560" s="1323"/>
      <c r="O5560" s="1323"/>
      <c r="P5560" s="1323"/>
      <c r="Q5560" s="1323"/>
      <c r="R5560" s="1304"/>
      <c r="S5560" s="1304"/>
      <c r="T5560" s="1304"/>
    </row>
    <row r="5561" spans="1:20">
      <c r="A5561" s="1303"/>
      <c r="B5561" s="1322" t="s">
        <v>12428</v>
      </c>
      <c r="C5561" s="1323" t="s">
        <v>12429</v>
      </c>
      <c r="D5561" s="1324">
        <f t="shared" si="546"/>
        <v>33778</v>
      </c>
      <c r="E5561" s="1323">
        <f t="shared" si="548"/>
        <v>2.8010999999999999</v>
      </c>
      <c r="F5561" s="1323">
        <f t="shared" si="547"/>
        <v>3.3787472272038275</v>
      </c>
      <c r="G5561" s="1323">
        <f t="shared" si="549"/>
        <v>1992</v>
      </c>
      <c r="H5561" s="1323">
        <f t="shared" si="550"/>
        <v>6</v>
      </c>
      <c r="I5561" s="1323">
        <f t="shared" si="551"/>
        <v>23</v>
      </c>
      <c r="J5561" s="1323"/>
      <c r="K5561" s="1323"/>
      <c r="L5561" s="1323"/>
      <c r="M5561" s="1323"/>
      <c r="N5561" s="1323"/>
      <c r="O5561" s="1323"/>
      <c r="P5561" s="1323"/>
      <c r="Q5561" s="1323"/>
      <c r="R5561" s="1304"/>
      <c r="S5561" s="1304"/>
      <c r="T5561" s="1304"/>
    </row>
    <row r="5562" spans="1:20">
      <c r="A5562" s="1303"/>
      <c r="B5562" s="1322" t="s">
        <v>12430</v>
      </c>
      <c r="C5562" s="1323" t="s">
        <v>12431</v>
      </c>
      <c r="D5562" s="1324">
        <f t="shared" si="546"/>
        <v>33777</v>
      </c>
      <c r="E5562" s="1323">
        <f t="shared" si="548"/>
        <v>2.8081999999999998</v>
      </c>
      <c r="F5562" s="1323">
        <f t="shared" si="547"/>
        <v>3.3780993725296438</v>
      </c>
      <c r="G5562" s="1323">
        <f t="shared" si="549"/>
        <v>1992</v>
      </c>
      <c r="H5562" s="1323">
        <f t="shared" si="550"/>
        <v>6</v>
      </c>
      <c r="I5562" s="1323">
        <f t="shared" si="551"/>
        <v>22</v>
      </c>
      <c r="J5562" s="1323"/>
      <c r="K5562" s="1323"/>
      <c r="L5562" s="1323"/>
      <c r="M5562" s="1323"/>
      <c r="N5562" s="1323"/>
      <c r="O5562" s="1323"/>
      <c r="P5562" s="1323"/>
      <c r="Q5562" s="1323"/>
      <c r="R5562" s="1304"/>
      <c r="S5562" s="1304"/>
      <c r="T5562" s="1304"/>
    </row>
    <row r="5563" spans="1:20">
      <c r="A5563" s="1303"/>
      <c r="B5563" s="1322" t="s">
        <v>12432</v>
      </c>
      <c r="C5563" s="1323" t="s">
        <v>12433</v>
      </c>
      <c r="D5563" s="1324">
        <f t="shared" si="546"/>
        <v>33774</v>
      </c>
      <c r="E5563" s="1323">
        <f t="shared" si="548"/>
        <v>2.8043</v>
      </c>
      <c r="F5563" s="1323">
        <f t="shared" si="547"/>
        <v>3.3774516420777383</v>
      </c>
      <c r="G5563" s="1323">
        <f t="shared" si="549"/>
        <v>1992</v>
      </c>
      <c r="H5563" s="1323">
        <f t="shared" si="550"/>
        <v>6</v>
      </c>
      <c r="I5563" s="1323">
        <f t="shared" si="551"/>
        <v>19</v>
      </c>
      <c r="J5563" s="1323"/>
      <c r="K5563" s="1323"/>
      <c r="L5563" s="1323"/>
      <c r="M5563" s="1323"/>
      <c r="N5563" s="1323"/>
      <c r="O5563" s="1323"/>
      <c r="P5563" s="1323"/>
      <c r="Q5563" s="1323"/>
      <c r="R5563" s="1304"/>
      <c r="S5563" s="1304"/>
      <c r="T5563" s="1304"/>
    </row>
    <row r="5564" spans="1:20">
      <c r="A5564" s="1303"/>
      <c r="B5564" s="1322" t="s">
        <v>12434</v>
      </c>
      <c r="C5564" s="1323" t="s">
        <v>12435</v>
      </c>
      <c r="D5564" s="1324">
        <f t="shared" si="546"/>
        <v>33773</v>
      </c>
      <c r="E5564" s="1323">
        <f t="shared" si="548"/>
        <v>2.8144999999999998</v>
      </c>
      <c r="F5564" s="1323">
        <f t="shared" si="547"/>
        <v>3.3768040358242923</v>
      </c>
      <c r="G5564" s="1323">
        <f t="shared" si="549"/>
        <v>1992</v>
      </c>
      <c r="H5564" s="1323">
        <f t="shared" si="550"/>
        <v>6</v>
      </c>
      <c r="I5564" s="1323">
        <f t="shared" si="551"/>
        <v>18</v>
      </c>
      <c r="J5564" s="1323"/>
      <c r="K5564" s="1323"/>
      <c r="L5564" s="1323"/>
      <c r="M5564" s="1323"/>
      <c r="N5564" s="1323"/>
      <c r="O5564" s="1323"/>
      <c r="P5564" s="1323"/>
      <c r="Q5564" s="1323"/>
      <c r="R5564" s="1304"/>
      <c r="S5564" s="1304"/>
      <c r="T5564" s="1304"/>
    </row>
    <row r="5565" spans="1:20">
      <c r="A5565" s="1303"/>
      <c r="B5565" s="1322" t="s">
        <v>12436</v>
      </c>
      <c r="C5565" s="1323" t="s">
        <v>12437</v>
      </c>
      <c r="D5565" s="1324">
        <f t="shared" si="546"/>
        <v>33772</v>
      </c>
      <c r="E5565" s="1323">
        <f t="shared" si="548"/>
        <v>2.7988</v>
      </c>
      <c r="F5565" s="1323">
        <f t="shared" si="547"/>
        <v>3.3761565537454916</v>
      </c>
      <c r="G5565" s="1323">
        <f t="shared" si="549"/>
        <v>1992</v>
      </c>
      <c r="H5565" s="1323">
        <f t="shared" si="550"/>
        <v>6</v>
      </c>
      <c r="I5565" s="1323">
        <f t="shared" si="551"/>
        <v>17</v>
      </c>
      <c r="J5565" s="1323"/>
      <c r="K5565" s="1323"/>
      <c r="L5565" s="1323"/>
      <c r="M5565" s="1323"/>
      <c r="N5565" s="1323"/>
      <c r="O5565" s="1323"/>
      <c r="P5565" s="1323"/>
      <c r="Q5565" s="1323"/>
      <c r="R5565" s="1304"/>
      <c r="S5565" s="1304"/>
      <c r="T5565" s="1304"/>
    </row>
    <row r="5566" spans="1:20">
      <c r="A5566" s="1303"/>
      <c r="B5566" s="1322" t="s">
        <v>12438</v>
      </c>
      <c r="C5566" s="1323" t="s">
        <v>12439</v>
      </c>
      <c r="D5566" s="1324">
        <f t="shared" si="546"/>
        <v>33771</v>
      </c>
      <c r="E5566" s="1323">
        <f t="shared" si="548"/>
        <v>2.8035000000000001</v>
      </c>
      <c r="F5566" s="1323">
        <f t="shared" si="547"/>
        <v>3.3755091958175263</v>
      </c>
      <c r="G5566" s="1323">
        <f t="shared" si="549"/>
        <v>1992</v>
      </c>
      <c r="H5566" s="1323">
        <f t="shared" si="550"/>
        <v>6</v>
      </c>
      <c r="I5566" s="1323">
        <f t="shared" si="551"/>
        <v>16</v>
      </c>
      <c r="J5566" s="1323"/>
      <c r="K5566" s="1323"/>
      <c r="L5566" s="1323"/>
      <c r="M5566" s="1323"/>
      <c r="N5566" s="1323"/>
      <c r="O5566" s="1323"/>
      <c r="P5566" s="1323"/>
      <c r="Q5566" s="1323"/>
      <c r="R5566" s="1304"/>
      <c r="S5566" s="1304"/>
      <c r="T5566" s="1304"/>
    </row>
    <row r="5567" spans="1:20">
      <c r="A5567" s="1303"/>
      <c r="B5567" s="1322" t="s">
        <v>12440</v>
      </c>
      <c r="C5567" s="1323" t="s">
        <v>12441</v>
      </c>
      <c r="D5567" s="1324">
        <f t="shared" si="546"/>
        <v>33770</v>
      </c>
      <c r="E5567" s="1323">
        <f t="shared" si="548"/>
        <v>2.8035000000000001</v>
      </c>
      <c r="F5567" s="1323">
        <f t="shared" si="547"/>
        <v>3.3748619620165914</v>
      </c>
      <c r="G5567" s="1323">
        <f t="shared" si="549"/>
        <v>1992</v>
      </c>
      <c r="H5567" s="1323">
        <f t="shared" si="550"/>
        <v>6</v>
      </c>
      <c r="I5567" s="1323">
        <f t="shared" si="551"/>
        <v>15</v>
      </c>
      <c r="J5567" s="1323"/>
      <c r="K5567" s="1323"/>
      <c r="L5567" s="1323"/>
      <c r="M5567" s="1323"/>
      <c r="N5567" s="1323"/>
      <c r="O5567" s="1323"/>
      <c r="P5567" s="1323"/>
      <c r="Q5567" s="1323"/>
      <c r="R5567" s="1304"/>
      <c r="S5567" s="1304"/>
      <c r="T5567" s="1304"/>
    </row>
    <row r="5568" spans="1:20">
      <c r="A5568" s="1303"/>
      <c r="B5568" s="1322" t="s">
        <v>12442</v>
      </c>
      <c r="C5568" s="1323" t="s">
        <v>12441</v>
      </c>
      <c r="D5568" s="1324">
        <f t="shared" si="546"/>
        <v>33767</v>
      </c>
      <c r="E5568" s="1323">
        <f t="shared" si="548"/>
        <v>2.8081999999999998</v>
      </c>
      <c r="F5568" s="1323">
        <f t="shared" si="547"/>
        <v>3.3742148523188864</v>
      </c>
      <c r="G5568" s="1323">
        <f t="shared" si="549"/>
        <v>1992</v>
      </c>
      <c r="H5568" s="1323">
        <f t="shared" si="550"/>
        <v>6</v>
      </c>
      <c r="I5568" s="1323">
        <f t="shared" si="551"/>
        <v>12</v>
      </c>
      <c r="J5568" s="1323"/>
      <c r="K5568" s="1323"/>
      <c r="L5568" s="1323"/>
      <c r="M5568" s="1323"/>
      <c r="N5568" s="1323"/>
      <c r="O5568" s="1323"/>
      <c r="P5568" s="1323"/>
      <c r="Q5568" s="1323"/>
      <c r="R5568" s="1304"/>
      <c r="S5568" s="1304"/>
      <c r="T5568" s="1304"/>
    </row>
    <row r="5569" spans="1:20">
      <c r="A5569" s="1303"/>
      <c r="B5569" s="1322" t="s">
        <v>12443</v>
      </c>
      <c r="C5569" s="1323" t="s">
        <v>12433</v>
      </c>
      <c r="D5569" s="1324">
        <f t="shared" si="546"/>
        <v>33766</v>
      </c>
      <c r="E5569" s="1323">
        <f t="shared" si="548"/>
        <v>2.8205</v>
      </c>
      <c r="F5569" s="1323">
        <f t="shared" si="547"/>
        <v>3.3735678667006148</v>
      </c>
      <c r="G5569" s="1323">
        <f t="shared" si="549"/>
        <v>1992</v>
      </c>
      <c r="H5569" s="1323">
        <f t="shared" si="550"/>
        <v>6</v>
      </c>
      <c r="I5569" s="1323">
        <f t="shared" si="551"/>
        <v>11</v>
      </c>
      <c r="J5569" s="1323"/>
      <c r="K5569" s="1323"/>
      <c r="L5569" s="1323"/>
      <c r="M5569" s="1323"/>
      <c r="N5569" s="1323"/>
      <c r="O5569" s="1323"/>
      <c r="P5569" s="1323"/>
      <c r="Q5569" s="1323"/>
      <c r="R5569" s="1304"/>
      <c r="S5569" s="1304"/>
      <c r="T5569" s="1304"/>
    </row>
    <row r="5570" spans="1:20">
      <c r="A5570" s="1303"/>
      <c r="B5570" s="1322" t="s">
        <v>12444</v>
      </c>
      <c r="C5570" s="1323" t="s">
        <v>12445</v>
      </c>
      <c r="D5570" s="1324">
        <f t="shared" si="546"/>
        <v>33765</v>
      </c>
      <c r="E5570" s="1323">
        <f t="shared" si="548"/>
        <v>2.8273000000000001</v>
      </c>
      <c r="F5570" s="1323">
        <f t="shared" si="547"/>
        <v>3.3729210051379854</v>
      </c>
      <c r="G5570" s="1323">
        <f t="shared" si="549"/>
        <v>1992</v>
      </c>
      <c r="H5570" s="1323">
        <f t="shared" si="550"/>
        <v>6</v>
      </c>
      <c r="I5570" s="1323">
        <f t="shared" si="551"/>
        <v>10</v>
      </c>
      <c r="J5570" s="1323"/>
      <c r="K5570" s="1323"/>
      <c r="L5570" s="1323"/>
      <c r="M5570" s="1323"/>
      <c r="N5570" s="1323"/>
      <c r="O5570" s="1323"/>
      <c r="P5570" s="1323"/>
      <c r="Q5570" s="1323"/>
      <c r="R5570" s="1304"/>
      <c r="S5570" s="1304"/>
      <c r="T5570" s="1304"/>
    </row>
    <row r="5571" spans="1:20">
      <c r="A5571" s="1303"/>
      <c r="B5571" s="1322" t="s">
        <v>12446</v>
      </c>
      <c r="C5571" s="1323" t="s">
        <v>12447</v>
      </c>
      <c r="D5571" s="1324">
        <f t="shared" si="546"/>
        <v>33764</v>
      </c>
      <c r="E5571" s="1323">
        <f t="shared" si="548"/>
        <v>2.8136999999999999</v>
      </c>
      <c r="F5571" s="1323">
        <f t="shared" si="547"/>
        <v>3.3722742676072115</v>
      </c>
      <c r="G5571" s="1323">
        <f t="shared" si="549"/>
        <v>1992</v>
      </c>
      <c r="H5571" s="1323">
        <f t="shared" si="550"/>
        <v>6</v>
      </c>
      <c r="I5571" s="1323">
        <f t="shared" si="551"/>
        <v>9</v>
      </c>
      <c r="J5571" s="1323"/>
      <c r="K5571" s="1323"/>
      <c r="L5571" s="1323"/>
      <c r="M5571" s="1323"/>
      <c r="N5571" s="1323"/>
      <c r="O5571" s="1323"/>
      <c r="P5571" s="1323"/>
      <c r="Q5571" s="1323"/>
      <c r="R5571" s="1304"/>
      <c r="S5571" s="1304"/>
      <c r="T5571" s="1304"/>
    </row>
    <row r="5572" spans="1:20">
      <c r="A5572" s="1303"/>
      <c r="B5572" s="1322" t="s">
        <v>12448</v>
      </c>
      <c r="C5572" s="1323" t="s">
        <v>12449</v>
      </c>
      <c r="D5572" s="1324">
        <f t="shared" si="546"/>
        <v>33763</v>
      </c>
      <c r="E5572" s="1323">
        <f t="shared" si="548"/>
        <v>2.8249</v>
      </c>
      <c r="F5572" s="1323">
        <f t="shared" si="547"/>
        <v>3.3716276540845103</v>
      </c>
      <c r="G5572" s="1323">
        <f t="shared" si="549"/>
        <v>1992</v>
      </c>
      <c r="H5572" s="1323">
        <f t="shared" si="550"/>
        <v>6</v>
      </c>
      <c r="I5572" s="1323">
        <f t="shared" si="551"/>
        <v>8</v>
      </c>
      <c r="J5572" s="1323"/>
      <c r="K5572" s="1323"/>
      <c r="L5572" s="1323"/>
      <c r="M5572" s="1323"/>
      <c r="N5572" s="1323"/>
      <c r="O5572" s="1323"/>
      <c r="P5572" s="1323"/>
      <c r="Q5572" s="1323"/>
      <c r="R5572" s="1304"/>
      <c r="S5572" s="1304"/>
      <c r="T5572" s="1304"/>
    </row>
    <row r="5573" spans="1:20">
      <c r="A5573" s="1303"/>
      <c r="B5573" s="1322" t="s">
        <v>12450</v>
      </c>
      <c r="C5573" s="1323" t="s">
        <v>12451</v>
      </c>
      <c r="D5573" s="1324">
        <f t="shared" si="546"/>
        <v>33760</v>
      </c>
      <c r="E5573" s="1323">
        <f t="shared" si="548"/>
        <v>2.8289</v>
      </c>
      <c r="F5573" s="1323">
        <f t="shared" si="547"/>
        <v>3.3709811645461039</v>
      </c>
      <c r="G5573" s="1323">
        <f t="shared" si="549"/>
        <v>1992</v>
      </c>
      <c r="H5573" s="1323">
        <f t="shared" si="550"/>
        <v>6</v>
      </c>
      <c r="I5573" s="1323">
        <f t="shared" si="551"/>
        <v>5</v>
      </c>
      <c r="J5573" s="1323"/>
      <c r="K5573" s="1323"/>
      <c r="L5573" s="1323"/>
      <c r="M5573" s="1323"/>
      <c r="N5573" s="1323"/>
      <c r="O5573" s="1323"/>
      <c r="P5573" s="1323"/>
      <c r="Q5573" s="1323"/>
      <c r="R5573" s="1304"/>
      <c r="S5573" s="1304"/>
      <c r="T5573" s="1304"/>
    </row>
    <row r="5574" spans="1:20">
      <c r="A5574" s="1303"/>
      <c r="B5574" s="1322" t="s">
        <v>12452</v>
      </c>
      <c r="C5574" s="1323" t="s">
        <v>12305</v>
      </c>
      <c r="D5574" s="1324">
        <f t="shared" si="546"/>
        <v>33759</v>
      </c>
      <c r="E5574" s="1323">
        <f t="shared" si="548"/>
        <v>2.8372999999999999</v>
      </c>
      <c r="F5574" s="1323">
        <f t="shared" si="547"/>
        <v>3.3703347989682193</v>
      </c>
      <c r="G5574" s="1323">
        <f t="shared" si="549"/>
        <v>1992</v>
      </c>
      <c r="H5574" s="1323">
        <f t="shared" si="550"/>
        <v>6</v>
      </c>
      <c r="I5574" s="1323">
        <f t="shared" si="551"/>
        <v>4</v>
      </c>
      <c r="J5574" s="1323"/>
      <c r="K5574" s="1323"/>
      <c r="L5574" s="1323"/>
      <c r="M5574" s="1323"/>
      <c r="N5574" s="1323"/>
      <c r="O5574" s="1323"/>
      <c r="P5574" s="1323"/>
      <c r="Q5574" s="1323"/>
      <c r="R5574" s="1304"/>
      <c r="S5574" s="1304"/>
      <c r="T5574" s="1304"/>
    </row>
    <row r="5575" spans="1:20">
      <c r="A5575" s="1303"/>
      <c r="B5575" s="1322" t="s">
        <v>12453</v>
      </c>
      <c r="C5575" s="1323" t="s">
        <v>12454</v>
      </c>
      <c r="D5575" s="1324">
        <f t="shared" si="546"/>
        <v>33758</v>
      </c>
      <c r="E5575" s="1323">
        <f t="shared" si="548"/>
        <v>2.8401000000000001</v>
      </c>
      <c r="F5575" s="1323">
        <f t="shared" si="547"/>
        <v>3.3696885573270881</v>
      </c>
      <c r="G5575" s="1323">
        <f t="shared" si="549"/>
        <v>1992</v>
      </c>
      <c r="H5575" s="1323">
        <f t="shared" si="550"/>
        <v>6</v>
      </c>
      <c r="I5575" s="1323">
        <f t="shared" si="551"/>
        <v>3</v>
      </c>
      <c r="J5575" s="1323"/>
      <c r="K5575" s="1323"/>
      <c r="L5575" s="1323"/>
      <c r="M5575" s="1323"/>
      <c r="N5575" s="1323"/>
      <c r="O5575" s="1323"/>
      <c r="P5575" s="1323"/>
      <c r="Q5575" s="1323"/>
      <c r="R5575" s="1304"/>
      <c r="S5575" s="1304"/>
      <c r="T5575" s="1304"/>
    </row>
    <row r="5576" spans="1:20">
      <c r="A5576" s="1303"/>
      <c r="B5576" s="1322" t="s">
        <v>12455</v>
      </c>
      <c r="C5576" s="1323" t="s">
        <v>12313</v>
      </c>
      <c r="D5576" s="1324">
        <f t="shared" si="546"/>
        <v>33757</v>
      </c>
      <c r="E5576" s="1323">
        <f t="shared" si="548"/>
        <v>2.8405</v>
      </c>
      <c r="F5576" s="1323">
        <f t="shared" si="547"/>
        <v>3.3690424395989456</v>
      </c>
      <c r="G5576" s="1323">
        <f t="shared" si="549"/>
        <v>1992</v>
      </c>
      <c r="H5576" s="1323">
        <f t="shared" si="550"/>
        <v>6</v>
      </c>
      <c r="I5576" s="1323">
        <f t="shared" si="551"/>
        <v>2</v>
      </c>
      <c r="J5576" s="1323"/>
      <c r="K5576" s="1323"/>
      <c r="L5576" s="1323"/>
      <c r="M5576" s="1323"/>
      <c r="N5576" s="1323"/>
      <c r="O5576" s="1323"/>
      <c r="P5576" s="1323"/>
      <c r="Q5576" s="1323"/>
      <c r="R5576" s="1304"/>
      <c r="S5576" s="1304"/>
      <c r="T5576" s="1304"/>
    </row>
    <row r="5577" spans="1:20">
      <c r="A5577" s="1303"/>
      <c r="B5577" s="1322" t="s">
        <v>12456</v>
      </c>
      <c r="C5577" s="1323" t="s">
        <v>12457</v>
      </c>
      <c r="D5577" s="1324">
        <f t="shared" ref="D5577:D5640" si="552">DATE(G5577,H5577,I5577)</f>
        <v>33756</v>
      </c>
      <c r="E5577" s="1323">
        <f t="shared" si="548"/>
        <v>2.8249</v>
      </c>
      <c r="F5577" s="1323">
        <f t="shared" ref="F5577:F5640" si="553">F5578*(1+$F$7/365)</f>
        <v>3.3683964457600326</v>
      </c>
      <c r="G5577" s="1323">
        <f t="shared" si="549"/>
        <v>1992</v>
      </c>
      <c r="H5577" s="1323">
        <f t="shared" si="550"/>
        <v>6</v>
      </c>
      <c r="I5577" s="1323">
        <f t="shared" si="551"/>
        <v>1</v>
      </c>
      <c r="J5577" s="1323"/>
      <c r="K5577" s="1323"/>
      <c r="L5577" s="1323"/>
      <c r="M5577" s="1323"/>
      <c r="N5577" s="1323"/>
      <c r="O5577" s="1323"/>
      <c r="P5577" s="1323"/>
      <c r="Q5577" s="1323"/>
      <c r="R5577" s="1304"/>
      <c r="S5577" s="1304"/>
      <c r="T5577" s="1304"/>
    </row>
    <row r="5578" spans="1:20">
      <c r="A5578" s="1303"/>
      <c r="B5578" s="1322" t="s">
        <v>12458</v>
      </c>
      <c r="C5578" s="1323" t="s">
        <v>12451</v>
      </c>
      <c r="D5578" s="1324">
        <f t="shared" si="552"/>
        <v>33753</v>
      </c>
      <c r="E5578" s="1323">
        <f t="shared" si="548"/>
        <v>2.8353000000000002</v>
      </c>
      <c r="F5578" s="1323">
        <f t="shared" si="553"/>
        <v>3.367750575786594</v>
      </c>
      <c r="G5578" s="1323">
        <f t="shared" si="549"/>
        <v>1992</v>
      </c>
      <c r="H5578" s="1323">
        <f t="shared" si="550"/>
        <v>5</v>
      </c>
      <c r="I5578" s="1323">
        <f t="shared" si="551"/>
        <v>29</v>
      </c>
      <c r="J5578" s="1323"/>
      <c r="K5578" s="1323"/>
      <c r="L5578" s="1323"/>
      <c r="M5578" s="1323"/>
      <c r="N5578" s="1323"/>
      <c r="O5578" s="1323"/>
      <c r="P5578" s="1323"/>
      <c r="Q5578" s="1323"/>
      <c r="R5578" s="1304"/>
      <c r="S5578" s="1304"/>
      <c r="T5578" s="1304"/>
    </row>
    <row r="5579" spans="1:20">
      <c r="A5579" s="1303"/>
      <c r="B5579" s="1322" t="s">
        <v>12459</v>
      </c>
      <c r="C5579" s="1323" t="s">
        <v>12460</v>
      </c>
      <c r="D5579" s="1324">
        <f t="shared" si="552"/>
        <v>33751</v>
      </c>
      <c r="E5579" s="1323">
        <f t="shared" si="548"/>
        <v>2.8498000000000001</v>
      </c>
      <c r="F5579" s="1323">
        <f t="shared" si="553"/>
        <v>3.3671048296548793</v>
      </c>
      <c r="G5579" s="1323">
        <f t="shared" si="549"/>
        <v>1992</v>
      </c>
      <c r="H5579" s="1323">
        <f t="shared" si="550"/>
        <v>5</v>
      </c>
      <c r="I5579" s="1323">
        <f t="shared" si="551"/>
        <v>27</v>
      </c>
      <c r="J5579" s="1323"/>
      <c r="K5579" s="1323"/>
      <c r="L5579" s="1323"/>
      <c r="M5579" s="1323"/>
      <c r="N5579" s="1323"/>
      <c r="O5579" s="1323"/>
      <c r="P5579" s="1323"/>
      <c r="Q5579" s="1323"/>
      <c r="R5579" s="1304"/>
      <c r="S5579" s="1304"/>
      <c r="T5579" s="1304"/>
    </row>
    <row r="5580" spans="1:20">
      <c r="A5580" s="1303"/>
      <c r="B5580" s="1322" t="s">
        <v>12461</v>
      </c>
      <c r="C5580" s="1323" t="s">
        <v>12462</v>
      </c>
      <c r="D5580" s="1324">
        <f t="shared" si="552"/>
        <v>33750</v>
      </c>
      <c r="E5580" s="1323">
        <f t="shared" si="548"/>
        <v>2.8296999999999999</v>
      </c>
      <c r="F5580" s="1323">
        <f t="shared" si="553"/>
        <v>3.3664592073411428</v>
      </c>
      <c r="G5580" s="1323">
        <f t="shared" si="549"/>
        <v>1992</v>
      </c>
      <c r="H5580" s="1323">
        <f t="shared" si="550"/>
        <v>5</v>
      </c>
      <c r="I5580" s="1323">
        <f t="shared" si="551"/>
        <v>26</v>
      </c>
      <c r="J5580" s="1323"/>
      <c r="K5580" s="1323"/>
      <c r="L5580" s="1323"/>
      <c r="M5580" s="1323"/>
      <c r="N5580" s="1323"/>
      <c r="O5580" s="1323"/>
      <c r="P5580" s="1323"/>
      <c r="Q5580" s="1323"/>
      <c r="R5580" s="1304"/>
      <c r="S5580" s="1304"/>
      <c r="T5580" s="1304"/>
    </row>
    <row r="5581" spans="1:20">
      <c r="A5581" s="1303"/>
      <c r="B5581" s="1322" t="s">
        <v>12463</v>
      </c>
      <c r="C5581" s="1323" t="s">
        <v>12464</v>
      </c>
      <c r="D5581" s="1324">
        <f t="shared" si="552"/>
        <v>33749</v>
      </c>
      <c r="E5581" s="1323">
        <f t="shared" si="548"/>
        <v>2.8336999999999999</v>
      </c>
      <c r="F5581" s="1323">
        <f t="shared" si="553"/>
        <v>3.3658137088216424</v>
      </c>
      <c r="G5581" s="1323">
        <f t="shared" si="549"/>
        <v>1992</v>
      </c>
      <c r="H5581" s="1323">
        <f t="shared" si="550"/>
        <v>5</v>
      </c>
      <c r="I5581" s="1323">
        <f t="shared" si="551"/>
        <v>25</v>
      </c>
      <c r="J5581" s="1323"/>
      <c r="K5581" s="1323"/>
      <c r="L5581" s="1323"/>
      <c r="M5581" s="1323"/>
      <c r="N5581" s="1323"/>
      <c r="O5581" s="1323"/>
      <c r="P5581" s="1323"/>
      <c r="Q5581" s="1323"/>
      <c r="R5581" s="1304"/>
      <c r="S5581" s="1304"/>
      <c r="T5581" s="1304"/>
    </row>
    <row r="5582" spans="1:20">
      <c r="A5582" s="1303"/>
      <c r="B5582" s="1322" t="s">
        <v>12465</v>
      </c>
      <c r="C5582" s="1323" t="s">
        <v>12466</v>
      </c>
      <c r="D5582" s="1324">
        <f t="shared" si="552"/>
        <v>33746</v>
      </c>
      <c r="E5582" s="1323">
        <f t="shared" si="548"/>
        <v>2.8353000000000002</v>
      </c>
      <c r="F5582" s="1323">
        <f t="shared" si="553"/>
        <v>3.3651683340726422</v>
      </c>
      <c r="G5582" s="1323">
        <f t="shared" si="549"/>
        <v>1992</v>
      </c>
      <c r="H5582" s="1323">
        <f t="shared" si="550"/>
        <v>5</v>
      </c>
      <c r="I5582" s="1323">
        <f t="shared" si="551"/>
        <v>22</v>
      </c>
      <c r="J5582" s="1323"/>
      <c r="K5582" s="1323"/>
      <c r="L5582" s="1323"/>
      <c r="M5582" s="1323"/>
      <c r="N5582" s="1323"/>
      <c r="O5582" s="1323"/>
      <c r="P5582" s="1323"/>
      <c r="Q5582" s="1323"/>
      <c r="R5582" s="1304"/>
      <c r="S5582" s="1304"/>
      <c r="T5582" s="1304"/>
    </row>
    <row r="5583" spans="1:20">
      <c r="A5583" s="1303"/>
      <c r="B5583" s="1322" t="s">
        <v>12467</v>
      </c>
      <c r="C5583" s="1323" t="s">
        <v>12460</v>
      </c>
      <c r="D5583" s="1324">
        <f t="shared" si="552"/>
        <v>33745</v>
      </c>
      <c r="E5583" s="1323">
        <f t="shared" si="548"/>
        <v>2.8321000000000001</v>
      </c>
      <c r="F5583" s="1323">
        <f t="shared" si="553"/>
        <v>3.3645230830704094</v>
      </c>
      <c r="G5583" s="1323">
        <f t="shared" si="549"/>
        <v>1992</v>
      </c>
      <c r="H5583" s="1323">
        <f t="shared" si="550"/>
        <v>5</v>
      </c>
      <c r="I5583" s="1323">
        <f t="shared" si="551"/>
        <v>21</v>
      </c>
      <c r="J5583" s="1323"/>
      <c r="K5583" s="1323"/>
      <c r="L5583" s="1323"/>
      <c r="M5583" s="1323"/>
      <c r="N5583" s="1323"/>
      <c r="O5583" s="1323"/>
      <c r="P5583" s="1323"/>
      <c r="Q5583" s="1323"/>
      <c r="R5583" s="1304"/>
      <c r="S5583" s="1304"/>
      <c r="T5583" s="1304"/>
    </row>
    <row r="5584" spans="1:20">
      <c r="A5584" s="1303"/>
      <c r="B5584" s="1322" t="s">
        <v>12468</v>
      </c>
      <c r="C5584" s="1323" t="s">
        <v>12469</v>
      </c>
      <c r="D5584" s="1324">
        <f t="shared" si="552"/>
        <v>33744</v>
      </c>
      <c r="E5584" s="1323">
        <f t="shared" si="548"/>
        <v>2.8264999999999998</v>
      </c>
      <c r="F5584" s="1323">
        <f t="shared" si="553"/>
        <v>3.3638779557912164</v>
      </c>
      <c r="G5584" s="1323">
        <f t="shared" si="549"/>
        <v>1992</v>
      </c>
      <c r="H5584" s="1323">
        <f t="shared" si="550"/>
        <v>5</v>
      </c>
      <c r="I5584" s="1323">
        <f t="shared" si="551"/>
        <v>20</v>
      </c>
      <c r="J5584" s="1323"/>
      <c r="K5584" s="1323"/>
      <c r="L5584" s="1323"/>
      <c r="M5584" s="1323"/>
      <c r="N5584" s="1323"/>
      <c r="O5584" s="1323"/>
      <c r="P5584" s="1323"/>
      <c r="Q5584" s="1323"/>
      <c r="R5584" s="1304"/>
      <c r="S5584" s="1304"/>
      <c r="T5584" s="1304"/>
    </row>
    <row r="5585" spans="1:20">
      <c r="A5585" s="1303"/>
      <c r="B5585" s="1322" t="s">
        <v>12470</v>
      </c>
      <c r="C5585" s="1323" t="s">
        <v>12471</v>
      </c>
      <c r="D5585" s="1324">
        <f t="shared" si="552"/>
        <v>33743</v>
      </c>
      <c r="E5585" s="1323">
        <f t="shared" si="548"/>
        <v>2.8281000000000001</v>
      </c>
      <c r="F5585" s="1323">
        <f t="shared" si="553"/>
        <v>3.36323295221134</v>
      </c>
      <c r="G5585" s="1323">
        <f t="shared" si="549"/>
        <v>1992</v>
      </c>
      <c r="H5585" s="1323">
        <f t="shared" si="550"/>
        <v>5</v>
      </c>
      <c r="I5585" s="1323">
        <f t="shared" si="551"/>
        <v>19</v>
      </c>
      <c r="J5585" s="1323"/>
      <c r="K5585" s="1323"/>
      <c r="L5585" s="1323"/>
      <c r="M5585" s="1323"/>
      <c r="N5585" s="1323"/>
      <c r="O5585" s="1323"/>
      <c r="P5585" s="1323"/>
      <c r="Q5585" s="1323"/>
      <c r="R5585" s="1304"/>
      <c r="S5585" s="1304"/>
      <c r="T5585" s="1304"/>
    </row>
    <row r="5586" spans="1:20">
      <c r="A5586" s="1303"/>
      <c r="B5586" s="1322" t="s">
        <v>12472</v>
      </c>
      <c r="C5586" s="1323" t="s">
        <v>12473</v>
      </c>
      <c r="D5586" s="1324">
        <f t="shared" si="552"/>
        <v>33742</v>
      </c>
      <c r="E5586" s="1323">
        <f t="shared" si="548"/>
        <v>2.8397000000000001</v>
      </c>
      <c r="F5586" s="1323">
        <f t="shared" si="553"/>
        <v>3.3625880723070618</v>
      </c>
      <c r="G5586" s="1323">
        <f t="shared" si="549"/>
        <v>1992</v>
      </c>
      <c r="H5586" s="1323">
        <f t="shared" si="550"/>
        <v>5</v>
      </c>
      <c r="I5586" s="1323">
        <f t="shared" si="551"/>
        <v>18</v>
      </c>
      <c r="J5586" s="1323"/>
      <c r="K5586" s="1323"/>
      <c r="L5586" s="1323"/>
      <c r="M5586" s="1323"/>
      <c r="N5586" s="1323"/>
      <c r="O5586" s="1323"/>
      <c r="P5586" s="1323"/>
      <c r="Q5586" s="1323"/>
      <c r="R5586" s="1304"/>
      <c r="S5586" s="1304"/>
      <c r="T5586" s="1304"/>
    </row>
    <row r="5587" spans="1:20">
      <c r="A5587" s="1303"/>
      <c r="B5587" s="1322" t="s">
        <v>12474</v>
      </c>
      <c r="C5587" s="1323" t="s">
        <v>12475</v>
      </c>
      <c r="D5587" s="1324">
        <f t="shared" si="552"/>
        <v>33739</v>
      </c>
      <c r="E5587" s="1323">
        <f t="shared" si="548"/>
        <v>2.8490000000000002</v>
      </c>
      <c r="F5587" s="1323">
        <f t="shared" si="553"/>
        <v>3.3619433160546675</v>
      </c>
      <c r="G5587" s="1323">
        <f t="shared" si="549"/>
        <v>1992</v>
      </c>
      <c r="H5587" s="1323">
        <f t="shared" si="550"/>
        <v>5</v>
      </c>
      <c r="I5587" s="1323">
        <f t="shared" si="551"/>
        <v>15</v>
      </c>
      <c r="J5587" s="1323"/>
      <c r="K5587" s="1323"/>
      <c r="L5587" s="1323"/>
      <c r="M5587" s="1323"/>
      <c r="N5587" s="1323"/>
      <c r="O5587" s="1323"/>
      <c r="P5587" s="1323"/>
      <c r="Q5587" s="1323"/>
      <c r="R5587" s="1304"/>
      <c r="S5587" s="1304"/>
      <c r="T5587" s="1304"/>
    </row>
    <row r="5588" spans="1:20">
      <c r="A5588" s="1303"/>
      <c r="B5588" s="1322" t="s">
        <v>12476</v>
      </c>
      <c r="C5588" s="1323" t="s">
        <v>12477</v>
      </c>
      <c r="D5588" s="1324">
        <f t="shared" si="552"/>
        <v>33738</v>
      </c>
      <c r="E5588" s="1323">
        <f t="shared" si="548"/>
        <v>2.8424999999999998</v>
      </c>
      <c r="F5588" s="1323">
        <f t="shared" si="553"/>
        <v>3.3612986834304479</v>
      </c>
      <c r="G5588" s="1323">
        <f t="shared" si="549"/>
        <v>1992</v>
      </c>
      <c r="H5588" s="1323">
        <f t="shared" si="550"/>
        <v>5</v>
      </c>
      <c r="I5588" s="1323">
        <f t="shared" si="551"/>
        <v>14</v>
      </c>
      <c r="J5588" s="1323"/>
      <c r="K5588" s="1323"/>
      <c r="L5588" s="1323"/>
      <c r="M5588" s="1323"/>
      <c r="N5588" s="1323"/>
      <c r="O5588" s="1323"/>
      <c r="P5588" s="1323"/>
      <c r="Q5588" s="1323"/>
      <c r="R5588" s="1304"/>
      <c r="S5588" s="1304"/>
      <c r="T5588" s="1304"/>
    </row>
    <row r="5589" spans="1:20">
      <c r="A5589" s="1303"/>
      <c r="B5589" s="1322" t="s">
        <v>12478</v>
      </c>
      <c r="C5589" s="1323" t="s">
        <v>12479</v>
      </c>
      <c r="D5589" s="1324">
        <f t="shared" si="552"/>
        <v>33737</v>
      </c>
      <c r="E5589" s="1323">
        <f t="shared" si="548"/>
        <v>2.8437000000000001</v>
      </c>
      <c r="F5589" s="1323">
        <f t="shared" si="553"/>
        <v>3.3606541744106977</v>
      </c>
      <c r="G5589" s="1323">
        <f t="shared" si="549"/>
        <v>1992</v>
      </c>
      <c r="H5589" s="1323">
        <f t="shared" si="550"/>
        <v>5</v>
      </c>
      <c r="I5589" s="1323">
        <f t="shared" si="551"/>
        <v>13</v>
      </c>
      <c r="J5589" s="1323"/>
      <c r="K5589" s="1323"/>
      <c r="L5589" s="1323"/>
      <c r="M5589" s="1323"/>
      <c r="N5589" s="1323"/>
      <c r="O5589" s="1323"/>
      <c r="P5589" s="1323"/>
      <c r="Q5589" s="1323"/>
      <c r="R5589" s="1304"/>
      <c r="S5589" s="1304"/>
      <c r="T5589" s="1304"/>
    </row>
    <row r="5590" spans="1:20">
      <c r="A5590" s="1303"/>
      <c r="B5590" s="1322" t="s">
        <v>12480</v>
      </c>
      <c r="C5590" s="1323" t="s">
        <v>12481</v>
      </c>
      <c r="D5590" s="1324">
        <f t="shared" si="552"/>
        <v>33736</v>
      </c>
      <c r="E5590" s="1323">
        <f t="shared" ref="E5590:E5653" si="554">VALUE(C5591)</f>
        <v>2.8612000000000002</v>
      </c>
      <c r="F5590" s="1323">
        <f t="shared" si="553"/>
        <v>3.3600097889717166</v>
      </c>
      <c r="G5590" s="1323">
        <f t="shared" ref="G5590:G5653" si="555">YEAR(B5591)</f>
        <v>1992</v>
      </c>
      <c r="H5590" s="1323">
        <f t="shared" ref="H5590:H5653" si="556">MONTH(B5591)</f>
        <v>5</v>
      </c>
      <c r="I5590" s="1323">
        <f t="shared" ref="I5590:I5653" si="557">DAY(B5591)</f>
        <v>12</v>
      </c>
      <c r="J5590" s="1323"/>
      <c r="K5590" s="1323"/>
      <c r="L5590" s="1323"/>
      <c r="M5590" s="1323"/>
      <c r="N5590" s="1323"/>
      <c r="O5590" s="1323"/>
      <c r="P5590" s="1323"/>
      <c r="Q5590" s="1323"/>
      <c r="R5590" s="1304"/>
      <c r="S5590" s="1304"/>
      <c r="T5590" s="1304"/>
    </row>
    <row r="5591" spans="1:20">
      <c r="A5591" s="1303"/>
      <c r="B5591" s="1322" t="s">
        <v>12482</v>
      </c>
      <c r="C5591" s="1323" t="s">
        <v>12483</v>
      </c>
      <c r="D5591" s="1324">
        <f t="shared" si="552"/>
        <v>33735</v>
      </c>
      <c r="E5591" s="1323">
        <f t="shared" si="554"/>
        <v>2.8736000000000002</v>
      </c>
      <c r="F5591" s="1323">
        <f t="shared" si="553"/>
        <v>3.3593655270898091</v>
      </c>
      <c r="G5591" s="1323">
        <f t="shared" si="555"/>
        <v>1992</v>
      </c>
      <c r="H5591" s="1323">
        <f t="shared" si="556"/>
        <v>5</v>
      </c>
      <c r="I5591" s="1323">
        <f t="shared" si="557"/>
        <v>11</v>
      </c>
      <c r="J5591" s="1323"/>
      <c r="K5591" s="1323"/>
      <c r="L5591" s="1323"/>
      <c r="M5591" s="1323"/>
      <c r="N5591" s="1323"/>
      <c r="O5591" s="1323"/>
      <c r="P5591" s="1323"/>
      <c r="Q5591" s="1323"/>
      <c r="R5591" s="1304"/>
      <c r="S5591" s="1304"/>
      <c r="T5591" s="1304"/>
    </row>
    <row r="5592" spans="1:20">
      <c r="A5592" s="1303"/>
      <c r="B5592" s="1322" t="s">
        <v>12484</v>
      </c>
      <c r="C5592" s="1323" t="s">
        <v>12291</v>
      </c>
      <c r="D5592" s="1324">
        <f t="shared" si="552"/>
        <v>33732</v>
      </c>
      <c r="E5592" s="1323">
        <f t="shared" si="554"/>
        <v>2.8620000000000001</v>
      </c>
      <c r="F5592" s="1323">
        <f t="shared" si="553"/>
        <v>3.3587213887412832</v>
      </c>
      <c r="G5592" s="1323">
        <f t="shared" si="555"/>
        <v>1992</v>
      </c>
      <c r="H5592" s="1323">
        <f t="shared" si="556"/>
        <v>5</v>
      </c>
      <c r="I5592" s="1323">
        <f t="shared" si="557"/>
        <v>8</v>
      </c>
      <c r="J5592" s="1323"/>
      <c r="K5592" s="1323"/>
      <c r="L5592" s="1323"/>
      <c r="M5592" s="1323"/>
      <c r="N5592" s="1323"/>
      <c r="O5592" s="1323"/>
      <c r="P5592" s="1323"/>
      <c r="Q5592" s="1323"/>
      <c r="R5592" s="1304"/>
      <c r="S5592" s="1304"/>
      <c r="T5592" s="1304"/>
    </row>
    <row r="5593" spans="1:20">
      <c r="A5593" s="1303"/>
      <c r="B5593" s="1322" t="s">
        <v>12485</v>
      </c>
      <c r="C5593" s="1323" t="s">
        <v>12486</v>
      </c>
      <c r="D5593" s="1324">
        <f t="shared" si="552"/>
        <v>33731</v>
      </c>
      <c r="E5593" s="1323">
        <f t="shared" si="554"/>
        <v>2.8595999999999999</v>
      </c>
      <c r="F5593" s="1323">
        <f t="shared" si="553"/>
        <v>3.3580773739024523</v>
      </c>
      <c r="G5593" s="1323">
        <f t="shared" si="555"/>
        <v>1992</v>
      </c>
      <c r="H5593" s="1323">
        <f t="shared" si="556"/>
        <v>5</v>
      </c>
      <c r="I5593" s="1323">
        <f t="shared" si="557"/>
        <v>7</v>
      </c>
      <c r="J5593" s="1323"/>
      <c r="K5593" s="1323"/>
      <c r="L5593" s="1323"/>
      <c r="M5593" s="1323"/>
      <c r="N5593" s="1323"/>
      <c r="O5593" s="1323"/>
      <c r="P5593" s="1323"/>
      <c r="Q5593" s="1323"/>
      <c r="R5593" s="1304"/>
      <c r="S5593" s="1304"/>
      <c r="T5593" s="1304"/>
    </row>
    <row r="5594" spans="1:20">
      <c r="A5594" s="1303"/>
      <c r="B5594" s="1322" t="s">
        <v>12487</v>
      </c>
      <c r="C5594" s="1323" t="s">
        <v>12488</v>
      </c>
      <c r="D5594" s="1324">
        <f t="shared" si="552"/>
        <v>33730</v>
      </c>
      <c r="E5594" s="1323">
        <f t="shared" si="554"/>
        <v>2.8662000000000001</v>
      </c>
      <c r="F5594" s="1323">
        <f t="shared" si="553"/>
        <v>3.3574334825496344</v>
      </c>
      <c r="G5594" s="1323">
        <f t="shared" si="555"/>
        <v>1992</v>
      </c>
      <c r="H5594" s="1323">
        <f t="shared" si="556"/>
        <v>5</v>
      </c>
      <c r="I5594" s="1323">
        <f t="shared" si="557"/>
        <v>6</v>
      </c>
      <c r="J5594" s="1323"/>
      <c r="K5594" s="1323"/>
      <c r="L5594" s="1323"/>
      <c r="M5594" s="1323"/>
      <c r="N5594" s="1323"/>
      <c r="O5594" s="1323"/>
      <c r="P5594" s="1323"/>
      <c r="Q5594" s="1323"/>
      <c r="R5594" s="1304"/>
      <c r="S5594" s="1304"/>
      <c r="T5594" s="1304"/>
    </row>
    <row r="5595" spans="1:20">
      <c r="A5595" s="1303"/>
      <c r="B5595" s="1322" t="s">
        <v>12489</v>
      </c>
      <c r="C5595" s="1323" t="s">
        <v>12490</v>
      </c>
      <c r="D5595" s="1324">
        <f t="shared" si="552"/>
        <v>33729</v>
      </c>
      <c r="E5595" s="1323">
        <f t="shared" si="554"/>
        <v>2.8662000000000001</v>
      </c>
      <c r="F5595" s="1323">
        <f t="shared" si="553"/>
        <v>3.3567897146591519</v>
      </c>
      <c r="G5595" s="1323">
        <f t="shared" si="555"/>
        <v>1992</v>
      </c>
      <c r="H5595" s="1323">
        <f t="shared" si="556"/>
        <v>5</v>
      </c>
      <c r="I5595" s="1323">
        <f t="shared" si="557"/>
        <v>5</v>
      </c>
      <c r="J5595" s="1323"/>
      <c r="K5595" s="1323"/>
      <c r="L5595" s="1323"/>
      <c r="M5595" s="1323"/>
      <c r="N5595" s="1323"/>
      <c r="O5595" s="1323"/>
      <c r="P5595" s="1323"/>
      <c r="Q5595" s="1323"/>
      <c r="R5595" s="1304"/>
      <c r="S5595" s="1304"/>
      <c r="T5595" s="1304"/>
    </row>
    <row r="5596" spans="1:20">
      <c r="A5596" s="1303"/>
      <c r="B5596" s="1322" t="s">
        <v>12491</v>
      </c>
      <c r="C5596" s="1323" t="s">
        <v>12490</v>
      </c>
      <c r="D5596" s="1324">
        <f t="shared" si="552"/>
        <v>33728</v>
      </c>
      <c r="E5596" s="1323">
        <f t="shared" si="554"/>
        <v>2.8685999999999998</v>
      </c>
      <c r="F5596" s="1323">
        <f t="shared" si="553"/>
        <v>3.3561460702073314</v>
      </c>
      <c r="G5596" s="1323">
        <f t="shared" si="555"/>
        <v>1992</v>
      </c>
      <c r="H5596" s="1323">
        <f t="shared" si="556"/>
        <v>5</v>
      </c>
      <c r="I5596" s="1323">
        <f t="shared" si="557"/>
        <v>4</v>
      </c>
      <c r="J5596" s="1323"/>
      <c r="K5596" s="1323"/>
      <c r="L5596" s="1323"/>
      <c r="M5596" s="1323"/>
      <c r="N5596" s="1323"/>
      <c r="O5596" s="1323"/>
      <c r="P5596" s="1323"/>
      <c r="Q5596" s="1323"/>
      <c r="R5596" s="1304"/>
      <c r="S5596" s="1304"/>
      <c r="T5596" s="1304"/>
    </row>
    <row r="5597" spans="1:20">
      <c r="A5597" s="1303"/>
      <c r="B5597" s="1322" t="s">
        <v>12492</v>
      </c>
      <c r="C5597" s="1323" t="s">
        <v>12295</v>
      </c>
      <c r="D5597" s="1324">
        <f t="shared" si="552"/>
        <v>33724</v>
      </c>
      <c r="E5597" s="1323">
        <f t="shared" si="554"/>
        <v>2.8769</v>
      </c>
      <c r="F5597" s="1323">
        <f t="shared" si="553"/>
        <v>3.3555025491705042</v>
      </c>
      <c r="G5597" s="1323">
        <f t="shared" si="555"/>
        <v>1992</v>
      </c>
      <c r="H5597" s="1323">
        <f t="shared" si="556"/>
        <v>4</v>
      </c>
      <c r="I5597" s="1323">
        <f t="shared" si="557"/>
        <v>30</v>
      </c>
      <c r="J5597" s="1323"/>
      <c r="K5597" s="1323"/>
      <c r="L5597" s="1323"/>
      <c r="M5597" s="1323"/>
      <c r="N5597" s="1323"/>
      <c r="O5597" s="1323"/>
      <c r="P5597" s="1323"/>
      <c r="Q5597" s="1323"/>
      <c r="R5597" s="1304"/>
      <c r="S5597" s="1304"/>
      <c r="T5597" s="1304"/>
    </row>
    <row r="5598" spans="1:20">
      <c r="A5598" s="1303"/>
      <c r="B5598" s="1322" t="s">
        <v>12493</v>
      </c>
      <c r="C5598" s="1323" t="s">
        <v>12494</v>
      </c>
      <c r="D5598" s="1324">
        <f t="shared" si="552"/>
        <v>33723</v>
      </c>
      <c r="E5598" s="1323">
        <f t="shared" si="554"/>
        <v>2.8752</v>
      </c>
      <c r="F5598" s="1323">
        <f t="shared" si="553"/>
        <v>3.3548591515250061</v>
      </c>
      <c r="G5598" s="1323">
        <f t="shared" si="555"/>
        <v>1992</v>
      </c>
      <c r="H5598" s="1323">
        <f t="shared" si="556"/>
        <v>4</v>
      </c>
      <c r="I5598" s="1323">
        <f t="shared" si="557"/>
        <v>29</v>
      </c>
      <c r="J5598" s="1323"/>
      <c r="K5598" s="1323"/>
      <c r="L5598" s="1323"/>
      <c r="M5598" s="1323"/>
      <c r="N5598" s="1323"/>
      <c r="O5598" s="1323"/>
      <c r="P5598" s="1323"/>
      <c r="Q5598" s="1323"/>
      <c r="R5598" s="1304"/>
      <c r="S5598" s="1304"/>
      <c r="T5598" s="1304"/>
    </row>
    <row r="5599" spans="1:20">
      <c r="A5599" s="1303"/>
      <c r="B5599" s="1322" t="s">
        <v>12495</v>
      </c>
      <c r="C5599" s="1323" t="s">
        <v>12496</v>
      </c>
      <c r="D5599" s="1324">
        <f t="shared" si="552"/>
        <v>33722</v>
      </c>
      <c r="E5599" s="1323">
        <f t="shared" si="554"/>
        <v>2.8784999999999998</v>
      </c>
      <c r="F5599" s="1323">
        <f t="shared" si="553"/>
        <v>3.354215877247178</v>
      </c>
      <c r="G5599" s="1323">
        <f t="shared" si="555"/>
        <v>1992</v>
      </c>
      <c r="H5599" s="1323">
        <f t="shared" si="556"/>
        <v>4</v>
      </c>
      <c r="I5599" s="1323">
        <f t="shared" si="557"/>
        <v>28</v>
      </c>
      <c r="J5599" s="1323"/>
      <c r="K5599" s="1323"/>
      <c r="L5599" s="1323"/>
      <c r="M5599" s="1323"/>
      <c r="N5599" s="1323"/>
      <c r="O5599" s="1323"/>
      <c r="P5599" s="1323"/>
      <c r="Q5599" s="1323"/>
      <c r="R5599" s="1304"/>
      <c r="S5599" s="1304"/>
      <c r="T5599" s="1304"/>
    </row>
    <row r="5600" spans="1:20">
      <c r="A5600" s="1303"/>
      <c r="B5600" s="1322" t="s">
        <v>12497</v>
      </c>
      <c r="C5600" s="1323" t="s">
        <v>12498</v>
      </c>
      <c r="D5600" s="1324">
        <f t="shared" si="552"/>
        <v>33721</v>
      </c>
      <c r="E5600" s="1323">
        <f t="shared" si="554"/>
        <v>2.8822999999999999</v>
      </c>
      <c r="F5600" s="1323">
        <f t="shared" si="553"/>
        <v>3.3535727263133643</v>
      </c>
      <c r="G5600" s="1323">
        <f t="shared" si="555"/>
        <v>1992</v>
      </c>
      <c r="H5600" s="1323">
        <f t="shared" si="556"/>
        <v>4</v>
      </c>
      <c r="I5600" s="1323">
        <f t="shared" si="557"/>
        <v>27</v>
      </c>
      <c r="J5600" s="1323"/>
      <c r="K5600" s="1323"/>
      <c r="L5600" s="1323"/>
      <c r="M5600" s="1323"/>
      <c r="N5600" s="1323"/>
      <c r="O5600" s="1323"/>
      <c r="P5600" s="1323"/>
      <c r="Q5600" s="1323"/>
      <c r="R5600" s="1304"/>
      <c r="S5600" s="1304"/>
      <c r="T5600" s="1304"/>
    </row>
    <row r="5601" spans="1:20">
      <c r="A5601" s="1303"/>
      <c r="B5601" s="1322" t="s">
        <v>12499</v>
      </c>
      <c r="C5601" s="1323" t="s">
        <v>12500</v>
      </c>
      <c r="D5601" s="1324">
        <f t="shared" si="552"/>
        <v>33718</v>
      </c>
      <c r="E5601" s="1323">
        <f t="shared" si="554"/>
        <v>2.8801999999999999</v>
      </c>
      <c r="F5601" s="1323">
        <f t="shared" si="553"/>
        <v>3.3529296986999149</v>
      </c>
      <c r="G5601" s="1323">
        <f t="shared" si="555"/>
        <v>1992</v>
      </c>
      <c r="H5601" s="1323">
        <f t="shared" si="556"/>
        <v>4</v>
      </c>
      <c r="I5601" s="1323">
        <f t="shared" si="557"/>
        <v>24</v>
      </c>
      <c r="J5601" s="1323"/>
      <c r="K5601" s="1323"/>
      <c r="L5601" s="1323"/>
      <c r="M5601" s="1323"/>
      <c r="N5601" s="1323"/>
      <c r="O5601" s="1323"/>
      <c r="P5601" s="1323"/>
      <c r="Q5601" s="1323"/>
      <c r="R5601" s="1304"/>
      <c r="S5601" s="1304"/>
      <c r="T5601" s="1304"/>
    </row>
    <row r="5602" spans="1:20">
      <c r="A5602" s="1303"/>
      <c r="B5602" s="1322" t="s">
        <v>12501</v>
      </c>
      <c r="C5602" s="1323" t="s">
        <v>12502</v>
      </c>
      <c r="D5602" s="1324">
        <f t="shared" si="552"/>
        <v>33717</v>
      </c>
      <c r="E5602" s="1323">
        <f t="shared" si="554"/>
        <v>2.8818000000000001</v>
      </c>
      <c r="F5602" s="1323">
        <f t="shared" si="553"/>
        <v>3.3522867943831836</v>
      </c>
      <c r="G5602" s="1323">
        <f t="shared" si="555"/>
        <v>1992</v>
      </c>
      <c r="H5602" s="1323">
        <f t="shared" si="556"/>
        <v>4</v>
      </c>
      <c r="I5602" s="1323">
        <f t="shared" si="557"/>
        <v>23</v>
      </c>
      <c r="J5602" s="1323"/>
      <c r="K5602" s="1323"/>
      <c r="L5602" s="1323"/>
      <c r="M5602" s="1323"/>
      <c r="N5602" s="1323"/>
      <c r="O5602" s="1323"/>
      <c r="P5602" s="1323"/>
      <c r="Q5602" s="1323"/>
      <c r="R5602" s="1304"/>
      <c r="S5602" s="1304"/>
      <c r="T5602" s="1304"/>
    </row>
    <row r="5603" spans="1:20">
      <c r="A5603" s="1303"/>
      <c r="B5603" s="1322" t="s">
        <v>12503</v>
      </c>
      <c r="C5603" s="1323" t="s">
        <v>12504</v>
      </c>
      <c r="D5603" s="1324">
        <f t="shared" si="552"/>
        <v>33716</v>
      </c>
      <c r="E5603" s="1323">
        <f t="shared" si="554"/>
        <v>2.8873000000000002</v>
      </c>
      <c r="F5603" s="1323">
        <f t="shared" si="553"/>
        <v>3.3516440133395293</v>
      </c>
      <c r="G5603" s="1323">
        <f t="shared" si="555"/>
        <v>1992</v>
      </c>
      <c r="H5603" s="1323">
        <f t="shared" si="556"/>
        <v>4</v>
      </c>
      <c r="I5603" s="1323">
        <f t="shared" si="557"/>
        <v>22</v>
      </c>
      <c r="J5603" s="1323"/>
      <c r="K5603" s="1323"/>
      <c r="L5603" s="1323"/>
      <c r="M5603" s="1323"/>
      <c r="N5603" s="1323"/>
      <c r="O5603" s="1323"/>
      <c r="P5603" s="1323"/>
      <c r="Q5603" s="1323"/>
      <c r="R5603" s="1304"/>
      <c r="S5603" s="1304"/>
      <c r="T5603" s="1304"/>
    </row>
    <row r="5604" spans="1:20">
      <c r="A5604" s="1303"/>
      <c r="B5604" s="1322" t="s">
        <v>12505</v>
      </c>
      <c r="C5604" s="1323" t="s">
        <v>12506</v>
      </c>
      <c r="D5604" s="1324">
        <f t="shared" si="552"/>
        <v>33715</v>
      </c>
      <c r="E5604" s="1323">
        <f t="shared" si="554"/>
        <v>2.8873000000000002</v>
      </c>
      <c r="F5604" s="1323">
        <f t="shared" si="553"/>
        <v>3.3510013555453151</v>
      </c>
      <c r="G5604" s="1323">
        <f t="shared" si="555"/>
        <v>1992</v>
      </c>
      <c r="H5604" s="1323">
        <f t="shared" si="556"/>
        <v>4</v>
      </c>
      <c r="I5604" s="1323">
        <f t="shared" si="557"/>
        <v>21</v>
      </c>
      <c r="J5604" s="1323"/>
      <c r="K5604" s="1323"/>
      <c r="L5604" s="1323"/>
      <c r="M5604" s="1323"/>
      <c r="N5604" s="1323"/>
      <c r="O5604" s="1323"/>
      <c r="P5604" s="1323"/>
      <c r="Q5604" s="1323"/>
      <c r="R5604" s="1304"/>
      <c r="S5604" s="1304"/>
      <c r="T5604" s="1304"/>
    </row>
    <row r="5605" spans="1:20">
      <c r="A5605" s="1303"/>
      <c r="B5605" s="1322" t="s">
        <v>12507</v>
      </c>
      <c r="C5605" s="1323" t="s">
        <v>12506</v>
      </c>
      <c r="D5605" s="1324">
        <f t="shared" si="552"/>
        <v>33710</v>
      </c>
      <c r="E5605" s="1323">
        <f t="shared" si="554"/>
        <v>2.8843000000000001</v>
      </c>
      <c r="F5605" s="1323">
        <f t="shared" si="553"/>
        <v>3.3503588209769086</v>
      </c>
      <c r="G5605" s="1323">
        <f t="shared" si="555"/>
        <v>1992</v>
      </c>
      <c r="H5605" s="1323">
        <f t="shared" si="556"/>
        <v>4</v>
      </c>
      <c r="I5605" s="1323">
        <f t="shared" si="557"/>
        <v>16</v>
      </c>
      <c r="J5605" s="1323"/>
      <c r="K5605" s="1323"/>
      <c r="L5605" s="1323"/>
      <c r="M5605" s="1323"/>
      <c r="N5605" s="1323"/>
      <c r="O5605" s="1323"/>
      <c r="P5605" s="1323"/>
      <c r="Q5605" s="1323"/>
      <c r="R5605" s="1304"/>
      <c r="S5605" s="1304"/>
      <c r="T5605" s="1304"/>
    </row>
    <row r="5606" spans="1:20">
      <c r="A5606" s="1303"/>
      <c r="B5606" s="1322" t="s">
        <v>12508</v>
      </c>
      <c r="C5606" s="1323" t="s">
        <v>12509</v>
      </c>
      <c r="D5606" s="1324">
        <f t="shared" si="552"/>
        <v>33709</v>
      </c>
      <c r="E5606" s="1323">
        <f t="shared" si="554"/>
        <v>2.8776999999999999</v>
      </c>
      <c r="F5606" s="1323">
        <f t="shared" si="553"/>
        <v>3.3497164096106817</v>
      </c>
      <c r="G5606" s="1323">
        <f t="shared" si="555"/>
        <v>1992</v>
      </c>
      <c r="H5606" s="1323">
        <f t="shared" si="556"/>
        <v>4</v>
      </c>
      <c r="I5606" s="1323">
        <f t="shared" si="557"/>
        <v>15</v>
      </c>
      <c r="J5606" s="1323"/>
      <c r="K5606" s="1323"/>
      <c r="L5606" s="1323"/>
      <c r="M5606" s="1323"/>
      <c r="N5606" s="1323"/>
      <c r="O5606" s="1323"/>
      <c r="P5606" s="1323"/>
      <c r="Q5606" s="1323"/>
      <c r="R5606" s="1304"/>
      <c r="S5606" s="1304"/>
      <c r="T5606" s="1304"/>
    </row>
    <row r="5607" spans="1:20">
      <c r="A5607" s="1303"/>
      <c r="B5607" s="1322" t="s">
        <v>12510</v>
      </c>
      <c r="C5607" s="1323" t="s">
        <v>12511</v>
      </c>
      <c r="D5607" s="1324">
        <f t="shared" si="552"/>
        <v>33708</v>
      </c>
      <c r="E5607" s="1323">
        <f t="shared" si="554"/>
        <v>2.8752</v>
      </c>
      <c r="F5607" s="1323">
        <f t="shared" si="553"/>
        <v>3.3490741214230115</v>
      </c>
      <c r="G5607" s="1323">
        <f t="shared" si="555"/>
        <v>1992</v>
      </c>
      <c r="H5607" s="1323">
        <f t="shared" si="556"/>
        <v>4</v>
      </c>
      <c r="I5607" s="1323">
        <f t="shared" si="557"/>
        <v>14</v>
      </c>
      <c r="J5607" s="1323"/>
      <c r="K5607" s="1323"/>
      <c r="L5607" s="1323"/>
      <c r="M5607" s="1323"/>
      <c r="N5607" s="1323"/>
      <c r="O5607" s="1323"/>
      <c r="P5607" s="1323"/>
      <c r="Q5607" s="1323"/>
      <c r="R5607" s="1304"/>
      <c r="S5607" s="1304"/>
      <c r="T5607" s="1304"/>
    </row>
    <row r="5608" spans="1:20">
      <c r="A5608" s="1303"/>
      <c r="B5608" s="1322" t="s">
        <v>12512</v>
      </c>
      <c r="C5608" s="1323" t="s">
        <v>12496</v>
      </c>
      <c r="D5608" s="1324">
        <f t="shared" si="552"/>
        <v>33707</v>
      </c>
      <c r="E5608" s="1323">
        <f t="shared" si="554"/>
        <v>2.8784999999999998</v>
      </c>
      <c r="F5608" s="1323">
        <f t="shared" si="553"/>
        <v>3.3484319563902791</v>
      </c>
      <c r="G5608" s="1323">
        <f t="shared" si="555"/>
        <v>1992</v>
      </c>
      <c r="H5608" s="1323">
        <f t="shared" si="556"/>
        <v>4</v>
      </c>
      <c r="I5608" s="1323">
        <f t="shared" si="557"/>
        <v>13</v>
      </c>
      <c r="J5608" s="1323"/>
      <c r="K5608" s="1323"/>
      <c r="L5608" s="1323"/>
      <c r="M5608" s="1323"/>
      <c r="N5608" s="1323"/>
      <c r="O5608" s="1323"/>
      <c r="P5608" s="1323"/>
      <c r="Q5608" s="1323"/>
      <c r="R5608" s="1304"/>
      <c r="S5608" s="1304"/>
      <c r="T5608" s="1304"/>
    </row>
    <row r="5609" spans="1:20">
      <c r="A5609" s="1303"/>
      <c r="B5609" s="1322" t="s">
        <v>12513</v>
      </c>
      <c r="C5609" s="1323" t="s">
        <v>12498</v>
      </c>
      <c r="D5609" s="1324">
        <f t="shared" si="552"/>
        <v>33704</v>
      </c>
      <c r="E5609" s="1323">
        <f t="shared" si="554"/>
        <v>2.8645</v>
      </c>
      <c r="F5609" s="1323">
        <f t="shared" si="553"/>
        <v>3.3477899144888701</v>
      </c>
      <c r="G5609" s="1323">
        <f t="shared" si="555"/>
        <v>1992</v>
      </c>
      <c r="H5609" s="1323">
        <f t="shared" si="556"/>
        <v>4</v>
      </c>
      <c r="I5609" s="1323">
        <f t="shared" si="557"/>
        <v>10</v>
      </c>
      <c r="J5609" s="1323"/>
      <c r="K5609" s="1323"/>
      <c r="L5609" s="1323"/>
      <c r="M5609" s="1323"/>
      <c r="N5609" s="1323"/>
      <c r="O5609" s="1323"/>
      <c r="P5609" s="1323"/>
      <c r="Q5609" s="1323"/>
      <c r="R5609" s="1304"/>
      <c r="S5609" s="1304"/>
      <c r="T5609" s="1304"/>
    </row>
    <row r="5610" spans="1:20">
      <c r="A5610" s="1303"/>
      <c r="B5610" s="1322" t="s">
        <v>12514</v>
      </c>
      <c r="C5610" s="1323" t="s">
        <v>12515</v>
      </c>
      <c r="D5610" s="1324">
        <f t="shared" si="552"/>
        <v>33703</v>
      </c>
      <c r="E5610" s="1323">
        <f t="shared" si="554"/>
        <v>2.8776999999999999</v>
      </c>
      <c r="F5610" s="1323">
        <f t="shared" si="553"/>
        <v>3.3471479956951748</v>
      </c>
      <c r="G5610" s="1323">
        <f t="shared" si="555"/>
        <v>1992</v>
      </c>
      <c r="H5610" s="1323">
        <f t="shared" si="556"/>
        <v>4</v>
      </c>
      <c r="I5610" s="1323">
        <f t="shared" si="557"/>
        <v>9</v>
      </c>
      <c r="J5610" s="1323"/>
      <c r="K5610" s="1323"/>
      <c r="L5610" s="1323"/>
      <c r="M5610" s="1323"/>
      <c r="N5610" s="1323"/>
      <c r="O5610" s="1323"/>
      <c r="P5610" s="1323"/>
      <c r="Q5610" s="1323"/>
      <c r="R5610" s="1304"/>
      <c r="S5610" s="1304"/>
      <c r="T5610" s="1304"/>
    </row>
    <row r="5611" spans="1:20">
      <c r="A5611" s="1303"/>
      <c r="B5611" s="1322" t="s">
        <v>12516</v>
      </c>
      <c r="C5611" s="1323" t="s">
        <v>12511</v>
      </c>
      <c r="D5611" s="1324">
        <f t="shared" si="552"/>
        <v>33702</v>
      </c>
      <c r="E5611" s="1323">
        <f t="shared" si="554"/>
        <v>2.8702999999999999</v>
      </c>
      <c r="F5611" s="1323">
        <f t="shared" si="553"/>
        <v>3.3465061999855883</v>
      </c>
      <c r="G5611" s="1323">
        <f t="shared" si="555"/>
        <v>1992</v>
      </c>
      <c r="H5611" s="1323">
        <f t="shared" si="556"/>
        <v>4</v>
      </c>
      <c r="I5611" s="1323">
        <f t="shared" si="557"/>
        <v>8</v>
      </c>
      <c r="J5611" s="1323"/>
      <c r="K5611" s="1323"/>
      <c r="L5611" s="1323"/>
      <c r="M5611" s="1323"/>
      <c r="N5611" s="1323"/>
      <c r="O5611" s="1323"/>
      <c r="P5611" s="1323"/>
      <c r="Q5611" s="1323"/>
      <c r="R5611" s="1304"/>
      <c r="S5611" s="1304"/>
      <c r="T5611" s="1304"/>
    </row>
    <row r="5612" spans="1:20">
      <c r="A5612" s="1303"/>
      <c r="B5612" s="1322" t="s">
        <v>12517</v>
      </c>
      <c r="C5612" s="1323" t="s">
        <v>12518</v>
      </c>
      <c r="D5612" s="1324">
        <f t="shared" si="552"/>
        <v>33701</v>
      </c>
      <c r="E5612" s="1323">
        <f t="shared" si="554"/>
        <v>2.8677999999999999</v>
      </c>
      <c r="F5612" s="1323">
        <f t="shared" si="553"/>
        <v>3.3458645273365097</v>
      </c>
      <c r="G5612" s="1323">
        <f t="shared" si="555"/>
        <v>1992</v>
      </c>
      <c r="H5612" s="1323">
        <f t="shared" si="556"/>
        <v>4</v>
      </c>
      <c r="I5612" s="1323">
        <f t="shared" si="557"/>
        <v>7</v>
      </c>
      <c r="J5612" s="1323"/>
      <c r="K5612" s="1323"/>
      <c r="L5612" s="1323"/>
      <c r="M5612" s="1323"/>
      <c r="N5612" s="1323"/>
      <c r="O5612" s="1323"/>
      <c r="P5612" s="1323"/>
      <c r="Q5612" s="1323"/>
      <c r="R5612" s="1304"/>
      <c r="S5612" s="1304"/>
      <c r="T5612" s="1304"/>
    </row>
    <row r="5613" spans="1:20">
      <c r="A5613" s="1303"/>
      <c r="B5613" s="1322" t="s">
        <v>12519</v>
      </c>
      <c r="C5613" s="1323" t="s">
        <v>12520</v>
      </c>
      <c r="D5613" s="1324">
        <f t="shared" si="552"/>
        <v>33697</v>
      </c>
      <c r="E5613" s="1323">
        <f t="shared" si="554"/>
        <v>2.8769</v>
      </c>
      <c r="F5613" s="1323">
        <f t="shared" si="553"/>
        <v>3.3452229777243434</v>
      </c>
      <c r="G5613" s="1323">
        <f t="shared" si="555"/>
        <v>1992</v>
      </c>
      <c r="H5613" s="1323">
        <f t="shared" si="556"/>
        <v>4</v>
      </c>
      <c r="I5613" s="1323">
        <f t="shared" si="557"/>
        <v>3</v>
      </c>
      <c r="J5613" s="1323"/>
      <c r="K5613" s="1323"/>
      <c r="L5613" s="1323"/>
      <c r="M5613" s="1323"/>
      <c r="N5613" s="1323"/>
      <c r="O5613" s="1323"/>
      <c r="P5613" s="1323"/>
      <c r="Q5613" s="1323"/>
      <c r="R5613" s="1304"/>
      <c r="S5613" s="1304"/>
      <c r="T5613" s="1304"/>
    </row>
    <row r="5614" spans="1:20">
      <c r="A5614" s="1303"/>
      <c r="B5614" s="1322" t="s">
        <v>12521</v>
      </c>
      <c r="C5614" s="1323" t="s">
        <v>12494</v>
      </c>
      <c r="D5614" s="1324">
        <f t="shared" si="552"/>
        <v>33696</v>
      </c>
      <c r="E5614" s="1323">
        <f t="shared" si="554"/>
        <v>2.8852000000000002</v>
      </c>
      <c r="F5614" s="1323">
        <f t="shared" si="553"/>
        <v>3.3445815511254975</v>
      </c>
      <c r="G5614" s="1323">
        <f t="shared" si="555"/>
        <v>1992</v>
      </c>
      <c r="H5614" s="1323">
        <f t="shared" si="556"/>
        <v>4</v>
      </c>
      <c r="I5614" s="1323">
        <f t="shared" si="557"/>
        <v>2</v>
      </c>
      <c r="J5614" s="1323"/>
      <c r="K5614" s="1323"/>
      <c r="L5614" s="1323"/>
      <c r="M5614" s="1323"/>
      <c r="N5614" s="1323"/>
      <c r="O5614" s="1323"/>
      <c r="P5614" s="1323"/>
      <c r="Q5614" s="1323"/>
      <c r="R5614" s="1304"/>
      <c r="S5614" s="1304"/>
      <c r="T5614" s="1304"/>
    </row>
    <row r="5615" spans="1:20">
      <c r="A5615" s="1303"/>
      <c r="B5615" s="1322" t="s">
        <v>12522</v>
      </c>
      <c r="C5615" s="1323" t="s">
        <v>12523</v>
      </c>
      <c r="D5615" s="1324">
        <f t="shared" si="552"/>
        <v>33695</v>
      </c>
      <c r="E5615" s="1323">
        <f t="shared" si="554"/>
        <v>2.8794</v>
      </c>
      <c r="F5615" s="1323">
        <f t="shared" si="553"/>
        <v>3.3439402475163846</v>
      </c>
      <c r="G5615" s="1323">
        <f t="shared" si="555"/>
        <v>1992</v>
      </c>
      <c r="H5615" s="1323">
        <f t="shared" si="556"/>
        <v>4</v>
      </c>
      <c r="I5615" s="1323">
        <f t="shared" si="557"/>
        <v>1</v>
      </c>
      <c r="J5615" s="1323"/>
      <c r="K5615" s="1323"/>
      <c r="L5615" s="1323"/>
      <c r="M5615" s="1323"/>
      <c r="N5615" s="1323"/>
      <c r="O5615" s="1323"/>
      <c r="P5615" s="1323"/>
      <c r="Q5615" s="1323"/>
      <c r="R5615" s="1304"/>
      <c r="S5615" s="1304"/>
      <c r="T5615" s="1304"/>
    </row>
    <row r="5616" spans="1:20">
      <c r="A5616" s="1303"/>
      <c r="B5616" s="1322" t="s">
        <v>12524</v>
      </c>
      <c r="C5616" s="1323" t="s">
        <v>12525</v>
      </c>
      <c r="D5616" s="1324">
        <f t="shared" si="552"/>
        <v>33694</v>
      </c>
      <c r="E5616" s="1323">
        <f t="shared" si="554"/>
        <v>2.8794</v>
      </c>
      <c r="F5616" s="1323">
        <f t="shared" si="553"/>
        <v>3.3432990668734224</v>
      </c>
      <c r="G5616" s="1323">
        <f t="shared" si="555"/>
        <v>1992</v>
      </c>
      <c r="H5616" s="1323">
        <f t="shared" si="556"/>
        <v>3</v>
      </c>
      <c r="I5616" s="1323">
        <f t="shared" si="557"/>
        <v>31</v>
      </c>
      <c r="J5616" s="1323"/>
      <c r="K5616" s="1323"/>
      <c r="L5616" s="1323"/>
      <c r="M5616" s="1323"/>
      <c r="N5616" s="1323"/>
      <c r="O5616" s="1323"/>
      <c r="P5616" s="1323"/>
      <c r="Q5616" s="1323"/>
      <c r="R5616" s="1304"/>
      <c r="S5616" s="1304"/>
      <c r="T5616" s="1304"/>
    </row>
    <row r="5617" spans="1:20">
      <c r="A5617" s="1303"/>
      <c r="B5617" s="1322" t="s">
        <v>12526</v>
      </c>
      <c r="C5617" s="1323" t="s">
        <v>12525</v>
      </c>
      <c r="D5617" s="1324">
        <f t="shared" si="552"/>
        <v>33693</v>
      </c>
      <c r="E5617" s="1323">
        <f t="shared" si="554"/>
        <v>2.8752</v>
      </c>
      <c r="F5617" s="1323">
        <f t="shared" si="553"/>
        <v>3.3426580091730331</v>
      </c>
      <c r="G5617" s="1323">
        <f t="shared" si="555"/>
        <v>1992</v>
      </c>
      <c r="H5617" s="1323">
        <f t="shared" si="556"/>
        <v>3</v>
      </c>
      <c r="I5617" s="1323">
        <f t="shared" si="557"/>
        <v>30</v>
      </c>
      <c r="J5617" s="1323"/>
      <c r="K5617" s="1323"/>
      <c r="L5617" s="1323"/>
      <c r="M5617" s="1323"/>
      <c r="N5617" s="1323"/>
      <c r="O5617" s="1323"/>
      <c r="P5617" s="1323"/>
      <c r="Q5617" s="1323"/>
      <c r="R5617" s="1304"/>
      <c r="S5617" s="1304"/>
      <c r="T5617" s="1304"/>
    </row>
    <row r="5618" spans="1:20">
      <c r="A5618" s="1303"/>
      <c r="B5618" s="1322" t="s">
        <v>12527</v>
      </c>
      <c r="C5618" s="1323" t="s">
        <v>12496</v>
      </c>
      <c r="D5618" s="1324">
        <f t="shared" si="552"/>
        <v>33690</v>
      </c>
      <c r="E5618" s="1323">
        <f t="shared" si="554"/>
        <v>2.8935</v>
      </c>
      <c r="F5618" s="1323">
        <f t="shared" si="553"/>
        <v>3.3420170743916429</v>
      </c>
      <c r="G5618" s="1323">
        <f t="shared" si="555"/>
        <v>1992</v>
      </c>
      <c r="H5618" s="1323">
        <f t="shared" si="556"/>
        <v>3</v>
      </c>
      <c r="I5618" s="1323">
        <f t="shared" si="557"/>
        <v>27</v>
      </c>
      <c r="J5618" s="1323"/>
      <c r="K5618" s="1323"/>
      <c r="L5618" s="1323"/>
      <c r="M5618" s="1323"/>
      <c r="N5618" s="1323"/>
      <c r="O5618" s="1323"/>
      <c r="P5618" s="1323"/>
      <c r="Q5618" s="1323"/>
      <c r="R5618" s="1304"/>
      <c r="S5618" s="1304"/>
      <c r="T5618" s="1304"/>
    </row>
    <row r="5619" spans="1:20">
      <c r="A5619" s="1303"/>
      <c r="B5619" s="1322" t="s">
        <v>12528</v>
      </c>
      <c r="C5619" s="1323" t="s">
        <v>12529</v>
      </c>
      <c r="D5619" s="1324">
        <f t="shared" si="552"/>
        <v>33689</v>
      </c>
      <c r="E5619" s="1323">
        <f t="shared" si="554"/>
        <v>2.8818000000000001</v>
      </c>
      <c r="F5619" s="1323">
        <f t="shared" si="553"/>
        <v>3.3413762625056829</v>
      </c>
      <c r="G5619" s="1323">
        <f t="shared" si="555"/>
        <v>1992</v>
      </c>
      <c r="H5619" s="1323">
        <f t="shared" si="556"/>
        <v>3</v>
      </c>
      <c r="I5619" s="1323">
        <f t="shared" si="557"/>
        <v>26</v>
      </c>
      <c r="J5619" s="1323"/>
      <c r="K5619" s="1323"/>
      <c r="L5619" s="1323"/>
      <c r="M5619" s="1323"/>
      <c r="N5619" s="1323"/>
      <c r="O5619" s="1323"/>
      <c r="P5619" s="1323"/>
      <c r="Q5619" s="1323"/>
      <c r="R5619" s="1304"/>
      <c r="S5619" s="1304"/>
      <c r="T5619" s="1304"/>
    </row>
    <row r="5620" spans="1:20">
      <c r="A5620" s="1303"/>
      <c r="B5620" s="1322" t="s">
        <v>12530</v>
      </c>
      <c r="C5620" s="1323" t="s">
        <v>12504</v>
      </c>
      <c r="D5620" s="1324">
        <f t="shared" si="552"/>
        <v>33688</v>
      </c>
      <c r="E5620" s="1323">
        <f t="shared" si="554"/>
        <v>2.8860000000000001</v>
      </c>
      <c r="F5620" s="1323">
        <f t="shared" si="553"/>
        <v>3.3407355734915885</v>
      </c>
      <c r="G5620" s="1323">
        <f t="shared" si="555"/>
        <v>1992</v>
      </c>
      <c r="H5620" s="1323">
        <f t="shared" si="556"/>
        <v>3</v>
      </c>
      <c r="I5620" s="1323">
        <f t="shared" si="557"/>
        <v>25</v>
      </c>
      <c r="J5620" s="1323"/>
      <c r="K5620" s="1323"/>
      <c r="L5620" s="1323"/>
      <c r="M5620" s="1323"/>
      <c r="N5620" s="1323"/>
      <c r="O5620" s="1323"/>
      <c r="P5620" s="1323"/>
      <c r="Q5620" s="1323"/>
      <c r="R5620" s="1304"/>
      <c r="S5620" s="1304"/>
      <c r="T5620" s="1304"/>
    </row>
    <row r="5621" spans="1:20">
      <c r="A5621" s="1303"/>
      <c r="B5621" s="1322" t="s">
        <v>12531</v>
      </c>
      <c r="C5621" s="1323" t="s">
        <v>12532</v>
      </c>
      <c r="D5621" s="1324">
        <f t="shared" si="552"/>
        <v>33687</v>
      </c>
      <c r="E5621" s="1323">
        <f t="shared" si="554"/>
        <v>2.8914</v>
      </c>
      <c r="F5621" s="1323">
        <f t="shared" si="553"/>
        <v>3.3400950073257998</v>
      </c>
      <c r="G5621" s="1323">
        <f t="shared" si="555"/>
        <v>1992</v>
      </c>
      <c r="H5621" s="1323">
        <f t="shared" si="556"/>
        <v>3</v>
      </c>
      <c r="I5621" s="1323">
        <f t="shared" si="557"/>
        <v>24</v>
      </c>
      <c r="J5621" s="1323"/>
      <c r="K5621" s="1323"/>
      <c r="L5621" s="1323"/>
      <c r="M5621" s="1323"/>
      <c r="N5621" s="1323"/>
      <c r="O5621" s="1323"/>
      <c r="P5621" s="1323"/>
      <c r="Q5621" s="1323"/>
      <c r="R5621" s="1304"/>
      <c r="S5621" s="1304"/>
      <c r="T5621" s="1304"/>
    </row>
    <row r="5622" spans="1:20">
      <c r="A5622" s="1303"/>
      <c r="B5622" s="1322" t="s">
        <v>12533</v>
      </c>
      <c r="C5622" s="1323" t="s">
        <v>12534</v>
      </c>
      <c r="D5622" s="1324">
        <f t="shared" si="552"/>
        <v>33686</v>
      </c>
      <c r="E5622" s="1323">
        <f t="shared" si="554"/>
        <v>2.8944000000000001</v>
      </c>
      <c r="F5622" s="1323">
        <f t="shared" si="553"/>
        <v>3.3394545639847615</v>
      </c>
      <c r="G5622" s="1323">
        <f t="shared" si="555"/>
        <v>1992</v>
      </c>
      <c r="H5622" s="1323">
        <f t="shared" si="556"/>
        <v>3</v>
      </c>
      <c r="I5622" s="1323">
        <f t="shared" si="557"/>
        <v>23</v>
      </c>
      <c r="J5622" s="1323"/>
      <c r="K5622" s="1323"/>
      <c r="L5622" s="1323"/>
      <c r="M5622" s="1323"/>
      <c r="N5622" s="1323"/>
      <c r="O5622" s="1323"/>
      <c r="P5622" s="1323"/>
      <c r="Q5622" s="1323"/>
      <c r="R5622" s="1304"/>
      <c r="S5622" s="1304"/>
      <c r="T5622" s="1304"/>
    </row>
    <row r="5623" spans="1:20">
      <c r="A5623" s="1303"/>
      <c r="B5623" s="1322" t="s">
        <v>12535</v>
      </c>
      <c r="C5623" s="1323" t="s">
        <v>12536</v>
      </c>
      <c r="D5623" s="1324">
        <f t="shared" si="552"/>
        <v>33683</v>
      </c>
      <c r="E5623" s="1323">
        <f t="shared" si="554"/>
        <v>2.8959999999999999</v>
      </c>
      <c r="F5623" s="1323">
        <f t="shared" si="553"/>
        <v>3.3388142434449226</v>
      </c>
      <c r="G5623" s="1323">
        <f t="shared" si="555"/>
        <v>1992</v>
      </c>
      <c r="H5623" s="1323">
        <f t="shared" si="556"/>
        <v>3</v>
      </c>
      <c r="I5623" s="1323">
        <f t="shared" si="557"/>
        <v>20</v>
      </c>
      <c r="J5623" s="1323"/>
      <c r="K5623" s="1323"/>
      <c r="L5623" s="1323"/>
      <c r="M5623" s="1323"/>
      <c r="N5623" s="1323"/>
      <c r="O5623" s="1323"/>
      <c r="P5623" s="1323"/>
      <c r="Q5623" s="1323"/>
      <c r="R5623" s="1304"/>
      <c r="S5623" s="1304"/>
      <c r="T5623" s="1304"/>
    </row>
    <row r="5624" spans="1:20">
      <c r="A5624" s="1303"/>
      <c r="B5624" s="1322" t="s">
        <v>12537</v>
      </c>
      <c r="C5624" s="1323" t="s">
        <v>12538</v>
      </c>
      <c r="D5624" s="1324">
        <f t="shared" si="552"/>
        <v>33682</v>
      </c>
      <c r="E5624" s="1323">
        <f t="shared" si="554"/>
        <v>2.8794</v>
      </c>
      <c r="F5624" s="1323">
        <f t="shared" si="553"/>
        <v>3.3381740456827367</v>
      </c>
      <c r="G5624" s="1323">
        <f t="shared" si="555"/>
        <v>1992</v>
      </c>
      <c r="H5624" s="1323">
        <f t="shared" si="556"/>
        <v>3</v>
      </c>
      <c r="I5624" s="1323">
        <f t="shared" si="557"/>
        <v>19</v>
      </c>
      <c r="J5624" s="1323"/>
      <c r="K5624" s="1323"/>
      <c r="L5624" s="1323"/>
      <c r="M5624" s="1323"/>
      <c r="N5624" s="1323"/>
      <c r="O5624" s="1323"/>
      <c r="P5624" s="1323"/>
      <c r="Q5624" s="1323"/>
      <c r="R5624" s="1304"/>
      <c r="S5624" s="1304"/>
      <c r="T5624" s="1304"/>
    </row>
    <row r="5625" spans="1:20">
      <c r="A5625" s="1303"/>
      <c r="B5625" s="1322" t="s">
        <v>12539</v>
      </c>
      <c r="C5625" s="1323" t="s">
        <v>12525</v>
      </c>
      <c r="D5625" s="1324">
        <f t="shared" si="552"/>
        <v>33681</v>
      </c>
      <c r="E5625" s="1323">
        <f t="shared" si="554"/>
        <v>2.8809999999999998</v>
      </c>
      <c r="F5625" s="1323">
        <f t="shared" si="553"/>
        <v>3.3375339706746621</v>
      </c>
      <c r="G5625" s="1323">
        <f t="shared" si="555"/>
        <v>1992</v>
      </c>
      <c r="H5625" s="1323">
        <f t="shared" si="556"/>
        <v>3</v>
      </c>
      <c r="I5625" s="1323">
        <f t="shared" si="557"/>
        <v>18</v>
      </c>
      <c r="J5625" s="1323"/>
      <c r="K5625" s="1323"/>
      <c r="L5625" s="1323"/>
      <c r="M5625" s="1323"/>
      <c r="N5625" s="1323"/>
      <c r="O5625" s="1323"/>
      <c r="P5625" s="1323"/>
      <c r="Q5625" s="1323"/>
      <c r="R5625" s="1304"/>
      <c r="S5625" s="1304"/>
      <c r="T5625" s="1304"/>
    </row>
    <row r="5626" spans="1:20">
      <c r="A5626" s="1303"/>
      <c r="B5626" s="1322" t="s">
        <v>12540</v>
      </c>
      <c r="C5626" s="1323" t="s">
        <v>12541</v>
      </c>
      <c r="D5626" s="1324">
        <f t="shared" si="552"/>
        <v>33680</v>
      </c>
      <c r="E5626" s="1323">
        <f t="shared" si="554"/>
        <v>2.8809999999999998</v>
      </c>
      <c r="F5626" s="1323">
        <f t="shared" si="553"/>
        <v>3.3368940183971612</v>
      </c>
      <c r="G5626" s="1323">
        <f t="shared" si="555"/>
        <v>1992</v>
      </c>
      <c r="H5626" s="1323">
        <f t="shared" si="556"/>
        <v>3</v>
      </c>
      <c r="I5626" s="1323">
        <f t="shared" si="557"/>
        <v>17</v>
      </c>
      <c r="J5626" s="1323"/>
      <c r="K5626" s="1323"/>
      <c r="L5626" s="1323"/>
      <c r="M5626" s="1323"/>
      <c r="N5626" s="1323"/>
      <c r="O5626" s="1323"/>
      <c r="P5626" s="1323"/>
      <c r="Q5626" s="1323"/>
      <c r="R5626" s="1304"/>
      <c r="S5626" s="1304"/>
      <c r="T5626" s="1304"/>
    </row>
    <row r="5627" spans="1:20">
      <c r="A5627" s="1303"/>
      <c r="B5627" s="1322" t="s">
        <v>12542</v>
      </c>
      <c r="C5627" s="1323" t="s">
        <v>12541</v>
      </c>
      <c r="D5627" s="1324">
        <f t="shared" si="552"/>
        <v>33679</v>
      </c>
      <c r="E5627" s="1323">
        <f t="shared" si="554"/>
        <v>2.8906000000000001</v>
      </c>
      <c r="F5627" s="1323">
        <f t="shared" si="553"/>
        <v>3.3362541888267012</v>
      </c>
      <c r="G5627" s="1323">
        <f t="shared" si="555"/>
        <v>1992</v>
      </c>
      <c r="H5627" s="1323">
        <f t="shared" si="556"/>
        <v>3</v>
      </c>
      <c r="I5627" s="1323">
        <f t="shared" si="557"/>
        <v>16</v>
      </c>
      <c r="J5627" s="1323"/>
      <c r="K5627" s="1323"/>
      <c r="L5627" s="1323"/>
      <c r="M5627" s="1323"/>
      <c r="N5627" s="1323"/>
      <c r="O5627" s="1323"/>
      <c r="P5627" s="1323"/>
      <c r="Q5627" s="1323"/>
      <c r="R5627" s="1304"/>
      <c r="S5627" s="1304"/>
      <c r="T5627" s="1304"/>
    </row>
    <row r="5628" spans="1:20">
      <c r="A5628" s="1303"/>
      <c r="B5628" s="1322" t="s">
        <v>12543</v>
      </c>
      <c r="C5628" s="1323" t="s">
        <v>12544</v>
      </c>
      <c r="D5628" s="1324">
        <f t="shared" si="552"/>
        <v>33676</v>
      </c>
      <c r="E5628" s="1323">
        <f t="shared" si="554"/>
        <v>2.8935</v>
      </c>
      <c r="F5628" s="1323">
        <f t="shared" si="553"/>
        <v>3.335614481939754</v>
      </c>
      <c r="G5628" s="1323">
        <f t="shared" si="555"/>
        <v>1992</v>
      </c>
      <c r="H5628" s="1323">
        <f t="shared" si="556"/>
        <v>3</v>
      </c>
      <c r="I5628" s="1323">
        <f t="shared" si="557"/>
        <v>13</v>
      </c>
      <c r="J5628" s="1323"/>
      <c r="K5628" s="1323"/>
      <c r="L5628" s="1323"/>
      <c r="M5628" s="1323"/>
      <c r="N5628" s="1323"/>
      <c r="O5628" s="1323"/>
      <c r="P5628" s="1323"/>
      <c r="Q5628" s="1323"/>
      <c r="R5628" s="1304"/>
      <c r="S5628" s="1304"/>
      <c r="T5628" s="1304"/>
    </row>
    <row r="5629" spans="1:20">
      <c r="A5629" s="1303"/>
      <c r="B5629" s="1322" t="s">
        <v>12545</v>
      </c>
      <c r="C5629" s="1323" t="s">
        <v>12529</v>
      </c>
      <c r="D5629" s="1324">
        <f t="shared" si="552"/>
        <v>33675</v>
      </c>
      <c r="E5629" s="1323">
        <f t="shared" si="554"/>
        <v>2.8893</v>
      </c>
      <c r="F5629" s="1323">
        <f t="shared" si="553"/>
        <v>3.3349748977127951</v>
      </c>
      <c r="G5629" s="1323">
        <f t="shared" si="555"/>
        <v>1992</v>
      </c>
      <c r="H5629" s="1323">
        <f t="shared" si="556"/>
        <v>3</v>
      </c>
      <c r="I5629" s="1323">
        <f t="shared" si="557"/>
        <v>12</v>
      </c>
      <c r="J5629" s="1323"/>
      <c r="K5629" s="1323"/>
      <c r="L5629" s="1323"/>
      <c r="M5629" s="1323"/>
      <c r="N5629" s="1323"/>
      <c r="O5629" s="1323"/>
      <c r="P5629" s="1323"/>
      <c r="Q5629" s="1323"/>
      <c r="R5629" s="1304"/>
      <c r="S5629" s="1304"/>
      <c r="T5629" s="1304"/>
    </row>
    <row r="5630" spans="1:20">
      <c r="A5630" s="1303"/>
      <c r="B5630" s="1322" t="s">
        <v>12546</v>
      </c>
      <c r="C5630" s="1323" t="s">
        <v>12547</v>
      </c>
      <c r="D5630" s="1324">
        <f t="shared" si="552"/>
        <v>33674</v>
      </c>
      <c r="E5630" s="1323">
        <f t="shared" si="554"/>
        <v>2.8868</v>
      </c>
      <c r="F5630" s="1323">
        <f t="shared" si="553"/>
        <v>3.3343354361223057</v>
      </c>
      <c r="G5630" s="1323">
        <f t="shared" si="555"/>
        <v>1992</v>
      </c>
      <c r="H5630" s="1323">
        <f t="shared" si="556"/>
        <v>3</v>
      </c>
      <c r="I5630" s="1323">
        <f t="shared" si="557"/>
        <v>11</v>
      </c>
      <c r="J5630" s="1323"/>
      <c r="K5630" s="1323"/>
      <c r="L5630" s="1323"/>
      <c r="M5630" s="1323"/>
      <c r="N5630" s="1323"/>
      <c r="O5630" s="1323"/>
      <c r="P5630" s="1323"/>
      <c r="Q5630" s="1323"/>
      <c r="R5630" s="1304"/>
      <c r="S5630" s="1304"/>
      <c r="T5630" s="1304"/>
    </row>
    <row r="5631" spans="1:20">
      <c r="A5631" s="1303"/>
      <c r="B5631" s="1322" t="s">
        <v>12548</v>
      </c>
      <c r="C5631" s="1323" t="s">
        <v>12549</v>
      </c>
      <c r="D5631" s="1324">
        <f t="shared" si="552"/>
        <v>33673</v>
      </c>
      <c r="E5631" s="1323">
        <f t="shared" si="554"/>
        <v>2.8752</v>
      </c>
      <c r="F5631" s="1323">
        <f t="shared" si="553"/>
        <v>3.3336960971447711</v>
      </c>
      <c r="G5631" s="1323">
        <f t="shared" si="555"/>
        <v>1992</v>
      </c>
      <c r="H5631" s="1323">
        <f t="shared" si="556"/>
        <v>3</v>
      </c>
      <c r="I5631" s="1323">
        <f t="shared" si="557"/>
        <v>10</v>
      </c>
      <c r="J5631" s="1323"/>
      <c r="K5631" s="1323"/>
      <c r="L5631" s="1323"/>
      <c r="M5631" s="1323"/>
      <c r="N5631" s="1323"/>
      <c r="O5631" s="1323"/>
      <c r="P5631" s="1323"/>
      <c r="Q5631" s="1323"/>
      <c r="R5631" s="1304"/>
      <c r="S5631" s="1304"/>
      <c r="T5631" s="1304"/>
    </row>
    <row r="5632" spans="1:20">
      <c r="A5632" s="1303"/>
      <c r="B5632" s="1322" t="s">
        <v>12550</v>
      </c>
      <c r="C5632" s="1323" t="s">
        <v>12496</v>
      </c>
      <c r="D5632" s="1324">
        <f t="shared" si="552"/>
        <v>33672</v>
      </c>
      <c r="E5632" s="1323">
        <f t="shared" si="554"/>
        <v>2.8769</v>
      </c>
      <c r="F5632" s="1323">
        <f t="shared" si="553"/>
        <v>3.3330568807566805</v>
      </c>
      <c r="G5632" s="1323">
        <f t="shared" si="555"/>
        <v>1992</v>
      </c>
      <c r="H5632" s="1323">
        <f t="shared" si="556"/>
        <v>3</v>
      </c>
      <c r="I5632" s="1323">
        <f t="shared" si="557"/>
        <v>9</v>
      </c>
      <c r="J5632" s="1323"/>
      <c r="K5632" s="1323"/>
      <c r="L5632" s="1323"/>
      <c r="M5632" s="1323"/>
      <c r="N5632" s="1323"/>
      <c r="O5632" s="1323"/>
      <c r="P5632" s="1323"/>
      <c r="Q5632" s="1323"/>
      <c r="R5632" s="1304"/>
      <c r="S5632" s="1304"/>
      <c r="T5632" s="1304"/>
    </row>
    <row r="5633" spans="1:20">
      <c r="A5633" s="1303"/>
      <c r="B5633" s="1322" t="s">
        <v>12551</v>
      </c>
      <c r="C5633" s="1323" t="s">
        <v>12494</v>
      </c>
      <c r="D5633" s="1324">
        <f t="shared" si="552"/>
        <v>33669</v>
      </c>
      <c r="E5633" s="1323">
        <f t="shared" si="554"/>
        <v>2.8794</v>
      </c>
      <c r="F5633" s="1323">
        <f t="shared" si="553"/>
        <v>3.3324177869345286</v>
      </c>
      <c r="G5633" s="1323">
        <f t="shared" si="555"/>
        <v>1992</v>
      </c>
      <c r="H5633" s="1323">
        <f t="shared" si="556"/>
        <v>3</v>
      </c>
      <c r="I5633" s="1323">
        <f t="shared" si="557"/>
        <v>6</v>
      </c>
      <c r="J5633" s="1323"/>
      <c r="K5633" s="1323"/>
      <c r="L5633" s="1323"/>
      <c r="M5633" s="1323"/>
      <c r="N5633" s="1323"/>
      <c r="O5633" s="1323"/>
      <c r="P5633" s="1323"/>
      <c r="Q5633" s="1323"/>
      <c r="R5633" s="1304"/>
      <c r="S5633" s="1304"/>
      <c r="T5633" s="1304"/>
    </row>
    <row r="5634" spans="1:20">
      <c r="A5634" s="1303"/>
      <c r="B5634" s="1322" t="s">
        <v>12552</v>
      </c>
      <c r="C5634" s="1323" t="s">
        <v>12525</v>
      </c>
      <c r="D5634" s="1324">
        <f t="shared" si="552"/>
        <v>33668</v>
      </c>
      <c r="E5634" s="1323">
        <f t="shared" si="554"/>
        <v>2.8776999999999999</v>
      </c>
      <c r="F5634" s="1323">
        <f t="shared" si="553"/>
        <v>3.3317788156548138</v>
      </c>
      <c r="G5634" s="1323">
        <f t="shared" si="555"/>
        <v>1992</v>
      </c>
      <c r="H5634" s="1323">
        <f t="shared" si="556"/>
        <v>3</v>
      </c>
      <c r="I5634" s="1323">
        <f t="shared" si="557"/>
        <v>5</v>
      </c>
      <c r="J5634" s="1323"/>
      <c r="K5634" s="1323"/>
      <c r="L5634" s="1323"/>
      <c r="M5634" s="1323"/>
      <c r="N5634" s="1323"/>
      <c r="O5634" s="1323"/>
      <c r="P5634" s="1323"/>
      <c r="Q5634" s="1323"/>
      <c r="R5634" s="1304"/>
      <c r="S5634" s="1304"/>
      <c r="T5634" s="1304"/>
    </row>
    <row r="5635" spans="1:20">
      <c r="A5635" s="1303"/>
      <c r="B5635" s="1322" t="s">
        <v>12553</v>
      </c>
      <c r="C5635" s="1323" t="s">
        <v>12511</v>
      </c>
      <c r="D5635" s="1324">
        <f t="shared" si="552"/>
        <v>33667</v>
      </c>
      <c r="E5635" s="1323">
        <f t="shared" si="554"/>
        <v>2.8645</v>
      </c>
      <c r="F5635" s="1323">
        <f t="shared" si="553"/>
        <v>3.3311399668940394</v>
      </c>
      <c r="G5635" s="1323">
        <f t="shared" si="555"/>
        <v>1992</v>
      </c>
      <c r="H5635" s="1323">
        <f t="shared" si="556"/>
        <v>3</v>
      </c>
      <c r="I5635" s="1323">
        <f t="shared" si="557"/>
        <v>4</v>
      </c>
      <c r="J5635" s="1323"/>
      <c r="K5635" s="1323"/>
      <c r="L5635" s="1323"/>
      <c r="M5635" s="1323"/>
      <c r="N5635" s="1323"/>
      <c r="O5635" s="1323"/>
      <c r="P5635" s="1323"/>
      <c r="Q5635" s="1323"/>
      <c r="R5635" s="1304"/>
      <c r="S5635" s="1304"/>
      <c r="T5635" s="1304"/>
    </row>
    <row r="5636" spans="1:20">
      <c r="A5636" s="1303"/>
      <c r="B5636" s="1322" t="s">
        <v>12554</v>
      </c>
      <c r="C5636" s="1323" t="s">
        <v>12515</v>
      </c>
      <c r="D5636" s="1324">
        <f t="shared" si="552"/>
        <v>33666</v>
      </c>
      <c r="E5636" s="1323">
        <f t="shared" si="554"/>
        <v>2.8592</v>
      </c>
      <c r="F5636" s="1323">
        <f t="shared" si="553"/>
        <v>3.3305012406287133</v>
      </c>
      <c r="G5636" s="1323">
        <f t="shared" si="555"/>
        <v>1992</v>
      </c>
      <c r="H5636" s="1323">
        <f t="shared" si="556"/>
        <v>3</v>
      </c>
      <c r="I5636" s="1323">
        <f t="shared" si="557"/>
        <v>3</v>
      </c>
      <c r="J5636" s="1323"/>
      <c r="K5636" s="1323"/>
      <c r="L5636" s="1323"/>
      <c r="M5636" s="1323"/>
      <c r="N5636" s="1323"/>
      <c r="O5636" s="1323"/>
      <c r="P5636" s="1323"/>
      <c r="Q5636" s="1323"/>
      <c r="R5636" s="1304"/>
      <c r="S5636" s="1304"/>
      <c r="T5636" s="1304"/>
    </row>
    <row r="5637" spans="1:20">
      <c r="A5637" s="1303"/>
      <c r="B5637" s="1322" t="s">
        <v>12555</v>
      </c>
      <c r="C5637" s="1323" t="s">
        <v>12556</v>
      </c>
      <c r="D5637" s="1324">
        <f t="shared" si="552"/>
        <v>33665</v>
      </c>
      <c r="E5637" s="1323">
        <f t="shared" si="554"/>
        <v>2.8531</v>
      </c>
      <c r="F5637" s="1323">
        <f t="shared" si="553"/>
        <v>3.3298626368353474</v>
      </c>
      <c r="G5637" s="1323">
        <f t="shared" si="555"/>
        <v>1992</v>
      </c>
      <c r="H5637" s="1323">
        <f t="shared" si="556"/>
        <v>3</v>
      </c>
      <c r="I5637" s="1323">
        <f t="shared" si="557"/>
        <v>2</v>
      </c>
      <c r="J5637" s="1323"/>
      <c r="K5637" s="1323"/>
      <c r="L5637" s="1323"/>
      <c r="M5637" s="1323"/>
      <c r="N5637" s="1323"/>
      <c r="O5637" s="1323"/>
      <c r="P5637" s="1323"/>
      <c r="Q5637" s="1323"/>
      <c r="R5637" s="1304"/>
      <c r="S5637" s="1304"/>
      <c r="T5637" s="1304"/>
    </row>
    <row r="5638" spans="1:20">
      <c r="A5638" s="1303"/>
      <c r="B5638" s="1322" t="s">
        <v>12557</v>
      </c>
      <c r="C5638" s="1323" t="s">
        <v>12317</v>
      </c>
      <c r="D5638" s="1324">
        <f t="shared" si="552"/>
        <v>33662</v>
      </c>
      <c r="E5638" s="1323">
        <f t="shared" si="554"/>
        <v>2.8513999999999999</v>
      </c>
      <c r="F5638" s="1323">
        <f t="shared" si="553"/>
        <v>3.3292241554904587</v>
      </c>
      <c r="G5638" s="1323">
        <f t="shared" si="555"/>
        <v>1992</v>
      </c>
      <c r="H5638" s="1323">
        <f t="shared" si="556"/>
        <v>2</v>
      </c>
      <c r="I5638" s="1323">
        <f t="shared" si="557"/>
        <v>28</v>
      </c>
      <c r="J5638" s="1323"/>
      <c r="K5638" s="1323"/>
      <c r="L5638" s="1323"/>
      <c r="M5638" s="1323"/>
      <c r="N5638" s="1323"/>
      <c r="O5638" s="1323"/>
      <c r="P5638" s="1323"/>
      <c r="Q5638" s="1323"/>
      <c r="R5638" s="1304"/>
      <c r="S5638" s="1304"/>
      <c r="T5638" s="1304"/>
    </row>
    <row r="5639" spans="1:20">
      <c r="A5639" s="1303"/>
      <c r="B5639" s="1322" t="s">
        <v>12558</v>
      </c>
      <c r="C5639" s="1323" t="s">
        <v>12559</v>
      </c>
      <c r="D5639" s="1324">
        <f t="shared" si="552"/>
        <v>33661</v>
      </c>
      <c r="E5639" s="1323">
        <f t="shared" si="554"/>
        <v>2.8656999999999999</v>
      </c>
      <c r="F5639" s="1323">
        <f t="shared" si="553"/>
        <v>3.3285857965705685</v>
      </c>
      <c r="G5639" s="1323">
        <f t="shared" si="555"/>
        <v>1992</v>
      </c>
      <c r="H5639" s="1323">
        <f t="shared" si="556"/>
        <v>2</v>
      </c>
      <c r="I5639" s="1323">
        <f t="shared" si="557"/>
        <v>27</v>
      </c>
      <c r="J5639" s="1323"/>
      <c r="K5639" s="1323"/>
      <c r="L5639" s="1323"/>
      <c r="M5639" s="1323"/>
      <c r="N5639" s="1323"/>
      <c r="O5639" s="1323"/>
      <c r="P5639" s="1323"/>
      <c r="Q5639" s="1323"/>
      <c r="R5639" s="1304"/>
      <c r="S5639" s="1304"/>
      <c r="T5639" s="1304"/>
    </row>
    <row r="5640" spans="1:20">
      <c r="A5640" s="1303"/>
      <c r="B5640" s="1322" t="s">
        <v>12560</v>
      </c>
      <c r="C5640" s="1323" t="s">
        <v>12561</v>
      </c>
      <c r="D5640" s="1324">
        <f t="shared" si="552"/>
        <v>33660</v>
      </c>
      <c r="E5640" s="1323">
        <f t="shared" si="554"/>
        <v>2.8759999999999999</v>
      </c>
      <c r="F5640" s="1323">
        <f t="shared" si="553"/>
        <v>3.3279475600522024</v>
      </c>
      <c r="G5640" s="1323">
        <f t="shared" si="555"/>
        <v>1992</v>
      </c>
      <c r="H5640" s="1323">
        <f t="shared" si="556"/>
        <v>2</v>
      </c>
      <c r="I5640" s="1323">
        <f t="shared" si="557"/>
        <v>26</v>
      </c>
      <c r="J5640" s="1323"/>
      <c r="K5640" s="1323"/>
      <c r="L5640" s="1323"/>
      <c r="M5640" s="1323"/>
      <c r="N5640" s="1323"/>
      <c r="O5640" s="1323"/>
      <c r="P5640" s="1323"/>
      <c r="Q5640" s="1323"/>
      <c r="R5640" s="1304"/>
      <c r="S5640" s="1304"/>
      <c r="T5640" s="1304"/>
    </row>
    <row r="5641" spans="1:20">
      <c r="A5641" s="1303"/>
      <c r="B5641" s="1322" t="s">
        <v>12562</v>
      </c>
      <c r="C5641" s="1323" t="s">
        <v>12563</v>
      </c>
      <c r="D5641" s="1324">
        <f t="shared" ref="D5641:D5704" si="558">DATE(G5641,H5641,I5641)</f>
        <v>33659</v>
      </c>
      <c r="E5641" s="1323">
        <f t="shared" si="554"/>
        <v>2.8567</v>
      </c>
      <c r="F5641" s="1323">
        <f t="shared" ref="F5641:F5704" si="559">F5642*(1+$F$7/365)</f>
        <v>3.3273094459118906</v>
      </c>
      <c r="G5641" s="1323">
        <f t="shared" si="555"/>
        <v>1992</v>
      </c>
      <c r="H5641" s="1323">
        <f t="shared" si="556"/>
        <v>2</v>
      </c>
      <c r="I5641" s="1323">
        <f t="shared" si="557"/>
        <v>25</v>
      </c>
      <c r="J5641" s="1323"/>
      <c r="K5641" s="1323"/>
      <c r="L5641" s="1323"/>
      <c r="M5641" s="1323"/>
      <c r="N5641" s="1323"/>
      <c r="O5641" s="1323"/>
      <c r="P5641" s="1323"/>
      <c r="Q5641" s="1323"/>
      <c r="R5641" s="1304"/>
      <c r="S5641" s="1304"/>
      <c r="T5641" s="1304"/>
    </row>
    <row r="5642" spans="1:20">
      <c r="A5642" s="1303"/>
      <c r="B5642" s="1322" t="s">
        <v>12564</v>
      </c>
      <c r="C5642" s="1323" t="s">
        <v>12565</v>
      </c>
      <c r="D5642" s="1324">
        <f t="shared" si="558"/>
        <v>33658</v>
      </c>
      <c r="E5642" s="1323">
        <f t="shared" si="554"/>
        <v>2.8685999999999998</v>
      </c>
      <c r="F5642" s="1323">
        <f t="shared" si="559"/>
        <v>3.3266714541261675</v>
      </c>
      <c r="G5642" s="1323">
        <f t="shared" si="555"/>
        <v>1992</v>
      </c>
      <c r="H5642" s="1323">
        <f t="shared" si="556"/>
        <v>2</v>
      </c>
      <c r="I5642" s="1323">
        <f t="shared" si="557"/>
        <v>24</v>
      </c>
      <c r="J5642" s="1323"/>
      <c r="K5642" s="1323"/>
      <c r="L5642" s="1323"/>
      <c r="M5642" s="1323"/>
      <c r="N5642" s="1323"/>
      <c r="O5642" s="1323"/>
      <c r="P5642" s="1323"/>
      <c r="Q5642" s="1323"/>
      <c r="R5642" s="1304"/>
      <c r="S5642" s="1304"/>
      <c r="T5642" s="1304"/>
    </row>
    <row r="5643" spans="1:20">
      <c r="A5643" s="1303"/>
      <c r="B5643" s="1322" t="s">
        <v>12566</v>
      </c>
      <c r="C5643" s="1323" t="s">
        <v>12295</v>
      </c>
      <c r="D5643" s="1324">
        <f t="shared" si="558"/>
        <v>33655</v>
      </c>
      <c r="E5643" s="1323">
        <f t="shared" si="554"/>
        <v>2.8401000000000001</v>
      </c>
      <c r="F5643" s="1323">
        <f t="shared" si="559"/>
        <v>3.3260335846715727</v>
      </c>
      <c r="G5643" s="1323">
        <f t="shared" si="555"/>
        <v>1992</v>
      </c>
      <c r="H5643" s="1323">
        <f t="shared" si="556"/>
        <v>2</v>
      </c>
      <c r="I5643" s="1323">
        <f t="shared" si="557"/>
        <v>21</v>
      </c>
      <c r="J5643" s="1323"/>
      <c r="K5643" s="1323"/>
      <c r="L5643" s="1323"/>
      <c r="M5643" s="1323"/>
      <c r="N5643" s="1323"/>
      <c r="O5643" s="1323"/>
      <c r="P5643" s="1323"/>
      <c r="Q5643" s="1323"/>
      <c r="R5643" s="1304"/>
      <c r="S5643" s="1304"/>
      <c r="T5643" s="1304"/>
    </row>
    <row r="5644" spans="1:20">
      <c r="A5644" s="1303"/>
      <c r="B5644" s="1322" t="s">
        <v>12567</v>
      </c>
      <c r="C5644" s="1323" t="s">
        <v>12313</v>
      </c>
      <c r="D5644" s="1324">
        <f t="shared" si="558"/>
        <v>33654</v>
      </c>
      <c r="E5644" s="1323">
        <f t="shared" si="554"/>
        <v>2.8450000000000002</v>
      </c>
      <c r="F5644" s="1323">
        <f t="shared" si="559"/>
        <v>3.32539583752465</v>
      </c>
      <c r="G5644" s="1323">
        <f t="shared" si="555"/>
        <v>1992</v>
      </c>
      <c r="H5644" s="1323">
        <f t="shared" si="556"/>
        <v>2</v>
      </c>
      <c r="I5644" s="1323">
        <f t="shared" si="557"/>
        <v>20</v>
      </c>
      <c r="J5644" s="1323"/>
      <c r="K5644" s="1323"/>
      <c r="L5644" s="1323"/>
      <c r="M5644" s="1323"/>
      <c r="N5644" s="1323"/>
      <c r="O5644" s="1323"/>
      <c r="P5644" s="1323"/>
      <c r="Q5644" s="1323"/>
      <c r="R5644" s="1304"/>
      <c r="S5644" s="1304"/>
      <c r="T5644" s="1304"/>
    </row>
    <row r="5645" spans="1:20">
      <c r="A5645" s="1303"/>
      <c r="B5645" s="1322" t="s">
        <v>12568</v>
      </c>
      <c r="C5645" s="1323" t="s">
        <v>12569</v>
      </c>
      <c r="D5645" s="1324">
        <f t="shared" si="558"/>
        <v>33653</v>
      </c>
      <c r="E5645" s="1323">
        <f t="shared" si="554"/>
        <v>2.8289</v>
      </c>
      <c r="F5645" s="1323">
        <f t="shared" si="559"/>
        <v>3.3247582126619477</v>
      </c>
      <c r="G5645" s="1323">
        <f t="shared" si="555"/>
        <v>1992</v>
      </c>
      <c r="H5645" s="1323">
        <f t="shared" si="556"/>
        <v>2</v>
      </c>
      <c r="I5645" s="1323">
        <f t="shared" si="557"/>
        <v>19</v>
      </c>
      <c r="J5645" s="1323"/>
      <c r="K5645" s="1323"/>
      <c r="L5645" s="1323"/>
      <c r="M5645" s="1323"/>
      <c r="N5645" s="1323"/>
      <c r="O5645" s="1323"/>
      <c r="P5645" s="1323"/>
      <c r="Q5645" s="1323"/>
      <c r="R5645" s="1304"/>
      <c r="S5645" s="1304"/>
      <c r="T5645" s="1304"/>
    </row>
    <row r="5646" spans="1:20">
      <c r="A5646" s="1303"/>
      <c r="B5646" s="1322" t="s">
        <v>12570</v>
      </c>
      <c r="C5646" s="1323" t="s">
        <v>12305</v>
      </c>
      <c r="D5646" s="1324">
        <f t="shared" si="558"/>
        <v>33652</v>
      </c>
      <c r="E5646" s="1323">
        <f t="shared" si="554"/>
        <v>2.8256999999999999</v>
      </c>
      <c r="F5646" s="1323">
        <f t="shared" si="559"/>
        <v>3.3241207100600181</v>
      </c>
      <c r="G5646" s="1323">
        <f t="shared" si="555"/>
        <v>1992</v>
      </c>
      <c r="H5646" s="1323">
        <f t="shared" si="556"/>
        <v>2</v>
      </c>
      <c r="I5646" s="1323">
        <f t="shared" si="557"/>
        <v>18</v>
      </c>
      <c r="J5646" s="1323"/>
      <c r="K5646" s="1323"/>
      <c r="L5646" s="1323"/>
      <c r="M5646" s="1323"/>
      <c r="N5646" s="1323"/>
      <c r="O5646" s="1323"/>
      <c r="P5646" s="1323"/>
      <c r="Q5646" s="1323"/>
      <c r="R5646" s="1304"/>
      <c r="S5646" s="1304"/>
      <c r="T5646" s="1304"/>
    </row>
    <row r="5647" spans="1:20">
      <c r="A5647" s="1303"/>
      <c r="B5647" s="1322" t="s">
        <v>12571</v>
      </c>
      <c r="C5647" s="1323" t="s">
        <v>12572</v>
      </c>
      <c r="D5647" s="1324">
        <f t="shared" si="558"/>
        <v>33651</v>
      </c>
      <c r="E5647" s="1323">
        <f t="shared" si="554"/>
        <v>2.8003</v>
      </c>
      <c r="F5647" s="1323">
        <f t="shared" si="559"/>
        <v>3.3234833296954189</v>
      </c>
      <c r="G5647" s="1323">
        <f t="shared" si="555"/>
        <v>1992</v>
      </c>
      <c r="H5647" s="1323">
        <f t="shared" si="556"/>
        <v>2</v>
      </c>
      <c r="I5647" s="1323">
        <f t="shared" si="557"/>
        <v>17</v>
      </c>
      <c r="J5647" s="1323"/>
      <c r="K5647" s="1323"/>
      <c r="L5647" s="1323"/>
      <c r="M5647" s="1323"/>
      <c r="N5647" s="1323"/>
      <c r="O5647" s="1323"/>
      <c r="P5647" s="1323"/>
      <c r="Q5647" s="1323"/>
      <c r="R5647" s="1304"/>
      <c r="S5647" s="1304"/>
      <c r="T5647" s="1304"/>
    </row>
    <row r="5648" spans="1:20">
      <c r="A5648" s="1303"/>
      <c r="B5648" s="1322" t="s">
        <v>12573</v>
      </c>
      <c r="C5648" s="1323" t="s">
        <v>12574</v>
      </c>
      <c r="D5648" s="1324">
        <f t="shared" si="558"/>
        <v>33648</v>
      </c>
      <c r="E5648" s="1323">
        <f t="shared" si="554"/>
        <v>2.8153000000000001</v>
      </c>
      <c r="F5648" s="1323">
        <f t="shared" si="559"/>
        <v>3.3228460715447117</v>
      </c>
      <c r="G5648" s="1323">
        <f t="shared" si="555"/>
        <v>1992</v>
      </c>
      <c r="H5648" s="1323">
        <f t="shared" si="556"/>
        <v>2</v>
      </c>
      <c r="I5648" s="1323">
        <f t="shared" si="557"/>
        <v>14</v>
      </c>
      <c r="J5648" s="1323"/>
      <c r="K5648" s="1323"/>
      <c r="L5648" s="1323"/>
      <c r="M5648" s="1323"/>
      <c r="N5648" s="1323"/>
      <c r="O5648" s="1323"/>
      <c r="P5648" s="1323"/>
      <c r="Q5648" s="1323"/>
      <c r="R5648" s="1304"/>
      <c r="S5648" s="1304"/>
      <c r="T5648" s="1304"/>
    </row>
    <row r="5649" spans="1:20">
      <c r="A5649" s="1303"/>
      <c r="B5649" s="1322" t="s">
        <v>12575</v>
      </c>
      <c r="C5649" s="1323" t="s">
        <v>12303</v>
      </c>
      <c r="D5649" s="1324">
        <f t="shared" si="558"/>
        <v>33647</v>
      </c>
      <c r="E5649" s="1323">
        <f t="shared" si="554"/>
        <v>2.8035000000000001</v>
      </c>
      <c r="F5649" s="1323">
        <f t="shared" si="559"/>
        <v>3.3222089355844626</v>
      </c>
      <c r="G5649" s="1323">
        <f t="shared" si="555"/>
        <v>1992</v>
      </c>
      <c r="H5649" s="1323">
        <f t="shared" si="556"/>
        <v>2</v>
      </c>
      <c r="I5649" s="1323">
        <f t="shared" si="557"/>
        <v>13</v>
      </c>
      <c r="J5649" s="1323"/>
      <c r="K5649" s="1323"/>
      <c r="L5649" s="1323"/>
      <c r="M5649" s="1323"/>
      <c r="N5649" s="1323"/>
      <c r="O5649" s="1323"/>
      <c r="P5649" s="1323"/>
      <c r="Q5649" s="1323"/>
      <c r="R5649" s="1304"/>
      <c r="S5649" s="1304"/>
      <c r="T5649" s="1304"/>
    </row>
    <row r="5650" spans="1:20">
      <c r="A5650" s="1303"/>
      <c r="B5650" s="1322" t="s">
        <v>12576</v>
      </c>
      <c r="C5650" s="1323" t="s">
        <v>12441</v>
      </c>
      <c r="D5650" s="1324">
        <f t="shared" si="558"/>
        <v>33646</v>
      </c>
      <c r="E5650" s="1323">
        <f t="shared" si="554"/>
        <v>2.7877999999999998</v>
      </c>
      <c r="F5650" s="1323">
        <f t="shared" si="559"/>
        <v>3.3215719217912421</v>
      </c>
      <c r="G5650" s="1323">
        <f t="shared" si="555"/>
        <v>1992</v>
      </c>
      <c r="H5650" s="1323">
        <f t="shared" si="556"/>
        <v>2</v>
      </c>
      <c r="I5650" s="1323">
        <f t="shared" si="557"/>
        <v>12</v>
      </c>
      <c r="J5650" s="1323"/>
      <c r="K5650" s="1323"/>
      <c r="L5650" s="1323"/>
      <c r="M5650" s="1323"/>
      <c r="N5650" s="1323"/>
      <c r="O5650" s="1323"/>
      <c r="P5650" s="1323"/>
      <c r="Q5650" s="1323"/>
      <c r="R5650" s="1304"/>
      <c r="S5650" s="1304"/>
      <c r="T5650" s="1304"/>
    </row>
    <row r="5651" spans="1:20">
      <c r="A5651" s="1303"/>
      <c r="B5651" s="1322" t="s">
        <v>12577</v>
      </c>
      <c r="C5651" s="1323" t="s">
        <v>12578</v>
      </c>
      <c r="D5651" s="1324">
        <f t="shared" si="558"/>
        <v>33645</v>
      </c>
      <c r="E5651" s="1323">
        <f t="shared" si="554"/>
        <v>2.7778</v>
      </c>
      <c r="F5651" s="1323">
        <f t="shared" si="559"/>
        <v>3.3209350301416256</v>
      </c>
      <c r="G5651" s="1323">
        <f t="shared" si="555"/>
        <v>1992</v>
      </c>
      <c r="H5651" s="1323">
        <f t="shared" si="556"/>
        <v>2</v>
      </c>
      <c r="I5651" s="1323">
        <f t="shared" si="557"/>
        <v>11</v>
      </c>
      <c r="J5651" s="1323"/>
      <c r="K5651" s="1323"/>
      <c r="L5651" s="1323"/>
      <c r="M5651" s="1323"/>
      <c r="N5651" s="1323"/>
      <c r="O5651" s="1323"/>
      <c r="P5651" s="1323"/>
      <c r="Q5651" s="1323"/>
      <c r="R5651" s="1304"/>
      <c r="S5651" s="1304"/>
      <c r="T5651" s="1304"/>
    </row>
    <row r="5652" spans="1:20">
      <c r="A5652" s="1303"/>
      <c r="B5652" s="1322" t="s">
        <v>12579</v>
      </c>
      <c r="C5652" s="1323" t="s">
        <v>12580</v>
      </c>
      <c r="D5652" s="1324">
        <f t="shared" si="558"/>
        <v>33644</v>
      </c>
      <c r="E5652" s="1323">
        <f t="shared" si="554"/>
        <v>2.7646999999999999</v>
      </c>
      <c r="F5652" s="1323">
        <f t="shared" si="559"/>
        <v>3.3202982606121929</v>
      </c>
      <c r="G5652" s="1323">
        <f t="shared" si="555"/>
        <v>1992</v>
      </c>
      <c r="H5652" s="1323">
        <f t="shared" si="556"/>
        <v>2</v>
      </c>
      <c r="I5652" s="1323">
        <f t="shared" si="557"/>
        <v>10</v>
      </c>
      <c r="J5652" s="1323"/>
      <c r="K5652" s="1323"/>
      <c r="L5652" s="1323"/>
      <c r="M5652" s="1323"/>
      <c r="N5652" s="1323"/>
      <c r="O5652" s="1323"/>
      <c r="P5652" s="1323"/>
      <c r="Q5652" s="1323"/>
      <c r="R5652" s="1304"/>
      <c r="S5652" s="1304"/>
      <c r="T5652" s="1304"/>
    </row>
    <row r="5653" spans="1:20">
      <c r="A5653" s="1303"/>
      <c r="B5653" s="1322" t="s">
        <v>12581</v>
      </c>
      <c r="C5653" s="1323" t="s">
        <v>12344</v>
      </c>
      <c r="D5653" s="1324">
        <f t="shared" si="558"/>
        <v>33641</v>
      </c>
      <c r="E5653" s="1323">
        <f t="shared" si="554"/>
        <v>2.7778</v>
      </c>
      <c r="F5653" s="1323">
        <f t="shared" si="559"/>
        <v>3.319661613179528</v>
      </c>
      <c r="G5653" s="1323">
        <f t="shared" si="555"/>
        <v>1992</v>
      </c>
      <c r="H5653" s="1323">
        <f t="shared" si="556"/>
        <v>2</v>
      </c>
      <c r="I5653" s="1323">
        <f t="shared" si="557"/>
        <v>7</v>
      </c>
      <c r="J5653" s="1323"/>
      <c r="K5653" s="1323"/>
      <c r="L5653" s="1323"/>
      <c r="M5653" s="1323"/>
      <c r="N5653" s="1323"/>
      <c r="O5653" s="1323"/>
      <c r="P5653" s="1323"/>
      <c r="Q5653" s="1323"/>
      <c r="R5653" s="1304"/>
      <c r="S5653" s="1304"/>
      <c r="T5653" s="1304"/>
    </row>
    <row r="5654" spans="1:20">
      <c r="A5654" s="1303"/>
      <c r="B5654" s="1322" t="s">
        <v>12582</v>
      </c>
      <c r="C5654" s="1323" t="s">
        <v>12580</v>
      </c>
      <c r="D5654" s="1324">
        <f t="shared" si="558"/>
        <v>33640</v>
      </c>
      <c r="E5654" s="1323">
        <f t="shared" ref="E5654:E5717" si="560">VALUE(C5655)</f>
        <v>2.7715999999999998</v>
      </c>
      <c r="F5654" s="1323">
        <f t="shared" si="559"/>
        <v>3.3190250878202199</v>
      </c>
      <c r="G5654" s="1323">
        <f t="shared" ref="G5654:G5717" si="561">YEAR(B5655)</f>
        <v>1992</v>
      </c>
      <c r="H5654" s="1323">
        <f t="shared" ref="H5654:H5717" si="562">MONTH(B5655)</f>
        <v>2</v>
      </c>
      <c r="I5654" s="1323">
        <f t="shared" ref="I5654:I5717" si="563">DAY(B5655)</f>
        <v>6</v>
      </c>
      <c r="J5654" s="1323"/>
      <c r="K5654" s="1323"/>
      <c r="L5654" s="1323"/>
      <c r="M5654" s="1323"/>
      <c r="N5654" s="1323"/>
      <c r="O5654" s="1323"/>
      <c r="P5654" s="1323"/>
      <c r="Q5654" s="1323"/>
      <c r="R5654" s="1304"/>
      <c r="S5654" s="1304"/>
      <c r="T5654" s="1304"/>
    </row>
    <row r="5655" spans="1:20">
      <c r="A5655" s="1303"/>
      <c r="B5655" s="1322" t="s">
        <v>12583</v>
      </c>
      <c r="C5655" s="1323" t="s">
        <v>12377</v>
      </c>
      <c r="D5655" s="1324">
        <f t="shared" si="558"/>
        <v>33639</v>
      </c>
      <c r="E5655" s="1323">
        <f t="shared" si="560"/>
        <v>2.7793000000000001</v>
      </c>
      <c r="F5655" s="1323">
        <f t="shared" si="559"/>
        <v>3.3183886845108614</v>
      </c>
      <c r="G5655" s="1323">
        <f t="shared" si="561"/>
        <v>1992</v>
      </c>
      <c r="H5655" s="1323">
        <f t="shared" si="562"/>
        <v>2</v>
      </c>
      <c r="I5655" s="1323">
        <f t="shared" si="563"/>
        <v>5</v>
      </c>
      <c r="J5655" s="1323"/>
      <c r="K5655" s="1323"/>
      <c r="L5655" s="1323"/>
      <c r="M5655" s="1323"/>
      <c r="N5655" s="1323"/>
      <c r="O5655" s="1323"/>
      <c r="P5655" s="1323"/>
      <c r="Q5655" s="1323"/>
      <c r="R5655" s="1304"/>
      <c r="S5655" s="1304"/>
      <c r="T5655" s="1304"/>
    </row>
    <row r="5656" spans="1:20">
      <c r="A5656" s="1303"/>
      <c r="B5656" s="1322" t="s">
        <v>12584</v>
      </c>
      <c r="C5656" s="1323" t="s">
        <v>12585</v>
      </c>
      <c r="D5656" s="1324">
        <f t="shared" si="558"/>
        <v>33638</v>
      </c>
      <c r="E5656" s="1323">
        <f t="shared" si="560"/>
        <v>2.7877999999999998</v>
      </c>
      <c r="F5656" s="1323">
        <f t="shared" si="559"/>
        <v>3.3177524032280505</v>
      </c>
      <c r="G5656" s="1323">
        <f t="shared" si="561"/>
        <v>1992</v>
      </c>
      <c r="H5656" s="1323">
        <f t="shared" si="562"/>
        <v>2</v>
      </c>
      <c r="I5656" s="1323">
        <f t="shared" si="563"/>
        <v>4</v>
      </c>
      <c r="J5656" s="1323"/>
      <c r="K5656" s="1323"/>
      <c r="L5656" s="1323"/>
      <c r="M5656" s="1323"/>
      <c r="N5656" s="1323"/>
      <c r="O5656" s="1323"/>
      <c r="P5656" s="1323"/>
      <c r="Q5656" s="1323"/>
      <c r="R5656" s="1304"/>
      <c r="S5656" s="1304"/>
      <c r="T5656" s="1304"/>
    </row>
    <row r="5657" spans="1:20">
      <c r="A5657" s="1303"/>
      <c r="B5657" s="1322" t="s">
        <v>12586</v>
      </c>
      <c r="C5657" s="1323" t="s">
        <v>12578</v>
      </c>
      <c r="D5657" s="1324">
        <f t="shared" si="558"/>
        <v>33637</v>
      </c>
      <c r="E5657" s="1323">
        <f t="shared" si="560"/>
        <v>2.7951999999999999</v>
      </c>
      <c r="F5657" s="1323">
        <f t="shared" si="559"/>
        <v>3.317116243948389</v>
      </c>
      <c r="G5657" s="1323">
        <f t="shared" si="561"/>
        <v>1992</v>
      </c>
      <c r="H5657" s="1323">
        <f t="shared" si="562"/>
        <v>2</v>
      </c>
      <c r="I5657" s="1323">
        <f t="shared" si="563"/>
        <v>3</v>
      </c>
      <c r="J5657" s="1323"/>
      <c r="K5657" s="1323"/>
      <c r="L5657" s="1323"/>
      <c r="M5657" s="1323"/>
      <c r="N5657" s="1323"/>
      <c r="O5657" s="1323"/>
      <c r="P5657" s="1323"/>
      <c r="Q5657" s="1323"/>
      <c r="R5657" s="1304"/>
      <c r="S5657" s="1304"/>
      <c r="T5657" s="1304"/>
    </row>
    <row r="5658" spans="1:20">
      <c r="A5658" s="1303"/>
      <c r="B5658" s="1322" t="s">
        <v>12587</v>
      </c>
      <c r="C5658" s="1323" t="s">
        <v>12588</v>
      </c>
      <c r="D5658" s="1324">
        <f t="shared" si="558"/>
        <v>33634</v>
      </c>
      <c r="E5658" s="1323">
        <f t="shared" si="560"/>
        <v>2.8106</v>
      </c>
      <c r="F5658" s="1323">
        <f t="shared" si="559"/>
        <v>3.3164802066484835</v>
      </c>
      <c r="G5658" s="1323">
        <f t="shared" si="561"/>
        <v>1992</v>
      </c>
      <c r="H5658" s="1323">
        <f t="shared" si="562"/>
        <v>1</v>
      </c>
      <c r="I5658" s="1323">
        <f t="shared" si="563"/>
        <v>31</v>
      </c>
      <c r="J5658" s="1323"/>
      <c r="K5658" s="1323"/>
      <c r="L5658" s="1323"/>
      <c r="M5658" s="1323"/>
      <c r="N5658" s="1323"/>
      <c r="O5658" s="1323"/>
      <c r="P5658" s="1323"/>
      <c r="Q5658" s="1323"/>
      <c r="R5658" s="1304"/>
      <c r="S5658" s="1304"/>
      <c r="T5658" s="1304"/>
    </row>
    <row r="5659" spans="1:20">
      <c r="A5659" s="1303"/>
      <c r="B5659" s="1322" t="s">
        <v>12589</v>
      </c>
      <c r="C5659" s="1323" t="s">
        <v>12309</v>
      </c>
      <c r="D5659" s="1324">
        <f t="shared" si="558"/>
        <v>33633</v>
      </c>
      <c r="E5659" s="1323">
        <f t="shared" si="560"/>
        <v>2.8018999999999998</v>
      </c>
      <c r="F5659" s="1323">
        <f t="shared" si="559"/>
        <v>3.3158442913049453</v>
      </c>
      <c r="G5659" s="1323">
        <f t="shared" si="561"/>
        <v>1992</v>
      </c>
      <c r="H5659" s="1323">
        <f t="shared" si="562"/>
        <v>1</v>
      </c>
      <c r="I5659" s="1323">
        <f t="shared" si="563"/>
        <v>30</v>
      </c>
      <c r="J5659" s="1323"/>
      <c r="K5659" s="1323"/>
      <c r="L5659" s="1323"/>
      <c r="M5659" s="1323"/>
      <c r="N5659" s="1323"/>
      <c r="O5659" s="1323"/>
      <c r="P5659" s="1323"/>
      <c r="Q5659" s="1323"/>
      <c r="R5659" s="1304"/>
      <c r="S5659" s="1304"/>
      <c r="T5659" s="1304"/>
    </row>
    <row r="5660" spans="1:20">
      <c r="A5660" s="1303"/>
      <c r="B5660" s="1322" t="s">
        <v>12590</v>
      </c>
      <c r="C5660" s="1323" t="s">
        <v>12591</v>
      </c>
      <c r="D5660" s="1324">
        <f t="shared" si="558"/>
        <v>33632</v>
      </c>
      <c r="E5660" s="1323">
        <f t="shared" si="560"/>
        <v>2.7824</v>
      </c>
      <c r="F5660" s="1323">
        <f t="shared" si="559"/>
        <v>3.3152084978943899</v>
      </c>
      <c r="G5660" s="1323">
        <f t="shared" si="561"/>
        <v>1992</v>
      </c>
      <c r="H5660" s="1323">
        <f t="shared" si="562"/>
        <v>1</v>
      </c>
      <c r="I5660" s="1323">
        <f t="shared" si="563"/>
        <v>29</v>
      </c>
      <c r="J5660" s="1323"/>
      <c r="K5660" s="1323"/>
      <c r="L5660" s="1323"/>
      <c r="M5660" s="1323"/>
      <c r="N5660" s="1323"/>
      <c r="O5660" s="1323"/>
      <c r="P5660" s="1323"/>
      <c r="Q5660" s="1323"/>
      <c r="R5660" s="1304"/>
      <c r="S5660" s="1304"/>
      <c r="T5660" s="1304"/>
    </row>
    <row r="5661" spans="1:20">
      <c r="A5661" s="1303"/>
      <c r="B5661" s="1322" t="s">
        <v>12592</v>
      </c>
      <c r="C5661" s="1323" t="s">
        <v>12593</v>
      </c>
      <c r="D5661" s="1324">
        <f t="shared" si="558"/>
        <v>33631</v>
      </c>
      <c r="E5661" s="1323">
        <f t="shared" si="560"/>
        <v>2.8003</v>
      </c>
      <c r="F5661" s="1323">
        <f t="shared" si="559"/>
        <v>3.3145728263934378</v>
      </c>
      <c r="G5661" s="1323">
        <f t="shared" si="561"/>
        <v>1992</v>
      </c>
      <c r="H5661" s="1323">
        <f t="shared" si="562"/>
        <v>1</v>
      </c>
      <c r="I5661" s="1323">
        <f t="shared" si="563"/>
        <v>28</v>
      </c>
      <c r="J5661" s="1323"/>
      <c r="K5661" s="1323"/>
      <c r="L5661" s="1323"/>
      <c r="M5661" s="1323"/>
      <c r="N5661" s="1323"/>
      <c r="O5661" s="1323"/>
      <c r="P5661" s="1323"/>
      <c r="Q5661" s="1323"/>
      <c r="R5661" s="1304"/>
      <c r="S5661" s="1304"/>
      <c r="T5661" s="1304"/>
    </row>
    <row r="5662" spans="1:20">
      <c r="A5662" s="1303"/>
      <c r="B5662" s="1322" t="s">
        <v>12594</v>
      </c>
      <c r="C5662" s="1323" t="s">
        <v>12574</v>
      </c>
      <c r="D5662" s="1324">
        <f t="shared" si="558"/>
        <v>33630</v>
      </c>
      <c r="E5662" s="1323">
        <f t="shared" si="560"/>
        <v>2.8062</v>
      </c>
      <c r="F5662" s="1323">
        <f t="shared" si="559"/>
        <v>3.313937276778713</v>
      </c>
      <c r="G5662" s="1323">
        <f t="shared" si="561"/>
        <v>1992</v>
      </c>
      <c r="H5662" s="1323">
        <f t="shared" si="562"/>
        <v>1</v>
      </c>
      <c r="I5662" s="1323">
        <f t="shared" si="563"/>
        <v>27</v>
      </c>
      <c r="J5662" s="1323"/>
      <c r="K5662" s="1323"/>
      <c r="L5662" s="1323"/>
      <c r="M5662" s="1323"/>
      <c r="N5662" s="1323"/>
      <c r="O5662" s="1323"/>
      <c r="P5662" s="1323"/>
      <c r="Q5662" s="1323"/>
      <c r="R5662" s="1304"/>
      <c r="S5662" s="1304"/>
      <c r="T5662" s="1304"/>
    </row>
    <row r="5663" spans="1:20">
      <c r="A5663" s="1303"/>
      <c r="B5663" s="1322" t="s">
        <v>12595</v>
      </c>
      <c r="C5663" s="1323" t="s">
        <v>12596</v>
      </c>
      <c r="D5663" s="1324">
        <f t="shared" si="558"/>
        <v>33627</v>
      </c>
      <c r="E5663" s="1323">
        <f t="shared" si="560"/>
        <v>2.8098000000000001</v>
      </c>
      <c r="F5663" s="1323">
        <f t="shared" si="559"/>
        <v>3.3133018490268449</v>
      </c>
      <c r="G5663" s="1323">
        <f t="shared" si="561"/>
        <v>1992</v>
      </c>
      <c r="H5663" s="1323">
        <f t="shared" si="562"/>
        <v>1</v>
      </c>
      <c r="I5663" s="1323">
        <f t="shared" si="563"/>
        <v>24</v>
      </c>
      <c r="J5663" s="1323"/>
      <c r="K5663" s="1323"/>
      <c r="L5663" s="1323"/>
      <c r="M5663" s="1323"/>
      <c r="N5663" s="1323"/>
      <c r="O5663" s="1323"/>
      <c r="P5663" s="1323"/>
      <c r="Q5663" s="1323"/>
      <c r="R5663" s="1304"/>
      <c r="S5663" s="1304"/>
      <c r="T5663" s="1304"/>
    </row>
    <row r="5664" spans="1:20">
      <c r="A5664" s="1303"/>
      <c r="B5664" s="1322" t="s">
        <v>12597</v>
      </c>
      <c r="C5664" s="1323" t="s">
        <v>12598</v>
      </c>
      <c r="D5664" s="1324">
        <f t="shared" si="558"/>
        <v>33626</v>
      </c>
      <c r="E5664" s="1323">
        <f t="shared" si="560"/>
        <v>2.7839999999999998</v>
      </c>
      <c r="F5664" s="1323">
        <f t="shared" si="559"/>
        <v>3.3126665431144668</v>
      </c>
      <c r="G5664" s="1323">
        <f t="shared" si="561"/>
        <v>1992</v>
      </c>
      <c r="H5664" s="1323">
        <f t="shared" si="562"/>
        <v>1</v>
      </c>
      <c r="I5664" s="1323">
        <f t="shared" si="563"/>
        <v>23</v>
      </c>
      <c r="J5664" s="1323"/>
      <c r="K5664" s="1323"/>
      <c r="L5664" s="1323"/>
      <c r="M5664" s="1323"/>
      <c r="N5664" s="1323"/>
      <c r="O5664" s="1323"/>
      <c r="P5664" s="1323"/>
      <c r="Q5664" s="1323"/>
      <c r="R5664" s="1304"/>
      <c r="S5664" s="1304"/>
      <c r="T5664" s="1304"/>
    </row>
    <row r="5665" spans="1:20">
      <c r="A5665" s="1303"/>
      <c r="B5665" s="1322" t="s">
        <v>12599</v>
      </c>
      <c r="C5665" s="1323" t="s">
        <v>12600</v>
      </c>
      <c r="D5665" s="1324">
        <f t="shared" si="558"/>
        <v>33625</v>
      </c>
      <c r="E5665" s="1323">
        <f t="shared" si="560"/>
        <v>2.7785000000000002</v>
      </c>
      <c r="F5665" s="1323">
        <f t="shared" si="559"/>
        <v>3.3120313590182167</v>
      </c>
      <c r="G5665" s="1323">
        <f t="shared" si="561"/>
        <v>1992</v>
      </c>
      <c r="H5665" s="1323">
        <f t="shared" si="562"/>
        <v>1</v>
      </c>
      <c r="I5665" s="1323">
        <f t="shared" si="563"/>
        <v>22</v>
      </c>
      <c r="J5665" s="1323"/>
      <c r="K5665" s="1323"/>
      <c r="L5665" s="1323"/>
      <c r="M5665" s="1323"/>
      <c r="N5665" s="1323"/>
      <c r="O5665" s="1323"/>
      <c r="P5665" s="1323"/>
      <c r="Q5665" s="1323"/>
      <c r="R5665" s="1304"/>
      <c r="S5665" s="1304"/>
      <c r="T5665" s="1304"/>
    </row>
    <row r="5666" spans="1:20">
      <c r="A5666" s="1303"/>
      <c r="B5666" s="1322" t="s">
        <v>12601</v>
      </c>
      <c r="C5666" s="1323" t="s">
        <v>12371</v>
      </c>
      <c r="D5666" s="1324">
        <f t="shared" si="558"/>
        <v>33624</v>
      </c>
      <c r="E5666" s="1323">
        <f t="shared" si="560"/>
        <v>2.7755000000000001</v>
      </c>
      <c r="F5666" s="1323">
        <f t="shared" si="559"/>
        <v>3.311396296714737</v>
      </c>
      <c r="G5666" s="1323">
        <f t="shared" si="561"/>
        <v>1992</v>
      </c>
      <c r="H5666" s="1323">
        <f t="shared" si="562"/>
        <v>1</v>
      </c>
      <c r="I5666" s="1323">
        <f t="shared" si="563"/>
        <v>21</v>
      </c>
      <c r="J5666" s="1323"/>
      <c r="K5666" s="1323"/>
      <c r="L5666" s="1323"/>
      <c r="M5666" s="1323"/>
      <c r="N5666" s="1323"/>
      <c r="O5666" s="1323"/>
      <c r="P5666" s="1323"/>
      <c r="Q5666" s="1323"/>
      <c r="R5666" s="1304"/>
      <c r="S5666" s="1304"/>
      <c r="T5666" s="1304"/>
    </row>
    <row r="5667" spans="1:20">
      <c r="A5667" s="1303"/>
      <c r="B5667" s="1322" t="s">
        <v>12602</v>
      </c>
      <c r="C5667" s="1323" t="s">
        <v>12603</v>
      </c>
      <c r="D5667" s="1324">
        <f t="shared" si="558"/>
        <v>33623</v>
      </c>
      <c r="E5667" s="1323">
        <f t="shared" si="560"/>
        <v>2.7700999999999998</v>
      </c>
      <c r="F5667" s="1323">
        <f t="shared" si="559"/>
        <v>3.310761356180675</v>
      </c>
      <c r="G5667" s="1323">
        <f t="shared" si="561"/>
        <v>1992</v>
      </c>
      <c r="H5667" s="1323">
        <f t="shared" si="562"/>
        <v>1</v>
      </c>
      <c r="I5667" s="1323">
        <f t="shared" si="563"/>
        <v>20</v>
      </c>
      <c r="J5667" s="1323"/>
      <c r="K5667" s="1323"/>
      <c r="L5667" s="1323"/>
      <c r="M5667" s="1323"/>
      <c r="N5667" s="1323"/>
      <c r="O5667" s="1323"/>
      <c r="P5667" s="1323"/>
      <c r="Q5667" s="1323"/>
      <c r="R5667" s="1304"/>
      <c r="S5667" s="1304"/>
      <c r="T5667" s="1304"/>
    </row>
    <row r="5668" spans="1:20">
      <c r="A5668" s="1303"/>
      <c r="B5668" s="1322" t="s">
        <v>12604</v>
      </c>
      <c r="C5668" s="1323" t="s">
        <v>12375</v>
      </c>
      <c r="D5668" s="1324">
        <f t="shared" si="558"/>
        <v>33620</v>
      </c>
      <c r="E5668" s="1323">
        <f t="shared" si="560"/>
        <v>2.8176999999999999</v>
      </c>
      <c r="F5668" s="1323">
        <f t="shared" si="559"/>
        <v>3.3101265373926818</v>
      </c>
      <c r="G5668" s="1323">
        <f t="shared" si="561"/>
        <v>1992</v>
      </c>
      <c r="H5668" s="1323">
        <f t="shared" si="562"/>
        <v>1</v>
      </c>
      <c r="I5668" s="1323">
        <f t="shared" si="563"/>
        <v>17</v>
      </c>
      <c r="J5668" s="1323"/>
      <c r="K5668" s="1323"/>
      <c r="L5668" s="1323"/>
      <c r="M5668" s="1323"/>
      <c r="N5668" s="1323"/>
      <c r="O5668" s="1323"/>
      <c r="P5668" s="1323"/>
      <c r="Q5668" s="1323"/>
      <c r="R5668" s="1304"/>
      <c r="S5668" s="1304"/>
      <c r="T5668" s="1304"/>
    </row>
    <row r="5669" spans="1:20">
      <c r="A5669" s="1303"/>
      <c r="B5669" s="1322" t="s">
        <v>12605</v>
      </c>
      <c r="C5669" s="1323" t="s">
        <v>12606</v>
      </c>
      <c r="D5669" s="1324">
        <f t="shared" si="558"/>
        <v>33619</v>
      </c>
      <c r="E5669" s="1323">
        <f t="shared" si="560"/>
        <v>2.8121</v>
      </c>
      <c r="F5669" s="1323">
        <f t="shared" si="559"/>
        <v>3.3094918403274134</v>
      </c>
      <c r="G5669" s="1323">
        <f t="shared" si="561"/>
        <v>1992</v>
      </c>
      <c r="H5669" s="1323">
        <f t="shared" si="562"/>
        <v>1</v>
      </c>
      <c r="I5669" s="1323">
        <f t="shared" si="563"/>
        <v>16</v>
      </c>
      <c r="J5669" s="1323"/>
      <c r="K5669" s="1323"/>
      <c r="L5669" s="1323"/>
      <c r="M5669" s="1323"/>
      <c r="N5669" s="1323"/>
      <c r="O5669" s="1323"/>
      <c r="P5669" s="1323"/>
      <c r="Q5669" s="1323"/>
      <c r="R5669" s="1304"/>
      <c r="S5669" s="1304"/>
      <c r="T5669" s="1304"/>
    </row>
    <row r="5670" spans="1:20">
      <c r="A5670" s="1303"/>
      <c r="B5670" s="1322" t="s">
        <v>12607</v>
      </c>
      <c r="C5670" s="1323" t="s">
        <v>12608</v>
      </c>
      <c r="D5670" s="1324">
        <f t="shared" si="558"/>
        <v>33618</v>
      </c>
      <c r="E5670" s="1323">
        <f t="shared" si="560"/>
        <v>2.8058000000000001</v>
      </c>
      <c r="F5670" s="1323">
        <f t="shared" si="559"/>
        <v>3.3088572649615302</v>
      </c>
      <c r="G5670" s="1323">
        <f t="shared" si="561"/>
        <v>1992</v>
      </c>
      <c r="H5670" s="1323">
        <f t="shared" si="562"/>
        <v>1</v>
      </c>
      <c r="I5670" s="1323">
        <f t="shared" si="563"/>
        <v>15</v>
      </c>
      <c r="J5670" s="1323"/>
      <c r="K5670" s="1323"/>
      <c r="L5670" s="1323"/>
      <c r="M5670" s="1323"/>
      <c r="N5670" s="1323"/>
      <c r="O5670" s="1323"/>
      <c r="P5670" s="1323"/>
      <c r="Q5670" s="1323"/>
      <c r="R5670" s="1304"/>
      <c r="S5670" s="1304"/>
      <c r="T5670" s="1304"/>
    </row>
    <row r="5671" spans="1:20">
      <c r="A5671" s="1303"/>
      <c r="B5671" s="1322" t="s">
        <v>12609</v>
      </c>
      <c r="C5671" s="1323" t="s">
        <v>12610</v>
      </c>
      <c r="D5671" s="1324">
        <f t="shared" si="558"/>
        <v>33617</v>
      </c>
      <c r="E5671" s="1323">
        <f t="shared" si="560"/>
        <v>2.7816000000000001</v>
      </c>
      <c r="F5671" s="1323">
        <f t="shared" si="559"/>
        <v>3.3082228112716972</v>
      </c>
      <c r="G5671" s="1323">
        <f t="shared" si="561"/>
        <v>1992</v>
      </c>
      <c r="H5671" s="1323">
        <f t="shared" si="562"/>
        <v>1</v>
      </c>
      <c r="I5671" s="1323">
        <f t="shared" si="563"/>
        <v>14</v>
      </c>
      <c r="J5671" s="1323"/>
      <c r="K5671" s="1323"/>
      <c r="L5671" s="1323"/>
      <c r="M5671" s="1323"/>
      <c r="N5671" s="1323"/>
      <c r="O5671" s="1323"/>
      <c r="P5671" s="1323"/>
      <c r="Q5671" s="1323"/>
      <c r="R5671" s="1304"/>
      <c r="S5671" s="1304"/>
      <c r="T5671" s="1304"/>
    </row>
    <row r="5672" spans="1:20">
      <c r="A5672" s="1303"/>
      <c r="B5672" s="1322" t="s">
        <v>12611</v>
      </c>
      <c r="C5672" s="1323" t="s">
        <v>12612</v>
      </c>
      <c r="D5672" s="1324">
        <f t="shared" si="558"/>
        <v>33616</v>
      </c>
      <c r="E5672" s="1323">
        <f t="shared" si="560"/>
        <v>2.7854999999999999</v>
      </c>
      <c r="F5672" s="1323">
        <f t="shared" si="559"/>
        <v>3.3075884792345835</v>
      </c>
      <c r="G5672" s="1323">
        <f t="shared" si="561"/>
        <v>1992</v>
      </c>
      <c r="H5672" s="1323">
        <f t="shared" si="562"/>
        <v>1</v>
      </c>
      <c r="I5672" s="1323">
        <f t="shared" si="563"/>
        <v>13</v>
      </c>
      <c r="J5672" s="1323"/>
      <c r="K5672" s="1323"/>
      <c r="L5672" s="1323"/>
      <c r="M5672" s="1323"/>
      <c r="N5672" s="1323"/>
      <c r="O5672" s="1323"/>
      <c r="P5672" s="1323"/>
      <c r="Q5672" s="1323"/>
      <c r="R5672" s="1304"/>
      <c r="S5672" s="1304"/>
      <c r="T5672" s="1304"/>
    </row>
    <row r="5673" spans="1:20">
      <c r="A5673" s="1303"/>
      <c r="B5673" s="1322" t="s">
        <v>12613</v>
      </c>
      <c r="C5673" s="1323" t="s">
        <v>12614</v>
      </c>
      <c r="D5673" s="1324">
        <f t="shared" si="558"/>
        <v>33613</v>
      </c>
      <c r="E5673" s="1323">
        <f t="shared" si="560"/>
        <v>2.7778</v>
      </c>
      <c r="F5673" s="1323">
        <f t="shared" si="559"/>
        <v>3.3069542688268632</v>
      </c>
      <c r="G5673" s="1323">
        <f t="shared" si="561"/>
        <v>1992</v>
      </c>
      <c r="H5673" s="1323">
        <f t="shared" si="562"/>
        <v>1</v>
      </c>
      <c r="I5673" s="1323">
        <f t="shared" si="563"/>
        <v>10</v>
      </c>
      <c r="J5673" s="1323"/>
      <c r="K5673" s="1323"/>
      <c r="L5673" s="1323"/>
      <c r="M5673" s="1323"/>
      <c r="N5673" s="1323"/>
      <c r="O5673" s="1323"/>
      <c r="P5673" s="1323"/>
      <c r="Q5673" s="1323"/>
      <c r="R5673" s="1304"/>
      <c r="S5673" s="1304"/>
      <c r="T5673" s="1304"/>
    </row>
    <row r="5674" spans="1:20">
      <c r="A5674" s="1303"/>
      <c r="B5674" s="1322" t="s">
        <v>12615</v>
      </c>
      <c r="C5674" s="1323" t="s">
        <v>12580</v>
      </c>
      <c r="D5674" s="1324">
        <f t="shared" si="558"/>
        <v>33612</v>
      </c>
      <c r="E5674" s="1323">
        <f t="shared" si="560"/>
        <v>2.7397</v>
      </c>
      <c r="F5674" s="1323">
        <f t="shared" si="559"/>
        <v>3.3063201800252142</v>
      </c>
      <c r="G5674" s="1323">
        <f t="shared" si="561"/>
        <v>1992</v>
      </c>
      <c r="H5674" s="1323">
        <f t="shared" si="562"/>
        <v>1</v>
      </c>
      <c r="I5674" s="1323">
        <f t="shared" si="563"/>
        <v>9</v>
      </c>
      <c r="J5674" s="1323"/>
      <c r="K5674" s="1323"/>
      <c r="L5674" s="1323"/>
      <c r="M5674" s="1323"/>
      <c r="N5674" s="1323"/>
      <c r="O5674" s="1323"/>
      <c r="P5674" s="1323"/>
      <c r="Q5674" s="1323"/>
      <c r="R5674" s="1304"/>
      <c r="S5674" s="1304"/>
      <c r="T5674" s="1304"/>
    </row>
    <row r="5675" spans="1:20">
      <c r="A5675" s="1303"/>
      <c r="B5675" s="1322" t="s">
        <v>12616</v>
      </c>
      <c r="C5675" s="1323" t="s">
        <v>12617</v>
      </c>
      <c r="D5675" s="1324">
        <f t="shared" si="558"/>
        <v>33611</v>
      </c>
      <c r="E5675" s="1323">
        <f t="shared" si="560"/>
        <v>2.7322000000000002</v>
      </c>
      <c r="F5675" s="1323">
        <f t="shared" si="559"/>
        <v>3.3056862128063198</v>
      </c>
      <c r="G5675" s="1323">
        <f t="shared" si="561"/>
        <v>1992</v>
      </c>
      <c r="H5675" s="1323">
        <f t="shared" si="562"/>
        <v>1</v>
      </c>
      <c r="I5675" s="1323">
        <f t="shared" si="563"/>
        <v>8</v>
      </c>
      <c r="J5675" s="1323"/>
      <c r="K5675" s="1323"/>
      <c r="L5675" s="1323"/>
      <c r="M5675" s="1323"/>
      <c r="N5675" s="1323"/>
      <c r="O5675" s="1323"/>
      <c r="P5675" s="1323"/>
      <c r="Q5675" s="1323"/>
      <c r="R5675" s="1304"/>
      <c r="S5675" s="1304"/>
      <c r="T5675" s="1304"/>
    </row>
    <row r="5676" spans="1:20">
      <c r="A5676" s="1303"/>
      <c r="B5676" s="1322" t="s">
        <v>12618</v>
      </c>
      <c r="C5676" s="1323" t="s">
        <v>12619</v>
      </c>
      <c r="D5676" s="1324">
        <f t="shared" si="558"/>
        <v>33610</v>
      </c>
      <c r="E5676" s="1323">
        <f t="shared" si="560"/>
        <v>2.7330000000000001</v>
      </c>
      <c r="F5676" s="1323">
        <f t="shared" si="559"/>
        <v>3.305052367146867</v>
      </c>
      <c r="G5676" s="1323">
        <f t="shared" si="561"/>
        <v>1992</v>
      </c>
      <c r="H5676" s="1323">
        <f t="shared" si="562"/>
        <v>1</v>
      </c>
      <c r="I5676" s="1323">
        <f t="shared" si="563"/>
        <v>7</v>
      </c>
      <c r="J5676" s="1323"/>
      <c r="K5676" s="1323"/>
      <c r="L5676" s="1323"/>
      <c r="M5676" s="1323"/>
      <c r="N5676" s="1323"/>
      <c r="O5676" s="1323"/>
      <c r="P5676" s="1323"/>
      <c r="Q5676" s="1323"/>
      <c r="R5676" s="1304"/>
      <c r="S5676" s="1304"/>
      <c r="T5676" s="1304"/>
    </row>
    <row r="5677" spans="1:20">
      <c r="A5677" s="1303"/>
      <c r="B5677" s="1322" t="s">
        <v>12620</v>
      </c>
      <c r="C5677" s="1323" t="s">
        <v>12621</v>
      </c>
      <c r="D5677" s="1324">
        <f t="shared" si="558"/>
        <v>33609</v>
      </c>
      <c r="E5677" s="1323">
        <f t="shared" si="560"/>
        <v>2.7494999999999998</v>
      </c>
      <c r="F5677" s="1323">
        <f t="shared" si="559"/>
        <v>3.3044186430235474</v>
      </c>
      <c r="G5677" s="1323">
        <f t="shared" si="561"/>
        <v>1992</v>
      </c>
      <c r="H5677" s="1323">
        <f t="shared" si="562"/>
        <v>1</v>
      </c>
      <c r="I5677" s="1323">
        <f t="shared" si="563"/>
        <v>6</v>
      </c>
      <c r="J5677" s="1323"/>
      <c r="K5677" s="1323"/>
      <c r="L5677" s="1323"/>
      <c r="M5677" s="1323"/>
      <c r="N5677" s="1323"/>
      <c r="O5677" s="1323"/>
      <c r="P5677" s="1323"/>
      <c r="Q5677" s="1323"/>
      <c r="R5677" s="1304"/>
      <c r="S5677" s="1304"/>
      <c r="T5677" s="1304"/>
    </row>
    <row r="5678" spans="1:20">
      <c r="A5678" s="1303"/>
      <c r="B5678" s="1322" t="s">
        <v>12622</v>
      </c>
      <c r="C5678" s="1323" t="s">
        <v>12358</v>
      </c>
      <c r="D5678" s="1324">
        <f t="shared" si="558"/>
        <v>33606</v>
      </c>
      <c r="E5678" s="1323">
        <f t="shared" si="560"/>
        <v>2.7547999999999999</v>
      </c>
      <c r="F5678" s="1323">
        <f t="shared" si="559"/>
        <v>3.3037850404130569</v>
      </c>
      <c r="G5678" s="1323">
        <f t="shared" si="561"/>
        <v>1992</v>
      </c>
      <c r="H5678" s="1323">
        <f t="shared" si="562"/>
        <v>1</v>
      </c>
      <c r="I5678" s="1323">
        <f t="shared" si="563"/>
        <v>3</v>
      </c>
      <c r="J5678" s="1323"/>
      <c r="K5678" s="1323"/>
      <c r="L5678" s="1323"/>
      <c r="M5678" s="1323"/>
      <c r="N5678" s="1323"/>
      <c r="O5678" s="1323"/>
      <c r="P5678" s="1323"/>
      <c r="Q5678" s="1323"/>
      <c r="R5678" s="1304"/>
      <c r="S5678" s="1304"/>
      <c r="T5678" s="1304"/>
    </row>
    <row r="5679" spans="1:20">
      <c r="A5679" s="1303"/>
      <c r="B5679" s="1322" t="s">
        <v>12623</v>
      </c>
      <c r="C5679" s="1323" t="s">
        <v>12393</v>
      </c>
      <c r="D5679" s="1324">
        <f t="shared" si="558"/>
        <v>33605</v>
      </c>
      <c r="E5679" s="1323">
        <f t="shared" si="560"/>
        <v>2.7456999999999998</v>
      </c>
      <c r="F5679" s="1323">
        <f t="shared" si="559"/>
        <v>3.3031515592920968</v>
      </c>
      <c r="G5679" s="1323">
        <f t="shared" si="561"/>
        <v>1992</v>
      </c>
      <c r="H5679" s="1323">
        <f t="shared" si="562"/>
        <v>1</v>
      </c>
      <c r="I5679" s="1323">
        <f t="shared" si="563"/>
        <v>2</v>
      </c>
      <c r="J5679" s="1323"/>
      <c r="K5679" s="1323"/>
      <c r="L5679" s="1323"/>
      <c r="M5679" s="1323"/>
      <c r="N5679" s="1323"/>
      <c r="O5679" s="1323"/>
      <c r="P5679" s="1323"/>
      <c r="Q5679" s="1323"/>
      <c r="R5679" s="1304"/>
      <c r="S5679" s="1304"/>
      <c r="T5679" s="1304"/>
    </row>
    <row r="5680" spans="1:20">
      <c r="A5680" s="1303"/>
      <c r="B5680" s="1322" t="s">
        <v>12624</v>
      </c>
      <c r="C5680" s="1323" t="s">
        <v>12625</v>
      </c>
      <c r="D5680" s="1324">
        <f t="shared" si="558"/>
        <v>33603</v>
      </c>
      <c r="E5680" s="1323">
        <f t="shared" si="560"/>
        <v>2.7435</v>
      </c>
      <c r="F5680" s="1323">
        <f t="shared" si="559"/>
        <v>3.3025181996373716</v>
      </c>
      <c r="G5680" s="1323">
        <f t="shared" si="561"/>
        <v>1991</v>
      </c>
      <c r="H5680" s="1323">
        <f t="shared" si="562"/>
        <v>12</v>
      </c>
      <c r="I5680" s="1323">
        <f t="shared" si="563"/>
        <v>31</v>
      </c>
      <c r="J5680" s="1323"/>
      <c r="K5680" s="1323"/>
      <c r="L5680" s="1323"/>
      <c r="M5680" s="1323"/>
      <c r="N5680" s="1323"/>
      <c r="O5680" s="1323"/>
      <c r="P5680" s="1323"/>
      <c r="Q5680" s="1323"/>
      <c r="R5680" s="1304"/>
      <c r="S5680" s="1304"/>
      <c r="T5680" s="1304"/>
    </row>
    <row r="5681" spans="1:20">
      <c r="A5681" s="1303"/>
      <c r="B5681" s="1322" t="s">
        <v>12626</v>
      </c>
      <c r="C5681" s="1323" t="s">
        <v>12627</v>
      </c>
      <c r="D5681" s="1324">
        <f t="shared" si="558"/>
        <v>33602</v>
      </c>
      <c r="E5681" s="1323">
        <f t="shared" si="560"/>
        <v>2.7465000000000002</v>
      </c>
      <c r="F5681" s="1323">
        <f t="shared" si="559"/>
        <v>3.3018849614255914</v>
      </c>
      <c r="G5681" s="1323">
        <f t="shared" si="561"/>
        <v>1991</v>
      </c>
      <c r="H5681" s="1323">
        <f t="shared" si="562"/>
        <v>12</v>
      </c>
      <c r="I5681" s="1323">
        <f t="shared" si="563"/>
        <v>30</v>
      </c>
      <c r="J5681" s="1323"/>
      <c r="K5681" s="1323"/>
      <c r="L5681" s="1323"/>
      <c r="M5681" s="1323"/>
      <c r="N5681" s="1323"/>
      <c r="O5681" s="1323"/>
      <c r="P5681" s="1323"/>
      <c r="Q5681" s="1323"/>
      <c r="R5681" s="1304"/>
      <c r="S5681" s="1304"/>
      <c r="T5681" s="1304"/>
    </row>
    <row r="5682" spans="1:20">
      <c r="A5682" s="1303"/>
      <c r="B5682" s="1322" t="s">
        <v>12628</v>
      </c>
      <c r="C5682" s="1323" t="s">
        <v>12629</v>
      </c>
      <c r="D5682" s="1324">
        <f t="shared" si="558"/>
        <v>33599</v>
      </c>
      <c r="E5682" s="1323">
        <f t="shared" si="560"/>
        <v>2.7374999999999998</v>
      </c>
      <c r="F5682" s="1323">
        <f t="shared" si="559"/>
        <v>3.30125184463347</v>
      </c>
      <c r="G5682" s="1323">
        <f t="shared" si="561"/>
        <v>1991</v>
      </c>
      <c r="H5682" s="1323">
        <f t="shared" si="562"/>
        <v>12</v>
      </c>
      <c r="I5682" s="1323">
        <f t="shared" si="563"/>
        <v>27</v>
      </c>
      <c r="J5682" s="1323"/>
      <c r="K5682" s="1323"/>
      <c r="L5682" s="1323"/>
      <c r="M5682" s="1323"/>
      <c r="N5682" s="1323"/>
      <c r="O5682" s="1323"/>
      <c r="P5682" s="1323"/>
      <c r="Q5682" s="1323"/>
      <c r="R5682" s="1304"/>
      <c r="S5682" s="1304"/>
      <c r="T5682" s="1304"/>
    </row>
    <row r="5683" spans="1:20">
      <c r="A5683" s="1303"/>
      <c r="B5683" s="1322" t="s">
        <v>12630</v>
      </c>
      <c r="C5683" s="1323" t="s">
        <v>12631</v>
      </c>
      <c r="D5683" s="1324">
        <f t="shared" si="558"/>
        <v>33596</v>
      </c>
      <c r="E5683" s="1323">
        <f t="shared" si="560"/>
        <v>2.7442000000000002</v>
      </c>
      <c r="F5683" s="1323">
        <f t="shared" si="559"/>
        <v>3.3006188492377255</v>
      </c>
      <c r="G5683" s="1323">
        <f t="shared" si="561"/>
        <v>1991</v>
      </c>
      <c r="H5683" s="1323">
        <f t="shared" si="562"/>
        <v>12</v>
      </c>
      <c r="I5683" s="1323">
        <f t="shared" si="563"/>
        <v>24</v>
      </c>
      <c r="J5683" s="1323"/>
      <c r="K5683" s="1323"/>
      <c r="L5683" s="1323"/>
      <c r="M5683" s="1323"/>
      <c r="N5683" s="1323"/>
      <c r="O5683" s="1323"/>
      <c r="P5683" s="1323"/>
      <c r="Q5683" s="1323"/>
      <c r="R5683" s="1304"/>
      <c r="S5683" s="1304"/>
      <c r="T5683" s="1304"/>
    </row>
    <row r="5684" spans="1:20">
      <c r="A5684" s="1303"/>
      <c r="B5684" s="1322" t="s">
        <v>12632</v>
      </c>
      <c r="C5684" s="1323" t="s">
        <v>12412</v>
      </c>
      <c r="D5684" s="1324">
        <f t="shared" si="558"/>
        <v>33595</v>
      </c>
      <c r="E5684" s="1323">
        <f t="shared" si="560"/>
        <v>2.7517999999999998</v>
      </c>
      <c r="F5684" s="1323">
        <f t="shared" si="559"/>
        <v>3.2999859752150815</v>
      </c>
      <c r="G5684" s="1323">
        <f t="shared" si="561"/>
        <v>1991</v>
      </c>
      <c r="H5684" s="1323">
        <f t="shared" si="562"/>
        <v>12</v>
      </c>
      <c r="I5684" s="1323">
        <f t="shared" si="563"/>
        <v>23</v>
      </c>
      <c r="J5684" s="1323"/>
      <c r="K5684" s="1323"/>
      <c r="L5684" s="1323"/>
      <c r="M5684" s="1323"/>
      <c r="N5684" s="1323"/>
      <c r="O5684" s="1323"/>
      <c r="P5684" s="1323"/>
      <c r="Q5684" s="1323"/>
      <c r="R5684" s="1304"/>
      <c r="S5684" s="1304"/>
      <c r="T5684" s="1304"/>
    </row>
    <row r="5685" spans="1:20">
      <c r="A5685" s="1303"/>
      <c r="B5685" s="1322" t="s">
        <v>12633</v>
      </c>
      <c r="C5685" s="1323" t="s">
        <v>12634</v>
      </c>
      <c r="D5685" s="1324">
        <f t="shared" si="558"/>
        <v>33592</v>
      </c>
      <c r="E5685" s="1323">
        <f t="shared" si="560"/>
        <v>2.7692999999999999</v>
      </c>
      <c r="F5685" s="1323">
        <f t="shared" si="559"/>
        <v>3.299353222542265</v>
      </c>
      <c r="G5685" s="1323">
        <f t="shared" si="561"/>
        <v>1991</v>
      </c>
      <c r="H5685" s="1323">
        <f t="shared" si="562"/>
        <v>12</v>
      </c>
      <c r="I5685" s="1323">
        <f t="shared" si="563"/>
        <v>20</v>
      </c>
      <c r="J5685" s="1323"/>
      <c r="K5685" s="1323"/>
      <c r="L5685" s="1323"/>
      <c r="M5685" s="1323"/>
      <c r="N5685" s="1323"/>
      <c r="O5685" s="1323"/>
      <c r="P5685" s="1323"/>
      <c r="Q5685" s="1323"/>
      <c r="R5685" s="1304"/>
      <c r="S5685" s="1304"/>
      <c r="T5685" s="1304"/>
    </row>
    <row r="5686" spans="1:20">
      <c r="A5686" s="1303"/>
      <c r="B5686" s="1322" t="s">
        <v>12635</v>
      </c>
      <c r="C5686" s="1323" t="s">
        <v>12337</v>
      </c>
      <c r="D5686" s="1324">
        <f t="shared" si="558"/>
        <v>33591</v>
      </c>
      <c r="E5686" s="1323">
        <f t="shared" si="560"/>
        <v>2.7709000000000001</v>
      </c>
      <c r="F5686" s="1323">
        <f t="shared" si="559"/>
        <v>3.298720591196008</v>
      </c>
      <c r="G5686" s="1323">
        <f t="shared" si="561"/>
        <v>1991</v>
      </c>
      <c r="H5686" s="1323">
        <f t="shared" si="562"/>
        <v>12</v>
      </c>
      <c r="I5686" s="1323">
        <f t="shared" si="563"/>
        <v>19</v>
      </c>
      <c r="J5686" s="1323"/>
      <c r="K5686" s="1323"/>
      <c r="L5686" s="1323"/>
      <c r="M5686" s="1323"/>
      <c r="N5686" s="1323"/>
      <c r="O5686" s="1323"/>
      <c r="P5686" s="1323"/>
      <c r="Q5686" s="1323"/>
      <c r="R5686" s="1304"/>
      <c r="S5686" s="1304"/>
      <c r="T5686" s="1304"/>
    </row>
    <row r="5687" spans="1:20">
      <c r="A5687" s="1303"/>
      <c r="B5687" s="1322" t="s">
        <v>12636</v>
      </c>
      <c r="C5687" s="1323" t="s">
        <v>12637</v>
      </c>
      <c r="D5687" s="1324">
        <f t="shared" si="558"/>
        <v>33590</v>
      </c>
      <c r="E5687" s="1323">
        <f t="shared" si="560"/>
        <v>2.7654999999999998</v>
      </c>
      <c r="F5687" s="1323">
        <f t="shared" si="559"/>
        <v>3.2980880811530469</v>
      </c>
      <c r="G5687" s="1323">
        <f t="shared" si="561"/>
        <v>1991</v>
      </c>
      <c r="H5687" s="1323">
        <f t="shared" si="562"/>
        <v>12</v>
      </c>
      <c r="I5687" s="1323">
        <f t="shared" si="563"/>
        <v>18</v>
      </c>
      <c r="J5687" s="1323"/>
      <c r="K5687" s="1323"/>
      <c r="L5687" s="1323"/>
      <c r="M5687" s="1323"/>
      <c r="N5687" s="1323"/>
      <c r="O5687" s="1323"/>
      <c r="P5687" s="1323"/>
      <c r="Q5687" s="1323"/>
      <c r="R5687" s="1304"/>
      <c r="S5687" s="1304"/>
      <c r="T5687" s="1304"/>
    </row>
    <row r="5688" spans="1:20">
      <c r="A5688" s="1303"/>
      <c r="B5688" s="1322" t="s">
        <v>12638</v>
      </c>
      <c r="C5688" s="1323" t="s">
        <v>12373</v>
      </c>
      <c r="D5688" s="1324">
        <f t="shared" si="558"/>
        <v>33589</v>
      </c>
      <c r="E5688" s="1323">
        <f t="shared" si="560"/>
        <v>2.7692999999999999</v>
      </c>
      <c r="F5688" s="1323">
        <f t="shared" si="559"/>
        <v>3.2974556923901228</v>
      </c>
      <c r="G5688" s="1323">
        <f t="shared" si="561"/>
        <v>1991</v>
      </c>
      <c r="H5688" s="1323">
        <f t="shared" si="562"/>
        <v>12</v>
      </c>
      <c r="I5688" s="1323">
        <f t="shared" si="563"/>
        <v>17</v>
      </c>
      <c r="J5688" s="1323"/>
      <c r="K5688" s="1323"/>
      <c r="L5688" s="1323"/>
      <c r="M5688" s="1323"/>
      <c r="N5688" s="1323"/>
      <c r="O5688" s="1323"/>
      <c r="P5688" s="1323"/>
      <c r="Q5688" s="1323"/>
      <c r="R5688" s="1304"/>
      <c r="S5688" s="1304"/>
      <c r="T5688" s="1304"/>
    </row>
    <row r="5689" spans="1:20">
      <c r="A5689" s="1303"/>
      <c r="B5689" s="1322" t="s">
        <v>12639</v>
      </c>
      <c r="C5689" s="1323" t="s">
        <v>12337</v>
      </c>
      <c r="D5689" s="1324">
        <f t="shared" si="558"/>
        <v>33585</v>
      </c>
      <c r="E5689" s="1323">
        <f t="shared" si="560"/>
        <v>2.7700999999999998</v>
      </c>
      <c r="F5689" s="1323">
        <f t="shared" si="559"/>
        <v>3.2968234248839807</v>
      </c>
      <c r="G5689" s="1323">
        <f t="shared" si="561"/>
        <v>1991</v>
      </c>
      <c r="H5689" s="1323">
        <f t="shared" si="562"/>
        <v>12</v>
      </c>
      <c r="I5689" s="1323">
        <f t="shared" si="563"/>
        <v>13</v>
      </c>
      <c r="J5689" s="1323"/>
      <c r="K5689" s="1323"/>
      <c r="L5689" s="1323"/>
      <c r="M5689" s="1323"/>
      <c r="N5689" s="1323"/>
      <c r="O5689" s="1323"/>
      <c r="P5689" s="1323"/>
      <c r="Q5689" s="1323"/>
      <c r="R5689" s="1304"/>
      <c r="S5689" s="1304"/>
      <c r="T5689" s="1304"/>
    </row>
    <row r="5690" spans="1:20">
      <c r="A5690" s="1303"/>
      <c r="B5690" s="1322" t="s">
        <v>12640</v>
      </c>
      <c r="C5690" s="1323" t="s">
        <v>12375</v>
      </c>
      <c r="D5690" s="1324">
        <f t="shared" si="558"/>
        <v>33584</v>
      </c>
      <c r="E5690" s="1323">
        <f t="shared" si="560"/>
        <v>2.7654999999999998</v>
      </c>
      <c r="F5690" s="1323">
        <f t="shared" si="559"/>
        <v>3.2961912786113703</v>
      </c>
      <c r="G5690" s="1323">
        <f t="shared" si="561"/>
        <v>1991</v>
      </c>
      <c r="H5690" s="1323">
        <f t="shared" si="562"/>
        <v>12</v>
      </c>
      <c r="I5690" s="1323">
        <f t="shared" si="563"/>
        <v>12</v>
      </c>
      <c r="J5690" s="1323"/>
      <c r="K5690" s="1323"/>
      <c r="L5690" s="1323"/>
      <c r="M5690" s="1323"/>
      <c r="N5690" s="1323"/>
      <c r="O5690" s="1323"/>
      <c r="P5690" s="1323"/>
      <c r="Q5690" s="1323"/>
      <c r="R5690" s="1304"/>
      <c r="S5690" s="1304"/>
      <c r="T5690" s="1304"/>
    </row>
    <row r="5691" spans="1:20">
      <c r="A5691" s="1303"/>
      <c r="B5691" s="1322" t="s">
        <v>12641</v>
      </c>
      <c r="C5691" s="1323" t="s">
        <v>12373</v>
      </c>
      <c r="D5691" s="1324">
        <f t="shared" si="558"/>
        <v>33583</v>
      </c>
      <c r="E5691" s="1323">
        <f t="shared" si="560"/>
        <v>2.7793000000000001</v>
      </c>
      <c r="F5691" s="1323">
        <f t="shared" si="559"/>
        <v>3.2955592535490457</v>
      </c>
      <c r="G5691" s="1323">
        <f t="shared" si="561"/>
        <v>1991</v>
      </c>
      <c r="H5691" s="1323">
        <f t="shared" si="562"/>
        <v>12</v>
      </c>
      <c r="I5691" s="1323">
        <f t="shared" si="563"/>
        <v>11</v>
      </c>
      <c r="J5691" s="1323"/>
      <c r="K5691" s="1323"/>
      <c r="L5691" s="1323"/>
      <c r="M5691" s="1323"/>
      <c r="N5691" s="1323"/>
      <c r="O5691" s="1323"/>
      <c r="P5691" s="1323"/>
      <c r="Q5691" s="1323"/>
      <c r="R5691" s="1304"/>
      <c r="S5691" s="1304"/>
      <c r="T5691" s="1304"/>
    </row>
    <row r="5692" spans="1:20">
      <c r="A5692" s="1303"/>
      <c r="B5692" s="1322" t="s">
        <v>12642</v>
      </c>
      <c r="C5692" s="1323" t="s">
        <v>12585</v>
      </c>
      <c r="D5692" s="1324">
        <f t="shared" si="558"/>
        <v>33582</v>
      </c>
      <c r="E5692" s="1323">
        <f t="shared" si="560"/>
        <v>2.7631999999999999</v>
      </c>
      <c r="F5692" s="1323">
        <f t="shared" si="559"/>
        <v>3.2949273496737654</v>
      </c>
      <c r="G5692" s="1323">
        <f t="shared" si="561"/>
        <v>1991</v>
      </c>
      <c r="H5692" s="1323">
        <f t="shared" si="562"/>
        <v>12</v>
      </c>
      <c r="I5692" s="1323">
        <f t="shared" si="563"/>
        <v>10</v>
      </c>
      <c r="J5692" s="1323"/>
      <c r="K5692" s="1323"/>
      <c r="L5692" s="1323"/>
      <c r="M5692" s="1323"/>
      <c r="N5692" s="1323"/>
      <c r="O5692" s="1323"/>
      <c r="P5692" s="1323"/>
      <c r="Q5692" s="1323"/>
      <c r="R5692" s="1304"/>
      <c r="S5692" s="1304"/>
      <c r="T5692" s="1304"/>
    </row>
    <row r="5693" spans="1:20">
      <c r="A5693" s="1303"/>
      <c r="B5693" s="1322" t="s">
        <v>12643</v>
      </c>
      <c r="C5693" s="1323" t="s">
        <v>12395</v>
      </c>
      <c r="D5693" s="1324">
        <f t="shared" si="558"/>
        <v>33581</v>
      </c>
      <c r="E5693" s="1323">
        <f t="shared" si="560"/>
        <v>2.7761999999999998</v>
      </c>
      <c r="F5693" s="1323">
        <f t="shared" si="559"/>
        <v>3.2942955669622931</v>
      </c>
      <c r="G5693" s="1323">
        <f t="shared" si="561"/>
        <v>1991</v>
      </c>
      <c r="H5693" s="1323">
        <f t="shared" si="562"/>
        <v>12</v>
      </c>
      <c r="I5693" s="1323">
        <f t="shared" si="563"/>
        <v>9</v>
      </c>
      <c r="J5693" s="1323"/>
      <c r="K5693" s="1323"/>
      <c r="L5693" s="1323"/>
      <c r="M5693" s="1323"/>
      <c r="N5693" s="1323"/>
      <c r="O5693" s="1323"/>
      <c r="P5693" s="1323"/>
      <c r="Q5693" s="1323"/>
      <c r="R5693" s="1304"/>
      <c r="S5693" s="1304"/>
      <c r="T5693" s="1304"/>
    </row>
    <row r="5694" spans="1:20">
      <c r="A5694" s="1303"/>
      <c r="B5694" s="1322" t="s">
        <v>12644</v>
      </c>
      <c r="C5694" s="1323" t="s">
        <v>12645</v>
      </c>
      <c r="D5694" s="1324">
        <f t="shared" si="558"/>
        <v>33578</v>
      </c>
      <c r="E5694" s="1323">
        <f t="shared" si="560"/>
        <v>2.7808999999999999</v>
      </c>
      <c r="F5694" s="1323">
        <f t="shared" si="559"/>
        <v>3.2936639053913961</v>
      </c>
      <c r="G5694" s="1323">
        <f t="shared" si="561"/>
        <v>1991</v>
      </c>
      <c r="H5694" s="1323">
        <f t="shared" si="562"/>
        <v>12</v>
      </c>
      <c r="I5694" s="1323">
        <f t="shared" si="563"/>
        <v>6</v>
      </c>
      <c r="J5694" s="1323"/>
      <c r="K5694" s="1323"/>
      <c r="L5694" s="1323"/>
      <c r="M5694" s="1323"/>
      <c r="N5694" s="1323"/>
      <c r="O5694" s="1323"/>
      <c r="P5694" s="1323"/>
      <c r="Q5694" s="1323"/>
      <c r="R5694" s="1304"/>
      <c r="S5694" s="1304"/>
      <c r="T5694" s="1304"/>
    </row>
    <row r="5695" spans="1:20">
      <c r="A5695" s="1303"/>
      <c r="B5695" s="1322" t="s">
        <v>12646</v>
      </c>
      <c r="C5695" s="1323" t="s">
        <v>12647</v>
      </c>
      <c r="D5695" s="1324">
        <f t="shared" si="558"/>
        <v>33577</v>
      </c>
      <c r="E5695" s="1323">
        <f t="shared" si="560"/>
        <v>2.7816000000000001</v>
      </c>
      <c r="F5695" s="1323">
        <f t="shared" si="559"/>
        <v>3.2930323649378463</v>
      </c>
      <c r="G5695" s="1323">
        <f t="shared" si="561"/>
        <v>1991</v>
      </c>
      <c r="H5695" s="1323">
        <f t="shared" si="562"/>
        <v>12</v>
      </c>
      <c r="I5695" s="1323">
        <f t="shared" si="563"/>
        <v>5</v>
      </c>
      <c r="J5695" s="1323"/>
      <c r="K5695" s="1323"/>
      <c r="L5695" s="1323"/>
      <c r="M5695" s="1323"/>
      <c r="N5695" s="1323"/>
      <c r="O5695" s="1323"/>
      <c r="P5695" s="1323"/>
      <c r="Q5695" s="1323"/>
      <c r="R5695" s="1304"/>
      <c r="S5695" s="1304"/>
      <c r="T5695" s="1304"/>
    </row>
    <row r="5696" spans="1:20">
      <c r="A5696" s="1303"/>
      <c r="B5696" s="1322" t="s">
        <v>12648</v>
      </c>
      <c r="C5696" s="1323" t="s">
        <v>12612</v>
      </c>
      <c r="D5696" s="1324">
        <f t="shared" si="558"/>
        <v>33576</v>
      </c>
      <c r="E5696" s="1323">
        <f t="shared" si="560"/>
        <v>2.7863000000000002</v>
      </c>
      <c r="F5696" s="1323">
        <f t="shared" si="559"/>
        <v>3.2924009455784202</v>
      </c>
      <c r="G5696" s="1323">
        <f t="shared" si="561"/>
        <v>1991</v>
      </c>
      <c r="H5696" s="1323">
        <f t="shared" si="562"/>
        <v>12</v>
      </c>
      <c r="I5696" s="1323">
        <f t="shared" si="563"/>
        <v>4</v>
      </c>
      <c r="J5696" s="1323"/>
      <c r="K5696" s="1323"/>
      <c r="L5696" s="1323"/>
      <c r="M5696" s="1323"/>
      <c r="N5696" s="1323"/>
      <c r="O5696" s="1323"/>
      <c r="P5696" s="1323"/>
      <c r="Q5696" s="1323"/>
      <c r="R5696" s="1304"/>
      <c r="S5696" s="1304"/>
      <c r="T5696" s="1304"/>
    </row>
    <row r="5697" spans="1:20">
      <c r="A5697" s="1303"/>
      <c r="B5697" s="1322" t="s">
        <v>12649</v>
      </c>
      <c r="C5697" s="1323" t="s">
        <v>12425</v>
      </c>
      <c r="D5697" s="1324">
        <f t="shared" si="558"/>
        <v>33575</v>
      </c>
      <c r="E5697" s="1323">
        <f t="shared" si="560"/>
        <v>2.7925</v>
      </c>
      <c r="F5697" s="1323">
        <f t="shared" si="559"/>
        <v>3.291769647289899</v>
      </c>
      <c r="G5697" s="1323">
        <f t="shared" si="561"/>
        <v>1991</v>
      </c>
      <c r="H5697" s="1323">
        <f t="shared" si="562"/>
        <v>12</v>
      </c>
      <c r="I5697" s="1323">
        <f t="shared" si="563"/>
        <v>3</v>
      </c>
      <c r="J5697" s="1323"/>
      <c r="K5697" s="1323"/>
      <c r="L5697" s="1323"/>
      <c r="M5697" s="1323"/>
      <c r="N5697" s="1323"/>
      <c r="O5697" s="1323"/>
      <c r="P5697" s="1323"/>
      <c r="Q5697" s="1323"/>
      <c r="R5697" s="1304"/>
      <c r="S5697" s="1304"/>
      <c r="T5697" s="1304"/>
    </row>
    <row r="5698" spans="1:20">
      <c r="A5698" s="1303"/>
      <c r="B5698" s="1322" t="s">
        <v>12650</v>
      </c>
      <c r="C5698" s="1323" t="s">
        <v>12331</v>
      </c>
      <c r="D5698" s="1324">
        <f t="shared" si="558"/>
        <v>33574</v>
      </c>
      <c r="E5698" s="1323">
        <f t="shared" si="560"/>
        <v>2.7886000000000002</v>
      </c>
      <c r="F5698" s="1323">
        <f t="shared" si="559"/>
        <v>3.2911384700490673</v>
      </c>
      <c r="G5698" s="1323">
        <f t="shared" si="561"/>
        <v>1991</v>
      </c>
      <c r="H5698" s="1323">
        <f t="shared" si="562"/>
        <v>12</v>
      </c>
      <c r="I5698" s="1323">
        <f t="shared" si="563"/>
        <v>2</v>
      </c>
      <c r="J5698" s="1323"/>
      <c r="K5698" s="1323"/>
      <c r="L5698" s="1323"/>
      <c r="M5698" s="1323"/>
      <c r="N5698" s="1323"/>
      <c r="O5698" s="1323"/>
      <c r="P5698" s="1323"/>
      <c r="Q5698" s="1323"/>
      <c r="R5698" s="1304"/>
      <c r="S5698" s="1304"/>
      <c r="T5698" s="1304"/>
    </row>
    <row r="5699" spans="1:20">
      <c r="A5699" s="1303"/>
      <c r="B5699" s="1322" t="s">
        <v>12651</v>
      </c>
      <c r="C5699" s="1323" t="s">
        <v>12652</v>
      </c>
      <c r="D5699" s="1324">
        <f t="shared" si="558"/>
        <v>33571</v>
      </c>
      <c r="E5699" s="1323">
        <f t="shared" si="560"/>
        <v>2.7988</v>
      </c>
      <c r="F5699" s="1323">
        <f t="shared" si="559"/>
        <v>3.2905074138327159</v>
      </c>
      <c r="G5699" s="1323">
        <f t="shared" si="561"/>
        <v>1991</v>
      </c>
      <c r="H5699" s="1323">
        <f t="shared" si="562"/>
        <v>11</v>
      </c>
      <c r="I5699" s="1323">
        <f t="shared" si="563"/>
        <v>29</v>
      </c>
      <c r="J5699" s="1323"/>
      <c r="K5699" s="1323"/>
      <c r="L5699" s="1323"/>
      <c r="M5699" s="1323"/>
      <c r="N5699" s="1323"/>
      <c r="O5699" s="1323"/>
      <c r="P5699" s="1323"/>
      <c r="Q5699" s="1323"/>
      <c r="R5699" s="1304"/>
      <c r="S5699" s="1304"/>
      <c r="T5699" s="1304"/>
    </row>
    <row r="5700" spans="1:20">
      <c r="A5700" s="1303"/>
      <c r="B5700" s="1322" t="s">
        <v>12653</v>
      </c>
      <c r="C5700" s="1323" t="s">
        <v>12439</v>
      </c>
      <c r="D5700" s="1324">
        <f t="shared" si="558"/>
        <v>33570</v>
      </c>
      <c r="E5700" s="1323">
        <f t="shared" si="560"/>
        <v>2.7972000000000001</v>
      </c>
      <c r="F5700" s="1323">
        <f t="shared" si="559"/>
        <v>3.2898764786176384</v>
      </c>
      <c r="G5700" s="1323">
        <f t="shared" si="561"/>
        <v>1991</v>
      </c>
      <c r="H5700" s="1323">
        <f t="shared" si="562"/>
        <v>11</v>
      </c>
      <c r="I5700" s="1323">
        <f t="shared" si="563"/>
        <v>28</v>
      </c>
      <c r="J5700" s="1323"/>
      <c r="K5700" s="1323"/>
      <c r="L5700" s="1323"/>
      <c r="M5700" s="1323"/>
      <c r="N5700" s="1323"/>
      <c r="O5700" s="1323"/>
      <c r="P5700" s="1323"/>
      <c r="Q5700" s="1323"/>
      <c r="R5700" s="1304"/>
      <c r="S5700" s="1304"/>
      <c r="T5700" s="1304"/>
    </row>
    <row r="5701" spans="1:20">
      <c r="A5701" s="1303"/>
      <c r="B5701" s="1322" t="s">
        <v>12654</v>
      </c>
      <c r="C5701" s="1323" t="s">
        <v>12655</v>
      </c>
      <c r="D5701" s="1324">
        <f t="shared" si="558"/>
        <v>33569</v>
      </c>
      <c r="E5701" s="1323">
        <f t="shared" si="560"/>
        <v>2.7902</v>
      </c>
      <c r="F5701" s="1323">
        <f t="shared" si="559"/>
        <v>3.2892456643806338</v>
      </c>
      <c r="G5701" s="1323">
        <f t="shared" si="561"/>
        <v>1991</v>
      </c>
      <c r="H5701" s="1323">
        <f t="shared" si="562"/>
        <v>11</v>
      </c>
      <c r="I5701" s="1323">
        <f t="shared" si="563"/>
        <v>27</v>
      </c>
      <c r="J5701" s="1323"/>
      <c r="K5701" s="1323"/>
      <c r="L5701" s="1323"/>
      <c r="M5701" s="1323"/>
      <c r="N5701" s="1323"/>
      <c r="O5701" s="1323"/>
      <c r="P5701" s="1323"/>
      <c r="Q5701" s="1323"/>
      <c r="R5701" s="1304"/>
      <c r="S5701" s="1304"/>
      <c r="T5701" s="1304"/>
    </row>
    <row r="5702" spans="1:20">
      <c r="A5702" s="1303"/>
      <c r="B5702" s="1322" t="s">
        <v>12656</v>
      </c>
      <c r="C5702" s="1323" t="s">
        <v>12657</v>
      </c>
      <c r="D5702" s="1324">
        <f t="shared" si="558"/>
        <v>33568</v>
      </c>
      <c r="E5702" s="1323">
        <f t="shared" si="560"/>
        <v>2.7692999999999999</v>
      </c>
      <c r="F5702" s="1323">
        <f t="shared" si="559"/>
        <v>3.2886149710985051</v>
      </c>
      <c r="G5702" s="1323">
        <f t="shared" si="561"/>
        <v>1991</v>
      </c>
      <c r="H5702" s="1323">
        <f t="shared" si="562"/>
        <v>11</v>
      </c>
      <c r="I5702" s="1323">
        <f t="shared" si="563"/>
        <v>26</v>
      </c>
      <c r="J5702" s="1323"/>
      <c r="K5702" s="1323"/>
      <c r="L5702" s="1323"/>
      <c r="M5702" s="1323"/>
      <c r="N5702" s="1323"/>
      <c r="O5702" s="1323"/>
      <c r="P5702" s="1323"/>
      <c r="Q5702" s="1323"/>
      <c r="R5702" s="1304"/>
      <c r="S5702" s="1304"/>
      <c r="T5702" s="1304"/>
    </row>
    <row r="5703" spans="1:20">
      <c r="A5703" s="1303"/>
      <c r="B5703" s="1322" t="s">
        <v>12658</v>
      </c>
      <c r="C5703" s="1323" t="s">
        <v>12337</v>
      </c>
      <c r="D5703" s="1324">
        <f t="shared" si="558"/>
        <v>33567</v>
      </c>
      <c r="E5703" s="1323">
        <f t="shared" si="560"/>
        <v>2.7747000000000002</v>
      </c>
      <c r="F5703" s="1323">
        <f t="shared" si="559"/>
        <v>3.2879843987480601</v>
      </c>
      <c r="G5703" s="1323">
        <f t="shared" si="561"/>
        <v>1991</v>
      </c>
      <c r="H5703" s="1323">
        <f t="shared" si="562"/>
        <v>11</v>
      </c>
      <c r="I5703" s="1323">
        <f t="shared" si="563"/>
        <v>25</v>
      </c>
      <c r="J5703" s="1323"/>
      <c r="K5703" s="1323"/>
      <c r="L5703" s="1323"/>
      <c r="M5703" s="1323"/>
      <c r="N5703" s="1323"/>
      <c r="O5703" s="1323"/>
      <c r="P5703" s="1323"/>
      <c r="Q5703" s="1323"/>
      <c r="R5703" s="1304"/>
      <c r="S5703" s="1304"/>
      <c r="T5703" s="1304"/>
    </row>
    <row r="5704" spans="1:20">
      <c r="A5704" s="1303"/>
      <c r="B5704" s="1322" t="s">
        <v>12659</v>
      </c>
      <c r="C5704" s="1323" t="s">
        <v>12660</v>
      </c>
      <c r="D5704" s="1324">
        <f t="shared" si="558"/>
        <v>33564</v>
      </c>
      <c r="E5704" s="1323">
        <f t="shared" si="560"/>
        <v>2.7793000000000001</v>
      </c>
      <c r="F5704" s="1323">
        <f t="shared" si="559"/>
        <v>3.2873539473061109</v>
      </c>
      <c r="G5704" s="1323">
        <f t="shared" si="561"/>
        <v>1991</v>
      </c>
      <c r="H5704" s="1323">
        <f t="shared" si="562"/>
        <v>11</v>
      </c>
      <c r="I5704" s="1323">
        <f t="shared" si="563"/>
        <v>22</v>
      </c>
      <c r="J5704" s="1323"/>
      <c r="K5704" s="1323"/>
      <c r="L5704" s="1323"/>
      <c r="M5704" s="1323"/>
      <c r="N5704" s="1323"/>
      <c r="O5704" s="1323"/>
      <c r="P5704" s="1323"/>
      <c r="Q5704" s="1323"/>
      <c r="R5704" s="1304"/>
      <c r="S5704" s="1304"/>
      <c r="T5704" s="1304"/>
    </row>
    <row r="5705" spans="1:20">
      <c r="A5705" s="1303"/>
      <c r="B5705" s="1322" t="s">
        <v>12661</v>
      </c>
      <c r="C5705" s="1323" t="s">
        <v>12585</v>
      </c>
      <c r="D5705" s="1324">
        <f t="shared" ref="D5705:D5768" si="564">DATE(G5705,H5705,I5705)</f>
        <v>33563</v>
      </c>
      <c r="E5705" s="1323">
        <f t="shared" si="560"/>
        <v>2.7847</v>
      </c>
      <c r="F5705" s="1323">
        <f t="shared" ref="F5705:F5768" si="565">F5706*(1+$F$7/365)</f>
        <v>3.286723616749474</v>
      </c>
      <c r="G5705" s="1323">
        <f t="shared" si="561"/>
        <v>1991</v>
      </c>
      <c r="H5705" s="1323">
        <f t="shared" si="562"/>
        <v>11</v>
      </c>
      <c r="I5705" s="1323">
        <f t="shared" si="563"/>
        <v>21</v>
      </c>
      <c r="J5705" s="1323"/>
      <c r="K5705" s="1323"/>
      <c r="L5705" s="1323"/>
      <c r="M5705" s="1323"/>
      <c r="N5705" s="1323"/>
      <c r="O5705" s="1323"/>
      <c r="P5705" s="1323"/>
      <c r="Q5705" s="1323"/>
      <c r="R5705" s="1304"/>
      <c r="S5705" s="1304"/>
      <c r="T5705" s="1304"/>
    </row>
    <row r="5706" spans="1:20">
      <c r="A5706" s="1303"/>
      <c r="B5706" s="1322" t="s">
        <v>12662</v>
      </c>
      <c r="C5706" s="1323" t="s">
        <v>12663</v>
      </c>
      <c r="D5706" s="1324">
        <f t="shared" si="564"/>
        <v>33562</v>
      </c>
      <c r="E5706" s="1323">
        <f t="shared" si="560"/>
        <v>2.7801</v>
      </c>
      <c r="F5706" s="1323">
        <f t="shared" si="565"/>
        <v>3.2860934070549703</v>
      </c>
      <c r="G5706" s="1323">
        <f t="shared" si="561"/>
        <v>1991</v>
      </c>
      <c r="H5706" s="1323">
        <f t="shared" si="562"/>
        <v>11</v>
      </c>
      <c r="I5706" s="1323">
        <f t="shared" si="563"/>
        <v>20</v>
      </c>
      <c r="J5706" s="1323"/>
      <c r="K5706" s="1323"/>
      <c r="L5706" s="1323"/>
      <c r="M5706" s="1323"/>
      <c r="N5706" s="1323"/>
      <c r="O5706" s="1323"/>
      <c r="P5706" s="1323"/>
      <c r="Q5706" s="1323"/>
      <c r="R5706" s="1304"/>
      <c r="S5706" s="1304"/>
      <c r="T5706" s="1304"/>
    </row>
    <row r="5707" spans="1:20">
      <c r="A5707" s="1303"/>
      <c r="B5707" s="1322" t="s">
        <v>12664</v>
      </c>
      <c r="C5707" s="1323" t="s">
        <v>12665</v>
      </c>
      <c r="D5707" s="1324">
        <f t="shared" si="564"/>
        <v>33561</v>
      </c>
      <c r="E5707" s="1323">
        <f t="shared" si="560"/>
        <v>2.7871000000000001</v>
      </c>
      <c r="F5707" s="1323">
        <f t="shared" si="565"/>
        <v>3.2854633181994251</v>
      </c>
      <c r="G5707" s="1323">
        <f t="shared" si="561"/>
        <v>1991</v>
      </c>
      <c r="H5707" s="1323">
        <f t="shared" si="562"/>
        <v>11</v>
      </c>
      <c r="I5707" s="1323">
        <f t="shared" si="563"/>
        <v>19</v>
      </c>
      <c r="J5707" s="1323"/>
      <c r="K5707" s="1323"/>
      <c r="L5707" s="1323"/>
      <c r="M5707" s="1323"/>
      <c r="N5707" s="1323"/>
      <c r="O5707" s="1323"/>
      <c r="P5707" s="1323"/>
      <c r="Q5707" s="1323"/>
      <c r="R5707" s="1304"/>
      <c r="S5707" s="1304"/>
      <c r="T5707" s="1304"/>
    </row>
    <row r="5708" spans="1:20">
      <c r="A5708" s="1303"/>
      <c r="B5708" s="1322" t="s">
        <v>12666</v>
      </c>
      <c r="C5708" s="1323" t="s">
        <v>12667</v>
      </c>
      <c r="D5708" s="1324">
        <f t="shared" si="564"/>
        <v>33560</v>
      </c>
      <c r="E5708" s="1323">
        <f t="shared" si="560"/>
        <v>2.7785000000000002</v>
      </c>
      <c r="F5708" s="1323">
        <f t="shared" si="565"/>
        <v>3.2848333501596683</v>
      </c>
      <c r="G5708" s="1323">
        <f t="shared" si="561"/>
        <v>1991</v>
      </c>
      <c r="H5708" s="1323">
        <f t="shared" si="562"/>
        <v>11</v>
      </c>
      <c r="I5708" s="1323">
        <f t="shared" si="563"/>
        <v>18</v>
      </c>
      <c r="J5708" s="1323"/>
      <c r="K5708" s="1323"/>
      <c r="L5708" s="1323"/>
      <c r="M5708" s="1323"/>
      <c r="N5708" s="1323"/>
      <c r="O5708" s="1323"/>
      <c r="P5708" s="1323"/>
      <c r="Q5708" s="1323"/>
      <c r="R5708" s="1304"/>
      <c r="S5708" s="1304"/>
      <c r="T5708" s="1304"/>
    </row>
    <row r="5709" spans="1:20">
      <c r="A5709" s="1303"/>
      <c r="B5709" s="1322" t="s">
        <v>12668</v>
      </c>
      <c r="C5709" s="1323" t="s">
        <v>12371</v>
      </c>
      <c r="D5709" s="1324">
        <f t="shared" si="564"/>
        <v>33557</v>
      </c>
      <c r="E5709" s="1323">
        <f t="shared" si="560"/>
        <v>2.7940999999999998</v>
      </c>
      <c r="F5709" s="1323">
        <f t="shared" si="565"/>
        <v>3.284203502912534</v>
      </c>
      <c r="G5709" s="1323">
        <f t="shared" si="561"/>
        <v>1991</v>
      </c>
      <c r="H5709" s="1323">
        <f t="shared" si="562"/>
        <v>11</v>
      </c>
      <c r="I5709" s="1323">
        <f t="shared" si="563"/>
        <v>15</v>
      </c>
      <c r="J5709" s="1323"/>
      <c r="K5709" s="1323"/>
      <c r="L5709" s="1323"/>
      <c r="M5709" s="1323"/>
      <c r="N5709" s="1323"/>
      <c r="O5709" s="1323"/>
      <c r="P5709" s="1323"/>
      <c r="Q5709" s="1323"/>
      <c r="R5709" s="1304"/>
      <c r="S5709" s="1304"/>
      <c r="T5709" s="1304"/>
    </row>
    <row r="5710" spans="1:20">
      <c r="A5710" s="1303"/>
      <c r="B5710" s="1322" t="s">
        <v>12669</v>
      </c>
      <c r="C5710" s="1323" t="s">
        <v>12427</v>
      </c>
      <c r="D5710" s="1324">
        <f t="shared" si="564"/>
        <v>33556</v>
      </c>
      <c r="E5710" s="1323">
        <f t="shared" si="560"/>
        <v>2.7955999999999999</v>
      </c>
      <c r="F5710" s="1323">
        <f t="shared" si="565"/>
        <v>3.2835737764348614</v>
      </c>
      <c r="G5710" s="1323">
        <f t="shared" si="561"/>
        <v>1991</v>
      </c>
      <c r="H5710" s="1323">
        <f t="shared" si="562"/>
        <v>11</v>
      </c>
      <c r="I5710" s="1323">
        <f t="shared" si="563"/>
        <v>14</v>
      </c>
      <c r="J5710" s="1323"/>
      <c r="K5710" s="1323"/>
      <c r="L5710" s="1323"/>
      <c r="M5710" s="1323"/>
      <c r="N5710" s="1323"/>
      <c r="O5710" s="1323"/>
      <c r="P5710" s="1323"/>
      <c r="Q5710" s="1323"/>
      <c r="R5710" s="1304"/>
      <c r="S5710" s="1304"/>
      <c r="T5710" s="1304"/>
    </row>
    <row r="5711" spans="1:20">
      <c r="A5711" s="1303"/>
      <c r="B5711" s="1322" t="s">
        <v>12670</v>
      </c>
      <c r="C5711" s="1323" t="s">
        <v>12671</v>
      </c>
      <c r="D5711" s="1324">
        <f t="shared" si="564"/>
        <v>33555</v>
      </c>
      <c r="E5711" s="1323">
        <f t="shared" si="560"/>
        <v>2.8003</v>
      </c>
      <c r="F5711" s="1323">
        <f t="shared" si="565"/>
        <v>3.2829441707034936</v>
      </c>
      <c r="G5711" s="1323">
        <f t="shared" si="561"/>
        <v>1991</v>
      </c>
      <c r="H5711" s="1323">
        <f t="shared" si="562"/>
        <v>11</v>
      </c>
      <c r="I5711" s="1323">
        <f t="shared" si="563"/>
        <v>13</v>
      </c>
      <c r="J5711" s="1323"/>
      <c r="K5711" s="1323"/>
      <c r="L5711" s="1323"/>
      <c r="M5711" s="1323"/>
      <c r="N5711" s="1323"/>
      <c r="O5711" s="1323"/>
      <c r="P5711" s="1323"/>
      <c r="Q5711" s="1323"/>
      <c r="R5711" s="1304"/>
      <c r="S5711" s="1304"/>
      <c r="T5711" s="1304"/>
    </row>
    <row r="5712" spans="1:20">
      <c r="A5712" s="1303"/>
      <c r="B5712" s="1322" t="s">
        <v>12672</v>
      </c>
      <c r="C5712" s="1323" t="s">
        <v>12574</v>
      </c>
      <c r="D5712" s="1324">
        <f t="shared" si="564"/>
        <v>33554</v>
      </c>
      <c r="E5712" s="1323">
        <f t="shared" si="560"/>
        <v>2.798</v>
      </c>
      <c r="F5712" s="1323">
        <f t="shared" si="565"/>
        <v>3.2823146856952778</v>
      </c>
      <c r="G5712" s="1323">
        <f t="shared" si="561"/>
        <v>1991</v>
      </c>
      <c r="H5712" s="1323">
        <f t="shared" si="562"/>
        <v>11</v>
      </c>
      <c r="I5712" s="1323">
        <f t="shared" si="563"/>
        <v>12</v>
      </c>
      <c r="J5712" s="1323"/>
      <c r="K5712" s="1323"/>
      <c r="L5712" s="1323"/>
      <c r="M5712" s="1323"/>
      <c r="N5712" s="1323"/>
      <c r="O5712" s="1323"/>
      <c r="P5712" s="1323"/>
      <c r="Q5712" s="1323"/>
      <c r="R5712" s="1304"/>
      <c r="S5712" s="1304"/>
      <c r="T5712" s="1304"/>
    </row>
    <row r="5713" spans="1:20">
      <c r="A5713" s="1303"/>
      <c r="B5713" s="1322" t="s">
        <v>12673</v>
      </c>
      <c r="C5713" s="1323" t="s">
        <v>12674</v>
      </c>
      <c r="D5713" s="1324">
        <f t="shared" si="564"/>
        <v>33553</v>
      </c>
      <c r="E5713" s="1323">
        <f t="shared" si="560"/>
        <v>2.8069999999999999</v>
      </c>
      <c r="F5713" s="1323">
        <f t="shared" si="565"/>
        <v>3.2816853213870667</v>
      </c>
      <c r="G5713" s="1323">
        <f t="shared" si="561"/>
        <v>1991</v>
      </c>
      <c r="H5713" s="1323">
        <f t="shared" si="562"/>
        <v>11</v>
      </c>
      <c r="I5713" s="1323">
        <f t="shared" si="563"/>
        <v>11</v>
      </c>
      <c r="J5713" s="1323"/>
      <c r="K5713" s="1323"/>
      <c r="L5713" s="1323"/>
      <c r="M5713" s="1323"/>
      <c r="N5713" s="1323"/>
      <c r="O5713" s="1323"/>
      <c r="P5713" s="1323"/>
      <c r="Q5713" s="1323"/>
      <c r="R5713" s="1304"/>
      <c r="S5713" s="1304"/>
      <c r="T5713" s="1304"/>
    </row>
    <row r="5714" spans="1:20">
      <c r="A5714" s="1303"/>
      <c r="B5714" s="1322" t="s">
        <v>12675</v>
      </c>
      <c r="C5714" s="1323" t="s">
        <v>12676</v>
      </c>
      <c r="D5714" s="1324">
        <f t="shared" si="564"/>
        <v>33550</v>
      </c>
      <c r="E5714" s="1323">
        <f t="shared" si="560"/>
        <v>2.8027000000000002</v>
      </c>
      <c r="F5714" s="1323">
        <f t="shared" si="565"/>
        <v>3.2810560777557161</v>
      </c>
      <c r="G5714" s="1323">
        <f t="shared" si="561"/>
        <v>1991</v>
      </c>
      <c r="H5714" s="1323">
        <f t="shared" si="562"/>
        <v>11</v>
      </c>
      <c r="I5714" s="1323">
        <f t="shared" si="563"/>
        <v>8</v>
      </c>
      <c r="J5714" s="1323"/>
      <c r="K5714" s="1323"/>
      <c r="L5714" s="1323"/>
      <c r="M5714" s="1323"/>
      <c r="N5714" s="1323"/>
      <c r="O5714" s="1323"/>
      <c r="P5714" s="1323"/>
      <c r="Q5714" s="1323"/>
      <c r="R5714" s="1304"/>
      <c r="S5714" s="1304"/>
      <c r="T5714" s="1304"/>
    </row>
    <row r="5715" spans="1:20">
      <c r="A5715" s="1303"/>
      <c r="B5715" s="1322" t="s">
        <v>12677</v>
      </c>
      <c r="C5715" s="1323" t="s">
        <v>12678</v>
      </c>
      <c r="D5715" s="1324">
        <f t="shared" si="564"/>
        <v>33549</v>
      </c>
      <c r="E5715" s="1323">
        <f t="shared" si="560"/>
        <v>2.8058000000000001</v>
      </c>
      <c r="F5715" s="1323">
        <f t="shared" si="565"/>
        <v>3.2804269547780871</v>
      </c>
      <c r="G5715" s="1323">
        <f t="shared" si="561"/>
        <v>1991</v>
      </c>
      <c r="H5715" s="1323">
        <f t="shared" si="562"/>
        <v>11</v>
      </c>
      <c r="I5715" s="1323">
        <f t="shared" si="563"/>
        <v>7</v>
      </c>
      <c r="J5715" s="1323"/>
      <c r="K5715" s="1323"/>
      <c r="L5715" s="1323"/>
      <c r="M5715" s="1323"/>
      <c r="N5715" s="1323"/>
      <c r="O5715" s="1323"/>
      <c r="P5715" s="1323"/>
      <c r="Q5715" s="1323"/>
      <c r="R5715" s="1304"/>
      <c r="S5715" s="1304"/>
      <c r="T5715" s="1304"/>
    </row>
    <row r="5716" spans="1:20">
      <c r="A5716" s="1303"/>
      <c r="B5716" s="1322" t="s">
        <v>12679</v>
      </c>
      <c r="C5716" s="1323" t="s">
        <v>12610</v>
      </c>
      <c r="D5716" s="1324">
        <f t="shared" si="564"/>
        <v>33548</v>
      </c>
      <c r="E5716" s="1323">
        <f t="shared" si="560"/>
        <v>2.8073999999999999</v>
      </c>
      <c r="F5716" s="1323">
        <f t="shared" si="565"/>
        <v>3.2797979524310454</v>
      </c>
      <c r="G5716" s="1323">
        <f t="shared" si="561"/>
        <v>1991</v>
      </c>
      <c r="H5716" s="1323">
        <f t="shared" si="562"/>
        <v>11</v>
      </c>
      <c r="I5716" s="1323">
        <f t="shared" si="563"/>
        <v>6</v>
      </c>
      <c r="J5716" s="1323"/>
      <c r="K5716" s="1323"/>
      <c r="L5716" s="1323"/>
      <c r="M5716" s="1323"/>
      <c r="N5716" s="1323"/>
      <c r="O5716" s="1323"/>
      <c r="P5716" s="1323"/>
      <c r="Q5716" s="1323"/>
      <c r="R5716" s="1304"/>
      <c r="S5716" s="1304"/>
      <c r="T5716" s="1304"/>
    </row>
    <row r="5717" spans="1:20">
      <c r="A5717" s="1303"/>
      <c r="B5717" s="1322" t="s">
        <v>12680</v>
      </c>
      <c r="C5717" s="1323" t="s">
        <v>12681</v>
      </c>
      <c r="D5717" s="1324">
        <f t="shared" si="564"/>
        <v>33547</v>
      </c>
      <c r="E5717" s="1323">
        <f t="shared" si="560"/>
        <v>2.8043</v>
      </c>
      <c r="F5717" s="1323">
        <f t="shared" si="565"/>
        <v>3.2791690706914607</v>
      </c>
      <c r="G5717" s="1323">
        <f t="shared" si="561"/>
        <v>1991</v>
      </c>
      <c r="H5717" s="1323">
        <f t="shared" si="562"/>
        <v>11</v>
      </c>
      <c r="I5717" s="1323">
        <f t="shared" si="563"/>
        <v>5</v>
      </c>
      <c r="J5717" s="1323"/>
      <c r="K5717" s="1323"/>
      <c r="L5717" s="1323"/>
      <c r="M5717" s="1323"/>
      <c r="N5717" s="1323"/>
      <c r="O5717" s="1323"/>
      <c r="P5717" s="1323"/>
      <c r="Q5717" s="1323"/>
      <c r="R5717" s="1304"/>
      <c r="S5717" s="1304"/>
      <c r="T5717" s="1304"/>
    </row>
    <row r="5718" spans="1:20">
      <c r="A5718" s="1303"/>
      <c r="B5718" s="1322" t="s">
        <v>12682</v>
      </c>
      <c r="C5718" s="1323" t="s">
        <v>12435</v>
      </c>
      <c r="D5718" s="1324">
        <f t="shared" si="564"/>
        <v>33546</v>
      </c>
      <c r="E5718" s="1323">
        <f t="shared" ref="E5718:E5781" si="566">VALUE(C5719)</f>
        <v>2.8121</v>
      </c>
      <c r="F5718" s="1323">
        <f t="shared" si="565"/>
        <v>3.2785403095362069</v>
      </c>
      <c r="G5718" s="1323">
        <f t="shared" ref="G5718:G5781" si="567">YEAR(B5719)</f>
        <v>1991</v>
      </c>
      <c r="H5718" s="1323">
        <f t="shared" ref="H5718:H5781" si="568">MONTH(B5719)</f>
        <v>11</v>
      </c>
      <c r="I5718" s="1323">
        <f t="shared" ref="I5718:I5781" si="569">DAY(B5719)</f>
        <v>4</v>
      </c>
      <c r="J5718" s="1323"/>
      <c r="K5718" s="1323"/>
      <c r="L5718" s="1323"/>
      <c r="M5718" s="1323"/>
      <c r="N5718" s="1323"/>
      <c r="O5718" s="1323"/>
      <c r="P5718" s="1323"/>
      <c r="Q5718" s="1323"/>
      <c r="R5718" s="1304"/>
      <c r="S5718" s="1304"/>
      <c r="T5718" s="1304"/>
    </row>
    <row r="5719" spans="1:20">
      <c r="A5719" s="1303"/>
      <c r="B5719" s="1322" t="s">
        <v>12683</v>
      </c>
      <c r="C5719" s="1323" t="s">
        <v>12608</v>
      </c>
      <c r="D5719" s="1324">
        <f t="shared" si="564"/>
        <v>33543</v>
      </c>
      <c r="E5719" s="1323">
        <f t="shared" si="566"/>
        <v>2.8313000000000001</v>
      </c>
      <c r="F5719" s="1323">
        <f t="shared" si="565"/>
        <v>3.277911668942163</v>
      </c>
      <c r="G5719" s="1323">
        <f t="shared" si="567"/>
        <v>1991</v>
      </c>
      <c r="H5719" s="1323">
        <f t="shared" si="568"/>
        <v>11</v>
      </c>
      <c r="I5719" s="1323">
        <f t="shared" si="569"/>
        <v>1</v>
      </c>
      <c r="J5719" s="1323"/>
      <c r="K5719" s="1323"/>
      <c r="L5719" s="1323"/>
      <c r="M5719" s="1323"/>
      <c r="N5719" s="1323"/>
      <c r="O5719" s="1323"/>
      <c r="P5719" s="1323"/>
      <c r="Q5719" s="1323"/>
      <c r="R5719" s="1304"/>
      <c r="S5719" s="1304"/>
      <c r="T5719" s="1304"/>
    </row>
    <row r="5720" spans="1:20">
      <c r="A5720" s="1303"/>
      <c r="B5720" s="1322" t="s">
        <v>12684</v>
      </c>
      <c r="C5720" s="1323" t="s">
        <v>12685</v>
      </c>
      <c r="D5720" s="1324">
        <f t="shared" si="564"/>
        <v>33542</v>
      </c>
      <c r="E5720" s="1323">
        <f t="shared" si="566"/>
        <v>2.8317000000000001</v>
      </c>
      <c r="F5720" s="1323">
        <f t="shared" si="565"/>
        <v>3.277283148886212</v>
      </c>
      <c r="G5720" s="1323">
        <f t="shared" si="567"/>
        <v>1991</v>
      </c>
      <c r="H5720" s="1323">
        <f t="shared" si="568"/>
        <v>10</v>
      </c>
      <c r="I5720" s="1323">
        <f t="shared" si="569"/>
        <v>31</v>
      </c>
      <c r="J5720" s="1323"/>
      <c r="K5720" s="1323"/>
      <c r="L5720" s="1323"/>
      <c r="M5720" s="1323"/>
      <c r="N5720" s="1323"/>
      <c r="O5720" s="1323"/>
      <c r="P5720" s="1323"/>
      <c r="Q5720" s="1323"/>
      <c r="R5720" s="1304"/>
      <c r="S5720" s="1304"/>
      <c r="T5720" s="1304"/>
    </row>
    <row r="5721" spans="1:20">
      <c r="A5721" s="1303"/>
      <c r="B5721" s="1322" t="s">
        <v>12686</v>
      </c>
      <c r="C5721" s="1323" t="s">
        <v>12687</v>
      </c>
      <c r="D5721" s="1324">
        <f t="shared" si="564"/>
        <v>33541</v>
      </c>
      <c r="E5721" s="1323">
        <f t="shared" si="566"/>
        <v>2.8401000000000001</v>
      </c>
      <c r="F5721" s="1323">
        <f t="shared" si="565"/>
        <v>3.2766547493452416</v>
      </c>
      <c r="G5721" s="1323">
        <f t="shared" si="567"/>
        <v>1991</v>
      </c>
      <c r="H5721" s="1323">
        <f t="shared" si="568"/>
        <v>10</v>
      </c>
      <c r="I5721" s="1323">
        <f t="shared" si="569"/>
        <v>30</v>
      </c>
      <c r="J5721" s="1323"/>
      <c r="K5721" s="1323"/>
      <c r="L5721" s="1323"/>
      <c r="M5721" s="1323"/>
      <c r="N5721" s="1323"/>
      <c r="O5721" s="1323"/>
      <c r="P5721" s="1323"/>
      <c r="Q5721" s="1323"/>
      <c r="R5721" s="1304"/>
      <c r="S5721" s="1304"/>
      <c r="T5721" s="1304"/>
    </row>
    <row r="5722" spans="1:20">
      <c r="A5722" s="1303"/>
      <c r="B5722" s="1322" t="s">
        <v>12688</v>
      </c>
      <c r="C5722" s="1323" t="s">
        <v>12313</v>
      </c>
      <c r="D5722" s="1324">
        <f t="shared" si="564"/>
        <v>33540</v>
      </c>
      <c r="E5722" s="1323">
        <f t="shared" si="566"/>
        <v>2.8592</v>
      </c>
      <c r="F5722" s="1323">
        <f t="shared" si="565"/>
        <v>3.2760264702961437</v>
      </c>
      <c r="G5722" s="1323">
        <f t="shared" si="567"/>
        <v>1991</v>
      </c>
      <c r="H5722" s="1323">
        <f t="shared" si="568"/>
        <v>10</v>
      </c>
      <c r="I5722" s="1323">
        <f t="shared" si="569"/>
        <v>29</v>
      </c>
      <c r="J5722" s="1323"/>
      <c r="K5722" s="1323"/>
      <c r="L5722" s="1323"/>
      <c r="M5722" s="1323"/>
      <c r="N5722" s="1323"/>
      <c r="O5722" s="1323"/>
      <c r="P5722" s="1323"/>
      <c r="Q5722" s="1323"/>
      <c r="R5722" s="1304"/>
      <c r="S5722" s="1304"/>
      <c r="T5722" s="1304"/>
    </row>
    <row r="5723" spans="1:20">
      <c r="A5723" s="1303"/>
      <c r="B5723" s="1322" t="s">
        <v>12689</v>
      </c>
      <c r="C5723" s="1323" t="s">
        <v>12556</v>
      </c>
      <c r="D5723" s="1324">
        <f t="shared" si="564"/>
        <v>33539</v>
      </c>
      <c r="E5723" s="1323">
        <f t="shared" si="566"/>
        <v>2.8531</v>
      </c>
      <c r="F5723" s="1323">
        <f t="shared" si="565"/>
        <v>3.2753983117158145</v>
      </c>
      <c r="G5723" s="1323">
        <f t="shared" si="567"/>
        <v>1991</v>
      </c>
      <c r="H5723" s="1323">
        <f t="shared" si="568"/>
        <v>10</v>
      </c>
      <c r="I5723" s="1323">
        <f t="shared" si="569"/>
        <v>28</v>
      </c>
      <c r="J5723" s="1323"/>
      <c r="K5723" s="1323"/>
      <c r="L5723" s="1323"/>
      <c r="M5723" s="1323"/>
      <c r="N5723" s="1323"/>
      <c r="O5723" s="1323"/>
      <c r="P5723" s="1323"/>
      <c r="Q5723" s="1323"/>
      <c r="R5723" s="1304"/>
      <c r="S5723" s="1304"/>
      <c r="T5723" s="1304"/>
    </row>
    <row r="5724" spans="1:20">
      <c r="A5724" s="1303"/>
      <c r="B5724" s="1322" t="s">
        <v>12690</v>
      </c>
      <c r="C5724" s="1323" t="s">
        <v>12317</v>
      </c>
      <c r="D5724" s="1324">
        <f t="shared" si="564"/>
        <v>33536</v>
      </c>
      <c r="E5724" s="1323">
        <f t="shared" si="566"/>
        <v>2.8498000000000001</v>
      </c>
      <c r="F5724" s="1323">
        <f t="shared" si="565"/>
        <v>3.2747702735811548</v>
      </c>
      <c r="G5724" s="1323">
        <f t="shared" si="567"/>
        <v>1991</v>
      </c>
      <c r="H5724" s="1323">
        <f t="shared" si="568"/>
        <v>10</v>
      </c>
      <c r="I5724" s="1323">
        <f t="shared" si="569"/>
        <v>25</v>
      </c>
      <c r="J5724" s="1323"/>
      <c r="K5724" s="1323"/>
      <c r="L5724" s="1323"/>
      <c r="M5724" s="1323"/>
      <c r="N5724" s="1323"/>
      <c r="O5724" s="1323"/>
      <c r="P5724" s="1323"/>
      <c r="Q5724" s="1323"/>
      <c r="R5724" s="1304"/>
      <c r="S5724" s="1304"/>
      <c r="T5724" s="1304"/>
    </row>
    <row r="5725" spans="1:20">
      <c r="A5725" s="1303"/>
      <c r="B5725" s="1322" t="s">
        <v>12691</v>
      </c>
      <c r="C5725" s="1323" t="s">
        <v>12462</v>
      </c>
      <c r="D5725" s="1324">
        <f t="shared" si="564"/>
        <v>33535</v>
      </c>
      <c r="E5725" s="1323">
        <f t="shared" si="566"/>
        <v>2.8466</v>
      </c>
      <c r="F5725" s="1323">
        <f t="shared" si="565"/>
        <v>3.2741423558690701</v>
      </c>
      <c r="G5725" s="1323">
        <f t="shared" si="567"/>
        <v>1991</v>
      </c>
      <c r="H5725" s="1323">
        <f t="shared" si="568"/>
        <v>10</v>
      </c>
      <c r="I5725" s="1323">
        <f t="shared" si="569"/>
        <v>24</v>
      </c>
      <c r="J5725" s="1323"/>
      <c r="K5725" s="1323"/>
      <c r="L5725" s="1323"/>
      <c r="M5725" s="1323"/>
      <c r="N5725" s="1323"/>
      <c r="O5725" s="1323"/>
      <c r="P5725" s="1323"/>
      <c r="Q5725" s="1323"/>
      <c r="R5725" s="1304"/>
      <c r="S5725" s="1304"/>
      <c r="T5725" s="1304"/>
    </row>
    <row r="5726" spans="1:20">
      <c r="A5726" s="1303"/>
      <c r="B5726" s="1322" t="s">
        <v>12692</v>
      </c>
      <c r="C5726" s="1323" t="s">
        <v>12315</v>
      </c>
      <c r="D5726" s="1324">
        <f t="shared" si="564"/>
        <v>33534</v>
      </c>
      <c r="E5726" s="1323">
        <f t="shared" si="566"/>
        <v>2.8433000000000002</v>
      </c>
      <c r="F5726" s="1323">
        <f t="shared" si="565"/>
        <v>3.27351455855647</v>
      </c>
      <c r="G5726" s="1323">
        <f t="shared" si="567"/>
        <v>1991</v>
      </c>
      <c r="H5726" s="1323">
        <f t="shared" si="568"/>
        <v>10</v>
      </c>
      <c r="I5726" s="1323">
        <f t="shared" si="569"/>
        <v>23</v>
      </c>
      <c r="J5726" s="1323"/>
      <c r="K5726" s="1323"/>
      <c r="L5726" s="1323"/>
      <c r="M5726" s="1323"/>
      <c r="N5726" s="1323"/>
      <c r="O5726" s="1323"/>
      <c r="P5726" s="1323"/>
      <c r="Q5726" s="1323"/>
      <c r="R5726" s="1304"/>
      <c r="S5726" s="1304"/>
      <c r="T5726" s="1304"/>
    </row>
    <row r="5727" spans="1:20">
      <c r="A5727" s="1303"/>
      <c r="B5727" s="1322" t="s">
        <v>12693</v>
      </c>
      <c r="C5727" s="1323" t="s">
        <v>12694</v>
      </c>
      <c r="D5727" s="1324">
        <f t="shared" si="564"/>
        <v>33533</v>
      </c>
      <c r="E5727" s="1323">
        <f t="shared" si="566"/>
        <v>2.8353000000000002</v>
      </c>
      <c r="F5727" s="1323">
        <f t="shared" si="565"/>
        <v>3.2728868816202685</v>
      </c>
      <c r="G5727" s="1323">
        <f t="shared" si="567"/>
        <v>1991</v>
      </c>
      <c r="H5727" s="1323">
        <f t="shared" si="568"/>
        <v>10</v>
      </c>
      <c r="I5727" s="1323">
        <f t="shared" si="569"/>
        <v>22</v>
      </c>
      <c r="J5727" s="1323"/>
      <c r="K5727" s="1323"/>
      <c r="L5727" s="1323"/>
      <c r="M5727" s="1323"/>
      <c r="N5727" s="1323"/>
      <c r="O5727" s="1323"/>
      <c r="P5727" s="1323"/>
      <c r="Q5727" s="1323"/>
      <c r="R5727" s="1304"/>
      <c r="S5727" s="1304"/>
      <c r="T5727" s="1304"/>
    </row>
    <row r="5728" spans="1:20">
      <c r="A5728" s="1303"/>
      <c r="B5728" s="1322" t="s">
        <v>12695</v>
      </c>
      <c r="C5728" s="1323" t="s">
        <v>12460</v>
      </c>
      <c r="D5728" s="1324">
        <f t="shared" si="564"/>
        <v>33532</v>
      </c>
      <c r="E5728" s="1323">
        <f t="shared" si="566"/>
        <v>2.8321000000000001</v>
      </c>
      <c r="F5728" s="1323">
        <f t="shared" si="565"/>
        <v>3.2722593250373846</v>
      </c>
      <c r="G5728" s="1323">
        <f t="shared" si="567"/>
        <v>1991</v>
      </c>
      <c r="H5728" s="1323">
        <f t="shared" si="568"/>
        <v>10</v>
      </c>
      <c r="I5728" s="1323">
        <f t="shared" si="569"/>
        <v>21</v>
      </c>
      <c r="J5728" s="1323"/>
      <c r="K5728" s="1323"/>
      <c r="L5728" s="1323"/>
      <c r="M5728" s="1323"/>
      <c r="N5728" s="1323"/>
      <c r="O5728" s="1323"/>
      <c r="P5728" s="1323"/>
      <c r="Q5728" s="1323"/>
      <c r="R5728" s="1304"/>
      <c r="S5728" s="1304"/>
      <c r="T5728" s="1304"/>
    </row>
    <row r="5729" spans="1:20">
      <c r="A5729" s="1303"/>
      <c r="B5729" s="1322" t="s">
        <v>12696</v>
      </c>
      <c r="C5729" s="1323" t="s">
        <v>12469</v>
      </c>
      <c r="D5729" s="1324">
        <f t="shared" si="564"/>
        <v>33529</v>
      </c>
      <c r="E5729" s="1323">
        <f t="shared" si="566"/>
        <v>2.8321000000000001</v>
      </c>
      <c r="F5729" s="1323">
        <f t="shared" si="565"/>
        <v>3.2716318887847406</v>
      </c>
      <c r="G5729" s="1323">
        <f t="shared" si="567"/>
        <v>1991</v>
      </c>
      <c r="H5729" s="1323">
        <f t="shared" si="568"/>
        <v>10</v>
      </c>
      <c r="I5729" s="1323">
        <f t="shared" si="569"/>
        <v>18</v>
      </c>
      <c r="J5729" s="1323"/>
      <c r="K5729" s="1323"/>
      <c r="L5729" s="1323"/>
      <c r="M5729" s="1323"/>
      <c r="N5729" s="1323"/>
      <c r="O5729" s="1323"/>
      <c r="P5729" s="1323"/>
      <c r="Q5729" s="1323"/>
      <c r="R5729" s="1304"/>
      <c r="S5729" s="1304"/>
      <c r="T5729" s="1304"/>
    </row>
    <row r="5730" spans="1:20">
      <c r="A5730" s="1303"/>
      <c r="B5730" s="1322" t="s">
        <v>12697</v>
      </c>
      <c r="C5730" s="1323" t="s">
        <v>12469</v>
      </c>
      <c r="D5730" s="1324">
        <f t="shared" si="564"/>
        <v>33528</v>
      </c>
      <c r="E5730" s="1323">
        <f t="shared" si="566"/>
        <v>2.8353000000000002</v>
      </c>
      <c r="F5730" s="1323">
        <f t="shared" si="565"/>
        <v>3.2710045728392645</v>
      </c>
      <c r="G5730" s="1323">
        <f t="shared" si="567"/>
        <v>1991</v>
      </c>
      <c r="H5730" s="1323">
        <f t="shared" si="568"/>
        <v>10</v>
      </c>
      <c r="I5730" s="1323">
        <f t="shared" si="569"/>
        <v>17</v>
      </c>
      <c r="J5730" s="1323"/>
      <c r="K5730" s="1323"/>
      <c r="L5730" s="1323"/>
      <c r="M5730" s="1323"/>
      <c r="N5730" s="1323"/>
      <c r="O5730" s="1323"/>
      <c r="P5730" s="1323"/>
      <c r="Q5730" s="1323"/>
      <c r="R5730" s="1304"/>
      <c r="S5730" s="1304"/>
      <c r="T5730" s="1304"/>
    </row>
    <row r="5731" spans="1:20">
      <c r="A5731" s="1303"/>
      <c r="B5731" s="1322" t="s">
        <v>12698</v>
      </c>
      <c r="C5731" s="1323" t="s">
        <v>12460</v>
      </c>
      <c r="D5731" s="1324">
        <f t="shared" si="564"/>
        <v>33527</v>
      </c>
      <c r="E5731" s="1323">
        <f t="shared" si="566"/>
        <v>2.8369</v>
      </c>
      <c r="F5731" s="1323">
        <f t="shared" si="565"/>
        <v>3.2703773771778879</v>
      </c>
      <c r="G5731" s="1323">
        <f t="shared" si="567"/>
        <v>1991</v>
      </c>
      <c r="H5731" s="1323">
        <f t="shared" si="568"/>
        <v>10</v>
      </c>
      <c r="I5731" s="1323">
        <f t="shared" si="569"/>
        <v>16</v>
      </c>
      <c r="J5731" s="1323"/>
      <c r="K5731" s="1323"/>
      <c r="L5731" s="1323"/>
      <c r="M5731" s="1323"/>
      <c r="N5731" s="1323"/>
      <c r="O5731" s="1323"/>
      <c r="P5731" s="1323"/>
      <c r="Q5731" s="1323"/>
      <c r="R5731" s="1304"/>
      <c r="S5731" s="1304"/>
      <c r="T5731" s="1304"/>
    </row>
    <row r="5732" spans="1:20">
      <c r="A5732" s="1303"/>
      <c r="B5732" s="1322" t="s">
        <v>12699</v>
      </c>
      <c r="C5732" s="1323" t="s">
        <v>12700</v>
      </c>
      <c r="D5732" s="1324">
        <f t="shared" si="564"/>
        <v>33526</v>
      </c>
      <c r="E5732" s="1323">
        <f t="shared" si="566"/>
        <v>2.8336999999999999</v>
      </c>
      <c r="F5732" s="1323">
        <f t="shared" si="565"/>
        <v>3.2697503017775471</v>
      </c>
      <c r="G5732" s="1323">
        <f t="shared" si="567"/>
        <v>1991</v>
      </c>
      <c r="H5732" s="1323">
        <f t="shared" si="568"/>
        <v>10</v>
      </c>
      <c r="I5732" s="1323">
        <f t="shared" si="569"/>
        <v>15</v>
      </c>
      <c r="J5732" s="1323"/>
      <c r="K5732" s="1323"/>
      <c r="L5732" s="1323"/>
      <c r="M5732" s="1323"/>
      <c r="N5732" s="1323"/>
      <c r="O5732" s="1323"/>
      <c r="P5732" s="1323"/>
      <c r="Q5732" s="1323"/>
      <c r="R5732" s="1304"/>
      <c r="S5732" s="1304"/>
      <c r="T5732" s="1304"/>
    </row>
    <row r="5733" spans="1:20">
      <c r="A5733" s="1303"/>
      <c r="B5733" s="1322" t="s">
        <v>12701</v>
      </c>
      <c r="C5733" s="1323" t="s">
        <v>12466</v>
      </c>
      <c r="D5733" s="1324">
        <f t="shared" si="564"/>
        <v>33525</v>
      </c>
      <c r="E5733" s="1323">
        <f t="shared" si="566"/>
        <v>2.8224999999999998</v>
      </c>
      <c r="F5733" s="1323">
        <f t="shared" si="565"/>
        <v>3.2691233466151823</v>
      </c>
      <c r="G5733" s="1323">
        <f t="shared" si="567"/>
        <v>1991</v>
      </c>
      <c r="H5733" s="1323">
        <f t="shared" si="568"/>
        <v>10</v>
      </c>
      <c r="I5733" s="1323">
        <f t="shared" si="569"/>
        <v>14</v>
      </c>
      <c r="J5733" s="1323"/>
      <c r="K5733" s="1323"/>
      <c r="L5733" s="1323"/>
      <c r="M5733" s="1323"/>
      <c r="N5733" s="1323"/>
      <c r="O5733" s="1323"/>
      <c r="P5733" s="1323"/>
      <c r="Q5733" s="1323"/>
      <c r="R5733" s="1304"/>
      <c r="S5733" s="1304"/>
      <c r="T5733" s="1304"/>
    </row>
    <row r="5734" spans="1:20">
      <c r="A5734" s="1303"/>
      <c r="B5734" s="1322" t="s">
        <v>12702</v>
      </c>
      <c r="C5734" s="1323" t="s">
        <v>12703</v>
      </c>
      <c r="D5734" s="1324">
        <f t="shared" si="564"/>
        <v>33522</v>
      </c>
      <c r="E5734" s="1323">
        <f t="shared" si="566"/>
        <v>2.8264999999999998</v>
      </c>
      <c r="F5734" s="1323">
        <f t="shared" si="565"/>
        <v>3.2684965116677391</v>
      </c>
      <c r="G5734" s="1323">
        <f t="shared" si="567"/>
        <v>1991</v>
      </c>
      <c r="H5734" s="1323">
        <f t="shared" si="568"/>
        <v>10</v>
      </c>
      <c r="I5734" s="1323">
        <f t="shared" si="569"/>
        <v>11</v>
      </c>
      <c r="J5734" s="1323"/>
      <c r="K5734" s="1323"/>
      <c r="L5734" s="1323"/>
      <c r="M5734" s="1323"/>
      <c r="N5734" s="1323"/>
      <c r="O5734" s="1323"/>
      <c r="P5734" s="1323"/>
      <c r="Q5734" s="1323"/>
      <c r="R5734" s="1304"/>
      <c r="S5734" s="1304"/>
      <c r="T5734" s="1304"/>
    </row>
    <row r="5735" spans="1:20">
      <c r="A5735" s="1303"/>
      <c r="B5735" s="1322" t="s">
        <v>12704</v>
      </c>
      <c r="C5735" s="1323" t="s">
        <v>12471</v>
      </c>
      <c r="D5735" s="1324">
        <f t="shared" si="564"/>
        <v>33520</v>
      </c>
      <c r="E5735" s="1323">
        <f t="shared" si="566"/>
        <v>2.8344999999999998</v>
      </c>
      <c r="F5735" s="1323">
        <f t="shared" si="565"/>
        <v>3.2678697969121666</v>
      </c>
      <c r="G5735" s="1323">
        <f t="shared" si="567"/>
        <v>1991</v>
      </c>
      <c r="H5735" s="1323">
        <f t="shared" si="568"/>
        <v>10</v>
      </c>
      <c r="I5735" s="1323">
        <f t="shared" si="569"/>
        <v>9</v>
      </c>
      <c r="J5735" s="1323"/>
      <c r="K5735" s="1323"/>
      <c r="L5735" s="1323"/>
      <c r="M5735" s="1323"/>
      <c r="N5735" s="1323"/>
      <c r="O5735" s="1323"/>
      <c r="P5735" s="1323"/>
      <c r="Q5735" s="1323"/>
      <c r="R5735" s="1304"/>
      <c r="S5735" s="1304"/>
      <c r="T5735" s="1304"/>
    </row>
    <row r="5736" spans="1:20">
      <c r="A5736" s="1303"/>
      <c r="B5736" s="1322" t="s">
        <v>12705</v>
      </c>
      <c r="C5736" s="1323" t="s">
        <v>12299</v>
      </c>
      <c r="D5736" s="1324">
        <f t="shared" si="564"/>
        <v>33519</v>
      </c>
      <c r="E5736" s="1323">
        <f t="shared" si="566"/>
        <v>2.8169</v>
      </c>
      <c r="F5736" s="1323">
        <f t="shared" si="565"/>
        <v>3.2672432023254192</v>
      </c>
      <c r="G5736" s="1323">
        <f t="shared" si="567"/>
        <v>1991</v>
      </c>
      <c r="H5736" s="1323">
        <f t="shared" si="568"/>
        <v>10</v>
      </c>
      <c r="I5736" s="1323">
        <f t="shared" si="569"/>
        <v>8</v>
      </c>
      <c r="J5736" s="1323"/>
      <c r="K5736" s="1323"/>
      <c r="L5736" s="1323"/>
      <c r="M5736" s="1323"/>
      <c r="N5736" s="1323"/>
      <c r="O5736" s="1323"/>
      <c r="P5736" s="1323"/>
      <c r="Q5736" s="1323"/>
      <c r="R5736" s="1304"/>
      <c r="S5736" s="1304"/>
      <c r="T5736" s="1304"/>
    </row>
    <row r="5737" spans="1:20">
      <c r="A5737" s="1303"/>
      <c r="B5737" s="1322" t="s">
        <v>12706</v>
      </c>
      <c r="C5737" s="1323" t="s">
        <v>12707</v>
      </c>
      <c r="D5737" s="1324">
        <f t="shared" si="564"/>
        <v>33518</v>
      </c>
      <c r="E5737" s="1323">
        <f t="shared" si="566"/>
        <v>2.8144999999999998</v>
      </c>
      <c r="F5737" s="1323">
        <f t="shared" si="565"/>
        <v>3.2666167278844549</v>
      </c>
      <c r="G5737" s="1323">
        <f t="shared" si="567"/>
        <v>1991</v>
      </c>
      <c r="H5737" s="1323">
        <f t="shared" si="568"/>
        <v>10</v>
      </c>
      <c r="I5737" s="1323">
        <f t="shared" si="569"/>
        <v>7</v>
      </c>
      <c r="J5737" s="1323"/>
      <c r="K5737" s="1323"/>
      <c r="L5737" s="1323"/>
      <c r="M5737" s="1323"/>
      <c r="N5737" s="1323"/>
      <c r="O5737" s="1323"/>
      <c r="P5737" s="1323"/>
      <c r="Q5737" s="1323"/>
      <c r="R5737" s="1304"/>
      <c r="S5737" s="1304"/>
      <c r="T5737" s="1304"/>
    </row>
    <row r="5738" spans="1:20">
      <c r="A5738" s="1303"/>
      <c r="B5738" s="1322" t="s">
        <v>12708</v>
      </c>
      <c r="C5738" s="1323" t="s">
        <v>12437</v>
      </c>
      <c r="D5738" s="1324">
        <f t="shared" si="564"/>
        <v>33515</v>
      </c>
      <c r="E5738" s="1323">
        <f t="shared" si="566"/>
        <v>2.8043</v>
      </c>
      <c r="F5738" s="1323">
        <f t="shared" si="565"/>
        <v>3.2659903735662366</v>
      </c>
      <c r="G5738" s="1323">
        <f t="shared" si="567"/>
        <v>1991</v>
      </c>
      <c r="H5738" s="1323">
        <f t="shared" si="568"/>
        <v>10</v>
      </c>
      <c r="I5738" s="1323">
        <f t="shared" si="569"/>
        <v>4</v>
      </c>
      <c r="J5738" s="1323"/>
      <c r="K5738" s="1323"/>
      <c r="L5738" s="1323"/>
      <c r="M5738" s="1323"/>
      <c r="N5738" s="1323"/>
      <c r="O5738" s="1323"/>
      <c r="P5738" s="1323"/>
      <c r="Q5738" s="1323"/>
      <c r="R5738" s="1304"/>
      <c r="S5738" s="1304"/>
      <c r="T5738" s="1304"/>
    </row>
    <row r="5739" spans="1:20">
      <c r="A5739" s="1303"/>
      <c r="B5739" s="1322" t="s">
        <v>12709</v>
      </c>
      <c r="C5739" s="1323" t="s">
        <v>12435</v>
      </c>
      <c r="D5739" s="1324">
        <f t="shared" si="564"/>
        <v>33514</v>
      </c>
      <c r="E5739" s="1323">
        <f t="shared" si="566"/>
        <v>2.8066</v>
      </c>
      <c r="F5739" s="1323">
        <f t="shared" si="565"/>
        <v>3.2653641393477315</v>
      </c>
      <c r="G5739" s="1323">
        <f t="shared" si="567"/>
        <v>1991</v>
      </c>
      <c r="H5739" s="1323">
        <f t="shared" si="568"/>
        <v>10</v>
      </c>
      <c r="I5739" s="1323">
        <f t="shared" si="569"/>
        <v>3</v>
      </c>
      <c r="J5739" s="1323"/>
      <c r="K5739" s="1323"/>
      <c r="L5739" s="1323"/>
      <c r="M5739" s="1323"/>
      <c r="N5739" s="1323"/>
      <c r="O5739" s="1323"/>
      <c r="P5739" s="1323"/>
      <c r="Q5739" s="1323"/>
      <c r="R5739" s="1304"/>
      <c r="S5739" s="1304"/>
      <c r="T5739" s="1304"/>
    </row>
    <row r="5740" spans="1:20">
      <c r="A5740" s="1303"/>
      <c r="B5740" s="1322" t="s">
        <v>12710</v>
      </c>
      <c r="C5740" s="1323" t="s">
        <v>12711</v>
      </c>
      <c r="D5740" s="1324">
        <f t="shared" si="564"/>
        <v>33513</v>
      </c>
      <c r="E5740" s="1323">
        <f t="shared" si="566"/>
        <v>2.8069999999999999</v>
      </c>
      <c r="F5740" s="1323">
        <f t="shared" si="565"/>
        <v>3.2647380252059111</v>
      </c>
      <c r="G5740" s="1323">
        <f t="shared" si="567"/>
        <v>1991</v>
      </c>
      <c r="H5740" s="1323">
        <f t="shared" si="568"/>
        <v>10</v>
      </c>
      <c r="I5740" s="1323">
        <f t="shared" si="569"/>
        <v>2</v>
      </c>
      <c r="J5740" s="1323"/>
      <c r="K5740" s="1323"/>
      <c r="L5740" s="1323"/>
      <c r="M5740" s="1323"/>
      <c r="N5740" s="1323"/>
      <c r="O5740" s="1323"/>
      <c r="P5740" s="1323"/>
      <c r="Q5740" s="1323"/>
      <c r="R5740" s="1304"/>
      <c r="S5740" s="1304"/>
      <c r="T5740" s="1304"/>
    </row>
    <row r="5741" spans="1:20">
      <c r="A5741" s="1303"/>
      <c r="B5741" s="1322" t="s">
        <v>12712</v>
      </c>
      <c r="C5741" s="1323" t="s">
        <v>12676</v>
      </c>
      <c r="D5741" s="1324">
        <f t="shared" si="564"/>
        <v>33512</v>
      </c>
      <c r="E5741" s="1323">
        <f t="shared" si="566"/>
        <v>2.8058000000000001</v>
      </c>
      <c r="F5741" s="1323">
        <f t="shared" si="565"/>
        <v>3.2641120311177514</v>
      </c>
      <c r="G5741" s="1323">
        <f t="shared" si="567"/>
        <v>1991</v>
      </c>
      <c r="H5741" s="1323">
        <f t="shared" si="568"/>
        <v>10</v>
      </c>
      <c r="I5741" s="1323">
        <f t="shared" si="569"/>
        <v>1</v>
      </c>
      <c r="J5741" s="1323"/>
      <c r="K5741" s="1323"/>
      <c r="L5741" s="1323"/>
      <c r="M5741" s="1323"/>
      <c r="N5741" s="1323"/>
      <c r="O5741" s="1323"/>
      <c r="P5741" s="1323"/>
      <c r="Q5741" s="1323"/>
      <c r="R5741" s="1304"/>
      <c r="S5741" s="1304"/>
      <c r="T5741" s="1304"/>
    </row>
    <row r="5742" spans="1:20">
      <c r="A5742" s="1303"/>
      <c r="B5742" s="1322" t="s">
        <v>12713</v>
      </c>
      <c r="C5742" s="1323" t="s">
        <v>12610</v>
      </c>
      <c r="D5742" s="1324">
        <f t="shared" si="564"/>
        <v>33511</v>
      </c>
      <c r="E5742" s="1323">
        <f t="shared" si="566"/>
        <v>2.8066</v>
      </c>
      <c r="F5742" s="1323">
        <f t="shared" si="565"/>
        <v>3.2634861570602327</v>
      </c>
      <c r="G5742" s="1323">
        <f t="shared" si="567"/>
        <v>1991</v>
      </c>
      <c r="H5742" s="1323">
        <f t="shared" si="568"/>
        <v>9</v>
      </c>
      <c r="I5742" s="1323">
        <f t="shared" si="569"/>
        <v>30</v>
      </c>
      <c r="J5742" s="1323"/>
      <c r="K5742" s="1323"/>
      <c r="L5742" s="1323"/>
      <c r="M5742" s="1323"/>
      <c r="N5742" s="1323"/>
      <c r="O5742" s="1323"/>
      <c r="P5742" s="1323"/>
      <c r="Q5742" s="1323"/>
      <c r="R5742" s="1304"/>
      <c r="S5742" s="1304"/>
      <c r="T5742" s="1304"/>
    </row>
    <row r="5743" spans="1:20">
      <c r="A5743" s="1303"/>
      <c r="B5743" s="1322" t="s">
        <v>12714</v>
      </c>
      <c r="C5743" s="1323" t="s">
        <v>12711</v>
      </c>
      <c r="D5743" s="1324">
        <f t="shared" si="564"/>
        <v>33508</v>
      </c>
      <c r="E5743" s="1323">
        <f t="shared" si="566"/>
        <v>2.8241000000000001</v>
      </c>
      <c r="F5743" s="1323">
        <f t="shared" si="565"/>
        <v>3.2628604030103401</v>
      </c>
      <c r="G5743" s="1323">
        <f t="shared" si="567"/>
        <v>1991</v>
      </c>
      <c r="H5743" s="1323">
        <f t="shared" si="568"/>
        <v>9</v>
      </c>
      <c r="I5743" s="1323">
        <f t="shared" si="569"/>
        <v>27</v>
      </c>
      <c r="J5743" s="1323"/>
      <c r="K5743" s="1323"/>
      <c r="L5743" s="1323"/>
      <c r="M5743" s="1323"/>
      <c r="N5743" s="1323"/>
      <c r="O5743" s="1323"/>
      <c r="P5743" s="1323"/>
      <c r="Q5743" s="1323"/>
      <c r="R5743" s="1304"/>
      <c r="S5743" s="1304"/>
      <c r="T5743" s="1304"/>
    </row>
    <row r="5744" spans="1:20">
      <c r="A5744" s="1303"/>
      <c r="B5744" s="1322" t="s">
        <v>12715</v>
      </c>
      <c r="C5744" s="1323" t="s">
        <v>12716</v>
      </c>
      <c r="D5744" s="1324">
        <f t="shared" si="564"/>
        <v>33507</v>
      </c>
      <c r="E5744" s="1323">
        <f t="shared" si="566"/>
        <v>2.8233000000000001</v>
      </c>
      <c r="F5744" s="1323">
        <f t="shared" si="565"/>
        <v>3.262234768945063</v>
      </c>
      <c r="G5744" s="1323">
        <f t="shared" si="567"/>
        <v>1991</v>
      </c>
      <c r="H5744" s="1323">
        <f t="shared" si="568"/>
        <v>9</v>
      </c>
      <c r="I5744" s="1323">
        <f t="shared" si="569"/>
        <v>26</v>
      </c>
      <c r="J5744" s="1323"/>
      <c r="K5744" s="1323"/>
      <c r="L5744" s="1323"/>
      <c r="M5744" s="1323"/>
      <c r="N5744" s="1323"/>
      <c r="O5744" s="1323"/>
      <c r="P5744" s="1323"/>
      <c r="Q5744" s="1323"/>
      <c r="R5744" s="1304"/>
      <c r="S5744" s="1304"/>
      <c r="T5744" s="1304"/>
    </row>
    <row r="5745" spans="1:20">
      <c r="A5745" s="1303"/>
      <c r="B5745" s="1322" t="s">
        <v>12717</v>
      </c>
      <c r="C5745" s="1323" t="s">
        <v>12301</v>
      </c>
      <c r="D5745" s="1324">
        <f t="shared" si="564"/>
        <v>33506</v>
      </c>
      <c r="E5745" s="1323">
        <f t="shared" si="566"/>
        <v>2.8201000000000001</v>
      </c>
      <c r="F5745" s="1323">
        <f t="shared" si="565"/>
        <v>3.2616092548413946</v>
      </c>
      <c r="G5745" s="1323">
        <f t="shared" si="567"/>
        <v>1991</v>
      </c>
      <c r="H5745" s="1323">
        <f t="shared" si="568"/>
        <v>9</v>
      </c>
      <c r="I5745" s="1323">
        <f t="shared" si="569"/>
        <v>25</v>
      </c>
      <c r="J5745" s="1323"/>
      <c r="K5745" s="1323"/>
      <c r="L5745" s="1323"/>
      <c r="M5745" s="1323"/>
      <c r="N5745" s="1323"/>
      <c r="O5745" s="1323"/>
      <c r="P5745" s="1323"/>
      <c r="Q5745" s="1323"/>
      <c r="R5745" s="1304"/>
      <c r="S5745" s="1304"/>
      <c r="T5745" s="1304"/>
    </row>
    <row r="5746" spans="1:20">
      <c r="A5746" s="1303"/>
      <c r="B5746" s="1322" t="s">
        <v>12718</v>
      </c>
      <c r="C5746" s="1323" t="s">
        <v>12307</v>
      </c>
      <c r="D5746" s="1324">
        <f t="shared" si="564"/>
        <v>33505</v>
      </c>
      <c r="E5746" s="1323">
        <f t="shared" si="566"/>
        <v>2.8184999999999998</v>
      </c>
      <c r="F5746" s="1323">
        <f t="shared" si="565"/>
        <v>3.2609838606763333</v>
      </c>
      <c r="G5746" s="1323">
        <f t="shared" si="567"/>
        <v>1991</v>
      </c>
      <c r="H5746" s="1323">
        <f t="shared" si="568"/>
        <v>9</v>
      </c>
      <c r="I5746" s="1323">
        <f t="shared" si="569"/>
        <v>24</v>
      </c>
      <c r="J5746" s="1323"/>
      <c r="K5746" s="1323"/>
      <c r="L5746" s="1323"/>
      <c r="M5746" s="1323"/>
      <c r="N5746" s="1323"/>
      <c r="O5746" s="1323"/>
      <c r="P5746" s="1323"/>
      <c r="Q5746" s="1323"/>
      <c r="R5746" s="1304"/>
      <c r="S5746" s="1304"/>
      <c r="T5746" s="1304"/>
    </row>
    <row r="5747" spans="1:20">
      <c r="A5747" s="1303"/>
      <c r="B5747" s="1322" t="s">
        <v>12719</v>
      </c>
      <c r="C5747" s="1323" t="s">
        <v>12720</v>
      </c>
      <c r="D5747" s="1324">
        <f t="shared" si="564"/>
        <v>33504</v>
      </c>
      <c r="E5747" s="1323">
        <f t="shared" si="566"/>
        <v>2.8205</v>
      </c>
      <c r="F5747" s="1323">
        <f t="shared" si="565"/>
        <v>3.2603585864268814</v>
      </c>
      <c r="G5747" s="1323">
        <f t="shared" si="567"/>
        <v>1991</v>
      </c>
      <c r="H5747" s="1323">
        <f t="shared" si="568"/>
        <v>9</v>
      </c>
      <c r="I5747" s="1323">
        <f t="shared" si="569"/>
        <v>23</v>
      </c>
      <c r="J5747" s="1323"/>
      <c r="K5747" s="1323"/>
      <c r="L5747" s="1323"/>
      <c r="M5747" s="1323"/>
      <c r="N5747" s="1323"/>
      <c r="O5747" s="1323"/>
      <c r="P5747" s="1323"/>
      <c r="Q5747" s="1323"/>
      <c r="R5747" s="1304"/>
      <c r="S5747" s="1304"/>
      <c r="T5747" s="1304"/>
    </row>
    <row r="5748" spans="1:20">
      <c r="A5748" s="1303"/>
      <c r="B5748" s="1322" t="s">
        <v>12721</v>
      </c>
      <c r="C5748" s="1323" t="s">
        <v>12445</v>
      </c>
      <c r="D5748" s="1324">
        <f t="shared" si="564"/>
        <v>33501</v>
      </c>
      <c r="E5748" s="1323">
        <f t="shared" si="566"/>
        <v>2.8329</v>
      </c>
      <c r="F5748" s="1323">
        <f t="shared" si="565"/>
        <v>3.2597334320700457</v>
      </c>
      <c r="G5748" s="1323">
        <f t="shared" si="567"/>
        <v>1991</v>
      </c>
      <c r="H5748" s="1323">
        <f t="shared" si="568"/>
        <v>9</v>
      </c>
      <c r="I5748" s="1323">
        <f t="shared" si="569"/>
        <v>20</v>
      </c>
      <c r="J5748" s="1323"/>
      <c r="K5748" s="1323"/>
      <c r="L5748" s="1323"/>
      <c r="M5748" s="1323"/>
      <c r="N5748" s="1323"/>
      <c r="O5748" s="1323"/>
      <c r="P5748" s="1323"/>
      <c r="Q5748" s="1323"/>
      <c r="R5748" s="1304"/>
      <c r="S5748" s="1304"/>
      <c r="T5748" s="1304"/>
    </row>
    <row r="5749" spans="1:20">
      <c r="A5749" s="1303"/>
      <c r="B5749" s="1322" t="s">
        <v>12722</v>
      </c>
      <c r="C5749" s="1323" t="s">
        <v>12723</v>
      </c>
      <c r="D5749" s="1324">
        <f t="shared" si="564"/>
        <v>33500</v>
      </c>
      <c r="E5749" s="1323">
        <f t="shared" si="566"/>
        <v>2.8264999999999998</v>
      </c>
      <c r="F5749" s="1323">
        <f t="shared" si="565"/>
        <v>3.2591083975828381</v>
      </c>
      <c r="G5749" s="1323">
        <f t="shared" si="567"/>
        <v>1991</v>
      </c>
      <c r="H5749" s="1323">
        <f t="shared" si="568"/>
        <v>9</v>
      </c>
      <c r="I5749" s="1323">
        <f t="shared" si="569"/>
        <v>19</v>
      </c>
      <c r="J5749" s="1323"/>
      <c r="K5749" s="1323"/>
      <c r="L5749" s="1323"/>
      <c r="M5749" s="1323"/>
      <c r="N5749" s="1323"/>
      <c r="O5749" s="1323"/>
      <c r="P5749" s="1323"/>
      <c r="Q5749" s="1323"/>
      <c r="R5749" s="1304"/>
      <c r="S5749" s="1304"/>
      <c r="T5749" s="1304"/>
    </row>
    <row r="5750" spans="1:20">
      <c r="A5750" s="1303"/>
      <c r="B5750" s="1322" t="s">
        <v>12724</v>
      </c>
      <c r="C5750" s="1323" t="s">
        <v>12471</v>
      </c>
      <c r="D5750" s="1324">
        <f t="shared" si="564"/>
        <v>33499</v>
      </c>
      <c r="E5750" s="1323">
        <f t="shared" si="566"/>
        <v>2.8209</v>
      </c>
      <c r="F5750" s="1323">
        <f t="shared" si="565"/>
        <v>3.2584834829422737</v>
      </c>
      <c r="G5750" s="1323">
        <f t="shared" si="567"/>
        <v>1991</v>
      </c>
      <c r="H5750" s="1323">
        <f t="shared" si="568"/>
        <v>9</v>
      </c>
      <c r="I5750" s="1323">
        <f t="shared" si="569"/>
        <v>18</v>
      </c>
      <c r="J5750" s="1323"/>
      <c r="K5750" s="1323"/>
      <c r="L5750" s="1323"/>
      <c r="M5750" s="1323"/>
      <c r="N5750" s="1323"/>
      <c r="O5750" s="1323"/>
      <c r="P5750" s="1323"/>
      <c r="Q5750" s="1323"/>
      <c r="R5750" s="1304"/>
      <c r="S5750" s="1304"/>
      <c r="T5750" s="1304"/>
    </row>
    <row r="5751" spans="1:20">
      <c r="A5751" s="1303"/>
      <c r="B5751" s="1322" t="s">
        <v>12725</v>
      </c>
      <c r="C5751" s="1323" t="s">
        <v>12726</v>
      </c>
      <c r="D5751" s="1324">
        <f t="shared" si="564"/>
        <v>33498</v>
      </c>
      <c r="E5751" s="1323">
        <f t="shared" si="566"/>
        <v>2.8144999999999998</v>
      </c>
      <c r="F5751" s="1323">
        <f t="shared" si="565"/>
        <v>3.2578586881253728</v>
      </c>
      <c r="G5751" s="1323">
        <f t="shared" si="567"/>
        <v>1991</v>
      </c>
      <c r="H5751" s="1323">
        <f t="shared" si="568"/>
        <v>9</v>
      </c>
      <c r="I5751" s="1323">
        <f t="shared" si="569"/>
        <v>17</v>
      </c>
      <c r="J5751" s="1323"/>
      <c r="K5751" s="1323"/>
      <c r="L5751" s="1323"/>
      <c r="M5751" s="1323"/>
      <c r="N5751" s="1323"/>
      <c r="O5751" s="1323"/>
      <c r="P5751" s="1323"/>
      <c r="Q5751" s="1323"/>
      <c r="R5751" s="1304"/>
      <c r="S5751" s="1304"/>
      <c r="T5751" s="1304"/>
    </row>
    <row r="5752" spans="1:20">
      <c r="A5752" s="1303"/>
      <c r="B5752" s="1322" t="s">
        <v>12727</v>
      </c>
      <c r="C5752" s="1323" t="s">
        <v>12437</v>
      </c>
      <c r="D5752" s="1324">
        <f t="shared" si="564"/>
        <v>33497</v>
      </c>
      <c r="E5752" s="1323">
        <f t="shared" si="566"/>
        <v>2.8289</v>
      </c>
      <c r="F5752" s="1323">
        <f t="shared" si="565"/>
        <v>3.2572340131091599</v>
      </c>
      <c r="G5752" s="1323">
        <f t="shared" si="567"/>
        <v>1991</v>
      </c>
      <c r="H5752" s="1323">
        <f t="shared" si="568"/>
        <v>9</v>
      </c>
      <c r="I5752" s="1323">
        <f t="shared" si="569"/>
        <v>16</v>
      </c>
      <c r="J5752" s="1323"/>
      <c r="K5752" s="1323"/>
      <c r="L5752" s="1323"/>
      <c r="M5752" s="1323"/>
      <c r="N5752" s="1323"/>
      <c r="O5752" s="1323"/>
      <c r="P5752" s="1323"/>
      <c r="Q5752" s="1323"/>
      <c r="R5752" s="1304"/>
      <c r="S5752" s="1304"/>
      <c r="T5752" s="1304"/>
    </row>
    <row r="5753" spans="1:20">
      <c r="A5753" s="1303"/>
      <c r="B5753" s="1322" t="s">
        <v>12728</v>
      </c>
      <c r="C5753" s="1323" t="s">
        <v>12305</v>
      </c>
      <c r="D5753" s="1324">
        <f t="shared" si="564"/>
        <v>33494</v>
      </c>
      <c r="E5753" s="1323">
        <f t="shared" si="566"/>
        <v>2.8336999999999999</v>
      </c>
      <c r="F5753" s="1323">
        <f t="shared" si="565"/>
        <v>3.2566094578706641</v>
      </c>
      <c r="G5753" s="1323">
        <f t="shared" si="567"/>
        <v>1991</v>
      </c>
      <c r="H5753" s="1323">
        <f t="shared" si="568"/>
        <v>9</v>
      </c>
      <c r="I5753" s="1323">
        <f t="shared" si="569"/>
        <v>13</v>
      </c>
      <c r="J5753" s="1323"/>
      <c r="K5753" s="1323"/>
      <c r="L5753" s="1323"/>
      <c r="M5753" s="1323"/>
      <c r="N5753" s="1323"/>
      <c r="O5753" s="1323"/>
      <c r="P5753" s="1323"/>
      <c r="Q5753" s="1323"/>
      <c r="R5753" s="1304"/>
      <c r="S5753" s="1304"/>
      <c r="T5753" s="1304"/>
    </row>
    <row r="5754" spans="1:20">
      <c r="A5754" s="1303"/>
      <c r="B5754" s="1322" t="s">
        <v>12729</v>
      </c>
      <c r="C5754" s="1323" t="s">
        <v>12466</v>
      </c>
      <c r="D5754" s="1324">
        <f t="shared" si="564"/>
        <v>33493</v>
      </c>
      <c r="E5754" s="1323">
        <f t="shared" si="566"/>
        <v>2.8321000000000001</v>
      </c>
      <c r="F5754" s="1323">
        <f t="shared" si="565"/>
        <v>3.2559850223869184</v>
      </c>
      <c r="G5754" s="1323">
        <f t="shared" si="567"/>
        <v>1991</v>
      </c>
      <c r="H5754" s="1323">
        <f t="shared" si="568"/>
        <v>9</v>
      </c>
      <c r="I5754" s="1323">
        <f t="shared" si="569"/>
        <v>12</v>
      </c>
      <c r="J5754" s="1323"/>
      <c r="K5754" s="1323"/>
      <c r="L5754" s="1323"/>
      <c r="M5754" s="1323"/>
      <c r="N5754" s="1323"/>
      <c r="O5754" s="1323"/>
      <c r="P5754" s="1323"/>
      <c r="Q5754" s="1323"/>
      <c r="R5754" s="1304"/>
      <c r="S5754" s="1304"/>
      <c r="T5754" s="1304"/>
    </row>
    <row r="5755" spans="1:20">
      <c r="A5755" s="1303"/>
      <c r="B5755" s="1322" t="s">
        <v>12730</v>
      </c>
      <c r="C5755" s="1323" t="s">
        <v>12469</v>
      </c>
      <c r="D5755" s="1324">
        <f t="shared" si="564"/>
        <v>33492</v>
      </c>
      <c r="E5755" s="1323">
        <f t="shared" si="566"/>
        <v>2.8376999999999999</v>
      </c>
      <c r="F5755" s="1323">
        <f t="shared" si="565"/>
        <v>3.2553607066349608</v>
      </c>
      <c r="G5755" s="1323">
        <f t="shared" si="567"/>
        <v>1991</v>
      </c>
      <c r="H5755" s="1323">
        <f t="shared" si="568"/>
        <v>9</v>
      </c>
      <c r="I5755" s="1323">
        <f t="shared" si="569"/>
        <v>11</v>
      </c>
      <c r="J5755" s="1323"/>
      <c r="K5755" s="1323"/>
      <c r="L5755" s="1323"/>
      <c r="M5755" s="1323"/>
      <c r="N5755" s="1323"/>
      <c r="O5755" s="1323"/>
      <c r="P5755" s="1323"/>
      <c r="Q5755" s="1323"/>
      <c r="R5755" s="1304"/>
      <c r="S5755" s="1304"/>
      <c r="T5755" s="1304"/>
    </row>
    <row r="5756" spans="1:20">
      <c r="A5756" s="1303"/>
      <c r="B5756" s="1322" t="s">
        <v>12731</v>
      </c>
      <c r="C5756" s="1323" t="s">
        <v>12732</v>
      </c>
      <c r="D5756" s="1324">
        <f t="shared" si="564"/>
        <v>33491</v>
      </c>
      <c r="E5756" s="1323">
        <f t="shared" si="566"/>
        <v>2.8409</v>
      </c>
      <c r="F5756" s="1323">
        <f t="shared" si="565"/>
        <v>3.2547365105918336</v>
      </c>
      <c r="G5756" s="1323">
        <f t="shared" si="567"/>
        <v>1991</v>
      </c>
      <c r="H5756" s="1323">
        <f t="shared" si="568"/>
        <v>9</v>
      </c>
      <c r="I5756" s="1323">
        <f t="shared" si="569"/>
        <v>10</v>
      </c>
      <c r="J5756" s="1323"/>
      <c r="K5756" s="1323"/>
      <c r="L5756" s="1323"/>
      <c r="M5756" s="1323"/>
      <c r="N5756" s="1323"/>
      <c r="O5756" s="1323"/>
      <c r="P5756" s="1323"/>
      <c r="Q5756" s="1323"/>
      <c r="R5756" s="1304"/>
      <c r="S5756" s="1304"/>
      <c r="T5756" s="1304"/>
    </row>
    <row r="5757" spans="1:20">
      <c r="A5757" s="1303"/>
      <c r="B5757" s="1322" t="s">
        <v>12733</v>
      </c>
      <c r="C5757" s="1323" t="s">
        <v>12734</v>
      </c>
      <c r="D5757" s="1324">
        <f t="shared" si="564"/>
        <v>33490</v>
      </c>
      <c r="E5757" s="1323">
        <f t="shared" si="566"/>
        <v>2.8420999999999998</v>
      </c>
      <c r="F5757" s="1323">
        <f t="shared" si="565"/>
        <v>3.2541124342345831</v>
      </c>
      <c r="G5757" s="1323">
        <f t="shared" si="567"/>
        <v>1991</v>
      </c>
      <c r="H5757" s="1323">
        <f t="shared" si="568"/>
        <v>9</v>
      </c>
      <c r="I5757" s="1323">
        <f t="shared" si="569"/>
        <v>9</v>
      </c>
      <c r="J5757" s="1323"/>
      <c r="K5757" s="1323"/>
      <c r="L5757" s="1323"/>
      <c r="M5757" s="1323"/>
      <c r="N5757" s="1323"/>
      <c r="O5757" s="1323"/>
      <c r="P5757" s="1323"/>
      <c r="Q5757" s="1323"/>
      <c r="R5757" s="1304"/>
      <c r="S5757" s="1304"/>
      <c r="T5757" s="1304"/>
    </row>
    <row r="5758" spans="1:20">
      <c r="A5758" s="1303"/>
      <c r="B5758" s="1322" t="s">
        <v>12735</v>
      </c>
      <c r="C5758" s="1323" t="s">
        <v>12736</v>
      </c>
      <c r="D5758" s="1324">
        <f t="shared" si="564"/>
        <v>33487</v>
      </c>
      <c r="E5758" s="1323">
        <f t="shared" si="566"/>
        <v>2.8628999999999998</v>
      </c>
      <c r="F5758" s="1323">
        <f t="shared" si="565"/>
        <v>3.2534884775402602</v>
      </c>
      <c r="G5758" s="1323">
        <f t="shared" si="567"/>
        <v>1991</v>
      </c>
      <c r="H5758" s="1323">
        <f t="shared" si="568"/>
        <v>9</v>
      </c>
      <c r="I5758" s="1323">
        <f t="shared" si="569"/>
        <v>6</v>
      </c>
      <c r="J5758" s="1323"/>
      <c r="K5758" s="1323"/>
      <c r="L5758" s="1323"/>
      <c r="M5758" s="1323"/>
      <c r="N5758" s="1323"/>
      <c r="O5758" s="1323"/>
      <c r="P5758" s="1323"/>
      <c r="Q5758" s="1323"/>
      <c r="R5758" s="1304"/>
      <c r="S5758" s="1304"/>
      <c r="T5758" s="1304"/>
    </row>
    <row r="5759" spans="1:20">
      <c r="A5759" s="1303"/>
      <c r="B5759" s="1322" t="s">
        <v>12737</v>
      </c>
      <c r="C5759" s="1323" t="s">
        <v>12738</v>
      </c>
      <c r="D5759" s="1324">
        <f t="shared" si="564"/>
        <v>33486</v>
      </c>
      <c r="E5759" s="1323">
        <f t="shared" si="566"/>
        <v>2.8649</v>
      </c>
      <c r="F5759" s="1323">
        <f t="shared" si="565"/>
        <v>3.2528646404859205</v>
      </c>
      <c r="G5759" s="1323">
        <f t="shared" si="567"/>
        <v>1991</v>
      </c>
      <c r="H5759" s="1323">
        <f t="shared" si="568"/>
        <v>9</v>
      </c>
      <c r="I5759" s="1323">
        <f t="shared" si="569"/>
        <v>5</v>
      </c>
      <c r="J5759" s="1323"/>
      <c r="K5759" s="1323"/>
      <c r="L5759" s="1323"/>
      <c r="M5759" s="1323"/>
      <c r="N5759" s="1323"/>
      <c r="O5759" s="1323"/>
      <c r="P5759" s="1323"/>
      <c r="Q5759" s="1323"/>
      <c r="R5759" s="1304"/>
      <c r="S5759" s="1304"/>
      <c r="T5759" s="1304"/>
    </row>
    <row r="5760" spans="1:20">
      <c r="A5760" s="1303"/>
      <c r="B5760" s="1322" t="s">
        <v>12739</v>
      </c>
      <c r="C5760" s="1323" t="s">
        <v>12740</v>
      </c>
      <c r="D5760" s="1324">
        <f t="shared" si="564"/>
        <v>33485</v>
      </c>
      <c r="E5760" s="1323">
        <f t="shared" si="566"/>
        <v>2.867</v>
      </c>
      <c r="F5760" s="1323">
        <f t="shared" si="565"/>
        <v>3.2522409230486233</v>
      </c>
      <c r="G5760" s="1323">
        <f t="shared" si="567"/>
        <v>1991</v>
      </c>
      <c r="H5760" s="1323">
        <f t="shared" si="568"/>
        <v>9</v>
      </c>
      <c r="I5760" s="1323">
        <f t="shared" si="569"/>
        <v>4</v>
      </c>
      <c r="J5760" s="1323"/>
      <c r="K5760" s="1323"/>
      <c r="L5760" s="1323"/>
      <c r="M5760" s="1323"/>
      <c r="N5760" s="1323"/>
      <c r="O5760" s="1323"/>
      <c r="P5760" s="1323"/>
      <c r="Q5760" s="1323"/>
      <c r="R5760" s="1304"/>
      <c r="S5760" s="1304"/>
      <c r="T5760" s="1304"/>
    </row>
    <row r="5761" spans="1:20">
      <c r="A5761" s="1303"/>
      <c r="B5761" s="1322" t="s">
        <v>12741</v>
      </c>
      <c r="C5761" s="1323" t="s">
        <v>12742</v>
      </c>
      <c r="D5761" s="1324">
        <f t="shared" si="564"/>
        <v>33484</v>
      </c>
      <c r="E5761" s="1323">
        <f t="shared" si="566"/>
        <v>2.8715000000000002</v>
      </c>
      <c r="F5761" s="1323">
        <f t="shared" si="565"/>
        <v>3.2516173252054332</v>
      </c>
      <c r="G5761" s="1323">
        <f t="shared" si="567"/>
        <v>1991</v>
      </c>
      <c r="H5761" s="1323">
        <f t="shared" si="568"/>
        <v>9</v>
      </c>
      <c r="I5761" s="1323">
        <f t="shared" si="569"/>
        <v>3</v>
      </c>
      <c r="J5761" s="1323"/>
      <c r="K5761" s="1323"/>
      <c r="L5761" s="1323"/>
      <c r="M5761" s="1323"/>
      <c r="N5761" s="1323"/>
      <c r="O5761" s="1323"/>
      <c r="P5761" s="1323"/>
      <c r="Q5761" s="1323"/>
      <c r="R5761" s="1304"/>
      <c r="S5761" s="1304"/>
      <c r="T5761" s="1304"/>
    </row>
    <row r="5762" spans="1:20">
      <c r="A5762" s="1303"/>
      <c r="B5762" s="1322" t="s">
        <v>12743</v>
      </c>
      <c r="C5762" s="1323" t="s">
        <v>12744</v>
      </c>
      <c r="D5762" s="1324">
        <f t="shared" si="564"/>
        <v>33483</v>
      </c>
      <c r="E5762" s="1323">
        <f t="shared" si="566"/>
        <v>2.8776999999999999</v>
      </c>
      <c r="F5762" s="1323">
        <f t="shared" si="565"/>
        <v>3.2509938469334183</v>
      </c>
      <c r="G5762" s="1323">
        <f t="shared" si="567"/>
        <v>1991</v>
      </c>
      <c r="H5762" s="1323">
        <f t="shared" si="568"/>
        <v>9</v>
      </c>
      <c r="I5762" s="1323">
        <f t="shared" si="569"/>
        <v>2</v>
      </c>
      <c r="J5762" s="1323"/>
      <c r="K5762" s="1323"/>
      <c r="L5762" s="1323"/>
      <c r="M5762" s="1323"/>
      <c r="N5762" s="1323"/>
      <c r="O5762" s="1323"/>
      <c r="P5762" s="1323"/>
      <c r="Q5762" s="1323"/>
      <c r="R5762" s="1304"/>
      <c r="S5762" s="1304"/>
      <c r="T5762" s="1304"/>
    </row>
    <row r="5763" spans="1:20">
      <c r="A5763" s="1303"/>
      <c r="B5763" s="1322" t="s">
        <v>12745</v>
      </c>
      <c r="C5763" s="1323" t="s">
        <v>12511</v>
      </c>
      <c r="D5763" s="1324">
        <f t="shared" si="564"/>
        <v>33480</v>
      </c>
      <c r="E5763" s="1323">
        <f t="shared" si="566"/>
        <v>2.8719000000000001</v>
      </c>
      <c r="F5763" s="1323">
        <f t="shared" si="565"/>
        <v>3.250370488209652</v>
      </c>
      <c r="G5763" s="1323">
        <f t="shared" si="567"/>
        <v>1991</v>
      </c>
      <c r="H5763" s="1323">
        <f t="shared" si="568"/>
        <v>8</v>
      </c>
      <c r="I5763" s="1323">
        <f t="shared" si="569"/>
        <v>30</v>
      </c>
      <c r="J5763" s="1323"/>
      <c r="K5763" s="1323"/>
      <c r="L5763" s="1323"/>
      <c r="M5763" s="1323"/>
      <c r="N5763" s="1323"/>
      <c r="O5763" s="1323"/>
      <c r="P5763" s="1323"/>
      <c r="Q5763" s="1323"/>
      <c r="R5763" s="1304"/>
      <c r="S5763" s="1304"/>
      <c r="T5763" s="1304"/>
    </row>
    <row r="5764" spans="1:20">
      <c r="A5764" s="1303"/>
      <c r="B5764" s="1322" t="s">
        <v>12746</v>
      </c>
      <c r="C5764" s="1323" t="s">
        <v>12747</v>
      </c>
      <c r="D5764" s="1324">
        <f t="shared" si="564"/>
        <v>33479</v>
      </c>
      <c r="E5764" s="1323">
        <f t="shared" si="566"/>
        <v>2.8563000000000001</v>
      </c>
      <c r="F5764" s="1323">
        <f t="shared" si="565"/>
        <v>3.2497472490112114</v>
      </c>
      <c r="G5764" s="1323">
        <f t="shared" si="567"/>
        <v>1991</v>
      </c>
      <c r="H5764" s="1323">
        <f t="shared" si="568"/>
        <v>8</v>
      </c>
      <c r="I5764" s="1323">
        <f t="shared" si="569"/>
        <v>29</v>
      </c>
      <c r="J5764" s="1323"/>
      <c r="K5764" s="1323"/>
      <c r="L5764" s="1323"/>
      <c r="M5764" s="1323"/>
      <c r="N5764" s="1323"/>
      <c r="O5764" s="1323"/>
      <c r="P5764" s="1323"/>
      <c r="Q5764" s="1323"/>
      <c r="R5764" s="1304"/>
      <c r="S5764" s="1304"/>
      <c r="T5764" s="1304"/>
    </row>
    <row r="5765" spans="1:20">
      <c r="A5765" s="1303"/>
      <c r="B5765" s="1322" t="s">
        <v>12748</v>
      </c>
      <c r="C5765" s="1323" t="s">
        <v>12749</v>
      </c>
      <c r="D5765" s="1324">
        <f t="shared" si="564"/>
        <v>33478</v>
      </c>
      <c r="E5765" s="1323">
        <f t="shared" si="566"/>
        <v>2.8776999999999999</v>
      </c>
      <c r="F5765" s="1323">
        <f t="shared" si="565"/>
        <v>3.2491241293151782</v>
      </c>
      <c r="G5765" s="1323">
        <f t="shared" si="567"/>
        <v>1991</v>
      </c>
      <c r="H5765" s="1323">
        <f t="shared" si="568"/>
        <v>8</v>
      </c>
      <c r="I5765" s="1323">
        <f t="shared" si="569"/>
        <v>28</v>
      </c>
      <c r="J5765" s="1323"/>
      <c r="K5765" s="1323"/>
      <c r="L5765" s="1323"/>
      <c r="M5765" s="1323"/>
      <c r="N5765" s="1323"/>
      <c r="O5765" s="1323"/>
      <c r="P5765" s="1323"/>
      <c r="Q5765" s="1323"/>
      <c r="R5765" s="1304"/>
      <c r="S5765" s="1304"/>
      <c r="T5765" s="1304"/>
    </row>
    <row r="5766" spans="1:20">
      <c r="A5766" s="1303"/>
      <c r="B5766" s="1322" t="s">
        <v>12750</v>
      </c>
      <c r="C5766" s="1323" t="s">
        <v>12511</v>
      </c>
      <c r="D5766" s="1324">
        <f t="shared" si="564"/>
        <v>33477</v>
      </c>
      <c r="E5766" s="1323">
        <f t="shared" si="566"/>
        <v>2.8769</v>
      </c>
      <c r="F5766" s="1323">
        <f t="shared" si="565"/>
        <v>3.2485011290986385</v>
      </c>
      <c r="G5766" s="1323">
        <f t="shared" si="567"/>
        <v>1991</v>
      </c>
      <c r="H5766" s="1323">
        <f t="shared" si="568"/>
        <v>8</v>
      </c>
      <c r="I5766" s="1323">
        <f t="shared" si="569"/>
        <v>27</v>
      </c>
      <c r="J5766" s="1323"/>
      <c r="K5766" s="1323"/>
      <c r="L5766" s="1323"/>
      <c r="M5766" s="1323"/>
      <c r="N5766" s="1323"/>
      <c r="O5766" s="1323"/>
      <c r="P5766" s="1323"/>
      <c r="Q5766" s="1323"/>
      <c r="R5766" s="1304"/>
      <c r="S5766" s="1304"/>
      <c r="T5766" s="1304"/>
    </row>
    <row r="5767" spans="1:20">
      <c r="A5767" s="1303"/>
      <c r="B5767" s="1322" t="s">
        <v>12751</v>
      </c>
      <c r="C5767" s="1323" t="s">
        <v>12494</v>
      </c>
      <c r="D5767" s="1324">
        <f t="shared" si="564"/>
        <v>33476</v>
      </c>
      <c r="E5767" s="1323">
        <f t="shared" si="566"/>
        <v>2.8809999999999998</v>
      </c>
      <c r="F5767" s="1323">
        <f t="shared" si="565"/>
        <v>3.247878248338683</v>
      </c>
      <c r="G5767" s="1323">
        <f t="shared" si="567"/>
        <v>1991</v>
      </c>
      <c r="H5767" s="1323">
        <f t="shared" si="568"/>
        <v>8</v>
      </c>
      <c r="I5767" s="1323">
        <f t="shared" si="569"/>
        <v>26</v>
      </c>
      <c r="J5767" s="1323"/>
      <c r="K5767" s="1323"/>
      <c r="L5767" s="1323"/>
      <c r="M5767" s="1323"/>
      <c r="N5767" s="1323"/>
      <c r="O5767" s="1323"/>
      <c r="P5767" s="1323"/>
      <c r="Q5767" s="1323"/>
      <c r="R5767" s="1304"/>
      <c r="S5767" s="1304"/>
      <c r="T5767" s="1304"/>
    </row>
    <row r="5768" spans="1:20">
      <c r="A5768" s="1303"/>
      <c r="B5768" s="1322" t="s">
        <v>12752</v>
      </c>
      <c r="C5768" s="1323" t="s">
        <v>12541</v>
      </c>
      <c r="D5768" s="1324">
        <f t="shared" si="564"/>
        <v>33473</v>
      </c>
      <c r="E5768" s="1323">
        <f t="shared" si="566"/>
        <v>2.8755999999999999</v>
      </c>
      <c r="F5768" s="1323">
        <f t="shared" si="565"/>
        <v>3.2472554870124064</v>
      </c>
      <c r="G5768" s="1323">
        <f t="shared" si="567"/>
        <v>1991</v>
      </c>
      <c r="H5768" s="1323">
        <f t="shared" si="568"/>
        <v>8</v>
      </c>
      <c r="I5768" s="1323">
        <f t="shared" si="569"/>
        <v>23</v>
      </c>
      <c r="J5768" s="1323"/>
      <c r="K5768" s="1323"/>
      <c r="L5768" s="1323"/>
      <c r="M5768" s="1323"/>
      <c r="N5768" s="1323"/>
      <c r="O5768" s="1323"/>
      <c r="P5768" s="1323"/>
      <c r="Q5768" s="1323"/>
      <c r="R5768" s="1304"/>
      <c r="S5768" s="1304"/>
      <c r="T5768" s="1304"/>
    </row>
    <row r="5769" spans="1:20">
      <c r="A5769" s="1303"/>
      <c r="B5769" s="1322" t="s">
        <v>12753</v>
      </c>
      <c r="C5769" s="1323" t="s">
        <v>12754</v>
      </c>
      <c r="D5769" s="1324">
        <f t="shared" ref="D5769:D5832" si="570">DATE(G5769,H5769,I5769)</f>
        <v>33472</v>
      </c>
      <c r="E5769" s="1323">
        <f t="shared" si="566"/>
        <v>2.8685999999999998</v>
      </c>
      <c r="F5769" s="1323">
        <f t="shared" ref="F5769:F5832" si="571">F5770*(1+$F$7/365)</f>
        <v>3.2466328450969084</v>
      </c>
      <c r="G5769" s="1323">
        <f t="shared" si="567"/>
        <v>1991</v>
      </c>
      <c r="H5769" s="1323">
        <f t="shared" si="568"/>
        <v>8</v>
      </c>
      <c r="I5769" s="1323">
        <f t="shared" si="569"/>
        <v>22</v>
      </c>
      <c r="J5769" s="1323"/>
      <c r="K5769" s="1323"/>
      <c r="L5769" s="1323"/>
      <c r="M5769" s="1323"/>
      <c r="N5769" s="1323"/>
      <c r="O5769" s="1323"/>
      <c r="P5769" s="1323"/>
      <c r="Q5769" s="1323"/>
      <c r="R5769" s="1304"/>
      <c r="S5769" s="1304"/>
      <c r="T5769" s="1304"/>
    </row>
    <row r="5770" spans="1:20">
      <c r="A5770" s="1303"/>
      <c r="B5770" s="1322" t="s">
        <v>12755</v>
      </c>
      <c r="C5770" s="1323" t="s">
        <v>12295</v>
      </c>
      <c r="D5770" s="1324">
        <f t="shared" si="570"/>
        <v>33471</v>
      </c>
      <c r="E5770" s="1323">
        <f t="shared" si="566"/>
        <v>2.9011</v>
      </c>
      <c r="F5770" s="1323">
        <f t="shared" si="571"/>
        <v>3.2460103225692922</v>
      </c>
      <c r="G5770" s="1323">
        <f t="shared" si="567"/>
        <v>1991</v>
      </c>
      <c r="H5770" s="1323">
        <f t="shared" si="568"/>
        <v>8</v>
      </c>
      <c r="I5770" s="1323">
        <f t="shared" si="569"/>
        <v>21</v>
      </c>
      <c r="J5770" s="1323"/>
      <c r="K5770" s="1323"/>
      <c r="L5770" s="1323"/>
      <c r="M5770" s="1323"/>
      <c r="N5770" s="1323"/>
      <c r="O5770" s="1323"/>
      <c r="P5770" s="1323"/>
      <c r="Q5770" s="1323"/>
      <c r="R5770" s="1304"/>
      <c r="S5770" s="1304"/>
      <c r="T5770" s="1304"/>
    </row>
    <row r="5771" spans="1:20">
      <c r="A5771" s="1303"/>
      <c r="B5771" s="1322" t="s">
        <v>12756</v>
      </c>
      <c r="C5771" s="1323" t="s">
        <v>12757</v>
      </c>
      <c r="D5771" s="1324">
        <f t="shared" si="570"/>
        <v>33470</v>
      </c>
      <c r="E5771" s="1323">
        <f t="shared" si="566"/>
        <v>2.9129</v>
      </c>
      <c r="F5771" s="1323">
        <f t="shared" si="571"/>
        <v>3.2453879194066664</v>
      </c>
      <c r="G5771" s="1323">
        <f t="shared" si="567"/>
        <v>1991</v>
      </c>
      <c r="H5771" s="1323">
        <f t="shared" si="568"/>
        <v>8</v>
      </c>
      <c r="I5771" s="1323">
        <f t="shared" si="569"/>
        <v>20</v>
      </c>
      <c r="J5771" s="1323"/>
      <c r="K5771" s="1323"/>
      <c r="L5771" s="1323"/>
      <c r="M5771" s="1323"/>
      <c r="N5771" s="1323"/>
      <c r="O5771" s="1323"/>
      <c r="P5771" s="1323"/>
      <c r="Q5771" s="1323"/>
      <c r="R5771" s="1304"/>
      <c r="S5771" s="1304"/>
      <c r="T5771" s="1304"/>
    </row>
    <row r="5772" spans="1:20">
      <c r="A5772" s="1303"/>
      <c r="B5772" s="1322" t="s">
        <v>12758</v>
      </c>
      <c r="C5772" s="1323" t="s">
        <v>12759</v>
      </c>
      <c r="D5772" s="1324">
        <f t="shared" si="570"/>
        <v>33469</v>
      </c>
      <c r="E5772" s="1323">
        <f t="shared" si="566"/>
        <v>2.9043999999999999</v>
      </c>
      <c r="F5772" s="1323">
        <f t="shared" si="571"/>
        <v>3.2447656355861429</v>
      </c>
      <c r="G5772" s="1323">
        <f t="shared" si="567"/>
        <v>1991</v>
      </c>
      <c r="H5772" s="1323">
        <f t="shared" si="568"/>
        <v>8</v>
      </c>
      <c r="I5772" s="1323">
        <f t="shared" si="569"/>
        <v>19</v>
      </c>
      <c r="J5772" s="1323"/>
      <c r="K5772" s="1323"/>
      <c r="L5772" s="1323"/>
      <c r="M5772" s="1323"/>
      <c r="N5772" s="1323"/>
      <c r="O5772" s="1323"/>
      <c r="P5772" s="1323"/>
      <c r="Q5772" s="1323"/>
      <c r="R5772" s="1304"/>
      <c r="S5772" s="1304"/>
      <c r="T5772" s="1304"/>
    </row>
    <row r="5773" spans="1:20">
      <c r="A5773" s="1303"/>
      <c r="B5773" s="1322" t="s">
        <v>12760</v>
      </c>
      <c r="C5773" s="1323" t="s">
        <v>12761</v>
      </c>
      <c r="D5773" s="1324">
        <f t="shared" si="570"/>
        <v>33466</v>
      </c>
      <c r="E5773" s="1323">
        <f t="shared" si="566"/>
        <v>2.8877000000000002</v>
      </c>
      <c r="F5773" s="1323">
        <f t="shared" si="571"/>
        <v>3.2441434710848389</v>
      </c>
      <c r="G5773" s="1323">
        <f t="shared" si="567"/>
        <v>1991</v>
      </c>
      <c r="H5773" s="1323">
        <f t="shared" si="568"/>
        <v>8</v>
      </c>
      <c r="I5773" s="1323">
        <f t="shared" si="569"/>
        <v>16</v>
      </c>
      <c r="J5773" s="1323"/>
      <c r="K5773" s="1323"/>
      <c r="L5773" s="1323"/>
      <c r="M5773" s="1323"/>
      <c r="N5773" s="1323"/>
      <c r="O5773" s="1323"/>
      <c r="P5773" s="1323"/>
      <c r="Q5773" s="1323"/>
      <c r="R5773" s="1304"/>
      <c r="S5773" s="1304"/>
      <c r="T5773" s="1304"/>
    </row>
    <row r="5774" spans="1:20">
      <c r="A5774" s="1303"/>
      <c r="B5774" s="1322" t="s">
        <v>12762</v>
      </c>
      <c r="C5774" s="1323" t="s">
        <v>12763</v>
      </c>
      <c r="D5774" s="1324">
        <f t="shared" si="570"/>
        <v>33465</v>
      </c>
      <c r="E5774" s="1323">
        <f t="shared" si="566"/>
        <v>2.8773</v>
      </c>
      <c r="F5774" s="1323">
        <f t="shared" si="571"/>
        <v>3.2435214258798757</v>
      </c>
      <c r="G5774" s="1323">
        <f t="shared" si="567"/>
        <v>1991</v>
      </c>
      <c r="H5774" s="1323">
        <f t="shared" si="568"/>
        <v>8</v>
      </c>
      <c r="I5774" s="1323">
        <f t="shared" si="569"/>
        <v>15</v>
      </c>
      <c r="J5774" s="1323"/>
      <c r="K5774" s="1323"/>
      <c r="L5774" s="1323"/>
      <c r="M5774" s="1323"/>
      <c r="N5774" s="1323"/>
      <c r="O5774" s="1323"/>
      <c r="P5774" s="1323"/>
      <c r="Q5774" s="1323"/>
      <c r="R5774" s="1304"/>
      <c r="S5774" s="1304"/>
      <c r="T5774" s="1304"/>
    </row>
    <row r="5775" spans="1:20">
      <c r="A5775" s="1303"/>
      <c r="B5775" s="1322" t="s">
        <v>12764</v>
      </c>
      <c r="C5775" s="1323" t="s">
        <v>12765</v>
      </c>
      <c r="D5775" s="1324">
        <f t="shared" si="570"/>
        <v>33464</v>
      </c>
      <c r="E5775" s="1323">
        <f t="shared" si="566"/>
        <v>2.867</v>
      </c>
      <c r="F5775" s="1323">
        <f t="shared" si="571"/>
        <v>3.2428994999483787</v>
      </c>
      <c r="G5775" s="1323">
        <f t="shared" si="567"/>
        <v>1991</v>
      </c>
      <c r="H5775" s="1323">
        <f t="shared" si="568"/>
        <v>8</v>
      </c>
      <c r="I5775" s="1323">
        <f t="shared" si="569"/>
        <v>14</v>
      </c>
      <c r="J5775" s="1323"/>
      <c r="K5775" s="1323"/>
      <c r="L5775" s="1323"/>
      <c r="M5775" s="1323"/>
      <c r="N5775" s="1323"/>
      <c r="O5775" s="1323"/>
      <c r="P5775" s="1323"/>
      <c r="Q5775" s="1323"/>
      <c r="R5775" s="1304"/>
      <c r="S5775" s="1304"/>
      <c r="T5775" s="1304"/>
    </row>
    <row r="5776" spans="1:20">
      <c r="A5776" s="1303"/>
      <c r="B5776" s="1322" t="s">
        <v>12766</v>
      </c>
      <c r="C5776" s="1323" t="s">
        <v>12742</v>
      </c>
      <c r="D5776" s="1324">
        <f t="shared" si="570"/>
        <v>33463</v>
      </c>
      <c r="E5776" s="1323">
        <f t="shared" si="566"/>
        <v>2.8563000000000001</v>
      </c>
      <c r="F5776" s="1323">
        <f t="shared" si="571"/>
        <v>3.2422776932674782</v>
      </c>
      <c r="G5776" s="1323">
        <f t="shared" si="567"/>
        <v>1991</v>
      </c>
      <c r="H5776" s="1323">
        <f t="shared" si="568"/>
        <v>8</v>
      </c>
      <c r="I5776" s="1323">
        <f t="shared" si="569"/>
        <v>13</v>
      </c>
      <c r="J5776" s="1323"/>
      <c r="K5776" s="1323"/>
      <c r="L5776" s="1323"/>
      <c r="M5776" s="1323"/>
      <c r="N5776" s="1323"/>
      <c r="O5776" s="1323"/>
      <c r="P5776" s="1323"/>
      <c r="Q5776" s="1323"/>
      <c r="R5776" s="1304"/>
      <c r="S5776" s="1304"/>
      <c r="T5776" s="1304"/>
    </row>
    <row r="5777" spans="1:20">
      <c r="A5777" s="1303"/>
      <c r="B5777" s="1322" t="s">
        <v>12767</v>
      </c>
      <c r="C5777" s="1323" t="s">
        <v>12749</v>
      </c>
      <c r="D5777" s="1324">
        <f t="shared" si="570"/>
        <v>33462</v>
      </c>
      <c r="E5777" s="1323">
        <f t="shared" si="566"/>
        <v>2.8555000000000001</v>
      </c>
      <c r="F5777" s="1323">
        <f t="shared" si="571"/>
        <v>3.241656005814308</v>
      </c>
      <c r="G5777" s="1323">
        <f t="shared" si="567"/>
        <v>1991</v>
      </c>
      <c r="H5777" s="1323">
        <f t="shared" si="568"/>
        <v>8</v>
      </c>
      <c r="I5777" s="1323">
        <f t="shared" si="569"/>
        <v>12</v>
      </c>
      <c r="J5777" s="1323"/>
      <c r="K5777" s="1323"/>
      <c r="L5777" s="1323"/>
      <c r="M5777" s="1323"/>
      <c r="N5777" s="1323"/>
      <c r="O5777" s="1323"/>
      <c r="P5777" s="1323"/>
      <c r="Q5777" s="1323"/>
      <c r="R5777" s="1304"/>
      <c r="S5777" s="1304"/>
      <c r="T5777" s="1304"/>
    </row>
    <row r="5778" spans="1:20">
      <c r="A5778" s="1303"/>
      <c r="B5778" s="1322" t="s">
        <v>12768</v>
      </c>
      <c r="C5778" s="1323" t="s">
        <v>12297</v>
      </c>
      <c r="D5778" s="1324">
        <f t="shared" si="570"/>
        <v>33459</v>
      </c>
      <c r="E5778" s="1323">
        <f t="shared" si="566"/>
        <v>2.8534999999999999</v>
      </c>
      <c r="F5778" s="1323">
        <f t="shared" si="571"/>
        <v>3.2410344375660074</v>
      </c>
      <c r="G5778" s="1323">
        <f t="shared" si="567"/>
        <v>1991</v>
      </c>
      <c r="H5778" s="1323">
        <f t="shared" si="568"/>
        <v>8</v>
      </c>
      <c r="I5778" s="1323">
        <f t="shared" si="569"/>
        <v>9</v>
      </c>
      <c r="J5778" s="1323"/>
      <c r="K5778" s="1323"/>
      <c r="L5778" s="1323"/>
      <c r="M5778" s="1323"/>
      <c r="N5778" s="1323"/>
      <c r="O5778" s="1323"/>
      <c r="P5778" s="1323"/>
      <c r="Q5778" s="1323"/>
      <c r="R5778" s="1304"/>
      <c r="S5778" s="1304"/>
      <c r="T5778" s="1304"/>
    </row>
    <row r="5779" spans="1:20">
      <c r="A5779" s="1303"/>
      <c r="B5779" s="1322" t="s">
        <v>12769</v>
      </c>
      <c r="C5779" s="1323" t="s">
        <v>12770</v>
      </c>
      <c r="D5779" s="1324">
        <f t="shared" si="570"/>
        <v>33458</v>
      </c>
      <c r="E5779" s="1323">
        <f t="shared" si="566"/>
        <v>2.8424999999999998</v>
      </c>
      <c r="F5779" s="1323">
        <f t="shared" si="571"/>
        <v>3.2404129884997195</v>
      </c>
      <c r="G5779" s="1323">
        <f t="shared" si="567"/>
        <v>1991</v>
      </c>
      <c r="H5779" s="1323">
        <f t="shared" si="568"/>
        <v>8</v>
      </c>
      <c r="I5779" s="1323">
        <f t="shared" si="569"/>
        <v>8</v>
      </c>
      <c r="J5779" s="1323"/>
      <c r="K5779" s="1323"/>
      <c r="L5779" s="1323"/>
      <c r="M5779" s="1323"/>
      <c r="N5779" s="1323"/>
      <c r="O5779" s="1323"/>
      <c r="P5779" s="1323"/>
      <c r="Q5779" s="1323"/>
      <c r="R5779" s="1304"/>
      <c r="S5779" s="1304"/>
      <c r="T5779" s="1304"/>
    </row>
    <row r="5780" spans="1:20">
      <c r="A5780" s="1303"/>
      <c r="B5780" s="1322" t="s">
        <v>12771</v>
      </c>
      <c r="C5780" s="1323" t="s">
        <v>12479</v>
      </c>
      <c r="D5780" s="1324">
        <f t="shared" si="570"/>
        <v>33457</v>
      </c>
      <c r="E5780" s="1323">
        <f t="shared" si="566"/>
        <v>2.8506</v>
      </c>
      <c r="F5780" s="1323">
        <f t="shared" si="571"/>
        <v>3.2397916585925919</v>
      </c>
      <c r="G5780" s="1323">
        <f t="shared" si="567"/>
        <v>1991</v>
      </c>
      <c r="H5780" s="1323">
        <f t="shared" si="568"/>
        <v>8</v>
      </c>
      <c r="I5780" s="1323">
        <f t="shared" si="569"/>
        <v>7</v>
      </c>
      <c r="J5780" s="1323"/>
      <c r="K5780" s="1323"/>
      <c r="L5780" s="1323"/>
      <c r="M5780" s="1323"/>
      <c r="N5780" s="1323"/>
      <c r="O5780" s="1323"/>
      <c r="P5780" s="1323"/>
      <c r="Q5780" s="1323"/>
      <c r="R5780" s="1304"/>
      <c r="S5780" s="1304"/>
      <c r="T5780" s="1304"/>
    </row>
    <row r="5781" spans="1:20">
      <c r="A5781" s="1303"/>
      <c r="B5781" s="1322" t="s">
        <v>12772</v>
      </c>
      <c r="C5781" s="1323" t="s">
        <v>12773</v>
      </c>
      <c r="D5781" s="1324">
        <f t="shared" si="570"/>
        <v>33456</v>
      </c>
      <c r="E5781" s="1323">
        <f t="shared" si="566"/>
        <v>2.8466</v>
      </c>
      <c r="F5781" s="1323">
        <f t="shared" si="571"/>
        <v>3.2391704478217767</v>
      </c>
      <c r="G5781" s="1323">
        <f t="shared" si="567"/>
        <v>1991</v>
      </c>
      <c r="H5781" s="1323">
        <f t="shared" si="568"/>
        <v>8</v>
      </c>
      <c r="I5781" s="1323">
        <f t="shared" si="569"/>
        <v>6</v>
      </c>
      <c r="J5781" s="1323"/>
      <c r="K5781" s="1323"/>
      <c r="L5781" s="1323"/>
      <c r="M5781" s="1323"/>
      <c r="N5781" s="1323"/>
      <c r="O5781" s="1323"/>
      <c r="P5781" s="1323"/>
      <c r="Q5781" s="1323"/>
      <c r="R5781" s="1304"/>
      <c r="S5781" s="1304"/>
      <c r="T5781" s="1304"/>
    </row>
    <row r="5782" spans="1:20">
      <c r="A5782" s="1303"/>
      <c r="B5782" s="1322" t="s">
        <v>12774</v>
      </c>
      <c r="C5782" s="1323" t="s">
        <v>12315</v>
      </c>
      <c r="D5782" s="1324">
        <f t="shared" si="570"/>
        <v>33455</v>
      </c>
      <c r="E5782" s="1323">
        <f t="shared" ref="E5782:E5845" si="572">VALUE(C5783)</f>
        <v>2.8620000000000001</v>
      </c>
      <c r="F5782" s="1323">
        <f t="shared" si="571"/>
        <v>3.2385493561644298</v>
      </c>
      <c r="G5782" s="1323">
        <f t="shared" ref="G5782:G5845" si="573">YEAR(B5783)</f>
        <v>1991</v>
      </c>
      <c r="H5782" s="1323">
        <f t="shared" ref="H5782:H5845" si="574">MONTH(B5783)</f>
        <v>8</v>
      </c>
      <c r="I5782" s="1323">
        <f t="shared" ref="I5782:I5845" si="575">DAY(B5783)</f>
        <v>5</v>
      </c>
      <c r="J5782" s="1323"/>
      <c r="K5782" s="1323"/>
      <c r="L5782" s="1323"/>
      <c r="M5782" s="1323"/>
      <c r="N5782" s="1323"/>
      <c r="O5782" s="1323"/>
      <c r="P5782" s="1323"/>
      <c r="Q5782" s="1323"/>
      <c r="R5782" s="1304"/>
      <c r="S5782" s="1304"/>
      <c r="T5782" s="1304"/>
    </row>
    <row r="5783" spans="1:20">
      <c r="A5783" s="1303"/>
      <c r="B5783" s="1322" t="s">
        <v>12775</v>
      </c>
      <c r="C5783" s="1323" t="s">
        <v>12486</v>
      </c>
      <c r="D5783" s="1324">
        <f t="shared" si="570"/>
        <v>33452</v>
      </c>
      <c r="E5783" s="1323">
        <f t="shared" si="572"/>
        <v>2.8826999999999998</v>
      </c>
      <c r="F5783" s="1323">
        <f t="shared" si="571"/>
        <v>3.2379283835977124</v>
      </c>
      <c r="G5783" s="1323">
        <f t="shared" si="573"/>
        <v>1991</v>
      </c>
      <c r="H5783" s="1323">
        <f t="shared" si="574"/>
        <v>8</v>
      </c>
      <c r="I5783" s="1323">
        <f t="shared" si="575"/>
        <v>2</v>
      </c>
      <c r="J5783" s="1323"/>
      <c r="K5783" s="1323"/>
      <c r="L5783" s="1323"/>
      <c r="M5783" s="1323"/>
      <c r="N5783" s="1323"/>
      <c r="O5783" s="1323"/>
      <c r="P5783" s="1323"/>
      <c r="Q5783" s="1323"/>
      <c r="R5783" s="1304"/>
      <c r="S5783" s="1304"/>
      <c r="T5783" s="1304"/>
    </row>
    <row r="5784" spans="1:20">
      <c r="A5784" s="1303"/>
      <c r="B5784" s="1322" t="s">
        <v>12776</v>
      </c>
      <c r="C5784" s="1323" t="s">
        <v>12777</v>
      </c>
      <c r="D5784" s="1324">
        <f t="shared" si="570"/>
        <v>33451</v>
      </c>
      <c r="E5784" s="1323">
        <f t="shared" si="572"/>
        <v>2.8662000000000001</v>
      </c>
      <c r="F5784" s="1323">
        <f t="shared" si="571"/>
        <v>3.2373075300987892</v>
      </c>
      <c r="G5784" s="1323">
        <f t="shared" si="573"/>
        <v>1991</v>
      </c>
      <c r="H5784" s="1323">
        <f t="shared" si="574"/>
        <v>8</v>
      </c>
      <c r="I5784" s="1323">
        <f t="shared" si="575"/>
        <v>1</v>
      </c>
      <c r="J5784" s="1323"/>
      <c r="K5784" s="1323"/>
      <c r="L5784" s="1323"/>
      <c r="M5784" s="1323"/>
      <c r="N5784" s="1323"/>
      <c r="O5784" s="1323"/>
      <c r="P5784" s="1323"/>
      <c r="Q5784" s="1323"/>
      <c r="R5784" s="1304"/>
      <c r="S5784" s="1304"/>
      <c r="T5784" s="1304"/>
    </row>
    <row r="5785" spans="1:20">
      <c r="A5785" s="1303"/>
      <c r="B5785" s="1322" t="s">
        <v>12778</v>
      </c>
      <c r="C5785" s="1323" t="s">
        <v>12490</v>
      </c>
      <c r="D5785" s="1324">
        <f t="shared" si="570"/>
        <v>33450</v>
      </c>
      <c r="E5785" s="1323">
        <f t="shared" si="572"/>
        <v>2.8645</v>
      </c>
      <c r="F5785" s="1323">
        <f t="shared" si="571"/>
        <v>3.2366867956448298</v>
      </c>
      <c r="G5785" s="1323">
        <f t="shared" si="573"/>
        <v>1991</v>
      </c>
      <c r="H5785" s="1323">
        <f t="shared" si="574"/>
        <v>7</v>
      </c>
      <c r="I5785" s="1323">
        <f t="shared" si="575"/>
        <v>31</v>
      </c>
      <c r="J5785" s="1323"/>
      <c r="K5785" s="1323"/>
      <c r="L5785" s="1323"/>
      <c r="M5785" s="1323"/>
      <c r="N5785" s="1323"/>
      <c r="O5785" s="1323"/>
      <c r="P5785" s="1323"/>
      <c r="Q5785" s="1323"/>
      <c r="R5785" s="1304"/>
      <c r="S5785" s="1304"/>
      <c r="T5785" s="1304"/>
    </row>
    <row r="5786" spans="1:20">
      <c r="A5786" s="1303"/>
      <c r="B5786" s="1322" t="s">
        <v>12779</v>
      </c>
      <c r="C5786" s="1323" t="s">
        <v>12515</v>
      </c>
      <c r="D5786" s="1324">
        <f t="shared" si="570"/>
        <v>33449</v>
      </c>
      <c r="E5786" s="1323">
        <f t="shared" si="572"/>
        <v>2.8702999999999999</v>
      </c>
      <c r="F5786" s="1323">
        <f t="shared" si="571"/>
        <v>3.2360661802130082</v>
      </c>
      <c r="G5786" s="1323">
        <f t="shared" si="573"/>
        <v>1991</v>
      </c>
      <c r="H5786" s="1323">
        <f t="shared" si="574"/>
        <v>7</v>
      </c>
      <c r="I5786" s="1323">
        <f t="shared" si="575"/>
        <v>30</v>
      </c>
      <c r="J5786" s="1323"/>
      <c r="K5786" s="1323"/>
      <c r="L5786" s="1323"/>
      <c r="M5786" s="1323"/>
      <c r="N5786" s="1323"/>
      <c r="O5786" s="1323"/>
      <c r="P5786" s="1323"/>
      <c r="Q5786" s="1323"/>
      <c r="R5786" s="1304"/>
      <c r="S5786" s="1304"/>
      <c r="T5786" s="1304"/>
    </row>
    <row r="5787" spans="1:20">
      <c r="A5787" s="1303"/>
      <c r="B5787" s="1322" t="s">
        <v>12780</v>
      </c>
      <c r="C5787" s="1323" t="s">
        <v>12518</v>
      </c>
      <c r="D5787" s="1324">
        <f t="shared" si="570"/>
        <v>33448</v>
      </c>
      <c r="E5787" s="1323">
        <f t="shared" si="572"/>
        <v>2.8732000000000002</v>
      </c>
      <c r="F5787" s="1323">
        <f t="shared" si="571"/>
        <v>3.2354456837805023</v>
      </c>
      <c r="G5787" s="1323">
        <f t="shared" si="573"/>
        <v>1991</v>
      </c>
      <c r="H5787" s="1323">
        <f t="shared" si="574"/>
        <v>7</v>
      </c>
      <c r="I5787" s="1323">
        <f t="shared" si="575"/>
        <v>29</v>
      </c>
      <c r="J5787" s="1323"/>
      <c r="K5787" s="1323"/>
      <c r="L5787" s="1323"/>
      <c r="M5787" s="1323"/>
      <c r="N5787" s="1323"/>
      <c r="O5787" s="1323"/>
      <c r="P5787" s="1323"/>
      <c r="Q5787" s="1323"/>
      <c r="R5787" s="1304"/>
      <c r="S5787" s="1304"/>
      <c r="T5787" s="1304"/>
    </row>
    <row r="5788" spans="1:20">
      <c r="A5788" s="1303"/>
      <c r="B5788" s="1322" t="s">
        <v>12781</v>
      </c>
      <c r="C5788" s="1323" t="s">
        <v>12782</v>
      </c>
      <c r="D5788" s="1324">
        <f t="shared" si="570"/>
        <v>33445</v>
      </c>
      <c r="E5788" s="1323">
        <f t="shared" si="572"/>
        <v>2.867</v>
      </c>
      <c r="F5788" s="1323">
        <f t="shared" si="571"/>
        <v>3.2348253063244949</v>
      </c>
      <c r="G5788" s="1323">
        <f t="shared" si="573"/>
        <v>1991</v>
      </c>
      <c r="H5788" s="1323">
        <f t="shared" si="574"/>
        <v>7</v>
      </c>
      <c r="I5788" s="1323">
        <f t="shared" si="575"/>
        <v>26</v>
      </c>
      <c r="J5788" s="1323"/>
      <c r="K5788" s="1323"/>
      <c r="L5788" s="1323"/>
      <c r="M5788" s="1323"/>
      <c r="N5788" s="1323"/>
      <c r="O5788" s="1323"/>
      <c r="P5788" s="1323"/>
      <c r="Q5788" s="1323"/>
      <c r="R5788" s="1304"/>
      <c r="S5788" s="1304"/>
      <c r="T5788" s="1304"/>
    </row>
    <row r="5789" spans="1:20">
      <c r="A5789" s="1303"/>
      <c r="B5789" s="1322" t="s">
        <v>12783</v>
      </c>
      <c r="C5789" s="1323" t="s">
        <v>12742</v>
      </c>
      <c r="D5789" s="1324">
        <f t="shared" si="570"/>
        <v>33444</v>
      </c>
      <c r="E5789" s="1323">
        <f t="shared" si="572"/>
        <v>2.8645</v>
      </c>
      <c r="F5789" s="1323">
        <f t="shared" si="571"/>
        <v>3.2342050478221727</v>
      </c>
      <c r="G5789" s="1323">
        <f t="shared" si="573"/>
        <v>1991</v>
      </c>
      <c r="H5789" s="1323">
        <f t="shared" si="574"/>
        <v>7</v>
      </c>
      <c r="I5789" s="1323">
        <f t="shared" si="575"/>
        <v>25</v>
      </c>
      <c r="J5789" s="1323"/>
      <c r="K5789" s="1323"/>
      <c r="L5789" s="1323"/>
      <c r="M5789" s="1323"/>
      <c r="N5789" s="1323"/>
      <c r="O5789" s="1323"/>
      <c r="P5789" s="1323"/>
      <c r="Q5789" s="1323"/>
      <c r="R5789" s="1304"/>
      <c r="S5789" s="1304"/>
      <c r="T5789" s="1304"/>
    </row>
    <row r="5790" spans="1:20">
      <c r="A5790" s="1303"/>
      <c r="B5790" s="1322" t="s">
        <v>12784</v>
      </c>
      <c r="C5790" s="1323" t="s">
        <v>12515</v>
      </c>
      <c r="D5790" s="1324">
        <f t="shared" si="570"/>
        <v>33443</v>
      </c>
      <c r="E5790" s="1323">
        <f t="shared" si="572"/>
        <v>2.8555000000000001</v>
      </c>
      <c r="F5790" s="1323">
        <f t="shared" si="571"/>
        <v>3.2335849082507271</v>
      </c>
      <c r="G5790" s="1323">
        <f t="shared" si="573"/>
        <v>1991</v>
      </c>
      <c r="H5790" s="1323">
        <f t="shared" si="574"/>
        <v>7</v>
      </c>
      <c r="I5790" s="1323">
        <f t="shared" si="575"/>
        <v>24</v>
      </c>
      <c r="J5790" s="1323"/>
      <c r="K5790" s="1323"/>
      <c r="L5790" s="1323"/>
      <c r="M5790" s="1323"/>
      <c r="N5790" s="1323"/>
      <c r="O5790" s="1323"/>
      <c r="P5790" s="1323"/>
      <c r="Q5790" s="1323"/>
      <c r="R5790" s="1304"/>
      <c r="S5790" s="1304"/>
      <c r="T5790" s="1304"/>
    </row>
    <row r="5791" spans="1:20">
      <c r="A5791" s="1303"/>
      <c r="B5791" s="1322" t="s">
        <v>12785</v>
      </c>
      <c r="C5791" s="1323" t="s">
        <v>12297</v>
      </c>
      <c r="D5791" s="1324">
        <f t="shared" si="570"/>
        <v>33442</v>
      </c>
      <c r="E5791" s="1323">
        <f t="shared" si="572"/>
        <v>2.8755999999999999</v>
      </c>
      <c r="F5791" s="1323">
        <f t="shared" si="571"/>
        <v>3.2329648875873542</v>
      </c>
      <c r="G5791" s="1323">
        <f t="shared" si="573"/>
        <v>1991</v>
      </c>
      <c r="H5791" s="1323">
        <f t="shared" si="574"/>
        <v>7</v>
      </c>
      <c r="I5791" s="1323">
        <f t="shared" si="575"/>
        <v>23</v>
      </c>
      <c r="J5791" s="1323"/>
      <c r="K5791" s="1323"/>
      <c r="L5791" s="1323"/>
      <c r="M5791" s="1323"/>
      <c r="N5791" s="1323"/>
      <c r="O5791" s="1323"/>
      <c r="P5791" s="1323"/>
      <c r="Q5791" s="1323"/>
      <c r="R5791" s="1304"/>
      <c r="S5791" s="1304"/>
      <c r="T5791" s="1304"/>
    </row>
    <row r="5792" spans="1:20">
      <c r="A5792" s="1303"/>
      <c r="B5792" s="1322" t="s">
        <v>12786</v>
      </c>
      <c r="C5792" s="1323" t="s">
        <v>12754</v>
      </c>
      <c r="D5792" s="1324">
        <f t="shared" si="570"/>
        <v>33441</v>
      </c>
      <c r="E5792" s="1323">
        <f t="shared" si="572"/>
        <v>2.8620000000000001</v>
      </c>
      <c r="F5792" s="1323">
        <f t="shared" si="571"/>
        <v>3.2323449858092537</v>
      </c>
      <c r="G5792" s="1323">
        <f t="shared" si="573"/>
        <v>1991</v>
      </c>
      <c r="H5792" s="1323">
        <f t="shared" si="574"/>
        <v>7</v>
      </c>
      <c r="I5792" s="1323">
        <f t="shared" si="575"/>
        <v>22</v>
      </c>
      <c r="J5792" s="1323"/>
      <c r="K5792" s="1323"/>
      <c r="L5792" s="1323"/>
      <c r="M5792" s="1323"/>
      <c r="N5792" s="1323"/>
      <c r="O5792" s="1323"/>
      <c r="P5792" s="1323"/>
      <c r="Q5792" s="1323"/>
      <c r="R5792" s="1304"/>
      <c r="S5792" s="1304"/>
      <c r="T5792" s="1304"/>
    </row>
    <row r="5793" spans="1:20">
      <c r="A5793" s="1303"/>
      <c r="B5793" s="1322" t="s">
        <v>12787</v>
      </c>
      <c r="C5793" s="1323" t="s">
        <v>12486</v>
      </c>
      <c r="D5793" s="1324">
        <f t="shared" si="570"/>
        <v>33438</v>
      </c>
      <c r="E5793" s="1323">
        <f t="shared" si="572"/>
        <v>2.8559000000000001</v>
      </c>
      <c r="F5793" s="1323">
        <f t="shared" si="571"/>
        <v>3.2317252028936303</v>
      </c>
      <c r="G5793" s="1323">
        <f t="shared" si="573"/>
        <v>1991</v>
      </c>
      <c r="H5793" s="1323">
        <f t="shared" si="574"/>
        <v>7</v>
      </c>
      <c r="I5793" s="1323">
        <f t="shared" si="575"/>
        <v>19</v>
      </c>
      <c r="J5793" s="1323"/>
      <c r="K5793" s="1323"/>
      <c r="L5793" s="1323"/>
      <c r="M5793" s="1323"/>
      <c r="N5793" s="1323"/>
      <c r="O5793" s="1323"/>
      <c r="P5793" s="1323"/>
      <c r="Q5793" s="1323"/>
      <c r="R5793" s="1304"/>
      <c r="S5793" s="1304"/>
      <c r="T5793" s="1304"/>
    </row>
    <row r="5794" spans="1:20">
      <c r="A5794" s="1303"/>
      <c r="B5794" s="1322" t="s">
        <v>12788</v>
      </c>
      <c r="C5794" s="1323" t="s">
        <v>12789</v>
      </c>
      <c r="D5794" s="1324">
        <f t="shared" si="570"/>
        <v>33437</v>
      </c>
      <c r="E5794" s="1323">
        <f t="shared" si="572"/>
        <v>2.8685999999999998</v>
      </c>
      <c r="F5794" s="1323">
        <f t="shared" si="571"/>
        <v>3.2311055388176926</v>
      </c>
      <c r="G5794" s="1323">
        <f t="shared" si="573"/>
        <v>1991</v>
      </c>
      <c r="H5794" s="1323">
        <f t="shared" si="574"/>
        <v>7</v>
      </c>
      <c r="I5794" s="1323">
        <f t="shared" si="575"/>
        <v>18</v>
      </c>
      <c r="J5794" s="1323"/>
      <c r="K5794" s="1323"/>
      <c r="L5794" s="1323"/>
      <c r="M5794" s="1323"/>
      <c r="N5794" s="1323"/>
      <c r="O5794" s="1323"/>
      <c r="P5794" s="1323"/>
      <c r="Q5794" s="1323"/>
      <c r="R5794" s="1304"/>
      <c r="S5794" s="1304"/>
      <c r="T5794" s="1304"/>
    </row>
    <row r="5795" spans="1:20">
      <c r="A5795" s="1303"/>
      <c r="B5795" s="1322" t="s">
        <v>12790</v>
      </c>
      <c r="C5795" s="1323" t="s">
        <v>12295</v>
      </c>
      <c r="D5795" s="1324">
        <f t="shared" si="570"/>
        <v>33436</v>
      </c>
      <c r="E5795" s="1323">
        <f t="shared" si="572"/>
        <v>2.8748</v>
      </c>
      <c r="F5795" s="1323">
        <f t="shared" si="571"/>
        <v>3.2304859935586538</v>
      </c>
      <c r="G5795" s="1323">
        <f t="shared" si="573"/>
        <v>1991</v>
      </c>
      <c r="H5795" s="1323">
        <f t="shared" si="574"/>
        <v>7</v>
      </c>
      <c r="I5795" s="1323">
        <f t="shared" si="575"/>
        <v>17</v>
      </c>
      <c r="J5795" s="1323"/>
      <c r="K5795" s="1323"/>
      <c r="L5795" s="1323"/>
      <c r="M5795" s="1323"/>
      <c r="N5795" s="1323"/>
      <c r="O5795" s="1323"/>
      <c r="P5795" s="1323"/>
      <c r="Q5795" s="1323"/>
      <c r="R5795" s="1304"/>
      <c r="S5795" s="1304"/>
      <c r="T5795" s="1304"/>
    </row>
    <row r="5796" spans="1:20">
      <c r="A5796" s="1303"/>
      <c r="B5796" s="1322" t="s">
        <v>12791</v>
      </c>
      <c r="C5796" s="1323" t="s">
        <v>12792</v>
      </c>
      <c r="D5796" s="1324">
        <f t="shared" si="570"/>
        <v>33435</v>
      </c>
      <c r="E5796" s="1323">
        <f t="shared" si="572"/>
        <v>2.8769</v>
      </c>
      <c r="F5796" s="1323">
        <f t="shared" si="571"/>
        <v>3.2298665670937314</v>
      </c>
      <c r="G5796" s="1323">
        <f t="shared" si="573"/>
        <v>1991</v>
      </c>
      <c r="H5796" s="1323">
        <f t="shared" si="574"/>
        <v>7</v>
      </c>
      <c r="I5796" s="1323">
        <f t="shared" si="575"/>
        <v>16</v>
      </c>
      <c r="J5796" s="1323"/>
      <c r="K5796" s="1323"/>
      <c r="L5796" s="1323"/>
      <c r="M5796" s="1323"/>
      <c r="N5796" s="1323"/>
      <c r="O5796" s="1323"/>
      <c r="P5796" s="1323"/>
      <c r="Q5796" s="1323"/>
      <c r="R5796" s="1304"/>
      <c r="S5796" s="1304"/>
      <c r="T5796" s="1304"/>
    </row>
    <row r="5797" spans="1:20">
      <c r="A5797" s="1303"/>
      <c r="B5797" s="1322" t="s">
        <v>12793</v>
      </c>
      <c r="C5797" s="1323" t="s">
        <v>12494</v>
      </c>
      <c r="D5797" s="1324">
        <f t="shared" si="570"/>
        <v>33434</v>
      </c>
      <c r="E5797" s="1323">
        <f t="shared" si="572"/>
        <v>2.8727</v>
      </c>
      <c r="F5797" s="1323">
        <f t="shared" si="571"/>
        <v>3.2292472594001476</v>
      </c>
      <c r="G5797" s="1323">
        <f t="shared" si="573"/>
        <v>1991</v>
      </c>
      <c r="H5797" s="1323">
        <f t="shared" si="574"/>
        <v>7</v>
      </c>
      <c r="I5797" s="1323">
        <f t="shared" si="575"/>
        <v>15</v>
      </c>
      <c r="J5797" s="1323"/>
      <c r="K5797" s="1323"/>
      <c r="L5797" s="1323"/>
      <c r="M5797" s="1323"/>
      <c r="N5797" s="1323"/>
      <c r="O5797" s="1323"/>
      <c r="P5797" s="1323"/>
      <c r="Q5797" s="1323"/>
      <c r="R5797" s="1304"/>
      <c r="S5797" s="1304"/>
      <c r="T5797" s="1304"/>
    </row>
    <row r="5798" spans="1:20">
      <c r="A5798" s="1303"/>
      <c r="B5798" s="1322" t="s">
        <v>12794</v>
      </c>
      <c r="C5798" s="1323" t="s">
        <v>12795</v>
      </c>
      <c r="D5798" s="1324">
        <f t="shared" si="570"/>
        <v>33431</v>
      </c>
      <c r="E5798" s="1323">
        <f t="shared" si="572"/>
        <v>2.8976999999999999</v>
      </c>
      <c r="F5798" s="1323">
        <f t="shared" si="571"/>
        <v>3.2286280704551285</v>
      </c>
      <c r="G5798" s="1323">
        <f t="shared" si="573"/>
        <v>1991</v>
      </c>
      <c r="H5798" s="1323">
        <f t="shared" si="574"/>
        <v>7</v>
      </c>
      <c r="I5798" s="1323">
        <f t="shared" si="575"/>
        <v>12</v>
      </c>
      <c r="J5798" s="1323"/>
      <c r="K5798" s="1323"/>
      <c r="L5798" s="1323"/>
      <c r="M5798" s="1323"/>
      <c r="N5798" s="1323"/>
      <c r="O5798" s="1323"/>
      <c r="P5798" s="1323"/>
      <c r="Q5798" s="1323"/>
      <c r="R5798" s="1304"/>
      <c r="S5798" s="1304"/>
      <c r="T5798" s="1304"/>
    </row>
    <row r="5799" spans="1:20">
      <c r="A5799" s="1303"/>
      <c r="B5799" s="1322" t="s">
        <v>12796</v>
      </c>
      <c r="C5799" s="1323" t="s">
        <v>12797</v>
      </c>
      <c r="D5799" s="1324">
        <f t="shared" si="570"/>
        <v>33430</v>
      </c>
      <c r="E5799" s="1323">
        <f t="shared" si="572"/>
        <v>2.8885000000000001</v>
      </c>
      <c r="F5799" s="1323">
        <f t="shared" si="571"/>
        <v>3.2280090002359052</v>
      </c>
      <c r="G5799" s="1323">
        <f t="shared" si="573"/>
        <v>1991</v>
      </c>
      <c r="H5799" s="1323">
        <f t="shared" si="574"/>
        <v>7</v>
      </c>
      <c r="I5799" s="1323">
        <f t="shared" si="575"/>
        <v>11</v>
      </c>
      <c r="J5799" s="1323"/>
      <c r="K5799" s="1323"/>
      <c r="L5799" s="1323"/>
      <c r="M5799" s="1323"/>
      <c r="N5799" s="1323"/>
      <c r="O5799" s="1323"/>
      <c r="P5799" s="1323"/>
      <c r="Q5799" s="1323"/>
      <c r="R5799" s="1304"/>
      <c r="S5799" s="1304"/>
      <c r="T5799" s="1304"/>
    </row>
    <row r="5800" spans="1:20">
      <c r="A5800" s="1303"/>
      <c r="B5800" s="1322" t="s">
        <v>12798</v>
      </c>
      <c r="C5800" s="1323" t="s">
        <v>12799</v>
      </c>
      <c r="D5800" s="1324">
        <f t="shared" si="570"/>
        <v>33429</v>
      </c>
      <c r="E5800" s="1323">
        <f t="shared" si="572"/>
        <v>2.8976999999999999</v>
      </c>
      <c r="F5800" s="1323">
        <f t="shared" si="571"/>
        <v>3.2273900487197125</v>
      </c>
      <c r="G5800" s="1323">
        <f t="shared" si="573"/>
        <v>1991</v>
      </c>
      <c r="H5800" s="1323">
        <f t="shared" si="574"/>
        <v>7</v>
      </c>
      <c r="I5800" s="1323">
        <f t="shared" si="575"/>
        <v>10</v>
      </c>
      <c r="J5800" s="1323"/>
      <c r="K5800" s="1323"/>
      <c r="L5800" s="1323"/>
      <c r="M5800" s="1323"/>
      <c r="N5800" s="1323"/>
      <c r="O5800" s="1323"/>
      <c r="P5800" s="1323"/>
      <c r="Q5800" s="1323"/>
      <c r="R5800" s="1304"/>
      <c r="S5800" s="1304"/>
      <c r="T5800" s="1304"/>
    </row>
    <row r="5801" spans="1:20">
      <c r="A5801" s="1303"/>
      <c r="B5801" s="1322" t="s">
        <v>12800</v>
      </c>
      <c r="C5801" s="1323" t="s">
        <v>12797</v>
      </c>
      <c r="D5801" s="1324">
        <f t="shared" si="570"/>
        <v>33428</v>
      </c>
      <c r="E5801" s="1323">
        <f t="shared" si="572"/>
        <v>2.891</v>
      </c>
      <c r="F5801" s="1323">
        <f t="shared" si="571"/>
        <v>3.2267712158837893</v>
      </c>
      <c r="G5801" s="1323">
        <f t="shared" si="573"/>
        <v>1991</v>
      </c>
      <c r="H5801" s="1323">
        <f t="shared" si="574"/>
        <v>7</v>
      </c>
      <c r="I5801" s="1323">
        <f t="shared" si="575"/>
        <v>9</v>
      </c>
      <c r="J5801" s="1323"/>
      <c r="K5801" s="1323"/>
      <c r="L5801" s="1323"/>
      <c r="M5801" s="1323"/>
      <c r="N5801" s="1323"/>
      <c r="O5801" s="1323"/>
      <c r="P5801" s="1323"/>
      <c r="Q5801" s="1323"/>
      <c r="R5801" s="1304"/>
      <c r="S5801" s="1304"/>
      <c r="T5801" s="1304"/>
    </row>
    <row r="5802" spans="1:20">
      <c r="A5802" s="1303"/>
      <c r="B5802" s="1322" t="s">
        <v>12801</v>
      </c>
      <c r="C5802" s="1323" t="s">
        <v>12802</v>
      </c>
      <c r="D5802" s="1324">
        <f t="shared" si="570"/>
        <v>33427</v>
      </c>
      <c r="E5802" s="1323">
        <f t="shared" si="572"/>
        <v>2.8935</v>
      </c>
      <c r="F5802" s="1323">
        <f t="shared" si="571"/>
        <v>3.2261525017053798</v>
      </c>
      <c r="G5802" s="1323">
        <f t="shared" si="573"/>
        <v>1991</v>
      </c>
      <c r="H5802" s="1323">
        <f t="shared" si="574"/>
        <v>7</v>
      </c>
      <c r="I5802" s="1323">
        <f t="shared" si="575"/>
        <v>8</v>
      </c>
      <c r="J5802" s="1323"/>
      <c r="K5802" s="1323"/>
      <c r="L5802" s="1323"/>
      <c r="M5802" s="1323"/>
      <c r="N5802" s="1323"/>
      <c r="O5802" s="1323"/>
      <c r="P5802" s="1323"/>
      <c r="Q5802" s="1323"/>
      <c r="R5802" s="1304"/>
      <c r="S5802" s="1304"/>
      <c r="T5802" s="1304"/>
    </row>
    <row r="5803" spans="1:20">
      <c r="A5803" s="1303"/>
      <c r="B5803" s="1322" t="s">
        <v>12803</v>
      </c>
      <c r="C5803" s="1323" t="s">
        <v>12529</v>
      </c>
      <c r="D5803" s="1324">
        <f t="shared" si="570"/>
        <v>33424</v>
      </c>
      <c r="E5803" s="1323">
        <f t="shared" si="572"/>
        <v>2.9098999999999999</v>
      </c>
      <c r="F5803" s="1323">
        <f t="shared" si="571"/>
        <v>3.2255339061617323</v>
      </c>
      <c r="G5803" s="1323">
        <f t="shared" si="573"/>
        <v>1991</v>
      </c>
      <c r="H5803" s="1323">
        <f t="shared" si="574"/>
        <v>7</v>
      </c>
      <c r="I5803" s="1323">
        <f t="shared" si="575"/>
        <v>5</v>
      </c>
      <c r="J5803" s="1323"/>
      <c r="K5803" s="1323"/>
      <c r="L5803" s="1323"/>
      <c r="M5803" s="1323"/>
      <c r="N5803" s="1323"/>
      <c r="O5803" s="1323"/>
      <c r="P5803" s="1323"/>
      <c r="Q5803" s="1323"/>
      <c r="R5803" s="1304"/>
      <c r="S5803" s="1304"/>
      <c r="T5803" s="1304"/>
    </row>
    <row r="5804" spans="1:20">
      <c r="A5804" s="1303"/>
      <c r="B5804" s="1322" t="s">
        <v>12804</v>
      </c>
      <c r="C5804" s="1323" t="s">
        <v>12805</v>
      </c>
      <c r="D5804" s="1324">
        <f t="shared" si="570"/>
        <v>33423</v>
      </c>
      <c r="E5804" s="1323">
        <f t="shared" si="572"/>
        <v>2.9098999999999999</v>
      </c>
      <c r="F5804" s="1323">
        <f t="shared" si="571"/>
        <v>3.2249154292300992</v>
      </c>
      <c r="G5804" s="1323">
        <f t="shared" si="573"/>
        <v>1991</v>
      </c>
      <c r="H5804" s="1323">
        <f t="shared" si="574"/>
        <v>7</v>
      </c>
      <c r="I5804" s="1323">
        <f t="shared" si="575"/>
        <v>4</v>
      </c>
      <c r="J5804" s="1323"/>
      <c r="K5804" s="1323"/>
      <c r="L5804" s="1323"/>
      <c r="M5804" s="1323"/>
      <c r="N5804" s="1323"/>
      <c r="O5804" s="1323"/>
      <c r="P5804" s="1323"/>
      <c r="Q5804" s="1323"/>
      <c r="R5804" s="1304"/>
      <c r="S5804" s="1304"/>
      <c r="T5804" s="1304"/>
    </row>
    <row r="5805" spans="1:20">
      <c r="A5805" s="1303"/>
      <c r="B5805" s="1322" t="s">
        <v>12806</v>
      </c>
      <c r="C5805" s="1323" t="s">
        <v>12805</v>
      </c>
      <c r="D5805" s="1324">
        <f t="shared" si="570"/>
        <v>33422</v>
      </c>
      <c r="E5805" s="1323">
        <f t="shared" si="572"/>
        <v>2.9087000000000001</v>
      </c>
      <c r="F5805" s="1323">
        <f t="shared" si="571"/>
        <v>3.224297070887737</v>
      </c>
      <c r="G5805" s="1323">
        <f t="shared" si="573"/>
        <v>1991</v>
      </c>
      <c r="H5805" s="1323">
        <f t="shared" si="574"/>
        <v>7</v>
      </c>
      <c r="I5805" s="1323">
        <f t="shared" si="575"/>
        <v>3</v>
      </c>
      <c r="J5805" s="1323"/>
      <c r="K5805" s="1323"/>
      <c r="L5805" s="1323"/>
      <c r="M5805" s="1323"/>
      <c r="N5805" s="1323"/>
      <c r="O5805" s="1323"/>
      <c r="P5805" s="1323"/>
      <c r="Q5805" s="1323"/>
      <c r="R5805" s="1304"/>
      <c r="S5805" s="1304"/>
      <c r="T5805" s="1304"/>
    </row>
    <row r="5806" spans="1:20">
      <c r="A5806" s="1303"/>
      <c r="B5806" s="1322" t="s">
        <v>12807</v>
      </c>
      <c r="C5806" s="1323" t="s">
        <v>12808</v>
      </c>
      <c r="D5806" s="1324">
        <f t="shared" si="570"/>
        <v>33421</v>
      </c>
      <c r="E5806" s="1323">
        <f t="shared" si="572"/>
        <v>2.9001999999999999</v>
      </c>
      <c r="F5806" s="1323">
        <f t="shared" si="571"/>
        <v>3.2236788311119073</v>
      </c>
      <c r="G5806" s="1323">
        <f t="shared" si="573"/>
        <v>1991</v>
      </c>
      <c r="H5806" s="1323">
        <f t="shared" si="574"/>
        <v>7</v>
      </c>
      <c r="I5806" s="1323">
        <f t="shared" si="575"/>
        <v>2</v>
      </c>
      <c r="J5806" s="1323"/>
      <c r="K5806" s="1323"/>
      <c r="L5806" s="1323"/>
      <c r="M5806" s="1323"/>
      <c r="N5806" s="1323"/>
      <c r="O5806" s="1323"/>
      <c r="P5806" s="1323"/>
      <c r="Q5806" s="1323"/>
      <c r="R5806" s="1304"/>
      <c r="S5806" s="1304"/>
      <c r="T5806" s="1304"/>
    </row>
    <row r="5807" spans="1:20">
      <c r="A5807" s="1303"/>
      <c r="B5807" s="1322" t="s">
        <v>12809</v>
      </c>
      <c r="C5807" s="1323" t="s">
        <v>12810</v>
      </c>
      <c r="D5807" s="1324">
        <f t="shared" si="570"/>
        <v>33420</v>
      </c>
      <c r="E5807" s="1323">
        <f t="shared" si="572"/>
        <v>2.8917999999999999</v>
      </c>
      <c r="F5807" s="1323">
        <f t="shared" si="571"/>
        <v>3.2230607098798756</v>
      </c>
      <c r="G5807" s="1323">
        <f t="shared" si="573"/>
        <v>1991</v>
      </c>
      <c r="H5807" s="1323">
        <f t="shared" si="574"/>
        <v>7</v>
      </c>
      <c r="I5807" s="1323">
        <f t="shared" si="575"/>
        <v>1</v>
      </c>
      <c r="J5807" s="1323"/>
      <c r="K5807" s="1323"/>
      <c r="L5807" s="1323"/>
      <c r="M5807" s="1323"/>
      <c r="N5807" s="1323"/>
      <c r="O5807" s="1323"/>
      <c r="P5807" s="1323"/>
      <c r="Q5807" s="1323"/>
      <c r="R5807" s="1304"/>
      <c r="S5807" s="1304"/>
      <c r="T5807" s="1304"/>
    </row>
    <row r="5808" spans="1:20">
      <c r="A5808" s="1303"/>
      <c r="B5808" s="1322" t="s">
        <v>12811</v>
      </c>
      <c r="C5808" s="1323" t="s">
        <v>12812</v>
      </c>
      <c r="D5808" s="1324">
        <f t="shared" si="570"/>
        <v>33417</v>
      </c>
      <c r="E5808" s="1323">
        <f t="shared" si="572"/>
        <v>2.8868</v>
      </c>
      <c r="F5808" s="1323">
        <f t="shared" si="571"/>
        <v>3.2224427071689115</v>
      </c>
      <c r="G5808" s="1323">
        <f t="shared" si="573"/>
        <v>1991</v>
      </c>
      <c r="H5808" s="1323">
        <f t="shared" si="574"/>
        <v>6</v>
      </c>
      <c r="I5808" s="1323">
        <f t="shared" si="575"/>
        <v>28</v>
      </c>
      <c r="J5808" s="1323"/>
      <c r="K5808" s="1323"/>
      <c r="L5808" s="1323"/>
      <c r="M5808" s="1323"/>
      <c r="N5808" s="1323"/>
      <c r="O5808" s="1323"/>
      <c r="P5808" s="1323"/>
      <c r="Q5808" s="1323"/>
      <c r="R5808" s="1304"/>
      <c r="S5808" s="1304"/>
      <c r="T5808" s="1304"/>
    </row>
    <row r="5809" spans="1:20">
      <c r="A5809" s="1303"/>
      <c r="B5809" s="1322" t="s">
        <v>12813</v>
      </c>
      <c r="C5809" s="1323" t="s">
        <v>12549</v>
      </c>
      <c r="D5809" s="1324">
        <f t="shared" si="570"/>
        <v>33416</v>
      </c>
      <c r="E5809" s="1323">
        <f t="shared" si="572"/>
        <v>2.8769</v>
      </c>
      <c r="F5809" s="1323">
        <f t="shared" si="571"/>
        <v>3.2218248229562896</v>
      </c>
      <c r="G5809" s="1323">
        <f t="shared" si="573"/>
        <v>1991</v>
      </c>
      <c r="H5809" s="1323">
        <f t="shared" si="574"/>
        <v>6</v>
      </c>
      <c r="I5809" s="1323">
        <f t="shared" si="575"/>
        <v>27</v>
      </c>
      <c r="J5809" s="1323"/>
      <c r="K5809" s="1323"/>
      <c r="L5809" s="1323"/>
      <c r="M5809" s="1323"/>
      <c r="N5809" s="1323"/>
      <c r="O5809" s="1323"/>
      <c r="P5809" s="1323"/>
      <c r="Q5809" s="1323"/>
      <c r="R5809" s="1304"/>
      <c r="S5809" s="1304"/>
      <c r="T5809" s="1304"/>
    </row>
    <row r="5810" spans="1:20">
      <c r="A5810" s="1303"/>
      <c r="B5810" s="1322" t="s">
        <v>12814</v>
      </c>
      <c r="C5810" s="1323" t="s">
        <v>12494</v>
      </c>
      <c r="D5810" s="1324">
        <f t="shared" si="570"/>
        <v>33415</v>
      </c>
      <c r="E5810" s="1323">
        <f t="shared" si="572"/>
        <v>2.8794</v>
      </c>
      <c r="F5810" s="1323">
        <f t="shared" si="571"/>
        <v>3.2212070572192886</v>
      </c>
      <c r="G5810" s="1323">
        <f t="shared" si="573"/>
        <v>1991</v>
      </c>
      <c r="H5810" s="1323">
        <f t="shared" si="574"/>
        <v>6</v>
      </c>
      <c r="I5810" s="1323">
        <f t="shared" si="575"/>
        <v>26</v>
      </c>
      <c r="J5810" s="1323"/>
      <c r="K5810" s="1323"/>
      <c r="L5810" s="1323"/>
      <c r="M5810" s="1323"/>
      <c r="N5810" s="1323"/>
      <c r="O5810" s="1323"/>
      <c r="P5810" s="1323"/>
      <c r="Q5810" s="1323"/>
      <c r="R5810" s="1304"/>
      <c r="S5810" s="1304"/>
      <c r="T5810" s="1304"/>
    </row>
    <row r="5811" spans="1:20">
      <c r="A5811" s="1303"/>
      <c r="B5811" s="1322" t="s">
        <v>12815</v>
      </c>
      <c r="C5811" s="1323" t="s">
        <v>12525</v>
      </c>
      <c r="D5811" s="1324">
        <f t="shared" si="570"/>
        <v>33414</v>
      </c>
      <c r="E5811" s="1323">
        <f t="shared" si="572"/>
        <v>2.8776999999999999</v>
      </c>
      <c r="F5811" s="1323">
        <f t="shared" si="571"/>
        <v>3.2205894099351915</v>
      </c>
      <c r="G5811" s="1323">
        <f t="shared" si="573"/>
        <v>1991</v>
      </c>
      <c r="H5811" s="1323">
        <f t="shared" si="574"/>
        <v>6</v>
      </c>
      <c r="I5811" s="1323">
        <f t="shared" si="575"/>
        <v>25</v>
      </c>
      <c r="J5811" s="1323"/>
      <c r="K5811" s="1323"/>
      <c r="L5811" s="1323"/>
      <c r="M5811" s="1323"/>
      <c r="N5811" s="1323"/>
      <c r="O5811" s="1323"/>
      <c r="P5811" s="1323"/>
      <c r="Q5811" s="1323"/>
      <c r="R5811" s="1304"/>
      <c r="S5811" s="1304"/>
      <c r="T5811" s="1304"/>
    </row>
    <row r="5812" spans="1:20">
      <c r="A5812" s="1303"/>
      <c r="B5812" s="1322" t="s">
        <v>12816</v>
      </c>
      <c r="C5812" s="1323" t="s">
        <v>12511</v>
      </c>
      <c r="D5812" s="1324">
        <f t="shared" si="570"/>
        <v>33413</v>
      </c>
      <c r="E5812" s="1323">
        <f t="shared" si="572"/>
        <v>2.8902000000000001</v>
      </c>
      <c r="F5812" s="1323">
        <f t="shared" si="571"/>
        <v>3.2199718810812854</v>
      </c>
      <c r="G5812" s="1323">
        <f t="shared" si="573"/>
        <v>1991</v>
      </c>
      <c r="H5812" s="1323">
        <f t="shared" si="574"/>
        <v>6</v>
      </c>
      <c r="I5812" s="1323">
        <f t="shared" si="575"/>
        <v>24</v>
      </c>
      <c r="J5812" s="1323"/>
      <c r="K5812" s="1323"/>
      <c r="L5812" s="1323"/>
      <c r="M5812" s="1323"/>
      <c r="N5812" s="1323"/>
      <c r="O5812" s="1323"/>
      <c r="P5812" s="1323"/>
      <c r="Q5812" s="1323"/>
      <c r="R5812" s="1304"/>
      <c r="S5812" s="1304"/>
      <c r="T5812" s="1304"/>
    </row>
    <row r="5813" spans="1:20">
      <c r="A5813" s="1303"/>
      <c r="B5813" s="1322" t="s">
        <v>12817</v>
      </c>
      <c r="C5813" s="1323" t="s">
        <v>12818</v>
      </c>
      <c r="D5813" s="1324">
        <f t="shared" si="570"/>
        <v>33410</v>
      </c>
      <c r="E5813" s="1323">
        <f t="shared" si="572"/>
        <v>2.8784999999999998</v>
      </c>
      <c r="F5813" s="1323">
        <f t="shared" si="571"/>
        <v>3.2193544706348622</v>
      </c>
      <c r="G5813" s="1323">
        <f t="shared" si="573"/>
        <v>1991</v>
      </c>
      <c r="H5813" s="1323">
        <f t="shared" si="574"/>
        <v>6</v>
      </c>
      <c r="I5813" s="1323">
        <f t="shared" si="575"/>
        <v>21</v>
      </c>
      <c r="J5813" s="1323"/>
      <c r="K5813" s="1323"/>
      <c r="L5813" s="1323"/>
      <c r="M5813" s="1323"/>
      <c r="N5813" s="1323"/>
      <c r="O5813" s="1323"/>
      <c r="P5813" s="1323"/>
      <c r="Q5813" s="1323"/>
      <c r="R5813" s="1304"/>
      <c r="S5813" s="1304"/>
      <c r="T5813" s="1304"/>
    </row>
    <row r="5814" spans="1:20">
      <c r="A5814" s="1303"/>
      <c r="B5814" s="1322" t="s">
        <v>12819</v>
      </c>
      <c r="C5814" s="1323" t="s">
        <v>12498</v>
      </c>
      <c r="D5814" s="1324">
        <f t="shared" si="570"/>
        <v>33409</v>
      </c>
      <c r="E5814" s="1323">
        <f t="shared" si="572"/>
        <v>2.867</v>
      </c>
      <c r="F5814" s="1323">
        <f t="shared" si="571"/>
        <v>3.2187371785732179</v>
      </c>
      <c r="G5814" s="1323">
        <f t="shared" si="573"/>
        <v>1991</v>
      </c>
      <c r="H5814" s="1323">
        <f t="shared" si="574"/>
        <v>6</v>
      </c>
      <c r="I5814" s="1323">
        <f t="shared" si="575"/>
        <v>20</v>
      </c>
      <c r="J5814" s="1323"/>
      <c r="K5814" s="1323"/>
      <c r="L5814" s="1323"/>
      <c r="M5814" s="1323"/>
      <c r="N5814" s="1323"/>
      <c r="O5814" s="1323"/>
      <c r="P5814" s="1323"/>
      <c r="Q5814" s="1323"/>
      <c r="R5814" s="1304"/>
      <c r="S5814" s="1304"/>
      <c r="T5814" s="1304"/>
    </row>
    <row r="5815" spans="1:20">
      <c r="A5815" s="1303"/>
      <c r="B5815" s="1322" t="s">
        <v>12820</v>
      </c>
      <c r="C5815" s="1323" t="s">
        <v>12742</v>
      </c>
      <c r="D5815" s="1324">
        <f t="shared" si="570"/>
        <v>33408</v>
      </c>
      <c r="E5815" s="1323">
        <f t="shared" si="572"/>
        <v>2.8893</v>
      </c>
      <c r="F5815" s="1323">
        <f t="shared" si="571"/>
        <v>3.2181200048736529</v>
      </c>
      <c r="G5815" s="1323">
        <f t="shared" si="573"/>
        <v>1991</v>
      </c>
      <c r="H5815" s="1323">
        <f t="shared" si="574"/>
        <v>6</v>
      </c>
      <c r="I5815" s="1323">
        <f t="shared" si="575"/>
        <v>19</v>
      </c>
      <c r="J5815" s="1323"/>
      <c r="K5815" s="1323"/>
      <c r="L5815" s="1323"/>
      <c r="M5815" s="1323"/>
      <c r="N5815" s="1323"/>
      <c r="O5815" s="1323"/>
      <c r="P5815" s="1323"/>
      <c r="Q5815" s="1323"/>
      <c r="R5815" s="1304"/>
      <c r="S5815" s="1304"/>
      <c r="T5815" s="1304"/>
    </row>
    <row r="5816" spans="1:20">
      <c r="A5816" s="1303"/>
      <c r="B5816" s="1322" t="s">
        <v>12821</v>
      </c>
      <c r="C5816" s="1323" t="s">
        <v>12547</v>
      </c>
      <c r="D5816" s="1324">
        <f t="shared" si="570"/>
        <v>33407</v>
      </c>
      <c r="E5816" s="1323">
        <f t="shared" si="572"/>
        <v>2.8927</v>
      </c>
      <c r="F5816" s="1323">
        <f t="shared" si="571"/>
        <v>3.2175029495134719</v>
      </c>
      <c r="G5816" s="1323">
        <f t="shared" si="573"/>
        <v>1991</v>
      </c>
      <c r="H5816" s="1323">
        <f t="shared" si="574"/>
        <v>6</v>
      </c>
      <c r="I5816" s="1323">
        <f t="shared" si="575"/>
        <v>18</v>
      </c>
      <c r="J5816" s="1323"/>
      <c r="K5816" s="1323"/>
      <c r="L5816" s="1323"/>
      <c r="M5816" s="1323"/>
      <c r="N5816" s="1323"/>
      <c r="O5816" s="1323"/>
      <c r="P5816" s="1323"/>
      <c r="Q5816" s="1323"/>
      <c r="R5816" s="1304"/>
      <c r="S5816" s="1304"/>
      <c r="T5816" s="1304"/>
    </row>
    <row r="5817" spans="1:20">
      <c r="A5817" s="1303"/>
      <c r="B5817" s="1322" t="s">
        <v>12822</v>
      </c>
      <c r="C5817" s="1323" t="s">
        <v>12823</v>
      </c>
      <c r="D5817" s="1324">
        <f t="shared" si="570"/>
        <v>33406</v>
      </c>
      <c r="E5817" s="1323">
        <f t="shared" si="572"/>
        <v>2.8809999999999998</v>
      </c>
      <c r="F5817" s="1323">
        <f t="shared" si="571"/>
        <v>3.2168860124699843</v>
      </c>
      <c r="G5817" s="1323">
        <f t="shared" si="573"/>
        <v>1991</v>
      </c>
      <c r="H5817" s="1323">
        <f t="shared" si="574"/>
        <v>6</v>
      </c>
      <c r="I5817" s="1323">
        <f t="shared" si="575"/>
        <v>17</v>
      </c>
      <c r="J5817" s="1323"/>
      <c r="K5817" s="1323"/>
      <c r="L5817" s="1323"/>
      <c r="M5817" s="1323"/>
      <c r="N5817" s="1323"/>
      <c r="O5817" s="1323"/>
      <c r="P5817" s="1323"/>
      <c r="Q5817" s="1323"/>
      <c r="R5817" s="1304"/>
      <c r="S5817" s="1304"/>
      <c r="T5817" s="1304"/>
    </row>
    <row r="5818" spans="1:20">
      <c r="A5818" s="1303"/>
      <c r="B5818" s="1322" t="s">
        <v>12824</v>
      </c>
      <c r="C5818" s="1323" t="s">
        <v>12541</v>
      </c>
      <c r="D5818" s="1324">
        <f t="shared" si="570"/>
        <v>33403</v>
      </c>
      <c r="E5818" s="1323">
        <f t="shared" si="572"/>
        <v>2.8852000000000002</v>
      </c>
      <c r="F5818" s="1323">
        <f t="shared" si="571"/>
        <v>3.2162691937205037</v>
      </c>
      <c r="G5818" s="1323">
        <f t="shared" si="573"/>
        <v>1991</v>
      </c>
      <c r="H5818" s="1323">
        <f t="shared" si="574"/>
        <v>6</v>
      </c>
      <c r="I5818" s="1323">
        <f t="shared" si="575"/>
        <v>14</v>
      </c>
      <c r="J5818" s="1323"/>
      <c r="K5818" s="1323"/>
      <c r="L5818" s="1323"/>
      <c r="M5818" s="1323"/>
      <c r="N5818" s="1323"/>
      <c r="O5818" s="1323"/>
      <c r="P5818" s="1323"/>
      <c r="Q5818" s="1323"/>
      <c r="R5818" s="1304"/>
      <c r="S5818" s="1304"/>
      <c r="T5818" s="1304"/>
    </row>
    <row r="5819" spans="1:20">
      <c r="A5819" s="1303"/>
      <c r="B5819" s="1322" t="s">
        <v>12825</v>
      </c>
      <c r="C5819" s="1323" t="s">
        <v>12523</v>
      </c>
      <c r="D5819" s="1324">
        <f t="shared" si="570"/>
        <v>33402</v>
      </c>
      <c r="E5819" s="1323">
        <f t="shared" si="572"/>
        <v>2.8769</v>
      </c>
      <c r="F5819" s="1323">
        <f t="shared" si="571"/>
        <v>3.2156524932423474</v>
      </c>
      <c r="G5819" s="1323">
        <f t="shared" si="573"/>
        <v>1991</v>
      </c>
      <c r="H5819" s="1323">
        <f t="shared" si="574"/>
        <v>6</v>
      </c>
      <c r="I5819" s="1323">
        <f t="shared" si="575"/>
        <v>13</v>
      </c>
      <c r="J5819" s="1323"/>
      <c r="K5819" s="1323"/>
      <c r="L5819" s="1323"/>
      <c r="M5819" s="1323"/>
      <c r="N5819" s="1323"/>
      <c r="O5819" s="1323"/>
      <c r="P5819" s="1323"/>
      <c r="Q5819" s="1323"/>
      <c r="R5819" s="1304"/>
      <c r="S5819" s="1304"/>
      <c r="T5819" s="1304"/>
    </row>
    <row r="5820" spans="1:20">
      <c r="A5820" s="1303"/>
      <c r="B5820" s="1322" t="s">
        <v>12826</v>
      </c>
      <c r="C5820" s="1323" t="s">
        <v>12494</v>
      </c>
      <c r="D5820" s="1324">
        <f t="shared" si="570"/>
        <v>33401</v>
      </c>
      <c r="E5820" s="1323">
        <f t="shared" si="572"/>
        <v>2.8531</v>
      </c>
      <c r="F5820" s="1323">
        <f t="shared" si="571"/>
        <v>3.2150359110128379</v>
      </c>
      <c r="G5820" s="1323">
        <f t="shared" si="573"/>
        <v>1991</v>
      </c>
      <c r="H5820" s="1323">
        <f t="shared" si="574"/>
        <v>6</v>
      </c>
      <c r="I5820" s="1323">
        <f t="shared" si="575"/>
        <v>12</v>
      </c>
      <c r="J5820" s="1323"/>
      <c r="K5820" s="1323"/>
      <c r="L5820" s="1323"/>
      <c r="M5820" s="1323"/>
      <c r="N5820" s="1323"/>
      <c r="O5820" s="1323"/>
      <c r="P5820" s="1323"/>
      <c r="Q5820" s="1323"/>
      <c r="R5820" s="1304"/>
      <c r="S5820" s="1304"/>
      <c r="T5820" s="1304"/>
    </row>
    <row r="5821" spans="1:20">
      <c r="A5821" s="1303"/>
      <c r="B5821" s="1322" t="s">
        <v>12827</v>
      </c>
      <c r="C5821" s="1323" t="s">
        <v>12317</v>
      </c>
      <c r="D5821" s="1324">
        <f t="shared" si="570"/>
        <v>33400</v>
      </c>
      <c r="E5821" s="1323">
        <f t="shared" si="572"/>
        <v>2.8466</v>
      </c>
      <c r="F5821" s="1323">
        <f t="shared" si="571"/>
        <v>3.2144194470093019</v>
      </c>
      <c r="G5821" s="1323">
        <f t="shared" si="573"/>
        <v>1991</v>
      </c>
      <c r="H5821" s="1323">
        <f t="shared" si="574"/>
        <v>6</v>
      </c>
      <c r="I5821" s="1323">
        <f t="shared" si="575"/>
        <v>11</v>
      </c>
      <c r="J5821" s="1323"/>
      <c r="K5821" s="1323"/>
      <c r="L5821" s="1323"/>
      <c r="M5821" s="1323"/>
      <c r="N5821" s="1323"/>
      <c r="O5821" s="1323"/>
      <c r="P5821" s="1323"/>
      <c r="Q5821" s="1323"/>
      <c r="R5821" s="1304"/>
      <c r="S5821" s="1304"/>
      <c r="T5821" s="1304"/>
    </row>
    <row r="5822" spans="1:20">
      <c r="A5822" s="1303"/>
      <c r="B5822" s="1322" t="s">
        <v>12828</v>
      </c>
      <c r="C5822" s="1323" t="s">
        <v>12315</v>
      </c>
      <c r="D5822" s="1324">
        <f t="shared" si="570"/>
        <v>33399</v>
      </c>
      <c r="E5822" s="1323">
        <f t="shared" si="572"/>
        <v>2.8531</v>
      </c>
      <c r="F5822" s="1323">
        <f t="shared" si="571"/>
        <v>3.21380310120907</v>
      </c>
      <c r="G5822" s="1323">
        <f t="shared" si="573"/>
        <v>1991</v>
      </c>
      <c r="H5822" s="1323">
        <f t="shared" si="574"/>
        <v>6</v>
      </c>
      <c r="I5822" s="1323">
        <f t="shared" si="575"/>
        <v>10</v>
      </c>
      <c r="J5822" s="1323"/>
      <c r="K5822" s="1323"/>
      <c r="L5822" s="1323"/>
      <c r="M5822" s="1323"/>
      <c r="N5822" s="1323"/>
      <c r="O5822" s="1323"/>
      <c r="P5822" s="1323"/>
      <c r="Q5822" s="1323"/>
      <c r="R5822" s="1304"/>
      <c r="S5822" s="1304"/>
      <c r="T5822" s="1304"/>
    </row>
    <row r="5823" spans="1:20">
      <c r="A5823" s="1303"/>
      <c r="B5823" s="1322" t="s">
        <v>12829</v>
      </c>
      <c r="C5823" s="1323" t="s">
        <v>12317</v>
      </c>
      <c r="D5823" s="1324">
        <f t="shared" si="570"/>
        <v>33396</v>
      </c>
      <c r="E5823" s="1323">
        <f t="shared" si="572"/>
        <v>2.8353000000000002</v>
      </c>
      <c r="F5823" s="1323">
        <f t="shared" si="571"/>
        <v>3.2131868735894775</v>
      </c>
      <c r="G5823" s="1323">
        <f t="shared" si="573"/>
        <v>1991</v>
      </c>
      <c r="H5823" s="1323">
        <f t="shared" si="574"/>
        <v>6</v>
      </c>
      <c r="I5823" s="1323">
        <f t="shared" si="575"/>
        <v>7</v>
      </c>
      <c r="J5823" s="1323"/>
      <c r="K5823" s="1323"/>
      <c r="L5823" s="1323"/>
      <c r="M5823" s="1323"/>
      <c r="N5823" s="1323"/>
      <c r="O5823" s="1323"/>
      <c r="P5823" s="1323"/>
      <c r="Q5823" s="1323"/>
      <c r="R5823" s="1304"/>
      <c r="S5823" s="1304"/>
      <c r="T5823" s="1304"/>
    </row>
    <row r="5824" spans="1:20">
      <c r="A5824" s="1303"/>
      <c r="B5824" s="1322" t="s">
        <v>12830</v>
      </c>
      <c r="C5824" s="1323" t="s">
        <v>12460</v>
      </c>
      <c r="D5824" s="1324">
        <f t="shared" si="570"/>
        <v>33395</v>
      </c>
      <c r="E5824" s="1323">
        <f t="shared" si="572"/>
        <v>2.8296999999999999</v>
      </c>
      <c r="F5824" s="1323">
        <f t="shared" si="571"/>
        <v>3.212570764127864</v>
      </c>
      <c r="G5824" s="1323">
        <f t="shared" si="573"/>
        <v>1991</v>
      </c>
      <c r="H5824" s="1323">
        <f t="shared" si="574"/>
        <v>6</v>
      </c>
      <c r="I5824" s="1323">
        <f t="shared" si="575"/>
        <v>6</v>
      </c>
      <c r="J5824" s="1323"/>
      <c r="K5824" s="1323"/>
      <c r="L5824" s="1323"/>
      <c r="M5824" s="1323"/>
      <c r="N5824" s="1323"/>
      <c r="O5824" s="1323"/>
      <c r="P5824" s="1323"/>
      <c r="Q5824" s="1323"/>
      <c r="R5824" s="1304"/>
      <c r="S5824" s="1304"/>
      <c r="T5824" s="1304"/>
    </row>
    <row r="5825" spans="1:20">
      <c r="A5825" s="1303"/>
      <c r="B5825" s="1322" t="s">
        <v>12831</v>
      </c>
      <c r="C5825" s="1323" t="s">
        <v>12464</v>
      </c>
      <c r="D5825" s="1324">
        <f t="shared" si="570"/>
        <v>33394</v>
      </c>
      <c r="E5825" s="1323">
        <f t="shared" si="572"/>
        <v>2.8321000000000001</v>
      </c>
      <c r="F5825" s="1323">
        <f t="shared" si="571"/>
        <v>3.2119547728015734</v>
      </c>
      <c r="G5825" s="1323">
        <f t="shared" si="573"/>
        <v>1991</v>
      </c>
      <c r="H5825" s="1323">
        <f t="shared" si="574"/>
        <v>6</v>
      </c>
      <c r="I5825" s="1323">
        <f t="shared" si="575"/>
        <v>5</v>
      </c>
      <c r="J5825" s="1323"/>
      <c r="K5825" s="1323"/>
      <c r="L5825" s="1323"/>
      <c r="M5825" s="1323"/>
      <c r="N5825" s="1323"/>
      <c r="O5825" s="1323"/>
      <c r="P5825" s="1323"/>
      <c r="Q5825" s="1323"/>
      <c r="R5825" s="1304"/>
      <c r="S5825" s="1304"/>
      <c r="T5825" s="1304"/>
    </row>
    <row r="5826" spans="1:20">
      <c r="A5826" s="1303"/>
      <c r="B5826" s="1322" t="s">
        <v>12832</v>
      </c>
      <c r="C5826" s="1323" t="s">
        <v>12469</v>
      </c>
      <c r="D5826" s="1324">
        <f t="shared" si="570"/>
        <v>33393</v>
      </c>
      <c r="E5826" s="1323">
        <f t="shared" si="572"/>
        <v>2.8313000000000001</v>
      </c>
      <c r="F5826" s="1323">
        <f t="shared" si="571"/>
        <v>3.2113388995879535</v>
      </c>
      <c r="G5826" s="1323">
        <f t="shared" si="573"/>
        <v>1991</v>
      </c>
      <c r="H5826" s="1323">
        <f t="shared" si="574"/>
        <v>6</v>
      </c>
      <c r="I5826" s="1323">
        <f t="shared" si="575"/>
        <v>4</v>
      </c>
      <c r="J5826" s="1323"/>
      <c r="K5826" s="1323"/>
      <c r="L5826" s="1323"/>
      <c r="M5826" s="1323"/>
      <c r="N5826" s="1323"/>
      <c r="O5826" s="1323"/>
      <c r="P5826" s="1323"/>
      <c r="Q5826" s="1323"/>
      <c r="R5826" s="1304"/>
      <c r="S5826" s="1304"/>
      <c r="T5826" s="1304"/>
    </row>
    <row r="5827" spans="1:20">
      <c r="A5827" s="1303"/>
      <c r="B5827" s="1322" t="s">
        <v>12833</v>
      </c>
      <c r="C5827" s="1323" t="s">
        <v>12685</v>
      </c>
      <c r="D5827" s="1324">
        <f t="shared" si="570"/>
        <v>33392</v>
      </c>
      <c r="E5827" s="1323">
        <f t="shared" si="572"/>
        <v>2.8289</v>
      </c>
      <c r="F5827" s="1323">
        <f t="shared" si="571"/>
        <v>3.2107231444643576</v>
      </c>
      <c r="G5827" s="1323">
        <f t="shared" si="573"/>
        <v>1991</v>
      </c>
      <c r="H5827" s="1323">
        <f t="shared" si="574"/>
        <v>6</v>
      </c>
      <c r="I5827" s="1323">
        <f t="shared" si="575"/>
        <v>3</v>
      </c>
      <c r="J5827" s="1323"/>
      <c r="K5827" s="1323"/>
      <c r="L5827" s="1323"/>
      <c r="M5827" s="1323"/>
      <c r="N5827" s="1323"/>
      <c r="O5827" s="1323"/>
      <c r="P5827" s="1323"/>
      <c r="Q5827" s="1323"/>
      <c r="R5827" s="1304"/>
      <c r="S5827" s="1304"/>
      <c r="T5827" s="1304"/>
    </row>
    <row r="5828" spans="1:20">
      <c r="A5828" s="1303"/>
      <c r="B5828" s="1322" t="s">
        <v>12834</v>
      </c>
      <c r="C5828" s="1323" t="s">
        <v>12305</v>
      </c>
      <c r="D5828" s="1324">
        <f t="shared" si="570"/>
        <v>33388</v>
      </c>
      <c r="E5828" s="1323">
        <f t="shared" si="572"/>
        <v>2.8129</v>
      </c>
      <c r="F5828" s="1323">
        <f t="shared" si="571"/>
        <v>3.210107507408142</v>
      </c>
      <c r="G5828" s="1323">
        <f t="shared" si="573"/>
        <v>1991</v>
      </c>
      <c r="H5828" s="1323">
        <f t="shared" si="574"/>
        <v>5</v>
      </c>
      <c r="I5828" s="1323">
        <f t="shared" si="575"/>
        <v>30</v>
      </c>
      <c r="J5828" s="1323"/>
      <c r="K5828" s="1323"/>
      <c r="L5828" s="1323"/>
      <c r="M5828" s="1323"/>
      <c r="N5828" s="1323"/>
      <c r="O5828" s="1323"/>
      <c r="P5828" s="1323"/>
      <c r="Q5828" s="1323"/>
      <c r="R5828" s="1304"/>
      <c r="S5828" s="1304"/>
      <c r="T5828" s="1304"/>
    </row>
    <row r="5829" spans="1:20">
      <c r="A5829" s="1303"/>
      <c r="B5829" s="1322" t="s">
        <v>12835</v>
      </c>
      <c r="C5829" s="1323" t="s">
        <v>12836</v>
      </c>
      <c r="D5829" s="1324">
        <f t="shared" si="570"/>
        <v>33387</v>
      </c>
      <c r="E5829" s="1323">
        <f t="shared" si="572"/>
        <v>2.7902</v>
      </c>
      <c r="F5829" s="1323">
        <f t="shared" si="571"/>
        <v>3.2094919883966684</v>
      </c>
      <c r="G5829" s="1323">
        <f t="shared" si="573"/>
        <v>1991</v>
      </c>
      <c r="H5829" s="1323">
        <f t="shared" si="574"/>
        <v>5</v>
      </c>
      <c r="I5829" s="1323">
        <f t="shared" si="575"/>
        <v>29</v>
      </c>
      <c r="J5829" s="1323"/>
      <c r="K5829" s="1323"/>
      <c r="L5829" s="1323"/>
      <c r="M5829" s="1323"/>
      <c r="N5829" s="1323"/>
      <c r="O5829" s="1323"/>
      <c r="P5829" s="1323"/>
      <c r="Q5829" s="1323"/>
      <c r="R5829" s="1304"/>
      <c r="S5829" s="1304"/>
      <c r="T5829" s="1304"/>
    </row>
    <row r="5830" spans="1:20">
      <c r="A5830" s="1303"/>
      <c r="B5830" s="1322" t="s">
        <v>12837</v>
      </c>
      <c r="C5830" s="1323" t="s">
        <v>12657</v>
      </c>
      <c r="D5830" s="1324">
        <f t="shared" si="570"/>
        <v>33386</v>
      </c>
      <c r="E5830" s="1323">
        <f t="shared" si="572"/>
        <v>2.8035000000000001</v>
      </c>
      <c r="F5830" s="1323">
        <f t="shared" si="571"/>
        <v>3.2088765874073024</v>
      </c>
      <c r="G5830" s="1323">
        <f t="shared" si="573"/>
        <v>1991</v>
      </c>
      <c r="H5830" s="1323">
        <f t="shared" si="574"/>
        <v>5</v>
      </c>
      <c r="I5830" s="1323">
        <f t="shared" si="575"/>
        <v>28</v>
      </c>
      <c r="J5830" s="1323"/>
      <c r="K5830" s="1323"/>
      <c r="L5830" s="1323"/>
      <c r="M5830" s="1323"/>
      <c r="N5830" s="1323"/>
      <c r="O5830" s="1323"/>
      <c r="P5830" s="1323"/>
      <c r="Q5830" s="1323"/>
      <c r="R5830" s="1304"/>
      <c r="S5830" s="1304"/>
      <c r="T5830" s="1304"/>
    </row>
    <row r="5831" spans="1:20">
      <c r="A5831" s="1303"/>
      <c r="B5831" s="1322" t="s">
        <v>12838</v>
      </c>
      <c r="C5831" s="1323" t="s">
        <v>12441</v>
      </c>
      <c r="D5831" s="1324">
        <f t="shared" si="570"/>
        <v>33385</v>
      </c>
      <c r="E5831" s="1323">
        <f t="shared" si="572"/>
        <v>2.7917000000000001</v>
      </c>
      <c r="F5831" s="1323">
        <f t="shared" si="571"/>
        <v>3.2082613044174142</v>
      </c>
      <c r="G5831" s="1323">
        <f t="shared" si="573"/>
        <v>1991</v>
      </c>
      <c r="H5831" s="1323">
        <f t="shared" si="574"/>
        <v>5</v>
      </c>
      <c r="I5831" s="1323">
        <f t="shared" si="575"/>
        <v>27</v>
      </c>
      <c r="J5831" s="1323"/>
      <c r="K5831" s="1323"/>
      <c r="L5831" s="1323"/>
      <c r="M5831" s="1323"/>
      <c r="N5831" s="1323"/>
      <c r="O5831" s="1323"/>
      <c r="P5831" s="1323"/>
      <c r="Q5831" s="1323"/>
      <c r="R5831" s="1304"/>
      <c r="S5831" s="1304"/>
      <c r="T5831" s="1304"/>
    </row>
    <row r="5832" spans="1:20">
      <c r="A5832" s="1303"/>
      <c r="B5832" s="1322" t="s">
        <v>12839</v>
      </c>
      <c r="C5832" s="1323" t="s">
        <v>12840</v>
      </c>
      <c r="D5832" s="1324">
        <f t="shared" si="570"/>
        <v>33382</v>
      </c>
      <c r="E5832" s="1323">
        <f t="shared" si="572"/>
        <v>2.7988</v>
      </c>
      <c r="F5832" s="1323">
        <f t="shared" si="571"/>
        <v>3.2076461394043778</v>
      </c>
      <c r="G5832" s="1323">
        <f t="shared" si="573"/>
        <v>1991</v>
      </c>
      <c r="H5832" s="1323">
        <f t="shared" si="574"/>
        <v>5</v>
      </c>
      <c r="I5832" s="1323">
        <f t="shared" si="575"/>
        <v>24</v>
      </c>
      <c r="J5832" s="1323"/>
      <c r="K5832" s="1323"/>
      <c r="L5832" s="1323"/>
      <c r="M5832" s="1323"/>
      <c r="N5832" s="1323"/>
      <c r="O5832" s="1323"/>
      <c r="P5832" s="1323"/>
      <c r="Q5832" s="1323"/>
      <c r="R5832" s="1304"/>
      <c r="S5832" s="1304"/>
      <c r="T5832" s="1304"/>
    </row>
    <row r="5833" spans="1:20">
      <c r="A5833" s="1303"/>
      <c r="B5833" s="1322" t="s">
        <v>12841</v>
      </c>
      <c r="C5833" s="1323" t="s">
        <v>12439</v>
      </c>
      <c r="D5833" s="1324">
        <f t="shared" ref="D5833:D5896" si="576">DATE(G5833,H5833,I5833)</f>
        <v>33381</v>
      </c>
      <c r="E5833" s="1323">
        <f t="shared" si="572"/>
        <v>2.8081999999999998</v>
      </c>
      <c r="F5833" s="1323">
        <f t="shared" ref="F5833:F5896" si="577">F5834*(1+$F$7/365)</f>
        <v>3.2070310923455718</v>
      </c>
      <c r="G5833" s="1323">
        <f t="shared" si="573"/>
        <v>1991</v>
      </c>
      <c r="H5833" s="1323">
        <f t="shared" si="574"/>
        <v>5</v>
      </c>
      <c r="I5833" s="1323">
        <f t="shared" si="575"/>
        <v>23</v>
      </c>
      <c r="J5833" s="1323"/>
      <c r="K5833" s="1323"/>
      <c r="L5833" s="1323"/>
      <c r="M5833" s="1323"/>
      <c r="N5833" s="1323"/>
      <c r="O5833" s="1323"/>
      <c r="P5833" s="1323"/>
      <c r="Q5833" s="1323"/>
      <c r="R5833" s="1304"/>
      <c r="S5833" s="1304"/>
      <c r="T5833" s="1304"/>
    </row>
    <row r="5834" spans="1:20">
      <c r="A5834" s="1303"/>
      <c r="B5834" s="1322" t="s">
        <v>12842</v>
      </c>
      <c r="C5834" s="1323" t="s">
        <v>12433</v>
      </c>
      <c r="D5834" s="1324">
        <f t="shared" si="576"/>
        <v>33380</v>
      </c>
      <c r="E5834" s="1323">
        <f t="shared" si="572"/>
        <v>2.8047</v>
      </c>
      <c r="F5834" s="1323">
        <f t="shared" si="577"/>
        <v>3.2064161632183792</v>
      </c>
      <c r="G5834" s="1323">
        <f t="shared" si="573"/>
        <v>1991</v>
      </c>
      <c r="H5834" s="1323">
        <f t="shared" si="574"/>
        <v>5</v>
      </c>
      <c r="I5834" s="1323">
        <f t="shared" si="575"/>
        <v>22</v>
      </c>
      <c r="J5834" s="1323"/>
      <c r="K5834" s="1323"/>
      <c r="L5834" s="1323"/>
      <c r="M5834" s="1323"/>
      <c r="N5834" s="1323"/>
      <c r="O5834" s="1323"/>
      <c r="P5834" s="1323"/>
      <c r="Q5834" s="1323"/>
      <c r="R5834" s="1304"/>
      <c r="S5834" s="1304"/>
      <c r="T5834" s="1304"/>
    </row>
    <row r="5835" spans="1:20">
      <c r="A5835" s="1303"/>
      <c r="B5835" s="1322" t="s">
        <v>12843</v>
      </c>
      <c r="C5835" s="1323" t="s">
        <v>12844</v>
      </c>
      <c r="D5835" s="1324">
        <f t="shared" si="576"/>
        <v>33379</v>
      </c>
      <c r="E5835" s="1323">
        <f t="shared" si="572"/>
        <v>2.8129</v>
      </c>
      <c r="F5835" s="1323">
        <f t="shared" si="577"/>
        <v>3.2058013520001873</v>
      </c>
      <c r="G5835" s="1323">
        <f t="shared" si="573"/>
        <v>1991</v>
      </c>
      <c r="H5835" s="1323">
        <f t="shared" si="574"/>
        <v>5</v>
      </c>
      <c r="I5835" s="1323">
        <f t="shared" si="575"/>
        <v>21</v>
      </c>
      <c r="J5835" s="1323"/>
      <c r="K5835" s="1323"/>
      <c r="L5835" s="1323"/>
      <c r="M5835" s="1323"/>
      <c r="N5835" s="1323"/>
      <c r="O5835" s="1323"/>
      <c r="P5835" s="1323"/>
      <c r="Q5835" s="1323"/>
      <c r="R5835" s="1304"/>
      <c r="S5835" s="1304"/>
      <c r="T5835" s="1304"/>
    </row>
    <row r="5836" spans="1:20">
      <c r="A5836" s="1303"/>
      <c r="B5836" s="1322" t="s">
        <v>12845</v>
      </c>
      <c r="C5836" s="1323" t="s">
        <v>12836</v>
      </c>
      <c r="D5836" s="1324">
        <f t="shared" si="576"/>
        <v>33378</v>
      </c>
      <c r="E5836" s="1323">
        <f t="shared" si="572"/>
        <v>2.8113999999999999</v>
      </c>
      <c r="F5836" s="1323">
        <f t="shared" si="577"/>
        <v>3.2051866586683877</v>
      </c>
      <c r="G5836" s="1323">
        <f t="shared" si="573"/>
        <v>1991</v>
      </c>
      <c r="H5836" s="1323">
        <f t="shared" si="574"/>
        <v>5</v>
      </c>
      <c r="I5836" s="1323">
        <f t="shared" si="575"/>
        <v>20</v>
      </c>
      <c r="J5836" s="1323"/>
      <c r="K5836" s="1323"/>
      <c r="L5836" s="1323"/>
      <c r="M5836" s="1323"/>
      <c r="N5836" s="1323"/>
      <c r="O5836" s="1323"/>
      <c r="P5836" s="1323"/>
      <c r="Q5836" s="1323"/>
      <c r="R5836" s="1304"/>
      <c r="S5836" s="1304"/>
      <c r="T5836" s="1304"/>
    </row>
    <row r="5837" spans="1:20">
      <c r="A5837" s="1303"/>
      <c r="B5837" s="1322" t="s">
        <v>12846</v>
      </c>
      <c r="C5837" s="1323" t="s">
        <v>12847</v>
      </c>
      <c r="D5837" s="1324">
        <f t="shared" si="576"/>
        <v>33375</v>
      </c>
      <c r="E5837" s="1323">
        <f t="shared" si="572"/>
        <v>2.7902</v>
      </c>
      <c r="F5837" s="1323">
        <f t="shared" si="577"/>
        <v>3.2045720832003766</v>
      </c>
      <c r="G5837" s="1323">
        <f t="shared" si="573"/>
        <v>1991</v>
      </c>
      <c r="H5837" s="1323">
        <f t="shared" si="574"/>
        <v>5</v>
      </c>
      <c r="I5837" s="1323">
        <f t="shared" si="575"/>
        <v>17</v>
      </c>
      <c r="J5837" s="1323"/>
      <c r="K5837" s="1323"/>
      <c r="L5837" s="1323"/>
      <c r="M5837" s="1323"/>
      <c r="N5837" s="1323"/>
      <c r="O5837" s="1323"/>
      <c r="P5837" s="1323"/>
      <c r="Q5837" s="1323"/>
      <c r="R5837" s="1304"/>
      <c r="S5837" s="1304"/>
      <c r="T5837" s="1304"/>
    </row>
    <row r="5838" spans="1:20">
      <c r="A5838" s="1303"/>
      <c r="B5838" s="1322" t="s">
        <v>12848</v>
      </c>
      <c r="C5838" s="1323" t="s">
        <v>12657</v>
      </c>
      <c r="D5838" s="1324">
        <f t="shared" si="576"/>
        <v>33374</v>
      </c>
      <c r="E5838" s="1323">
        <f t="shared" si="572"/>
        <v>2.7816000000000001</v>
      </c>
      <c r="F5838" s="1323">
        <f t="shared" si="577"/>
        <v>3.2039576255735542</v>
      </c>
      <c r="G5838" s="1323">
        <f t="shared" si="573"/>
        <v>1991</v>
      </c>
      <c r="H5838" s="1323">
        <f t="shared" si="574"/>
        <v>5</v>
      </c>
      <c r="I5838" s="1323">
        <f t="shared" si="575"/>
        <v>16</v>
      </c>
      <c r="J5838" s="1323"/>
      <c r="K5838" s="1323"/>
      <c r="L5838" s="1323"/>
      <c r="M5838" s="1323"/>
      <c r="N5838" s="1323"/>
      <c r="O5838" s="1323"/>
      <c r="P5838" s="1323"/>
      <c r="Q5838" s="1323"/>
      <c r="R5838" s="1304"/>
      <c r="S5838" s="1304"/>
      <c r="T5838" s="1304"/>
    </row>
    <row r="5839" spans="1:20">
      <c r="A5839" s="1303"/>
      <c r="B5839" s="1322" t="s">
        <v>12849</v>
      </c>
      <c r="C5839" s="1323" t="s">
        <v>12612</v>
      </c>
      <c r="D5839" s="1324">
        <f t="shared" si="576"/>
        <v>33373</v>
      </c>
      <c r="E5839" s="1323">
        <f t="shared" si="572"/>
        <v>2.7793000000000001</v>
      </c>
      <c r="F5839" s="1323">
        <f t="shared" si="577"/>
        <v>3.203343285765325</v>
      </c>
      <c r="G5839" s="1323">
        <f t="shared" si="573"/>
        <v>1991</v>
      </c>
      <c r="H5839" s="1323">
        <f t="shared" si="574"/>
        <v>5</v>
      </c>
      <c r="I5839" s="1323">
        <f t="shared" si="575"/>
        <v>15</v>
      </c>
      <c r="J5839" s="1323"/>
      <c r="K5839" s="1323"/>
      <c r="L5839" s="1323"/>
      <c r="M5839" s="1323"/>
      <c r="N5839" s="1323"/>
      <c r="O5839" s="1323"/>
      <c r="P5839" s="1323"/>
      <c r="Q5839" s="1323"/>
      <c r="R5839" s="1304"/>
      <c r="S5839" s="1304"/>
      <c r="T5839" s="1304"/>
    </row>
    <row r="5840" spans="1:20">
      <c r="A5840" s="1303"/>
      <c r="B5840" s="1322" t="s">
        <v>12850</v>
      </c>
      <c r="C5840" s="1323" t="s">
        <v>12585</v>
      </c>
      <c r="D5840" s="1324">
        <f t="shared" si="576"/>
        <v>33372</v>
      </c>
      <c r="E5840" s="1323">
        <f t="shared" si="572"/>
        <v>2.8043</v>
      </c>
      <c r="F5840" s="1323">
        <f t="shared" si="577"/>
        <v>3.2027290637530981</v>
      </c>
      <c r="G5840" s="1323">
        <f t="shared" si="573"/>
        <v>1991</v>
      </c>
      <c r="H5840" s="1323">
        <f t="shared" si="574"/>
        <v>5</v>
      </c>
      <c r="I5840" s="1323">
        <f t="shared" si="575"/>
        <v>14</v>
      </c>
      <c r="J5840" s="1323"/>
      <c r="K5840" s="1323"/>
      <c r="L5840" s="1323"/>
      <c r="M5840" s="1323"/>
      <c r="N5840" s="1323"/>
      <c r="O5840" s="1323"/>
      <c r="P5840" s="1323"/>
      <c r="Q5840" s="1323"/>
      <c r="R5840" s="1304"/>
      <c r="S5840" s="1304"/>
      <c r="T5840" s="1304"/>
    </row>
    <row r="5841" spans="1:20">
      <c r="A5841" s="1303"/>
      <c r="B5841" s="1322" t="s">
        <v>12851</v>
      </c>
      <c r="C5841" s="1323" t="s">
        <v>12435</v>
      </c>
      <c r="D5841" s="1324">
        <f t="shared" si="576"/>
        <v>33371</v>
      </c>
      <c r="E5841" s="1323">
        <f t="shared" si="572"/>
        <v>2.798</v>
      </c>
      <c r="F5841" s="1323">
        <f t="shared" si="577"/>
        <v>3.202114959514287</v>
      </c>
      <c r="G5841" s="1323">
        <f t="shared" si="573"/>
        <v>1991</v>
      </c>
      <c r="H5841" s="1323">
        <f t="shared" si="574"/>
        <v>5</v>
      </c>
      <c r="I5841" s="1323">
        <f t="shared" si="575"/>
        <v>13</v>
      </c>
      <c r="J5841" s="1323"/>
      <c r="K5841" s="1323"/>
      <c r="L5841" s="1323"/>
      <c r="M5841" s="1323"/>
      <c r="N5841" s="1323"/>
      <c r="O5841" s="1323"/>
      <c r="P5841" s="1323"/>
      <c r="Q5841" s="1323"/>
      <c r="R5841" s="1304"/>
      <c r="S5841" s="1304"/>
      <c r="T5841" s="1304"/>
    </row>
    <row r="5842" spans="1:20">
      <c r="A5842" s="1303"/>
      <c r="B5842" s="1322" t="s">
        <v>12852</v>
      </c>
      <c r="C5842" s="1323" t="s">
        <v>12674</v>
      </c>
      <c r="D5842" s="1324">
        <f t="shared" si="576"/>
        <v>33368</v>
      </c>
      <c r="E5842" s="1323">
        <f t="shared" si="572"/>
        <v>2.7917000000000001</v>
      </c>
      <c r="F5842" s="1323">
        <f t="shared" si="577"/>
        <v>3.2015009730263091</v>
      </c>
      <c r="G5842" s="1323">
        <f t="shared" si="573"/>
        <v>1991</v>
      </c>
      <c r="H5842" s="1323">
        <f t="shared" si="574"/>
        <v>5</v>
      </c>
      <c r="I5842" s="1323">
        <f t="shared" si="575"/>
        <v>10</v>
      </c>
      <c r="J5842" s="1323"/>
      <c r="K5842" s="1323"/>
      <c r="L5842" s="1323"/>
      <c r="M5842" s="1323"/>
      <c r="N5842" s="1323"/>
      <c r="O5842" s="1323"/>
      <c r="P5842" s="1323"/>
      <c r="Q5842" s="1323"/>
      <c r="R5842" s="1304"/>
      <c r="S5842" s="1304"/>
      <c r="T5842" s="1304"/>
    </row>
    <row r="5843" spans="1:20">
      <c r="A5843" s="1303"/>
      <c r="B5843" s="1322" t="s">
        <v>12853</v>
      </c>
      <c r="C5843" s="1323" t="s">
        <v>12840</v>
      </c>
      <c r="D5843" s="1324">
        <f t="shared" si="576"/>
        <v>33366</v>
      </c>
      <c r="E5843" s="1323">
        <f t="shared" si="572"/>
        <v>2.7839999999999998</v>
      </c>
      <c r="F5843" s="1323">
        <f t="shared" si="577"/>
        <v>3.2008871042665867</v>
      </c>
      <c r="G5843" s="1323">
        <f t="shared" si="573"/>
        <v>1991</v>
      </c>
      <c r="H5843" s="1323">
        <f t="shared" si="574"/>
        <v>5</v>
      </c>
      <c r="I5843" s="1323">
        <f t="shared" si="575"/>
        <v>8</v>
      </c>
      <c r="J5843" s="1323"/>
      <c r="K5843" s="1323"/>
      <c r="L5843" s="1323"/>
      <c r="M5843" s="1323"/>
      <c r="N5843" s="1323"/>
      <c r="O5843" s="1323"/>
      <c r="P5843" s="1323"/>
      <c r="Q5843" s="1323"/>
      <c r="R5843" s="1304"/>
      <c r="S5843" s="1304"/>
      <c r="T5843" s="1304"/>
    </row>
    <row r="5844" spans="1:20">
      <c r="A5844" s="1303"/>
      <c r="B5844" s="1322" t="s">
        <v>12854</v>
      </c>
      <c r="C5844" s="1323" t="s">
        <v>12600</v>
      </c>
      <c r="D5844" s="1324">
        <f t="shared" si="576"/>
        <v>33365</v>
      </c>
      <c r="E5844" s="1323">
        <f t="shared" si="572"/>
        <v>2.7847</v>
      </c>
      <c r="F5844" s="1323">
        <f t="shared" si="577"/>
        <v>3.200273353212546</v>
      </c>
      <c r="G5844" s="1323">
        <f t="shared" si="573"/>
        <v>1991</v>
      </c>
      <c r="H5844" s="1323">
        <f t="shared" si="574"/>
        <v>5</v>
      </c>
      <c r="I5844" s="1323">
        <f t="shared" si="575"/>
        <v>7</v>
      </c>
      <c r="J5844" s="1323"/>
      <c r="K5844" s="1323"/>
      <c r="L5844" s="1323"/>
      <c r="M5844" s="1323"/>
      <c r="N5844" s="1323"/>
      <c r="O5844" s="1323"/>
      <c r="P5844" s="1323"/>
      <c r="Q5844" s="1323"/>
      <c r="R5844" s="1304"/>
      <c r="S5844" s="1304"/>
      <c r="T5844" s="1304"/>
    </row>
    <row r="5845" spans="1:20">
      <c r="A5845" s="1303"/>
      <c r="B5845" s="1322" t="s">
        <v>12855</v>
      </c>
      <c r="C5845" s="1323" t="s">
        <v>12663</v>
      </c>
      <c r="D5845" s="1324">
        <f t="shared" si="576"/>
        <v>33364</v>
      </c>
      <c r="E5845" s="1323">
        <f t="shared" si="572"/>
        <v>2.7995999999999999</v>
      </c>
      <c r="F5845" s="1323">
        <f t="shared" si="577"/>
        <v>3.1996597198416175</v>
      </c>
      <c r="G5845" s="1323">
        <f t="shared" si="573"/>
        <v>1991</v>
      </c>
      <c r="H5845" s="1323">
        <f t="shared" si="574"/>
        <v>5</v>
      </c>
      <c r="I5845" s="1323">
        <f t="shared" si="575"/>
        <v>6</v>
      </c>
      <c r="J5845" s="1323"/>
      <c r="K5845" s="1323"/>
      <c r="L5845" s="1323"/>
      <c r="M5845" s="1323"/>
      <c r="N5845" s="1323"/>
      <c r="O5845" s="1323"/>
      <c r="P5845" s="1323"/>
      <c r="Q5845" s="1323"/>
      <c r="R5845" s="1304"/>
      <c r="S5845" s="1304"/>
      <c r="T5845" s="1304"/>
    </row>
    <row r="5846" spans="1:20">
      <c r="A5846" s="1303"/>
      <c r="B5846" s="1322" t="s">
        <v>12856</v>
      </c>
      <c r="C5846" s="1323" t="s">
        <v>12429</v>
      </c>
      <c r="D5846" s="1324">
        <f t="shared" si="576"/>
        <v>33361</v>
      </c>
      <c r="E5846" s="1323">
        <f t="shared" ref="E5846:E5909" si="578">VALUE(C5847)</f>
        <v>2.7824</v>
      </c>
      <c r="F5846" s="1323">
        <f t="shared" si="577"/>
        <v>3.199046204131236</v>
      </c>
      <c r="G5846" s="1323">
        <f t="shared" ref="G5846:G5909" si="579">YEAR(B5847)</f>
        <v>1991</v>
      </c>
      <c r="H5846" s="1323">
        <f t="shared" ref="H5846:H5909" si="580">MONTH(B5847)</f>
        <v>5</v>
      </c>
      <c r="I5846" s="1323">
        <f t="shared" ref="I5846:I5909" si="581">DAY(B5847)</f>
        <v>3</v>
      </c>
      <c r="J5846" s="1323"/>
      <c r="K5846" s="1323"/>
      <c r="L5846" s="1323"/>
      <c r="M5846" s="1323"/>
      <c r="N5846" s="1323"/>
      <c r="O5846" s="1323"/>
      <c r="P5846" s="1323"/>
      <c r="Q5846" s="1323"/>
      <c r="R5846" s="1304"/>
      <c r="S5846" s="1304"/>
      <c r="T5846" s="1304"/>
    </row>
    <row r="5847" spans="1:20">
      <c r="A5847" s="1303"/>
      <c r="B5847" s="1322" t="s">
        <v>12857</v>
      </c>
      <c r="C5847" s="1323" t="s">
        <v>12593</v>
      </c>
      <c r="D5847" s="1324">
        <f t="shared" si="576"/>
        <v>33360</v>
      </c>
      <c r="E5847" s="1323">
        <f t="shared" si="578"/>
        <v>2.7719999999999998</v>
      </c>
      <c r="F5847" s="1323">
        <f t="shared" si="577"/>
        <v>3.1984328060588409</v>
      </c>
      <c r="G5847" s="1323">
        <f t="shared" si="579"/>
        <v>1991</v>
      </c>
      <c r="H5847" s="1323">
        <f t="shared" si="580"/>
        <v>5</v>
      </c>
      <c r="I5847" s="1323">
        <f t="shared" si="581"/>
        <v>2</v>
      </c>
      <c r="J5847" s="1323"/>
      <c r="K5847" s="1323"/>
      <c r="L5847" s="1323"/>
      <c r="M5847" s="1323"/>
      <c r="N5847" s="1323"/>
      <c r="O5847" s="1323"/>
      <c r="P5847" s="1323"/>
      <c r="Q5847" s="1323"/>
      <c r="R5847" s="1304"/>
      <c r="S5847" s="1304"/>
      <c r="T5847" s="1304"/>
    </row>
    <row r="5848" spans="1:20">
      <c r="A5848" s="1303"/>
      <c r="B5848" s="1322" t="s">
        <v>12858</v>
      </c>
      <c r="C5848" s="1323" t="s">
        <v>12859</v>
      </c>
      <c r="D5848" s="1324">
        <f t="shared" si="576"/>
        <v>33358</v>
      </c>
      <c r="E5848" s="1323">
        <f t="shared" si="578"/>
        <v>2.7909999999999999</v>
      </c>
      <c r="F5848" s="1323">
        <f t="shared" si="577"/>
        <v>3.1978195256018762</v>
      </c>
      <c r="G5848" s="1323">
        <f t="shared" si="579"/>
        <v>1991</v>
      </c>
      <c r="H5848" s="1323">
        <f t="shared" si="580"/>
        <v>4</v>
      </c>
      <c r="I5848" s="1323">
        <f t="shared" si="581"/>
        <v>30</v>
      </c>
      <c r="J5848" s="1323"/>
      <c r="K5848" s="1323"/>
      <c r="L5848" s="1323"/>
      <c r="M5848" s="1323"/>
      <c r="N5848" s="1323"/>
      <c r="O5848" s="1323"/>
      <c r="P5848" s="1323"/>
      <c r="Q5848" s="1323"/>
      <c r="R5848" s="1304"/>
      <c r="S5848" s="1304"/>
      <c r="T5848" s="1304"/>
    </row>
    <row r="5849" spans="1:20">
      <c r="A5849" s="1303"/>
      <c r="B5849" s="1322" t="s">
        <v>12860</v>
      </c>
      <c r="C5849" s="1323" t="s">
        <v>12861</v>
      </c>
      <c r="D5849" s="1324">
        <f t="shared" si="576"/>
        <v>33357</v>
      </c>
      <c r="E5849" s="1323">
        <f t="shared" si="578"/>
        <v>2.8121</v>
      </c>
      <c r="F5849" s="1323">
        <f t="shared" si="577"/>
        <v>3.1972063627377896</v>
      </c>
      <c r="G5849" s="1323">
        <f t="shared" si="579"/>
        <v>1991</v>
      </c>
      <c r="H5849" s="1323">
        <f t="shared" si="580"/>
        <v>4</v>
      </c>
      <c r="I5849" s="1323">
        <f t="shared" si="581"/>
        <v>29</v>
      </c>
      <c r="J5849" s="1323"/>
      <c r="K5849" s="1323"/>
      <c r="L5849" s="1323"/>
      <c r="M5849" s="1323"/>
      <c r="N5849" s="1323"/>
      <c r="O5849" s="1323"/>
      <c r="P5849" s="1323"/>
      <c r="Q5849" s="1323"/>
      <c r="R5849" s="1304"/>
      <c r="S5849" s="1304"/>
      <c r="T5849" s="1304"/>
    </row>
    <row r="5850" spans="1:20">
      <c r="A5850" s="1303"/>
      <c r="B5850" s="1322" t="s">
        <v>12862</v>
      </c>
      <c r="C5850" s="1323" t="s">
        <v>12608</v>
      </c>
      <c r="D5850" s="1324">
        <f t="shared" si="576"/>
        <v>33354</v>
      </c>
      <c r="E5850" s="1323">
        <f t="shared" si="578"/>
        <v>2.7871000000000001</v>
      </c>
      <c r="F5850" s="1323">
        <f t="shared" si="577"/>
        <v>3.1965933174440333</v>
      </c>
      <c r="G5850" s="1323">
        <f t="shared" si="579"/>
        <v>1991</v>
      </c>
      <c r="H5850" s="1323">
        <f t="shared" si="580"/>
        <v>4</v>
      </c>
      <c r="I5850" s="1323">
        <f t="shared" si="581"/>
        <v>26</v>
      </c>
      <c r="J5850" s="1323"/>
      <c r="K5850" s="1323"/>
      <c r="L5850" s="1323"/>
      <c r="M5850" s="1323"/>
      <c r="N5850" s="1323"/>
      <c r="O5850" s="1323"/>
      <c r="P5850" s="1323"/>
      <c r="Q5850" s="1323"/>
      <c r="R5850" s="1304"/>
      <c r="S5850" s="1304"/>
      <c r="T5850" s="1304"/>
    </row>
    <row r="5851" spans="1:20">
      <c r="A5851" s="1303"/>
      <c r="B5851" s="1322" t="s">
        <v>12863</v>
      </c>
      <c r="C5851" s="1323" t="s">
        <v>12667</v>
      </c>
      <c r="D5851" s="1324">
        <f t="shared" si="576"/>
        <v>33353</v>
      </c>
      <c r="E5851" s="1323">
        <f t="shared" si="578"/>
        <v>2.7886000000000002</v>
      </c>
      <c r="F5851" s="1323">
        <f t="shared" si="577"/>
        <v>3.1959803896980636</v>
      </c>
      <c r="G5851" s="1323">
        <f t="shared" si="579"/>
        <v>1991</v>
      </c>
      <c r="H5851" s="1323">
        <f t="shared" si="580"/>
        <v>4</v>
      </c>
      <c r="I5851" s="1323">
        <f t="shared" si="581"/>
        <v>25</v>
      </c>
      <c r="J5851" s="1323"/>
      <c r="K5851" s="1323"/>
      <c r="L5851" s="1323"/>
      <c r="M5851" s="1323"/>
      <c r="N5851" s="1323"/>
      <c r="O5851" s="1323"/>
      <c r="P5851" s="1323"/>
      <c r="Q5851" s="1323"/>
      <c r="R5851" s="1304"/>
      <c r="S5851" s="1304"/>
      <c r="T5851" s="1304"/>
    </row>
    <row r="5852" spans="1:20">
      <c r="A5852" s="1303"/>
      <c r="B5852" s="1322" t="s">
        <v>12864</v>
      </c>
      <c r="C5852" s="1323" t="s">
        <v>12652</v>
      </c>
      <c r="D5852" s="1324">
        <f t="shared" si="576"/>
        <v>33352</v>
      </c>
      <c r="E5852" s="1323">
        <f t="shared" si="578"/>
        <v>2.7839999999999998</v>
      </c>
      <c r="F5852" s="1323">
        <f t="shared" si="577"/>
        <v>3.1953675794773417</v>
      </c>
      <c r="G5852" s="1323">
        <f t="shared" si="579"/>
        <v>1991</v>
      </c>
      <c r="H5852" s="1323">
        <f t="shared" si="580"/>
        <v>4</v>
      </c>
      <c r="I5852" s="1323">
        <f t="shared" si="581"/>
        <v>24</v>
      </c>
      <c r="J5852" s="1323"/>
      <c r="K5852" s="1323"/>
      <c r="L5852" s="1323"/>
      <c r="M5852" s="1323"/>
      <c r="N5852" s="1323"/>
      <c r="O5852" s="1323"/>
      <c r="P5852" s="1323"/>
      <c r="Q5852" s="1323"/>
      <c r="R5852" s="1304"/>
      <c r="S5852" s="1304"/>
      <c r="T5852" s="1304"/>
    </row>
    <row r="5853" spans="1:20">
      <c r="A5853" s="1303"/>
      <c r="B5853" s="1322" t="s">
        <v>12865</v>
      </c>
      <c r="C5853" s="1323" t="s">
        <v>12600</v>
      </c>
      <c r="D5853" s="1324">
        <f t="shared" si="576"/>
        <v>33351</v>
      </c>
      <c r="E5853" s="1323">
        <f t="shared" si="578"/>
        <v>2.7988</v>
      </c>
      <c r="F5853" s="1323">
        <f t="shared" si="577"/>
        <v>3.1947548867593332</v>
      </c>
      <c r="G5853" s="1323">
        <f t="shared" si="579"/>
        <v>1991</v>
      </c>
      <c r="H5853" s="1323">
        <f t="shared" si="580"/>
        <v>4</v>
      </c>
      <c r="I5853" s="1323">
        <f t="shared" si="581"/>
        <v>23</v>
      </c>
      <c r="J5853" s="1323"/>
      <c r="K5853" s="1323"/>
      <c r="L5853" s="1323"/>
      <c r="M5853" s="1323"/>
      <c r="N5853" s="1323"/>
      <c r="O5853" s="1323"/>
      <c r="P5853" s="1323"/>
      <c r="Q5853" s="1323"/>
      <c r="R5853" s="1304"/>
      <c r="S5853" s="1304"/>
      <c r="T5853" s="1304"/>
    </row>
    <row r="5854" spans="1:20">
      <c r="A5854" s="1303"/>
      <c r="B5854" s="1322" t="s">
        <v>12866</v>
      </c>
      <c r="C5854" s="1323" t="s">
        <v>12439</v>
      </c>
      <c r="D5854" s="1324">
        <f t="shared" si="576"/>
        <v>33350</v>
      </c>
      <c r="E5854" s="1323">
        <f t="shared" si="578"/>
        <v>2.7886000000000002</v>
      </c>
      <c r="F5854" s="1323">
        <f t="shared" si="577"/>
        <v>3.1941423115215071</v>
      </c>
      <c r="G5854" s="1323">
        <f t="shared" si="579"/>
        <v>1991</v>
      </c>
      <c r="H5854" s="1323">
        <f t="shared" si="580"/>
        <v>4</v>
      </c>
      <c r="I5854" s="1323">
        <f t="shared" si="581"/>
        <v>22</v>
      </c>
      <c r="J5854" s="1323"/>
      <c r="K5854" s="1323"/>
      <c r="L5854" s="1323"/>
      <c r="M5854" s="1323"/>
      <c r="N5854" s="1323"/>
      <c r="O5854" s="1323"/>
      <c r="P5854" s="1323"/>
      <c r="Q5854" s="1323"/>
      <c r="R5854" s="1304"/>
      <c r="S5854" s="1304"/>
      <c r="T5854" s="1304"/>
    </row>
    <row r="5855" spans="1:20">
      <c r="A5855" s="1303"/>
      <c r="B5855" s="1322" t="s">
        <v>12867</v>
      </c>
      <c r="C5855" s="1323" t="s">
        <v>12652</v>
      </c>
      <c r="D5855" s="1324">
        <f t="shared" si="576"/>
        <v>33347</v>
      </c>
      <c r="E5855" s="1323">
        <f t="shared" si="578"/>
        <v>2.7669999999999999</v>
      </c>
      <c r="F5855" s="1323">
        <f t="shared" si="577"/>
        <v>3.1935298537413375</v>
      </c>
      <c r="G5855" s="1323">
        <f t="shared" si="579"/>
        <v>1991</v>
      </c>
      <c r="H5855" s="1323">
        <f t="shared" si="580"/>
        <v>4</v>
      </c>
      <c r="I5855" s="1323">
        <f t="shared" si="581"/>
        <v>19</v>
      </c>
      <c r="J5855" s="1323"/>
      <c r="K5855" s="1323"/>
      <c r="L5855" s="1323"/>
      <c r="M5855" s="1323"/>
      <c r="N5855" s="1323"/>
      <c r="O5855" s="1323"/>
      <c r="P5855" s="1323"/>
      <c r="Q5855" s="1323"/>
      <c r="R5855" s="1304"/>
      <c r="S5855" s="1304"/>
      <c r="T5855" s="1304"/>
    </row>
    <row r="5856" spans="1:20">
      <c r="A5856" s="1303"/>
      <c r="B5856" s="1322" t="s">
        <v>12868</v>
      </c>
      <c r="C5856" s="1323" t="s">
        <v>12869</v>
      </c>
      <c r="D5856" s="1324">
        <f t="shared" si="576"/>
        <v>33346</v>
      </c>
      <c r="E5856" s="1323">
        <f t="shared" si="578"/>
        <v>2.7277999999999998</v>
      </c>
      <c r="F5856" s="1323">
        <f t="shared" si="577"/>
        <v>3.1929175133963024</v>
      </c>
      <c r="G5856" s="1323">
        <f t="shared" si="579"/>
        <v>1991</v>
      </c>
      <c r="H5856" s="1323">
        <f t="shared" si="580"/>
        <v>4</v>
      </c>
      <c r="I5856" s="1323">
        <f t="shared" si="581"/>
        <v>18</v>
      </c>
      <c r="J5856" s="1323"/>
      <c r="K5856" s="1323"/>
      <c r="L5856" s="1323"/>
      <c r="M5856" s="1323"/>
      <c r="N5856" s="1323"/>
      <c r="O5856" s="1323"/>
      <c r="P5856" s="1323"/>
      <c r="Q5856" s="1323"/>
      <c r="R5856" s="1304"/>
      <c r="S5856" s="1304"/>
      <c r="T5856" s="1304"/>
    </row>
    <row r="5857" spans="1:20">
      <c r="A5857" s="1303"/>
      <c r="B5857" s="1322" t="s">
        <v>12870</v>
      </c>
      <c r="C5857" s="1323" t="s">
        <v>12871</v>
      </c>
      <c r="D5857" s="1324">
        <f t="shared" si="576"/>
        <v>33345</v>
      </c>
      <c r="E5857" s="1323">
        <f t="shared" si="578"/>
        <v>2.7107999999999999</v>
      </c>
      <c r="F5857" s="1323">
        <f t="shared" si="577"/>
        <v>3.1923052904638847</v>
      </c>
      <c r="G5857" s="1323">
        <f t="shared" si="579"/>
        <v>1991</v>
      </c>
      <c r="H5857" s="1323">
        <f t="shared" si="580"/>
        <v>4</v>
      </c>
      <c r="I5857" s="1323">
        <f t="shared" si="581"/>
        <v>17</v>
      </c>
      <c r="J5857" s="1323"/>
      <c r="K5857" s="1323"/>
      <c r="L5857" s="1323"/>
      <c r="M5857" s="1323"/>
      <c r="N5857" s="1323"/>
      <c r="O5857" s="1323"/>
      <c r="P5857" s="1323"/>
      <c r="Q5857" s="1323"/>
      <c r="R5857" s="1304"/>
      <c r="S5857" s="1304"/>
      <c r="T5857" s="1304"/>
    </row>
    <row r="5858" spans="1:20">
      <c r="A5858" s="1303"/>
      <c r="B5858" s="1322" t="s">
        <v>12872</v>
      </c>
      <c r="C5858" s="1323" t="s">
        <v>12873</v>
      </c>
      <c r="D5858" s="1324">
        <f t="shared" si="576"/>
        <v>33344</v>
      </c>
      <c r="E5858" s="1323">
        <f t="shared" si="578"/>
        <v>2.7107999999999999</v>
      </c>
      <c r="F5858" s="1323">
        <f t="shared" si="577"/>
        <v>3.1916931849215708</v>
      </c>
      <c r="G5858" s="1323">
        <f t="shared" si="579"/>
        <v>1991</v>
      </c>
      <c r="H5858" s="1323">
        <f t="shared" si="580"/>
        <v>4</v>
      </c>
      <c r="I5858" s="1323">
        <f t="shared" si="581"/>
        <v>16</v>
      </c>
      <c r="J5858" s="1323"/>
      <c r="K5858" s="1323"/>
      <c r="L5858" s="1323"/>
      <c r="M5858" s="1323"/>
      <c r="N5858" s="1323"/>
      <c r="O5858" s="1323"/>
      <c r="P5858" s="1323"/>
      <c r="Q5858" s="1323"/>
      <c r="R5858" s="1304"/>
      <c r="S5858" s="1304"/>
      <c r="T5858" s="1304"/>
    </row>
    <row r="5859" spans="1:20">
      <c r="A5859" s="1303"/>
      <c r="B5859" s="1322" t="s">
        <v>12874</v>
      </c>
      <c r="C5859" s="1323" t="s">
        <v>12873</v>
      </c>
      <c r="D5859" s="1324">
        <f t="shared" si="576"/>
        <v>33343</v>
      </c>
      <c r="E5859" s="1323">
        <f t="shared" si="578"/>
        <v>2.7189000000000001</v>
      </c>
      <c r="F5859" s="1323">
        <f t="shared" si="577"/>
        <v>3.1910811967468522</v>
      </c>
      <c r="G5859" s="1323">
        <f t="shared" si="579"/>
        <v>1991</v>
      </c>
      <c r="H5859" s="1323">
        <f t="shared" si="580"/>
        <v>4</v>
      </c>
      <c r="I5859" s="1323">
        <f t="shared" si="581"/>
        <v>15</v>
      </c>
      <c r="J5859" s="1323"/>
      <c r="K5859" s="1323"/>
      <c r="L5859" s="1323"/>
      <c r="M5859" s="1323"/>
      <c r="N5859" s="1323"/>
      <c r="O5859" s="1323"/>
      <c r="P5859" s="1323"/>
      <c r="Q5859" s="1323"/>
      <c r="R5859" s="1304"/>
      <c r="S5859" s="1304"/>
      <c r="T5859" s="1304"/>
    </row>
    <row r="5860" spans="1:20">
      <c r="A5860" s="1303"/>
      <c r="B5860" s="1322" t="s">
        <v>12875</v>
      </c>
      <c r="C5860" s="1323" t="s">
        <v>12876</v>
      </c>
      <c r="D5860" s="1324">
        <f t="shared" si="576"/>
        <v>33340</v>
      </c>
      <c r="E5860" s="1323">
        <f t="shared" si="578"/>
        <v>2.7136999999999998</v>
      </c>
      <c r="F5860" s="1323">
        <f t="shared" si="577"/>
        <v>3.1904693259172241</v>
      </c>
      <c r="G5860" s="1323">
        <f t="shared" si="579"/>
        <v>1991</v>
      </c>
      <c r="H5860" s="1323">
        <f t="shared" si="580"/>
        <v>4</v>
      </c>
      <c r="I5860" s="1323">
        <f t="shared" si="581"/>
        <v>12</v>
      </c>
      <c r="J5860" s="1323"/>
      <c r="K5860" s="1323"/>
      <c r="L5860" s="1323"/>
      <c r="M5860" s="1323"/>
      <c r="N5860" s="1323"/>
      <c r="O5860" s="1323"/>
      <c r="P5860" s="1323"/>
      <c r="Q5860" s="1323"/>
      <c r="R5860" s="1304"/>
      <c r="S5860" s="1304"/>
      <c r="T5860" s="1304"/>
    </row>
    <row r="5861" spans="1:20">
      <c r="A5861" s="1303"/>
      <c r="B5861" s="1322" t="s">
        <v>12877</v>
      </c>
      <c r="C5861" s="1323" t="s">
        <v>12878</v>
      </c>
      <c r="D5861" s="1324">
        <f t="shared" si="576"/>
        <v>33339</v>
      </c>
      <c r="E5861" s="1323">
        <f t="shared" si="578"/>
        <v>2.7248000000000001</v>
      </c>
      <c r="F5861" s="1323">
        <f t="shared" si="577"/>
        <v>3.1898575724101863</v>
      </c>
      <c r="G5861" s="1323">
        <f t="shared" si="579"/>
        <v>1991</v>
      </c>
      <c r="H5861" s="1323">
        <f t="shared" si="580"/>
        <v>4</v>
      </c>
      <c r="I5861" s="1323">
        <f t="shared" si="581"/>
        <v>11</v>
      </c>
      <c r="J5861" s="1323"/>
      <c r="K5861" s="1323"/>
      <c r="L5861" s="1323"/>
      <c r="M5861" s="1323"/>
      <c r="N5861" s="1323"/>
      <c r="O5861" s="1323"/>
      <c r="P5861" s="1323"/>
      <c r="Q5861" s="1323"/>
      <c r="R5861" s="1304"/>
      <c r="S5861" s="1304"/>
      <c r="T5861" s="1304"/>
    </row>
    <row r="5862" spans="1:20">
      <c r="A5862" s="1303"/>
      <c r="B5862" s="1322" t="s">
        <v>12879</v>
      </c>
      <c r="C5862" s="1323" t="s">
        <v>12350</v>
      </c>
      <c r="D5862" s="1324">
        <f t="shared" si="576"/>
        <v>33338</v>
      </c>
      <c r="E5862" s="1323">
        <f t="shared" si="578"/>
        <v>2.7056</v>
      </c>
      <c r="F5862" s="1323">
        <f t="shared" si="577"/>
        <v>3.189245936203243</v>
      </c>
      <c r="G5862" s="1323">
        <f t="shared" si="579"/>
        <v>1991</v>
      </c>
      <c r="H5862" s="1323">
        <f t="shared" si="580"/>
        <v>4</v>
      </c>
      <c r="I5862" s="1323">
        <f t="shared" si="581"/>
        <v>10</v>
      </c>
      <c r="J5862" s="1323"/>
      <c r="K5862" s="1323"/>
      <c r="L5862" s="1323"/>
      <c r="M5862" s="1323"/>
      <c r="N5862" s="1323"/>
      <c r="O5862" s="1323"/>
      <c r="P5862" s="1323"/>
      <c r="Q5862" s="1323"/>
      <c r="R5862" s="1304"/>
      <c r="S5862" s="1304"/>
      <c r="T5862" s="1304"/>
    </row>
    <row r="5863" spans="1:20">
      <c r="A5863" s="1303"/>
      <c r="B5863" s="1322" t="s">
        <v>12880</v>
      </c>
      <c r="C5863" s="1323" t="s">
        <v>12881</v>
      </c>
      <c r="D5863" s="1324">
        <f t="shared" si="576"/>
        <v>33337</v>
      </c>
      <c r="E5863" s="1323">
        <f t="shared" si="578"/>
        <v>2.7189000000000001</v>
      </c>
      <c r="F5863" s="1323">
        <f t="shared" si="577"/>
        <v>3.1886344172739025</v>
      </c>
      <c r="G5863" s="1323">
        <f t="shared" si="579"/>
        <v>1991</v>
      </c>
      <c r="H5863" s="1323">
        <f t="shared" si="580"/>
        <v>4</v>
      </c>
      <c r="I5863" s="1323">
        <f t="shared" si="581"/>
        <v>9</v>
      </c>
      <c r="J5863" s="1323"/>
      <c r="K5863" s="1323"/>
      <c r="L5863" s="1323"/>
      <c r="M5863" s="1323"/>
      <c r="N5863" s="1323"/>
      <c r="O5863" s="1323"/>
      <c r="P5863" s="1323"/>
      <c r="Q5863" s="1323"/>
      <c r="R5863" s="1304"/>
      <c r="S5863" s="1304"/>
      <c r="T5863" s="1304"/>
    </row>
    <row r="5864" spans="1:20">
      <c r="A5864" s="1303"/>
      <c r="B5864" s="1322" t="s">
        <v>12882</v>
      </c>
      <c r="C5864" s="1323" t="s">
        <v>12876</v>
      </c>
      <c r="D5864" s="1324">
        <f t="shared" si="576"/>
        <v>33336</v>
      </c>
      <c r="E5864" s="1323">
        <f t="shared" si="578"/>
        <v>2.7189000000000001</v>
      </c>
      <c r="F5864" s="1323">
        <f t="shared" si="577"/>
        <v>3.1880230155996778</v>
      </c>
      <c r="G5864" s="1323">
        <f t="shared" si="579"/>
        <v>1991</v>
      </c>
      <c r="H5864" s="1323">
        <f t="shared" si="580"/>
        <v>4</v>
      </c>
      <c r="I5864" s="1323">
        <f t="shared" si="581"/>
        <v>8</v>
      </c>
      <c r="J5864" s="1323"/>
      <c r="K5864" s="1323"/>
      <c r="L5864" s="1323"/>
      <c r="M5864" s="1323"/>
      <c r="N5864" s="1323"/>
      <c r="O5864" s="1323"/>
      <c r="P5864" s="1323"/>
      <c r="Q5864" s="1323"/>
      <c r="R5864" s="1304"/>
      <c r="S5864" s="1304"/>
      <c r="T5864" s="1304"/>
    </row>
    <row r="5865" spans="1:20">
      <c r="A5865" s="1303"/>
      <c r="B5865" s="1322" t="s">
        <v>12883</v>
      </c>
      <c r="C5865" s="1323" t="s">
        <v>12876</v>
      </c>
      <c r="D5865" s="1324">
        <f t="shared" si="576"/>
        <v>33333</v>
      </c>
      <c r="E5865" s="1323">
        <f t="shared" si="578"/>
        <v>2.6976</v>
      </c>
      <c r="F5865" s="1323">
        <f t="shared" si="577"/>
        <v>3.1874117311580856</v>
      </c>
      <c r="G5865" s="1323">
        <f t="shared" si="579"/>
        <v>1991</v>
      </c>
      <c r="H5865" s="1323">
        <f t="shared" si="580"/>
        <v>4</v>
      </c>
      <c r="I5865" s="1323">
        <f t="shared" si="581"/>
        <v>5</v>
      </c>
      <c r="J5865" s="1323"/>
      <c r="K5865" s="1323"/>
      <c r="L5865" s="1323"/>
      <c r="M5865" s="1323"/>
      <c r="N5865" s="1323"/>
      <c r="O5865" s="1323"/>
      <c r="P5865" s="1323"/>
      <c r="Q5865" s="1323"/>
      <c r="R5865" s="1304"/>
      <c r="S5865" s="1304"/>
      <c r="T5865" s="1304"/>
    </row>
    <row r="5866" spans="1:20">
      <c r="A5866" s="1303"/>
      <c r="B5866" s="1322" t="s">
        <v>12884</v>
      </c>
      <c r="C5866" s="1323" t="s">
        <v>12885</v>
      </c>
      <c r="D5866" s="1324">
        <f t="shared" si="576"/>
        <v>33332</v>
      </c>
      <c r="E5866" s="1323">
        <f t="shared" si="578"/>
        <v>2.7122000000000002</v>
      </c>
      <c r="F5866" s="1323">
        <f t="shared" si="577"/>
        <v>3.1868005639266475</v>
      </c>
      <c r="G5866" s="1323">
        <f t="shared" si="579"/>
        <v>1991</v>
      </c>
      <c r="H5866" s="1323">
        <f t="shared" si="580"/>
        <v>4</v>
      </c>
      <c r="I5866" s="1323">
        <f t="shared" si="581"/>
        <v>4</v>
      </c>
      <c r="J5866" s="1323"/>
      <c r="K5866" s="1323"/>
      <c r="L5866" s="1323"/>
      <c r="M5866" s="1323"/>
      <c r="N5866" s="1323"/>
      <c r="O5866" s="1323"/>
      <c r="P5866" s="1323"/>
      <c r="Q5866" s="1323"/>
      <c r="R5866" s="1304"/>
      <c r="S5866" s="1304"/>
      <c r="T5866" s="1304"/>
    </row>
    <row r="5867" spans="1:20">
      <c r="A5867" s="1303"/>
      <c r="B5867" s="1322" t="s">
        <v>12886</v>
      </c>
      <c r="C5867" s="1323" t="s">
        <v>12887</v>
      </c>
      <c r="D5867" s="1324">
        <f t="shared" si="576"/>
        <v>33331</v>
      </c>
      <c r="E5867" s="1323">
        <f t="shared" si="578"/>
        <v>2.6913999999999998</v>
      </c>
      <c r="F5867" s="1323">
        <f t="shared" si="577"/>
        <v>3.1861895138828888</v>
      </c>
      <c r="G5867" s="1323">
        <f t="shared" si="579"/>
        <v>1991</v>
      </c>
      <c r="H5867" s="1323">
        <f t="shared" si="580"/>
        <v>4</v>
      </c>
      <c r="I5867" s="1323">
        <f t="shared" si="581"/>
        <v>3</v>
      </c>
      <c r="J5867" s="1323"/>
      <c r="K5867" s="1323"/>
      <c r="L5867" s="1323"/>
      <c r="M5867" s="1323"/>
      <c r="N5867" s="1323"/>
      <c r="O5867" s="1323"/>
      <c r="P5867" s="1323"/>
      <c r="Q5867" s="1323"/>
      <c r="R5867" s="1304"/>
      <c r="S5867" s="1304"/>
      <c r="T5867" s="1304"/>
    </row>
    <row r="5868" spans="1:20">
      <c r="A5868" s="1303"/>
      <c r="B5868" s="1322" t="s">
        <v>12888</v>
      </c>
      <c r="C5868" s="1323" t="s">
        <v>12889</v>
      </c>
      <c r="D5868" s="1324">
        <f t="shared" si="576"/>
        <v>33330</v>
      </c>
      <c r="E5868" s="1323">
        <f t="shared" si="578"/>
        <v>2.7004999999999999</v>
      </c>
      <c r="F5868" s="1323">
        <f t="shared" si="577"/>
        <v>3.1855785810043398</v>
      </c>
      <c r="G5868" s="1323">
        <f t="shared" si="579"/>
        <v>1991</v>
      </c>
      <c r="H5868" s="1323">
        <f t="shared" si="580"/>
        <v>4</v>
      </c>
      <c r="I5868" s="1323">
        <f t="shared" si="581"/>
        <v>2</v>
      </c>
      <c r="J5868" s="1323"/>
      <c r="K5868" s="1323"/>
      <c r="L5868" s="1323"/>
      <c r="M5868" s="1323"/>
      <c r="N5868" s="1323"/>
      <c r="O5868" s="1323"/>
      <c r="P5868" s="1323"/>
      <c r="Q5868" s="1323"/>
      <c r="R5868" s="1304"/>
      <c r="S5868" s="1304"/>
      <c r="T5868" s="1304"/>
    </row>
    <row r="5869" spans="1:20">
      <c r="A5869" s="1303"/>
      <c r="B5869" s="1322" t="s">
        <v>12890</v>
      </c>
      <c r="C5869" s="1323" t="s">
        <v>12891</v>
      </c>
      <c r="D5869" s="1324">
        <f t="shared" si="576"/>
        <v>33325</v>
      </c>
      <c r="E5869" s="1323">
        <f t="shared" si="578"/>
        <v>2.7336999999999998</v>
      </c>
      <c r="F5869" s="1323">
        <f t="shared" si="577"/>
        <v>3.1849677652685346</v>
      </c>
      <c r="G5869" s="1323">
        <f t="shared" si="579"/>
        <v>1991</v>
      </c>
      <c r="H5869" s="1323">
        <f t="shared" si="580"/>
        <v>3</v>
      </c>
      <c r="I5869" s="1323">
        <f t="shared" si="581"/>
        <v>28</v>
      </c>
      <c r="J5869" s="1323"/>
      <c r="K5869" s="1323"/>
      <c r="L5869" s="1323"/>
      <c r="M5869" s="1323"/>
      <c r="N5869" s="1323"/>
      <c r="O5869" s="1323"/>
      <c r="P5869" s="1323"/>
      <c r="Q5869" s="1323"/>
      <c r="R5869" s="1304"/>
      <c r="S5869" s="1304"/>
      <c r="T5869" s="1304"/>
    </row>
    <row r="5870" spans="1:20">
      <c r="A5870" s="1303"/>
      <c r="B5870" s="1322" t="s">
        <v>12892</v>
      </c>
      <c r="C5870" s="1323" t="s">
        <v>12414</v>
      </c>
      <c r="D5870" s="1324">
        <f t="shared" si="576"/>
        <v>33324</v>
      </c>
      <c r="E5870" s="1323">
        <f t="shared" si="578"/>
        <v>2.7159</v>
      </c>
      <c r="F5870" s="1323">
        <f t="shared" si="577"/>
        <v>3.1843570666530119</v>
      </c>
      <c r="G5870" s="1323">
        <f t="shared" si="579"/>
        <v>1991</v>
      </c>
      <c r="H5870" s="1323">
        <f t="shared" si="580"/>
        <v>3</v>
      </c>
      <c r="I5870" s="1323">
        <f t="shared" si="581"/>
        <v>27</v>
      </c>
      <c r="J5870" s="1323"/>
      <c r="K5870" s="1323"/>
      <c r="L5870" s="1323"/>
      <c r="M5870" s="1323"/>
      <c r="N5870" s="1323"/>
      <c r="O5870" s="1323"/>
      <c r="P5870" s="1323"/>
      <c r="Q5870" s="1323"/>
      <c r="R5870" s="1304"/>
      <c r="S5870" s="1304"/>
      <c r="T5870" s="1304"/>
    </row>
    <row r="5871" spans="1:20">
      <c r="A5871" s="1303"/>
      <c r="B5871" s="1322" t="s">
        <v>12893</v>
      </c>
      <c r="C5871" s="1323" t="s">
        <v>12894</v>
      </c>
      <c r="D5871" s="1324">
        <f t="shared" si="576"/>
        <v>33323</v>
      </c>
      <c r="E5871" s="1323">
        <f t="shared" si="578"/>
        <v>2.7336999999999998</v>
      </c>
      <c r="F5871" s="1323">
        <f t="shared" si="577"/>
        <v>3.1837464851353148</v>
      </c>
      <c r="G5871" s="1323">
        <f t="shared" si="579"/>
        <v>1991</v>
      </c>
      <c r="H5871" s="1323">
        <f t="shared" si="580"/>
        <v>3</v>
      </c>
      <c r="I5871" s="1323">
        <f t="shared" si="581"/>
        <v>26</v>
      </c>
      <c r="J5871" s="1323"/>
      <c r="K5871" s="1323"/>
      <c r="L5871" s="1323"/>
      <c r="M5871" s="1323"/>
      <c r="N5871" s="1323"/>
      <c r="O5871" s="1323"/>
      <c r="P5871" s="1323"/>
      <c r="Q5871" s="1323"/>
      <c r="R5871" s="1304"/>
      <c r="S5871" s="1304"/>
      <c r="T5871" s="1304"/>
    </row>
    <row r="5872" spans="1:20">
      <c r="A5872" s="1303"/>
      <c r="B5872" s="1322" t="s">
        <v>12895</v>
      </c>
      <c r="C5872" s="1323" t="s">
        <v>12414</v>
      </c>
      <c r="D5872" s="1324">
        <f t="shared" si="576"/>
        <v>33322</v>
      </c>
      <c r="E5872" s="1323">
        <f t="shared" si="578"/>
        <v>2.7086000000000001</v>
      </c>
      <c r="F5872" s="1323">
        <f t="shared" si="577"/>
        <v>3.1831360206929902</v>
      </c>
      <c r="G5872" s="1323">
        <f t="shared" si="579"/>
        <v>1991</v>
      </c>
      <c r="H5872" s="1323">
        <f t="shared" si="580"/>
        <v>3</v>
      </c>
      <c r="I5872" s="1323">
        <f t="shared" si="581"/>
        <v>25</v>
      </c>
      <c r="J5872" s="1323"/>
      <c r="K5872" s="1323"/>
      <c r="L5872" s="1323"/>
      <c r="M5872" s="1323"/>
      <c r="N5872" s="1323"/>
      <c r="O5872" s="1323"/>
      <c r="P5872" s="1323"/>
      <c r="Q5872" s="1323"/>
      <c r="R5872" s="1304"/>
      <c r="S5872" s="1304"/>
      <c r="T5872" s="1304"/>
    </row>
    <row r="5873" spans="1:20">
      <c r="A5873" s="1303"/>
      <c r="B5873" s="1322" t="s">
        <v>12896</v>
      </c>
      <c r="C5873" s="1323" t="s">
        <v>12897</v>
      </c>
      <c r="D5873" s="1324">
        <f t="shared" si="576"/>
        <v>33319</v>
      </c>
      <c r="E5873" s="1323">
        <f t="shared" si="578"/>
        <v>2.6842000000000001</v>
      </c>
      <c r="F5873" s="1323">
        <f t="shared" si="577"/>
        <v>3.1825256733035894</v>
      </c>
      <c r="G5873" s="1323">
        <f t="shared" si="579"/>
        <v>1991</v>
      </c>
      <c r="H5873" s="1323">
        <f t="shared" si="580"/>
        <v>3</v>
      </c>
      <c r="I5873" s="1323">
        <f t="shared" si="581"/>
        <v>22</v>
      </c>
      <c r="J5873" s="1323"/>
      <c r="K5873" s="1323"/>
      <c r="L5873" s="1323"/>
      <c r="M5873" s="1323"/>
      <c r="N5873" s="1323"/>
      <c r="O5873" s="1323"/>
      <c r="P5873" s="1323"/>
      <c r="Q5873" s="1323"/>
      <c r="R5873" s="1304"/>
      <c r="S5873" s="1304"/>
      <c r="T5873" s="1304"/>
    </row>
    <row r="5874" spans="1:20">
      <c r="A5874" s="1303"/>
      <c r="B5874" s="1322" t="s">
        <v>12898</v>
      </c>
      <c r="C5874" s="1323" t="s">
        <v>12899</v>
      </c>
      <c r="D5874" s="1324">
        <f t="shared" si="576"/>
        <v>33318</v>
      </c>
      <c r="E5874" s="1323">
        <f t="shared" si="578"/>
        <v>2.6964999999999999</v>
      </c>
      <c r="F5874" s="1323">
        <f t="shared" si="577"/>
        <v>3.1819154429446685</v>
      </c>
      <c r="G5874" s="1323">
        <f t="shared" si="579"/>
        <v>1991</v>
      </c>
      <c r="H5874" s="1323">
        <f t="shared" si="580"/>
        <v>3</v>
      </c>
      <c r="I5874" s="1323">
        <f t="shared" si="581"/>
        <v>21</v>
      </c>
      <c r="J5874" s="1323"/>
      <c r="K5874" s="1323"/>
      <c r="L5874" s="1323"/>
      <c r="M5874" s="1323"/>
      <c r="N5874" s="1323"/>
      <c r="O5874" s="1323"/>
      <c r="P5874" s="1323"/>
      <c r="Q5874" s="1323"/>
      <c r="R5874" s="1304"/>
      <c r="S5874" s="1304"/>
      <c r="T5874" s="1304"/>
    </row>
    <row r="5875" spans="1:20">
      <c r="A5875" s="1303"/>
      <c r="B5875" s="1322" t="s">
        <v>12900</v>
      </c>
      <c r="C5875" s="1323" t="s">
        <v>12901</v>
      </c>
      <c r="D5875" s="1324">
        <f t="shared" si="576"/>
        <v>33317</v>
      </c>
      <c r="E5875" s="1323">
        <f t="shared" si="578"/>
        <v>2.6882000000000001</v>
      </c>
      <c r="F5875" s="1323">
        <f t="shared" si="577"/>
        <v>3.1813053295937874</v>
      </c>
      <c r="G5875" s="1323">
        <f t="shared" si="579"/>
        <v>1991</v>
      </c>
      <c r="H5875" s="1323">
        <f t="shared" si="580"/>
        <v>3</v>
      </c>
      <c r="I5875" s="1323">
        <f t="shared" si="581"/>
        <v>20</v>
      </c>
      <c r="J5875" s="1323"/>
      <c r="K5875" s="1323"/>
      <c r="L5875" s="1323"/>
      <c r="M5875" s="1323"/>
      <c r="N5875" s="1323"/>
      <c r="O5875" s="1323"/>
      <c r="P5875" s="1323"/>
      <c r="Q5875" s="1323"/>
      <c r="R5875" s="1304"/>
      <c r="S5875" s="1304"/>
      <c r="T5875" s="1304"/>
    </row>
    <row r="5876" spans="1:20">
      <c r="A5876" s="1303"/>
      <c r="B5876" s="1322" t="s">
        <v>12902</v>
      </c>
      <c r="C5876" s="1323" t="s">
        <v>12903</v>
      </c>
      <c r="D5876" s="1324">
        <f t="shared" si="576"/>
        <v>33316</v>
      </c>
      <c r="E5876" s="1323">
        <f t="shared" si="578"/>
        <v>2.6882000000000001</v>
      </c>
      <c r="F5876" s="1323">
        <f t="shared" si="577"/>
        <v>3.1806953332285106</v>
      </c>
      <c r="G5876" s="1323">
        <f t="shared" si="579"/>
        <v>1991</v>
      </c>
      <c r="H5876" s="1323">
        <f t="shared" si="580"/>
        <v>3</v>
      </c>
      <c r="I5876" s="1323">
        <f t="shared" si="581"/>
        <v>19</v>
      </c>
      <c r="J5876" s="1323"/>
      <c r="K5876" s="1323"/>
      <c r="L5876" s="1323"/>
      <c r="M5876" s="1323"/>
      <c r="N5876" s="1323"/>
      <c r="O5876" s="1323"/>
      <c r="P5876" s="1323"/>
      <c r="Q5876" s="1323"/>
      <c r="R5876" s="1304"/>
      <c r="S5876" s="1304"/>
      <c r="T5876" s="1304"/>
    </row>
    <row r="5877" spans="1:20">
      <c r="A5877" s="1303"/>
      <c r="B5877" s="1322" t="s">
        <v>12904</v>
      </c>
      <c r="C5877" s="1323" t="s">
        <v>12903</v>
      </c>
      <c r="D5877" s="1324">
        <f t="shared" si="576"/>
        <v>33315</v>
      </c>
      <c r="E5877" s="1323">
        <f t="shared" si="578"/>
        <v>2.6713</v>
      </c>
      <c r="F5877" s="1323">
        <f t="shared" si="577"/>
        <v>3.1800854538264067</v>
      </c>
      <c r="G5877" s="1323">
        <f t="shared" si="579"/>
        <v>1991</v>
      </c>
      <c r="H5877" s="1323">
        <f t="shared" si="580"/>
        <v>3</v>
      </c>
      <c r="I5877" s="1323">
        <f t="shared" si="581"/>
        <v>18</v>
      </c>
      <c r="J5877" s="1323"/>
      <c r="K5877" s="1323"/>
      <c r="L5877" s="1323"/>
      <c r="M5877" s="1323"/>
      <c r="N5877" s="1323"/>
      <c r="O5877" s="1323"/>
      <c r="P5877" s="1323"/>
      <c r="Q5877" s="1323"/>
      <c r="R5877" s="1304"/>
      <c r="S5877" s="1304"/>
      <c r="T5877" s="1304"/>
    </row>
    <row r="5878" spans="1:20">
      <c r="A5878" s="1303"/>
      <c r="B5878" s="1322" t="s">
        <v>12905</v>
      </c>
      <c r="C5878" s="1323" t="s">
        <v>12906</v>
      </c>
      <c r="D5878" s="1324">
        <f t="shared" si="576"/>
        <v>33312</v>
      </c>
      <c r="E5878" s="1323">
        <f t="shared" si="578"/>
        <v>2.6364000000000001</v>
      </c>
      <c r="F5878" s="1323">
        <f t="shared" si="577"/>
        <v>3.1794756913650488</v>
      </c>
      <c r="G5878" s="1323">
        <f t="shared" si="579"/>
        <v>1991</v>
      </c>
      <c r="H5878" s="1323">
        <f t="shared" si="580"/>
        <v>3</v>
      </c>
      <c r="I5878" s="1323">
        <f t="shared" si="581"/>
        <v>15</v>
      </c>
      <c r="J5878" s="1323"/>
      <c r="K5878" s="1323"/>
      <c r="L5878" s="1323"/>
      <c r="M5878" s="1323"/>
      <c r="N5878" s="1323"/>
      <c r="O5878" s="1323"/>
      <c r="P5878" s="1323"/>
      <c r="Q5878" s="1323"/>
      <c r="R5878" s="1304"/>
      <c r="S5878" s="1304"/>
      <c r="T5878" s="1304"/>
    </row>
    <row r="5879" spans="1:20">
      <c r="A5879" s="1303"/>
      <c r="B5879" s="1322" t="s">
        <v>12907</v>
      </c>
      <c r="C5879" s="1323" t="s">
        <v>12908</v>
      </c>
      <c r="D5879" s="1324">
        <f t="shared" si="576"/>
        <v>33311</v>
      </c>
      <c r="E5879" s="1323">
        <f t="shared" si="578"/>
        <v>2.6192000000000002</v>
      </c>
      <c r="F5879" s="1323">
        <f t="shared" si="577"/>
        <v>3.1788660458220144</v>
      </c>
      <c r="G5879" s="1323">
        <f t="shared" si="579"/>
        <v>1991</v>
      </c>
      <c r="H5879" s="1323">
        <f t="shared" si="580"/>
        <v>3</v>
      </c>
      <c r="I5879" s="1323">
        <f t="shared" si="581"/>
        <v>14</v>
      </c>
      <c r="J5879" s="1323"/>
      <c r="K5879" s="1323"/>
      <c r="L5879" s="1323"/>
      <c r="M5879" s="1323"/>
      <c r="N5879" s="1323"/>
      <c r="O5879" s="1323"/>
      <c r="P5879" s="1323"/>
      <c r="Q5879" s="1323"/>
      <c r="R5879" s="1304"/>
      <c r="S5879" s="1304"/>
      <c r="T5879" s="1304"/>
    </row>
    <row r="5880" spans="1:20">
      <c r="A5880" s="1303"/>
      <c r="B5880" s="1322" t="s">
        <v>12909</v>
      </c>
      <c r="C5880" s="1323" t="s">
        <v>12910</v>
      </c>
      <c r="D5880" s="1324">
        <f t="shared" si="576"/>
        <v>33310</v>
      </c>
      <c r="E5880" s="1323">
        <f t="shared" si="578"/>
        <v>2.6156999999999999</v>
      </c>
      <c r="F5880" s="1323">
        <f t="shared" si="577"/>
        <v>3.1782565171748849</v>
      </c>
      <c r="G5880" s="1323">
        <f t="shared" si="579"/>
        <v>1991</v>
      </c>
      <c r="H5880" s="1323">
        <f t="shared" si="580"/>
        <v>3</v>
      </c>
      <c r="I5880" s="1323">
        <f t="shared" si="581"/>
        <v>13</v>
      </c>
      <c r="J5880" s="1323"/>
      <c r="K5880" s="1323"/>
      <c r="L5880" s="1323"/>
      <c r="M5880" s="1323"/>
      <c r="N5880" s="1323"/>
      <c r="O5880" s="1323"/>
      <c r="P5880" s="1323"/>
      <c r="Q5880" s="1323"/>
      <c r="R5880" s="1304"/>
      <c r="S5880" s="1304"/>
      <c r="T5880" s="1304"/>
    </row>
    <row r="5881" spans="1:20">
      <c r="A5881" s="1303"/>
      <c r="B5881" s="1322" t="s">
        <v>12911</v>
      </c>
      <c r="C5881" s="1323" t="s">
        <v>12912</v>
      </c>
      <c r="D5881" s="1324">
        <f t="shared" si="576"/>
        <v>33309</v>
      </c>
      <c r="E5881" s="1323">
        <f t="shared" si="578"/>
        <v>2.6082000000000001</v>
      </c>
      <c r="F5881" s="1323">
        <f t="shared" si="577"/>
        <v>3.1776471054012463</v>
      </c>
      <c r="G5881" s="1323">
        <f t="shared" si="579"/>
        <v>1991</v>
      </c>
      <c r="H5881" s="1323">
        <f t="shared" si="580"/>
        <v>3</v>
      </c>
      <c r="I5881" s="1323">
        <f t="shared" si="581"/>
        <v>12</v>
      </c>
      <c r="J5881" s="1323"/>
      <c r="K5881" s="1323"/>
      <c r="L5881" s="1323"/>
      <c r="M5881" s="1323"/>
      <c r="N5881" s="1323"/>
      <c r="O5881" s="1323"/>
      <c r="P5881" s="1323"/>
      <c r="Q5881" s="1323"/>
      <c r="R5881" s="1304"/>
      <c r="S5881" s="1304"/>
      <c r="T5881" s="1304"/>
    </row>
    <row r="5882" spans="1:20">
      <c r="A5882" s="1303"/>
      <c r="B5882" s="1322" t="s">
        <v>12913</v>
      </c>
      <c r="C5882" s="1323" t="s">
        <v>12914</v>
      </c>
      <c r="D5882" s="1324">
        <f t="shared" si="576"/>
        <v>33308</v>
      </c>
      <c r="E5882" s="1323">
        <f t="shared" si="578"/>
        <v>2.6280999999999999</v>
      </c>
      <c r="F5882" s="1323">
        <f t="shared" si="577"/>
        <v>3.1770378104786885</v>
      </c>
      <c r="G5882" s="1323">
        <f t="shared" si="579"/>
        <v>1991</v>
      </c>
      <c r="H5882" s="1323">
        <f t="shared" si="580"/>
        <v>3</v>
      </c>
      <c r="I5882" s="1323">
        <f t="shared" si="581"/>
        <v>11</v>
      </c>
      <c r="J5882" s="1323"/>
      <c r="K5882" s="1323"/>
      <c r="L5882" s="1323"/>
      <c r="M5882" s="1323"/>
      <c r="N5882" s="1323"/>
      <c r="O5882" s="1323"/>
      <c r="P5882" s="1323"/>
      <c r="Q5882" s="1323"/>
      <c r="R5882" s="1304"/>
      <c r="S5882" s="1304"/>
      <c r="T5882" s="1304"/>
    </row>
    <row r="5883" spans="1:20">
      <c r="A5883" s="1303"/>
      <c r="B5883" s="1322" t="s">
        <v>12915</v>
      </c>
      <c r="C5883" s="1323" t="s">
        <v>12916</v>
      </c>
      <c r="D5883" s="1324">
        <f t="shared" si="576"/>
        <v>33305</v>
      </c>
      <c r="E5883" s="1323">
        <f t="shared" si="578"/>
        <v>2.6027999999999998</v>
      </c>
      <c r="F5883" s="1323">
        <f t="shared" si="577"/>
        <v>3.1764286323848063</v>
      </c>
      <c r="G5883" s="1323">
        <f t="shared" si="579"/>
        <v>1991</v>
      </c>
      <c r="H5883" s="1323">
        <f t="shared" si="580"/>
        <v>3</v>
      </c>
      <c r="I5883" s="1323">
        <f t="shared" si="581"/>
        <v>8</v>
      </c>
      <c r="J5883" s="1323"/>
      <c r="K5883" s="1323"/>
      <c r="L5883" s="1323"/>
      <c r="M5883" s="1323"/>
      <c r="N5883" s="1323"/>
      <c r="O5883" s="1323"/>
      <c r="P5883" s="1323"/>
      <c r="Q5883" s="1323"/>
      <c r="R5883" s="1304"/>
      <c r="S5883" s="1304"/>
      <c r="T5883" s="1304"/>
    </row>
    <row r="5884" spans="1:20">
      <c r="A5884" s="1303"/>
      <c r="B5884" s="1322" t="s">
        <v>12917</v>
      </c>
      <c r="C5884" s="1323" t="s">
        <v>12918</v>
      </c>
      <c r="D5884" s="1324">
        <f t="shared" si="576"/>
        <v>33304</v>
      </c>
      <c r="E5884" s="1323">
        <f t="shared" si="578"/>
        <v>2.5880000000000001</v>
      </c>
      <c r="F5884" s="1323">
        <f t="shared" si="577"/>
        <v>3.1758195710971986</v>
      </c>
      <c r="G5884" s="1323">
        <f t="shared" si="579"/>
        <v>1991</v>
      </c>
      <c r="H5884" s="1323">
        <f t="shared" si="580"/>
        <v>3</v>
      </c>
      <c r="I5884" s="1323">
        <f t="shared" si="581"/>
        <v>7</v>
      </c>
      <c r="J5884" s="1323"/>
      <c r="K5884" s="1323"/>
      <c r="L5884" s="1323"/>
      <c r="M5884" s="1323"/>
      <c r="N5884" s="1323"/>
      <c r="O5884" s="1323"/>
      <c r="P5884" s="1323"/>
      <c r="Q5884" s="1323"/>
      <c r="R5884" s="1304"/>
      <c r="S5884" s="1304"/>
      <c r="T5884" s="1304"/>
    </row>
    <row r="5885" spans="1:20">
      <c r="A5885" s="1303"/>
      <c r="B5885" s="1322" t="s">
        <v>12919</v>
      </c>
      <c r="C5885" s="1323" t="s">
        <v>12920</v>
      </c>
      <c r="D5885" s="1324">
        <f t="shared" si="576"/>
        <v>33303</v>
      </c>
      <c r="E5885" s="1323">
        <f t="shared" si="578"/>
        <v>2.5988000000000002</v>
      </c>
      <c r="F5885" s="1323">
        <f t="shared" si="577"/>
        <v>3.1752106265934681</v>
      </c>
      <c r="G5885" s="1323">
        <f t="shared" si="579"/>
        <v>1991</v>
      </c>
      <c r="H5885" s="1323">
        <f t="shared" si="580"/>
        <v>3</v>
      </c>
      <c r="I5885" s="1323">
        <f t="shared" si="581"/>
        <v>6</v>
      </c>
      <c r="J5885" s="1323"/>
      <c r="K5885" s="1323"/>
      <c r="L5885" s="1323"/>
      <c r="M5885" s="1323"/>
      <c r="N5885" s="1323"/>
      <c r="O5885" s="1323"/>
      <c r="P5885" s="1323"/>
      <c r="Q5885" s="1323"/>
      <c r="R5885" s="1304"/>
      <c r="S5885" s="1304"/>
      <c r="T5885" s="1304"/>
    </row>
    <row r="5886" spans="1:20">
      <c r="A5886" s="1303"/>
      <c r="B5886" s="1322" t="s">
        <v>12921</v>
      </c>
      <c r="C5886" s="1323" t="s">
        <v>12922</v>
      </c>
      <c r="D5886" s="1324">
        <f t="shared" si="576"/>
        <v>33302</v>
      </c>
      <c r="E5886" s="1323">
        <f t="shared" si="578"/>
        <v>2.5880000000000001</v>
      </c>
      <c r="F5886" s="1323">
        <f t="shared" si="577"/>
        <v>3.1746017988512225</v>
      </c>
      <c r="G5886" s="1323">
        <f t="shared" si="579"/>
        <v>1991</v>
      </c>
      <c r="H5886" s="1323">
        <f t="shared" si="580"/>
        <v>3</v>
      </c>
      <c r="I5886" s="1323">
        <f t="shared" si="581"/>
        <v>5</v>
      </c>
      <c r="J5886" s="1323"/>
      <c r="K5886" s="1323"/>
      <c r="L5886" s="1323"/>
      <c r="M5886" s="1323"/>
      <c r="N5886" s="1323"/>
      <c r="O5886" s="1323"/>
      <c r="P5886" s="1323"/>
      <c r="Q5886" s="1323"/>
      <c r="R5886" s="1304"/>
      <c r="S5886" s="1304"/>
      <c r="T5886" s="1304"/>
    </row>
    <row r="5887" spans="1:20">
      <c r="A5887" s="1303"/>
      <c r="B5887" s="1322" t="s">
        <v>12923</v>
      </c>
      <c r="C5887" s="1323" t="s">
        <v>12920</v>
      </c>
      <c r="D5887" s="1324">
        <f t="shared" si="576"/>
        <v>33301</v>
      </c>
      <c r="E5887" s="1323">
        <f t="shared" si="578"/>
        <v>2.5954000000000002</v>
      </c>
      <c r="F5887" s="1323">
        <f t="shared" si="577"/>
        <v>3.1739930878480735</v>
      </c>
      <c r="G5887" s="1323">
        <f t="shared" si="579"/>
        <v>1991</v>
      </c>
      <c r="H5887" s="1323">
        <f t="shared" si="580"/>
        <v>3</v>
      </c>
      <c r="I5887" s="1323">
        <f t="shared" si="581"/>
        <v>4</v>
      </c>
      <c r="J5887" s="1323"/>
      <c r="K5887" s="1323"/>
      <c r="L5887" s="1323"/>
      <c r="M5887" s="1323"/>
      <c r="N5887" s="1323"/>
      <c r="O5887" s="1323"/>
      <c r="P5887" s="1323"/>
      <c r="Q5887" s="1323"/>
      <c r="R5887" s="1304"/>
      <c r="S5887" s="1304"/>
      <c r="T5887" s="1304"/>
    </row>
    <row r="5888" spans="1:20">
      <c r="A5888" s="1303"/>
      <c r="B5888" s="1322" t="s">
        <v>12924</v>
      </c>
      <c r="C5888" s="1323" t="s">
        <v>12925</v>
      </c>
      <c r="D5888" s="1324">
        <f t="shared" si="576"/>
        <v>33298</v>
      </c>
      <c r="E5888" s="1323">
        <f t="shared" si="578"/>
        <v>2.5792999999999999</v>
      </c>
      <c r="F5888" s="1323">
        <f t="shared" si="577"/>
        <v>3.1733844935616369</v>
      </c>
      <c r="G5888" s="1323">
        <f t="shared" si="579"/>
        <v>1991</v>
      </c>
      <c r="H5888" s="1323">
        <f t="shared" si="580"/>
        <v>3</v>
      </c>
      <c r="I5888" s="1323">
        <f t="shared" si="581"/>
        <v>1</v>
      </c>
      <c r="J5888" s="1323"/>
      <c r="K5888" s="1323"/>
      <c r="L5888" s="1323"/>
      <c r="M5888" s="1323"/>
      <c r="N5888" s="1323"/>
      <c r="O5888" s="1323"/>
      <c r="P5888" s="1323"/>
      <c r="Q5888" s="1323"/>
      <c r="R5888" s="1304"/>
      <c r="S5888" s="1304"/>
      <c r="T5888" s="1304"/>
    </row>
    <row r="5889" spans="1:20">
      <c r="A5889" s="1303"/>
      <c r="B5889" s="1322" t="s">
        <v>12926</v>
      </c>
      <c r="C5889" s="1323" t="s">
        <v>12927</v>
      </c>
      <c r="D5889" s="1324">
        <f t="shared" si="576"/>
        <v>33297</v>
      </c>
      <c r="E5889" s="1323">
        <f t="shared" si="578"/>
        <v>2.5628000000000002</v>
      </c>
      <c r="F5889" s="1323">
        <f t="shared" si="577"/>
        <v>3.1727760159695331</v>
      </c>
      <c r="G5889" s="1323">
        <f t="shared" si="579"/>
        <v>1991</v>
      </c>
      <c r="H5889" s="1323">
        <f t="shared" si="580"/>
        <v>2</v>
      </c>
      <c r="I5889" s="1323">
        <f t="shared" si="581"/>
        <v>28</v>
      </c>
      <c r="J5889" s="1323"/>
      <c r="K5889" s="1323"/>
      <c r="L5889" s="1323"/>
      <c r="M5889" s="1323"/>
      <c r="N5889" s="1323"/>
      <c r="O5889" s="1323"/>
      <c r="P5889" s="1323"/>
      <c r="Q5889" s="1323"/>
      <c r="R5889" s="1304"/>
      <c r="S5889" s="1304"/>
      <c r="T5889" s="1304"/>
    </row>
    <row r="5890" spans="1:20">
      <c r="A5890" s="1303"/>
      <c r="B5890" s="1322" t="s">
        <v>12928</v>
      </c>
      <c r="C5890" s="1323" t="s">
        <v>12929</v>
      </c>
      <c r="D5890" s="1324">
        <f t="shared" si="576"/>
        <v>33296</v>
      </c>
      <c r="E5890" s="1323">
        <f t="shared" si="578"/>
        <v>2.569</v>
      </c>
      <c r="F5890" s="1323">
        <f t="shared" si="577"/>
        <v>3.1721676550493867</v>
      </c>
      <c r="G5890" s="1323">
        <f t="shared" si="579"/>
        <v>1991</v>
      </c>
      <c r="H5890" s="1323">
        <f t="shared" si="580"/>
        <v>2</v>
      </c>
      <c r="I5890" s="1323">
        <f t="shared" si="581"/>
        <v>27</v>
      </c>
      <c r="J5890" s="1323"/>
      <c r="K5890" s="1323"/>
      <c r="L5890" s="1323"/>
      <c r="M5890" s="1323"/>
      <c r="N5890" s="1323"/>
      <c r="O5890" s="1323"/>
      <c r="P5890" s="1323"/>
      <c r="Q5890" s="1323"/>
      <c r="R5890" s="1304"/>
      <c r="S5890" s="1304"/>
      <c r="T5890" s="1304"/>
    </row>
    <row r="5891" spans="1:20">
      <c r="A5891" s="1303"/>
      <c r="B5891" s="1322" t="s">
        <v>12930</v>
      </c>
      <c r="C5891" s="1323" t="s">
        <v>12931</v>
      </c>
      <c r="D5891" s="1324">
        <f t="shared" si="576"/>
        <v>33295</v>
      </c>
      <c r="E5891" s="1323">
        <f t="shared" si="578"/>
        <v>2.5663999999999998</v>
      </c>
      <c r="F5891" s="1323">
        <f t="shared" si="577"/>
        <v>3.1715594107788263</v>
      </c>
      <c r="G5891" s="1323">
        <f t="shared" si="579"/>
        <v>1991</v>
      </c>
      <c r="H5891" s="1323">
        <f t="shared" si="580"/>
        <v>2</v>
      </c>
      <c r="I5891" s="1323">
        <f t="shared" si="581"/>
        <v>26</v>
      </c>
      <c r="J5891" s="1323"/>
      <c r="K5891" s="1323"/>
      <c r="L5891" s="1323"/>
      <c r="M5891" s="1323"/>
      <c r="N5891" s="1323"/>
      <c r="O5891" s="1323"/>
      <c r="P5891" s="1323"/>
      <c r="Q5891" s="1323"/>
      <c r="R5891" s="1304"/>
      <c r="S5891" s="1304"/>
      <c r="T5891" s="1304"/>
    </row>
    <row r="5892" spans="1:20">
      <c r="A5892" s="1303"/>
      <c r="B5892" s="1322" t="s">
        <v>12932</v>
      </c>
      <c r="C5892" s="1323" t="s">
        <v>12933</v>
      </c>
      <c r="D5892" s="1324">
        <f t="shared" si="576"/>
        <v>33294</v>
      </c>
      <c r="E5892" s="1323">
        <f t="shared" si="578"/>
        <v>2.5602</v>
      </c>
      <c r="F5892" s="1323">
        <f t="shared" si="577"/>
        <v>3.1709512831354854</v>
      </c>
      <c r="G5892" s="1323">
        <f t="shared" si="579"/>
        <v>1991</v>
      </c>
      <c r="H5892" s="1323">
        <f t="shared" si="580"/>
        <v>2</v>
      </c>
      <c r="I5892" s="1323">
        <f t="shared" si="581"/>
        <v>25</v>
      </c>
      <c r="J5892" s="1323"/>
      <c r="K5892" s="1323"/>
      <c r="L5892" s="1323"/>
      <c r="M5892" s="1323"/>
      <c r="N5892" s="1323"/>
      <c r="O5892" s="1323"/>
      <c r="P5892" s="1323"/>
      <c r="Q5892" s="1323"/>
      <c r="R5892" s="1304"/>
      <c r="S5892" s="1304"/>
      <c r="T5892" s="1304"/>
    </row>
    <row r="5893" spans="1:20">
      <c r="A5893" s="1303"/>
      <c r="B5893" s="1322" t="s">
        <v>12934</v>
      </c>
      <c r="C5893" s="1323" t="s">
        <v>12935</v>
      </c>
      <c r="D5893" s="1324">
        <f t="shared" si="576"/>
        <v>33291</v>
      </c>
      <c r="E5893" s="1323">
        <f t="shared" si="578"/>
        <v>2.5377000000000001</v>
      </c>
      <c r="F5893" s="1323">
        <f t="shared" si="577"/>
        <v>3.1703432720970008</v>
      </c>
      <c r="G5893" s="1323">
        <f t="shared" si="579"/>
        <v>1991</v>
      </c>
      <c r="H5893" s="1323">
        <f t="shared" si="580"/>
        <v>2</v>
      </c>
      <c r="I5893" s="1323">
        <f t="shared" si="581"/>
        <v>22</v>
      </c>
      <c r="J5893" s="1323"/>
      <c r="K5893" s="1323"/>
      <c r="L5893" s="1323"/>
      <c r="M5893" s="1323"/>
      <c r="N5893" s="1323"/>
      <c r="O5893" s="1323"/>
      <c r="P5893" s="1323"/>
      <c r="Q5893" s="1323"/>
      <c r="R5893" s="1304"/>
      <c r="S5893" s="1304"/>
      <c r="T5893" s="1304"/>
    </row>
    <row r="5894" spans="1:20">
      <c r="A5894" s="1303"/>
      <c r="B5894" s="1322" t="s">
        <v>12936</v>
      </c>
      <c r="C5894" s="1323" t="s">
        <v>12937</v>
      </c>
      <c r="D5894" s="1324">
        <f t="shared" si="576"/>
        <v>33290</v>
      </c>
      <c r="E5894" s="1323">
        <f t="shared" si="578"/>
        <v>2.5468000000000002</v>
      </c>
      <c r="F5894" s="1323">
        <f t="shared" si="577"/>
        <v>3.1697353776410147</v>
      </c>
      <c r="G5894" s="1323">
        <f t="shared" si="579"/>
        <v>1991</v>
      </c>
      <c r="H5894" s="1323">
        <f t="shared" si="580"/>
        <v>2</v>
      </c>
      <c r="I5894" s="1323">
        <f t="shared" si="581"/>
        <v>21</v>
      </c>
      <c r="J5894" s="1323"/>
      <c r="K5894" s="1323"/>
      <c r="L5894" s="1323"/>
      <c r="M5894" s="1323"/>
      <c r="N5894" s="1323"/>
      <c r="O5894" s="1323"/>
      <c r="P5894" s="1323"/>
      <c r="Q5894" s="1323"/>
      <c r="R5894" s="1304"/>
      <c r="S5894" s="1304"/>
      <c r="T5894" s="1304"/>
    </row>
    <row r="5895" spans="1:20">
      <c r="A5895" s="1303"/>
      <c r="B5895" s="1322" t="s">
        <v>12938</v>
      </c>
      <c r="C5895" s="1323" t="s">
        <v>12939</v>
      </c>
      <c r="D5895" s="1324">
        <f t="shared" si="576"/>
        <v>33289</v>
      </c>
      <c r="E5895" s="1323">
        <f t="shared" si="578"/>
        <v>2.5451999999999999</v>
      </c>
      <c r="F5895" s="1323">
        <f t="shared" si="577"/>
        <v>3.1691275997451731</v>
      </c>
      <c r="G5895" s="1323">
        <f t="shared" si="579"/>
        <v>1991</v>
      </c>
      <c r="H5895" s="1323">
        <f t="shared" si="580"/>
        <v>2</v>
      </c>
      <c r="I5895" s="1323">
        <f t="shared" si="581"/>
        <v>20</v>
      </c>
      <c r="J5895" s="1323"/>
      <c r="K5895" s="1323"/>
      <c r="L5895" s="1323"/>
      <c r="M5895" s="1323"/>
      <c r="N5895" s="1323"/>
      <c r="O5895" s="1323"/>
      <c r="P5895" s="1323"/>
      <c r="Q5895" s="1323"/>
      <c r="R5895" s="1304"/>
      <c r="S5895" s="1304"/>
      <c r="T5895" s="1304"/>
    </row>
    <row r="5896" spans="1:20">
      <c r="A5896" s="1303"/>
      <c r="B5896" s="1322" t="s">
        <v>12940</v>
      </c>
      <c r="C5896" s="1323" t="s">
        <v>12941</v>
      </c>
      <c r="D5896" s="1324">
        <f t="shared" si="576"/>
        <v>33288</v>
      </c>
      <c r="E5896" s="1323">
        <f t="shared" si="578"/>
        <v>2.5381</v>
      </c>
      <c r="F5896" s="1323">
        <f t="shared" si="577"/>
        <v>3.1685199383871261</v>
      </c>
      <c r="G5896" s="1323">
        <f t="shared" si="579"/>
        <v>1991</v>
      </c>
      <c r="H5896" s="1323">
        <f t="shared" si="580"/>
        <v>2</v>
      </c>
      <c r="I5896" s="1323">
        <f t="shared" si="581"/>
        <v>19</v>
      </c>
      <c r="J5896" s="1323"/>
      <c r="K5896" s="1323"/>
      <c r="L5896" s="1323"/>
      <c r="M5896" s="1323"/>
      <c r="N5896" s="1323"/>
      <c r="O5896" s="1323"/>
      <c r="P5896" s="1323"/>
      <c r="Q5896" s="1323"/>
      <c r="R5896" s="1304"/>
      <c r="S5896" s="1304"/>
      <c r="T5896" s="1304"/>
    </row>
    <row r="5897" spans="1:20">
      <c r="A5897" s="1303"/>
      <c r="B5897" s="1322" t="s">
        <v>12942</v>
      </c>
      <c r="C5897" s="1323" t="s">
        <v>12943</v>
      </c>
      <c r="D5897" s="1324">
        <f t="shared" ref="D5897:D5960" si="582">DATE(G5897,H5897,I5897)</f>
        <v>33287</v>
      </c>
      <c r="E5897" s="1323">
        <f t="shared" si="578"/>
        <v>2.5329000000000002</v>
      </c>
      <c r="F5897" s="1323">
        <f t="shared" ref="F5897:F5960" si="583">F5898*(1+$F$7/365)</f>
        <v>3.1679123935445284</v>
      </c>
      <c r="G5897" s="1323">
        <f t="shared" si="579"/>
        <v>1991</v>
      </c>
      <c r="H5897" s="1323">
        <f t="shared" si="580"/>
        <v>2</v>
      </c>
      <c r="I5897" s="1323">
        <f t="shared" si="581"/>
        <v>18</v>
      </c>
      <c r="J5897" s="1323"/>
      <c r="K5897" s="1323"/>
      <c r="L5897" s="1323"/>
      <c r="M5897" s="1323"/>
      <c r="N5897" s="1323"/>
      <c r="O5897" s="1323"/>
      <c r="P5897" s="1323"/>
      <c r="Q5897" s="1323"/>
      <c r="R5897" s="1304"/>
      <c r="S5897" s="1304"/>
      <c r="T5897" s="1304"/>
    </row>
    <row r="5898" spans="1:20">
      <c r="A5898" s="1303"/>
      <c r="B5898" s="1322" t="s">
        <v>12944</v>
      </c>
      <c r="C5898" s="1323" t="s">
        <v>12945</v>
      </c>
      <c r="D5898" s="1324">
        <f t="shared" si="582"/>
        <v>33284</v>
      </c>
      <c r="E5898" s="1323">
        <f t="shared" si="578"/>
        <v>2.5354999999999999</v>
      </c>
      <c r="F5898" s="1323">
        <f t="shared" si="583"/>
        <v>3.1673049651950387</v>
      </c>
      <c r="G5898" s="1323">
        <f t="shared" si="579"/>
        <v>1991</v>
      </c>
      <c r="H5898" s="1323">
        <f t="shared" si="580"/>
        <v>2</v>
      </c>
      <c r="I5898" s="1323">
        <f t="shared" si="581"/>
        <v>15</v>
      </c>
      <c r="J5898" s="1323"/>
      <c r="K5898" s="1323"/>
      <c r="L5898" s="1323"/>
      <c r="M5898" s="1323"/>
      <c r="N5898" s="1323"/>
      <c r="O5898" s="1323"/>
      <c r="P5898" s="1323"/>
      <c r="Q5898" s="1323"/>
      <c r="R5898" s="1304"/>
      <c r="S5898" s="1304"/>
      <c r="T5898" s="1304"/>
    </row>
    <row r="5899" spans="1:20">
      <c r="A5899" s="1303"/>
      <c r="B5899" s="1322" t="s">
        <v>12946</v>
      </c>
      <c r="C5899" s="1323" t="s">
        <v>12947</v>
      </c>
      <c r="D5899" s="1324">
        <f t="shared" si="582"/>
        <v>33283</v>
      </c>
      <c r="E5899" s="1323">
        <f t="shared" si="578"/>
        <v>2.5354999999999999</v>
      </c>
      <c r="F5899" s="1323">
        <f t="shared" si="583"/>
        <v>3.1666976533163202</v>
      </c>
      <c r="G5899" s="1323">
        <f t="shared" si="579"/>
        <v>1991</v>
      </c>
      <c r="H5899" s="1323">
        <f t="shared" si="580"/>
        <v>2</v>
      </c>
      <c r="I5899" s="1323">
        <f t="shared" si="581"/>
        <v>14</v>
      </c>
      <c r="J5899" s="1323"/>
      <c r="K5899" s="1323"/>
      <c r="L5899" s="1323"/>
      <c r="M5899" s="1323"/>
      <c r="N5899" s="1323"/>
      <c r="O5899" s="1323"/>
      <c r="P5899" s="1323"/>
      <c r="Q5899" s="1323"/>
      <c r="R5899" s="1304"/>
      <c r="S5899" s="1304"/>
      <c r="T5899" s="1304"/>
    </row>
    <row r="5900" spans="1:20">
      <c r="A5900" s="1303"/>
      <c r="B5900" s="1322" t="s">
        <v>12948</v>
      </c>
      <c r="C5900" s="1323" t="s">
        <v>12947</v>
      </c>
      <c r="D5900" s="1324">
        <f t="shared" si="582"/>
        <v>33282</v>
      </c>
      <c r="E5900" s="1323">
        <f t="shared" si="578"/>
        <v>2.5284</v>
      </c>
      <c r="F5900" s="1323">
        <f t="shared" si="583"/>
        <v>3.1660904578860407</v>
      </c>
      <c r="G5900" s="1323">
        <f t="shared" si="579"/>
        <v>1991</v>
      </c>
      <c r="H5900" s="1323">
        <f t="shared" si="580"/>
        <v>2</v>
      </c>
      <c r="I5900" s="1323">
        <f t="shared" si="581"/>
        <v>13</v>
      </c>
      <c r="J5900" s="1323"/>
      <c r="K5900" s="1323"/>
      <c r="L5900" s="1323"/>
      <c r="M5900" s="1323"/>
      <c r="N5900" s="1323"/>
      <c r="O5900" s="1323"/>
      <c r="P5900" s="1323"/>
      <c r="Q5900" s="1323"/>
      <c r="R5900" s="1304"/>
      <c r="S5900" s="1304"/>
      <c r="T5900" s="1304"/>
    </row>
    <row r="5901" spans="1:20">
      <c r="A5901" s="1303"/>
      <c r="B5901" s="1322" t="s">
        <v>12949</v>
      </c>
      <c r="C5901" s="1323" t="s">
        <v>12950</v>
      </c>
      <c r="D5901" s="1324">
        <f t="shared" si="582"/>
        <v>33281</v>
      </c>
      <c r="E5901" s="1323">
        <f t="shared" si="578"/>
        <v>2.5213999999999999</v>
      </c>
      <c r="F5901" s="1323">
        <f t="shared" si="583"/>
        <v>3.1654833788818713</v>
      </c>
      <c r="G5901" s="1323">
        <f t="shared" si="579"/>
        <v>1991</v>
      </c>
      <c r="H5901" s="1323">
        <f t="shared" si="580"/>
        <v>2</v>
      </c>
      <c r="I5901" s="1323">
        <f t="shared" si="581"/>
        <v>12</v>
      </c>
      <c r="J5901" s="1323"/>
      <c r="K5901" s="1323"/>
      <c r="L5901" s="1323"/>
      <c r="M5901" s="1323"/>
      <c r="N5901" s="1323"/>
      <c r="O5901" s="1323"/>
      <c r="P5901" s="1323"/>
      <c r="Q5901" s="1323"/>
      <c r="R5901" s="1304"/>
      <c r="S5901" s="1304"/>
      <c r="T5901" s="1304"/>
    </row>
    <row r="5902" spans="1:20">
      <c r="A5902" s="1303"/>
      <c r="B5902" s="1322" t="s">
        <v>12951</v>
      </c>
      <c r="C5902" s="1323" t="s">
        <v>12952</v>
      </c>
      <c r="D5902" s="1324">
        <f t="shared" si="582"/>
        <v>33280</v>
      </c>
      <c r="E5902" s="1323">
        <f t="shared" si="578"/>
        <v>2.5268000000000002</v>
      </c>
      <c r="F5902" s="1323">
        <f t="shared" si="583"/>
        <v>3.1648764162814884</v>
      </c>
      <c r="G5902" s="1323">
        <f t="shared" si="579"/>
        <v>1991</v>
      </c>
      <c r="H5902" s="1323">
        <f t="shared" si="580"/>
        <v>2</v>
      </c>
      <c r="I5902" s="1323">
        <f t="shared" si="581"/>
        <v>11</v>
      </c>
      <c r="J5902" s="1323"/>
      <c r="K5902" s="1323"/>
      <c r="L5902" s="1323"/>
      <c r="M5902" s="1323"/>
      <c r="N5902" s="1323"/>
      <c r="O5902" s="1323"/>
      <c r="P5902" s="1323"/>
      <c r="Q5902" s="1323"/>
      <c r="R5902" s="1304"/>
      <c r="S5902" s="1304"/>
      <c r="T5902" s="1304"/>
    </row>
    <row r="5903" spans="1:20">
      <c r="A5903" s="1303"/>
      <c r="B5903" s="1322" t="s">
        <v>12953</v>
      </c>
      <c r="C5903" s="1323" t="s">
        <v>12954</v>
      </c>
      <c r="D5903" s="1324">
        <f t="shared" si="582"/>
        <v>33277</v>
      </c>
      <c r="E5903" s="1323">
        <f t="shared" si="578"/>
        <v>2.5265</v>
      </c>
      <c r="F5903" s="1323">
        <f t="shared" si="583"/>
        <v>3.1642695700625723</v>
      </c>
      <c r="G5903" s="1323">
        <f t="shared" si="579"/>
        <v>1991</v>
      </c>
      <c r="H5903" s="1323">
        <f t="shared" si="580"/>
        <v>2</v>
      </c>
      <c r="I5903" s="1323">
        <f t="shared" si="581"/>
        <v>8</v>
      </c>
      <c r="J5903" s="1323"/>
      <c r="K5903" s="1323"/>
      <c r="L5903" s="1323"/>
      <c r="M5903" s="1323"/>
      <c r="N5903" s="1323"/>
      <c r="O5903" s="1323"/>
      <c r="P5903" s="1323"/>
      <c r="Q5903" s="1323"/>
      <c r="R5903" s="1304"/>
      <c r="S5903" s="1304"/>
      <c r="T5903" s="1304"/>
    </row>
    <row r="5904" spans="1:20">
      <c r="A5904" s="1303"/>
      <c r="B5904" s="1322" t="s">
        <v>12955</v>
      </c>
      <c r="C5904" s="1323" t="s">
        <v>12956</v>
      </c>
      <c r="D5904" s="1324">
        <f t="shared" si="582"/>
        <v>33276</v>
      </c>
      <c r="E5904" s="1323">
        <f t="shared" si="578"/>
        <v>2.5226999999999999</v>
      </c>
      <c r="F5904" s="1323">
        <f t="shared" si="583"/>
        <v>3.1636628402028073</v>
      </c>
      <c r="G5904" s="1323">
        <f t="shared" si="579"/>
        <v>1991</v>
      </c>
      <c r="H5904" s="1323">
        <f t="shared" si="580"/>
        <v>2</v>
      </c>
      <c r="I5904" s="1323">
        <f t="shared" si="581"/>
        <v>7</v>
      </c>
      <c r="J5904" s="1323"/>
      <c r="K5904" s="1323"/>
      <c r="L5904" s="1323"/>
      <c r="M5904" s="1323"/>
      <c r="N5904" s="1323"/>
      <c r="O5904" s="1323"/>
      <c r="P5904" s="1323"/>
      <c r="Q5904" s="1323"/>
      <c r="R5904" s="1304"/>
      <c r="S5904" s="1304"/>
      <c r="T5904" s="1304"/>
    </row>
    <row r="5905" spans="1:20">
      <c r="A5905" s="1303"/>
      <c r="B5905" s="1322" t="s">
        <v>12957</v>
      </c>
      <c r="C5905" s="1323" t="s">
        <v>12958</v>
      </c>
      <c r="D5905" s="1324">
        <f t="shared" si="582"/>
        <v>33275</v>
      </c>
      <c r="E5905" s="1323">
        <f t="shared" si="578"/>
        <v>2.5221</v>
      </c>
      <c r="F5905" s="1323">
        <f t="shared" si="583"/>
        <v>3.1630562266798821</v>
      </c>
      <c r="G5905" s="1323">
        <f t="shared" si="579"/>
        <v>1991</v>
      </c>
      <c r="H5905" s="1323">
        <f t="shared" si="580"/>
        <v>2</v>
      </c>
      <c r="I5905" s="1323">
        <f t="shared" si="581"/>
        <v>6</v>
      </c>
      <c r="J5905" s="1323"/>
      <c r="K5905" s="1323"/>
      <c r="L5905" s="1323"/>
      <c r="M5905" s="1323"/>
      <c r="N5905" s="1323"/>
      <c r="O5905" s="1323"/>
      <c r="P5905" s="1323"/>
      <c r="Q5905" s="1323"/>
      <c r="R5905" s="1304"/>
      <c r="S5905" s="1304"/>
      <c r="T5905" s="1304"/>
    </row>
    <row r="5906" spans="1:20">
      <c r="A5906" s="1303"/>
      <c r="B5906" s="1322" t="s">
        <v>12959</v>
      </c>
      <c r="C5906" s="1323" t="s">
        <v>12960</v>
      </c>
      <c r="D5906" s="1324">
        <f t="shared" si="582"/>
        <v>33274</v>
      </c>
      <c r="E5906" s="1323">
        <f t="shared" si="578"/>
        <v>2.5326</v>
      </c>
      <c r="F5906" s="1323">
        <f t="shared" si="583"/>
        <v>3.1624497294714899</v>
      </c>
      <c r="G5906" s="1323">
        <f t="shared" si="579"/>
        <v>1991</v>
      </c>
      <c r="H5906" s="1323">
        <f t="shared" si="580"/>
        <v>2</v>
      </c>
      <c r="I5906" s="1323">
        <f t="shared" si="581"/>
        <v>5</v>
      </c>
      <c r="J5906" s="1323"/>
      <c r="K5906" s="1323"/>
      <c r="L5906" s="1323"/>
      <c r="M5906" s="1323"/>
      <c r="N5906" s="1323"/>
      <c r="O5906" s="1323"/>
      <c r="P5906" s="1323"/>
      <c r="Q5906" s="1323"/>
      <c r="R5906" s="1304"/>
      <c r="S5906" s="1304"/>
      <c r="T5906" s="1304"/>
    </row>
    <row r="5907" spans="1:20">
      <c r="A5907" s="1303"/>
      <c r="B5907" s="1322" t="s">
        <v>12961</v>
      </c>
      <c r="C5907" s="1323" t="s">
        <v>12962</v>
      </c>
      <c r="D5907" s="1324">
        <f t="shared" si="582"/>
        <v>33273</v>
      </c>
      <c r="E5907" s="1323">
        <f t="shared" si="578"/>
        <v>2.5329000000000002</v>
      </c>
      <c r="F5907" s="1323">
        <f t="shared" si="583"/>
        <v>3.1618433485553283</v>
      </c>
      <c r="G5907" s="1323">
        <f t="shared" si="579"/>
        <v>1991</v>
      </c>
      <c r="H5907" s="1323">
        <f t="shared" si="580"/>
        <v>2</v>
      </c>
      <c r="I5907" s="1323">
        <f t="shared" si="581"/>
        <v>4</v>
      </c>
      <c r="J5907" s="1323"/>
      <c r="K5907" s="1323"/>
      <c r="L5907" s="1323"/>
      <c r="M5907" s="1323"/>
      <c r="N5907" s="1323"/>
      <c r="O5907" s="1323"/>
      <c r="P5907" s="1323"/>
      <c r="Q5907" s="1323"/>
      <c r="R5907" s="1304"/>
      <c r="S5907" s="1304"/>
      <c r="T5907" s="1304"/>
    </row>
    <row r="5908" spans="1:20">
      <c r="A5908" s="1303"/>
      <c r="B5908" s="1322" t="s">
        <v>12963</v>
      </c>
      <c r="C5908" s="1323" t="s">
        <v>12945</v>
      </c>
      <c r="D5908" s="1324">
        <f t="shared" si="582"/>
        <v>33270</v>
      </c>
      <c r="E5908" s="1323">
        <f t="shared" si="578"/>
        <v>2.5377000000000001</v>
      </c>
      <c r="F5908" s="1323">
        <f t="shared" si="583"/>
        <v>3.1612370839090991</v>
      </c>
      <c r="G5908" s="1323">
        <f t="shared" si="579"/>
        <v>1991</v>
      </c>
      <c r="H5908" s="1323">
        <f t="shared" si="580"/>
        <v>2</v>
      </c>
      <c r="I5908" s="1323">
        <f t="shared" si="581"/>
        <v>1</v>
      </c>
      <c r="J5908" s="1323"/>
      <c r="K5908" s="1323"/>
      <c r="L5908" s="1323"/>
      <c r="M5908" s="1323"/>
      <c r="N5908" s="1323"/>
      <c r="O5908" s="1323"/>
      <c r="P5908" s="1323"/>
      <c r="Q5908" s="1323"/>
      <c r="R5908" s="1304"/>
      <c r="S5908" s="1304"/>
      <c r="T5908" s="1304"/>
    </row>
    <row r="5909" spans="1:20">
      <c r="A5909" s="1303"/>
      <c r="B5909" s="1322" t="s">
        <v>12964</v>
      </c>
      <c r="C5909" s="1323" t="s">
        <v>12937</v>
      </c>
      <c r="D5909" s="1324">
        <f t="shared" si="582"/>
        <v>33269</v>
      </c>
      <c r="E5909" s="1323">
        <f t="shared" si="578"/>
        <v>2.5457999999999998</v>
      </c>
      <c r="F5909" s="1323">
        <f t="shared" si="583"/>
        <v>3.160630935510508</v>
      </c>
      <c r="G5909" s="1323">
        <f t="shared" si="579"/>
        <v>1991</v>
      </c>
      <c r="H5909" s="1323">
        <f t="shared" si="580"/>
        <v>1</v>
      </c>
      <c r="I5909" s="1323">
        <f t="shared" si="581"/>
        <v>31</v>
      </c>
      <c r="J5909" s="1323"/>
      <c r="K5909" s="1323"/>
      <c r="L5909" s="1323"/>
      <c r="M5909" s="1323"/>
      <c r="N5909" s="1323"/>
      <c r="O5909" s="1323"/>
      <c r="P5909" s="1323"/>
      <c r="Q5909" s="1323"/>
      <c r="R5909" s="1304"/>
      <c r="S5909" s="1304"/>
      <c r="T5909" s="1304"/>
    </row>
    <row r="5910" spans="1:20">
      <c r="A5910" s="1303"/>
      <c r="B5910" s="1322" t="s">
        <v>12965</v>
      </c>
      <c r="C5910" s="1323" t="s">
        <v>12966</v>
      </c>
      <c r="D5910" s="1324">
        <f t="shared" si="582"/>
        <v>33268</v>
      </c>
      <c r="E5910" s="1323">
        <f t="shared" ref="E5910:E5973" si="584">VALUE(C5911)</f>
        <v>2.5497000000000001</v>
      </c>
      <c r="F5910" s="1323">
        <f t="shared" si="583"/>
        <v>3.1600249033372649</v>
      </c>
      <c r="G5910" s="1323">
        <f t="shared" ref="G5910:G5973" si="585">YEAR(B5911)</f>
        <v>1991</v>
      </c>
      <c r="H5910" s="1323">
        <f t="shared" ref="H5910:H5973" si="586">MONTH(B5911)</f>
        <v>1</v>
      </c>
      <c r="I5910" s="1323">
        <f t="shared" ref="I5910:I5973" si="587">DAY(B5911)</f>
        <v>30</v>
      </c>
      <c r="J5910" s="1323"/>
      <c r="K5910" s="1323"/>
      <c r="L5910" s="1323"/>
      <c r="M5910" s="1323"/>
      <c r="N5910" s="1323"/>
      <c r="O5910" s="1323"/>
      <c r="P5910" s="1323"/>
      <c r="Q5910" s="1323"/>
      <c r="R5910" s="1304"/>
      <c r="S5910" s="1304"/>
      <c r="T5910" s="1304"/>
    </row>
    <row r="5911" spans="1:20">
      <c r="A5911" s="1303"/>
      <c r="B5911" s="1322" t="s">
        <v>12967</v>
      </c>
      <c r="C5911" s="1323" t="s">
        <v>12968</v>
      </c>
      <c r="D5911" s="1324">
        <f t="shared" si="582"/>
        <v>33267</v>
      </c>
      <c r="E5911" s="1323">
        <f t="shared" si="584"/>
        <v>2.5419</v>
      </c>
      <c r="F5911" s="1323">
        <f t="shared" si="583"/>
        <v>3.159418987367085</v>
      </c>
      <c r="G5911" s="1323">
        <f t="shared" si="585"/>
        <v>1991</v>
      </c>
      <c r="H5911" s="1323">
        <f t="shared" si="586"/>
        <v>1</v>
      </c>
      <c r="I5911" s="1323">
        <f t="shared" si="587"/>
        <v>29</v>
      </c>
      <c r="J5911" s="1323"/>
      <c r="K5911" s="1323"/>
      <c r="L5911" s="1323"/>
      <c r="M5911" s="1323"/>
      <c r="N5911" s="1323"/>
      <c r="O5911" s="1323"/>
      <c r="P5911" s="1323"/>
      <c r="Q5911" s="1323"/>
      <c r="R5911" s="1304"/>
      <c r="S5911" s="1304"/>
      <c r="T5911" s="1304"/>
    </row>
    <row r="5912" spans="1:20">
      <c r="A5912" s="1303"/>
      <c r="B5912" s="1322" t="s">
        <v>12969</v>
      </c>
      <c r="C5912" s="1323" t="s">
        <v>12970</v>
      </c>
      <c r="D5912" s="1324">
        <f t="shared" si="582"/>
        <v>33266</v>
      </c>
      <c r="E5912" s="1323">
        <f t="shared" si="584"/>
        <v>2.5484</v>
      </c>
      <c r="F5912" s="1323">
        <f t="shared" si="583"/>
        <v>3.1588131875776866</v>
      </c>
      <c r="G5912" s="1323">
        <f t="shared" si="585"/>
        <v>1991</v>
      </c>
      <c r="H5912" s="1323">
        <f t="shared" si="586"/>
        <v>1</v>
      </c>
      <c r="I5912" s="1323">
        <f t="shared" si="587"/>
        <v>28</v>
      </c>
      <c r="J5912" s="1323"/>
      <c r="K5912" s="1323"/>
      <c r="L5912" s="1323"/>
      <c r="M5912" s="1323"/>
      <c r="N5912" s="1323"/>
      <c r="O5912" s="1323"/>
      <c r="P5912" s="1323"/>
      <c r="Q5912" s="1323"/>
      <c r="R5912" s="1304"/>
      <c r="S5912" s="1304"/>
      <c r="T5912" s="1304"/>
    </row>
    <row r="5913" spans="1:20">
      <c r="A5913" s="1303"/>
      <c r="B5913" s="1322" t="s">
        <v>12971</v>
      </c>
      <c r="C5913" s="1323" t="s">
        <v>12972</v>
      </c>
      <c r="D5913" s="1324">
        <f t="shared" si="582"/>
        <v>33263</v>
      </c>
      <c r="E5913" s="1323">
        <f t="shared" si="584"/>
        <v>2.5493999999999999</v>
      </c>
      <c r="F5913" s="1323">
        <f t="shared" si="583"/>
        <v>3.1582075039467927</v>
      </c>
      <c r="G5913" s="1323">
        <f t="shared" si="585"/>
        <v>1991</v>
      </c>
      <c r="H5913" s="1323">
        <f t="shared" si="586"/>
        <v>1</v>
      </c>
      <c r="I5913" s="1323">
        <f t="shared" si="587"/>
        <v>25</v>
      </c>
      <c r="J5913" s="1323"/>
      <c r="K5913" s="1323"/>
      <c r="L5913" s="1323"/>
      <c r="M5913" s="1323"/>
      <c r="N5913" s="1323"/>
      <c r="O5913" s="1323"/>
      <c r="P5913" s="1323"/>
      <c r="Q5913" s="1323"/>
      <c r="R5913" s="1304"/>
      <c r="S5913" s="1304"/>
      <c r="T5913" s="1304"/>
    </row>
    <row r="5914" spans="1:20">
      <c r="A5914" s="1303"/>
      <c r="B5914" s="1322" t="s">
        <v>12973</v>
      </c>
      <c r="C5914" s="1323" t="s">
        <v>12974</v>
      </c>
      <c r="D5914" s="1324">
        <f t="shared" si="582"/>
        <v>33262</v>
      </c>
      <c r="E5914" s="1323">
        <f t="shared" si="584"/>
        <v>2.5396999999999998</v>
      </c>
      <c r="F5914" s="1323">
        <f t="shared" si="583"/>
        <v>3.1576019364521306</v>
      </c>
      <c r="G5914" s="1323">
        <f t="shared" si="585"/>
        <v>1991</v>
      </c>
      <c r="H5914" s="1323">
        <f t="shared" si="586"/>
        <v>1</v>
      </c>
      <c r="I5914" s="1323">
        <f t="shared" si="587"/>
        <v>24</v>
      </c>
      <c r="J5914" s="1323"/>
      <c r="K5914" s="1323"/>
      <c r="L5914" s="1323"/>
      <c r="M5914" s="1323"/>
      <c r="N5914" s="1323"/>
      <c r="O5914" s="1323"/>
      <c r="P5914" s="1323"/>
      <c r="Q5914" s="1323"/>
      <c r="R5914" s="1304"/>
      <c r="S5914" s="1304"/>
      <c r="T5914" s="1304"/>
    </row>
    <row r="5915" spans="1:20">
      <c r="A5915" s="1303"/>
      <c r="B5915" s="1322" t="s">
        <v>12975</v>
      </c>
      <c r="C5915" s="1323" t="s">
        <v>12976</v>
      </c>
      <c r="D5915" s="1324">
        <f t="shared" si="582"/>
        <v>33261</v>
      </c>
      <c r="E5915" s="1323">
        <f t="shared" si="584"/>
        <v>2.5548999999999999</v>
      </c>
      <c r="F5915" s="1323">
        <f t="shared" si="583"/>
        <v>3.1569964850714318</v>
      </c>
      <c r="G5915" s="1323">
        <f t="shared" si="585"/>
        <v>1991</v>
      </c>
      <c r="H5915" s="1323">
        <f t="shared" si="586"/>
        <v>1</v>
      </c>
      <c r="I5915" s="1323">
        <f t="shared" si="587"/>
        <v>23</v>
      </c>
      <c r="J5915" s="1323"/>
      <c r="K5915" s="1323"/>
      <c r="L5915" s="1323"/>
      <c r="M5915" s="1323"/>
      <c r="N5915" s="1323"/>
      <c r="O5915" s="1323"/>
      <c r="P5915" s="1323"/>
      <c r="Q5915" s="1323"/>
      <c r="R5915" s="1304"/>
      <c r="S5915" s="1304"/>
      <c r="T5915" s="1304"/>
    </row>
    <row r="5916" spans="1:20">
      <c r="A5916" s="1303"/>
      <c r="B5916" s="1322" t="s">
        <v>12977</v>
      </c>
      <c r="C5916" s="1323" t="s">
        <v>12978</v>
      </c>
      <c r="D5916" s="1324">
        <f t="shared" si="582"/>
        <v>33260</v>
      </c>
      <c r="E5916" s="1323">
        <f t="shared" si="584"/>
        <v>2.54</v>
      </c>
      <c r="F5916" s="1323">
        <f t="shared" si="583"/>
        <v>3.1563911497824324</v>
      </c>
      <c r="G5916" s="1323">
        <f t="shared" si="585"/>
        <v>1991</v>
      </c>
      <c r="H5916" s="1323">
        <f t="shared" si="586"/>
        <v>1</v>
      </c>
      <c r="I5916" s="1323">
        <f t="shared" si="587"/>
        <v>22</v>
      </c>
      <c r="J5916" s="1323"/>
      <c r="K5916" s="1323"/>
      <c r="L5916" s="1323"/>
      <c r="M5916" s="1323"/>
      <c r="N5916" s="1323"/>
      <c r="O5916" s="1323"/>
      <c r="P5916" s="1323"/>
      <c r="Q5916" s="1323"/>
      <c r="R5916" s="1304"/>
      <c r="S5916" s="1304"/>
      <c r="T5916" s="1304"/>
    </row>
    <row r="5917" spans="1:20">
      <c r="A5917" s="1303"/>
      <c r="B5917" s="1322" t="s">
        <v>12979</v>
      </c>
      <c r="C5917" s="1323" t="s">
        <v>12980</v>
      </c>
      <c r="D5917" s="1324">
        <f t="shared" si="582"/>
        <v>33259</v>
      </c>
      <c r="E5917" s="1323">
        <f t="shared" si="584"/>
        <v>2.5556000000000001</v>
      </c>
      <c r="F5917" s="1323">
        <f t="shared" si="583"/>
        <v>3.1557859305628724</v>
      </c>
      <c r="G5917" s="1323">
        <f t="shared" si="585"/>
        <v>1991</v>
      </c>
      <c r="H5917" s="1323">
        <f t="shared" si="586"/>
        <v>1</v>
      </c>
      <c r="I5917" s="1323">
        <f t="shared" si="587"/>
        <v>21</v>
      </c>
      <c r="J5917" s="1323"/>
      <c r="K5917" s="1323"/>
      <c r="L5917" s="1323"/>
      <c r="M5917" s="1323"/>
      <c r="N5917" s="1323"/>
      <c r="O5917" s="1323"/>
      <c r="P5917" s="1323"/>
      <c r="Q5917" s="1323"/>
      <c r="R5917" s="1304"/>
      <c r="S5917" s="1304"/>
      <c r="T5917" s="1304"/>
    </row>
    <row r="5918" spans="1:20">
      <c r="A5918" s="1303"/>
      <c r="B5918" s="1322" t="s">
        <v>12981</v>
      </c>
      <c r="C5918" s="1323" t="s">
        <v>12982</v>
      </c>
      <c r="D5918" s="1324">
        <f t="shared" si="582"/>
        <v>33256</v>
      </c>
      <c r="E5918" s="1323">
        <f t="shared" si="584"/>
        <v>2.5617999999999999</v>
      </c>
      <c r="F5918" s="1323">
        <f t="shared" si="583"/>
        <v>3.1551808273904962</v>
      </c>
      <c r="G5918" s="1323">
        <f t="shared" si="585"/>
        <v>1991</v>
      </c>
      <c r="H5918" s="1323">
        <f t="shared" si="586"/>
        <v>1</v>
      </c>
      <c r="I5918" s="1323">
        <f t="shared" si="587"/>
        <v>18</v>
      </c>
      <c r="J5918" s="1323"/>
      <c r="K5918" s="1323"/>
      <c r="L5918" s="1323"/>
      <c r="M5918" s="1323"/>
      <c r="N5918" s="1323"/>
      <c r="O5918" s="1323"/>
      <c r="P5918" s="1323"/>
      <c r="Q5918" s="1323"/>
      <c r="R5918" s="1304"/>
      <c r="S5918" s="1304"/>
      <c r="T5918" s="1304"/>
    </row>
    <row r="5919" spans="1:20">
      <c r="A5919" s="1303"/>
      <c r="B5919" s="1322" t="s">
        <v>12983</v>
      </c>
      <c r="C5919" s="1323" t="s">
        <v>12984</v>
      </c>
      <c r="D5919" s="1324">
        <f t="shared" si="582"/>
        <v>33255</v>
      </c>
      <c r="E5919" s="1323">
        <f t="shared" si="584"/>
        <v>2.5653999999999999</v>
      </c>
      <c r="F5919" s="1323">
        <f t="shared" si="583"/>
        <v>3.1545758402430524</v>
      </c>
      <c r="G5919" s="1323">
        <f t="shared" si="585"/>
        <v>1991</v>
      </c>
      <c r="H5919" s="1323">
        <f t="shared" si="586"/>
        <v>1</v>
      </c>
      <c r="I5919" s="1323">
        <f t="shared" si="587"/>
        <v>17</v>
      </c>
      <c r="J5919" s="1323"/>
      <c r="K5919" s="1323"/>
      <c r="L5919" s="1323"/>
      <c r="M5919" s="1323"/>
      <c r="N5919" s="1323"/>
      <c r="O5919" s="1323"/>
      <c r="P5919" s="1323"/>
      <c r="Q5919" s="1323"/>
      <c r="R5919" s="1304"/>
      <c r="S5919" s="1304"/>
      <c r="T5919" s="1304"/>
    </row>
    <row r="5920" spans="1:20">
      <c r="A5920" s="1303"/>
      <c r="B5920" s="1322" t="s">
        <v>12985</v>
      </c>
      <c r="C5920" s="1323" t="s">
        <v>12986</v>
      </c>
      <c r="D5920" s="1324">
        <f t="shared" si="582"/>
        <v>33254</v>
      </c>
      <c r="E5920" s="1323">
        <f t="shared" si="584"/>
        <v>2.5926999999999998</v>
      </c>
      <c r="F5920" s="1323">
        <f t="shared" si="583"/>
        <v>3.1539709690982938</v>
      </c>
      <c r="G5920" s="1323">
        <f t="shared" si="585"/>
        <v>1991</v>
      </c>
      <c r="H5920" s="1323">
        <f t="shared" si="586"/>
        <v>1</v>
      </c>
      <c r="I5920" s="1323">
        <f t="shared" si="587"/>
        <v>16</v>
      </c>
      <c r="J5920" s="1323"/>
      <c r="K5920" s="1323"/>
      <c r="L5920" s="1323"/>
      <c r="M5920" s="1323"/>
      <c r="N5920" s="1323"/>
      <c r="O5920" s="1323"/>
      <c r="P5920" s="1323"/>
      <c r="Q5920" s="1323"/>
      <c r="R5920" s="1304"/>
      <c r="S5920" s="1304"/>
      <c r="T5920" s="1304"/>
    </row>
    <row r="5921" spans="1:20">
      <c r="A5921" s="1303"/>
      <c r="B5921" s="1322" t="s">
        <v>12987</v>
      </c>
      <c r="C5921" s="1323" t="s">
        <v>12988</v>
      </c>
      <c r="D5921" s="1324">
        <f t="shared" si="582"/>
        <v>33253</v>
      </c>
      <c r="E5921" s="1323">
        <f t="shared" si="584"/>
        <v>2.5939999999999999</v>
      </c>
      <c r="F5921" s="1323">
        <f t="shared" si="583"/>
        <v>3.1533662139339778</v>
      </c>
      <c r="G5921" s="1323">
        <f t="shared" si="585"/>
        <v>1991</v>
      </c>
      <c r="H5921" s="1323">
        <f t="shared" si="586"/>
        <v>1</v>
      </c>
      <c r="I5921" s="1323">
        <f t="shared" si="587"/>
        <v>15</v>
      </c>
      <c r="J5921" s="1323"/>
      <c r="K5921" s="1323"/>
      <c r="L5921" s="1323"/>
      <c r="M5921" s="1323"/>
      <c r="N5921" s="1323"/>
      <c r="O5921" s="1323"/>
      <c r="P5921" s="1323"/>
      <c r="Q5921" s="1323"/>
      <c r="R5921" s="1304"/>
      <c r="S5921" s="1304"/>
      <c r="T5921" s="1304"/>
    </row>
    <row r="5922" spans="1:20">
      <c r="A5922" s="1303"/>
      <c r="B5922" s="1322" t="s">
        <v>12989</v>
      </c>
      <c r="C5922" s="1323" t="s">
        <v>12990</v>
      </c>
      <c r="D5922" s="1324">
        <f t="shared" si="582"/>
        <v>33252</v>
      </c>
      <c r="E5922" s="1323">
        <f t="shared" si="584"/>
        <v>2.6069</v>
      </c>
      <c r="F5922" s="1323">
        <f t="shared" si="583"/>
        <v>3.1527615747278657</v>
      </c>
      <c r="G5922" s="1323">
        <f t="shared" si="585"/>
        <v>1991</v>
      </c>
      <c r="H5922" s="1323">
        <f t="shared" si="586"/>
        <v>1</v>
      </c>
      <c r="I5922" s="1323">
        <f t="shared" si="587"/>
        <v>14</v>
      </c>
      <c r="J5922" s="1323"/>
      <c r="K5922" s="1323"/>
      <c r="L5922" s="1323"/>
      <c r="M5922" s="1323"/>
      <c r="N5922" s="1323"/>
      <c r="O5922" s="1323"/>
      <c r="P5922" s="1323"/>
      <c r="Q5922" s="1323"/>
      <c r="R5922" s="1304"/>
      <c r="S5922" s="1304"/>
      <c r="T5922" s="1304"/>
    </row>
    <row r="5923" spans="1:20">
      <c r="A5923" s="1303"/>
      <c r="B5923" s="1322" t="s">
        <v>12991</v>
      </c>
      <c r="C5923" s="1323" t="s">
        <v>12992</v>
      </c>
      <c r="D5923" s="1324">
        <f t="shared" si="582"/>
        <v>33249</v>
      </c>
      <c r="E5923" s="1323">
        <f t="shared" si="584"/>
        <v>2.5815999999999999</v>
      </c>
      <c r="F5923" s="1323">
        <f t="shared" si="583"/>
        <v>3.1521570514577228</v>
      </c>
      <c r="G5923" s="1323">
        <f t="shared" si="585"/>
        <v>1991</v>
      </c>
      <c r="H5923" s="1323">
        <f t="shared" si="586"/>
        <v>1</v>
      </c>
      <c r="I5923" s="1323">
        <f t="shared" si="587"/>
        <v>11</v>
      </c>
      <c r="J5923" s="1323"/>
      <c r="K5923" s="1323"/>
      <c r="L5923" s="1323"/>
      <c r="M5923" s="1323"/>
      <c r="N5923" s="1323"/>
      <c r="O5923" s="1323"/>
      <c r="P5923" s="1323"/>
      <c r="Q5923" s="1323"/>
      <c r="R5923" s="1304"/>
      <c r="S5923" s="1304"/>
      <c r="T5923" s="1304"/>
    </row>
    <row r="5924" spans="1:20">
      <c r="A5924" s="1303"/>
      <c r="B5924" s="1322" t="s">
        <v>12993</v>
      </c>
      <c r="C5924" s="1323" t="s">
        <v>12994</v>
      </c>
      <c r="D5924" s="1324">
        <f t="shared" si="582"/>
        <v>33248</v>
      </c>
      <c r="E5924" s="1323">
        <f t="shared" si="584"/>
        <v>2.5773000000000001</v>
      </c>
      <c r="F5924" s="1323">
        <f t="shared" si="583"/>
        <v>3.15155264410132</v>
      </c>
      <c r="G5924" s="1323">
        <f t="shared" si="585"/>
        <v>1991</v>
      </c>
      <c r="H5924" s="1323">
        <f t="shared" si="586"/>
        <v>1</v>
      </c>
      <c r="I5924" s="1323">
        <f t="shared" si="587"/>
        <v>10</v>
      </c>
      <c r="J5924" s="1323"/>
      <c r="K5924" s="1323"/>
      <c r="L5924" s="1323"/>
      <c r="M5924" s="1323"/>
      <c r="N5924" s="1323"/>
      <c r="O5924" s="1323"/>
      <c r="P5924" s="1323"/>
      <c r="Q5924" s="1323"/>
      <c r="R5924" s="1304"/>
      <c r="S5924" s="1304"/>
      <c r="T5924" s="1304"/>
    </row>
    <row r="5925" spans="1:20">
      <c r="A5925" s="1303"/>
      <c r="B5925" s="1322" t="s">
        <v>12995</v>
      </c>
      <c r="C5925" s="1323" t="s">
        <v>12996</v>
      </c>
      <c r="D5925" s="1324">
        <f t="shared" si="582"/>
        <v>33247</v>
      </c>
      <c r="E5925" s="1323">
        <f t="shared" si="584"/>
        <v>2.5893000000000002</v>
      </c>
      <c r="F5925" s="1323">
        <f t="shared" si="583"/>
        <v>3.1509483526364308</v>
      </c>
      <c r="G5925" s="1323">
        <f t="shared" si="585"/>
        <v>1991</v>
      </c>
      <c r="H5925" s="1323">
        <f t="shared" si="586"/>
        <v>1</v>
      </c>
      <c r="I5925" s="1323">
        <f t="shared" si="587"/>
        <v>9</v>
      </c>
      <c r="J5925" s="1323"/>
      <c r="K5925" s="1323"/>
      <c r="L5925" s="1323"/>
      <c r="M5925" s="1323"/>
      <c r="N5925" s="1323"/>
      <c r="O5925" s="1323"/>
      <c r="P5925" s="1323"/>
      <c r="Q5925" s="1323"/>
      <c r="R5925" s="1304"/>
      <c r="S5925" s="1304"/>
      <c r="T5925" s="1304"/>
    </row>
    <row r="5926" spans="1:20">
      <c r="A5926" s="1303"/>
      <c r="B5926" s="1322" t="s">
        <v>12997</v>
      </c>
      <c r="C5926" s="1323" t="s">
        <v>12998</v>
      </c>
      <c r="D5926" s="1324">
        <f t="shared" si="582"/>
        <v>33246</v>
      </c>
      <c r="E5926" s="1323">
        <f t="shared" si="584"/>
        <v>2.5880000000000001</v>
      </c>
      <c r="F5926" s="1323">
        <f t="shared" si="583"/>
        <v>3.150344177040834</v>
      </c>
      <c r="G5926" s="1323">
        <f t="shared" si="585"/>
        <v>1991</v>
      </c>
      <c r="H5926" s="1323">
        <f t="shared" si="586"/>
        <v>1</v>
      </c>
      <c r="I5926" s="1323">
        <f t="shared" si="587"/>
        <v>8</v>
      </c>
      <c r="J5926" s="1323"/>
      <c r="K5926" s="1323"/>
      <c r="L5926" s="1323"/>
      <c r="M5926" s="1323"/>
      <c r="N5926" s="1323"/>
      <c r="O5926" s="1323"/>
      <c r="P5926" s="1323"/>
      <c r="Q5926" s="1323"/>
      <c r="R5926" s="1304"/>
      <c r="S5926" s="1304"/>
      <c r="T5926" s="1304"/>
    </row>
    <row r="5927" spans="1:20">
      <c r="A5927" s="1303"/>
      <c r="B5927" s="1322" t="s">
        <v>12999</v>
      </c>
      <c r="C5927" s="1323" t="s">
        <v>12920</v>
      </c>
      <c r="D5927" s="1324">
        <f t="shared" si="582"/>
        <v>33245</v>
      </c>
      <c r="E5927" s="1323">
        <f t="shared" si="584"/>
        <v>2.5727000000000002</v>
      </c>
      <c r="F5927" s="1323">
        <f t="shared" si="583"/>
        <v>3.1497401172923123</v>
      </c>
      <c r="G5927" s="1323">
        <f t="shared" si="585"/>
        <v>1991</v>
      </c>
      <c r="H5927" s="1323">
        <f t="shared" si="586"/>
        <v>1</v>
      </c>
      <c r="I5927" s="1323">
        <f t="shared" si="587"/>
        <v>7</v>
      </c>
      <c r="J5927" s="1323"/>
      <c r="K5927" s="1323"/>
      <c r="L5927" s="1323"/>
      <c r="M5927" s="1323"/>
      <c r="N5927" s="1323"/>
      <c r="O5927" s="1323"/>
      <c r="P5927" s="1323"/>
      <c r="Q5927" s="1323"/>
      <c r="R5927" s="1304"/>
      <c r="S5927" s="1304"/>
      <c r="T5927" s="1304"/>
    </row>
    <row r="5928" spans="1:20">
      <c r="A5928" s="1303"/>
      <c r="B5928" s="1322" t="s">
        <v>13000</v>
      </c>
      <c r="C5928" s="1323" t="s">
        <v>13001</v>
      </c>
      <c r="D5928" s="1324">
        <f t="shared" si="582"/>
        <v>33242</v>
      </c>
      <c r="E5928" s="1323">
        <f t="shared" si="584"/>
        <v>2.5457999999999998</v>
      </c>
      <c r="F5928" s="1323">
        <f t="shared" si="583"/>
        <v>3.1491361733686523</v>
      </c>
      <c r="G5928" s="1323">
        <f t="shared" si="585"/>
        <v>1991</v>
      </c>
      <c r="H5928" s="1323">
        <f t="shared" si="586"/>
        <v>1</v>
      </c>
      <c r="I5928" s="1323">
        <f t="shared" si="587"/>
        <v>4</v>
      </c>
      <c r="J5928" s="1323"/>
      <c r="K5928" s="1323"/>
      <c r="L5928" s="1323"/>
      <c r="M5928" s="1323"/>
      <c r="N5928" s="1323"/>
      <c r="O5928" s="1323"/>
      <c r="P5928" s="1323"/>
      <c r="Q5928" s="1323"/>
      <c r="R5928" s="1304"/>
      <c r="S5928" s="1304"/>
      <c r="T5928" s="1304"/>
    </row>
    <row r="5929" spans="1:20">
      <c r="A5929" s="1303"/>
      <c r="B5929" s="1322" t="s">
        <v>13002</v>
      </c>
      <c r="C5929" s="1323" t="s">
        <v>12966</v>
      </c>
      <c r="D5929" s="1324">
        <f t="shared" si="582"/>
        <v>33241</v>
      </c>
      <c r="E5929" s="1323">
        <f t="shared" si="584"/>
        <v>2.5387</v>
      </c>
      <c r="F5929" s="1323">
        <f t="shared" si="583"/>
        <v>3.1485323452476459</v>
      </c>
      <c r="G5929" s="1323">
        <f t="shared" si="585"/>
        <v>1991</v>
      </c>
      <c r="H5929" s="1323">
        <f t="shared" si="586"/>
        <v>1</v>
      </c>
      <c r="I5929" s="1323">
        <f t="shared" si="587"/>
        <v>3</v>
      </c>
      <c r="J5929" s="1323"/>
      <c r="K5929" s="1323"/>
      <c r="L5929" s="1323"/>
      <c r="M5929" s="1323"/>
      <c r="N5929" s="1323"/>
      <c r="O5929" s="1323"/>
      <c r="P5929" s="1323"/>
      <c r="Q5929" s="1323"/>
      <c r="R5929" s="1304"/>
      <c r="S5929" s="1304"/>
      <c r="T5929" s="1304"/>
    </row>
    <row r="5930" spans="1:20">
      <c r="A5930" s="1303"/>
      <c r="B5930" s="1322" t="s">
        <v>13003</v>
      </c>
      <c r="C5930" s="1323" t="s">
        <v>13004</v>
      </c>
      <c r="D5930" s="1324">
        <f t="shared" si="582"/>
        <v>33240</v>
      </c>
      <c r="E5930" s="1323">
        <f t="shared" si="584"/>
        <v>2.5526</v>
      </c>
      <c r="F5930" s="1323">
        <f t="shared" si="583"/>
        <v>3.1479286329070884</v>
      </c>
      <c r="G5930" s="1323">
        <f t="shared" si="585"/>
        <v>1991</v>
      </c>
      <c r="H5930" s="1323">
        <f t="shared" si="586"/>
        <v>1</v>
      </c>
      <c r="I5930" s="1323">
        <f t="shared" si="587"/>
        <v>2</v>
      </c>
      <c r="J5930" s="1323"/>
      <c r="K5930" s="1323"/>
      <c r="L5930" s="1323"/>
      <c r="M5930" s="1323"/>
      <c r="N5930" s="1323"/>
      <c r="O5930" s="1323"/>
      <c r="P5930" s="1323"/>
      <c r="Q5930" s="1323"/>
      <c r="R5930" s="1304"/>
      <c r="S5930" s="1304"/>
      <c r="T5930" s="1304"/>
    </row>
    <row r="5931" spans="1:20">
      <c r="A5931" s="1303"/>
      <c r="B5931" s="1322" t="s">
        <v>13005</v>
      </c>
      <c r="C5931" s="1323" t="s">
        <v>13006</v>
      </c>
      <c r="D5931" s="1324">
        <f t="shared" si="582"/>
        <v>33238</v>
      </c>
      <c r="E5931" s="1323">
        <f t="shared" si="584"/>
        <v>2.5634000000000001</v>
      </c>
      <c r="F5931" s="1323">
        <f t="shared" si="583"/>
        <v>3.1473250363247796</v>
      </c>
      <c r="G5931" s="1323">
        <f t="shared" si="585"/>
        <v>1990</v>
      </c>
      <c r="H5931" s="1323">
        <f t="shared" si="586"/>
        <v>12</v>
      </c>
      <c r="I5931" s="1323">
        <f t="shared" si="587"/>
        <v>31</v>
      </c>
      <c r="J5931" s="1323"/>
      <c r="K5931" s="1323"/>
      <c r="L5931" s="1323"/>
      <c r="M5931" s="1323"/>
      <c r="N5931" s="1323"/>
      <c r="O5931" s="1323"/>
      <c r="P5931" s="1323"/>
      <c r="Q5931" s="1323"/>
      <c r="R5931" s="1304"/>
      <c r="S5931" s="1304"/>
      <c r="T5931" s="1304"/>
    </row>
    <row r="5932" spans="1:20">
      <c r="A5932" s="1303"/>
      <c r="B5932" s="1322" t="s">
        <v>13007</v>
      </c>
      <c r="C5932" s="1323" t="s">
        <v>13008</v>
      </c>
      <c r="D5932" s="1324">
        <f t="shared" si="582"/>
        <v>33235</v>
      </c>
      <c r="E5932" s="1323">
        <f t="shared" si="584"/>
        <v>2.5687000000000002</v>
      </c>
      <c r="F5932" s="1323">
        <f t="shared" si="583"/>
        <v>3.1467215554785235</v>
      </c>
      <c r="G5932" s="1323">
        <f t="shared" si="585"/>
        <v>1990</v>
      </c>
      <c r="H5932" s="1323">
        <f t="shared" si="586"/>
        <v>12</v>
      </c>
      <c r="I5932" s="1323">
        <f t="shared" si="587"/>
        <v>28</v>
      </c>
      <c r="J5932" s="1323"/>
      <c r="K5932" s="1323"/>
      <c r="L5932" s="1323"/>
      <c r="M5932" s="1323"/>
      <c r="N5932" s="1323"/>
      <c r="O5932" s="1323"/>
      <c r="P5932" s="1323"/>
      <c r="Q5932" s="1323"/>
      <c r="R5932" s="1304"/>
      <c r="S5932" s="1304"/>
      <c r="T5932" s="1304"/>
    </row>
    <row r="5933" spans="1:20">
      <c r="A5933" s="1303"/>
      <c r="B5933" s="1322" t="s">
        <v>13009</v>
      </c>
      <c r="C5933" s="1323" t="s">
        <v>13010</v>
      </c>
      <c r="D5933" s="1324">
        <f t="shared" si="582"/>
        <v>33234</v>
      </c>
      <c r="E5933" s="1323">
        <f t="shared" si="584"/>
        <v>2.5815999999999999</v>
      </c>
      <c r="F5933" s="1323">
        <f t="shared" si="583"/>
        <v>3.1461181903461282</v>
      </c>
      <c r="G5933" s="1323">
        <f t="shared" si="585"/>
        <v>1990</v>
      </c>
      <c r="H5933" s="1323">
        <f t="shared" si="586"/>
        <v>12</v>
      </c>
      <c r="I5933" s="1323">
        <f t="shared" si="587"/>
        <v>27</v>
      </c>
      <c r="J5933" s="1323"/>
      <c r="K5933" s="1323"/>
      <c r="L5933" s="1323"/>
      <c r="M5933" s="1323"/>
      <c r="N5933" s="1323"/>
      <c r="O5933" s="1323"/>
      <c r="P5933" s="1323"/>
      <c r="Q5933" s="1323"/>
      <c r="R5933" s="1304"/>
      <c r="S5933" s="1304"/>
      <c r="T5933" s="1304"/>
    </row>
    <row r="5934" spans="1:20">
      <c r="A5934" s="1303"/>
      <c r="B5934" s="1322" t="s">
        <v>13011</v>
      </c>
      <c r="C5934" s="1323" t="s">
        <v>12994</v>
      </c>
      <c r="D5934" s="1324">
        <f t="shared" si="582"/>
        <v>33231</v>
      </c>
      <c r="E5934" s="1323">
        <f t="shared" si="584"/>
        <v>2.5792999999999999</v>
      </c>
      <c r="F5934" s="1323">
        <f t="shared" si="583"/>
        <v>3.1455149409054064</v>
      </c>
      <c r="G5934" s="1323">
        <f t="shared" si="585"/>
        <v>1990</v>
      </c>
      <c r="H5934" s="1323">
        <f t="shared" si="586"/>
        <v>12</v>
      </c>
      <c r="I5934" s="1323">
        <f t="shared" si="587"/>
        <v>24</v>
      </c>
      <c r="J5934" s="1323"/>
      <c r="K5934" s="1323"/>
      <c r="L5934" s="1323"/>
      <c r="M5934" s="1323"/>
      <c r="N5934" s="1323"/>
      <c r="O5934" s="1323"/>
      <c r="P5934" s="1323"/>
      <c r="Q5934" s="1323"/>
      <c r="R5934" s="1304"/>
      <c r="S5934" s="1304"/>
      <c r="T5934" s="1304"/>
    </row>
    <row r="5935" spans="1:20">
      <c r="A5935" s="1303"/>
      <c r="B5935" s="1322" t="s">
        <v>13012</v>
      </c>
      <c r="C5935" s="1323" t="s">
        <v>12927</v>
      </c>
      <c r="D5935" s="1324">
        <f t="shared" si="582"/>
        <v>33228</v>
      </c>
      <c r="E5935" s="1323">
        <f t="shared" si="584"/>
        <v>2.5552999999999999</v>
      </c>
      <c r="F5935" s="1323">
        <f t="shared" si="583"/>
        <v>3.1449118071341751</v>
      </c>
      <c r="G5935" s="1323">
        <f t="shared" si="585"/>
        <v>1990</v>
      </c>
      <c r="H5935" s="1323">
        <f t="shared" si="586"/>
        <v>12</v>
      </c>
      <c r="I5935" s="1323">
        <f t="shared" si="587"/>
        <v>21</v>
      </c>
      <c r="J5935" s="1323"/>
      <c r="K5935" s="1323"/>
      <c r="L5935" s="1323"/>
      <c r="M5935" s="1323"/>
      <c r="N5935" s="1323"/>
      <c r="O5935" s="1323"/>
      <c r="P5935" s="1323"/>
      <c r="Q5935" s="1323"/>
      <c r="R5935" s="1304"/>
      <c r="S5935" s="1304"/>
      <c r="T5935" s="1304"/>
    </row>
    <row r="5936" spans="1:20">
      <c r="A5936" s="1303"/>
      <c r="B5936" s="1322" t="s">
        <v>13013</v>
      </c>
      <c r="C5936" s="1323" t="s">
        <v>13014</v>
      </c>
      <c r="D5936" s="1324">
        <f t="shared" si="582"/>
        <v>33227</v>
      </c>
      <c r="E5936" s="1323">
        <f t="shared" si="584"/>
        <v>2.5291000000000001</v>
      </c>
      <c r="F5936" s="1323">
        <f t="shared" si="583"/>
        <v>3.144308789010255</v>
      </c>
      <c r="G5936" s="1323">
        <f t="shared" si="585"/>
        <v>1990</v>
      </c>
      <c r="H5936" s="1323">
        <f t="shared" si="586"/>
        <v>12</v>
      </c>
      <c r="I5936" s="1323">
        <f t="shared" si="587"/>
        <v>20</v>
      </c>
      <c r="J5936" s="1323"/>
      <c r="K5936" s="1323"/>
      <c r="L5936" s="1323"/>
      <c r="M5936" s="1323"/>
      <c r="N5936" s="1323"/>
      <c r="O5936" s="1323"/>
      <c r="P5936" s="1323"/>
      <c r="Q5936" s="1323"/>
      <c r="R5936" s="1304"/>
      <c r="S5936" s="1304"/>
      <c r="T5936" s="1304"/>
    </row>
    <row r="5937" spans="1:20">
      <c r="A5937" s="1303"/>
      <c r="B5937" s="1322" t="s">
        <v>13015</v>
      </c>
      <c r="C5937" s="1323" t="s">
        <v>13016</v>
      </c>
      <c r="D5937" s="1324">
        <f t="shared" si="582"/>
        <v>33226</v>
      </c>
      <c r="E5937" s="1323">
        <f t="shared" si="584"/>
        <v>2.5188999999999999</v>
      </c>
      <c r="F5937" s="1323">
        <f t="shared" si="583"/>
        <v>3.143705886511472</v>
      </c>
      <c r="G5937" s="1323">
        <f t="shared" si="585"/>
        <v>1990</v>
      </c>
      <c r="H5937" s="1323">
        <f t="shared" si="586"/>
        <v>12</v>
      </c>
      <c r="I5937" s="1323">
        <f t="shared" si="587"/>
        <v>19</v>
      </c>
      <c r="J5937" s="1323"/>
      <c r="K5937" s="1323"/>
      <c r="L5937" s="1323"/>
      <c r="M5937" s="1323"/>
      <c r="N5937" s="1323"/>
      <c r="O5937" s="1323"/>
      <c r="P5937" s="1323"/>
      <c r="Q5937" s="1323"/>
      <c r="R5937" s="1304"/>
      <c r="S5937" s="1304"/>
      <c r="T5937" s="1304"/>
    </row>
    <row r="5938" spans="1:20">
      <c r="A5938" s="1303"/>
      <c r="B5938" s="1322" t="s">
        <v>13017</v>
      </c>
      <c r="C5938" s="1323" t="s">
        <v>13018</v>
      </c>
      <c r="D5938" s="1324">
        <f t="shared" si="582"/>
        <v>33225</v>
      </c>
      <c r="E5938" s="1323">
        <f t="shared" si="584"/>
        <v>2.5253000000000001</v>
      </c>
      <c r="F5938" s="1323">
        <f t="shared" si="583"/>
        <v>3.1431030996156553</v>
      </c>
      <c r="G5938" s="1323">
        <f t="shared" si="585"/>
        <v>1990</v>
      </c>
      <c r="H5938" s="1323">
        <f t="shared" si="586"/>
        <v>12</v>
      </c>
      <c r="I5938" s="1323">
        <f t="shared" si="587"/>
        <v>18</v>
      </c>
      <c r="J5938" s="1323"/>
      <c r="K5938" s="1323"/>
      <c r="L5938" s="1323"/>
      <c r="M5938" s="1323"/>
      <c r="N5938" s="1323"/>
      <c r="O5938" s="1323"/>
      <c r="P5938" s="1323"/>
      <c r="Q5938" s="1323"/>
      <c r="R5938" s="1304"/>
      <c r="S5938" s="1304"/>
      <c r="T5938" s="1304"/>
    </row>
    <row r="5939" spans="1:20">
      <c r="A5939" s="1303"/>
      <c r="B5939" s="1322" t="s">
        <v>13019</v>
      </c>
      <c r="C5939" s="1323" t="s">
        <v>13020</v>
      </c>
      <c r="D5939" s="1324">
        <f t="shared" si="582"/>
        <v>33224</v>
      </c>
      <c r="E5939" s="1323">
        <f t="shared" si="584"/>
        <v>2.5217999999999998</v>
      </c>
      <c r="F5939" s="1323">
        <f t="shared" si="583"/>
        <v>3.1425004283006386</v>
      </c>
      <c r="G5939" s="1323">
        <f t="shared" si="585"/>
        <v>1990</v>
      </c>
      <c r="H5939" s="1323">
        <f t="shared" si="586"/>
        <v>12</v>
      </c>
      <c r="I5939" s="1323">
        <f t="shared" si="587"/>
        <v>17</v>
      </c>
      <c r="J5939" s="1323"/>
      <c r="K5939" s="1323"/>
      <c r="L5939" s="1323"/>
      <c r="M5939" s="1323"/>
      <c r="N5939" s="1323"/>
      <c r="O5939" s="1323"/>
      <c r="P5939" s="1323"/>
      <c r="Q5939" s="1323"/>
      <c r="R5939" s="1304"/>
      <c r="S5939" s="1304"/>
      <c r="T5939" s="1304"/>
    </row>
    <row r="5940" spans="1:20">
      <c r="A5940" s="1303"/>
      <c r="B5940" s="1322" t="s">
        <v>13021</v>
      </c>
      <c r="C5940" s="1323" t="s">
        <v>13022</v>
      </c>
      <c r="D5940" s="1324">
        <f t="shared" si="582"/>
        <v>33221</v>
      </c>
      <c r="E5940" s="1323">
        <f t="shared" si="584"/>
        <v>2.5183</v>
      </c>
      <c r="F5940" s="1323">
        <f t="shared" si="583"/>
        <v>3.1418978725442601</v>
      </c>
      <c r="G5940" s="1323">
        <f t="shared" si="585"/>
        <v>1990</v>
      </c>
      <c r="H5940" s="1323">
        <f t="shared" si="586"/>
        <v>12</v>
      </c>
      <c r="I5940" s="1323">
        <f t="shared" si="587"/>
        <v>14</v>
      </c>
      <c r="J5940" s="1323"/>
      <c r="K5940" s="1323"/>
      <c r="L5940" s="1323"/>
      <c r="M5940" s="1323"/>
      <c r="N5940" s="1323"/>
      <c r="O5940" s="1323"/>
      <c r="P5940" s="1323"/>
      <c r="Q5940" s="1323"/>
      <c r="R5940" s="1304"/>
      <c r="S5940" s="1304"/>
      <c r="T5940" s="1304"/>
    </row>
    <row r="5941" spans="1:20">
      <c r="A5941" s="1303"/>
      <c r="B5941" s="1322" t="s">
        <v>13023</v>
      </c>
      <c r="C5941" s="1323" t="s">
        <v>13024</v>
      </c>
      <c r="D5941" s="1324">
        <f t="shared" si="582"/>
        <v>33220</v>
      </c>
      <c r="E5941" s="1323">
        <f t="shared" si="584"/>
        <v>2.5141</v>
      </c>
      <c r="F5941" s="1323">
        <f t="shared" si="583"/>
        <v>3.141295432324362</v>
      </c>
      <c r="G5941" s="1323">
        <f t="shared" si="585"/>
        <v>1990</v>
      </c>
      <c r="H5941" s="1323">
        <f t="shared" si="586"/>
        <v>12</v>
      </c>
      <c r="I5941" s="1323">
        <f t="shared" si="587"/>
        <v>13</v>
      </c>
      <c r="J5941" s="1323"/>
      <c r="K5941" s="1323"/>
      <c r="L5941" s="1323"/>
      <c r="M5941" s="1323"/>
      <c r="N5941" s="1323"/>
      <c r="O5941" s="1323"/>
      <c r="P5941" s="1323"/>
      <c r="Q5941" s="1323"/>
      <c r="R5941" s="1304"/>
      <c r="S5941" s="1304"/>
      <c r="T5941" s="1304"/>
    </row>
    <row r="5942" spans="1:20">
      <c r="A5942" s="1303"/>
      <c r="B5942" s="1322" t="s">
        <v>13025</v>
      </c>
      <c r="C5942" s="1323" t="s">
        <v>13026</v>
      </c>
      <c r="D5942" s="1324">
        <f t="shared" si="582"/>
        <v>33219</v>
      </c>
      <c r="E5942" s="1323">
        <f t="shared" si="584"/>
        <v>2.5116000000000001</v>
      </c>
      <c r="F5942" s="1323">
        <f t="shared" si="583"/>
        <v>3.1406931076187914</v>
      </c>
      <c r="G5942" s="1323">
        <f t="shared" si="585"/>
        <v>1990</v>
      </c>
      <c r="H5942" s="1323">
        <f t="shared" si="586"/>
        <v>12</v>
      </c>
      <c r="I5942" s="1323">
        <f t="shared" si="587"/>
        <v>12</v>
      </c>
      <c r="J5942" s="1323"/>
      <c r="K5942" s="1323"/>
      <c r="L5942" s="1323"/>
      <c r="M5942" s="1323"/>
      <c r="N5942" s="1323"/>
      <c r="O5942" s="1323"/>
      <c r="P5942" s="1323"/>
      <c r="Q5942" s="1323"/>
      <c r="R5942" s="1304"/>
      <c r="S5942" s="1304"/>
      <c r="T5942" s="1304"/>
    </row>
    <row r="5943" spans="1:20">
      <c r="A5943" s="1303"/>
      <c r="B5943" s="1322" t="s">
        <v>13027</v>
      </c>
      <c r="C5943" s="1323" t="s">
        <v>13028</v>
      </c>
      <c r="D5943" s="1324">
        <f t="shared" si="582"/>
        <v>33218</v>
      </c>
      <c r="E5943" s="1323">
        <f t="shared" si="584"/>
        <v>2.5082</v>
      </c>
      <c r="F5943" s="1323">
        <f t="shared" si="583"/>
        <v>3.1400908984053983</v>
      </c>
      <c r="G5943" s="1323">
        <f t="shared" si="585"/>
        <v>1990</v>
      </c>
      <c r="H5943" s="1323">
        <f t="shared" si="586"/>
        <v>12</v>
      </c>
      <c r="I5943" s="1323">
        <f t="shared" si="587"/>
        <v>11</v>
      </c>
      <c r="J5943" s="1323"/>
      <c r="K5943" s="1323"/>
      <c r="L5943" s="1323"/>
      <c r="M5943" s="1323"/>
      <c r="N5943" s="1323"/>
      <c r="O5943" s="1323"/>
      <c r="P5943" s="1323"/>
      <c r="Q5943" s="1323"/>
      <c r="R5943" s="1304"/>
      <c r="S5943" s="1304"/>
      <c r="T5943" s="1304"/>
    </row>
    <row r="5944" spans="1:20">
      <c r="A5944" s="1303"/>
      <c r="B5944" s="1322" t="s">
        <v>13029</v>
      </c>
      <c r="C5944" s="1323" t="s">
        <v>13030</v>
      </c>
      <c r="D5944" s="1324">
        <f t="shared" si="582"/>
        <v>33217</v>
      </c>
      <c r="E5944" s="1323">
        <f t="shared" si="584"/>
        <v>2.5019</v>
      </c>
      <c r="F5944" s="1323">
        <f t="shared" si="583"/>
        <v>3.1394888046620384</v>
      </c>
      <c r="G5944" s="1323">
        <f t="shared" si="585"/>
        <v>1990</v>
      </c>
      <c r="H5944" s="1323">
        <f t="shared" si="586"/>
        <v>12</v>
      </c>
      <c r="I5944" s="1323">
        <f t="shared" si="587"/>
        <v>10</v>
      </c>
      <c r="J5944" s="1323"/>
      <c r="K5944" s="1323"/>
      <c r="L5944" s="1323"/>
      <c r="M5944" s="1323"/>
      <c r="N5944" s="1323"/>
      <c r="O5944" s="1323"/>
      <c r="P5944" s="1323"/>
      <c r="Q5944" s="1323"/>
      <c r="R5944" s="1304"/>
      <c r="S5944" s="1304"/>
      <c r="T5944" s="1304"/>
    </row>
    <row r="5945" spans="1:20">
      <c r="A5945" s="1303"/>
      <c r="B5945" s="1322" t="s">
        <v>13031</v>
      </c>
      <c r="C5945" s="1323" t="s">
        <v>13032</v>
      </c>
      <c r="D5945" s="1324">
        <f t="shared" si="582"/>
        <v>33214</v>
      </c>
      <c r="E5945" s="1323">
        <f t="shared" si="584"/>
        <v>2.5125999999999999</v>
      </c>
      <c r="F5945" s="1323">
        <f t="shared" si="583"/>
        <v>3.1388868263665706</v>
      </c>
      <c r="G5945" s="1323">
        <f t="shared" si="585"/>
        <v>1990</v>
      </c>
      <c r="H5945" s="1323">
        <f t="shared" si="586"/>
        <v>12</v>
      </c>
      <c r="I5945" s="1323">
        <f t="shared" si="587"/>
        <v>7</v>
      </c>
      <c r="J5945" s="1323"/>
      <c r="K5945" s="1323"/>
      <c r="L5945" s="1323"/>
      <c r="M5945" s="1323"/>
      <c r="N5945" s="1323"/>
      <c r="O5945" s="1323"/>
      <c r="P5945" s="1323"/>
      <c r="Q5945" s="1323"/>
      <c r="R5945" s="1304"/>
      <c r="S5945" s="1304"/>
      <c r="T5945" s="1304"/>
    </row>
    <row r="5946" spans="1:20">
      <c r="A5946" s="1303"/>
      <c r="B5946" s="1322" t="s">
        <v>13033</v>
      </c>
      <c r="C5946" s="1323" t="s">
        <v>13034</v>
      </c>
      <c r="D5946" s="1324">
        <f t="shared" si="582"/>
        <v>33213</v>
      </c>
      <c r="E5946" s="1323">
        <f t="shared" si="584"/>
        <v>2.5253000000000001</v>
      </c>
      <c r="F5946" s="1323">
        <f t="shared" si="583"/>
        <v>3.1382849634968588</v>
      </c>
      <c r="G5946" s="1323">
        <f t="shared" si="585"/>
        <v>1990</v>
      </c>
      <c r="H5946" s="1323">
        <f t="shared" si="586"/>
        <v>12</v>
      </c>
      <c r="I5946" s="1323">
        <f t="shared" si="587"/>
        <v>6</v>
      </c>
      <c r="J5946" s="1323"/>
      <c r="K5946" s="1323"/>
      <c r="L5946" s="1323"/>
      <c r="M5946" s="1323"/>
      <c r="N5946" s="1323"/>
      <c r="O5946" s="1323"/>
      <c r="P5946" s="1323"/>
      <c r="Q5946" s="1323"/>
      <c r="R5946" s="1304"/>
      <c r="S5946" s="1304"/>
      <c r="T5946" s="1304"/>
    </row>
    <row r="5947" spans="1:20">
      <c r="A5947" s="1303"/>
      <c r="B5947" s="1322" t="s">
        <v>13035</v>
      </c>
      <c r="C5947" s="1323" t="s">
        <v>13020</v>
      </c>
      <c r="D5947" s="1324">
        <f t="shared" si="582"/>
        <v>33212</v>
      </c>
      <c r="E5947" s="1323">
        <f t="shared" si="584"/>
        <v>2.5253000000000001</v>
      </c>
      <c r="F5947" s="1323">
        <f t="shared" si="583"/>
        <v>3.1376832160307706</v>
      </c>
      <c r="G5947" s="1323">
        <f t="shared" si="585"/>
        <v>1990</v>
      </c>
      <c r="H5947" s="1323">
        <f t="shared" si="586"/>
        <v>12</v>
      </c>
      <c r="I5947" s="1323">
        <f t="shared" si="587"/>
        <v>5</v>
      </c>
      <c r="J5947" s="1323"/>
      <c r="K5947" s="1323"/>
      <c r="L5947" s="1323"/>
      <c r="M5947" s="1323"/>
      <c r="N5947" s="1323"/>
      <c r="O5947" s="1323"/>
      <c r="P5947" s="1323"/>
      <c r="Q5947" s="1323"/>
      <c r="R5947" s="1304"/>
      <c r="S5947" s="1304"/>
      <c r="T5947" s="1304"/>
    </row>
    <row r="5948" spans="1:20">
      <c r="A5948" s="1303"/>
      <c r="B5948" s="1322" t="s">
        <v>13036</v>
      </c>
      <c r="C5948" s="1323" t="s">
        <v>13020</v>
      </c>
      <c r="D5948" s="1324">
        <f t="shared" si="582"/>
        <v>33211</v>
      </c>
      <c r="E5948" s="1323">
        <f t="shared" si="584"/>
        <v>2.5396999999999998</v>
      </c>
      <c r="F5948" s="1323">
        <f t="shared" si="583"/>
        <v>3.1370815839461779</v>
      </c>
      <c r="G5948" s="1323">
        <f t="shared" si="585"/>
        <v>1990</v>
      </c>
      <c r="H5948" s="1323">
        <f t="shared" si="586"/>
        <v>12</v>
      </c>
      <c r="I5948" s="1323">
        <f t="shared" si="587"/>
        <v>4</v>
      </c>
      <c r="J5948" s="1323"/>
      <c r="K5948" s="1323"/>
      <c r="L5948" s="1323"/>
      <c r="M5948" s="1323"/>
      <c r="N5948" s="1323"/>
      <c r="O5948" s="1323"/>
      <c r="P5948" s="1323"/>
      <c r="Q5948" s="1323"/>
      <c r="R5948" s="1304"/>
      <c r="S5948" s="1304"/>
      <c r="T5948" s="1304"/>
    </row>
    <row r="5949" spans="1:20">
      <c r="A5949" s="1303"/>
      <c r="B5949" s="1322" t="s">
        <v>13037</v>
      </c>
      <c r="C5949" s="1323" t="s">
        <v>12976</v>
      </c>
      <c r="D5949" s="1324">
        <f t="shared" si="582"/>
        <v>33210</v>
      </c>
      <c r="E5949" s="1323">
        <f t="shared" si="584"/>
        <v>2.5131999999999999</v>
      </c>
      <c r="F5949" s="1323">
        <f t="shared" si="583"/>
        <v>3.1364800672209574</v>
      </c>
      <c r="G5949" s="1323">
        <f t="shared" si="585"/>
        <v>1990</v>
      </c>
      <c r="H5949" s="1323">
        <f t="shared" si="586"/>
        <v>12</v>
      </c>
      <c r="I5949" s="1323">
        <f t="shared" si="587"/>
        <v>3</v>
      </c>
      <c r="J5949" s="1323"/>
      <c r="K5949" s="1323"/>
      <c r="L5949" s="1323"/>
      <c r="M5949" s="1323"/>
      <c r="N5949" s="1323"/>
      <c r="O5949" s="1323"/>
      <c r="P5949" s="1323"/>
      <c r="Q5949" s="1323"/>
      <c r="R5949" s="1304"/>
      <c r="S5949" s="1304"/>
      <c r="T5949" s="1304"/>
    </row>
    <row r="5950" spans="1:20">
      <c r="A5950" s="1303"/>
      <c r="B5950" s="1322" t="s">
        <v>13038</v>
      </c>
      <c r="C5950" s="1323" t="s">
        <v>13039</v>
      </c>
      <c r="D5950" s="1324">
        <f t="shared" si="582"/>
        <v>33207</v>
      </c>
      <c r="E5950" s="1323">
        <f t="shared" si="584"/>
        <v>2.5183</v>
      </c>
      <c r="F5950" s="1323">
        <f t="shared" si="583"/>
        <v>3.1358786658329891</v>
      </c>
      <c r="G5950" s="1323">
        <f t="shared" si="585"/>
        <v>1990</v>
      </c>
      <c r="H5950" s="1323">
        <f t="shared" si="586"/>
        <v>11</v>
      </c>
      <c r="I5950" s="1323">
        <f t="shared" si="587"/>
        <v>30</v>
      </c>
      <c r="J5950" s="1323"/>
      <c r="K5950" s="1323"/>
      <c r="L5950" s="1323"/>
      <c r="M5950" s="1323"/>
      <c r="N5950" s="1323"/>
      <c r="O5950" s="1323"/>
      <c r="P5950" s="1323"/>
      <c r="Q5950" s="1323"/>
      <c r="R5950" s="1304"/>
      <c r="S5950" s="1304"/>
      <c r="T5950" s="1304"/>
    </row>
    <row r="5951" spans="1:20">
      <c r="A5951" s="1303"/>
      <c r="B5951" s="1322" t="s">
        <v>13040</v>
      </c>
      <c r="C5951" s="1323" t="s">
        <v>13024</v>
      </c>
      <c r="D5951" s="1324">
        <f t="shared" si="582"/>
        <v>33206</v>
      </c>
      <c r="E5951" s="1323">
        <f t="shared" si="584"/>
        <v>2.5053000000000001</v>
      </c>
      <c r="F5951" s="1323">
        <f t="shared" si="583"/>
        <v>3.1352773797601583</v>
      </c>
      <c r="G5951" s="1323">
        <f t="shared" si="585"/>
        <v>1990</v>
      </c>
      <c r="H5951" s="1323">
        <f t="shared" si="586"/>
        <v>11</v>
      </c>
      <c r="I5951" s="1323">
        <f t="shared" si="587"/>
        <v>29</v>
      </c>
      <c r="J5951" s="1323"/>
      <c r="K5951" s="1323"/>
      <c r="L5951" s="1323"/>
      <c r="M5951" s="1323"/>
      <c r="N5951" s="1323"/>
      <c r="O5951" s="1323"/>
      <c r="P5951" s="1323"/>
      <c r="Q5951" s="1323"/>
      <c r="R5951" s="1304"/>
      <c r="S5951" s="1304"/>
      <c r="T5951" s="1304"/>
    </row>
    <row r="5952" spans="1:20">
      <c r="A5952" s="1303"/>
      <c r="B5952" s="1322" t="s">
        <v>13041</v>
      </c>
      <c r="C5952" s="1323" t="s">
        <v>13042</v>
      </c>
      <c r="D5952" s="1324">
        <f t="shared" si="582"/>
        <v>33205</v>
      </c>
      <c r="E5952" s="1323">
        <f t="shared" si="584"/>
        <v>2.5106999999999999</v>
      </c>
      <c r="F5952" s="1323">
        <f t="shared" si="583"/>
        <v>3.1346762089803537</v>
      </c>
      <c r="G5952" s="1323">
        <f t="shared" si="585"/>
        <v>1990</v>
      </c>
      <c r="H5952" s="1323">
        <f t="shared" si="586"/>
        <v>11</v>
      </c>
      <c r="I5952" s="1323">
        <f t="shared" si="587"/>
        <v>28</v>
      </c>
      <c r="J5952" s="1323"/>
      <c r="K5952" s="1323"/>
      <c r="L5952" s="1323"/>
      <c r="M5952" s="1323"/>
      <c r="N5952" s="1323"/>
      <c r="O5952" s="1323"/>
      <c r="P5952" s="1323"/>
      <c r="Q5952" s="1323"/>
      <c r="R5952" s="1304"/>
      <c r="S5952" s="1304"/>
      <c r="T5952" s="1304"/>
    </row>
    <row r="5953" spans="1:20">
      <c r="A5953" s="1303"/>
      <c r="B5953" s="1322" t="s">
        <v>13043</v>
      </c>
      <c r="C5953" s="1323" t="s">
        <v>13044</v>
      </c>
      <c r="D5953" s="1324">
        <f t="shared" si="582"/>
        <v>33204</v>
      </c>
      <c r="E5953" s="1323">
        <f t="shared" si="584"/>
        <v>2.5194999999999999</v>
      </c>
      <c r="F5953" s="1323">
        <f t="shared" si="583"/>
        <v>3.1340751534714686</v>
      </c>
      <c r="G5953" s="1323">
        <f t="shared" si="585"/>
        <v>1990</v>
      </c>
      <c r="H5953" s="1323">
        <f t="shared" si="586"/>
        <v>11</v>
      </c>
      <c r="I5953" s="1323">
        <f t="shared" si="587"/>
        <v>27</v>
      </c>
      <c r="J5953" s="1323"/>
      <c r="K5953" s="1323"/>
      <c r="L5953" s="1323"/>
      <c r="M5953" s="1323"/>
      <c r="N5953" s="1323"/>
      <c r="O5953" s="1323"/>
      <c r="P5953" s="1323"/>
      <c r="Q5953" s="1323"/>
      <c r="R5953" s="1304"/>
      <c r="S5953" s="1304"/>
      <c r="T5953" s="1304"/>
    </row>
    <row r="5954" spans="1:20">
      <c r="A5954" s="1303"/>
      <c r="B5954" s="1322" t="s">
        <v>13045</v>
      </c>
      <c r="C5954" s="1323" t="s">
        <v>13046</v>
      </c>
      <c r="D5954" s="1324">
        <f t="shared" si="582"/>
        <v>33203</v>
      </c>
      <c r="E5954" s="1323">
        <f t="shared" si="584"/>
        <v>2.5156999999999998</v>
      </c>
      <c r="F5954" s="1323">
        <f t="shared" si="583"/>
        <v>3.1334742132114006</v>
      </c>
      <c r="G5954" s="1323">
        <f t="shared" si="585"/>
        <v>1990</v>
      </c>
      <c r="H5954" s="1323">
        <f t="shared" si="586"/>
        <v>11</v>
      </c>
      <c r="I5954" s="1323">
        <f t="shared" si="587"/>
        <v>26</v>
      </c>
      <c r="J5954" s="1323"/>
      <c r="K5954" s="1323"/>
      <c r="L5954" s="1323"/>
      <c r="M5954" s="1323"/>
      <c r="N5954" s="1323"/>
      <c r="O5954" s="1323"/>
      <c r="P5954" s="1323"/>
      <c r="Q5954" s="1323"/>
      <c r="R5954" s="1304"/>
      <c r="S5954" s="1304"/>
      <c r="T5954" s="1304"/>
    </row>
    <row r="5955" spans="1:20">
      <c r="A5955" s="1303"/>
      <c r="B5955" s="1322" t="s">
        <v>13047</v>
      </c>
      <c r="C5955" s="1323" t="s">
        <v>13048</v>
      </c>
      <c r="D5955" s="1324">
        <f t="shared" si="582"/>
        <v>33200</v>
      </c>
      <c r="E5955" s="1323">
        <f t="shared" si="584"/>
        <v>2.5122</v>
      </c>
      <c r="F5955" s="1323">
        <f t="shared" si="583"/>
        <v>3.1328733881780515</v>
      </c>
      <c r="G5955" s="1323">
        <f t="shared" si="585"/>
        <v>1990</v>
      </c>
      <c r="H5955" s="1323">
        <f t="shared" si="586"/>
        <v>11</v>
      </c>
      <c r="I5955" s="1323">
        <f t="shared" si="587"/>
        <v>23</v>
      </c>
      <c r="J5955" s="1323"/>
      <c r="K5955" s="1323"/>
      <c r="L5955" s="1323"/>
      <c r="M5955" s="1323"/>
      <c r="N5955" s="1323"/>
      <c r="O5955" s="1323"/>
      <c r="P5955" s="1323"/>
      <c r="Q5955" s="1323"/>
      <c r="R5955" s="1304"/>
      <c r="S5955" s="1304"/>
      <c r="T5955" s="1304"/>
    </row>
    <row r="5956" spans="1:20">
      <c r="A5956" s="1303"/>
      <c r="B5956" s="1322" t="s">
        <v>13049</v>
      </c>
      <c r="C5956" s="1323" t="s">
        <v>13050</v>
      </c>
      <c r="D5956" s="1324">
        <f t="shared" si="582"/>
        <v>33199</v>
      </c>
      <c r="E5956" s="1323">
        <f t="shared" si="584"/>
        <v>2.5173000000000001</v>
      </c>
      <c r="F5956" s="1323">
        <f t="shared" si="583"/>
        <v>3.1322726783493269</v>
      </c>
      <c r="G5956" s="1323">
        <f t="shared" si="585"/>
        <v>1990</v>
      </c>
      <c r="H5956" s="1323">
        <f t="shared" si="586"/>
        <v>11</v>
      </c>
      <c r="I5956" s="1323">
        <f t="shared" si="587"/>
        <v>22</v>
      </c>
      <c r="J5956" s="1323"/>
      <c r="K5956" s="1323"/>
      <c r="L5956" s="1323"/>
      <c r="M5956" s="1323"/>
      <c r="N5956" s="1323"/>
      <c r="O5956" s="1323"/>
      <c r="P5956" s="1323"/>
      <c r="Q5956" s="1323"/>
      <c r="R5956" s="1304"/>
      <c r="S5956" s="1304"/>
      <c r="T5956" s="1304"/>
    </row>
    <row r="5957" spans="1:20">
      <c r="A5957" s="1303"/>
      <c r="B5957" s="1322" t="s">
        <v>13051</v>
      </c>
      <c r="C5957" s="1323" t="s">
        <v>13052</v>
      </c>
      <c r="D5957" s="1324">
        <f t="shared" si="582"/>
        <v>33198</v>
      </c>
      <c r="E5957" s="1323">
        <f t="shared" si="584"/>
        <v>2.5188999999999999</v>
      </c>
      <c r="F5957" s="1323">
        <f t="shared" si="583"/>
        <v>3.1316720837031373</v>
      </c>
      <c r="G5957" s="1323">
        <f t="shared" si="585"/>
        <v>1990</v>
      </c>
      <c r="H5957" s="1323">
        <f t="shared" si="586"/>
        <v>11</v>
      </c>
      <c r="I5957" s="1323">
        <f t="shared" si="587"/>
        <v>21</v>
      </c>
      <c r="J5957" s="1323"/>
      <c r="K5957" s="1323"/>
      <c r="L5957" s="1323"/>
      <c r="M5957" s="1323"/>
      <c r="N5957" s="1323"/>
      <c r="O5957" s="1323"/>
      <c r="P5957" s="1323"/>
      <c r="Q5957" s="1323"/>
      <c r="R5957" s="1304"/>
      <c r="S5957" s="1304"/>
      <c r="T5957" s="1304"/>
    </row>
    <row r="5958" spans="1:20">
      <c r="A5958" s="1303"/>
      <c r="B5958" s="1322" t="s">
        <v>13053</v>
      </c>
      <c r="C5958" s="1323" t="s">
        <v>13018</v>
      </c>
      <c r="D5958" s="1324">
        <f t="shared" si="582"/>
        <v>33197</v>
      </c>
      <c r="E5958" s="1323">
        <f t="shared" si="584"/>
        <v>2.5265</v>
      </c>
      <c r="F5958" s="1323">
        <f t="shared" si="583"/>
        <v>3.1310716042173969</v>
      </c>
      <c r="G5958" s="1323">
        <f t="shared" si="585"/>
        <v>1990</v>
      </c>
      <c r="H5958" s="1323">
        <f t="shared" si="586"/>
        <v>11</v>
      </c>
      <c r="I5958" s="1323">
        <f t="shared" si="587"/>
        <v>20</v>
      </c>
      <c r="J5958" s="1323"/>
      <c r="K5958" s="1323"/>
      <c r="L5958" s="1323"/>
      <c r="M5958" s="1323"/>
      <c r="N5958" s="1323"/>
      <c r="O5958" s="1323"/>
      <c r="P5958" s="1323"/>
      <c r="Q5958" s="1323"/>
      <c r="R5958" s="1304"/>
      <c r="S5958" s="1304"/>
      <c r="T5958" s="1304"/>
    </row>
    <row r="5959" spans="1:20">
      <c r="A5959" s="1303"/>
      <c r="B5959" s="1322" t="s">
        <v>13054</v>
      </c>
      <c r="C5959" s="1323" t="s">
        <v>12956</v>
      </c>
      <c r="D5959" s="1324">
        <f t="shared" si="582"/>
        <v>33196</v>
      </c>
      <c r="E5959" s="1323">
        <f t="shared" si="584"/>
        <v>2.5232999999999999</v>
      </c>
      <c r="F5959" s="1323">
        <f t="shared" si="583"/>
        <v>3.1304712398700243</v>
      </c>
      <c r="G5959" s="1323">
        <f t="shared" si="585"/>
        <v>1990</v>
      </c>
      <c r="H5959" s="1323">
        <f t="shared" si="586"/>
        <v>11</v>
      </c>
      <c r="I5959" s="1323">
        <f t="shared" si="587"/>
        <v>19</v>
      </c>
      <c r="J5959" s="1323"/>
      <c r="K5959" s="1323"/>
      <c r="L5959" s="1323"/>
      <c r="M5959" s="1323"/>
      <c r="N5959" s="1323"/>
      <c r="O5959" s="1323"/>
      <c r="P5959" s="1323"/>
      <c r="Q5959" s="1323"/>
      <c r="R5959" s="1304"/>
      <c r="S5959" s="1304"/>
      <c r="T5959" s="1304"/>
    </row>
    <row r="5960" spans="1:20">
      <c r="A5960" s="1303"/>
      <c r="B5960" s="1322" t="s">
        <v>13055</v>
      </c>
      <c r="C5960" s="1323" t="s">
        <v>13056</v>
      </c>
      <c r="D5960" s="1324">
        <f t="shared" si="582"/>
        <v>33193</v>
      </c>
      <c r="E5960" s="1323">
        <f t="shared" si="584"/>
        <v>2.5304000000000002</v>
      </c>
      <c r="F5960" s="1323">
        <f t="shared" si="583"/>
        <v>3.1298709906389428</v>
      </c>
      <c r="G5960" s="1323">
        <f t="shared" si="585"/>
        <v>1990</v>
      </c>
      <c r="H5960" s="1323">
        <f t="shared" si="586"/>
        <v>11</v>
      </c>
      <c r="I5960" s="1323">
        <f t="shared" si="587"/>
        <v>16</v>
      </c>
      <c r="J5960" s="1323"/>
      <c r="K5960" s="1323"/>
      <c r="L5960" s="1323"/>
      <c r="M5960" s="1323"/>
      <c r="N5960" s="1323"/>
      <c r="O5960" s="1323"/>
      <c r="P5960" s="1323"/>
      <c r="Q5960" s="1323"/>
      <c r="R5960" s="1304"/>
      <c r="S5960" s="1304"/>
      <c r="T5960" s="1304"/>
    </row>
    <row r="5961" spans="1:20">
      <c r="A5961" s="1303"/>
      <c r="B5961" s="1322" t="s">
        <v>13057</v>
      </c>
      <c r="C5961" s="1323" t="s">
        <v>13058</v>
      </c>
      <c r="D5961" s="1324">
        <f t="shared" ref="D5961:D6024" si="588">DATE(G5961,H5961,I5961)</f>
        <v>33192</v>
      </c>
      <c r="E5961" s="1323">
        <f t="shared" si="584"/>
        <v>2.5291000000000001</v>
      </c>
      <c r="F5961" s="1323">
        <f t="shared" ref="F5961:F6024" si="589">F5962*(1+$F$7/365)</f>
        <v>3.1292708565020795</v>
      </c>
      <c r="G5961" s="1323">
        <f t="shared" si="585"/>
        <v>1990</v>
      </c>
      <c r="H5961" s="1323">
        <f t="shared" si="586"/>
        <v>11</v>
      </c>
      <c r="I5961" s="1323">
        <f t="shared" si="587"/>
        <v>15</v>
      </c>
      <c r="J5961" s="1323"/>
      <c r="K5961" s="1323"/>
      <c r="L5961" s="1323"/>
      <c r="M5961" s="1323"/>
      <c r="N5961" s="1323"/>
      <c r="O5961" s="1323"/>
      <c r="P5961" s="1323"/>
      <c r="Q5961" s="1323"/>
      <c r="R5961" s="1304"/>
      <c r="S5961" s="1304"/>
      <c r="T5961" s="1304"/>
    </row>
    <row r="5962" spans="1:20">
      <c r="A5962" s="1303"/>
      <c r="B5962" s="1322" t="s">
        <v>13059</v>
      </c>
      <c r="C5962" s="1323" t="s">
        <v>13016</v>
      </c>
      <c r="D5962" s="1324">
        <f t="shared" si="588"/>
        <v>33191</v>
      </c>
      <c r="E5962" s="1323">
        <f t="shared" si="584"/>
        <v>2.5265</v>
      </c>
      <c r="F5962" s="1323">
        <f t="shared" si="589"/>
        <v>3.1286708374373653</v>
      </c>
      <c r="G5962" s="1323">
        <f t="shared" si="585"/>
        <v>1990</v>
      </c>
      <c r="H5962" s="1323">
        <f t="shared" si="586"/>
        <v>11</v>
      </c>
      <c r="I5962" s="1323">
        <f t="shared" si="587"/>
        <v>14</v>
      </c>
      <c r="J5962" s="1323"/>
      <c r="K5962" s="1323"/>
      <c r="L5962" s="1323"/>
      <c r="M5962" s="1323"/>
      <c r="N5962" s="1323"/>
      <c r="O5962" s="1323"/>
      <c r="P5962" s="1323"/>
      <c r="Q5962" s="1323"/>
      <c r="R5962" s="1304"/>
      <c r="S5962" s="1304"/>
      <c r="T5962" s="1304"/>
    </row>
    <row r="5963" spans="1:20">
      <c r="A5963" s="1303"/>
      <c r="B5963" s="1322" t="s">
        <v>13060</v>
      </c>
      <c r="C5963" s="1323" t="s">
        <v>12956</v>
      </c>
      <c r="D5963" s="1324">
        <f t="shared" si="588"/>
        <v>33190</v>
      </c>
      <c r="E5963" s="1323">
        <f t="shared" si="584"/>
        <v>2.5232999999999999</v>
      </c>
      <c r="F5963" s="1323">
        <f t="shared" si="589"/>
        <v>3.1280709334227361</v>
      </c>
      <c r="G5963" s="1323">
        <f t="shared" si="585"/>
        <v>1990</v>
      </c>
      <c r="H5963" s="1323">
        <f t="shared" si="586"/>
        <v>11</v>
      </c>
      <c r="I5963" s="1323">
        <f t="shared" si="587"/>
        <v>13</v>
      </c>
      <c r="J5963" s="1323"/>
      <c r="K5963" s="1323"/>
      <c r="L5963" s="1323"/>
      <c r="M5963" s="1323"/>
      <c r="N5963" s="1323"/>
      <c r="O5963" s="1323"/>
      <c r="P5963" s="1323"/>
      <c r="Q5963" s="1323"/>
      <c r="R5963" s="1304"/>
      <c r="S5963" s="1304"/>
      <c r="T5963" s="1304"/>
    </row>
    <row r="5964" spans="1:20">
      <c r="A5964" s="1303"/>
      <c r="B5964" s="1322" t="s">
        <v>13061</v>
      </c>
      <c r="C5964" s="1323" t="s">
        <v>13056</v>
      </c>
      <c r="D5964" s="1324">
        <f t="shared" si="588"/>
        <v>33189</v>
      </c>
      <c r="E5964" s="1323">
        <f t="shared" si="584"/>
        <v>2.5236999999999998</v>
      </c>
      <c r="F5964" s="1323">
        <f t="shared" si="589"/>
        <v>3.1274711444361318</v>
      </c>
      <c r="G5964" s="1323">
        <f t="shared" si="585"/>
        <v>1990</v>
      </c>
      <c r="H5964" s="1323">
        <f t="shared" si="586"/>
        <v>11</v>
      </c>
      <c r="I5964" s="1323">
        <f t="shared" si="587"/>
        <v>12</v>
      </c>
      <c r="J5964" s="1323"/>
      <c r="K5964" s="1323"/>
      <c r="L5964" s="1323"/>
      <c r="M5964" s="1323"/>
      <c r="N5964" s="1323"/>
      <c r="O5964" s="1323"/>
      <c r="P5964" s="1323"/>
      <c r="Q5964" s="1323"/>
      <c r="R5964" s="1304"/>
      <c r="S5964" s="1304"/>
      <c r="T5964" s="1304"/>
    </row>
    <row r="5965" spans="1:20">
      <c r="A5965" s="1303"/>
      <c r="B5965" s="1322" t="s">
        <v>13062</v>
      </c>
      <c r="C5965" s="1323" t="s">
        <v>13063</v>
      </c>
      <c r="D5965" s="1324">
        <f t="shared" si="588"/>
        <v>33186</v>
      </c>
      <c r="E5965" s="1323">
        <f t="shared" si="584"/>
        <v>2.5352000000000001</v>
      </c>
      <c r="F5965" s="1323">
        <f t="shared" si="589"/>
        <v>3.1268714704554963</v>
      </c>
      <c r="G5965" s="1323">
        <f t="shared" si="585"/>
        <v>1990</v>
      </c>
      <c r="H5965" s="1323">
        <f t="shared" si="586"/>
        <v>11</v>
      </c>
      <c r="I5965" s="1323">
        <f t="shared" si="587"/>
        <v>9</v>
      </c>
      <c r="J5965" s="1323"/>
      <c r="K5965" s="1323"/>
      <c r="L5965" s="1323"/>
      <c r="M5965" s="1323"/>
      <c r="N5965" s="1323"/>
      <c r="O5965" s="1323"/>
      <c r="P5965" s="1323"/>
      <c r="Q5965" s="1323"/>
      <c r="R5965" s="1304"/>
      <c r="S5965" s="1304"/>
      <c r="T5965" s="1304"/>
    </row>
    <row r="5966" spans="1:20">
      <c r="A5966" s="1303"/>
      <c r="B5966" s="1322" t="s">
        <v>13064</v>
      </c>
      <c r="C5966" s="1323" t="s">
        <v>13065</v>
      </c>
      <c r="D5966" s="1324">
        <f t="shared" si="588"/>
        <v>33185</v>
      </c>
      <c r="E5966" s="1323">
        <f t="shared" si="584"/>
        <v>2.5280999999999998</v>
      </c>
      <c r="F5966" s="1323">
        <f t="shared" si="589"/>
        <v>3.1262719114587783</v>
      </c>
      <c r="G5966" s="1323">
        <f t="shared" si="585"/>
        <v>1990</v>
      </c>
      <c r="H5966" s="1323">
        <f t="shared" si="586"/>
        <v>11</v>
      </c>
      <c r="I5966" s="1323">
        <f t="shared" si="587"/>
        <v>8</v>
      </c>
      <c r="J5966" s="1323"/>
      <c r="K5966" s="1323"/>
      <c r="L5966" s="1323"/>
      <c r="M5966" s="1323"/>
      <c r="N5966" s="1323"/>
      <c r="O5966" s="1323"/>
      <c r="P5966" s="1323"/>
      <c r="Q5966" s="1323"/>
      <c r="R5966" s="1304"/>
      <c r="S5966" s="1304"/>
      <c r="T5966" s="1304"/>
    </row>
    <row r="5967" spans="1:20">
      <c r="A5967" s="1303"/>
      <c r="B5967" s="1322" t="s">
        <v>13066</v>
      </c>
      <c r="C5967" s="1323" t="s">
        <v>13067</v>
      </c>
      <c r="D5967" s="1324">
        <f t="shared" si="588"/>
        <v>33184</v>
      </c>
      <c r="E5967" s="1323">
        <f t="shared" si="584"/>
        <v>2.5253000000000001</v>
      </c>
      <c r="F5967" s="1323">
        <f t="shared" si="589"/>
        <v>3.1256724674239296</v>
      </c>
      <c r="G5967" s="1323">
        <f t="shared" si="585"/>
        <v>1990</v>
      </c>
      <c r="H5967" s="1323">
        <f t="shared" si="586"/>
        <v>11</v>
      </c>
      <c r="I5967" s="1323">
        <f t="shared" si="587"/>
        <v>7</v>
      </c>
      <c r="J5967" s="1323"/>
      <c r="K5967" s="1323"/>
      <c r="L5967" s="1323"/>
      <c r="M5967" s="1323"/>
      <c r="N5967" s="1323"/>
      <c r="O5967" s="1323"/>
      <c r="P5967" s="1323"/>
      <c r="Q5967" s="1323"/>
      <c r="R5967" s="1304"/>
      <c r="S5967" s="1304"/>
      <c r="T5967" s="1304"/>
    </row>
    <row r="5968" spans="1:20">
      <c r="A5968" s="1303"/>
      <c r="B5968" s="1322" t="s">
        <v>13068</v>
      </c>
      <c r="C5968" s="1323" t="s">
        <v>13020</v>
      </c>
      <c r="D5968" s="1324">
        <f t="shared" si="588"/>
        <v>33183</v>
      </c>
      <c r="E5968" s="1323">
        <f t="shared" si="584"/>
        <v>2.5265</v>
      </c>
      <c r="F5968" s="1323">
        <f t="shared" si="589"/>
        <v>3.1250731383289074</v>
      </c>
      <c r="G5968" s="1323">
        <f t="shared" si="585"/>
        <v>1990</v>
      </c>
      <c r="H5968" s="1323">
        <f t="shared" si="586"/>
        <v>11</v>
      </c>
      <c r="I5968" s="1323">
        <f t="shared" si="587"/>
        <v>6</v>
      </c>
      <c r="J5968" s="1323"/>
      <c r="K5968" s="1323"/>
      <c r="L5968" s="1323"/>
      <c r="M5968" s="1323"/>
      <c r="N5968" s="1323"/>
      <c r="O5968" s="1323"/>
      <c r="P5968" s="1323"/>
      <c r="Q5968" s="1323"/>
      <c r="R5968" s="1304"/>
      <c r="S5968" s="1304"/>
      <c r="T5968" s="1304"/>
    </row>
    <row r="5969" spans="1:20">
      <c r="A5969" s="1303"/>
      <c r="B5969" s="1322" t="s">
        <v>13069</v>
      </c>
      <c r="C5969" s="1323" t="s">
        <v>12956</v>
      </c>
      <c r="D5969" s="1324">
        <f t="shared" si="588"/>
        <v>33182</v>
      </c>
      <c r="E5969" s="1323">
        <f t="shared" si="584"/>
        <v>2.5304000000000002</v>
      </c>
      <c r="F5969" s="1323">
        <f t="shared" si="589"/>
        <v>3.1244739241516726</v>
      </c>
      <c r="G5969" s="1323">
        <f t="shared" si="585"/>
        <v>1990</v>
      </c>
      <c r="H5969" s="1323">
        <f t="shared" si="586"/>
        <v>11</v>
      </c>
      <c r="I5969" s="1323">
        <f t="shared" si="587"/>
        <v>5</v>
      </c>
      <c r="J5969" s="1323"/>
      <c r="K5969" s="1323"/>
      <c r="L5969" s="1323"/>
      <c r="M5969" s="1323"/>
      <c r="N5969" s="1323"/>
      <c r="O5969" s="1323"/>
      <c r="P5969" s="1323"/>
      <c r="Q5969" s="1323"/>
      <c r="R5969" s="1304"/>
      <c r="S5969" s="1304"/>
      <c r="T5969" s="1304"/>
    </row>
    <row r="5970" spans="1:20">
      <c r="A5970" s="1303"/>
      <c r="B5970" s="1322" t="s">
        <v>13070</v>
      </c>
      <c r="C5970" s="1323" t="s">
        <v>13058</v>
      </c>
      <c r="D5970" s="1324">
        <f t="shared" si="588"/>
        <v>33179</v>
      </c>
      <c r="E5970" s="1323">
        <f t="shared" si="584"/>
        <v>2.5396999999999998</v>
      </c>
      <c r="F5970" s="1323">
        <f t="shared" si="589"/>
        <v>3.1238748248701906</v>
      </c>
      <c r="G5970" s="1323">
        <f t="shared" si="585"/>
        <v>1990</v>
      </c>
      <c r="H5970" s="1323">
        <f t="shared" si="586"/>
        <v>11</v>
      </c>
      <c r="I5970" s="1323">
        <f t="shared" si="587"/>
        <v>2</v>
      </c>
      <c r="J5970" s="1323"/>
      <c r="K5970" s="1323"/>
      <c r="L5970" s="1323"/>
      <c r="M5970" s="1323"/>
      <c r="N5970" s="1323"/>
      <c r="O5970" s="1323"/>
      <c r="P5970" s="1323"/>
      <c r="Q5970" s="1323"/>
      <c r="R5970" s="1304"/>
      <c r="S5970" s="1304"/>
      <c r="T5970" s="1304"/>
    </row>
    <row r="5971" spans="1:20">
      <c r="A5971" s="1303"/>
      <c r="B5971" s="1322" t="s">
        <v>13071</v>
      </c>
      <c r="C5971" s="1323" t="s">
        <v>12976</v>
      </c>
      <c r="D5971" s="1324">
        <f t="shared" si="588"/>
        <v>33178</v>
      </c>
      <c r="E5971" s="1323">
        <f t="shared" si="584"/>
        <v>2.5484</v>
      </c>
      <c r="F5971" s="1323">
        <f t="shared" si="589"/>
        <v>3.1232758404624308</v>
      </c>
      <c r="G5971" s="1323">
        <f t="shared" si="585"/>
        <v>1990</v>
      </c>
      <c r="H5971" s="1323">
        <f t="shared" si="586"/>
        <v>11</v>
      </c>
      <c r="I5971" s="1323">
        <f t="shared" si="587"/>
        <v>1</v>
      </c>
      <c r="J5971" s="1323"/>
      <c r="K5971" s="1323"/>
      <c r="L5971" s="1323"/>
      <c r="M5971" s="1323"/>
      <c r="N5971" s="1323"/>
      <c r="O5971" s="1323"/>
      <c r="P5971" s="1323"/>
      <c r="Q5971" s="1323"/>
      <c r="R5971" s="1304"/>
      <c r="S5971" s="1304"/>
      <c r="T5971" s="1304"/>
    </row>
    <row r="5972" spans="1:20">
      <c r="A5972" s="1303"/>
      <c r="B5972" s="1322" t="s">
        <v>13072</v>
      </c>
      <c r="C5972" s="1323" t="s">
        <v>12972</v>
      </c>
      <c r="D5972" s="1324">
        <f t="shared" si="588"/>
        <v>33177</v>
      </c>
      <c r="E5972" s="1323">
        <f t="shared" si="584"/>
        <v>2.5407000000000002</v>
      </c>
      <c r="F5972" s="1323">
        <f t="shared" si="589"/>
        <v>3.1226769709063666</v>
      </c>
      <c r="G5972" s="1323">
        <f t="shared" si="585"/>
        <v>1990</v>
      </c>
      <c r="H5972" s="1323">
        <f t="shared" si="586"/>
        <v>10</v>
      </c>
      <c r="I5972" s="1323">
        <f t="shared" si="587"/>
        <v>31</v>
      </c>
      <c r="J5972" s="1323"/>
      <c r="K5972" s="1323"/>
      <c r="L5972" s="1323"/>
      <c r="M5972" s="1323"/>
      <c r="N5972" s="1323"/>
      <c r="O5972" s="1323"/>
      <c r="P5972" s="1323"/>
      <c r="Q5972" s="1323"/>
      <c r="R5972" s="1304"/>
      <c r="S5972" s="1304"/>
      <c r="T5972" s="1304"/>
    </row>
    <row r="5973" spans="1:20">
      <c r="A5973" s="1303"/>
      <c r="B5973" s="1322" t="s">
        <v>13073</v>
      </c>
      <c r="C5973" s="1323" t="s">
        <v>13074</v>
      </c>
      <c r="D5973" s="1324">
        <f t="shared" si="588"/>
        <v>33176</v>
      </c>
      <c r="E5973" s="1323">
        <f t="shared" si="584"/>
        <v>2.5484</v>
      </c>
      <c r="F5973" s="1323">
        <f t="shared" si="589"/>
        <v>3.1220782161799758</v>
      </c>
      <c r="G5973" s="1323">
        <f t="shared" si="585"/>
        <v>1990</v>
      </c>
      <c r="H5973" s="1323">
        <f t="shared" si="586"/>
        <v>10</v>
      </c>
      <c r="I5973" s="1323">
        <f t="shared" si="587"/>
        <v>30</v>
      </c>
      <c r="J5973" s="1323"/>
      <c r="K5973" s="1323"/>
      <c r="L5973" s="1323"/>
      <c r="M5973" s="1323"/>
      <c r="N5973" s="1323"/>
      <c r="O5973" s="1323"/>
      <c r="P5973" s="1323"/>
      <c r="Q5973" s="1323"/>
      <c r="R5973" s="1304"/>
      <c r="S5973" s="1304"/>
      <c r="T5973" s="1304"/>
    </row>
    <row r="5974" spans="1:20">
      <c r="A5974" s="1303"/>
      <c r="B5974" s="1322" t="s">
        <v>13075</v>
      </c>
      <c r="C5974" s="1323" t="s">
        <v>12972</v>
      </c>
      <c r="D5974" s="1324">
        <f t="shared" si="588"/>
        <v>33175</v>
      </c>
      <c r="E5974" s="1323">
        <f t="shared" ref="E5974:E6037" si="590">VALUE(C5975)</f>
        <v>2.5352000000000001</v>
      </c>
      <c r="F5974" s="1323">
        <f t="shared" si="589"/>
        <v>3.1214795762612408</v>
      </c>
      <c r="G5974" s="1323">
        <f t="shared" ref="G5974:G6037" si="591">YEAR(B5975)</f>
        <v>1990</v>
      </c>
      <c r="H5974" s="1323">
        <f t="shared" ref="H5974:H6037" si="592">MONTH(B5975)</f>
        <v>10</v>
      </c>
      <c r="I5974" s="1323">
        <f t="shared" ref="I5974:I6037" si="593">DAY(B5975)</f>
        <v>29</v>
      </c>
      <c r="J5974" s="1323"/>
      <c r="K5974" s="1323"/>
      <c r="L5974" s="1323"/>
      <c r="M5974" s="1323"/>
      <c r="N5974" s="1323"/>
      <c r="O5974" s="1323"/>
      <c r="P5974" s="1323"/>
      <c r="Q5974" s="1323"/>
      <c r="R5974" s="1304"/>
      <c r="S5974" s="1304"/>
      <c r="T5974" s="1304"/>
    </row>
    <row r="5975" spans="1:20">
      <c r="A5975" s="1303"/>
      <c r="B5975" s="1322" t="s">
        <v>13076</v>
      </c>
      <c r="C5975" s="1323" t="s">
        <v>13065</v>
      </c>
      <c r="D5975" s="1324">
        <f t="shared" si="588"/>
        <v>33172</v>
      </c>
      <c r="E5975" s="1323">
        <f t="shared" si="590"/>
        <v>2.5438999999999998</v>
      </c>
      <c r="F5975" s="1323">
        <f t="shared" si="589"/>
        <v>3.1208810511281477</v>
      </c>
      <c r="G5975" s="1323">
        <f t="shared" si="591"/>
        <v>1990</v>
      </c>
      <c r="H5975" s="1323">
        <f t="shared" si="592"/>
        <v>10</v>
      </c>
      <c r="I5975" s="1323">
        <f t="shared" si="593"/>
        <v>26</v>
      </c>
      <c r="J5975" s="1323"/>
      <c r="K5975" s="1323"/>
      <c r="L5975" s="1323"/>
      <c r="M5975" s="1323"/>
      <c r="N5975" s="1323"/>
      <c r="O5975" s="1323"/>
      <c r="P5975" s="1323"/>
      <c r="Q5975" s="1323"/>
      <c r="R5975" s="1304"/>
      <c r="S5975" s="1304"/>
      <c r="T5975" s="1304"/>
    </row>
    <row r="5976" spans="1:20">
      <c r="A5976" s="1303"/>
      <c r="B5976" s="1322" t="s">
        <v>13077</v>
      </c>
      <c r="C5976" s="1323" t="s">
        <v>13078</v>
      </c>
      <c r="D5976" s="1324">
        <f t="shared" si="588"/>
        <v>33171</v>
      </c>
      <c r="E5976" s="1323">
        <f t="shared" si="590"/>
        <v>2.5316000000000001</v>
      </c>
      <c r="F5976" s="1323">
        <f t="shared" si="589"/>
        <v>3.120282640758687</v>
      </c>
      <c r="G5976" s="1323">
        <f t="shared" si="591"/>
        <v>1990</v>
      </c>
      <c r="H5976" s="1323">
        <f t="shared" si="592"/>
        <v>10</v>
      </c>
      <c r="I5976" s="1323">
        <f t="shared" si="593"/>
        <v>25</v>
      </c>
      <c r="J5976" s="1323"/>
      <c r="K5976" s="1323"/>
      <c r="L5976" s="1323"/>
      <c r="M5976" s="1323"/>
      <c r="N5976" s="1323"/>
      <c r="O5976" s="1323"/>
      <c r="P5976" s="1323"/>
      <c r="Q5976" s="1323"/>
      <c r="R5976" s="1304"/>
      <c r="S5976" s="1304"/>
      <c r="T5976" s="1304"/>
    </row>
    <row r="5977" spans="1:20">
      <c r="A5977" s="1303"/>
      <c r="B5977" s="1322" t="s">
        <v>13079</v>
      </c>
      <c r="C5977" s="1323" t="s">
        <v>13080</v>
      </c>
      <c r="D5977" s="1324">
        <f t="shared" si="588"/>
        <v>33170</v>
      </c>
      <c r="E5977" s="1323">
        <f t="shared" si="590"/>
        <v>2.5360999999999998</v>
      </c>
      <c r="F5977" s="1323">
        <f t="shared" si="589"/>
        <v>3.1196843451308536</v>
      </c>
      <c r="G5977" s="1323">
        <f t="shared" si="591"/>
        <v>1990</v>
      </c>
      <c r="H5977" s="1323">
        <f t="shared" si="592"/>
        <v>10</v>
      </c>
      <c r="I5977" s="1323">
        <f t="shared" si="593"/>
        <v>24</v>
      </c>
      <c r="J5977" s="1323"/>
      <c r="K5977" s="1323"/>
      <c r="L5977" s="1323"/>
      <c r="M5977" s="1323"/>
      <c r="N5977" s="1323"/>
      <c r="O5977" s="1323"/>
      <c r="P5977" s="1323"/>
      <c r="Q5977" s="1323"/>
      <c r="R5977" s="1304"/>
      <c r="S5977" s="1304"/>
      <c r="T5977" s="1304"/>
    </row>
    <row r="5978" spans="1:20">
      <c r="A5978" s="1303"/>
      <c r="B5978" s="1322" t="s">
        <v>13081</v>
      </c>
      <c r="C5978" s="1323" t="s">
        <v>13082</v>
      </c>
      <c r="D5978" s="1324">
        <f t="shared" si="588"/>
        <v>33169</v>
      </c>
      <c r="E5978" s="1323">
        <f t="shared" si="590"/>
        <v>2.5451999999999999</v>
      </c>
      <c r="F5978" s="1323">
        <f t="shared" si="589"/>
        <v>3.1190861642226464</v>
      </c>
      <c r="G5978" s="1323">
        <f t="shared" si="591"/>
        <v>1990</v>
      </c>
      <c r="H5978" s="1323">
        <f t="shared" si="592"/>
        <v>10</v>
      </c>
      <c r="I5978" s="1323">
        <f t="shared" si="593"/>
        <v>23</v>
      </c>
      <c r="J5978" s="1323"/>
      <c r="K5978" s="1323"/>
      <c r="L5978" s="1323"/>
      <c r="M5978" s="1323"/>
      <c r="N5978" s="1323"/>
      <c r="O5978" s="1323"/>
      <c r="P5978" s="1323"/>
      <c r="Q5978" s="1323"/>
      <c r="R5978" s="1304"/>
      <c r="S5978" s="1304"/>
      <c r="T5978" s="1304"/>
    </row>
    <row r="5979" spans="1:20">
      <c r="A5979" s="1303"/>
      <c r="B5979" s="1322" t="s">
        <v>13083</v>
      </c>
      <c r="C5979" s="1323" t="s">
        <v>12941</v>
      </c>
      <c r="D5979" s="1324">
        <f t="shared" si="588"/>
        <v>33168</v>
      </c>
      <c r="E5979" s="1323">
        <f t="shared" si="590"/>
        <v>2.5396999999999998</v>
      </c>
      <c r="F5979" s="1323">
        <f t="shared" si="589"/>
        <v>3.1184880980120688</v>
      </c>
      <c r="G5979" s="1323">
        <f t="shared" si="591"/>
        <v>1990</v>
      </c>
      <c r="H5979" s="1323">
        <f t="shared" si="592"/>
        <v>10</v>
      </c>
      <c r="I5979" s="1323">
        <f t="shared" si="593"/>
        <v>22</v>
      </c>
      <c r="J5979" s="1323"/>
      <c r="K5979" s="1323"/>
      <c r="L5979" s="1323"/>
      <c r="M5979" s="1323"/>
      <c r="N5979" s="1323"/>
      <c r="O5979" s="1323"/>
      <c r="P5979" s="1323"/>
      <c r="Q5979" s="1323"/>
      <c r="R5979" s="1304"/>
      <c r="S5979" s="1304"/>
      <c r="T5979" s="1304"/>
    </row>
    <row r="5980" spans="1:20">
      <c r="A5980" s="1303"/>
      <c r="B5980" s="1322" t="s">
        <v>13084</v>
      </c>
      <c r="C5980" s="1323" t="s">
        <v>12976</v>
      </c>
      <c r="D5980" s="1324">
        <f t="shared" si="588"/>
        <v>33165</v>
      </c>
      <c r="E5980" s="1323">
        <f t="shared" si="590"/>
        <v>2.5358000000000001</v>
      </c>
      <c r="F5980" s="1323">
        <f t="shared" si="589"/>
        <v>3.1178901464771278</v>
      </c>
      <c r="G5980" s="1323">
        <f t="shared" si="591"/>
        <v>1990</v>
      </c>
      <c r="H5980" s="1323">
        <f t="shared" si="592"/>
        <v>10</v>
      </c>
      <c r="I5980" s="1323">
        <f t="shared" si="593"/>
        <v>19</v>
      </c>
      <c r="J5980" s="1323"/>
      <c r="K5980" s="1323"/>
      <c r="L5980" s="1323"/>
      <c r="M5980" s="1323"/>
      <c r="N5980" s="1323"/>
      <c r="O5980" s="1323"/>
      <c r="P5980" s="1323"/>
      <c r="Q5980" s="1323"/>
      <c r="R5980" s="1304"/>
      <c r="S5980" s="1304"/>
      <c r="T5980" s="1304"/>
    </row>
    <row r="5981" spans="1:20">
      <c r="A5981" s="1303"/>
      <c r="B5981" s="1322" t="s">
        <v>13085</v>
      </c>
      <c r="C5981" s="1323" t="s">
        <v>13086</v>
      </c>
      <c r="D5981" s="1324">
        <f t="shared" si="588"/>
        <v>33164</v>
      </c>
      <c r="E5981" s="1323">
        <f t="shared" si="590"/>
        <v>2.5312999999999999</v>
      </c>
      <c r="F5981" s="1323">
        <f t="shared" si="589"/>
        <v>3.1172923095958351</v>
      </c>
      <c r="G5981" s="1323">
        <f t="shared" si="591"/>
        <v>1990</v>
      </c>
      <c r="H5981" s="1323">
        <f t="shared" si="592"/>
        <v>10</v>
      </c>
      <c r="I5981" s="1323">
        <f t="shared" si="593"/>
        <v>18</v>
      </c>
      <c r="J5981" s="1323"/>
      <c r="K5981" s="1323"/>
      <c r="L5981" s="1323"/>
      <c r="M5981" s="1323"/>
      <c r="N5981" s="1323"/>
      <c r="O5981" s="1323"/>
      <c r="P5981" s="1323"/>
      <c r="Q5981" s="1323"/>
      <c r="R5981" s="1304"/>
      <c r="S5981" s="1304"/>
      <c r="T5981" s="1304"/>
    </row>
    <row r="5982" spans="1:20">
      <c r="A5982" s="1303"/>
      <c r="B5982" s="1322" t="s">
        <v>13087</v>
      </c>
      <c r="C5982" s="1323" t="s">
        <v>13088</v>
      </c>
      <c r="D5982" s="1324">
        <f t="shared" si="588"/>
        <v>33163</v>
      </c>
      <c r="E5982" s="1323">
        <f t="shared" si="590"/>
        <v>2.5316000000000001</v>
      </c>
      <c r="F5982" s="1323">
        <f t="shared" si="589"/>
        <v>3.1166945873462071</v>
      </c>
      <c r="G5982" s="1323">
        <f t="shared" si="591"/>
        <v>1990</v>
      </c>
      <c r="H5982" s="1323">
        <f t="shared" si="592"/>
        <v>10</v>
      </c>
      <c r="I5982" s="1323">
        <f t="shared" si="593"/>
        <v>17</v>
      </c>
      <c r="J5982" s="1323"/>
      <c r="K5982" s="1323"/>
      <c r="L5982" s="1323"/>
      <c r="M5982" s="1323"/>
      <c r="N5982" s="1323"/>
      <c r="O5982" s="1323"/>
      <c r="P5982" s="1323"/>
      <c r="Q5982" s="1323"/>
      <c r="R5982" s="1304"/>
      <c r="S5982" s="1304"/>
      <c r="T5982" s="1304"/>
    </row>
    <row r="5983" spans="1:20">
      <c r="A5983" s="1303"/>
      <c r="B5983" s="1322" t="s">
        <v>13089</v>
      </c>
      <c r="C5983" s="1323" t="s">
        <v>13080</v>
      </c>
      <c r="D5983" s="1324">
        <f t="shared" si="588"/>
        <v>33162</v>
      </c>
      <c r="E5983" s="1323">
        <f t="shared" si="590"/>
        <v>2.5426000000000002</v>
      </c>
      <c r="F5983" s="1323">
        <f t="shared" si="589"/>
        <v>3.1160969797062634</v>
      </c>
      <c r="G5983" s="1323">
        <f t="shared" si="591"/>
        <v>1990</v>
      </c>
      <c r="H5983" s="1323">
        <f t="shared" si="592"/>
        <v>10</v>
      </c>
      <c r="I5983" s="1323">
        <f t="shared" si="593"/>
        <v>16</v>
      </c>
      <c r="J5983" s="1323"/>
      <c r="K5983" s="1323"/>
      <c r="L5983" s="1323"/>
      <c r="M5983" s="1323"/>
      <c r="N5983" s="1323"/>
      <c r="O5983" s="1323"/>
      <c r="P5983" s="1323"/>
      <c r="Q5983" s="1323"/>
      <c r="R5983" s="1304"/>
      <c r="S5983" s="1304"/>
      <c r="T5983" s="1304"/>
    </row>
    <row r="5984" spans="1:20">
      <c r="A5984" s="1303"/>
      <c r="B5984" s="1322" t="s">
        <v>13090</v>
      </c>
      <c r="C5984" s="1323" t="s">
        <v>13091</v>
      </c>
      <c r="D5984" s="1324">
        <f t="shared" si="588"/>
        <v>33161</v>
      </c>
      <c r="E5984" s="1323">
        <f t="shared" si="590"/>
        <v>2.5352000000000001</v>
      </c>
      <c r="F5984" s="1323">
        <f t="shared" si="589"/>
        <v>3.1154994866540284</v>
      </c>
      <c r="G5984" s="1323">
        <f t="shared" si="591"/>
        <v>1990</v>
      </c>
      <c r="H5984" s="1323">
        <f t="shared" si="592"/>
        <v>10</v>
      </c>
      <c r="I5984" s="1323">
        <f t="shared" si="593"/>
        <v>15</v>
      </c>
      <c r="J5984" s="1323"/>
      <c r="K5984" s="1323"/>
      <c r="L5984" s="1323"/>
      <c r="M5984" s="1323"/>
      <c r="N5984" s="1323"/>
      <c r="O5984" s="1323"/>
      <c r="P5984" s="1323"/>
      <c r="Q5984" s="1323"/>
      <c r="R5984" s="1304"/>
      <c r="S5984" s="1304"/>
      <c r="T5984" s="1304"/>
    </row>
    <row r="5985" spans="1:20">
      <c r="A5985" s="1303"/>
      <c r="B5985" s="1322" t="s">
        <v>13092</v>
      </c>
      <c r="C5985" s="1323" t="s">
        <v>13065</v>
      </c>
      <c r="D5985" s="1324">
        <f t="shared" si="588"/>
        <v>33158</v>
      </c>
      <c r="E5985" s="1323">
        <f t="shared" si="590"/>
        <v>2.5278</v>
      </c>
      <c r="F5985" s="1323">
        <f t="shared" si="589"/>
        <v>3.1149021081675303</v>
      </c>
      <c r="G5985" s="1323">
        <f t="shared" si="591"/>
        <v>1990</v>
      </c>
      <c r="H5985" s="1323">
        <f t="shared" si="592"/>
        <v>10</v>
      </c>
      <c r="I5985" s="1323">
        <f t="shared" si="593"/>
        <v>12</v>
      </c>
      <c r="J5985" s="1323"/>
      <c r="K5985" s="1323"/>
      <c r="L5985" s="1323"/>
      <c r="M5985" s="1323"/>
      <c r="N5985" s="1323"/>
      <c r="O5985" s="1323"/>
      <c r="P5985" s="1323"/>
      <c r="Q5985" s="1323"/>
      <c r="R5985" s="1304"/>
      <c r="S5985" s="1304"/>
      <c r="T5985" s="1304"/>
    </row>
    <row r="5986" spans="1:20">
      <c r="A5986" s="1303"/>
      <c r="B5986" s="1322" t="s">
        <v>13093</v>
      </c>
      <c r="C5986" s="1323" t="s">
        <v>13094</v>
      </c>
      <c r="D5986" s="1324">
        <f t="shared" si="588"/>
        <v>33157</v>
      </c>
      <c r="E5986" s="1323">
        <f t="shared" si="590"/>
        <v>2.5413000000000001</v>
      </c>
      <c r="F5986" s="1323">
        <f t="shared" si="589"/>
        <v>3.1143048442248022</v>
      </c>
      <c r="G5986" s="1323">
        <f t="shared" si="591"/>
        <v>1990</v>
      </c>
      <c r="H5986" s="1323">
        <f t="shared" si="592"/>
        <v>10</v>
      </c>
      <c r="I5986" s="1323">
        <f t="shared" si="593"/>
        <v>11</v>
      </c>
      <c r="J5986" s="1323"/>
      <c r="K5986" s="1323"/>
      <c r="L5986" s="1323"/>
      <c r="M5986" s="1323"/>
      <c r="N5986" s="1323"/>
      <c r="O5986" s="1323"/>
      <c r="P5986" s="1323"/>
      <c r="Q5986" s="1323"/>
      <c r="R5986" s="1304"/>
      <c r="S5986" s="1304"/>
      <c r="T5986" s="1304"/>
    </row>
    <row r="5987" spans="1:20">
      <c r="A5987" s="1303"/>
      <c r="B5987" s="1322" t="s">
        <v>13095</v>
      </c>
      <c r="C5987" s="1323" t="s">
        <v>13096</v>
      </c>
      <c r="D5987" s="1324">
        <f t="shared" si="588"/>
        <v>33155</v>
      </c>
      <c r="E5987" s="1323">
        <f t="shared" si="590"/>
        <v>2.5367999999999999</v>
      </c>
      <c r="F5987" s="1323">
        <f t="shared" si="589"/>
        <v>3.1137076948038809</v>
      </c>
      <c r="G5987" s="1323">
        <f t="shared" si="591"/>
        <v>1990</v>
      </c>
      <c r="H5987" s="1323">
        <f t="shared" si="592"/>
        <v>10</v>
      </c>
      <c r="I5987" s="1323">
        <f t="shared" si="593"/>
        <v>9</v>
      </c>
      <c r="J5987" s="1323"/>
      <c r="K5987" s="1323"/>
      <c r="L5987" s="1323"/>
      <c r="M5987" s="1323"/>
      <c r="N5987" s="1323"/>
      <c r="O5987" s="1323"/>
      <c r="P5987" s="1323"/>
      <c r="Q5987" s="1323"/>
      <c r="R5987" s="1304"/>
      <c r="S5987" s="1304"/>
      <c r="T5987" s="1304"/>
    </row>
    <row r="5988" spans="1:20">
      <c r="A5988" s="1303"/>
      <c r="B5988" s="1322" t="s">
        <v>13097</v>
      </c>
      <c r="C5988" s="1323" t="s">
        <v>13098</v>
      </c>
      <c r="D5988" s="1324">
        <f t="shared" si="588"/>
        <v>33154</v>
      </c>
      <c r="E5988" s="1323">
        <f t="shared" si="590"/>
        <v>2.5484</v>
      </c>
      <c r="F5988" s="1323">
        <f t="shared" si="589"/>
        <v>3.1131106598828073</v>
      </c>
      <c r="G5988" s="1323">
        <f t="shared" si="591"/>
        <v>1990</v>
      </c>
      <c r="H5988" s="1323">
        <f t="shared" si="592"/>
        <v>10</v>
      </c>
      <c r="I5988" s="1323">
        <f t="shared" si="593"/>
        <v>8</v>
      </c>
      <c r="J5988" s="1323"/>
      <c r="K5988" s="1323"/>
      <c r="L5988" s="1323"/>
      <c r="M5988" s="1323"/>
      <c r="N5988" s="1323"/>
      <c r="O5988" s="1323"/>
      <c r="P5988" s="1323"/>
      <c r="Q5988" s="1323"/>
      <c r="R5988" s="1304"/>
      <c r="S5988" s="1304"/>
      <c r="T5988" s="1304"/>
    </row>
    <row r="5989" spans="1:20">
      <c r="A5989" s="1303"/>
      <c r="B5989" s="1322" t="s">
        <v>13099</v>
      </c>
      <c r="C5989" s="1323" t="s">
        <v>12972</v>
      </c>
      <c r="D5989" s="1324">
        <f t="shared" si="588"/>
        <v>33151</v>
      </c>
      <c r="E5989" s="1323">
        <f t="shared" si="590"/>
        <v>2.5592000000000001</v>
      </c>
      <c r="F5989" s="1323">
        <f t="shared" si="589"/>
        <v>3.1125137394396272</v>
      </c>
      <c r="G5989" s="1323">
        <f t="shared" si="591"/>
        <v>1990</v>
      </c>
      <c r="H5989" s="1323">
        <f t="shared" si="592"/>
        <v>10</v>
      </c>
      <c r="I5989" s="1323">
        <f t="shared" si="593"/>
        <v>5</v>
      </c>
      <c r="J5989" s="1323"/>
      <c r="K5989" s="1323"/>
      <c r="L5989" s="1323"/>
      <c r="M5989" s="1323"/>
      <c r="N5989" s="1323"/>
      <c r="O5989" s="1323"/>
      <c r="P5989" s="1323"/>
      <c r="Q5989" s="1323"/>
      <c r="R5989" s="1304"/>
      <c r="S5989" s="1304"/>
      <c r="T5989" s="1304"/>
    </row>
    <row r="5990" spans="1:20">
      <c r="A5990" s="1303"/>
      <c r="B5990" s="1322" t="s">
        <v>13100</v>
      </c>
      <c r="C5990" s="1323" t="s">
        <v>13101</v>
      </c>
      <c r="D5990" s="1324">
        <f t="shared" si="588"/>
        <v>33150</v>
      </c>
      <c r="E5990" s="1323">
        <f t="shared" si="590"/>
        <v>2.5617999999999999</v>
      </c>
      <c r="F5990" s="1323">
        <f t="shared" si="589"/>
        <v>3.1119169334523895</v>
      </c>
      <c r="G5990" s="1323">
        <f t="shared" si="591"/>
        <v>1990</v>
      </c>
      <c r="H5990" s="1323">
        <f t="shared" si="592"/>
        <v>10</v>
      </c>
      <c r="I5990" s="1323">
        <f t="shared" si="593"/>
        <v>4</v>
      </c>
      <c r="J5990" s="1323"/>
      <c r="K5990" s="1323"/>
      <c r="L5990" s="1323"/>
      <c r="M5990" s="1323"/>
      <c r="N5990" s="1323"/>
      <c r="O5990" s="1323"/>
      <c r="P5990" s="1323"/>
      <c r="Q5990" s="1323"/>
      <c r="R5990" s="1304"/>
      <c r="S5990" s="1304"/>
      <c r="T5990" s="1304"/>
    </row>
    <row r="5991" spans="1:20">
      <c r="A5991" s="1303"/>
      <c r="B5991" s="1322" t="s">
        <v>13102</v>
      </c>
      <c r="C5991" s="1323" t="s">
        <v>12984</v>
      </c>
      <c r="D5991" s="1324">
        <f t="shared" si="588"/>
        <v>33149</v>
      </c>
      <c r="E5991" s="1323">
        <f t="shared" si="590"/>
        <v>2.5697000000000001</v>
      </c>
      <c r="F5991" s="1323">
        <f t="shared" si="589"/>
        <v>3.1113202418991484</v>
      </c>
      <c r="G5991" s="1323">
        <f t="shared" si="591"/>
        <v>1990</v>
      </c>
      <c r="H5991" s="1323">
        <f t="shared" si="592"/>
        <v>10</v>
      </c>
      <c r="I5991" s="1323">
        <f t="shared" si="593"/>
        <v>3</v>
      </c>
      <c r="J5991" s="1323"/>
      <c r="K5991" s="1323"/>
      <c r="L5991" s="1323"/>
      <c r="M5991" s="1323"/>
      <c r="N5991" s="1323"/>
      <c r="O5991" s="1323"/>
      <c r="P5991" s="1323"/>
      <c r="Q5991" s="1323"/>
      <c r="R5991" s="1304"/>
      <c r="S5991" s="1304"/>
      <c r="T5991" s="1304"/>
    </row>
    <row r="5992" spans="1:20">
      <c r="A5992" s="1303"/>
      <c r="B5992" s="1322" t="s">
        <v>13103</v>
      </c>
      <c r="C5992" s="1323" t="s">
        <v>13104</v>
      </c>
      <c r="D5992" s="1324">
        <f t="shared" si="588"/>
        <v>33148</v>
      </c>
      <c r="E5992" s="1323">
        <f t="shared" si="590"/>
        <v>2.5756999999999999</v>
      </c>
      <c r="F5992" s="1323">
        <f t="shared" si="589"/>
        <v>3.1107236647579617</v>
      </c>
      <c r="G5992" s="1323">
        <f t="shared" si="591"/>
        <v>1990</v>
      </c>
      <c r="H5992" s="1323">
        <f t="shared" si="592"/>
        <v>10</v>
      </c>
      <c r="I5992" s="1323">
        <f t="shared" si="593"/>
        <v>2</v>
      </c>
      <c r="J5992" s="1323"/>
      <c r="K5992" s="1323"/>
      <c r="L5992" s="1323"/>
      <c r="M5992" s="1323"/>
      <c r="N5992" s="1323"/>
      <c r="O5992" s="1323"/>
      <c r="P5992" s="1323"/>
      <c r="Q5992" s="1323"/>
      <c r="R5992" s="1304"/>
      <c r="S5992" s="1304"/>
      <c r="T5992" s="1304"/>
    </row>
    <row r="5993" spans="1:20">
      <c r="A5993" s="1303"/>
      <c r="B5993" s="1322" t="s">
        <v>13105</v>
      </c>
      <c r="C5993" s="1323" t="s">
        <v>13106</v>
      </c>
      <c r="D5993" s="1324">
        <f t="shared" si="588"/>
        <v>33147</v>
      </c>
      <c r="E5993" s="1323">
        <f t="shared" si="590"/>
        <v>2.5628000000000002</v>
      </c>
      <c r="F5993" s="1323">
        <f t="shared" si="589"/>
        <v>3.110127202006892</v>
      </c>
      <c r="G5993" s="1323">
        <f t="shared" si="591"/>
        <v>1990</v>
      </c>
      <c r="H5993" s="1323">
        <f t="shared" si="592"/>
        <v>10</v>
      </c>
      <c r="I5993" s="1323">
        <f t="shared" si="593"/>
        <v>1</v>
      </c>
      <c r="J5993" s="1323"/>
      <c r="K5993" s="1323"/>
      <c r="L5993" s="1323"/>
      <c r="M5993" s="1323"/>
      <c r="N5993" s="1323"/>
      <c r="O5993" s="1323"/>
      <c r="P5993" s="1323"/>
      <c r="Q5993" s="1323"/>
      <c r="R5993" s="1304"/>
      <c r="S5993" s="1304"/>
      <c r="T5993" s="1304"/>
    </row>
    <row r="5994" spans="1:20">
      <c r="A5994" s="1303"/>
      <c r="B5994" s="1322" t="s">
        <v>13107</v>
      </c>
      <c r="C5994" s="1323" t="s">
        <v>12929</v>
      </c>
      <c r="D5994" s="1324">
        <f t="shared" si="588"/>
        <v>33144</v>
      </c>
      <c r="E5994" s="1323">
        <f t="shared" si="590"/>
        <v>2.5653999999999999</v>
      </c>
      <c r="F5994" s="1323">
        <f t="shared" si="589"/>
        <v>3.1095308536240052</v>
      </c>
      <c r="G5994" s="1323">
        <f t="shared" si="591"/>
        <v>1990</v>
      </c>
      <c r="H5994" s="1323">
        <f t="shared" si="592"/>
        <v>9</v>
      </c>
      <c r="I5994" s="1323">
        <f t="shared" si="593"/>
        <v>28</v>
      </c>
      <c r="J5994" s="1323"/>
      <c r="K5994" s="1323"/>
      <c r="L5994" s="1323"/>
      <c r="M5994" s="1323"/>
      <c r="N5994" s="1323"/>
      <c r="O5994" s="1323"/>
      <c r="P5994" s="1323"/>
      <c r="Q5994" s="1323"/>
      <c r="R5994" s="1304"/>
      <c r="S5994" s="1304"/>
      <c r="T5994" s="1304"/>
    </row>
    <row r="5995" spans="1:20">
      <c r="A5995" s="1303"/>
      <c r="B5995" s="1322" t="s">
        <v>13108</v>
      </c>
      <c r="C5995" s="1323" t="s">
        <v>12986</v>
      </c>
      <c r="D5995" s="1324">
        <f t="shared" si="588"/>
        <v>33143</v>
      </c>
      <c r="E5995" s="1323">
        <f t="shared" si="590"/>
        <v>2.5653999999999999</v>
      </c>
      <c r="F5995" s="1323">
        <f t="shared" si="589"/>
        <v>3.1089346195873717</v>
      </c>
      <c r="G5995" s="1323">
        <f t="shared" si="591"/>
        <v>1990</v>
      </c>
      <c r="H5995" s="1323">
        <f t="shared" si="592"/>
        <v>9</v>
      </c>
      <c r="I5995" s="1323">
        <f t="shared" si="593"/>
        <v>27</v>
      </c>
      <c r="J5995" s="1323"/>
      <c r="K5995" s="1323"/>
      <c r="L5995" s="1323"/>
      <c r="M5995" s="1323"/>
      <c r="N5995" s="1323"/>
      <c r="O5995" s="1323"/>
      <c r="P5995" s="1323"/>
      <c r="Q5995" s="1323"/>
      <c r="R5995" s="1304"/>
      <c r="S5995" s="1304"/>
      <c r="T5995" s="1304"/>
    </row>
    <row r="5996" spans="1:20">
      <c r="A5996" s="1303"/>
      <c r="B5996" s="1322" t="s">
        <v>13109</v>
      </c>
      <c r="C5996" s="1323" t="s">
        <v>12986</v>
      </c>
      <c r="D5996" s="1324">
        <f t="shared" si="588"/>
        <v>33142</v>
      </c>
      <c r="E5996" s="1323">
        <f t="shared" si="590"/>
        <v>2.5680999999999998</v>
      </c>
      <c r="F5996" s="1323">
        <f t="shared" si="589"/>
        <v>3.1083384998750669</v>
      </c>
      <c r="G5996" s="1323">
        <f t="shared" si="591"/>
        <v>1990</v>
      </c>
      <c r="H5996" s="1323">
        <f t="shared" si="592"/>
        <v>9</v>
      </c>
      <c r="I5996" s="1323">
        <f t="shared" si="593"/>
        <v>26</v>
      </c>
      <c r="J5996" s="1323"/>
      <c r="K5996" s="1323"/>
      <c r="L5996" s="1323"/>
      <c r="M5996" s="1323"/>
      <c r="N5996" s="1323"/>
      <c r="O5996" s="1323"/>
      <c r="P5996" s="1323"/>
      <c r="Q5996" s="1323"/>
      <c r="R5996" s="1304"/>
      <c r="S5996" s="1304"/>
      <c r="T5996" s="1304"/>
    </row>
    <row r="5997" spans="1:20">
      <c r="A5997" s="1303"/>
      <c r="B5997" s="1322" t="s">
        <v>13110</v>
      </c>
      <c r="C5997" s="1323" t="s">
        <v>13111</v>
      </c>
      <c r="D5997" s="1324">
        <f t="shared" si="588"/>
        <v>33141</v>
      </c>
      <c r="E5997" s="1323">
        <f t="shared" si="590"/>
        <v>2.5552999999999999</v>
      </c>
      <c r="F5997" s="1323">
        <f t="shared" si="589"/>
        <v>3.1077424944651693</v>
      </c>
      <c r="G5997" s="1323">
        <f t="shared" si="591"/>
        <v>1990</v>
      </c>
      <c r="H5997" s="1323">
        <f t="shared" si="592"/>
        <v>9</v>
      </c>
      <c r="I5997" s="1323">
        <f t="shared" si="593"/>
        <v>25</v>
      </c>
      <c r="J5997" s="1323"/>
      <c r="K5997" s="1323"/>
      <c r="L5997" s="1323"/>
      <c r="M5997" s="1323"/>
      <c r="N5997" s="1323"/>
      <c r="O5997" s="1323"/>
      <c r="P5997" s="1323"/>
      <c r="Q5997" s="1323"/>
      <c r="R5997" s="1304"/>
      <c r="S5997" s="1304"/>
      <c r="T5997" s="1304"/>
    </row>
    <row r="5998" spans="1:20">
      <c r="A5998" s="1303"/>
      <c r="B5998" s="1322" t="s">
        <v>13112</v>
      </c>
      <c r="C5998" s="1323" t="s">
        <v>13014</v>
      </c>
      <c r="D5998" s="1324">
        <f t="shared" si="588"/>
        <v>33140</v>
      </c>
      <c r="E5998" s="1323">
        <f t="shared" si="590"/>
        <v>2.5752999999999999</v>
      </c>
      <c r="F5998" s="1323">
        <f t="shared" si="589"/>
        <v>3.1071466033357624</v>
      </c>
      <c r="G5998" s="1323">
        <f t="shared" si="591"/>
        <v>1990</v>
      </c>
      <c r="H5998" s="1323">
        <f t="shared" si="592"/>
        <v>9</v>
      </c>
      <c r="I5998" s="1323">
        <f t="shared" si="593"/>
        <v>24</v>
      </c>
      <c r="J5998" s="1323"/>
      <c r="K5998" s="1323"/>
      <c r="L5998" s="1323"/>
      <c r="M5998" s="1323"/>
      <c r="N5998" s="1323"/>
      <c r="O5998" s="1323"/>
      <c r="P5998" s="1323"/>
      <c r="Q5998" s="1323"/>
      <c r="R5998" s="1304"/>
      <c r="S5998" s="1304"/>
      <c r="T5998" s="1304"/>
    </row>
    <row r="5999" spans="1:20">
      <c r="A5999" s="1303"/>
      <c r="B5999" s="1322" t="s">
        <v>13113</v>
      </c>
      <c r="C5999" s="1323" t="s">
        <v>13114</v>
      </c>
      <c r="D5999" s="1324">
        <f t="shared" si="588"/>
        <v>33137</v>
      </c>
      <c r="E5999" s="1323">
        <f t="shared" si="590"/>
        <v>2.5767000000000002</v>
      </c>
      <c r="F5999" s="1323">
        <f t="shared" si="589"/>
        <v>3.1065508264649333</v>
      </c>
      <c r="G5999" s="1323">
        <f t="shared" si="591"/>
        <v>1990</v>
      </c>
      <c r="H5999" s="1323">
        <f t="shared" si="592"/>
        <v>9</v>
      </c>
      <c r="I5999" s="1323">
        <f t="shared" si="593"/>
        <v>21</v>
      </c>
      <c r="J5999" s="1323"/>
      <c r="K5999" s="1323"/>
      <c r="L5999" s="1323"/>
      <c r="M5999" s="1323"/>
      <c r="N5999" s="1323"/>
      <c r="O5999" s="1323"/>
      <c r="P5999" s="1323"/>
      <c r="Q5999" s="1323"/>
      <c r="R5999" s="1304"/>
      <c r="S5999" s="1304"/>
      <c r="T5999" s="1304"/>
    </row>
    <row r="6000" spans="1:20">
      <c r="A6000" s="1303"/>
      <c r="B6000" s="1322" t="s">
        <v>13115</v>
      </c>
      <c r="C6000" s="1323" t="s">
        <v>13116</v>
      </c>
      <c r="D6000" s="1324">
        <f t="shared" si="588"/>
        <v>33136</v>
      </c>
      <c r="E6000" s="1323">
        <f t="shared" si="590"/>
        <v>2.5752999999999999</v>
      </c>
      <c r="F6000" s="1323">
        <f t="shared" si="589"/>
        <v>3.1059551638307741</v>
      </c>
      <c r="G6000" s="1323">
        <f t="shared" si="591"/>
        <v>1990</v>
      </c>
      <c r="H6000" s="1323">
        <f t="shared" si="592"/>
        <v>9</v>
      </c>
      <c r="I6000" s="1323">
        <f t="shared" si="593"/>
        <v>20</v>
      </c>
      <c r="J6000" s="1323"/>
      <c r="K6000" s="1323"/>
      <c r="L6000" s="1323"/>
      <c r="M6000" s="1323"/>
      <c r="N6000" s="1323"/>
      <c r="O6000" s="1323"/>
      <c r="P6000" s="1323"/>
      <c r="Q6000" s="1323"/>
      <c r="R6000" s="1304"/>
      <c r="S6000" s="1304"/>
      <c r="T6000" s="1304"/>
    </row>
    <row r="6001" spans="1:20">
      <c r="A6001" s="1303"/>
      <c r="B6001" s="1322" t="s">
        <v>13117</v>
      </c>
      <c r="C6001" s="1323" t="s">
        <v>13114</v>
      </c>
      <c r="D6001" s="1324">
        <f t="shared" si="588"/>
        <v>33135</v>
      </c>
      <c r="E6001" s="1323">
        <f t="shared" si="590"/>
        <v>2.5634000000000001</v>
      </c>
      <c r="F6001" s="1323">
        <f t="shared" si="589"/>
        <v>3.1053596154113801</v>
      </c>
      <c r="G6001" s="1323">
        <f t="shared" si="591"/>
        <v>1990</v>
      </c>
      <c r="H6001" s="1323">
        <f t="shared" si="592"/>
        <v>9</v>
      </c>
      <c r="I6001" s="1323">
        <f t="shared" si="593"/>
        <v>19</v>
      </c>
      <c r="J6001" s="1323"/>
      <c r="K6001" s="1323"/>
      <c r="L6001" s="1323"/>
      <c r="M6001" s="1323"/>
      <c r="N6001" s="1323"/>
      <c r="O6001" s="1323"/>
      <c r="P6001" s="1323"/>
      <c r="Q6001" s="1323"/>
      <c r="R6001" s="1304"/>
      <c r="S6001" s="1304"/>
      <c r="T6001" s="1304"/>
    </row>
    <row r="6002" spans="1:20">
      <c r="A6002" s="1303"/>
      <c r="B6002" s="1322" t="s">
        <v>13118</v>
      </c>
      <c r="C6002" s="1323" t="s">
        <v>13008</v>
      </c>
      <c r="D6002" s="1324">
        <f t="shared" si="588"/>
        <v>33134</v>
      </c>
      <c r="E6002" s="1323">
        <f t="shared" si="590"/>
        <v>2.5628000000000002</v>
      </c>
      <c r="F6002" s="1323">
        <f t="shared" si="589"/>
        <v>3.1047641811848514</v>
      </c>
      <c r="G6002" s="1323">
        <f t="shared" si="591"/>
        <v>1990</v>
      </c>
      <c r="H6002" s="1323">
        <f t="shared" si="592"/>
        <v>9</v>
      </c>
      <c r="I6002" s="1323">
        <f t="shared" si="593"/>
        <v>18</v>
      </c>
      <c r="J6002" s="1323"/>
      <c r="K6002" s="1323"/>
      <c r="L6002" s="1323"/>
      <c r="M6002" s="1323"/>
      <c r="N6002" s="1323"/>
      <c r="O6002" s="1323"/>
      <c r="P6002" s="1323"/>
      <c r="Q6002" s="1323"/>
      <c r="R6002" s="1304"/>
      <c r="S6002" s="1304"/>
      <c r="T6002" s="1304"/>
    </row>
    <row r="6003" spans="1:20">
      <c r="A6003" s="1303"/>
      <c r="B6003" s="1322" t="s">
        <v>13119</v>
      </c>
      <c r="C6003" s="1323" t="s">
        <v>12929</v>
      </c>
      <c r="D6003" s="1324">
        <f t="shared" si="588"/>
        <v>33133</v>
      </c>
      <c r="E6003" s="1323">
        <f t="shared" si="590"/>
        <v>2.5638000000000001</v>
      </c>
      <c r="F6003" s="1323">
        <f t="shared" si="589"/>
        <v>3.1041688611292924</v>
      </c>
      <c r="G6003" s="1323">
        <f t="shared" si="591"/>
        <v>1990</v>
      </c>
      <c r="H6003" s="1323">
        <f t="shared" si="592"/>
        <v>9</v>
      </c>
      <c r="I6003" s="1323">
        <f t="shared" si="593"/>
        <v>17</v>
      </c>
      <c r="J6003" s="1323"/>
      <c r="K6003" s="1323"/>
      <c r="L6003" s="1323"/>
      <c r="M6003" s="1323"/>
      <c r="N6003" s="1323"/>
      <c r="O6003" s="1323"/>
      <c r="P6003" s="1323"/>
      <c r="Q6003" s="1323"/>
      <c r="R6003" s="1304"/>
      <c r="S6003" s="1304"/>
      <c r="T6003" s="1304"/>
    </row>
    <row r="6004" spans="1:20">
      <c r="A6004" s="1303"/>
      <c r="B6004" s="1322" t="s">
        <v>13120</v>
      </c>
      <c r="C6004" s="1323" t="s">
        <v>13121</v>
      </c>
      <c r="D6004" s="1324">
        <f t="shared" si="588"/>
        <v>33130</v>
      </c>
      <c r="E6004" s="1323">
        <f t="shared" si="590"/>
        <v>2.5727000000000002</v>
      </c>
      <c r="F6004" s="1323">
        <f t="shared" si="589"/>
        <v>3.103573655222811</v>
      </c>
      <c r="G6004" s="1323">
        <f t="shared" si="591"/>
        <v>1990</v>
      </c>
      <c r="H6004" s="1323">
        <f t="shared" si="592"/>
        <v>9</v>
      </c>
      <c r="I6004" s="1323">
        <f t="shared" si="593"/>
        <v>14</v>
      </c>
      <c r="J6004" s="1323"/>
      <c r="K6004" s="1323"/>
      <c r="L6004" s="1323"/>
      <c r="M6004" s="1323"/>
      <c r="N6004" s="1323"/>
      <c r="O6004" s="1323"/>
      <c r="P6004" s="1323"/>
      <c r="Q6004" s="1323"/>
      <c r="R6004" s="1304"/>
      <c r="S6004" s="1304"/>
      <c r="T6004" s="1304"/>
    </row>
    <row r="6005" spans="1:20">
      <c r="A6005" s="1303"/>
      <c r="B6005" s="1322" t="s">
        <v>13122</v>
      </c>
      <c r="C6005" s="1323" t="s">
        <v>13001</v>
      </c>
      <c r="D6005" s="1324">
        <f t="shared" si="588"/>
        <v>33129</v>
      </c>
      <c r="E6005" s="1323">
        <f t="shared" si="590"/>
        <v>2.5867</v>
      </c>
      <c r="F6005" s="1323">
        <f t="shared" si="589"/>
        <v>3.1029785634435205</v>
      </c>
      <c r="G6005" s="1323">
        <f t="shared" si="591"/>
        <v>1990</v>
      </c>
      <c r="H6005" s="1323">
        <f t="shared" si="592"/>
        <v>9</v>
      </c>
      <c r="I6005" s="1323">
        <f t="shared" si="593"/>
        <v>13</v>
      </c>
      <c r="J6005" s="1323"/>
      <c r="K6005" s="1323"/>
      <c r="L6005" s="1323"/>
      <c r="M6005" s="1323"/>
      <c r="N6005" s="1323"/>
      <c r="O6005" s="1323"/>
      <c r="P6005" s="1323"/>
      <c r="Q6005" s="1323"/>
      <c r="R6005" s="1304"/>
      <c r="S6005" s="1304"/>
      <c r="T6005" s="1304"/>
    </row>
    <row r="6006" spans="1:20">
      <c r="A6006" s="1303"/>
      <c r="B6006" s="1322" t="s">
        <v>13123</v>
      </c>
      <c r="C6006" s="1323" t="s">
        <v>13124</v>
      </c>
      <c r="D6006" s="1324">
        <f t="shared" si="588"/>
        <v>33128</v>
      </c>
      <c r="E6006" s="1323">
        <f t="shared" si="590"/>
        <v>2.5815999999999999</v>
      </c>
      <c r="F6006" s="1323">
        <f t="shared" si="589"/>
        <v>3.1023835857695374</v>
      </c>
      <c r="G6006" s="1323">
        <f t="shared" si="591"/>
        <v>1990</v>
      </c>
      <c r="H6006" s="1323">
        <f t="shared" si="592"/>
        <v>9</v>
      </c>
      <c r="I6006" s="1323">
        <f t="shared" si="593"/>
        <v>12</v>
      </c>
      <c r="J6006" s="1323"/>
      <c r="K6006" s="1323"/>
      <c r="L6006" s="1323"/>
      <c r="M6006" s="1323"/>
      <c r="N6006" s="1323"/>
      <c r="O6006" s="1323"/>
      <c r="P6006" s="1323"/>
      <c r="Q6006" s="1323"/>
      <c r="R6006" s="1304"/>
      <c r="S6006" s="1304"/>
      <c r="T6006" s="1304"/>
    </row>
    <row r="6007" spans="1:20">
      <c r="A6007" s="1303"/>
      <c r="B6007" s="1322" t="s">
        <v>13125</v>
      </c>
      <c r="C6007" s="1323" t="s">
        <v>12994</v>
      </c>
      <c r="D6007" s="1324">
        <f t="shared" si="588"/>
        <v>33127</v>
      </c>
      <c r="E6007" s="1323">
        <f t="shared" si="590"/>
        <v>2.581</v>
      </c>
      <c r="F6007" s="1323">
        <f t="shared" si="589"/>
        <v>3.1017887221789824</v>
      </c>
      <c r="G6007" s="1323">
        <f t="shared" si="591"/>
        <v>1990</v>
      </c>
      <c r="H6007" s="1323">
        <f t="shared" si="592"/>
        <v>9</v>
      </c>
      <c r="I6007" s="1323">
        <f t="shared" si="593"/>
        <v>11</v>
      </c>
      <c r="J6007" s="1323"/>
      <c r="K6007" s="1323"/>
      <c r="L6007" s="1323"/>
      <c r="M6007" s="1323"/>
      <c r="N6007" s="1323"/>
      <c r="O6007" s="1323"/>
      <c r="P6007" s="1323"/>
      <c r="Q6007" s="1323"/>
      <c r="R6007" s="1304"/>
      <c r="S6007" s="1304"/>
      <c r="T6007" s="1304"/>
    </row>
    <row r="6008" spans="1:20">
      <c r="A6008" s="1303"/>
      <c r="B6008" s="1322" t="s">
        <v>13126</v>
      </c>
      <c r="C6008" s="1323" t="s">
        <v>13127</v>
      </c>
      <c r="D6008" s="1324">
        <f t="shared" si="588"/>
        <v>33126</v>
      </c>
      <c r="E6008" s="1323">
        <f t="shared" si="590"/>
        <v>2.5739999999999998</v>
      </c>
      <c r="F6008" s="1323">
        <f t="shared" si="589"/>
        <v>3.1011939726499809</v>
      </c>
      <c r="G6008" s="1323">
        <f t="shared" si="591"/>
        <v>1990</v>
      </c>
      <c r="H6008" s="1323">
        <f t="shared" si="592"/>
        <v>9</v>
      </c>
      <c r="I6008" s="1323">
        <f t="shared" si="593"/>
        <v>10</v>
      </c>
      <c r="J6008" s="1323"/>
      <c r="K6008" s="1323"/>
      <c r="L6008" s="1323"/>
      <c r="M6008" s="1323"/>
      <c r="N6008" s="1323"/>
      <c r="O6008" s="1323"/>
      <c r="P6008" s="1323"/>
      <c r="Q6008" s="1323"/>
      <c r="R6008" s="1304"/>
      <c r="S6008" s="1304"/>
      <c r="T6008" s="1304"/>
    </row>
    <row r="6009" spans="1:20">
      <c r="A6009" s="1303"/>
      <c r="B6009" s="1322" t="s">
        <v>13128</v>
      </c>
      <c r="C6009" s="1323" t="s">
        <v>13129</v>
      </c>
      <c r="D6009" s="1324">
        <f t="shared" si="588"/>
        <v>33123</v>
      </c>
      <c r="E6009" s="1323">
        <f t="shared" si="590"/>
        <v>2.5638000000000001</v>
      </c>
      <c r="F6009" s="1323">
        <f t="shared" si="589"/>
        <v>3.1005993371606624</v>
      </c>
      <c r="G6009" s="1323">
        <f t="shared" si="591"/>
        <v>1990</v>
      </c>
      <c r="H6009" s="1323">
        <f t="shared" si="592"/>
        <v>9</v>
      </c>
      <c r="I6009" s="1323">
        <f t="shared" si="593"/>
        <v>7</v>
      </c>
      <c r="J6009" s="1323"/>
      <c r="K6009" s="1323"/>
      <c r="L6009" s="1323"/>
      <c r="M6009" s="1323"/>
      <c r="N6009" s="1323"/>
      <c r="O6009" s="1323"/>
      <c r="P6009" s="1323"/>
      <c r="Q6009" s="1323"/>
      <c r="R6009" s="1304"/>
      <c r="S6009" s="1304"/>
      <c r="T6009" s="1304"/>
    </row>
    <row r="6010" spans="1:20">
      <c r="A6010" s="1303"/>
      <c r="B6010" s="1322" t="s">
        <v>13130</v>
      </c>
      <c r="C6010" s="1323" t="s">
        <v>13121</v>
      </c>
      <c r="D6010" s="1324">
        <f t="shared" si="588"/>
        <v>33122</v>
      </c>
      <c r="E6010" s="1323">
        <f t="shared" si="590"/>
        <v>2.5571999999999999</v>
      </c>
      <c r="F6010" s="1323">
        <f t="shared" si="589"/>
        <v>3.1000048156891604</v>
      </c>
      <c r="G6010" s="1323">
        <f t="shared" si="591"/>
        <v>1990</v>
      </c>
      <c r="H6010" s="1323">
        <f t="shared" si="592"/>
        <v>9</v>
      </c>
      <c r="I6010" s="1323">
        <f t="shared" si="593"/>
        <v>6</v>
      </c>
      <c r="J6010" s="1323"/>
      <c r="K6010" s="1323"/>
      <c r="L6010" s="1323"/>
      <c r="M6010" s="1323"/>
      <c r="N6010" s="1323"/>
      <c r="O6010" s="1323"/>
      <c r="P6010" s="1323"/>
      <c r="Q6010" s="1323"/>
      <c r="R6010" s="1304"/>
      <c r="S6010" s="1304"/>
      <c r="T6010" s="1304"/>
    </row>
    <row r="6011" spans="1:20">
      <c r="A6011" s="1303"/>
      <c r="B6011" s="1322" t="s">
        <v>13131</v>
      </c>
      <c r="C6011" s="1323" t="s">
        <v>13132</v>
      </c>
      <c r="D6011" s="1324">
        <f t="shared" si="588"/>
        <v>33121</v>
      </c>
      <c r="E6011" s="1323">
        <f t="shared" si="590"/>
        <v>2.5657000000000001</v>
      </c>
      <c r="F6011" s="1323">
        <f t="shared" si="589"/>
        <v>3.0994104082136125</v>
      </c>
      <c r="G6011" s="1323">
        <f t="shared" si="591"/>
        <v>1990</v>
      </c>
      <c r="H6011" s="1323">
        <f t="shared" si="592"/>
        <v>9</v>
      </c>
      <c r="I6011" s="1323">
        <f t="shared" si="593"/>
        <v>5</v>
      </c>
      <c r="J6011" s="1323"/>
      <c r="K6011" s="1323"/>
      <c r="L6011" s="1323"/>
      <c r="M6011" s="1323"/>
      <c r="N6011" s="1323"/>
      <c r="O6011" s="1323"/>
      <c r="P6011" s="1323"/>
      <c r="Q6011" s="1323"/>
      <c r="R6011" s="1304"/>
      <c r="S6011" s="1304"/>
      <c r="T6011" s="1304"/>
    </row>
    <row r="6012" spans="1:20">
      <c r="A6012" s="1303"/>
      <c r="B6012" s="1322" t="s">
        <v>13133</v>
      </c>
      <c r="C6012" s="1323" t="s">
        <v>13134</v>
      </c>
      <c r="D6012" s="1324">
        <f t="shared" si="588"/>
        <v>33120</v>
      </c>
      <c r="E6012" s="1323">
        <f t="shared" si="590"/>
        <v>2.5716999999999999</v>
      </c>
      <c r="F6012" s="1323">
        <f t="shared" si="589"/>
        <v>3.0988161147121609</v>
      </c>
      <c r="G6012" s="1323">
        <f t="shared" si="591"/>
        <v>1990</v>
      </c>
      <c r="H6012" s="1323">
        <f t="shared" si="592"/>
        <v>9</v>
      </c>
      <c r="I6012" s="1323">
        <f t="shared" si="593"/>
        <v>4</v>
      </c>
      <c r="J6012" s="1323"/>
      <c r="K6012" s="1323"/>
      <c r="L6012" s="1323"/>
      <c r="M6012" s="1323"/>
      <c r="N6012" s="1323"/>
      <c r="O6012" s="1323"/>
      <c r="P6012" s="1323"/>
      <c r="Q6012" s="1323"/>
      <c r="R6012" s="1304"/>
      <c r="S6012" s="1304"/>
      <c r="T6012" s="1304"/>
    </row>
    <row r="6013" spans="1:20">
      <c r="A6013" s="1303"/>
      <c r="B6013" s="1322" t="s">
        <v>13135</v>
      </c>
      <c r="C6013" s="1323" t="s">
        <v>13136</v>
      </c>
      <c r="D6013" s="1324">
        <f t="shared" si="588"/>
        <v>33119</v>
      </c>
      <c r="E6013" s="1323">
        <f t="shared" si="590"/>
        <v>2.5792999999999999</v>
      </c>
      <c r="F6013" s="1323">
        <f t="shared" si="589"/>
        <v>3.0982219351629516</v>
      </c>
      <c r="G6013" s="1323">
        <f t="shared" si="591"/>
        <v>1990</v>
      </c>
      <c r="H6013" s="1323">
        <f t="shared" si="592"/>
        <v>9</v>
      </c>
      <c r="I6013" s="1323">
        <f t="shared" si="593"/>
        <v>3</v>
      </c>
      <c r="J6013" s="1323"/>
      <c r="K6013" s="1323"/>
      <c r="L6013" s="1323"/>
      <c r="M6013" s="1323"/>
      <c r="N6013" s="1323"/>
      <c r="O6013" s="1323"/>
      <c r="P6013" s="1323"/>
      <c r="Q6013" s="1323"/>
      <c r="R6013" s="1304"/>
      <c r="S6013" s="1304"/>
      <c r="T6013" s="1304"/>
    </row>
    <row r="6014" spans="1:20">
      <c r="A6014" s="1303"/>
      <c r="B6014" s="1322" t="s">
        <v>13137</v>
      </c>
      <c r="C6014" s="1323" t="s">
        <v>12927</v>
      </c>
      <c r="D6014" s="1324">
        <f t="shared" si="588"/>
        <v>33116</v>
      </c>
      <c r="E6014" s="1323">
        <f t="shared" si="590"/>
        <v>2.5608</v>
      </c>
      <c r="F6014" s="1323">
        <f t="shared" si="589"/>
        <v>3.097627869544135</v>
      </c>
      <c r="G6014" s="1323">
        <f t="shared" si="591"/>
        <v>1990</v>
      </c>
      <c r="H6014" s="1323">
        <f t="shared" si="592"/>
        <v>8</v>
      </c>
      <c r="I6014" s="1323">
        <f t="shared" si="593"/>
        <v>31</v>
      </c>
      <c r="J6014" s="1323"/>
      <c r="K6014" s="1323"/>
      <c r="L6014" s="1323"/>
      <c r="M6014" s="1323"/>
      <c r="N6014" s="1323"/>
      <c r="O6014" s="1323"/>
      <c r="P6014" s="1323"/>
      <c r="Q6014" s="1323"/>
      <c r="R6014" s="1304"/>
      <c r="S6014" s="1304"/>
      <c r="T6014" s="1304"/>
    </row>
    <row r="6015" spans="1:20">
      <c r="A6015" s="1303"/>
      <c r="B6015" s="1322" t="s">
        <v>13138</v>
      </c>
      <c r="C6015" s="1323" t="s">
        <v>13139</v>
      </c>
      <c r="D6015" s="1324">
        <f t="shared" si="588"/>
        <v>33115</v>
      </c>
      <c r="E6015" s="1323">
        <f t="shared" si="590"/>
        <v>2.5592000000000001</v>
      </c>
      <c r="F6015" s="1323">
        <f t="shared" si="589"/>
        <v>3.0970339178338655</v>
      </c>
      <c r="G6015" s="1323">
        <f t="shared" si="591"/>
        <v>1990</v>
      </c>
      <c r="H6015" s="1323">
        <f t="shared" si="592"/>
        <v>8</v>
      </c>
      <c r="I6015" s="1323">
        <f t="shared" si="593"/>
        <v>30</v>
      </c>
      <c r="J6015" s="1323"/>
      <c r="K6015" s="1323"/>
      <c r="L6015" s="1323"/>
      <c r="M6015" s="1323"/>
      <c r="N6015" s="1323"/>
      <c r="O6015" s="1323"/>
      <c r="P6015" s="1323"/>
      <c r="Q6015" s="1323"/>
      <c r="R6015" s="1304"/>
      <c r="S6015" s="1304"/>
      <c r="T6015" s="1304"/>
    </row>
    <row r="6016" spans="1:20">
      <c r="A6016" s="1303"/>
      <c r="B6016" s="1322" t="s">
        <v>13140</v>
      </c>
      <c r="C6016" s="1323" t="s">
        <v>13101</v>
      </c>
      <c r="D6016" s="1324">
        <f t="shared" si="588"/>
        <v>33114</v>
      </c>
      <c r="E6016" s="1323">
        <f t="shared" si="590"/>
        <v>2.5533000000000001</v>
      </c>
      <c r="F6016" s="1323">
        <f t="shared" si="589"/>
        <v>3.0964400800103018</v>
      </c>
      <c r="G6016" s="1323">
        <f t="shared" si="591"/>
        <v>1990</v>
      </c>
      <c r="H6016" s="1323">
        <f t="shared" si="592"/>
        <v>8</v>
      </c>
      <c r="I6016" s="1323">
        <f t="shared" si="593"/>
        <v>29</v>
      </c>
      <c r="J6016" s="1323"/>
      <c r="K6016" s="1323"/>
      <c r="L6016" s="1323"/>
      <c r="M6016" s="1323"/>
      <c r="N6016" s="1323"/>
      <c r="O6016" s="1323"/>
      <c r="P6016" s="1323"/>
      <c r="Q6016" s="1323"/>
      <c r="R6016" s="1304"/>
      <c r="S6016" s="1304"/>
      <c r="T6016" s="1304"/>
    </row>
    <row r="6017" spans="1:20">
      <c r="A6017" s="1303"/>
      <c r="B6017" s="1322" t="s">
        <v>13141</v>
      </c>
      <c r="C6017" s="1323" t="s">
        <v>13142</v>
      </c>
      <c r="D6017" s="1324">
        <f t="shared" si="588"/>
        <v>33113</v>
      </c>
      <c r="E6017" s="1323">
        <f t="shared" si="590"/>
        <v>2.5535999999999999</v>
      </c>
      <c r="F6017" s="1323">
        <f t="shared" si="589"/>
        <v>3.0958463560516067</v>
      </c>
      <c r="G6017" s="1323">
        <f t="shared" si="591"/>
        <v>1990</v>
      </c>
      <c r="H6017" s="1323">
        <f t="shared" si="592"/>
        <v>8</v>
      </c>
      <c r="I6017" s="1323">
        <f t="shared" si="593"/>
        <v>28</v>
      </c>
      <c r="J6017" s="1323"/>
      <c r="K6017" s="1323"/>
      <c r="L6017" s="1323"/>
      <c r="M6017" s="1323"/>
      <c r="N6017" s="1323"/>
      <c r="O6017" s="1323"/>
      <c r="P6017" s="1323"/>
      <c r="Q6017" s="1323"/>
      <c r="R6017" s="1304"/>
      <c r="S6017" s="1304"/>
      <c r="T6017" s="1304"/>
    </row>
    <row r="6018" spans="1:20">
      <c r="A6018" s="1303"/>
      <c r="B6018" s="1322" t="s">
        <v>13143</v>
      </c>
      <c r="C6018" s="1323" t="s">
        <v>13144</v>
      </c>
      <c r="D6018" s="1324">
        <f t="shared" si="588"/>
        <v>33112</v>
      </c>
      <c r="E6018" s="1323">
        <f t="shared" si="590"/>
        <v>2.5451999999999999</v>
      </c>
      <c r="F6018" s="1323">
        <f t="shared" si="589"/>
        <v>3.0952527459359476</v>
      </c>
      <c r="G6018" s="1323">
        <f t="shared" si="591"/>
        <v>1990</v>
      </c>
      <c r="H6018" s="1323">
        <f t="shared" si="592"/>
        <v>8</v>
      </c>
      <c r="I6018" s="1323">
        <f t="shared" si="593"/>
        <v>27</v>
      </c>
      <c r="J6018" s="1323"/>
      <c r="K6018" s="1323"/>
      <c r="L6018" s="1323"/>
      <c r="M6018" s="1323"/>
      <c r="N6018" s="1323"/>
      <c r="O6018" s="1323"/>
      <c r="P6018" s="1323"/>
      <c r="Q6018" s="1323"/>
      <c r="R6018" s="1304"/>
      <c r="S6018" s="1304"/>
      <c r="T6018" s="1304"/>
    </row>
    <row r="6019" spans="1:20">
      <c r="A6019" s="1303"/>
      <c r="B6019" s="1322" t="s">
        <v>13145</v>
      </c>
      <c r="C6019" s="1323" t="s">
        <v>12941</v>
      </c>
      <c r="D6019" s="1324">
        <f t="shared" si="588"/>
        <v>33109</v>
      </c>
      <c r="E6019" s="1323">
        <f t="shared" si="590"/>
        <v>2.5510000000000002</v>
      </c>
      <c r="F6019" s="1323">
        <f t="shared" si="589"/>
        <v>3.0946592496414955</v>
      </c>
      <c r="G6019" s="1323">
        <f t="shared" si="591"/>
        <v>1990</v>
      </c>
      <c r="H6019" s="1323">
        <f t="shared" si="592"/>
        <v>8</v>
      </c>
      <c r="I6019" s="1323">
        <f t="shared" si="593"/>
        <v>24</v>
      </c>
      <c r="J6019" s="1323"/>
      <c r="K6019" s="1323"/>
      <c r="L6019" s="1323"/>
      <c r="M6019" s="1323"/>
      <c r="N6019" s="1323"/>
      <c r="O6019" s="1323"/>
      <c r="P6019" s="1323"/>
      <c r="Q6019" s="1323"/>
      <c r="R6019" s="1304"/>
      <c r="S6019" s="1304"/>
      <c r="T6019" s="1304"/>
    </row>
    <row r="6020" spans="1:20">
      <c r="A6020" s="1303"/>
      <c r="B6020" s="1322" t="s">
        <v>13146</v>
      </c>
      <c r="C6020" s="1323" t="s">
        <v>13147</v>
      </c>
      <c r="D6020" s="1324">
        <f t="shared" si="588"/>
        <v>33108</v>
      </c>
      <c r="E6020" s="1323">
        <f t="shared" si="590"/>
        <v>2.5571999999999999</v>
      </c>
      <c r="F6020" s="1323">
        <f t="shared" si="589"/>
        <v>3.0940658671464263</v>
      </c>
      <c r="G6020" s="1323">
        <f t="shared" si="591"/>
        <v>1990</v>
      </c>
      <c r="H6020" s="1323">
        <f t="shared" si="592"/>
        <v>8</v>
      </c>
      <c r="I6020" s="1323">
        <f t="shared" si="593"/>
        <v>23</v>
      </c>
      <c r="J6020" s="1323"/>
      <c r="K6020" s="1323"/>
      <c r="L6020" s="1323"/>
      <c r="M6020" s="1323"/>
      <c r="N6020" s="1323"/>
      <c r="O6020" s="1323"/>
      <c r="P6020" s="1323"/>
      <c r="Q6020" s="1323"/>
      <c r="R6020" s="1304"/>
      <c r="S6020" s="1304"/>
      <c r="T6020" s="1304"/>
    </row>
    <row r="6021" spans="1:20">
      <c r="A6021" s="1303"/>
      <c r="B6021" s="1322" t="s">
        <v>13148</v>
      </c>
      <c r="C6021" s="1323" t="s">
        <v>13132</v>
      </c>
      <c r="D6021" s="1324">
        <f t="shared" si="588"/>
        <v>33107</v>
      </c>
      <c r="E6021" s="1323">
        <f t="shared" si="590"/>
        <v>2.5617999999999999</v>
      </c>
      <c r="F6021" s="1323">
        <f t="shared" si="589"/>
        <v>3.0934725984289191</v>
      </c>
      <c r="G6021" s="1323">
        <f t="shared" si="591"/>
        <v>1990</v>
      </c>
      <c r="H6021" s="1323">
        <f t="shared" si="592"/>
        <v>8</v>
      </c>
      <c r="I6021" s="1323">
        <f t="shared" si="593"/>
        <v>22</v>
      </c>
      <c r="J6021" s="1323"/>
      <c r="K6021" s="1323"/>
      <c r="L6021" s="1323"/>
      <c r="M6021" s="1323"/>
      <c r="N6021" s="1323"/>
      <c r="O6021" s="1323"/>
      <c r="P6021" s="1323"/>
      <c r="Q6021" s="1323"/>
      <c r="R6021" s="1304"/>
      <c r="S6021" s="1304"/>
      <c r="T6021" s="1304"/>
    </row>
    <row r="6022" spans="1:20">
      <c r="A6022" s="1303"/>
      <c r="B6022" s="1322" t="s">
        <v>13149</v>
      </c>
      <c r="C6022" s="1323" t="s">
        <v>12984</v>
      </c>
      <c r="D6022" s="1324">
        <f t="shared" si="588"/>
        <v>33106</v>
      </c>
      <c r="E6022" s="1323">
        <f t="shared" si="590"/>
        <v>2.5676999999999999</v>
      </c>
      <c r="F6022" s="1323">
        <f t="shared" si="589"/>
        <v>3.092879443467158</v>
      </c>
      <c r="G6022" s="1323">
        <f t="shared" si="591"/>
        <v>1990</v>
      </c>
      <c r="H6022" s="1323">
        <f t="shared" si="592"/>
        <v>8</v>
      </c>
      <c r="I6022" s="1323">
        <f t="shared" si="593"/>
        <v>21</v>
      </c>
      <c r="J6022" s="1323"/>
      <c r="K6022" s="1323"/>
      <c r="L6022" s="1323"/>
      <c r="M6022" s="1323"/>
      <c r="N6022" s="1323"/>
      <c r="O6022" s="1323"/>
      <c r="P6022" s="1323"/>
      <c r="Q6022" s="1323"/>
      <c r="R6022" s="1304"/>
      <c r="S6022" s="1304"/>
      <c r="T6022" s="1304"/>
    </row>
    <row r="6023" spans="1:20">
      <c r="A6023" s="1303"/>
      <c r="B6023" s="1322" t="s">
        <v>13150</v>
      </c>
      <c r="C6023" s="1323" t="s">
        <v>13151</v>
      </c>
      <c r="D6023" s="1324">
        <f t="shared" si="588"/>
        <v>33105</v>
      </c>
      <c r="E6023" s="1323">
        <f t="shared" si="590"/>
        <v>2.5739999999999998</v>
      </c>
      <c r="F6023" s="1323">
        <f t="shared" si="589"/>
        <v>3.0922864022393313</v>
      </c>
      <c r="G6023" s="1323">
        <f t="shared" si="591"/>
        <v>1990</v>
      </c>
      <c r="H6023" s="1323">
        <f t="shared" si="592"/>
        <v>8</v>
      </c>
      <c r="I6023" s="1323">
        <f t="shared" si="593"/>
        <v>20</v>
      </c>
      <c r="J6023" s="1323"/>
      <c r="K6023" s="1323"/>
      <c r="L6023" s="1323"/>
      <c r="M6023" s="1323"/>
      <c r="N6023" s="1323"/>
      <c r="O6023" s="1323"/>
      <c r="P6023" s="1323"/>
      <c r="Q6023" s="1323"/>
      <c r="R6023" s="1304"/>
      <c r="S6023" s="1304"/>
      <c r="T6023" s="1304"/>
    </row>
    <row r="6024" spans="1:20">
      <c r="A6024" s="1303"/>
      <c r="B6024" s="1322" t="s">
        <v>13152</v>
      </c>
      <c r="C6024" s="1323" t="s">
        <v>13129</v>
      </c>
      <c r="D6024" s="1324">
        <f t="shared" si="588"/>
        <v>33102</v>
      </c>
      <c r="E6024" s="1323">
        <f t="shared" si="590"/>
        <v>2.5657000000000001</v>
      </c>
      <c r="F6024" s="1323">
        <f t="shared" si="589"/>
        <v>3.0916934747236309</v>
      </c>
      <c r="G6024" s="1323">
        <f t="shared" si="591"/>
        <v>1990</v>
      </c>
      <c r="H6024" s="1323">
        <f t="shared" si="592"/>
        <v>8</v>
      </c>
      <c r="I6024" s="1323">
        <f t="shared" si="593"/>
        <v>17</v>
      </c>
      <c r="J6024" s="1323"/>
      <c r="K6024" s="1323"/>
      <c r="L6024" s="1323"/>
      <c r="M6024" s="1323"/>
      <c r="N6024" s="1323"/>
      <c r="O6024" s="1323"/>
      <c r="P6024" s="1323"/>
      <c r="Q6024" s="1323"/>
      <c r="R6024" s="1304"/>
      <c r="S6024" s="1304"/>
      <c r="T6024" s="1304"/>
    </row>
    <row r="6025" spans="1:20">
      <c r="A6025" s="1303"/>
      <c r="B6025" s="1322" t="s">
        <v>13153</v>
      </c>
      <c r="C6025" s="1323" t="s">
        <v>13134</v>
      </c>
      <c r="D6025" s="1324">
        <f t="shared" ref="D6025:D6088" si="594">DATE(G6025,H6025,I6025)</f>
        <v>33101</v>
      </c>
      <c r="E6025" s="1323">
        <f t="shared" si="590"/>
        <v>2.5747</v>
      </c>
      <c r="F6025" s="1323">
        <f t="shared" ref="F6025:F6088" si="595">F6026*(1+$F$7/365)</f>
        <v>3.091100660898253</v>
      </c>
      <c r="G6025" s="1323">
        <f t="shared" si="591"/>
        <v>1990</v>
      </c>
      <c r="H6025" s="1323">
        <f t="shared" si="592"/>
        <v>8</v>
      </c>
      <c r="I6025" s="1323">
        <f t="shared" si="593"/>
        <v>16</v>
      </c>
      <c r="J6025" s="1323"/>
      <c r="K6025" s="1323"/>
      <c r="L6025" s="1323"/>
      <c r="M6025" s="1323"/>
      <c r="N6025" s="1323"/>
      <c r="O6025" s="1323"/>
      <c r="P6025" s="1323"/>
      <c r="Q6025" s="1323"/>
      <c r="R6025" s="1304"/>
      <c r="S6025" s="1304"/>
      <c r="T6025" s="1304"/>
    </row>
    <row r="6026" spans="1:20">
      <c r="A6026" s="1303"/>
      <c r="B6026" s="1322" t="s">
        <v>13154</v>
      </c>
      <c r="C6026" s="1323" t="s">
        <v>13155</v>
      </c>
      <c r="D6026" s="1324">
        <f t="shared" si="594"/>
        <v>33100</v>
      </c>
      <c r="E6026" s="1323">
        <f t="shared" si="590"/>
        <v>2.5737000000000001</v>
      </c>
      <c r="F6026" s="1323">
        <f t="shared" si="595"/>
        <v>3.0905079607413986</v>
      </c>
      <c r="G6026" s="1323">
        <f t="shared" si="591"/>
        <v>1990</v>
      </c>
      <c r="H6026" s="1323">
        <f t="shared" si="592"/>
        <v>8</v>
      </c>
      <c r="I6026" s="1323">
        <f t="shared" si="593"/>
        <v>15</v>
      </c>
      <c r="J6026" s="1323"/>
      <c r="K6026" s="1323"/>
      <c r="L6026" s="1323"/>
      <c r="M6026" s="1323"/>
      <c r="N6026" s="1323"/>
      <c r="O6026" s="1323"/>
      <c r="P6026" s="1323"/>
      <c r="Q6026" s="1323"/>
      <c r="R6026" s="1304"/>
      <c r="S6026" s="1304"/>
      <c r="T6026" s="1304"/>
    </row>
    <row r="6027" spans="1:20">
      <c r="A6027" s="1303"/>
      <c r="B6027" s="1322" t="s">
        <v>13156</v>
      </c>
      <c r="C6027" s="1323" t="s">
        <v>13157</v>
      </c>
      <c r="D6027" s="1324">
        <f t="shared" si="594"/>
        <v>33099</v>
      </c>
      <c r="E6027" s="1323">
        <f t="shared" si="590"/>
        <v>2.5819999999999999</v>
      </c>
      <c r="F6027" s="1323">
        <f t="shared" si="595"/>
        <v>3.0899153742312717</v>
      </c>
      <c r="G6027" s="1323">
        <f t="shared" si="591"/>
        <v>1990</v>
      </c>
      <c r="H6027" s="1323">
        <f t="shared" si="592"/>
        <v>8</v>
      </c>
      <c r="I6027" s="1323">
        <f t="shared" si="593"/>
        <v>14</v>
      </c>
      <c r="J6027" s="1323"/>
      <c r="K6027" s="1323"/>
      <c r="L6027" s="1323"/>
      <c r="M6027" s="1323"/>
      <c r="N6027" s="1323"/>
      <c r="O6027" s="1323"/>
      <c r="P6027" s="1323"/>
      <c r="Q6027" s="1323"/>
      <c r="R6027" s="1304"/>
      <c r="S6027" s="1304"/>
      <c r="T6027" s="1304"/>
    </row>
    <row r="6028" spans="1:20">
      <c r="A6028" s="1303"/>
      <c r="B6028" s="1322" t="s">
        <v>13158</v>
      </c>
      <c r="C6028" s="1323" t="s">
        <v>13159</v>
      </c>
      <c r="D6028" s="1324">
        <f t="shared" si="594"/>
        <v>33098</v>
      </c>
      <c r="E6028" s="1323">
        <f t="shared" si="590"/>
        <v>2.5836000000000001</v>
      </c>
      <c r="F6028" s="1323">
        <f t="shared" si="595"/>
        <v>3.0893229013460819</v>
      </c>
      <c r="G6028" s="1323">
        <f t="shared" si="591"/>
        <v>1990</v>
      </c>
      <c r="H6028" s="1323">
        <f t="shared" si="592"/>
        <v>8</v>
      </c>
      <c r="I6028" s="1323">
        <f t="shared" si="593"/>
        <v>13</v>
      </c>
      <c r="J6028" s="1323"/>
      <c r="K6028" s="1323"/>
      <c r="L6028" s="1323"/>
      <c r="M6028" s="1323"/>
      <c r="N6028" s="1323"/>
      <c r="O6028" s="1323"/>
      <c r="P6028" s="1323"/>
      <c r="Q6028" s="1323"/>
      <c r="R6028" s="1304"/>
      <c r="S6028" s="1304"/>
      <c r="T6028" s="1304"/>
    </row>
    <row r="6029" spans="1:20">
      <c r="A6029" s="1303"/>
      <c r="B6029" s="1322" t="s">
        <v>13160</v>
      </c>
      <c r="C6029" s="1323" t="s">
        <v>13161</v>
      </c>
      <c r="D6029" s="1324">
        <f t="shared" si="594"/>
        <v>33095</v>
      </c>
      <c r="E6029" s="1323">
        <f t="shared" si="590"/>
        <v>2.5973999999999999</v>
      </c>
      <c r="F6029" s="1323">
        <f t="shared" si="595"/>
        <v>3.0887305420640421</v>
      </c>
      <c r="G6029" s="1323">
        <f t="shared" si="591"/>
        <v>1990</v>
      </c>
      <c r="H6029" s="1323">
        <f t="shared" si="592"/>
        <v>8</v>
      </c>
      <c r="I6029" s="1323">
        <f t="shared" si="593"/>
        <v>10</v>
      </c>
      <c r="J6029" s="1323"/>
      <c r="K6029" s="1323"/>
      <c r="L6029" s="1323"/>
      <c r="M6029" s="1323"/>
      <c r="N6029" s="1323"/>
      <c r="O6029" s="1323"/>
      <c r="P6029" s="1323"/>
      <c r="Q6029" s="1323"/>
      <c r="R6029" s="1304"/>
      <c r="S6029" s="1304"/>
      <c r="T6029" s="1304"/>
    </row>
    <row r="6030" spans="1:20">
      <c r="A6030" s="1303"/>
      <c r="B6030" s="1322" t="s">
        <v>13162</v>
      </c>
      <c r="C6030" s="1323" t="s">
        <v>13163</v>
      </c>
      <c r="D6030" s="1324">
        <f t="shared" si="594"/>
        <v>33094</v>
      </c>
      <c r="E6030" s="1323">
        <f t="shared" si="590"/>
        <v>2.5916999999999999</v>
      </c>
      <c r="F6030" s="1323">
        <f t="shared" si="595"/>
        <v>3.0881382963633697</v>
      </c>
      <c r="G6030" s="1323">
        <f t="shared" si="591"/>
        <v>1990</v>
      </c>
      <c r="H6030" s="1323">
        <f t="shared" si="592"/>
        <v>8</v>
      </c>
      <c r="I6030" s="1323">
        <f t="shared" si="593"/>
        <v>9</v>
      </c>
      <c r="J6030" s="1323"/>
      <c r="K6030" s="1323"/>
      <c r="L6030" s="1323"/>
      <c r="M6030" s="1323"/>
      <c r="N6030" s="1323"/>
      <c r="O6030" s="1323"/>
      <c r="P6030" s="1323"/>
      <c r="Q6030" s="1323"/>
      <c r="R6030" s="1304"/>
      <c r="S6030" s="1304"/>
      <c r="T6030" s="1304"/>
    </row>
    <row r="6031" spans="1:20">
      <c r="A6031" s="1303"/>
      <c r="B6031" s="1322" t="s">
        <v>13164</v>
      </c>
      <c r="C6031" s="1323" t="s">
        <v>13165</v>
      </c>
      <c r="D6031" s="1324">
        <f t="shared" si="594"/>
        <v>33093</v>
      </c>
      <c r="E6031" s="1323">
        <f t="shared" si="590"/>
        <v>2.5832999999999999</v>
      </c>
      <c r="F6031" s="1323">
        <f t="shared" si="595"/>
        <v>3.0875461642222857</v>
      </c>
      <c r="G6031" s="1323">
        <f t="shared" si="591"/>
        <v>1990</v>
      </c>
      <c r="H6031" s="1323">
        <f t="shared" si="592"/>
        <v>8</v>
      </c>
      <c r="I6031" s="1323">
        <f t="shared" si="593"/>
        <v>8</v>
      </c>
      <c r="J6031" s="1323"/>
      <c r="K6031" s="1323"/>
      <c r="L6031" s="1323"/>
      <c r="M6031" s="1323"/>
      <c r="N6031" s="1323"/>
      <c r="O6031" s="1323"/>
      <c r="P6031" s="1323"/>
      <c r="Q6031" s="1323"/>
      <c r="R6031" s="1304"/>
      <c r="S6031" s="1304"/>
      <c r="T6031" s="1304"/>
    </row>
    <row r="6032" spans="1:20">
      <c r="A6032" s="1303"/>
      <c r="B6032" s="1322" t="s">
        <v>13166</v>
      </c>
      <c r="C6032" s="1323" t="s">
        <v>13167</v>
      </c>
      <c r="D6032" s="1324">
        <f t="shared" si="594"/>
        <v>33092</v>
      </c>
      <c r="E6032" s="1323">
        <f t="shared" si="590"/>
        <v>2.5872999999999999</v>
      </c>
      <c r="F6032" s="1323">
        <f t="shared" si="595"/>
        <v>3.0869541456190164</v>
      </c>
      <c r="G6032" s="1323">
        <f t="shared" si="591"/>
        <v>1990</v>
      </c>
      <c r="H6032" s="1323">
        <f t="shared" si="592"/>
        <v>8</v>
      </c>
      <c r="I6032" s="1323">
        <f t="shared" si="593"/>
        <v>7</v>
      </c>
      <c r="J6032" s="1323"/>
      <c r="K6032" s="1323"/>
      <c r="L6032" s="1323"/>
      <c r="M6032" s="1323"/>
      <c r="N6032" s="1323"/>
      <c r="O6032" s="1323"/>
      <c r="P6032" s="1323"/>
      <c r="Q6032" s="1323"/>
      <c r="R6032" s="1304"/>
      <c r="S6032" s="1304"/>
      <c r="T6032" s="1304"/>
    </row>
    <row r="6033" spans="1:20">
      <c r="A6033" s="1303"/>
      <c r="B6033" s="1322" t="s">
        <v>13168</v>
      </c>
      <c r="C6033" s="1323" t="s">
        <v>13169</v>
      </c>
      <c r="D6033" s="1324">
        <f t="shared" si="594"/>
        <v>33091</v>
      </c>
      <c r="E6033" s="1323">
        <f t="shared" si="590"/>
        <v>2.5815999999999999</v>
      </c>
      <c r="F6033" s="1323">
        <f t="shared" si="595"/>
        <v>3.0863622405317912</v>
      </c>
      <c r="G6033" s="1323">
        <f t="shared" si="591"/>
        <v>1990</v>
      </c>
      <c r="H6033" s="1323">
        <f t="shared" si="592"/>
        <v>8</v>
      </c>
      <c r="I6033" s="1323">
        <f t="shared" si="593"/>
        <v>6</v>
      </c>
      <c r="J6033" s="1323"/>
      <c r="K6033" s="1323"/>
      <c r="L6033" s="1323"/>
      <c r="M6033" s="1323"/>
      <c r="N6033" s="1323"/>
      <c r="O6033" s="1323"/>
      <c r="P6033" s="1323"/>
      <c r="Q6033" s="1323"/>
      <c r="R6033" s="1304"/>
      <c r="S6033" s="1304"/>
      <c r="T6033" s="1304"/>
    </row>
    <row r="6034" spans="1:20">
      <c r="A6034" s="1303"/>
      <c r="B6034" s="1322" t="s">
        <v>13170</v>
      </c>
      <c r="C6034" s="1323" t="s">
        <v>12994</v>
      </c>
      <c r="D6034" s="1324">
        <f t="shared" si="594"/>
        <v>33088</v>
      </c>
      <c r="E6034" s="1323">
        <f t="shared" si="590"/>
        <v>2.5988000000000002</v>
      </c>
      <c r="F6034" s="1323">
        <f t="shared" si="595"/>
        <v>3.085770448938844</v>
      </c>
      <c r="G6034" s="1323">
        <f t="shared" si="591"/>
        <v>1990</v>
      </c>
      <c r="H6034" s="1323">
        <f t="shared" si="592"/>
        <v>8</v>
      </c>
      <c r="I6034" s="1323">
        <f t="shared" si="593"/>
        <v>3</v>
      </c>
      <c r="J6034" s="1323"/>
      <c r="K6034" s="1323"/>
      <c r="L6034" s="1323"/>
      <c r="M6034" s="1323"/>
      <c r="N6034" s="1323"/>
      <c r="O6034" s="1323"/>
      <c r="P6034" s="1323"/>
      <c r="Q6034" s="1323"/>
      <c r="R6034" s="1304"/>
      <c r="S6034" s="1304"/>
      <c r="T6034" s="1304"/>
    </row>
    <row r="6035" spans="1:20">
      <c r="A6035" s="1303"/>
      <c r="B6035" s="1322" t="s">
        <v>13171</v>
      </c>
      <c r="C6035" s="1323" t="s">
        <v>12922</v>
      </c>
      <c r="D6035" s="1324">
        <f t="shared" si="594"/>
        <v>33087</v>
      </c>
      <c r="E6035" s="1323">
        <f t="shared" si="590"/>
        <v>2.6017999999999999</v>
      </c>
      <c r="F6035" s="1323">
        <f t="shared" si="595"/>
        <v>3.0851787708184131</v>
      </c>
      <c r="G6035" s="1323">
        <f t="shared" si="591"/>
        <v>1990</v>
      </c>
      <c r="H6035" s="1323">
        <f t="shared" si="592"/>
        <v>8</v>
      </c>
      <c r="I6035" s="1323">
        <f t="shared" si="593"/>
        <v>2</v>
      </c>
      <c r="J6035" s="1323"/>
      <c r="K6035" s="1323"/>
      <c r="L6035" s="1323"/>
      <c r="M6035" s="1323"/>
      <c r="N6035" s="1323"/>
      <c r="O6035" s="1323"/>
      <c r="P6035" s="1323"/>
      <c r="Q6035" s="1323"/>
      <c r="R6035" s="1304"/>
      <c r="S6035" s="1304"/>
      <c r="T6035" s="1304"/>
    </row>
    <row r="6036" spans="1:20">
      <c r="A6036" s="1303"/>
      <c r="B6036" s="1322" t="s">
        <v>13172</v>
      </c>
      <c r="C6036" s="1323" t="s">
        <v>13173</v>
      </c>
      <c r="D6036" s="1324">
        <f t="shared" si="594"/>
        <v>33086</v>
      </c>
      <c r="E6036" s="1323">
        <f t="shared" si="590"/>
        <v>2.5832999999999999</v>
      </c>
      <c r="F6036" s="1323">
        <f t="shared" si="595"/>
        <v>3.0845872061487407</v>
      </c>
      <c r="G6036" s="1323">
        <f t="shared" si="591"/>
        <v>1990</v>
      </c>
      <c r="H6036" s="1323">
        <f t="shared" si="592"/>
        <v>8</v>
      </c>
      <c r="I6036" s="1323">
        <f t="shared" si="593"/>
        <v>1</v>
      </c>
      <c r="J6036" s="1323"/>
      <c r="K6036" s="1323"/>
      <c r="L6036" s="1323"/>
      <c r="M6036" s="1323"/>
      <c r="N6036" s="1323"/>
      <c r="O6036" s="1323"/>
      <c r="P6036" s="1323"/>
      <c r="Q6036" s="1323"/>
      <c r="R6036" s="1304"/>
      <c r="S6036" s="1304"/>
      <c r="T6036" s="1304"/>
    </row>
    <row r="6037" spans="1:20">
      <c r="A6037" s="1303"/>
      <c r="B6037" s="1322" t="s">
        <v>13174</v>
      </c>
      <c r="C6037" s="1323" t="s">
        <v>13167</v>
      </c>
      <c r="D6037" s="1324">
        <f t="shared" si="594"/>
        <v>33085</v>
      </c>
      <c r="E6037" s="1323">
        <f t="shared" si="590"/>
        <v>2.5994000000000002</v>
      </c>
      <c r="F6037" s="1323">
        <f t="shared" si="595"/>
        <v>3.0839957549080732</v>
      </c>
      <c r="G6037" s="1323">
        <f t="shared" si="591"/>
        <v>1990</v>
      </c>
      <c r="H6037" s="1323">
        <f t="shared" si="592"/>
        <v>7</v>
      </c>
      <c r="I6037" s="1323">
        <f t="shared" si="593"/>
        <v>31</v>
      </c>
      <c r="J6037" s="1323"/>
      <c r="K6037" s="1323"/>
      <c r="L6037" s="1323"/>
      <c r="M6037" s="1323"/>
      <c r="N6037" s="1323"/>
      <c r="O6037" s="1323"/>
      <c r="P6037" s="1323"/>
      <c r="Q6037" s="1323"/>
      <c r="R6037" s="1304"/>
      <c r="S6037" s="1304"/>
      <c r="T6037" s="1304"/>
    </row>
    <row r="6038" spans="1:20">
      <c r="A6038" s="1303"/>
      <c r="B6038" s="1322" t="s">
        <v>13175</v>
      </c>
      <c r="C6038" s="1323" t="s">
        <v>13176</v>
      </c>
      <c r="D6038" s="1324">
        <f t="shared" si="594"/>
        <v>33084</v>
      </c>
      <c r="E6038" s="1323">
        <f t="shared" ref="E6038:E6101" si="596">VALUE(C6039)</f>
        <v>2.6072000000000002</v>
      </c>
      <c r="F6038" s="1323">
        <f t="shared" si="595"/>
        <v>3.0834044170746617</v>
      </c>
      <c r="G6038" s="1323">
        <f t="shared" ref="G6038:G6101" si="597">YEAR(B6039)</f>
        <v>1990</v>
      </c>
      <c r="H6038" s="1323">
        <f t="shared" ref="H6038:H6101" si="598">MONTH(B6039)</f>
        <v>7</v>
      </c>
      <c r="I6038" s="1323">
        <f t="shared" ref="I6038:I6101" si="599">DAY(B6039)</f>
        <v>30</v>
      </c>
      <c r="J6038" s="1323"/>
      <c r="K6038" s="1323"/>
      <c r="L6038" s="1323"/>
      <c r="M6038" s="1323"/>
      <c r="N6038" s="1323"/>
      <c r="O6038" s="1323"/>
      <c r="P6038" s="1323"/>
      <c r="Q6038" s="1323"/>
      <c r="R6038" s="1304"/>
      <c r="S6038" s="1304"/>
      <c r="T6038" s="1304"/>
    </row>
    <row r="6039" spans="1:20">
      <c r="A6039" s="1303"/>
      <c r="B6039" s="1322" t="s">
        <v>13177</v>
      </c>
      <c r="C6039" s="1323" t="s">
        <v>13178</v>
      </c>
      <c r="D6039" s="1324">
        <f t="shared" si="594"/>
        <v>33081</v>
      </c>
      <c r="E6039" s="1323">
        <f t="shared" si="596"/>
        <v>2.6164000000000001</v>
      </c>
      <c r="F6039" s="1323">
        <f t="shared" si="595"/>
        <v>3.0828131926267606</v>
      </c>
      <c r="G6039" s="1323">
        <f t="shared" si="597"/>
        <v>1990</v>
      </c>
      <c r="H6039" s="1323">
        <f t="shared" si="598"/>
        <v>7</v>
      </c>
      <c r="I6039" s="1323">
        <f t="shared" si="599"/>
        <v>27</v>
      </c>
      <c r="J6039" s="1323"/>
      <c r="K6039" s="1323"/>
      <c r="L6039" s="1323"/>
      <c r="M6039" s="1323"/>
      <c r="N6039" s="1323"/>
      <c r="O6039" s="1323"/>
      <c r="P6039" s="1323"/>
      <c r="Q6039" s="1323"/>
      <c r="R6039" s="1304"/>
      <c r="S6039" s="1304"/>
      <c r="T6039" s="1304"/>
    </row>
    <row r="6040" spans="1:20">
      <c r="A6040" s="1303"/>
      <c r="B6040" s="1322" t="s">
        <v>13179</v>
      </c>
      <c r="C6040" s="1323" t="s">
        <v>13180</v>
      </c>
      <c r="D6040" s="1324">
        <f t="shared" si="594"/>
        <v>33080</v>
      </c>
      <c r="E6040" s="1323">
        <f t="shared" si="596"/>
        <v>2.6151</v>
      </c>
      <c r="F6040" s="1323">
        <f t="shared" si="595"/>
        <v>3.0822220815426289</v>
      </c>
      <c r="G6040" s="1323">
        <f t="shared" si="597"/>
        <v>1990</v>
      </c>
      <c r="H6040" s="1323">
        <f t="shared" si="598"/>
        <v>7</v>
      </c>
      <c r="I6040" s="1323">
        <f t="shared" si="599"/>
        <v>26</v>
      </c>
      <c r="J6040" s="1323"/>
      <c r="K6040" s="1323"/>
      <c r="L6040" s="1323"/>
      <c r="M6040" s="1323"/>
      <c r="N6040" s="1323"/>
      <c r="O6040" s="1323"/>
      <c r="P6040" s="1323"/>
      <c r="Q6040" s="1323"/>
      <c r="R6040" s="1304"/>
      <c r="S6040" s="1304"/>
      <c r="T6040" s="1304"/>
    </row>
    <row r="6041" spans="1:20">
      <c r="A6041" s="1303"/>
      <c r="B6041" s="1322" t="s">
        <v>13181</v>
      </c>
      <c r="C6041" s="1323" t="s">
        <v>13182</v>
      </c>
      <c r="D6041" s="1324">
        <f t="shared" si="594"/>
        <v>33079</v>
      </c>
      <c r="E6041" s="1323">
        <f t="shared" si="596"/>
        <v>2.6069</v>
      </c>
      <c r="F6041" s="1323">
        <f t="shared" si="595"/>
        <v>3.0816310838005299</v>
      </c>
      <c r="G6041" s="1323">
        <f t="shared" si="597"/>
        <v>1990</v>
      </c>
      <c r="H6041" s="1323">
        <f t="shared" si="598"/>
        <v>7</v>
      </c>
      <c r="I6041" s="1323">
        <f t="shared" si="599"/>
        <v>25</v>
      </c>
      <c r="J6041" s="1323"/>
      <c r="K6041" s="1323"/>
      <c r="L6041" s="1323"/>
      <c r="M6041" s="1323"/>
      <c r="N6041" s="1323"/>
      <c r="O6041" s="1323"/>
      <c r="P6041" s="1323"/>
      <c r="Q6041" s="1323"/>
      <c r="R6041" s="1304"/>
      <c r="S6041" s="1304"/>
      <c r="T6041" s="1304"/>
    </row>
    <row r="6042" spans="1:20">
      <c r="A6042" s="1303"/>
      <c r="B6042" s="1322" t="s">
        <v>13183</v>
      </c>
      <c r="C6042" s="1323" t="s">
        <v>12992</v>
      </c>
      <c r="D6042" s="1324">
        <f t="shared" si="594"/>
        <v>33078</v>
      </c>
      <c r="E6042" s="1323">
        <f t="shared" si="596"/>
        <v>2.6089000000000002</v>
      </c>
      <c r="F6042" s="1323">
        <f t="shared" si="595"/>
        <v>3.0810401993787311</v>
      </c>
      <c r="G6042" s="1323">
        <f t="shared" si="597"/>
        <v>1990</v>
      </c>
      <c r="H6042" s="1323">
        <f t="shared" si="598"/>
        <v>7</v>
      </c>
      <c r="I6042" s="1323">
        <f t="shared" si="599"/>
        <v>24</v>
      </c>
      <c r="J6042" s="1323"/>
      <c r="K6042" s="1323"/>
      <c r="L6042" s="1323"/>
      <c r="M6042" s="1323"/>
      <c r="N6042" s="1323"/>
      <c r="O6042" s="1323"/>
      <c r="P6042" s="1323"/>
      <c r="Q6042" s="1323"/>
      <c r="R6042" s="1304"/>
      <c r="S6042" s="1304"/>
      <c r="T6042" s="1304"/>
    </row>
    <row r="6043" spans="1:20">
      <c r="A6043" s="1303"/>
      <c r="B6043" s="1322" t="s">
        <v>13184</v>
      </c>
      <c r="C6043" s="1323" t="s">
        <v>13185</v>
      </c>
      <c r="D6043" s="1324">
        <f t="shared" si="594"/>
        <v>33077</v>
      </c>
      <c r="E6043" s="1323">
        <f t="shared" si="596"/>
        <v>2.6185</v>
      </c>
      <c r="F6043" s="1323">
        <f t="shared" si="595"/>
        <v>3.0804494282555037</v>
      </c>
      <c r="G6043" s="1323">
        <f t="shared" si="597"/>
        <v>1990</v>
      </c>
      <c r="H6043" s="1323">
        <f t="shared" si="598"/>
        <v>7</v>
      </c>
      <c r="I6043" s="1323">
        <f t="shared" si="599"/>
        <v>23</v>
      </c>
      <c r="J6043" s="1323"/>
      <c r="K6043" s="1323"/>
      <c r="L6043" s="1323"/>
      <c r="M6043" s="1323"/>
      <c r="N6043" s="1323"/>
      <c r="O6043" s="1323"/>
      <c r="P6043" s="1323"/>
      <c r="Q6043" s="1323"/>
      <c r="R6043" s="1304"/>
      <c r="S6043" s="1304"/>
      <c r="T6043" s="1304"/>
    </row>
    <row r="6044" spans="1:20">
      <c r="A6044" s="1303"/>
      <c r="B6044" s="1322" t="s">
        <v>13186</v>
      </c>
      <c r="C6044" s="1323" t="s">
        <v>13187</v>
      </c>
      <c r="D6044" s="1324">
        <f t="shared" si="594"/>
        <v>33074</v>
      </c>
      <c r="E6044" s="1323">
        <f t="shared" si="596"/>
        <v>2.6223000000000001</v>
      </c>
      <c r="F6044" s="1323">
        <f t="shared" si="595"/>
        <v>3.0798587704091238</v>
      </c>
      <c r="G6044" s="1323">
        <f t="shared" si="597"/>
        <v>1990</v>
      </c>
      <c r="H6044" s="1323">
        <f t="shared" si="598"/>
        <v>7</v>
      </c>
      <c r="I6044" s="1323">
        <f t="shared" si="599"/>
        <v>20</v>
      </c>
      <c r="J6044" s="1323"/>
      <c r="K6044" s="1323"/>
      <c r="L6044" s="1323"/>
      <c r="M6044" s="1323"/>
      <c r="N6044" s="1323"/>
      <c r="O6044" s="1323"/>
      <c r="P6044" s="1323"/>
      <c r="Q6044" s="1323"/>
      <c r="R6044" s="1304"/>
      <c r="S6044" s="1304"/>
      <c r="T6044" s="1304"/>
    </row>
    <row r="6045" spans="1:20">
      <c r="A6045" s="1303"/>
      <c r="B6045" s="1322" t="s">
        <v>13188</v>
      </c>
      <c r="C6045" s="1323" t="s">
        <v>13189</v>
      </c>
      <c r="D6045" s="1324">
        <f t="shared" si="594"/>
        <v>33073</v>
      </c>
      <c r="E6045" s="1323">
        <f t="shared" si="596"/>
        <v>2.6280999999999999</v>
      </c>
      <c r="F6045" s="1323">
        <f t="shared" si="595"/>
        <v>3.079268225817871</v>
      </c>
      <c r="G6045" s="1323">
        <f t="shared" si="597"/>
        <v>1990</v>
      </c>
      <c r="H6045" s="1323">
        <f t="shared" si="598"/>
        <v>7</v>
      </c>
      <c r="I6045" s="1323">
        <f t="shared" si="599"/>
        <v>19</v>
      </c>
      <c r="J6045" s="1323"/>
      <c r="K6045" s="1323"/>
      <c r="L6045" s="1323"/>
      <c r="M6045" s="1323"/>
      <c r="N6045" s="1323"/>
      <c r="O6045" s="1323"/>
      <c r="P6045" s="1323"/>
      <c r="Q6045" s="1323"/>
      <c r="R6045" s="1304"/>
      <c r="S6045" s="1304"/>
      <c r="T6045" s="1304"/>
    </row>
    <row r="6046" spans="1:20">
      <c r="A6046" s="1303"/>
      <c r="B6046" s="1322" t="s">
        <v>13190</v>
      </c>
      <c r="C6046" s="1323" t="s">
        <v>12916</v>
      </c>
      <c r="D6046" s="1324">
        <f t="shared" si="594"/>
        <v>33072</v>
      </c>
      <c r="E6046" s="1323">
        <f t="shared" si="596"/>
        <v>2.6257000000000001</v>
      </c>
      <c r="F6046" s="1323">
        <f t="shared" si="595"/>
        <v>3.0786777944600292</v>
      </c>
      <c r="G6046" s="1323">
        <f t="shared" si="597"/>
        <v>1990</v>
      </c>
      <c r="H6046" s="1323">
        <f t="shared" si="598"/>
        <v>7</v>
      </c>
      <c r="I6046" s="1323">
        <f t="shared" si="599"/>
        <v>18</v>
      </c>
      <c r="J6046" s="1323"/>
      <c r="K6046" s="1323"/>
      <c r="L6046" s="1323"/>
      <c r="M6046" s="1323"/>
      <c r="N6046" s="1323"/>
      <c r="O6046" s="1323"/>
      <c r="P6046" s="1323"/>
      <c r="Q6046" s="1323"/>
      <c r="R6046" s="1304"/>
      <c r="S6046" s="1304"/>
      <c r="T6046" s="1304"/>
    </row>
    <row r="6047" spans="1:20">
      <c r="A6047" s="1303"/>
      <c r="B6047" s="1322" t="s">
        <v>13191</v>
      </c>
      <c r="C6047" s="1323" t="s">
        <v>13192</v>
      </c>
      <c r="D6047" s="1324">
        <f t="shared" si="594"/>
        <v>33071</v>
      </c>
      <c r="E6047" s="1323">
        <f t="shared" si="596"/>
        <v>2.6392000000000002</v>
      </c>
      <c r="F6047" s="1323">
        <f t="shared" si="595"/>
        <v>3.0780874763138866</v>
      </c>
      <c r="G6047" s="1323">
        <f t="shared" si="597"/>
        <v>1990</v>
      </c>
      <c r="H6047" s="1323">
        <f t="shared" si="598"/>
        <v>7</v>
      </c>
      <c r="I6047" s="1323">
        <f t="shared" si="599"/>
        <v>17</v>
      </c>
      <c r="J6047" s="1323"/>
      <c r="K6047" s="1323"/>
      <c r="L6047" s="1323"/>
      <c r="M6047" s="1323"/>
      <c r="N6047" s="1323"/>
      <c r="O6047" s="1323"/>
      <c r="P6047" s="1323"/>
      <c r="Q6047" s="1323"/>
      <c r="R6047" s="1304"/>
      <c r="S6047" s="1304"/>
      <c r="T6047" s="1304"/>
    </row>
    <row r="6048" spans="1:20">
      <c r="A6048" s="1303"/>
      <c r="B6048" s="1322" t="s">
        <v>13193</v>
      </c>
      <c r="C6048" s="1323" t="s">
        <v>13194</v>
      </c>
      <c r="D6048" s="1324">
        <f t="shared" si="594"/>
        <v>33070</v>
      </c>
      <c r="E6048" s="1323">
        <f t="shared" si="596"/>
        <v>2.6381999999999999</v>
      </c>
      <c r="F6048" s="1323">
        <f t="shared" si="595"/>
        <v>3.0774972713577355</v>
      </c>
      <c r="G6048" s="1323">
        <f t="shared" si="597"/>
        <v>1990</v>
      </c>
      <c r="H6048" s="1323">
        <f t="shared" si="598"/>
        <v>7</v>
      </c>
      <c r="I6048" s="1323">
        <f t="shared" si="599"/>
        <v>16</v>
      </c>
      <c r="J6048" s="1323"/>
      <c r="K6048" s="1323"/>
      <c r="L6048" s="1323"/>
      <c r="M6048" s="1323"/>
      <c r="N6048" s="1323"/>
      <c r="O6048" s="1323"/>
      <c r="P6048" s="1323"/>
      <c r="Q6048" s="1323"/>
      <c r="R6048" s="1304"/>
      <c r="S6048" s="1304"/>
      <c r="T6048" s="1304"/>
    </row>
    <row r="6049" spans="1:20">
      <c r="A6049" s="1303"/>
      <c r="B6049" s="1322" t="s">
        <v>13195</v>
      </c>
      <c r="C6049" s="1323" t="s">
        <v>13196</v>
      </c>
      <c r="D6049" s="1324">
        <f t="shared" si="594"/>
        <v>33067</v>
      </c>
      <c r="E6049" s="1323">
        <f t="shared" si="596"/>
        <v>2.6349999999999998</v>
      </c>
      <c r="F6049" s="1323">
        <f t="shared" si="595"/>
        <v>3.0769071795698726</v>
      </c>
      <c r="G6049" s="1323">
        <f t="shared" si="597"/>
        <v>1990</v>
      </c>
      <c r="H6049" s="1323">
        <f t="shared" si="598"/>
        <v>7</v>
      </c>
      <c r="I6049" s="1323">
        <f t="shared" si="599"/>
        <v>13</v>
      </c>
      <c r="J6049" s="1323"/>
      <c r="K6049" s="1323"/>
      <c r="L6049" s="1323"/>
      <c r="M6049" s="1323"/>
      <c r="N6049" s="1323"/>
      <c r="O6049" s="1323"/>
      <c r="P6049" s="1323"/>
      <c r="Q6049" s="1323"/>
      <c r="R6049" s="1304"/>
      <c r="S6049" s="1304"/>
      <c r="T6049" s="1304"/>
    </row>
    <row r="6050" spans="1:20">
      <c r="A6050" s="1303"/>
      <c r="B6050" s="1322" t="s">
        <v>13197</v>
      </c>
      <c r="C6050" s="1323" t="s">
        <v>13198</v>
      </c>
      <c r="D6050" s="1324">
        <f t="shared" si="594"/>
        <v>33066</v>
      </c>
      <c r="E6050" s="1323">
        <f t="shared" si="596"/>
        <v>2.6473</v>
      </c>
      <c r="F6050" s="1323">
        <f t="shared" si="595"/>
        <v>3.0763172009285986</v>
      </c>
      <c r="G6050" s="1323">
        <f t="shared" si="597"/>
        <v>1990</v>
      </c>
      <c r="H6050" s="1323">
        <f t="shared" si="598"/>
        <v>7</v>
      </c>
      <c r="I6050" s="1323">
        <f t="shared" si="599"/>
        <v>12</v>
      </c>
      <c r="J6050" s="1323"/>
      <c r="K6050" s="1323"/>
      <c r="L6050" s="1323"/>
      <c r="M6050" s="1323"/>
      <c r="N6050" s="1323"/>
      <c r="O6050" s="1323"/>
      <c r="P6050" s="1323"/>
      <c r="Q6050" s="1323"/>
      <c r="R6050" s="1304"/>
      <c r="S6050" s="1304"/>
      <c r="T6050" s="1304"/>
    </row>
    <row r="6051" spans="1:20">
      <c r="A6051" s="1303"/>
      <c r="B6051" s="1322" t="s">
        <v>13199</v>
      </c>
      <c r="C6051" s="1323" t="s">
        <v>13200</v>
      </c>
      <c r="D6051" s="1324">
        <f t="shared" si="594"/>
        <v>33065</v>
      </c>
      <c r="E6051" s="1323">
        <f t="shared" si="596"/>
        <v>2.6356999999999999</v>
      </c>
      <c r="F6051" s="1323">
        <f t="shared" si="595"/>
        <v>3.0757273354122181</v>
      </c>
      <c r="G6051" s="1323">
        <f t="shared" si="597"/>
        <v>1990</v>
      </c>
      <c r="H6051" s="1323">
        <f t="shared" si="598"/>
        <v>7</v>
      </c>
      <c r="I6051" s="1323">
        <f t="shared" si="599"/>
        <v>11</v>
      </c>
      <c r="J6051" s="1323"/>
      <c r="K6051" s="1323"/>
      <c r="L6051" s="1323"/>
      <c r="M6051" s="1323"/>
      <c r="N6051" s="1323"/>
      <c r="O6051" s="1323"/>
      <c r="P6051" s="1323"/>
      <c r="Q6051" s="1323"/>
      <c r="R6051" s="1304"/>
      <c r="S6051" s="1304"/>
      <c r="T6051" s="1304"/>
    </row>
    <row r="6052" spans="1:20">
      <c r="A6052" s="1303"/>
      <c r="B6052" s="1322" t="s">
        <v>13201</v>
      </c>
      <c r="C6052" s="1323" t="s">
        <v>13202</v>
      </c>
      <c r="D6052" s="1324">
        <f t="shared" si="594"/>
        <v>33064</v>
      </c>
      <c r="E6052" s="1323">
        <f t="shared" si="596"/>
        <v>2.6347</v>
      </c>
      <c r="F6052" s="1323">
        <f t="shared" si="595"/>
        <v>3.0751375829990399</v>
      </c>
      <c r="G6052" s="1323">
        <f t="shared" si="597"/>
        <v>1990</v>
      </c>
      <c r="H6052" s="1323">
        <f t="shared" si="598"/>
        <v>7</v>
      </c>
      <c r="I6052" s="1323">
        <f t="shared" si="599"/>
        <v>10</v>
      </c>
      <c r="J6052" s="1323"/>
      <c r="K6052" s="1323"/>
      <c r="L6052" s="1323"/>
      <c r="M6052" s="1323"/>
      <c r="N6052" s="1323"/>
      <c r="O6052" s="1323"/>
      <c r="P6052" s="1323"/>
      <c r="Q6052" s="1323"/>
      <c r="R6052" s="1304"/>
      <c r="S6052" s="1304"/>
      <c r="T6052" s="1304"/>
    </row>
    <row r="6053" spans="1:20">
      <c r="A6053" s="1303"/>
      <c r="B6053" s="1322" t="s">
        <v>13203</v>
      </c>
      <c r="C6053" s="1323" t="s">
        <v>13204</v>
      </c>
      <c r="D6053" s="1324">
        <f t="shared" si="594"/>
        <v>33063</v>
      </c>
      <c r="E6053" s="1323">
        <f t="shared" si="596"/>
        <v>2.6406000000000001</v>
      </c>
      <c r="F6053" s="1323">
        <f t="shared" si="595"/>
        <v>3.0745479436673775</v>
      </c>
      <c r="G6053" s="1323">
        <f t="shared" si="597"/>
        <v>1990</v>
      </c>
      <c r="H6053" s="1323">
        <f t="shared" si="598"/>
        <v>7</v>
      </c>
      <c r="I6053" s="1323">
        <f t="shared" si="599"/>
        <v>9</v>
      </c>
      <c r="J6053" s="1323"/>
      <c r="K6053" s="1323"/>
      <c r="L6053" s="1323"/>
      <c r="M6053" s="1323"/>
      <c r="N6053" s="1323"/>
      <c r="O6053" s="1323"/>
      <c r="P6053" s="1323"/>
      <c r="Q6053" s="1323"/>
      <c r="R6053" s="1304"/>
      <c r="S6053" s="1304"/>
      <c r="T6053" s="1304"/>
    </row>
    <row r="6054" spans="1:20">
      <c r="A6054" s="1303"/>
      <c r="B6054" s="1322" t="s">
        <v>13205</v>
      </c>
      <c r="C6054" s="1323" t="s">
        <v>13206</v>
      </c>
      <c r="D6054" s="1324">
        <f t="shared" si="594"/>
        <v>33060</v>
      </c>
      <c r="E6054" s="1323">
        <f t="shared" si="596"/>
        <v>2.6455000000000002</v>
      </c>
      <c r="F6054" s="1323">
        <f t="shared" si="595"/>
        <v>3.0739584173955481</v>
      </c>
      <c r="G6054" s="1323">
        <f t="shared" si="597"/>
        <v>1990</v>
      </c>
      <c r="H6054" s="1323">
        <f t="shared" si="598"/>
        <v>7</v>
      </c>
      <c r="I6054" s="1323">
        <f t="shared" si="599"/>
        <v>6</v>
      </c>
      <c r="J6054" s="1323"/>
      <c r="K6054" s="1323"/>
      <c r="L6054" s="1323"/>
      <c r="M6054" s="1323"/>
      <c r="N6054" s="1323"/>
      <c r="O6054" s="1323"/>
      <c r="P6054" s="1323"/>
      <c r="Q6054" s="1323"/>
      <c r="R6054" s="1304"/>
      <c r="S6054" s="1304"/>
      <c r="T6054" s="1304"/>
    </row>
    <row r="6055" spans="1:20">
      <c r="A6055" s="1303"/>
      <c r="B6055" s="1322" t="s">
        <v>13207</v>
      </c>
      <c r="C6055" s="1323" t="s">
        <v>13208</v>
      </c>
      <c r="D6055" s="1324">
        <f t="shared" si="594"/>
        <v>33059</v>
      </c>
      <c r="E6055" s="1323">
        <f t="shared" si="596"/>
        <v>2.6427</v>
      </c>
      <c r="F6055" s="1323">
        <f t="shared" si="595"/>
        <v>3.0733690041618731</v>
      </c>
      <c r="G6055" s="1323">
        <f t="shared" si="597"/>
        <v>1990</v>
      </c>
      <c r="H6055" s="1323">
        <f t="shared" si="598"/>
        <v>7</v>
      </c>
      <c r="I6055" s="1323">
        <f t="shared" si="599"/>
        <v>5</v>
      </c>
      <c r="J6055" s="1323"/>
      <c r="K6055" s="1323"/>
      <c r="L6055" s="1323"/>
      <c r="M6055" s="1323"/>
      <c r="N6055" s="1323"/>
      <c r="O6055" s="1323"/>
      <c r="P6055" s="1323"/>
      <c r="Q6055" s="1323"/>
      <c r="R6055" s="1304"/>
      <c r="S6055" s="1304"/>
      <c r="T6055" s="1304"/>
    </row>
    <row r="6056" spans="1:20">
      <c r="A6056" s="1303"/>
      <c r="B6056" s="1322" t="s">
        <v>13209</v>
      </c>
      <c r="C6056" s="1323" t="s">
        <v>13210</v>
      </c>
      <c r="D6056" s="1324">
        <f t="shared" si="594"/>
        <v>33058</v>
      </c>
      <c r="E6056" s="1323">
        <f t="shared" si="596"/>
        <v>2.6434000000000002</v>
      </c>
      <c r="F6056" s="1323">
        <f t="shared" si="595"/>
        <v>3.0727797039446783</v>
      </c>
      <c r="G6056" s="1323">
        <f t="shared" si="597"/>
        <v>1990</v>
      </c>
      <c r="H6056" s="1323">
        <f t="shared" si="598"/>
        <v>7</v>
      </c>
      <c r="I6056" s="1323">
        <f t="shared" si="599"/>
        <v>4</v>
      </c>
      <c r="J6056" s="1323"/>
      <c r="K6056" s="1323"/>
      <c r="L6056" s="1323"/>
      <c r="M6056" s="1323"/>
      <c r="N6056" s="1323"/>
      <c r="O6056" s="1323"/>
      <c r="P6056" s="1323"/>
      <c r="Q6056" s="1323"/>
      <c r="R6056" s="1304"/>
      <c r="S6056" s="1304"/>
      <c r="T6056" s="1304"/>
    </row>
    <row r="6057" spans="1:20">
      <c r="A6057" s="1303"/>
      <c r="B6057" s="1322" t="s">
        <v>13211</v>
      </c>
      <c r="C6057" s="1323" t="s">
        <v>13212</v>
      </c>
      <c r="D6057" s="1324">
        <f t="shared" si="594"/>
        <v>33057</v>
      </c>
      <c r="E6057" s="1323">
        <f t="shared" si="596"/>
        <v>2.649</v>
      </c>
      <c r="F6057" s="1323">
        <f t="shared" si="595"/>
        <v>3.0721905167222929</v>
      </c>
      <c r="G6057" s="1323">
        <f t="shared" si="597"/>
        <v>1990</v>
      </c>
      <c r="H6057" s="1323">
        <f t="shared" si="598"/>
        <v>7</v>
      </c>
      <c r="I6057" s="1323">
        <f t="shared" si="599"/>
        <v>3</v>
      </c>
      <c r="J6057" s="1323"/>
      <c r="K6057" s="1323"/>
      <c r="L6057" s="1323"/>
      <c r="M6057" s="1323"/>
      <c r="N6057" s="1323"/>
      <c r="O6057" s="1323"/>
      <c r="P6057" s="1323"/>
      <c r="Q6057" s="1323"/>
      <c r="R6057" s="1304"/>
      <c r="S6057" s="1304"/>
      <c r="T6057" s="1304"/>
    </row>
    <row r="6058" spans="1:20">
      <c r="A6058" s="1303"/>
      <c r="B6058" s="1322" t="s">
        <v>13213</v>
      </c>
      <c r="C6058" s="1323" t="s">
        <v>13214</v>
      </c>
      <c r="D6058" s="1324">
        <f t="shared" si="594"/>
        <v>33056</v>
      </c>
      <c r="E6058" s="1323">
        <f t="shared" si="596"/>
        <v>2.6497000000000002</v>
      </c>
      <c r="F6058" s="1323">
        <f t="shared" si="595"/>
        <v>3.0716014424730513</v>
      </c>
      <c r="G6058" s="1323">
        <f t="shared" si="597"/>
        <v>1990</v>
      </c>
      <c r="H6058" s="1323">
        <f t="shared" si="598"/>
        <v>7</v>
      </c>
      <c r="I6058" s="1323">
        <f t="shared" si="599"/>
        <v>2</v>
      </c>
      <c r="J6058" s="1323"/>
      <c r="K6058" s="1323"/>
      <c r="L6058" s="1323"/>
      <c r="M6058" s="1323"/>
      <c r="N6058" s="1323"/>
      <c r="O6058" s="1323"/>
      <c r="P6058" s="1323"/>
      <c r="Q6058" s="1323"/>
      <c r="R6058" s="1304"/>
      <c r="S6058" s="1304"/>
      <c r="T6058" s="1304"/>
    </row>
    <row r="6059" spans="1:20">
      <c r="A6059" s="1303"/>
      <c r="B6059" s="1322" t="s">
        <v>13215</v>
      </c>
      <c r="C6059" s="1323" t="s">
        <v>13216</v>
      </c>
      <c r="D6059" s="1324">
        <f t="shared" si="594"/>
        <v>33053</v>
      </c>
      <c r="E6059" s="1323">
        <f t="shared" si="596"/>
        <v>2.6589</v>
      </c>
      <c r="F6059" s="1323">
        <f t="shared" si="595"/>
        <v>3.0710124811752917</v>
      </c>
      <c r="G6059" s="1323">
        <f t="shared" si="597"/>
        <v>1990</v>
      </c>
      <c r="H6059" s="1323">
        <f t="shared" si="598"/>
        <v>6</v>
      </c>
      <c r="I6059" s="1323">
        <f t="shared" si="599"/>
        <v>29</v>
      </c>
      <c r="J6059" s="1323"/>
      <c r="K6059" s="1323"/>
      <c r="L6059" s="1323"/>
      <c r="M6059" s="1323"/>
      <c r="N6059" s="1323"/>
      <c r="O6059" s="1323"/>
      <c r="P6059" s="1323"/>
      <c r="Q6059" s="1323"/>
      <c r="R6059" s="1304"/>
      <c r="S6059" s="1304"/>
      <c r="T6059" s="1304"/>
    </row>
    <row r="6060" spans="1:20">
      <c r="A6060" s="1303"/>
      <c r="B6060" s="1322" t="s">
        <v>13217</v>
      </c>
      <c r="C6060" s="1323" t="s">
        <v>13218</v>
      </c>
      <c r="D6060" s="1324">
        <f t="shared" si="594"/>
        <v>33052</v>
      </c>
      <c r="E6060" s="1323">
        <f t="shared" si="596"/>
        <v>2.6560000000000001</v>
      </c>
      <c r="F6060" s="1323">
        <f t="shared" si="595"/>
        <v>3.0704236328073558</v>
      </c>
      <c r="G6060" s="1323">
        <f t="shared" si="597"/>
        <v>1990</v>
      </c>
      <c r="H6060" s="1323">
        <f t="shared" si="598"/>
        <v>6</v>
      </c>
      <c r="I6060" s="1323">
        <f t="shared" si="599"/>
        <v>28</v>
      </c>
      <c r="J6060" s="1323"/>
      <c r="K6060" s="1323"/>
      <c r="L6060" s="1323"/>
      <c r="M6060" s="1323"/>
      <c r="N6060" s="1323"/>
      <c r="O6060" s="1323"/>
      <c r="P6060" s="1323"/>
      <c r="Q6060" s="1323"/>
      <c r="R6060" s="1304"/>
      <c r="S6060" s="1304"/>
      <c r="T6060" s="1304"/>
    </row>
    <row r="6061" spans="1:20">
      <c r="A6061" s="1303"/>
      <c r="B6061" s="1322" t="s">
        <v>13219</v>
      </c>
      <c r="C6061" s="1323" t="s">
        <v>13220</v>
      </c>
      <c r="D6061" s="1324">
        <f t="shared" si="594"/>
        <v>33051</v>
      </c>
      <c r="E6061" s="1323">
        <f t="shared" si="596"/>
        <v>2.6553</v>
      </c>
      <c r="F6061" s="1323">
        <f t="shared" si="595"/>
        <v>3.0698348973475902</v>
      </c>
      <c r="G6061" s="1323">
        <f t="shared" si="597"/>
        <v>1990</v>
      </c>
      <c r="H6061" s="1323">
        <f t="shared" si="598"/>
        <v>6</v>
      </c>
      <c r="I6061" s="1323">
        <f t="shared" si="599"/>
        <v>27</v>
      </c>
      <c r="J6061" s="1323"/>
      <c r="K6061" s="1323"/>
      <c r="L6061" s="1323"/>
      <c r="M6061" s="1323"/>
      <c r="N6061" s="1323"/>
      <c r="O6061" s="1323"/>
      <c r="P6061" s="1323"/>
      <c r="Q6061" s="1323"/>
      <c r="R6061" s="1304"/>
      <c r="S6061" s="1304"/>
      <c r="T6061" s="1304"/>
    </row>
    <row r="6062" spans="1:20">
      <c r="A6062" s="1303"/>
      <c r="B6062" s="1322" t="s">
        <v>13221</v>
      </c>
      <c r="C6062" s="1323" t="s">
        <v>13222</v>
      </c>
      <c r="D6062" s="1324">
        <f t="shared" si="594"/>
        <v>33050</v>
      </c>
      <c r="E6062" s="1323">
        <f t="shared" si="596"/>
        <v>2.6652</v>
      </c>
      <c r="F6062" s="1323">
        <f t="shared" si="595"/>
        <v>3.0692462747743456</v>
      </c>
      <c r="G6062" s="1323">
        <f t="shared" si="597"/>
        <v>1990</v>
      </c>
      <c r="H6062" s="1323">
        <f t="shared" si="598"/>
        <v>6</v>
      </c>
      <c r="I6062" s="1323">
        <f t="shared" si="599"/>
        <v>26</v>
      </c>
      <c r="J6062" s="1323"/>
      <c r="K6062" s="1323"/>
      <c r="L6062" s="1323"/>
      <c r="M6062" s="1323"/>
      <c r="N6062" s="1323"/>
      <c r="O6062" s="1323"/>
      <c r="P6062" s="1323"/>
      <c r="Q6062" s="1323"/>
      <c r="R6062" s="1304"/>
      <c r="S6062" s="1304"/>
      <c r="T6062" s="1304"/>
    </row>
    <row r="6063" spans="1:20">
      <c r="A6063" s="1303"/>
      <c r="B6063" s="1322" t="s">
        <v>13223</v>
      </c>
      <c r="C6063" s="1323" t="s">
        <v>13224</v>
      </c>
      <c r="D6063" s="1324">
        <f t="shared" si="594"/>
        <v>33049</v>
      </c>
      <c r="E6063" s="1323">
        <f t="shared" si="596"/>
        <v>2.6642000000000001</v>
      </c>
      <c r="F6063" s="1323">
        <f t="shared" si="595"/>
        <v>3.0686577650659768</v>
      </c>
      <c r="G6063" s="1323">
        <f t="shared" si="597"/>
        <v>1990</v>
      </c>
      <c r="H6063" s="1323">
        <f t="shared" si="598"/>
        <v>6</v>
      </c>
      <c r="I6063" s="1323">
        <f t="shared" si="599"/>
        <v>25</v>
      </c>
      <c r="J6063" s="1323"/>
      <c r="K6063" s="1323"/>
      <c r="L6063" s="1323"/>
      <c r="M6063" s="1323"/>
      <c r="N6063" s="1323"/>
      <c r="O6063" s="1323"/>
      <c r="P6063" s="1323"/>
      <c r="Q6063" s="1323"/>
      <c r="R6063" s="1304"/>
      <c r="S6063" s="1304"/>
      <c r="T6063" s="1304"/>
    </row>
    <row r="6064" spans="1:20">
      <c r="A6064" s="1303"/>
      <c r="B6064" s="1322" t="s">
        <v>13225</v>
      </c>
      <c r="C6064" s="1323" t="s">
        <v>13226</v>
      </c>
      <c r="D6064" s="1324">
        <f t="shared" si="594"/>
        <v>33046</v>
      </c>
      <c r="E6064" s="1323">
        <f t="shared" si="596"/>
        <v>2.6652</v>
      </c>
      <c r="F6064" s="1323">
        <f t="shared" si="595"/>
        <v>3.0680693682008422</v>
      </c>
      <c r="G6064" s="1323">
        <f t="shared" si="597"/>
        <v>1990</v>
      </c>
      <c r="H6064" s="1323">
        <f t="shared" si="598"/>
        <v>6</v>
      </c>
      <c r="I6064" s="1323">
        <f t="shared" si="599"/>
        <v>22</v>
      </c>
      <c r="J6064" s="1323"/>
      <c r="K6064" s="1323"/>
      <c r="L6064" s="1323"/>
      <c r="M6064" s="1323"/>
      <c r="N6064" s="1323"/>
      <c r="O6064" s="1323"/>
      <c r="P6064" s="1323"/>
      <c r="Q6064" s="1323"/>
      <c r="R6064" s="1304"/>
      <c r="S6064" s="1304"/>
      <c r="T6064" s="1304"/>
    </row>
    <row r="6065" spans="1:20">
      <c r="A6065" s="1303"/>
      <c r="B6065" s="1322" t="s">
        <v>13227</v>
      </c>
      <c r="C6065" s="1323" t="s">
        <v>13224</v>
      </c>
      <c r="D6065" s="1324">
        <f t="shared" si="594"/>
        <v>33045</v>
      </c>
      <c r="E6065" s="1323">
        <f t="shared" si="596"/>
        <v>2.6652</v>
      </c>
      <c r="F6065" s="1323">
        <f t="shared" si="595"/>
        <v>3.067481084157305</v>
      </c>
      <c r="G6065" s="1323">
        <f t="shared" si="597"/>
        <v>1990</v>
      </c>
      <c r="H6065" s="1323">
        <f t="shared" si="598"/>
        <v>6</v>
      </c>
      <c r="I6065" s="1323">
        <f t="shared" si="599"/>
        <v>21</v>
      </c>
      <c r="J6065" s="1323"/>
      <c r="K6065" s="1323"/>
      <c r="L6065" s="1323"/>
      <c r="M6065" s="1323"/>
      <c r="N6065" s="1323"/>
      <c r="O6065" s="1323"/>
      <c r="P6065" s="1323"/>
      <c r="Q6065" s="1323"/>
      <c r="R6065" s="1304"/>
      <c r="S6065" s="1304"/>
      <c r="T6065" s="1304"/>
    </row>
    <row r="6066" spans="1:20">
      <c r="A6066" s="1303"/>
      <c r="B6066" s="1322" t="s">
        <v>13228</v>
      </c>
      <c r="C6066" s="1323" t="s">
        <v>13224</v>
      </c>
      <c r="D6066" s="1324">
        <f t="shared" si="594"/>
        <v>33044</v>
      </c>
      <c r="E6066" s="1323">
        <f t="shared" si="596"/>
        <v>2.6667000000000001</v>
      </c>
      <c r="F6066" s="1323">
        <f t="shared" si="595"/>
        <v>3.0668929129137323</v>
      </c>
      <c r="G6066" s="1323">
        <f t="shared" si="597"/>
        <v>1990</v>
      </c>
      <c r="H6066" s="1323">
        <f t="shared" si="598"/>
        <v>6</v>
      </c>
      <c r="I6066" s="1323">
        <f t="shared" si="599"/>
        <v>20</v>
      </c>
      <c r="J6066" s="1323"/>
      <c r="K6066" s="1323"/>
      <c r="L6066" s="1323"/>
      <c r="M6066" s="1323"/>
      <c r="N6066" s="1323"/>
      <c r="O6066" s="1323"/>
      <c r="P6066" s="1323"/>
      <c r="Q6066" s="1323"/>
      <c r="R6066" s="1304"/>
      <c r="S6066" s="1304"/>
      <c r="T6066" s="1304"/>
    </row>
    <row r="6067" spans="1:20">
      <c r="A6067" s="1303"/>
      <c r="B6067" s="1322" t="s">
        <v>13229</v>
      </c>
      <c r="C6067" s="1323" t="s">
        <v>13230</v>
      </c>
      <c r="D6067" s="1324">
        <f t="shared" si="594"/>
        <v>33043</v>
      </c>
      <c r="E6067" s="1323">
        <f t="shared" si="596"/>
        <v>2.6638000000000002</v>
      </c>
      <c r="F6067" s="1323">
        <f t="shared" si="595"/>
        <v>3.0663048544484957</v>
      </c>
      <c r="G6067" s="1323">
        <f t="shared" si="597"/>
        <v>1990</v>
      </c>
      <c r="H6067" s="1323">
        <f t="shared" si="598"/>
        <v>6</v>
      </c>
      <c r="I6067" s="1323">
        <f t="shared" si="599"/>
        <v>19</v>
      </c>
      <c r="J6067" s="1323"/>
      <c r="K6067" s="1323"/>
      <c r="L6067" s="1323"/>
      <c r="M6067" s="1323"/>
      <c r="N6067" s="1323"/>
      <c r="O6067" s="1323"/>
      <c r="P6067" s="1323"/>
      <c r="Q6067" s="1323"/>
      <c r="R6067" s="1304"/>
      <c r="S6067" s="1304"/>
      <c r="T6067" s="1304"/>
    </row>
    <row r="6068" spans="1:20">
      <c r="A6068" s="1303"/>
      <c r="B6068" s="1322" t="s">
        <v>13231</v>
      </c>
      <c r="C6068" s="1323" t="s">
        <v>13232</v>
      </c>
      <c r="D6068" s="1324">
        <f t="shared" si="594"/>
        <v>33042</v>
      </c>
      <c r="E6068" s="1323">
        <f t="shared" si="596"/>
        <v>2.6652</v>
      </c>
      <c r="F6068" s="1323">
        <f t="shared" si="595"/>
        <v>3.06571690873997</v>
      </c>
      <c r="G6068" s="1323">
        <f t="shared" si="597"/>
        <v>1990</v>
      </c>
      <c r="H6068" s="1323">
        <f t="shared" si="598"/>
        <v>6</v>
      </c>
      <c r="I6068" s="1323">
        <f t="shared" si="599"/>
        <v>18</v>
      </c>
      <c r="J6068" s="1323"/>
      <c r="K6068" s="1323"/>
      <c r="L6068" s="1323"/>
      <c r="M6068" s="1323"/>
      <c r="N6068" s="1323"/>
      <c r="O6068" s="1323"/>
      <c r="P6068" s="1323"/>
      <c r="Q6068" s="1323"/>
      <c r="R6068" s="1304"/>
      <c r="S6068" s="1304"/>
      <c r="T6068" s="1304"/>
    </row>
    <row r="6069" spans="1:20">
      <c r="A6069" s="1303"/>
      <c r="B6069" s="1322" t="s">
        <v>13233</v>
      </c>
      <c r="C6069" s="1323" t="s">
        <v>13224</v>
      </c>
      <c r="D6069" s="1324">
        <f t="shared" si="594"/>
        <v>33039</v>
      </c>
      <c r="E6069" s="1323">
        <f t="shared" si="596"/>
        <v>2.6674000000000002</v>
      </c>
      <c r="F6069" s="1323">
        <f t="shared" si="595"/>
        <v>3.0651290757665355</v>
      </c>
      <c r="G6069" s="1323">
        <f t="shared" si="597"/>
        <v>1990</v>
      </c>
      <c r="H6069" s="1323">
        <f t="shared" si="598"/>
        <v>6</v>
      </c>
      <c r="I6069" s="1323">
        <f t="shared" si="599"/>
        <v>15</v>
      </c>
      <c r="J6069" s="1323"/>
      <c r="K6069" s="1323"/>
      <c r="L6069" s="1323"/>
      <c r="M6069" s="1323"/>
      <c r="N6069" s="1323"/>
      <c r="O6069" s="1323"/>
      <c r="P6069" s="1323"/>
      <c r="Q6069" s="1323"/>
      <c r="R6069" s="1304"/>
      <c r="S6069" s="1304"/>
      <c r="T6069" s="1304"/>
    </row>
    <row r="6070" spans="1:20">
      <c r="A6070" s="1303"/>
      <c r="B6070" s="1322" t="s">
        <v>13234</v>
      </c>
      <c r="C6070" s="1323" t="s">
        <v>13235</v>
      </c>
      <c r="D6070" s="1324">
        <f t="shared" si="594"/>
        <v>33038</v>
      </c>
      <c r="E6070" s="1323">
        <f t="shared" si="596"/>
        <v>2.6617000000000002</v>
      </c>
      <c r="F6070" s="1323">
        <f t="shared" si="595"/>
        <v>3.064541355506575</v>
      </c>
      <c r="G6070" s="1323">
        <f t="shared" si="597"/>
        <v>1990</v>
      </c>
      <c r="H6070" s="1323">
        <f t="shared" si="598"/>
        <v>6</v>
      </c>
      <c r="I6070" s="1323">
        <f t="shared" si="599"/>
        <v>14</v>
      </c>
      <c r="J6070" s="1323"/>
      <c r="K6070" s="1323"/>
      <c r="L6070" s="1323"/>
      <c r="M6070" s="1323"/>
      <c r="N6070" s="1323"/>
      <c r="O6070" s="1323"/>
      <c r="P6070" s="1323"/>
      <c r="Q6070" s="1323"/>
      <c r="R6070" s="1304"/>
      <c r="S6070" s="1304"/>
      <c r="T6070" s="1304"/>
    </row>
    <row r="6071" spans="1:20">
      <c r="A6071" s="1303"/>
      <c r="B6071" s="1322" t="s">
        <v>13236</v>
      </c>
      <c r="C6071" s="1323" t="s">
        <v>13237</v>
      </c>
      <c r="D6071" s="1324">
        <f t="shared" si="594"/>
        <v>33037</v>
      </c>
      <c r="E6071" s="1323">
        <f t="shared" si="596"/>
        <v>2.6677</v>
      </c>
      <c r="F6071" s="1323">
        <f t="shared" si="595"/>
        <v>3.0639537479384771</v>
      </c>
      <c r="G6071" s="1323">
        <f t="shared" si="597"/>
        <v>1990</v>
      </c>
      <c r="H6071" s="1323">
        <f t="shared" si="598"/>
        <v>6</v>
      </c>
      <c r="I6071" s="1323">
        <f t="shared" si="599"/>
        <v>13</v>
      </c>
      <c r="J6071" s="1323"/>
      <c r="K6071" s="1323"/>
      <c r="L6071" s="1323"/>
      <c r="M6071" s="1323"/>
      <c r="N6071" s="1323"/>
      <c r="O6071" s="1323"/>
      <c r="P6071" s="1323"/>
      <c r="Q6071" s="1323"/>
      <c r="R6071" s="1304"/>
      <c r="S6071" s="1304"/>
      <c r="T6071" s="1304"/>
    </row>
    <row r="6072" spans="1:20">
      <c r="A6072" s="1303"/>
      <c r="B6072" s="1322" t="s">
        <v>13238</v>
      </c>
      <c r="C6072" s="1323" t="s">
        <v>13239</v>
      </c>
      <c r="D6072" s="1324">
        <f t="shared" si="594"/>
        <v>33036</v>
      </c>
      <c r="E6072" s="1323">
        <f t="shared" si="596"/>
        <v>2.6638000000000002</v>
      </c>
      <c r="F6072" s="1323">
        <f t="shared" si="595"/>
        <v>3.0633662530406336</v>
      </c>
      <c r="G6072" s="1323">
        <f t="shared" si="597"/>
        <v>1990</v>
      </c>
      <c r="H6072" s="1323">
        <f t="shared" si="598"/>
        <v>6</v>
      </c>
      <c r="I6072" s="1323">
        <f t="shared" si="599"/>
        <v>12</v>
      </c>
      <c r="J6072" s="1323"/>
      <c r="K6072" s="1323"/>
      <c r="L6072" s="1323"/>
      <c r="M6072" s="1323"/>
      <c r="N6072" s="1323"/>
      <c r="O6072" s="1323"/>
      <c r="P6072" s="1323"/>
      <c r="Q6072" s="1323"/>
      <c r="R6072" s="1304"/>
      <c r="S6072" s="1304"/>
      <c r="T6072" s="1304"/>
    </row>
    <row r="6073" spans="1:20">
      <c r="A6073" s="1303"/>
      <c r="B6073" s="1322" t="s">
        <v>13240</v>
      </c>
      <c r="C6073" s="1323" t="s">
        <v>13232</v>
      </c>
      <c r="D6073" s="1324">
        <f t="shared" si="594"/>
        <v>33035</v>
      </c>
      <c r="E6073" s="1323">
        <f t="shared" si="596"/>
        <v>2.6701999999999999</v>
      </c>
      <c r="F6073" s="1323">
        <f t="shared" si="595"/>
        <v>3.0627788707914405</v>
      </c>
      <c r="G6073" s="1323">
        <f t="shared" si="597"/>
        <v>1990</v>
      </c>
      <c r="H6073" s="1323">
        <f t="shared" si="598"/>
        <v>6</v>
      </c>
      <c r="I6073" s="1323">
        <f t="shared" si="599"/>
        <v>11</v>
      </c>
      <c r="J6073" s="1323"/>
      <c r="K6073" s="1323"/>
      <c r="L6073" s="1323"/>
      <c r="M6073" s="1323"/>
      <c r="N6073" s="1323"/>
      <c r="O6073" s="1323"/>
      <c r="P6073" s="1323"/>
      <c r="Q6073" s="1323"/>
      <c r="R6073" s="1304"/>
      <c r="S6073" s="1304"/>
      <c r="T6073" s="1304"/>
    </row>
    <row r="6074" spans="1:20">
      <c r="A6074" s="1303"/>
      <c r="B6074" s="1322" t="s">
        <v>13241</v>
      </c>
      <c r="C6074" s="1323" t="s">
        <v>13242</v>
      </c>
      <c r="D6074" s="1324">
        <f t="shared" si="594"/>
        <v>33032</v>
      </c>
      <c r="E6074" s="1323">
        <f t="shared" si="596"/>
        <v>2.6674000000000002</v>
      </c>
      <c r="F6074" s="1323">
        <f t="shared" si="595"/>
        <v>3.0621916011692982</v>
      </c>
      <c r="G6074" s="1323">
        <f t="shared" si="597"/>
        <v>1990</v>
      </c>
      <c r="H6074" s="1323">
        <f t="shared" si="598"/>
        <v>6</v>
      </c>
      <c r="I6074" s="1323">
        <f t="shared" si="599"/>
        <v>8</v>
      </c>
      <c r="J6074" s="1323"/>
      <c r="K6074" s="1323"/>
      <c r="L6074" s="1323"/>
      <c r="M6074" s="1323"/>
      <c r="N6074" s="1323"/>
      <c r="O6074" s="1323"/>
      <c r="P6074" s="1323"/>
      <c r="Q6074" s="1323"/>
      <c r="R6074" s="1304"/>
      <c r="S6074" s="1304"/>
      <c r="T6074" s="1304"/>
    </row>
    <row r="6075" spans="1:20">
      <c r="A6075" s="1303"/>
      <c r="B6075" s="1322" t="s">
        <v>13243</v>
      </c>
      <c r="C6075" s="1323" t="s">
        <v>13235</v>
      </c>
      <c r="D6075" s="1324">
        <f t="shared" si="594"/>
        <v>33031</v>
      </c>
      <c r="E6075" s="1323">
        <f t="shared" si="596"/>
        <v>2.6709000000000001</v>
      </c>
      <c r="F6075" s="1323">
        <f t="shared" si="595"/>
        <v>3.0616044441526111</v>
      </c>
      <c r="G6075" s="1323">
        <f t="shared" si="597"/>
        <v>1990</v>
      </c>
      <c r="H6075" s="1323">
        <f t="shared" si="598"/>
        <v>6</v>
      </c>
      <c r="I6075" s="1323">
        <f t="shared" si="599"/>
        <v>7</v>
      </c>
      <c r="J6075" s="1323"/>
      <c r="K6075" s="1323"/>
      <c r="L6075" s="1323"/>
      <c r="M6075" s="1323"/>
      <c r="N6075" s="1323"/>
      <c r="O6075" s="1323"/>
      <c r="P6075" s="1323"/>
      <c r="Q6075" s="1323"/>
      <c r="R6075" s="1304"/>
      <c r="S6075" s="1304"/>
      <c r="T6075" s="1304"/>
    </row>
    <row r="6076" spans="1:20">
      <c r="A6076" s="1303"/>
      <c r="B6076" s="1322" t="s">
        <v>13244</v>
      </c>
      <c r="C6076" s="1323" t="s">
        <v>13245</v>
      </c>
      <c r="D6076" s="1324">
        <f t="shared" si="594"/>
        <v>33030</v>
      </c>
      <c r="E6076" s="1323">
        <f t="shared" si="596"/>
        <v>2.6652</v>
      </c>
      <c r="F6076" s="1323">
        <f t="shared" si="595"/>
        <v>3.061017399719788</v>
      </c>
      <c r="G6076" s="1323">
        <f t="shared" si="597"/>
        <v>1990</v>
      </c>
      <c r="H6076" s="1323">
        <f t="shared" si="598"/>
        <v>6</v>
      </c>
      <c r="I6076" s="1323">
        <f t="shared" si="599"/>
        <v>6</v>
      </c>
      <c r="J6076" s="1323"/>
      <c r="K6076" s="1323"/>
      <c r="L6076" s="1323"/>
      <c r="M6076" s="1323"/>
      <c r="N6076" s="1323"/>
      <c r="O6076" s="1323"/>
      <c r="P6076" s="1323"/>
      <c r="Q6076" s="1323"/>
      <c r="R6076" s="1304"/>
      <c r="S6076" s="1304"/>
      <c r="T6076" s="1304"/>
    </row>
    <row r="6077" spans="1:20">
      <c r="A6077" s="1303"/>
      <c r="B6077" s="1322" t="s">
        <v>13246</v>
      </c>
      <c r="C6077" s="1323" t="s">
        <v>13224</v>
      </c>
      <c r="D6077" s="1324">
        <f t="shared" si="594"/>
        <v>33029</v>
      </c>
      <c r="E6077" s="1323">
        <f t="shared" si="596"/>
        <v>2.6642000000000001</v>
      </c>
      <c r="F6077" s="1323">
        <f t="shared" si="595"/>
        <v>3.0604304678492413</v>
      </c>
      <c r="G6077" s="1323">
        <f t="shared" si="597"/>
        <v>1990</v>
      </c>
      <c r="H6077" s="1323">
        <f t="shared" si="598"/>
        <v>6</v>
      </c>
      <c r="I6077" s="1323">
        <f t="shared" si="599"/>
        <v>5</v>
      </c>
      <c r="J6077" s="1323"/>
      <c r="K6077" s="1323"/>
      <c r="L6077" s="1323"/>
      <c r="M6077" s="1323"/>
      <c r="N6077" s="1323"/>
      <c r="O6077" s="1323"/>
      <c r="P6077" s="1323"/>
      <c r="Q6077" s="1323"/>
      <c r="R6077" s="1304"/>
      <c r="S6077" s="1304"/>
      <c r="T6077" s="1304"/>
    </row>
    <row r="6078" spans="1:20">
      <c r="A6078" s="1303"/>
      <c r="B6078" s="1322" t="s">
        <v>13247</v>
      </c>
      <c r="C6078" s="1323" t="s">
        <v>13226</v>
      </c>
      <c r="D6078" s="1324">
        <f t="shared" si="594"/>
        <v>33028</v>
      </c>
      <c r="E6078" s="1323">
        <f t="shared" si="596"/>
        <v>2.6717</v>
      </c>
      <c r="F6078" s="1323">
        <f t="shared" si="595"/>
        <v>3.0598436485193883</v>
      </c>
      <c r="G6078" s="1323">
        <f t="shared" si="597"/>
        <v>1990</v>
      </c>
      <c r="H6078" s="1323">
        <f t="shared" si="598"/>
        <v>6</v>
      </c>
      <c r="I6078" s="1323">
        <f t="shared" si="599"/>
        <v>4</v>
      </c>
      <c r="J6078" s="1323"/>
      <c r="K6078" s="1323"/>
      <c r="L6078" s="1323"/>
      <c r="M6078" s="1323"/>
      <c r="N6078" s="1323"/>
      <c r="O6078" s="1323"/>
      <c r="P6078" s="1323"/>
      <c r="Q6078" s="1323"/>
      <c r="R6078" s="1304"/>
      <c r="S6078" s="1304"/>
      <c r="T6078" s="1304"/>
    </row>
    <row r="6079" spans="1:20">
      <c r="A6079" s="1303"/>
      <c r="B6079" s="1322" t="s">
        <v>13248</v>
      </c>
      <c r="C6079" s="1323" t="s">
        <v>13249</v>
      </c>
      <c r="D6079" s="1324">
        <f t="shared" si="594"/>
        <v>33025</v>
      </c>
      <c r="E6079" s="1323">
        <f t="shared" si="596"/>
        <v>2.6631</v>
      </c>
      <c r="F6079" s="1323">
        <f t="shared" si="595"/>
        <v>3.0592569417086497</v>
      </c>
      <c r="G6079" s="1323">
        <f t="shared" si="597"/>
        <v>1990</v>
      </c>
      <c r="H6079" s="1323">
        <f t="shared" si="598"/>
        <v>6</v>
      </c>
      <c r="I6079" s="1323">
        <f t="shared" si="599"/>
        <v>1</v>
      </c>
      <c r="J6079" s="1323"/>
      <c r="K6079" s="1323"/>
      <c r="L6079" s="1323"/>
      <c r="M6079" s="1323"/>
      <c r="N6079" s="1323"/>
      <c r="O6079" s="1323"/>
      <c r="P6079" s="1323"/>
      <c r="Q6079" s="1323"/>
      <c r="R6079" s="1304"/>
      <c r="S6079" s="1304"/>
      <c r="T6079" s="1304"/>
    </row>
    <row r="6080" spans="1:20">
      <c r="A6080" s="1303"/>
      <c r="B6080" s="1322" t="s">
        <v>13250</v>
      </c>
      <c r="C6080" s="1323" t="s">
        <v>13251</v>
      </c>
      <c r="D6080" s="1324">
        <f t="shared" si="594"/>
        <v>33023</v>
      </c>
      <c r="E6080" s="1323">
        <f t="shared" si="596"/>
        <v>2.6539000000000001</v>
      </c>
      <c r="F6080" s="1323">
        <f t="shared" si="595"/>
        <v>3.0586703473954504</v>
      </c>
      <c r="G6080" s="1323">
        <f t="shared" si="597"/>
        <v>1990</v>
      </c>
      <c r="H6080" s="1323">
        <f t="shared" si="598"/>
        <v>5</v>
      </c>
      <c r="I6080" s="1323">
        <f t="shared" si="599"/>
        <v>30</v>
      </c>
      <c r="J6080" s="1323"/>
      <c r="K6080" s="1323"/>
      <c r="L6080" s="1323"/>
      <c r="M6080" s="1323"/>
      <c r="N6080" s="1323"/>
      <c r="O6080" s="1323"/>
      <c r="P6080" s="1323"/>
      <c r="Q6080" s="1323"/>
      <c r="R6080" s="1304"/>
      <c r="S6080" s="1304"/>
      <c r="T6080" s="1304"/>
    </row>
    <row r="6081" spans="1:20">
      <c r="A6081" s="1303"/>
      <c r="B6081" s="1322" t="s">
        <v>13252</v>
      </c>
      <c r="C6081" s="1323" t="s">
        <v>13253</v>
      </c>
      <c r="D6081" s="1324">
        <f t="shared" si="594"/>
        <v>33022</v>
      </c>
      <c r="E6081" s="1323">
        <f t="shared" si="596"/>
        <v>2.6522000000000001</v>
      </c>
      <c r="F6081" s="1323">
        <f t="shared" si="595"/>
        <v>3.0580838655582201</v>
      </c>
      <c r="G6081" s="1323">
        <f t="shared" si="597"/>
        <v>1990</v>
      </c>
      <c r="H6081" s="1323">
        <f t="shared" si="598"/>
        <v>5</v>
      </c>
      <c r="I6081" s="1323">
        <f t="shared" si="599"/>
        <v>29</v>
      </c>
      <c r="J6081" s="1323"/>
      <c r="K6081" s="1323"/>
      <c r="L6081" s="1323"/>
      <c r="M6081" s="1323"/>
      <c r="N6081" s="1323"/>
      <c r="O6081" s="1323"/>
      <c r="P6081" s="1323"/>
      <c r="Q6081" s="1323"/>
      <c r="R6081" s="1304"/>
      <c r="S6081" s="1304"/>
      <c r="T6081" s="1304"/>
    </row>
    <row r="6082" spans="1:20">
      <c r="A6082" s="1303"/>
      <c r="B6082" s="1322" t="s">
        <v>13254</v>
      </c>
      <c r="C6082" s="1323" t="s">
        <v>13255</v>
      </c>
      <c r="D6082" s="1324">
        <f t="shared" si="594"/>
        <v>33021</v>
      </c>
      <c r="E6082" s="1323">
        <f t="shared" si="596"/>
        <v>2.6522000000000001</v>
      </c>
      <c r="F6082" s="1323">
        <f t="shared" si="595"/>
        <v>3.057497496175392</v>
      </c>
      <c r="G6082" s="1323">
        <f t="shared" si="597"/>
        <v>1990</v>
      </c>
      <c r="H6082" s="1323">
        <f t="shared" si="598"/>
        <v>5</v>
      </c>
      <c r="I6082" s="1323">
        <f t="shared" si="599"/>
        <v>28</v>
      </c>
      <c r="J6082" s="1323"/>
      <c r="K6082" s="1323"/>
      <c r="L6082" s="1323"/>
      <c r="M6082" s="1323"/>
      <c r="N6082" s="1323"/>
      <c r="O6082" s="1323"/>
      <c r="P6082" s="1323"/>
      <c r="Q6082" s="1323"/>
      <c r="R6082" s="1304"/>
      <c r="S6082" s="1304"/>
      <c r="T6082" s="1304"/>
    </row>
    <row r="6083" spans="1:20">
      <c r="A6083" s="1303"/>
      <c r="B6083" s="1322" t="s">
        <v>13256</v>
      </c>
      <c r="C6083" s="1323" t="s">
        <v>13255</v>
      </c>
      <c r="D6083" s="1324">
        <f t="shared" si="594"/>
        <v>33018</v>
      </c>
      <c r="E6083" s="1323">
        <f t="shared" si="596"/>
        <v>2.6503999999999999</v>
      </c>
      <c r="F6083" s="1323">
        <f t="shared" si="595"/>
        <v>3.0569112392254034</v>
      </c>
      <c r="G6083" s="1323">
        <f t="shared" si="597"/>
        <v>1990</v>
      </c>
      <c r="H6083" s="1323">
        <f t="shared" si="598"/>
        <v>5</v>
      </c>
      <c r="I6083" s="1323">
        <f t="shared" si="599"/>
        <v>25</v>
      </c>
      <c r="J6083" s="1323"/>
      <c r="K6083" s="1323"/>
      <c r="L6083" s="1323"/>
      <c r="M6083" s="1323"/>
      <c r="N6083" s="1323"/>
      <c r="O6083" s="1323"/>
      <c r="P6083" s="1323"/>
      <c r="Q6083" s="1323"/>
      <c r="R6083" s="1304"/>
      <c r="S6083" s="1304"/>
      <c r="T6083" s="1304"/>
    </row>
    <row r="6084" spans="1:20">
      <c r="A6084" s="1303"/>
      <c r="B6084" s="1322" t="s">
        <v>13257</v>
      </c>
      <c r="C6084" s="1323" t="s">
        <v>13258</v>
      </c>
      <c r="D6084" s="1324">
        <f t="shared" si="594"/>
        <v>33016</v>
      </c>
      <c r="E6084" s="1323">
        <f t="shared" si="596"/>
        <v>2.6349999999999998</v>
      </c>
      <c r="F6084" s="1323">
        <f t="shared" si="595"/>
        <v>3.0563250946866964</v>
      </c>
      <c r="G6084" s="1323">
        <f t="shared" si="597"/>
        <v>1990</v>
      </c>
      <c r="H6084" s="1323">
        <f t="shared" si="598"/>
        <v>5</v>
      </c>
      <c r="I6084" s="1323">
        <f t="shared" si="599"/>
        <v>23</v>
      </c>
      <c r="J6084" s="1323"/>
      <c r="K6084" s="1323"/>
      <c r="L6084" s="1323"/>
      <c r="M6084" s="1323"/>
      <c r="N6084" s="1323"/>
      <c r="O6084" s="1323"/>
      <c r="P6084" s="1323"/>
      <c r="Q6084" s="1323"/>
      <c r="R6084" s="1304"/>
      <c r="S6084" s="1304"/>
      <c r="T6084" s="1304"/>
    </row>
    <row r="6085" spans="1:20">
      <c r="A6085" s="1303"/>
      <c r="B6085" s="1322" t="s">
        <v>13259</v>
      </c>
      <c r="C6085" s="1323" t="s">
        <v>13198</v>
      </c>
      <c r="D6085" s="1324">
        <f t="shared" si="594"/>
        <v>33015</v>
      </c>
      <c r="E6085" s="1323">
        <f t="shared" si="596"/>
        <v>2.6427</v>
      </c>
      <c r="F6085" s="1323">
        <f t="shared" si="595"/>
        <v>3.0557390625377163</v>
      </c>
      <c r="G6085" s="1323">
        <f t="shared" si="597"/>
        <v>1990</v>
      </c>
      <c r="H6085" s="1323">
        <f t="shared" si="598"/>
        <v>5</v>
      </c>
      <c r="I6085" s="1323">
        <f t="shared" si="599"/>
        <v>22</v>
      </c>
      <c r="J6085" s="1323"/>
      <c r="K6085" s="1323"/>
      <c r="L6085" s="1323"/>
      <c r="M6085" s="1323"/>
      <c r="N6085" s="1323"/>
      <c r="O6085" s="1323"/>
      <c r="P6085" s="1323"/>
      <c r="Q6085" s="1323"/>
      <c r="R6085" s="1304"/>
      <c r="S6085" s="1304"/>
      <c r="T6085" s="1304"/>
    </row>
    <row r="6086" spans="1:20">
      <c r="A6086" s="1303"/>
      <c r="B6086" s="1322" t="s">
        <v>13260</v>
      </c>
      <c r="C6086" s="1323" t="s">
        <v>13210</v>
      </c>
      <c r="D6086" s="1324">
        <f t="shared" si="594"/>
        <v>33014</v>
      </c>
      <c r="E6086" s="1323">
        <f t="shared" si="596"/>
        <v>2.6413000000000002</v>
      </c>
      <c r="F6086" s="1323">
        <f t="shared" si="595"/>
        <v>3.0551531427569136</v>
      </c>
      <c r="G6086" s="1323">
        <f t="shared" si="597"/>
        <v>1990</v>
      </c>
      <c r="H6086" s="1323">
        <f t="shared" si="598"/>
        <v>5</v>
      </c>
      <c r="I6086" s="1323">
        <f t="shared" si="599"/>
        <v>21</v>
      </c>
      <c r="J6086" s="1323"/>
      <c r="K6086" s="1323"/>
      <c r="L6086" s="1323"/>
      <c r="M6086" s="1323"/>
      <c r="N6086" s="1323"/>
      <c r="O6086" s="1323"/>
      <c r="P6086" s="1323"/>
      <c r="Q6086" s="1323"/>
      <c r="R6086" s="1304"/>
      <c r="S6086" s="1304"/>
      <c r="T6086" s="1304"/>
    </row>
    <row r="6087" spans="1:20">
      <c r="A6087" s="1303"/>
      <c r="B6087" s="1322" t="s">
        <v>13261</v>
      </c>
      <c r="C6087" s="1323" t="s">
        <v>13262</v>
      </c>
      <c r="D6087" s="1324">
        <f t="shared" si="594"/>
        <v>33011</v>
      </c>
      <c r="E6087" s="1323">
        <f t="shared" si="596"/>
        <v>2.6402999999999999</v>
      </c>
      <c r="F6087" s="1323">
        <f t="shared" si="595"/>
        <v>3.054567335322742</v>
      </c>
      <c r="G6087" s="1323">
        <f t="shared" si="597"/>
        <v>1990</v>
      </c>
      <c r="H6087" s="1323">
        <f t="shared" si="598"/>
        <v>5</v>
      </c>
      <c r="I6087" s="1323">
        <f t="shared" si="599"/>
        <v>18</v>
      </c>
      <c r="J6087" s="1323"/>
      <c r="K6087" s="1323"/>
      <c r="L6087" s="1323"/>
      <c r="M6087" s="1323"/>
      <c r="N6087" s="1323"/>
      <c r="O6087" s="1323"/>
      <c r="P6087" s="1323"/>
      <c r="Q6087" s="1323"/>
      <c r="R6087" s="1304"/>
      <c r="S6087" s="1304"/>
      <c r="T6087" s="1304"/>
    </row>
    <row r="6088" spans="1:20">
      <c r="A6088" s="1303"/>
      <c r="B6088" s="1322" t="s">
        <v>13263</v>
      </c>
      <c r="C6088" s="1323" t="s">
        <v>13264</v>
      </c>
      <c r="D6088" s="1324">
        <f t="shared" si="594"/>
        <v>33010</v>
      </c>
      <c r="E6088" s="1323">
        <f t="shared" si="596"/>
        <v>2.633</v>
      </c>
      <c r="F6088" s="1323">
        <f t="shared" si="595"/>
        <v>3.0539816402136597</v>
      </c>
      <c r="G6088" s="1323">
        <f t="shared" si="597"/>
        <v>1990</v>
      </c>
      <c r="H6088" s="1323">
        <f t="shared" si="598"/>
        <v>5</v>
      </c>
      <c r="I6088" s="1323">
        <f t="shared" si="599"/>
        <v>17</v>
      </c>
      <c r="J6088" s="1323"/>
      <c r="K6088" s="1323"/>
      <c r="L6088" s="1323"/>
      <c r="M6088" s="1323"/>
      <c r="N6088" s="1323"/>
      <c r="O6088" s="1323"/>
      <c r="P6088" s="1323"/>
      <c r="Q6088" s="1323"/>
      <c r="R6088" s="1304"/>
      <c r="S6088" s="1304"/>
      <c r="T6088" s="1304"/>
    </row>
    <row r="6089" spans="1:20">
      <c r="A6089" s="1303"/>
      <c r="B6089" s="1322" t="s">
        <v>13265</v>
      </c>
      <c r="C6089" s="1323" t="s">
        <v>13266</v>
      </c>
      <c r="D6089" s="1324">
        <f t="shared" ref="D6089:D6152" si="600">DATE(G6089,H6089,I6089)</f>
        <v>33009</v>
      </c>
      <c r="E6089" s="1323">
        <f t="shared" si="596"/>
        <v>2.6461999999999999</v>
      </c>
      <c r="F6089" s="1323">
        <f t="shared" ref="F6089:F6152" si="601">F6090*(1+$F$7/365)</f>
        <v>3.0533960574081291</v>
      </c>
      <c r="G6089" s="1323">
        <f t="shared" si="597"/>
        <v>1990</v>
      </c>
      <c r="H6089" s="1323">
        <f t="shared" si="598"/>
        <v>5</v>
      </c>
      <c r="I6089" s="1323">
        <f t="shared" si="599"/>
        <v>16</v>
      </c>
      <c r="J6089" s="1323"/>
      <c r="K6089" s="1323"/>
      <c r="L6089" s="1323"/>
      <c r="M6089" s="1323"/>
      <c r="N6089" s="1323"/>
      <c r="O6089" s="1323"/>
      <c r="P6089" s="1323"/>
      <c r="Q6089" s="1323"/>
      <c r="R6089" s="1304"/>
      <c r="S6089" s="1304"/>
      <c r="T6089" s="1304"/>
    </row>
    <row r="6090" spans="1:20">
      <c r="A6090" s="1303"/>
      <c r="B6090" s="1322" t="s">
        <v>13267</v>
      </c>
      <c r="C6090" s="1323" t="s">
        <v>13268</v>
      </c>
      <c r="D6090" s="1324">
        <f t="shared" si="600"/>
        <v>33008</v>
      </c>
      <c r="E6090" s="1323">
        <f t="shared" si="596"/>
        <v>2.633</v>
      </c>
      <c r="F6090" s="1323">
        <f t="shared" si="601"/>
        <v>3.0528105868846169</v>
      </c>
      <c r="G6090" s="1323">
        <f t="shared" si="597"/>
        <v>1990</v>
      </c>
      <c r="H6090" s="1323">
        <f t="shared" si="598"/>
        <v>5</v>
      </c>
      <c r="I6090" s="1323">
        <f t="shared" si="599"/>
        <v>15</v>
      </c>
      <c r="J6090" s="1323"/>
      <c r="K6090" s="1323"/>
      <c r="L6090" s="1323"/>
      <c r="M6090" s="1323"/>
      <c r="N6090" s="1323"/>
      <c r="O6090" s="1323"/>
      <c r="P6090" s="1323"/>
      <c r="Q6090" s="1323"/>
      <c r="R6090" s="1304"/>
      <c r="S6090" s="1304"/>
      <c r="T6090" s="1304"/>
    </row>
    <row r="6091" spans="1:20">
      <c r="A6091" s="1303"/>
      <c r="B6091" s="1322" t="s">
        <v>13269</v>
      </c>
      <c r="C6091" s="1323" t="s">
        <v>13266</v>
      </c>
      <c r="D6091" s="1324">
        <f t="shared" si="600"/>
        <v>33007</v>
      </c>
      <c r="E6091" s="1323">
        <f t="shared" si="596"/>
        <v>2.6406000000000001</v>
      </c>
      <c r="F6091" s="1323">
        <f t="shared" si="601"/>
        <v>3.0522252286215936</v>
      </c>
      <c r="G6091" s="1323">
        <f t="shared" si="597"/>
        <v>1990</v>
      </c>
      <c r="H6091" s="1323">
        <f t="shared" si="598"/>
        <v>5</v>
      </c>
      <c r="I6091" s="1323">
        <f t="shared" si="599"/>
        <v>14</v>
      </c>
      <c r="J6091" s="1323"/>
      <c r="K6091" s="1323"/>
      <c r="L6091" s="1323"/>
      <c r="M6091" s="1323"/>
      <c r="N6091" s="1323"/>
      <c r="O6091" s="1323"/>
      <c r="P6091" s="1323"/>
      <c r="Q6091" s="1323"/>
      <c r="R6091" s="1304"/>
      <c r="S6091" s="1304"/>
      <c r="T6091" s="1304"/>
    </row>
    <row r="6092" spans="1:20">
      <c r="A6092" s="1303"/>
      <c r="B6092" s="1322" t="s">
        <v>13270</v>
      </c>
      <c r="C6092" s="1323" t="s">
        <v>13206</v>
      </c>
      <c r="D6092" s="1324">
        <f t="shared" si="600"/>
        <v>33004</v>
      </c>
      <c r="E6092" s="1323">
        <f t="shared" si="596"/>
        <v>2.6337000000000002</v>
      </c>
      <c r="F6092" s="1323">
        <f t="shared" si="601"/>
        <v>3.0516399825975338</v>
      </c>
      <c r="G6092" s="1323">
        <f t="shared" si="597"/>
        <v>1990</v>
      </c>
      <c r="H6092" s="1323">
        <f t="shared" si="598"/>
        <v>5</v>
      </c>
      <c r="I6092" s="1323">
        <f t="shared" si="599"/>
        <v>11</v>
      </c>
      <c r="J6092" s="1323"/>
      <c r="K6092" s="1323"/>
      <c r="L6092" s="1323"/>
      <c r="M6092" s="1323"/>
      <c r="N6092" s="1323"/>
      <c r="O6092" s="1323"/>
      <c r="P6092" s="1323"/>
      <c r="Q6092" s="1323"/>
      <c r="R6092" s="1304"/>
      <c r="S6092" s="1304"/>
      <c r="T6092" s="1304"/>
    </row>
    <row r="6093" spans="1:20">
      <c r="A6093" s="1303"/>
      <c r="B6093" s="1322" t="s">
        <v>13271</v>
      </c>
      <c r="C6093" s="1323" t="s">
        <v>13272</v>
      </c>
      <c r="D6093" s="1324">
        <f t="shared" si="600"/>
        <v>33003</v>
      </c>
      <c r="E6093" s="1323">
        <f t="shared" si="596"/>
        <v>2.6349999999999998</v>
      </c>
      <c r="F6093" s="1323">
        <f t="shared" si="601"/>
        <v>3.0510548487909164</v>
      </c>
      <c r="G6093" s="1323">
        <f t="shared" si="597"/>
        <v>1990</v>
      </c>
      <c r="H6093" s="1323">
        <f t="shared" si="598"/>
        <v>5</v>
      </c>
      <c r="I6093" s="1323">
        <f t="shared" si="599"/>
        <v>10</v>
      </c>
      <c r="J6093" s="1323"/>
      <c r="K6093" s="1323"/>
      <c r="L6093" s="1323"/>
      <c r="M6093" s="1323"/>
      <c r="N6093" s="1323"/>
      <c r="O6093" s="1323"/>
      <c r="P6093" s="1323"/>
      <c r="Q6093" s="1323"/>
      <c r="R6093" s="1304"/>
      <c r="S6093" s="1304"/>
      <c r="T6093" s="1304"/>
    </row>
    <row r="6094" spans="1:20">
      <c r="A6094" s="1303"/>
      <c r="B6094" s="1322" t="s">
        <v>13273</v>
      </c>
      <c r="C6094" s="1323" t="s">
        <v>13198</v>
      </c>
      <c r="D6094" s="1324">
        <f t="shared" si="600"/>
        <v>33002</v>
      </c>
      <c r="E6094" s="1323">
        <f t="shared" si="596"/>
        <v>2.6377999999999999</v>
      </c>
      <c r="F6094" s="1323">
        <f t="shared" si="601"/>
        <v>3.050469827180224</v>
      </c>
      <c r="G6094" s="1323">
        <f t="shared" si="597"/>
        <v>1990</v>
      </c>
      <c r="H6094" s="1323">
        <f t="shared" si="598"/>
        <v>5</v>
      </c>
      <c r="I6094" s="1323">
        <f t="shared" si="599"/>
        <v>9</v>
      </c>
      <c r="J6094" s="1323"/>
      <c r="K6094" s="1323"/>
      <c r="L6094" s="1323"/>
      <c r="M6094" s="1323"/>
      <c r="N6094" s="1323"/>
      <c r="O6094" s="1323"/>
      <c r="P6094" s="1323"/>
      <c r="Q6094" s="1323"/>
      <c r="R6094" s="1304"/>
      <c r="S6094" s="1304"/>
      <c r="T6094" s="1304"/>
    </row>
    <row r="6095" spans="1:20">
      <c r="A6095" s="1303"/>
      <c r="B6095" s="1322" t="s">
        <v>13274</v>
      </c>
      <c r="C6095" s="1323" t="s">
        <v>13275</v>
      </c>
      <c r="D6095" s="1324">
        <f t="shared" si="600"/>
        <v>33001</v>
      </c>
      <c r="E6095" s="1323">
        <f t="shared" si="596"/>
        <v>2.6461999999999999</v>
      </c>
      <c r="F6095" s="1323">
        <f t="shared" si="601"/>
        <v>3.049884917743944</v>
      </c>
      <c r="G6095" s="1323">
        <f t="shared" si="597"/>
        <v>1990</v>
      </c>
      <c r="H6095" s="1323">
        <f t="shared" si="598"/>
        <v>5</v>
      </c>
      <c r="I6095" s="1323">
        <f t="shared" si="599"/>
        <v>8</v>
      </c>
      <c r="J6095" s="1323"/>
      <c r="K6095" s="1323"/>
      <c r="L6095" s="1323"/>
      <c r="M6095" s="1323"/>
      <c r="N6095" s="1323"/>
      <c r="O6095" s="1323"/>
      <c r="P6095" s="1323"/>
      <c r="Q6095" s="1323"/>
      <c r="R6095" s="1304"/>
      <c r="S6095" s="1304"/>
      <c r="T6095" s="1304"/>
    </row>
    <row r="6096" spans="1:20">
      <c r="A6096" s="1303"/>
      <c r="B6096" s="1322" t="s">
        <v>13276</v>
      </c>
      <c r="C6096" s="1323" t="s">
        <v>13268</v>
      </c>
      <c r="D6096" s="1324">
        <f t="shared" si="600"/>
        <v>33000</v>
      </c>
      <c r="E6096" s="1323">
        <f t="shared" si="596"/>
        <v>2.6476000000000002</v>
      </c>
      <c r="F6096" s="1323">
        <f t="shared" si="601"/>
        <v>3.0493001204605679</v>
      </c>
      <c r="G6096" s="1323">
        <f t="shared" si="597"/>
        <v>1990</v>
      </c>
      <c r="H6096" s="1323">
        <f t="shared" si="598"/>
        <v>5</v>
      </c>
      <c r="I6096" s="1323">
        <f t="shared" si="599"/>
        <v>7</v>
      </c>
      <c r="J6096" s="1323"/>
      <c r="K6096" s="1323"/>
      <c r="L6096" s="1323"/>
      <c r="M6096" s="1323"/>
      <c r="N6096" s="1323"/>
      <c r="O6096" s="1323"/>
      <c r="P6096" s="1323"/>
      <c r="Q6096" s="1323"/>
      <c r="R6096" s="1304"/>
      <c r="S6096" s="1304"/>
      <c r="T6096" s="1304"/>
    </row>
    <row r="6097" spans="1:20">
      <c r="A6097" s="1303"/>
      <c r="B6097" s="1322" t="s">
        <v>13277</v>
      </c>
      <c r="C6097" s="1323" t="s">
        <v>13278</v>
      </c>
      <c r="D6097" s="1324">
        <f t="shared" si="600"/>
        <v>32997</v>
      </c>
      <c r="E6097" s="1323">
        <f t="shared" si="596"/>
        <v>2.6581999999999999</v>
      </c>
      <c r="F6097" s="1323">
        <f t="shared" si="601"/>
        <v>3.0487154353085906</v>
      </c>
      <c r="G6097" s="1323">
        <f t="shared" si="597"/>
        <v>1990</v>
      </c>
      <c r="H6097" s="1323">
        <f t="shared" si="598"/>
        <v>5</v>
      </c>
      <c r="I6097" s="1323">
        <f t="shared" si="599"/>
        <v>4</v>
      </c>
      <c r="J6097" s="1323"/>
      <c r="K6097" s="1323"/>
      <c r="L6097" s="1323"/>
      <c r="M6097" s="1323"/>
      <c r="N6097" s="1323"/>
      <c r="O6097" s="1323"/>
      <c r="P6097" s="1323"/>
      <c r="Q6097" s="1323"/>
      <c r="R6097" s="1304"/>
      <c r="S6097" s="1304"/>
      <c r="T6097" s="1304"/>
    </row>
    <row r="6098" spans="1:20">
      <c r="A6098" s="1303"/>
      <c r="B6098" s="1322" t="s">
        <v>13279</v>
      </c>
      <c r="C6098" s="1323" t="s">
        <v>13280</v>
      </c>
      <c r="D6098" s="1324">
        <f t="shared" si="600"/>
        <v>32996</v>
      </c>
      <c r="E6098" s="1323">
        <f t="shared" si="596"/>
        <v>2.661</v>
      </c>
      <c r="F6098" s="1323">
        <f t="shared" si="601"/>
        <v>3.048130862266512</v>
      </c>
      <c r="G6098" s="1323">
        <f t="shared" si="597"/>
        <v>1990</v>
      </c>
      <c r="H6098" s="1323">
        <f t="shared" si="598"/>
        <v>5</v>
      </c>
      <c r="I6098" s="1323">
        <f t="shared" si="599"/>
        <v>3</v>
      </c>
      <c r="J6098" s="1323"/>
      <c r="K6098" s="1323"/>
      <c r="L6098" s="1323"/>
      <c r="M6098" s="1323"/>
      <c r="N6098" s="1323"/>
      <c r="O6098" s="1323"/>
      <c r="P6098" s="1323"/>
      <c r="Q6098" s="1323"/>
      <c r="R6098" s="1304"/>
      <c r="S6098" s="1304"/>
      <c r="T6098" s="1304"/>
    </row>
    <row r="6099" spans="1:20">
      <c r="A6099" s="1303"/>
      <c r="B6099" s="1322" t="s">
        <v>13281</v>
      </c>
      <c r="C6099" s="1323" t="s">
        <v>13282</v>
      </c>
      <c r="D6099" s="1324">
        <f t="shared" si="600"/>
        <v>32995</v>
      </c>
      <c r="E6099" s="1323">
        <f t="shared" si="596"/>
        <v>2.6623999999999999</v>
      </c>
      <c r="F6099" s="1323">
        <f t="shared" si="601"/>
        <v>3.0475464013128355</v>
      </c>
      <c r="G6099" s="1323">
        <f t="shared" si="597"/>
        <v>1990</v>
      </c>
      <c r="H6099" s="1323">
        <f t="shared" si="598"/>
        <v>5</v>
      </c>
      <c r="I6099" s="1323">
        <f t="shared" si="599"/>
        <v>2</v>
      </c>
      <c r="J6099" s="1323"/>
      <c r="K6099" s="1323"/>
      <c r="L6099" s="1323"/>
      <c r="M6099" s="1323"/>
      <c r="N6099" s="1323"/>
      <c r="O6099" s="1323"/>
      <c r="P6099" s="1323"/>
      <c r="Q6099" s="1323"/>
      <c r="R6099" s="1304"/>
      <c r="S6099" s="1304"/>
      <c r="T6099" s="1304"/>
    </row>
    <row r="6100" spans="1:20">
      <c r="A6100" s="1303"/>
      <c r="B6100" s="1322" t="s">
        <v>13283</v>
      </c>
      <c r="C6100" s="1323" t="s">
        <v>13284</v>
      </c>
      <c r="D6100" s="1324">
        <f t="shared" si="600"/>
        <v>32993</v>
      </c>
      <c r="E6100" s="1323">
        <f t="shared" si="596"/>
        <v>2.6575000000000002</v>
      </c>
      <c r="F6100" s="1323">
        <f t="shared" si="601"/>
        <v>3.0469620524260685</v>
      </c>
      <c r="G6100" s="1323">
        <f t="shared" si="597"/>
        <v>1990</v>
      </c>
      <c r="H6100" s="1323">
        <f t="shared" si="598"/>
        <v>4</v>
      </c>
      <c r="I6100" s="1323">
        <f t="shared" si="599"/>
        <v>30</v>
      </c>
      <c r="J6100" s="1323"/>
      <c r="K6100" s="1323"/>
      <c r="L6100" s="1323"/>
      <c r="M6100" s="1323"/>
      <c r="N6100" s="1323"/>
      <c r="O6100" s="1323"/>
      <c r="P6100" s="1323"/>
      <c r="Q6100" s="1323"/>
      <c r="R6100" s="1304"/>
      <c r="S6100" s="1304"/>
      <c r="T6100" s="1304"/>
    </row>
    <row r="6101" spans="1:20">
      <c r="A6101" s="1303"/>
      <c r="B6101" s="1322" t="s">
        <v>13285</v>
      </c>
      <c r="C6101" s="1323" t="s">
        <v>13286</v>
      </c>
      <c r="D6101" s="1324">
        <f t="shared" si="600"/>
        <v>32990</v>
      </c>
      <c r="E6101" s="1323">
        <f t="shared" si="596"/>
        <v>2.6596000000000002</v>
      </c>
      <c r="F6101" s="1323">
        <f t="shared" si="601"/>
        <v>3.0463778155847234</v>
      </c>
      <c r="G6101" s="1323">
        <f t="shared" si="597"/>
        <v>1990</v>
      </c>
      <c r="H6101" s="1323">
        <f t="shared" si="598"/>
        <v>4</v>
      </c>
      <c r="I6101" s="1323">
        <f t="shared" si="599"/>
        <v>27</v>
      </c>
      <c r="J6101" s="1323"/>
      <c r="K6101" s="1323"/>
      <c r="L6101" s="1323"/>
      <c r="M6101" s="1323"/>
      <c r="N6101" s="1323"/>
      <c r="O6101" s="1323"/>
      <c r="P6101" s="1323"/>
      <c r="Q6101" s="1323"/>
      <c r="R6101" s="1304"/>
      <c r="S6101" s="1304"/>
      <c r="T6101" s="1304"/>
    </row>
    <row r="6102" spans="1:20">
      <c r="A6102" s="1303"/>
      <c r="B6102" s="1322" t="s">
        <v>13287</v>
      </c>
      <c r="C6102" s="1323" t="s">
        <v>13288</v>
      </c>
      <c r="D6102" s="1324">
        <f t="shared" si="600"/>
        <v>32989</v>
      </c>
      <c r="E6102" s="1323">
        <f t="shared" ref="E6102:E6165" si="602">VALUE(C6103)</f>
        <v>2.6545999999999998</v>
      </c>
      <c r="F6102" s="1323">
        <f t="shared" si="601"/>
        <v>3.045793690767316</v>
      </c>
      <c r="G6102" s="1323">
        <f t="shared" ref="G6102:G6165" si="603">YEAR(B6103)</f>
        <v>1990</v>
      </c>
      <c r="H6102" s="1323">
        <f t="shared" ref="H6102:H6165" si="604">MONTH(B6103)</f>
        <v>4</v>
      </c>
      <c r="I6102" s="1323">
        <f t="shared" ref="I6102:I6165" si="605">DAY(B6103)</f>
        <v>26</v>
      </c>
      <c r="J6102" s="1323"/>
      <c r="K6102" s="1323"/>
      <c r="L6102" s="1323"/>
      <c r="M6102" s="1323"/>
      <c r="N6102" s="1323"/>
      <c r="O6102" s="1323"/>
      <c r="P6102" s="1323"/>
      <c r="Q6102" s="1323"/>
      <c r="R6102" s="1304"/>
      <c r="S6102" s="1304"/>
      <c r="T6102" s="1304"/>
    </row>
    <row r="6103" spans="1:20">
      <c r="A6103" s="1303"/>
      <c r="B6103" s="1322" t="s">
        <v>13289</v>
      </c>
      <c r="C6103" s="1323" t="s">
        <v>13290</v>
      </c>
      <c r="D6103" s="1324">
        <f t="shared" si="600"/>
        <v>32988</v>
      </c>
      <c r="E6103" s="1323">
        <f t="shared" si="602"/>
        <v>2.6589</v>
      </c>
      <c r="F6103" s="1323">
        <f t="shared" si="601"/>
        <v>3.0452096779523661</v>
      </c>
      <c r="G6103" s="1323">
        <f t="shared" si="603"/>
        <v>1990</v>
      </c>
      <c r="H6103" s="1323">
        <f t="shared" si="604"/>
        <v>4</v>
      </c>
      <c r="I6103" s="1323">
        <f t="shared" si="605"/>
        <v>25</v>
      </c>
      <c r="J6103" s="1323"/>
      <c r="K6103" s="1323"/>
      <c r="L6103" s="1323"/>
      <c r="M6103" s="1323"/>
      <c r="N6103" s="1323"/>
      <c r="O6103" s="1323"/>
      <c r="P6103" s="1323"/>
      <c r="Q6103" s="1323"/>
      <c r="R6103" s="1304"/>
      <c r="S6103" s="1304"/>
      <c r="T6103" s="1304"/>
    </row>
    <row r="6104" spans="1:20">
      <c r="A6104" s="1303"/>
      <c r="B6104" s="1322" t="s">
        <v>13291</v>
      </c>
      <c r="C6104" s="1323" t="s">
        <v>13218</v>
      </c>
      <c r="D6104" s="1324">
        <f t="shared" si="600"/>
        <v>32987</v>
      </c>
      <c r="E6104" s="1323">
        <f t="shared" si="602"/>
        <v>2.6553</v>
      </c>
      <c r="F6104" s="1323">
        <f t="shared" si="601"/>
        <v>3.044625777118398</v>
      </c>
      <c r="G6104" s="1323">
        <f t="shared" si="603"/>
        <v>1990</v>
      </c>
      <c r="H6104" s="1323">
        <f t="shared" si="604"/>
        <v>4</v>
      </c>
      <c r="I6104" s="1323">
        <f t="shared" si="605"/>
        <v>24</v>
      </c>
      <c r="J6104" s="1323"/>
      <c r="K6104" s="1323"/>
      <c r="L6104" s="1323"/>
      <c r="M6104" s="1323"/>
      <c r="N6104" s="1323"/>
      <c r="O6104" s="1323"/>
      <c r="P6104" s="1323"/>
      <c r="Q6104" s="1323"/>
      <c r="R6104" s="1304"/>
      <c r="S6104" s="1304"/>
      <c r="T6104" s="1304"/>
    </row>
    <row r="6105" spans="1:20">
      <c r="A6105" s="1303"/>
      <c r="B6105" s="1322" t="s">
        <v>13292</v>
      </c>
      <c r="C6105" s="1323" t="s">
        <v>13222</v>
      </c>
      <c r="D6105" s="1324">
        <f t="shared" si="600"/>
        <v>32986</v>
      </c>
      <c r="E6105" s="1323">
        <f t="shared" si="602"/>
        <v>2.6575000000000002</v>
      </c>
      <c r="F6105" s="1323">
        <f t="shared" si="601"/>
        <v>3.04404198824394</v>
      </c>
      <c r="G6105" s="1323">
        <f t="shared" si="603"/>
        <v>1990</v>
      </c>
      <c r="H6105" s="1323">
        <f t="shared" si="604"/>
        <v>4</v>
      </c>
      <c r="I6105" s="1323">
        <f t="shared" si="605"/>
        <v>23</v>
      </c>
      <c r="J6105" s="1323"/>
      <c r="K6105" s="1323"/>
      <c r="L6105" s="1323"/>
      <c r="M6105" s="1323"/>
      <c r="N6105" s="1323"/>
      <c r="O6105" s="1323"/>
      <c r="P6105" s="1323"/>
      <c r="Q6105" s="1323"/>
      <c r="R6105" s="1304"/>
      <c r="S6105" s="1304"/>
      <c r="T6105" s="1304"/>
    </row>
    <row r="6106" spans="1:20">
      <c r="A6106" s="1303"/>
      <c r="B6106" s="1322" t="s">
        <v>13293</v>
      </c>
      <c r="C6106" s="1323" t="s">
        <v>13286</v>
      </c>
      <c r="D6106" s="1324">
        <f t="shared" si="600"/>
        <v>32983</v>
      </c>
      <c r="E6106" s="1323">
        <f t="shared" si="602"/>
        <v>2.6522000000000001</v>
      </c>
      <c r="F6106" s="1323">
        <f t="shared" si="601"/>
        <v>3.0434583113075249</v>
      </c>
      <c r="G6106" s="1323">
        <f t="shared" si="603"/>
        <v>1990</v>
      </c>
      <c r="H6106" s="1323">
        <f t="shared" si="604"/>
        <v>4</v>
      </c>
      <c r="I6106" s="1323">
        <f t="shared" si="605"/>
        <v>20</v>
      </c>
      <c r="J6106" s="1323"/>
      <c r="K6106" s="1323"/>
      <c r="L6106" s="1323"/>
      <c r="M6106" s="1323"/>
      <c r="N6106" s="1323"/>
      <c r="O6106" s="1323"/>
      <c r="P6106" s="1323"/>
      <c r="Q6106" s="1323"/>
      <c r="R6106" s="1304"/>
      <c r="S6106" s="1304"/>
      <c r="T6106" s="1304"/>
    </row>
    <row r="6107" spans="1:20">
      <c r="A6107" s="1303"/>
      <c r="B6107" s="1322" t="s">
        <v>13294</v>
      </c>
      <c r="C6107" s="1323" t="s">
        <v>13255</v>
      </c>
      <c r="D6107" s="1324">
        <f t="shared" si="600"/>
        <v>32982</v>
      </c>
      <c r="E6107" s="1323">
        <f t="shared" si="602"/>
        <v>2.6482999999999999</v>
      </c>
      <c r="F6107" s="1323">
        <f t="shared" si="601"/>
        <v>3.0428747462876888</v>
      </c>
      <c r="G6107" s="1323">
        <f t="shared" si="603"/>
        <v>1990</v>
      </c>
      <c r="H6107" s="1323">
        <f t="shared" si="604"/>
        <v>4</v>
      </c>
      <c r="I6107" s="1323">
        <f t="shared" si="605"/>
        <v>19</v>
      </c>
      <c r="J6107" s="1323"/>
      <c r="K6107" s="1323"/>
      <c r="L6107" s="1323"/>
      <c r="M6107" s="1323"/>
      <c r="N6107" s="1323"/>
      <c r="O6107" s="1323"/>
      <c r="P6107" s="1323"/>
      <c r="Q6107" s="1323"/>
      <c r="R6107" s="1304"/>
      <c r="S6107" s="1304"/>
      <c r="T6107" s="1304"/>
    </row>
    <row r="6108" spans="1:20">
      <c r="A6108" s="1303"/>
      <c r="B6108" s="1322" t="s">
        <v>13295</v>
      </c>
      <c r="C6108" s="1323" t="s">
        <v>13296</v>
      </c>
      <c r="D6108" s="1324">
        <f t="shared" si="600"/>
        <v>32981</v>
      </c>
      <c r="E6108" s="1323">
        <f t="shared" si="602"/>
        <v>2.6560000000000001</v>
      </c>
      <c r="F6108" s="1323">
        <f t="shared" si="601"/>
        <v>3.0422912931629726</v>
      </c>
      <c r="G6108" s="1323">
        <f t="shared" si="603"/>
        <v>1990</v>
      </c>
      <c r="H6108" s="1323">
        <f t="shared" si="604"/>
        <v>4</v>
      </c>
      <c r="I6108" s="1323">
        <f t="shared" si="605"/>
        <v>18</v>
      </c>
      <c r="J6108" s="1323"/>
      <c r="K6108" s="1323"/>
      <c r="L6108" s="1323"/>
      <c r="M6108" s="1323"/>
      <c r="N6108" s="1323"/>
      <c r="O6108" s="1323"/>
      <c r="P6108" s="1323"/>
      <c r="Q6108" s="1323"/>
      <c r="R6108" s="1304"/>
      <c r="S6108" s="1304"/>
      <c r="T6108" s="1304"/>
    </row>
    <row r="6109" spans="1:20">
      <c r="A6109" s="1303"/>
      <c r="B6109" s="1322" t="s">
        <v>13297</v>
      </c>
      <c r="C6109" s="1323" t="s">
        <v>13220</v>
      </c>
      <c r="D6109" s="1324">
        <f t="shared" si="600"/>
        <v>32980</v>
      </c>
      <c r="E6109" s="1323">
        <f t="shared" si="602"/>
        <v>2.6575000000000002</v>
      </c>
      <c r="F6109" s="1323">
        <f t="shared" si="601"/>
        <v>3.041707951911921</v>
      </c>
      <c r="G6109" s="1323">
        <f t="shared" si="603"/>
        <v>1990</v>
      </c>
      <c r="H6109" s="1323">
        <f t="shared" si="604"/>
        <v>4</v>
      </c>
      <c r="I6109" s="1323">
        <f t="shared" si="605"/>
        <v>17</v>
      </c>
      <c r="J6109" s="1323"/>
      <c r="K6109" s="1323"/>
      <c r="L6109" s="1323"/>
      <c r="M6109" s="1323"/>
      <c r="N6109" s="1323"/>
      <c r="O6109" s="1323"/>
      <c r="P6109" s="1323"/>
      <c r="Q6109" s="1323"/>
      <c r="R6109" s="1304"/>
      <c r="S6109" s="1304"/>
      <c r="T6109" s="1304"/>
    </row>
    <row r="6110" spans="1:20">
      <c r="A6110" s="1303"/>
      <c r="B6110" s="1322" t="s">
        <v>13298</v>
      </c>
      <c r="C6110" s="1323" t="s">
        <v>13286</v>
      </c>
      <c r="D6110" s="1324">
        <f t="shared" si="600"/>
        <v>32975</v>
      </c>
      <c r="E6110" s="1323">
        <f t="shared" si="602"/>
        <v>2.6469</v>
      </c>
      <c r="F6110" s="1323">
        <f t="shared" si="601"/>
        <v>3.0411247225130826</v>
      </c>
      <c r="G6110" s="1323">
        <f t="shared" si="603"/>
        <v>1990</v>
      </c>
      <c r="H6110" s="1323">
        <f t="shared" si="604"/>
        <v>4</v>
      </c>
      <c r="I6110" s="1323">
        <f t="shared" si="605"/>
        <v>12</v>
      </c>
      <c r="J6110" s="1323"/>
      <c r="K6110" s="1323"/>
      <c r="L6110" s="1323"/>
      <c r="M6110" s="1323"/>
      <c r="N6110" s="1323"/>
      <c r="O6110" s="1323"/>
      <c r="P6110" s="1323"/>
      <c r="Q6110" s="1323"/>
      <c r="R6110" s="1304"/>
      <c r="S6110" s="1304"/>
      <c r="T6110" s="1304"/>
    </row>
    <row r="6111" spans="1:20">
      <c r="A6111" s="1303"/>
      <c r="B6111" s="1322" t="s">
        <v>13299</v>
      </c>
      <c r="C6111" s="1323" t="s">
        <v>13300</v>
      </c>
      <c r="D6111" s="1324">
        <f t="shared" si="600"/>
        <v>32974</v>
      </c>
      <c r="E6111" s="1323">
        <f t="shared" si="602"/>
        <v>2.6461999999999999</v>
      </c>
      <c r="F6111" s="1323">
        <f t="shared" si="601"/>
        <v>3.0405416049450107</v>
      </c>
      <c r="G6111" s="1323">
        <f t="shared" si="603"/>
        <v>1990</v>
      </c>
      <c r="H6111" s="1323">
        <f t="shared" si="604"/>
        <v>4</v>
      </c>
      <c r="I6111" s="1323">
        <f t="shared" si="605"/>
        <v>11</v>
      </c>
      <c r="J6111" s="1323"/>
      <c r="K6111" s="1323"/>
      <c r="L6111" s="1323"/>
      <c r="M6111" s="1323"/>
      <c r="N6111" s="1323"/>
      <c r="O6111" s="1323"/>
      <c r="P6111" s="1323"/>
      <c r="Q6111" s="1323"/>
      <c r="R6111" s="1304"/>
      <c r="S6111" s="1304"/>
      <c r="T6111" s="1304"/>
    </row>
    <row r="6112" spans="1:20">
      <c r="A6112" s="1303"/>
      <c r="B6112" s="1322" t="s">
        <v>13301</v>
      </c>
      <c r="C6112" s="1323" t="s">
        <v>13268</v>
      </c>
      <c r="D6112" s="1324">
        <f t="shared" si="600"/>
        <v>32973</v>
      </c>
      <c r="E6112" s="1323">
        <f t="shared" si="602"/>
        <v>2.6566999999999998</v>
      </c>
      <c r="F6112" s="1323">
        <f t="shared" si="601"/>
        <v>3.0399585991862623</v>
      </c>
      <c r="G6112" s="1323">
        <f t="shared" si="603"/>
        <v>1990</v>
      </c>
      <c r="H6112" s="1323">
        <f t="shared" si="604"/>
        <v>4</v>
      </c>
      <c r="I6112" s="1323">
        <f t="shared" si="605"/>
        <v>10</v>
      </c>
      <c r="J6112" s="1323"/>
      <c r="K6112" s="1323"/>
      <c r="L6112" s="1323"/>
      <c r="M6112" s="1323"/>
      <c r="N6112" s="1323"/>
      <c r="O6112" s="1323"/>
      <c r="P6112" s="1323"/>
      <c r="Q6112" s="1323"/>
      <c r="R6112" s="1304"/>
      <c r="S6112" s="1304"/>
      <c r="T6112" s="1304"/>
    </row>
    <row r="6113" spans="1:20">
      <c r="A6113" s="1303"/>
      <c r="B6113" s="1322" t="s">
        <v>13302</v>
      </c>
      <c r="C6113" s="1323" t="s">
        <v>13303</v>
      </c>
      <c r="D6113" s="1324">
        <f t="shared" si="600"/>
        <v>32972</v>
      </c>
      <c r="E6113" s="1323">
        <f t="shared" si="602"/>
        <v>2.6482999999999999</v>
      </c>
      <c r="F6113" s="1323">
        <f t="shared" si="601"/>
        <v>3.0393757052153991</v>
      </c>
      <c r="G6113" s="1323">
        <f t="shared" si="603"/>
        <v>1990</v>
      </c>
      <c r="H6113" s="1323">
        <f t="shared" si="604"/>
        <v>4</v>
      </c>
      <c r="I6113" s="1323">
        <f t="shared" si="605"/>
        <v>9</v>
      </c>
      <c r="J6113" s="1323"/>
      <c r="K6113" s="1323"/>
      <c r="L6113" s="1323"/>
      <c r="M6113" s="1323"/>
      <c r="N6113" s="1323"/>
      <c r="O6113" s="1323"/>
      <c r="P6113" s="1323"/>
      <c r="Q6113" s="1323"/>
      <c r="R6113" s="1304"/>
      <c r="S6113" s="1304"/>
      <c r="T6113" s="1304"/>
    </row>
    <row r="6114" spans="1:20">
      <c r="A6114" s="1303"/>
      <c r="B6114" s="1322" t="s">
        <v>13304</v>
      </c>
      <c r="C6114" s="1323" t="s">
        <v>13296</v>
      </c>
      <c r="D6114" s="1324">
        <f t="shared" si="600"/>
        <v>32968</v>
      </c>
      <c r="E6114" s="1323">
        <f t="shared" si="602"/>
        <v>2.6581999999999999</v>
      </c>
      <c r="F6114" s="1323">
        <f t="shared" si="601"/>
        <v>3.0387929230109858</v>
      </c>
      <c r="G6114" s="1323">
        <f t="shared" si="603"/>
        <v>1990</v>
      </c>
      <c r="H6114" s="1323">
        <f t="shared" si="604"/>
        <v>4</v>
      </c>
      <c r="I6114" s="1323">
        <f t="shared" si="605"/>
        <v>5</v>
      </c>
      <c r="J6114" s="1323"/>
      <c r="K6114" s="1323"/>
      <c r="L6114" s="1323"/>
      <c r="M6114" s="1323"/>
      <c r="N6114" s="1323"/>
      <c r="O6114" s="1323"/>
      <c r="P6114" s="1323"/>
      <c r="Q6114" s="1323"/>
      <c r="R6114" s="1304"/>
      <c r="S6114" s="1304"/>
      <c r="T6114" s="1304"/>
    </row>
    <row r="6115" spans="1:20">
      <c r="A6115" s="1303"/>
      <c r="B6115" s="1322" t="s">
        <v>13305</v>
      </c>
      <c r="C6115" s="1323" t="s">
        <v>13280</v>
      </c>
      <c r="D6115" s="1324">
        <f t="shared" si="600"/>
        <v>32967</v>
      </c>
      <c r="E6115" s="1323">
        <f t="shared" si="602"/>
        <v>2.6539000000000001</v>
      </c>
      <c r="F6115" s="1323">
        <f t="shared" si="601"/>
        <v>3.0382102525515924</v>
      </c>
      <c r="G6115" s="1323">
        <f t="shared" si="603"/>
        <v>1990</v>
      </c>
      <c r="H6115" s="1323">
        <f t="shared" si="604"/>
        <v>4</v>
      </c>
      <c r="I6115" s="1323">
        <f t="shared" si="605"/>
        <v>4</v>
      </c>
      <c r="J6115" s="1323"/>
      <c r="K6115" s="1323"/>
      <c r="L6115" s="1323"/>
      <c r="M6115" s="1323"/>
      <c r="N6115" s="1323"/>
      <c r="O6115" s="1323"/>
      <c r="P6115" s="1323"/>
      <c r="Q6115" s="1323"/>
      <c r="R6115" s="1304"/>
      <c r="S6115" s="1304"/>
      <c r="T6115" s="1304"/>
    </row>
    <row r="6116" spans="1:20">
      <c r="A6116" s="1303"/>
      <c r="B6116" s="1322" t="s">
        <v>13306</v>
      </c>
      <c r="C6116" s="1323" t="s">
        <v>13253</v>
      </c>
      <c r="D6116" s="1324">
        <f t="shared" si="600"/>
        <v>32966</v>
      </c>
      <c r="E6116" s="1323">
        <f t="shared" si="602"/>
        <v>2.6591999999999998</v>
      </c>
      <c r="F6116" s="1323">
        <f t="shared" si="601"/>
        <v>3.037627693815792</v>
      </c>
      <c r="G6116" s="1323">
        <f t="shared" si="603"/>
        <v>1990</v>
      </c>
      <c r="H6116" s="1323">
        <f t="shared" si="604"/>
        <v>4</v>
      </c>
      <c r="I6116" s="1323">
        <f t="shared" si="605"/>
        <v>3</v>
      </c>
      <c r="J6116" s="1323"/>
      <c r="K6116" s="1323"/>
      <c r="L6116" s="1323"/>
      <c r="M6116" s="1323"/>
      <c r="N6116" s="1323"/>
      <c r="O6116" s="1323"/>
      <c r="P6116" s="1323"/>
      <c r="Q6116" s="1323"/>
      <c r="R6116" s="1304"/>
      <c r="S6116" s="1304"/>
      <c r="T6116" s="1304"/>
    </row>
    <row r="6117" spans="1:20">
      <c r="A6117" s="1303"/>
      <c r="B6117" s="1322" t="s">
        <v>13307</v>
      </c>
      <c r="C6117" s="1323" t="s">
        <v>13308</v>
      </c>
      <c r="D6117" s="1324">
        <f t="shared" si="600"/>
        <v>32965</v>
      </c>
      <c r="E6117" s="1323">
        <f t="shared" si="602"/>
        <v>2.6695000000000002</v>
      </c>
      <c r="F6117" s="1323">
        <f t="shared" si="601"/>
        <v>3.0370452467821623</v>
      </c>
      <c r="G6117" s="1323">
        <f t="shared" si="603"/>
        <v>1990</v>
      </c>
      <c r="H6117" s="1323">
        <f t="shared" si="604"/>
        <v>4</v>
      </c>
      <c r="I6117" s="1323">
        <f t="shared" si="605"/>
        <v>2</v>
      </c>
      <c r="J6117" s="1323"/>
      <c r="K6117" s="1323"/>
      <c r="L6117" s="1323"/>
      <c r="M6117" s="1323"/>
      <c r="N6117" s="1323"/>
      <c r="O6117" s="1323"/>
      <c r="P6117" s="1323"/>
      <c r="Q6117" s="1323"/>
      <c r="R6117" s="1304"/>
      <c r="S6117" s="1304"/>
      <c r="T6117" s="1304"/>
    </row>
    <row r="6118" spans="1:20">
      <c r="A6118" s="1303"/>
      <c r="B6118" s="1322" t="s">
        <v>13309</v>
      </c>
      <c r="C6118" s="1323" t="s">
        <v>13310</v>
      </c>
      <c r="D6118" s="1324">
        <f t="shared" si="600"/>
        <v>32962</v>
      </c>
      <c r="E6118" s="1323">
        <f t="shared" si="602"/>
        <v>2.6473</v>
      </c>
      <c r="F6118" s="1323">
        <f t="shared" si="601"/>
        <v>3.0364629114292851</v>
      </c>
      <c r="G6118" s="1323">
        <f t="shared" si="603"/>
        <v>1990</v>
      </c>
      <c r="H6118" s="1323">
        <f t="shared" si="604"/>
        <v>3</v>
      </c>
      <c r="I6118" s="1323">
        <f t="shared" si="605"/>
        <v>30</v>
      </c>
      <c r="J6118" s="1323"/>
      <c r="K6118" s="1323"/>
      <c r="L6118" s="1323"/>
      <c r="M6118" s="1323"/>
      <c r="N6118" s="1323"/>
      <c r="O6118" s="1323"/>
      <c r="P6118" s="1323"/>
      <c r="Q6118" s="1323"/>
      <c r="R6118" s="1304"/>
      <c r="S6118" s="1304"/>
      <c r="T6118" s="1304"/>
    </row>
    <row r="6119" spans="1:20">
      <c r="A6119" s="1303"/>
      <c r="B6119" s="1322" t="s">
        <v>13311</v>
      </c>
      <c r="C6119" s="1323" t="s">
        <v>13200</v>
      </c>
      <c r="D6119" s="1324">
        <f t="shared" si="600"/>
        <v>32961</v>
      </c>
      <c r="E6119" s="1323">
        <f t="shared" si="602"/>
        <v>2.6532</v>
      </c>
      <c r="F6119" s="1323">
        <f t="shared" si="601"/>
        <v>3.0358806877357467</v>
      </c>
      <c r="G6119" s="1323">
        <f t="shared" si="603"/>
        <v>1990</v>
      </c>
      <c r="H6119" s="1323">
        <f t="shared" si="604"/>
        <v>3</v>
      </c>
      <c r="I6119" s="1323">
        <f t="shared" si="605"/>
        <v>29</v>
      </c>
      <c r="J6119" s="1323"/>
      <c r="K6119" s="1323"/>
      <c r="L6119" s="1323"/>
      <c r="M6119" s="1323"/>
      <c r="N6119" s="1323"/>
      <c r="O6119" s="1323"/>
      <c r="P6119" s="1323"/>
      <c r="Q6119" s="1323"/>
      <c r="R6119" s="1304"/>
      <c r="S6119" s="1304"/>
      <c r="T6119" s="1304"/>
    </row>
    <row r="6120" spans="1:20">
      <c r="A6120" s="1303"/>
      <c r="B6120" s="1322" t="s">
        <v>13312</v>
      </c>
      <c r="C6120" s="1323" t="s">
        <v>13313</v>
      </c>
      <c r="D6120" s="1324">
        <f t="shared" si="600"/>
        <v>32960</v>
      </c>
      <c r="E6120" s="1323">
        <f t="shared" si="602"/>
        <v>2.6575000000000002</v>
      </c>
      <c r="F6120" s="1323">
        <f t="shared" si="601"/>
        <v>3.0352985756801365</v>
      </c>
      <c r="G6120" s="1323">
        <f t="shared" si="603"/>
        <v>1990</v>
      </c>
      <c r="H6120" s="1323">
        <f t="shared" si="604"/>
        <v>3</v>
      </c>
      <c r="I6120" s="1323">
        <f t="shared" si="605"/>
        <v>28</v>
      </c>
      <c r="J6120" s="1323"/>
      <c r="K6120" s="1323"/>
      <c r="L6120" s="1323"/>
      <c r="M6120" s="1323"/>
      <c r="N6120" s="1323"/>
      <c r="O6120" s="1323"/>
      <c r="P6120" s="1323"/>
      <c r="Q6120" s="1323"/>
      <c r="R6120" s="1304"/>
      <c r="S6120" s="1304"/>
      <c r="T6120" s="1304"/>
    </row>
    <row r="6121" spans="1:20">
      <c r="A6121" s="1303"/>
      <c r="B6121" s="1322" t="s">
        <v>13314</v>
      </c>
      <c r="C6121" s="1323" t="s">
        <v>13286</v>
      </c>
      <c r="D6121" s="1324">
        <f t="shared" si="600"/>
        <v>32959</v>
      </c>
      <c r="E6121" s="1323">
        <f t="shared" si="602"/>
        <v>2.6602999999999999</v>
      </c>
      <c r="F6121" s="1323">
        <f t="shared" si="601"/>
        <v>3.034716575241049</v>
      </c>
      <c r="G6121" s="1323">
        <f t="shared" si="603"/>
        <v>1990</v>
      </c>
      <c r="H6121" s="1323">
        <f t="shared" si="604"/>
        <v>3</v>
      </c>
      <c r="I6121" s="1323">
        <f t="shared" si="605"/>
        <v>27</v>
      </c>
      <c r="J6121" s="1323"/>
      <c r="K6121" s="1323"/>
      <c r="L6121" s="1323"/>
      <c r="M6121" s="1323"/>
      <c r="N6121" s="1323"/>
      <c r="O6121" s="1323"/>
      <c r="P6121" s="1323"/>
      <c r="Q6121" s="1323"/>
      <c r="R6121" s="1304"/>
      <c r="S6121" s="1304"/>
      <c r="T6121" s="1304"/>
    </row>
    <row r="6122" spans="1:20">
      <c r="A6122" s="1303"/>
      <c r="B6122" s="1322" t="s">
        <v>13315</v>
      </c>
      <c r="C6122" s="1323" t="s">
        <v>13316</v>
      </c>
      <c r="D6122" s="1324">
        <f t="shared" si="600"/>
        <v>32958</v>
      </c>
      <c r="E6122" s="1323">
        <f t="shared" si="602"/>
        <v>2.6469</v>
      </c>
      <c r="F6122" s="1323">
        <f t="shared" si="601"/>
        <v>3.0341346863970822</v>
      </c>
      <c r="G6122" s="1323">
        <f t="shared" si="603"/>
        <v>1990</v>
      </c>
      <c r="H6122" s="1323">
        <f t="shared" si="604"/>
        <v>3</v>
      </c>
      <c r="I6122" s="1323">
        <f t="shared" si="605"/>
        <v>26</v>
      </c>
      <c r="J6122" s="1323"/>
      <c r="K6122" s="1323"/>
      <c r="L6122" s="1323"/>
      <c r="M6122" s="1323"/>
      <c r="N6122" s="1323"/>
      <c r="O6122" s="1323"/>
      <c r="P6122" s="1323"/>
      <c r="Q6122" s="1323"/>
      <c r="R6122" s="1304"/>
      <c r="S6122" s="1304"/>
      <c r="T6122" s="1304"/>
    </row>
    <row r="6123" spans="1:20">
      <c r="A6123" s="1303"/>
      <c r="B6123" s="1322" t="s">
        <v>13317</v>
      </c>
      <c r="C6123" s="1323" t="s">
        <v>13300</v>
      </c>
      <c r="D6123" s="1324">
        <f t="shared" si="600"/>
        <v>32955</v>
      </c>
      <c r="E6123" s="1323">
        <f t="shared" si="602"/>
        <v>2.6292</v>
      </c>
      <c r="F6123" s="1323">
        <f t="shared" si="601"/>
        <v>3.0335529091268385</v>
      </c>
      <c r="G6123" s="1323">
        <f t="shared" si="603"/>
        <v>1990</v>
      </c>
      <c r="H6123" s="1323">
        <f t="shared" si="604"/>
        <v>3</v>
      </c>
      <c r="I6123" s="1323">
        <f t="shared" si="605"/>
        <v>23</v>
      </c>
      <c r="J6123" s="1323"/>
      <c r="K6123" s="1323"/>
      <c r="L6123" s="1323"/>
      <c r="M6123" s="1323"/>
      <c r="N6123" s="1323"/>
      <c r="O6123" s="1323"/>
      <c r="P6123" s="1323"/>
      <c r="Q6123" s="1323"/>
      <c r="R6123" s="1304"/>
      <c r="S6123" s="1304"/>
      <c r="T6123" s="1304"/>
    </row>
    <row r="6124" spans="1:20">
      <c r="A6124" s="1303"/>
      <c r="B6124" s="1322" t="s">
        <v>13318</v>
      </c>
      <c r="C6124" s="1323" t="s">
        <v>13319</v>
      </c>
      <c r="D6124" s="1324">
        <f t="shared" si="600"/>
        <v>32954</v>
      </c>
      <c r="E6124" s="1323">
        <f t="shared" si="602"/>
        <v>2.6337000000000002</v>
      </c>
      <c r="F6124" s="1323">
        <f t="shared" si="601"/>
        <v>3.0329712434089244</v>
      </c>
      <c r="G6124" s="1323">
        <f t="shared" si="603"/>
        <v>1990</v>
      </c>
      <c r="H6124" s="1323">
        <f t="shared" si="604"/>
        <v>3</v>
      </c>
      <c r="I6124" s="1323">
        <f t="shared" si="605"/>
        <v>22</v>
      </c>
      <c r="J6124" s="1323"/>
      <c r="K6124" s="1323"/>
      <c r="L6124" s="1323"/>
      <c r="M6124" s="1323"/>
      <c r="N6124" s="1323"/>
      <c r="O6124" s="1323"/>
      <c r="P6124" s="1323"/>
      <c r="Q6124" s="1323"/>
      <c r="R6124" s="1304"/>
      <c r="S6124" s="1304"/>
      <c r="T6124" s="1304"/>
    </row>
    <row r="6125" spans="1:20">
      <c r="A6125" s="1303"/>
      <c r="B6125" s="1322" t="s">
        <v>13320</v>
      </c>
      <c r="C6125" s="1323" t="s">
        <v>13272</v>
      </c>
      <c r="D6125" s="1324">
        <f t="shared" si="600"/>
        <v>32953</v>
      </c>
      <c r="E6125" s="1323">
        <f t="shared" si="602"/>
        <v>2.6301999999999999</v>
      </c>
      <c r="F6125" s="1323">
        <f t="shared" si="601"/>
        <v>3.0323896892219504</v>
      </c>
      <c r="G6125" s="1323">
        <f t="shared" si="603"/>
        <v>1990</v>
      </c>
      <c r="H6125" s="1323">
        <f t="shared" si="604"/>
        <v>3</v>
      </c>
      <c r="I6125" s="1323">
        <f t="shared" si="605"/>
        <v>21</v>
      </c>
      <c r="J6125" s="1323"/>
      <c r="K6125" s="1323"/>
      <c r="L6125" s="1323"/>
      <c r="M6125" s="1323"/>
      <c r="N6125" s="1323"/>
      <c r="O6125" s="1323"/>
      <c r="P6125" s="1323"/>
      <c r="Q6125" s="1323"/>
      <c r="R6125" s="1304"/>
      <c r="S6125" s="1304"/>
      <c r="T6125" s="1304"/>
    </row>
    <row r="6126" spans="1:20">
      <c r="A6126" s="1303"/>
      <c r="B6126" s="1322" t="s">
        <v>13321</v>
      </c>
      <c r="C6126" s="1323" t="s">
        <v>13322</v>
      </c>
      <c r="D6126" s="1324">
        <f t="shared" si="600"/>
        <v>32952</v>
      </c>
      <c r="E6126" s="1323">
        <f t="shared" si="602"/>
        <v>2.6076000000000001</v>
      </c>
      <c r="F6126" s="1323">
        <f t="shared" si="601"/>
        <v>3.0318082465445308</v>
      </c>
      <c r="G6126" s="1323">
        <f t="shared" si="603"/>
        <v>1990</v>
      </c>
      <c r="H6126" s="1323">
        <f t="shared" si="604"/>
        <v>3</v>
      </c>
      <c r="I6126" s="1323">
        <f t="shared" si="605"/>
        <v>20</v>
      </c>
      <c r="J6126" s="1323"/>
      <c r="K6126" s="1323"/>
      <c r="L6126" s="1323"/>
      <c r="M6126" s="1323"/>
      <c r="N6126" s="1323"/>
      <c r="O6126" s="1323"/>
      <c r="P6126" s="1323"/>
      <c r="Q6126" s="1323"/>
      <c r="R6126" s="1304"/>
      <c r="S6126" s="1304"/>
      <c r="T6126" s="1304"/>
    </row>
    <row r="6127" spans="1:20">
      <c r="A6127" s="1303"/>
      <c r="B6127" s="1322" t="s">
        <v>13323</v>
      </c>
      <c r="C6127" s="1323" t="s">
        <v>13324</v>
      </c>
      <c r="D6127" s="1324">
        <f t="shared" si="600"/>
        <v>32951</v>
      </c>
      <c r="E6127" s="1323">
        <f t="shared" si="602"/>
        <v>2.5998000000000001</v>
      </c>
      <c r="F6127" s="1323">
        <f t="shared" si="601"/>
        <v>3.0312269153552847</v>
      </c>
      <c r="G6127" s="1323">
        <f t="shared" si="603"/>
        <v>1990</v>
      </c>
      <c r="H6127" s="1323">
        <f t="shared" si="604"/>
        <v>3</v>
      </c>
      <c r="I6127" s="1323">
        <f t="shared" si="605"/>
        <v>19</v>
      </c>
      <c r="J6127" s="1323"/>
      <c r="K6127" s="1323"/>
      <c r="L6127" s="1323"/>
      <c r="M6127" s="1323"/>
      <c r="N6127" s="1323"/>
      <c r="O6127" s="1323"/>
      <c r="P6127" s="1323"/>
      <c r="Q6127" s="1323"/>
      <c r="R6127" s="1304"/>
      <c r="S6127" s="1304"/>
      <c r="T6127" s="1304"/>
    </row>
    <row r="6128" spans="1:20">
      <c r="A6128" s="1303"/>
      <c r="B6128" s="1322" t="s">
        <v>13325</v>
      </c>
      <c r="C6128" s="1323" t="s">
        <v>13326</v>
      </c>
      <c r="D6128" s="1324">
        <f t="shared" si="600"/>
        <v>32948</v>
      </c>
      <c r="E6128" s="1323">
        <f t="shared" si="602"/>
        <v>2.6034999999999999</v>
      </c>
      <c r="F6128" s="1323">
        <f t="shared" si="601"/>
        <v>3.0306456956328343</v>
      </c>
      <c r="G6128" s="1323">
        <f t="shared" si="603"/>
        <v>1990</v>
      </c>
      <c r="H6128" s="1323">
        <f t="shared" si="604"/>
        <v>3</v>
      </c>
      <c r="I6128" s="1323">
        <f t="shared" si="605"/>
        <v>16</v>
      </c>
      <c r="J6128" s="1323"/>
      <c r="K6128" s="1323"/>
      <c r="L6128" s="1323"/>
      <c r="M6128" s="1323"/>
      <c r="N6128" s="1323"/>
      <c r="O6128" s="1323"/>
      <c r="P6128" s="1323"/>
      <c r="Q6128" s="1323"/>
      <c r="R6128" s="1304"/>
      <c r="S6128" s="1304"/>
      <c r="T6128" s="1304"/>
    </row>
    <row r="6129" spans="1:20">
      <c r="A6129" s="1303"/>
      <c r="B6129" s="1322" t="s">
        <v>13327</v>
      </c>
      <c r="C6129" s="1323" t="s">
        <v>13328</v>
      </c>
      <c r="D6129" s="1324">
        <f t="shared" si="600"/>
        <v>32947</v>
      </c>
      <c r="E6129" s="1323">
        <f t="shared" si="602"/>
        <v>2.6223000000000001</v>
      </c>
      <c r="F6129" s="1323">
        <f t="shared" si="601"/>
        <v>3.030064587355807</v>
      </c>
      <c r="G6129" s="1323">
        <f t="shared" si="603"/>
        <v>1990</v>
      </c>
      <c r="H6129" s="1323">
        <f t="shared" si="604"/>
        <v>3</v>
      </c>
      <c r="I6129" s="1323">
        <f t="shared" si="605"/>
        <v>15</v>
      </c>
      <c r="J6129" s="1323"/>
      <c r="K6129" s="1323"/>
      <c r="L6129" s="1323"/>
      <c r="M6129" s="1323"/>
      <c r="N6129" s="1323"/>
      <c r="O6129" s="1323"/>
      <c r="P6129" s="1323"/>
      <c r="Q6129" s="1323"/>
      <c r="R6129" s="1304"/>
      <c r="S6129" s="1304"/>
      <c r="T6129" s="1304"/>
    </row>
    <row r="6130" spans="1:20">
      <c r="A6130" s="1303"/>
      <c r="B6130" s="1322" t="s">
        <v>13329</v>
      </c>
      <c r="C6130" s="1323" t="s">
        <v>13189</v>
      </c>
      <c r="D6130" s="1324">
        <f t="shared" si="600"/>
        <v>32946</v>
      </c>
      <c r="E6130" s="1323">
        <f t="shared" si="602"/>
        <v>2.6171000000000002</v>
      </c>
      <c r="F6130" s="1323">
        <f t="shared" si="601"/>
        <v>3.0294835905028337</v>
      </c>
      <c r="G6130" s="1323">
        <f t="shared" si="603"/>
        <v>1990</v>
      </c>
      <c r="H6130" s="1323">
        <f t="shared" si="604"/>
        <v>3</v>
      </c>
      <c r="I6130" s="1323">
        <f t="shared" si="605"/>
        <v>14</v>
      </c>
      <c r="J6130" s="1323"/>
      <c r="K6130" s="1323"/>
      <c r="L6130" s="1323"/>
      <c r="M6130" s="1323"/>
      <c r="N6130" s="1323"/>
      <c r="O6130" s="1323"/>
      <c r="P6130" s="1323"/>
      <c r="Q6130" s="1323"/>
      <c r="R6130" s="1304"/>
      <c r="S6130" s="1304"/>
      <c r="T6130" s="1304"/>
    </row>
    <row r="6131" spans="1:20">
      <c r="A6131" s="1303"/>
      <c r="B6131" s="1322" t="s">
        <v>13330</v>
      </c>
      <c r="C6131" s="1323" t="s">
        <v>13331</v>
      </c>
      <c r="D6131" s="1324">
        <f t="shared" si="600"/>
        <v>32945</v>
      </c>
      <c r="E6131" s="1323">
        <f t="shared" si="602"/>
        <v>2.6185</v>
      </c>
      <c r="F6131" s="1323">
        <f t="shared" si="601"/>
        <v>3.0289027050525497</v>
      </c>
      <c r="G6131" s="1323">
        <f t="shared" si="603"/>
        <v>1990</v>
      </c>
      <c r="H6131" s="1323">
        <f t="shared" si="604"/>
        <v>3</v>
      </c>
      <c r="I6131" s="1323">
        <f t="shared" si="605"/>
        <v>13</v>
      </c>
      <c r="J6131" s="1323"/>
      <c r="K6131" s="1323"/>
      <c r="L6131" s="1323"/>
      <c r="M6131" s="1323"/>
      <c r="N6131" s="1323"/>
      <c r="O6131" s="1323"/>
      <c r="P6131" s="1323"/>
      <c r="Q6131" s="1323"/>
      <c r="R6131" s="1304"/>
      <c r="S6131" s="1304"/>
      <c r="T6131" s="1304"/>
    </row>
    <row r="6132" spans="1:20">
      <c r="A6132" s="1303"/>
      <c r="B6132" s="1322" t="s">
        <v>13332</v>
      </c>
      <c r="C6132" s="1323" t="s">
        <v>13187</v>
      </c>
      <c r="D6132" s="1324">
        <f t="shared" si="600"/>
        <v>32944</v>
      </c>
      <c r="E6132" s="1323">
        <f t="shared" si="602"/>
        <v>2.5947</v>
      </c>
      <c r="F6132" s="1323">
        <f t="shared" si="601"/>
        <v>3.0283219309835938</v>
      </c>
      <c r="G6132" s="1323">
        <f t="shared" si="603"/>
        <v>1990</v>
      </c>
      <c r="H6132" s="1323">
        <f t="shared" si="604"/>
        <v>3</v>
      </c>
      <c r="I6132" s="1323">
        <f t="shared" si="605"/>
        <v>12</v>
      </c>
      <c r="J6132" s="1323"/>
      <c r="K6132" s="1323"/>
      <c r="L6132" s="1323"/>
      <c r="M6132" s="1323"/>
      <c r="N6132" s="1323"/>
      <c r="O6132" s="1323"/>
      <c r="P6132" s="1323"/>
      <c r="Q6132" s="1323"/>
      <c r="R6132" s="1304"/>
      <c r="S6132" s="1304"/>
      <c r="T6132" s="1304"/>
    </row>
    <row r="6133" spans="1:20">
      <c r="A6133" s="1303"/>
      <c r="B6133" s="1322" t="s">
        <v>13333</v>
      </c>
      <c r="C6133" s="1323" t="s">
        <v>13334</v>
      </c>
      <c r="D6133" s="1324">
        <f t="shared" si="600"/>
        <v>32941</v>
      </c>
      <c r="E6133" s="1323">
        <f t="shared" si="602"/>
        <v>2.5872999999999999</v>
      </c>
      <c r="F6133" s="1323">
        <f t="shared" si="601"/>
        <v>3.0277412682746094</v>
      </c>
      <c r="G6133" s="1323">
        <f t="shared" si="603"/>
        <v>1990</v>
      </c>
      <c r="H6133" s="1323">
        <f t="shared" si="604"/>
        <v>3</v>
      </c>
      <c r="I6133" s="1323">
        <f t="shared" si="605"/>
        <v>9</v>
      </c>
      <c r="J6133" s="1323"/>
      <c r="K6133" s="1323"/>
      <c r="L6133" s="1323"/>
      <c r="M6133" s="1323"/>
      <c r="N6133" s="1323"/>
      <c r="O6133" s="1323"/>
      <c r="P6133" s="1323"/>
      <c r="Q6133" s="1323"/>
      <c r="R6133" s="1304"/>
      <c r="S6133" s="1304"/>
      <c r="T6133" s="1304"/>
    </row>
    <row r="6134" spans="1:20">
      <c r="A6134" s="1303"/>
      <c r="B6134" s="1322" t="s">
        <v>13335</v>
      </c>
      <c r="C6134" s="1323" t="s">
        <v>13169</v>
      </c>
      <c r="D6134" s="1324">
        <f t="shared" si="600"/>
        <v>32940</v>
      </c>
      <c r="E6134" s="1323">
        <f t="shared" si="602"/>
        <v>2.5846</v>
      </c>
      <c r="F6134" s="1323">
        <f t="shared" si="601"/>
        <v>3.0271607169042443</v>
      </c>
      <c r="G6134" s="1323">
        <f t="shared" si="603"/>
        <v>1990</v>
      </c>
      <c r="H6134" s="1323">
        <f t="shared" si="604"/>
        <v>3</v>
      </c>
      <c r="I6134" s="1323">
        <f t="shared" si="605"/>
        <v>8</v>
      </c>
      <c r="J6134" s="1323"/>
      <c r="K6134" s="1323"/>
      <c r="L6134" s="1323"/>
      <c r="M6134" s="1323"/>
      <c r="N6134" s="1323"/>
      <c r="O6134" s="1323"/>
      <c r="P6134" s="1323"/>
      <c r="Q6134" s="1323"/>
      <c r="R6134" s="1304"/>
      <c r="S6134" s="1304"/>
      <c r="T6134" s="1304"/>
    </row>
    <row r="6135" spans="1:20">
      <c r="A6135" s="1303"/>
      <c r="B6135" s="1322" t="s">
        <v>13336</v>
      </c>
      <c r="C6135" s="1323" t="s">
        <v>13337</v>
      </c>
      <c r="D6135" s="1324">
        <f t="shared" si="600"/>
        <v>32939</v>
      </c>
      <c r="E6135" s="1323">
        <f t="shared" si="602"/>
        <v>2.5859999999999999</v>
      </c>
      <c r="F6135" s="1323">
        <f t="shared" si="601"/>
        <v>3.0265802768511496</v>
      </c>
      <c r="G6135" s="1323">
        <f t="shared" si="603"/>
        <v>1990</v>
      </c>
      <c r="H6135" s="1323">
        <f t="shared" si="604"/>
        <v>3</v>
      </c>
      <c r="I6135" s="1323">
        <f t="shared" si="605"/>
        <v>7</v>
      </c>
      <c r="J6135" s="1323"/>
      <c r="K6135" s="1323"/>
      <c r="L6135" s="1323"/>
      <c r="M6135" s="1323"/>
      <c r="N6135" s="1323"/>
      <c r="O6135" s="1323"/>
      <c r="P6135" s="1323"/>
      <c r="Q6135" s="1323"/>
      <c r="R6135" s="1304"/>
      <c r="S6135" s="1304"/>
      <c r="T6135" s="1304"/>
    </row>
    <row r="6136" spans="1:20">
      <c r="A6136" s="1303"/>
      <c r="B6136" s="1322" t="s">
        <v>13338</v>
      </c>
      <c r="C6136" s="1323" t="s">
        <v>13339</v>
      </c>
      <c r="D6136" s="1324">
        <f t="shared" si="600"/>
        <v>32938</v>
      </c>
      <c r="E6136" s="1323">
        <f t="shared" si="602"/>
        <v>2.5714000000000001</v>
      </c>
      <c r="F6136" s="1323">
        <f t="shared" si="601"/>
        <v>3.0259999480939808</v>
      </c>
      <c r="G6136" s="1323">
        <f t="shared" si="603"/>
        <v>1990</v>
      </c>
      <c r="H6136" s="1323">
        <f t="shared" si="604"/>
        <v>3</v>
      </c>
      <c r="I6136" s="1323">
        <f t="shared" si="605"/>
        <v>6</v>
      </c>
      <c r="J6136" s="1323"/>
      <c r="K6136" s="1323"/>
      <c r="L6136" s="1323"/>
      <c r="M6136" s="1323"/>
      <c r="N6136" s="1323"/>
      <c r="O6136" s="1323"/>
      <c r="P6136" s="1323"/>
      <c r="Q6136" s="1323"/>
      <c r="R6136" s="1304"/>
      <c r="S6136" s="1304"/>
      <c r="T6136" s="1304"/>
    </row>
    <row r="6137" spans="1:20">
      <c r="A6137" s="1303"/>
      <c r="B6137" s="1322" t="s">
        <v>13340</v>
      </c>
      <c r="C6137" s="1323" t="s">
        <v>13341</v>
      </c>
      <c r="D6137" s="1324">
        <f t="shared" si="600"/>
        <v>32937</v>
      </c>
      <c r="E6137" s="1323">
        <f t="shared" si="602"/>
        <v>2.58</v>
      </c>
      <c r="F6137" s="1323">
        <f t="shared" si="601"/>
        <v>3.0254197306113975</v>
      </c>
      <c r="G6137" s="1323">
        <f t="shared" si="603"/>
        <v>1990</v>
      </c>
      <c r="H6137" s="1323">
        <f t="shared" si="604"/>
        <v>3</v>
      </c>
      <c r="I6137" s="1323">
        <f t="shared" si="605"/>
        <v>5</v>
      </c>
      <c r="J6137" s="1323"/>
      <c r="K6137" s="1323"/>
      <c r="L6137" s="1323"/>
      <c r="M6137" s="1323"/>
      <c r="N6137" s="1323"/>
      <c r="O6137" s="1323"/>
      <c r="P6137" s="1323"/>
      <c r="Q6137" s="1323"/>
      <c r="R6137" s="1304"/>
      <c r="S6137" s="1304"/>
      <c r="T6137" s="1304"/>
    </row>
    <row r="6138" spans="1:20">
      <c r="A6138" s="1303"/>
      <c r="B6138" s="1322" t="s">
        <v>13342</v>
      </c>
      <c r="C6138" s="1323" t="s">
        <v>13343</v>
      </c>
      <c r="D6138" s="1324">
        <f t="shared" si="600"/>
        <v>32934</v>
      </c>
      <c r="E6138" s="1323">
        <f t="shared" si="602"/>
        <v>2.5853000000000002</v>
      </c>
      <c r="F6138" s="1323">
        <f t="shared" si="601"/>
        <v>3.0248396243820639</v>
      </c>
      <c r="G6138" s="1323">
        <f t="shared" si="603"/>
        <v>1990</v>
      </c>
      <c r="H6138" s="1323">
        <f t="shared" si="604"/>
        <v>3</v>
      </c>
      <c r="I6138" s="1323">
        <f t="shared" si="605"/>
        <v>2</v>
      </c>
      <c r="J6138" s="1323"/>
      <c r="K6138" s="1323"/>
      <c r="L6138" s="1323"/>
      <c r="M6138" s="1323"/>
      <c r="N6138" s="1323"/>
      <c r="O6138" s="1323"/>
      <c r="P6138" s="1323"/>
      <c r="Q6138" s="1323"/>
      <c r="R6138" s="1304"/>
      <c r="S6138" s="1304"/>
      <c r="T6138" s="1304"/>
    </row>
    <row r="6139" spans="1:20">
      <c r="A6139" s="1303"/>
      <c r="B6139" s="1322" t="s">
        <v>13344</v>
      </c>
      <c r="C6139" s="1323" t="s">
        <v>13345</v>
      </c>
      <c r="D6139" s="1324">
        <f t="shared" si="600"/>
        <v>32933</v>
      </c>
      <c r="E6139" s="1323">
        <f t="shared" si="602"/>
        <v>2.5739999999999998</v>
      </c>
      <c r="F6139" s="1323">
        <f t="shared" si="601"/>
        <v>3.0242596293846478</v>
      </c>
      <c r="G6139" s="1323">
        <f t="shared" si="603"/>
        <v>1990</v>
      </c>
      <c r="H6139" s="1323">
        <f t="shared" si="604"/>
        <v>3</v>
      </c>
      <c r="I6139" s="1323">
        <f t="shared" si="605"/>
        <v>1</v>
      </c>
      <c r="J6139" s="1323"/>
      <c r="K6139" s="1323"/>
      <c r="L6139" s="1323"/>
      <c r="M6139" s="1323"/>
      <c r="N6139" s="1323"/>
      <c r="O6139" s="1323"/>
      <c r="P6139" s="1323"/>
      <c r="Q6139" s="1323"/>
      <c r="R6139" s="1304"/>
      <c r="S6139" s="1304"/>
      <c r="T6139" s="1304"/>
    </row>
    <row r="6140" spans="1:20">
      <c r="A6140" s="1303"/>
      <c r="B6140" s="1322" t="s">
        <v>13346</v>
      </c>
      <c r="C6140" s="1323" t="s">
        <v>13129</v>
      </c>
      <c r="D6140" s="1324">
        <f t="shared" si="600"/>
        <v>32932</v>
      </c>
      <c r="E6140" s="1323">
        <f t="shared" si="602"/>
        <v>2.5571999999999999</v>
      </c>
      <c r="F6140" s="1323">
        <f t="shared" si="601"/>
        <v>3.0236797455978208</v>
      </c>
      <c r="G6140" s="1323">
        <f t="shared" si="603"/>
        <v>1990</v>
      </c>
      <c r="H6140" s="1323">
        <f t="shared" si="604"/>
        <v>2</v>
      </c>
      <c r="I6140" s="1323">
        <f t="shared" si="605"/>
        <v>28</v>
      </c>
      <c r="J6140" s="1323"/>
      <c r="K6140" s="1323"/>
      <c r="L6140" s="1323"/>
      <c r="M6140" s="1323"/>
      <c r="N6140" s="1323"/>
      <c r="O6140" s="1323"/>
      <c r="P6140" s="1323"/>
      <c r="Q6140" s="1323"/>
      <c r="R6140" s="1304"/>
      <c r="S6140" s="1304"/>
      <c r="T6140" s="1304"/>
    </row>
    <row r="6141" spans="1:20">
      <c r="A6141" s="1303"/>
      <c r="B6141" s="1322" t="s">
        <v>13347</v>
      </c>
      <c r="C6141" s="1323" t="s">
        <v>13132</v>
      </c>
      <c r="D6141" s="1324">
        <f t="shared" si="600"/>
        <v>32931</v>
      </c>
      <c r="E6141" s="1323">
        <f t="shared" si="602"/>
        <v>2.5556000000000001</v>
      </c>
      <c r="F6141" s="1323">
        <f t="shared" si="601"/>
        <v>3.0230999730002592</v>
      </c>
      <c r="G6141" s="1323">
        <f t="shared" si="603"/>
        <v>1990</v>
      </c>
      <c r="H6141" s="1323">
        <f t="shared" si="604"/>
        <v>2</v>
      </c>
      <c r="I6141" s="1323">
        <f t="shared" si="605"/>
        <v>27</v>
      </c>
      <c r="J6141" s="1323"/>
      <c r="K6141" s="1323"/>
      <c r="L6141" s="1323"/>
      <c r="M6141" s="1323"/>
      <c r="N6141" s="1323"/>
      <c r="O6141" s="1323"/>
      <c r="P6141" s="1323"/>
      <c r="Q6141" s="1323"/>
      <c r="R6141" s="1304"/>
      <c r="S6141" s="1304"/>
      <c r="T6141" s="1304"/>
    </row>
    <row r="6142" spans="1:20">
      <c r="A6142" s="1303"/>
      <c r="B6142" s="1322" t="s">
        <v>13348</v>
      </c>
      <c r="C6142" s="1323" t="s">
        <v>12982</v>
      </c>
      <c r="D6142" s="1324">
        <f t="shared" si="600"/>
        <v>32930</v>
      </c>
      <c r="E6142" s="1323">
        <f t="shared" si="602"/>
        <v>2.5507</v>
      </c>
      <c r="F6142" s="1323">
        <f t="shared" si="601"/>
        <v>3.0225203115706427</v>
      </c>
      <c r="G6142" s="1323">
        <f t="shared" si="603"/>
        <v>1990</v>
      </c>
      <c r="H6142" s="1323">
        <f t="shared" si="604"/>
        <v>2</v>
      </c>
      <c r="I6142" s="1323">
        <f t="shared" si="605"/>
        <v>26</v>
      </c>
      <c r="J6142" s="1323"/>
      <c r="K6142" s="1323"/>
      <c r="L6142" s="1323"/>
      <c r="M6142" s="1323"/>
      <c r="N6142" s="1323"/>
      <c r="O6142" s="1323"/>
      <c r="P6142" s="1323"/>
      <c r="Q6142" s="1323"/>
      <c r="R6142" s="1304"/>
      <c r="S6142" s="1304"/>
      <c r="T6142" s="1304"/>
    </row>
    <row r="6143" spans="1:20">
      <c r="A6143" s="1303"/>
      <c r="B6143" s="1322" t="s">
        <v>13349</v>
      </c>
      <c r="C6143" s="1323" t="s">
        <v>13350</v>
      </c>
      <c r="D6143" s="1324">
        <f t="shared" si="600"/>
        <v>32927</v>
      </c>
      <c r="E6143" s="1323">
        <f t="shared" si="602"/>
        <v>2.5455000000000001</v>
      </c>
      <c r="F6143" s="1323">
        <f t="shared" si="601"/>
        <v>3.0219407612876559</v>
      </c>
      <c r="G6143" s="1323">
        <f t="shared" si="603"/>
        <v>1990</v>
      </c>
      <c r="H6143" s="1323">
        <f t="shared" si="604"/>
        <v>2</v>
      </c>
      <c r="I6143" s="1323">
        <f t="shared" si="605"/>
        <v>23</v>
      </c>
      <c r="J6143" s="1323"/>
      <c r="K6143" s="1323"/>
      <c r="L6143" s="1323"/>
      <c r="M6143" s="1323"/>
      <c r="N6143" s="1323"/>
      <c r="O6143" s="1323"/>
      <c r="P6143" s="1323"/>
      <c r="Q6143" s="1323"/>
      <c r="R6143" s="1304"/>
      <c r="S6143" s="1304"/>
      <c r="T6143" s="1304"/>
    </row>
    <row r="6144" spans="1:20">
      <c r="A6144" s="1303"/>
      <c r="B6144" s="1322" t="s">
        <v>13351</v>
      </c>
      <c r="C6144" s="1323" t="s">
        <v>13352</v>
      </c>
      <c r="D6144" s="1324">
        <f t="shared" si="600"/>
        <v>32926</v>
      </c>
      <c r="E6144" s="1323">
        <f t="shared" si="602"/>
        <v>2.5377000000000001</v>
      </c>
      <c r="F6144" s="1323">
        <f t="shared" si="601"/>
        <v>3.0213613221299869</v>
      </c>
      <c r="G6144" s="1323">
        <f t="shared" si="603"/>
        <v>1990</v>
      </c>
      <c r="H6144" s="1323">
        <f t="shared" si="604"/>
        <v>2</v>
      </c>
      <c r="I6144" s="1323">
        <f t="shared" si="605"/>
        <v>22</v>
      </c>
      <c r="J6144" s="1323"/>
      <c r="K6144" s="1323"/>
      <c r="L6144" s="1323"/>
      <c r="M6144" s="1323"/>
      <c r="N6144" s="1323"/>
      <c r="O6144" s="1323"/>
      <c r="P6144" s="1323"/>
      <c r="Q6144" s="1323"/>
      <c r="R6144" s="1304"/>
      <c r="S6144" s="1304"/>
      <c r="T6144" s="1304"/>
    </row>
    <row r="6145" spans="1:20">
      <c r="A6145" s="1303"/>
      <c r="B6145" s="1322" t="s">
        <v>13353</v>
      </c>
      <c r="C6145" s="1323" t="s">
        <v>12937</v>
      </c>
      <c r="D6145" s="1324">
        <f t="shared" si="600"/>
        <v>32925</v>
      </c>
      <c r="E6145" s="1323">
        <f t="shared" si="602"/>
        <v>2.5335999999999999</v>
      </c>
      <c r="F6145" s="1323">
        <f t="shared" si="601"/>
        <v>3.0207819940763283</v>
      </c>
      <c r="G6145" s="1323">
        <f t="shared" si="603"/>
        <v>1990</v>
      </c>
      <c r="H6145" s="1323">
        <f t="shared" si="604"/>
        <v>2</v>
      </c>
      <c r="I6145" s="1323">
        <f t="shared" si="605"/>
        <v>21</v>
      </c>
      <c r="J6145" s="1323"/>
      <c r="K6145" s="1323"/>
      <c r="L6145" s="1323"/>
      <c r="M6145" s="1323"/>
      <c r="N6145" s="1323"/>
      <c r="O6145" s="1323"/>
      <c r="P6145" s="1323"/>
      <c r="Q6145" s="1323"/>
      <c r="R6145" s="1304"/>
      <c r="S6145" s="1304"/>
      <c r="T6145" s="1304"/>
    </row>
    <row r="6146" spans="1:20">
      <c r="A6146" s="1303"/>
      <c r="B6146" s="1322" t="s">
        <v>13354</v>
      </c>
      <c r="C6146" s="1323" t="s">
        <v>13355</v>
      </c>
      <c r="D6146" s="1324">
        <f t="shared" si="600"/>
        <v>32924</v>
      </c>
      <c r="E6146" s="1323">
        <f t="shared" si="602"/>
        <v>2.5367999999999999</v>
      </c>
      <c r="F6146" s="1323">
        <f t="shared" si="601"/>
        <v>3.0202027771053763</v>
      </c>
      <c r="G6146" s="1323">
        <f t="shared" si="603"/>
        <v>1990</v>
      </c>
      <c r="H6146" s="1323">
        <f t="shared" si="604"/>
        <v>2</v>
      </c>
      <c r="I6146" s="1323">
        <f t="shared" si="605"/>
        <v>20</v>
      </c>
      <c r="J6146" s="1323"/>
      <c r="K6146" s="1323"/>
      <c r="L6146" s="1323"/>
      <c r="M6146" s="1323"/>
      <c r="N6146" s="1323"/>
      <c r="O6146" s="1323"/>
      <c r="P6146" s="1323"/>
      <c r="Q6146" s="1323"/>
      <c r="R6146" s="1304"/>
      <c r="S6146" s="1304"/>
      <c r="T6146" s="1304"/>
    </row>
    <row r="6147" spans="1:20">
      <c r="A6147" s="1303"/>
      <c r="B6147" s="1322" t="s">
        <v>13356</v>
      </c>
      <c r="C6147" s="1323" t="s">
        <v>13098</v>
      </c>
      <c r="D6147" s="1324">
        <f t="shared" si="600"/>
        <v>32923</v>
      </c>
      <c r="E6147" s="1323">
        <f t="shared" si="602"/>
        <v>2.5426000000000002</v>
      </c>
      <c r="F6147" s="1323">
        <f t="shared" si="601"/>
        <v>3.019623671195832</v>
      </c>
      <c r="G6147" s="1323">
        <f t="shared" si="603"/>
        <v>1990</v>
      </c>
      <c r="H6147" s="1323">
        <f t="shared" si="604"/>
        <v>2</v>
      </c>
      <c r="I6147" s="1323">
        <f t="shared" si="605"/>
        <v>19</v>
      </c>
      <c r="J6147" s="1323"/>
      <c r="K6147" s="1323"/>
      <c r="L6147" s="1323"/>
      <c r="M6147" s="1323"/>
      <c r="N6147" s="1323"/>
      <c r="O6147" s="1323"/>
      <c r="P6147" s="1323"/>
      <c r="Q6147" s="1323"/>
      <c r="R6147" s="1304"/>
      <c r="S6147" s="1304"/>
      <c r="T6147" s="1304"/>
    </row>
    <row r="6148" spans="1:20">
      <c r="A6148" s="1303"/>
      <c r="B6148" s="1322" t="s">
        <v>13357</v>
      </c>
      <c r="C6148" s="1323" t="s">
        <v>13091</v>
      </c>
      <c r="D6148" s="1324">
        <f t="shared" si="600"/>
        <v>32920</v>
      </c>
      <c r="E6148" s="1323">
        <f t="shared" si="602"/>
        <v>2.5569000000000002</v>
      </c>
      <c r="F6148" s="1323">
        <f t="shared" si="601"/>
        <v>3.0190446763263994</v>
      </c>
      <c r="G6148" s="1323">
        <f t="shared" si="603"/>
        <v>1990</v>
      </c>
      <c r="H6148" s="1323">
        <f t="shared" si="604"/>
        <v>2</v>
      </c>
      <c r="I6148" s="1323">
        <f t="shared" si="605"/>
        <v>16</v>
      </c>
      <c r="J6148" s="1323"/>
      <c r="K6148" s="1323"/>
      <c r="L6148" s="1323"/>
      <c r="M6148" s="1323"/>
      <c r="N6148" s="1323"/>
      <c r="O6148" s="1323"/>
      <c r="P6148" s="1323"/>
      <c r="Q6148" s="1323"/>
      <c r="R6148" s="1304"/>
      <c r="S6148" s="1304"/>
      <c r="T6148" s="1304"/>
    </row>
    <row r="6149" spans="1:20">
      <c r="A6149" s="1303"/>
      <c r="B6149" s="1322" t="s">
        <v>13358</v>
      </c>
      <c r="C6149" s="1323" t="s">
        <v>13359</v>
      </c>
      <c r="D6149" s="1324">
        <f t="shared" si="600"/>
        <v>32919</v>
      </c>
      <c r="E6149" s="1323">
        <f t="shared" si="602"/>
        <v>2.5503999999999998</v>
      </c>
      <c r="F6149" s="1323">
        <f t="shared" si="601"/>
        <v>3.0184657924757876</v>
      </c>
      <c r="G6149" s="1323">
        <f t="shared" si="603"/>
        <v>1990</v>
      </c>
      <c r="H6149" s="1323">
        <f t="shared" si="604"/>
        <v>2</v>
      </c>
      <c r="I6149" s="1323">
        <f t="shared" si="605"/>
        <v>15</v>
      </c>
      <c r="J6149" s="1323"/>
      <c r="K6149" s="1323"/>
      <c r="L6149" s="1323"/>
      <c r="M6149" s="1323"/>
      <c r="N6149" s="1323"/>
      <c r="O6149" s="1323"/>
      <c r="P6149" s="1323"/>
      <c r="Q6149" s="1323"/>
      <c r="R6149" s="1304"/>
      <c r="S6149" s="1304"/>
      <c r="T6149" s="1304"/>
    </row>
    <row r="6150" spans="1:20">
      <c r="A6150" s="1303"/>
      <c r="B6150" s="1322" t="s">
        <v>13360</v>
      </c>
      <c r="C6150" s="1323" t="s">
        <v>13361</v>
      </c>
      <c r="D6150" s="1324">
        <f t="shared" si="600"/>
        <v>32918</v>
      </c>
      <c r="E6150" s="1323">
        <f t="shared" si="602"/>
        <v>2.5478000000000001</v>
      </c>
      <c r="F6150" s="1323">
        <f t="shared" si="601"/>
        <v>3.0178870196227092</v>
      </c>
      <c r="G6150" s="1323">
        <f t="shared" si="603"/>
        <v>1990</v>
      </c>
      <c r="H6150" s="1323">
        <f t="shared" si="604"/>
        <v>2</v>
      </c>
      <c r="I6150" s="1323">
        <f t="shared" si="605"/>
        <v>14</v>
      </c>
      <c r="J6150" s="1323"/>
      <c r="K6150" s="1323"/>
      <c r="L6150" s="1323"/>
      <c r="M6150" s="1323"/>
      <c r="N6150" s="1323"/>
      <c r="O6150" s="1323"/>
      <c r="P6150" s="1323"/>
      <c r="Q6150" s="1323"/>
      <c r="R6150" s="1304"/>
      <c r="S6150" s="1304"/>
      <c r="T6150" s="1304"/>
    </row>
    <row r="6151" spans="1:20">
      <c r="A6151" s="1303"/>
      <c r="B6151" s="1322" t="s">
        <v>13362</v>
      </c>
      <c r="C6151" s="1323" t="s">
        <v>13363</v>
      </c>
      <c r="D6151" s="1324">
        <f t="shared" si="600"/>
        <v>32917</v>
      </c>
      <c r="E6151" s="1323">
        <f t="shared" si="602"/>
        <v>2.5497000000000001</v>
      </c>
      <c r="F6151" s="1323">
        <f t="shared" si="601"/>
        <v>3.0173083577458812</v>
      </c>
      <c r="G6151" s="1323">
        <f t="shared" si="603"/>
        <v>1990</v>
      </c>
      <c r="H6151" s="1323">
        <f t="shared" si="604"/>
        <v>2</v>
      </c>
      <c r="I6151" s="1323">
        <f t="shared" si="605"/>
        <v>13</v>
      </c>
      <c r="J6151" s="1323"/>
      <c r="K6151" s="1323"/>
      <c r="L6151" s="1323"/>
      <c r="M6151" s="1323"/>
      <c r="N6151" s="1323"/>
      <c r="O6151" s="1323"/>
      <c r="P6151" s="1323"/>
      <c r="Q6151" s="1323"/>
      <c r="R6151" s="1304"/>
      <c r="S6151" s="1304"/>
      <c r="T6151" s="1304"/>
    </row>
    <row r="6152" spans="1:20">
      <c r="A6152" s="1303"/>
      <c r="B6152" s="1322" t="s">
        <v>13364</v>
      </c>
      <c r="C6152" s="1323" t="s">
        <v>12968</v>
      </c>
      <c r="D6152" s="1324">
        <f t="shared" si="600"/>
        <v>32916</v>
      </c>
      <c r="E6152" s="1323">
        <f t="shared" si="602"/>
        <v>2.5387</v>
      </c>
      <c r="F6152" s="1323">
        <f t="shared" si="601"/>
        <v>3.0167298068240247</v>
      </c>
      <c r="G6152" s="1323">
        <f t="shared" si="603"/>
        <v>1990</v>
      </c>
      <c r="H6152" s="1323">
        <f t="shared" si="604"/>
        <v>2</v>
      </c>
      <c r="I6152" s="1323">
        <f t="shared" si="605"/>
        <v>12</v>
      </c>
      <c r="J6152" s="1323"/>
      <c r="K6152" s="1323"/>
      <c r="L6152" s="1323"/>
      <c r="M6152" s="1323"/>
      <c r="N6152" s="1323"/>
      <c r="O6152" s="1323"/>
      <c r="P6152" s="1323"/>
      <c r="Q6152" s="1323"/>
      <c r="R6152" s="1304"/>
      <c r="S6152" s="1304"/>
      <c r="T6152" s="1304"/>
    </row>
    <row r="6153" spans="1:20">
      <c r="A6153" s="1303"/>
      <c r="B6153" s="1322" t="s">
        <v>13365</v>
      </c>
      <c r="C6153" s="1323" t="s">
        <v>13004</v>
      </c>
      <c r="D6153" s="1324">
        <f t="shared" ref="D6153:D6181" si="606">DATE(G6153,H6153,I6153)</f>
        <v>32913</v>
      </c>
      <c r="E6153" s="1323">
        <f t="shared" si="602"/>
        <v>2.5381</v>
      </c>
      <c r="F6153" s="1323">
        <f t="shared" ref="F6153:F6180" si="607">F6154*(1+$F$7/365)</f>
        <v>3.0161513668358642</v>
      </c>
      <c r="G6153" s="1323">
        <f t="shared" si="603"/>
        <v>1990</v>
      </c>
      <c r="H6153" s="1323">
        <f t="shared" si="604"/>
        <v>2</v>
      </c>
      <c r="I6153" s="1323">
        <f t="shared" si="605"/>
        <v>9</v>
      </c>
      <c r="J6153" s="1323"/>
      <c r="K6153" s="1323"/>
      <c r="L6153" s="1323"/>
      <c r="M6153" s="1323"/>
      <c r="N6153" s="1323"/>
      <c r="O6153" s="1323"/>
      <c r="P6153" s="1323"/>
      <c r="Q6153" s="1323"/>
      <c r="R6153" s="1304"/>
      <c r="S6153" s="1304"/>
      <c r="T6153" s="1304"/>
    </row>
    <row r="6154" spans="1:20">
      <c r="A6154" s="1303"/>
      <c r="B6154" s="1322" t="s">
        <v>13366</v>
      </c>
      <c r="C6154" s="1323" t="s">
        <v>12943</v>
      </c>
      <c r="D6154" s="1324">
        <f t="shared" si="606"/>
        <v>32912</v>
      </c>
      <c r="E6154" s="1323">
        <f t="shared" si="602"/>
        <v>2.5360999999999998</v>
      </c>
      <c r="F6154" s="1323">
        <f t="shared" si="607"/>
        <v>3.0155730377601291</v>
      </c>
      <c r="G6154" s="1323">
        <f t="shared" si="603"/>
        <v>1990</v>
      </c>
      <c r="H6154" s="1323">
        <f t="shared" si="604"/>
        <v>2</v>
      </c>
      <c r="I6154" s="1323">
        <f t="shared" si="605"/>
        <v>8</v>
      </c>
      <c r="J6154" s="1323"/>
      <c r="K6154" s="1323"/>
      <c r="L6154" s="1323"/>
      <c r="M6154" s="1323"/>
      <c r="N6154" s="1323"/>
      <c r="O6154" s="1323"/>
      <c r="P6154" s="1323"/>
      <c r="Q6154" s="1323"/>
      <c r="R6154" s="1304"/>
      <c r="S6154" s="1304"/>
      <c r="T6154" s="1304"/>
    </row>
    <row r="6155" spans="1:20">
      <c r="A6155" s="1303"/>
      <c r="B6155" s="1322" t="s">
        <v>13367</v>
      </c>
      <c r="C6155" s="1323" t="s">
        <v>13082</v>
      </c>
      <c r="D6155" s="1324">
        <f t="shared" si="606"/>
        <v>32911</v>
      </c>
      <c r="E6155" s="1323">
        <f t="shared" si="602"/>
        <v>2.5304000000000002</v>
      </c>
      <c r="F6155" s="1323">
        <f t="shared" si="607"/>
        <v>3.0149948195755529</v>
      </c>
      <c r="G6155" s="1323">
        <f t="shared" si="603"/>
        <v>1990</v>
      </c>
      <c r="H6155" s="1323">
        <f t="shared" si="604"/>
        <v>2</v>
      </c>
      <c r="I6155" s="1323">
        <f t="shared" si="605"/>
        <v>7</v>
      </c>
      <c r="J6155" s="1323"/>
      <c r="K6155" s="1323"/>
      <c r="L6155" s="1323"/>
      <c r="M6155" s="1323"/>
      <c r="N6155" s="1323"/>
      <c r="O6155" s="1323"/>
      <c r="P6155" s="1323"/>
      <c r="Q6155" s="1323"/>
      <c r="R6155" s="1304"/>
      <c r="S6155" s="1304"/>
      <c r="T6155" s="1304"/>
    </row>
    <row r="6156" spans="1:20">
      <c r="A6156" s="1303"/>
      <c r="B6156" s="1322" t="s">
        <v>13368</v>
      </c>
      <c r="C6156" s="1323" t="s">
        <v>13058</v>
      </c>
      <c r="D6156" s="1324">
        <f t="shared" si="606"/>
        <v>32910</v>
      </c>
      <c r="E6156" s="1323">
        <f t="shared" si="602"/>
        <v>2.5341999999999998</v>
      </c>
      <c r="F6156" s="1323">
        <f t="shared" si="607"/>
        <v>3.0144167122608727</v>
      </c>
      <c r="G6156" s="1323">
        <f t="shared" si="603"/>
        <v>1990</v>
      </c>
      <c r="H6156" s="1323">
        <f t="shared" si="604"/>
        <v>2</v>
      </c>
      <c r="I6156" s="1323">
        <f t="shared" si="605"/>
        <v>6</v>
      </c>
      <c r="J6156" s="1323"/>
      <c r="K6156" s="1323"/>
      <c r="L6156" s="1323"/>
      <c r="M6156" s="1323"/>
      <c r="N6156" s="1323"/>
      <c r="O6156" s="1323"/>
      <c r="P6156" s="1323"/>
      <c r="Q6156" s="1323"/>
      <c r="R6156" s="1304"/>
      <c r="S6156" s="1304"/>
      <c r="T6156" s="1304"/>
    </row>
    <row r="6157" spans="1:20">
      <c r="A6157" s="1303"/>
      <c r="B6157" s="1322" t="s">
        <v>13369</v>
      </c>
      <c r="C6157" s="1323" t="s">
        <v>13370</v>
      </c>
      <c r="D6157" s="1324">
        <f t="shared" si="606"/>
        <v>32909</v>
      </c>
      <c r="E6157" s="1323">
        <f t="shared" si="602"/>
        <v>2.5474000000000001</v>
      </c>
      <c r="F6157" s="1323">
        <f t="shared" si="607"/>
        <v>3.0138387157948299</v>
      </c>
      <c r="G6157" s="1323">
        <f t="shared" si="603"/>
        <v>1990</v>
      </c>
      <c r="H6157" s="1323">
        <f t="shared" si="604"/>
        <v>2</v>
      </c>
      <c r="I6157" s="1323">
        <f t="shared" si="605"/>
        <v>5</v>
      </c>
      <c r="J6157" s="1323"/>
      <c r="K6157" s="1323"/>
      <c r="L6157" s="1323"/>
      <c r="M6157" s="1323"/>
      <c r="N6157" s="1323"/>
      <c r="O6157" s="1323"/>
      <c r="P6157" s="1323"/>
      <c r="Q6157" s="1323"/>
      <c r="R6157" s="1304"/>
      <c r="S6157" s="1304"/>
      <c r="T6157" s="1304"/>
    </row>
    <row r="6158" spans="1:20">
      <c r="A6158" s="1303"/>
      <c r="B6158" s="1322" t="s">
        <v>13371</v>
      </c>
      <c r="C6158" s="1323" t="s">
        <v>13372</v>
      </c>
      <c r="D6158" s="1324">
        <f t="shared" si="606"/>
        <v>32906</v>
      </c>
      <c r="E6158" s="1323">
        <f t="shared" si="602"/>
        <v>2.5516999999999999</v>
      </c>
      <c r="F6158" s="1323">
        <f t="shared" si="607"/>
        <v>3.0132608301561699</v>
      </c>
      <c r="G6158" s="1323">
        <f t="shared" si="603"/>
        <v>1990</v>
      </c>
      <c r="H6158" s="1323">
        <f t="shared" si="604"/>
        <v>2</v>
      </c>
      <c r="I6158" s="1323">
        <f t="shared" si="605"/>
        <v>2</v>
      </c>
      <c r="J6158" s="1323"/>
      <c r="K6158" s="1323"/>
      <c r="L6158" s="1323"/>
      <c r="M6158" s="1323"/>
      <c r="N6158" s="1323"/>
      <c r="O6158" s="1323"/>
      <c r="P6158" s="1323"/>
      <c r="Q6158" s="1323"/>
      <c r="R6158" s="1304"/>
      <c r="S6158" s="1304"/>
      <c r="T6158" s="1304"/>
    </row>
    <row r="6159" spans="1:20">
      <c r="A6159" s="1303"/>
      <c r="B6159" s="1322" t="s">
        <v>13373</v>
      </c>
      <c r="C6159" s="1323" t="s">
        <v>13374</v>
      </c>
      <c r="D6159" s="1324">
        <f t="shared" si="606"/>
        <v>32905</v>
      </c>
      <c r="E6159" s="1323">
        <f t="shared" si="602"/>
        <v>2.5589</v>
      </c>
      <c r="F6159" s="1323">
        <f t="shared" si="607"/>
        <v>3.0126830553236421</v>
      </c>
      <c r="G6159" s="1323">
        <f t="shared" si="603"/>
        <v>1990</v>
      </c>
      <c r="H6159" s="1323">
        <f t="shared" si="604"/>
        <v>2</v>
      </c>
      <c r="I6159" s="1323">
        <f t="shared" si="605"/>
        <v>1</v>
      </c>
      <c r="J6159" s="1323"/>
      <c r="K6159" s="1323"/>
      <c r="L6159" s="1323"/>
      <c r="M6159" s="1323"/>
      <c r="N6159" s="1323"/>
      <c r="O6159" s="1323"/>
      <c r="P6159" s="1323"/>
      <c r="Q6159" s="1323"/>
      <c r="R6159" s="1304"/>
      <c r="S6159" s="1304"/>
      <c r="T6159" s="1304"/>
    </row>
    <row r="6160" spans="1:20">
      <c r="A6160" s="1303"/>
      <c r="B6160" s="1322" t="s">
        <v>13375</v>
      </c>
      <c r="C6160" s="1323" t="s">
        <v>13376</v>
      </c>
      <c r="D6160" s="1324">
        <f t="shared" si="606"/>
        <v>32904</v>
      </c>
      <c r="E6160" s="1323">
        <f t="shared" si="602"/>
        <v>2.5581999999999998</v>
      </c>
      <c r="F6160" s="1323">
        <f t="shared" si="607"/>
        <v>3.0121053912760001</v>
      </c>
      <c r="G6160" s="1323">
        <f t="shared" si="603"/>
        <v>1990</v>
      </c>
      <c r="H6160" s="1323">
        <f t="shared" si="604"/>
        <v>1</v>
      </c>
      <c r="I6160" s="1323">
        <f t="shared" si="605"/>
        <v>31</v>
      </c>
      <c r="J6160" s="1323"/>
      <c r="K6160" s="1323"/>
      <c r="L6160" s="1323"/>
      <c r="M6160" s="1323"/>
      <c r="N6160" s="1323"/>
      <c r="O6160" s="1323"/>
      <c r="P6160" s="1323"/>
      <c r="Q6160" s="1323"/>
      <c r="R6160" s="1304"/>
      <c r="S6160" s="1304"/>
      <c r="T6160" s="1304"/>
    </row>
    <row r="6161" spans="1:20">
      <c r="A6161" s="1303"/>
      <c r="B6161" s="1322" t="s">
        <v>13377</v>
      </c>
      <c r="C6161" s="1323" t="s">
        <v>13378</v>
      </c>
      <c r="D6161" s="1324">
        <f t="shared" si="606"/>
        <v>32903</v>
      </c>
      <c r="E6161" s="1323">
        <f t="shared" si="602"/>
        <v>2.5470999999999999</v>
      </c>
      <c r="F6161" s="1323">
        <f t="shared" si="607"/>
        <v>3.0115278379920016</v>
      </c>
      <c r="G6161" s="1323">
        <f t="shared" si="603"/>
        <v>1990</v>
      </c>
      <c r="H6161" s="1323">
        <f t="shared" si="604"/>
        <v>1</v>
      </c>
      <c r="I6161" s="1323">
        <f t="shared" si="605"/>
        <v>30</v>
      </c>
      <c r="J6161" s="1323"/>
      <c r="K6161" s="1323"/>
      <c r="L6161" s="1323"/>
      <c r="M6161" s="1323"/>
      <c r="N6161" s="1323"/>
      <c r="O6161" s="1323"/>
      <c r="P6161" s="1323"/>
      <c r="Q6161" s="1323"/>
      <c r="R6161" s="1304"/>
      <c r="S6161" s="1304"/>
      <c r="T6161" s="1304"/>
    </row>
    <row r="6162" spans="1:20">
      <c r="A6162" s="1303"/>
      <c r="B6162" s="1322" t="s">
        <v>13379</v>
      </c>
      <c r="C6162" s="1323" t="s">
        <v>13380</v>
      </c>
      <c r="D6162" s="1324">
        <f t="shared" si="606"/>
        <v>32902</v>
      </c>
      <c r="E6162" s="1323">
        <f t="shared" si="602"/>
        <v>2.5461</v>
      </c>
      <c r="F6162" s="1323">
        <f t="shared" si="607"/>
        <v>3.0109503954504082</v>
      </c>
      <c r="G6162" s="1323">
        <f t="shared" si="603"/>
        <v>1990</v>
      </c>
      <c r="H6162" s="1323">
        <f t="shared" si="604"/>
        <v>1</v>
      </c>
      <c r="I6162" s="1323">
        <f t="shared" si="605"/>
        <v>29</v>
      </c>
      <c r="J6162" s="1323"/>
      <c r="K6162" s="1323"/>
      <c r="L6162" s="1323"/>
      <c r="M6162" s="1323"/>
      <c r="N6162" s="1323"/>
      <c r="O6162" s="1323"/>
      <c r="P6162" s="1323"/>
      <c r="Q6162" s="1323"/>
      <c r="R6162" s="1304"/>
      <c r="S6162" s="1304"/>
      <c r="T6162" s="1304"/>
    </row>
    <row r="6163" spans="1:20">
      <c r="A6163" s="1303"/>
      <c r="B6163" s="1322" t="s">
        <v>13381</v>
      </c>
      <c r="C6163" s="1323" t="s">
        <v>13382</v>
      </c>
      <c r="D6163" s="1324">
        <f t="shared" si="606"/>
        <v>32899</v>
      </c>
      <c r="E6163" s="1323">
        <f t="shared" si="602"/>
        <v>2.5638000000000001</v>
      </c>
      <c r="F6163" s="1323">
        <f t="shared" si="607"/>
        <v>3.0103730636299861</v>
      </c>
      <c r="G6163" s="1323">
        <f t="shared" si="603"/>
        <v>1990</v>
      </c>
      <c r="H6163" s="1323">
        <f t="shared" si="604"/>
        <v>1</v>
      </c>
      <c r="I6163" s="1323">
        <f t="shared" si="605"/>
        <v>26</v>
      </c>
      <c r="J6163" s="1323"/>
      <c r="K6163" s="1323"/>
      <c r="L6163" s="1323"/>
      <c r="M6163" s="1323"/>
      <c r="N6163" s="1323"/>
      <c r="O6163" s="1323"/>
      <c r="P6163" s="1323"/>
      <c r="Q6163" s="1323"/>
      <c r="R6163" s="1304"/>
      <c r="S6163" s="1304"/>
      <c r="T6163" s="1304"/>
    </row>
    <row r="6164" spans="1:20">
      <c r="A6164" s="1303"/>
      <c r="B6164" s="1322" t="s">
        <v>13383</v>
      </c>
      <c r="C6164" s="1323" t="s">
        <v>13121</v>
      </c>
      <c r="D6164" s="1324">
        <f t="shared" si="606"/>
        <v>32898</v>
      </c>
      <c r="E6164" s="1323">
        <f t="shared" si="602"/>
        <v>2.5562</v>
      </c>
      <c r="F6164" s="1323">
        <f t="shared" si="607"/>
        <v>3.0097958425095048</v>
      </c>
      <c r="G6164" s="1323">
        <f t="shared" si="603"/>
        <v>1990</v>
      </c>
      <c r="H6164" s="1323">
        <f t="shared" si="604"/>
        <v>1</v>
      </c>
      <c r="I6164" s="1323">
        <f t="shared" si="605"/>
        <v>25</v>
      </c>
      <c r="J6164" s="1323"/>
      <c r="K6164" s="1323"/>
      <c r="L6164" s="1323"/>
      <c r="M6164" s="1323"/>
      <c r="N6164" s="1323"/>
      <c r="O6164" s="1323"/>
      <c r="P6164" s="1323"/>
      <c r="Q6164" s="1323"/>
      <c r="R6164" s="1304"/>
      <c r="S6164" s="1304"/>
      <c r="T6164" s="1304"/>
    </row>
    <row r="6165" spans="1:20">
      <c r="A6165" s="1303"/>
      <c r="B6165" s="1322" t="s">
        <v>13384</v>
      </c>
      <c r="C6165" s="1323" t="s">
        <v>13385</v>
      </c>
      <c r="D6165" s="1324">
        <f t="shared" si="606"/>
        <v>32897</v>
      </c>
      <c r="E6165" s="1323">
        <f t="shared" si="602"/>
        <v>2.5503999999999998</v>
      </c>
      <c r="F6165" s="1323">
        <f t="shared" si="607"/>
        <v>3.0092187320677382</v>
      </c>
      <c r="G6165" s="1323">
        <f t="shared" si="603"/>
        <v>1990</v>
      </c>
      <c r="H6165" s="1323">
        <f t="shared" si="604"/>
        <v>1</v>
      </c>
      <c r="I6165" s="1323">
        <f t="shared" si="605"/>
        <v>24</v>
      </c>
      <c r="J6165" s="1323"/>
      <c r="K6165" s="1323"/>
      <c r="L6165" s="1323"/>
      <c r="M6165" s="1323"/>
      <c r="N6165" s="1323"/>
      <c r="O6165" s="1323"/>
      <c r="P6165" s="1323"/>
      <c r="Q6165" s="1323"/>
      <c r="R6165" s="1304"/>
      <c r="S6165" s="1304"/>
      <c r="T6165" s="1304"/>
    </row>
    <row r="6166" spans="1:20">
      <c r="A6166" s="1303"/>
      <c r="B6166" s="1322" t="s">
        <v>13386</v>
      </c>
      <c r="C6166" s="1323" t="s">
        <v>13361</v>
      </c>
      <c r="D6166" s="1324">
        <f t="shared" si="606"/>
        <v>32896</v>
      </c>
      <c r="E6166" s="1323">
        <f t="shared" ref="E6166:E6180" si="608">VALUE(C6167)</f>
        <v>2.5628000000000002</v>
      </c>
      <c r="F6166" s="1323">
        <f t="shared" si="607"/>
        <v>3.0086417322834644</v>
      </c>
      <c r="G6166" s="1323">
        <f t="shared" ref="G6166:G6181" si="609">YEAR(B6167)</f>
        <v>1990</v>
      </c>
      <c r="H6166" s="1323">
        <f t="shared" ref="H6166:H6181" si="610">MONTH(B6167)</f>
        <v>1</v>
      </c>
      <c r="I6166" s="1323">
        <f t="shared" ref="I6166:I6181" si="611">DAY(B6167)</f>
        <v>23</v>
      </c>
      <c r="J6166" s="1323"/>
      <c r="K6166" s="1323"/>
      <c r="L6166" s="1323"/>
      <c r="M6166" s="1323"/>
      <c r="N6166" s="1323"/>
      <c r="O6166" s="1323"/>
      <c r="P6166" s="1323"/>
      <c r="Q6166" s="1323"/>
      <c r="R6166" s="1304"/>
      <c r="S6166" s="1304"/>
      <c r="T6166" s="1304"/>
    </row>
    <row r="6167" spans="1:20">
      <c r="A6167" s="1303"/>
      <c r="B6167" s="1322" t="s">
        <v>13387</v>
      </c>
      <c r="C6167" s="1323" t="s">
        <v>12929</v>
      </c>
      <c r="D6167" s="1324">
        <f t="shared" si="606"/>
        <v>32895</v>
      </c>
      <c r="E6167" s="1323">
        <f t="shared" si="608"/>
        <v>2.5687000000000002</v>
      </c>
      <c r="F6167" s="1323">
        <f t="shared" si="607"/>
        <v>3.008064843135466</v>
      </c>
      <c r="G6167" s="1323">
        <f t="shared" si="609"/>
        <v>1990</v>
      </c>
      <c r="H6167" s="1323">
        <f t="shared" si="610"/>
        <v>1</v>
      </c>
      <c r="I6167" s="1323">
        <f t="shared" si="611"/>
        <v>22</v>
      </c>
      <c r="J6167" s="1323"/>
      <c r="K6167" s="1323"/>
      <c r="L6167" s="1323"/>
      <c r="M6167" s="1323"/>
      <c r="N6167" s="1323"/>
      <c r="O6167" s="1323"/>
      <c r="P6167" s="1323"/>
      <c r="Q6167" s="1323"/>
      <c r="R6167" s="1304"/>
      <c r="S6167" s="1304"/>
      <c r="T6167" s="1304"/>
    </row>
    <row r="6168" spans="1:20">
      <c r="A6168" s="1303"/>
      <c r="B6168" s="1322" t="s">
        <v>13388</v>
      </c>
      <c r="C6168" s="1323" t="s">
        <v>13010</v>
      </c>
      <c r="D6168" s="1324">
        <f t="shared" si="606"/>
        <v>32892</v>
      </c>
      <c r="E6168" s="1323">
        <f t="shared" si="608"/>
        <v>2.5680999999999998</v>
      </c>
      <c r="F6168" s="1323">
        <f t="shared" si="607"/>
        <v>3.0074880646025286</v>
      </c>
      <c r="G6168" s="1323">
        <f t="shared" si="609"/>
        <v>1990</v>
      </c>
      <c r="H6168" s="1323">
        <f t="shared" si="610"/>
        <v>1</v>
      </c>
      <c r="I6168" s="1323">
        <f t="shared" si="611"/>
        <v>19</v>
      </c>
      <c r="J6168" s="1323"/>
      <c r="K6168" s="1323"/>
      <c r="L6168" s="1323"/>
      <c r="M6168" s="1323"/>
      <c r="N6168" s="1323"/>
      <c r="O6168" s="1323"/>
      <c r="P6168" s="1323"/>
      <c r="Q6168" s="1323"/>
      <c r="R6168" s="1304"/>
      <c r="S6168" s="1304"/>
      <c r="T6168" s="1304"/>
    </row>
    <row r="6169" spans="1:20">
      <c r="A6169" s="1303"/>
      <c r="B6169" s="1322" t="s">
        <v>13389</v>
      </c>
      <c r="C6169" s="1323" t="s">
        <v>13111</v>
      </c>
      <c r="D6169" s="1324">
        <f t="shared" si="606"/>
        <v>32891</v>
      </c>
      <c r="E6169" s="1323">
        <f t="shared" si="608"/>
        <v>2.5707</v>
      </c>
      <c r="F6169" s="1323">
        <f t="shared" si="607"/>
        <v>3.0069113966634422</v>
      </c>
      <c r="G6169" s="1323">
        <f t="shared" si="609"/>
        <v>1990</v>
      </c>
      <c r="H6169" s="1323">
        <f t="shared" si="610"/>
        <v>1</v>
      </c>
      <c r="I6169" s="1323">
        <f t="shared" si="611"/>
        <v>18</v>
      </c>
      <c r="J6169" s="1323"/>
      <c r="K6169" s="1323"/>
      <c r="L6169" s="1323"/>
      <c r="M6169" s="1323"/>
      <c r="N6169" s="1323"/>
      <c r="O6169" s="1323"/>
      <c r="P6169" s="1323"/>
      <c r="Q6169" s="1323"/>
      <c r="R6169" s="1304"/>
      <c r="S6169" s="1304"/>
      <c r="T6169" s="1304"/>
    </row>
    <row r="6170" spans="1:20">
      <c r="A6170" s="1303"/>
      <c r="B6170" s="1322" t="s">
        <v>13390</v>
      </c>
      <c r="C6170" s="1323" t="s">
        <v>13391</v>
      </c>
      <c r="D6170" s="1324">
        <f t="shared" si="606"/>
        <v>32890</v>
      </c>
      <c r="E6170" s="1323">
        <f t="shared" si="608"/>
        <v>2.5571999999999999</v>
      </c>
      <c r="F6170" s="1323">
        <f t="shared" si="607"/>
        <v>3.0063348392970015</v>
      </c>
      <c r="G6170" s="1323">
        <f t="shared" si="609"/>
        <v>1990</v>
      </c>
      <c r="H6170" s="1323">
        <f t="shared" si="610"/>
        <v>1</v>
      </c>
      <c r="I6170" s="1323">
        <f t="shared" si="611"/>
        <v>17</v>
      </c>
      <c r="J6170" s="1323"/>
      <c r="K6170" s="1323"/>
      <c r="L6170" s="1323"/>
      <c r="M6170" s="1323"/>
      <c r="N6170" s="1323"/>
      <c r="O6170" s="1323"/>
      <c r="P6170" s="1323"/>
      <c r="Q6170" s="1323"/>
      <c r="R6170" s="1304"/>
      <c r="S6170" s="1304"/>
      <c r="T6170" s="1304"/>
    </row>
    <row r="6171" spans="1:20">
      <c r="A6171" s="1303"/>
      <c r="B6171" s="1322" t="s">
        <v>13392</v>
      </c>
      <c r="C6171" s="1323" t="s">
        <v>13132</v>
      </c>
      <c r="D6171" s="1324">
        <f t="shared" si="606"/>
        <v>32889</v>
      </c>
      <c r="E6171" s="1323">
        <f t="shared" si="608"/>
        <v>2.5674000000000001</v>
      </c>
      <c r="F6171" s="1323">
        <f t="shared" si="607"/>
        <v>3.0057583924820048</v>
      </c>
      <c r="G6171" s="1323">
        <f t="shared" si="609"/>
        <v>1990</v>
      </c>
      <c r="H6171" s="1323">
        <f t="shared" si="610"/>
        <v>1</v>
      </c>
      <c r="I6171" s="1323">
        <f t="shared" si="611"/>
        <v>16</v>
      </c>
      <c r="J6171" s="1323"/>
      <c r="K6171" s="1323"/>
      <c r="L6171" s="1323"/>
      <c r="M6171" s="1323"/>
      <c r="N6171" s="1323"/>
      <c r="O6171" s="1323"/>
      <c r="P6171" s="1323"/>
      <c r="Q6171" s="1323"/>
      <c r="R6171" s="1304"/>
      <c r="S6171" s="1304"/>
      <c r="T6171" s="1304"/>
    </row>
    <row r="6172" spans="1:20">
      <c r="A6172" s="1303"/>
      <c r="B6172" s="1322" t="s">
        <v>13393</v>
      </c>
      <c r="C6172" s="1323" t="s">
        <v>13394</v>
      </c>
      <c r="D6172" s="1324">
        <f t="shared" si="606"/>
        <v>32888</v>
      </c>
      <c r="E6172" s="1323">
        <f t="shared" si="608"/>
        <v>2.5522999999999998</v>
      </c>
      <c r="F6172" s="1323">
        <f t="shared" si="607"/>
        <v>3.0051820561972544</v>
      </c>
      <c r="G6172" s="1323">
        <f t="shared" si="609"/>
        <v>1990</v>
      </c>
      <c r="H6172" s="1323">
        <f t="shared" si="610"/>
        <v>1</v>
      </c>
      <c r="I6172" s="1323">
        <f t="shared" si="611"/>
        <v>15</v>
      </c>
      <c r="J6172" s="1323"/>
      <c r="K6172" s="1323"/>
      <c r="L6172" s="1323"/>
      <c r="M6172" s="1323"/>
      <c r="N6172" s="1323"/>
      <c r="O6172" s="1323"/>
      <c r="P6172" s="1323"/>
      <c r="Q6172" s="1323"/>
      <c r="R6172" s="1304"/>
      <c r="S6172" s="1304"/>
      <c r="T6172" s="1304"/>
    </row>
    <row r="6173" spans="1:20">
      <c r="A6173" s="1303"/>
      <c r="B6173" s="1322" t="s">
        <v>13395</v>
      </c>
      <c r="C6173" s="1323" t="s">
        <v>13396</v>
      </c>
      <c r="D6173" s="1324">
        <f t="shared" si="606"/>
        <v>32885</v>
      </c>
      <c r="E6173" s="1323">
        <f t="shared" si="608"/>
        <v>2.5445000000000002</v>
      </c>
      <c r="F6173" s="1323">
        <f t="shared" si="607"/>
        <v>3.004605830421557</v>
      </c>
      <c r="G6173" s="1323">
        <f t="shared" si="609"/>
        <v>1990</v>
      </c>
      <c r="H6173" s="1323">
        <f t="shared" si="610"/>
        <v>1</v>
      </c>
      <c r="I6173" s="1323">
        <f t="shared" si="611"/>
        <v>12</v>
      </c>
      <c r="J6173" s="1323"/>
      <c r="K6173" s="1323"/>
      <c r="L6173" s="1323"/>
      <c r="M6173" s="1323"/>
      <c r="N6173" s="1323"/>
      <c r="O6173" s="1323"/>
      <c r="P6173" s="1323"/>
      <c r="Q6173" s="1323"/>
      <c r="R6173" s="1304"/>
      <c r="S6173" s="1304"/>
      <c r="T6173" s="1304"/>
    </row>
    <row r="6174" spans="1:20">
      <c r="A6174" s="1303"/>
      <c r="B6174" s="1322" t="s">
        <v>13397</v>
      </c>
      <c r="C6174" s="1323" t="s">
        <v>13398</v>
      </c>
      <c r="D6174" s="1324">
        <f t="shared" si="606"/>
        <v>32884</v>
      </c>
      <c r="E6174" s="1323">
        <f t="shared" si="608"/>
        <v>2.5589</v>
      </c>
      <c r="F6174" s="1323">
        <f t="shared" si="607"/>
        <v>3.004029715133723</v>
      </c>
      <c r="G6174" s="1323">
        <f t="shared" si="609"/>
        <v>1990</v>
      </c>
      <c r="H6174" s="1323">
        <f t="shared" si="610"/>
        <v>1</v>
      </c>
      <c r="I6174" s="1323">
        <f t="shared" si="611"/>
        <v>11</v>
      </c>
      <c r="J6174" s="1323"/>
      <c r="K6174" s="1323"/>
      <c r="L6174" s="1323"/>
      <c r="M6174" s="1323"/>
      <c r="N6174" s="1323"/>
      <c r="O6174" s="1323"/>
      <c r="P6174" s="1323"/>
      <c r="Q6174" s="1323"/>
      <c r="R6174" s="1304"/>
      <c r="S6174" s="1304"/>
      <c r="T6174" s="1304"/>
    </row>
    <row r="6175" spans="1:20">
      <c r="A6175" s="1303"/>
      <c r="B6175" s="1322" t="s">
        <v>13399</v>
      </c>
      <c r="C6175" s="1323" t="s">
        <v>13376</v>
      </c>
      <c r="D6175" s="1324">
        <f t="shared" si="606"/>
        <v>32883</v>
      </c>
      <c r="E6175" s="1323">
        <f t="shared" si="608"/>
        <v>2.5419</v>
      </c>
      <c r="F6175" s="1323">
        <f t="shared" si="607"/>
        <v>3.0034537103125669</v>
      </c>
      <c r="G6175" s="1323">
        <f t="shared" si="609"/>
        <v>1990</v>
      </c>
      <c r="H6175" s="1323">
        <f t="shared" si="610"/>
        <v>1</v>
      </c>
      <c r="I6175" s="1323">
        <f t="shared" si="611"/>
        <v>10</v>
      </c>
      <c r="J6175" s="1323"/>
      <c r="K6175" s="1323"/>
      <c r="L6175" s="1323"/>
      <c r="M6175" s="1323"/>
      <c r="N6175" s="1323"/>
      <c r="O6175" s="1323"/>
      <c r="P6175" s="1323"/>
      <c r="Q6175" s="1323"/>
      <c r="R6175" s="1304"/>
      <c r="S6175" s="1304"/>
      <c r="T6175" s="1304"/>
    </row>
    <row r="6176" spans="1:20">
      <c r="A6176" s="1303"/>
      <c r="B6176" s="1322" t="s">
        <v>13400</v>
      </c>
      <c r="C6176" s="1323" t="s">
        <v>12970</v>
      </c>
      <c r="D6176" s="1324">
        <f t="shared" si="606"/>
        <v>32882</v>
      </c>
      <c r="E6176" s="1323">
        <f t="shared" si="608"/>
        <v>2.5394000000000001</v>
      </c>
      <c r="F6176" s="1323">
        <f t="shared" si="607"/>
        <v>3.0028778159369076</v>
      </c>
      <c r="G6176" s="1323">
        <f t="shared" si="609"/>
        <v>1990</v>
      </c>
      <c r="H6176" s="1323">
        <f t="shared" si="610"/>
        <v>1</v>
      </c>
      <c r="I6176" s="1323">
        <f t="shared" si="611"/>
        <v>9</v>
      </c>
      <c r="J6176" s="1323"/>
      <c r="K6176" s="1323"/>
      <c r="L6176" s="1323"/>
      <c r="M6176" s="1323"/>
      <c r="N6176" s="1323"/>
      <c r="O6176" s="1323"/>
      <c r="P6176" s="1323"/>
      <c r="Q6176" s="1323"/>
      <c r="R6176" s="1304"/>
      <c r="S6176" s="1304"/>
      <c r="T6176" s="1304"/>
    </row>
    <row r="6177" spans="1:20">
      <c r="A6177" s="1303"/>
      <c r="B6177" s="1322" t="s">
        <v>13401</v>
      </c>
      <c r="C6177" s="1323" t="s">
        <v>13402</v>
      </c>
      <c r="D6177" s="1324">
        <f t="shared" si="606"/>
        <v>32881</v>
      </c>
      <c r="E6177" s="1323">
        <f t="shared" si="608"/>
        <v>2.5474000000000001</v>
      </c>
      <c r="F6177" s="1323">
        <f t="shared" si="607"/>
        <v>3.0023020319855678</v>
      </c>
      <c r="G6177" s="1323">
        <f t="shared" si="609"/>
        <v>1990</v>
      </c>
      <c r="H6177" s="1323">
        <f t="shared" si="610"/>
        <v>1</v>
      </c>
      <c r="I6177" s="1323">
        <f t="shared" si="611"/>
        <v>8</v>
      </c>
      <c r="J6177" s="1323"/>
      <c r="K6177" s="1323"/>
      <c r="L6177" s="1323"/>
      <c r="M6177" s="1323"/>
      <c r="N6177" s="1323"/>
      <c r="O6177" s="1323"/>
      <c r="P6177" s="1323"/>
      <c r="Q6177" s="1323"/>
      <c r="R6177" s="1304"/>
      <c r="S6177" s="1304"/>
      <c r="T6177" s="1304"/>
    </row>
    <row r="6178" spans="1:20">
      <c r="A6178" s="1303"/>
      <c r="B6178" s="1322" t="s">
        <v>13403</v>
      </c>
      <c r="C6178" s="1323" t="s">
        <v>13372</v>
      </c>
      <c r="D6178" s="1324">
        <f t="shared" si="606"/>
        <v>32878</v>
      </c>
      <c r="E6178" s="1323">
        <f t="shared" si="608"/>
        <v>2.5367999999999999</v>
      </c>
      <c r="F6178" s="1323">
        <f t="shared" si="607"/>
        <v>3.0017263584373741</v>
      </c>
      <c r="G6178" s="1323">
        <f t="shared" si="609"/>
        <v>1990</v>
      </c>
      <c r="H6178" s="1323">
        <f t="shared" si="610"/>
        <v>1</v>
      </c>
      <c r="I6178" s="1323">
        <f t="shared" si="611"/>
        <v>5</v>
      </c>
      <c r="J6178" s="1323"/>
      <c r="K6178" s="1323"/>
      <c r="L6178" s="1323"/>
      <c r="M6178" s="1323"/>
      <c r="N6178" s="1323"/>
      <c r="O6178" s="1323"/>
      <c r="P6178" s="1323"/>
      <c r="Q6178" s="1323"/>
      <c r="R6178" s="1304"/>
      <c r="S6178" s="1304"/>
      <c r="T6178" s="1304"/>
    </row>
    <row r="6179" spans="1:20">
      <c r="A6179" s="1303"/>
      <c r="B6179" s="1322" t="s">
        <v>13404</v>
      </c>
      <c r="C6179" s="1323" t="s">
        <v>13098</v>
      </c>
      <c r="D6179" s="1324">
        <f t="shared" si="606"/>
        <v>32877</v>
      </c>
      <c r="E6179" s="1323">
        <f t="shared" si="608"/>
        <v>2.5853000000000002</v>
      </c>
      <c r="F6179" s="1323">
        <f t="shared" si="607"/>
        <v>3.0011507952711578</v>
      </c>
      <c r="G6179" s="1323">
        <f t="shared" si="609"/>
        <v>1990</v>
      </c>
      <c r="H6179" s="1323">
        <f t="shared" si="610"/>
        <v>1</v>
      </c>
      <c r="I6179" s="1323">
        <f t="shared" si="611"/>
        <v>4</v>
      </c>
      <c r="J6179" s="1323"/>
      <c r="K6179" s="1323"/>
      <c r="L6179" s="1323"/>
      <c r="M6179" s="1323"/>
      <c r="N6179" s="1323"/>
      <c r="O6179" s="1323"/>
      <c r="P6179" s="1323"/>
      <c r="Q6179" s="1323"/>
      <c r="R6179" s="1304"/>
      <c r="S6179" s="1304"/>
      <c r="T6179" s="1304"/>
    </row>
    <row r="6180" spans="1:20">
      <c r="A6180" s="1303"/>
      <c r="B6180" s="1322" t="s">
        <v>13405</v>
      </c>
      <c r="C6180" s="1323" t="s">
        <v>13345</v>
      </c>
      <c r="D6180" s="1324">
        <f t="shared" si="606"/>
        <v>32876</v>
      </c>
      <c r="E6180" s="1323">
        <f t="shared" si="608"/>
        <v>2.5813000000000001</v>
      </c>
      <c r="F6180" s="1323">
        <f t="shared" si="607"/>
        <v>3.0005753424657535</v>
      </c>
      <c r="G6180" s="1323">
        <f t="shared" si="609"/>
        <v>1990</v>
      </c>
      <c r="H6180" s="1323">
        <f t="shared" si="610"/>
        <v>1</v>
      </c>
      <c r="I6180" s="1323">
        <f t="shared" si="611"/>
        <v>3</v>
      </c>
      <c r="J6180" s="1323"/>
      <c r="K6180" s="1323"/>
      <c r="L6180" s="1323"/>
      <c r="M6180" s="1323"/>
      <c r="N6180" s="1323"/>
      <c r="O6180" s="1323"/>
      <c r="P6180" s="1323"/>
      <c r="Q6180" s="1323"/>
      <c r="R6180" s="1304"/>
      <c r="S6180" s="1304"/>
      <c r="T6180" s="1304"/>
    </row>
    <row r="6181" spans="1:20">
      <c r="A6181" s="1303"/>
      <c r="B6181" s="1322" t="s">
        <v>13406</v>
      </c>
      <c r="C6181" s="1323" t="s">
        <v>13407</v>
      </c>
      <c r="D6181" s="1324">
        <f t="shared" si="606"/>
        <v>32875</v>
      </c>
      <c r="E6181" s="1323">
        <f>E7</f>
        <v>3</v>
      </c>
      <c r="F6181" s="1323">
        <f>E6181</f>
        <v>3</v>
      </c>
      <c r="G6181" s="1323">
        <f t="shared" si="609"/>
        <v>1990</v>
      </c>
      <c r="H6181" s="1323">
        <f t="shared" si="610"/>
        <v>1</v>
      </c>
      <c r="I6181" s="1323">
        <f t="shared" si="611"/>
        <v>2</v>
      </c>
      <c r="J6181" s="1323"/>
      <c r="K6181" s="1323"/>
      <c r="L6181" s="1323"/>
      <c r="M6181" s="1323"/>
      <c r="N6181" s="1323"/>
      <c r="O6181" s="1323"/>
      <c r="P6181" s="1323"/>
      <c r="Q6181" s="1323"/>
      <c r="R6181" s="1304"/>
      <c r="S6181" s="1304"/>
      <c r="T6181" s="1304"/>
    </row>
    <row r="6182" spans="1:20">
      <c r="A6182" s="1303"/>
      <c r="B6182" s="1322" t="s">
        <v>13408</v>
      </c>
      <c r="C6182" s="1323" t="s">
        <v>12970</v>
      </c>
      <c r="D6182" s="1329"/>
      <c r="E6182" s="1329"/>
      <c r="F6182" s="1329"/>
      <c r="G6182" s="1329"/>
      <c r="H6182" s="1329"/>
      <c r="I6182" s="1329"/>
      <c r="J6182" s="1323"/>
      <c r="K6182" s="1323"/>
      <c r="L6182" s="1323"/>
      <c r="M6182" s="1323"/>
      <c r="N6182" s="1323"/>
      <c r="O6182" s="1323"/>
      <c r="P6182" s="1323"/>
      <c r="Q6182" s="1323"/>
      <c r="R6182" s="1304"/>
      <c r="S6182" s="1304"/>
      <c r="T6182" s="1304"/>
    </row>
    <row r="6183" spans="1:20">
      <c r="A6183" s="1303"/>
      <c r="B6183" s="1329"/>
      <c r="C6183" s="1329"/>
      <c r="J6183" s="1329"/>
      <c r="K6183" s="1329"/>
      <c r="L6183" s="1329"/>
      <c r="M6183" s="1329"/>
      <c r="N6183" s="1329"/>
      <c r="O6183" s="1329"/>
      <c r="P6183" s="1329"/>
      <c r="Q6183" s="1329"/>
      <c r="R6183" s="1304"/>
      <c r="S6183" s="1304"/>
      <c r="T6183" s="1304"/>
    </row>
    <row r="6184" spans="1:20" ht="409.6" hidden="1" customHeight="1"/>
  </sheetData>
  <mergeCells count="6">
    <mergeCell ref="B2:S2"/>
    <mergeCell ref="B4:S4"/>
    <mergeCell ref="B7:B8"/>
    <mergeCell ref="C7:C8"/>
    <mergeCell ref="B21:B22"/>
    <mergeCell ref="C21:C22"/>
  </mergeCells>
  <pageMargins left="0.98425196850393704" right="0.98425196850393704" top="0.98425196850393704" bottom="0.98425196850393704" header="0.98425196850393704" footer="0.98425196850393704"/>
  <pageSetup paperSize="9" orientation="landscape" r:id="rId1"/>
  <headerFooter alignWithMargins="0">
    <oddFooter>&amp;L&amp;C&amp;R</oddFooter>
  </headerFooter>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
  <dimension ref="A1:AH33"/>
  <sheetViews>
    <sheetView workbookViewId="0"/>
  </sheetViews>
  <sheetFormatPr defaultColWidth="11.42578125" defaultRowHeight="12.75"/>
  <cols>
    <col min="1" max="1" width="12.7109375" style="93" customWidth="1"/>
    <col min="2" max="2" width="6.7109375" style="93" customWidth="1"/>
    <col min="3" max="21" width="5.42578125" style="93" customWidth="1"/>
    <col min="22" max="23" width="5.7109375" style="93" customWidth="1"/>
    <col min="24" max="16384" width="11.42578125" style="93"/>
  </cols>
  <sheetData>
    <row r="1" spans="1:34" ht="15.75" customHeight="1">
      <c r="A1" s="179" t="s">
        <v>371</v>
      </c>
      <c r="B1" s="179">
        <v>1991</v>
      </c>
      <c r="C1" s="179">
        <v>1992</v>
      </c>
      <c r="D1" s="179">
        <v>1993</v>
      </c>
      <c r="E1" s="179">
        <v>1994</v>
      </c>
      <c r="F1" s="179">
        <v>1995</v>
      </c>
      <c r="G1" s="179">
        <v>1996</v>
      </c>
      <c r="H1" s="179">
        <v>1997</v>
      </c>
      <c r="I1" s="179">
        <v>1998</v>
      </c>
      <c r="J1" s="179">
        <v>1999</v>
      </c>
      <c r="K1" s="179">
        <v>2000</v>
      </c>
      <c r="L1" s="179">
        <v>2001</v>
      </c>
      <c r="M1" s="179">
        <v>2002</v>
      </c>
      <c r="N1" s="179">
        <v>2003</v>
      </c>
      <c r="O1" s="179">
        <v>2004</v>
      </c>
      <c r="P1" s="179">
        <v>2005</v>
      </c>
      <c r="Q1" s="179">
        <v>2006</v>
      </c>
      <c r="R1" s="179">
        <v>2007</v>
      </c>
      <c r="S1" s="179">
        <v>2008</v>
      </c>
      <c r="T1" s="179">
        <v>2009</v>
      </c>
      <c r="U1" s="677">
        <v>2010</v>
      </c>
      <c r="V1" s="677">
        <v>2011</v>
      </c>
      <c r="W1" s="677">
        <v>2012</v>
      </c>
      <c r="X1" s="1773">
        <v>2013</v>
      </c>
      <c r="Y1" s="1773">
        <v>2014</v>
      </c>
      <c r="Z1" s="1773">
        <v>2015</v>
      </c>
      <c r="AA1" s="1773">
        <v>2016</v>
      </c>
      <c r="AB1" s="1774">
        <v>2017</v>
      </c>
      <c r="AC1" s="1774">
        <v>2018</v>
      </c>
      <c r="AD1" s="1774">
        <v>2019</v>
      </c>
      <c r="AE1" s="1305">
        <v>2020</v>
      </c>
      <c r="AF1" s="1305">
        <v>2021</v>
      </c>
      <c r="AG1" s="1305"/>
      <c r="AH1" s="1775" t="s">
        <v>14776</v>
      </c>
    </row>
    <row r="2" spans="1:34" ht="15.75" customHeight="1">
      <c r="A2" s="180" t="s">
        <v>239</v>
      </c>
      <c r="B2" s="181">
        <v>15.727008694067001</v>
      </c>
      <c r="C2" s="181">
        <v>14.5711517216375</v>
      </c>
      <c r="D2" s="181">
        <v>13.0875688743451</v>
      </c>
      <c r="E2" s="181">
        <v>9.5940101543789797</v>
      </c>
      <c r="F2" s="181">
        <v>10.250325952765699</v>
      </c>
      <c r="G2" s="1776">
        <v>7.9057626177225204</v>
      </c>
      <c r="H2" s="1776">
        <v>7.9871533674518798</v>
      </c>
      <c r="I2" s="1776">
        <v>7.7873391569621004</v>
      </c>
      <c r="J2" s="1776">
        <v>7.0278247472558499</v>
      </c>
      <c r="K2" s="1776">
        <v>8.7963222595021993</v>
      </c>
      <c r="L2" s="1776">
        <v>7.6417362147513304</v>
      </c>
      <c r="M2" s="1776">
        <v>12.205405688193901</v>
      </c>
      <c r="N2" s="1776">
        <v>5.7936025975283902</v>
      </c>
      <c r="O2" s="1776">
        <v>6.5271139772024496</v>
      </c>
      <c r="P2" s="1776">
        <v>5.4490666230227598</v>
      </c>
      <c r="Q2" s="1776">
        <v>6.2741537708994999</v>
      </c>
      <c r="R2" s="1776">
        <v>8.8492898126298094</v>
      </c>
      <c r="S2" s="1776">
        <v>8.8315688644124695</v>
      </c>
      <c r="T2" s="1776">
        <v>7.5045113457487203</v>
      </c>
      <c r="U2" s="1776">
        <v>6.3510267905241404</v>
      </c>
      <c r="V2" s="1776">
        <v>6.6517827868979502</v>
      </c>
      <c r="W2" s="1776">
        <v>5.5122264718124399</v>
      </c>
      <c r="X2" s="1776">
        <v>5.9856351455896997</v>
      </c>
      <c r="Y2" s="1776">
        <v>5.79552879780148</v>
      </c>
      <c r="Z2" s="1776">
        <v>4.5454545454545414</v>
      </c>
      <c r="AA2" s="1776">
        <v>6.3405797101449224</v>
      </c>
      <c r="AB2" s="1777">
        <v>5.2725724020443065</v>
      </c>
      <c r="AC2" s="1777">
        <v>4.6201148960271832</v>
      </c>
      <c r="AD2" s="1777">
        <v>4.1299303944315469</v>
      </c>
      <c r="AE2" s="1305"/>
      <c r="AF2" s="1305"/>
      <c r="AG2" s="1305"/>
      <c r="AH2" s="1305"/>
    </row>
    <row r="3" spans="1:34" ht="15.75" customHeight="1">
      <c r="A3" s="182">
        <f>B12</f>
        <v>2015</v>
      </c>
      <c r="B3" s="183">
        <f t="shared" ref="B3:Y3" si="0">IF(B1=$A$3,1,IF(B1&lt;$A3,C3/(1+C2/100),A3*(B2/100+1)))</f>
        <v>0.16025960579724249</v>
      </c>
      <c r="C3" s="183">
        <f t="shared" si="0"/>
        <v>0.18361127610645686</v>
      </c>
      <c r="D3" s="183">
        <f t="shared" si="0"/>
        <v>0.20764152832795335</v>
      </c>
      <c r="E3" s="183">
        <f t="shared" si="0"/>
        <v>0.22756267764044488</v>
      </c>
      <c r="F3" s="183">
        <f t="shared" si="0"/>
        <v>0.25088859384543194</v>
      </c>
      <c r="G3" s="183">
        <f t="shared" si="0"/>
        <v>0.27072325050979379</v>
      </c>
      <c r="H3" s="183">
        <f t="shared" si="0"/>
        <v>0.29234633172936197</v>
      </c>
      <c r="I3" s="183">
        <f t="shared" si="0"/>
        <v>0.31511233209406492</v>
      </c>
      <c r="J3" s="183">
        <f t="shared" si="0"/>
        <v>0.33725787455062667</v>
      </c>
      <c r="K3" s="183">
        <f t="shared" si="0"/>
        <v>0.36692416404164746</v>
      </c>
      <c r="L3" s="183">
        <f t="shared" si="0"/>
        <v>0.39496354076589157</v>
      </c>
      <c r="M3" s="183">
        <f t="shared" si="0"/>
        <v>0.44317044323682375</v>
      </c>
      <c r="N3" s="183">
        <f t="shared" si="0"/>
        <v>0.46884597754767043</v>
      </c>
      <c r="O3" s="183">
        <f t="shared" si="0"/>
        <v>0.49944808887973591</v>
      </c>
      <c r="P3" s="183">
        <f t="shared" si="0"/>
        <v>0.52666334799020664</v>
      </c>
      <c r="Q3" s="183">
        <f t="shared" si="0"/>
        <v>0.55970701629807973</v>
      </c>
      <c r="R3" s="183">
        <f t="shared" si="0"/>
        <v>0.6092371122719199</v>
      </c>
      <c r="S3" s="183">
        <f t="shared" si="0"/>
        <v>0.66304230738977243</v>
      </c>
      <c r="T3" s="183">
        <f t="shared" si="0"/>
        <v>0.71280039257495198</v>
      </c>
      <c r="U3" s="680">
        <f t="shared" si="0"/>
        <v>0.7580705364703485</v>
      </c>
      <c r="V3" s="680">
        <f t="shared" si="0"/>
        <v>0.80849574192782814</v>
      </c>
      <c r="W3" s="680">
        <f t="shared" si="0"/>
        <v>0.8530618582378503</v>
      </c>
      <c r="X3" s="1778">
        <f t="shared" si="0"/>
        <v>0.90412302863815563</v>
      </c>
      <c r="Y3" s="1778">
        <f t="shared" si="0"/>
        <v>0.95652173913043481</v>
      </c>
      <c r="Z3" s="1778">
        <f>IF(Z1=$A$3,1,IF(Z1&lt;$A3,#REF!/(1+#REF!/100),Y3*(Z2/100+1)))</f>
        <v>1</v>
      </c>
      <c r="AA3" s="1778">
        <f>IF(AA1=$A$3,1,IF(AA1&lt;$A3,#REF!/(1+#REF!/100),Z3*(AA2/100+1)))</f>
        <v>1.0634057971014492</v>
      </c>
      <c r="AB3" s="1779">
        <f>IF(AB1=$A$3,1,IF(AB1&lt;$A3,#REF!/(1+#REF!/100),AA3*(AB2/100+1)))</f>
        <v>1.1194746376811595</v>
      </c>
      <c r="AC3" s="1779">
        <f>IF(AC1=$A$3,1,IF(AC1&lt;$A3,#REF!/(1+#REF!/100),AB3*(AC2/100+1)))</f>
        <v>1.1711956521739131</v>
      </c>
      <c r="AD3" s="1779">
        <f>IF(AD1=$A$3,1,IF(AD1&lt;$A3,#REF!/(1+#REF!/100),AC3*(AD2/100+1)))</f>
        <v>1.2195652173913043</v>
      </c>
      <c r="AE3" s="1780">
        <f>1/AE4</f>
        <v>1.2594458438287153</v>
      </c>
      <c r="AF3" s="1321">
        <f>1/AF4</f>
        <v>1.3020833333333333</v>
      </c>
      <c r="AG3" s="1305"/>
      <c r="AH3" s="1305"/>
    </row>
    <row r="4" spans="1:34" ht="15.75" customHeight="1">
      <c r="A4" s="182" t="s">
        <v>372</v>
      </c>
      <c r="B4" s="183">
        <f>1/B3</f>
        <v>6.2398755757903315</v>
      </c>
      <c r="C4" s="183">
        <f t="shared" ref="C4:AD4" si="1">1/C3</f>
        <v>5.4462886005988285</v>
      </c>
      <c r="D4" s="183">
        <f t="shared" si="1"/>
        <v>4.8159922923538652</v>
      </c>
      <c r="E4" s="183">
        <f t="shared" si="1"/>
        <v>4.3943937132785313</v>
      </c>
      <c r="F4" s="183">
        <f t="shared" si="1"/>
        <v>3.9858328538286698</v>
      </c>
      <c r="G4" s="183">
        <f t="shared" si="1"/>
        <v>3.6938090766748668</v>
      </c>
      <c r="H4" s="183">
        <f t="shared" si="1"/>
        <v>3.4206004709706588</v>
      </c>
      <c r="I4" s="183">
        <f t="shared" si="1"/>
        <v>3.1734714835009621</v>
      </c>
      <c r="J4" s="183">
        <f t="shared" si="1"/>
        <v>2.9650901445442375</v>
      </c>
      <c r="K4" s="183">
        <f t="shared" si="1"/>
        <v>2.7253588016255472</v>
      </c>
      <c r="L4" s="183">
        <f t="shared" si="1"/>
        <v>2.5318792667820809</v>
      </c>
      <c r="M4" s="183">
        <f t="shared" si="1"/>
        <v>2.2564681721466129</v>
      </c>
      <c r="N4" s="183">
        <f t="shared" si="1"/>
        <v>2.1328966182680409</v>
      </c>
      <c r="O4" s="183">
        <f t="shared" si="1"/>
        <v>2.0022100840209522</v>
      </c>
      <c r="P4" s="183">
        <f t="shared" si="1"/>
        <v>1.8987461417546663</v>
      </c>
      <c r="Q4" s="183">
        <f t="shared" si="1"/>
        <v>1.7866490340143175</v>
      </c>
      <c r="R4" s="183">
        <f t="shared" si="1"/>
        <v>1.6413970519144465</v>
      </c>
      <c r="S4" s="183">
        <f t="shared" si="1"/>
        <v>1.5081993846467259</v>
      </c>
      <c r="T4" s="183">
        <f t="shared" si="1"/>
        <v>1.4029172969273422</v>
      </c>
      <c r="U4" s="680">
        <f t="shared" si="1"/>
        <v>1.3191384599328964</v>
      </c>
      <c r="V4" s="680">
        <f t="shared" si="1"/>
        <v>1.2368648938280578</v>
      </c>
      <c r="W4" s="680">
        <f t="shared" si="1"/>
        <v>1.1722479329525719</v>
      </c>
      <c r="X4" s="1781">
        <f t="shared" si="1"/>
        <v>1.106044164704288</v>
      </c>
      <c r="Y4" s="1781">
        <f t="shared" si="1"/>
        <v>1.0454545454545454</v>
      </c>
      <c r="Z4" s="1782">
        <f t="shared" si="1"/>
        <v>1</v>
      </c>
      <c r="AA4" s="1782">
        <f t="shared" si="1"/>
        <v>0.94037478705281097</v>
      </c>
      <c r="AB4" s="1783">
        <f t="shared" si="1"/>
        <v>0.89327615502872393</v>
      </c>
      <c r="AC4" s="1783">
        <f t="shared" si="1"/>
        <v>0.85382830626450112</v>
      </c>
      <c r="AD4" s="1783">
        <f t="shared" si="1"/>
        <v>0.81996434937611407</v>
      </c>
      <c r="AE4" s="1305">
        <v>0.79400000000000004</v>
      </c>
      <c r="AF4" s="1305">
        <v>0.76800000000000002</v>
      </c>
      <c r="AG4" s="1305"/>
      <c r="AH4" s="1305"/>
    </row>
    <row r="5" spans="1:34">
      <c r="A5" s="98" t="s">
        <v>373</v>
      </c>
      <c r="U5" s="57"/>
      <c r="V5" s="57"/>
      <c r="W5" s="57"/>
    </row>
    <row r="6" spans="1:34">
      <c r="A6" s="184" t="s">
        <v>374</v>
      </c>
      <c r="U6" s="57"/>
      <c r="V6" s="57"/>
      <c r="W6" s="57"/>
    </row>
    <row r="7" spans="1:34">
      <c r="A7" s="98" t="s">
        <v>1511</v>
      </c>
      <c r="U7" s="57"/>
      <c r="V7" s="57"/>
      <c r="W7" s="57"/>
    </row>
    <row r="8" spans="1:34">
      <c r="U8" s="57"/>
      <c r="V8" s="57"/>
      <c r="W8" s="57"/>
    </row>
    <row r="9" spans="1:34">
      <c r="A9" s="98" t="s">
        <v>375</v>
      </c>
      <c r="U9" s="57"/>
      <c r="V9" s="57"/>
      <c r="W9" s="57"/>
    </row>
    <row r="10" spans="1:34" ht="15">
      <c r="B10" s="29">
        <v>2010</v>
      </c>
      <c r="C10" s="98" t="s">
        <v>376</v>
      </c>
      <c r="U10" s="57"/>
      <c r="V10" s="57"/>
      <c r="W10" s="57"/>
      <c r="AA10" s="93">
        <v>2005</v>
      </c>
    </row>
    <row r="11" spans="1:34">
      <c r="A11" s="98" t="s">
        <v>377</v>
      </c>
      <c r="U11" s="57"/>
      <c r="V11" s="57"/>
      <c r="W11" s="57"/>
      <c r="AA11" s="93">
        <v>2006</v>
      </c>
    </row>
    <row r="12" spans="1:34" ht="15">
      <c r="B12" s="29">
        <v>2015</v>
      </c>
      <c r="C12" s="98" t="s">
        <v>376</v>
      </c>
      <c r="U12" s="57"/>
      <c r="V12" s="57"/>
      <c r="W12" s="57"/>
      <c r="AA12" s="93">
        <v>2007</v>
      </c>
    </row>
    <row r="13" spans="1:34">
      <c r="A13" s="98" t="s">
        <v>378</v>
      </c>
      <c r="U13" s="57"/>
      <c r="V13" s="57"/>
      <c r="W13" s="57"/>
      <c r="X13" s="93">
        <f>PRODUCT(P17:T17)</f>
        <v>1.1326254216924159</v>
      </c>
      <c r="AA13" s="93">
        <v>2008</v>
      </c>
    </row>
    <row r="14" spans="1:34" ht="15">
      <c r="A14" s="98" t="s">
        <v>379</v>
      </c>
      <c r="B14" s="185">
        <f>1/B15</f>
        <v>1.3191384599328964</v>
      </c>
      <c r="U14" s="57"/>
      <c r="V14" s="57"/>
      <c r="W14" s="57"/>
      <c r="AA14" s="93">
        <v>2009</v>
      </c>
    </row>
    <row r="15" spans="1:34" ht="15">
      <c r="A15" s="98" t="s">
        <v>380</v>
      </c>
      <c r="B15" s="186">
        <f>SUMIF($B$1:$U$1,B10,$B$3:$U$3)</f>
        <v>0.7580705364703485</v>
      </c>
      <c r="U15" s="57"/>
      <c r="V15" s="57"/>
      <c r="W15" s="57"/>
      <c r="AA15" s="93">
        <v>2010</v>
      </c>
    </row>
    <row r="16" spans="1:34">
      <c r="U16" s="57"/>
      <c r="W16" s="57"/>
    </row>
    <row r="17" spans="1:25">
      <c r="A17" s="98" t="s">
        <v>381</v>
      </c>
      <c r="P17" s="93">
        <f t="shared" ref="P17:U17" si="2">(1+P19/100)</f>
        <v>1.0333465966170388</v>
      </c>
      <c r="Q17" s="93">
        <f t="shared" si="2"/>
        <v>1.0325252979731299</v>
      </c>
      <c r="R17" s="93">
        <f t="shared" si="2"/>
        <v>1.0294106674465962</v>
      </c>
      <c r="S17" s="93">
        <f t="shared" si="2"/>
        <v>1.0217815161638351</v>
      </c>
      <c r="T17" s="93">
        <f t="shared" si="2"/>
        <v>1.0092363494772816</v>
      </c>
      <c r="U17" s="93">
        <f t="shared" si="2"/>
        <v>1.0115232634848643</v>
      </c>
      <c r="V17" s="57">
        <f>V20/U20</f>
        <v>1.0273128343245979</v>
      </c>
      <c r="W17" s="57"/>
    </row>
    <row r="18" spans="1:25" ht="15.75" customHeight="1">
      <c r="A18" s="179" t="s">
        <v>371</v>
      </c>
      <c r="B18" s="179">
        <v>1991</v>
      </c>
      <c r="C18" s="179">
        <v>1992</v>
      </c>
      <c r="D18" s="179">
        <v>1993</v>
      </c>
      <c r="E18" s="179">
        <v>1994</v>
      </c>
      <c r="F18" s="179">
        <v>1995</v>
      </c>
      <c r="G18" s="179">
        <v>1996</v>
      </c>
      <c r="H18" s="179">
        <v>1997</v>
      </c>
      <c r="I18" s="179">
        <v>1998</v>
      </c>
      <c r="J18" s="179">
        <v>1999</v>
      </c>
      <c r="K18" s="179">
        <v>2000</v>
      </c>
      <c r="L18" s="179">
        <v>2001</v>
      </c>
      <c r="M18" s="179">
        <v>2002</v>
      </c>
      <c r="N18" s="179">
        <v>2003</v>
      </c>
      <c r="O18" s="179">
        <v>2004</v>
      </c>
      <c r="P18" s="179">
        <v>2005</v>
      </c>
      <c r="Q18" s="179">
        <v>2006</v>
      </c>
      <c r="R18" s="179">
        <v>2007</v>
      </c>
      <c r="S18" s="179">
        <v>2008</v>
      </c>
      <c r="T18" s="179">
        <v>2009</v>
      </c>
      <c r="U18" s="677">
        <v>2010</v>
      </c>
      <c r="V18" s="677">
        <v>2011</v>
      </c>
      <c r="W18" s="677">
        <v>2012</v>
      </c>
      <c r="X18" s="93">
        <v>2013</v>
      </c>
      <c r="Y18" s="93">
        <v>2014</v>
      </c>
    </row>
    <row r="19" spans="1:25" ht="15.75" customHeight="1">
      <c r="A19" s="180" t="s">
        <v>382</v>
      </c>
      <c r="B19" s="181">
        <v>3.3994252378249699</v>
      </c>
      <c r="C19" s="181">
        <v>2.1054788150436798</v>
      </c>
      <c r="D19" s="181">
        <v>2.1924332890308</v>
      </c>
      <c r="E19" s="181">
        <v>2.0360309460728101</v>
      </c>
      <c r="F19" s="181">
        <v>2.3263787079223999</v>
      </c>
      <c r="G19" s="181">
        <v>1.7717629484628601</v>
      </c>
      <c r="H19" s="181">
        <v>1.9273567571815799</v>
      </c>
      <c r="I19" s="181">
        <v>1.4055393887866201</v>
      </c>
      <c r="J19" s="181">
        <v>1.46557115641922</v>
      </c>
      <c r="K19" s="181">
        <v>2.1635805504784602</v>
      </c>
      <c r="L19" s="181">
        <v>2.2671398465768702</v>
      </c>
      <c r="M19" s="181">
        <v>1.6245670393856999</v>
      </c>
      <c r="N19" s="181">
        <v>2.1553754412521502</v>
      </c>
      <c r="O19" s="181">
        <v>2.8345692622040302</v>
      </c>
      <c r="P19" s="181">
        <v>3.33465966170388</v>
      </c>
      <c r="Q19" s="181">
        <v>3.2525297973129899</v>
      </c>
      <c r="R19" s="181">
        <v>2.9410667446596199</v>
      </c>
      <c r="S19" s="181">
        <v>2.1781516163835</v>
      </c>
      <c r="T19" s="181">
        <v>0.92363494772816102</v>
      </c>
      <c r="U19" s="678">
        <v>1.1523263484864299</v>
      </c>
      <c r="V19" s="678">
        <v>2.7312834324597901</v>
      </c>
      <c r="W19" s="679">
        <v>2.7312834324597901</v>
      </c>
      <c r="X19" s="959">
        <f>W19</f>
        <v>2.7312834324597901</v>
      </c>
      <c r="Y19" s="959">
        <f>X19</f>
        <v>2.7312834324597901</v>
      </c>
    </row>
    <row r="20" spans="1:25">
      <c r="A20" s="182">
        <v>2010</v>
      </c>
      <c r="B20" s="183">
        <f>IF(B18=$A$20,1,IF(B18&lt;$A20,C20/(1+C19/100),A20*(B19/100+1)))</f>
        <v>0.67297533398349141</v>
      </c>
      <c r="C20" s="183">
        <f t="shared" ref="C20:Y20" si="3">IF(C18=$A$20,1,IF(C18&lt;$A20,D20/(1+D19/100),B20*(C19/100+1)))</f>
        <v>0.68714468707098331</v>
      </c>
      <c r="D20" s="183">
        <f t="shared" si="3"/>
        <v>0.70220987593413409</v>
      </c>
      <c r="E20" s="183">
        <f t="shared" si="3"/>
        <v>0.71650708631453253</v>
      </c>
      <c r="F20" s="183">
        <f t="shared" si="3"/>
        <v>0.73317575461130902</v>
      </c>
      <c r="G20" s="183">
        <f t="shared" si="3"/>
        <v>0.74616589097862518</v>
      </c>
      <c r="H20" s="183">
        <f t="shared" si="3"/>
        <v>0.76054716969818592</v>
      </c>
      <c r="I20" s="183">
        <f t="shared" si="3"/>
        <v>0.77123695973859574</v>
      </c>
      <c r="J20" s="183">
        <f t="shared" si="3"/>
        <v>0.782539986168169</v>
      </c>
      <c r="K20" s="183">
        <f t="shared" si="3"/>
        <v>0.79947086910862031</v>
      </c>
      <c r="L20" s="183">
        <f t="shared" si="3"/>
        <v>0.81759599174395625</v>
      </c>
      <c r="M20" s="183">
        <f t="shared" si="3"/>
        <v>0.8308783867411671</v>
      </c>
      <c r="N20" s="183">
        <f t="shared" si="3"/>
        <v>0.84878693543565831</v>
      </c>
      <c r="O20" s="183">
        <f t="shared" si="3"/>
        <v>0.87284638900912104</v>
      </c>
      <c r="P20" s="183">
        <f>IF(P18=$A$20,1,IF(P18&lt;$A20,Q20/(1+Q19/100),O20*(P19/100+1)))</f>
        <v>0.90195284545204713</v>
      </c>
      <c r="Q20" s="806">
        <f t="shared" si="3"/>
        <v>0.93128913050808726</v>
      </c>
      <c r="R20" s="183">
        <f t="shared" si="3"/>
        <v>0.9586789654220903</v>
      </c>
      <c r="S20" s="183">
        <f t="shared" si="3"/>
        <v>0.97956044680336019</v>
      </c>
      <c r="T20" s="183">
        <f t="shared" si="3"/>
        <v>0.98860800942415816</v>
      </c>
      <c r="U20" s="680">
        <f>IF(U18=$A$20,1,IF(U18&lt;$A20,V20/(1+V19/100),T20*(U19/100+1)))</f>
        <v>1</v>
      </c>
      <c r="V20" s="680">
        <f t="shared" si="3"/>
        <v>1.0273128343245979</v>
      </c>
      <c r="W20" s="680">
        <f t="shared" si="3"/>
        <v>1.0553716595680387</v>
      </c>
      <c r="X20" s="960">
        <f t="shared" si="3"/>
        <v>1.0841968508566964</v>
      </c>
      <c r="Y20" s="960">
        <f t="shared" si="3"/>
        <v>1.113809339819396</v>
      </c>
    </row>
    <row r="21" spans="1:25">
      <c r="A21" s="182" t="s">
        <v>372</v>
      </c>
      <c r="B21" s="183">
        <f>1/B20</f>
        <v>1.4859385619392267</v>
      </c>
      <c r="C21" s="183">
        <f t="shared" ref="C21:W21" si="4">1/C20</f>
        <v>1.4552975797027419</v>
      </c>
      <c r="D21" s="183">
        <f t="shared" si="4"/>
        <v>1.424075670638671</v>
      </c>
      <c r="E21" s="183">
        <f t="shared" si="4"/>
        <v>1.395659609095645</v>
      </c>
      <c r="F21" s="183">
        <f t="shared" si="4"/>
        <v>1.3639294448984434</v>
      </c>
      <c r="G21" s="183">
        <f t="shared" si="4"/>
        <v>1.3401845515726558</v>
      </c>
      <c r="H21" s="183">
        <f t="shared" si="4"/>
        <v>1.314842839263787</v>
      </c>
      <c r="I21" s="183">
        <f t="shared" si="4"/>
        <v>1.2966183575265138</v>
      </c>
      <c r="J21" s="183">
        <f t="shared" si="4"/>
        <v>1.2778899707050861</v>
      </c>
      <c r="K21" s="183">
        <f t="shared" si="4"/>
        <v>1.2508273142146655</v>
      </c>
      <c r="L21" s="183">
        <f t="shared" si="4"/>
        <v>1.2230979727126239</v>
      </c>
      <c r="M21" s="183">
        <f t="shared" si="4"/>
        <v>1.2035455681091356</v>
      </c>
      <c r="N21" s="183">
        <f t="shared" si="4"/>
        <v>1.1781519698895087</v>
      </c>
      <c r="O21" s="183">
        <f t="shared" si="4"/>
        <v>1.1456769628562331</v>
      </c>
      <c r="P21" s="183">
        <f t="shared" si="4"/>
        <v>1.1087054107566043</v>
      </c>
      <c r="Q21" s="183">
        <f t="shared" si="4"/>
        <v>1.0737803838153097</v>
      </c>
      <c r="R21" s="183">
        <f t="shared" si="4"/>
        <v>1.0431020561296207</v>
      </c>
      <c r="S21" s="183">
        <f t="shared" si="4"/>
        <v>1.020866045850811</v>
      </c>
      <c r="T21" s="183">
        <f t="shared" si="4"/>
        <v>1.0115232634848643</v>
      </c>
      <c r="U21" s="680">
        <f t="shared" si="4"/>
        <v>1</v>
      </c>
      <c r="V21" s="680">
        <f t="shared" si="4"/>
        <v>0.97341332317477125</v>
      </c>
      <c r="W21" s="680">
        <f t="shared" si="4"/>
        <v>0.94753349773415163</v>
      </c>
      <c r="X21" s="680">
        <f>1/X20</f>
        <v>0.9223417308488151</v>
      </c>
      <c r="Y21" s="680">
        <f>1/Y20</f>
        <v>0.89781972932831555</v>
      </c>
    </row>
    <row r="22" spans="1:25">
      <c r="U22" s="57"/>
      <c r="V22" s="57"/>
      <c r="W22" s="57"/>
    </row>
    <row r="23" spans="1:25">
      <c r="A23" s="187" t="s">
        <v>383</v>
      </c>
      <c r="U23" s="57"/>
      <c r="V23" s="57"/>
      <c r="W23" s="57"/>
    </row>
    <row r="24" spans="1:25" ht="15.75" customHeight="1">
      <c r="A24" s="179" t="s">
        <v>371</v>
      </c>
      <c r="B24" s="179">
        <v>1991</v>
      </c>
      <c r="C24" s="179">
        <v>1992</v>
      </c>
      <c r="D24" s="179">
        <v>1993</v>
      </c>
      <c r="E24" s="179">
        <v>1994</v>
      </c>
      <c r="F24" s="179">
        <v>1995</v>
      </c>
      <c r="G24" s="179">
        <v>1996</v>
      </c>
      <c r="H24" s="179">
        <v>1997</v>
      </c>
      <c r="I24" s="179">
        <v>1998</v>
      </c>
      <c r="J24" s="179">
        <v>1999</v>
      </c>
      <c r="K24" s="179">
        <v>2000</v>
      </c>
      <c r="L24" s="179">
        <v>2001</v>
      </c>
      <c r="M24" s="179">
        <v>2002</v>
      </c>
      <c r="N24" s="179">
        <v>2003</v>
      </c>
      <c r="O24" s="179">
        <v>2004</v>
      </c>
      <c r="P24" s="179">
        <v>2005</v>
      </c>
      <c r="Q24" s="179">
        <v>2006</v>
      </c>
      <c r="R24" s="179">
        <v>2007</v>
      </c>
      <c r="S24" s="179">
        <v>2008</v>
      </c>
      <c r="T24" s="179">
        <v>2009</v>
      </c>
      <c r="U24" s="677">
        <v>2010</v>
      </c>
      <c r="V24" s="677">
        <v>2011</v>
      </c>
      <c r="W24" s="677">
        <v>2012</v>
      </c>
    </row>
    <row r="25" spans="1:25" ht="15.75" customHeight="1">
      <c r="A25" s="180" t="s">
        <v>239</v>
      </c>
      <c r="B25" s="181">
        <v>2.7613150000000002</v>
      </c>
      <c r="C25" s="181">
        <v>2.8520141666666698</v>
      </c>
      <c r="D25" s="181">
        <v>3.2677415833333301</v>
      </c>
      <c r="E25" s="181">
        <v>3.5507983333333302</v>
      </c>
      <c r="F25" s="181">
        <v>3.6270850000000001</v>
      </c>
      <c r="G25" s="181">
        <v>4.2993491666666701</v>
      </c>
      <c r="H25" s="181">
        <v>4.6079616666666698</v>
      </c>
      <c r="I25" s="181">
        <v>5.52828416666667</v>
      </c>
      <c r="J25" s="181">
        <v>6.1094841666666699</v>
      </c>
      <c r="K25" s="181">
        <v>6.9398283333333302</v>
      </c>
      <c r="L25" s="181">
        <v>8.6091808333333297</v>
      </c>
      <c r="M25" s="181">
        <v>10.540746666666699</v>
      </c>
      <c r="N25" s="181">
        <v>7.5647491666666697</v>
      </c>
      <c r="O25" s="181">
        <v>6.4596925000000001</v>
      </c>
      <c r="P25" s="181">
        <v>6.3593283333333304</v>
      </c>
      <c r="Q25" s="181">
        <v>6.7715491666666701</v>
      </c>
      <c r="R25" s="181">
        <v>7.0453650000000003</v>
      </c>
      <c r="S25" s="181">
        <v>8.26122333333333</v>
      </c>
      <c r="T25" s="181">
        <v>8.4736741582488797</v>
      </c>
      <c r="U25" s="681">
        <v>7.3212219611528804</v>
      </c>
      <c r="V25" s="678">
        <v>7.2611321323273499</v>
      </c>
      <c r="W25" s="679">
        <v>8.5</v>
      </c>
    </row>
    <row r="26" spans="1:25">
      <c r="A26" s="182">
        <v>2005</v>
      </c>
      <c r="B26" s="183">
        <f>IF(B24=$A$26,1,IF(B24&lt;$A26,C26/(1+C25/100),A26*(B25/100+1)))</f>
        <v>0.45926906270745477</v>
      </c>
      <c r="C26" s="183">
        <f t="shared" ref="C26:W26" si="5">IF(C24=$A$26,1,IF(C24&lt;$A26,D26/(1+D25/100),B26*(C25/100+1)))</f>
        <v>0.4723674814389886</v>
      </c>
      <c r="D26" s="183">
        <f t="shared" si="5"/>
        <v>0.48780323005611481</v>
      </c>
      <c r="E26" s="183">
        <f t="shared" si="5"/>
        <v>0.50512413901889353</v>
      </c>
      <c r="F26" s="183">
        <f t="shared" si="5"/>
        <v>0.52344542089662693</v>
      </c>
      <c r="G26" s="183">
        <f t="shared" si="5"/>
        <v>0.54595016723790091</v>
      </c>
      <c r="H26" s="183">
        <f t="shared" si="5"/>
        <v>0.57110734166332588</v>
      </c>
      <c r="I26" s="183">
        <f t="shared" si="5"/>
        <v>0.60267977840717046</v>
      </c>
      <c r="J26" s="183">
        <f t="shared" si="5"/>
        <v>0.63950040404465835</v>
      </c>
      <c r="K26" s="183">
        <f t="shared" si="5"/>
        <v>0.68388063427633072</v>
      </c>
      <c r="L26" s="183">
        <f t="shared" si="5"/>
        <v>0.742757154765327</v>
      </c>
      <c r="M26" s="183">
        <f t="shared" si="5"/>
        <v>0.82104930479768157</v>
      </c>
      <c r="N26" s="183">
        <f t="shared" si="5"/>
        <v>0.88315962524028668</v>
      </c>
      <c r="O26" s="183">
        <f t="shared" si="5"/>
        <v>0.94020902131496165</v>
      </c>
      <c r="P26" s="183">
        <f t="shared" si="5"/>
        <v>1</v>
      </c>
      <c r="Q26" s="183">
        <f t="shared" si="5"/>
        <v>1.0677154916666667</v>
      </c>
      <c r="R26" s="183">
        <f t="shared" si="5"/>
        <v>1.142939945216128</v>
      </c>
      <c r="S26" s="183">
        <f t="shared" si="5"/>
        <v>1.2373607666563098</v>
      </c>
      <c r="T26" s="183">
        <f t="shared" si="5"/>
        <v>1.3422106861847758</v>
      </c>
      <c r="U26" s="680">
        <f t="shared" si="5"/>
        <v>1.4404769097066763</v>
      </c>
      <c r="V26" s="680">
        <f t="shared" si="5"/>
        <v>1.5450718414561437</v>
      </c>
      <c r="W26" s="680">
        <f t="shared" si="5"/>
        <v>1.6764029479799158</v>
      </c>
    </row>
    <row r="27" spans="1:25">
      <c r="A27" s="182" t="s">
        <v>372</v>
      </c>
      <c r="B27" s="183">
        <f t="shared" ref="B27:W27" si="6">1/B26</f>
        <v>2.1773728761629654</v>
      </c>
      <c r="C27" s="183">
        <f t="shared" si="6"/>
        <v>2.1169958544852983</v>
      </c>
      <c r="D27" s="183">
        <f t="shared" si="6"/>
        <v>2.0500069257125753</v>
      </c>
      <c r="E27" s="183">
        <f t="shared" si="6"/>
        <v>1.9797113674715836</v>
      </c>
      <c r="F27" s="183">
        <f t="shared" si="6"/>
        <v>1.9104188518586465</v>
      </c>
      <c r="G27" s="183">
        <f t="shared" si="6"/>
        <v>1.8316690057249205</v>
      </c>
      <c r="H27" s="183">
        <f t="shared" si="6"/>
        <v>1.7509843194933241</v>
      </c>
      <c r="I27" s="183">
        <f t="shared" si="6"/>
        <v>1.6592559362832977</v>
      </c>
      <c r="J27" s="183">
        <f t="shared" si="6"/>
        <v>1.563720669565311</v>
      </c>
      <c r="K27" s="183">
        <f t="shared" si="6"/>
        <v>1.4622434820927204</v>
      </c>
      <c r="L27" s="183">
        <f t="shared" si="6"/>
        <v>1.3463350619839516</v>
      </c>
      <c r="M27" s="183">
        <f t="shared" si="6"/>
        <v>1.2179536529129813</v>
      </c>
      <c r="N27" s="183">
        <f t="shared" si="6"/>
        <v>1.1322981388873203</v>
      </c>
      <c r="O27" s="183">
        <f t="shared" si="6"/>
        <v>1.0635932833333333</v>
      </c>
      <c r="P27" s="183">
        <f t="shared" si="6"/>
        <v>1</v>
      </c>
      <c r="Q27" s="183">
        <f t="shared" si="6"/>
        <v>0.93657908666196721</v>
      </c>
      <c r="R27" s="183">
        <f t="shared" si="6"/>
        <v>0.87493660903670811</v>
      </c>
      <c r="S27" s="183">
        <f t="shared" si="6"/>
        <v>0.80817173693188604</v>
      </c>
      <c r="T27" s="183">
        <f t="shared" si="6"/>
        <v>0.74503951599617557</v>
      </c>
      <c r="U27" s="680">
        <f t="shared" si="6"/>
        <v>0.69421452941139439</v>
      </c>
      <c r="V27" s="680">
        <f t="shared" si="6"/>
        <v>0.64721909568784575</v>
      </c>
      <c r="W27" s="680">
        <f t="shared" si="6"/>
        <v>0.59651529556483485</v>
      </c>
    </row>
    <row r="28" spans="1:25">
      <c r="U28" s="57"/>
      <c r="V28" s="57"/>
      <c r="W28" s="57"/>
    </row>
    <row r="29" spans="1:25">
      <c r="A29" s="187" t="s">
        <v>384</v>
      </c>
      <c r="U29" s="57"/>
      <c r="V29" s="57"/>
      <c r="W29" s="57"/>
    </row>
    <row r="30" spans="1:25" ht="15.75" customHeight="1">
      <c r="A30" s="179" t="s">
        <v>371</v>
      </c>
      <c r="B30" s="179">
        <v>1991</v>
      </c>
      <c r="C30" s="179">
        <v>1992</v>
      </c>
      <c r="D30" s="179">
        <v>1993</v>
      </c>
      <c r="E30" s="179">
        <v>1994</v>
      </c>
      <c r="F30" s="179">
        <v>1995</v>
      </c>
      <c r="G30" s="179">
        <v>1996</v>
      </c>
      <c r="H30" s="179">
        <v>1997</v>
      </c>
      <c r="I30" s="179">
        <v>1998</v>
      </c>
      <c r="J30" s="179">
        <v>1999</v>
      </c>
      <c r="K30" s="179">
        <v>2000</v>
      </c>
      <c r="L30" s="179">
        <v>2001</v>
      </c>
      <c r="M30" s="179">
        <v>2002</v>
      </c>
      <c r="N30" s="179">
        <v>2003</v>
      </c>
      <c r="O30" s="179">
        <v>2004</v>
      </c>
      <c r="P30" s="179">
        <v>2005</v>
      </c>
      <c r="Q30" s="179">
        <v>2006</v>
      </c>
      <c r="R30" s="179">
        <v>2007</v>
      </c>
      <c r="S30" s="179">
        <v>2008</v>
      </c>
      <c r="T30" s="179">
        <v>2009</v>
      </c>
      <c r="U30" s="677">
        <v>2010</v>
      </c>
      <c r="V30" s="677">
        <v>2011</v>
      </c>
      <c r="W30" s="677">
        <v>2012</v>
      </c>
    </row>
    <row r="31" spans="1:25" ht="15.75" customHeight="1">
      <c r="A31" s="180" t="s">
        <v>239</v>
      </c>
      <c r="B31" s="181">
        <v>120.919166666666</v>
      </c>
      <c r="C31" s="181">
        <v>124.9175</v>
      </c>
      <c r="D31" s="181">
        <v>122.595</v>
      </c>
      <c r="E31" s="181">
        <v>117.354166666667</v>
      </c>
      <c r="F31" s="181">
        <v>114.07250000000001</v>
      </c>
      <c r="G31" s="181">
        <v>105.07</v>
      </c>
      <c r="H31" s="181">
        <v>110.886666666667</v>
      </c>
      <c r="I31" s="181">
        <v>101.948333333333</v>
      </c>
      <c r="J31" s="181">
        <v>96.432500000000005</v>
      </c>
      <c r="K31" s="181">
        <v>93.360833333333304</v>
      </c>
      <c r="L31" s="181">
        <v>82.358333333333306</v>
      </c>
      <c r="M31" s="181">
        <v>70.561666666666696</v>
      </c>
      <c r="N31" s="181">
        <v>91.406666666666695</v>
      </c>
      <c r="O31" s="181">
        <v>99.689166666666793</v>
      </c>
      <c r="P31" s="181">
        <v>100</v>
      </c>
      <c r="Q31" s="181">
        <v>96.115833333333299</v>
      </c>
      <c r="R31" s="181">
        <v>90.378333333333302</v>
      </c>
      <c r="S31" s="181">
        <v>80.405000000000001</v>
      </c>
      <c r="T31" s="181">
        <v>87.792500000000004</v>
      </c>
      <c r="U31" s="681">
        <v>101.2</v>
      </c>
      <c r="V31" s="681">
        <v>99.1</v>
      </c>
      <c r="W31" s="681"/>
    </row>
    <row r="32" spans="1:25" ht="13.5" thickBot="1"/>
    <row r="33" spans="1:6" ht="13.5" thickBot="1">
      <c r="A33" s="93" t="s">
        <v>14009</v>
      </c>
      <c r="F33" s="1391">
        <f>SUP!E51</f>
        <v>11.914999999999999</v>
      </c>
    </row>
  </sheetData>
  <hyperlinks>
    <hyperlink ref="A6" r:id="rId1" xr:uid="{00000000-0004-0000-2A00-000000000000}"/>
  </hyperlinks>
  <pageMargins left="0.75" right="0.75" top="1" bottom="1" header="0.5" footer="0.5"/>
  <pageSetup paperSize="9" orientation="portrait"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0"/>
  <dimension ref="A1"/>
  <sheetViews>
    <sheetView workbookViewId="0"/>
  </sheetViews>
  <sheetFormatPr defaultRowHeight="1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I16"/>
  <sheetViews>
    <sheetView workbookViewId="0"/>
  </sheetViews>
  <sheetFormatPr defaultRowHeight="15"/>
  <cols>
    <col min="3" max="3" width="14" customWidth="1"/>
    <col min="4" max="4" width="43.5703125" customWidth="1"/>
    <col min="5" max="5" width="7.5703125" customWidth="1"/>
    <col min="6" max="6" width="21.7109375" customWidth="1"/>
    <col min="7" max="7" width="17.5703125" customWidth="1"/>
  </cols>
  <sheetData>
    <row r="1" spans="1:9">
      <c r="A1" s="41" t="str">
        <f>IF(Index!B8=0,"ITEMS","")</f>
        <v>ITEMS</v>
      </c>
      <c r="B1" s="42" t="s">
        <v>308</v>
      </c>
      <c r="C1" s="42"/>
      <c r="D1" s="42"/>
      <c r="E1" s="42"/>
      <c r="F1" s="42"/>
      <c r="G1" s="42"/>
      <c r="H1" s="42" t="s">
        <v>310</v>
      </c>
      <c r="I1" s="42" t="s">
        <v>310</v>
      </c>
    </row>
    <row r="2" spans="1:9">
      <c r="A2" s="42" t="s">
        <v>310</v>
      </c>
      <c r="B2" s="42"/>
      <c r="C2" s="42"/>
      <c r="D2" s="42"/>
      <c r="E2" s="42"/>
      <c r="F2" s="42"/>
      <c r="G2" s="42"/>
      <c r="H2" s="42" t="s">
        <v>930</v>
      </c>
      <c r="I2" s="42" t="s">
        <v>932</v>
      </c>
    </row>
    <row r="3" spans="1:9">
      <c r="A3" s="42" t="s">
        <v>310</v>
      </c>
      <c r="B3" s="42"/>
      <c r="C3" s="42" t="s">
        <v>1702</v>
      </c>
      <c r="D3" s="651" t="s">
        <v>1703</v>
      </c>
      <c r="E3" s="42"/>
      <c r="F3" s="42"/>
      <c r="G3" s="42"/>
      <c r="H3" s="42"/>
      <c r="I3" s="42"/>
    </row>
    <row r="4" spans="1:9">
      <c r="A4" s="42" t="s">
        <v>310</v>
      </c>
      <c r="B4" s="42"/>
      <c r="C4" s="42" t="s">
        <v>1705</v>
      </c>
      <c r="D4" s="651" t="s">
        <v>1704</v>
      </c>
      <c r="E4" s="42"/>
      <c r="F4" s="42"/>
      <c r="G4" s="42"/>
      <c r="H4" s="42"/>
      <c r="I4" s="42"/>
    </row>
    <row r="5" spans="1:9">
      <c r="A5" s="42" t="s">
        <v>310</v>
      </c>
      <c r="B5" s="42"/>
      <c r="C5" s="42" t="s">
        <v>1707</v>
      </c>
      <c r="D5" s="1044" t="s">
        <v>1703</v>
      </c>
      <c r="E5" s="42"/>
      <c r="F5" s="42"/>
      <c r="G5" s="42"/>
      <c r="H5" s="42"/>
      <c r="I5" s="42"/>
    </row>
    <row r="6" spans="1:9">
      <c r="A6" s="42" t="s">
        <v>310</v>
      </c>
      <c r="B6" s="42"/>
      <c r="C6" s="42"/>
      <c r="D6" s="42"/>
      <c r="E6" s="42"/>
      <c r="F6" s="42"/>
      <c r="G6" s="42"/>
      <c r="H6" s="42"/>
      <c r="I6" s="42"/>
    </row>
    <row r="7" spans="1:9">
      <c r="A7" s="42" t="s">
        <v>310</v>
      </c>
      <c r="B7" s="41" t="s">
        <v>311</v>
      </c>
      <c r="C7" s="161" t="s">
        <v>312</v>
      </c>
      <c r="D7" s="41" t="s">
        <v>313</v>
      </c>
      <c r="E7" s="41" t="s">
        <v>314</v>
      </c>
      <c r="F7" s="41" t="s">
        <v>315</v>
      </c>
      <c r="G7" s="41" t="s">
        <v>316</v>
      </c>
      <c r="H7" s="42"/>
      <c r="I7" s="42"/>
    </row>
    <row r="8" spans="1:9">
      <c r="A8" s="42" t="s">
        <v>310</v>
      </c>
      <c r="B8" s="510" t="s">
        <v>354</v>
      </c>
      <c r="C8" s="422"/>
      <c r="D8" s="422"/>
      <c r="E8" s="510"/>
      <c r="F8" s="510"/>
      <c r="G8" s="422"/>
      <c r="H8" s="495"/>
      <c r="I8" s="42"/>
    </row>
    <row r="9" spans="1:9" s="169" customFormat="1" ht="11.25">
      <c r="A9" s="651"/>
      <c r="B9" s="510" t="s">
        <v>352</v>
      </c>
      <c r="C9" s="419" t="str">
        <f>C3</f>
        <v>CH4SF</v>
      </c>
      <c r="D9" s="1126" t="s">
        <v>1703</v>
      </c>
      <c r="E9" s="510" t="s">
        <v>355</v>
      </c>
      <c r="F9" s="510" t="s">
        <v>356</v>
      </c>
      <c r="G9" s="651"/>
      <c r="H9" s="653"/>
    </row>
    <row r="10" spans="1:9" s="42" customFormat="1" ht="11.25">
      <c r="B10" s="510" t="s">
        <v>352</v>
      </c>
      <c r="C10" s="419" t="str">
        <f>C4</f>
        <v>CH4RF</v>
      </c>
      <c r="D10" s="1126" t="s">
        <v>1704</v>
      </c>
      <c r="E10" s="510" t="s">
        <v>355</v>
      </c>
      <c r="F10" s="510" t="s">
        <v>356</v>
      </c>
    </row>
    <row r="11" spans="1:9" s="42" customFormat="1" ht="11.25">
      <c r="B11" s="510" t="s">
        <v>352</v>
      </c>
      <c r="C11" s="419" t="s">
        <v>1707</v>
      </c>
      <c r="D11" s="1126" t="s">
        <v>1703</v>
      </c>
      <c r="E11" s="510" t="s">
        <v>355</v>
      </c>
      <c r="F11" s="510" t="s">
        <v>356</v>
      </c>
    </row>
    <row r="12" spans="1:9">
      <c r="B12" s="510" t="s">
        <v>352</v>
      </c>
      <c r="C12" t="s">
        <v>14039</v>
      </c>
      <c r="D12" s="1126" t="s">
        <v>14040</v>
      </c>
      <c r="E12" s="510" t="s">
        <v>355</v>
      </c>
      <c r="F12" s="510" t="s">
        <v>356</v>
      </c>
    </row>
    <row r="13" spans="1:9">
      <c r="B13" s="510" t="s">
        <v>352</v>
      </c>
      <c r="C13" s="1725" t="s">
        <v>14725</v>
      </c>
      <c r="D13" s="1725" t="s">
        <v>14726</v>
      </c>
      <c r="E13" s="510" t="s">
        <v>355</v>
      </c>
      <c r="F13" s="510" t="s">
        <v>356</v>
      </c>
    </row>
    <row r="14" spans="1:9">
      <c r="B14" s="510" t="s">
        <v>352</v>
      </c>
      <c r="C14" s="1725" t="s">
        <v>14727</v>
      </c>
      <c r="D14" s="1725" t="s">
        <v>14728</v>
      </c>
      <c r="E14" s="510" t="s">
        <v>355</v>
      </c>
      <c r="F14" s="510" t="s">
        <v>356</v>
      </c>
    </row>
    <row r="15" spans="1:9">
      <c r="B15" s="510" t="s">
        <v>352</v>
      </c>
      <c r="C15" s="1409" t="s">
        <v>14729</v>
      </c>
      <c r="D15" s="1126" t="s">
        <v>14730</v>
      </c>
      <c r="E15" s="510" t="s">
        <v>355</v>
      </c>
      <c r="F15" s="510" t="s">
        <v>356</v>
      </c>
    </row>
    <row r="16" spans="1:9">
      <c r="B16" s="510"/>
      <c r="C16" s="1725"/>
      <c r="D16" s="1725"/>
      <c r="E16" s="1791"/>
      <c r="F16" s="1792"/>
    </row>
  </sheetData>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BJ102"/>
  <sheetViews>
    <sheetView workbookViewId="0"/>
  </sheetViews>
  <sheetFormatPr defaultColWidth="9.28515625" defaultRowHeight="15"/>
  <cols>
    <col min="1" max="1" width="9.28515625" style="503"/>
    <col min="2" max="3" width="12.7109375" style="503" customWidth="1"/>
    <col min="4" max="4" width="19.42578125" style="503" customWidth="1"/>
    <col min="5" max="5" width="20.28515625" style="503" customWidth="1"/>
    <col min="6" max="8" width="9.28515625" style="503"/>
    <col min="9" max="9" width="8.28515625" style="503" customWidth="1"/>
    <col min="10" max="10" width="9.28515625" style="503"/>
    <col min="11" max="11" width="8.5703125" style="503" customWidth="1"/>
    <col min="12" max="42" width="0" style="503" hidden="1" customWidth="1"/>
    <col min="43" max="43" width="4.7109375" style="503" customWidth="1"/>
    <col min="44" max="44" width="4.42578125" style="503" customWidth="1"/>
    <col min="45" max="45" width="5.28515625" style="503" customWidth="1"/>
    <col min="46" max="47" width="4.7109375" style="503" customWidth="1"/>
    <col min="48" max="48" width="26.5703125" style="503" customWidth="1"/>
    <col min="49" max="50" width="13" style="503" customWidth="1"/>
    <col min="51" max="51" width="11.7109375" style="503" customWidth="1"/>
    <col min="52" max="52" width="13" style="503" customWidth="1"/>
    <col min="53" max="53" width="9.28515625" style="503"/>
    <col min="54" max="54" width="19.28515625" style="503" customWidth="1"/>
    <col min="55" max="16384" width="9.28515625" style="503"/>
  </cols>
  <sheetData>
    <row r="1" spans="1:62">
      <c r="A1" s="522" t="str">
        <f>IF(Index!B6=1,"","TS DATA")</f>
        <v>TS DATA</v>
      </c>
      <c r="B1" s="495" t="s">
        <v>308</v>
      </c>
      <c r="C1" s="495"/>
      <c r="D1" s="495"/>
      <c r="E1" s="495"/>
      <c r="F1" s="495"/>
      <c r="G1" s="495"/>
      <c r="H1" s="495"/>
      <c r="I1" s="511"/>
      <c r="J1" s="495"/>
      <c r="K1" s="495"/>
      <c r="L1" s="495"/>
      <c r="M1" s="495"/>
      <c r="N1" s="495"/>
      <c r="O1" s="495"/>
      <c r="P1" s="495"/>
      <c r="Q1" s="495"/>
      <c r="R1" s="495"/>
      <c r="S1" s="495"/>
      <c r="T1" s="495"/>
      <c r="U1" s="495"/>
      <c r="V1" s="495"/>
      <c r="W1" s="495"/>
      <c r="X1" s="495"/>
      <c r="Y1" s="495"/>
      <c r="Z1" s="495"/>
      <c r="AA1" s="495"/>
      <c r="AB1" s="495"/>
      <c r="AC1" s="495"/>
      <c r="AD1" s="495"/>
      <c r="AE1" s="495"/>
      <c r="AF1" s="495"/>
      <c r="AG1" s="495"/>
      <c r="AH1" s="495"/>
      <c r="AI1" s="495"/>
      <c r="AJ1" s="495"/>
      <c r="AK1" s="495"/>
      <c r="AL1" s="495"/>
      <c r="AM1" s="495"/>
      <c r="AN1" s="495"/>
      <c r="AO1" s="495"/>
      <c r="AP1" s="495"/>
      <c r="AQ1" s="495"/>
      <c r="AR1" s="495"/>
      <c r="AS1" s="495"/>
      <c r="AT1" s="495"/>
      <c r="AU1" s="495" t="s">
        <v>310</v>
      </c>
      <c r="AV1" s="495" t="s">
        <v>310</v>
      </c>
      <c r="AW1" s="495" t="s">
        <v>310</v>
      </c>
      <c r="AX1" s="495" t="s">
        <v>310</v>
      </c>
      <c r="AY1" s="495" t="s">
        <v>310</v>
      </c>
      <c r="AZ1" s="495" t="s">
        <v>310</v>
      </c>
      <c r="BA1" s="495" t="s">
        <v>310</v>
      </c>
      <c r="BB1" s="495" t="s">
        <v>310</v>
      </c>
      <c r="BC1" s="495" t="s">
        <v>310</v>
      </c>
      <c r="BD1" s="495" t="s">
        <v>310</v>
      </c>
      <c r="BE1" s="495" t="s">
        <v>310</v>
      </c>
      <c r="BF1" s="495" t="s">
        <v>310</v>
      </c>
      <c r="BG1" s="495" t="s">
        <v>310</v>
      </c>
      <c r="BH1" s="495" t="s">
        <v>310</v>
      </c>
      <c r="BI1" s="495" t="s">
        <v>310</v>
      </c>
      <c r="BJ1" s="495" t="s">
        <v>310</v>
      </c>
    </row>
    <row r="2" spans="1:62">
      <c r="A2" s="495" t="s">
        <v>310</v>
      </c>
      <c r="G2" s="495"/>
      <c r="H2" s="495"/>
      <c r="I2" s="511"/>
      <c r="J2" s="495"/>
      <c r="K2" s="495"/>
      <c r="L2" s="495"/>
      <c r="M2" s="495"/>
      <c r="N2" s="495"/>
      <c r="O2" s="495"/>
      <c r="P2" s="495"/>
      <c r="Q2" s="495"/>
      <c r="R2" s="495"/>
      <c r="S2" s="495"/>
      <c r="T2" s="495"/>
      <c r="U2" s="495"/>
      <c r="V2" s="495"/>
      <c r="W2" s="495"/>
      <c r="X2" s="495"/>
      <c r="Y2" s="495"/>
      <c r="Z2" s="495"/>
      <c r="AA2" s="495"/>
      <c r="AB2" s="495"/>
      <c r="AC2" s="495"/>
      <c r="AD2" s="495"/>
      <c r="AE2" s="495"/>
      <c r="AF2" s="495"/>
      <c r="AG2" s="495"/>
      <c r="AH2" s="495"/>
      <c r="AI2" s="495"/>
      <c r="AJ2" s="495"/>
      <c r="AK2" s="495"/>
      <c r="AL2" s="495"/>
      <c r="AM2" s="495"/>
      <c r="AN2" s="495"/>
      <c r="AO2" s="495"/>
      <c r="AP2" s="495"/>
      <c r="AQ2" s="495"/>
      <c r="AR2" s="495"/>
      <c r="AS2" s="495"/>
      <c r="AT2" s="495"/>
      <c r="AU2" s="495"/>
      <c r="AV2" s="1217" t="s">
        <v>2172</v>
      </c>
      <c r="AW2" s="1217" t="s">
        <v>2173</v>
      </c>
      <c r="AX2" s="495"/>
      <c r="AY2" s="495"/>
      <c r="AZ2" s="495"/>
      <c r="BA2" s="495"/>
    </row>
    <row r="3" spans="1:62">
      <c r="A3" s="495" t="s">
        <v>310</v>
      </c>
      <c r="G3" s="495"/>
      <c r="H3" s="495"/>
      <c r="I3" s="511"/>
      <c r="J3" s="495"/>
      <c r="K3" s="495"/>
      <c r="L3" s="495"/>
      <c r="M3" s="495"/>
      <c r="N3" s="495"/>
      <c r="O3" s="495"/>
      <c r="P3" s="495"/>
      <c r="Q3" s="495"/>
      <c r="R3" s="495"/>
      <c r="S3" s="495"/>
      <c r="T3" s="495"/>
      <c r="U3" s="495"/>
      <c r="V3" s="495"/>
      <c r="W3" s="495"/>
      <c r="X3" s="495"/>
      <c r="Y3" s="495"/>
      <c r="Z3" s="495"/>
      <c r="AA3" s="495"/>
      <c r="AB3" s="495"/>
      <c r="AC3" s="495"/>
      <c r="AD3" s="495"/>
      <c r="AE3" s="495"/>
      <c r="AF3" s="495"/>
      <c r="AG3" s="495"/>
      <c r="AH3" s="495"/>
      <c r="AI3" s="495"/>
      <c r="AJ3" s="495"/>
      <c r="AK3" s="495"/>
      <c r="AL3" s="495"/>
      <c r="AM3" s="495"/>
      <c r="AN3" s="495"/>
      <c r="AO3" s="495"/>
      <c r="AP3" s="495"/>
      <c r="AQ3" s="495"/>
      <c r="AR3" s="495"/>
      <c r="AS3" s="495"/>
      <c r="AT3" s="495"/>
      <c r="AU3" s="495"/>
      <c r="AV3" s="1217" t="s">
        <v>2174</v>
      </c>
      <c r="AW3" s="1217" t="s">
        <v>2175</v>
      </c>
      <c r="AX3" s="495"/>
      <c r="AY3" s="495"/>
      <c r="AZ3" s="495"/>
      <c r="BA3" s="495"/>
    </row>
    <row r="4" spans="1:62">
      <c r="A4" s="495" t="s">
        <v>310</v>
      </c>
      <c r="G4" s="495"/>
      <c r="H4" s="495"/>
      <c r="I4" s="511"/>
      <c r="J4" s="495"/>
      <c r="K4" s="495"/>
      <c r="L4" s="495"/>
      <c r="M4" s="495"/>
      <c r="N4" s="495"/>
      <c r="O4" s="495"/>
      <c r="P4" s="495"/>
      <c r="Q4" s="495"/>
      <c r="R4" s="495"/>
      <c r="S4" s="495"/>
      <c r="T4" s="495"/>
      <c r="U4" s="495"/>
      <c r="V4" s="495"/>
      <c r="W4" s="495"/>
      <c r="X4" s="495"/>
      <c r="Y4" s="495"/>
      <c r="Z4" s="495"/>
      <c r="AA4" s="495"/>
      <c r="AB4" s="495"/>
      <c r="AC4" s="495"/>
      <c r="AD4" s="495"/>
      <c r="AE4" s="495"/>
      <c r="AF4" s="495"/>
      <c r="AG4" s="495"/>
      <c r="AH4" s="495"/>
      <c r="AI4" s="495"/>
      <c r="AJ4" s="495"/>
      <c r="AK4" s="495"/>
      <c r="AL4" s="495"/>
      <c r="AM4" s="495"/>
      <c r="AN4" s="495"/>
      <c r="AO4" s="495"/>
      <c r="AP4" s="495"/>
      <c r="AQ4" s="495"/>
      <c r="AR4" s="495"/>
      <c r="AS4" s="495"/>
      <c r="AT4" s="495"/>
      <c r="AU4" s="495"/>
      <c r="AV4" s="1217" t="s">
        <v>2177</v>
      </c>
      <c r="AW4" s="1217" t="s">
        <v>2176</v>
      </c>
      <c r="AX4" s="495"/>
      <c r="AY4" s="495"/>
      <c r="AZ4" s="495"/>
      <c r="BA4" s="495"/>
    </row>
    <row r="5" spans="1:62">
      <c r="A5" s="495" t="s">
        <v>310</v>
      </c>
      <c r="G5" s="495"/>
      <c r="H5" s="495"/>
      <c r="I5" s="511"/>
      <c r="J5" s="495"/>
      <c r="K5" s="495"/>
      <c r="L5" s="495"/>
      <c r="M5" s="495"/>
      <c r="N5" s="495"/>
      <c r="O5" s="495"/>
      <c r="P5" s="495"/>
      <c r="Q5" s="495"/>
      <c r="R5" s="495"/>
      <c r="S5" s="495"/>
      <c r="T5" s="495"/>
      <c r="U5" s="495"/>
      <c r="V5" s="495"/>
      <c r="W5" s="495"/>
      <c r="X5" s="495"/>
      <c r="Y5" s="495"/>
      <c r="Z5" s="495"/>
      <c r="AA5" s="495"/>
      <c r="AB5" s="495"/>
      <c r="AC5" s="495"/>
      <c r="AD5" s="495"/>
      <c r="AE5" s="495"/>
      <c r="AF5" s="495"/>
      <c r="AG5" s="495"/>
      <c r="AH5" s="495"/>
      <c r="AI5" s="495"/>
      <c r="AJ5" s="495"/>
      <c r="AK5" s="495"/>
      <c r="AL5" s="495"/>
      <c r="AM5" s="495"/>
      <c r="AN5" s="495"/>
      <c r="AO5" s="495"/>
      <c r="AP5" s="495"/>
      <c r="AQ5" s="495"/>
      <c r="AR5" s="495"/>
      <c r="AS5" s="495"/>
      <c r="AT5" s="495"/>
      <c r="AU5" s="495"/>
      <c r="AV5" s="1217" t="s">
        <v>2178</v>
      </c>
      <c r="BA5" s="495"/>
    </row>
    <row r="6" spans="1:62">
      <c r="A6" s="495" t="s">
        <v>310</v>
      </c>
      <c r="L6" s="495"/>
      <c r="M6" s="495"/>
      <c r="N6" s="495"/>
      <c r="O6" s="495"/>
      <c r="P6" s="495"/>
      <c r="Q6" s="495"/>
      <c r="R6" s="495"/>
      <c r="S6" s="495"/>
      <c r="T6" s="495"/>
      <c r="U6" s="495"/>
      <c r="V6" s="495"/>
      <c r="W6" s="495"/>
      <c r="X6" s="495"/>
      <c r="Y6" s="495"/>
      <c r="Z6" s="495"/>
      <c r="AA6" s="495"/>
      <c r="AB6" s="495"/>
      <c r="AC6" s="495"/>
      <c r="AD6" s="495"/>
      <c r="AE6" s="495"/>
      <c r="AF6" s="495"/>
      <c r="AG6" s="495"/>
      <c r="AH6" s="495"/>
      <c r="AI6" s="495"/>
      <c r="AJ6" s="495"/>
      <c r="AK6" s="495"/>
      <c r="AL6" s="495"/>
      <c r="AM6" s="495"/>
      <c r="AN6" s="495"/>
      <c r="AO6" s="495"/>
      <c r="AP6" s="495"/>
      <c r="AQ6" s="495"/>
      <c r="AR6" s="495"/>
      <c r="AS6" s="495"/>
      <c r="AT6" s="495"/>
      <c r="AU6" s="495"/>
      <c r="AV6" s="495"/>
      <c r="AW6" s="522" t="s">
        <v>256</v>
      </c>
      <c r="AX6" s="522" t="s">
        <v>256</v>
      </c>
      <c r="AY6" s="522" t="s">
        <v>256</v>
      </c>
      <c r="AZ6" s="522" t="s">
        <v>256</v>
      </c>
      <c r="BC6" s="1237" t="s">
        <v>254</v>
      </c>
      <c r="BD6" s="1237" t="s">
        <v>254</v>
      </c>
      <c r="BE6" s="1236" t="s">
        <v>254</v>
      </c>
      <c r="BF6" s="1237" t="s">
        <v>254</v>
      </c>
      <c r="BH6" s="522" t="s">
        <v>2101</v>
      </c>
      <c r="BI6" s="505"/>
    </row>
    <row r="7" spans="1:62">
      <c r="A7" s="495" t="s">
        <v>310</v>
      </c>
      <c r="L7" s="495" t="s">
        <v>1985</v>
      </c>
      <c r="M7" s="495" t="s">
        <v>1986</v>
      </c>
      <c r="N7" s="495" t="s">
        <v>1987</v>
      </c>
      <c r="O7" s="495" t="s">
        <v>1988</v>
      </c>
      <c r="P7" s="495" t="s">
        <v>1989</v>
      </c>
      <c r="Q7" s="495" t="s">
        <v>1990</v>
      </c>
      <c r="R7" s="495" t="s">
        <v>1991</v>
      </c>
      <c r="S7" s="495" t="s">
        <v>1992</v>
      </c>
      <c r="T7" s="495" t="s">
        <v>1993</v>
      </c>
      <c r="U7" s="495" t="s">
        <v>1994</v>
      </c>
      <c r="V7" s="495" t="s">
        <v>1995</v>
      </c>
      <c r="W7" s="495" t="s">
        <v>1996</v>
      </c>
      <c r="X7" s="495" t="s">
        <v>1997</v>
      </c>
      <c r="Y7" s="495" t="s">
        <v>1998</v>
      </c>
      <c r="Z7" s="495" t="s">
        <v>1999</v>
      </c>
      <c r="AA7" s="495" t="s">
        <v>2000</v>
      </c>
      <c r="AB7" s="495" t="s">
        <v>2001</v>
      </c>
      <c r="AC7" s="495" t="s">
        <v>2002</v>
      </c>
      <c r="AD7" s="495" t="s">
        <v>2003</v>
      </c>
      <c r="AE7" s="495" t="s">
        <v>2004</v>
      </c>
      <c r="AF7" s="495" t="s">
        <v>2005</v>
      </c>
      <c r="AG7" s="495" t="s">
        <v>2006</v>
      </c>
      <c r="AH7" s="495" t="s">
        <v>2007</v>
      </c>
      <c r="AI7" s="495" t="s">
        <v>2008</v>
      </c>
      <c r="AJ7" s="495" t="s">
        <v>2009</v>
      </c>
      <c r="AK7" s="495" t="s">
        <v>2010</v>
      </c>
      <c r="AL7" s="495" t="s">
        <v>2011</v>
      </c>
      <c r="AM7" s="495" t="s">
        <v>2012</v>
      </c>
      <c r="AN7" s="495" t="s">
        <v>2013</v>
      </c>
      <c r="AO7" s="495" t="s">
        <v>2014</v>
      </c>
      <c r="AP7" s="495" t="s">
        <v>2015</v>
      </c>
      <c r="AQ7" s="495"/>
      <c r="AR7" s="495"/>
      <c r="AS7" s="495"/>
      <c r="AT7" s="495"/>
      <c r="AU7" s="495"/>
      <c r="AV7" s="738">
        <f>(Index!C5)</f>
        <v>1</v>
      </c>
      <c r="AW7" s="503">
        <v>1</v>
      </c>
      <c r="AX7" s="503">
        <v>2</v>
      </c>
      <c r="AY7" s="1232">
        <v>3</v>
      </c>
      <c r="AZ7" s="503" t="s">
        <v>2179</v>
      </c>
      <c r="BC7" s="443">
        <v>1</v>
      </c>
      <c r="BD7" s="443">
        <v>2</v>
      </c>
      <c r="BE7" s="1236">
        <v>4</v>
      </c>
      <c r="BF7" s="443">
        <v>3</v>
      </c>
      <c r="BH7" s="1235" t="str">
        <f>'Emission Control_Technologies'!V5</f>
        <v>INVCOST</v>
      </c>
      <c r="BI7" s="1235" t="str">
        <f>'Emission Control_Technologies'!W5</f>
        <v>FIXOM</v>
      </c>
    </row>
    <row r="8" spans="1:62">
      <c r="A8" s="495" t="s">
        <v>310</v>
      </c>
      <c r="L8" s="495"/>
      <c r="M8" s="495"/>
      <c r="N8" s="495"/>
      <c r="O8" s="495"/>
      <c r="P8" s="495"/>
      <c r="Q8" s="495"/>
      <c r="R8" s="495"/>
      <c r="S8" s="495"/>
      <c r="T8" s="495"/>
      <c r="U8" s="495"/>
      <c r="V8" s="495"/>
      <c r="W8" s="495"/>
      <c r="X8" s="495"/>
      <c r="Y8" s="495"/>
      <c r="Z8" s="495"/>
      <c r="AA8" s="495"/>
      <c r="AB8" s="495"/>
      <c r="AC8" s="495"/>
      <c r="AD8" s="495"/>
      <c r="AE8" s="495"/>
      <c r="AF8" s="495"/>
      <c r="AG8" s="495"/>
      <c r="AH8" s="495"/>
      <c r="AI8" s="495"/>
      <c r="AJ8" s="495"/>
      <c r="AK8" s="495"/>
      <c r="AL8" s="495"/>
      <c r="AM8" s="495"/>
      <c r="AN8" s="495"/>
      <c r="AO8" s="495"/>
      <c r="AP8" s="495"/>
      <c r="AQ8" s="495"/>
      <c r="AR8" s="495"/>
      <c r="AS8" s="495"/>
      <c r="AT8" s="495"/>
      <c r="AU8" s="495"/>
      <c r="AV8" s="522" t="s">
        <v>1984</v>
      </c>
      <c r="AW8" s="1233">
        <v>11</v>
      </c>
      <c r="AX8" s="1233">
        <v>21</v>
      </c>
      <c r="AY8" s="1234"/>
      <c r="AZ8" s="1233">
        <v>32</v>
      </c>
      <c r="BB8" s="522" t="s">
        <v>1984</v>
      </c>
      <c r="BC8" s="1233">
        <f>AW8</f>
        <v>11</v>
      </c>
      <c r="BD8" s="1233">
        <f>AX8</f>
        <v>21</v>
      </c>
      <c r="BE8" s="1234"/>
      <c r="BF8" s="1233">
        <f>AZ8</f>
        <v>32</v>
      </c>
      <c r="BH8" s="1236">
        <f>'Emission Control_Technologies'!V6</f>
        <v>48.247764982110404</v>
      </c>
      <c r="BI8" s="1236">
        <f>'Emission Control_Technologies'!W6</f>
        <v>3.1482061030057173</v>
      </c>
    </row>
    <row r="9" spans="1:62">
      <c r="A9" s="495" t="s">
        <v>310</v>
      </c>
      <c r="L9" s="495"/>
      <c r="M9" s="495"/>
      <c r="N9" s="495"/>
      <c r="O9" s="495"/>
      <c r="P9" s="495"/>
      <c r="Q9" s="495"/>
      <c r="R9" s="495"/>
      <c r="S9" s="495"/>
      <c r="T9" s="495"/>
      <c r="U9" s="495"/>
      <c r="V9" s="495"/>
      <c r="W9" s="495"/>
      <c r="X9" s="495"/>
      <c r="Y9" s="495"/>
      <c r="Z9" s="495"/>
      <c r="AA9" s="495"/>
      <c r="AB9" s="495"/>
      <c r="AC9" s="495"/>
      <c r="AD9" s="495"/>
      <c r="AE9" s="495"/>
      <c r="AF9" s="495"/>
      <c r="AG9" s="495"/>
      <c r="AH9" s="495"/>
      <c r="AI9" s="495"/>
      <c r="AJ9" s="495"/>
      <c r="AK9" s="495"/>
      <c r="AL9" s="495"/>
      <c r="AM9" s="495"/>
      <c r="AN9" s="495"/>
      <c r="AO9" s="495"/>
      <c r="AP9" s="495"/>
      <c r="AQ9" s="495"/>
      <c r="AR9" s="495"/>
      <c r="AS9" s="495"/>
      <c r="AT9" s="495"/>
      <c r="AU9" s="495"/>
      <c r="AV9" s="495" t="s">
        <v>982</v>
      </c>
      <c r="AW9" s="1238">
        <f>'Fugitive emissions'!V5</f>
        <v>0.14588104859297729</v>
      </c>
      <c r="AX9" s="1238">
        <f>'Fugitive emissions'!W5</f>
        <v>0.38293775255656542</v>
      </c>
      <c r="AY9" s="1239">
        <f>0.009%*'Fugitive emissions'!$V$2</f>
        <v>1.6411617966709945E-3</v>
      </c>
      <c r="AZ9" s="1238">
        <f>IF(AZ8=31,'Fugitive emissions'!X5,IF(AZ8=32,'Fugitive emissions'!X6,IF(AZ8=33,'Fugitive emissions'!X7,'Fugitive emissions'!X8)))</f>
        <v>0.47411340792717621</v>
      </c>
      <c r="BB9" s="495" t="s">
        <v>982</v>
      </c>
      <c r="BC9" s="1238">
        <f>IF(AW8=11,'Fugitive emissions'!Y5,IF(AW8=12,'Fugitive emissions'!Y6,IF(AW8=13,'Fugitive emissions'!Y7,'Fugitive emissions'!Y8)))</f>
        <v>0</v>
      </c>
      <c r="BD9" s="1238">
        <f>IF(AX8=21,'Fugitive emissions'!Z5,IF(AX8=22,'Fugitive emissions'!Z6,IF(AX8=23,'Fugitive emissions'!Z7,'Fugitive emissions'!Z8)))</f>
        <v>0</v>
      </c>
      <c r="BE9" s="1239">
        <f>BC9*0.01</f>
        <v>0</v>
      </c>
      <c r="BF9" s="1238">
        <f>IF(AZ8=31,'Fugitive emissions'!AA5,IF(AZ8=32,'Fugitive emissions'!AA6,IF(AZ8=33,'Fugitive emissions'!AA7,'Fugitive emissions'!AA8)))</f>
        <v>0.38250000000000006</v>
      </c>
      <c r="BH9" s="1235"/>
      <c r="BI9" s="443"/>
    </row>
    <row r="10" spans="1:62">
      <c r="A10" s="495" t="s">
        <v>310</v>
      </c>
      <c r="L10" s="495"/>
      <c r="M10" s="495"/>
      <c r="N10" s="495"/>
      <c r="O10" s="495"/>
      <c r="P10" s="495"/>
      <c r="Q10" s="495"/>
      <c r="R10" s="495"/>
      <c r="S10" s="495"/>
      <c r="T10" s="495"/>
      <c r="U10" s="495"/>
      <c r="V10" s="495"/>
      <c r="W10" s="495"/>
      <c r="X10" s="495"/>
      <c r="Y10" s="495"/>
      <c r="Z10" s="495"/>
      <c r="AA10" s="495"/>
      <c r="AB10" s="495"/>
      <c r="AC10" s="495"/>
      <c r="AD10" s="495"/>
      <c r="AE10" s="495"/>
      <c r="AF10" s="495"/>
      <c r="AG10" s="495"/>
      <c r="AH10" s="495"/>
      <c r="AI10" s="495"/>
      <c r="AJ10" s="495"/>
      <c r="AK10" s="495"/>
      <c r="AL10" s="495"/>
      <c r="AM10" s="495"/>
      <c r="AN10" s="495"/>
      <c r="AO10" s="495"/>
      <c r="AP10" s="495"/>
      <c r="AQ10" s="495"/>
      <c r="AR10" s="495"/>
      <c r="AS10" s="495"/>
      <c r="AT10" s="495"/>
      <c r="AU10" s="495"/>
      <c r="AV10" s="495" t="s">
        <v>146</v>
      </c>
      <c r="AW10" s="1240">
        <f>AW9-AW9*50%</f>
        <v>7.2940524296488646E-2</v>
      </c>
      <c r="AX10" s="1240">
        <f>AX9-AX9*50%</f>
        <v>0.19146887627828271</v>
      </c>
      <c r="AY10" s="1241">
        <v>0</v>
      </c>
      <c r="AZ10" s="1240">
        <f>AX10</f>
        <v>0.19146887627828271</v>
      </c>
      <c r="BB10" s="495" t="s">
        <v>146</v>
      </c>
      <c r="BC10" s="1240">
        <f>'Fugitive emissions'!I139</f>
        <v>0.35360995985056581</v>
      </c>
      <c r="BD10" s="1240">
        <f>BC10</f>
        <v>0.35360995985056581</v>
      </c>
      <c r="BE10" s="1242">
        <f>BF10</f>
        <v>0.35360995985056581</v>
      </c>
      <c r="BF10" s="1240">
        <f>BD10</f>
        <v>0.35360995985056581</v>
      </c>
      <c r="BH10" s="1235"/>
      <c r="BI10" s="443"/>
    </row>
    <row r="11" spans="1:62">
      <c r="A11" s="495" t="s">
        <v>310</v>
      </c>
      <c r="L11" s="495"/>
      <c r="M11" s="495"/>
      <c r="N11" s="495"/>
      <c r="O11" s="495"/>
      <c r="P11" s="495"/>
      <c r="Q11" s="495"/>
      <c r="R11" s="495"/>
      <c r="S11" s="495"/>
      <c r="T11" s="495"/>
      <c r="U11" s="495"/>
      <c r="V11" s="495"/>
      <c r="W11" s="495"/>
      <c r="X11" s="495"/>
      <c r="Y11" s="495"/>
      <c r="Z11" s="495"/>
      <c r="AA11" s="495"/>
      <c r="AB11" s="495"/>
      <c r="AC11" s="495"/>
      <c r="AD11" s="495"/>
      <c r="AE11" s="495"/>
      <c r="AF11" s="495"/>
      <c r="AG11" s="495"/>
      <c r="AH11" s="495"/>
      <c r="AI11" s="495"/>
      <c r="AJ11" s="495"/>
      <c r="AK11" s="495"/>
      <c r="AL11" s="495"/>
      <c r="AM11" s="495"/>
      <c r="AN11" s="495"/>
      <c r="AO11" s="495"/>
      <c r="AP11" s="495"/>
      <c r="AQ11" s="495"/>
      <c r="AR11" s="495"/>
      <c r="AS11" s="495"/>
      <c r="AT11" s="495"/>
      <c r="AU11" s="495"/>
      <c r="AV11" s="522" t="s">
        <v>2016</v>
      </c>
      <c r="AW11" s="1233">
        <f>AW8</f>
        <v>11</v>
      </c>
      <c r="AX11" s="1233">
        <f>AX8</f>
        <v>21</v>
      </c>
      <c r="AY11" s="1234"/>
      <c r="AZ11" s="1233">
        <v>11</v>
      </c>
      <c r="BB11" s="522" t="s">
        <v>2016</v>
      </c>
      <c r="BC11" s="1233"/>
      <c r="BD11" s="1233"/>
      <c r="BE11" s="1234"/>
      <c r="BF11" s="1233"/>
      <c r="BH11" s="1235"/>
      <c r="BI11" s="443"/>
    </row>
    <row r="12" spans="1:62">
      <c r="A12" s="495" t="s">
        <v>310</v>
      </c>
      <c r="L12" s="495"/>
      <c r="M12" s="495"/>
      <c r="N12" s="495"/>
      <c r="O12" s="495"/>
      <c r="P12" s="495"/>
      <c r="Q12" s="495"/>
      <c r="R12" s="495"/>
      <c r="S12" s="495"/>
      <c r="T12" s="495"/>
      <c r="U12" s="495"/>
      <c r="V12" s="495"/>
      <c r="W12" s="495"/>
      <c r="X12" s="495"/>
      <c r="Y12" s="495"/>
      <c r="Z12" s="495"/>
      <c r="AA12" s="495"/>
      <c r="AB12" s="495"/>
      <c r="AC12" s="495"/>
      <c r="AD12" s="495"/>
      <c r="AE12" s="495"/>
      <c r="AF12" s="495"/>
      <c r="AG12" s="495"/>
      <c r="AH12" s="495"/>
      <c r="AI12" s="495"/>
      <c r="AJ12" s="495"/>
      <c r="AK12" s="495"/>
      <c r="AL12" s="495"/>
      <c r="AM12" s="495"/>
      <c r="AN12" s="495"/>
      <c r="AO12" s="495"/>
      <c r="AP12" s="495"/>
      <c r="AQ12" s="495"/>
      <c r="AR12" s="495"/>
      <c r="AS12" s="495"/>
      <c r="AT12" s="495"/>
      <c r="AU12" s="495"/>
      <c r="AV12" s="495" t="s">
        <v>982</v>
      </c>
      <c r="AW12" s="1238">
        <f>'Fugitive emissions'!V10</f>
        <v>5.4705393222366484E-2</v>
      </c>
      <c r="AX12" s="1238">
        <f>'Fugitive emissions'!W10</f>
        <v>0.14588104859297729</v>
      </c>
      <c r="AY12" s="1239">
        <f>0.0005%*'Fugitive emissions'!$V$2</f>
        <v>9.1175655370610815E-5</v>
      </c>
      <c r="AZ12" s="1238">
        <f>IF(AZ11=11,'Fugitive emissions'!X10,IF(AZ11=12,'Fugitive emissions'!X11,IF(AZ11=13,'Fugitive emissions'!X12,'Fugitive emissions'!X13)))</f>
        <v>0.38293775255656542</v>
      </c>
      <c r="BB12" s="495" t="s">
        <v>982</v>
      </c>
      <c r="BC12" s="1238">
        <f>IF(AW11=11,'Fugitive emissions'!Y10,IF(AW11=12,'Fugitive emissions'!Y11,IF(AW11=13,'Fugitive emissions'!Y12,'Fugitive emissions'!Y13)))</f>
        <v>0</v>
      </c>
      <c r="BD12" s="1238">
        <f>IF(AX11=21,'Fugitive emissions'!Z10,IF(AX11=22,'Fugitive emissions'!Z11,IF(AX11=23,'Fugitive emissions'!Z12,'Fugitive emissions'!Z13)))</f>
        <v>0</v>
      </c>
      <c r="BE12" s="1239">
        <f>BC12*0.01</f>
        <v>0</v>
      </c>
      <c r="BF12" s="1238">
        <f>IF(AZ11=31,'Fugitive emissions'!AA10,IF(AZ11=32,'Fugitive emissions'!AA11,IF(AZ11=33,'Fugitive emissions'!AA12,'Fugitive emissions'!AA13)))</f>
        <v>0</v>
      </c>
      <c r="BH12" s="1235"/>
      <c r="BI12" s="443"/>
    </row>
    <row r="13" spans="1:62">
      <c r="A13" s="495" t="s">
        <v>310</v>
      </c>
      <c r="L13" s="495"/>
      <c r="M13" s="495"/>
      <c r="N13" s="495"/>
      <c r="O13" s="495"/>
      <c r="P13" s="495"/>
      <c r="Q13" s="495"/>
      <c r="R13" s="495"/>
      <c r="S13" s="495"/>
      <c r="T13" s="495"/>
      <c r="U13" s="495"/>
      <c r="V13" s="495"/>
      <c r="W13" s="495"/>
      <c r="X13" s="495"/>
      <c r="Y13" s="495"/>
      <c r="Z13" s="495"/>
      <c r="AA13" s="495"/>
      <c r="AB13" s="495"/>
      <c r="AC13" s="495"/>
      <c r="AD13" s="495"/>
      <c r="AE13" s="495"/>
      <c r="AF13" s="495"/>
      <c r="AG13" s="495"/>
      <c r="AH13" s="495"/>
      <c r="AI13" s="495"/>
      <c r="AJ13" s="495"/>
      <c r="AK13" s="495"/>
      <c r="AL13" s="495"/>
      <c r="AM13" s="495"/>
      <c r="AN13" s="495"/>
      <c r="AO13" s="495"/>
      <c r="AP13" s="495"/>
      <c r="AQ13" s="495"/>
      <c r="AR13" s="495"/>
      <c r="AS13" s="495"/>
      <c r="AT13" s="495"/>
      <c r="AU13" s="495"/>
      <c r="AV13" s="495" t="s">
        <v>146</v>
      </c>
      <c r="AW13" s="1240">
        <f>AW12-AW12*50%</f>
        <v>2.7352696611183242E-2</v>
      </c>
      <c r="AX13" s="1240">
        <f>AX12-AX12*50%</f>
        <v>7.2940524296488646E-2</v>
      </c>
      <c r="AY13" s="1241">
        <v>0</v>
      </c>
      <c r="AZ13" s="1240">
        <f>AX13</f>
        <v>7.2940524296488646E-2</v>
      </c>
      <c r="BB13" s="495" t="s">
        <v>146</v>
      </c>
      <c r="BC13" s="1238">
        <v>0</v>
      </c>
      <c r="BD13" s="1238">
        <v>0</v>
      </c>
      <c r="BE13" s="1239">
        <v>0</v>
      </c>
      <c r="BF13" s="1238">
        <v>0</v>
      </c>
      <c r="BH13" s="1236">
        <f>'Emission Control_Technologies'!V7</f>
        <v>222.37476804093953</v>
      </c>
      <c r="BI13" s="1236">
        <f>'Emission Control_Technologies'!W7</f>
        <v>7.168427232336537</v>
      </c>
    </row>
    <row r="14" spans="1:62">
      <c r="A14" s="495" t="s">
        <v>310</v>
      </c>
      <c r="K14" s="495"/>
      <c r="L14" s="495"/>
      <c r="M14" s="495"/>
      <c r="N14" s="495"/>
      <c r="O14" s="495"/>
      <c r="P14" s="495"/>
      <c r="Q14" s="495"/>
      <c r="R14" s="495"/>
      <c r="S14" s="495"/>
      <c r="T14" s="495"/>
      <c r="U14" s="495"/>
      <c r="V14" s="495"/>
      <c r="W14" s="495"/>
      <c r="X14" s="495"/>
      <c r="Y14" s="495"/>
      <c r="Z14" s="495"/>
      <c r="AA14" s="495"/>
      <c r="AB14" s="495"/>
      <c r="AC14" s="495"/>
      <c r="AD14" s="495"/>
      <c r="AE14" s="495"/>
      <c r="AF14" s="495"/>
      <c r="AG14" s="495"/>
      <c r="AH14" s="495"/>
      <c r="AI14" s="495"/>
      <c r="AJ14" s="495"/>
      <c r="AK14" s="495"/>
      <c r="AL14" s="495"/>
      <c r="AM14" s="495"/>
      <c r="AN14" s="495"/>
      <c r="AO14" s="495"/>
      <c r="AP14" s="495"/>
      <c r="AQ14" s="495"/>
      <c r="AR14" s="495"/>
      <c r="AS14" s="495"/>
      <c r="AT14" s="495"/>
      <c r="AU14" s="495"/>
      <c r="AV14" s="522" t="s">
        <v>1983</v>
      </c>
      <c r="AW14" s="666">
        <f>'Fugitive emissions'!V15</f>
        <v>6.9986433062480854E-2</v>
      </c>
      <c r="AX14" s="666">
        <f>'Fugitive emissions'!W15</f>
        <v>9.9454404878262279E-2</v>
      </c>
      <c r="AY14" s="1241">
        <f>'Fugitive emissions'!$V$2*0.0005%</f>
        <v>9.1175655370610815E-5</v>
      </c>
      <c r="AZ14" s="666">
        <f>'Fugitive emissions'!X15</f>
        <v>9.9454404878262279E-2</v>
      </c>
      <c r="BH14" s="1236">
        <f>'Emission Control_Technologies'!V8</f>
        <v>267.2985893883311</v>
      </c>
      <c r="BI14" s="1236">
        <f>'Emission Control_Technologies'!W8</f>
        <v>77.884946270820166</v>
      </c>
    </row>
    <row r="15" spans="1:62">
      <c r="A15" s="495" t="s">
        <v>310</v>
      </c>
      <c r="K15" s="495"/>
      <c r="L15" s="495"/>
      <c r="M15" s="495"/>
      <c r="N15" s="495"/>
      <c r="O15" s="495"/>
      <c r="P15" s="495"/>
      <c r="Q15" s="495"/>
      <c r="R15" s="495"/>
      <c r="S15" s="495"/>
      <c r="T15" s="495"/>
      <c r="U15" s="495"/>
      <c r="V15" s="495"/>
      <c r="W15" s="495"/>
      <c r="X15" s="495"/>
      <c r="Y15" s="495"/>
      <c r="Z15" s="495"/>
      <c r="AA15" s="495"/>
      <c r="AB15" s="495"/>
      <c r="AC15" s="495"/>
      <c r="AD15" s="495"/>
      <c r="AE15" s="495"/>
      <c r="AF15" s="495"/>
      <c r="AG15" s="495"/>
      <c r="AH15" s="495"/>
      <c r="AI15" s="495"/>
      <c r="AJ15" s="495"/>
      <c r="AK15" s="495"/>
      <c r="AL15" s="495"/>
      <c r="AM15" s="495"/>
      <c r="AN15" s="495"/>
      <c r="AO15" s="495"/>
      <c r="AP15" s="495"/>
      <c r="AQ15" s="495"/>
      <c r="AR15" s="495"/>
      <c r="AS15" s="495"/>
      <c r="AT15" s="495"/>
      <c r="AU15" s="495"/>
      <c r="AV15" s="522" t="s">
        <v>1982</v>
      </c>
      <c r="AW15" s="666">
        <f>'Fugitive emissions'!V16</f>
        <v>6.9986433062480854E-2</v>
      </c>
      <c r="AX15" s="666">
        <f>'Fugitive emissions'!W16</f>
        <v>9.9454404878262279E-2</v>
      </c>
      <c r="AY15" s="1241">
        <f>AW15*0.01%</f>
        <v>6.9986433062480862E-6</v>
      </c>
      <c r="AZ15" s="666">
        <f>'Fugitive emissions'!X16</f>
        <v>9.9454404878262279E-2</v>
      </c>
    </row>
    <row r="16" spans="1:62">
      <c r="A16" s="495" t="s">
        <v>310</v>
      </c>
      <c r="G16" s="495"/>
      <c r="H16" s="495"/>
      <c r="I16" s="511"/>
      <c r="J16" s="495"/>
      <c r="K16" s="495"/>
      <c r="L16" s="495"/>
      <c r="M16" s="495"/>
      <c r="N16" s="495"/>
      <c r="O16" s="495"/>
      <c r="P16" s="495"/>
      <c r="Q16" s="495"/>
      <c r="R16" s="495"/>
      <c r="S16" s="495"/>
      <c r="T16" s="495"/>
      <c r="U16" s="495"/>
      <c r="V16" s="495"/>
      <c r="W16" s="495"/>
      <c r="X16" s="495"/>
      <c r="Y16" s="495"/>
      <c r="Z16" s="495"/>
      <c r="AA16" s="495"/>
      <c r="AB16" s="495"/>
      <c r="AC16" s="495"/>
      <c r="AD16" s="495"/>
      <c r="AE16" s="495"/>
      <c r="AF16" s="495"/>
      <c r="AG16" s="495"/>
      <c r="AH16" s="495"/>
      <c r="AI16" s="495"/>
      <c r="AJ16" s="495"/>
      <c r="AK16" s="495"/>
      <c r="AL16" s="495"/>
      <c r="AM16" s="495"/>
      <c r="AN16" s="495"/>
      <c r="AO16" s="495"/>
      <c r="AP16" s="495"/>
      <c r="AQ16" s="495"/>
      <c r="AR16" s="495"/>
      <c r="AS16" s="495"/>
      <c r="AT16" s="495"/>
      <c r="AU16" s="495"/>
      <c r="BA16" s="1235"/>
      <c r="BB16" s="443"/>
    </row>
    <row r="17" spans="1:54">
      <c r="A17" s="495" t="s">
        <v>310</v>
      </c>
      <c r="G17" s="495"/>
      <c r="H17" s="495"/>
      <c r="I17" s="511"/>
      <c r="J17" s="495"/>
      <c r="K17" s="495"/>
      <c r="L17" s="495"/>
      <c r="M17" s="495"/>
      <c r="N17" s="495"/>
      <c r="O17" s="495"/>
      <c r="P17" s="495"/>
      <c r="Q17" s="495"/>
      <c r="R17" s="495"/>
      <c r="S17" s="495"/>
      <c r="T17" s="495"/>
      <c r="U17" s="495"/>
      <c r="V17" s="495"/>
      <c r="W17" s="495"/>
      <c r="X17" s="495"/>
      <c r="Y17" s="495"/>
      <c r="Z17" s="495"/>
      <c r="AA17" s="495"/>
      <c r="AB17" s="495"/>
      <c r="AC17" s="495"/>
      <c r="AD17" s="495"/>
      <c r="AE17" s="495"/>
      <c r="AF17" s="495"/>
      <c r="AG17" s="495"/>
      <c r="AH17" s="495"/>
      <c r="AI17" s="495"/>
      <c r="AJ17" s="495"/>
      <c r="AK17" s="495"/>
      <c r="AL17" s="495"/>
      <c r="AM17" s="495"/>
      <c r="AN17" s="495"/>
      <c r="AO17" s="495"/>
      <c r="AP17" s="495"/>
      <c r="AQ17" s="495"/>
      <c r="AR17" s="495"/>
      <c r="AS17" s="495"/>
      <c r="AT17" s="495"/>
      <c r="AU17" s="495"/>
      <c r="BA17" s="1235"/>
      <c r="BB17" s="443"/>
    </row>
    <row r="18" spans="1:54">
      <c r="A18" s="495" t="s">
        <v>310</v>
      </c>
      <c r="G18" s="495"/>
      <c r="H18" s="495"/>
      <c r="I18" s="511"/>
      <c r="J18" s="495"/>
      <c r="K18" s="495"/>
      <c r="L18" s="495"/>
      <c r="M18" s="495"/>
      <c r="N18" s="495"/>
      <c r="O18" s="495"/>
      <c r="P18" s="495"/>
      <c r="Q18" s="495"/>
      <c r="R18" s="495"/>
      <c r="S18" s="495"/>
      <c r="T18" s="495"/>
      <c r="U18" s="495"/>
      <c r="V18" s="495"/>
      <c r="W18" s="495"/>
      <c r="X18" s="495"/>
      <c r="Y18" s="495"/>
      <c r="Z18" s="495"/>
      <c r="AA18" s="495"/>
      <c r="AB18" s="495"/>
      <c r="AC18" s="495"/>
      <c r="AD18" s="495"/>
      <c r="AE18" s="495"/>
      <c r="AF18" s="495"/>
      <c r="AG18" s="495"/>
      <c r="AH18" s="495"/>
      <c r="AI18" s="495"/>
      <c r="AJ18" s="495"/>
      <c r="AK18" s="495"/>
      <c r="AL18" s="495"/>
      <c r="AM18" s="495"/>
      <c r="AN18" s="495"/>
      <c r="AO18" s="495"/>
      <c r="AP18" s="495"/>
      <c r="AQ18" s="495"/>
      <c r="AR18" s="495"/>
      <c r="AS18" s="495"/>
      <c r="AT18" s="495"/>
      <c r="AU18" s="495"/>
      <c r="BA18" s="1235"/>
      <c r="BB18" s="443"/>
    </row>
    <row r="19" spans="1:54">
      <c r="A19" s="495" t="s">
        <v>310</v>
      </c>
      <c r="G19" s="495"/>
      <c r="H19" s="495"/>
      <c r="I19" s="511"/>
      <c r="J19" s="495"/>
      <c r="K19" s="495"/>
      <c r="L19" s="495"/>
      <c r="M19" s="495"/>
      <c r="N19" s="495"/>
      <c r="O19" s="495"/>
      <c r="P19" s="495"/>
      <c r="Q19" s="495"/>
      <c r="R19" s="495"/>
      <c r="S19" s="495"/>
      <c r="T19" s="495"/>
      <c r="U19" s="495"/>
      <c r="V19" s="495"/>
      <c r="W19" s="495"/>
      <c r="X19" s="495"/>
      <c r="Y19" s="495"/>
      <c r="Z19" s="495"/>
      <c r="AA19" s="495"/>
      <c r="AB19" s="495"/>
      <c r="AC19" s="495"/>
      <c r="AD19" s="495"/>
      <c r="AE19" s="495"/>
      <c r="AF19" s="495"/>
      <c r="AG19" s="495"/>
      <c r="AH19" s="495"/>
      <c r="AI19" s="495"/>
      <c r="AJ19" s="495"/>
      <c r="AK19" s="495"/>
      <c r="AL19" s="495"/>
      <c r="AM19" s="495"/>
      <c r="AN19" s="495"/>
      <c r="AO19" s="495"/>
      <c r="AP19" s="495"/>
      <c r="AQ19" s="495"/>
      <c r="AR19" s="495"/>
      <c r="AS19" s="495"/>
      <c r="AT19" s="495"/>
      <c r="AU19" s="495"/>
      <c r="BA19" s="1235"/>
      <c r="BB19" s="443"/>
    </row>
    <row r="20" spans="1:54">
      <c r="A20" s="495" t="s">
        <v>310</v>
      </c>
      <c r="G20" s="495"/>
      <c r="H20" s="495"/>
      <c r="I20" s="511"/>
      <c r="J20" s="495"/>
      <c r="K20" s="495"/>
      <c r="L20" s="495"/>
      <c r="M20" s="495"/>
      <c r="N20" s="495"/>
      <c r="O20" s="495"/>
      <c r="P20" s="495"/>
      <c r="Q20" s="495"/>
      <c r="R20" s="495"/>
      <c r="S20" s="495"/>
      <c r="T20" s="495"/>
      <c r="U20" s="495"/>
      <c r="V20" s="495"/>
      <c r="W20" s="495"/>
      <c r="X20" s="495"/>
      <c r="Y20" s="495"/>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BA20" s="1235"/>
      <c r="BB20" s="443"/>
    </row>
    <row r="21" spans="1:54">
      <c r="A21" s="495" t="s">
        <v>310</v>
      </c>
      <c r="G21" s="495"/>
      <c r="H21" s="495"/>
      <c r="I21" s="511"/>
      <c r="J21" s="495"/>
      <c r="K21" s="495"/>
      <c r="L21" s="495"/>
      <c r="M21" s="495"/>
      <c r="N21" s="495"/>
      <c r="O21" s="495"/>
      <c r="P21" s="495"/>
      <c r="Q21" s="495"/>
      <c r="R21" s="495"/>
      <c r="S21" s="495"/>
      <c r="T21" s="495"/>
      <c r="U21" s="495"/>
      <c r="V21" s="495"/>
      <c r="W21" s="495"/>
      <c r="X21" s="495"/>
      <c r="Y21" s="495"/>
      <c r="Z21" s="495"/>
      <c r="AA21" s="495"/>
      <c r="AB21" s="495"/>
      <c r="AC21" s="495"/>
      <c r="AD21" s="495"/>
      <c r="AE21" s="495"/>
      <c r="AF21" s="495"/>
      <c r="AG21" s="495"/>
      <c r="AH21" s="495"/>
      <c r="AI21" s="495"/>
      <c r="AJ21" s="495"/>
      <c r="AK21" s="495"/>
      <c r="AL21" s="495"/>
      <c r="AM21" s="495"/>
      <c r="AN21" s="495"/>
      <c r="AO21" s="495"/>
      <c r="AP21" s="495"/>
      <c r="AQ21" s="495"/>
      <c r="AR21" s="495"/>
      <c r="AS21" s="495"/>
      <c r="AT21" s="495"/>
      <c r="AU21" s="495"/>
      <c r="BA21" s="1235"/>
      <c r="BB21" s="443"/>
    </row>
    <row r="22" spans="1:54">
      <c r="A22" s="495" t="s">
        <v>310</v>
      </c>
      <c r="G22" s="495"/>
      <c r="H22" s="495"/>
      <c r="I22" s="511"/>
      <c r="J22" s="495"/>
      <c r="K22" s="495"/>
      <c r="L22" s="495"/>
      <c r="M22" s="495"/>
      <c r="N22" s="495"/>
      <c r="O22" s="495"/>
      <c r="P22" s="495"/>
      <c r="Q22" s="495"/>
      <c r="R22" s="495"/>
      <c r="S22" s="495"/>
      <c r="T22" s="495"/>
      <c r="U22" s="495"/>
      <c r="V22" s="495"/>
      <c r="W22" s="495"/>
      <c r="X22" s="495"/>
      <c r="Y22" s="495"/>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BA22" s="1235"/>
      <c r="BB22" s="443"/>
    </row>
    <row r="23" spans="1:54">
      <c r="A23" s="495" t="s">
        <v>310</v>
      </c>
      <c r="G23" s="495"/>
      <c r="H23" s="495"/>
      <c r="I23" s="511"/>
      <c r="J23" s="495"/>
      <c r="K23" s="495"/>
      <c r="L23" s="495"/>
      <c r="M23" s="495"/>
      <c r="N23" s="495"/>
      <c r="O23" s="495"/>
      <c r="P23" s="495"/>
      <c r="Q23" s="495"/>
      <c r="R23" s="495"/>
      <c r="S23" s="495"/>
      <c r="T23" s="495"/>
      <c r="U23" s="495"/>
      <c r="V23" s="495"/>
      <c r="W23" s="495"/>
      <c r="X23" s="495"/>
      <c r="Y23" s="495"/>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X23" s="713"/>
      <c r="BA23" s="1235"/>
      <c r="BB23" s="443"/>
    </row>
    <row r="24" spans="1:54">
      <c r="A24" s="495" t="s">
        <v>310</v>
      </c>
      <c r="B24" s="495"/>
      <c r="C24" s="495"/>
      <c r="D24" s="495"/>
      <c r="E24" s="495"/>
      <c r="F24" s="495"/>
      <c r="G24" s="495"/>
      <c r="H24" s="495"/>
      <c r="I24" s="511"/>
      <c r="J24" s="495"/>
      <c r="K24" s="495"/>
      <c r="L24" s="495"/>
      <c r="M24" s="495"/>
      <c r="N24" s="495"/>
      <c r="O24" s="495"/>
      <c r="P24" s="495"/>
      <c r="Q24" s="495"/>
      <c r="R24" s="495"/>
      <c r="S24" s="495"/>
      <c r="T24" s="495"/>
      <c r="U24" s="495"/>
      <c r="V24" s="495"/>
      <c r="W24" s="495"/>
      <c r="X24" s="495"/>
      <c r="Y24" s="495"/>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1290"/>
      <c r="AY24" s="495"/>
      <c r="AZ24" s="495"/>
      <c r="BA24" s="495"/>
    </row>
    <row r="25" spans="1:54" ht="23.25">
      <c r="A25" s="495" t="s">
        <v>310</v>
      </c>
      <c r="B25" s="522" t="s">
        <v>323</v>
      </c>
      <c r="C25" s="522" t="s">
        <v>324</v>
      </c>
      <c r="D25" s="522" t="s">
        <v>325</v>
      </c>
      <c r="E25" s="522" t="s">
        <v>326</v>
      </c>
      <c r="F25" s="522" t="s">
        <v>327</v>
      </c>
      <c r="G25" s="522" t="s">
        <v>328</v>
      </c>
      <c r="H25" s="522" t="s">
        <v>329</v>
      </c>
      <c r="I25" s="512" t="s">
        <v>330</v>
      </c>
      <c r="J25" s="495">
        <v>2006</v>
      </c>
      <c r="K25" s="495">
        <v>2007</v>
      </c>
      <c r="L25" s="495">
        <v>2008</v>
      </c>
      <c r="M25" s="495">
        <v>2009</v>
      </c>
      <c r="N25" s="495">
        <v>2010</v>
      </c>
      <c r="O25" s="495">
        <v>2011</v>
      </c>
      <c r="P25" s="495">
        <v>2012</v>
      </c>
      <c r="Q25" s="495">
        <v>2013</v>
      </c>
      <c r="R25" s="495">
        <v>2014</v>
      </c>
      <c r="S25" s="495">
        <v>2015</v>
      </c>
      <c r="T25" s="495">
        <v>2016</v>
      </c>
      <c r="U25" s="495">
        <v>2017</v>
      </c>
      <c r="V25" s="495">
        <v>2018</v>
      </c>
      <c r="W25" s="495">
        <v>2019</v>
      </c>
      <c r="X25" s="495">
        <v>2020</v>
      </c>
      <c r="Y25" s="495">
        <v>2021</v>
      </c>
      <c r="Z25" s="495">
        <v>2022</v>
      </c>
      <c r="AA25" s="495">
        <v>2023</v>
      </c>
      <c r="AB25" s="495">
        <v>2024</v>
      </c>
      <c r="AC25" s="495">
        <v>2025</v>
      </c>
      <c r="AD25" s="495">
        <v>2026</v>
      </c>
      <c r="AE25" s="495">
        <v>2027</v>
      </c>
      <c r="AF25" s="495">
        <v>2028</v>
      </c>
      <c r="AG25" s="495">
        <v>2029</v>
      </c>
      <c r="AH25" s="495">
        <v>2030</v>
      </c>
      <c r="AI25" s="495">
        <v>2031</v>
      </c>
      <c r="AJ25" s="495">
        <v>2032</v>
      </c>
      <c r="AK25" s="495">
        <v>2033</v>
      </c>
      <c r="AL25" s="495">
        <v>2034</v>
      </c>
      <c r="AM25" s="495">
        <v>2035</v>
      </c>
      <c r="AN25" s="495">
        <v>2036</v>
      </c>
      <c r="AO25" s="495">
        <v>2037</v>
      </c>
      <c r="AP25" s="495">
        <v>2038</v>
      </c>
      <c r="AQ25" s="495">
        <f>K25+1</f>
        <v>2008</v>
      </c>
      <c r="AR25" s="495">
        <f>L25+1</f>
        <v>2009</v>
      </c>
      <c r="AS25" s="495">
        <v>2060</v>
      </c>
      <c r="AT25" s="495">
        <v>2070</v>
      </c>
      <c r="AW25" s="495"/>
      <c r="AX25" s="495"/>
      <c r="AY25" s="495"/>
      <c r="AZ25" s="1218"/>
      <c r="BA25" s="495"/>
    </row>
    <row r="26" spans="1:54">
      <c r="A26" s="495" t="s">
        <v>310</v>
      </c>
      <c r="B26" s="522"/>
      <c r="C26" s="522"/>
      <c r="D26" s="522"/>
      <c r="E26" s="522"/>
      <c r="F26" s="522"/>
      <c r="G26" s="522"/>
      <c r="H26" s="522"/>
      <c r="I26" s="512"/>
      <c r="J26" s="495"/>
      <c r="K26" s="495"/>
      <c r="L26" s="495"/>
      <c r="M26" s="495"/>
      <c r="N26" s="495"/>
      <c r="O26" s="495"/>
      <c r="P26" s="495"/>
      <c r="Q26" s="495"/>
      <c r="R26" s="495"/>
      <c r="S26" s="495"/>
      <c r="T26" s="495"/>
      <c r="U26" s="495"/>
      <c r="V26" s="495"/>
      <c r="W26" s="495"/>
      <c r="X26" s="495"/>
      <c r="Y26" s="495"/>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5"/>
      <c r="AW26" s="495"/>
      <c r="AX26" s="495"/>
      <c r="AY26" s="495"/>
      <c r="AZ26" s="495"/>
      <c r="BA26" s="495"/>
    </row>
    <row r="27" spans="1:54">
      <c r="A27" s="495" t="s">
        <v>310</v>
      </c>
      <c r="B27" s="511">
        <v>1</v>
      </c>
      <c r="C27" s="511">
        <v>2</v>
      </c>
      <c r="D27" s="511">
        <v>3</v>
      </c>
      <c r="E27" s="511">
        <v>4</v>
      </c>
      <c r="F27" s="511">
        <v>5</v>
      </c>
      <c r="G27" s="511">
        <v>6</v>
      </c>
      <c r="H27" s="511">
        <v>7</v>
      </c>
      <c r="I27" s="513">
        <v>8</v>
      </c>
      <c r="J27" s="495">
        <f>I27+1</f>
        <v>9</v>
      </c>
      <c r="K27" s="495"/>
      <c r="L27" s="495"/>
      <c r="M27" s="495"/>
      <c r="N27" s="495"/>
      <c r="O27" s="495"/>
      <c r="P27" s="495"/>
      <c r="Q27" s="495"/>
      <c r="R27" s="495"/>
      <c r="S27" s="495"/>
      <c r="T27" s="495"/>
      <c r="U27" s="495"/>
      <c r="V27" s="495"/>
      <c r="W27" s="495"/>
      <c r="X27" s="495"/>
      <c r="Y27" s="495"/>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5"/>
      <c r="AW27" s="495"/>
      <c r="AX27" s="495"/>
      <c r="AY27" s="495"/>
      <c r="AZ27" s="495"/>
      <c r="BA27" s="495"/>
    </row>
    <row r="28" spans="1:54">
      <c r="A28" s="495" t="s">
        <v>331</v>
      </c>
      <c r="B28" s="420" t="s">
        <v>357</v>
      </c>
      <c r="C28" s="420" t="s">
        <v>333</v>
      </c>
      <c r="D28" s="420" t="str">
        <f>ITEMS_XFEmiss!C9</f>
        <v>CH4SF</v>
      </c>
      <c r="E28" s="420" t="s">
        <v>341</v>
      </c>
      <c r="F28" s="420" t="s">
        <v>334</v>
      </c>
      <c r="G28" s="420" t="s">
        <v>337</v>
      </c>
      <c r="H28" s="420" t="s">
        <v>334</v>
      </c>
      <c r="I28" s="514">
        <v>0</v>
      </c>
      <c r="J28" s="495" t="str">
        <f>LEFT(D28,5)</f>
        <v>CH4SF</v>
      </c>
      <c r="K28" s="495"/>
      <c r="L28" s="495"/>
      <c r="M28" s="495"/>
      <c r="N28" s="495"/>
      <c r="O28" s="495"/>
      <c r="P28" s="495"/>
      <c r="Q28" s="495"/>
      <c r="R28" s="495"/>
      <c r="S28" s="495"/>
      <c r="T28" s="495"/>
      <c r="U28" s="495"/>
      <c r="V28" s="495"/>
      <c r="W28" s="495"/>
      <c r="X28" s="495"/>
      <c r="Y28" s="495"/>
      <c r="Z28" s="495"/>
      <c r="AA28" s="495"/>
      <c r="AB28" s="495"/>
      <c r="AC28" s="495"/>
      <c r="AD28" s="495"/>
      <c r="AE28" s="495"/>
      <c r="AF28" s="495"/>
      <c r="AG28" s="495"/>
      <c r="AH28" s="495"/>
      <c r="AI28" s="495"/>
      <c r="AJ28" s="495"/>
      <c r="AK28" s="495"/>
      <c r="AL28" s="495"/>
      <c r="AM28" s="495"/>
      <c r="AN28" s="495"/>
      <c r="AO28" s="495"/>
      <c r="AP28" s="495"/>
      <c r="AQ28" s="495"/>
      <c r="AR28" s="495"/>
      <c r="AS28" s="495"/>
      <c r="AT28" s="495"/>
      <c r="AU28" s="495"/>
      <c r="AV28" s="495"/>
      <c r="AW28" s="495"/>
      <c r="AX28" s="495"/>
      <c r="AY28" s="495"/>
      <c r="AZ28" s="495"/>
      <c r="BA28" s="495"/>
    </row>
    <row r="29" spans="1:54">
      <c r="A29" s="495" t="s">
        <v>335</v>
      </c>
      <c r="B29" s="420" t="s">
        <v>357</v>
      </c>
      <c r="C29" s="420" t="s">
        <v>333</v>
      </c>
      <c r="D29" s="420" t="str">
        <f>ITEMS_XFEmiss!C10</f>
        <v>CH4RF</v>
      </c>
      <c r="E29" s="420" t="s">
        <v>341</v>
      </c>
      <c r="F29" s="420" t="s">
        <v>334</v>
      </c>
      <c r="G29" s="420" t="s">
        <v>337</v>
      </c>
      <c r="H29" s="420" t="s">
        <v>334</v>
      </c>
      <c r="I29" s="514">
        <v>1</v>
      </c>
      <c r="J29" s="495" t="str">
        <f>LEFT(D29,5)</f>
        <v>CH4RF</v>
      </c>
      <c r="K29" s="495"/>
      <c r="L29" s="495"/>
      <c r="M29" s="495"/>
      <c r="N29" s="495"/>
      <c r="O29" s="495"/>
      <c r="P29" s="495"/>
      <c r="Q29" s="495"/>
      <c r="R29" s="495"/>
      <c r="S29" s="495"/>
      <c r="T29" s="495"/>
      <c r="U29" s="495"/>
      <c r="V29" s="495"/>
      <c r="W29" s="495"/>
      <c r="X29" s="495"/>
      <c r="Y29" s="495"/>
      <c r="Z29" s="495"/>
      <c r="AA29" s="495"/>
      <c r="AB29" s="495"/>
      <c r="AC29" s="495"/>
      <c r="AD29" s="495"/>
      <c r="AE29" s="495"/>
      <c r="AF29" s="495"/>
      <c r="AG29" s="495"/>
      <c r="AH29" s="495"/>
      <c r="AI29" s="495"/>
      <c r="AJ29" s="495"/>
      <c r="AK29" s="495"/>
      <c r="AL29" s="495"/>
      <c r="AM29" s="495"/>
      <c r="AN29" s="495"/>
      <c r="AO29" s="495"/>
      <c r="AP29" s="495"/>
      <c r="AQ29" s="495"/>
      <c r="AR29" s="495"/>
      <c r="AS29" s="495"/>
      <c r="AT29" s="495"/>
      <c r="AU29" s="495"/>
      <c r="AW29" s="495"/>
      <c r="AX29" s="495"/>
      <c r="AY29" s="495"/>
      <c r="AZ29" s="495"/>
      <c r="BA29" s="495"/>
    </row>
    <row r="30" spans="1:54">
      <c r="A30" s="495" t="s">
        <v>310</v>
      </c>
      <c r="B30" s="420" t="s">
        <v>1706</v>
      </c>
      <c r="C30" s="420"/>
      <c r="D30" s="420"/>
      <c r="E30" s="420"/>
      <c r="F30" s="420"/>
      <c r="G30" s="420"/>
      <c r="H30" s="420"/>
      <c r="I30" s="514"/>
      <c r="J30" s="495"/>
      <c r="K30" s="495"/>
      <c r="L30" s="495"/>
      <c r="M30" s="495"/>
      <c r="N30" s="495"/>
      <c r="O30" s="495"/>
      <c r="P30" s="495"/>
      <c r="Q30" s="495"/>
      <c r="R30" s="495"/>
      <c r="S30" s="495"/>
      <c r="T30" s="495"/>
      <c r="U30" s="495"/>
      <c r="V30" s="495"/>
      <c r="W30" s="495"/>
      <c r="X30" s="495"/>
      <c r="Y30" s="495"/>
      <c r="Z30" s="495"/>
      <c r="AA30" s="495"/>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95"/>
      <c r="AY30" s="495"/>
      <c r="AZ30" s="495"/>
      <c r="BA30" s="495"/>
    </row>
    <row r="31" spans="1:54">
      <c r="A31" s="495" t="s">
        <v>310</v>
      </c>
      <c r="B31" s="518" t="s">
        <v>357</v>
      </c>
      <c r="C31" s="518" t="s">
        <v>2087</v>
      </c>
      <c r="D31" s="518" t="str">
        <f>$D$28</f>
        <v>CH4SF</v>
      </c>
      <c r="E31" s="518" t="str">
        <f>MID(C31,2,LEN(C31)-1)</f>
        <v>AGRGAS</v>
      </c>
      <c r="F31" s="1043" t="s">
        <v>334</v>
      </c>
      <c r="G31" s="518" t="s">
        <v>337</v>
      </c>
      <c r="H31" s="1043" t="s">
        <v>334</v>
      </c>
      <c r="I31" s="516">
        <v>0</v>
      </c>
      <c r="J31" s="1132">
        <f>IF(AV7=1,AW15,IF(AV7=2,AX15,AY15))</f>
        <v>6.9986433062480854E-2</v>
      </c>
      <c r="K31" s="518"/>
      <c r="L31" s="518"/>
      <c r="M31" s="518"/>
      <c r="N31" s="518"/>
      <c r="O31" s="518"/>
      <c r="P31" s="518"/>
      <c r="Q31" s="518"/>
      <c r="R31" s="518"/>
      <c r="S31" s="518"/>
      <c r="T31" s="518"/>
      <c r="U31" s="518"/>
      <c r="V31" s="518"/>
      <c r="W31" s="518"/>
      <c r="X31" s="518"/>
      <c r="Y31" s="518"/>
      <c r="Z31" s="518"/>
      <c r="AA31" s="518"/>
      <c r="AB31" s="518"/>
      <c r="AC31" s="518"/>
      <c r="AD31" s="518"/>
      <c r="AE31" s="518"/>
      <c r="AF31" s="518"/>
      <c r="AG31" s="518"/>
      <c r="AH31" s="518"/>
      <c r="AI31" s="518"/>
      <c r="AJ31" s="518"/>
      <c r="AK31" s="518"/>
      <c r="AL31" s="518"/>
      <c r="AM31" s="518"/>
      <c r="AN31" s="518"/>
      <c r="AO31" s="518"/>
      <c r="AP31" s="518"/>
      <c r="AQ31" s="518"/>
      <c r="AR31" s="518"/>
      <c r="AS31" s="518"/>
      <c r="AT31" s="518"/>
      <c r="AU31" s="518"/>
      <c r="AV31" s="518"/>
      <c r="AW31" s="518"/>
      <c r="AX31" s="518"/>
      <c r="AY31" s="495"/>
      <c r="AZ31" s="495"/>
      <c r="BA31" s="495"/>
    </row>
    <row r="32" spans="1:54">
      <c r="A32" s="495" t="str">
        <f>IF(J32=0,"*","")</f>
        <v/>
      </c>
      <c r="B32" s="518" t="s">
        <v>357</v>
      </c>
      <c r="C32" s="518" t="s">
        <v>1692</v>
      </c>
      <c r="D32" s="518" t="str">
        <f t="shared" ref="D32:D66" si="0">$D$28</f>
        <v>CH4SF</v>
      </c>
      <c r="E32" s="518" t="str">
        <f t="shared" ref="E32:E39" si="1">MID(C32,2,LEN(C32)-1)</f>
        <v>COMGAS</v>
      </c>
      <c r="F32" s="1043" t="s">
        <v>334</v>
      </c>
      <c r="G32" s="518" t="s">
        <v>337</v>
      </c>
      <c r="H32" s="1043" t="s">
        <v>334</v>
      </c>
      <c r="I32" s="516">
        <v>0</v>
      </c>
      <c r="J32" s="1132">
        <f>J31</f>
        <v>6.9986433062480854E-2</v>
      </c>
      <c r="K32" s="518"/>
      <c r="L32" s="518"/>
      <c r="M32" s="518"/>
      <c r="N32" s="518"/>
      <c r="O32" s="518"/>
      <c r="P32" s="518"/>
      <c r="Q32" s="518"/>
      <c r="R32" s="518"/>
      <c r="S32" s="518"/>
      <c r="T32" s="518"/>
      <c r="U32" s="518"/>
      <c r="V32" s="518"/>
      <c r="W32" s="518"/>
      <c r="X32" s="518"/>
      <c r="Y32" s="518"/>
      <c r="Z32" s="518"/>
      <c r="AA32" s="518"/>
      <c r="AB32" s="518"/>
      <c r="AC32" s="518"/>
      <c r="AD32" s="518"/>
      <c r="AE32" s="518"/>
      <c r="AF32" s="518"/>
      <c r="AG32" s="518"/>
      <c r="AH32" s="518"/>
      <c r="AI32" s="518"/>
      <c r="AJ32" s="518"/>
      <c r="AK32" s="518"/>
      <c r="AL32" s="518"/>
      <c r="AM32" s="518"/>
      <c r="AN32" s="518"/>
      <c r="AO32" s="518"/>
      <c r="AP32" s="518"/>
      <c r="AQ32" s="518"/>
      <c r="AR32" s="518"/>
      <c r="AS32" s="518"/>
      <c r="AT32" s="518"/>
      <c r="AU32" s="518"/>
      <c r="AV32" s="518"/>
      <c r="AW32" s="518"/>
      <c r="AX32" s="518"/>
      <c r="AY32" s="495"/>
      <c r="AZ32" s="495"/>
      <c r="BA32" s="495"/>
    </row>
    <row r="33" spans="1:10">
      <c r="A33" s="495" t="str">
        <f t="shared" ref="A33:A39" si="2">IF(J33=0,"*","")</f>
        <v/>
      </c>
      <c r="B33" s="518" t="s">
        <v>357</v>
      </c>
      <c r="C33" s="518" t="s">
        <v>1691</v>
      </c>
      <c r="D33" s="518" t="str">
        <f t="shared" si="0"/>
        <v>CH4SF</v>
      </c>
      <c r="E33" s="518" t="str">
        <f>MID(C33,2,LEN(C33)-1)</f>
        <v>INDGAS</v>
      </c>
      <c r="F33" s="1043" t="s">
        <v>334</v>
      </c>
      <c r="G33" s="518" t="s">
        <v>337</v>
      </c>
      <c r="H33" s="1043" t="s">
        <v>334</v>
      </c>
      <c r="I33" s="516">
        <v>0</v>
      </c>
      <c r="J33" s="1132">
        <f t="shared" ref="J33:J39" si="3">J32</f>
        <v>6.9986433062480854E-2</v>
      </c>
    </row>
    <row r="34" spans="1:10">
      <c r="A34" s="495" t="str">
        <f t="shared" si="2"/>
        <v/>
      </c>
      <c r="B34" s="518" t="s">
        <v>357</v>
      </c>
      <c r="C34" s="518" t="s">
        <v>1690</v>
      </c>
      <c r="D34" s="518" t="str">
        <f t="shared" si="0"/>
        <v>CH4SF</v>
      </c>
      <c r="E34" s="518" t="str">
        <f t="shared" si="1"/>
        <v>TRAGAS</v>
      </c>
      <c r="F34" s="1043" t="s">
        <v>334</v>
      </c>
      <c r="G34" s="518" t="s">
        <v>337</v>
      </c>
      <c r="H34" s="1043" t="s">
        <v>334</v>
      </c>
      <c r="I34" s="516">
        <v>0</v>
      </c>
      <c r="J34" s="1132">
        <f t="shared" si="3"/>
        <v>6.9986433062480854E-2</v>
      </c>
    </row>
    <row r="35" spans="1:10">
      <c r="A35" s="495" t="str">
        <f t="shared" si="2"/>
        <v/>
      </c>
      <c r="B35" s="518" t="s">
        <v>357</v>
      </c>
      <c r="C35" s="518" t="s">
        <v>1693</v>
      </c>
      <c r="D35" s="518" t="str">
        <f t="shared" si="0"/>
        <v>CH4SF</v>
      </c>
      <c r="E35" s="518" t="str">
        <f t="shared" si="1"/>
        <v>RESGAS</v>
      </c>
      <c r="F35" s="1043" t="s">
        <v>334</v>
      </c>
      <c r="G35" s="518" t="s">
        <v>337</v>
      </c>
      <c r="H35" s="1043" t="s">
        <v>334</v>
      </c>
      <c r="I35" s="516">
        <v>0</v>
      </c>
      <c r="J35" s="1132">
        <f t="shared" si="3"/>
        <v>6.9986433062480854E-2</v>
      </c>
    </row>
    <row r="36" spans="1:10">
      <c r="A36" s="495" t="str">
        <f t="shared" si="2"/>
        <v/>
      </c>
      <c r="B36" s="518" t="s">
        <v>357</v>
      </c>
      <c r="C36" s="518" t="s">
        <v>2088</v>
      </c>
      <c r="D36" s="518" t="str">
        <f t="shared" si="0"/>
        <v>CH4SF</v>
      </c>
      <c r="E36" s="518" t="str">
        <f t="shared" si="1"/>
        <v>PWRGAS</v>
      </c>
      <c r="F36" s="1043" t="s">
        <v>334</v>
      </c>
      <c r="G36" s="518" t="s">
        <v>337</v>
      </c>
      <c r="H36" s="1043" t="s">
        <v>334</v>
      </c>
      <c r="I36" s="516">
        <v>0</v>
      </c>
      <c r="J36" s="1132">
        <f t="shared" si="3"/>
        <v>6.9986433062480854E-2</v>
      </c>
    </row>
    <row r="37" spans="1:10">
      <c r="A37" s="495"/>
      <c r="B37" s="518" t="s">
        <v>357</v>
      </c>
      <c r="C37" s="518" t="s">
        <v>2089</v>
      </c>
      <c r="D37" s="518" t="str">
        <f t="shared" si="0"/>
        <v>CH4SF</v>
      </c>
      <c r="E37" s="518" t="str">
        <f t="shared" si="1"/>
        <v>PWRGIC</v>
      </c>
      <c r="F37" s="1043" t="s">
        <v>334</v>
      </c>
      <c r="G37" s="518" t="s">
        <v>337</v>
      </c>
      <c r="H37" s="1043" t="s">
        <v>334</v>
      </c>
      <c r="I37" s="516">
        <v>0</v>
      </c>
      <c r="J37" s="1132">
        <f t="shared" si="3"/>
        <v>6.9986433062480854E-2</v>
      </c>
    </row>
    <row r="38" spans="1:10">
      <c r="A38" s="495"/>
      <c r="B38" s="518" t="s">
        <v>357</v>
      </c>
      <c r="C38" s="518" t="s">
        <v>2090</v>
      </c>
      <c r="D38" s="518" t="str">
        <f t="shared" si="0"/>
        <v>CH4SF</v>
      </c>
      <c r="E38" s="518" t="str">
        <f t="shared" si="1"/>
        <v>PWRGIH</v>
      </c>
      <c r="F38" s="1043" t="s">
        <v>334</v>
      </c>
      <c r="G38" s="518" t="s">
        <v>337</v>
      </c>
      <c r="H38" s="1043" t="s">
        <v>334</v>
      </c>
      <c r="I38" s="516">
        <v>0</v>
      </c>
      <c r="J38" s="1132">
        <f t="shared" si="3"/>
        <v>6.9986433062480854E-2</v>
      </c>
    </row>
    <row r="39" spans="1:10">
      <c r="A39" s="495" t="str">
        <f t="shared" si="2"/>
        <v/>
      </c>
      <c r="B39" s="518" t="s">
        <v>357</v>
      </c>
      <c r="C39" s="518" t="s">
        <v>2091</v>
      </c>
      <c r="D39" s="518" t="str">
        <f t="shared" si="0"/>
        <v>CH4SF</v>
      </c>
      <c r="E39" s="518" t="str">
        <f t="shared" si="1"/>
        <v>UPSGAS</v>
      </c>
      <c r="F39" s="1043" t="s">
        <v>334</v>
      </c>
      <c r="G39" s="518" t="s">
        <v>337</v>
      </c>
      <c r="H39" s="1043" t="s">
        <v>334</v>
      </c>
      <c r="I39" s="516">
        <v>0</v>
      </c>
      <c r="J39" s="1132">
        <f t="shared" si="3"/>
        <v>6.9986433062480854E-2</v>
      </c>
    </row>
    <row r="40" spans="1:10">
      <c r="A40" s="503" t="s">
        <v>310</v>
      </c>
      <c r="B40" s="420" t="s">
        <v>1941</v>
      </c>
      <c r="I40" s="516"/>
    </row>
    <row r="41" spans="1:10">
      <c r="B41" s="518" t="s">
        <v>357</v>
      </c>
      <c r="C41" s="518" t="str">
        <f>SUP!B65</f>
        <v>MINGIH</v>
      </c>
      <c r="D41" s="518" t="str">
        <f t="shared" si="0"/>
        <v>CH4SF</v>
      </c>
      <c r="E41" s="518" t="str">
        <f>MID(C41,4,LEN(C41)-1)</f>
        <v>GIH</v>
      </c>
      <c r="F41" s="1043" t="s">
        <v>334</v>
      </c>
      <c r="G41" s="518" t="s">
        <v>337</v>
      </c>
      <c r="H41" s="1043" t="s">
        <v>334</v>
      </c>
      <c r="I41" s="516">
        <v>0</v>
      </c>
      <c r="J41" s="738">
        <f>IF(AV7=1,AW9+AW12,IF(AV7=2,AX9+AX12,AY9+AY12))</f>
        <v>0.20058644181534377</v>
      </c>
    </row>
    <row r="42" spans="1:10">
      <c r="B42" s="518" t="s">
        <v>357</v>
      </c>
      <c r="C42" s="518" t="str">
        <f>SUP!B63</f>
        <v>MINGIB</v>
      </c>
      <c r="D42" s="518" t="str">
        <f t="shared" si="0"/>
        <v>CH4SF</v>
      </c>
      <c r="E42" s="518" t="str">
        <f t="shared" ref="E42:E51" si="4">MID(C42,4,LEN(C42)-1)</f>
        <v>GIB</v>
      </c>
      <c r="F42" s="1043" t="s">
        <v>334</v>
      </c>
      <c r="G42" s="518" t="s">
        <v>337</v>
      </c>
      <c r="H42" s="1043" t="s">
        <v>334</v>
      </c>
      <c r="I42" s="516">
        <v>0</v>
      </c>
      <c r="J42" s="738">
        <f>IF(AV7=1,AW10+AW13,IF(AV7=2,AX10+AX13,AY10+AY13))</f>
        <v>0.10029322090767188</v>
      </c>
    </row>
    <row r="43" spans="1:10">
      <c r="B43" s="518" t="s">
        <v>357</v>
      </c>
      <c r="C43" s="518" t="str">
        <f>SUP!B62</f>
        <v>MINGIC</v>
      </c>
      <c r="D43" s="518" t="str">
        <f t="shared" si="0"/>
        <v>CH4SF</v>
      </c>
      <c r="E43" s="518" t="str">
        <f t="shared" si="4"/>
        <v>GIC</v>
      </c>
      <c r="F43" s="1043" t="s">
        <v>334</v>
      </c>
      <c r="G43" s="518" t="s">
        <v>337</v>
      </c>
      <c r="H43" s="1043" t="s">
        <v>334</v>
      </c>
      <c r="I43" s="516">
        <v>0</v>
      </c>
      <c r="J43" s="738">
        <f>J42</f>
        <v>0.10029322090767188</v>
      </c>
    </row>
    <row r="44" spans="1:10">
      <c r="B44" s="518" t="s">
        <v>357</v>
      </c>
      <c r="C44" s="518" t="str">
        <f>C41</f>
        <v>MINGIH</v>
      </c>
      <c r="D44" s="518" t="str">
        <f>ITEMS_XFEmiss!C11</f>
        <v>CO2SF</v>
      </c>
      <c r="E44" s="518" t="str">
        <f>E41</f>
        <v>GIH</v>
      </c>
      <c r="F44" s="1043" t="s">
        <v>334</v>
      </c>
      <c r="G44" s="518" t="s">
        <v>337</v>
      </c>
      <c r="H44" s="1043" t="s">
        <v>334</v>
      </c>
      <c r="I44" s="516">
        <v>0</v>
      </c>
      <c r="J44" s="1202">
        <v>0</v>
      </c>
    </row>
    <row r="45" spans="1:10">
      <c r="B45" s="518" t="s">
        <v>357</v>
      </c>
      <c r="C45" s="518" t="str">
        <f>C42</f>
        <v>MINGIB</v>
      </c>
      <c r="D45" s="518" t="str">
        <f>D44</f>
        <v>CO2SF</v>
      </c>
      <c r="E45" s="518" t="str">
        <f>E42</f>
        <v>GIB</v>
      </c>
      <c r="F45" s="1043" t="s">
        <v>334</v>
      </c>
      <c r="G45" s="518" t="s">
        <v>337</v>
      </c>
      <c r="H45" s="1043" t="s">
        <v>334</v>
      </c>
      <c r="I45" s="516">
        <v>0</v>
      </c>
      <c r="J45" s="1202">
        <v>0</v>
      </c>
    </row>
    <row r="46" spans="1:10">
      <c r="B46" s="518" t="s">
        <v>357</v>
      </c>
      <c r="C46" s="518" t="str">
        <f>C43</f>
        <v>MINGIC</v>
      </c>
      <c r="D46" s="518" t="str">
        <f>D45</f>
        <v>CO2SF</v>
      </c>
      <c r="E46" s="518" t="str">
        <f>E43</f>
        <v>GIC</v>
      </c>
      <c r="F46" s="1043" t="s">
        <v>334</v>
      </c>
      <c r="G46" s="518" t="s">
        <v>337</v>
      </c>
      <c r="H46" s="1043" t="s">
        <v>334</v>
      </c>
      <c r="I46" s="516">
        <v>0</v>
      </c>
      <c r="J46" s="1202">
        <v>0</v>
      </c>
    </row>
    <row r="47" spans="1:10">
      <c r="A47" s="503" t="s">
        <v>310</v>
      </c>
      <c r="B47" s="420" t="s">
        <v>1942</v>
      </c>
      <c r="E47" s="518"/>
      <c r="F47" s="1043"/>
      <c r="G47" s="518"/>
      <c r="H47" s="1043"/>
      <c r="I47" s="516"/>
    </row>
    <row r="48" spans="1:10">
      <c r="B48" s="518" t="s">
        <v>357</v>
      </c>
      <c r="C48" s="518" t="str">
        <f>SUP!B58</f>
        <v>MINCOA</v>
      </c>
      <c r="D48" s="518" t="str">
        <f t="shared" si="0"/>
        <v>CH4SF</v>
      </c>
      <c r="E48" s="518" t="str">
        <f t="shared" si="4"/>
        <v>COA</v>
      </c>
      <c r="F48" s="1043" t="s">
        <v>334</v>
      </c>
      <c r="G48" s="518" t="s">
        <v>337</v>
      </c>
      <c r="H48" s="1043" t="s">
        <v>334</v>
      </c>
      <c r="I48" s="516">
        <v>0</v>
      </c>
      <c r="J48" s="738">
        <f>'Fugitive emissions'!V136</f>
        <v>1.0719713938661056E-2</v>
      </c>
    </row>
    <row r="49" spans="1:10">
      <c r="B49" s="518" t="s">
        <v>357</v>
      </c>
      <c r="C49" s="518" t="str">
        <f>SUP!B59</f>
        <v>MINCLE</v>
      </c>
      <c r="D49" s="518" t="str">
        <f t="shared" si="0"/>
        <v>CH4SF</v>
      </c>
      <c r="E49" s="518" t="str">
        <f t="shared" si="4"/>
        <v>CLE</v>
      </c>
      <c r="F49" s="1043" t="s">
        <v>334</v>
      </c>
      <c r="G49" s="518" t="s">
        <v>337</v>
      </c>
      <c r="H49" s="1043" t="s">
        <v>334</v>
      </c>
      <c r="I49" s="516">
        <v>0</v>
      </c>
      <c r="J49" s="738">
        <f>'Fugitive emissions'!V131</f>
        <v>1.2251101644184062E-2</v>
      </c>
    </row>
    <row r="50" spans="1:10">
      <c r="B50" s="518" t="s">
        <v>357</v>
      </c>
      <c r="C50" s="518" t="str">
        <f>SUP!B90</f>
        <v>MIRCRB</v>
      </c>
      <c r="D50" s="518" t="str">
        <f>$D$29</f>
        <v>CH4RF</v>
      </c>
      <c r="E50" s="518" t="str">
        <f>MID(C50,4,LEN(C50)-1)</f>
        <v>CRB</v>
      </c>
      <c r="F50" s="1043" t="s">
        <v>334</v>
      </c>
      <c r="G50" s="518" t="s">
        <v>337</v>
      </c>
      <c r="H50" s="1043" t="s">
        <v>334</v>
      </c>
      <c r="I50" s="516">
        <v>0</v>
      </c>
      <c r="J50" s="738">
        <f>J49</f>
        <v>1.2251101644184062E-2</v>
      </c>
    </row>
    <row r="51" spans="1:10">
      <c r="B51" s="518" t="s">
        <v>357</v>
      </c>
      <c r="C51" s="518" t="str">
        <f>SUP!B60</f>
        <v>MINCLD</v>
      </c>
      <c r="D51" s="518" t="str">
        <f t="shared" si="0"/>
        <v>CH4SF</v>
      </c>
      <c r="E51" s="518" t="str">
        <f t="shared" si="4"/>
        <v>CLD</v>
      </c>
      <c r="F51" s="1043" t="s">
        <v>334</v>
      </c>
      <c r="G51" s="518" t="s">
        <v>337</v>
      </c>
      <c r="H51" s="1043" t="s">
        <v>334</v>
      </c>
      <c r="I51" s="516">
        <v>0</v>
      </c>
      <c r="J51" s="738">
        <f>J50</f>
        <v>1.2251101644184062E-2</v>
      </c>
    </row>
    <row r="52" spans="1:10">
      <c r="B52" s="518" t="s">
        <v>357</v>
      </c>
      <c r="C52" s="518" t="str">
        <f>C48</f>
        <v>MINCOA</v>
      </c>
      <c r="D52" s="1630" t="str">
        <f>D44</f>
        <v>CO2SF</v>
      </c>
      <c r="E52" s="518" t="str">
        <f>MID(C52,4,LEN(C52)-1)</f>
        <v>COA</v>
      </c>
      <c r="F52" s="1043" t="s">
        <v>334</v>
      </c>
      <c r="G52" s="518" t="s">
        <v>337</v>
      </c>
      <c r="H52" s="1043" t="s">
        <v>334</v>
      </c>
      <c r="I52" s="516">
        <v>0</v>
      </c>
      <c r="J52" s="738">
        <f>'Fugitive emissions'!V135</f>
        <v>3.4182298104635631E-3</v>
      </c>
    </row>
    <row r="53" spans="1:10">
      <c r="B53" s="518" t="s">
        <v>357</v>
      </c>
      <c r="C53" s="518" t="str">
        <f>C49</f>
        <v>MINCLE</v>
      </c>
      <c r="D53" s="1630" t="str">
        <f>D52</f>
        <v>CO2SF</v>
      </c>
      <c r="E53" s="518" t="str">
        <f>MID(C53,4,LEN(C53)-1)</f>
        <v>CLE</v>
      </c>
      <c r="F53" s="1043" t="s">
        <v>334</v>
      </c>
      <c r="G53" s="518" t="s">
        <v>337</v>
      </c>
      <c r="H53" s="1043" t="s">
        <v>334</v>
      </c>
      <c r="I53" s="516">
        <v>0</v>
      </c>
      <c r="J53" s="738">
        <f>'Fugitive emissions'!V130</f>
        <v>3.9065483548155009E-3</v>
      </c>
    </row>
    <row r="54" spans="1:10">
      <c r="B54" s="518" t="s">
        <v>357</v>
      </c>
      <c r="C54" s="518" t="str">
        <f>C50</f>
        <v>MIRCRB</v>
      </c>
      <c r="D54" s="518" t="str">
        <f>$D$29</f>
        <v>CH4RF</v>
      </c>
      <c r="E54" s="518" t="str">
        <f>MID(C54,4,LEN(C54)-1)</f>
        <v>CRB</v>
      </c>
      <c r="F54" s="1043" t="s">
        <v>334</v>
      </c>
      <c r="G54" s="518" t="s">
        <v>337</v>
      </c>
      <c r="H54" s="1043" t="s">
        <v>334</v>
      </c>
      <c r="I54" s="516">
        <v>0</v>
      </c>
      <c r="J54" s="738">
        <f>J53</f>
        <v>3.9065483548155009E-3</v>
      </c>
    </row>
    <row r="55" spans="1:10">
      <c r="B55" s="518" t="s">
        <v>357</v>
      </c>
      <c r="C55" s="518" t="str">
        <f>C51</f>
        <v>MINCLD</v>
      </c>
      <c r="D55" s="518" t="str">
        <f t="shared" si="0"/>
        <v>CH4SF</v>
      </c>
      <c r="E55" s="518" t="str">
        <f>MID(C55,4,LEN(C55)-1)</f>
        <v>CLD</v>
      </c>
      <c r="F55" s="1043" t="s">
        <v>334</v>
      </c>
      <c r="G55" s="518" t="s">
        <v>337</v>
      </c>
      <c r="H55" s="1043" t="s">
        <v>334</v>
      </c>
      <c r="I55" s="516">
        <v>0</v>
      </c>
      <c r="J55" s="738">
        <f>J54</f>
        <v>3.9065483548155009E-3</v>
      </c>
    </row>
    <row r="56" spans="1:10">
      <c r="A56" s="503" t="s">
        <v>310</v>
      </c>
      <c r="B56" s="420" t="s">
        <v>1862</v>
      </c>
    </row>
    <row r="57" spans="1:10">
      <c r="B57" s="518" t="s">
        <v>357</v>
      </c>
      <c r="C57" s="518" t="s">
        <v>2085</v>
      </c>
      <c r="D57" s="518" t="str">
        <f t="shared" si="0"/>
        <v>CH4SF</v>
      </c>
      <c r="E57" s="518" t="s">
        <v>1805</v>
      </c>
      <c r="F57" s="1043" t="s">
        <v>334</v>
      </c>
      <c r="G57" s="518" t="s">
        <v>337</v>
      </c>
      <c r="H57" s="1043" t="s">
        <v>334</v>
      </c>
      <c r="I57" s="516">
        <v>0</v>
      </c>
      <c r="J57" s="738">
        <f>IF(AV7=1,AW14,IF(AV7=2,AX14,AY14))</f>
        <v>6.9986433062480854E-2</v>
      </c>
    </row>
    <row r="58" spans="1:10">
      <c r="B58" s="518" t="s">
        <v>357</v>
      </c>
      <c r="C58" s="518" t="s">
        <v>1855</v>
      </c>
      <c r="D58" s="518" t="str">
        <f t="shared" si="0"/>
        <v>CH4SF</v>
      </c>
      <c r="E58" s="518" t="s">
        <v>1802</v>
      </c>
      <c r="F58" s="1043" t="s">
        <v>334</v>
      </c>
      <c r="G58" s="518" t="s">
        <v>337</v>
      </c>
      <c r="H58" s="1043" t="s">
        <v>334</v>
      </c>
      <c r="I58" s="516">
        <v>0</v>
      </c>
      <c r="J58" s="738">
        <f t="shared" ref="J58:J63" si="5">J57</f>
        <v>6.9986433062480854E-2</v>
      </c>
    </row>
    <row r="59" spans="1:10">
      <c r="B59" s="518" t="s">
        <v>357</v>
      </c>
      <c r="C59" s="518" t="s">
        <v>1856</v>
      </c>
      <c r="D59" s="518" t="str">
        <f t="shared" si="0"/>
        <v>CH4SF</v>
      </c>
      <c r="E59" s="518" t="s">
        <v>1812</v>
      </c>
      <c r="F59" s="1043" t="s">
        <v>334</v>
      </c>
      <c r="G59" s="518" t="s">
        <v>337</v>
      </c>
      <c r="H59" s="1043" t="s">
        <v>334</v>
      </c>
      <c r="I59" s="516">
        <v>0</v>
      </c>
      <c r="J59" s="738">
        <f t="shared" si="5"/>
        <v>6.9986433062480854E-2</v>
      </c>
    </row>
    <row r="60" spans="1:10">
      <c r="B60" s="518" t="s">
        <v>357</v>
      </c>
      <c r="C60" s="518" t="s">
        <v>1857</v>
      </c>
      <c r="D60" s="518" t="str">
        <f t="shared" si="0"/>
        <v>CH4SF</v>
      </c>
      <c r="E60" s="518" t="s">
        <v>1808</v>
      </c>
      <c r="F60" s="1043" t="s">
        <v>334</v>
      </c>
      <c r="G60" s="518" t="s">
        <v>337</v>
      </c>
      <c r="H60" s="1043" t="s">
        <v>334</v>
      </c>
      <c r="I60" s="516">
        <v>0</v>
      </c>
      <c r="J60" s="738">
        <f t="shared" si="5"/>
        <v>6.9986433062480854E-2</v>
      </c>
    </row>
    <row r="61" spans="1:10">
      <c r="B61" s="518" t="s">
        <v>357</v>
      </c>
      <c r="C61" s="518" t="s">
        <v>1858</v>
      </c>
      <c r="D61" s="518" t="str">
        <f t="shared" si="0"/>
        <v>CH4SF</v>
      </c>
      <c r="E61" s="518" t="s">
        <v>1803</v>
      </c>
      <c r="F61" s="1043" t="s">
        <v>334</v>
      </c>
      <c r="G61" s="518" t="s">
        <v>337</v>
      </c>
      <c r="H61" s="1043" t="s">
        <v>334</v>
      </c>
      <c r="I61" s="516">
        <v>0</v>
      </c>
      <c r="J61" s="738">
        <f t="shared" si="5"/>
        <v>6.9986433062480854E-2</v>
      </c>
    </row>
    <row r="62" spans="1:10">
      <c r="B62" s="518" t="s">
        <v>357</v>
      </c>
      <c r="C62" s="518" t="s">
        <v>1859</v>
      </c>
      <c r="D62" s="518" t="str">
        <f t="shared" si="0"/>
        <v>CH4SF</v>
      </c>
      <c r="E62" s="518" t="s">
        <v>1810</v>
      </c>
      <c r="F62" s="1043" t="s">
        <v>334</v>
      </c>
      <c r="G62" s="518" t="s">
        <v>337</v>
      </c>
      <c r="H62" s="1043" t="s">
        <v>334</v>
      </c>
      <c r="I62" s="516">
        <v>0</v>
      </c>
      <c r="J62" s="738">
        <f t="shared" si="5"/>
        <v>6.9986433062480854E-2</v>
      </c>
    </row>
    <row r="63" spans="1:10">
      <c r="B63" s="518" t="s">
        <v>357</v>
      </c>
      <c r="C63" s="518" t="s">
        <v>1860</v>
      </c>
      <c r="D63" s="518" t="str">
        <f t="shared" si="0"/>
        <v>CH4SF</v>
      </c>
      <c r="E63" s="518" t="s">
        <v>1810</v>
      </c>
      <c r="F63" s="1043" t="s">
        <v>334</v>
      </c>
      <c r="G63" s="518" t="s">
        <v>337</v>
      </c>
      <c r="H63" s="1043" t="s">
        <v>334</v>
      </c>
      <c r="I63" s="516">
        <v>0</v>
      </c>
      <c r="J63" s="738">
        <f t="shared" si="5"/>
        <v>6.9986433062480854E-2</v>
      </c>
    </row>
    <row r="64" spans="1:10">
      <c r="A64" s="503" t="s">
        <v>310</v>
      </c>
      <c r="B64" s="420" t="s">
        <v>1867</v>
      </c>
      <c r="D64" s="518"/>
    </row>
    <row r="65" spans="1:51">
      <c r="B65" s="518" t="s">
        <v>357</v>
      </c>
      <c r="C65" s="518" t="s">
        <v>1865</v>
      </c>
      <c r="D65" s="518" t="str">
        <f t="shared" si="0"/>
        <v>CH4SF</v>
      </c>
      <c r="E65" s="518" t="s">
        <v>1893</v>
      </c>
      <c r="F65" s="1043" t="s">
        <v>334</v>
      </c>
      <c r="G65" s="518" t="s">
        <v>337</v>
      </c>
      <c r="H65" s="1043" t="s">
        <v>334</v>
      </c>
      <c r="I65" s="516">
        <v>0</v>
      </c>
      <c r="J65" s="738">
        <f>J57</f>
        <v>6.9986433062480854E-2</v>
      </c>
    </row>
    <row r="66" spans="1:51">
      <c r="B66" s="518" t="s">
        <v>357</v>
      </c>
      <c r="C66" s="518" t="s">
        <v>1866</v>
      </c>
      <c r="D66" s="518" t="str">
        <f t="shared" si="0"/>
        <v>CH4SF</v>
      </c>
      <c r="E66" s="518" t="s">
        <v>1894</v>
      </c>
      <c r="F66" s="1043" t="s">
        <v>334</v>
      </c>
      <c r="G66" s="518" t="s">
        <v>337</v>
      </c>
      <c r="H66" s="1043" t="s">
        <v>334</v>
      </c>
      <c r="I66" s="516">
        <v>0</v>
      </c>
      <c r="J66" s="738">
        <f>J58</f>
        <v>6.9986433062480854E-2</v>
      </c>
    </row>
    <row r="67" spans="1:51">
      <c r="A67" s="503" t="s">
        <v>310</v>
      </c>
      <c r="B67" s="518"/>
      <c r="C67" s="518"/>
      <c r="D67" s="518"/>
      <c r="E67" s="518"/>
      <c r="F67" s="1043"/>
      <c r="G67" s="518"/>
      <c r="H67" s="1043"/>
      <c r="I67" s="516"/>
      <c r="J67" s="738"/>
    </row>
    <row r="68" spans="1:51">
      <c r="A68" s="503" t="s">
        <v>310</v>
      </c>
      <c r="B68" s="420" t="s">
        <v>2110</v>
      </c>
    </row>
    <row r="69" spans="1:51" s="495" customFormat="1">
      <c r="A69" s="503" t="s">
        <v>310</v>
      </c>
      <c r="B69" s="518" t="s">
        <v>839</v>
      </c>
      <c r="C69" s="518" t="s">
        <v>2088</v>
      </c>
      <c r="D69" s="518" t="s">
        <v>334</v>
      </c>
      <c r="E69" s="518" t="s">
        <v>334</v>
      </c>
      <c r="F69" s="518" t="s">
        <v>334</v>
      </c>
      <c r="G69" s="518" t="s">
        <v>334</v>
      </c>
      <c r="H69" s="518" t="s">
        <v>334</v>
      </c>
      <c r="I69" s="516">
        <v>0</v>
      </c>
      <c r="J69" s="518">
        <f>zar.2010*(38.4958592910849+BH13)</f>
        <v>341.58668851264906</v>
      </c>
      <c r="K69" s="518"/>
      <c r="L69" s="518"/>
      <c r="M69" s="518"/>
      <c r="N69" s="518"/>
      <c r="O69" s="518"/>
      <c r="P69" s="518"/>
      <c r="Q69" s="518"/>
      <c r="R69" s="518"/>
      <c r="S69" s="518"/>
      <c r="T69" s="518"/>
      <c r="U69" s="518"/>
      <c r="V69" s="518"/>
      <c r="W69" s="518"/>
      <c r="X69" s="518"/>
      <c r="Y69" s="518"/>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Y69" s="526"/>
    </row>
    <row r="70" spans="1:51" s="495" customFormat="1">
      <c r="A70" s="503" t="s">
        <v>310</v>
      </c>
      <c r="B70" s="518" t="s">
        <v>839</v>
      </c>
      <c r="C70" s="518" t="s">
        <v>2092</v>
      </c>
      <c r="D70" s="518" t="s">
        <v>334</v>
      </c>
      <c r="E70" s="518" t="s">
        <v>334</v>
      </c>
      <c r="F70" s="518" t="s">
        <v>334</v>
      </c>
      <c r="G70" s="518" t="s">
        <v>334</v>
      </c>
      <c r="H70" s="518" t="s">
        <v>334</v>
      </c>
      <c r="I70" s="516">
        <v>0</v>
      </c>
      <c r="J70" s="518">
        <f>zar.2010*BH13</f>
        <v>291.17981353720666</v>
      </c>
      <c r="K70" s="518"/>
      <c r="L70" s="518"/>
      <c r="M70" s="518"/>
      <c r="N70" s="518"/>
      <c r="O70" s="518"/>
      <c r="P70" s="518"/>
      <c r="Q70" s="518"/>
      <c r="R70" s="518"/>
      <c r="S70" s="518"/>
      <c r="T70" s="518"/>
      <c r="U70" s="518"/>
      <c r="V70" s="518"/>
      <c r="W70" s="518"/>
      <c r="X70" s="518"/>
      <c r="Y70" s="518"/>
      <c r="Z70" s="518"/>
      <c r="AA70" s="518"/>
      <c r="AB70" s="518"/>
      <c r="AC70" s="518"/>
      <c r="AD70" s="518"/>
      <c r="AE70" s="518"/>
      <c r="AF70" s="518"/>
      <c r="AG70" s="518"/>
      <c r="AH70" s="518"/>
      <c r="AI70" s="518"/>
      <c r="AJ70" s="518"/>
      <c r="AK70" s="518"/>
      <c r="AL70" s="518"/>
      <c r="AM70" s="518"/>
      <c r="AN70" s="518"/>
      <c r="AO70" s="518"/>
      <c r="AP70" s="518"/>
      <c r="AQ70" s="518"/>
      <c r="AR70" s="518"/>
      <c r="AS70" s="518"/>
      <c r="AT70" s="518"/>
      <c r="AU70" s="518"/>
      <c r="AV70" s="518"/>
      <c r="AW70" s="518"/>
      <c r="AY70" s="526"/>
    </row>
    <row r="71" spans="1:51" s="495" customFormat="1">
      <c r="A71" s="503" t="s">
        <v>310</v>
      </c>
      <c r="B71" s="518" t="s">
        <v>839</v>
      </c>
      <c r="C71" s="518" t="s">
        <v>2093</v>
      </c>
      <c r="D71" s="518" t="s">
        <v>334</v>
      </c>
      <c r="E71" s="518" t="s">
        <v>334</v>
      </c>
      <c r="F71" s="518" t="s">
        <v>334</v>
      </c>
      <c r="G71" s="518" t="s">
        <v>334</v>
      </c>
      <c r="H71" s="518" t="s">
        <v>334</v>
      </c>
      <c r="I71" s="516">
        <v>0</v>
      </c>
      <c r="J71" s="518">
        <f>J70</f>
        <v>291.17981353720666</v>
      </c>
      <c r="K71" s="518"/>
      <c r="L71" s="518"/>
      <c r="M71" s="518"/>
      <c r="N71" s="518"/>
      <c r="O71" s="518"/>
      <c r="P71" s="518"/>
      <c r="Q71" s="518"/>
      <c r="R71" s="518"/>
      <c r="S71" s="518"/>
      <c r="T71" s="518"/>
      <c r="U71" s="518"/>
      <c r="V71" s="518"/>
      <c r="W71" s="518"/>
      <c r="X71" s="518"/>
      <c r="Y71" s="518"/>
      <c r="Z71" s="518"/>
      <c r="AA71" s="518"/>
      <c r="AB71" s="518"/>
      <c r="AC71" s="518"/>
      <c r="AD71" s="518"/>
      <c r="AE71" s="518"/>
      <c r="AF71" s="518"/>
      <c r="AG71" s="518"/>
      <c r="AH71" s="518"/>
      <c r="AI71" s="518"/>
      <c r="AJ71" s="518"/>
      <c r="AK71" s="518"/>
      <c r="AL71" s="518"/>
      <c r="AM71" s="518"/>
      <c r="AN71" s="518"/>
      <c r="AO71" s="518"/>
      <c r="AP71" s="518"/>
      <c r="AQ71" s="518"/>
      <c r="AR71" s="518"/>
      <c r="AS71" s="518"/>
      <c r="AT71" s="518"/>
      <c r="AU71" s="518"/>
      <c r="AV71" s="518"/>
      <c r="AW71" s="518"/>
      <c r="AY71" s="526"/>
    </row>
    <row r="72" spans="1:51" s="495" customFormat="1">
      <c r="A72" s="503" t="s">
        <v>310</v>
      </c>
      <c r="B72" s="518" t="s">
        <v>839</v>
      </c>
      <c r="C72" s="518" t="s">
        <v>2094</v>
      </c>
      <c r="D72" s="518" t="s">
        <v>334</v>
      </c>
      <c r="E72" s="518" t="s">
        <v>334</v>
      </c>
      <c r="F72" s="518" t="s">
        <v>334</v>
      </c>
      <c r="G72" s="518" t="s">
        <v>334</v>
      </c>
      <c r="H72" s="518" t="s">
        <v>334</v>
      </c>
      <c r="I72" s="516">
        <v>0</v>
      </c>
      <c r="J72" s="518">
        <f>J71</f>
        <v>291.17981353720666</v>
      </c>
      <c r="K72" s="518"/>
      <c r="L72" s="518"/>
      <c r="M72" s="518"/>
      <c r="N72" s="518"/>
      <c r="O72" s="518"/>
      <c r="P72" s="518"/>
      <c r="Q72" s="518"/>
      <c r="R72" s="518"/>
      <c r="S72" s="518"/>
      <c r="T72" s="518"/>
      <c r="U72" s="518"/>
      <c r="V72" s="518"/>
      <c r="W72" s="518"/>
      <c r="X72" s="518"/>
      <c r="Y72" s="518"/>
      <c r="Z72" s="518"/>
      <c r="AA72" s="518"/>
      <c r="AB72" s="518"/>
      <c r="AC72" s="518"/>
      <c r="AD72" s="518"/>
      <c r="AE72" s="518"/>
      <c r="AF72" s="518"/>
      <c r="AG72" s="518"/>
      <c r="AH72" s="518"/>
      <c r="AI72" s="518"/>
      <c r="AJ72" s="518"/>
      <c r="AK72" s="518"/>
      <c r="AL72" s="518"/>
      <c r="AM72" s="518"/>
      <c r="AN72" s="518"/>
      <c r="AO72" s="518"/>
      <c r="AP72" s="518"/>
      <c r="AQ72" s="518"/>
      <c r="AR72" s="518"/>
      <c r="AS72" s="518"/>
      <c r="AT72" s="518"/>
      <c r="AU72" s="518"/>
      <c r="AV72" s="518"/>
      <c r="AW72" s="518"/>
      <c r="AY72" s="526"/>
    </row>
    <row r="73" spans="1:51" s="495" customFormat="1">
      <c r="A73" s="503" t="s">
        <v>310</v>
      </c>
      <c r="B73" s="518" t="s">
        <v>839</v>
      </c>
      <c r="C73" s="518" t="s">
        <v>2090</v>
      </c>
      <c r="D73" s="518" t="s">
        <v>334</v>
      </c>
      <c r="E73" s="518" t="s">
        <v>334</v>
      </c>
      <c r="F73" s="518" t="s">
        <v>334</v>
      </c>
      <c r="G73" s="518" t="s">
        <v>334</v>
      </c>
      <c r="H73" s="518" t="s">
        <v>334</v>
      </c>
      <c r="I73" s="516">
        <v>0</v>
      </c>
      <c r="J73" s="518">
        <f>J72</f>
        <v>291.17981353720666</v>
      </c>
      <c r="K73" s="518"/>
      <c r="L73" s="518"/>
      <c r="M73" s="518"/>
      <c r="N73" s="518"/>
      <c r="O73" s="518"/>
      <c r="P73" s="518"/>
      <c r="Q73" s="518"/>
      <c r="R73" s="518"/>
      <c r="S73" s="518"/>
      <c r="T73" s="518"/>
      <c r="U73" s="518"/>
      <c r="V73" s="518"/>
      <c r="W73" s="518"/>
      <c r="X73" s="518"/>
      <c r="Y73" s="518"/>
      <c r="Z73" s="518"/>
      <c r="AA73" s="518"/>
      <c r="AB73" s="518"/>
      <c r="AC73" s="518"/>
      <c r="AD73" s="518"/>
      <c r="AE73" s="518"/>
      <c r="AF73" s="518"/>
      <c r="AG73" s="518"/>
      <c r="AH73" s="518"/>
      <c r="AI73" s="518"/>
      <c r="AJ73" s="518"/>
      <c r="AK73" s="518"/>
      <c r="AL73" s="518"/>
      <c r="AM73" s="518"/>
      <c r="AN73" s="518"/>
      <c r="AO73" s="518"/>
      <c r="AP73" s="518"/>
      <c r="AQ73" s="518"/>
      <c r="AR73" s="518"/>
      <c r="AS73" s="518"/>
      <c r="AT73" s="518"/>
      <c r="AU73" s="518"/>
      <c r="AV73" s="518"/>
      <c r="AW73" s="518"/>
      <c r="AY73" s="526"/>
    </row>
    <row r="74" spans="1:51" s="495" customFormat="1">
      <c r="A74" s="503" t="s">
        <v>310</v>
      </c>
      <c r="B74" s="518" t="s">
        <v>839</v>
      </c>
      <c r="C74" s="518" t="s">
        <v>2089</v>
      </c>
      <c r="D74" s="518" t="s">
        <v>334</v>
      </c>
      <c r="E74" s="518" t="s">
        <v>334</v>
      </c>
      <c r="F74" s="518" t="s">
        <v>334</v>
      </c>
      <c r="G74" s="518" t="s">
        <v>334</v>
      </c>
      <c r="H74" s="518" t="s">
        <v>334</v>
      </c>
      <c r="I74" s="516">
        <v>0</v>
      </c>
      <c r="J74" s="518">
        <f>J73</f>
        <v>291.17981353720666</v>
      </c>
      <c r="K74" s="518"/>
      <c r="L74" s="518"/>
      <c r="M74" s="518"/>
      <c r="N74" s="518"/>
      <c r="O74" s="518"/>
      <c r="P74" s="518"/>
      <c r="Q74" s="518"/>
      <c r="R74" s="518"/>
      <c r="S74" s="518"/>
      <c r="T74" s="518"/>
      <c r="U74" s="518"/>
      <c r="V74" s="518"/>
      <c r="W74" s="518"/>
      <c r="X74" s="518"/>
      <c r="Y74" s="518"/>
      <c r="Z74" s="518"/>
      <c r="AA74" s="518"/>
      <c r="AB74" s="518"/>
      <c r="AC74" s="518"/>
      <c r="AD74" s="518"/>
      <c r="AE74" s="518"/>
      <c r="AF74" s="518"/>
      <c r="AG74" s="518"/>
      <c r="AH74" s="518"/>
      <c r="AI74" s="518"/>
      <c r="AJ74" s="518"/>
      <c r="AK74" s="518"/>
      <c r="AL74" s="518"/>
      <c r="AM74" s="518"/>
      <c r="AN74" s="518"/>
      <c r="AO74" s="518"/>
      <c r="AP74" s="518"/>
      <c r="AQ74" s="518"/>
      <c r="AR74" s="518"/>
      <c r="AS74" s="518"/>
      <c r="AT74" s="518"/>
      <c r="AU74" s="518"/>
      <c r="AV74" s="518"/>
      <c r="AW74" s="518"/>
      <c r="AY74" s="526"/>
    </row>
    <row r="75" spans="1:51" s="495" customFormat="1">
      <c r="A75" s="503" t="s">
        <v>310</v>
      </c>
      <c r="B75" s="518" t="s">
        <v>839</v>
      </c>
      <c r="C75" s="518" t="s">
        <v>2091</v>
      </c>
      <c r="D75" s="518" t="s">
        <v>334</v>
      </c>
      <c r="E75" s="518" t="s">
        <v>334</v>
      </c>
      <c r="F75" s="518" t="s">
        <v>334</v>
      </c>
      <c r="G75" s="518" t="s">
        <v>334</v>
      </c>
      <c r="H75" s="518" t="s">
        <v>334</v>
      </c>
      <c r="I75" s="516">
        <v>0</v>
      </c>
      <c r="J75" s="518">
        <f>zar.2010*(38.4958592910849+BH13)</f>
        <v>341.58668851264906</v>
      </c>
      <c r="K75" s="518"/>
      <c r="L75" s="518"/>
      <c r="M75" s="518"/>
      <c r="N75" s="518"/>
      <c r="O75" s="518"/>
      <c r="P75" s="518"/>
      <c r="Q75" s="518"/>
      <c r="R75" s="518"/>
      <c r="S75" s="518"/>
      <c r="T75" s="518"/>
      <c r="U75" s="518"/>
      <c r="V75" s="518"/>
      <c r="W75" s="518"/>
      <c r="X75" s="518"/>
      <c r="Y75" s="518"/>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Y75" s="526"/>
    </row>
    <row r="76" spans="1:51" s="495" customFormat="1">
      <c r="A76" s="503" t="s">
        <v>310</v>
      </c>
      <c r="B76" s="518" t="s">
        <v>839</v>
      </c>
      <c r="C76" s="518" t="s">
        <v>2095</v>
      </c>
      <c r="D76" s="518" t="s">
        <v>334</v>
      </c>
      <c r="E76" s="518" t="s">
        <v>334</v>
      </c>
      <c r="F76" s="518" t="s">
        <v>334</v>
      </c>
      <c r="G76" s="518" t="s">
        <v>334</v>
      </c>
      <c r="H76" s="518" t="s">
        <v>334</v>
      </c>
      <c r="I76" s="516">
        <v>0</v>
      </c>
      <c r="J76" s="518">
        <f>J75</f>
        <v>341.58668851264906</v>
      </c>
      <c r="K76" s="518"/>
      <c r="L76" s="518"/>
      <c r="M76" s="518"/>
      <c r="N76" s="518"/>
      <c r="O76" s="518"/>
      <c r="P76" s="518"/>
      <c r="Q76" s="518"/>
      <c r="R76" s="518"/>
      <c r="S76" s="518"/>
      <c r="T76" s="518"/>
      <c r="U76" s="518"/>
      <c r="V76" s="518"/>
      <c r="W76" s="518"/>
      <c r="X76" s="518"/>
      <c r="Y76" s="518"/>
      <c r="Z76" s="518"/>
      <c r="AA76" s="518"/>
      <c r="AB76" s="518"/>
      <c r="AC76" s="518"/>
      <c r="AD76" s="518"/>
      <c r="AE76" s="518"/>
      <c r="AF76" s="518"/>
      <c r="AG76" s="518"/>
      <c r="AH76" s="518"/>
      <c r="AI76" s="518"/>
      <c r="AJ76" s="518"/>
      <c r="AK76" s="518"/>
      <c r="AL76" s="518"/>
      <c r="AM76" s="518"/>
      <c r="AN76" s="518"/>
      <c r="AO76" s="518"/>
      <c r="AP76" s="518"/>
      <c r="AQ76" s="518"/>
      <c r="AR76" s="518"/>
      <c r="AS76" s="518"/>
      <c r="AT76" s="518"/>
      <c r="AU76" s="518"/>
      <c r="AV76" s="518"/>
      <c r="AW76" s="518"/>
      <c r="AY76" s="526"/>
    </row>
    <row r="77" spans="1:51">
      <c r="A77" s="503" t="s">
        <v>310</v>
      </c>
      <c r="B77" s="420" t="s">
        <v>2111</v>
      </c>
    </row>
    <row r="78" spans="1:51">
      <c r="A78" s="503" t="s">
        <v>310</v>
      </c>
      <c r="B78" s="518" t="s">
        <v>839</v>
      </c>
      <c r="C78" s="518" t="s">
        <v>2085</v>
      </c>
      <c r="D78" s="518" t="s">
        <v>334</v>
      </c>
      <c r="E78" s="518" t="s">
        <v>334</v>
      </c>
      <c r="F78" s="518" t="s">
        <v>334</v>
      </c>
      <c r="G78" s="518" t="s">
        <v>334</v>
      </c>
      <c r="H78" s="516" t="s">
        <v>334</v>
      </c>
      <c r="I78" s="516">
        <v>0</v>
      </c>
      <c r="J78" s="518">
        <f>zar.2010*(127.678156181295+BH13)</f>
        <v>458.36290736194957</v>
      </c>
    </row>
    <row r="79" spans="1:51">
      <c r="A79" s="503" t="s">
        <v>310</v>
      </c>
      <c r="B79" s="518" t="s">
        <v>839</v>
      </c>
      <c r="C79" s="518" t="s">
        <v>1855</v>
      </c>
      <c r="D79" s="518" t="s">
        <v>334</v>
      </c>
      <c r="E79" s="518" t="s">
        <v>334</v>
      </c>
      <c r="F79" s="518" t="s">
        <v>334</v>
      </c>
      <c r="G79" s="518" t="s">
        <v>334</v>
      </c>
      <c r="H79" s="516" t="s">
        <v>334</v>
      </c>
      <c r="I79" s="516">
        <v>0</v>
      </c>
      <c r="J79" s="518">
        <f>zar.2010*(127.678156181295+BH13)</f>
        <v>458.36290736194957</v>
      </c>
    </row>
    <row r="80" spans="1:51">
      <c r="A80" s="503" t="s">
        <v>310</v>
      </c>
      <c r="B80" s="518" t="s">
        <v>839</v>
      </c>
      <c r="C80" s="518" t="s">
        <v>1856</v>
      </c>
      <c r="D80" s="518" t="s">
        <v>334</v>
      </c>
      <c r="E80" s="518" t="s">
        <v>334</v>
      </c>
      <c r="F80" s="518" t="s">
        <v>334</v>
      </c>
      <c r="G80" s="518" t="s">
        <v>334</v>
      </c>
      <c r="H80" s="516" t="s">
        <v>334</v>
      </c>
      <c r="I80" s="516">
        <v>0</v>
      </c>
      <c r="J80" s="518">
        <f>zar.2010*(512.916895681831+BH13)</f>
        <v>962.79848394869271</v>
      </c>
    </row>
    <row r="81" spans="1:51">
      <c r="A81" s="503" t="s">
        <v>310</v>
      </c>
      <c r="B81" s="518" t="s">
        <v>839</v>
      </c>
      <c r="C81" s="518" t="s">
        <v>1857</v>
      </c>
      <c r="D81" s="518" t="s">
        <v>334</v>
      </c>
      <c r="E81" s="518" t="s">
        <v>334</v>
      </c>
      <c r="F81" s="518" t="s">
        <v>334</v>
      </c>
      <c r="G81" s="518" t="s">
        <v>334</v>
      </c>
      <c r="H81" s="516" t="s">
        <v>334</v>
      </c>
      <c r="I81" s="516">
        <v>0</v>
      </c>
      <c r="J81" s="518">
        <f>zar.2010*(127.678156181295+BH13)</f>
        <v>458.36290736194957</v>
      </c>
    </row>
    <row r="82" spans="1:51">
      <c r="A82" s="503" t="s">
        <v>310</v>
      </c>
      <c r="B82" s="518" t="s">
        <v>839</v>
      </c>
      <c r="C82" s="518" t="s">
        <v>1858</v>
      </c>
      <c r="D82" s="518" t="s">
        <v>334</v>
      </c>
      <c r="E82" s="518" t="s">
        <v>334</v>
      </c>
      <c r="F82" s="518" t="s">
        <v>334</v>
      </c>
      <c r="G82" s="518" t="s">
        <v>334</v>
      </c>
      <c r="H82" s="516" t="s">
        <v>334</v>
      </c>
      <c r="I82" s="516">
        <v>0</v>
      </c>
      <c r="J82" s="518">
        <f>zar.2010*(127.678156181295+BH13)</f>
        <v>458.36290736194957</v>
      </c>
    </row>
    <row r="83" spans="1:51">
      <c r="A83" s="503" t="s">
        <v>310</v>
      </c>
      <c r="B83" s="518" t="s">
        <v>839</v>
      </c>
      <c r="C83" s="518" t="s">
        <v>1859</v>
      </c>
      <c r="D83" s="518" t="s">
        <v>334</v>
      </c>
      <c r="E83" s="518" t="s">
        <v>334</v>
      </c>
      <c r="F83" s="518" t="s">
        <v>334</v>
      </c>
      <c r="G83" s="518" t="s">
        <v>334</v>
      </c>
      <c r="H83" s="516" t="s">
        <v>334</v>
      </c>
      <c r="I83" s="516">
        <v>0</v>
      </c>
      <c r="J83" s="518">
        <f>zar.2010*40.8927083333333</f>
        <v>53.545333818355004</v>
      </c>
    </row>
    <row r="84" spans="1:51">
      <c r="A84" s="503" t="s">
        <v>310</v>
      </c>
      <c r="B84" s="518" t="s">
        <v>839</v>
      </c>
      <c r="C84" s="518" t="s">
        <v>1860</v>
      </c>
      <c r="D84" s="518" t="s">
        <v>334</v>
      </c>
      <c r="E84" s="518" t="s">
        <v>334</v>
      </c>
      <c r="F84" s="518" t="s">
        <v>334</v>
      </c>
      <c r="G84" s="518" t="s">
        <v>334</v>
      </c>
      <c r="H84" s="516" t="s">
        <v>334</v>
      </c>
      <c r="I84" s="516">
        <v>0</v>
      </c>
      <c r="J84" s="518">
        <f>zar.2010*54.9026590693257</f>
        <v>71.89010772822904</v>
      </c>
    </row>
    <row r="85" spans="1:51">
      <c r="A85" s="503" t="s">
        <v>310</v>
      </c>
      <c r="B85" s="420" t="s">
        <v>2111</v>
      </c>
    </row>
    <row r="86" spans="1:51">
      <c r="A86" s="503" t="s">
        <v>310</v>
      </c>
      <c r="B86" s="518" t="s">
        <v>332</v>
      </c>
      <c r="C86" s="518" t="s">
        <v>2085</v>
      </c>
      <c r="D86" s="518" t="s">
        <v>334</v>
      </c>
      <c r="E86" s="518" t="s">
        <v>334</v>
      </c>
      <c r="F86" s="518" t="s">
        <v>334</v>
      </c>
      <c r="G86" s="518" t="s">
        <v>334</v>
      </c>
      <c r="H86" s="516" t="s">
        <v>334</v>
      </c>
      <c r="I86" s="516">
        <v>0</v>
      </c>
      <c r="J86" s="1229">
        <f>zar.2010*BI13</f>
        <v>9.3864125109846643</v>
      </c>
    </row>
    <row r="87" spans="1:51">
      <c r="A87" s="503" t="s">
        <v>310</v>
      </c>
      <c r="B87" s="518" t="s">
        <v>332</v>
      </c>
      <c r="C87" s="518" t="s">
        <v>1855</v>
      </c>
      <c r="D87" s="518" t="s">
        <v>334</v>
      </c>
      <c r="E87" s="518" t="s">
        <v>334</v>
      </c>
      <c r="F87" s="518" t="s">
        <v>334</v>
      </c>
      <c r="G87" s="518" t="s">
        <v>334</v>
      </c>
      <c r="H87" s="516" t="s">
        <v>334</v>
      </c>
      <c r="I87" s="516">
        <v>0</v>
      </c>
      <c r="J87" s="1229">
        <f t="shared" ref="J87:J92" si="6">J86</f>
        <v>9.3864125109846643</v>
      </c>
    </row>
    <row r="88" spans="1:51">
      <c r="A88" s="503" t="s">
        <v>310</v>
      </c>
      <c r="B88" s="518" t="s">
        <v>332</v>
      </c>
      <c r="C88" s="518" t="s">
        <v>1856</v>
      </c>
      <c r="D88" s="518" t="s">
        <v>334</v>
      </c>
      <c r="E88" s="518" t="s">
        <v>334</v>
      </c>
      <c r="F88" s="518" t="s">
        <v>334</v>
      </c>
      <c r="G88" s="518" t="s">
        <v>334</v>
      </c>
      <c r="H88" s="516" t="s">
        <v>334</v>
      </c>
      <c r="I88" s="516">
        <v>0</v>
      </c>
      <c r="J88" s="1229">
        <f t="shared" si="6"/>
        <v>9.3864125109846643</v>
      </c>
    </row>
    <row r="89" spans="1:51">
      <c r="A89" s="503" t="s">
        <v>310</v>
      </c>
      <c r="B89" s="518" t="s">
        <v>332</v>
      </c>
      <c r="C89" s="518" t="s">
        <v>1857</v>
      </c>
      <c r="D89" s="518" t="s">
        <v>334</v>
      </c>
      <c r="E89" s="518" t="s">
        <v>334</v>
      </c>
      <c r="F89" s="518" t="s">
        <v>334</v>
      </c>
      <c r="G89" s="518" t="s">
        <v>334</v>
      </c>
      <c r="H89" s="516" t="s">
        <v>334</v>
      </c>
      <c r="I89" s="516">
        <v>0</v>
      </c>
      <c r="J89" s="1229">
        <f t="shared" si="6"/>
        <v>9.3864125109846643</v>
      </c>
    </row>
    <row r="90" spans="1:51">
      <c r="A90" s="503" t="s">
        <v>310</v>
      </c>
      <c r="B90" s="518" t="s">
        <v>332</v>
      </c>
      <c r="C90" s="518" t="s">
        <v>1858</v>
      </c>
      <c r="D90" s="518" t="s">
        <v>334</v>
      </c>
      <c r="E90" s="518" t="s">
        <v>334</v>
      </c>
      <c r="F90" s="518" t="s">
        <v>334</v>
      </c>
      <c r="G90" s="518" t="s">
        <v>334</v>
      </c>
      <c r="H90" s="516" t="s">
        <v>334</v>
      </c>
      <c r="I90" s="516">
        <v>0</v>
      </c>
      <c r="J90" s="1229">
        <f t="shared" si="6"/>
        <v>9.3864125109846643</v>
      </c>
    </row>
    <row r="91" spans="1:51">
      <c r="A91" s="503" t="s">
        <v>310</v>
      </c>
      <c r="B91" s="518" t="s">
        <v>332</v>
      </c>
      <c r="C91" s="518" t="s">
        <v>1859</v>
      </c>
      <c r="D91" s="518" t="s">
        <v>334</v>
      </c>
      <c r="E91" s="518" t="s">
        <v>334</v>
      </c>
      <c r="F91" s="518" t="s">
        <v>334</v>
      </c>
      <c r="G91" s="518" t="s">
        <v>334</v>
      </c>
      <c r="H91" s="516" t="s">
        <v>334</v>
      </c>
      <c r="I91" s="516">
        <v>0</v>
      </c>
      <c r="J91" s="1229">
        <f t="shared" si="6"/>
        <v>9.3864125109846643</v>
      </c>
    </row>
    <row r="92" spans="1:51">
      <c r="A92" s="503" t="s">
        <v>310</v>
      </c>
      <c r="B92" s="518" t="s">
        <v>332</v>
      </c>
      <c r="C92" s="518" t="s">
        <v>1860</v>
      </c>
      <c r="D92" s="518" t="s">
        <v>334</v>
      </c>
      <c r="E92" s="518" t="s">
        <v>334</v>
      </c>
      <c r="F92" s="518" t="s">
        <v>334</v>
      </c>
      <c r="G92" s="518" t="s">
        <v>334</v>
      </c>
      <c r="H92" s="516" t="s">
        <v>334</v>
      </c>
      <c r="I92" s="516">
        <v>0</v>
      </c>
      <c r="J92" s="1229">
        <f t="shared" si="6"/>
        <v>9.3864125109846643</v>
      </c>
    </row>
    <row r="93" spans="1:51">
      <c r="A93" s="503" t="s">
        <v>310</v>
      </c>
      <c r="B93" s="420" t="s">
        <v>2102</v>
      </c>
    </row>
    <row r="94" spans="1:51" s="495" customFormat="1">
      <c r="A94" s="503" t="s">
        <v>310</v>
      </c>
      <c r="B94" s="518" t="s">
        <v>839</v>
      </c>
      <c r="C94" s="518" t="s">
        <v>1692</v>
      </c>
      <c r="D94" s="518" t="s">
        <v>334</v>
      </c>
      <c r="E94" s="518" t="s">
        <v>334</v>
      </c>
      <c r="F94" s="518" t="s">
        <v>334</v>
      </c>
      <c r="G94" s="518" t="s">
        <v>334</v>
      </c>
      <c r="H94" s="518" t="s">
        <v>334</v>
      </c>
      <c r="I94" s="516">
        <v>0</v>
      </c>
      <c r="J94" s="1230">
        <f>zar.2010*(425.26111707841+BH14)</f>
        <v>906.84481863177234</v>
      </c>
      <c r="K94" s="518"/>
      <c r="L94" s="518"/>
      <c r="M94" s="518"/>
      <c r="N94" s="518"/>
      <c r="O94" s="518"/>
      <c r="P94" s="518"/>
      <c r="Q94" s="518"/>
      <c r="R94" s="518"/>
      <c r="S94" s="518"/>
      <c r="T94" s="518"/>
      <c r="U94" s="518"/>
      <c r="V94" s="518"/>
      <c r="W94" s="518"/>
      <c r="X94" s="518"/>
      <c r="Y94" s="518"/>
      <c r="Z94" s="518"/>
      <c r="AA94" s="518"/>
      <c r="AB94" s="518"/>
      <c r="AC94" s="518"/>
      <c r="AD94" s="518"/>
      <c r="AE94" s="518"/>
      <c r="AF94" s="518"/>
      <c r="AG94" s="518"/>
      <c r="AH94" s="518"/>
      <c r="AI94" s="518"/>
      <c r="AJ94" s="518"/>
      <c r="AK94" s="518"/>
      <c r="AL94" s="518"/>
      <c r="AM94" s="518"/>
      <c r="AN94" s="518"/>
      <c r="AO94" s="518"/>
      <c r="AP94" s="518"/>
      <c r="AQ94" s="518"/>
      <c r="AR94" s="518"/>
      <c r="AS94" s="518"/>
      <c r="AT94" s="518"/>
      <c r="AU94" s="518"/>
      <c r="AV94" s="518"/>
      <c r="AW94" s="518"/>
      <c r="AY94" s="526"/>
    </row>
    <row r="95" spans="1:51" s="495" customFormat="1">
      <c r="A95" s="503" t="s">
        <v>310</v>
      </c>
      <c r="B95" s="518" t="s">
        <v>839</v>
      </c>
      <c r="C95" s="518" t="s">
        <v>1691</v>
      </c>
      <c r="D95" s="518" t="s">
        <v>334</v>
      </c>
      <c r="E95" s="518" t="s">
        <v>334</v>
      </c>
      <c r="F95" s="518" t="s">
        <v>334</v>
      </c>
      <c r="G95" s="518" t="s">
        <v>334</v>
      </c>
      <c r="H95" s="518" t="s">
        <v>334</v>
      </c>
      <c r="I95" s="516">
        <v>0</v>
      </c>
      <c r="J95" s="1230">
        <f ca="1">zar.2010*(TS_XTech!J90+BH14)</f>
        <v>350.00369974487649</v>
      </c>
      <c r="K95" s="518"/>
      <c r="L95" s="518"/>
      <c r="M95" s="518"/>
      <c r="N95" s="518"/>
      <c r="O95" s="518"/>
      <c r="P95" s="518"/>
      <c r="Q95" s="518"/>
      <c r="R95" s="518"/>
      <c r="S95" s="518"/>
      <c r="T95" s="518"/>
      <c r="U95" s="518"/>
      <c r="V95" s="518"/>
      <c r="W95" s="518"/>
      <c r="X95" s="518"/>
      <c r="Y95" s="518"/>
      <c r="Z95" s="518"/>
      <c r="AA95" s="518"/>
      <c r="AB95" s="518"/>
      <c r="AC95" s="518"/>
      <c r="AD95" s="518"/>
      <c r="AE95" s="518"/>
      <c r="AF95" s="518"/>
      <c r="AG95" s="518"/>
      <c r="AH95" s="518"/>
      <c r="AI95" s="518"/>
      <c r="AJ95" s="518"/>
      <c r="AK95" s="518"/>
      <c r="AL95" s="518"/>
      <c r="AM95" s="518"/>
      <c r="AN95" s="518"/>
      <c r="AO95" s="518"/>
      <c r="AP95" s="518"/>
      <c r="AQ95" s="518"/>
      <c r="AR95" s="518"/>
      <c r="AS95" s="518"/>
      <c r="AT95" s="518"/>
      <c r="AU95" s="518"/>
      <c r="AV95" s="518"/>
      <c r="AW95" s="518"/>
      <c r="AY95" s="526"/>
    </row>
    <row r="96" spans="1:51" s="495" customFormat="1">
      <c r="A96" s="503" t="s">
        <v>310</v>
      </c>
      <c r="B96" s="518" t="s">
        <v>839</v>
      </c>
      <c r="C96" s="518" t="s">
        <v>1690</v>
      </c>
      <c r="D96" s="518" t="s">
        <v>334</v>
      </c>
      <c r="E96" s="518" t="s">
        <v>334</v>
      </c>
      <c r="F96" s="518" t="s">
        <v>334</v>
      </c>
      <c r="G96" s="518" t="s">
        <v>334</v>
      </c>
      <c r="H96" s="518" t="s">
        <v>334</v>
      </c>
      <c r="I96" s="516">
        <v>0</v>
      </c>
      <c r="J96" s="1230">
        <f>zar.2010*(425.26111707841+BH14)</f>
        <v>906.84481863177234</v>
      </c>
      <c r="K96" s="518"/>
      <c r="L96" s="518"/>
      <c r="M96" s="518"/>
      <c r="N96" s="518"/>
      <c r="O96" s="518"/>
      <c r="P96" s="518"/>
      <c r="Q96" s="518"/>
      <c r="R96" s="518"/>
      <c r="S96" s="518"/>
      <c r="T96" s="518"/>
      <c r="U96" s="518"/>
      <c r="V96" s="518"/>
      <c r="W96" s="518"/>
      <c r="X96" s="518"/>
      <c r="Y96" s="518"/>
      <c r="Z96" s="518"/>
      <c r="AA96" s="518"/>
      <c r="AB96" s="518"/>
      <c r="AC96" s="518"/>
      <c r="AD96" s="518"/>
      <c r="AE96" s="518"/>
      <c r="AF96" s="518"/>
      <c r="AG96" s="518"/>
      <c r="AH96" s="518"/>
      <c r="AI96" s="518"/>
      <c r="AJ96" s="518"/>
      <c r="AK96" s="518"/>
      <c r="AL96" s="518"/>
      <c r="AM96" s="518"/>
      <c r="AN96" s="518"/>
      <c r="AO96" s="518"/>
      <c r="AP96" s="518"/>
      <c r="AQ96" s="518"/>
      <c r="AR96" s="518"/>
      <c r="AS96" s="518"/>
      <c r="AT96" s="518"/>
      <c r="AU96" s="518"/>
      <c r="AV96" s="518"/>
      <c r="AW96" s="518"/>
      <c r="AY96" s="526"/>
    </row>
    <row r="97" spans="1:51" s="495" customFormat="1">
      <c r="A97" s="503" t="s">
        <v>310</v>
      </c>
      <c r="B97" s="518" t="s">
        <v>839</v>
      </c>
      <c r="C97" s="518" t="s">
        <v>1693</v>
      </c>
      <c r="D97" s="518" t="s">
        <v>334</v>
      </c>
      <c r="E97" s="518" t="s">
        <v>334</v>
      </c>
      <c r="F97" s="518" t="s">
        <v>334</v>
      </c>
      <c r="G97" s="518" t="s">
        <v>334</v>
      </c>
      <c r="H97" s="518" t="s">
        <v>334</v>
      </c>
      <c r="I97" s="516">
        <v>0</v>
      </c>
      <c r="J97" s="1230">
        <f>zar.2010*(403.99806122449+BH14)</f>
        <v>879.00275411465157</v>
      </c>
      <c r="K97" s="518"/>
      <c r="L97" s="518"/>
      <c r="M97" s="518"/>
      <c r="N97" s="518"/>
      <c r="O97" s="518"/>
      <c r="P97" s="518"/>
      <c r="Q97" s="518"/>
      <c r="R97" s="518"/>
      <c r="S97" s="518"/>
      <c r="T97" s="518"/>
      <c r="U97" s="518"/>
      <c r="V97" s="518"/>
      <c r="W97" s="518"/>
      <c r="X97" s="518"/>
      <c r="Y97" s="518"/>
      <c r="Z97" s="518"/>
      <c r="AA97" s="518"/>
      <c r="AB97" s="518"/>
      <c r="AC97" s="518"/>
      <c r="AD97" s="518"/>
      <c r="AE97" s="518"/>
      <c r="AF97" s="518"/>
      <c r="AG97" s="518"/>
      <c r="AH97" s="518"/>
      <c r="AI97" s="518"/>
      <c r="AJ97" s="518"/>
      <c r="AK97" s="518"/>
      <c r="AL97" s="518"/>
      <c r="AM97" s="518"/>
      <c r="AN97" s="518"/>
      <c r="AO97" s="518"/>
      <c r="AP97" s="518"/>
      <c r="AQ97" s="518"/>
      <c r="AR97" s="518"/>
      <c r="AS97" s="518"/>
      <c r="AT97" s="518"/>
      <c r="AU97" s="518"/>
      <c r="AV97" s="518"/>
      <c r="AW97" s="518"/>
      <c r="AY97" s="526"/>
    </row>
    <row r="98" spans="1:51">
      <c r="A98" s="503" t="s">
        <v>310</v>
      </c>
      <c r="B98" s="420" t="s">
        <v>2102</v>
      </c>
    </row>
    <row r="99" spans="1:51">
      <c r="A99" s="503" t="s">
        <v>310</v>
      </c>
      <c r="B99" s="518" t="s">
        <v>332</v>
      </c>
      <c r="C99" s="518" t="s">
        <v>1692</v>
      </c>
      <c r="D99" s="518" t="s">
        <v>334</v>
      </c>
      <c r="E99" s="518" t="s">
        <v>334</v>
      </c>
      <c r="F99" s="518" t="s">
        <v>334</v>
      </c>
      <c r="G99" s="518" t="s">
        <v>334</v>
      </c>
      <c r="H99" s="518" t="s">
        <v>334</v>
      </c>
      <c r="I99" s="516">
        <v>0</v>
      </c>
      <c r="J99" s="1230">
        <f>zar.2010*BI14</f>
        <v>101.98335149389622</v>
      </c>
    </row>
    <row r="100" spans="1:51">
      <c r="A100" s="503" t="s">
        <v>310</v>
      </c>
      <c r="B100" s="518" t="s">
        <v>332</v>
      </c>
      <c r="C100" s="518" t="s">
        <v>1691</v>
      </c>
      <c r="D100" s="518" t="s">
        <v>334</v>
      </c>
      <c r="E100" s="518" t="s">
        <v>334</v>
      </c>
      <c r="F100" s="518" t="s">
        <v>334</v>
      </c>
      <c r="G100" s="518" t="s">
        <v>334</v>
      </c>
      <c r="H100" s="518" t="s">
        <v>334</v>
      </c>
      <c r="I100" s="516">
        <v>0</v>
      </c>
      <c r="J100" s="1231">
        <f>J99-J99*5%</f>
        <v>96.884183919201405</v>
      </c>
    </row>
    <row r="101" spans="1:51">
      <c r="A101" s="503" t="s">
        <v>310</v>
      </c>
      <c r="B101" s="518" t="s">
        <v>332</v>
      </c>
      <c r="C101" s="518" t="s">
        <v>1690</v>
      </c>
      <c r="D101" s="518" t="s">
        <v>334</v>
      </c>
      <c r="E101" s="518" t="s">
        <v>334</v>
      </c>
      <c r="F101" s="518" t="s">
        <v>334</v>
      </c>
      <c r="G101" s="518" t="s">
        <v>334</v>
      </c>
      <c r="H101" s="518" t="s">
        <v>334</v>
      </c>
      <c r="I101" s="516">
        <v>0</v>
      </c>
      <c r="J101" s="1230">
        <f>J99</f>
        <v>101.98335149389622</v>
      </c>
    </row>
    <row r="102" spans="1:51">
      <c r="A102" s="503" t="s">
        <v>310</v>
      </c>
      <c r="B102" s="518" t="s">
        <v>332</v>
      </c>
      <c r="C102" s="518" t="s">
        <v>1693</v>
      </c>
      <c r="D102" s="518" t="s">
        <v>334</v>
      </c>
      <c r="E102" s="518" t="s">
        <v>334</v>
      </c>
      <c r="F102" s="518" t="s">
        <v>334</v>
      </c>
      <c r="G102" s="518" t="s">
        <v>334</v>
      </c>
      <c r="H102" s="518" t="s">
        <v>334</v>
      </c>
      <c r="I102" s="516">
        <v>0</v>
      </c>
      <c r="J102" s="1230">
        <f>J101</f>
        <v>101.98335149389622</v>
      </c>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I45"/>
  <sheetViews>
    <sheetView workbookViewId="0"/>
  </sheetViews>
  <sheetFormatPr defaultRowHeight="15"/>
  <cols>
    <col min="2" max="2" width="10.7109375" customWidth="1"/>
    <col min="3" max="3" width="12.28515625" customWidth="1"/>
    <col min="4" max="4" width="14.42578125" customWidth="1"/>
    <col min="5" max="5" width="8.7109375" customWidth="1"/>
  </cols>
  <sheetData>
    <row r="1" spans="1:9">
      <c r="A1" s="423" t="str">
        <f>IF(Index!B8=0,"TID DATA","")</f>
        <v>TID DATA</v>
      </c>
      <c r="B1" s="422" t="s">
        <v>308</v>
      </c>
      <c r="C1" s="422"/>
      <c r="D1" s="422"/>
      <c r="E1" s="422"/>
      <c r="F1" s="422"/>
      <c r="G1" s="422"/>
      <c r="H1" s="422"/>
      <c r="I1" s="511"/>
    </row>
    <row r="2" spans="1:9">
      <c r="A2" s="422" t="s">
        <v>310</v>
      </c>
      <c r="B2" s="422"/>
      <c r="C2" s="422"/>
      <c r="D2" s="422"/>
      <c r="E2" s="422"/>
      <c r="F2" s="422"/>
      <c r="G2" s="422"/>
      <c r="H2" s="422"/>
      <c r="I2" s="511"/>
    </row>
    <row r="3" spans="1:9">
      <c r="A3" s="422" t="s">
        <v>310</v>
      </c>
      <c r="B3" s="422"/>
      <c r="C3" s="422"/>
      <c r="D3" s="422"/>
      <c r="E3" s="422"/>
      <c r="F3" s="422"/>
      <c r="G3" s="422"/>
      <c r="H3" s="422"/>
      <c r="I3" s="511"/>
    </row>
    <row r="4" spans="1:9">
      <c r="A4" s="422" t="s">
        <v>310</v>
      </c>
      <c r="B4" s="422"/>
      <c r="C4" s="422"/>
      <c r="D4" s="422"/>
      <c r="E4" s="422"/>
      <c r="F4" s="422"/>
      <c r="G4" s="422"/>
      <c r="H4" s="422"/>
      <c r="I4" s="511"/>
    </row>
    <row r="5" spans="1:9">
      <c r="A5" s="422" t="s">
        <v>310</v>
      </c>
      <c r="B5" s="422"/>
      <c r="C5" s="422"/>
      <c r="D5" s="422"/>
      <c r="E5" s="422"/>
      <c r="F5" s="422"/>
      <c r="G5" s="422"/>
      <c r="H5" s="422"/>
      <c r="I5" s="511"/>
    </row>
    <row r="6" spans="1:9">
      <c r="A6" s="422" t="s">
        <v>310</v>
      </c>
      <c r="B6" s="422"/>
      <c r="C6" s="422"/>
      <c r="D6" s="422"/>
      <c r="E6" s="422"/>
      <c r="F6" s="422"/>
      <c r="G6" s="422"/>
      <c r="H6" s="422"/>
      <c r="I6" s="511"/>
    </row>
    <row r="7" spans="1:9">
      <c r="A7" s="422" t="s">
        <v>310</v>
      </c>
      <c r="B7" s="423" t="s">
        <v>323</v>
      </c>
      <c r="C7" s="423" t="s">
        <v>324</v>
      </c>
      <c r="D7" s="423" t="s">
        <v>325</v>
      </c>
      <c r="E7" s="423" t="s">
        <v>326</v>
      </c>
      <c r="F7" s="423" t="s">
        <v>327</v>
      </c>
      <c r="G7" s="423" t="s">
        <v>328</v>
      </c>
      <c r="H7" s="423" t="s">
        <v>329</v>
      </c>
      <c r="I7" s="512" t="s">
        <v>339</v>
      </c>
    </row>
    <row r="8" spans="1:9">
      <c r="A8" s="422" t="s">
        <v>310</v>
      </c>
      <c r="B8" s="423"/>
      <c r="C8" s="423"/>
      <c r="D8" s="423"/>
      <c r="E8" s="423"/>
      <c r="F8" s="423"/>
      <c r="G8" s="423"/>
      <c r="H8" s="423"/>
      <c r="I8" s="512"/>
    </row>
    <row r="9" spans="1:9">
      <c r="A9" s="422" t="s">
        <v>310</v>
      </c>
      <c r="B9" s="420" t="s">
        <v>1800</v>
      </c>
      <c r="C9" s="422"/>
      <c r="D9" s="422"/>
      <c r="E9" s="422"/>
      <c r="F9" s="422"/>
      <c r="G9" s="422"/>
      <c r="H9" s="422"/>
      <c r="I9" s="495"/>
    </row>
    <row r="10" spans="1:9">
      <c r="A10" s="495" t="s">
        <v>310</v>
      </c>
      <c r="B10" s="515" t="s">
        <v>344</v>
      </c>
      <c r="C10" s="515" t="str">
        <f>'TS XFEmiss'!C31</f>
        <v>XAGRGAS</v>
      </c>
      <c r="D10" s="515" t="str">
        <f>'TS XFEmiss'!D31</f>
        <v>CH4SF</v>
      </c>
      <c r="E10" s="515" t="str">
        <f>IF($A10="*","","-")</f>
        <v/>
      </c>
      <c r="F10" s="515" t="str">
        <f>IF($A10="*","","-")</f>
        <v/>
      </c>
      <c r="G10" s="515" t="str">
        <f>IF($A10="*","","-")</f>
        <v/>
      </c>
      <c r="H10" s="515" t="str">
        <f>IF($A10="*","","-")</f>
        <v/>
      </c>
      <c r="I10" s="516">
        <v>1</v>
      </c>
    </row>
    <row r="11" spans="1:9">
      <c r="B11" s="515" t="s">
        <v>344</v>
      </c>
      <c r="C11" s="515" t="str">
        <f>'TS XFEmiss'!C32</f>
        <v>XCOMGAS</v>
      </c>
      <c r="D11" s="515" t="str">
        <f>'TS XFEmiss'!D32</f>
        <v>CH4SF</v>
      </c>
      <c r="E11" s="515" t="str">
        <f t="shared" ref="E11:H25" si="0">IF($A11="*","","-")</f>
        <v>-</v>
      </c>
      <c r="F11" s="515" t="str">
        <f t="shared" si="0"/>
        <v>-</v>
      </c>
      <c r="G11" s="515" t="str">
        <f t="shared" si="0"/>
        <v>-</v>
      </c>
      <c r="H11" s="515" t="str">
        <f t="shared" si="0"/>
        <v>-</v>
      </c>
      <c r="I11" s="516">
        <v>1</v>
      </c>
    </row>
    <row r="12" spans="1:9">
      <c r="B12" s="515" t="s">
        <v>344</v>
      </c>
      <c r="C12" s="515" t="str">
        <f>'TS XFEmiss'!C33</f>
        <v>XINDGAS</v>
      </c>
      <c r="D12" s="515" t="str">
        <f>'TS XFEmiss'!D33</f>
        <v>CH4SF</v>
      </c>
      <c r="E12" s="515" t="str">
        <f t="shared" si="0"/>
        <v>-</v>
      </c>
      <c r="F12" s="515" t="str">
        <f t="shared" si="0"/>
        <v>-</v>
      </c>
      <c r="G12" s="515" t="str">
        <f t="shared" si="0"/>
        <v>-</v>
      </c>
      <c r="H12" s="515" t="str">
        <f t="shared" si="0"/>
        <v>-</v>
      </c>
      <c r="I12" s="516">
        <v>1</v>
      </c>
    </row>
    <row r="13" spans="1:9">
      <c r="B13" s="515" t="s">
        <v>344</v>
      </c>
      <c r="C13" s="515" t="str">
        <f>'TS XFEmiss'!C34</f>
        <v>XTRAGAS</v>
      </c>
      <c r="D13" s="515" t="str">
        <f>'TS XFEmiss'!D34</f>
        <v>CH4SF</v>
      </c>
      <c r="E13" s="515" t="str">
        <f t="shared" si="0"/>
        <v>-</v>
      </c>
      <c r="F13" s="515" t="str">
        <f t="shared" si="0"/>
        <v>-</v>
      </c>
      <c r="G13" s="515" t="str">
        <f t="shared" si="0"/>
        <v>-</v>
      </c>
      <c r="H13" s="515" t="str">
        <f t="shared" si="0"/>
        <v>-</v>
      </c>
      <c r="I13" s="516">
        <v>1</v>
      </c>
    </row>
    <row r="14" spans="1:9">
      <c r="B14" s="515" t="s">
        <v>344</v>
      </c>
      <c r="C14" s="515" t="str">
        <f>'TS XFEmiss'!C35</f>
        <v>XRESGAS</v>
      </c>
      <c r="D14" s="515" t="str">
        <f>'TS XFEmiss'!D35</f>
        <v>CH4SF</v>
      </c>
      <c r="E14" s="515" t="str">
        <f t="shared" si="0"/>
        <v>-</v>
      </c>
      <c r="F14" s="515" t="str">
        <f t="shared" si="0"/>
        <v>-</v>
      </c>
      <c r="G14" s="515" t="str">
        <f t="shared" si="0"/>
        <v>-</v>
      </c>
      <c r="H14" s="515" t="str">
        <f t="shared" si="0"/>
        <v>-</v>
      </c>
      <c r="I14" s="516">
        <v>1</v>
      </c>
    </row>
    <row r="15" spans="1:9">
      <c r="B15" s="515" t="s">
        <v>344</v>
      </c>
      <c r="C15" s="515" t="str">
        <f>'TS XFEmiss'!C36</f>
        <v>XPWRGAS</v>
      </c>
      <c r="D15" s="515" t="str">
        <f>'TS XFEmiss'!D36</f>
        <v>CH4SF</v>
      </c>
      <c r="E15" s="515" t="str">
        <f t="shared" si="0"/>
        <v>-</v>
      </c>
      <c r="F15" s="515" t="str">
        <f t="shared" si="0"/>
        <v>-</v>
      </c>
      <c r="G15" s="515" t="str">
        <f t="shared" si="0"/>
        <v>-</v>
      </c>
      <c r="H15" s="515" t="str">
        <f t="shared" si="0"/>
        <v>-</v>
      </c>
      <c r="I15" s="516">
        <v>1</v>
      </c>
    </row>
    <row r="16" spans="1:9">
      <c r="B16" s="515" t="s">
        <v>344</v>
      </c>
      <c r="C16" s="515" t="str">
        <f>'TS XFEmiss'!C37</f>
        <v>XPWRGIC</v>
      </c>
      <c r="D16" s="515" t="str">
        <f>'TS XFEmiss'!D37</f>
        <v>CH4SF</v>
      </c>
      <c r="E16" s="515" t="str">
        <f t="shared" si="0"/>
        <v>-</v>
      </c>
      <c r="F16" s="515" t="str">
        <f t="shared" si="0"/>
        <v>-</v>
      </c>
      <c r="G16" s="515" t="str">
        <f t="shared" si="0"/>
        <v>-</v>
      </c>
      <c r="H16" s="515" t="str">
        <f t="shared" si="0"/>
        <v>-</v>
      </c>
      <c r="I16" s="516">
        <v>1</v>
      </c>
    </row>
    <row r="17" spans="1:9">
      <c r="A17" s="503"/>
      <c r="B17" s="515" t="s">
        <v>344</v>
      </c>
      <c r="C17" s="515" t="str">
        <f>'TS XFEmiss'!C38</f>
        <v>XPWRGIH</v>
      </c>
      <c r="D17" s="515" t="str">
        <f>'TS XFEmiss'!D38</f>
        <v>CH4SF</v>
      </c>
      <c r="E17" s="515" t="str">
        <f t="shared" si="0"/>
        <v>-</v>
      </c>
      <c r="F17" s="515" t="str">
        <f t="shared" si="0"/>
        <v>-</v>
      </c>
      <c r="G17" s="515" t="str">
        <f t="shared" si="0"/>
        <v>-</v>
      </c>
      <c r="H17" s="515" t="str">
        <f t="shared" si="0"/>
        <v>-</v>
      </c>
      <c r="I17" s="516">
        <v>1</v>
      </c>
    </row>
    <row r="18" spans="1:9">
      <c r="A18" s="503"/>
      <c r="B18" s="515" t="s">
        <v>344</v>
      </c>
      <c r="C18" s="515" t="str">
        <f>'TS XFEmiss'!C39</f>
        <v>XUPSGAS</v>
      </c>
      <c r="D18" s="515" t="str">
        <f>'TS XFEmiss'!D39</f>
        <v>CH4SF</v>
      </c>
      <c r="E18" s="515" t="str">
        <f t="shared" si="0"/>
        <v>-</v>
      </c>
      <c r="F18" s="515" t="str">
        <f t="shared" si="0"/>
        <v>-</v>
      </c>
      <c r="G18" s="515" t="str">
        <f t="shared" si="0"/>
        <v>-</v>
      </c>
      <c r="H18" s="515" t="str">
        <f t="shared" si="0"/>
        <v>-</v>
      </c>
      <c r="I18" s="516">
        <v>1</v>
      </c>
    </row>
    <row r="19" spans="1:9">
      <c r="A19" t="s">
        <v>310</v>
      </c>
      <c r="B19" s="510" t="s">
        <v>1799</v>
      </c>
      <c r="C19" s="515"/>
      <c r="D19" s="515"/>
      <c r="E19" s="515"/>
      <c r="F19" s="515"/>
      <c r="G19" s="515"/>
      <c r="H19" s="515"/>
      <c r="I19" s="516"/>
    </row>
    <row r="20" spans="1:9">
      <c r="B20" s="515" t="s">
        <v>344</v>
      </c>
      <c r="C20" s="515" t="str">
        <f>'TS XFEmiss'!C41</f>
        <v>MINGIH</v>
      </c>
      <c r="D20" s="515" t="str">
        <f>'TS XFEmiss'!D41</f>
        <v>CH4SF</v>
      </c>
      <c r="E20" s="515" t="str">
        <f t="shared" si="0"/>
        <v>-</v>
      </c>
      <c r="F20" s="515" t="str">
        <f t="shared" si="0"/>
        <v>-</v>
      </c>
      <c r="G20" s="515" t="str">
        <f t="shared" si="0"/>
        <v>-</v>
      </c>
      <c r="H20" s="515" t="str">
        <f t="shared" si="0"/>
        <v>-</v>
      </c>
      <c r="I20" s="516">
        <v>1</v>
      </c>
    </row>
    <row r="21" spans="1:9">
      <c r="B21" s="515" t="s">
        <v>344</v>
      </c>
      <c r="C21" s="515" t="str">
        <f>'TS XFEmiss'!C42</f>
        <v>MINGIB</v>
      </c>
      <c r="D21" s="515" t="str">
        <f>'TS XFEmiss'!D42</f>
        <v>CH4SF</v>
      </c>
      <c r="E21" s="515" t="str">
        <f t="shared" si="0"/>
        <v>-</v>
      </c>
      <c r="F21" s="515" t="str">
        <f t="shared" si="0"/>
        <v>-</v>
      </c>
      <c r="G21" s="515" t="str">
        <f t="shared" si="0"/>
        <v>-</v>
      </c>
      <c r="H21" s="515" t="str">
        <f t="shared" si="0"/>
        <v>-</v>
      </c>
      <c r="I21" s="516">
        <v>1</v>
      </c>
    </row>
    <row r="22" spans="1:9">
      <c r="A22" s="430"/>
      <c r="B22" s="515" t="s">
        <v>344</v>
      </c>
      <c r="C22" s="515" t="str">
        <f>'TS XFEmiss'!C43</f>
        <v>MINGIC</v>
      </c>
      <c r="D22" s="515" t="str">
        <f>'TS XFEmiss'!D43</f>
        <v>CH4SF</v>
      </c>
      <c r="E22" s="515" t="str">
        <f t="shared" si="0"/>
        <v>-</v>
      </c>
      <c r="F22" s="515" t="str">
        <f t="shared" si="0"/>
        <v>-</v>
      </c>
      <c r="G22" s="515" t="str">
        <f t="shared" si="0"/>
        <v>-</v>
      </c>
      <c r="H22" s="515" t="str">
        <f t="shared" si="0"/>
        <v>-</v>
      </c>
      <c r="I22" s="516">
        <v>1</v>
      </c>
    </row>
    <row r="23" spans="1:9" s="430" customFormat="1">
      <c r="B23" s="515" t="s">
        <v>344</v>
      </c>
      <c r="C23" s="515" t="str">
        <f>'TS XFEmiss'!C44</f>
        <v>MINGIH</v>
      </c>
      <c r="D23" s="515" t="str">
        <f>'TS XFEmiss'!D44</f>
        <v>CO2SF</v>
      </c>
      <c r="E23" s="515" t="str">
        <f t="shared" si="0"/>
        <v>-</v>
      </c>
      <c r="F23" s="515" t="str">
        <f t="shared" si="0"/>
        <v>-</v>
      </c>
      <c r="G23" s="515" t="str">
        <f t="shared" si="0"/>
        <v>-</v>
      </c>
      <c r="H23" s="515" t="str">
        <f t="shared" si="0"/>
        <v>-</v>
      </c>
      <c r="I23" s="516">
        <v>1</v>
      </c>
    </row>
    <row r="24" spans="1:9" s="430" customFormat="1">
      <c r="B24" s="515" t="s">
        <v>344</v>
      </c>
      <c r="C24" s="515" t="str">
        <f>'TS XFEmiss'!C45</f>
        <v>MINGIB</v>
      </c>
      <c r="D24" s="515" t="str">
        <f>'TS XFEmiss'!D45</f>
        <v>CO2SF</v>
      </c>
      <c r="E24" s="515" t="str">
        <f t="shared" si="0"/>
        <v>-</v>
      </c>
      <c r="F24" s="515" t="str">
        <f t="shared" si="0"/>
        <v>-</v>
      </c>
      <c r="G24" s="515" t="str">
        <f t="shared" si="0"/>
        <v>-</v>
      </c>
      <c r="H24" s="515" t="str">
        <f t="shared" si="0"/>
        <v>-</v>
      </c>
      <c r="I24" s="516">
        <v>1</v>
      </c>
    </row>
    <row r="25" spans="1:9" s="430" customFormat="1">
      <c r="B25" s="515" t="s">
        <v>344</v>
      </c>
      <c r="C25" s="515" t="str">
        <f>'TS XFEmiss'!C46</f>
        <v>MINGIC</v>
      </c>
      <c r="D25" s="515" t="str">
        <f>'TS XFEmiss'!D46</f>
        <v>CO2SF</v>
      </c>
      <c r="E25" s="515" t="str">
        <f t="shared" si="0"/>
        <v>-</v>
      </c>
      <c r="F25" s="515" t="str">
        <f t="shared" si="0"/>
        <v>-</v>
      </c>
      <c r="G25" s="515" t="str">
        <f t="shared" si="0"/>
        <v>-</v>
      </c>
      <c r="H25" s="515" t="str">
        <f t="shared" si="0"/>
        <v>-</v>
      </c>
      <c r="I25" s="516">
        <v>1</v>
      </c>
    </row>
    <row r="26" spans="1:9">
      <c r="A26" s="430" t="s">
        <v>310</v>
      </c>
      <c r="B26" s="510" t="s">
        <v>42</v>
      </c>
      <c r="C26" s="515"/>
      <c r="D26" s="515"/>
      <c r="E26" s="515"/>
      <c r="F26" s="515"/>
      <c r="G26" s="515"/>
      <c r="H26" s="515"/>
      <c r="I26" s="516"/>
    </row>
    <row r="27" spans="1:9">
      <c r="A27" s="430"/>
      <c r="B27" s="515" t="s">
        <v>344</v>
      </c>
      <c r="C27" s="515" t="str">
        <f>'TS XFEmiss'!C48</f>
        <v>MINCOA</v>
      </c>
      <c r="D27" s="515" t="str">
        <f>'TS XFEmiss'!D48</f>
        <v>CH4SF</v>
      </c>
      <c r="E27" s="515" t="str">
        <f t="shared" ref="E27:H45" si="1">IF($A27="*","","-")</f>
        <v>-</v>
      </c>
      <c r="F27" s="515" t="str">
        <f t="shared" si="1"/>
        <v>-</v>
      </c>
      <c r="G27" s="515" t="str">
        <f t="shared" si="1"/>
        <v>-</v>
      </c>
      <c r="H27" s="515" t="str">
        <f t="shared" si="1"/>
        <v>-</v>
      </c>
      <c r="I27" s="516">
        <v>1</v>
      </c>
    </row>
    <row r="28" spans="1:9">
      <c r="A28" s="430"/>
      <c r="B28" s="515" t="s">
        <v>344</v>
      </c>
      <c r="C28" s="515" t="str">
        <f>'TS XFEmiss'!C49</f>
        <v>MINCLE</v>
      </c>
      <c r="D28" s="515" t="str">
        <f>'TS XFEmiss'!D49</f>
        <v>CH4SF</v>
      </c>
      <c r="E28" s="515" t="str">
        <f t="shared" si="1"/>
        <v>-</v>
      </c>
      <c r="F28" s="515" t="str">
        <f t="shared" si="1"/>
        <v>-</v>
      </c>
      <c r="G28" s="515" t="str">
        <f t="shared" si="1"/>
        <v>-</v>
      </c>
      <c r="H28" s="515" t="str">
        <f t="shared" si="1"/>
        <v>-</v>
      </c>
      <c r="I28" s="516">
        <v>1</v>
      </c>
    </row>
    <row r="29" spans="1:9" s="430" customFormat="1">
      <c r="B29" s="515" t="s">
        <v>344</v>
      </c>
      <c r="C29" s="515" t="str">
        <f>'TS XFEmiss'!C50</f>
        <v>MIRCRB</v>
      </c>
      <c r="D29" s="515" t="str">
        <f>'TS XFEmiss'!D50</f>
        <v>CH4RF</v>
      </c>
      <c r="E29" s="515" t="str">
        <f t="shared" si="1"/>
        <v>-</v>
      </c>
      <c r="F29" s="515" t="str">
        <f t="shared" si="1"/>
        <v>-</v>
      </c>
      <c r="G29" s="515" t="str">
        <f t="shared" si="1"/>
        <v>-</v>
      </c>
      <c r="H29" s="515" t="str">
        <f t="shared" si="1"/>
        <v>-</v>
      </c>
      <c r="I29" s="516">
        <v>1</v>
      </c>
    </row>
    <row r="30" spans="1:9">
      <c r="A30" s="430"/>
      <c r="B30" s="515" t="s">
        <v>344</v>
      </c>
      <c r="C30" s="515" t="str">
        <f>'TS XFEmiss'!C51</f>
        <v>MINCLD</v>
      </c>
      <c r="D30" s="515" t="str">
        <f>'TS XFEmiss'!D51</f>
        <v>CH4SF</v>
      </c>
      <c r="E30" s="515" t="str">
        <f t="shared" si="1"/>
        <v>-</v>
      </c>
      <c r="F30" s="515" t="str">
        <f t="shared" si="1"/>
        <v>-</v>
      </c>
      <c r="G30" s="515" t="str">
        <f t="shared" si="1"/>
        <v>-</v>
      </c>
      <c r="H30" s="515" t="str">
        <f t="shared" si="1"/>
        <v>-</v>
      </c>
      <c r="I30" s="516">
        <v>1</v>
      </c>
    </row>
    <row r="31" spans="1:9" s="430" customFormat="1">
      <c r="B31" s="515" t="s">
        <v>344</v>
      </c>
      <c r="C31" s="515" t="str">
        <f>'TS XFEmiss'!C52</f>
        <v>MINCOA</v>
      </c>
      <c r="D31" s="515" t="str">
        <f>'TS XFEmiss'!D52</f>
        <v>CO2SF</v>
      </c>
      <c r="E31" s="515" t="str">
        <f t="shared" si="1"/>
        <v>-</v>
      </c>
      <c r="F31" s="515" t="str">
        <f t="shared" si="1"/>
        <v>-</v>
      </c>
      <c r="G31" s="515" t="str">
        <f t="shared" si="1"/>
        <v>-</v>
      </c>
      <c r="H31" s="515" t="str">
        <f t="shared" si="1"/>
        <v>-</v>
      </c>
      <c r="I31" s="516">
        <v>1</v>
      </c>
    </row>
    <row r="32" spans="1:9" s="430" customFormat="1">
      <c r="B32" s="515" t="s">
        <v>344</v>
      </c>
      <c r="C32" s="515" t="str">
        <f>'TS XFEmiss'!C53</f>
        <v>MINCLE</v>
      </c>
      <c r="D32" s="515" t="str">
        <f>'TS XFEmiss'!D53</f>
        <v>CO2SF</v>
      </c>
      <c r="E32" s="515" t="str">
        <f t="shared" si="1"/>
        <v>-</v>
      </c>
      <c r="F32" s="515" t="str">
        <f t="shared" si="1"/>
        <v>-</v>
      </c>
      <c r="G32" s="515" t="str">
        <f t="shared" si="1"/>
        <v>-</v>
      </c>
      <c r="H32" s="515" t="str">
        <f t="shared" si="1"/>
        <v>-</v>
      </c>
      <c r="I32" s="516">
        <v>1</v>
      </c>
    </row>
    <row r="33" spans="1:9" s="430" customFormat="1">
      <c r="B33" s="515" t="s">
        <v>344</v>
      </c>
      <c r="C33" s="515" t="str">
        <f>'TS XFEmiss'!C54</f>
        <v>MIRCRB</v>
      </c>
      <c r="D33" s="515" t="str">
        <f>'TS XFEmiss'!D54</f>
        <v>CH4RF</v>
      </c>
      <c r="E33" s="515" t="str">
        <f t="shared" si="1"/>
        <v>-</v>
      </c>
      <c r="F33" s="515" t="str">
        <f t="shared" si="1"/>
        <v>-</v>
      </c>
      <c r="G33" s="515" t="str">
        <f t="shared" si="1"/>
        <v>-</v>
      </c>
      <c r="H33" s="515" t="str">
        <f t="shared" si="1"/>
        <v>-</v>
      </c>
      <c r="I33" s="516">
        <v>1</v>
      </c>
    </row>
    <row r="34" spans="1:9" s="430" customFormat="1">
      <c r="B34" s="515" t="s">
        <v>344</v>
      </c>
      <c r="C34" s="515" t="str">
        <f>'TS XFEmiss'!C55</f>
        <v>MINCLD</v>
      </c>
      <c r="D34" s="515" t="str">
        <f>'TS XFEmiss'!D55</f>
        <v>CH4SF</v>
      </c>
      <c r="E34" s="515" t="str">
        <f t="shared" si="1"/>
        <v>-</v>
      </c>
      <c r="F34" s="515" t="str">
        <f t="shared" si="1"/>
        <v>-</v>
      </c>
      <c r="G34" s="515" t="str">
        <f t="shared" si="1"/>
        <v>-</v>
      </c>
      <c r="H34" s="515" t="str">
        <f t="shared" si="1"/>
        <v>-</v>
      </c>
      <c r="I34" s="516">
        <v>1</v>
      </c>
    </row>
    <row r="35" spans="1:9">
      <c r="A35" s="430" t="s">
        <v>310</v>
      </c>
      <c r="B35" s="510" t="s">
        <v>1862</v>
      </c>
      <c r="C35" s="515"/>
      <c r="D35" s="515"/>
      <c r="E35" s="515"/>
      <c r="F35" s="515"/>
      <c r="G35" s="515"/>
      <c r="H35" s="515"/>
      <c r="I35" s="516"/>
    </row>
    <row r="36" spans="1:9">
      <c r="A36" s="430"/>
      <c r="B36" s="515" t="s">
        <v>344</v>
      </c>
      <c r="C36" s="518" t="str">
        <f>'TS XFEmiss'!C57</f>
        <v>UGASGIC-N</v>
      </c>
      <c r="D36" s="518" t="str">
        <f>'TS XFEmiss'!D57</f>
        <v>CH4SF</v>
      </c>
      <c r="E36" s="515" t="str">
        <f t="shared" si="1"/>
        <v>-</v>
      </c>
      <c r="F36" s="515" t="str">
        <f t="shared" si="1"/>
        <v>-</v>
      </c>
      <c r="G36" s="515" t="str">
        <f t="shared" si="1"/>
        <v>-</v>
      </c>
      <c r="H36" s="515" t="str">
        <f t="shared" si="1"/>
        <v>-</v>
      </c>
      <c r="I36" s="516">
        <v>1</v>
      </c>
    </row>
    <row r="37" spans="1:9">
      <c r="A37" s="430"/>
      <c r="B37" s="515" t="s">
        <v>344</v>
      </c>
      <c r="C37" s="518" t="str">
        <f>'TS XFEmiss'!C58</f>
        <v>UGASGIB-N</v>
      </c>
      <c r="D37" s="518" t="str">
        <f>'TS XFEmiss'!D58</f>
        <v>CH4SF</v>
      </c>
      <c r="E37" s="515" t="str">
        <f t="shared" si="1"/>
        <v>-</v>
      </c>
      <c r="F37" s="515" t="str">
        <f t="shared" si="1"/>
        <v>-</v>
      </c>
      <c r="G37" s="515" t="str">
        <f t="shared" si="1"/>
        <v>-</v>
      </c>
      <c r="H37" s="515" t="str">
        <f t="shared" si="1"/>
        <v>-</v>
      </c>
      <c r="I37" s="516">
        <v>1</v>
      </c>
    </row>
    <row r="38" spans="1:9">
      <c r="B38" s="515" t="s">
        <v>344</v>
      </c>
      <c r="C38" s="518" t="str">
        <f>'TS XFEmiss'!C59</f>
        <v>UGASGRM-N</v>
      </c>
      <c r="D38" s="518" t="str">
        <f>'TS XFEmiss'!D59</f>
        <v>CH4SF</v>
      </c>
      <c r="E38" s="515" t="str">
        <f t="shared" si="1"/>
        <v>-</v>
      </c>
      <c r="F38" s="515" t="str">
        <f t="shared" si="1"/>
        <v>-</v>
      </c>
      <c r="G38" s="515" t="str">
        <f t="shared" si="1"/>
        <v>-</v>
      </c>
      <c r="H38" s="515" t="str">
        <f t="shared" si="1"/>
        <v>-</v>
      </c>
      <c r="I38" s="516">
        <v>1</v>
      </c>
    </row>
    <row r="39" spans="1:9">
      <c r="B39" s="515" t="s">
        <v>344</v>
      </c>
      <c r="C39" s="518" t="str">
        <f>'TS XFEmiss'!C60</f>
        <v>UGASGRS-N</v>
      </c>
      <c r="D39" s="518" t="str">
        <f>'TS XFEmiss'!D60</f>
        <v>CH4SF</v>
      </c>
      <c r="E39" s="515" t="str">
        <f t="shared" si="1"/>
        <v>-</v>
      </c>
      <c r="F39" s="515" t="str">
        <f t="shared" si="1"/>
        <v>-</v>
      </c>
      <c r="G39" s="515" t="str">
        <f t="shared" si="1"/>
        <v>-</v>
      </c>
      <c r="H39" s="515" t="str">
        <f t="shared" si="1"/>
        <v>-</v>
      </c>
      <c r="I39" s="516">
        <v>1</v>
      </c>
    </row>
    <row r="40" spans="1:9">
      <c r="B40" s="515" t="s">
        <v>344</v>
      </c>
      <c r="C40" s="518" t="str">
        <f>'TS XFEmiss'!C61</f>
        <v>UGASGIH-N</v>
      </c>
      <c r="D40" s="518" t="str">
        <f>'TS XFEmiss'!D61</f>
        <v>CH4SF</v>
      </c>
      <c r="E40" s="515" t="str">
        <f t="shared" si="1"/>
        <v>-</v>
      </c>
      <c r="F40" s="515" t="str">
        <f t="shared" si="1"/>
        <v>-</v>
      </c>
      <c r="G40" s="515" t="str">
        <f t="shared" si="1"/>
        <v>-</v>
      </c>
      <c r="H40" s="515" t="str">
        <f t="shared" si="1"/>
        <v>-</v>
      </c>
      <c r="I40" s="516">
        <v>1</v>
      </c>
    </row>
    <row r="41" spans="1:9">
      <c r="B41" s="515" t="s">
        <v>344</v>
      </c>
      <c r="C41" s="518" t="str">
        <f>'TS XFEmiss'!C62</f>
        <v>ULGTGRL-N</v>
      </c>
      <c r="D41" s="518" t="str">
        <f>'TS XFEmiss'!D62</f>
        <v>CH4SF</v>
      </c>
      <c r="E41" s="515" t="str">
        <f t="shared" si="1"/>
        <v>-</v>
      </c>
      <c r="F41" s="515" t="str">
        <f t="shared" si="1"/>
        <v>-</v>
      </c>
      <c r="G41" s="515" t="str">
        <f t="shared" si="1"/>
        <v>-</v>
      </c>
      <c r="H41" s="515" t="str">
        <f t="shared" si="1"/>
        <v>-</v>
      </c>
      <c r="I41" s="516">
        <v>1</v>
      </c>
    </row>
    <row r="42" spans="1:9">
      <c r="B42" s="515" t="s">
        <v>344</v>
      </c>
      <c r="C42" s="518" t="str">
        <f>'TS XFEmiss'!C63</f>
        <v>ULGTGRLFSRU-N</v>
      </c>
      <c r="D42" s="518" t="str">
        <f>'TS XFEmiss'!D63</f>
        <v>CH4SF</v>
      </c>
      <c r="E42" s="515" t="str">
        <f t="shared" si="1"/>
        <v>-</v>
      </c>
      <c r="F42" s="515" t="str">
        <f t="shared" si="1"/>
        <v>-</v>
      </c>
      <c r="G42" s="515" t="str">
        <f t="shared" si="1"/>
        <v>-</v>
      </c>
      <c r="H42" s="515" t="str">
        <f t="shared" si="1"/>
        <v>-</v>
      </c>
      <c r="I42" s="516">
        <v>1</v>
      </c>
    </row>
    <row r="43" spans="1:9">
      <c r="A43" t="s">
        <v>310</v>
      </c>
      <c r="B43" s="510" t="s">
        <v>1867</v>
      </c>
      <c r="D43" s="515"/>
      <c r="E43" s="515"/>
      <c r="F43" s="515"/>
      <c r="G43" s="515"/>
      <c r="H43" s="515"/>
      <c r="I43" s="516"/>
    </row>
    <row r="44" spans="1:9">
      <c r="B44" s="515" t="s">
        <v>344</v>
      </c>
      <c r="C44" s="518" t="str">
        <f>'TS XFEmiss'!C65</f>
        <v>USMRGASHGN</v>
      </c>
      <c r="D44" s="518" t="str">
        <f>'TS XFEmiss'!D65</f>
        <v>CH4SF</v>
      </c>
      <c r="E44" s="515" t="str">
        <f t="shared" si="1"/>
        <v>-</v>
      </c>
      <c r="F44" s="515" t="str">
        <f t="shared" si="1"/>
        <v>-</v>
      </c>
      <c r="G44" s="515" t="str">
        <f t="shared" si="1"/>
        <v>-</v>
      </c>
      <c r="H44" s="515" t="str">
        <f t="shared" si="1"/>
        <v>-</v>
      </c>
      <c r="I44" s="516">
        <v>1</v>
      </c>
    </row>
    <row r="45" spans="1:9">
      <c r="B45" s="515" t="s">
        <v>344</v>
      </c>
      <c r="C45" s="518" t="str">
        <f>'TS XFEmiss'!C66</f>
        <v>USMRGICHGN</v>
      </c>
      <c r="D45" s="518" t="str">
        <f>'TS XFEmiss'!D66</f>
        <v>CH4SF</v>
      </c>
      <c r="E45" s="515" t="str">
        <f t="shared" si="1"/>
        <v>-</v>
      </c>
      <c r="F45" s="515" t="str">
        <f t="shared" si="1"/>
        <v>-</v>
      </c>
      <c r="G45" s="515" t="str">
        <f t="shared" si="1"/>
        <v>-</v>
      </c>
      <c r="H45" s="515" t="str">
        <f t="shared" si="1"/>
        <v>-</v>
      </c>
      <c r="I45" s="516">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2:Y78"/>
  <sheetViews>
    <sheetView workbookViewId="0"/>
  </sheetViews>
  <sheetFormatPr defaultColWidth="9.28515625" defaultRowHeight="15"/>
  <cols>
    <col min="1" max="1" width="9.28515625" style="430"/>
    <col min="2" max="2" width="41.28515625" style="430" customWidth="1"/>
    <col min="3" max="3" width="12" style="430" customWidth="1"/>
    <col min="4" max="4" width="14.5703125" style="430" customWidth="1"/>
    <col min="5" max="5" width="5.28515625" style="430" customWidth="1"/>
    <col min="6" max="12" width="9.28515625" style="430"/>
    <col min="13" max="14" width="9.28515625" style="1212"/>
    <col min="15" max="15" width="4.7109375" style="1213" customWidth="1"/>
    <col min="16" max="17" width="9.28515625" style="430"/>
    <col min="18" max="19" width="12" style="430" bestFit="1" customWidth="1"/>
    <col min="20" max="16384" width="9.28515625" style="430"/>
  </cols>
  <sheetData>
    <row r="2" spans="2:23">
      <c r="P2" s="532">
        <f>AVERAGE('Liq Fuel Prices'!J75:J86)</f>
        <v>7.4050249999999993</v>
      </c>
    </row>
    <row r="3" spans="2:23" ht="15.75" thickBot="1">
      <c r="B3" s="430" t="s">
        <v>323</v>
      </c>
      <c r="P3" s="430" t="s">
        <v>2042</v>
      </c>
    </row>
    <row r="4" spans="2:23" ht="15.75" thickBot="1">
      <c r="C4" s="1937" t="s">
        <v>2043</v>
      </c>
      <c r="D4" s="1938"/>
      <c r="E4" s="1939"/>
      <c r="F4" s="1214" t="s">
        <v>582</v>
      </c>
      <c r="G4" s="1214" t="s">
        <v>300</v>
      </c>
      <c r="H4" s="1214" t="s">
        <v>301</v>
      </c>
      <c r="I4" s="1214" t="s">
        <v>578</v>
      </c>
      <c r="J4" s="1214" t="s">
        <v>299</v>
      </c>
      <c r="K4" s="1214" t="s">
        <v>2044</v>
      </c>
      <c r="L4" s="1214" t="s">
        <v>254</v>
      </c>
      <c r="M4" s="1215" t="s">
        <v>361</v>
      </c>
      <c r="N4" s="1215" t="s">
        <v>344</v>
      </c>
      <c r="P4" s="1214" t="str">
        <f>F4</f>
        <v>INVCOST</v>
      </c>
      <c r="Q4" s="1214" t="str">
        <f>G4</f>
        <v>FIXOM</v>
      </c>
    </row>
    <row r="5" spans="2:23">
      <c r="B5" s="388" t="s">
        <v>2045</v>
      </c>
      <c r="C5" s="430">
        <v>1995</v>
      </c>
      <c r="D5" s="430">
        <v>2010</v>
      </c>
      <c r="E5" s="430">
        <v>2020</v>
      </c>
      <c r="F5" s="430">
        <v>2010</v>
      </c>
      <c r="G5" s="430">
        <v>2010</v>
      </c>
      <c r="H5" s="430">
        <v>2010</v>
      </c>
      <c r="I5" s="430">
        <v>2010</v>
      </c>
      <c r="J5" s="430">
        <v>2010</v>
      </c>
      <c r="K5" s="430">
        <v>2010</v>
      </c>
      <c r="L5" s="430">
        <v>2010</v>
      </c>
      <c r="M5" s="1212">
        <v>2010</v>
      </c>
      <c r="N5" s="1212">
        <v>2010</v>
      </c>
      <c r="V5" s="430" t="s">
        <v>582</v>
      </c>
      <c r="W5" s="430" t="s">
        <v>300</v>
      </c>
    </row>
    <row r="6" spans="2:23">
      <c r="B6" s="430" t="s">
        <v>1902</v>
      </c>
      <c r="F6" s="430" t="s">
        <v>2046</v>
      </c>
      <c r="G6" s="430" t="s">
        <v>2046</v>
      </c>
      <c r="H6" s="430" t="s">
        <v>2046</v>
      </c>
      <c r="I6" s="430" t="s">
        <v>2047</v>
      </c>
      <c r="K6" s="430" t="s">
        <v>2048</v>
      </c>
      <c r="L6" s="430" t="s">
        <v>252</v>
      </c>
      <c r="T6" s="430" t="s">
        <v>708</v>
      </c>
      <c r="U6" s="430" t="s">
        <v>471</v>
      </c>
      <c r="V6" s="430">
        <v>48.247764982110404</v>
      </c>
      <c r="W6" s="430">
        <v>3.1482061030057173</v>
      </c>
    </row>
    <row r="7" spans="2:23">
      <c r="B7" s="430" t="s">
        <v>2050</v>
      </c>
      <c r="C7" s="430" t="s">
        <v>2051</v>
      </c>
      <c r="F7" s="430">
        <v>1.0609638565322098E-2</v>
      </c>
      <c r="G7" s="430">
        <v>9.6514029552160291E-2</v>
      </c>
      <c r="H7" s="430">
        <v>0</v>
      </c>
      <c r="I7" s="430">
        <v>5</v>
      </c>
      <c r="J7" s="430">
        <v>1</v>
      </c>
      <c r="K7" s="430">
        <v>-1.0849728266305149E-2</v>
      </c>
      <c r="M7" s="1212" t="s">
        <v>1803</v>
      </c>
      <c r="N7" s="1212" t="s">
        <v>1895</v>
      </c>
      <c r="P7" s="430">
        <f>F7*$P$2</f>
        <v>7.8564638817174251E-2</v>
      </c>
      <c r="Q7" s="430">
        <f>G7*$P$2</f>
        <v>0.71468880168448568</v>
      </c>
      <c r="T7" s="430" t="s">
        <v>2098</v>
      </c>
      <c r="U7" s="430" t="s">
        <v>1983</v>
      </c>
      <c r="V7" s="430">
        <v>222.37476804093953</v>
      </c>
      <c r="W7" s="430">
        <v>7.168427232336537</v>
      </c>
    </row>
    <row r="8" spans="2:23">
      <c r="B8" s="430" t="s">
        <v>2052</v>
      </c>
      <c r="C8" s="430" t="s">
        <v>2051</v>
      </c>
      <c r="F8" s="430">
        <v>2.1781766635459072E-2</v>
      </c>
      <c r="G8" s="430">
        <v>0</v>
      </c>
      <c r="H8" s="430">
        <v>0</v>
      </c>
      <c r="I8" s="430">
        <v>5</v>
      </c>
      <c r="J8" s="430">
        <v>1</v>
      </c>
      <c r="K8" s="430">
        <v>-9.3307663090224282E-3</v>
      </c>
      <c r="M8" s="1212" t="s">
        <v>1803</v>
      </c>
      <c r="N8" s="1212" t="s">
        <v>1895</v>
      </c>
      <c r="P8" s="430">
        <f t="shared" ref="P8:Q14" si="0">F8*$P$2</f>
        <v>0.1612945264797403</v>
      </c>
      <c r="Q8" s="430">
        <f t="shared" si="0"/>
        <v>0</v>
      </c>
      <c r="T8" s="430" t="s">
        <v>2099</v>
      </c>
      <c r="U8" s="430" t="s">
        <v>2100</v>
      </c>
      <c r="V8" s="430">
        <v>267.2985893883311</v>
      </c>
      <c r="W8" s="430">
        <v>77.884946270820166</v>
      </c>
    </row>
    <row r="9" spans="2:23">
      <c r="B9" s="430" t="s">
        <v>2053</v>
      </c>
      <c r="C9" s="430" t="s">
        <v>2051</v>
      </c>
      <c r="F9" s="430">
        <v>6.1142963010790995E-2</v>
      </c>
      <c r="G9" s="430">
        <v>5.4574299393903007E-2</v>
      </c>
      <c r="H9" s="430">
        <v>0</v>
      </c>
      <c r="I9" s="430">
        <v>5</v>
      </c>
      <c r="J9" s="430">
        <v>1</v>
      </c>
      <c r="K9" s="430">
        <v>-2.1072323481202688E-3</v>
      </c>
      <c r="M9" s="1212" t="s">
        <v>1803</v>
      </c>
      <c r="N9" s="1212" t="s">
        <v>1895</v>
      </c>
      <c r="P9" s="430">
        <f t="shared" si="0"/>
        <v>0.45276516966898256</v>
      </c>
      <c r="Q9" s="430">
        <f t="shared" si="0"/>
        <v>0.4041240513693366</v>
      </c>
    </row>
    <row r="10" spans="2:23">
      <c r="B10" s="430" t="s">
        <v>2054</v>
      </c>
      <c r="C10" s="430" t="s">
        <v>2051</v>
      </c>
      <c r="F10" s="430">
        <v>0</v>
      </c>
      <c r="G10" s="430">
        <v>2.6688786976642865E-3</v>
      </c>
      <c r="H10" s="430">
        <v>0</v>
      </c>
      <c r="I10" s="430">
        <v>5</v>
      </c>
      <c r="J10" s="430">
        <v>1</v>
      </c>
      <c r="K10" s="430">
        <v>-3.021479541028022E-4</v>
      </c>
      <c r="L10" s="430">
        <f>0.000226610965577102*1000</f>
        <v>0.226610965577102</v>
      </c>
      <c r="M10" s="1212" t="s">
        <v>1803</v>
      </c>
      <c r="N10" s="1212" t="s">
        <v>1895</v>
      </c>
      <c r="P10" s="430">
        <f t="shared" si="0"/>
        <v>0</v>
      </c>
      <c r="Q10" s="430">
        <f t="shared" si="0"/>
        <v>1.976311347817148E-2</v>
      </c>
    </row>
    <row r="11" spans="2:23">
      <c r="B11" s="430" t="s">
        <v>2055</v>
      </c>
      <c r="C11" s="430" t="s">
        <v>2051</v>
      </c>
      <c r="F11" s="430">
        <v>0.15704003194271807</v>
      </c>
      <c r="G11" s="430">
        <v>0</v>
      </c>
      <c r="H11" s="430">
        <v>0</v>
      </c>
      <c r="I11" s="430">
        <v>5</v>
      </c>
      <c r="J11" s="430">
        <v>1</v>
      </c>
      <c r="K11" s="430">
        <v>-2.2315169235490682E-3</v>
      </c>
      <c r="L11" s="430">
        <f>0.0016736376926618*1000</f>
        <v>1.6736376926618</v>
      </c>
      <c r="M11" s="1212" t="s">
        <v>1803</v>
      </c>
      <c r="N11" s="1212" t="s">
        <v>1895</v>
      </c>
      <c r="P11" s="430">
        <f t="shared" si="0"/>
        <v>1.1628853625366258</v>
      </c>
      <c r="Q11" s="430">
        <f t="shared" si="0"/>
        <v>0</v>
      </c>
    </row>
    <row r="12" spans="2:23">
      <c r="B12" s="430" t="s">
        <v>2056</v>
      </c>
      <c r="C12" s="430" t="s">
        <v>2051</v>
      </c>
      <c r="F12" s="430">
        <v>7.1251008723919276E-2</v>
      </c>
      <c r="G12" s="430">
        <v>2.375033624130642E-2</v>
      </c>
      <c r="H12" s="430">
        <v>0</v>
      </c>
      <c r="I12" s="430">
        <v>5</v>
      </c>
      <c r="J12" s="430">
        <v>1</v>
      </c>
      <c r="K12" s="430">
        <v>-2.0572287975123796E-4</v>
      </c>
      <c r="M12" s="1212" t="s">
        <v>1803</v>
      </c>
      <c r="N12" s="1212" t="s">
        <v>1895</v>
      </c>
      <c r="P12" s="430">
        <f t="shared" si="0"/>
        <v>0.5276155008758403</v>
      </c>
      <c r="Q12" s="430">
        <f t="shared" si="0"/>
        <v>0.17587183362528006</v>
      </c>
    </row>
    <row r="13" spans="2:23">
      <c r="B13" s="430" t="s">
        <v>2057</v>
      </c>
      <c r="C13" s="430" t="s">
        <v>2051</v>
      </c>
      <c r="F13" s="430">
        <v>6.1981428319475205</v>
      </c>
      <c r="G13" s="430">
        <v>0.24792571327790075</v>
      </c>
      <c r="H13" s="430">
        <v>0</v>
      </c>
      <c r="I13" s="430">
        <v>10</v>
      </c>
      <c r="J13" s="430">
        <v>1</v>
      </c>
      <c r="K13" s="430">
        <v>-2.2232273424066697E-4</v>
      </c>
      <c r="M13" s="1212" t="s">
        <v>1803</v>
      </c>
      <c r="N13" s="1212" t="s">
        <v>1895</v>
      </c>
      <c r="P13" s="430">
        <f t="shared" si="0"/>
        <v>45.897402624142181</v>
      </c>
      <c r="Q13" s="430">
        <f t="shared" si="0"/>
        <v>1.8358961049656868</v>
      </c>
    </row>
    <row r="14" spans="2:23">
      <c r="B14" s="430" t="s">
        <v>2058</v>
      </c>
      <c r="C14" s="430" t="s">
        <v>2051</v>
      </c>
      <c r="F14" s="430">
        <v>4.5418680353163925E-2</v>
      </c>
      <c r="G14" s="430">
        <v>6.6628246971549834E-3</v>
      </c>
      <c r="H14" s="430">
        <v>0</v>
      </c>
      <c r="I14" s="430">
        <v>20</v>
      </c>
      <c r="J14" s="430">
        <v>1</v>
      </c>
      <c r="K14" s="430">
        <v>-7.6654132276810453E-3</v>
      </c>
      <c r="L14" s="430">
        <f>0.00574905992076078*1000</f>
        <v>5.7490599207607804</v>
      </c>
      <c r="M14" s="1212" t="s">
        <v>1803</v>
      </c>
      <c r="N14" s="1212" t="s">
        <v>1895</v>
      </c>
      <c r="P14" s="430">
        <f t="shared" si="0"/>
        <v>0.33632646348218764</v>
      </c>
      <c r="Q14" s="430">
        <f t="shared" si="0"/>
        <v>4.9338383453050076E-2</v>
      </c>
    </row>
    <row r="15" spans="2:23">
      <c r="K15" s="430">
        <f>SUM(K7:K14)</f>
        <v>-3.2914850642772671E-2</v>
      </c>
      <c r="L15" s="430">
        <f>SUM(L7:L14)</f>
        <v>7.6493085789996824</v>
      </c>
    </row>
    <row r="18" spans="2:17">
      <c r="F18" s="1214" t="s">
        <v>582</v>
      </c>
      <c r="G18" s="1214" t="s">
        <v>300</v>
      </c>
      <c r="H18" s="1214" t="s">
        <v>301</v>
      </c>
      <c r="I18" s="1214" t="s">
        <v>578</v>
      </c>
      <c r="J18" s="1214" t="s">
        <v>299</v>
      </c>
      <c r="K18" s="1214" t="s">
        <v>2044</v>
      </c>
      <c r="L18" s="1214" t="s">
        <v>254</v>
      </c>
      <c r="M18" s="1216" t="s">
        <v>361</v>
      </c>
      <c r="N18" s="1216" t="s">
        <v>344</v>
      </c>
      <c r="P18" s="1214" t="str">
        <f>F18</f>
        <v>INVCOST</v>
      </c>
      <c r="Q18" s="1214" t="str">
        <f>G18</f>
        <v>FIXOM</v>
      </c>
    </row>
    <row r="19" spans="2:17">
      <c r="B19" s="388" t="s">
        <v>2059</v>
      </c>
      <c r="F19" s="430">
        <v>2010</v>
      </c>
      <c r="G19" s="430">
        <v>2010</v>
      </c>
      <c r="H19" s="430">
        <v>2010</v>
      </c>
      <c r="I19" s="430">
        <v>2010</v>
      </c>
      <c r="J19" s="430">
        <v>2010</v>
      </c>
      <c r="K19" s="430">
        <v>2010</v>
      </c>
      <c r="L19" s="430">
        <v>2010</v>
      </c>
      <c r="M19" s="1212">
        <v>2010</v>
      </c>
      <c r="N19" s="1212">
        <v>2010</v>
      </c>
      <c r="P19" s="430">
        <v>2010</v>
      </c>
      <c r="Q19" s="430">
        <v>2010</v>
      </c>
    </row>
    <row r="20" spans="2:17">
      <c r="B20" s="430" t="s">
        <v>1902</v>
      </c>
      <c r="F20" s="430" t="s">
        <v>2046</v>
      </c>
      <c r="G20" s="430" t="s">
        <v>2046</v>
      </c>
      <c r="H20" s="430" t="s">
        <v>2046</v>
      </c>
      <c r="I20" s="430" t="s">
        <v>2047</v>
      </c>
      <c r="K20" s="430" t="s">
        <v>2048</v>
      </c>
      <c r="L20" s="430" t="s">
        <v>2049</v>
      </c>
      <c r="M20" s="1212" t="s">
        <v>1895</v>
      </c>
      <c r="N20" s="1212" t="s">
        <v>1896</v>
      </c>
    </row>
    <row r="21" spans="2:17">
      <c r="B21" s="430" t="s">
        <v>2060</v>
      </c>
      <c r="C21" s="430" t="s">
        <v>2051</v>
      </c>
      <c r="F21" s="430">
        <v>1.7546317954950218E-2</v>
      </c>
      <c r="G21" s="430">
        <v>0.1596157907933646</v>
      </c>
      <c r="H21" s="430">
        <v>0</v>
      </c>
      <c r="I21" s="430">
        <v>5</v>
      </c>
      <c r="J21" s="430">
        <v>1</v>
      </c>
      <c r="K21" s="430">
        <v>-3.7016329872635225E-3</v>
      </c>
      <c r="L21" s="430">
        <v>0</v>
      </c>
      <c r="M21" s="1212" t="s">
        <v>1895</v>
      </c>
      <c r="N21" s="1212" t="s">
        <v>1896</v>
      </c>
      <c r="P21" s="430">
        <f>F21*$P$2</f>
        <v>0.12993092311435522</v>
      </c>
      <c r="Q21" s="430">
        <f>G21*$P$2</f>
        <v>1.1819589212196346</v>
      </c>
    </row>
    <row r="22" spans="2:17">
      <c r="B22" s="430" t="s">
        <v>2061</v>
      </c>
      <c r="C22" s="430" t="s">
        <v>2051</v>
      </c>
      <c r="F22" s="430">
        <v>3.4673714463469674E-2</v>
      </c>
      <c r="G22" s="430">
        <v>0</v>
      </c>
      <c r="H22" s="430">
        <v>0</v>
      </c>
      <c r="I22" s="430">
        <v>5</v>
      </c>
      <c r="J22" s="430">
        <v>1</v>
      </c>
      <c r="K22" s="430">
        <v>-3.1834043690466291E-3</v>
      </c>
      <c r="L22" s="430">
        <v>0</v>
      </c>
      <c r="M22" s="1212" t="s">
        <v>1895</v>
      </c>
      <c r="N22" s="1212" t="s">
        <v>1896</v>
      </c>
      <c r="P22" s="430">
        <f t="shared" ref="P22:Q38" si="1">F22*$P$2</f>
        <v>0.25675972244485451</v>
      </c>
      <c r="Q22" s="430">
        <f t="shared" si="1"/>
        <v>0</v>
      </c>
    </row>
    <row r="23" spans="2:17">
      <c r="B23" s="430" t="s">
        <v>2062</v>
      </c>
      <c r="C23" s="430" t="s">
        <v>2051</v>
      </c>
      <c r="F23" s="430">
        <v>4.8048561381956326E-3</v>
      </c>
      <c r="G23" s="430">
        <v>0</v>
      </c>
      <c r="H23" s="430">
        <v>0</v>
      </c>
      <c r="I23" s="430">
        <v>5</v>
      </c>
      <c r="J23" s="430">
        <v>1</v>
      </c>
      <c r="K23" s="430">
        <v>-6.8500894062093858E-3</v>
      </c>
      <c r="L23" s="430">
        <v>5.1375670546570393E-3</v>
      </c>
      <c r="M23" s="1212" t="s">
        <v>1895</v>
      </c>
      <c r="N23" s="1212" t="s">
        <v>1896</v>
      </c>
      <c r="P23" s="430">
        <f t="shared" si="1"/>
        <v>3.5580079824742109E-2</v>
      </c>
      <c r="Q23" s="430">
        <f t="shared" si="1"/>
        <v>0</v>
      </c>
    </row>
    <row r="24" spans="2:17">
      <c r="B24" s="430" t="s">
        <v>2063</v>
      </c>
      <c r="C24" s="430" t="s">
        <v>2051</v>
      </c>
      <c r="F24" s="430">
        <v>0.22641229308207547</v>
      </c>
      <c r="G24" s="430">
        <v>1.1928583000565185E-2</v>
      </c>
      <c r="H24" s="430">
        <v>0</v>
      </c>
      <c r="I24" s="430">
        <v>10</v>
      </c>
      <c r="J24" s="430">
        <v>1</v>
      </c>
      <c r="K24" s="430">
        <v>-3.2910747493155017E-3</v>
      </c>
      <c r="L24" s="430">
        <v>2.4683060619866263E-3</v>
      </c>
      <c r="M24" s="1212" t="s">
        <v>1895</v>
      </c>
      <c r="N24" s="1212" t="s">
        <v>1896</v>
      </c>
      <c r="P24" s="430">
        <f t="shared" si="1"/>
        <v>1.6765886905800957</v>
      </c>
      <c r="Q24" s="430">
        <f t="shared" si="1"/>
        <v>8.8331455333760203E-2</v>
      </c>
    </row>
    <row r="25" spans="2:17">
      <c r="B25" s="430" t="s">
        <v>2064</v>
      </c>
      <c r="C25" s="430" t="s">
        <v>2051</v>
      </c>
      <c r="F25" s="430">
        <v>0.23933171435212466</v>
      </c>
      <c r="G25" s="430">
        <v>-6.2824575017432716E-2</v>
      </c>
      <c r="H25" s="430">
        <v>0</v>
      </c>
      <c r="I25" s="430">
        <v>5</v>
      </c>
      <c r="J25" s="430">
        <v>1</v>
      </c>
      <c r="K25" s="430">
        <v>-3.2626353233606497E-3</v>
      </c>
      <c r="L25" s="430">
        <v>0</v>
      </c>
      <c r="M25" s="1212" t="s">
        <v>1895</v>
      </c>
      <c r="N25" s="1212" t="s">
        <v>1896</v>
      </c>
      <c r="P25" s="430">
        <f t="shared" si="1"/>
        <v>1.7722573280703418</v>
      </c>
      <c r="Q25" s="430">
        <f t="shared" si="1"/>
        <v>-0.46521754861846465</v>
      </c>
    </row>
    <row r="26" spans="2:17">
      <c r="B26" s="430" t="s">
        <v>2065</v>
      </c>
      <c r="C26" s="430" t="s">
        <v>2051</v>
      </c>
      <c r="F26" s="430">
        <v>0.41222903310979797</v>
      </c>
      <c r="G26" s="430">
        <v>2.0560889647493665E-2</v>
      </c>
      <c r="H26" s="430">
        <v>0</v>
      </c>
      <c r="I26" s="430">
        <v>20</v>
      </c>
      <c r="J26" s="430">
        <v>1</v>
      </c>
      <c r="K26" s="430">
        <v>-1.8682062016934689E-2</v>
      </c>
      <c r="L26" s="430">
        <v>0</v>
      </c>
      <c r="M26" s="1212" t="s">
        <v>1895</v>
      </c>
      <c r="N26" s="1212" t="s">
        <v>1896</v>
      </c>
      <c r="P26" s="430">
        <f t="shared" si="1"/>
        <v>3.0525662959038815</v>
      </c>
      <c r="Q26" s="430">
        <f t="shared" si="1"/>
        <v>0.15225390186193177</v>
      </c>
    </row>
    <row r="27" spans="2:17">
      <c r="B27" s="430" t="s">
        <v>2066</v>
      </c>
      <c r="C27" s="430" t="s">
        <v>2051</v>
      </c>
      <c r="F27" s="430">
        <v>0.18048240137435967</v>
      </c>
      <c r="G27" s="430">
        <v>6.9864155370719869E-3</v>
      </c>
      <c r="H27" s="430">
        <v>0</v>
      </c>
      <c r="I27" s="430">
        <v>5</v>
      </c>
      <c r="J27" s="430">
        <v>1</v>
      </c>
      <c r="K27" s="430">
        <v>-1.2454708011289792E-3</v>
      </c>
      <c r="L27" s="430">
        <v>0</v>
      </c>
      <c r="M27" s="1212" t="s">
        <v>1895</v>
      </c>
      <c r="N27" s="1212" t="s">
        <v>1896</v>
      </c>
      <c r="P27" s="430">
        <f t="shared" si="1"/>
        <v>1.3364766942371675</v>
      </c>
      <c r="Q27" s="430">
        <f t="shared" si="1"/>
        <v>5.1734581712406483E-2</v>
      </c>
    </row>
    <row r="28" spans="2:17">
      <c r="B28" s="430" t="s">
        <v>2067</v>
      </c>
      <c r="C28" s="430" t="s">
        <v>2051</v>
      </c>
      <c r="F28" s="430">
        <v>0.7886552322644933</v>
      </c>
      <c r="G28" s="430">
        <v>5.6332516590320951E-3</v>
      </c>
      <c r="H28" s="430">
        <v>0</v>
      </c>
      <c r="I28" s="430">
        <v>15</v>
      </c>
      <c r="J28" s="430">
        <v>1</v>
      </c>
      <c r="K28" s="430">
        <v>-2.1292709867636954E-3</v>
      </c>
      <c r="L28" s="430">
        <v>0</v>
      </c>
      <c r="M28" s="1212" t="s">
        <v>1895</v>
      </c>
      <c r="N28" s="1212" t="s">
        <v>1896</v>
      </c>
      <c r="P28" s="430">
        <f t="shared" si="1"/>
        <v>5.840011711299379</v>
      </c>
      <c r="Q28" s="430">
        <f t="shared" si="1"/>
        <v>4.1714369366424135E-2</v>
      </c>
    </row>
    <row r="29" spans="2:17">
      <c r="B29" s="430" t="s">
        <v>2068</v>
      </c>
      <c r="C29" s="430" t="s">
        <v>2051</v>
      </c>
      <c r="F29" s="430">
        <v>27.790965052648904</v>
      </c>
      <c r="G29" s="430">
        <v>0.55581930105297817</v>
      </c>
      <c r="H29" s="430">
        <v>0</v>
      </c>
      <c r="I29" s="430">
        <v>10</v>
      </c>
      <c r="J29" s="430">
        <v>1</v>
      </c>
      <c r="K29" s="430">
        <v>-1.5393165483694449E-3</v>
      </c>
      <c r="L29" s="430">
        <v>0</v>
      </c>
      <c r="M29" s="1212" t="s">
        <v>1895</v>
      </c>
      <c r="N29" s="1212" t="s">
        <v>1896</v>
      </c>
      <c r="P29" s="430">
        <f t="shared" si="1"/>
        <v>205.79279098899144</v>
      </c>
      <c r="Q29" s="430">
        <f t="shared" si="1"/>
        <v>4.1158558197798296</v>
      </c>
    </row>
    <row r="30" spans="2:17">
      <c r="B30" s="430" t="s">
        <v>2069</v>
      </c>
      <c r="C30" s="430" t="s">
        <v>2051</v>
      </c>
      <c r="F30" s="430">
        <v>1.4050048268166471E-3</v>
      </c>
      <c r="G30" s="430">
        <v>4.5963028736816843E-3</v>
      </c>
      <c r="H30" s="430">
        <v>0</v>
      </c>
      <c r="I30" s="430">
        <v>5</v>
      </c>
      <c r="J30" s="430">
        <v>1</v>
      </c>
      <c r="K30" s="430">
        <v>-4.7288691578959948E-4</v>
      </c>
      <c r="L30" s="430">
        <v>0</v>
      </c>
      <c r="M30" s="1212" t="s">
        <v>1895</v>
      </c>
      <c r="N30" s="1212" t="s">
        <v>1896</v>
      </c>
      <c r="P30" s="430">
        <f t="shared" si="1"/>
        <v>1.0404095867697942E-2</v>
      </c>
      <c r="Q30" s="430">
        <f t="shared" si="1"/>
        <v>3.4035737687184708E-2</v>
      </c>
    </row>
    <row r="31" spans="2:17">
      <c r="B31" s="430" t="s">
        <v>2070</v>
      </c>
      <c r="C31" s="430" t="s">
        <v>2051</v>
      </c>
      <c r="F31" s="430">
        <v>1.0017391163845174E-3</v>
      </c>
      <c r="G31" s="430">
        <v>6.010434698307106E-3</v>
      </c>
      <c r="H31" s="430">
        <v>0</v>
      </c>
      <c r="I31" s="430">
        <v>5</v>
      </c>
      <c r="J31" s="430">
        <v>1</v>
      </c>
      <c r="K31" s="430">
        <v>-5.5690516420876942E-4</v>
      </c>
      <c r="L31" s="430">
        <v>0</v>
      </c>
      <c r="M31" s="1212" t="s">
        <v>1895</v>
      </c>
      <c r="N31" s="1212" t="s">
        <v>1896</v>
      </c>
      <c r="P31" s="430">
        <f t="shared" si="1"/>
        <v>7.4179032003052602E-3</v>
      </c>
      <c r="Q31" s="430">
        <f t="shared" si="1"/>
        <v>4.4507419201831572E-2</v>
      </c>
    </row>
    <row r="32" spans="2:17">
      <c r="B32" s="430" t="s">
        <v>2071</v>
      </c>
      <c r="C32" s="430" t="s">
        <v>2051</v>
      </c>
      <c r="F32" s="430">
        <v>9.5299898521379725E-2</v>
      </c>
      <c r="G32" s="430">
        <v>9.5299898521379725E-2</v>
      </c>
      <c r="H32" s="430">
        <v>0</v>
      </c>
      <c r="I32" s="430">
        <v>5</v>
      </c>
      <c r="J32" s="430">
        <v>1</v>
      </c>
      <c r="K32" s="430">
        <v>-8.1527311869353348E-5</v>
      </c>
      <c r="L32" s="430">
        <v>0</v>
      </c>
      <c r="M32" s="1212" t="s">
        <v>1895</v>
      </c>
      <c r="N32" s="1212" t="s">
        <v>1896</v>
      </c>
      <c r="P32" s="430">
        <f t="shared" si="1"/>
        <v>0.70569813104827983</v>
      </c>
      <c r="Q32" s="430">
        <f t="shared" si="1"/>
        <v>0.70569813104827983</v>
      </c>
    </row>
    <row r="33" spans="2:17">
      <c r="B33" s="430" t="s">
        <v>2072</v>
      </c>
      <c r="C33" s="430" t="s">
        <v>2051</v>
      </c>
      <c r="F33" s="430">
        <v>9.4346899536165943E-2</v>
      </c>
      <c r="G33" s="430">
        <v>0.12579586604822121</v>
      </c>
      <c r="H33" s="430">
        <v>0</v>
      </c>
      <c r="I33" s="430">
        <v>5</v>
      </c>
      <c r="J33" s="430">
        <v>1</v>
      </c>
      <c r="K33" s="430">
        <v>-1.2352623010508082E-4</v>
      </c>
      <c r="L33" s="430">
        <v>0</v>
      </c>
      <c r="M33" s="1212" t="s">
        <v>1895</v>
      </c>
      <c r="N33" s="1212" t="s">
        <v>1896</v>
      </c>
      <c r="P33" s="430">
        <f t="shared" si="1"/>
        <v>0.69864114973779712</v>
      </c>
      <c r="Q33" s="430">
        <f t="shared" si="1"/>
        <v>0.93152153298372919</v>
      </c>
    </row>
    <row r="34" spans="2:17">
      <c r="B34" s="430" t="s">
        <v>2073</v>
      </c>
      <c r="C34" s="430" t="s">
        <v>2051</v>
      </c>
      <c r="F34" s="430">
        <v>0.11327999767392577</v>
      </c>
      <c r="G34" s="430">
        <v>3.9115426264721503E-2</v>
      </c>
      <c r="H34" s="430">
        <v>0</v>
      </c>
      <c r="I34" s="430">
        <v>5</v>
      </c>
      <c r="J34" s="430">
        <v>1</v>
      </c>
      <c r="K34" s="430">
        <v>-2.774973093711541E-4</v>
      </c>
      <c r="L34" s="430">
        <v>2.0812298202836556E-4</v>
      </c>
      <c r="M34" s="1212" t="s">
        <v>1895</v>
      </c>
      <c r="N34" s="1212" t="s">
        <v>1896</v>
      </c>
      <c r="P34" s="430">
        <f t="shared" si="1"/>
        <v>0.83884121477536211</v>
      </c>
      <c r="Q34" s="430">
        <f t="shared" si="1"/>
        <v>0.2896507093759193</v>
      </c>
    </row>
    <row r="35" spans="2:17">
      <c r="B35" s="430" t="s">
        <v>2058</v>
      </c>
      <c r="C35" s="430" t="s">
        <v>2051</v>
      </c>
      <c r="F35" s="430">
        <v>7.2300579665080716E-2</v>
      </c>
      <c r="G35" s="430">
        <v>1.0606342678064259E-2</v>
      </c>
      <c r="H35" s="430">
        <v>0</v>
      </c>
      <c r="I35" s="430">
        <v>5</v>
      </c>
      <c r="J35" s="430">
        <v>1</v>
      </c>
      <c r="K35" s="430">
        <v>-1.2202332067428942E-2</v>
      </c>
      <c r="L35" s="430">
        <v>9.1517490505717072E-3</v>
      </c>
      <c r="M35" s="1212" t="s">
        <v>1895</v>
      </c>
      <c r="N35" s="1212" t="s">
        <v>1896</v>
      </c>
      <c r="P35" s="430">
        <f t="shared" si="1"/>
        <v>0.53538759993441432</v>
      </c>
      <c r="Q35" s="430">
        <f t="shared" si="1"/>
        <v>7.8540232689632783E-2</v>
      </c>
    </row>
    <row r="36" spans="2:17">
      <c r="B36" s="430" t="s">
        <v>2074</v>
      </c>
      <c r="C36" s="430" t="s">
        <v>2051</v>
      </c>
      <c r="F36" s="430">
        <v>2.3450328178147701E-2</v>
      </c>
      <c r="G36" s="430">
        <v>2.4491069267003411E-5</v>
      </c>
      <c r="H36" s="430">
        <v>0</v>
      </c>
      <c r="I36" s="430">
        <v>5</v>
      </c>
      <c r="J36" s="430">
        <v>1</v>
      </c>
      <c r="K36" s="430">
        <v>-6.5632650084962435E-5</v>
      </c>
      <c r="L36" s="430">
        <v>0</v>
      </c>
      <c r="M36" s="1212" t="s">
        <v>1895</v>
      </c>
      <c r="N36" s="1212" t="s">
        <v>1896</v>
      </c>
      <c r="P36" s="430">
        <f t="shared" si="1"/>
        <v>0.17365026641738815</v>
      </c>
      <c r="Q36" s="430">
        <f t="shared" si="1"/>
        <v>1.8135698019889192E-4</v>
      </c>
    </row>
    <row r="37" spans="2:17">
      <c r="B37" s="430" t="s">
        <v>2075</v>
      </c>
      <c r="C37" s="430" t="s">
        <v>2051</v>
      </c>
      <c r="F37" s="430">
        <v>1.7665463359561411E-2</v>
      </c>
      <c r="G37" s="430">
        <v>0</v>
      </c>
      <c r="H37" s="430">
        <v>0</v>
      </c>
      <c r="I37" s="430">
        <v>15</v>
      </c>
      <c r="J37" s="430">
        <v>1</v>
      </c>
      <c r="K37" s="430">
        <v>-1.4154151295754598E-2</v>
      </c>
      <c r="L37" s="430">
        <v>0</v>
      </c>
      <c r="M37" s="1212" t="s">
        <v>1895</v>
      </c>
      <c r="N37" s="1212" t="s">
        <v>1896</v>
      </c>
      <c r="P37" s="430">
        <f t="shared" si="1"/>
        <v>0.13081319781413622</v>
      </c>
      <c r="Q37" s="430">
        <f t="shared" si="1"/>
        <v>0</v>
      </c>
    </row>
    <row r="38" spans="2:17">
      <c r="B38" s="430" t="s">
        <v>2076</v>
      </c>
      <c r="C38" s="430" t="s">
        <v>2051</v>
      </c>
      <c r="F38" s="430">
        <v>9.0943832559342106E-3</v>
      </c>
      <c r="G38" s="430">
        <v>1.4430659952938856E-4</v>
      </c>
      <c r="H38" s="430">
        <v>0</v>
      </c>
      <c r="I38" s="430">
        <v>20</v>
      </c>
      <c r="J38" s="430">
        <v>1</v>
      </c>
      <c r="K38" s="430">
        <v>-2.7675597680213234E-3</v>
      </c>
      <c r="L38" s="430">
        <v>0</v>
      </c>
      <c r="M38" s="1212" t="s">
        <v>1895</v>
      </c>
      <c r="N38" s="1212" t="s">
        <v>1896</v>
      </c>
      <c r="P38" s="430">
        <f t="shared" si="1"/>
        <v>6.7344135369774225E-2</v>
      </c>
      <c r="Q38" s="430">
        <f t="shared" si="1"/>
        <v>1.0685939771801103E-3</v>
      </c>
    </row>
    <row r="39" spans="2:17">
      <c r="K39" s="430">
        <f>SUM(K27:K38,K21:K25)</f>
        <v>-5.5904913884091599E-2</v>
      </c>
      <c r="L39" s="430">
        <f>SUM(L21:L38)</f>
        <v>1.696574514924374E-2</v>
      </c>
    </row>
    <row r="41" spans="2:17">
      <c r="B41" s="388" t="s">
        <v>2077</v>
      </c>
      <c r="F41" s="1214" t="s">
        <v>582</v>
      </c>
      <c r="G41" s="1214" t="s">
        <v>300</v>
      </c>
      <c r="H41" s="1214" t="s">
        <v>301</v>
      </c>
      <c r="I41" s="1214" t="s">
        <v>578</v>
      </c>
      <c r="J41" s="1214" t="s">
        <v>299</v>
      </c>
      <c r="K41" s="1214" t="s">
        <v>2044</v>
      </c>
      <c r="L41" s="1214" t="s">
        <v>254</v>
      </c>
      <c r="M41" s="1216" t="s">
        <v>361</v>
      </c>
      <c r="N41" s="1216" t="s">
        <v>344</v>
      </c>
      <c r="P41" s="1214" t="str">
        <f>F41</f>
        <v>INVCOST</v>
      </c>
      <c r="Q41" s="1214" t="str">
        <f>G41</f>
        <v>FIXOM</v>
      </c>
    </row>
    <row r="42" spans="2:17">
      <c r="B42" s="430" t="s">
        <v>2078</v>
      </c>
      <c r="C42" s="430" t="s">
        <v>2051</v>
      </c>
      <c r="E42" s="430" t="s">
        <v>2079</v>
      </c>
      <c r="F42" s="430">
        <v>2.427908546168899</v>
      </c>
      <c r="G42" s="430">
        <v>7.7114354949895979E-3</v>
      </c>
      <c r="H42" s="430">
        <v>0</v>
      </c>
      <c r="I42" s="430">
        <v>5</v>
      </c>
      <c r="J42" s="430">
        <v>1</v>
      </c>
      <c r="K42" s="430">
        <v>-1.2962238463487673E-3</v>
      </c>
      <c r="P42" s="430">
        <f>F42*$P$2</f>
        <v>17.978723482094349</v>
      </c>
      <c r="Q42" s="430">
        <f>G42*$P$2</f>
        <v>5.7103372626285342E-2</v>
      </c>
    </row>
    <row r="43" spans="2:17">
      <c r="B43" s="430" t="s">
        <v>2080</v>
      </c>
      <c r="C43" s="430" t="s">
        <v>2051</v>
      </c>
      <c r="F43" s="430">
        <v>10.523978470384133</v>
      </c>
      <c r="G43" s="430">
        <v>10.496984962616432</v>
      </c>
      <c r="H43" s="430">
        <v>0</v>
      </c>
      <c r="I43" s="430">
        <v>5</v>
      </c>
      <c r="J43" s="430">
        <v>1</v>
      </c>
      <c r="K43" s="430">
        <v>-3.2904143791930248E-3</v>
      </c>
      <c r="P43" s="430">
        <f t="shared" ref="P43:Q47" si="2">F43*$P$2</f>
        <v>77.930323672656257</v>
      </c>
      <c r="Q43" s="430">
        <f t="shared" si="2"/>
        <v>77.730436072798739</v>
      </c>
    </row>
    <row r="44" spans="2:17">
      <c r="B44" s="430" t="s">
        <v>2081</v>
      </c>
      <c r="C44" s="430" t="s">
        <v>2051</v>
      </c>
      <c r="F44" s="430">
        <v>3.3176905834238747E-2</v>
      </c>
      <c r="G44" s="430">
        <v>6.2672526331164213E-3</v>
      </c>
      <c r="H44" s="430">
        <v>0</v>
      </c>
      <c r="I44" s="430">
        <v>5</v>
      </c>
      <c r="J44" s="430">
        <v>1</v>
      </c>
      <c r="K44" s="430">
        <v>-2.9508529743253829E-3</v>
      </c>
      <c r="P44" s="430">
        <f t="shared" si="2"/>
        <v>0.24567581712518374</v>
      </c>
      <c r="Q44" s="430">
        <f t="shared" si="2"/>
        <v>4.6409162429542926E-2</v>
      </c>
    </row>
    <row r="45" spans="2:17">
      <c r="B45" s="430" t="s">
        <v>2082</v>
      </c>
      <c r="C45" s="430" t="s">
        <v>2051</v>
      </c>
      <c r="F45" s="430">
        <v>1.1058968611412917E-2</v>
      </c>
      <c r="G45" s="430">
        <v>1.28728231501124E-2</v>
      </c>
      <c r="H45" s="430">
        <v>0</v>
      </c>
      <c r="I45" s="430">
        <v>5</v>
      </c>
      <c r="J45" s="430">
        <v>1</v>
      </c>
      <c r="K45" s="430">
        <v>-3.6380514485696886E-3</v>
      </c>
      <c r="P45" s="430">
        <f t="shared" si="2"/>
        <v>8.1891939041727937E-2</v>
      </c>
      <c r="Q45" s="430">
        <f t="shared" si="2"/>
        <v>9.5323577247161062E-2</v>
      </c>
    </row>
    <row r="46" spans="2:17">
      <c r="B46" s="430" t="s">
        <v>2083</v>
      </c>
      <c r="C46" s="430" t="s">
        <v>2051</v>
      </c>
      <c r="D46" s="430" t="s">
        <v>2079</v>
      </c>
      <c r="E46" s="430" t="s">
        <v>2079</v>
      </c>
      <c r="F46" s="430">
        <v>23.125308107424441</v>
      </c>
      <c r="G46" s="430">
        <v>1.1562654053712219E-3</v>
      </c>
      <c r="I46" s="430">
        <v>5</v>
      </c>
      <c r="K46" s="430">
        <v>-3.7563811713270641E-3</v>
      </c>
      <c r="P46" s="430">
        <f t="shared" si="2"/>
        <v>171.24348466818066</v>
      </c>
      <c r="Q46" s="430">
        <f t="shared" si="2"/>
        <v>8.5621742334090322E-3</v>
      </c>
    </row>
    <row r="47" spans="2:17">
      <c r="B47" s="430" t="s">
        <v>2084</v>
      </c>
      <c r="C47" s="430" t="s">
        <v>2051</v>
      </c>
      <c r="D47" s="430" t="s">
        <v>2079</v>
      </c>
      <c r="E47" s="430" t="s">
        <v>2079</v>
      </c>
      <c r="F47" s="430">
        <v>550.44446487394441</v>
      </c>
      <c r="G47" s="430">
        <v>40.899933849308049</v>
      </c>
      <c r="I47" s="430">
        <v>0</v>
      </c>
      <c r="K47" s="430">
        <v>-1.563923149291405E-3</v>
      </c>
      <c r="P47" s="430">
        <f t="shared" si="2"/>
        <v>4076.0550235031797</v>
      </c>
      <c r="Q47" s="430">
        <f t="shared" si="2"/>
        <v>302.86503265247228</v>
      </c>
    </row>
    <row r="48" spans="2:17">
      <c r="K48" s="430">
        <f>SUM(K42:K47)</f>
        <v>-1.6495846969055331E-2</v>
      </c>
    </row>
    <row r="52" spans="1:25">
      <c r="R52" s="430" t="s">
        <v>904</v>
      </c>
      <c r="S52" s="430" t="s">
        <v>905</v>
      </c>
      <c r="T52" s="430" t="s">
        <v>245</v>
      </c>
      <c r="U52" s="430" t="s">
        <v>906</v>
      </c>
      <c r="V52" s="430" t="s">
        <v>907</v>
      </c>
      <c r="W52" s="430" t="s">
        <v>908</v>
      </c>
      <c r="X52" s="430" t="s">
        <v>909</v>
      </c>
      <c r="Y52" s="430" t="s">
        <v>910</v>
      </c>
    </row>
    <row r="53" spans="1:25">
      <c r="R53" s="430">
        <v>74.066699999999997</v>
      </c>
      <c r="S53" s="430">
        <v>3.0000000000000001E-3</v>
      </c>
      <c r="U53" s="430">
        <v>5.9999999999999995E-4</v>
      </c>
      <c r="V53" s="430">
        <v>0.25290000000000001</v>
      </c>
      <c r="W53" s="430">
        <v>0.2</v>
      </c>
      <c r="X53" s="430">
        <v>1.4999999999999999E-2</v>
      </c>
      <c r="Y53" s="430">
        <v>5.0000000000000001E-3</v>
      </c>
    </row>
    <row r="54" spans="1:25">
      <c r="A54" s="41"/>
      <c r="B54" s="42" t="s">
        <v>308</v>
      </c>
      <c r="C54" s="42"/>
      <c r="D54" s="42"/>
      <c r="E54" s="42"/>
      <c r="F54" s="42"/>
      <c r="G54"/>
      <c r="H54"/>
      <c r="I54"/>
      <c r="Q54" s="430" t="s">
        <v>2096</v>
      </c>
      <c r="R54" s="430">
        <f>R53</f>
        <v>74.066699999999997</v>
      </c>
      <c r="S54" s="430">
        <f>S53*25</f>
        <v>7.4999999999999997E-2</v>
      </c>
      <c r="T54" s="430">
        <f>SUM(R54:S54)</f>
        <v>74.1417</v>
      </c>
    </row>
    <row r="55" spans="1:25">
      <c r="A55" s="42" t="s">
        <v>310</v>
      </c>
      <c r="B55" s="42"/>
      <c r="C55" s="42"/>
      <c r="D55" s="42"/>
      <c r="E55" s="42"/>
      <c r="F55" s="42"/>
      <c r="G55"/>
      <c r="H55"/>
      <c r="I55"/>
      <c r="Q55" s="430" t="s">
        <v>2097</v>
      </c>
      <c r="R55" s="430">
        <f>R56/T54</f>
        <v>4.0463059250057657E-6</v>
      </c>
      <c r="S55" s="430">
        <f>R56/T54</f>
        <v>4.0463059250057657E-6</v>
      </c>
    </row>
    <row r="56" spans="1:25">
      <c r="A56" s="42" t="s">
        <v>310</v>
      </c>
      <c r="B56" s="42"/>
      <c r="C56" s="42"/>
      <c r="D56" s="651"/>
      <c r="E56" s="42"/>
      <c r="F56" s="42"/>
      <c r="G56"/>
      <c r="H56"/>
      <c r="I56"/>
      <c r="R56" s="430">
        <f>(0.3*1000*1000)/(1000*1000*1000)</f>
        <v>2.9999999999999997E-4</v>
      </c>
    </row>
    <row r="57" spans="1:25">
      <c r="A57" s="42" t="s">
        <v>310</v>
      </c>
      <c r="B57" s="42"/>
      <c r="C57" s="42"/>
      <c r="D57" s="651"/>
      <c r="E57" s="42"/>
      <c r="F57" s="42"/>
      <c r="G57"/>
      <c r="H57"/>
      <c r="I57"/>
      <c r="R57" s="430">
        <f>R55+S55</f>
        <v>8.0926118500115313E-6</v>
      </c>
    </row>
    <row r="58" spans="1:25">
      <c r="A58" s="42" t="s">
        <v>310</v>
      </c>
      <c r="B58" s="42"/>
      <c r="C58" s="42"/>
      <c r="D58" s="1044"/>
      <c r="E58" s="42"/>
      <c r="F58" s="42"/>
      <c r="G58"/>
      <c r="H58"/>
      <c r="I58"/>
    </row>
    <row r="59" spans="1:25">
      <c r="A59" s="42" t="s">
        <v>310</v>
      </c>
      <c r="B59" s="42"/>
      <c r="C59" s="42"/>
      <c r="D59" s="42"/>
      <c r="E59" s="42"/>
      <c r="F59" s="42"/>
      <c r="G59"/>
      <c r="H59"/>
      <c r="I59"/>
    </row>
    <row r="60" spans="1:25">
      <c r="A60" s="42" t="s">
        <v>310</v>
      </c>
      <c r="B60" s="41" t="s">
        <v>311</v>
      </c>
      <c r="C60" s="161" t="s">
        <v>312</v>
      </c>
      <c r="D60" s="41" t="s">
        <v>313</v>
      </c>
      <c r="E60" s="41" t="s">
        <v>314</v>
      </c>
      <c r="F60" s="41" t="s">
        <v>315</v>
      </c>
      <c r="G60"/>
      <c r="H60"/>
      <c r="I60"/>
    </row>
    <row r="61" spans="1:25">
      <c r="A61" s="42" t="s">
        <v>310</v>
      </c>
      <c r="B61" s="510" t="s">
        <v>1869</v>
      </c>
      <c r="C61" s="422"/>
      <c r="D61" s="422"/>
      <c r="E61" s="510"/>
      <c r="F61" s="510"/>
      <c r="G61"/>
      <c r="H61"/>
      <c r="I61"/>
    </row>
    <row r="62" spans="1:25">
      <c r="A62" s="651"/>
      <c r="B62" s="652" t="s">
        <v>1868</v>
      </c>
      <c r="C62" s="169" t="s">
        <v>1870</v>
      </c>
      <c r="D62" s="169" t="s">
        <v>1873</v>
      </c>
      <c r="E62" s="420" t="str">
        <f>"PJ,"&amp;IF(RIGHT(D58,3)="ELC","GW","PJa")</f>
        <v>PJ,PJa</v>
      </c>
      <c r="F62" s="420" t="str">
        <f>"PRC,PRE,"&amp;IF(RIGHT(D58,3)="ELC","DAYNITE","ANNUAL")</f>
        <v>PRC,PRE,ANNUAL</v>
      </c>
      <c r="H62"/>
      <c r="I62"/>
    </row>
    <row r="63" spans="1:25">
      <c r="A63" s="42"/>
      <c r="B63" s="652" t="s">
        <v>1868</v>
      </c>
      <c r="C63" s="169" t="s">
        <v>1871</v>
      </c>
      <c r="D63" s="169" t="s">
        <v>1874</v>
      </c>
      <c r="E63" s="420" t="str">
        <f>"PJ,"&amp;IF(RIGHT(D59,3)="ELC","GW","PJa")</f>
        <v>PJ,PJa</v>
      </c>
      <c r="F63" s="420" t="str">
        <f>"PRC,PRE,"&amp;IF(RIGHT(D59,3)="ELC","DAYNITE","ANNUAL")</f>
        <v>PRC,PRE,ANNUAL</v>
      </c>
      <c r="H63"/>
      <c r="I63"/>
    </row>
    <row r="64" spans="1:25">
      <c r="A64" s="42"/>
      <c r="B64" s="652" t="s">
        <v>1868</v>
      </c>
      <c r="C64" s="169" t="s">
        <v>1872</v>
      </c>
      <c r="D64" s="169" t="s">
        <v>1875</v>
      </c>
      <c r="E64" s="420" t="str">
        <f>"PJ,"&amp;IF(RIGHT(D60,3)="ELC","GW","PJa")</f>
        <v>PJ,PJa</v>
      </c>
      <c r="F64" s="420" t="str">
        <f>"PRC,PRE,"&amp;IF(RIGHT(D60,3)="ELC","DAYNITE","ANNUAL")</f>
        <v>PRC,PRE,ANNUAL</v>
      </c>
      <c r="H64"/>
      <c r="I64"/>
    </row>
    <row r="65" spans="1:9">
      <c r="A65" s="42" t="s">
        <v>310</v>
      </c>
      <c r="B65" s="510" t="s">
        <v>1876</v>
      </c>
      <c r="C65" s="169"/>
      <c r="D65" s="169"/>
      <c r="E65" s="420"/>
      <c r="F65" s="420"/>
    </row>
    <row r="66" spans="1:9">
      <c r="A66" s="42"/>
      <c r="B66" s="652" t="s">
        <v>1868</v>
      </c>
      <c r="C66" s="419" t="s">
        <v>1877</v>
      </c>
      <c r="D66" s="169" t="s">
        <v>1861</v>
      </c>
      <c r="E66" s="420" t="str">
        <f>"PJ,"&amp;IF(RIGHT(D62,3)="ELC","GW","PJa")</f>
        <v>PJ,PJa</v>
      </c>
      <c r="F66" s="420" t="str">
        <f>"PRC,PRE,"&amp;IF(RIGHT(D62,3)="ELC","DAYNITE","ANNUAL")</f>
        <v>PRC,PRE,ANNUAL</v>
      </c>
    </row>
    <row r="67" spans="1:9">
      <c r="A67" s="42"/>
      <c r="B67" s="652" t="s">
        <v>1868</v>
      </c>
      <c r="C67" s="419" t="s">
        <v>1878</v>
      </c>
      <c r="D67" s="169" t="s">
        <v>1863</v>
      </c>
      <c r="E67" s="420" t="str">
        <f>"PJ,"&amp;IF(RIGHT(D63,3)="ELC","GW","PJa")</f>
        <v>PJ,PJa</v>
      </c>
      <c r="F67" s="420" t="str">
        <f>"PRC,PRE,"&amp;IF(RIGHT(D63,3)="ELC","DAYNITE","ANNUAL")</f>
        <v>PRC,PRE,ANNUAL</v>
      </c>
    </row>
    <row r="68" spans="1:9">
      <c r="A68" s="42"/>
      <c r="B68" s="652" t="s">
        <v>1868</v>
      </c>
      <c r="C68" s="419" t="s">
        <v>1879</v>
      </c>
      <c r="D68" s="169" t="s">
        <v>1864</v>
      </c>
      <c r="E68" s="420" t="str">
        <f>"PJ,"&amp;IF(RIGHT(D64,3)="ELC","GW","PJa")</f>
        <v>PJ,PJa</v>
      </c>
      <c r="F68" s="420" t="str">
        <f>"PRC,PRE,"&amp;IF(RIGHT(D64,3)="ELC","DAYNITE","ANNUAL")</f>
        <v>PRC,PRE,ANNUAL</v>
      </c>
    </row>
    <row r="69" spans="1:9">
      <c r="A69" s="42" t="s">
        <v>310</v>
      </c>
      <c r="B69" s="510" t="s">
        <v>1880</v>
      </c>
      <c r="C69" s="169"/>
      <c r="D69" s="169"/>
      <c r="E69" s="420"/>
      <c r="F69" s="420"/>
    </row>
    <row r="70" spans="1:9">
      <c r="A70" s="42"/>
      <c r="B70" s="652" t="s">
        <v>1868</v>
      </c>
      <c r="C70" s="419" t="s">
        <v>1881</v>
      </c>
      <c r="D70" s="177" t="s">
        <v>1886</v>
      </c>
      <c r="E70" s="420" t="str">
        <f t="shared" ref="E70:E76" si="3">"PJ,"&amp;IF(RIGHT(D66,3)="ELC","GW","PJa")</f>
        <v>PJ,PJa</v>
      </c>
      <c r="F70" s="420" t="str">
        <f t="shared" ref="F70:F76" si="4">"PRC,PRE,"&amp;IF(RIGHT(D66,3)="ELC","DAYNITE","ANNUAL")</f>
        <v>PRC,PRE,ANNUAL</v>
      </c>
    </row>
    <row r="71" spans="1:9">
      <c r="A71" s="42"/>
      <c r="B71" s="652" t="s">
        <v>1868</v>
      </c>
      <c r="C71" s="419" t="s">
        <v>1882</v>
      </c>
      <c r="D71" s="177" t="s">
        <v>1887</v>
      </c>
      <c r="E71" s="420" t="str">
        <f t="shared" si="3"/>
        <v>PJ,PJa</v>
      </c>
      <c r="F71" s="420" t="str">
        <f t="shared" si="4"/>
        <v>PRC,PRE,ANNUAL</v>
      </c>
    </row>
    <row r="72" spans="1:9">
      <c r="A72" s="42"/>
      <c r="B72" s="652" t="s">
        <v>1868</v>
      </c>
      <c r="C72" s="419" t="s">
        <v>1883</v>
      </c>
      <c r="D72" s="177" t="s">
        <v>1888</v>
      </c>
      <c r="E72" s="420" t="str">
        <f t="shared" si="3"/>
        <v>PJ,PJa</v>
      </c>
      <c r="F72" s="420" t="str">
        <f t="shared" si="4"/>
        <v>PRC,PRE,ANNUAL</v>
      </c>
    </row>
    <row r="73" spans="1:9">
      <c r="A73" s="42"/>
      <c r="B73" s="652" t="s">
        <v>1868</v>
      </c>
      <c r="C73" s="419" t="s">
        <v>1884</v>
      </c>
      <c r="D73" s="177" t="s">
        <v>1889</v>
      </c>
      <c r="E73" s="420" t="str">
        <f t="shared" si="3"/>
        <v>PJ,PJa</v>
      </c>
      <c r="F73" s="420" t="str">
        <f t="shared" si="4"/>
        <v>PRC,PRE,ANNUAL</v>
      </c>
    </row>
    <row r="74" spans="1:9">
      <c r="A74" s="883"/>
      <c r="B74" s="652" t="s">
        <v>1868</v>
      </c>
      <c r="C74" s="419" t="s">
        <v>1885</v>
      </c>
      <c r="D74" s="177" t="s">
        <v>1890</v>
      </c>
      <c r="E74" s="420" t="str">
        <f t="shared" si="3"/>
        <v>PJ,PJa</v>
      </c>
      <c r="F74" s="420" t="str">
        <f t="shared" si="4"/>
        <v>PRC,PRE,ANNUAL</v>
      </c>
      <c r="H74"/>
      <c r="I74"/>
    </row>
    <row r="75" spans="1:9">
      <c r="B75" s="652" t="s">
        <v>1868</v>
      </c>
      <c r="C75" s="419" t="s">
        <v>2040</v>
      </c>
      <c r="D75" s="177" t="s">
        <v>1891</v>
      </c>
      <c r="E75" s="420" t="str">
        <f t="shared" si="3"/>
        <v>PJ,PJa</v>
      </c>
      <c r="F75" s="420" t="str">
        <f t="shared" si="4"/>
        <v>PRC,PRE,ANNUAL</v>
      </c>
      <c r="G75"/>
      <c r="H75"/>
      <c r="I75"/>
    </row>
    <row r="76" spans="1:9">
      <c r="B76" s="652" t="s">
        <v>1868</v>
      </c>
      <c r="C76" s="419" t="s">
        <v>2041</v>
      </c>
      <c r="D76" s="177" t="s">
        <v>1892</v>
      </c>
      <c r="E76" s="420" t="str">
        <f t="shared" si="3"/>
        <v>PJ,PJa</v>
      </c>
      <c r="F76" s="420" t="str">
        <f t="shared" si="4"/>
        <v>PRC,PRE,ANNUAL</v>
      </c>
      <c r="G76"/>
      <c r="H76"/>
      <c r="I76"/>
    </row>
    <row r="77" spans="1:9">
      <c r="A77" t="s">
        <v>310</v>
      </c>
      <c r="B77"/>
      <c r="C77"/>
      <c r="D77"/>
      <c r="E77"/>
      <c r="F77"/>
      <c r="G77"/>
      <c r="H77"/>
      <c r="I77"/>
    </row>
    <row r="78" spans="1:9">
      <c r="A78"/>
      <c r="B78"/>
      <c r="C78"/>
      <c r="D78"/>
      <c r="E78"/>
      <c r="F78"/>
      <c r="G78"/>
      <c r="H78"/>
      <c r="I78"/>
    </row>
  </sheetData>
  <mergeCells count="1">
    <mergeCell ref="C4:E4"/>
  </mergeCell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F9"/>
  <sheetViews>
    <sheetView workbookViewId="0"/>
  </sheetViews>
  <sheetFormatPr defaultColWidth="8.7109375" defaultRowHeight="15"/>
  <cols>
    <col min="1" max="1" width="6" style="430" bestFit="1" customWidth="1"/>
    <col min="2" max="2" width="8.42578125" style="430" bestFit="1" customWidth="1"/>
    <col min="3" max="3" width="10.7109375" style="430" bestFit="1" customWidth="1"/>
    <col min="4" max="4" width="31.5703125" style="430" bestFit="1" customWidth="1"/>
    <col min="5" max="5" width="10.28515625" style="430" bestFit="1" customWidth="1"/>
    <col min="6" max="6" width="22.7109375" style="430" bestFit="1" customWidth="1"/>
    <col min="7" max="16384" width="8.7109375" style="430"/>
  </cols>
  <sheetData>
    <row r="1" spans="1:6">
      <c r="A1" s="423" t="str">
        <f>IF(Index!B8=0,"ITEMS","")</f>
        <v>ITEMS</v>
      </c>
      <c r="B1" s="430" t="s">
        <v>308</v>
      </c>
    </row>
    <row r="2" spans="1:6">
      <c r="B2" s="430" t="s">
        <v>352</v>
      </c>
      <c r="C2" s="430" t="s">
        <v>2124</v>
      </c>
      <c r="D2" s="430" t="str">
        <f>C2&amp;" South Africa"</f>
        <v>CO2EQS South Africa</v>
      </c>
      <c r="E2" s="430" t="s">
        <v>355</v>
      </c>
      <c r="F2" s="430" t="s">
        <v>356</v>
      </c>
    </row>
    <row r="3" spans="1:6">
      <c r="B3" s="430" t="s">
        <v>352</v>
      </c>
      <c r="C3" s="430" t="s">
        <v>904</v>
      </c>
      <c r="D3" s="430" t="str">
        <f t="shared" ref="D3:D9" si="0">C3&amp;" South Africa"</f>
        <v>CO2S South Africa</v>
      </c>
      <c r="E3" s="430" t="s">
        <v>355</v>
      </c>
      <c r="F3" s="430" t="s">
        <v>356</v>
      </c>
    </row>
    <row r="4" spans="1:6">
      <c r="B4" s="430" t="s">
        <v>352</v>
      </c>
      <c r="C4" s="430" t="s">
        <v>905</v>
      </c>
      <c r="D4" s="430" t="str">
        <f t="shared" si="0"/>
        <v>CH4S South Africa</v>
      </c>
      <c r="E4" s="430" t="s">
        <v>355</v>
      </c>
      <c r="F4" s="430" t="s">
        <v>356</v>
      </c>
    </row>
    <row r="5" spans="1:6">
      <c r="B5" s="430" t="s">
        <v>352</v>
      </c>
      <c r="C5" s="430" t="s">
        <v>906</v>
      </c>
      <c r="D5" s="430" t="str">
        <f t="shared" si="0"/>
        <v>N2OS South Africa</v>
      </c>
      <c r="E5" s="430" t="s">
        <v>355</v>
      </c>
      <c r="F5" s="430" t="s">
        <v>356</v>
      </c>
    </row>
    <row r="6" spans="1:6">
      <c r="B6" s="430" t="s">
        <v>352</v>
      </c>
      <c r="C6" s="430" t="s">
        <v>907</v>
      </c>
      <c r="D6" s="430" t="str">
        <f t="shared" si="0"/>
        <v>SOXS South Africa</v>
      </c>
      <c r="E6" s="430" t="s">
        <v>355</v>
      </c>
      <c r="F6" s="430" t="s">
        <v>356</v>
      </c>
    </row>
    <row r="7" spans="1:6">
      <c r="B7" s="430" t="s">
        <v>352</v>
      </c>
      <c r="C7" s="430" t="s">
        <v>908</v>
      </c>
      <c r="D7" s="430" t="str">
        <f t="shared" si="0"/>
        <v>NOXS South Africa</v>
      </c>
      <c r="E7" s="430" t="s">
        <v>355</v>
      </c>
      <c r="F7" s="430" t="s">
        <v>356</v>
      </c>
    </row>
    <row r="8" spans="1:6">
      <c r="B8" s="430" t="s">
        <v>352</v>
      </c>
      <c r="C8" s="430" t="s">
        <v>909</v>
      </c>
      <c r="D8" s="430" t="str">
        <f t="shared" si="0"/>
        <v>CMOX South Africa</v>
      </c>
      <c r="E8" s="430" t="s">
        <v>355</v>
      </c>
      <c r="F8" s="430" t="s">
        <v>356</v>
      </c>
    </row>
    <row r="9" spans="1:6">
      <c r="B9" s="430" t="s">
        <v>352</v>
      </c>
      <c r="C9" s="430" t="s">
        <v>910</v>
      </c>
      <c r="D9" s="430" t="str">
        <f t="shared" si="0"/>
        <v>NMVS South Africa</v>
      </c>
      <c r="E9" s="430" t="s">
        <v>355</v>
      </c>
      <c r="F9" s="430" t="s">
        <v>356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BB75"/>
  <sheetViews>
    <sheetView workbookViewId="0"/>
  </sheetViews>
  <sheetFormatPr defaultColWidth="8.7109375" defaultRowHeight="15"/>
  <cols>
    <col min="1" max="1" width="7.7109375" style="430" bestFit="1" customWidth="1"/>
    <col min="2" max="2" width="11.5703125" style="430" bestFit="1" customWidth="1"/>
    <col min="3" max="3" width="10.7109375" style="430" bestFit="1" customWidth="1"/>
    <col min="4" max="4" width="11" style="430" customWidth="1"/>
    <col min="5" max="5" width="6" style="430" bestFit="1" customWidth="1"/>
    <col min="6" max="6" width="9.42578125" style="430" bestFit="1" customWidth="1"/>
    <col min="7" max="7" width="7.7109375" style="430" bestFit="1" customWidth="1"/>
    <col min="8" max="8" width="2.7109375" style="430" bestFit="1" customWidth="1"/>
    <col min="9" max="9" width="1.7109375" style="430" bestFit="1" customWidth="1"/>
    <col min="10" max="48" width="4.42578125" style="430" bestFit="1" customWidth="1"/>
    <col min="49" max="16384" width="8.7109375" style="430"/>
  </cols>
  <sheetData>
    <row r="1" spans="1:10">
      <c r="A1" s="41" t="str">
        <f>IF(Index!B8=0,"TS DATA","")</f>
        <v>TS DATA</v>
      </c>
      <c r="B1" s="430" t="s">
        <v>308</v>
      </c>
    </row>
    <row r="2" spans="1:10">
      <c r="A2" s="430" t="s">
        <v>310</v>
      </c>
      <c r="B2" s="430" t="s">
        <v>2198</v>
      </c>
    </row>
    <row r="3" spans="1:10">
      <c r="A3" s="430" t="s">
        <v>310</v>
      </c>
      <c r="B3" s="430" t="s">
        <v>2125</v>
      </c>
      <c r="C3" s="430" t="s">
        <v>749</v>
      </c>
      <c r="D3" s="430" t="s">
        <v>2126</v>
      </c>
    </row>
    <row r="4" spans="1:10">
      <c r="A4" s="430" t="s">
        <v>310</v>
      </c>
      <c r="B4" s="430" t="s">
        <v>881</v>
      </c>
      <c r="C4" s="430" t="str">
        <f>Items_TEmiss!C3</f>
        <v>CO2S</v>
      </c>
      <c r="D4" s="430">
        <v>1</v>
      </c>
    </row>
    <row r="5" spans="1:10">
      <c r="A5" s="430" t="s">
        <v>310</v>
      </c>
      <c r="B5" s="430" t="s">
        <v>882</v>
      </c>
      <c r="C5" s="430" t="str">
        <f>Items_TEmiss!C4</f>
        <v>CH4S</v>
      </c>
      <c r="D5" s="3">
        <v>28</v>
      </c>
    </row>
    <row r="6" spans="1:10">
      <c r="A6" s="430" t="s">
        <v>310</v>
      </c>
      <c r="B6" s="430" t="s">
        <v>883</v>
      </c>
      <c r="C6" s="430" t="str">
        <f>Items_TEmiss!C5</f>
        <v>N2OS</v>
      </c>
      <c r="D6" s="3">
        <v>265</v>
      </c>
    </row>
    <row r="7" spans="1:10">
      <c r="A7" s="430" t="s">
        <v>310</v>
      </c>
      <c r="B7" s="430" t="s">
        <v>873</v>
      </c>
      <c r="C7" s="430" t="str">
        <f>Items_TEmiss!C6</f>
        <v>SOXS</v>
      </c>
      <c r="D7" s="430">
        <v>0</v>
      </c>
    </row>
    <row r="8" spans="1:10">
      <c r="A8" s="430" t="s">
        <v>310</v>
      </c>
      <c r="B8" s="430" t="s">
        <v>885</v>
      </c>
      <c r="C8" s="430" t="str">
        <f>Items_TEmiss!C7</f>
        <v>NOXS</v>
      </c>
      <c r="D8" s="430">
        <v>0</v>
      </c>
    </row>
    <row r="9" spans="1:10">
      <c r="A9" s="430" t="s">
        <v>310</v>
      </c>
      <c r="B9" s="430" t="s">
        <v>884</v>
      </c>
      <c r="C9" s="430" t="str">
        <f>Items_TEmiss!C8</f>
        <v>CMOX</v>
      </c>
      <c r="D9" s="430">
        <v>0</v>
      </c>
    </row>
    <row r="10" spans="1:10">
      <c r="A10" s="430" t="s">
        <v>310</v>
      </c>
      <c r="B10" s="430" t="s">
        <v>887</v>
      </c>
      <c r="C10" s="430" t="str">
        <f>Items_TEmiss!C9</f>
        <v>NMVS</v>
      </c>
      <c r="D10" s="430">
        <v>0</v>
      </c>
    </row>
    <row r="11" spans="1:10">
      <c r="A11" s="430" t="s">
        <v>310</v>
      </c>
      <c r="B11" s="430">
        <f>COUNTA(B4:B10)</f>
        <v>7</v>
      </c>
      <c r="C11" s="430">
        <f>COUNTA(C4:C10)</f>
        <v>7</v>
      </c>
    </row>
    <row r="12" spans="1:10">
      <c r="A12" s="430" t="s">
        <v>310</v>
      </c>
    </row>
    <row r="13" spans="1:10">
      <c r="A13" s="430" t="s">
        <v>310</v>
      </c>
    </row>
    <row r="14" spans="1:10">
      <c r="B14" s="430" t="s">
        <v>2197</v>
      </c>
      <c r="C14" s="430" t="s">
        <v>334</v>
      </c>
      <c r="D14" s="430" t="str">
        <f>ITEMS_XFEmiss!C11</f>
        <v>CO2SF</v>
      </c>
      <c r="E14" s="430" t="s">
        <v>334</v>
      </c>
      <c r="F14" s="430" t="str">
        <f>Items_TEmiss!$C$2</f>
        <v>CO2EQS</v>
      </c>
      <c r="G14" s="430" t="s">
        <v>334</v>
      </c>
      <c r="H14" s="430" t="s">
        <v>334</v>
      </c>
      <c r="I14" s="430">
        <v>0</v>
      </c>
      <c r="J14" s="430">
        <v>1</v>
      </c>
    </row>
    <row r="15" spans="1:10">
      <c r="B15" s="430" t="s">
        <v>2197</v>
      </c>
      <c r="C15" s="430" t="s">
        <v>334</v>
      </c>
      <c r="D15" s="430" t="str">
        <f>ITEMS_XFEmiss!C9</f>
        <v>CH4SF</v>
      </c>
      <c r="E15" s="430" t="s">
        <v>334</v>
      </c>
      <c r="F15" s="430" t="str">
        <f>Items_TEmiss!$C$2</f>
        <v>CO2EQS</v>
      </c>
      <c r="G15" s="430" t="s">
        <v>334</v>
      </c>
      <c r="H15" s="430" t="s">
        <v>334</v>
      </c>
      <c r="I15" s="430">
        <v>0</v>
      </c>
      <c r="J15" s="430">
        <f>D5</f>
        <v>28</v>
      </c>
    </row>
    <row r="16" spans="1:10">
      <c r="B16" s="430" t="s">
        <v>2197</v>
      </c>
      <c r="C16" s="430" t="s">
        <v>334</v>
      </c>
      <c r="D16" s="430" t="str">
        <f t="shared" ref="D16:D22" si="0">C4</f>
        <v>CO2S</v>
      </c>
      <c r="E16" s="430" t="s">
        <v>334</v>
      </c>
      <c r="F16" s="430" t="str">
        <f>Items_TEmiss!$C$2</f>
        <v>CO2EQS</v>
      </c>
      <c r="G16" s="430" t="s">
        <v>334</v>
      </c>
      <c r="H16" s="430" t="s">
        <v>334</v>
      </c>
      <c r="I16" s="430">
        <v>0</v>
      </c>
      <c r="J16" s="430">
        <f t="shared" ref="J16:J22" si="1">D4</f>
        <v>1</v>
      </c>
    </row>
    <row r="17" spans="2:54">
      <c r="B17" s="430" t="s">
        <v>2197</v>
      </c>
      <c r="C17" s="430" t="s">
        <v>334</v>
      </c>
      <c r="D17" s="430" t="str">
        <f t="shared" si="0"/>
        <v>CH4S</v>
      </c>
      <c r="E17" s="430" t="s">
        <v>334</v>
      </c>
      <c r="F17" s="430" t="str">
        <f>Items_TEmiss!$C$2</f>
        <v>CO2EQS</v>
      </c>
      <c r="G17" s="430" t="s">
        <v>334</v>
      </c>
      <c r="H17" s="430" t="s">
        <v>334</v>
      </c>
      <c r="I17" s="430">
        <v>0</v>
      </c>
      <c r="J17" s="430">
        <f t="shared" si="1"/>
        <v>28</v>
      </c>
    </row>
    <row r="18" spans="2:54">
      <c r="B18" s="430" t="s">
        <v>2197</v>
      </c>
      <c r="C18" s="430" t="s">
        <v>334</v>
      </c>
      <c r="D18" s="430" t="str">
        <f t="shared" si="0"/>
        <v>N2OS</v>
      </c>
      <c r="E18" s="430" t="s">
        <v>334</v>
      </c>
      <c r="F18" s="430" t="str">
        <f>Items_TEmiss!$C$2</f>
        <v>CO2EQS</v>
      </c>
      <c r="G18" s="430" t="s">
        <v>334</v>
      </c>
      <c r="H18" s="430" t="s">
        <v>334</v>
      </c>
      <c r="I18" s="430">
        <v>0</v>
      </c>
      <c r="J18" s="430">
        <f t="shared" si="1"/>
        <v>265</v>
      </c>
    </row>
    <row r="19" spans="2:54">
      <c r="B19" s="430" t="s">
        <v>2197</v>
      </c>
      <c r="C19" s="430" t="s">
        <v>334</v>
      </c>
      <c r="D19" s="430" t="str">
        <f t="shared" si="0"/>
        <v>SOXS</v>
      </c>
      <c r="E19" s="430" t="s">
        <v>334</v>
      </c>
      <c r="F19" s="430" t="str">
        <f>Items_TEmiss!$C$2</f>
        <v>CO2EQS</v>
      </c>
      <c r="G19" s="430" t="s">
        <v>334</v>
      </c>
      <c r="H19" s="430" t="s">
        <v>334</v>
      </c>
      <c r="I19" s="430">
        <v>0</v>
      </c>
      <c r="J19" s="430">
        <f t="shared" si="1"/>
        <v>0</v>
      </c>
    </row>
    <row r="20" spans="2:54">
      <c r="B20" s="430" t="s">
        <v>2197</v>
      </c>
      <c r="C20" s="430" t="s">
        <v>334</v>
      </c>
      <c r="D20" s="430" t="str">
        <f t="shared" si="0"/>
        <v>NOXS</v>
      </c>
      <c r="E20" s="430" t="s">
        <v>334</v>
      </c>
      <c r="F20" s="430" t="str">
        <f>Items_TEmiss!$C$2</f>
        <v>CO2EQS</v>
      </c>
      <c r="G20" s="430" t="s">
        <v>334</v>
      </c>
      <c r="H20" s="430" t="s">
        <v>334</v>
      </c>
      <c r="I20" s="430">
        <v>0</v>
      </c>
      <c r="J20" s="430">
        <f t="shared" si="1"/>
        <v>0</v>
      </c>
    </row>
    <row r="21" spans="2:54">
      <c r="B21" s="430" t="s">
        <v>2197</v>
      </c>
      <c r="C21" s="430" t="s">
        <v>334</v>
      </c>
      <c r="D21" s="430" t="str">
        <f t="shared" si="0"/>
        <v>CMOX</v>
      </c>
      <c r="E21" s="430" t="s">
        <v>334</v>
      </c>
      <c r="F21" s="430" t="str">
        <f>Items_TEmiss!$C$2</f>
        <v>CO2EQS</v>
      </c>
      <c r="G21" s="430" t="s">
        <v>334</v>
      </c>
      <c r="H21" s="430" t="s">
        <v>334</v>
      </c>
      <c r="I21" s="430">
        <v>0</v>
      </c>
      <c r="J21" s="430">
        <f t="shared" si="1"/>
        <v>0</v>
      </c>
    </row>
    <row r="22" spans="2:54">
      <c r="B22" s="430" t="s">
        <v>2197</v>
      </c>
      <c r="C22" s="430" t="s">
        <v>334</v>
      </c>
      <c r="D22" s="430" t="str">
        <f t="shared" si="0"/>
        <v>NMVS</v>
      </c>
      <c r="E22" s="430" t="s">
        <v>334</v>
      </c>
      <c r="F22" s="430" t="str">
        <f>Items_TEmiss!$C$2</f>
        <v>CO2EQS</v>
      </c>
      <c r="G22" s="430" t="s">
        <v>334</v>
      </c>
      <c r="H22" s="430" t="s">
        <v>334</v>
      </c>
      <c r="I22" s="430">
        <v>0</v>
      </c>
      <c r="J22" s="430">
        <f t="shared" si="1"/>
        <v>0</v>
      </c>
    </row>
    <row r="23" spans="2:54" s="1409" customFormat="1">
      <c r="B23" s="1409" t="s">
        <v>2197</v>
      </c>
      <c r="C23" s="1409" t="s">
        <v>334</v>
      </c>
      <c r="D23" s="1409" t="str">
        <f>ITEMS_XFEmiss!C12</f>
        <v>CO2SP</v>
      </c>
      <c r="E23" s="1409" t="s">
        <v>334</v>
      </c>
      <c r="F23" s="1409" t="str">
        <f ca="1">OFFSET($C$3,$BB23,0)</f>
        <v>CO2S</v>
      </c>
      <c r="G23" s="1409" t="s">
        <v>334</v>
      </c>
      <c r="H23" s="1409" t="s">
        <v>334</v>
      </c>
      <c r="I23" s="1409">
        <v>0</v>
      </c>
      <c r="J23" s="1409">
        <v>1</v>
      </c>
      <c r="BA23" s="1409">
        <v>1</v>
      </c>
      <c r="BB23" s="1409">
        <v>1</v>
      </c>
    </row>
    <row r="24" spans="2:54" s="1409" customFormat="1">
      <c r="B24" s="1409" t="s">
        <v>2197</v>
      </c>
      <c r="C24" s="1409" t="s">
        <v>334</v>
      </c>
      <c r="D24" s="1409" t="str">
        <f>ITEMS_XFEmiss!C13</f>
        <v>CO2SPIFC</v>
      </c>
      <c r="E24" s="1409" t="s">
        <v>334</v>
      </c>
      <c r="F24" s="1409" t="str">
        <f t="shared" ref="F24:F26" ca="1" si="2">OFFSET($C$3,$BB24,0)</f>
        <v>CO2S</v>
      </c>
      <c r="G24" s="1409" t="s">
        <v>334</v>
      </c>
      <c r="H24" s="1409" t="s">
        <v>334</v>
      </c>
      <c r="I24" s="1409">
        <v>0</v>
      </c>
      <c r="J24" s="1409">
        <v>1</v>
      </c>
      <c r="BA24" s="1409">
        <v>1</v>
      </c>
      <c r="BB24" s="1409">
        <v>1</v>
      </c>
    </row>
    <row r="25" spans="2:54" s="1409" customFormat="1">
      <c r="B25" s="1409" t="s">
        <v>2197</v>
      </c>
      <c r="C25" s="1409" t="s">
        <v>334</v>
      </c>
      <c r="D25" s="1409" t="str">
        <f>ITEMS_XFEmiss!C14</f>
        <v>CO2SPIFM</v>
      </c>
      <c r="E25" s="1409" t="s">
        <v>334</v>
      </c>
      <c r="F25" s="1409" t="str">
        <f t="shared" ca="1" si="2"/>
        <v>CO2S</v>
      </c>
      <c r="G25" s="1409" t="s">
        <v>334</v>
      </c>
      <c r="H25" s="1409" t="s">
        <v>334</v>
      </c>
      <c r="I25" s="1409">
        <v>0</v>
      </c>
      <c r="J25" s="1409">
        <v>1</v>
      </c>
      <c r="BA25" s="1409">
        <v>1</v>
      </c>
      <c r="BB25" s="1409">
        <v>1</v>
      </c>
    </row>
    <row r="26" spans="2:54" s="1409" customFormat="1">
      <c r="B26" s="1409" t="s">
        <v>2197</v>
      </c>
      <c r="C26" s="1409" t="s">
        <v>334</v>
      </c>
      <c r="D26" s="1409" t="str">
        <f>ITEMS_XFEmiss!C15</f>
        <v>CO2SPCEM</v>
      </c>
      <c r="E26" s="1409" t="s">
        <v>334</v>
      </c>
      <c r="F26" s="1409" t="str">
        <f t="shared" ca="1" si="2"/>
        <v>CO2S</v>
      </c>
      <c r="G26" s="1409" t="s">
        <v>334</v>
      </c>
      <c r="H26" s="1409" t="s">
        <v>334</v>
      </c>
      <c r="I26" s="1409">
        <v>0</v>
      </c>
      <c r="J26" s="1409">
        <v>1</v>
      </c>
      <c r="BA26" s="1409">
        <v>1</v>
      </c>
      <c r="BB26" s="1409">
        <v>1</v>
      </c>
    </row>
    <row r="27" spans="2:54">
      <c r="B27" s="430" t="s">
        <v>2197</v>
      </c>
      <c r="C27" s="430" t="s">
        <v>334</v>
      </c>
      <c r="D27" s="430" t="str">
        <f ca="1">OFFSET($B$3,$BA27,0)&amp;OFFSET($C$3,$BB27,0)</f>
        <v>AGRCO2S</v>
      </c>
      <c r="E27" s="430" t="s">
        <v>334</v>
      </c>
      <c r="F27" s="430" t="str">
        <f ca="1">OFFSET($C$3,$BB27,0)</f>
        <v>CO2S</v>
      </c>
      <c r="G27" s="430" t="s">
        <v>334</v>
      </c>
      <c r="H27" s="430" t="s">
        <v>334</v>
      </c>
      <c r="I27" s="430">
        <v>0</v>
      </c>
      <c r="J27" s="430">
        <v>1</v>
      </c>
      <c r="BA27" s="430">
        <v>1</v>
      </c>
      <c r="BB27" s="430">
        <v>1</v>
      </c>
    </row>
    <row r="28" spans="2:54">
      <c r="B28" s="430" t="s">
        <v>2197</v>
      </c>
      <c r="C28" s="430" t="s">
        <v>334</v>
      </c>
      <c r="D28" s="430" t="str">
        <f t="shared" ref="D28:D75" ca="1" si="3">OFFSET($B$3,$BA28,0)&amp;OFFSET($C$3,$BB28,0)</f>
        <v>COMCO2S</v>
      </c>
      <c r="E28" s="430" t="s">
        <v>334</v>
      </c>
      <c r="F28" s="430" t="str">
        <f t="shared" ref="F28:F75" ca="1" si="4">OFFSET($C$3,$BB28,0)</f>
        <v>CO2S</v>
      </c>
      <c r="G28" s="430" t="s">
        <v>334</v>
      </c>
      <c r="H28" s="430" t="s">
        <v>334</v>
      </c>
      <c r="I28" s="430">
        <v>0</v>
      </c>
      <c r="J28" s="430">
        <v>1</v>
      </c>
      <c r="BA28" s="430">
        <f t="shared" ref="BA28:BA43" si="5">IF(BA27=$B$11,1,BA27+1)</f>
        <v>2</v>
      </c>
      <c r="BB28" s="430">
        <f t="shared" ref="BB28:BB43" si="6">IF(BA27=$B$11,BB27+1,BB27)</f>
        <v>1</v>
      </c>
    </row>
    <row r="29" spans="2:54">
      <c r="B29" s="430" t="s">
        <v>2197</v>
      </c>
      <c r="C29" s="430" t="s">
        <v>334</v>
      </c>
      <c r="D29" s="430" t="str">
        <f t="shared" ca="1" si="3"/>
        <v>INDCO2S</v>
      </c>
      <c r="E29" s="430" t="s">
        <v>334</v>
      </c>
      <c r="F29" s="430" t="str">
        <f t="shared" ca="1" si="4"/>
        <v>CO2S</v>
      </c>
      <c r="G29" s="430" t="s">
        <v>334</v>
      </c>
      <c r="H29" s="430" t="s">
        <v>334</v>
      </c>
      <c r="I29" s="430">
        <v>0</v>
      </c>
      <c r="J29" s="430">
        <v>1</v>
      </c>
      <c r="BA29" s="430">
        <f t="shared" si="5"/>
        <v>3</v>
      </c>
      <c r="BB29" s="430">
        <f t="shared" si="6"/>
        <v>1</v>
      </c>
    </row>
    <row r="30" spans="2:54">
      <c r="B30" s="430" t="s">
        <v>2197</v>
      </c>
      <c r="C30" s="430" t="s">
        <v>334</v>
      </c>
      <c r="D30" s="430" t="str">
        <f t="shared" ca="1" si="3"/>
        <v>PWRCO2S</v>
      </c>
      <c r="E30" s="430" t="s">
        <v>334</v>
      </c>
      <c r="F30" s="430" t="str">
        <f t="shared" ca="1" si="4"/>
        <v>CO2S</v>
      </c>
      <c r="G30" s="430" t="s">
        <v>334</v>
      </c>
      <c r="H30" s="430" t="s">
        <v>334</v>
      </c>
      <c r="I30" s="430">
        <v>0</v>
      </c>
      <c r="J30" s="430">
        <v>1</v>
      </c>
      <c r="BA30" s="430">
        <f t="shared" si="5"/>
        <v>4</v>
      </c>
      <c r="BB30" s="430">
        <f t="shared" si="6"/>
        <v>1</v>
      </c>
    </row>
    <row r="31" spans="2:54">
      <c r="B31" s="430" t="s">
        <v>2197</v>
      </c>
      <c r="C31" s="430" t="s">
        <v>334</v>
      </c>
      <c r="D31" s="430" t="str">
        <f t="shared" ca="1" si="3"/>
        <v>RESCO2S</v>
      </c>
      <c r="E31" s="430" t="s">
        <v>334</v>
      </c>
      <c r="F31" s="430" t="str">
        <f t="shared" ca="1" si="4"/>
        <v>CO2S</v>
      </c>
      <c r="G31" s="430" t="s">
        <v>334</v>
      </c>
      <c r="H31" s="430" t="s">
        <v>334</v>
      </c>
      <c r="I31" s="430">
        <v>0</v>
      </c>
      <c r="J31" s="430">
        <v>1</v>
      </c>
      <c r="BA31" s="430">
        <f t="shared" si="5"/>
        <v>5</v>
      </c>
      <c r="BB31" s="430">
        <f t="shared" si="6"/>
        <v>1</v>
      </c>
    </row>
    <row r="32" spans="2:54">
      <c r="B32" s="430" t="s">
        <v>2197</v>
      </c>
      <c r="C32" s="430" t="s">
        <v>334</v>
      </c>
      <c r="D32" s="430" t="str">
        <f t="shared" ca="1" si="3"/>
        <v>TRACO2S</v>
      </c>
      <c r="E32" s="430" t="s">
        <v>334</v>
      </c>
      <c r="F32" s="430" t="str">
        <f t="shared" ca="1" si="4"/>
        <v>CO2S</v>
      </c>
      <c r="G32" s="430" t="s">
        <v>334</v>
      </c>
      <c r="H32" s="430" t="s">
        <v>334</v>
      </c>
      <c r="I32" s="430">
        <v>0</v>
      </c>
      <c r="J32" s="430">
        <v>1</v>
      </c>
      <c r="BA32" s="430">
        <f t="shared" si="5"/>
        <v>6</v>
      </c>
      <c r="BB32" s="430">
        <f t="shared" si="6"/>
        <v>1</v>
      </c>
    </row>
    <row r="33" spans="2:54">
      <c r="B33" s="430" t="s">
        <v>2197</v>
      </c>
      <c r="C33" s="430" t="s">
        <v>334</v>
      </c>
      <c r="D33" s="430" t="str">
        <f t="shared" ca="1" si="3"/>
        <v>UPSCO2S</v>
      </c>
      <c r="E33" s="430" t="s">
        <v>334</v>
      </c>
      <c r="F33" s="430" t="str">
        <f t="shared" ca="1" si="4"/>
        <v>CO2S</v>
      </c>
      <c r="G33" s="430" t="s">
        <v>334</v>
      </c>
      <c r="H33" s="430" t="s">
        <v>334</v>
      </c>
      <c r="I33" s="430">
        <v>0</v>
      </c>
      <c r="J33" s="430">
        <v>1</v>
      </c>
      <c r="BA33" s="430">
        <f t="shared" si="5"/>
        <v>7</v>
      </c>
      <c r="BB33" s="430">
        <f t="shared" si="6"/>
        <v>1</v>
      </c>
    </row>
    <row r="34" spans="2:54">
      <c r="B34" s="430" t="s">
        <v>2197</v>
      </c>
      <c r="C34" s="430" t="s">
        <v>334</v>
      </c>
      <c r="D34" s="430" t="str">
        <f t="shared" ca="1" si="3"/>
        <v>AGRCH4S</v>
      </c>
      <c r="E34" s="430" t="s">
        <v>334</v>
      </c>
      <c r="F34" s="430" t="str">
        <f t="shared" ca="1" si="4"/>
        <v>CH4S</v>
      </c>
      <c r="G34" s="430" t="s">
        <v>334</v>
      </c>
      <c r="H34" s="430" t="s">
        <v>334</v>
      </c>
      <c r="I34" s="430">
        <v>0</v>
      </c>
      <c r="J34" s="430">
        <v>1</v>
      </c>
      <c r="BA34" s="430">
        <f t="shared" si="5"/>
        <v>1</v>
      </c>
      <c r="BB34" s="430">
        <f t="shared" si="6"/>
        <v>2</v>
      </c>
    </row>
    <row r="35" spans="2:54">
      <c r="B35" s="430" t="s">
        <v>2197</v>
      </c>
      <c r="C35" s="430" t="s">
        <v>334</v>
      </c>
      <c r="D35" s="430" t="str">
        <f t="shared" ca="1" si="3"/>
        <v>COMCH4S</v>
      </c>
      <c r="E35" s="430" t="s">
        <v>334</v>
      </c>
      <c r="F35" s="430" t="str">
        <f t="shared" ca="1" si="4"/>
        <v>CH4S</v>
      </c>
      <c r="G35" s="430" t="s">
        <v>334</v>
      </c>
      <c r="H35" s="430" t="s">
        <v>334</v>
      </c>
      <c r="I35" s="430">
        <v>0</v>
      </c>
      <c r="J35" s="430">
        <v>1</v>
      </c>
      <c r="BA35" s="430">
        <f t="shared" si="5"/>
        <v>2</v>
      </c>
      <c r="BB35" s="430">
        <f t="shared" si="6"/>
        <v>2</v>
      </c>
    </row>
    <row r="36" spans="2:54">
      <c r="B36" s="430" t="s">
        <v>2197</v>
      </c>
      <c r="C36" s="430" t="s">
        <v>334</v>
      </c>
      <c r="D36" s="430" t="str">
        <f t="shared" ca="1" si="3"/>
        <v>INDCH4S</v>
      </c>
      <c r="E36" s="430" t="s">
        <v>334</v>
      </c>
      <c r="F36" s="430" t="str">
        <f t="shared" ca="1" si="4"/>
        <v>CH4S</v>
      </c>
      <c r="G36" s="430" t="s">
        <v>334</v>
      </c>
      <c r="H36" s="430" t="s">
        <v>334</v>
      </c>
      <c r="I36" s="430">
        <v>0</v>
      </c>
      <c r="J36" s="430">
        <v>1</v>
      </c>
      <c r="BA36" s="430">
        <f t="shared" si="5"/>
        <v>3</v>
      </c>
      <c r="BB36" s="430">
        <f t="shared" si="6"/>
        <v>2</v>
      </c>
    </row>
    <row r="37" spans="2:54">
      <c r="B37" s="430" t="s">
        <v>2197</v>
      </c>
      <c r="C37" s="430" t="s">
        <v>334</v>
      </c>
      <c r="D37" s="430" t="str">
        <f t="shared" ca="1" si="3"/>
        <v>PWRCH4S</v>
      </c>
      <c r="E37" s="430" t="s">
        <v>334</v>
      </c>
      <c r="F37" s="430" t="str">
        <f t="shared" ca="1" si="4"/>
        <v>CH4S</v>
      </c>
      <c r="G37" s="430" t="s">
        <v>334</v>
      </c>
      <c r="H37" s="430" t="s">
        <v>334</v>
      </c>
      <c r="I37" s="430">
        <v>0</v>
      </c>
      <c r="J37" s="430">
        <v>1</v>
      </c>
      <c r="BA37" s="430">
        <f t="shared" si="5"/>
        <v>4</v>
      </c>
      <c r="BB37" s="430">
        <f t="shared" si="6"/>
        <v>2</v>
      </c>
    </row>
    <row r="38" spans="2:54">
      <c r="B38" s="430" t="s">
        <v>2197</v>
      </c>
      <c r="C38" s="430" t="s">
        <v>334</v>
      </c>
      <c r="D38" s="430" t="str">
        <f t="shared" ca="1" si="3"/>
        <v>RESCH4S</v>
      </c>
      <c r="E38" s="430" t="s">
        <v>334</v>
      </c>
      <c r="F38" s="430" t="str">
        <f t="shared" ca="1" si="4"/>
        <v>CH4S</v>
      </c>
      <c r="G38" s="430" t="s">
        <v>334</v>
      </c>
      <c r="H38" s="430" t="s">
        <v>334</v>
      </c>
      <c r="I38" s="430">
        <v>0</v>
      </c>
      <c r="J38" s="430">
        <v>1</v>
      </c>
      <c r="BA38" s="430">
        <f t="shared" si="5"/>
        <v>5</v>
      </c>
      <c r="BB38" s="430">
        <f t="shared" si="6"/>
        <v>2</v>
      </c>
    </row>
    <row r="39" spans="2:54">
      <c r="B39" s="430" t="s">
        <v>2197</v>
      </c>
      <c r="C39" s="430" t="s">
        <v>334</v>
      </c>
      <c r="D39" s="430" t="str">
        <f t="shared" ca="1" si="3"/>
        <v>TRACH4S</v>
      </c>
      <c r="E39" s="430" t="s">
        <v>334</v>
      </c>
      <c r="F39" s="430" t="str">
        <f t="shared" ca="1" si="4"/>
        <v>CH4S</v>
      </c>
      <c r="G39" s="430" t="s">
        <v>334</v>
      </c>
      <c r="H39" s="430" t="s">
        <v>334</v>
      </c>
      <c r="I39" s="430">
        <v>0</v>
      </c>
      <c r="J39" s="430">
        <v>1</v>
      </c>
      <c r="BA39" s="430">
        <f t="shared" si="5"/>
        <v>6</v>
      </c>
      <c r="BB39" s="430">
        <f t="shared" si="6"/>
        <v>2</v>
      </c>
    </row>
    <row r="40" spans="2:54">
      <c r="B40" s="430" t="s">
        <v>2197</v>
      </c>
      <c r="C40" s="430" t="s">
        <v>334</v>
      </c>
      <c r="D40" s="430" t="str">
        <f t="shared" ca="1" si="3"/>
        <v>UPSCH4S</v>
      </c>
      <c r="E40" s="430" t="s">
        <v>334</v>
      </c>
      <c r="F40" s="430" t="str">
        <f t="shared" ca="1" si="4"/>
        <v>CH4S</v>
      </c>
      <c r="G40" s="430" t="s">
        <v>334</v>
      </c>
      <c r="H40" s="430" t="s">
        <v>334</v>
      </c>
      <c r="I40" s="430">
        <v>0</v>
      </c>
      <c r="J40" s="430">
        <v>1</v>
      </c>
      <c r="BA40" s="430">
        <f t="shared" si="5"/>
        <v>7</v>
      </c>
      <c r="BB40" s="430">
        <f t="shared" si="6"/>
        <v>2</v>
      </c>
    </row>
    <row r="41" spans="2:54">
      <c r="B41" s="430" t="s">
        <v>2197</v>
      </c>
      <c r="C41" s="430" t="s">
        <v>334</v>
      </c>
      <c r="D41" s="430" t="str">
        <f t="shared" ca="1" si="3"/>
        <v>AGRN2OS</v>
      </c>
      <c r="E41" s="430" t="s">
        <v>334</v>
      </c>
      <c r="F41" s="430" t="str">
        <f t="shared" ca="1" si="4"/>
        <v>N2OS</v>
      </c>
      <c r="G41" s="430" t="s">
        <v>334</v>
      </c>
      <c r="H41" s="430" t="s">
        <v>334</v>
      </c>
      <c r="I41" s="430">
        <v>0</v>
      </c>
      <c r="J41" s="430">
        <v>1</v>
      </c>
      <c r="BA41" s="430">
        <f t="shared" si="5"/>
        <v>1</v>
      </c>
      <c r="BB41" s="430">
        <f t="shared" si="6"/>
        <v>3</v>
      </c>
    </row>
    <row r="42" spans="2:54">
      <c r="B42" s="430" t="s">
        <v>2197</v>
      </c>
      <c r="C42" s="430" t="s">
        <v>334</v>
      </c>
      <c r="D42" s="430" t="str">
        <f t="shared" ca="1" si="3"/>
        <v>COMN2OS</v>
      </c>
      <c r="E42" s="430" t="s">
        <v>334</v>
      </c>
      <c r="F42" s="430" t="str">
        <f t="shared" ca="1" si="4"/>
        <v>N2OS</v>
      </c>
      <c r="G42" s="430" t="s">
        <v>334</v>
      </c>
      <c r="H42" s="430" t="s">
        <v>334</v>
      </c>
      <c r="I42" s="430">
        <v>0</v>
      </c>
      <c r="J42" s="430">
        <v>1</v>
      </c>
      <c r="BA42" s="430">
        <f t="shared" si="5"/>
        <v>2</v>
      </c>
      <c r="BB42" s="430">
        <f t="shared" si="6"/>
        <v>3</v>
      </c>
    </row>
    <row r="43" spans="2:54">
      <c r="B43" s="430" t="s">
        <v>2197</v>
      </c>
      <c r="C43" s="430" t="s">
        <v>334</v>
      </c>
      <c r="D43" s="430" t="str">
        <f t="shared" ca="1" si="3"/>
        <v>INDN2OS</v>
      </c>
      <c r="E43" s="430" t="s">
        <v>334</v>
      </c>
      <c r="F43" s="430" t="str">
        <f t="shared" ca="1" si="4"/>
        <v>N2OS</v>
      </c>
      <c r="G43" s="430" t="s">
        <v>334</v>
      </c>
      <c r="H43" s="430" t="s">
        <v>334</v>
      </c>
      <c r="I43" s="430">
        <v>0</v>
      </c>
      <c r="J43" s="430">
        <v>1</v>
      </c>
      <c r="BA43" s="430">
        <f t="shared" si="5"/>
        <v>3</v>
      </c>
      <c r="BB43" s="430">
        <f t="shared" si="6"/>
        <v>3</v>
      </c>
    </row>
    <row r="44" spans="2:54">
      <c r="B44" s="430" t="s">
        <v>2197</v>
      </c>
      <c r="C44" s="430" t="s">
        <v>334</v>
      </c>
      <c r="D44" s="430" t="str">
        <f t="shared" ca="1" si="3"/>
        <v>PWRN2OS</v>
      </c>
      <c r="E44" s="430" t="s">
        <v>334</v>
      </c>
      <c r="F44" s="430" t="str">
        <f t="shared" ca="1" si="4"/>
        <v>N2OS</v>
      </c>
      <c r="G44" s="430" t="s">
        <v>334</v>
      </c>
      <c r="H44" s="430" t="s">
        <v>334</v>
      </c>
      <c r="I44" s="430">
        <v>0</v>
      </c>
      <c r="J44" s="430">
        <v>1</v>
      </c>
      <c r="BA44" s="430">
        <f t="shared" ref="BA44:BA75" si="7">IF(BA43=$B$11,1,BA43+1)</f>
        <v>4</v>
      </c>
      <c r="BB44" s="430">
        <f t="shared" ref="BB44:BB75" si="8">IF(BA43=$B$11,BB43+1,BB43)</f>
        <v>3</v>
      </c>
    </row>
    <row r="45" spans="2:54">
      <c r="B45" s="430" t="s">
        <v>2197</v>
      </c>
      <c r="C45" s="430" t="s">
        <v>334</v>
      </c>
      <c r="D45" s="430" t="str">
        <f t="shared" ca="1" si="3"/>
        <v>RESN2OS</v>
      </c>
      <c r="E45" s="430" t="s">
        <v>334</v>
      </c>
      <c r="F45" s="430" t="str">
        <f t="shared" ca="1" si="4"/>
        <v>N2OS</v>
      </c>
      <c r="G45" s="430" t="s">
        <v>334</v>
      </c>
      <c r="H45" s="430" t="s">
        <v>334</v>
      </c>
      <c r="I45" s="430">
        <v>0</v>
      </c>
      <c r="J45" s="430">
        <v>1</v>
      </c>
      <c r="BA45" s="430">
        <f t="shared" si="7"/>
        <v>5</v>
      </c>
      <c r="BB45" s="430">
        <f t="shared" si="8"/>
        <v>3</v>
      </c>
    </row>
    <row r="46" spans="2:54">
      <c r="B46" s="430" t="s">
        <v>2197</v>
      </c>
      <c r="C46" s="430" t="s">
        <v>334</v>
      </c>
      <c r="D46" s="430" t="str">
        <f t="shared" ca="1" si="3"/>
        <v>TRAN2OS</v>
      </c>
      <c r="E46" s="430" t="s">
        <v>334</v>
      </c>
      <c r="F46" s="430" t="str">
        <f t="shared" ca="1" si="4"/>
        <v>N2OS</v>
      </c>
      <c r="G46" s="430" t="s">
        <v>334</v>
      </c>
      <c r="H46" s="430" t="s">
        <v>334</v>
      </c>
      <c r="I46" s="430">
        <v>0</v>
      </c>
      <c r="J46" s="430">
        <v>1</v>
      </c>
      <c r="BA46" s="430">
        <f t="shared" si="7"/>
        <v>6</v>
      </c>
      <c r="BB46" s="430">
        <f t="shared" si="8"/>
        <v>3</v>
      </c>
    </row>
    <row r="47" spans="2:54">
      <c r="B47" s="430" t="s">
        <v>2197</v>
      </c>
      <c r="C47" s="430" t="s">
        <v>334</v>
      </c>
      <c r="D47" s="430" t="str">
        <f t="shared" ca="1" si="3"/>
        <v>UPSN2OS</v>
      </c>
      <c r="E47" s="430" t="s">
        <v>334</v>
      </c>
      <c r="F47" s="430" t="str">
        <f t="shared" ca="1" si="4"/>
        <v>N2OS</v>
      </c>
      <c r="G47" s="430" t="s">
        <v>334</v>
      </c>
      <c r="H47" s="430" t="s">
        <v>334</v>
      </c>
      <c r="I47" s="430">
        <v>0</v>
      </c>
      <c r="J47" s="430">
        <v>1</v>
      </c>
      <c r="BA47" s="430">
        <f t="shared" si="7"/>
        <v>7</v>
      </c>
      <c r="BB47" s="430">
        <f t="shared" si="8"/>
        <v>3</v>
      </c>
    </row>
    <row r="48" spans="2:54">
      <c r="B48" s="430" t="s">
        <v>2197</v>
      </c>
      <c r="C48" s="430" t="s">
        <v>334</v>
      </c>
      <c r="D48" s="430" t="str">
        <f t="shared" ca="1" si="3"/>
        <v>AGRSOXS</v>
      </c>
      <c r="E48" s="430" t="s">
        <v>334</v>
      </c>
      <c r="F48" s="430" t="str">
        <f t="shared" ca="1" si="4"/>
        <v>SOXS</v>
      </c>
      <c r="G48" s="430" t="s">
        <v>334</v>
      </c>
      <c r="H48" s="430" t="s">
        <v>334</v>
      </c>
      <c r="I48" s="430">
        <v>0</v>
      </c>
      <c r="J48" s="430">
        <v>1</v>
      </c>
      <c r="BA48" s="430">
        <f t="shared" si="7"/>
        <v>1</v>
      </c>
      <c r="BB48" s="430">
        <f t="shared" si="8"/>
        <v>4</v>
      </c>
    </row>
    <row r="49" spans="2:54">
      <c r="B49" s="430" t="s">
        <v>2197</v>
      </c>
      <c r="C49" s="430" t="s">
        <v>334</v>
      </c>
      <c r="D49" s="430" t="str">
        <f t="shared" ca="1" si="3"/>
        <v>COMSOXS</v>
      </c>
      <c r="E49" s="430" t="s">
        <v>334</v>
      </c>
      <c r="F49" s="430" t="str">
        <f t="shared" ca="1" si="4"/>
        <v>SOXS</v>
      </c>
      <c r="G49" s="430" t="s">
        <v>334</v>
      </c>
      <c r="H49" s="430" t="s">
        <v>334</v>
      </c>
      <c r="I49" s="430">
        <v>0</v>
      </c>
      <c r="J49" s="430">
        <v>1</v>
      </c>
      <c r="BA49" s="430">
        <f t="shared" si="7"/>
        <v>2</v>
      </c>
      <c r="BB49" s="430">
        <f t="shared" si="8"/>
        <v>4</v>
      </c>
    </row>
    <row r="50" spans="2:54">
      <c r="B50" s="430" t="s">
        <v>2197</v>
      </c>
      <c r="C50" s="430" t="s">
        <v>334</v>
      </c>
      <c r="D50" s="430" t="str">
        <f t="shared" ca="1" si="3"/>
        <v>INDSOXS</v>
      </c>
      <c r="E50" s="430" t="s">
        <v>334</v>
      </c>
      <c r="F50" s="430" t="str">
        <f t="shared" ca="1" si="4"/>
        <v>SOXS</v>
      </c>
      <c r="G50" s="430" t="s">
        <v>334</v>
      </c>
      <c r="H50" s="430" t="s">
        <v>334</v>
      </c>
      <c r="I50" s="430">
        <v>0</v>
      </c>
      <c r="J50" s="430">
        <v>1</v>
      </c>
      <c r="BA50" s="430">
        <f t="shared" si="7"/>
        <v>3</v>
      </c>
      <c r="BB50" s="430">
        <f t="shared" si="8"/>
        <v>4</v>
      </c>
    </row>
    <row r="51" spans="2:54">
      <c r="B51" s="430" t="s">
        <v>2197</v>
      </c>
      <c r="C51" s="430" t="s">
        <v>334</v>
      </c>
      <c r="D51" s="430" t="str">
        <f t="shared" ca="1" si="3"/>
        <v>PWRSOXS</v>
      </c>
      <c r="E51" s="430" t="s">
        <v>334</v>
      </c>
      <c r="F51" s="430" t="str">
        <f t="shared" ca="1" si="4"/>
        <v>SOXS</v>
      </c>
      <c r="G51" s="430" t="s">
        <v>334</v>
      </c>
      <c r="H51" s="430" t="s">
        <v>334</v>
      </c>
      <c r="I51" s="430">
        <v>0</v>
      </c>
      <c r="J51" s="430">
        <v>1</v>
      </c>
      <c r="BA51" s="430">
        <f t="shared" si="7"/>
        <v>4</v>
      </c>
      <c r="BB51" s="430">
        <f t="shared" si="8"/>
        <v>4</v>
      </c>
    </row>
    <row r="52" spans="2:54">
      <c r="B52" s="430" t="s">
        <v>2197</v>
      </c>
      <c r="C52" s="430" t="s">
        <v>334</v>
      </c>
      <c r="D52" s="430" t="str">
        <f t="shared" ca="1" si="3"/>
        <v>RESSOXS</v>
      </c>
      <c r="E52" s="430" t="s">
        <v>334</v>
      </c>
      <c r="F52" s="430" t="str">
        <f t="shared" ca="1" si="4"/>
        <v>SOXS</v>
      </c>
      <c r="G52" s="430" t="s">
        <v>334</v>
      </c>
      <c r="H52" s="430" t="s">
        <v>334</v>
      </c>
      <c r="I52" s="430">
        <v>0</v>
      </c>
      <c r="J52" s="430">
        <v>1</v>
      </c>
      <c r="BA52" s="430">
        <f t="shared" si="7"/>
        <v>5</v>
      </c>
      <c r="BB52" s="430">
        <f t="shared" si="8"/>
        <v>4</v>
      </c>
    </row>
    <row r="53" spans="2:54">
      <c r="B53" s="430" t="s">
        <v>2197</v>
      </c>
      <c r="C53" s="430" t="s">
        <v>334</v>
      </c>
      <c r="D53" s="430" t="str">
        <f t="shared" ca="1" si="3"/>
        <v>TRASOXS</v>
      </c>
      <c r="E53" s="430" t="s">
        <v>334</v>
      </c>
      <c r="F53" s="430" t="str">
        <f t="shared" ca="1" si="4"/>
        <v>SOXS</v>
      </c>
      <c r="G53" s="430" t="s">
        <v>334</v>
      </c>
      <c r="H53" s="430" t="s">
        <v>334</v>
      </c>
      <c r="I53" s="430">
        <v>0</v>
      </c>
      <c r="J53" s="430">
        <v>1</v>
      </c>
      <c r="BA53" s="430">
        <f t="shared" si="7"/>
        <v>6</v>
      </c>
      <c r="BB53" s="430">
        <f t="shared" si="8"/>
        <v>4</v>
      </c>
    </row>
    <row r="54" spans="2:54">
      <c r="B54" s="430" t="s">
        <v>2197</v>
      </c>
      <c r="C54" s="430" t="s">
        <v>334</v>
      </c>
      <c r="D54" s="430" t="str">
        <f t="shared" ca="1" si="3"/>
        <v>UPSSOXS</v>
      </c>
      <c r="E54" s="430" t="s">
        <v>334</v>
      </c>
      <c r="F54" s="430" t="str">
        <f t="shared" ca="1" si="4"/>
        <v>SOXS</v>
      </c>
      <c r="G54" s="430" t="s">
        <v>334</v>
      </c>
      <c r="H54" s="430" t="s">
        <v>334</v>
      </c>
      <c r="I54" s="430">
        <v>0</v>
      </c>
      <c r="J54" s="430">
        <v>1</v>
      </c>
      <c r="BA54" s="430">
        <f t="shared" si="7"/>
        <v>7</v>
      </c>
      <c r="BB54" s="430">
        <f t="shared" si="8"/>
        <v>4</v>
      </c>
    </row>
    <row r="55" spans="2:54">
      <c r="B55" s="430" t="s">
        <v>2197</v>
      </c>
      <c r="C55" s="430" t="s">
        <v>334</v>
      </c>
      <c r="D55" s="430" t="str">
        <f t="shared" ca="1" si="3"/>
        <v>AGRNOXS</v>
      </c>
      <c r="E55" s="430" t="s">
        <v>334</v>
      </c>
      <c r="F55" s="430" t="str">
        <f t="shared" ca="1" si="4"/>
        <v>NOXS</v>
      </c>
      <c r="G55" s="430" t="s">
        <v>334</v>
      </c>
      <c r="H55" s="430" t="s">
        <v>334</v>
      </c>
      <c r="I55" s="430">
        <v>0</v>
      </c>
      <c r="J55" s="430">
        <v>1</v>
      </c>
      <c r="BA55" s="430">
        <f t="shared" si="7"/>
        <v>1</v>
      </c>
      <c r="BB55" s="430">
        <f t="shared" si="8"/>
        <v>5</v>
      </c>
    </row>
    <row r="56" spans="2:54">
      <c r="B56" s="430" t="s">
        <v>2197</v>
      </c>
      <c r="C56" s="430" t="s">
        <v>334</v>
      </c>
      <c r="D56" s="430" t="str">
        <f t="shared" ca="1" si="3"/>
        <v>COMNOXS</v>
      </c>
      <c r="E56" s="430" t="s">
        <v>334</v>
      </c>
      <c r="F56" s="430" t="str">
        <f t="shared" ca="1" si="4"/>
        <v>NOXS</v>
      </c>
      <c r="G56" s="430" t="s">
        <v>334</v>
      </c>
      <c r="H56" s="430" t="s">
        <v>334</v>
      </c>
      <c r="I56" s="430">
        <v>0</v>
      </c>
      <c r="J56" s="430">
        <v>1</v>
      </c>
      <c r="BA56" s="430">
        <f t="shared" si="7"/>
        <v>2</v>
      </c>
      <c r="BB56" s="430">
        <f t="shared" si="8"/>
        <v>5</v>
      </c>
    </row>
    <row r="57" spans="2:54">
      <c r="B57" s="430" t="s">
        <v>2197</v>
      </c>
      <c r="C57" s="430" t="s">
        <v>334</v>
      </c>
      <c r="D57" s="430" t="str">
        <f t="shared" ca="1" si="3"/>
        <v>INDNOXS</v>
      </c>
      <c r="E57" s="430" t="s">
        <v>334</v>
      </c>
      <c r="F57" s="430" t="str">
        <f t="shared" ca="1" si="4"/>
        <v>NOXS</v>
      </c>
      <c r="G57" s="430" t="s">
        <v>334</v>
      </c>
      <c r="H57" s="430" t="s">
        <v>334</v>
      </c>
      <c r="I57" s="430">
        <v>0</v>
      </c>
      <c r="J57" s="430">
        <v>1</v>
      </c>
      <c r="BA57" s="430">
        <f t="shared" si="7"/>
        <v>3</v>
      </c>
      <c r="BB57" s="430">
        <f t="shared" si="8"/>
        <v>5</v>
      </c>
    </row>
    <row r="58" spans="2:54">
      <c r="B58" s="430" t="s">
        <v>2197</v>
      </c>
      <c r="C58" s="430" t="s">
        <v>334</v>
      </c>
      <c r="D58" s="430" t="str">
        <f t="shared" ca="1" si="3"/>
        <v>PWRNOXS</v>
      </c>
      <c r="E58" s="430" t="s">
        <v>334</v>
      </c>
      <c r="F58" s="430" t="str">
        <f t="shared" ca="1" si="4"/>
        <v>NOXS</v>
      </c>
      <c r="G58" s="430" t="s">
        <v>334</v>
      </c>
      <c r="H58" s="430" t="s">
        <v>334</v>
      </c>
      <c r="I58" s="430">
        <v>0</v>
      </c>
      <c r="J58" s="430">
        <v>1</v>
      </c>
      <c r="BA58" s="430">
        <f t="shared" si="7"/>
        <v>4</v>
      </c>
      <c r="BB58" s="430">
        <f t="shared" si="8"/>
        <v>5</v>
      </c>
    </row>
    <row r="59" spans="2:54">
      <c r="B59" s="430" t="s">
        <v>2197</v>
      </c>
      <c r="C59" s="430" t="s">
        <v>334</v>
      </c>
      <c r="D59" s="430" t="str">
        <f t="shared" ca="1" si="3"/>
        <v>RESNOXS</v>
      </c>
      <c r="E59" s="430" t="s">
        <v>334</v>
      </c>
      <c r="F59" s="430" t="str">
        <f t="shared" ca="1" si="4"/>
        <v>NOXS</v>
      </c>
      <c r="G59" s="430" t="s">
        <v>334</v>
      </c>
      <c r="H59" s="430" t="s">
        <v>334</v>
      </c>
      <c r="I59" s="430">
        <v>0</v>
      </c>
      <c r="J59" s="430">
        <v>1</v>
      </c>
      <c r="BA59" s="430">
        <f t="shared" si="7"/>
        <v>5</v>
      </c>
      <c r="BB59" s="430">
        <f t="shared" si="8"/>
        <v>5</v>
      </c>
    </row>
    <row r="60" spans="2:54">
      <c r="B60" s="430" t="s">
        <v>2197</v>
      </c>
      <c r="C60" s="430" t="s">
        <v>334</v>
      </c>
      <c r="D60" s="430" t="str">
        <f t="shared" ca="1" si="3"/>
        <v>TRANOXS</v>
      </c>
      <c r="E60" s="430" t="s">
        <v>334</v>
      </c>
      <c r="F60" s="430" t="str">
        <f t="shared" ca="1" si="4"/>
        <v>NOXS</v>
      </c>
      <c r="G60" s="430" t="s">
        <v>334</v>
      </c>
      <c r="H60" s="430" t="s">
        <v>334</v>
      </c>
      <c r="I60" s="430">
        <v>0</v>
      </c>
      <c r="J60" s="430">
        <v>1</v>
      </c>
      <c r="BA60" s="430">
        <f t="shared" si="7"/>
        <v>6</v>
      </c>
      <c r="BB60" s="430">
        <f t="shared" si="8"/>
        <v>5</v>
      </c>
    </row>
    <row r="61" spans="2:54">
      <c r="B61" s="430" t="s">
        <v>2197</v>
      </c>
      <c r="C61" s="430" t="s">
        <v>334</v>
      </c>
      <c r="D61" s="430" t="str">
        <f t="shared" ca="1" si="3"/>
        <v>UPSNOXS</v>
      </c>
      <c r="E61" s="430" t="s">
        <v>334</v>
      </c>
      <c r="F61" s="430" t="str">
        <f t="shared" ca="1" si="4"/>
        <v>NOXS</v>
      </c>
      <c r="G61" s="430" t="s">
        <v>334</v>
      </c>
      <c r="H61" s="430" t="s">
        <v>334</v>
      </c>
      <c r="I61" s="430">
        <v>0</v>
      </c>
      <c r="J61" s="430">
        <v>1</v>
      </c>
      <c r="BA61" s="430">
        <f t="shared" si="7"/>
        <v>7</v>
      </c>
      <c r="BB61" s="430">
        <f t="shared" si="8"/>
        <v>5</v>
      </c>
    </row>
    <row r="62" spans="2:54">
      <c r="B62" s="430" t="s">
        <v>2197</v>
      </c>
      <c r="C62" s="430" t="s">
        <v>334</v>
      </c>
      <c r="D62" s="430" t="str">
        <f t="shared" ca="1" si="3"/>
        <v>AGRCMOX</v>
      </c>
      <c r="E62" s="430" t="s">
        <v>334</v>
      </c>
      <c r="F62" s="430" t="str">
        <f t="shared" ca="1" si="4"/>
        <v>CMOX</v>
      </c>
      <c r="G62" s="430" t="s">
        <v>334</v>
      </c>
      <c r="H62" s="430" t="s">
        <v>334</v>
      </c>
      <c r="I62" s="430">
        <v>0</v>
      </c>
      <c r="J62" s="430">
        <v>1</v>
      </c>
      <c r="BA62" s="430">
        <f t="shared" si="7"/>
        <v>1</v>
      </c>
      <c r="BB62" s="430">
        <f t="shared" si="8"/>
        <v>6</v>
      </c>
    </row>
    <row r="63" spans="2:54">
      <c r="B63" s="430" t="s">
        <v>2197</v>
      </c>
      <c r="C63" s="430" t="s">
        <v>334</v>
      </c>
      <c r="D63" s="430" t="str">
        <f t="shared" ca="1" si="3"/>
        <v>COMCMOX</v>
      </c>
      <c r="E63" s="430" t="s">
        <v>334</v>
      </c>
      <c r="F63" s="430" t="str">
        <f t="shared" ca="1" si="4"/>
        <v>CMOX</v>
      </c>
      <c r="G63" s="430" t="s">
        <v>334</v>
      </c>
      <c r="H63" s="430" t="s">
        <v>334</v>
      </c>
      <c r="I63" s="430">
        <v>0</v>
      </c>
      <c r="J63" s="430">
        <v>1</v>
      </c>
      <c r="BA63" s="430">
        <f t="shared" si="7"/>
        <v>2</v>
      </c>
      <c r="BB63" s="430">
        <f t="shared" si="8"/>
        <v>6</v>
      </c>
    </row>
    <row r="64" spans="2:54">
      <c r="B64" s="430" t="s">
        <v>2197</v>
      </c>
      <c r="C64" s="430" t="s">
        <v>334</v>
      </c>
      <c r="D64" s="430" t="str">
        <f t="shared" ca="1" si="3"/>
        <v>INDCMOX</v>
      </c>
      <c r="E64" s="430" t="s">
        <v>334</v>
      </c>
      <c r="F64" s="430" t="str">
        <f t="shared" ca="1" si="4"/>
        <v>CMOX</v>
      </c>
      <c r="G64" s="430" t="s">
        <v>334</v>
      </c>
      <c r="H64" s="430" t="s">
        <v>334</v>
      </c>
      <c r="I64" s="430">
        <v>0</v>
      </c>
      <c r="J64" s="430">
        <v>1</v>
      </c>
      <c r="BA64" s="430">
        <f t="shared" si="7"/>
        <v>3</v>
      </c>
      <c r="BB64" s="430">
        <f t="shared" si="8"/>
        <v>6</v>
      </c>
    </row>
    <row r="65" spans="2:54">
      <c r="B65" s="430" t="s">
        <v>2197</v>
      </c>
      <c r="C65" s="430" t="s">
        <v>334</v>
      </c>
      <c r="D65" s="430" t="str">
        <f t="shared" ca="1" si="3"/>
        <v>PWRCMOX</v>
      </c>
      <c r="E65" s="430" t="s">
        <v>334</v>
      </c>
      <c r="F65" s="430" t="str">
        <f t="shared" ca="1" si="4"/>
        <v>CMOX</v>
      </c>
      <c r="G65" s="430" t="s">
        <v>334</v>
      </c>
      <c r="H65" s="430" t="s">
        <v>334</v>
      </c>
      <c r="I65" s="430">
        <v>0</v>
      </c>
      <c r="J65" s="430">
        <v>1</v>
      </c>
      <c r="BA65" s="430">
        <f t="shared" si="7"/>
        <v>4</v>
      </c>
      <c r="BB65" s="430">
        <f t="shared" si="8"/>
        <v>6</v>
      </c>
    </row>
    <row r="66" spans="2:54">
      <c r="B66" s="430" t="s">
        <v>2197</v>
      </c>
      <c r="C66" s="430" t="s">
        <v>334</v>
      </c>
      <c r="D66" s="430" t="str">
        <f t="shared" ca="1" si="3"/>
        <v>RESCMOX</v>
      </c>
      <c r="E66" s="430" t="s">
        <v>334</v>
      </c>
      <c r="F66" s="430" t="str">
        <f t="shared" ca="1" si="4"/>
        <v>CMOX</v>
      </c>
      <c r="G66" s="430" t="s">
        <v>334</v>
      </c>
      <c r="H66" s="430" t="s">
        <v>334</v>
      </c>
      <c r="I66" s="430">
        <v>0</v>
      </c>
      <c r="J66" s="430">
        <v>1</v>
      </c>
      <c r="BA66" s="430">
        <f t="shared" si="7"/>
        <v>5</v>
      </c>
      <c r="BB66" s="430">
        <f t="shared" si="8"/>
        <v>6</v>
      </c>
    </row>
    <row r="67" spans="2:54">
      <c r="B67" s="430" t="s">
        <v>2197</v>
      </c>
      <c r="C67" s="430" t="s">
        <v>334</v>
      </c>
      <c r="D67" s="430" t="str">
        <f t="shared" ca="1" si="3"/>
        <v>TRACMOX</v>
      </c>
      <c r="E67" s="430" t="s">
        <v>334</v>
      </c>
      <c r="F67" s="430" t="str">
        <f t="shared" ca="1" si="4"/>
        <v>CMOX</v>
      </c>
      <c r="G67" s="430" t="s">
        <v>334</v>
      </c>
      <c r="H67" s="430" t="s">
        <v>334</v>
      </c>
      <c r="I67" s="430">
        <v>0</v>
      </c>
      <c r="J67" s="430">
        <v>1</v>
      </c>
      <c r="BA67" s="430">
        <f t="shared" si="7"/>
        <v>6</v>
      </c>
      <c r="BB67" s="430">
        <f t="shared" si="8"/>
        <v>6</v>
      </c>
    </row>
    <row r="68" spans="2:54">
      <c r="B68" s="430" t="s">
        <v>2197</v>
      </c>
      <c r="C68" s="430" t="s">
        <v>334</v>
      </c>
      <c r="D68" s="430" t="str">
        <f t="shared" ca="1" si="3"/>
        <v>UPSCMOX</v>
      </c>
      <c r="E68" s="430" t="s">
        <v>334</v>
      </c>
      <c r="F68" s="430" t="str">
        <f t="shared" ca="1" si="4"/>
        <v>CMOX</v>
      </c>
      <c r="G68" s="430" t="s">
        <v>334</v>
      </c>
      <c r="H68" s="430" t="s">
        <v>334</v>
      </c>
      <c r="I68" s="430">
        <v>0</v>
      </c>
      <c r="J68" s="430">
        <v>1</v>
      </c>
      <c r="BA68" s="430">
        <f t="shared" si="7"/>
        <v>7</v>
      </c>
      <c r="BB68" s="430">
        <f t="shared" si="8"/>
        <v>6</v>
      </c>
    </row>
    <row r="69" spans="2:54">
      <c r="B69" s="430" t="s">
        <v>2197</v>
      </c>
      <c r="C69" s="430" t="s">
        <v>334</v>
      </c>
      <c r="D69" s="430" t="str">
        <f t="shared" ca="1" si="3"/>
        <v>AGRNMVS</v>
      </c>
      <c r="E69" s="430" t="s">
        <v>334</v>
      </c>
      <c r="F69" s="430" t="str">
        <f t="shared" ca="1" si="4"/>
        <v>NMVS</v>
      </c>
      <c r="G69" s="430" t="s">
        <v>334</v>
      </c>
      <c r="H69" s="430" t="s">
        <v>334</v>
      </c>
      <c r="I69" s="430">
        <v>0</v>
      </c>
      <c r="J69" s="430">
        <v>1</v>
      </c>
      <c r="BA69" s="430">
        <f t="shared" si="7"/>
        <v>1</v>
      </c>
      <c r="BB69" s="430">
        <f t="shared" si="8"/>
        <v>7</v>
      </c>
    </row>
    <row r="70" spans="2:54">
      <c r="B70" s="430" t="s">
        <v>2197</v>
      </c>
      <c r="C70" s="430" t="s">
        <v>334</v>
      </c>
      <c r="D70" s="430" t="str">
        <f t="shared" ca="1" si="3"/>
        <v>COMNMVS</v>
      </c>
      <c r="E70" s="430" t="s">
        <v>334</v>
      </c>
      <c r="F70" s="430" t="str">
        <f t="shared" ca="1" si="4"/>
        <v>NMVS</v>
      </c>
      <c r="G70" s="430" t="s">
        <v>334</v>
      </c>
      <c r="H70" s="430" t="s">
        <v>334</v>
      </c>
      <c r="I70" s="430">
        <v>0</v>
      </c>
      <c r="J70" s="430">
        <v>1</v>
      </c>
      <c r="BA70" s="430">
        <f t="shared" si="7"/>
        <v>2</v>
      </c>
      <c r="BB70" s="430">
        <f t="shared" si="8"/>
        <v>7</v>
      </c>
    </row>
    <row r="71" spans="2:54">
      <c r="B71" s="430" t="s">
        <v>2197</v>
      </c>
      <c r="C71" s="430" t="s">
        <v>334</v>
      </c>
      <c r="D71" s="430" t="str">
        <f t="shared" ca="1" si="3"/>
        <v>INDNMVS</v>
      </c>
      <c r="E71" s="430" t="s">
        <v>334</v>
      </c>
      <c r="F71" s="430" t="str">
        <f t="shared" ca="1" si="4"/>
        <v>NMVS</v>
      </c>
      <c r="G71" s="430" t="s">
        <v>334</v>
      </c>
      <c r="H71" s="430" t="s">
        <v>334</v>
      </c>
      <c r="I71" s="430">
        <v>0</v>
      </c>
      <c r="J71" s="430">
        <v>1</v>
      </c>
      <c r="BA71" s="430">
        <f t="shared" si="7"/>
        <v>3</v>
      </c>
      <c r="BB71" s="430">
        <f t="shared" si="8"/>
        <v>7</v>
      </c>
    </row>
    <row r="72" spans="2:54">
      <c r="B72" s="430" t="s">
        <v>2197</v>
      </c>
      <c r="C72" s="430" t="s">
        <v>334</v>
      </c>
      <c r="D72" s="430" t="str">
        <f t="shared" ca="1" si="3"/>
        <v>PWRNMVS</v>
      </c>
      <c r="E72" s="430" t="s">
        <v>334</v>
      </c>
      <c r="F72" s="430" t="str">
        <f t="shared" ca="1" si="4"/>
        <v>NMVS</v>
      </c>
      <c r="G72" s="430" t="s">
        <v>334</v>
      </c>
      <c r="H72" s="430" t="s">
        <v>334</v>
      </c>
      <c r="I72" s="430">
        <v>0</v>
      </c>
      <c r="J72" s="430">
        <v>1</v>
      </c>
      <c r="BA72" s="430">
        <f t="shared" si="7"/>
        <v>4</v>
      </c>
      <c r="BB72" s="430">
        <f t="shared" si="8"/>
        <v>7</v>
      </c>
    </row>
    <row r="73" spans="2:54">
      <c r="B73" s="430" t="s">
        <v>2197</v>
      </c>
      <c r="C73" s="430" t="s">
        <v>334</v>
      </c>
      <c r="D73" s="430" t="str">
        <f t="shared" ca="1" si="3"/>
        <v>RESNMVS</v>
      </c>
      <c r="E73" s="430" t="s">
        <v>334</v>
      </c>
      <c r="F73" s="430" t="str">
        <f t="shared" ca="1" si="4"/>
        <v>NMVS</v>
      </c>
      <c r="G73" s="430" t="s">
        <v>334</v>
      </c>
      <c r="H73" s="430" t="s">
        <v>334</v>
      </c>
      <c r="I73" s="430">
        <v>0</v>
      </c>
      <c r="J73" s="430">
        <v>1</v>
      </c>
      <c r="BA73" s="430">
        <f t="shared" si="7"/>
        <v>5</v>
      </c>
      <c r="BB73" s="430">
        <f t="shared" si="8"/>
        <v>7</v>
      </c>
    </row>
    <row r="74" spans="2:54">
      <c r="B74" s="430" t="s">
        <v>2197</v>
      </c>
      <c r="C74" s="430" t="s">
        <v>334</v>
      </c>
      <c r="D74" s="430" t="str">
        <f t="shared" ca="1" si="3"/>
        <v>TRANMVS</v>
      </c>
      <c r="E74" s="430" t="s">
        <v>334</v>
      </c>
      <c r="F74" s="430" t="str">
        <f t="shared" ca="1" si="4"/>
        <v>NMVS</v>
      </c>
      <c r="G74" s="430" t="s">
        <v>334</v>
      </c>
      <c r="H74" s="430" t="s">
        <v>334</v>
      </c>
      <c r="I74" s="430">
        <v>0</v>
      </c>
      <c r="J74" s="430">
        <v>1</v>
      </c>
      <c r="BA74" s="430">
        <f t="shared" si="7"/>
        <v>6</v>
      </c>
      <c r="BB74" s="430">
        <f t="shared" si="8"/>
        <v>7</v>
      </c>
    </row>
    <row r="75" spans="2:54">
      <c r="B75" s="430" t="s">
        <v>2197</v>
      </c>
      <c r="C75" s="430" t="s">
        <v>334</v>
      </c>
      <c r="D75" s="430" t="str">
        <f t="shared" ca="1" si="3"/>
        <v>UPSNMVS</v>
      </c>
      <c r="E75" s="430" t="s">
        <v>334</v>
      </c>
      <c r="F75" s="430" t="str">
        <f t="shared" ca="1" si="4"/>
        <v>NMVS</v>
      </c>
      <c r="G75" s="430" t="s">
        <v>334</v>
      </c>
      <c r="H75" s="430" t="s">
        <v>334</v>
      </c>
      <c r="I75" s="430">
        <v>0</v>
      </c>
      <c r="J75" s="430">
        <v>1</v>
      </c>
      <c r="BA75" s="430">
        <f t="shared" si="7"/>
        <v>7</v>
      </c>
      <c r="BB75" s="430">
        <f t="shared" si="8"/>
        <v>7</v>
      </c>
    </row>
  </sheetData>
  <pageMargins left="0.7" right="0.7" top="0.75" bottom="0.75" header="0.3" footer="0.3"/>
  <drawing r:id="rId1"/>
  <legacy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1"/>
  <dimension ref="A1:G7"/>
  <sheetViews>
    <sheetView workbookViewId="0"/>
  </sheetViews>
  <sheetFormatPr defaultColWidth="8.7109375" defaultRowHeight="12.75"/>
  <cols>
    <col min="1" max="2" width="8.7109375" style="93"/>
    <col min="3" max="3" width="15.42578125" style="93" customWidth="1"/>
    <col min="4" max="4" width="52.5703125" style="93" customWidth="1"/>
    <col min="5" max="5" width="12" style="93" customWidth="1"/>
    <col min="6" max="6" width="18.5703125" style="93" customWidth="1"/>
    <col min="7" max="16384" width="8.7109375" style="93"/>
  </cols>
  <sheetData>
    <row r="1" spans="1:7">
      <c r="A1" s="1348" t="str">
        <f>IF(Index!B8=0,"ITEMS","")</f>
        <v>ITEMS</v>
      </c>
      <c r="B1" s="42" t="s">
        <v>308</v>
      </c>
    </row>
    <row r="2" spans="1:7">
      <c r="A2" s="41" t="s">
        <v>310</v>
      </c>
      <c r="B2" s="42"/>
    </row>
    <row r="3" spans="1:7">
      <c r="A3" s="41" t="s">
        <v>310</v>
      </c>
      <c r="B3" s="41" t="s">
        <v>311</v>
      </c>
      <c r="C3" s="161" t="s">
        <v>312</v>
      </c>
      <c r="D3" s="41" t="s">
        <v>313</v>
      </c>
      <c r="E3" s="41" t="s">
        <v>314</v>
      </c>
      <c r="F3" s="41" t="s">
        <v>315</v>
      </c>
      <c r="G3" s="41" t="s">
        <v>316</v>
      </c>
    </row>
    <row r="4" spans="1:7">
      <c r="A4" s="41" t="s">
        <v>310</v>
      </c>
      <c r="B4" s="41" t="s">
        <v>13470</v>
      </c>
      <c r="C4" s="161"/>
      <c r="D4" s="41"/>
      <c r="E4" s="41"/>
      <c r="F4" s="41"/>
      <c r="G4" s="41"/>
    </row>
    <row r="5" spans="1:7">
      <c r="A5" s="93" t="s">
        <v>310</v>
      </c>
      <c r="B5" s="41" t="s">
        <v>13478</v>
      </c>
      <c r="C5" s="1349"/>
      <c r="D5" s="1349"/>
      <c r="E5" s="438"/>
      <c r="F5" s="438"/>
    </row>
    <row r="6" spans="1:7">
      <c r="B6" s="438" t="s">
        <v>13471</v>
      </c>
      <c r="C6" s="1349" t="s">
        <v>13479</v>
      </c>
      <c r="D6" s="1349" t="s">
        <v>13481</v>
      </c>
      <c r="E6" s="438" t="s">
        <v>13472</v>
      </c>
      <c r="F6" s="438" t="s">
        <v>13473</v>
      </c>
    </row>
    <row r="7" spans="1:7">
      <c r="B7" s="438" t="s">
        <v>13471</v>
      </c>
      <c r="C7" s="1349" t="s">
        <v>13480</v>
      </c>
      <c r="D7" s="1349" t="s">
        <v>13482</v>
      </c>
      <c r="E7" s="438" t="s">
        <v>13472</v>
      </c>
      <c r="F7" s="438" t="s">
        <v>13473</v>
      </c>
    </row>
  </sheetData>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AP25"/>
  <sheetViews>
    <sheetView workbookViewId="0"/>
  </sheetViews>
  <sheetFormatPr defaultColWidth="9.28515625" defaultRowHeight="11.25"/>
  <cols>
    <col min="1" max="1" width="12.28515625" style="1350" customWidth="1"/>
    <col min="2" max="2" width="12" style="1350" customWidth="1"/>
    <col min="3" max="3" width="14.42578125" style="1350" customWidth="1"/>
    <col min="4" max="4" width="9.28515625" style="1350"/>
    <col min="5" max="5" width="14.5703125" style="1350" customWidth="1"/>
    <col min="6" max="8" width="9.28515625" style="1350"/>
    <col min="9" max="9" width="7.42578125" style="1350" customWidth="1"/>
    <col min="10" max="10" width="9.28515625" style="1350"/>
    <col min="11" max="11" width="7.7109375" style="1350" customWidth="1"/>
    <col min="12" max="14" width="5.5703125" style="1350" customWidth="1"/>
    <col min="15" max="15" width="5.42578125" style="1350" customWidth="1"/>
    <col min="16" max="42" width="5.5703125" style="1350" customWidth="1"/>
    <col min="43" max="16384" width="9.28515625" style="1350"/>
  </cols>
  <sheetData>
    <row r="1" spans="1:42">
      <c r="A1" s="41" t="str">
        <f>IF(Index!B8=0,"TS DATA","")</f>
        <v>TS DATA</v>
      </c>
      <c r="B1" s="1350" t="s">
        <v>308</v>
      </c>
    </row>
    <row r="2" spans="1:42">
      <c r="A2" s="1350" t="s">
        <v>310</v>
      </c>
    </row>
    <row r="3" spans="1:42" ht="15" customHeight="1">
      <c r="A3" s="1350" t="s">
        <v>310</v>
      </c>
    </row>
    <row r="4" spans="1:42">
      <c r="A4" s="1350" t="s">
        <v>310</v>
      </c>
    </row>
    <row r="5" spans="1:42">
      <c r="A5" s="1350" t="s">
        <v>310</v>
      </c>
    </row>
    <row r="6" spans="1:42">
      <c r="A6" s="1350" t="s">
        <v>310</v>
      </c>
    </row>
    <row r="7" spans="1:42" ht="22.5" customHeight="1">
      <c r="A7" s="1350" t="s">
        <v>310</v>
      </c>
      <c r="B7" s="1351" t="s">
        <v>323</v>
      </c>
      <c r="C7" s="1351" t="s">
        <v>324</v>
      </c>
      <c r="D7" s="1351" t="s">
        <v>325</v>
      </c>
      <c r="E7" s="1351" t="s">
        <v>326</v>
      </c>
      <c r="F7" s="1351" t="s">
        <v>327</v>
      </c>
      <c r="G7" s="1351" t="s">
        <v>328</v>
      </c>
      <c r="H7" s="1351" t="s">
        <v>329</v>
      </c>
      <c r="I7" s="1352" t="s">
        <v>330</v>
      </c>
      <c r="J7" s="1350">
        <v>2012</v>
      </c>
      <c r="K7" s="1350">
        <v>2013</v>
      </c>
      <c r="L7" s="1350">
        <v>2014</v>
      </c>
      <c r="M7" s="1350">
        <v>2015</v>
      </c>
      <c r="N7" s="1350">
        <v>2016</v>
      </c>
      <c r="O7" s="1350">
        <v>2017</v>
      </c>
      <c r="P7" s="1350">
        <v>2018</v>
      </c>
      <c r="Q7" s="1350">
        <v>2019</v>
      </c>
      <c r="R7" s="1350">
        <v>2020</v>
      </c>
      <c r="S7" s="1350">
        <v>2021</v>
      </c>
      <c r="T7" s="1350">
        <v>2022</v>
      </c>
      <c r="U7" s="1350">
        <v>2023</v>
      </c>
      <c r="V7" s="1350">
        <v>2024</v>
      </c>
      <c r="W7" s="1350">
        <v>2025</v>
      </c>
      <c r="X7" s="1350">
        <v>2026</v>
      </c>
      <c r="Y7" s="1350">
        <v>2027</v>
      </c>
      <c r="Z7" s="1350">
        <v>2028</v>
      </c>
      <c r="AA7" s="1350">
        <v>2029</v>
      </c>
      <c r="AB7" s="1350">
        <v>2030</v>
      </c>
      <c r="AC7" s="1350">
        <v>2031</v>
      </c>
      <c r="AD7" s="1350">
        <v>2032</v>
      </c>
      <c r="AE7" s="1350">
        <v>2033</v>
      </c>
      <c r="AF7" s="1350">
        <v>2034</v>
      </c>
      <c r="AG7" s="1350">
        <v>2035</v>
      </c>
      <c r="AH7" s="1350">
        <v>2036</v>
      </c>
      <c r="AI7" s="1350">
        <v>2037</v>
      </c>
      <c r="AJ7" s="1350">
        <v>2038</v>
      </c>
      <c r="AK7" s="1350">
        <v>2039</v>
      </c>
      <c r="AL7" s="1350">
        <v>2040</v>
      </c>
      <c r="AM7" s="1350">
        <v>2045</v>
      </c>
      <c r="AN7" s="1350">
        <v>2050</v>
      </c>
      <c r="AO7" s="1350">
        <v>2060</v>
      </c>
      <c r="AP7" s="1350">
        <v>2070</v>
      </c>
    </row>
    <row r="8" spans="1:42" ht="15">
      <c r="A8" s="1350" t="s">
        <v>310</v>
      </c>
      <c r="B8" s="1351" t="str">
        <f>'ITEMS UC'!D6</f>
        <v>Import constraint on diesel as a share of consumption</v>
      </c>
      <c r="H8" s="1350" t="s">
        <v>13483</v>
      </c>
      <c r="I8" s="1357">
        <v>1</v>
      </c>
    </row>
    <row r="9" spans="1:42">
      <c r="B9" s="1353" t="s">
        <v>13474</v>
      </c>
      <c r="C9" s="1353" t="str">
        <f>'ITEMS UC'!$C$6</f>
        <v>UCACT-ODS</v>
      </c>
      <c r="D9" s="1353" t="s">
        <v>13475</v>
      </c>
      <c r="E9" s="1353" t="str">
        <f>ITEMS_STech!C39</f>
        <v>IMPODS</v>
      </c>
      <c r="F9" s="1353" t="s">
        <v>334</v>
      </c>
      <c r="G9" s="1353" t="s">
        <v>337</v>
      </c>
      <c r="H9" s="1353" t="s">
        <v>334</v>
      </c>
      <c r="I9" s="1354">
        <v>5</v>
      </c>
      <c r="J9" s="1355">
        <v>1</v>
      </c>
      <c r="K9" s="1355" t="s">
        <v>1978</v>
      </c>
      <c r="L9" s="1355" t="s">
        <v>1978</v>
      </c>
      <c r="M9" s="1355" t="s">
        <v>1978</v>
      </c>
      <c r="N9" s="1355" t="s">
        <v>1978</v>
      </c>
      <c r="O9" s="1355" t="s">
        <v>1978</v>
      </c>
      <c r="P9" s="1355" t="s">
        <v>1978</v>
      </c>
      <c r="Q9" s="1355" t="s">
        <v>1978</v>
      </c>
      <c r="R9" s="1355" t="s">
        <v>1978</v>
      </c>
      <c r="S9" s="1355" t="s">
        <v>1978</v>
      </c>
      <c r="T9" s="1355" t="s">
        <v>1978</v>
      </c>
      <c r="U9" s="1355" t="s">
        <v>1978</v>
      </c>
      <c r="V9" s="1355" t="s">
        <v>1978</v>
      </c>
      <c r="W9" s="1355" t="s">
        <v>1978</v>
      </c>
      <c r="X9" s="1355" t="s">
        <v>1978</v>
      </c>
      <c r="Y9" s="1355" t="s">
        <v>1978</v>
      </c>
      <c r="Z9" s="1355" t="s">
        <v>1978</v>
      </c>
      <c r="AA9" s="1355" t="s">
        <v>1978</v>
      </c>
      <c r="AB9" s="1355" t="s">
        <v>1978</v>
      </c>
      <c r="AC9" s="1355" t="s">
        <v>1978</v>
      </c>
      <c r="AD9" s="1355" t="s">
        <v>1978</v>
      </c>
      <c r="AE9" s="1355" t="s">
        <v>1978</v>
      </c>
      <c r="AF9" s="1355" t="s">
        <v>1978</v>
      </c>
      <c r="AG9" s="1355" t="s">
        <v>1978</v>
      </c>
      <c r="AH9" s="1355" t="s">
        <v>1978</v>
      </c>
      <c r="AI9" s="1355"/>
      <c r="AJ9" s="1355"/>
      <c r="AK9" s="1355"/>
      <c r="AL9" s="1355"/>
      <c r="AM9" s="1355"/>
      <c r="AN9" s="1355" t="s">
        <v>1978</v>
      </c>
      <c r="AO9" s="1355" t="s">
        <v>1978</v>
      </c>
      <c r="AP9" s="1355" t="s">
        <v>1978</v>
      </c>
    </row>
    <row r="10" spans="1:42">
      <c r="B10" s="1353" t="s">
        <v>13474</v>
      </c>
      <c r="C10" s="1353" t="str">
        <f>'ITEMS UC'!$C$6</f>
        <v>UCACT-ODS</v>
      </c>
      <c r="D10" s="1353" t="s">
        <v>13475</v>
      </c>
      <c r="E10" s="1353" t="s">
        <v>13484</v>
      </c>
      <c r="F10" s="1353" t="s">
        <v>334</v>
      </c>
      <c r="G10" s="1353" t="s">
        <v>337</v>
      </c>
      <c r="H10" s="1353" t="s">
        <v>334</v>
      </c>
      <c r="I10" s="1354">
        <v>5</v>
      </c>
      <c r="J10" s="1358">
        <f t="shared" ref="J10:J15" si="0">-$I$8</f>
        <v>-1</v>
      </c>
      <c r="K10" s="1355" t="s">
        <v>1978</v>
      </c>
      <c r="L10" s="1355" t="s">
        <v>1978</v>
      </c>
      <c r="M10" s="1355" t="s">
        <v>1978</v>
      </c>
      <c r="N10" s="1355" t="s">
        <v>1978</v>
      </c>
      <c r="O10" s="1355" t="s">
        <v>1978</v>
      </c>
      <c r="P10" s="1355" t="s">
        <v>1978</v>
      </c>
      <c r="Q10" s="1355" t="s">
        <v>1978</v>
      </c>
      <c r="R10" s="1355" t="s">
        <v>1978</v>
      </c>
      <c r="S10" s="1355" t="s">
        <v>1978</v>
      </c>
      <c r="T10" s="1355" t="s">
        <v>1978</v>
      </c>
      <c r="U10" s="1355" t="s">
        <v>1978</v>
      </c>
      <c r="V10" s="1355" t="s">
        <v>1978</v>
      </c>
      <c r="W10" s="1355" t="s">
        <v>1978</v>
      </c>
      <c r="X10" s="1355" t="s">
        <v>1978</v>
      </c>
      <c r="Y10" s="1355" t="s">
        <v>1978</v>
      </c>
      <c r="Z10" s="1355" t="s">
        <v>1978</v>
      </c>
      <c r="AA10" s="1355" t="s">
        <v>1978</v>
      </c>
      <c r="AB10" s="1355" t="s">
        <v>1978</v>
      </c>
      <c r="AC10" s="1355" t="s">
        <v>1978</v>
      </c>
      <c r="AD10" s="1355" t="s">
        <v>1978</v>
      </c>
      <c r="AE10" s="1355" t="s">
        <v>1978</v>
      </c>
      <c r="AF10" s="1355" t="s">
        <v>1978</v>
      </c>
      <c r="AG10" s="1355" t="s">
        <v>1978</v>
      </c>
      <c r="AH10" s="1355" t="s">
        <v>1978</v>
      </c>
      <c r="AI10" s="1355"/>
      <c r="AJ10" s="1355"/>
      <c r="AK10" s="1355"/>
      <c r="AL10" s="1355"/>
      <c r="AM10" s="1355"/>
      <c r="AN10" s="1355" t="s">
        <v>1978</v>
      </c>
      <c r="AO10" s="1355" t="s">
        <v>1978</v>
      </c>
      <c r="AP10" s="1355" t="s">
        <v>1978</v>
      </c>
    </row>
    <row r="11" spans="1:42">
      <c r="B11" s="1353" t="s">
        <v>13474</v>
      </c>
      <c r="C11" s="1353" t="str">
        <f>'ITEMS UC'!$C$6</f>
        <v>UCACT-ODS</v>
      </c>
      <c r="D11" s="1353" t="s">
        <v>13475</v>
      </c>
      <c r="E11" s="1353" t="s">
        <v>13485</v>
      </c>
      <c r="F11" s="1353" t="s">
        <v>334</v>
      </c>
      <c r="G11" s="1353" t="s">
        <v>337</v>
      </c>
      <c r="H11" s="1353" t="s">
        <v>334</v>
      </c>
      <c r="I11" s="1354">
        <v>5</v>
      </c>
      <c r="J11" s="1358">
        <f t="shared" si="0"/>
        <v>-1</v>
      </c>
      <c r="K11" s="1355" t="s">
        <v>1978</v>
      </c>
      <c r="L11" s="1355" t="s">
        <v>1978</v>
      </c>
      <c r="M11" s="1355" t="s">
        <v>1978</v>
      </c>
      <c r="N11" s="1355" t="s">
        <v>1978</v>
      </c>
      <c r="O11" s="1355" t="s">
        <v>1978</v>
      </c>
      <c r="P11" s="1355" t="s">
        <v>1978</v>
      </c>
      <c r="Q11" s="1355" t="s">
        <v>1978</v>
      </c>
      <c r="R11" s="1355" t="s">
        <v>1978</v>
      </c>
      <c r="S11" s="1355" t="s">
        <v>1978</v>
      </c>
      <c r="T11" s="1355" t="s">
        <v>1978</v>
      </c>
      <c r="U11" s="1355" t="s">
        <v>1978</v>
      </c>
      <c r="V11" s="1355" t="s">
        <v>1978</v>
      </c>
      <c r="W11" s="1355" t="s">
        <v>1978</v>
      </c>
      <c r="X11" s="1355" t="s">
        <v>1978</v>
      </c>
      <c r="Y11" s="1355" t="s">
        <v>1978</v>
      </c>
      <c r="Z11" s="1355" t="s">
        <v>1978</v>
      </c>
      <c r="AA11" s="1355" t="s">
        <v>1978</v>
      </c>
      <c r="AB11" s="1355" t="s">
        <v>1978</v>
      </c>
      <c r="AC11" s="1355" t="s">
        <v>1978</v>
      </c>
      <c r="AD11" s="1355" t="s">
        <v>1978</v>
      </c>
      <c r="AE11" s="1355" t="s">
        <v>1978</v>
      </c>
      <c r="AF11" s="1355" t="s">
        <v>1978</v>
      </c>
      <c r="AG11" s="1355" t="s">
        <v>1978</v>
      </c>
      <c r="AH11" s="1355" t="s">
        <v>1978</v>
      </c>
      <c r="AI11" s="1355"/>
      <c r="AJ11" s="1355"/>
      <c r="AK11" s="1355"/>
      <c r="AL11" s="1355"/>
      <c r="AM11" s="1355"/>
      <c r="AN11" s="1355" t="s">
        <v>1978</v>
      </c>
      <c r="AO11" s="1355" t="s">
        <v>1978</v>
      </c>
      <c r="AP11" s="1355" t="s">
        <v>1978</v>
      </c>
    </row>
    <row r="12" spans="1:42">
      <c r="B12" s="1353" t="s">
        <v>13474</v>
      </c>
      <c r="C12" s="1353" t="str">
        <f>'ITEMS UC'!$C$6</f>
        <v>UCACT-ODS</v>
      </c>
      <c r="D12" s="1353" t="s">
        <v>13475</v>
      </c>
      <c r="E12" s="1353" t="s">
        <v>13486</v>
      </c>
      <c r="F12" s="1353" t="s">
        <v>334</v>
      </c>
      <c r="G12" s="1353" t="s">
        <v>337</v>
      </c>
      <c r="H12" s="1353" t="s">
        <v>334</v>
      </c>
      <c r="I12" s="1354">
        <v>5</v>
      </c>
      <c r="J12" s="1358">
        <f t="shared" si="0"/>
        <v>-1</v>
      </c>
      <c r="K12" s="1355" t="s">
        <v>1978</v>
      </c>
      <c r="L12" s="1355" t="s">
        <v>1978</v>
      </c>
      <c r="M12" s="1355" t="s">
        <v>1978</v>
      </c>
      <c r="N12" s="1355" t="s">
        <v>1978</v>
      </c>
      <c r="O12" s="1355" t="s">
        <v>1978</v>
      </c>
      <c r="P12" s="1355" t="s">
        <v>1978</v>
      </c>
      <c r="Q12" s="1355" t="s">
        <v>1978</v>
      </c>
      <c r="R12" s="1355" t="s">
        <v>1978</v>
      </c>
      <c r="S12" s="1355" t="s">
        <v>1978</v>
      </c>
      <c r="T12" s="1355" t="s">
        <v>1978</v>
      </c>
      <c r="U12" s="1355" t="s">
        <v>1978</v>
      </c>
      <c r="V12" s="1355" t="s">
        <v>1978</v>
      </c>
      <c r="W12" s="1355" t="s">
        <v>1978</v>
      </c>
      <c r="X12" s="1355" t="s">
        <v>1978</v>
      </c>
      <c r="Y12" s="1355" t="s">
        <v>1978</v>
      </c>
      <c r="Z12" s="1355" t="s">
        <v>1978</v>
      </c>
      <c r="AA12" s="1355" t="s">
        <v>1978</v>
      </c>
      <c r="AB12" s="1355" t="s">
        <v>1978</v>
      </c>
      <c r="AC12" s="1355" t="s">
        <v>1978</v>
      </c>
      <c r="AD12" s="1355" t="s">
        <v>1978</v>
      </c>
      <c r="AE12" s="1355" t="s">
        <v>1978</v>
      </c>
      <c r="AF12" s="1355" t="s">
        <v>1978</v>
      </c>
      <c r="AG12" s="1355" t="s">
        <v>1978</v>
      </c>
      <c r="AH12" s="1355" t="s">
        <v>1978</v>
      </c>
      <c r="AI12" s="1355"/>
      <c r="AJ12" s="1355"/>
      <c r="AK12" s="1355"/>
      <c r="AL12" s="1355"/>
      <c r="AM12" s="1355"/>
      <c r="AN12" s="1355" t="s">
        <v>1978</v>
      </c>
      <c r="AO12" s="1355" t="s">
        <v>1978</v>
      </c>
      <c r="AP12" s="1355" t="s">
        <v>1978</v>
      </c>
    </row>
    <row r="13" spans="1:42">
      <c r="B13" s="1353" t="s">
        <v>13474</v>
      </c>
      <c r="C13" s="1353" t="str">
        <f>'ITEMS UC'!$C$6</f>
        <v>UCACT-ODS</v>
      </c>
      <c r="D13" s="1353" t="s">
        <v>13475</v>
      </c>
      <c r="E13" s="1353" t="s">
        <v>1695</v>
      </c>
      <c r="F13" s="1353" t="s">
        <v>334</v>
      </c>
      <c r="G13" s="1353" t="s">
        <v>337</v>
      </c>
      <c r="H13" s="1353" t="s">
        <v>334</v>
      </c>
      <c r="I13" s="1354">
        <v>5</v>
      </c>
      <c r="J13" s="1358">
        <f t="shared" si="0"/>
        <v>-1</v>
      </c>
      <c r="K13" s="1355" t="s">
        <v>1978</v>
      </c>
      <c r="L13" s="1355" t="s">
        <v>1978</v>
      </c>
      <c r="M13" s="1355" t="s">
        <v>1978</v>
      </c>
      <c r="N13" s="1355" t="s">
        <v>1978</v>
      </c>
      <c r="O13" s="1355" t="s">
        <v>1978</v>
      </c>
      <c r="P13" s="1355" t="s">
        <v>1978</v>
      </c>
      <c r="Q13" s="1355" t="s">
        <v>1978</v>
      </c>
      <c r="R13" s="1355" t="s">
        <v>1978</v>
      </c>
      <c r="S13" s="1355" t="s">
        <v>1978</v>
      </c>
      <c r="T13" s="1355" t="s">
        <v>1978</v>
      </c>
      <c r="U13" s="1355" t="s">
        <v>1978</v>
      </c>
      <c r="V13" s="1355" t="s">
        <v>1978</v>
      </c>
      <c r="W13" s="1355" t="s">
        <v>1978</v>
      </c>
      <c r="X13" s="1355" t="s">
        <v>1978</v>
      </c>
      <c r="Y13" s="1355" t="s">
        <v>1978</v>
      </c>
      <c r="Z13" s="1355" t="s">
        <v>1978</v>
      </c>
      <c r="AA13" s="1355" t="s">
        <v>1978</v>
      </c>
      <c r="AB13" s="1355" t="s">
        <v>1978</v>
      </c>
      <c r="AC13" s="1355" t="s">
        <v>1978</v>
      </c>
      <c r="AD13" s="1355" t="s">
        <v>1978</v>
      </c>
      <c r="AE13" s="1355" t="s">
        <v>1978</v>
      </c>
      <c r="AF13" s="1355" t="s">
        <v>1978</v>
      </c>
      <c r="AG13" s="1355" t="s">
        <v>1978</v>
      </c>
      <c r="AH13" s="1355" t="s">
        <v>1978</v>
      </c>
      <c r="AI13" s="1355"/>
      <c r="AJ13" s="1355"/>
      <c r="AK13" s="1355"/>
      <c r="AL13" s="1355"/>
      <c r="AM13" s="1355"/>
      <c r="AN13" s="1355" t="s">
        <v>1978</v>
      </c>
      <c r="AO13" s="1355" t="s">
        <v>1978</v>
      </c>
      <c r="AP13" s="1355" t="s">
        <v>1978</v>
      </c>
    </row>
    <row r="14" spans="1:42">
      <c r="A14" s="1350" t="s">
        <v>310</v>
      </c>
      <c r="B14" s="1353" t="s">
        <v>13474</v>
      </c>
      <c r="C14" s="1353" t="str">
        <f>'ITEMS UC'!$C$6</f>
        <v>UCACT-ODS</v>
      </c>
      <c r="D14" s="1353" t="s">
        <v>13475</v>
      </c>
      <c r="E14" s="1353" t="s">
        <v>13487</v>
      </c>
      <c r="F14" s="1353" t="s">
        <v>334</v>
      </c>
      <c r="G14" s="1353" t="s">
        <v>337</v>
      </c>
      <c r="H14" s="1353" t="s">
        <v>334</v>
      </c>
      <c r="I14" s="1354">
        <v>5</v>
      </c>
      <c r="J14" s="1358">
        <f t="shared" si="0"/>
        <v>-1</v>
      </c>
      <c r="K14" s="1355" t="s">
        <v>1978</v>
      </c>
      <c r="L14" s="1355" t="s">
        <v>1978</v>
      </c>
      <c r="M14" s="1355" t="s">
        <v>1978</v>
      </c>
      <c r="N14" s="1355" t="s">
        <v>1978</v>
      </c>
      <c r="O14" s="1355" t="s">
        <v>1978</v>
      </c>
      <c r="P14" s="1355" t="s">
        <v>1978</v>
      </c>
      <c r="Q14" s="1355" t="s">
        <v>1978</v>
      </c>
      <c r="R14" s="1355" t="s">
        <v>1978</v>
      </c>
      <c r="S14" s="1355" t="s">
        <v>1978</v>
      </c>
      <c r="T14" s="1355" t="s">
        <v>1978</v>
      </c>
      <c r="U14" s="1355" t="s">
        <v>1978</v>
      </c>
      <c r="V14" s="1355" t="s">
        <v>1978</v>
      </c>
      <c r="W14" s="1355" t="s">
        <v>1978</v>
      </c>
      <c r="X14" s="1355" t="s">
        <v>1978</v>
      </c>
      <c r="Y14" s="1355" t="s">
        <v>1978</v>
      </c>
      <c r="Z14" s="1355" t="s">
        <v>1978</v>
      </c>
      <c r="AA14" s="1355" t="s">
        <v>1978</v>
      </c>
      <c r="AB14" s="1355" t="s">
        <v>1978</v>
      </c>
      <c r="AC14" s="1355" t="s">
        <v>1978</v>
      </c>
      <c r="AD14" s="1355" t="s">
        <v>1978</v>
      </c>
      <c r="AE14" s="1355" t="s">
        <v>1978</v>
      </c>
      <c r="AF14" s="1355" t="s">
        <v>1978</v>
      </c>
      <c r="AG14" s="1355" t="s">
        <v>1978</v>
      </c>
      <c r="AH14" s="1355" t="s">
        <v>1978</v>
      </c>
      <c r="AI14" s="1355"/>
      <c r="AJ14" s="1355"/>
      <c r="AK14" s="1355"/>
      <c r="AL14" s="1355"/>
      <c r="AM14" s="1355"/>
      <c r="AN14" s="1355" t="s">
        <v>1978</v>
      </c>
      <c r="AO14" s="1355" t="s">
        <v>1978</v>
      </c>
      <c r="AP14" s="1355" t="s">
        <v>1978</v>
      </c>
    </row>
    <row r="15" spans="1:42">
      <c r="A15" s="1350" t="s">
        <v>310</v>
      </c>
      <c r="B15" s="1353" t="s">
        <v>13474</v>
      </c>
      <c r="C15" s="1353" t="str">
        <f>'ITEMS UC'!$C$6</f>
        <v>UCACT-ODS</v>
      </c>
      <c r="D15" s="1353" t="s">
        <v>13475</v>
      </c>
      <c r="E15" s="1353" t="s">
        <v>13488</v>
      </c>
      <c r="F15" s="1353" t="s">
        <v>334</v>
      </c>
      <c r="G15" s="1353" t="s">
        <v>337</v>
      </c>
      <c r="H15" s="1353" t="s">
        <v>334</v>
      </c>
      <c r="I15" s="1354">
        <v>5</v>
      </c>
      <c r="J15" s="1358">
        <f t="shared" si="0"/>
        <v>-1</v>
      </c>
      <c r="K15" s="1355" t="s">
        <v>1978</v>
      </c>
      <c r="L15" s="1355" t="s">
        <v>1978</v>
      </c>
      <c r="M15" s="1355" t="s">
        <v>1978</v>
      </c>
      <c r="N15" s="1355" t="s">
        <v>1978</v>
      </c>
      <c r="O15" s="1355" t="s">
        <v>1978</v>
      </c>
      <c r="P15" s="1355" t="s">
        <v>1978</v>
      </c>
      <c r="Q15" s="1355" t="s">
        <v>1978</v>
      </c>
      <c r="R15" s="1355" t="s">
        <v>1978</v>
      </c>
      <c r="S15" s="1355" t="s">
        <v>1978</v>
      </c>
      <c r="T15" s="1355" t="s">
        <v>1978</v>
      </c>
      <c r="U15" s="1355" t="s">
        <v>1978</v>
      </c>
      <c r="V15" s="1355" t="s">
        <v>1978</v>
      </c>
      <c r="W15" s="1355" t="s">
        <v>1978</v>
      </c>
      <c r="X15" s="1355" t="s">
        <v>1978</v>
      </c>
      <c r="Y15" s="1355" t="s">
        <v>1978</v>
      </c>
      <c r="Z15" s="1355" t="s">
        <v>1978</v>
      </c>
      <c r="AA15" s="1355" t="s">
        <v>1978</v>
      </c>
      <c r="AB15" s="1355" t="s">
        <v>1978</v>
      </c>
      <c r="AC15" s="1355" t="s">
        <v>1978</v>
      </c>
      <c r="AD15" s="1355" t="s">
        <v>1978</v>
      </c>
      <c r="AE15" s="1355" t="s">
        <v>1978</v>
      </c>
      <c r="AF15" s="1355" t="s">
        <v>1978</v>
      </c>
      <c r="AG15" s="1355" t="s">
        <v>1978</v>
      </c>
      <c r="AH15" s="1355" t="s">
        <v>1978</v>
      </c>
      <c r="AI15" s="1355"/>
      <c r="AJ15" s="1355"/>
      <c r="AK15" s="1355"/>
      <c r="AL15" s="1355"/>
      <c r="AM15" s="1355"/>
      <c r="AN15" s="1355" t="s">
        <v>1978</v>
      </c>
      <c r="AO15" s="1355" t="s">
        <v>1978</v>
      </c>
      <c r="AP15" s="1355" t="s">
        <v>1978</v>
      </c>
    </row>
    <row r="16" spans="1:42">
      <c r="B16" s="1353" t="s">
        <v>13476</v>
      </c>
      <c r="C16" s="1353" t="str">
        <f>C10</f>
        <v>UCACT-ODS</v>
      </c>
      <c r="D16" s="1353" t="s">
        <v>334</v>
      </c>
      <c r="E16" s="1353" t="s">
        <v>334</v>
      </c>
      <c r="F16" s="1353" t="s">
        <v>334</v>
      </c>
      <c r="G16" s="1353" t="s">
        <v>334</v>
      </c>
      <c r="H16" s="1353" t="s">
        <v>338</v>
      </c>
      <c r="I16" s="1354">
        <v>5</v>
      </c>
      <c r="J16" s="1355">
        <v>0</v>
      </c>
      <c r="K16" s="1355"/>
      <c r="L16" s="1355"/>
      <c r="M16" s="1355"/>
      <c r="N16" s="1355"/>
      <c r="O16" s="1355"/>
      <c r="P16" s="1355"/>
      <c r="Q16" s="1355"/>
      <c r="R16" s="1355"/>
      <c r="S16" s="1355"/>
      <c r="T16" s="1355"/>
      <c r="U16" s="1355"/>
      <c r="V16" s="1355"/>
      <c r="W16" s="1355"/>
      <c r="X16" s="1355"/>
      <c r="Y16" s="1355"/>
      <c r="Z16" s="1355"/>
      <c r="AA16" s="1355"/>
      <c r="AB16" s="1355"/>
      <c r="AC16" s="1355"/>
      <c r="AD16" s="1355"/>
      <c r="AE16" s="1355"/>
      <c r="AF16" s="1355"/>
      <c r="AG16" s="1355"/>
      <c r="AH16" s="1355"/>
      <c r="AI16" s="1355"/>
      <c r="AJ16" s="1355"/>
      <c r="AK16" s="1355"/>
      <c r="AL16" s="1355"/>
      <c r="AM16" s="1355"/>
      <c r="AN16" s="1355"/>
      <c r="AO16" s="1355"/>
      <c r="AP16" s="1355"/>
    </row>
    <row r="17" spans="1:42" ht="15">
      <c r="A17" s="1350" t="s">
        <v>310</v>
      </c>
      <c r="B17" s="1351" t="str">
        <f>'ITEMS UC'!D7</f>
        <v>Import constraint on gasoline as a share of consumption</v>
      </c>
      <c r="H17" s="1350" t="s">
        <v>13483</v>
      </c>
      <c r="I17" s="1357">
        <v>1</v>
      </c>
    </row>
    <row r="18" spans="1:42">
      <c r="B18" s="1353" t="s">
        <v>13474</v>
      </c>
      <c r="C18" s="1353" t="str">
        <f>'ITEMS UC'!$C$7</f>
        <v>UCACT-OGS</v>
      </c>
      <c r="D18" s="1353" t="s">
        <v>13475</v>
      </c>
      <c r="E18" s="1353" t="str">
        <f>ITEMS_STech!C40</f>
        <v>IMPOGS</v>
      </c>
      <c r="F18" s="1353" t="s">
        <v>334</v>
      </c>
      <c r="G18" s="1353" t="s">
        <v>337</v>
      </c>
      <c r="H18" s="1353" t="s">
        <v>334</v>
      </c>
      <c r="I18" s="1354">
        <v>5</v>
      </c>
      <c r="J18" s="1355">
        <v>1</v>
      </c>
      <c r="K18" s="1355" t="s">
        <v>1978</v>
      </c>
      <c r="L18" s="1355" t="s">
        <v>1978</v>
      </c>
      <c r="M18" s="1355" t="s">
        <v>1978</v>
      </c>
      <c r="N18" s="1355" t="s">
        <v>1978</v>
      </c>
      <c r="O18" s="1355" t="s">
        <v>1978</v>
      </c>
      <c r="P18" s="1355" t="s">
        <v>1978</v>
      </c>
      <c r="Q18" s="1355" t="s">
        <v>1978</v>
      </c>
      <c r="R18" s="1355" t="s">
        <v>1978</v>
      </c>
      <c r="S18" s="1355" t="s">
        <v>1978</v>
      </c>
      <c r="T18" s="1355" t="s">
        <v>1978</v>
      </c>
      <c r="U18" s="1355" t="s">
        <v>1978</v>
      </c>
      <c r="V18" s="1355" t="s">
        <v>1978</v>
      </c>
      <c r="W18" s="1355" t="s">
        <v>1978</v>
      </c>
      <c r="X18" s="1355" t="s">
        <v>1978</v>
      </c>
      <c r="Y18" s="1355" t="s">
        <v>1978</v>
      </c>
      <c r="Z18" s="1355" t="s">
        <v>1978</v>
      </c>
      <c r="AA18" s="1355" t="s">
        <v>1978</v>
      </c>
      <c r="AB18" s="1355" t="s">
        <v>1978</v>
      </c>
      <c r="AC18" s="1355" t="s">
        <v>1978</v>
      </c>
      <c r="AD18" s="1355" t="s">
        <v>1978</v>
      </c>
      <c r="AE18" s="1355" t="s">
        <v>1978</v>
      </c>
      <c r="AF18" s="1355" t="s">
        <v>1978</v>
      </c>
      <c r="AG18" s="1355" t="s">
        <v>1978</v>
      </c>
      <c r="AH18" s="1355" t="s">
        <v>1978</v>
      </c>
      <c r="AI18" s="1355"/>
      <c r="AJ18" s="1355"/>
      <c r="AK18" s="1355"/>
      <c r="AL18" s="1355"/>
      <c r="AM18" s="1355"/>
      <c r="AN18" s="1355" t="s">
        <v>1978</v>
      </c>
      <c r="AO18" s="1355" t="s">
        <v>1978</v>
      </c>
      <c r="AP18" s="1355" t="s">
        <v>1978</v>
      </c>
    </row>
    <row r="19" spans="1:42">
      <c r="B19" s="1353" t="s">
        <v>13474</v>
      </c>
      <c r="C19" s="1353" t="str">
        <f>'ITEMS UC'!$C$7</f>
        <v>UCACT-OGS</v>
      </c>
      <c r="D19" s="1353" t="s">
        <v>13475</v>
      </c>
      <c r="E19" s="1353" t="s">
        <v>13489</v>
      </c>
      <c r="F19" s="1353" t="s">
        <v>334</v>
      </c>
      <c r="G19" s="1353" t="s">
        <v>337</v>
      </c>
      <c r="H19" s="1353" t="s">
        <v>334</v>
      </c>
      <c r="I19" s="1354">
        <v>5</v>
      </c>
      <c r="J19" s="1358">
        <f t="shared" ref="J19:J24" si="1">-$I$17</f>
        <v>-1</v>
      </c>
      <c r="K19" s="1355" t="s">
        <v>1978</v>
      </c>
      <c r="L19" s="1355" t="s">
        <v>1978</v>
      </c>
      <c r="M19" s="1355" t="s">
        <v>1978</v>
      </c>
      <c r="N19" s="1355" t="s">
        <v>1978</v>
      </c>
      <c r="O19" s="1355" t="s">
        <v>1978</v>
      </c>
      <c r="P19" s="1355" t="s">
        <v>1978</v>
      </c>
      <c r="Q19" s="1355" t="s">
        <v>1978</v>
      </c>
      <c r="R19" s="1355" t="s">
        <v>1978</v>
      </c>
      <c r="S19" s="1355" t="s">
        <v>1978</v>
      </c>
      <c r="T19" s="1355" t="s">
        <v>1978</v>
      </c>
      <c r="U19" s="1355" t="s">
        <v>1978</v>
      </c>
      <c r="V19" s="1355" t="s">
        <v>1978</v>
      </c>
      <c r="W19" s="1355" t="s">
        <v>1978</v>
      </c>
      <c r="X19" s="1355" t="s">
        <v>1978</v>
      </c>
      <c r="Y19" s="1355" t="s">
        <v>1978</v>
      </c>
      <c r="Z19" s="1355" t="s">
        <v>1978</v>
      </c>
      <c r="AA19" s="1355" t="s">
        <v>1978</v>
      </c>
      <c r="AB19" s="1355" t="s">
        <v>1978</v>
      </c>
      <c r="AC19" s="1355" t="s">
        <v>1978</v>
      </c>
      <c r="AD19" s="1355" t="s">
        <v>1978</v>
      </c>
      <c r="AE19" s="1355" t="s">
        <v>1978</v>
      </c>
      <c r="AF19" s="1355" t="s">
        <v>1978</v>
      </c>
      <c r="AG19" s="1355" t="s">
        <v>1978</v>
      </c>
      <c r="AH19" s="1355" t="s">
        <v>1978</v>
      </c>
      <c r="AI19" s="1355"/>
      <c r="AJ19" s="1355"/>
      <c r="AK19" s="1355"/>
      <c r="AL19" s="1355"/>
      <c r="AM19" s="1355"/>
      <c r="AN19" s="1355" t="s">
        <v>1978</v>
      </c>
      <c r="AO19" s="1355" t="s">
        <v>1978</v>
      </c>
      <c r="AP19" s="1355" t="s">
        <v>1978</v>
      </c>
    </row>
    <row r="20" spans="1:42">
      <c r="B20" s="1353" t="s">
        <v>13474</v>
      </c>
      <c r="C20" s="1353" t="str">
        <f>'ITEMS UC'!$C$7</f>
        <v>UCACT-OGS</v>
      </c>
      <c r="D20" s="1353" t="s">
        <v>13475</v>
      </c>
      <c r="E20" s="1353" t="s">
        <v>13490</v>
      </c>
      <c r="F20" s="1353" t="s">
        <v>334</v>
      </c>
      <c r="G20" s="1353" t="s">
        <v>337</v>
      </c>
      <c r="H20" s="1353" t="s">
        <v>334</v>
      </c>
      <c r="I20" s="1354">
        <v>5</v>
      </c>
      <c r="J20" s="1358">
        <f t="shared" si="1"/>
        <v>-1</v>
      </c>
      <c r="K20" s="1355" t="s">
        <v>1978</v>
      </c>
      <c r="L20" s="1355" t="s">
        <v>1978</v>
      </c>
      <c r="M20" s="1355" t="s">
        <v>1978</v>
      </c>
      <c r="N20" s="1355" t="s">
        <v>1978</v>
      </c>
      <c r="O20" s="1355" t="s">
        <v>1978</v>
      </c>
      <c r="P20" s="1355" t="s">
        <v>1978</v>
      </c>
      <c r="Q20" s="1355" t="s">
        <v>1978</v>
      </c>
      <c r="R20" s="1355" t="s">
        <v>1978</v>
      </c>
      <c r="S20" s="1355" t="s">
        <v>1978</v>
      </c>
      <c r="T20" s="1355" t="s">
        <v>1978</v>
      </c>
      <c r="U20" s="1355" t="s">
        <v>1978</v>
      </c>
      <c r="V20" s="1355" t="s">
        <v>1978</v>
      </c>
      <c r="W20" s="1355" t="s">
        <v>1978</v>
      </c>
      <c r="X20" s="1355" t="s">
        <v>1978</v>
      </c>
      <c r="Y20" s="1355" t="s">
        <v>1978</v>
      </c>
      <c r="Z20" s="1355" t="s">
        <v>1978</v>
      </c>
      <c r="AA20" s="1355" t="s">
        <v>1978</v>
      </c>
      <c r="AB20" s="1355" t="s">
        <v>1978</v>
      </c>
      <c r="AC20" s="1355" t="s">
        <v>1978</v>
      </c>
      <c r="AD20" s="1355" t="s">
        <v>1978</v>
      </c>
      <c r="AE20" s="1355" t="s">
        <v>1978</v>
      </c>
      <c r="AF20" s="1355" t="s">
        <v>1978</v>
      </c>
      <c r="AG20" s="1355" t="s">
        <v>1978</v>
      </c>
      <c r="AH20" s="1355" t="s">
        <v>1978</v>
      </c>
      <c r="AI20" s="1355"/>
      <c r="AJ20" s="1355"/>
      <c r="AK20" s="1355"/>
      <c r="AL20" s="1355"/>
      <c r="AM20" s="1355"/>
      <c r="AN20" s="1355" t="s">
        <v>1978</v>
      </c>
      <c r="AO20" s="1355" t="s">
        <v>1978</v>
      </c>
      <c r="AP20" s="1355" t="s">
        <v>1978</v>
      </c>
    </row>
    <row r="21" spans="1:42">
      <c r="B21" s="1353" t="s">
        <v>13474</v>
      </c>
      <c r="C21" s="1353" t="str">
        <f>'ITEMS UC'!$C$7</f>
        <v>UCACT-OGS</v>
      </c>
      <c r="D21" s="1353" t="s">
        <v>13475</v>
      </c>
      <c r="E21" s="1353" t="s">
        <v>13491</v>
      </c>
      <c r="F21" s="1353" t="s">
        <v>334</v>
      </c>
      <c r="G21" s="1353" t="s">
        <v>337</v>
      </c>
      <c r="H21" s="1353" t="s">
        <v>334</v>
      </c>
      <c r="I21" s="1354">
        <v>5</v>
      </c>
      <c r="J21" s="1358">
        <f t="shared" si="1"/>
        <v>-1</v>
      </c>
      <c r="K21" s="1355" t="s">
        <v>1978</v>
      </c>
      <c r="L21" s="1355" t="s">
        <v>1978</v>
      </c>
      <c r="M21" s="1355" t="s">
        <v>1978</v>
      </c>
      <c r="N21" s="1355" t="s">
        <v>1978</v>
      </c>
      <c r="O21" s="1355" t="s">
        <v>1978</v>
      </c>
      <c r="P21" s="1355" t="s">
        <v>1978</v>
      </c>
      <c r="Q21" s="1355" t="s">
        <v>1978</v>
      </c>
      <c r="R21" s="1355" t="s">
        <v>1978</v>
      </c>
      <c r="S21" s="1355" t="s">
        <v>1978</v>
      </c>
      <c r="T21" s="1355" t="s">
        <v>1978</v>
      </c>
      <c r="U21" s="1355" t="s">
        <v>1978</v>
      </c>
      <c r="V21" s="1355" t="s">
        <v>1978</v>
      </c>
      <c r="W21" s="1355" t="s">
        <v>1978</v>
      </c>
      <c r="X21" s="1355" t="s">
        <v>1978</v>
      </c>
      <c r="Y21" s="1355" t="s">
        <v>1978</v>
      </c>
      <c r="Z21" s="1355" t="s">
        <v>1978</v>
      </c>
      <c r="AA21" s="1355" t="s">
        <v>1978</v>
      </c>
      <c r="AB21" s="1355" t="s">
        <v>1978</v>
      </c>
      <c r="AC21" s="1355" t="s">
        <v>1978</v>
      </c>
      <c r="AD21" s="1355" t="s">
        <v>1978</v>
      </c>
      <c r="AE21" s="1355" t="s">
        <v>1978</v>
      </c>
      <c r="AF21" s="1355" t="s">
        <v>1978</v>
      </c>
      <c r="AG21" s="1355" t="s">
        <v>1978</v>
      </c>
      <c r="AH21" s="1355" t="s">
        <v>1978</v>
      </c>
      <c r="AI21" s="1355"/>
      <c r="AJ21" s="1355"/>
      <c r="AK21" s="1355"/>
      <c r="AL21" s="1355"/>
      <c r="AM21" s="1355"/>
      <c r="AN21" s="1355" t="s">
        <v>1978</v>
      </c>
      <c r="AO21" s="1355" t="s">
        <v>1978</v>
      </c>
      <c r="AP21" s="1355" t="s">
        <v>1978</v>
      </c>
    </row>
    <row r="22" spans="1:42">
      <c r="B22" s="1353" t="s">
        <v>13474</v>
      </c>
      <c r="C22" s="1353" t="str">
        <f>'ITEMS UC'!$C$7</f>
        <v>UCACT-OGS</v>
      </c>
      <c r="D22" s="1353" t="s">
        <v>13475</v>
      </c>
      <c r="E22" s="1353" t="s">
        <v>1694</v>
      </c>
      <c r="F22" s="1353" t="s">
        <v>334</v>
      </c>
      <c r="G22" s="1353" t="s">
        <v>337</v>
      </c>
      <c r="H22" s="1353" t="s">
        <v>334</v>
      </c>
      <c r="I22" s="1354">
        <v>5</v>
      </c>
      <c r="J22" s="1358">
        <f t="shared" si="1"/>
        <v>-1</v>
      </c>
      <c r="K22" s="1355" t="s">
        <v>1978</v>
      </c>
      <c r="L22" s="1355" t="s">
        <v>1978</v>
      </c>
      <c r="M22" s="1355" t="s">
        <v>1978</v>
      </c>
      <c r="N22" s="1355" t="s">
        <v>1978</v>
      </c>
      <c r="O22" s="1355" t="s">
        <v>1978</v>
      </c>
      <c r="P22" s="1355" t="s">
        <v>1978</v>
      </c>
      <c r="Q22" s="1355" t="s">
        <v>1978</v>
      </c>
      <c r="R22" s="1355" t="s">
        <v>1978</v>
      </c>
      <c r="S22" s="1355" t="s">
        <v>1978</v>
      </c>
      <c r="T22" s="1355" t="s">
        <v>1978</v>
      </c>
      <c r="U22" s="1355" t="s">
        <v>1978</v>
      </c>
      <c r="V22" s="1355" t="s">
        <v>1978</v>
      </c>
      <c r="W22" s="1355" t="s">
        <v>1978</v>
      </c>
      <c r="X22" s="1355" t="s">
        <v>1978</v>
      </c>
      <c r="Y22" s="1355" t="s">
        <v>1978</v>
      </c>
      <c r="Z22" s="1355" t="s">
        <v>1978</v>
      </c>
      <c r="AA22" s="1355" t="s">
        <v>1978</v>
      </c>
      <c r="AB22" s="1355" t="s">
        <v>1978</v>
      </c>
      <c r="AC22" s="1355" t="s">
        <v>1978</v>
      </c>
      <c r="AD22" s="1355" t="s">
        <v>1978</v>
      </c>
      <c r="AE22" s="1355" t="s">
        <v>1978</v>
      </c>
      <c r="AF22" s="1355" t="s">
        <v>1978</v>
      </c>
      <c r="AG22" s="1355" t="s">
        <v>1978</v>
      </c>
      <c r="AH22" s="1355" t="s">
        <v>1978</v>
      </c>
      <c r="AI22" s="1355"/>
      <c r="AJ22" s="1355"/>
      <c r="AK22" s="1355"/>
      <c r="AL22" s="1355"/>
      <c r="AM22" s="1355"/>
      <c r="AN22" s="1355" t="s">
        <v>1978</v>
      </c>
      <c r="AO22" s="1355" t="s">
        <v>1978</v>
      </c>
      <c r="AP22" s="1355" t="s">
        <v>1978</v>
      </c>
    </row>
    <row r="23" spans="1:42">
      <c r="A23" s="1350" t="s">
        <v>310</v>
      </c>
      <c r="B23" s="1353" t="s">
        <v>13474</v>
      </c>
      <c r="C23" s="1353" t="str">
        <f>'ITEMS UC'!$C$7</f>
        <v>UCACT-OGS</v>
      </c>
      <c r="D23" s="1353" t="s">
        <v>13475</v>
      </c>
      <c r="E23" s="1353" t="s">
        <v>13492</v>
      </c>
      <c r="F23" s="1353" t="s">
        <v>334</v>
      </c>
      <c r="G23" s="1353" t="s">
        <v>337</v>
      </c>
      <c r="H23" s="1353" t="s">
        <v>334</v>
      </c>
      <c r="I23" s="1354">
        <v>5</v>
      </c>
      <c r="J23" s="1358">
        <f t="shared" si="1"/>
        <v>-1</v>
      </c>
      <c r="K23" s="1355" t="s">
        <v>1978</v>
      </c>
      <c r="L23" s="1355" t="s">
        <v>1978</v>
      </c>
      <c r="M23" s="1355" t="s">
        <v>1978</v>
      </c>
      <c r="N23" s="1355" t="s">
        <v>1978</v>
      </c>
      <c r="O23" s="1355" t="s">
        <v>1978</v>
      </c>
      <c r="P23" s="1355" t="s">
        <v>1978</v>
      </c>
      <c r="Q23" s="1355" t="s">
        <v>1978</v>
      </c>
      <c r="R23" s="1355" t="s">
        <v>1978</v>
      </c>
      <c r="S23" s="1355" t="s">
        <v>1978</v>
      </c>
      <c r="T23" s="1355" t="s">
        <v>1978</v>
      </c>
      <c r="U23" s="1355" t="s">
        <v>1978</v>
      </c>
      <c r="V23" s="1355" t="s">
        <v>1978</v>
      </c>
      <c r="W23" s="1355" t="s">
        <v>1978</v>
      </c>
      <c r="X23" s="1355" t="s">
        <v>1978</v>
      </c>
      <c r="Y23" s="1355" t="s">
        <v>1978</v>
      </c>
      <c r="Z23" s="1355" t="s">
        <v>1978</v>
      </c>
      <c r="AA23" s="1355" t="s">
        <v>1978</v>
      </c>
      <c r="AB23" s="1355" t="s">
        <v>1978</v>
      </c>
      <c r="AC23" s="1355" t="s">
        <v>1978</v>
      </c>
      <c r="AD23" s="1355" t="s">
        <v>1978</v>
      </c>
      <c r="AE23" s="1355" t="s">
        <v>1978</v>
      </c>
      <c r="AF23" s="1355" t="s">
        <v>1978</v>
      </c>
      <c r="AG23" s="1355" t="s">
        <v>1978</v>
      </c>
      <c r="AH23" s="1355" t="s">
        <v>1978</v>
      </c>
      <c r="AI23" s="1355"/>
      <c r="AJ23" s="1355"/>
      <c r="AK23" s="1355"/>
      <c r="AL23" s="1355"/>
      <c r="AM23" s="1355"/>
      <c r="AN23" s="1355" t="s">
        <v>1978</v>
      </c>
      <c r="AO23" s="1355" t="s">
        <v>1978</v>
      </c>
      <c r="AP23" s="1355" t="s">
        <v>1978</v>
      </c>
    </row>
    <row r="24" spans="1:42">
      <c r="A24" s="1350" t="s">
        <v>310</v>
      </c>
      <c r="B24" s="1353" t="s">
        <v>13474</v>
      </c>
      <c r="C24" s="1353" t="str">
        <f>'ITEMS UC'!$C$7</f>
        <v>UCACT-OGS</v>
      </c>
      <c r="D24" s="1353" t="s">
        <v>13475</v>
      </c>
      <c r="E24" s="1353" t="s">
        <v>13493</v>
      </c>
      <c r="F24" s="1353" t="s">
        <v>334</v>
      </c>
      <c r="G24" s="1353" t="s">
        <v>337</v>
      </c>
      <c r="H24" s="1353" t="s">
        <v>334</v>
      </c>
      <c r="I24" s="1354">
        <v>5</v>
      </c>
      <c r="J24" s="1358">
        <f t="shared" si="1"/>
        <v>-1</v>
      </c>
      <c r="K24" s="1355" t="s">
        <v>1978</v>
      </c>
      <c r="L24" s="1355" t="s">
        <v>1978</v>
      </c>
      <c r="M24" s="1355" t="s">
        <v>1978</v>
      </c>
      <c r="N24" s="1355" t="s">
        <v>1978</v>
      </c>
      <c r="O24" s="1355" t="s">
        <v>1978</v>
      </c>
      <c r="P24" s="1355" t="s">
        <v>1978</v>
      </c>
      <c r="Q24" s="1355" t="s">
        <v>1978</v>
      </c>
      <c r="R24" s="1355" t="s">
        <v>1978</v>
      </c>
      <c r="S24" s="1355" t="s">
        <v>1978</v>
      </c>
      <c r="T24" s="1355" t="s">
        <v>1978</v>
      </c>
      <c r="U24" s="1355" t="s">
        <v>1978</v>
      </c>
      <c r="V24" s="1355" t="s">
        <v>1978</v>
      </c>
      <c r="W24" s="1355" t="s">
        <v>1978</v>
      </c>
      <c r="X24" s="1355" t="s">
        <v>1978</v>
      </c>
      <c r="Y24" s="1355" t="s">
        <v>1978</v>
      </c>
      <c r="Z24" s="1355" t="s">
        <v>1978</v>
      </c>
      <c r="AA24" s="1355" t="s">
        <v>1978</v>
      </c>
      <c r="AB24" s="1355" t="s">
        <v>1978</v>
      </c>
      <c r="AC24" s="1355" t="s">
        <v>1978</v>
      </c>
      <c r="AD24" s="1355" t="s">
        <v>1978</v>
      </c>
      <c r="AE24" s="1355" t="s">
        <v>1978</v>
      </c>
      <c r="AF24" s="1355" t="s">
        <v>1978</v>
      </c>
      <c r="AG24" s="1355" t="s">
        <v>1978</v>
      </c>
      <c r="AH24" s="1355" t="s">
        <v>1978</v>
      </c>
      <c r="AI24" s="1355"/>
      <c r="AJ24" s="1355"/>
      <c r="AK24" s="1355"/>
      <c r="AL24" s="1355"/>
      <c r="AM24" s="1355"/>
      <c r="AN24" s="1355" t="s">
        <v>1978</v>
      </c>
      <c r="AO24" s="1355" t="s">
        <v>1978</v>
      </c>
      <c r="AP24" s="1355" t="s">
        <v>1978</v>
      </c>
    </row>
    <row r="25" spans="1:42">
      <c r="B25" s="1353" t="s">
        <v>13476</v>
      </c>
      <c r="C25" s="1353" t="str">
        <f>'ITEMS UC'!$C$7</f>
        <v>UCACT-OGS</v>
      </c>
      <c r="D25" s="1353" t="s">
        <v>334</v>
      </c>
      <c r="E25" s="1353" t="s">
        <v>334</v>
      </c>
      <c r="F25" s="1353" t="s">
        <v>334</v>
      </c>
      <c r="G25" s="1353" t="s">
        <v>334</v>
      </c>
      <c r="H25" s="1353" t="s">
        <v>338</v>
      </c>
      <c r="I25" s="1354">
        <v>5</v>
      </c>
      <c r="J25" s="1355">
        <v>0</v>
      </c>
      <c r="K25" s="1355"/>
      <c r="L25" s="1355"/>
      <c r="M25" s="1355"/>
      <c r="N25" s="1355"/>
      <c r="O25" s="1355"/>
      <c r="P25" s="1355"/>
      <c r="Q25" s="1355"/>
      <c r="R25" s="1355"/>
      <c r="S25" s="1355"/>
      <c r="T25" s="1355"/>
      <c r="U25" s="1355"/>
      <c r="V25" s="1355"/>
      <c r="W25" s="1355"/>
      <c r="X25" s="1355"/>
      <c r="Y25" s="1355"/>
      <c r="Z25" s="1355"/>
      <c r="AA25" s="1355"/>
      <c r="AB25" s="1355"/>
      <c r="AC25" s="1355"/>
      <c r="AD25" s="1355"/>
      <c r="AE25" s="1355"/>
      <c r="AF25" s="1355"/>
      <c r="AG25" s="1355"/>
      <c r="AH25" s="1355"/>
      <c r="AI25" s="1355"/>
      <c r="AJ25" s="1355"/>
      <c r="AK25" s="1355"/>
      <c r="AL25" s="1355"/>
      <c r="AM25" s="1355"/>
      <c r="AN25" s="1355"/>
      <c r="AO25" s="1355"/>
      <c r="AP25" s="1355"/>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7913" r:id="rId4" name="cmdSpecifyIEOptcode">
          <controlPr defaultSize="0" autoLine="0" r:id="rId5">
            <anchor moveWithCells="1">
              <from>
                <xdr:col>8</xdr:col>
                <xdr:colOff>57150</xdr:colOff>
                <xdr:row>3</xdr:row>
                <xdr:rowOff>0</xdr:rowOff>
              </from>
              <to>
                <xdr:col>8</xdr:col>
                <xdr:colOff>476250</xdr:colOff>
                <xdr:row>4</xdr:row>
                <xdr:rowOff>104775</xdr:rowOff>
              </to>
            </anchor>
          </controlPr>
        </control>
      </mc:Choice>
      <mc:Fallback>
        <control shapeId="2427913" r:id="rId4" name="cmdSpecifyIEOptcode"/>
      </mc:Fallback>
    </mc:AlternateContent>
    <mc:AlternateContent xmlns:mc="http://schemas.openxmlformats.org/markup-compatibility/2006">
      <mc:Choice Requires="x14">
        <control shapeId="2427912"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7912" r:id="rId6" name="cmdSpecifyArg6"/>
      </mc:Fallback>
    </mc:AlternateContent>
    <mc:AlternateContent xmlns:mc="http://schemas.openxmlformats.org/markup-compatibility/2006">
      <mc:Choice Requires="x14">
        <control shapeId="2427911"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7911" r:id="rId8" name="cmdSpecifyArg5"/>
      </mc:Fallback>
    </mc:AlternateContent>
    <mc:AlternateContent xmlns:mc="http://schemas.openxmlformats.org/markup-compatibility/2006">
      <mc:Choice Requires="x14">
        <control shapeId="2427910"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7910" r:id="rId10" name="cmdSpecifyArg4"/>
      </mc:Fallback>
    </mc:AlternateContent>
    <mc:AlternateContent xmlns:mc="http://schemas.openxmlformats.org/markup-compatibility/2006">
      <mc:Choice Requires="x14">
        <control shapeId="2427909"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7909" r:id="rId12" name="cmdSpecifyArg3"/>
      </mc:Fallback>
    </mc:AlternateContent>
    <mc:AlternateContent xmlns:mc="http://schemas.openxmlformats.org/markup-compatibility/2006">
      <mc:Choice Requires="x14">
        <control shapeId="2427908" r:id="rId14" name="cmdSpecifyArg2">
          <controlPr defaultSize="0" autoLine="0" r:id="rId15">
            <anchor moveWithCells="1">
              <from>
                <xdr:col>3</xdr:col>
                <xdr:colOff>0</xdr:colOff>
                <xdr:row>3</xdr:row>
                <xdr:rowOff>0</xdr:rowOff>
              </from>
              <to>
                <xdr:col>4</xdr:col>
                <xdr:colOff>0</xdr:colOff>
                <xdr:row>4</xdr:row>
                <xdr:rowOff>104775</xdr:rowOff>
              </to>
            </anchor>
          </controlPr>
        </control>
      </mc:Choice>
      <mc:Fallback>
        <control shapeId="2427908" r:id="rId14" name="cmdSpecifyArg2"/>
      </mc:Fallback>
    </mc:AlternateContent>
    <mc:AlternateContent xmlns:mc="http://schemas.openxmlformats.org/markup-compatibility/2006">
      <mc:Choice Requires="x14">
        <control shapeId="2427907"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7907" r:id="rId16" name="cmdSpecifyArg1"/>
      </mc:Fallback>
    </mc:AlternateContent>
    <mc:AlternateContent xmlns:mc="http://schemas.openxmlformats.org/markup-compatibility/2006">
      <mc:Choice Requires="x14">
        <control shapeId="2427906"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7906" r:id="rId18" name="cmdSpecifyParameter"/>
      </mc:Fallback>
    </mc:AlternateContent>
    <mc:AlternateContent xmlns:mc="http://schemas.openxmlformats.org/markup-compatibility/2006">
      <mc:Choice Requires="x14">
        <control shapeId="2427905"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7905" r:id="rId20" name="cmdCheckTSandTIDDataSheet"/>
      </mc:Fallback>
    </mc:AlternateContent>
  </control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I11"/>
  <sheetViews>
    <sheetView workbookViewId="0"/>
  </sheetViews>
  <sheetFormatPr defaultColWidth="9.28515625" defaultRowHeight="11.25"/>
  <cols>
    <col min="1" max="1" width="12.28515625" style="1350" customWidth="1"/>
    <col min="2" max="2" width="12" style="1350" customWidth="1"/>
    <col min="3" max="3" width="15.5703125" style="1350" customWidth="1"/>
    <col min="4" max="4" width="10.5703125" style="1350" customWidth="1"/>
    <col min="5" max="5" width="10.42578125" style="1350" customWidth="1"/>
    <col min="6" max="16384" width="9.28515625" style="1350"/>
  </cols>
  <sheetData>
    <row r="1" spans="1:9">
      <c r="A1" s="423" t="str">
        <f>IF(Index!B8=0,"TID DATA","")</f>
        <v>TID DATA</v>
      </c>
      <c r="B1" s="1350" t="s">
        <v>308</v>
      </c>
    </row>
    <row r="2" spans="1:9">
      <c r="A2" s="1350" t="s">
        <v>310</v>
      </c>
    </row>
    <row r="3" spans="1:9" ht="15" customHeight="1">
      <c r="A3" s="1350" t="s">
        <v>310</v>
      </c>
    </row>
    <row r="4" spans="1:9">
      <c r="A4" s="1350" t="s">
        <v>310</v>
      </c>
    </row>
    <row r="5" spans="1:9">
      <c r="A5" s="1350" t="s">
        <v>310</v>
      </c>
    </row>
    <row r="6" spans="1:9">
      <c r="A6" s="1350" t="s">
        <v>310</v>
      </c>
    </row>
    <row r="7" spans="1:9" ht="22.5" customHeight="1">
      <c r="A7" s="1350" t="s">
        <v>310</v>
      </c>
      <c r="B7" s="1351" t="s">
        <v>323</v>
      </c>
      <c r="C7" s="1351" t="s">
        <v>324</v>
      </c>
      <c r="D7" s="1351" t="s">
        <v>325</v>
      </c>
      <c r="E7" s="1351" t="s">
        <v>326</v>
      </c>
      <c r="F7" s="1351" t="s">
        <v>327</v>
      </c>
      <c r="G7" s="1351" t="s">
        <v>328</v>
      </c>
      <c r="H7" s="1351" t="s">
        <v>329</v>
      </c>
    </row>
    <row r="8" spans="1:9">
      <c r="A8" s="1350" t="s">
        <v>310</v>
      </c>
      <c r="B8" s="1351" t="str">
        <f>'TS UC'!$B$8</f>
        <v>Import constraint on diesel as a share of consumption</v>
      </c>
    </row>
    <row r="9" spans="1:9">
      <c r="B9" s="1353" t="s">
        <v>13477</v>
      </c>
      <c r="C9" s="1353" t="str">
        <f>'ITEMS UC'!$C$6</f>
        <v>UCACT-ODS</v>
      </c>
      <c r="D9" s="1353" t="s">
        <v>334</v>
      </c>
      <c r="E9" s="1353" t="s">
        <v>334</v>
      </c>
      <c r="F9" s="1353" t="s">
        <v>334</v>
      </c>
      <c r="G9" s="1353" t="s">
        <v>334</v>
      </c>
      <c r="H9" s="1353" t="s">
        <v>334</v>
      </c>
      <c r="I9" s="1354">
        <v>1</v>
      </c>
    </row>
    <row r="10" spans="1:9">
      <c r="A10" s="1350" t="s">
        <v>310</v>
      </c>
      <c r="B10" s="1351" t="str">
        <f>'TS UC'!$B$17</f>
        <v>Import constraint on gasoline as a share of consumption</v>
      </c>
    </row>
    <row r="11" spans="1:9">
      <c r="B11" s="1353" t="s">
        <v>13477</v>
      </c>
      <c r="C11" s="1356" t="str">
        <f>'ITEMS UC'!$C$7</f>
        <v>UCACT-OGS</v>
      </c>
      <c r="D11" s="1353" t="s">
        <v>334</v>
      </c>
      <c r="E11" s="1353" t="s">
        <v>334</v>
      </c>
      <c r="F11" s="1353" t="s">
        <v>334</v>
      </c>
      <c r="G11" s="1353" t="s">
        <v>334</v>
      </c>
      <c r="H11" s="1353" t="s">
        <v>334</v>
      </c>
      <c r="I11" s="1354">
        <v>1</v>
      </c>
    </row>
  </sheetData>
  <pageMargins left="0.75" right="0.75" top="1" bottom="1" header="0.5" footer="0.5"/>
  <pageSetup orientation="portrait" horizontalDpi="301" verticalDpi="300" r:id="rId1"/>
  <headerFooter alignWithMargins="0"/>
  <drawing r:id="rId2"/>
  <legacyDrawing r:id="rId3"/>
  <controls>
    <mc:AlternateContent xmlns:mc="http://schemas.openxmlformats.org/markup-compatibility/2006">
      <mc:Choice Requires="x14">
        <control shapeId="2428937" r:id="rId4" name="cmdSpecifyIEOptcode">
          <controlPr defaultSize="0" autoLine="0" r:id="rId5">
            <anchor moveWithCells="1">
              <from>
                <xdr:col>8</xdr:col>
                <xdr:colOff>0</xdr:colOff>
                <xdr:row>3</xdr:row>
                <xdr:rowOff>0</xdr:rowOff>
              </from>
              <to>
                <xdr:col>8</xdr:col>
                <xdr:colOff>419100</xdr:colOff>
                <xdr:row>4</xdr:row>
                <xdr:rowOff>104775</xdr:rowOff>
              </to>
            </anchor>
          </controlPr>
        </control>
      </mc:Choice>
      <mc:Fallback>
        <control shapeId="2428937" r:id="rId4" name="cmdSpecifyIEOptcode"/>
      </mc:Fallback>
    </mc:AlternateContent>
    <mc:AlternateContent xmlns:mc="http://schemas.openxmlformats.org/markup-compatibility/2006">
      <mc:Choice Requires="x14">
        <control shapeId="2428936" r:id="rId6" name="cmdSpecifyArg6">
          <controlPr defaultSize="0" autoLine="0" r:id="rId7">
            <anchor moveWithCells="1">
              <from>
                <xdr:col>7</xdr:col>
                <xdr:colOff>0</xdr:colOff>
                <xdr:row>3</xdr:row>
                <xdr:rowOff>0</xdr:rowOff>
              </from>
              <to>
                <xdr:col>8</xdr:col>
                <xdr:colOff>0</xdr:colOff>
                <xdr:row>4</xdr:row>
                <xdr:rowOff>104775</xdr:rowOff>
              </to>
            </anchor>
          </controlPr>
        </control>
      </mc:Choice>
      <mc:Fallback>
        <control shapeId="2428936" r:id="rId6" name="cmdSpecifyArg6"/>
      </mc:Fallback>
    </mc:AlternateContent>
    <mc:AlternateContent xmlns:mc="http://schemas.openxmlformats.org/markup-compatibility/2006">
      <mc:Choice Requires="x14">
        <control shapeId="2428935" r:id="rId8" name="cmdSpecifyArg5">
          <controlPr defaultSize="0" autoLine="0" r:id="rId9">
            <anchor moveWithCells="1">
              <from>
                <xdr:col>6</xdr:col>
                <xdr:colOff>0</xdr:colOff>
                <xdr:row>3</xdr:row>
                <xdr:rowOff>0</xdr:rowOff>
              </from>
              <to>
                <xdr:col>7</xdr:col>
                <xdr:colOff>0</xdr:colOff>
                <xdr:row>4</xdr:row>
                <xdr:rowOff>104775</xdr:rowOff>
              </to>
            </anchor>
          </controlPr>
        </control>
      </mc:Choice>
      <mc:Fallback>
        <control shapeId="2428935" r:id="rId8" name="cmdSpecifyArg5"/>
      </mc:Fallback>
    </mc:AlternateContent>
    <mc:AlternateContent xmlns:mc="http://schemas.openxmlformats.org/markup-compatibility/2006">
      <mc:Choice Requires="x14">
        <control shapeId="2428934" r:id="rId10" name="cmdSpecifyArg4">
          <controlPr defaultSize="0" autoLine="0" r:id="rId11">
            <anchor moveWithCells="1">
              <from>
                <xdr:col>5</xdr:col>
                <xdr:colOff>0</xdr:colOff>
                <xdr:row>3</xdr:row>
                <xdr:rowOff>0</xdr:rowOff>
              </from>
              <to>
                <xdr:col>6</xdr:col>
                <xdr:colOff>0</xdr:colOff>
                <xdr:row>4</xdr:row>
                <xdr:rowOff>104775</xdr:rowOff>
              </to>
            </anchor>
          </controlPr>
        </control>
      </mc:Choice>
      <mc:Fallback>
        <control shapeId="2428934" r:id="rId10" name="cmdSpecifyArg4"/>
      </mc:Fallback>
    </mc:AlternateContent>
    <mc:AlternateContent xmlns:mc="http://schemas.openxmlformats.org/markup-compatibility/2006">
      <mc:Choice Requires="x14">
        <control shapeId="2428933" r:id="rId12" name="cmdSpecifyArg3">
          <controlPr defaultSize="0" autoLine="0" r:id="rId13">
            <anchor moveWithCells="1">
              <from>
                <xdr:col>4</xdr:col>
                <xdr:colOff>0</xdr:colOff>
                <xdr:row>3</xdr:row>
                <xdr:rowOff>0</xdr:rowOff>
              </from>
              <to>
                <xdr:col>4</xdr:col>
                <xdr:colOff>619125</xdr:colOff>
                <xdr:row>4</xdr:row>
                <xdr:rowOff>104775</xdr:rowOff>
              </to>
            </anchor>
          </controlPr>
        </control>
      </mc:Choice>
      <mc:Fallback>
        <control shapeId="2428933" r:id="rId12" name="cmdSpecifyArg3"/>
      </mc:Fallback>
    </mc:AlternateContent>
    <mc:AlternateContent xmlns:mc="http://schemas.openxmlformats.org/markup-compatibility/2006">
      <mc:Choice Requires="x14">
        <control shapeId="2428932" r:id="rId14" name="cmdSpecifyArg2">
          <controlPr defaultSize="0" autoLine="0" r:id="rId15">
            <anchor moveWithCells="1">
              <from>
                <xdr:col>3</xdr:col>
                <xdr:colOff>0</xdr:colOff>
                <xdr:row>3</xdr:row>
                <xdr:rowOff>0</xdr:rowOff>
              </from>
              <to>
                <xdr:col>3</xdr:col>
                <xdr:colOff>619125</xdr:colOff>
                <xdr:row>4</xdr:row>
                <xdr:rowOff>104775</xdr:rowOff>
              </to>
            </anchor>
          </controlPr>
        </control>
      </mc:Choice>
      <mc:Fallback>
        <control shapeId="2428932" r:id="rId14" name="cmdSpecifyArg2"/>
      </mc:Fallback>
    </mc:AlternateContent>
    <mc:AlternateContent xmlns:mc="http://schemas.openxmlformats.org/markup-compatibility/2006">
      <mc:Choice Requires="x14">
        <control shapeId="2428931" r:id="rId16" name="cmdSpecifyArg1">
          <controlPr defaultSize="0" autoLine="0" r:id="rId17">
            <anchor moveWithCells="1">
              <from>
                <xdr:col>2</xdr:col>
                <xdr:colOff>0</xdr:colOff>
                <xdr:row>3</xdr:row>
                <xdr:rowOff>0</xdr:rowOff>
              </from>
              <to>
                <xdr:col>2</xdr:col>
                <xdr:colOff>619125</xdr:colOff>
                <xdr:row>4</xdr:row>
                <xdr:rowOff>104775</xdr:rowOff>
              </to>
            </anchor>
          </controlPr>
        </control>
      </mc:Choice>
      <mc:Fallback>
        <control shapeId="2428931" r:id="rId16" name="cmdSpecifyArg1"/>
      </mc:Fallback>
    </mc:AlternateContent>
    <mc:AlternateContent xmlns:mc="http://schemas.openxmlformats.org/markup-compatibility/2006">
      <mc:Choice Requires="x14">
        <control shapeId="2428930" r:id="rId18" name="cmdSpecifyParameter">
          <controlPr defaultSize="0" autoLine="0" r:id="rId19">
            <anchor moveWithCells="1">
              <from>
                <xdr:col>1</xdr:col>
                <xdr:colOff>0</xdr:colOff>
                <xdr:row>3</xdr:row>
                <xdr:rowOff>0</xdr:rowOff>
              </from>
              <to>
                <xdr:col>2</xdr:col>
                <xdr:colOff>19050</xdr:colOff>
                <xdr:row>4</xdr:row>
                <xdr:rowOff>104775</xdr:rowOff>
              </to>
            </anchor>
          </controlPr>
        </control>
      </mc:Choice>
      <mc:Fallback>
        <control shapeId="2428930" r:id="rId18" name="cmdSpecifyParameter"/>
      </mc:Fallback>
    </mc:AlternateContent>
    <mc:AlternateContent xmlns:mc="http://schemas.openxmlformats.org/markup-compatibility/2006">
      <mc:Choice Requires="x14">
        <control shapeId="2428929" r:id="rId20" name="cmdCheckTSandTIDDataSheet">
          <controlPr defaultSize="0" autoLine="0" r:id="rId21">
            <anchor moveWithCells="1">
              <from>
                <xdr:col>0</xdr:col>
                <xdr:colOff>0</xdr:colOff>
                <xdr:row>2</xdr:row>
                <xdr:rowOff>0</xdr:rowOff>
              </from>
              <to>
                <xdr:col>1</xdr:col>
                <xdr:colOff>0</xdr:colOff>
                <xdr:row>3</xdr:row>
                <xdr:rowOff>47625</xdr:rowOff>
              </to>
            </anchor>
          </controlPr>
        </control>
      </mc:Choice>
      <mc:Fallback>
        <control shapeId="2428929" r:id="rId20" name="cmdCheckTSandTIDDataSheet"/>
      </mc:Fallback>
    </mc:AlternateContent>
  </control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6"/>
  <dimension ref="A1:F22"/>
  <sheetViews>
    <sheetView workbookViewId="0"/>
  </sheetViews>
  <sheetFormatPr defaultColWidth="8.7109375" defaultRowHeight="15"/>
  <cols>
    <col min="1" max="1" width="6" style="430" bestFit="1" customWidth="1"/>
    <col min="2" max="2" width="8.42578125" style="430" bestFit="1" customWidth="1"/>
    <col min="3" max="3" width="16" style="430" bestFit="1" customWidth="1"/>
    <col min="4" max="4" width="82.5703125" style="430" bestFit="1" customWidth="1"/>
    <col min="5" max="5" width="5.5703125" style="430" bestFit="1" customWidth="1"/>
    <col min="6" max="6" width="22.7109375" style="430" bestFit="1" customWidth="1"/>
    <col min="7" max="16384" width="8.7109375" style="430"/>
  </cols>
  <sheetData>
    <row r="1" spans="1:6">
      <c r="A1" s="430" t="str">
        <f>IF(Index!L2,"ITEMS","")</f>
        <v/>
      </c>
      <c r="B1" s="430" t="s">
        <v>308</v>
      </c>
    </row>
    <row r="2" spans="1:6">
      <c r="B2" s="430" t="s">
        <v>598</v>
      </c>
      <c r="C2" s="430" t="s">
        <v>13495</v>
      </c>
      <c r="D2" s="430" t="s">
        <v>13496</v>
      </c>
      <c r="E2" s="430" t="s">
        <v>248</v>
      </c>
      <c r="F2" s="430" t="s">
        <v>599</v>
      </c>
    </row>
    <row r="3" spans="1:6">
      <c r="B3" s="430" t="s">
        <v>598</v>
      </c>
      <c r="C3" s="430" t="s">
        <v>13497</v>
      </c>
      <c r="D3" s="430" t="s">
        <v>13498</v>
      </c>
      <c r="F3" s="430" t="s">
        <v>599</v>
      </c>
    </row>
    <row r="4" spans="1:6">
      <c r="B4" s="430" t="s">
        <v>598</v>
      </c>
      <c r="C4" s="430" t="s">
        <v>13499</v>
      </c>
      <c r="D4" s="430" t="s">
        <v>13500</v>
      </c>
      <c r="F4" s="430" t="s">
        <v>599</v>
      </c>
    </row>
    <row r="5" spans="1:6">
      <c r="B5" s="430" t="s">
        <v>598</v>
      </c>
      <c r="C5" s="430" t="s">
        <v>13501</v>
      </c>
      <c r="D5" s="430" t="s">
        <v>13502</v>
      </c>
      <c r="F5" s="430" t="s">
        <v>599</v>
      </c>
    </row>
    <row r="6" spans="1:6">
      <c r="B6" s="430" t="s">
        <v>598</v>
      </c>
      <c r="C6" s="430" t="s">
        <v>13503</v>
      </c>
      <c r="D6" s="430" t="s">
        <v>13504</v>
      </c>
      <c r="F6" s="430" t="s">
        <v>599</v>
      </c>
    </row>
    <row r="7" spans="1:6">
      <c r="B7" s="430" t="s">
        <v>598</v>
      </c>
      <c r="C7" s="430" t="s">
        <v>13505</v>
      </c>
      <c r="D7" s="430" t="s">
        <v>13506</v>
      </c>
      <c r="F7" s="430" t="s">
        <v>599</v>
      </c>
    </row>
    <row r="8" spans="1:6">
      <c r="B8" s="430" t="s">
        <v>598</v>
      </c>
      <c r="C8" s="430" t="s">
        <v>13507</v>
      </c>
      <c r="D8" s="430" t="s">
        <v>13508</v>
      </c>
      <c r="E8" s="430" t="s">
        <v>248</v>
      </c>
      <c r="F8" s="430" t="s">
        <v>599</v>
      </c>
    </row>
    <row r="9" spans="1:6">
      <c r="B9" s="430" t="s">
        <v>598</v>
      </c>
      <c r="C9" s="430" t="s">
        <v>13509</v>
      </c>
      <c r="D9" s="430" t="s">
        <v>13509</v>
      </c>
      <c r="F9" s="430" t="s">
        <v>599</v>
      </c>
    </row>
    <row r="10" spans="1:6">
      <c r="B10" s="430" t="s">
        <v>598</v>
      </c>
      <c r="C10" s="430" t="s">
        <v>13510</v>
      </c>
      <c r="D10" s="430" t="s">
        <v>13510</v>
      </c>
      <c r="F10" s="430" t="s">
        <v>599</v>
      </c>
    </row>
    <row r="11" spans="1:6">
      <c r="B11" s="430" t="s">
        <v>352</v>
      </c>
      <c r="C11" s="430" t="s">
        <v>13511</v>
      </c>
      <c r="D11" s="430" t="s">
        <v>13512</v>
      </c>
      <c r="E11" s="430" t="s">
        <v>248</v>
      </c>
      <c r="F11" s="430" t="s">
        <v>353</v>
      </c>
    </row>
    <row r="12" spans="1:6">
      <c r="B12" s="430" t="s">
        <v>352</v>
      </c>
      <c r="C12" s="430" t="s">
        <v>13513</v>
      </c>
      <c r="D12" s="430" t="s">
        <v>13514</v>
      </c>
      <c r="E12" s="430" t="s">
        <v>248</v>
      </c>
      <c r="F12" s="430" t="s">
        <v>353</v>
      </c>
    </row>
    <row r="13" spans="1:6">
      <c r="B13" s="430" t="s">
        <v>352</v>
      </c>
      <c r="C13" s="430" t="s">
        <v>13515</v>
      </c>
      <c r="D13" s="430" t="s">
        <v>13516</v>
      </c>
      <c r="E13" s="430" t="s">
        <v>248</v>
      </c>
      <c r="F13" s="430" t="s">
        <v>353</v>
      </c>
    </row>
    <row r="14" spans="1:6">
      <c r="B14" s="430" t="s">
        <v>352</v>
      </c>
      <c r="C14" s="430" t="s">
        <v>13517</v>
      </c>
      <c r="D14" s="430" t="s">
        <v>13518</v>
      </c>
      <c r="E14" s="430" t="s">
        <v>248</v>
      </c>
      <c r="F14" s="430" t="s">
        <v>353</v>
      </c>
    </row>
    <row r="15" spans="1:6">
      <c r="B15" s="430" t="s">
        <v>352</v>
      </c>
      <c r="C15" s="430" t="s">
        <v>13519</v>
      </c>
      <c r="D15" s="430" t="s">
        <v>13520</v>
      </c>
      <c r="E15" s="430" t="s">
        <v>248</v>
      </c>
      <c r="F15" s="430" t="s">
        <v>353</v>
      </c>
    </row>
    <row r="16" spans="1:6">
      <c r="B16" s="430" t="s">
        <v>1868</v>
      </c>
      <c r="C16" s="430" t="s">
        <v>13521</v>
      </c>
      <c r="D16" s="430" t="s">
        <v>13522</v>
      </c>
      <c r="E16" s="430" t="s">
        <v>318</v>
      </c>
      <c r="F16" s="430" t="s">
        <v>565</v>
      </c>
    </row>
    <row r="17" spans="2:6">
      <c r="B17" s="430" t="s">
        <v>1868</v>
      </c>
      <c r="C17" s="430" t="s">
        <v>13523</v>
      </c>
      <c r="D17" s="430" t="s">
        <v>13524</v>
      </c>
      <c r="E17" s="430" t="s">
        <v>318</v>
      </c>
      <c r="F17" s="430" t="s">
        <v>565</v>
      </c>
    </row>
    <row r="18" spans="2:6">
      <c r="B18" s="430" t="s">
        <v>1868</v>
      </c>
      <c r="C18" s="430" t="s">
        <v>13525</v>
      </c>
      <c r="D18" s="430" t="s">
        <v>13526</v>
      </c>
      <c r="E18" s="430" t="s">
        <v>318</v>
      </c>
      <c r="F18" s="430" t="s">
        <v>565</v>
      </c>
    </row>
    <row r="19" spans="2:6">
      <c r="B19" s="430" t="s">
        <v>1868</v>
      </c>
      <c r="C19" s="430" t="s">
        <v>13527</v>
      </c>
      <c r="D19" s="430" t="s">
        <v>13528</v>
      </c>
      <c r="E19" s="430" t="s">
        <v>318</v>
      </c>
      <c r="F19" s="430" t="s">
        <v>565</v>
      </c>
    </row>
    <row r="20" spans="2:6">
      <c r="B20" s="430" t="s">
        <v>1868</v>
      </c>
      <c r="C20" s="430" t="s">
        <v>13529</v>
      </c>
      <c r="D20" s="430" t="s">
        <v>13530</v>
      </c>
      <c r="E20" s="430" t="s">
        <v>318</v>
      </c>
      <c r="F20" s="430" t="s">
        <v>565</v>
      </c>
    </row>
    <row r="21" spans="2:6">
      <c r="B21" s="430" t="s">
        <v>1868</v>
      </c>
      <c r="C21" s="430" t="s">
        <v>13531</v>
      </c>
      <c r="D21" s="430" t="s">
        <v>13532</v>
      </c>
      <c r="E21" s="430" t="s">
        <v>318</v>
      </c>
      <c r="F21" s="430" t="s">
        <v>565</v>
      </c>
    </row>
    <row r="22" spans="2:6">
      <c r="B22" s="430" t="s">
        <v>1868</v>
      </c>
      <c r="C22" s="430" t="s">
        <v>13533</v>
      </c>
      <c r="D22" s="430" t="s">
        <v>13534</v>
      </c>
      <c r="E22" s="430" t="s">
        <v>318</v>
      </c>
      <c r="F22" s="430" t="s">
        <v>565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9"/>
  <dimension ref="A1:AP79"/>
  <sheetViews>
    <sheetView workbookViewId="0"/>
  </sheetViews>
  <sheetFormatPr defaultColWidth="8.7109375" defaultRowHeight="15"/>
  <cols>
    <col min="1" max="1" width="7.7109375" style="430" bestFit="1" customWidth="1"/>
    <col min="2" max="2" width="11.42578125" style="430" bestFit="1" customWidth="1"/>
    <col min="3" max="3" width="14.28515625" style="430" bestFit="1" customWidth="1"/>
    <col min="4" max="4" width="8.7109375" style="430"/>
    <col min="5" max="6" width="15.7109375" style="430" bestFit="1" customWidth="1"/>
    <col min="7" max="7" width="7.7109375" style="430" bestFit="1" customWidth="1"/>
    <col min="8" max="8" width="3.28515625" style="430" bestFit="1" customWidth="1"/>
    <col min="9" max="9" width="5.42578125" style="503" bestFit="1" customWidth="1"/>
    <col min="10" max="42" width="12.42578125" style="433" bestFit="1" customWidth="1"/>
    <col min="43" max="16384" width="8.7109375" style="430"/>
  </cols>
  <sheetData>
    <row r="1" spans="1:42">
      <c r="A1" s="430" t="str">
        <f>IF(Index!L2,"TS DATA","")</f>
        <v/>
      </c>
      <c r="B1" s="430" t="s">
        <v>308</v>
      </c>
    </row>
    <row r="2" spans="1:42" s="42" customFormat="1" ht="22.5" customHeight="1">
      <c r="A2" s="42" t="s">
        <v>310</v>
      </c>
      <c r="B2" s="41" t="s">
        <v>323</v>
      </c>
      <c r="C2" s="41" t="s">
        <v>324</v>
      </c>
      <c r="D2" s="41" t="s">
        <v>325</v>
      </c>
      <c r="E2" s="41" t="s">
        <v>326</v>
      </c>
      <c r="F2" s="41" t="s">
        <v>327</v>
      </c>
      <c r="G2" s="41" t="s">
        <v>328</v>
      </c>
      <c r="H2" s="836" t="s">
        <v>329</v>
      </c>
      <c r="I2" s="165" t="s">
        <v>330</v>
      </c>
      <c r="J2" s="495">
        <v>2012</v>
      </c>
      <c r="K2" s="495">
        <v>2013</v>
      </c>
      <c r="L2" s="495">
        <v>2014</v>
      </c>
      <c r="M2" s="495">
        <v>2015</v>
      </c>
      <c r="N2" s="495">
        <v>2016</v>
      </c>
      <c r="O2" s="495">
        <v>2017</v>
      </c>
      <c r="P2" s="495">
        <v>2018</v>
      </c>
      <c r="Q2" s="495">
        <v>2019</v>
      </c>
      <c r="R2" s="495">
        <v>2020</v>
      </c>
      <c r="S2" s="495">
        <v>2021</v>
      </c>
      <c r="T2" s="495">
        <v>2022</v>
      </c>
      <c r="U2" s="495">
        <v>2023</v>
      </c>
      <c r="V2" s="495">
        <v>2024</v>
      </c>
      <c r="W2" s="495">
        <v>2025</v>
      </c>
      <c r="X2" s="495">
        <v>2026</v>
      </c>
      <c r="Y2" s="495">
        <v>2027</v>
      </c>
      <c r="Z2" s="495">
        <v>2028</v>
      </c>
      <c r="AA2" s="495">
        <v>2029</v>
      </c>
      <c r="AB2" s="495">
        <f>AA2+1</f>
        <v>2030</v>
      </c>
      <c r="AC2" s="495">
        <f t="shared" ref="AC2:AL2" si="0">AB2+1</f>
        <v>2031</v>
      </c>
      <c r="AD2" s="495">
        <f t="shared" si="0"/>
        <v>2032</v>
      </c>
      <c r="AE2" s="495">
        <f t="shared" si="0"/>
        <v>2033</v>
      </c>
      <c r="AF2" s="495">
        <f t="shared" si="0"/>
        <v>2034</v>
      </c>
      <c r="AG2" s="495">
        <f t="shared" si="0"/>
        <v>2035</v>
      </c>
      <c r="AH2" s="495">
        <f t="shared" si="0"/>
        <v>2036</v>
      </c>
      <c r="AI2" s="495">
        <f t="shared" si="0"/>
        <v>2037</v>
      </c>
      <c r="AJ2" s="495">
        <f t="shared" si="0"/>
        <v>2038</v>
      </c>
      <c r="AK2" s="495">
        <f t="shared" si="0"/>
        <v>2039</v>
      </c>
      <c r="AL2" s="495">
        <f t="shared" si="0"/>
        <v>2040</v>
      </c>
      <c r="AM2" s="495">
        <v>2045</v>
      </c>
      <c r="AN2" s="495">
        <v>2050</v>
      </c>
      <c r="AO2" s="495">
        <v>2060</v>
      </c>
      <c r="AP2" s="495">
        <v>2070</v>
      </c>
    </row>
    <row r="3" spans="1:42" s="387" customFormat="1">
      <c r="B3" s="387" t="s">
        <v>336</v>
      </c>
      <c r="C3" s="387" t="s">
        <v>13554</v>
      </c>
      <c r="D3" s="387" t="s">
        <v>334</v>
      </c>
      <c r="E3" s="387" t="s">
        <v>334</v>
      </c>
      <c r="F3" s="387" t="s">
        <v>334</v>
      </c>
      <c r="G3" s="387" t="s">
        <v>337</v>
      </c>
      <c r="H3" s="387" t="s">
        <v>338</v>
      </c>
      <c r="I3" s="1359">
        <v>5</v>
      </c>
      <c r="J3" s="985">
        <v>0</v>
      </c>
      <c r="K3" s="985">
        <v>0</v>
      </c>
      <c r="L3" s="985">
        <v>0</v>
      </c>
      <c r="M3" s="985">
        <v>0</v>
      </c>
      <c r="N3" s="985">
        <v>0</v>
      </c>
      <c r="O3" s="985">
        <v>0</v>
      </c>
      <c r="P3" s="985">
        <v>0</v>
      </c>
      <c r="Q3" s="985">
        <v>0</v>
      </c>
      <c r="R3" s="985">
        <v>0</v>
      </c>
      <c r="S3" s="985">
        <v>0</v>
      </c>
      <c r="T3" s="985">
        <v>0</v>
      </c>
      <c r="U3" s="985">
        <v>0</v>
      </c>
      <c r="V3" s="985">
        <v>0</v>
      </c>
      <c r="W3" s="985">
        <v>0</v>
      </c>
      <c r="X3" s="985">
        <v>0</v>
      </c>
      <c r="Y3" s="985">
        <v>0</v>
      </c>
      <c r="Z3" s="985">
        <v>0</v>
      </c>
      <c r="AA3" s="985">
        <v>0</v>
      </c>
      <c r="AB3" s="985">
        <v>0</v>
      </c>
      <c r="AC3" s="985">
        <v>0</v>
      </c>
      <c r="AD3" s="985">
        <v>0</v>
      </c>
      <c r="AE3" s="985">
        <v>0</v>
      </c>
      <c r="AF3" s="985">
        <v>0</v>
      </c>
      <c r="AG3" s="985">
        <v>0</v>
      </c>
      <c r="AH3" s="985">
        <v>0</v>
      </c>
      <c r="AI3" s="985">
        <v>0</v>
      </c>
      <c r="AJ3" s="985">
        <v>0</v>
      </c>
      <c r="AK3" s="985">
        <v>0</v>
      </c>
      <c r="AL3" s="985">
        <v>0</v>
      </c>
      <c r="AM3" s="985">
        <v>0</v>
      </c>
      <c r="AN3" s="985">
        <v>0</v>
      </c>
      <c r="AO3" s="985">
        <v>0</v>
      </c>
      <c r="AP3" s="985">
        <v>0</v>
      </c>
    </row>
    <row r="4" spans="1:42" s="387" customFormat="1">
      <c r="B4" s="387" t="s">
        <v>336</v>
      </c>
      <c r="C4" s="387" t="s">
        <v>13545</v>
      </c>
      <c r="D4" s="387" t="s">
        <v>334</v>
      </c>
      <c r="E4" s="387" t="s">
        <v>334</v>
      </c>
      <c r="F4" s="387" t="s">
        <v>334</v>
      </c>
      <c r="G4" s="387" t="s">
        <v>337</v>
      </c>
      <c r="H4" s="387" t="s">
        <v>338</v>
      </c>
      <c r="I4" s="1359">
        <v>5</v>
      </c>
      <c r="J4" s="985">
        <v>0</v>
      </c>
      <c r="K4" s="985" t="s">
        <v>13535</v>
      </c>
      <c r="L4" s="985" t="s">
        <v>13535</v>
      </c>
      <c r="M4" s="985" t="s">
        <v>13535</v>
      </c>
      <c r="N4" s="985" t="s">
        <v>13535</v>
      </c>
      <c r="O4" s="985" t="s">
        <v>13535</v>
      </c>
      <c r="P4" s="985" t="s">
        <v>13535</v>
      </c>
      <c r="Q4" s="985" t="s">
        <v>13535</v>
      </c>
      <c r="R4" s="985" t="s">
        <v>13535</v>
      </c>
      <c r="S4" s="985" t="s">
        <v>13535</v>
      </c>
      <c r="T4" s="985" t="s">
        <v>13535</v>
      </c>
      <c r="U4" s="985" t="s">
        <v>13535</v>
      </c>
      <c r="V4" s="985" t="s">
        <v>13535</v>
      </c>
      <c r="W4" s="985" t="s">
        <v>13535</v>
      </c>
      <c r="X4" s="985" t="s">
        <v>13535</v>
      </c>
      <c r="Y4" s="985" t="s">
        <v>13535</v>
      </c>
      <c r="Z4" s="985" t="s">
        <v>13535</v>
      </c>
      <c r="AA4" s="985" t="s">
        <v>13535</v>
      </c>
      <c r="AB4" s="985" t="s">
        <v>13535</v>
      </c>
      <c r="AC4" s="985" t="s">
        <v>13535</v>
      </c>
      <c r="AD4" s="985" t="s">
        <v>13535</v>
      </c>
      <c r="AE4" s="985" t="s">
        <v>13535</v>
      </c>
      <c r="AF4" s="985" t="s">
        <v>13535</v>
      </c>
      <c r="AG4" s="985" t="s">
        <v>13535</v>
      </c>
      <c r="AH4" s="985" t="s">
        <v>13535</v>
      </c>
      <c r="AI4" s="985" t="s">
        <v>13535</v>
      </c>
      <c r="AJ4" s="985" t="s">
        <v>13535</v>
      </c>
      <c r="AK4" s="985" t="s">
        <v>13535</v>
      </c>
      <c r="AL4" s="985" t="s">
        <v>13535</v>
      </c>
      <c r="AM4" s="985" t="s">
        <v>13535</v>
      </c>
      <c r="AN4" s="985" t="s">
        <v>13535</v>
      </c>
      <c r="AO4" s="985" t="s">
        <v>13535</v>
      </c>
      <c r="AP4" s="985" t="s">
        <v>13535</v>
      </c>
    </row>
    <row r="5" spans="1:42" s="1092" customFormat="1">
      <c r="B5" s="1092" t="s">
        <v>13544</v>
      </c>
      <c r="C5" s="1092" t="s">
        <v>13546</v>
      </c>
      <c r="D5" s="1092" t="s">
        <v>334</v>
      </c>
      <c r="E5" s="1092" t="s">
        <v>334</v>
      </c>
      <c r="F5" s="1092" t="s">
        <v>334</v>
      </c>
      <c r="G5" s="1092" t="s">
        <v>334</v>
      </c>
      <c r="H5" s="1092" t="s">
        <v>338</v>
      </c>
      <c r="I5" s="1360">
        <v>5</v>
      </c>
      <c r="J5" s="1361">
        <v>0</v>
      </c>
      <c r="K5" s="1361" t="s">
        <v>13535</v>
      </c>
      <c r="L5" s="1361" t="s">
        <v>13535</v>
      </c>
      <c r="M5" s="1361" t="s">
        <v>13535</v>
      </c>
      <c r="N5" s="1361" t="s">
        <v>13535</v>
      </c>
      <c r="O5" s="1361" t="s">
        <v>13535</v>
      </c>
      <c r="P5" s="1361" t="s">
        <v>13535</v>
      </c>
      <c r="Q5" s="1361" t="s">
        <v>13535</v>
      </c>
      <c r="R5" s="1361" t="s">
        <v>13535</v>
      </c>
      <c r="S5" s="1361" t="s">
        <v>13535</v>
      </c>
      <c r="T5" s="1361" t="s">
        <v>13535</v>
      </c>
      <c r="U5" s="1361" t="s">
        <v>13535</v>
      </c>
      <c r="V5" s="1361" t="s">
        <v>13535</v>
      </c>
      <c r="W5" s="1361" t="s">
        <v>13535</v>
      </c>
      <c r="X5" s="1361" t="s">
        <v>13535</v>
      </c>
      <c r="Y5" s="1361" t="s">
        <v>13535</v>
      </c>
      <c r="Z5" s="1361" t="s">
        <v>13535</v>
      </c>
      <c r="AA5" s="1361" t="s">
        <v>13535</v>
      </c>
      <c r="AB5" s="1361" t="s">
        <v>13535</v>
      </c>
      <c r="AC5" s="1361" t="s">
        <v>13535</v>
      </c>
      <c r="AD5" s="1361" t="s">
        <v>13535</v>
      </c>
      <c r="AE5" s="1361" t="s">
        <v>13535</v>
      </c>
      <c r="AF5" s="1361" t="s">
        <v>13535</v>
      </c>
      <c r="AG5" s="1361" t="s">
        <v>13535</v>
      </c>
      <c r="AH5" s="1361" t="s">
        <v>13535</v>
      </c>
      <c r="AI5" s="1361" t="s">
        <v>13535</v>
      </c>
      <c r="AJ5" s="1361" t="s">
        <v>13535</v>
      </c>
      <c r="AK5" s="1361" t="s">
        <v>13535</v>
      </c>
      <c r="AL5" s="1361" t="s">
        <v>13535</v>
      </c>
      <c r="AM5" s="1361" t="s">
        <v>13535</v>
      </c>
      <c r="AN5" s="1361" t="s">
        <v>13535</v>
      </c>
      <c r="AO5" s="1361" t="s">
        <v>13535</v>
      </c>
      <c r="AP5" s="1361" t="s">
        <v>13535</v>
      </c>
    </row>
    <row r="6" spans="1:42" s="1092" customFormat="1">
      <c r="B6" s="1092" t="s">
        <v>336</v>
      </c>
      <c r="C6" s="1092" t="s">
        <v>13552</v>
      </c>
      <c r="D6" s="1092" t="s">
        <v>334</v>
      </c>
      <c r="E6" s="1092" t="s">
        <v>334</v>
      </c>
      <c r="F6" s="1092" t="s">
        <v>334</v>
      </c>
      <c r="G6" s="1092" t="s">
        <v>337</v>
      </c>
      <c r="H6" s="1092" t="s">
        <v>338</v>
      </c>
      <c r="I6" s="1360">
        <v>5</v>
      </c>
      <c r="J6" s="1361">
        <v>0</v>
      </c>
      <c r="K6" s="1361" t="s">
        <v>13535</v>
      </c>
      <c r="L6" s="1361" t="s">
        <v>13535</v>
      </c>
      <c r="M6" s="1361" t="s">
        <v>13535</v>
      </c>
      <c r="N6" s="1361" t="s">
        <v>13535</v>
      </c>
      <c r="O6" s="1361" t="s">
        <v>13535</v>
      </c>
      <c r="P6" s="1361" t="s">
        <v>13535</v>
      </c>
      <c r="Q6" s="1361" t="s">
        <v>13535</v>
      </c>
      <c r="R6" s="1361" t="s">
        <v>13535</v>
      </c>
      <c r="S6" s="1361" t="s">
        <v>13535</v>
      </c>
      <c r="T6" s="1361" t="s">
        <v>13535</v>
      </c>
      <c r="U6" s="1361" t="s">
        <v>13535</v>
      </c>
      <c r="V6" s="1361" t="s">
        <v>13535</v>
      </c>
      <c r="W6" s="1361" t="s">
        <v>13535</v>
      </c>
      <c r="X6" s="1361" t="s">
        <v>13535</v>
      </c>
      <c r="Y6" s="1361" t="s">
        <v>13535</v>
      </c>
      <c r="Z6" s="1361" t="s">
        <v>13535</v>
      </c>
      <c r="AA6" s="1361" t="s">
        <v>13535</v>
      </c>
      <c r="AB6" s="1361" t="s">
        <v>13535</v>
      </c>
      <c r="AC6" s="1361" t="s">
        <v>13535</v>
      </c>
      <c r="AD6" s="1361" t="s">
        <v>13535</v>
      </c>
      <c r="AE6" s="1361" t="s">
        <v>13535</v>
      </c>
      <c r="AF6" s="1361" t="s">
        <v>13535</v>
      </c>
      <c r="AG6" s="1361" t="s">
        <v>13535</v>
      </c>
      <c r="AH6" s="1361" t="s">
        <v>13535</v>
      </c>
      <c r="AI6" s="1361" t="s">
        <v>13535</v>
      </c>
      <c r="AJ6" s="1361" t="s">
        <v>13535</v>
      </c>
      <c r="AK6" s="1361" t="s">
        <v>13535</v>
      </c>
      <c r="AL6" s="1361" t="s">
        <v>13535</v>
      </c>
      <c r="AM6" s="1361" t="s">
        <v>13535</v>
      </c>
      <c r="AN6" s="1361" t="s">
        <v>13535</v>
      </c>
      <c r="AO6" s="1361" t="s">
        <v>13535</v>
      </c>
      <c r="AP6" s="1361" t="s">
        <v>13535</v>
      </c>
    </row>
    <row r="7" spans="1:42" s="1092" customFormat="1">
      <c r="B7" s="1092" t="s">
        <v>336</v>
      </c>
      <c r="C7" s="1092" t="s">
        <v>13553</v>
      </c>
      <c r="D7" s="1092" t="s">
        <v>334</v>
      </c>
      <c r="E7" s="1092" t="s">
        <v>334</v>
      </c>
      <c r="F7" s="1092" t="s">
        <v>334</v>
      </c>
      <c r="G7" s="1092" t="s">
        <v>337</v>
      </c>
      <c r="H7" s="1092" t="s">
        <v>338</v>
      </c>
      <c r="I7" s="1360">
        <v>5</v>
      </c>
      <c r="J7" s="1361">
        <v>0</v>
      </c>
      <c r="K7" s="1361" t="s">
        <v>13535</v>
      </c>
      <c r="L7" s="1361" t="s">
        <v>13535</v>
      </c>
      <c r="M7" s="1361" t="s">
        <v>13535</v>
      </c>
      <c r="N7" s="1361" t="s">
        <v>13535</v>
      </c>
      <c r="O7" s="1361" t="s">
        <v>13535</v>
      </c>
      <c r="P7" s="1361" t="s">
        <v>13535</v>
      </c>
      <c r="Q7" s="1361" t="s">
        <v>13535</v>
      </c>
      <c r="R7" s="1361" t="s">
        <v>13535</v>
      </c>
      <c r="S7" s="1361" t="s">
        <v>13535</v>
      </c>
      <c r="T7" s="1361" t="s">
        <v>13535</v>
      </c>
      <c r="U7" s="1361" t="s">
        <v>13535</v>
      </c>
      <c r="V7" s="1361" t="s">
        <v>13535</v>
      </c>
      <c r="W7" s="1361" t="s">
        <v>13535</v>
      </c>
      <c r="X7" s="1361" t="s">
        <v>13535</v>
      </c>
      <c r="Y7" s="1361" t="s">
        <v>13535</v>
      </c>
      <c r="Z7" s="1361" t="s">
        <v>13535</v>
      </c>
      <c r="AA7" s="1361" t="s">
        <v>13535</v>
      </c>
      <c r="AB7" s="1361" t="s">
        <v>13535</v>
      </c>
      <c r="AC7" s="1361" t="s">
        <v>13535</v>
      </c>
      <c r="AD7" s="1361" t="s">
        <v>13535</v>
      </c>
      <c r="AE7" s="1361" t="s">
        <v>13535</v>
      </c>
      <c r="AF7" s="1361" t="s">
        <v>13535</v>
      </c>
      <c r="AG7" s="1361" t="s">
        <v>13535</v>
      </c>
      <c r="AH7" s="1361" t="s">
        <v>13535</v>
      </c>
      <c r="AI7" s="1361" t="s">
        <v>13535</v>
      </c>
      <c r="AJ7" s="1361" t="s">
        <v>13535</v>
      </c>
      <c r="AK7" s="1361" t="s">
        <v>13535</v>
      </c>
      <c r="AL7" s="1361" t="s">
        <v>13535</v>
      </c>
      <c r="AM7" s="1361" t="s">
        <v>13535</v>
      </c>
      <c r="AN7" s="1361" t="s">
        <v>13535</v>
      </c>
      <c r="AO7" s="1361" t="s">
        <v>13535</v>
      </c>
      <c r="AP7" s="1361" t="s">
        <v>13535</v>
      </c>
    </row>
    <row r="8" spans="1:42">
      <c r="B8" s="430" t="s">
        <v>332</v>
      </c>
      <c r="C8" s="430" t="s">
        <v>13533</v>
      </c>
      <c r="D8" s="430" t="s">
        <v>334</v>
      </c>
      <c r="E8" s="430" t="s">
        <v>334</v>
      </c>
      <c r="F8" s="430" t="s">
        <v>334</v>
      </c>
      <c r="G8" s="430" t="s">
        <v>334</v>
      </c>
      <c r="H8" s="430" t="s">
        <v>334</v>
      </c>
      <c r="I8" s="503">
        <v>0</v>
      </c>
      <c r="J8" s="433">
        <v>15.1728567709002</v>
      </c>
      <c r="K8" s="433" t="s">
        <v>13535</v>
      </c>
      <c r="L8" s="433" t="s">
        <v>13535</v>
      </c>
      <c r="M8" s="433" t="s">
        <v>13535</v>
      </c>
      <c r="N8" s="433" t="s">
        <v>13535</v>
      </c>
      <c r="O8" s="433" t="s">
        <v>13535</v>
      </c>
      <c r="P8" s="433" t="s">
        <v>13535</v>
      </c>
      <c r="Q8" s="433" t="s">
        <v>13535</v>
      </c>
      <c r="R8" s="433" t="s">
        <v>13535</v>
      </c>
      <c r="S8" s="433" t="s">
        <v>13535</v>
      </c>
      <c r="T8" s="433" t="s">
        <v>13535</v>
      </c>
      <c r="U8" s="433" t="s">
        <v>13535</v>
      </c>
      <c r="V8" s="433" t="s">
        <v>13535</v>
      </c>
      <c r="W8" s="433" t="s">
        <v>13535</v>
      </c>
      <c r="X8" s="433" t="s">
        <v>13535</v>
      </c>
      <c r="Y8" s="433" t="s">
        <v>13535</v>
      </c>
      <c r="Z8" s="433" t="s">
        <v>13535</v>
      </c>
      <c r="AA8" s="433" t="s">
        <v>13535</v>
      </c>
      <c r="AB8" s="433" t="s">
        <v>13535</v>
      </c>
      <c r="AC8" s="433" t="s">
        <v>13535</v>
      </c>
      <c r="AD8" s="433" t="s">
        <v>13535</v>
      </c>
      <c r="AE8" s="433" t="s">
        <v>13535</v>
      </c>
      <c r="AF8" s="433" t="s">
        <v>13535</v>
      </c>
      <c r="AG8" s="433" t="s">
        <v>13535</v>
      </c>
      <c r="AH8" s="433" t="s">
        <v>13535</v>
      </c>
      <c r="AI8" s="433" t="s">
        <v>13535</v>
      </c>
      <c r="AJ8" s="433" t="s">
        <v>13535</v>
      </c>
      <c r="AK8" s="433" t="s">
        <v>13535</v>
      </c>
      <c r="AL8" s="433" t="s">
        <v>13535</v>
      </c>
      <c r="AM8" s="433" t="s">
        <v>13535</v>
      </c>
      <c r="AN8" s="433" t="s">
        <v>13535</v>
      </c>
      <c r="AO8" s="433" t="s">
        <v>13535</v>
      </c>
      <c r="AP8" s="433" t="s">
        <v>13535</v>
      </c>
    </row>
    <row r="9" spans="1:42">
      <c r="B9" s="430" t="s">
        <v>602</v>
      </c>
      <c r="C9" s="430" t="s">
        <v>13533</v>
      </c>
      <c r="D9" s="430" t="s">
        <v>334</v>
      </c>
      <c r="E9" s="430" t="s">
        <v>334</v>
      </c>
      <c r="F9" s="430" t="s">
        <v>334</v>
      </c>
      <c r="G9" s="430" t="s">
        <v>334</v>
      </c>
      <c r="H9" s="458" t="str">
        <f>TS_TTech!H48</f>
        <v>UP</v>
      </c>
      <c r="I9" s="503">
        <f>TS_TTech!I48</f>
        <v>3</v>
      </c>
      <c r="J9" s="458">
        <f ca="1">TS_TTech!J48</f>
        <v>0.95890410958904104</v>
      </c>
      <c r="K9" s="433" t="s">
        <v>13535</v>
      </c>
      <c r="L9" s="433" t="s">
        <v>13535</v>
      </c>
      <c r="M9" s="433" t="s">
        <v>13535</v>
      </c>
      <c r="N9" s="433" t="s">
        <v>13535</v>
      </c>
      <c r="O9" s="433" t="s">
        <v>13535</v>
      </c>
      <c r="P9" s="433" t="s">
        <v>13535</v>
      </c>
      <c r="Q9" s="433" t="s">
        <v>13535</v>
      </c>
      <c r="R9" s="433" t="s">
        <v>13535</v>
      </c>
      <c r="S9" s="433" t="s">
        <v>13535</v>
      </c>
      <c r="T9" s="433" t="s">
        <v>13535</v>
      </c>
      <c r="U9" s="433" t="s">
        <v>13535</v>
      </c>
      <c r="V9" s="433" t="s">
        <v>13535</v>
      </c>
      <c r="W9" s="433" t="s">
        <v>13535</v>
      </c>
      <c r="X9" s="433" t="s">
        <v>13535</v>
      </c>
      <c r="Y9" s="433" t="s">
        <v>13535</v>
      </c>
      <c r="Z9" s="433" t="s">
        <v>13535</v>
      </c>
      <c r="AA9" s="433" t="s">
        <v>13535</v>
      </c>
      <c r="AB9" s="433" t="s">
        <v>13535</v>
      </c>
      <c r="AC9" s="433" t="s">
        <v>13535</v>
      </c>
      <c r="AD9" s="433" t="s">
        <v>13535</v>
      </c>
      <c r="AE9" s="433" t="s">
        <v>13535</v>
      </c>
      <c r="AF9" s="433" t="s">
        <v>13535</v>
      </c>
      <c r="AG9" s="433" t="s">
        <v>13535</v>
      </c>
      <c r="AH9" s="433" t="s">
        <v>13535</v>
      </c>
      <c r="AI9" s="433" t="s">
        <v>13535</v>
      </c>
      <c r="AJ9" s="433" t="s">
        <v>13535</v>
      </c>
      <c r="AK9" s="433" t="s">
        <v>13535</v>
      </c>
      <c r="AL9" s="433" t="s">
        <v>13535</v>
      </c>
      <c r="AM9" s="433" t="s">
        <v>13535</v>
      </c>
      <c r="AN9" s="433" t="s">
        <v>13535</v>
      </c>
      <c r="AO9" s="433" t="s">
        <v>13535</v>
      </c>
      <c r="AP9" s="433" t="s">
        <v>13535</v>
      </c>
    </row>
    <row r="10" spans="1:42">
      <c r="B10" s="430" t="s">
        <v>602</v>
      </c>
      <c r="C10" s="430" t="s">
        <v>13533</v>
      </c>
      <c r="D10" s="430" t="s">
        <v>334</v>
      </c>
      <c r="E10" s="430" t="s">
        <v>334</v>
      </c>
      <c r="F10" s="430" t="s">
        <v>334</v>
      </c>
      <c r="G10" s="430" t="s">
        <v>334</v>
      </c>
      <c r="H10" s="458" t="str">
        <f>TS_TTech!H49</f>
        <v>LO</v>
      </c>
      <c r="I10" s="503">
        <f>TS_TTech!I49</f>
        <v>3</v>
      </c>
      <c r="J10" s="458">
        <f ca="1">TS_TTech!J49</f>
        <v>0.91095890410958891</v>
      </c>
      <c r="K10" s="433" t="s">
        <v>13535</v>
      </c>
      <c r="L10" s="433" t="s">
        <v>13535</v>
      </c>
      <c r="M10" s="433" t="s">
        <v>13535</v>
      </c>
      <c r="N10" s="433" t="s">
        <v>13535</v>
      </c>
      <c r="O10" s="433" t="s">
        <v>13535</v>
      </c>
      <c r="P10" s="433" t="s">
        <v>13535</v>
      </c>
      <c r="Q10" s="433" t="s">
        <v>13535</v>
      </c>
      <c r="R10" s="433" t="s">
        <v>13535</v>
      </c>
      <c r="S10" s="433" t="s">
        <v>13535</v>
      </c>
      <c r="T10" s="433" t="s">
        <v>13535</v>
      </c>
      <c r="U10" s="433" t="s">
        <v>13535</v>
      </c>
      <c r="V10" s="433" t="s">
        <v>13535</v>
      </c>
      <c r="W10" s="433" t="s">
        <v>13535</v>
      </c>
      <c r="X10" s="433" t="s">
        <v>13535</v>
      </c>
      <c r="Y10" s="433" t="s">
        <v>13535</v>
      </c>
      <c r="Z10" s="433" t="s">
        <v>13535</v>
      </c>
      <c r="AA10" s="433" t="s">
        <v>13535</v>
      </c>
      <c r="AB10" s="433" t="s">
        <v>13535</v>
      </c>
      <c r="AC10" s="433" t="s">
        <v>13535</v>
      </c>
      <c r="AD10" s="433" t="s">
        <v>13535</v>
      </c>
      <c r="AE10" s="433" t="s">
        <v>13535</v>
      </c>
      <c r="AF10" s="433" t="s">
        <v>13535</v>
      </c>
      <c r="AG10" s="433" t="s">
        <v>13535</v>
      </c>
      <c r="AH10" s="433" t="s">
        <v>13535</v>
      </c>
      <c r="AI10" s="433" t="s">
        <v>13535</v>
      </c>
      <c r="AJ10" s="433" t="s">
        <v>13535</v>
      </c>
      <c r="AK10" s="433" t="s">
        <v>13535</v>
      </c>
      <c r="AL10" s="433" t="s">
        <v>13535</v>
      </c>
      <c r="AM10" s="433" t="s">
        <v>13535</v>
      </c>
      <c r="AN10" s="433" t="s">
        <v>13535</v>
      </c>
      <c r="AO10" s="433" t="s">
        <v>13535</v>
      </c>
      <c r="AP10" s="433" t="s">
        <v>13535</v>
      </c>
    </row>
    <row r="11" spans="1:42">
      <c r="B11" s="430" t="s">
        <v>850</v>
      </c>
      <c r="C11" s="430" t="s">
        <v>13533</v>
      </c>
      <c r="D11" s="430" t="s">
        <v>334</v>
      </c>
      <c r="E11" s="430" t="s">
        <v>334</v>
      </c>
      <c r="F11" s="430" t="s">
        <v>334</v>
      </c>
      <c r="G11" s="430" t="s">
        <v>334</v>
      </c>
      <c r="H11" s="430" t="s">
        <v>338</v>
      </c>
      <c r="I11" s="503">
        <v>3</v>
      </c>
      <c r="J11" s="433">
        <v>0</v>
      </c>
      <c r="K11" s="433" t="s">
        <v>13535</v>
      </c>
      <c r="L11" s="433" t="s">
        <v>13535</v>
      </c>
      <c r="M11" s="433" t="s">
        <v>13535</v>
      </c>
      <c r="N11" s="433" t="s">
        <v>13535</v>
      </c>
      <c r="O11" s="433" t="s">
        <v>13535</v>
      </c>
      <c r="P11" s="433" t="s">
        <v>13535</v>
      </c>
      <c r="Q11" s="433" t="s">
        <v>13535</v>
      </c>
      <c r="R11" s="433" t="s">
        <v>13535</v>
      </c>
      <c r="S11" s="433" t="s">
        <v>13535</v>
      </c>
      <c r="T11" s="433" t="s">
        <v>13535</v>
      </c>
      <c r="U11" s="433" t="s">
        <v>13535</v>
      </c>
      <c r="V11" s="433" t="s">
        <v>13535</v>
      </c>
      <c r="W11" s="433" t="s">
        <v>13535</v>
      </c>
      <c r="X11" s="433" t="s">
        <v>13535</v>
      </c>
      <c r="Y11" s="433" t="s">
        <v>13535</v>
      </c>
      <c r="Z11" s="433" t="s">
        <v>13535</v>
      </c>
      <c r="AA11" s="433" t="s">
        <v>13535</v>
      </c>
      <c r="AB11" s="433" t="s">
        <v>13535</v>
      </c>
      <c r="AC11" s="433" t="s">
        <v>13535</v>
      </c>
      <c r="AD11" s="433" t="s">
        <v>13535</v>
      </c>
      <c r="AE11" s="433" t="s">
        <v>13535</v>
      </c>
      <c r="AF11" s="433" t="s">
        <v>13535</v>
      </c>
      <c r="AG11" s="433" t="s">
        <v>13535</v>
      </c>
      <c r="AH11" s="433" t="s">
        <v>13535</v>
      </c>
      <c r="AI11" s="433" t="s">
        <v>13535</v>
      </c>
      <c r="AJ11" s="433" t="s">
        <v>13535</v>
      </c>
      <c r="AK11" s="433" t="s">
        <v>13535</v>
      </c>
      <c r="AL11" s="433" t="s">
        <v>13535</v>
      </c>
      <c r="AM11" s="433" t="s">
        <v>13535</v>
      </c>
      <c r="AN11" s="433" t="s">
        <v>13535</v>
      </c>
      <c r="AO11" s="433" t="s">
        <v>13535</v>
      </c>
      <c r="AP11" s="433" t="s">
        <v>13535</v>
      </c>
    </row>
    <row r="12" spans="1:42">
      <c r="B12" s="430" t="s">
        <v>849</v>
      </c>
      <c r="C12" s="430" t="s">
        <v>13533</v>
      </c>
      <c r="D12" s="430" t="s">
        <v>334</v>
      </c>
      <c r="E12" s="430" t="s">
        <v>334</v>
      </c>
      <c r="F12" s="430" t="s">
        <v>334</v>
      </c>
      <c r="G12" s="430" t="s">
        <v>334</v>
      </c>
      <c r="H12" s="430" t="s">
        <v>334</v>
      </c>
      <c r="I12" s="503">
        <v>0</v>
      </c>
      <c r="J12" s="433">
        <v>0</v>
      </c>
      <c r="K12" s="433" t="s">
        <v>13535</v>
      </c>
      <c r="L12" s="433" t="s">
        <v>13535</v>
      </c>
      <c r="M12" s="433" t="s">
        <v>13535</v>
      </c>
      <c r="N12" s="433" t="s">
        <v>13535</v>
      </c>
      <c r="O12" s="433" t="s">
        <v>13535</v>
      </c>
      <c r="P12" s="433" t="s">
        <v>13535</v>
      </c>
      <c r="Q12" s="433" t="s">
        <v>13535</v>
      </c>
      <c r="R12" s="433" t="s">
        <v>13535</v>
      </c>
      <c r="S12" s="433" t="s">
        <v>13535</v>
      </c>
      <c r="T12" s="433" t="s">
        <v>13535</v>
      </c>
      <c r="U12" s="433" t="s">
        <v>13535</v>
      </c>
      <c r="V12" s="433" t="s">
        <v>13535</v>
      </c>
      <c r="W12" s="433" t="s">
        <v>13535</v>
      </c>
      <c r="X12" s="433" t="s">
        <v>13535</v>
      </c>
      <c r="Y12" s="433" t="s">
        <v>13535</v>
      </c>
      <c r="Z12" s="433" t="s">
        <v>13535</v>
      </c>
      <c r="AA12" s="433" t="s">
        <v>13535</v>
      </c>
      <c r="AB12" s="433" t="s">
        <v>13535</v>
      </c>
      <c r="AC12" s="433" t="s">
        <v>13535</v>
      </c>
      <c r="AD12" s="433" t="s">
        <v>13535</v>
      </c>
      <c r="AE12" s="433" t="s">
        <v>13535</v>
      </c>
      <c r="AF12" s="433" t="s">
        <v>13535</v>
      </c>
      <c r="AG12" s="433" t="s">
        <v>13535</v>
      </c>
      <c r="AH12" s="433" t="s">
        <v>13535</v>
      </c>
      <c r="AI12" s="433" t="s">
        <v>13535</v>
      </c>
      <c r="AJ12" s="433" t="s">
        <v>13535</v>
      </c>
      <c r="AK12" s="433" t="s">
        <v>13535</v>
      </c>
      <c r="AL12" s="433" t="s">
        <v>13535</v>
      </c>
      <c r="AM12" s="433" t="s">
        <v>13535</v>
      </c>
      <c r="AN12" s="433" t="s">
        <v>13535</v>
      </c>
      <c r="AO12" s="433" t="s">
        <v>13535</v>
      </c>
      <c r="AP12" s="433" t="s">
        <v>13535</v>
      </c>
    </row>
    <row r="13" spans="1:42">
      <c r="B13" s="430" t="s">
        <v>860</v>
      </c>
      <c r="C13" s="430" t="s">
        <v>13533</v>
      </c>
      <c r="D13" s="430" t="s">
        <v>334</v>
      </c>
      <c r="E13" s="430" t="s">
        <v>334</v>
      </c>
      <c r="F13" s="430" t="s">
        <v>334</v>
      </c>
      <c r="G13" s="430" t="s">
        <v>334</v>
      </c>
      <c r="H13" s="430" t="s">
        <v>334</v>
      </c>
      <c r="I13" s="503">
        <v>0</v>
      </c>
      <c r="J13" s="433">
        <v>212.159791413877</v>
      </c>
      <c r="K13" s="433">
        <v>212.159791413877</v>
      </c>
      <c r="L13" s="433">
        <v>212.159791413877</v>
      </c>
      <c r="M13" s="433">
        <v>212.159791413877</v>
      </c>
      <c r="N13" s="433">
        <v>212.159791413877</v>
      </c>
      <c r="O13" s="433">
        <v>212.159791413877</v>
      </c>
      <c r="P13" s="433">
        <v>212.159791413877</v>
      </c>
      <c r="Q13" s="433">
        <v>212.159791413877</v>
      </c>
      <c r="R13" s="433">
        <v>212.159791413877</v>
      </c>
      <c r="S13" s="433">
        <v>212.159791413877</v>
      </c>
      <c r="T13" s="433">
        <v>212.159791413877</v>
      </c>
      <c r="U13" s="433">
        <v>212.159791413877</v>
      </c>
      <c r="V13" s="433">
        <v>212.159791413877</v>
      </c>
      <c r="W13" s="433">
        <v>212.159791413877</v>
      </c>
      <c r="X13" s="433">
        <v>212.159791413877</v>
      </c>
      <c r="Y13" s="433">
        <v>212.159791413877</v>
      </c>
      <c r="Z13" s="433">
        <v>212.159791413877</v>
      </c>
      <c r="AA13" s="433">
        <v>212.159791413877</v>
      </c>
      <c r="AB13" s="433">
        <v>212.159791413877</v>
      </c>
      <c r="AC13" s="433">
        <v>212.159791413877</v>
      </c>
      <c r="AD13" s="433">
        <v>212.159791413877</v>
      </c>
      <c r="AE13" s="433">
        <v>212.159791413877</v>
      </c>
      <c r="AF13" s="433">
        <v>212.159791413877</v>
      </c>
      <c r="AG13" s="433">
        <v>212.159791413877</v>
      </c>
      <c r="AH13" s="433">
        <v>212.159791413877</v>
      </c>
      <c r="AI13" s="433">
        <v>212.159791413877</v>
      </c>
      <c r="AJ13" s="433">
        <v>212.159791413877</v>
      </c>
      <c r="AK13" s="433">
        <v>212.159791413877</v>
      </c>
      <c r="AL13" s="433">
        <v>212.159791413877</v>
      </c>
      <c r="AM13" s="433">
        <v>212.159791413877</v>
      </c>
      <c r="AN13" s="433">
        <v>212.159791413877</v>
      </c>
      <c r="AO13" s="433">
        <v>212.159791413877</v>
      </c>
      <c r="AP13" s="433">
        <v>212.159791413877</v>
      </c>
    </row>
    <row r="14" spans="1:42">
      <c r="B14" s="430" t="s">
        <v>851</v>
      </c>
      <c r="C14" s="430" t="s">
        <v>13533</v>
      </c>
      <c r="D14" s="430" t="s">
        <v>334</v>
      </c>
      <c r="E14" s="430" t="s">
        <v>13509</v>
      </c>
      <c r="F14" s="430" t="s">
        <v>13510</v>
      </c>
      <c r="G14" s="430" t="s">
        <v>337</v>
      </c>
      <c r="H14" s="430" t="s">
        <v>334</v>
      </c>
      <c r="I14" s="503">
        <v>0</v>
      </c>
      <c r="J14" s="433">
        <v>0.96</v>
      </c>
      <c r="K14" s="433" t="s">
        <v>13535</v>
      </c>
      <c r="L14" s="433" t="s">
        <v>13535</v>
      </c>
      <c r="M14" s="433" t="s">
        <v>13535</v>
      </c>
      <c r="N14" s="433" t="s">
        <v>13535</v>
      </c>
      <c r="O14" s="433" t="s">
        <v>13535</v>
      </c>
      <c r="P14" s="433" t="s">
        <v>13535</v>
      </c>
      <c r="Q14" s="433" t="s">
        <v>13535</v>
      </c>
      <c r="R14" s="433" t="s">
        <v>13535</v>
      </c>
      <c r="S14" s="433" t="s">
        <v>13535</v>
      </c>
      <c r="T14" s="433" t="s">
        <v>13535</v>
      </c>
      <c r="U14" s="433" t="s">
        <v>13535</v>
      </c>
      <c r="V14" s="433" t="s">
        <v>13535</v>
      </c>
      <c r="W14" s="433" t="s">
        <v>13535</v>
      </c>
      <c r="X14" s="433" t="s">
        <v>13535</v>
      </c>
      <c r="Y14" s="433" t="s">
        <v>13535</v>
      </c>
      <c r="Z14" s="433" t="s">
        <v>13535</v>
      </c>
      <c r="AA14" s="433" t="s">
        <v>13535</v>
      </c>
      <c r="AB14" s="433" t="s">
        <v>13535</v>
      </c>
      <c r="AC14" s="433" t="s">
        <v>13535</v>
      </c>
      <c r="AD14" s="433" t="s">
        <v>13535</v>
      </c>
      <c r="AE14" s="433" t="s">
        <v>13535</v>
      </c>
      <c r="AF14" s="433" t="s">
        <v>13535</v>
      </c>
      <c r="AG14" s="433" t="s">
        <v>13535</v>
      </c>
      <c r="AH14" s="433" t="s">
        <v>13535</v>
      </c>
      <c r="AI14" s="433" t="s">
        <v>13535</v>
      </c>
      <c r="AJ14" s="433" t="s">
        <v>13535</v>
      </c>
      <c r="AK14" s="433" t="s">
        <v>13535</v>
      </c>
      <c r="AL14" s="433" t="s">
        <v>13535</v>
      </c>
      <c r="AM14" s="433" t="s">
        <v>13535</v>
      </c>
      <c r="AN14" s="433" t="s">
        <v>13535</v>
      </c>
      <c r="AO14" s="433" t="s">
        <v>13535</v>
      </c>
      <c r="AP14" s="433" t="s">
        <v>13535</v>
      </c>
    </row>
    <row r="15" spans="1:42">
      <c r="B15" s="430" t="s">
        <v>855</v>
      </c>
      <c r="C15" s="430" t="s">
        <v>13533</v>
      </c>
      <c r="D15" s="430" t="s">
        <v>13536</v>
      </c>
      <c r="E15" s="430" t="s">
        <v>13509</v>
      </c>
      <c r="F15" s="430" t="s">
        <v>334</v>
      </c>
      <c r="G15" s="430" t="s">
        <v>337</v>
      </c>
      <c r="H15" s="430" t="s">
        <v>856</v>
      </c>
      <c r="I15" s="503">
        <v>3</v>
      </c>
      <c r="J15" s="433">
        <v>5.70189174426039E-3</v>
      </c>
      <c r="K15" s="433" t="s">
        <v>13535</v>
      </c>
      <c r="L15" s="433" t="s">
        <v>13535</v>
      </c>
      <c r="M15" s="433" t="s">
        <v>13535</v>
      </c>
      <c r="N15" s="433" t="s">
        <v>13535</v>
      </c>
      <c r="O15" s="433" t="s">
        <v>13535</v>
      </c>
      <c r="P15" s="433" t="s">
        <v>13535</v>
      </c>
      <c r="Q15" s="433" t="s">
        <v>13535</v>
      </c>
      <c r="R15" s="433" t="s">
        <v>13535</v>
      </c>
      <c r="S15" s="433" t="s">
        <v>13535</v>
      </c>
      <c r="T15" s="433" t="s">
        <v>13535</v>
      </c>
      <c r="U15" s="433" t="s">
        <v>13535</v>
      </c>
      <c r="V15" s="433" t="s">
        <v>13535</v>
      </c>
      <c r="W15" s="433" t="s">
        <v>13535</v>
      </c>
      <c r="X15" s="433" t="s">
        <v>13535</v>
      </c>
      <c r="Y15" s="433" t="s">
        <v>13535</v>
      </c>
      <c r="Z15" s="433" t="s">
        <v>13535</v>
      </c>
      <c r="AA15" s="433" t="s">
        <v>13535</v>
      </c>
      <c r="AB15" s="433" t="s">
        <v>13535</v>
      </c>
      <c r="AC15" s="433" t="s">
        <v>13535</v>
      </c>
      <c r="AD15" s="433" t="s">
        <v>13535</v>
      </c>
      <c r="AE15" s="433" t="s">
        <v>13535</v>
      </c>
      <c r="AF15" s="433" t="s">
        <v>13535</v>
      </c>
      <c r="AG15" s="433" t="s">
        <v>13535</v>
      </c>
      <c r="AH15" s="433" t="s">
        <v>13535</v>
      </c>
      <c r="AI15" s="433" t="s">
        <v>13535</v>
      </c>
      <c r="AJ15" s="433" t="s">
        <v>13535</v>
      </c>
      <c r="AK15" s="433" t="s">
        <v>13535</v>
      </c>
      <c r="AL15" s="433" t="s">
        <v>13535</v>
      </c>
      <c r="AM15" s="433" t="s">
        <v>13535</v>
      </c>
      <c r="AN15" s="433" t="s">
        <v>13535</v>
      </c>
      <c r="AO15" s="433" t="s">
        <v>13535</v>
      </c>
      <c r="AP15" s="433" t="s">
        <v>13535</v>
      </c>
    </row>
    <row r="16" spans="1:42">
      <c r="B16" s="430" t="s">
        <v>855</v>
      </c>
      <c r="C16" s="430" t="s">
        <v>13533</v>
      </c>
      <c r="D16" s="430" t="s">
        <v>1893</v>
      </c>
      <c r="E16" s="430" t="s">
        <v>13509</v>
      </c>
      <c r="F16" s="430" t="s">
        <v>334</v>
      </c>
      <c r="G16" s="430" t="s">
        <v>337</v>
      </c>
      <c r="H16" s="430" t="s">
        <v>856</v>
      </c>
      <c r="I16" s="503">
        <v>3</v>
      </c>
      <c r="J16" s="433">
        <v>0</v>
      </c>
      <c r="K16" s="433" t="s">
        <v>13535</v>
      </c>
      <c r="L16" s="433" t="s">
        <v>13535</v>
      </c>
      <c r="M16" s="433" t="s">
        <v>13535</v>
      </c>
      <c r="N16" s="433" t="s">
        <v>13535</v>
      </c>
      <c r="O16" s="433" t="s">
        <v>13535</v>
      </c>
      <c r="P16" s="433" t="s">
        <v>13535</v>
      </c>
      <c r="Q16" s="433" t="s">
        <v>13535</v>
      </c>
      <c r="R16" s="433" t="s">
        <v>13535</v>
      </c>
      <c r="S16" s="433" t="s">
        <v>13535</v>
      </c>
      <c r="T16" s="433" t="s">
        <v>13535</v>
      </c>
      <c r="U16" s="433" t="s">
        <v>13535</v>
      </c>
      <c r="V16" s="433" t="s">
        <v>13535</v>
      </c>
      <c r="W16" s="433" t="s">
        <v>13535</v>
      </c>
      <c r="X16" s="433" t="s">
        <v>13535</v>
      </c>
      <c r="Y16" s="433" t="s">
        <v>13535</v>
      </c>
      <c r="Z16" s="433" t="s">
        <v>13535</v>
      </c>
      <c r="AA16" s="433" t="s">
        <v>13535</v>
      </c>
      <c r="AB16" s="433" t="s">
        <v>13535</v>
      </c>
      <c r="AC16" s="433" t="s">
        <v>13535</v>
      </c>
      <c r="AD16" s="433" t="s">
        <v>13535</v>
      </c>
      <c r="AE16" s="433" t="s">
        <v>13535</v>
      </c>
      <c r="AF16" s="433" t="s">
        <v>13535</v>
      </c>
      <c r="AG16" s="433" t="s">
        <v>13535</v>
      </c>
      <c r="AH16" s="433" t="s">
        <v>13535</v>
      </c>
      <c r="AI16" s="433" t="s">
        <v>13535</v>
      </c>
      <c r="AJ16" s="433" t="s">
        <v>13535</v>
      </c>
      <c r="AK16" s="433" t="s">
        <v>13535</v>
      </c>
      <c r="AL16" s="433" t="s">
        <v>13535</v>
      </c>
      <c r="AM16" s="433" t="s">
        <v>13535</v>
      </c>
      <c r="AN16" s="433" t="s">
        <v>13535</v>
      </c>
      <c r="AO16" s="433" t="s">
        <v>13535</v>
      </c>
      <c r="AP16" s="433" t="s">
        <v>13535</v>
      </c>
    </row>
    <row r="17" spans="2:42">
      <c r="B17" s="430" t="s">
        <v>855</v>
      </c>
      <c r="C17" s="430" t="s">
        <v>13533</v>
      </c>
      <c r="D17" s="430" t="s">
        <v>13547</v>
      </c>
      <c r="E17" s="430" t="s">
        <v>13509</v>
      </c>
      <c r="F17" s="430" t="s">
        <v>334</v>
      </c>
      <c r="G17" s="430" t="s">
        <v>337</v>
      </c>
      <c r="H17" s="430" t="s">
        <v>856</v>
      </c>
      <c r="I17" s="503">
        <v>3</v>
      </c>
      <c r="J17" s="433">
        <v>0.99429810825574005</v>
      </c>
      <c r="K17" s="433" t="s">
        <v>13535</v>
      </c>
      <c r="L17" s="433" t="s">
        <v>13535</v>
      </c>
      <c r="M17" s="433" t="s">
        <v>13535</v>
      </c>
      <c r="N17" s="433" t="s">
        <v>13535</v>
      </c>
      <c r="O17" s="433" t="s">
        <v>13535</v>
      </c>
      <c r="P17" s="433" t="s">
        <v>13535</v>
      </c>
      <c r="Q17" s="433" t="s">
        <v>13535</v>
      </c>
      <c r="R17" s="433" t="s">
        <v>13535</v>
      </c>
      <c r="S17" s="433" t="s">
        <v>13535</v>
      </c>
      <c r="T17" s="433" t="s">
        <v>13535</v>
      </c>
      <c r="U17" s="433" t="s">
        <v>13535</v>
      </c>
      <c r="V17" s="433" t="s">
        <v>13535</v>
      </c>
      <c r="W17" s="433" t="s">
        <v>13535</v>
      </c>
      <c r="X17" s="433" t="s">
        <v>13535</v>
      </c>
      <c r="Y17" s="433" t="s">
        <v>13535</v>
      </c>
      <c r="Z17" s="433" t="s">
        <v>13535</v>
      </c>
      <c r="AA17" s="433" t="s">
        <v>13535</v>
      </c>
      <c r="AB17" s="433" t="s">
        <v>13535</v>
      </c>
      <c r="AC17" s="433" t="s">
        <v>13535</v>
      </c>
      <c r="AD17" s="433" t="s">
        <v>13535</v>
      </c>
      <c r="AE17" s="433" t="s">
        <v>13535</v>
      </c>
      <c r="AF17" s="433" t="s">
        <v>13535</v>
      </c>
      <c r="AG17" s="433" t="s">
        <v>13535</v>
      </c>
      <c r="AH17" s="433" t="s">
        <v>13535</v>
      </c>
      <c r="AI17" s="433" t="s">
        <v>13535</v>
      </c>
      <c r="AJ17" s="433" t="s">
        <v>13535</v>
      </c>
      <c r="AK17" s="433" t="s">
        <v>13535</v>
      </c>
      <c r="AL17" s="433" t="s">
        <v>13535</v>
      </c>
      <c r="AM17" s="433" t="s">
        <v>13535</v>
      </c>
      <c r="AN17" s="433" t="s">
        <v>13535</v>
      </c>
      <c r="AO17" s="433" t="s">
        <v>13535</v>
      </c>
      <c r="AP17" s="433" t="s">
        <v>13535</v>
      </c>
    </row>
    <row r="18" spans="2:42">
      <c r="B18" s="430" t="s">
        <v>357</v>
      </c>
      <c r="C18" s="430" t="s">
        <v>13533</v>
      </c>
      <c r="D18" s="430" t="s">
        <v>13538</v>
      </c>
      <c r="E18" s="430" t="s">
        <v>13510</v>
      </c>
      <c r="F18" s="430" t="s">
        <v>334</v>
      </c>
      <c r="G18" s="430" t="s">
        <v>337</v>
      </c>
      <c r="H18" s="430" t="s">
        <v>334</v>
      </c>
      <c r="I18" s="503">
        <v>0</v>
      </c>
      <c r="J18" s="433">
        <v>0</v>
      </c>
      <c r="K18" s="433" t="s">
        <v>13535</v>
      </c>
      <c r="L18" s="433" t="s">
        <v>13535</v>
      </c>
      <c r="M18" s="433" t="s">
        <v>13535</v>
      </c>
      <c r="N18" s="433" t="s">
        <v>13535</v>
      </c>
      <c r="O18" s="433" t="s">
        <v>13535</v>
      </c>
      <c r="P18" s="433" t="s">
        <v>13535</v>
      </c>
      <c r="Q18" s="433" t="s">
        <v>13535</v>
      </c>
      <c r="R18" s="433" t="s">
        <v>13535</v>
      </c>
      <c r="S18" s="433" t="s">
        <v>13535</v>
      </c>
      <c r="T18" s="433" t="s">
        <v>13535</v>
      </c>
      <c r="U18" s="433" t="s">
        <v>13535</v>
      </c>
      <c r="V18" s="433" t="s">
        <v>13535</v>
      </c>
      <c r="W18" s="433" t="s">
        <v>13535</v>
      </c>
      <c r="X18" s="433" t="s">
        <v>13535</v>
      </c>
      <c r="Y18" s="433" t="s">
        <v>13535</v>
      </c>
      <c r="Z18" s="433" t="s">
        <v>13535</v>
      </c>
      <c r="AA18" s="433" t="s">
        <v>13535</v>
      </c>
      <c r="AB18" s="433" t="s">
        <v>13535</v>
      </c>
      <c r="AC18" s="433" t="s">
        <v>13535</v>
      </c>
      <c r="AD18" s="433" t="s">
        <v>13535</v>
      </c>
      <c r="AE18" s="433" t="s">
        <v>13535</v>
      </c>
      <c r="AF18" s="433" t="s">
        <v>13535</v>
      </c>
      <c r="AG18" s="433" t="s">
        <v>13535</v>
      </c>
      <c r="AH18" s="433" t="s">
        <v>13535</v>
      </c>
      <c r="AI18" s="433" t="s">
        <v>13535</v>
      </c>
      <c r="AJ18" s="433" t="s">
        <v>13535</v>
      </c>
      <c r="AK18" s="433" t="s">
        <v>13535</v>
      </c>
      <c r="AL18" s="433" t="s">
        <v>13535</v>
      </c>
      <c r="AM18" s="433" t="s">
        <v>13535</v>
      </c>
      <c r="AN18" s="433" t="s">
        <v>13535</v>
      </c>
      <c r="AO18" s="433" t="s">
        <v>13535</v>
      </c>
      <c r="AP18" s="433" t="s">
        <v>13535</v>
      </c>
    </row>
    <row r="19" spans="2:42">
      <c r="B19" s="430" t="s">
        <v>357</v>
      </c>
      <c r="C19" s="430" t="s">
        <v>13533</v>
      </c>
      <c r="D19" s="430" t="s">
        <v>13539</v>
      </c>
      <c r="E19" s="430" t="s">
        <v>13510</v>
      </c>
      <c r="F19" s="430" t="s">
        <v>334</v>
      </c>
      <c r="G19" s="430" t="s">
        <v>337</v>
      </c>
      <c r="H19" s="430" t="s">
        <v>334</v>
      </c>
      <c r="I19" s="503">
        <v>0</v>
      </c>
      <c r="J19" s="433">
        <v>6.8668592614205197</v>
      </c>
      <c r="K19" s="433" t="s">
        <v>13535</v>
      </c>
      <c r="L19" s="433" t="s">
        <v>13535</v>
      </c>
      <c r="M19" s="433" t="s">
        <v>13535</v>
      </c>
      <c r="N19" s="433" t="s">
        <v>13535</v>
      </c>
      <c r="O19" s="433" t="s">
        <v>13535</v>
      </c>
      <c r="P19" s="433" t="s">
        <v>13535</v>
      </c>
      <c r="Q19" s="433" t="s">
        <v>13535</v>
      </c>
      <c r="R19" s="433" t="s">
        <v>13535</v>
      </c>
      <c r="S19" s="433" t="s">
        <v>13535</v>
      </c>
      <c r="T19" s="433" t="s">
        <v>13535</v>
      </c>
      <c r="U19" s="433" t="s">
        <v>13535</v>
      </c>
      <c r="V19" s="433" t="s">
        <v>13535</v>
      </c>
      <c r="W19" s="433" t="s">
        <v>13535</v>
      </c>
      <c r="X19" s="433" t="s">
        <v>13535</v>
      </c>
      <c r="Y19" s="433" t="s">
        <v>13535</v>
      </c>
      <c r="Z19" s="433" t="s">
        <v>13535</v>
      </c>
      <c r="AA19" s="433" t="s">
        <v>13535</v>
      </c>
      <c r="AB19" s="433" t="s">
        <v>13535</v>
      </c>
      <c r="AC19" s="433" t="s">
        <v>13535</v>
      </c>
      <c r="AD19" s="433" t="s">
        <v>13535</v>
      </c>
      <c r="AE19" s="433" t="s">
        <v>13535</v>
      </c>
      <c r="AF19" s="433" t="s">
        <v>13535</v>
      </c>
      <c r="AG19" s="433" t="s">
        <v>13535</v>
      </c>
      <c r="AH19" s="433" t="s">
        <v>13535</v>
      </c>
      <c r="AI19" s="433" t="s">
        <v>13535</v>
      </c>
      <c r="AJ19" s="433" t="s">
        <v>13535</v>
      </c>
      <c r="AK19" s="433" t="s">
        <v>13535</v>
      </c>
      <c r="AL19" s="433" t="s">
        <v>13535</v>
      </c>
      <c r="AM19" s="433" t="s">
        <v>13535</v>
      </c>
      <c r="AN19" s="433" t="s">
        <v>13535</v>
      </c>
      <c r="AO19" s="433" t="s">
        <v>13535</v>
      </c>
      <c r="AP19" s="433" t="s">
        <v>13535</v>
      </c>
    </row>
    <row r="20" spans="2:42">
      <c r="B20" s="430" t="s">
        <v>855</v>
      </c>
      <c r="C20" s="430" t="s">
        <v>13533</v>
      </c>
      <c r="D20" s="430" t="s">
        <v>558</v>
      </c>
      <c r="E20" s="430" t="s">
        <v>13510</v>
      </c>
      <c r="F20" s="430" t="s">
        <v>334</v>
      </c>
      <c r="G20" s="430" t="s">
        <v>337</v>
      </c>
      <c r="H20" s="430" t="s">
        <v>338</v>
      </c>
      <c r="I20" s="503">
        <v>3</v>
      </c>
      <c r="J20" s="433">
        <v>0</v>
      </c>
      <c r="K20" s="433" t="s">
        <v>13535</v>
      </c>
      <c r="L20" s="433" t="s">
        <v>13535</v>
      </c>
      <c r="M20" s="433" t="s">
        <v>13535</v>
      </c>
      <c r="N20" s="433" t="s">
        <v>13535</v>
      </c>
      <c r="O20" s="433" t="s">
        <v>13535</v>
      </c>
      <c r="P20" s="433" t="s">
        <v>13535</v>
      </c>
      <c r="Q20" s="433" t="s">
        <v>13535</v>
      </c>
      <c r="R20" s="433" t="s">
        <v>13535</v>
      </c>
      <c r="S20" s="433" t="s">
        <v>13535</v>
      </c>
      <c r="T20" s="433" t="s">
        <v>13535</v>
      </c>
      <c r="U20" s="433" t="s">
        <v>13535</v>
      </c>
      <c r="V20" s="433" t="s">
        <v>13535</v>
      </c>
      <c r="W20" s="433" t="s">
        <v>13535</v>
      </c>
      <c r="X20" s="433" t="s">
        <v>13535</v>
      </c>
      <c r="Y20" s="433" t="s">
        <v>13535</v>
      </c>
      <c r="Z20" s="433" t="s">
        <v>13535</v>
      </c>
      <c r="AA20" s="433" t="s">
        <v>13535</v>
      </c>
      <c r="AB20" s="433" t="s">
        <v>13535</v>
      </c>
      <c r="AC20" s="433" t="s">
        <v>13535</v>
      </c>
      <c r="AD20" s="433" t="s">
        <v>13535</v>
      </c>
      <c r="AE20" s="433" t="s">
        <v>13535</v>
      </c>
      <c r="AF20" s="433" t="s">
        <v>13535</v>
      </c>
      <c r="AG20" s="433" t="s">
        <v>13535</v>
      </c>
      <c r="AH20" s="433" t="s">
        <v>13535</v>
      </c>
      <c r="AI20" s="433" t="s">
        <v>13535</v>
      </c>
      <c r="AJ20" s="433" t="s">
        <v>13535</v>
      </c>
      <c r="AK20" s="433" t="s">
        <v>13535</v>
      </c>
      <c r="AL20" s="433" t="s">
        <v>13535</v>
      </c>
      <c r="AM20" s="433" t="s">
        <v>13535</v>
      </c>
      <c r="AN20" s="433" t="s">
        <v>13535</v>
      </c>
      <c r="AO20" s="433" t="s">
        <v>13535</v>
      </c>
      <c r="AP20" s="433" t="s">
        <v>13535</v>
      </c>
    </row>
    <row r="21" spans="2:42">
      <c r="B21" s="430" t="s">
        <v>855</v>
      </c>
      <c r="C21" s="430" t="s">
        <v>13533</v>
      </c>
      <c r="D21" s="430" t="s">
        <v>555</v>
      </c>
      <c r="E21" s="430" t="s">
        <v>13510</v>
      </c>
      <c r="F21" s="430" t="s">
        <v>334</v>
      </c>
      <c r="G21" s="430" t="s">
        <v>337</v>
      </c>
      <c r="H21" s="430" t="s">
        <v>338</v>
      </c>
      <c r="I21" s="503">
        <v>3</v>
      </c>
      <c r="J21" s="433">
        <v>0.38519100880852503</v>
      </c>
      <c r="K21" s="433" t="s">
        <v>13535</v>
      </c>
      <c r="L21" s="433" t="s">
        <v>13535</v>
      </c>
      <c r="M21" s="433" t="s">
        <v>13535</v>
      </c>
      <c r="N21" s="433" t="s">
        <v>13535</v>
      </c>
      <c r="O21" s="433" t="s">
        <v>13535</v>
      </c>
      <c r="P21" s="433" t="s">
        <v>13535</v>
      </c>
      <c r="Q21" s="433" t="s">
        <v>13535</v>
      </c>
      <c r="R21" s="433" t="s">
        <v>13535</v>
      </c>
      <c r="S21" s="433" t="s">
        <v>13535</v>
      </c>
      <c r="T21" s="433" t="s">
        <v>13535</v>
      </c>
      <c r="U21" s="433" t="s">
        <v>13535</v>
      </c>
      <c r="V21" s="433" t="s">
        <v>13535</v>
      </c>
      <c r="W21" s="433" t="s">
        <v>13535</v>
      </c>
      <c r="X21" s="433" t="s">
        <v>13535</v>
      </c>
      <c r="Y21" s="433" t="s">
        <v>13535</v>
      </c>
      <c r="Z21" s="433" t="s">
        <v>13535</v>
      </c>
      <c r="AA21" s="433" t="s">
        <v>13535</v>
      </c>
      <c r="AB21" s="433" t="s">
        <v>13535</v>
      </c>
      <c r="AC21" s="433" t="s">
        <v>13535</v>
      </c>
      <c r="AD21" s="433" t="s">
        <v>13535</v>
      </c>
      <c r="AE21" s="433" t="s">
        <v>13535</v>
      </c>
      <c r="AF21" s="433" t="s">
        <v>13535</v>
      </c>
      <c r="AG21" s="433" t="s">
        <v>13535</v>
      </c>
      <c r="AH21" s="433" t="s">
        <v>13535</v>
      </c>
      <c r="AI21" s="433" t="s">
        <v>13535</v>
      </c>
      <c r="AJ21" s="433" t="s">
        <v>13535</v>
      </c>
      <c r="AK21" s="433" t="s">
        <v>13535</v>
      </c>
      <c r="AL21" s="433" t="s">
        <v>13535</v>
      </c>
      <c r="AM21" s="433" t="s">
        <v>13535</v>
      </c>
      <c r="AN21" s="433" t="s">
        <v>13535</v>
      </c>
      <c r="AO21" s="433" t="s">
        <v>13535</v>
      </c>
      <c r="AP21" s="433" t="s">
        <v>13535</v>
      </c>
    </row>
    <row r="22" spans="2:42">
      <c r="B22" s="430" t="s">
        <v>855</v>
      </c>
      <c r="C22" s="430" t="s">
        <v>13533</v>
      </c>
      <c r="D22" s="430" t="s">
        <v>547</v>
      </c>
      <c r="E22" s="430" t="s">
        <v>13510</v>
      </c>
      <c r="F22" s="430" t="s">
        <v>334</v>
      </c>
      <c r="G22" s="430" t="s">
        <v>337</v>
      </c>
      <c r="H22" s="430" t="s">
        <v>338</v>
      </c>
      <c r="I22" s="503">
        <v>3</v>
      </c>
      <c r="J22" s="433">
        <v>0.323888728445136</v>
      </c>
      <c r="K22" s="433" t="s">
        <v>13535</v>
      </c>
      <c r="L22" s="433" t="s">
        <v>13535</v>
      </c>
      <c r="M22" s="433" t="s">
        <v>13535</v>
      </c>
      <c r="N22" s="433" t="s">
        <v>13535</v>
      </c>
      <c r="O22" s="433" t="s">
        <v>13535</v>
      </c>
      <c r="P22" s="433" t="s">
        <v>13535</v>
      </c>
      <c r="Q22" s="433" t="s">
        <v>13535</v>
      </c>
      <c r="R22" s="433" t="s">
        <v>13535</v>
      </c>
      <c r="S22" s="433" t="s">
        <v>13535</v>
      </c>
      <c r="T22" s="433" t="s">
        <v>13535</v>
      </c>
      <c r="U22" s="433" t="s">
        <v>13535</v>
      </c>
      <c r="V22" s="433" t="s">
        <v>13535</v>
      </c>
      <c r="W22" s="433" t="s">
        <v>13535</v>
      </c>
      <c r="X22" s="433" t="s">
        <v>13535</v>
      </c>
      <c r="Y22" s="433" t="s">
        <v>13535</v>
      </c>
      <c r="Z22" s="433" t="s">
        <v>13535</v>
      </c>
      <c r="AA22" s="433" t="s">
        <v>13535</v>
      </c>
      <c r="AB22" s="433" t="s">
        <v>13535</v>
      </c>
      <c r="AC22" s="433" t="s">
        <v>13535</v>
      </c>
      <c r="AD22" s="433" t="s">
        <v>13535</v>
      </c>
      <c r="AE22" s="433" t="s">
        <v>13535</v>
      </c>
      <c r="AF22" s="433" t="s">
        <v>13535</v>
      </c>
      <c r="AG22" s="433" t="s">
        <v>13535</v>
      </c>
      <c r="AH22" s="433" t="s">
        <v>13535</v>
      </c>
      <c r="AI22" s="433" t="s">
        <v>13535</v>
      </c>
      <c r="AJ22" s="433" t="s">
        <v>13535</v>
      </c>
      <c r="AK22" s="433" t="s">
        <v>13535</v>
      </c>
      <c r="AL22" s="433" t="s">
        <v>13535</v>
      </c>
      <c r="AM22" s="433" t="s">
        <v>13535</v>
      </c>
      <c r="AN22" s="433" t="s">
        <v>13535</v>
      </c>
      <c r="AO22" s="433" t="s">
        <v>13535</v>
      </c>
      <c r="AP22" s="433" t="s">
        <v>13535</v>
      </c>
    </row>
    <row r="23" spans="2:42">
      <c r="B23" s="430" t="s">
        <v>855</v>
      </c>
      <c r="C23" s="430" t="s">
        <v>13533</v>
      </c>
      <c r="D23" s="430" t="s">
        <v>549</v>
      </c>
      <c r="E23" s="430" t="s">
        <v>13510</v>
      </c>
      <c r="F23" s="430" t="s">
        <v>334</v>
      </c>
      <c r="G23" s="430" t="s">
        <v>337</v>
      </c>
      <c r="H23" s="430" t="s">
        <v>338</v>
      </c>
      <c r="I23" s="503">
        <v>3</v>
      </c>
      <c r="J23" s="433">
        <v>3.70569602416869E-2</v>
      </c>
      <c r="K23" s="433" t="s">
        <v>13535</v>
      </c>
      <c r="L23" s="433" t="s">
        <v>13535</v>
      </c>
      <c r="M23" s="433" t="s">
        <v>13535</v>
      </c>
      <c r="N23" s="433" t="s">
        <v>13535</v>
      </c>
      <c r="O23" s="433" t="s">
        <v>13535</v>
      </c>
      <c r="P23" s="433" t="s">
        <v>13535</v>
      </c>
      <c r="Q23" s="433" t="s">
        <v>13535</v>
      </c>
      <c r="R23" s="433" t="s">
        <v>13535</v>
      </c>
      <c r="S23" s="433" t="s">
        <v>13535</v>
      </c>
      <c r="T23" s="433" t="s">
        <v>13535</v>
      </c>
      <c r="U23" s="433" t="s">
        <v>13535</v>
      </c>
      <c r="V23" s="433" t="s">
        <v>13535</v>
      </c>
      <c r="W23" s="433" t="s">
        <v>13535</v>
      </c>
      <c r="X23" s="433" t="s">
        <v>13535</v>
      </c>
      <c r="Y23" s="433" t="s">
        <v>13535</v>
      </c>
      <c r="Z23" s="433" t="s">
        <v>13535</v>
      </c>
      <c r="AA23" s="433" t="s">
        <v>13535</v>
      </c>
      <c r="AB23" s="433" t="s">
        <v>13535</v>
      </c>
      <c r="AC23" s="433" t="s">
        <v>13535</v>
      </c>
      <c r="AD23" s="433" t="s">
        <v>13535</v>
      </c>
      <c r="AE23" s="433" t="s">
        <v>13535</v>
      </c>
      <c r="AF23" s="433" t="s">
        <v>13535</v>
      </c>
      <c r="AG23" s="433" t="s">
        <v>13535</v>
      </c>
      <c r="AH23" s="433" t="s">
        <v>13535</v>
      </c>
      <c r="AI23" s="433" t="s">
        <v>13535</v>
      </c>
      <c r="AJ23" s="433" t="s">
        <v>13535</v>
      </c>
      <c r="AK23" s="433" t="s">
        <v>13535</v>
      </c>
      <c r="AL23" s="433" t="s">
        <v>13535</v>
      </c>
      <c r="AM23" s="433" t="s">
        <v>13535</v>
      </c>
      <c r="AN23" s="433" t="s">
        <v>13535</v>
      </c>
      <c r="AO23" s="433" t="s">
        <v>13535</v>
      </c>
      <c r="AP23" s="433" t="s">
        <v>13535</v>
      </c>
    </row>
    <row r="24" spans="2:42">
      <c r="B24" s="430" t="s">
        <v>855</v>
      </c>
      <c r="C24" s="430" t="s">
        <v>13533</v>
      </c>
      <c r="D24" s="430" t="s">
        <v>592</v>
      </c>
      <c r="E24" s="430" t="s">
        <v>13510</v>
      </c>
      <c r="F24" s="430" t="s">
        <v>334</v>
      </c>
      <c r="G24" s="430" t="s">
        <v>337</v>
      </c>
      <c r="H24" s="430" t="s">
        <v>338</v>
      </c>
      <c r="I24" s="503">
        <v>3</v>
      </c>
      <c r="J24" s="433">
        <v>0.21374627875427801</v>
      </c>
      <c r="K24" s="433" t="s">
        <v>13535</v>
      </c>
      <c r="L24" s="433" t="s">
        <v>13535</v>
      </c>
      <c r="M24" s="433" t="s">
        <v>13535</v>
      </c>
      <c r="N24" s="433" t="s">
        <v>13535</v>
      </c>
      <c r="O24" s="433" t="s">
        <v>13535</v>
      </c>
      <c r="P24" s="433" t="s">
        <v>13535</v>
      </c>
      <c r="Q24" s="433" t="s">
        <v>13535</v>
      </c>
      <c r="R24" s="433" t="s">
        <v>13535</v>
      </c>
      <c r="S24" s="433" t="s">
        <v>13535</v>
      </c>
      <c r="T24" s="433" t="s">
        <v>13535</v>
      </c>
      <c r="U24" s="433" t="s">
        <v>13535</v>
      </c>
      <c r="V24" s="433" t="s">
        <v>13535</v>
      </c>
      <c r="W24" s="433" t="s">
        <v>13535</v>
      </c>
      <c r="X24" s="433" t="s">
        <v>13535</v>
      </c>
      <c r="Y24" s="433" t="s">
        <v>13535</v>
      </c>
      <c r="Z24" s="433" t="s">
        <v>13535</v>
      </c>
      <c r="AA24" s="433" t="s">
        <v>13535</v>
      </c>
      <c r="AB24" s="433" t="s">
        <v>13535</v>
      </c>
      <c r="AC24" s="433" t="s">
        <v>13535</v>
      </c>
      <c r="AD24" s="433" t="s">
        <v>13535</v>
      </c>
      <c r="AE24" s="433" t="s">
        <v>13535</v>
      </c>
      <c r="AF24" s="433" t="s">
        <v>13535</v>
      </c>
      <c r="AG24" s="433" t="s">
        <v>13535</v>
      </c>
      <c r="AH24" s="433" t="s">
        <v>13535</v>
      </c>
      <c r="AI24" s="433" t="s">
        <v>13535</v>
      </c>
      <c r="AJ24" s="433" t="s">
        <v>13535</v>
      </c>
      <c r="AK24" s="433" t="s">
        <v>13535</v>
      </c>
      <c r="AL24" s="433" t="s">
        <v>13535</v>
      </c>
      <c r="AM24" s="433" t="s">
        <v>13535</v>
      </c>
      <c r="AN24" s="433" t="s">
        <v>13535</v>
      </c>
      <c r="AO24" s="433" t="s">
        <v>13535</v>
      </c>
      <c r="AP24" s="433" t="s">
        <v>13535</v>
      </c>
    </row>
    <row r="25" spans="2:42">
      <c r="B25" s="430" t="s">
        <v>855</v>
      </c>
      <c r="C25" s="430" t="s">
        <v>13533</v>
      </c>
      <c r="D25" s="430" t="s">
        <v>551</v>
      </c>
      <c r="E25" s="430" t="s">
        <v>13510</v>
      </c>
      <c r="F25" s="430" t="s">
        <v>334</v>
      </c>
      <c r="G25" s="430" t="s">
        <v>337</v>
      </c>
      <c r="H25" s="430" t="s">
        <v>338</v>
      </c>
      <c r="I25" s="503">
        <v>3</v>
      </c>
      <c r="J25" s="433">
        <v>2.6523977888853602E-3</v>
      </c>
      <c r="K25" s="433" t="s">
        <v>13535</v>
      </c>
      <c r="L25" s="433" t="s">
        <v>13535</v>
      </c>
      <c r="M25" s="433" t="s">
        <v>13535</v>
      </c>
      <c r="N25" s="433" t="s">
        <v>13535</v>
      </c>
      <c r="O25" s="433" t="s">
        <v>13535</v>
      </c>
      <c r="P25" s="433" t="s">
        <v>13535</v>
      </c>
      <c r="Q25" s="433" t="s">
        <v>13535</v>
      </c>
      <c r="R25" s="433" t="s">
        <v>13535</v>
      </c>
      <c r="S25" s="433" t="s">
        <v>13535</v>
      </c>
      <c r="T25" s="433" t="s">
        <v>13535</v>
      </c>
      <c r="U25" s="433" t="s">
        <v>13535</v>
      </c>
      <c r="V25" s="433" t="s">
        <v>13535</v>
      </c>
      <c r="W25" s="433" t="s">
        <v>13535</v>
      </c>
      <c r="X25" s="433" t="s">
        <v>13535</v>
      </c>
      <c r="Y25" s="433" t="s">
        <v>13535</v>
      </c>
      <c r="Z25" s="433" t="s">
        <v>13535</v>
      </c>
      <c r="AA25" s="433" t="s">
        <v>13535</v>
      </c>
      <c r="AB25" s="433" t="s">
        <v>13535</v>
      </c>
      <c r="AC25" s="433" t="s">
        <v>13535</v>
      </c>
      <c r="AD25" s="433" t="s">
        <v>13535</v>
      </c>
      <c r="AE25" s="433" t="s">
        <v>13535</v>
      </c>
      <c r="AF25" s="433" t="s">
        <v>13535</v>
      </c>
      <c r="AG25" s="433" t="s">
        <v>13535</v>
      </c>
      <c r="AH25" s="433" t="s">
        <v>13535</v>
      </c>
      <c r="AI25" s="433" t="s">
        <v>13535</v>
      </c>
      <c r="AJ25" s="433" t="s">
        <v>13535</v>
      </c>
      <c r="AK25" s="433" t="s">
        <v>13535</v>
      </c>
      <c r="AL25" s="433" t="s">
        <v>13535</v>
      </c>
      <c r="AM25" s="433" t="s">
        <v>13535</v>
      </c>
      <c r="AN25" s="433" t="s">
        <v>13535</v>
      </c>
      <c r="AO25" s="433" t="s">
        <v>13535</v>
      </c>
      <c r="AP25" s="433" t="s">
        <v>13535</v>
      </c>
    </row>
    <row r="26" spans="2:42">
      <c r="B26" s="430" t="s">
        <v>855</v>
      </c>
      <c r="C26" s="430" t="s">
        <v>13533</v>
      </c>
      <c r="D26" s="430" t="s">
        <v>594</v>
      </c>
      <c r="E26" s="430" t="s">
        <v>13510</v>
      </c>
      <c r="F26" s="430" t="s">
        <v>334</v>
      </c>
      <c r="G26" s="430" t="s">
        <v>337</v>
      </c>
      <c r="H26" s="430" t="s">
        <v>338</v>
      </c>
      <c r="I26" s="503">
        <v>3</v>
      </c>
      <c r="J26" s="433">
        <v>3.7464625961488501E-2</v>
      </c>
      <c r="K26" s="433" t="s">
        <v>13535</v>
      </c>
      <c r="L26" s="433" t="s">
        <v>13535</v>
      </c>
      <c r="M26" s="433" t="s">
        <v>13535</v>
      </c>
      <c r="N26" s="433" t="s">
        <v>13535</v>
      </c>
      <c r="O26" s="433" t="s">
        <v>13535</v>
      </c>
      <c r="P26" s="433" t="s">
        <v>13535</v>
      </c>
      <c r="Q26" s="433" t="s">
        <v>13535</v>
      </c>
      <c r="R26" s="433" t="s">
        <v>13535</v>
      </c>
      <c r="S26" s="433" t="s">
        <v>13535</v>
      </c>
      <c r="T26" s="433" t="s">
        <v>13535</v>
      </c>
      <c r="U26" s="433" t="s">
        <v>13535</v>
      </c>
      <c r="V26" s="433" t="s">
        <v>13535</v>
      </c>
      <c r="W26" s="433" t="s">
        <v>13535</v>
      </c>
      <c r="X26" s="433" t="s">
        <v>13535</v>
      </c>
      <c r="Y26" s="433" t="s">
        <v>13535</v>
      </c>
      <c r="Z26" s="433" t="s">
        <v>13535</v>
      </c>
      <c r="AA26" s="433" t="s">
        <v>13535</v>
      </c>
      <c r="AB26" s="433" t="s">
        <v>13535</v>
      </c>
      <c r="AC26" s="433" t="s">
        <v>13535</v>
      </c>
      <c r="AD26" s="433" t="s">
        <v>13535</v>
      </c>
      <c r="AE26" s="433" t="s">
        <v>13535</v>
      </c>
      <c r="AF26" s="433" t="s">
        <v>13535</v>
      </c>
      <c r="AG26" s="433" t="s">
        <v>13535</v>
      </c>
      <c r="AH26" s="433" t="s">
        <v>13535</v>
      </c>
      <c r="AI26" s="433" t="s">
        <v>13535</v>
      </c>
      <c r="AJ26" s="433" t="s">
        <v>13535</v>
      </c>
      <c r="AK26" s="433" t="s">
        <v>13535</v>
      </c>
      <c r="AL26" s="433" t="s">
        <v>13535</v>
      </c>
      <c r="AM26" s="433" t="s">
        <v>13535</v>
      </c>
      <c r="AN26" s="433" t="s">
        <v>13535</v>
      </c>
      <c r="AO26" s="433" t="s">
        <v>13535</v>
      </c>
      <c r="AP26" s="433" t="s">
        <v>13535</v>
      </c>
    </row>
    <row r="27" spans="2:42">
      <c r="B27" s="430" t="s">
        <v>13540</v>
      </c>
      <c r="C27" s="430" t="s">
        <v>13533</v>
      </c>
      <c r="D27" s="430" t="s">
        <v>334</v>
      </c>
      <c r="E27" s="430" t="s">
        <v>13549</v>
      </c>
      <c r="F27" s="430" t="s">
        <v>334</v>
      </c>
      <c r="G27" s="430" t="s">
        <v>334</v>
      </c>
      <c r="H27" s="430" t="s">
        <v>334</v>
      </c>
      <c r="I27" s="503">
        <v>0</v>
      </c>
      <c r="J27" s="433">
        <v>1.8E-3</v>
      </c>
      <c r="K27" s="433" t="s">
        <v>13535</v>
      </c>
      <c r="L27" s="433" t="s">
        <v>13535</v>
      </c>
      <c r="M27" s="433" t="s">
        <v>13535</v>
      </c>
      <c r="N27" s="433" t="s">
        <v>13535</v>
      </c>
      <c r="O27" s="433" t="s">
        <v>13535</v>
      </c>
      <c r="P27" s="433" t="s">
        <v>13535</v>
      </c>
      <c r="Q27" s="433" t="s">
        <v>13535</v>
      </c>
      <c r="R27" s="433" t="s">
        <v>13535</v>
      </c>
      <c r="S27" s="433" t="s">
        <v>13535</v>
      </c>
      <c r="T27" s="433" t="s">
        <v>13535</v>
      </c>
      <c r="U27" s="433" t="s">
        <v>13535</v>
      </c>
      <c r="V27" s="433" t="s">
        <v>13535</v>
      </c>
      <c r="W27" s="433" t="s">
        <v>13535</v>
      </c>
      <c r="X27" s="433" t="s">
        <v>13535</v>
      </c>
      <c r="Y27" s="433" t="s">
        <v>13535</v>
      </c>
      <c r="Z27" s="433" t="s">
        <v>13535</v>
      </c>
      <c r="AA27" s="433" t="s">
        <v>13535</v>
      </c>
      <c r="AB27" s="433" t="s">
        <v>13535</v>
      </c>
      <c r="AC27" s="433" t="s">
        <v>13535</v>
      </c>
      <c r="AD27" s="433" t="s">
        <v>13535</v>
      </c>
      <c r="AE27" s="433" t="s">
        <v>13535</v>
      </c>
      <c r="AF27" s="433" t="s">
        <v>13535</v>
      </c>
      <c r="AG27" s="433" t="s">
        <v>13535</v>
      </c>
      <c r="AH27" s="433" t="s">
        <v>13535</v>
      </c>
      <c r="AI27" s="433" t="s">
        <v>13535</v>
      </c>
      <c r="AJ27" s="433" t="s">
        <v>13535</v>
      </c>
      <c r="AK27" s="433" t="s">
        <v>13535</v>
      </c>
      <c r="AL27" s="433" t="s">
        <v>13535</v>
      </c>
      <c r="AM27" s="433" t="s">
        <v>13535</v>
      </c>
      <c r="AN27" s="433" t="s">
        <v>13535</v>
      </c>
      <c r="AO27" s="433" t="s">
        <v>13535</v>
      </c>
      <c r="AP27" s="433" t="s">
        <v>13535</v>
      </c>
    </row>
    <row r="28" spans="2:42" s="387" customFormat="1">
      <c r="B28" s="387" t="s">
        <v>13540</v>
      </c>
      <c r="C28" s="387" t="s">
        <v>13533</v>
      </c>
      <c r="D28" s="387" t="s">
        <v>334</v>
      </c>
      <c r="E28" s="387" t="s">
        <v>13550</v>
      </c>
      <c r="F28" s="387" t="s">
        <v>334</v>
      </c>
      <c r="G28" s="387" t="s">
        <v>334</v>
      </c>
      <c r="H28" s="387" t="s">
        <v>334</v>
      </c>
      <c r="I28" s="1359">
        <v>0</v>
      </c>
      <c r="J28" s="985">
        <v>1.6000000000000001E-3</v>
      </c>
      <c r="K28" s="985" t="s">
        <v>13535</v>
      </c>
      <c r="L28" s="985" t="s">
        <v>13535</v>
      </c>
      <c r="M28" s="985" t="s">
        <v>13535</v>
      </c>
      <c r="N28" s="985" t="s">
        <v>13535</v>
      </c>
      <c r="O28" s="985" t="s">
        <v>13535</v>
      </c>
      <c r="P28" s="985" t="s">
        <v>13535</v>
      </c>
      <c r="Q28" s="985" t="s">
        <v>13535</v>
      </c>
      <c r="R28" s="985" t="s">
        <v>13535</v>
      </c>
      <c r="S28" s="985" t="s">
        <v>13535</v>
      </c>
      <c r="T28" s="985" t="s">
        <v>13535</v>
      </c>
      <c r="U28" s="985" t="s">
        <v>13535</v>
      </c>
      <c r="V28" s="985" t="s">
        <v>13535</v>
      </c>
      <c r="W28" s="985" t="s">
        <v>13535</v>
      </c>
      <c r="X28" s="985" t="s">
        <v>13535</v>
      </c>
      <c r="Y28" s="985" t="s">
        <v>13535</v>
      </c>
      <c r="Z28" s="985" t="s">
        <v>13535</v>
      </c>
      <c r="AA28" s="985" t="s">
        <v>13535</v>
      </c>
      <c r="AB28" s="985" t="s">
        <v>13535</v>
      </c>
      <c r="AC28" s="985" t="s">
        <v>13535</v>
      </c>
      <c r="AD28" s="985" t="s">
        <v>13535</v>
      </c>
      <c r="AE28" s="985" t="s">
        <v>13535</v>
      </c>
      <c r="AF28" s="985" t="s">
        <v>13535</v>
      </c>
      <c r="AG28" s="985" t="s">
        <v>13535</v>
      </c>
      <c r="AH28" s="985" t="s">
        <v>13535</v>
      </c>
      <c r="AI28" s="985" t="s">
        <v>13535</v>
      </c>
      <c r="AJ28" s="985" t="s">
        <v>13535</v>
      </c>
      <c r="AK28" s="985" t="s">
        <v>13535</v>
      </c>
      <c r="AL28" s="985" t="s">
        <v>13535</v>
      </c>
      <c r="AM28" s="985" t="s">
        <v>13535</v>
      </c>
      <c r="AN28" s="985" t="s">
        <v>13535</v>
      </c>
      <c r="AO28" s="985" t="s">
        <v>13535</v>
      </c>
      <c r="AP28" s="985" t="s">
        <v>13535</v>
      </c>
    </row>
    <row r="29" spans="2:42">
      <c r="B29" s="430" t="s">
        <v>332</v>
      </c>
      <c r="C29" s="430" t="s">
        <v>13523</v>
      </c>
      <c r="D29" s="430" t="s">
        <v>334</v>
      </c>
      <c r="E29" s="430" t="s">
        <v>334</v>
      </c>
      <c r="F29" s="430" t="s">
        <v>334</v>
      </c>
      <c r="G29" s="430" t="s">
        <v>334</v>
      </c>
      <c r="H29" s="430" t="s">
        <v>334</v>
      </c>
      <c r="I29" s="503">
        <v>0</v>
      </c>
      <c r="J29" s="433">
        <v>26.620616731773399</v>
      </c>
      <c r="K29" s="433" t="s">
        <v>13535</v>
      </c>
      <c r="L29" s="433" t="s">
        <v>13535</v>
      </c>
      <c r="M29" s="433" t="s">
        <v>13535</v>
      </c>
      <c r="N29" s="433" t="s">
        <v>13535</v>
      </c>
      <c r="O29" s="433" t="s">
        <v>13535</v>
      </c>
      <c r="P29" s="433" t="s">
        <v>13535</v>
      </c>
      <c r="Q29" s="433" t="s">
        <v>13535</v>
      </c>
      <c r="R29" s="433" t="s">
        <v>13535</v>
      </c>
      <c r="S29" s="433" t="s">
        <v>13535</v>
      </c>
      <c r="T29" s="433" t="s">
        <v>13535</v>
      </c>
      <c r="U29" s="433" t="s">
        <v>13535</v>
      </c>
      <c r="V29" s="433" t="s">
        <v>13535</v>
      </c>
      <c r="W29" s="433" t="s">
        <v>13535</v>
      </c>
      <c r="X29" s="433" t="s">
        <v>13535</v>
      </c>
      <c r="Y29" s="433" t="s">
        <v>13535</v>
      </c>
      <c r="Z29" s="433" t="s">
        <v>13535</v>
      </c>
      <c r="AA29" s="433" t="s">
        <v>13535</v>
      </c>
      <c r="AB29" s="433" t="s">
        <v>13535</v>
      </c>
      <c r="AC29" s="433" t="s">
        <v>13535</v>
      </c>
      <c r="AD29" s="433" t="s">
        <v>13535</v>
      </c>
      <c r="AE29" s="433" t="s">
        <v>13535</v>
      </c>
      <c r="AF29" s="433" t="s">
        <v>13535</v>
      </c>
      <c r="AG29" s="433" t="s">
        <v>13535</v>
      </c>
      <c r="AH29" s="433" t="s">
        <v>13535</v>
      </c>
      <c r="AI29" s="433" t="s">
        <v>13535</v>
      </c>
      <c r="AJ29" s="433" t="s">
        <v>13535</v>
      </c>
      <c r="AK29" s="433" t="s">
        <v>13535</v>
      </c>
      <c r="AL29" s="433" t="s">
        <v>13535</v>
      </c>
      <c r="AM29" s="433" t="s">
        <v>13535</v>
      </c>
      <c r="AN29" s="433" t="s">
        <v>13535</v>
      </c>
      <c r="AO29" s="433" t="s">
        <v>13535</v>
      </c>
      <c r="AP29" s="433" t="s">
        <v>13535</v>
      </c>
    </row>
    <row r="30" spans="2:42">
      <c r="B30" s="430" t="s">
        <v>602</v>
      </c>
      <c r="C30" s="430" t="s">
        <v>13523</v>
      </c>
      <c r="D30" s="430" t="s">
        <v>334</v>
      </c>
      <c r="E30" s="430" t="s">
        <v>334</v>
      </c>
      <c r="F30" s="430" t="s">
        <v>334</v>
      </c>
      <c r="G30" s="430" t="s">
        <v>334</v>
      </c>
      <c r="H30" s="430" t="str">
        <f>TS_TTech!H87</f>
        <v>UP</v>
      </c>
      <c r="I30" s="430">
        <f>TS_TTech!I87</f>
        <v>3</v>
      </c>
      <c r="J30" s="430">
        <f ca="1">TS_TTech!J87</f>
        <v>0.95890410958904104</v>
      </c>
      <c r="K30" s="430"/>
      <c r="L30" s="430"/>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row>
    <row r="31" spans="2:42">
      <c r="B31" s="430" t="s">
        <v>602</v>
      </c>
      <c r="C31" s="430" t="s">
        <v>13523</v>
      </c>
      <c r="D31" s="430" t="s">
        <v>334</v>
      </c>
      <c r="E31" s="430" t="s">
        <v>334</v>
      </c>
      <c r="F31" s="430" t="s">
        <v>334</v>
      </c>
      <c r="G31" s="430" t="s">
        <v>334</v>
      </c>
      <c r="H31" s="430" t="str">
        <f>TS_TTech!H88</f>
        <v>LO</v>
      </c>
      <c r="I31" s="430">
        <f>TS_TTech!I88</f>
        <v>3</v>
      </c>
      <c r="J31" s="430">
        <f ca="1">TS_TTech!J88</f>
        <v>0.95890410958904104</v>
      </c>
      <c r="K31" s="430"/>
      <c r="L31" s="430"/>
      <c r="M31" s="430"/>
      <c r="N31" s="430"/>
      <c r="O31" s="430"/>
      <c r="P31" s="430"/>
      <c r="Q31" s="430"/>
      <c r="R31" s="430"/>
      <c r="S31" s="430"/>
      <c r="T31" s="430"/>
      <c r="U31" s="430"/>
      <c r="V31" s="430"/>
      <c r="W31" s="430"/>
      <c r="X31" s="430">
        <f ca="1">J31</f>
        <v>0.95890410958904104</v>
      </c>
      <c r="Y31" s="430"/>
      <c r="Z31" s="430"/>
      <c r="AA31" s="430"/>
      <c r="AB31" s="430"/>
      <c r="AC31" s="430">
        <v>0</v>
      </c>
      <c r="AD31" s="430"/>
      <c r="AE31" s="430"/>
      <c r="AF31" s="430"/>
      <c r="AG31" s="430"/>
      <c r="AH31" s="430"/>
      <c r="AI31" s="430"/>
      <c r="AJ31" s="430"/>
      <c r="AK31" s="430"/>
      <c r="AL31" s="430"/>
      <c r="AM31" s="430"/>
      <c r="AN31" s="430"/>
      <c r="AO31" s="430"/>
      <c r="AP31" s="430"/>
    </row>
    <row r="32" spans="2:42">
      <c r="B32" s="430" t="s">
        <v>850</v>
      </c>
      <c r="C32" s="430" t="s">
        <v>13523</v>
      </c>
      <c r="D32" s="430" t="s">
        <v>334</v>
      </c>
      <c r="E32" s="430" t="s">
        <v>334</v>
      </c>
      <c r="F32" s="430" t="s">
        <v>334</v>
      </c>
      <c r="G32" s="430" t="s">
        <v>334</v>
      </c>
      <c r="H32" s="430" t="s">
        <v>338</v>
      </c>
      <c r="I32" s="503">
        <v>3</v>
      </c>
      <c r="J32" s="433">
        <v>0</v>
      </c>
      <c r="K32" s="433" t="s">
        <v>13535</v>
      </c>
      <c r="L32" s="433" t="s">
        <v>13535</v>
      </c>
      <c r="M32" s="433" t="s">
        <v>13535</v>
      </c>
      <c r="N32" s="433" t="s">
        <v>13535</v>
      </c>
      <c r="O32" s="433" t="s">
        <v>13535</v>
      </c>
      <c r="P32" s="433" t="s">
        <v>13535</v>
      </c>
      <c r="Q32" s="433" t="s">
        <v>13535</v>
      </c>
      <c r="R32" s="433" t="s">
        <v>13535</v>
      </c>
      <c r="S32" s="433" t="s">
        <v>13535</v>
      </c>
      <c r="T32" s="433" t="s">
        <v>13535</v>
      </c>
      <c r="U32" s="433" t="s">
        <v>13535</v>
      </c>
      <c r="V32" s="433" t="s">
        <v>13535</v>
      </c>
      <c r="W32" s="433" t="s">
        <v>13535</v>
      </c>
      <c r="X32" s="433" t="s">
        <v>13535</v>
      </c>
      <c r="Y32" s="433" t="s">
        <v>13535</v>
      </c>
      <c r="Z32" s="433" t="s">
        <v>13535</v>
      </c>
      <c r="AA32" s="433" t="s">
        <v>13535</v>
      </c>
      <c r="AB32" s="433" t="s">
        <v>13535</v>
      </c>
      <c r="AC32" s="433" t="s">
        <v>13535</v>
      </c>
      <c r="AD32" s="433" t="s">
        <v>13535</v>
      </c>
      <c r="AE32" s="433" t="s">
        <v>13535</v>
      </c>
      <c r="AF32" s="433" t="s">
        <v>13535</v>
      </c>
      <c r="AG32" s="433" t="s">
        <v>13535</v>
      </c>
      <c r="AH32" s="433" t="s">
        <v>13535</v>
      </c>
      <c r="AI32" s="433" t="s">
        <v>13535</v>
      </c>
      <c r="AJ32" s="433" t="s">
        <v>13535</v>
      </c>
      <c r="AK32" s="433" t="s">
        <v>13535</v>
      </c>
      <c r="AL32" s="433" t="s">
        <v>13535</v>
      </c>
      <c r="AM32" s="433" t="s">
        <v>13535</v>
      </c>
      <c r="AN32" s="433" t="s">
        <v>13535</v>
      </c>
      <c r="AO32" s="433" t="s">
        <v>13535</v>
      </c>
      <c r="AP32" s="433" t="s">
        <v>13535</v>
      </c>
    </row>
    <row r="33" spans="2:42">
      <c r="B33" s="430" t="s">
        <v>849</v>
      </c>
      <c r="C33" s="430" t="s">
        <v>13523</v>
      </c>
      <c r="D33" s="430" t="s">
        <v>334</v>
      </c>
      <c r="E33" s="430" t="s">
        <v>334</v>
      </c>
      <c r="F33" s="430" t="s">
        <v>334</v>
      </c>
      <c r="G33" s="430" t="s">
        <v>334</v>
      </c>
      <c r="H33" s="430" t="s">
        <v>334</v>
      </c>
      <c r="I33" s="503">
        <v>0</v>
      </c>
      <c r="J33" s="433">
        <v>0</v>
      </c>
      <c r="K33" s="433" t="s">
        <v>13535</v>
      </c>
      <c r="L33" s="433" t="s">
        <v>13535</v>
      </c>
      <c r="M33" s="433" t="s">
        <v>13535</v>
      </c>
      <c r="N33" s="433" t="s">
        <v>13535</v>
      </c>
      <c r="O33" s="433" t="s">
        <v>13535</v>
      </c>
      <c r="P33" s="433" t="s">
        <v>13535</v>
      </c>
      <c r="Q33" s="433" t="s">
        <v>13535</v>
      </c>
      <c r="R33" s="433" t="s">
        <v>13535</v>
      </c>
      <c r="S33" s="433" t="s">
        <v>13535</v>
      </c>
      <c r="T33" s="433" t="s">
        <v>13535</v>
      </c>
      <c r="U33" s="433" t="s">
        <v>13535</v>
      </c>
      <c r="V33" s="433" t="s">
        <v>13535</v>
      </c>
      <c r="W33" s="433" t="s">
        <v>13535</v>
      </c>
      <c r="X33" s="433" t="s">
        <v>13535</v>
      </c>
      <c r="Y33" s="433" t="s">
        <v>13535</v>
      </c>
      <c r="Z33" s="433" t="s">
        <v>13535</v>
      </c>
      <c r="AA33" s="433" t="s">
        <v>13535</v>
      </c>
      <c r="AB33" s="433" t="s">
        <v>13535</v>
      </c>
      <c r="AC33" s="433" t="s">
        <v>13535</v>
      </c>
      <c r="AD33" s="433" t="s">
        <v>13535</v>
      </c>
      <c r="AE33" s="433" t="s">
        <v>13535</v>
      </c>
      <c r="AF33" s="433" t="s">
        <v>13535</v>
      </c>
      <c r="AG33" s="433" t="s">
        <v>13535</v>
      </c>
      <c r="AH33" s="433" t="s">
        <v>13535</v>
      </c>
      <c r="AI33" s="433" t="s">
        <v>13535</v>
      </c>
      <c r="AJ33" s="433" t="s">
        <v>13535</v>
      </c>
      <c r="AK33" s="433" t="s">
        <v>13535</v>
      </c>
      <c r="AL33" s="433" t="s">
        <v>13535</v>
      </c>
      <c r="AM33" s="433" t="s">
        <v>13535</v>
      </c>
      <c r="AN33" s="433" t="s">
        <v>13535</v>
      </c>
      <c r="AO33" s="433" t="s">
        <v>13535</v>
      </c>
      <c r="AP33" s="433" t="s">
        <v>13535</v>
      </c>
    </row>
    <row r="34" spans="2:42">
      <c r="B34" s="430" t="s">
        <v>860</v>
      </c>
      <c r="C34" s="430" t="s">
        <v>13523</v>
      </c>
      <c r="D34" s="430" t="s">
        <v>334</v>
      </c>
      <c r="E34" s="430" t="s">
        <v>334</v>
      </c>
      <c r="F34" s="430" t="s">
        <v>334</v>
      </c>
      <c r="G34" s="430" t="s">
        <v>334</v>
      </c>
      <c r="H34" s="430" t="s">
        <v>334</v>
      </c>
      <c r="I34" s="503">
        <v>0</v>
      </c>
      <c r="J34" s="433">
        <v>246.27843084018701</v>
      </c>
      <c r="K34" s="433">
        <v>246.27843084018701</v>
      </c>
      <c r="L34" s="433">
        <v>246.27843084018701</v>
      </c>
      <c r="M34" s="433">
        <v>246.27843084018701</v>
      </c>
      <c r="N34" s="433">
        <v>246.27843084018701</v>
      </c>
      <c r="O34" s="433">
        <v>246.27843084018701</v>
      </c>
      <c r="P34" s="433">
        <v>246.27843084018701</v>
      </c>
      <c r="Q34" s="433">
        <v>246.27843084018701</v>
      </c>
      <c r="R34" s="433">
        <v>246.27843084018701</v>
      </c>
      <c r="S34" s="433">
        <v>246.27843084018701</v>
      </c>
      <c r="T34" s="433">
        <v>246.27843084018701</v>
      </c>
      <c r="U34" s="433">
        <v>246.27843084018701</v>
      </c>
      <c r="V34" s="433">
        <v>246.27843084018701</v>
      </c>
      <c r="W34" s="433">
        <v>246.27843084018701</v>
      </c>
      <c r="X34" s="433">
        <v>246.27843084018701</v>
      </c>
      <c r="Y34" s="433">
        <v>246.27843084018701</v>
      </c>
      <c r="Z34" s="433">
        <v>246.27843084018701</v>
      </c>
      <c r="AA34" s="433">
        <v>246.27843084018701</v>
      </c>
      <c r="AB34" s="433">
        <v>246.27843084018701</v>
      </c>
      <c r="AC34" s="433">
        <v>246.27843084018701</v>
      </c>
      <c r="AD34" s="433">
        <v>246.27843084018701</v>
      </c>
      <c r="AE34" s="433">
        <v>246.27843084018701</v>
      </c>
      <c r="AF34" s="433">
        <v>246.27843084018701</v>
      </c>
      <c r="AG34" s="433">
        <v>246.27843084018701</v>
      </c>
      <c r="AH34" s="433">
        <v>246.27843084018701</v>
      </c>
      <c r="AI34" s="433">
        <v>246.27843084018701</v>
      </c>
      <c r="AJ34" s="433">
        <v>246.27843084018701</v>
      </c>
      <c r="AK34" s="433">
        <v>246.27843084018701</v>
      </c>
      <c r="AL34" s="433">
        <v>246.27843084018701</v>
      </c>
      <c r="AM34" s="433">
        <v>246.27843084018701</v>
      </c>
      <c r="AN34" s="433">
        <v>246.27843084018701</v>
      </c>
      <c r="AO34" s="433">
        <v>246.27843084018701</v>
      </c>
      <c r="AP34" s="433">
        <v>246.27843084018701</v>
      </c>
    </row>
    <row r="35" spans="2:42">
      <c r="B35" s="430" t="s">
        <v>851</v>
      </c>
      <c r="C35" s="430" t="s">
        <v>13523</v>
      </c>
      <c r="D35" s="430" t="s">
        <v>334</v>
      </c>
      <c r="E35" s="430" t="s">
        <v>13501</v>
      </c>
      <c r="F35" s="430" t="s">
        <v>13503</v>
      </c>
      <c r="G35" s="430" t="s">
        <v>337</v>
      </c>
      <c r="H35" s="430" t="s">
        <v>334</v>
      </c>
      <c r="I35" s="503">
        <v>0</v>
      </c>
      <c r="J35" s="433">
        <v>0.31940000000000002</v>
      </c>
      <c r="K35" s="433" t="s">
        <v>13535</v>
      </c>
      <c r="L35" s="433" t="s">
        <v>13535</v>
      </c>
      <c r="M35" s="433" t="s">
        <v>13535</v>
      </c>
      <c r="N35" s="433">
        <v>0.32645307349333103</v>
      </c>
      <c r="O35" s="433" t="s">
        <v>13535</v>
      </c>
      <c r="P35" s="433" t="s">
        <v>13535</v>
      </c>
      <c r="Q35" s="433" t="s">
        <v>13535</v>
      </c>
      <c r="R35" s="433" t="s">
        <v>13535</v>
      </c>
      <c r="S35" s="433" t="s">
        <v>13535</v>
      </c>
      <c r="T35" s="433" t="s">
        <v>13535</v>
      </c>
      <c r="U35" s="433" t="s">
        <v>13535</v>
      </c>
      <c r="V35" s="433" t="s">
        <v>13535</v>
      </c>
      <c r="W35" s="433" t="s">
        <v>13535</v>
      </c>
      <c r="X35" s="433" t="s">
        <v>13535</v>
      </c>
      <c r="Y35" s="433" t="s">
        <v>13535</v>
      </c>
      <c r="Z35" s="433" t="s">
        <v>13535</v>
      </c>
      <c r="AA35" s="433" t="s">
        <v>13535</v>
      </c>
      <c r="AB35" s="433" t="s">
        <v>13535</v>
      </c>
      <c r="AC35" s="433" t="s">
        <v>13535</v>
      </c>
      <c r="AD35" s="433" t="s">
        <v>13535</v>
      </c>
      <c r="AE35" s="433" t="s">
        <v>13535</v>
      </c>
      <c r="AF35" s="433" t="s">
        <v>13535</v>
      </c>
      <c r="AG35" s="433" t="s">
        <v>13535</v>
      </c>
      <c r="AH35" s="433" t="s">
        <v>13535</v>
      </c>
      <c r="AI35" s="433" t="s">
        <v>13535</v>
      </c>
      <c r="AJ35" s="433" t="s">
        <v>13535</v>
      </c>
      <c r="AK35" s="433" t="s">
        <v>13535</v>
      </c>
      <c r="AL35" s="433" t="s">
        <v>13535</v>
      </c>
      <c r="AM35" s="433" t="s">
        <v>13535</v>
      </c>
      <c r="AN35" s="433" t="s">
        <v>13535</v>
      </c>
      <c r="AO35" s="433" t="s">
        <v>13535</v>
      </c>
      <c r="AP35" s="433" t="s">
        <v>13535</v>
      </c>
    </row>
    <row r="36" spans="2:42">
      <c r="B36" s="430" t="s">
        <v>855</v>
      </c>
      <c r="C36" s="430" t="s">
        <v>13523</v>
      </c>
      <c r="D36" s="430" t="s">
        <v>13519</v>
      </c>
      <c r="E36" s="430" t="s">
        <v>13501</v>
      </c>
      <c r="F36" s="430" t="s">
        <v>334</v>
      </c>
      <c r="G36" s="430" t="s">
        <v>337</v>
      </c>
      <c r="H36" s="430" t="s">
        <v>856</v>
      </c>
      <c r="I36" s="503">
        <v>3</v>
      </c>
      <c r="J36" s="433">
        <v>0.75055526301578401</v>
      </c>
      <c r="K36" s="433" t="s">
        <v>13535</v>
      </c>
      <c r="L36" s="433" t="s">
        <v>13535</v>
      </c>
      <c r="M36" s="433" t="s">
        <v>13535</v>
      </c>
      <c r="N36" s="433">
        <v>0.73688240408978001</v>
      </c>
      <c r="O36" s="433" t="s">
        <v>13535</v>
      </c>
      <c r="P36" s="433" t="s">
        <v>13535</v>
      </c>
      <c r="Q36" s="433" t="s">
        <v>13535</v>
      </c>
      <c r="R36" s="433" t="s">
        <v>13535</v>
      </c>
      <c r="S36" s="433" t="s">
        <v>13535</v>
      </c>
      <c r="T36" s="433" t="s">
        <v>13535</v>
      </c>
      <c r="U36" s="433" t="s">
        <v>13535</v>
      </c>
      <c r="V36" s="433" t="s">
        <v>13535</v>
      </c>
      <c r="W36" s="433" t="s">
        <v>13535</v>
      </c>
      <c r="X36" s="433" t="s">
        <v>13535</v>
      </c>
      <c r="Y36" s="433" t="s">
        <v>13535</v>
      </c>
      <c r="Z36" s="433" t="s">
        <v>13535</v>
      </c>
      <c r="AA36" s="433" t="s">
        <v>13535</v>
      </c>
      <c r="AB36" s="433" t="s">
        <v>13535</v>
      </c>
      <c r="AC36" s="433" t="s">
        <v>13535</v>
      </c>
      <c r="AD36" s="433" t="s">
        <v>13535</v>
      </c>
      <c r="AE36" s="433" t="s">
        <v>13535</v>
      </c>
      <c r="AF36" s="433" t="s">
        <v>13535</v>
      </c>
      <c r="AG36" s="433" t="s">
        <v>13535</v>
      </c>
      <c r="AH36" s="433" t="s">
        <v>13535</v>
      </c>
      <c r="AI36" s="433" t="s">
        <v>13535</v>
      </c>
      <c r="AJ36" s="433" t="s">
        <v>13535</v>
      </c>
      <c r="AK36" s="433" t="s">
        <v>13535</v>
      </c>
      <c r="AL36" s="433" t="s">
        <v>13535</v>
      </c>
      <c r="AM36" s="433" t="s">
        <v>13535</v>
      </c>
      <c r="AN36" s="433" t="s">
        <v>13535</v>
      </c>
      <c r="AO36" s="433" t="s">
        <v>13535</v>
      </c>
      <c r="AP36" s="433" t="s">
        <v>13535</v>
      </c>
    </row>
    <row r="37" spans="2:42">
      <c r="B37" s="430" t="s">
        <v>855</v>
      </c>
      <c r="C37" s="430" t="s">
        <v>13523</v>
      </c>
      <c r="D37" s="430" t="s">
        <v>13536</v>
      </c>
      <c r="E37" s="430" t="s">
        <v>13501</v>
      </c>
      <c r="F37" s="430" t="s">
        <v>334</v>
      </c>
      <c r="G37" s="430" t="s">
        <v>337</v>
      </c>
      <c r="H37" s="430" t="s">
        <v>856</v>
      </c>
      <c r="I37" s="503">
        <v>3</v>
      </c>
      <c r="J37" s="433">
        <v>4.6380305946303199E-2</v>
      </c>
      <c r="K37" s="433" t="s">
        <v>13535</v>
      </c>
      <c r="L37" s="433" t="s">
        <v>13535</v>
      </c>
      <c r="M37" s="433" t="s">
        <v>13535</v>
      </c>
      <c r="N37" s="433">
        <v>4.7407830732884598E-2</v>
      </c>
      <c r="O37" s="433" t="s">
        <v>13535</v>
      </c>
      <c r="P37" s="433" t="s">
        <v>13535</v>
      </c>
      <c r="Q37" s="433" t="s">
        <v>13535</v>
      </c>
      <c r="R37" s="433" t="s">
        <v>13535</v>
      </c>
      <c r="S37" s="433" t="s">
        <v>13535</v>
      </c>
      <c r="T37" s="433" t="s">
        <v>13535</v>
      </c>
      <c r="U37" s="433" t="s">
        <v>13535</v>
      </c>
      <c r="V37" s="433" t="s">
        <v>13535</v>
      </c>
      <c r="W37" s="433" t="s">
        <v>13535</v>
      </c>
      <c r="X37" s="433" t="s">
        <v>13535</v>
      </c>
      <c r="Y37" s="433" t="s">
        <v>13535</v>
      </c>
      <c r="Z37" s="433" t="s">
        <v>13535</v>
      </c>
      <c r="AA37" s="433" t="s">
        <v>13535</v>
      </c>
      <c r="AB37" s="433" t="s">
        <v>13535</v>
      </c>
      <c r="AC37" s="433" t="s">
        <v>13535</v>
      </c>
      <c r="AD37" s="433" t="s">
        <v>13535</v>
      </c>
      <c r="AE37" s="433" t="s">
        <v>13535</v>
      </c>
      <c r="AF37" s="433" t="s">
        <v>13535</v>
      </c>
      <c r="AG37" s="433" t="s">
        <v>13535</v>
      </c>
      <c r="AH37" s="433" t="s">
        <v>13535</v>
      </c>
      <c r="AI37" s="433" t="s">
        <v>13535</v>
      </c>
      <c r="AJ37" s="433" t="s">
        <v>13535</v>
      </c>
      <c r="AK37" s="433" t="s">
        <v>13535</v>
      </c>
      <c r="AL37" s="433" t="s">
        <v>13535</v>
      </c>
      <c r="AM37" s="433" t="s">
        <v>13535</v>
      </c>
      <c r="AN37" s="433" t="s">
        <v>13535</v>
      </c>
      <c r="AO37" s="433" t="s">
        <v>13535</v>
      </c>
      <c r="AP37" s="433" t="s">
        <v>13535</v>
      </c>
    </row>
    <row r="38" spans="2:42">
      <c r="B38" s="430" t="s">
        <v>855</v>
      </c>
      <c r="C38" s="430" t="s">
        <v>13523</v>
      </c>
      <c r="D38" s="430" t="s">
        <v>1893</v>
      </c>
      <c r="E38" s="430" t="s">
        <v>13501</v>
      </c>
      <c r="F38" s="430" t="s">
        <v>334</v>
      </c>
      <c r="G38" s="430" t="s">
        <v>337</v>
      </c>
      <c r="H38" s="430" t="s">
        <v>856</v>
      </c>
      <c r="I38" s="503">
        <v>3</v>
      </c>
      <c r="J38" s="433">
        <v>2.6746802247811299E-2</v>
      </c>
      <c r="K38" s="433" t="s">
        <v>13535</v>
      </c>
      <c r="L38" s="433" t="s">
        <v>13535</v>
      </c>
      <c r="M38" s="433" t="s">
        <v>13535</v>
      </c>
      <c r="N38" s="433">
        <v>3.5485936757959503E-2</v>
      </c>
      <c r="O38" s="433" t="s">
        <v>13535</v>
      </c>
      <c r="P38" s="433" t="s">
        <v>13535</v>
      </c>
      <c r="Q38" s="433" t="s">
        <v>13535</v>
      </c>
      <c r="R38" s="433" t="s">
        <v>13535</v>
      </c>
      <c r="S38" s="433" t="s">
        <v>13535</v>
      </c>
      <c r="T38" s="433" t="s">
        <v>13535</v>
      </c>
      <c r="U38" s="433" t="s">
        <v>13535</v>
      </c>
      <c r="V38" s="433" t="s">
        <v>13535</v>
      </c>
      <c r="W38" s="433" t="s">
        <v>13535</v>
      </c>
      <c r="X38" s="433" t="s">
        <v>13535</v>
      </c>
      <c r="Y38" s="433" t="s">
        <v>13535</v>
      </c>
      <c r="Z38" s="433" t="s">
        <v>13535</v>
      </c>
      <c r="AA38" s="433" t="s">
        <v>13535</v>
      </c>
      <c r="AB38" s="433" t="s">
        <v>13535</v>
      </c>
      <c r="AC38" s="433" t="s">
        <v>13535</v>
      </c>
      <c r="AD38" s="433" t="s">
        <v>13535</v>
      </c>
      <c r="AE38" s="433" t="s">
        <v>13535</v>
      </c>
      <c r="AF38" s="433" t="s">
        <v>13535</v>
      </c>
      <c r="AG38" s="433" t="s">
        <v>13535</v>
      </c>
      <c r="AH38" s="433" t="s">
        <v>13535</v>
      </c>
      <c r="AI38" s="433" t="s">
        <v>13535</v>
      </c>
      <c r="AJ38" s="433" t="s">
        <v>13535</v>
      </c>
      <c r="AK38" s="433" t="s">
        <v>13535</v>
      </c>
      <c r="AL38" s="433" t="s">
        <v>13535</v>
      </c>
      <c r="AM38" s="433" t="s">
        <v>13535</v>
      </c>
      <c r="AN38" s="433" t="s">
        <v>13535</v>
      </c>
      <c r="AO38" s="433" t="s">
        <v>13535</v>
      </c>
      <c r="AP38" s="433" t="s">
        <v>13535</v>
      </c>
    </row>
    <row r="39" spans="2:42">
      <c r="B39" s="430" t="s">
        <v>855</v>
      </c>
      <c r="C39" s="430" t="s">
        <v>13523</v>
      </c>
      <c r="D39" s="430" t="s">
        <v>13542</v>
      </c>
      <c r="E39" s="430" t="s">
        <v>13501</v>
      </c>
      <c r="F39" s="430" t="s">
        <v>334</v>
      </c>
      <c r="G39" s="430" t="s">
        <v>337</v>
      </c>
      <c r="H39" s="430" t="s">
        <v>856</v>
      </c>
      <c r="I39" s="503">
        <v>3</v>
      </c>
      <c r="J39" s="433">
        <v>0.17631762879010099</v>
      </c>
      <c r="K39" s="433" t="s">
        <v>13535</v>
      </c>
      <c r="L39" s="433" t="s">
        <v>13535</v>
      </c>
      <c r="M39" s="433" t="s">
        <v>13535</v>
      </c>
      <c r="N39" s="433">
        <v>0.18022382841937601</v>
      </c>
      <c r="O39" s="433" t="s">
        <v>13535</v>
      </c>
      <c r="P39" s="433" t="s">
        <v>13535</v>
      </c>
      <c r="Q39" s="433" t="s">
        <v>13535</v>
      </c>
      <c r="R39" s="433" t="s">
        <v>13535</v>
      </c>
      <c r="S39" s="433" t="s">
        <v>13535</v>
      </c>
      <c r="T39" s="433" t="s">
        <v>13535</v>
      </c>
      <c r="U39" s="433" t="s">
        <v>13535</v>
      </c>
      <c r="V39" s="433" t="s">
        <v>13535</v>
      </c>
      <c r="W39" s="433" t="s">
        <v>13535</v>
      </c>
      <c r="X39" s="433" t="s">
        <v>13535</v>
      </c>
      <c r="Y39" s="433" t="s">
        <v>13535</v>
      </c>
      <c r="Z39" s="433" t="s">
        <v>13535</v>
      </c>
      <c r="AA39" s="433" t="s">
        <v>13535</v>
      </c>
      <c r="AB39" s="433" t="s">
        <v>13535</v>
      </c>
      <c r="AC39" s="433" t="s">
        <v>13535</v>
      </c>
      <c r="AD39" s="433" t="s">
        <v>13535</v>
      </c>
      <c r="AE39" s="433" t="s">
        <v>13535</v>
      </c>
      <c r="AF39" s="433" t="s">
        <v>13535</v>
      </c>
      <c r="AG39" s="433" t="s">
        <v>13535</v>
      </c>
      <c r="AH39" s="433" t="s">
        <v>13535</v>
      </c>
      <c r="AI39" s="433" t="s">
        <v>13535</v>
      </c>
      <c r="AJ39" s="433" t="s">
        <v>13535</v>
      </c>
      <c r="AK39" s="433" t="s">
        <v>13535</v>
      </c>
      <c r="AL39" s="433" t="s">
        <v>13535</v>
      </c>
      <c r="AM39" s="433" t="s">
        <v>13535</v>
      </c>
      <c r="AN39" s="433" t="s">
        <v>13535</v>
      </c>
      <c r="AO39" s="433" t="s">
        <v>13535</v>
      </c>
      <c r="AP39" s="433" t="s">
        <v>13535</v>
      </c>
    </row>
    <row r="40" spans="2:42">
      <c r="B40" s="430" t="s">
        <v>357</v>
      </c>
      <c r="C40" s="430" t="s">
        <v>13523</v>
      </c>
      <c r="D40" s="430" t="str">
        <f>TS_TTech!D104</f>
        <v>CH4SF</v>
      </c>
      <c r="E40" s="430" t="s">
        <v>13503</v>
      </c>
      <c r="F40" s="430" t="s">
        <v>334</v>
      </c>
      <c r="G40" s="430" t="s">
        <v>337</v>
      </c>
      <c r="H40" s="430" t="s">
        <v>334</v>
      </c>
      <c r="I40" s="503">
        <v>0</v>
      </c>
      <c r="J40" s="433">
        <v>1.4934527846330401</v>
      </c>
      <c r="K40" s="433" t="s">
        <v>13535</v>
      </c>
      <c r="L40" s="433" t="s">
        <v>13535</v>
      </c>
      <c r="M40" s="433" t="s">
        <v>13535</v>
      </c>
      <c r="N40" s="433">
        <v>1.1504593900762301</v>
      </c>
      <c r="O40" s="433" t="s">
        <v>13535</v>
      </c>
      <c r="P40" s="433" t="s">
        <v>13535</v>
      </c>
      <c r="Q40" s="433" t="s">
        <v>13535</v>
      </c>
      <c r="R40" s="433" t="s">
        <v>13535</v>
      </c>
      <c r="S40" s="433" t="s">
        <v>13535</v>
      </c>
      <c r="T40" s="433" t="s">
        <v>13535</v>
      </c>
      <c r="U40" s="433" t="s">
        <v>13535</v>
      </c>
      <c r="V40" s="433" t="s">
        <v>13535</v>
      </c>
      <c r="W40" s="433" t="s">
        <v>13535</v>
      </c>
      <c r="X40" s="433" t="s">
        <v>13535</v>
      </c>
      <c r="Y40" s="433" t="s">
        <v>13535</v>
      </c>
      <c r="Z40" s="433" t="s">
        <v>13535</v>
      </c>
      <c r="AA40" s="433" t="s">
        <v>13535</v>
      </c>
      <c r="AB40" s="433" t="s">
        <v>13535</v>
      </c>
      <c r="AC40" s="433" t="s">
        <v>13535</v>
      </c>
      <c r="AD40" s="433" t="s">
        <v>13535</v>
      </c>
      <c r="AE40" s="433" t="s">
        <v>13535</v>
      </c>
      <c r="AF40" s="433" t="s">
        <v>13535</v>
      </c>
      <c r="AG40" s="433" t="s">
        <v>13535</v>
      </c>
      <c r="AH40" s="433" t="s">
        <v>13535</v>
      </c>
      <c r="AI40" s="433" t="s">
        <v>13535</v>
      </c>
      <c r="AJ40" s="433" t="s">
        <v>13535</v>
      </c>
      <c r="AK40" s="433" t="s">
        <v>13535</v>
      </c>
      <c r="AL40" s="433" t="s">
        <v>13535</v>
      </c>
      <c r="AM40" s="433" t="s">
        <v>13535</v>
      </c>
      <c r="AN40" s="433" t="s">
        <v>13535</v>
      </c>
      <c r="AO40" s="433" t="s">
        <v>13535</v>
      </c>
      <c r="AP40" s="433" t="s">
        <v>13535</v>
      </c>
    </row>
    <row r="41" spans="2:42">
      <c r="B41" s="430" t="s">
        <v>357</v>
      </c>
      <c r="C41" s="430" t="s">
        <v>13523</v>
      </c>
      <c r="D41" s="430" t="str">
        <f>TS_TTech!D103</f>
        <v>CO2SF</v>
      </c>
      <c r="E41" s="430" t="s">
        <v>13503</v>
      </c>
      <c r="F41" s="430" t="s">
        <v>334</v>
      </c>
      <c r="G41" s="430" t="s">
        <v>337</v>
      </c>
      <c r="H41" s="430" t="s">
        <v>334</v>
      </c>
      <c r="I41" s="503">
        <v>0</v>
      </c>
      <c r="J41" s="433">
        <v>118.877396901678</v>
      </c>
      <c r="K41" s="433" t="s">
        <v>13535</v>
      </c>
      <c r="L41" s="433" t="s">
        <v>13535</v>
      </c>
      <c r="M41" s="433" t="s">
        <v>13535</v>
      </c>
      <c r="N41" s="433">
        <v>99.819270609555602</v>
      </c>
      <c r="O41" s="433" t="s">
        <v>13535</v>
      </c>
      <c r="P41" s="433" t="s">
        <v>13535</v>
      </c>
      <c r="Q41" s="433" t="s">
        <v>13535</v>
      </c>
      <c r="R41" s="433" t="s">
        <v>13535</v>
      </c>
      <c r="S41" s="433" t="s">
        <v>13535</v>
      </c>
      <c r="T41" s="433" t="s">
        <v>13535</v>
      </c>
      <c r="U41" s="433" t="s">
        <v>13535</v>
      </c>
      <c r="V41" s="433" t="s">
        <v>13535</v>
      </c>
      <c r="W41" s="433" t="s">
        <v>13535</v>
      </c>
      <c r="X41" s="433" t="s">
        <v>13535</v>
      </c>
      <c r="Y41" s="433" t="s">
        <v>13535</v>
      </c>
      <c r="Z41" s="433" t="s">
        <v>13535</v>
      </c>
      <c r="AA41" s="433" t="s">
        <v>13535</v>
      </c>
      <c r="AB41" s="433" t="s">
        <v>13535</v>
      </c>
      <c r="AC41" s="433" t="s">
        <v>13535</v>
      </c>
      <c r="AD41" s="433" t="s">
        <v>13535</v>
      </c>
      <c r="AE41" s="433" t="s">
        <v>13535</v>
      </c>
      <c r="AF41" s="433" t="s">
        <v>13535</v>
      </c>
      <c r="AG41" s="433" t="s">
        <v>13535</v>
      </c>
      <c r="AH41" s="433" t="s">
        <v>13535</v>
      </c>
      <c r="AI41" s="433" t="s">
        <v>13535</v>
      </c>
      <c r="AJ41" s="433" t="s">
        <v>13535</v>
      </c>
      <c r="AK41" s="433" t="s">
        <v>13535</v>
      </c>
      <c r="AL41" s="433" t="s">
        <v>13535</v>
      </c>
      <c r="AM41" s="433" t="s">
        <v>13535</v>
      </c>
      <c r="AN41" s="433" t="s">
        <v>13535</v>
      </c>
      <c r="AO41" s="433" t="s">
        <v>13535</v>
      </c>
      <c r="AP41" s="433" t="s">
        <v>13535</v>
      </c>
    </row>
    <row r="42" spans="2:42">
      <c r="B42" s="430" t="s">
        <v>855</v>
      </c>
      <c r="C42" s="430" t="s">
        <v>13523</v>
      </c>
      <c r="D42" s="430" t="s">
        <v>1804</v>
      </c>
      <c r="E42" s="430" t="s">
        <v>13503</v>
      </c>
      <c r="F42" s="430" t="s">
        <v>334</v>
      </c>
      <c r="G42" s="430" t="s">
        <v>337</v>
      </c>
      <c r="H42" s="430" t="s">
        <v>338</v>
      </c>
      <c r="I42" s="503">
        <v>3</v>
      </c>
      <c r="J42" s="433">
        <v>8.2900750167258105E-2</v>
      </c>
      <c r="K42" s="433" t="s">
        <v>13535</v>
      </c>
      <c r="L42" s="433" t="s">
        <v>13535</v>
      </c>
      <c r="M42" s="433" t="s">
        <v>13535</v>
      </c>
      <c r="N42" s="433" t="s">
        <v>13535</v>
      </c>
      <c r="O42" s="433" t="s">
        <v>13535</v>
      </c>
      <c r="P42" s="433" t="s">
        <v>13535</v>
      </c>
      <c r="Q42" s="433" t="s">
        <v>13535</v>
      </c>
      <c r="R42" s="433" t="s">
        <v>13535</v>
      </c>
      <c r="S42" s="433" t="s">
        <v>13535</v>
      </c>
      <c r="T42" s="433" t="s">
        <v>13535</v>
      </c>
      <c r="U42" s="433" t="s">
        <v>13535</v>
      </c>
      <c r="V42" s="433" t="s">
        <v>13535</v>
      </c>
      <c r="W42" s="433" t="s">
        <v>13535</v>
      </c>
      <c r="X42" s="433" t="s">
        <v>13535</v>
      </c>
      <c r="Y42" s="433" t="s">
        <v>13535</v>
      </c>
      <c r="Z42" s="433" t="s">
        <v>13535</v>
      </c>
      <c r="AA42" s="433" t="s">
        <v>13535</v>
      </c>
      <c r="AB42" s="433" t="s">
        <v>13535</v>
      </c>
      <c r="AC42" s="433" t="s">
        <v>13535</v>
      </c>
      <c r="AD42" s="433" t="s">
        <v>13535</v>
      </c>
      <c r="AE42" s="433" t="s">
        <v>13535</v>
      </c>
      <c r="AF42" s="433" t="s">
        <v>13535</v>
      </c>
      <c r="AG42" s="433" t="s">
        <v>13535</v>
      </c>
      <c r="AH42" s="433" t="s">
        <v>13535</v>
      </c>
      <c r="AI42" s="433" t="s">
        <v>13535</v>
      </c>
      <c r="AJ42" s="433" t="s">
        <v>13535</v>
      </c>
      <c r="AK42" s="433" t="s">
        <v>13535</v>
      </c>
      <c r="AL42" s="433" t="s">
        <v>13535</v>
      </c>
      <c r="AM42" s="433" t="s">
        <v>13535</v>
      </c>
      <c r="AN42" s="433" t="s">
        <v>13535</v>
      </c>
      <c r="AO42" s="433" t="s">
        <v>13535</v>
      </c>
      <c r="AP42" s="433" t="s">
        <v>13535</v>
      </c>
    </row>
    <row r="43" spans="2:42">
      <c r="B43" s="430" t="s">
        <v>855</v>
      </c>
      <c r="C43" s="430" t="s">
        <v>13523</v>
      </c>
      <c r="D43" s="430" t="s">
        <v>558</v>
      </c>
      <c r="E43" s="430" t="s">
        <v>13503</v>
      </c>
      <c r="F43" s="430" t="s">
        <v>334</v>
      </c>
      <c r="G43" s="430" t="s">
        <v>337</v>
      </c>
      <c r="H43" s="430" t="s">
        <v>338</v>
      </c>
      <c r="I43" s="503">
        <v>3</v>
      </c>
      <c r="J43" s="433">
        <v>4.0971508662274196E-3</v>
      </c>
      <c r="K43" s="433" t="s">
        <v>13535</v>
      </c>
      <c r="L43" s="433" t="s">
        <v>13535</v>
      </c>
      <c r="M43" s="433" t="s">
        <v>13535</v>
      </c>
      <c r="N43" s="433" t="s">
        <v>13535</v>
      </c>
      <c r="O43" s="433" t="s">
        <v>13535</v>
      </c>
      <c r="P43" s="433" t="s">
        <v>13535</v>
      </c>
      <c r="Q43" s="433" t="s">
        <v>13535</v>
      </c>
      <c r="R43" s="433" t="s">
        <v>13535</v>
      </c>
      <c r="S43" s="433" t="s">
        <v>13535</v>
      </c>
      <c r="T43" s="433" t="s">
        <v>13535</v>
      </c>
      <c r="U43" s="433" t="s">
        <v>13535</v>
      </c>
      <c r="V43" s="433" t="s">
        <v>13535</v>
      </c>
      <c r="W43" s="433" t="s">
        <v>13535</v>
      </c>
      <c r="X43" s="433" t="s">
        <v>13535</v>
      </c>
      <c r="Y43" s="433" t="s">
        <v>13535</v>
      </c>
      <c r="Z43" s="433" t="s">
        <v>13535</v>
      </c>
      <c r="AA43" s="433" t="s">
        <v>13535</v>
      </c>
      <c r="AB43" s="433" t="s">
        <v>13535</v>
      </c>
      <c r="AC43" s="433" t="s">
        <v>13535</v>
      </c>
      <c r="AD43" s="433" t="s">
        <v>13535</v>
      </c>
      <c r="AE43" s="433" t="s">
        <v>13535</v>
      </c>
      <c r="AF43" s="433" t="s">
        <v>13535</v>
      </c>
      <c r="AG43" s="433" t="s">
        <v>13535</v>
      </c>
      <c r="AH43" s="433" t="s">
        <v>13535</v>
      </c>
      <c r="AI43" s="433" t="s">
        <v>13535</v>
      </c>
      <c r="AJ43" s="433" t="s">
        <v>13535</v>
      </c>
      <c r="AK43" s="433" t="s">
        <v>13535</v>
      </c>
      <c r="AL43" s="433" t="s">
        <v>13535</v>
      </c>
      <c r="AM43" s="433" t="s">
        <v>13535</v>
      </c>
      <c r="AN43" s="433" t="s">
        <v>13535</v>
      </c>
      <c r="AO43" s="433" t="s">
        <v>13535</v>
      </c>
      <c r="AP43" s="433" t="s">
        <v>13535</v>
      </c>
    </row>
    <row r="44" spans="2:42">
      <c r="B44" s="430" t="s">
        <v>855</v>
      </c>
      <c r="C44" s="430" t="s">
        <v>13523</v>
      </c>
      <c r="D44" s="430" t="s">
        <v>555</v>
      </c>
      <c r="E44" s="430" t="s">
        <v>13503</v>
      </c>
      <c r="F44" s="430" t="s">
        <v>334</v>
      </c>
      <c r="G44" s="430" t="s">
        <v>337</v>
      </c>
      <c r="H44" s="430" t="s">
        <v>338</v>
      </c>
      <c r="I44" s="503">
        <v>3</v>
      </c>
      <c r="J44" s="433">
        <v>0.239220786294216</v>
      </c>
      <c r="K44" s="433" t="s">
        <v>13535</v>
      </c>
      <c r="L44" s="433" t="s">
        <v>13535</v>
      </c>
      <c r="M44" s="433" t="s">
        <v>13535</v>
      </c>
      <c r="N44" s="433" t="s">
        <v>13535</v>
      </c>
      <c r="O44" s="433" t="s">
        <v>13535</v>
      </c>
      <c r="P44" s="433" t="s">
        <v>13535</v>
      </c>
      <c r="Q44" s="433" t="s">
        <v>13535</v>
      </c>
      <c r="R44" s="433" t="s">
        <v>13535</v>
      </c>
      <c r="S44" s="433" t="s">
        <v>13535</v>
      </c>
      <c r="T44" s="433" t="s">
        <v>13535</v>
      </c>
      <c r="U44" s="433" t="s">
        <v>13535</v>
      </c>
      <c r="V44" s="433" t="s">
        <v>13535</v>
      </c>
      <c r="W44" s="433" t="s">
        <v>13535</v>
      </c>
      <c r="X44" s="433" t="s">
        <v>13535</v>
      </c>
      <c r="Y44" s="433" t="s">
        <v>13535</v>
      </c>
      <c r="Z44" s="433" t="s">
        <v>13535</v>
      </c>
      <c r="AA44" s="433" t="s">
        <v>13535</v>
      </c>
      <c r="AB44" s="433" t="s">
        <v>13535</v>
      </c>
      <c r="AC44" s="433" t="s">
        <v>13535</v>
      </c>
      <c r="AD44" s="433" t="s">
        <v>13535</v>
      </c>
      <c r="AE44" s="433" t="s">
        <v>13535</v>
      </c>
      <c r="AF44" s="433" t="s">
        <v>13535</v>
      </c>
      <c r="AG44" s="433" t="s">
        <v>13535</v>
      </c>
      <c r="AH44" s="433" t="s">
        <v>13535</v>
      </c>
      <c r="AI44" s="433" t="s">
        <v>13535</v>
      </c>
      <c r="AJ44" s="433" t="s">
        <v>13535</v>
      </c>
      <c r="AK44" s="433" t="s">
        <v>13535</v>
      </c>
      <c r="AL44" s="433" t="s">
        <v>13535</v>
      </c>
      <c r="AM44" s="433" t="s">
        <v>13535</v>
      </c>
      <c r="AN44" s="433" t="s">
        <v>13535</v>
      </c>
      <c r="AO44" s="433" t="s">
        <v>13535</v>
      </c>
      <c r="AP44" s="433" t="s">
        <v>13535</v>
      </c>
    </row>
    <row r="45" spans="2:42">
      <c r="B45" s="430" t="s">
        <v>855</v>
      </c>
      <c r="C45" s="430" t="s">
        <v>13523</v>
      </c>
      <c r="D45" s="430" t="s">
        <v>547</v>
      </c>
      <c r="E45" s="430" t="s">
        <v>13503</v>
      </c>
      <c r="F45" s="430" t="s">
        <v>334</v>
      </c>
      <c r="G45" s="430" t="s">
        <v>337</v>
      </c>
      <c r="H45" s="430" t="s">
        <v>338</v>
      </c>
      <c r="I45" s="503">
        <v>3</v>
      </c>
      <c r="J45" s="433">
        <v>0.54315444012859304</v>
      </c>
      <c r="K45" s="433" t="s">
        <v>13535</v>
      </c>
      <c r="L45" s="433" t="s">
        <v>13535</v>
      </c>
      <c r="M45" s="433" t="s">
        <v>13535</v>
      </c>
      <c r="N45" s="433" t="s">
        <v>13535</v>
      </c>
      <c r="O45" s="433" t="s">
        <v>13535</v>
      </c>
      <c r="P45" s="433" t="s">
        <v>13535</v>
      </c>
      <c r="Q45" s="433" t="s">
        <v>13535</v>
      </c>
      <c r="R45" s="433" t="s">
        <v>13535</v>
      </c>
      <c r="S45" s="433" t="s">
        <v>13535</v>
      </c>
      <c r="T45" s="433" t="s">
        <v>13535</v>
      </c>
      <c r="U45" s="433" t="s">
        <v>13535</v>
      </c>
      <c r="V45" s="433" t="s">
        <v>13535</v>
      </c>
      <c r="W45" s="433" t="s">
        <v>13535</v>
      </c>
      <c r="X45" s="433" t="s">
        <v>13535</v>
      </c>
      <c r="Y45" s="433" t="s">
        <v>13535</v>
      </c>
      <c r="Z45" s="433" t="s">
        <v>13535</v>
      </c>
      <c r="AA45" s="433" t="s">
        <v>13535</v>
      </c>
      <c r="AB45" s="433" t="s">
        <v>13535</v>
      </c>
      <c r="AC45" s="433" t="s">
        <v>13535</v>
      </c>
      <c r="AD45" s="433" t="s">
        <v>13535</v>
      </c>
      <c r="AE45" s="433" t="s">
        <v>13535</v>
      </c>
      <c r="AF45" s="433" t="s">
        <v>13535</v>
      </c>
      <c r="AG45" s="433" t="s">
        <v>13535</v>
      </c>
      <c r="AH45" s="433" t="s">
        <v>13535</v>
      </c>
      <c r="AI45" s="433" t="s">
        <v>13535</v>
      </c>
      <c r="AJ45" s="433" t="s">
        <v>13535</v>
      </c>
      <c r="AK45" s="433" t="s">
        <v>13535</v>
      </c>
      <c r="AL45" s="433" t="s">
        <v>13535</v>
      </c>
      <c r="AM45" s="433" t="s">
        <v>13535</v>
      </c>
      <c r="AN45" s="433" t="s">
        <v>13535</v>
      </c>
      <c r="AO45" s="433" t="s">
        <v>13535</v>
      </c>
      <c r="AP45" s="433" t="s">
        <v>13535</v>
      </c>
    </row>
    <row r="46" spans="2:42">
      <c r="B46" s="430" t="s">
        <v>855</v>
      </c>
      <c r="C46" s="430" t="s">
        <v>13523</v>
      </c>
      <c r="D46" s="430" t="s">
        <v>592</v>
      </c>
      <c r="E46" s="430" t="s">
        <v>13503</v>
      </c>
      <c r="F46" s="430" t="s">
        <v>334</v>
      </c>
      <c r="G46" s="430" t="s">
        <v>337</v>
      </c>
      <c r="H46" s="430" t="s">
        <v>338</v>
      </c>
      <c r="I46" s="503">
        <v>3</v>
      </c>
      <c r="J46" s="433">
        <v>4.3565190138916202E-2</v>
      </c>
      <c r="K46" s="433" t="s">
        <v>13535</v>
      </c>
      <c r="L46" s="433" t="s">
        <v>13535</v>
      </c>
      <c r="M46" s="433" t="s">
        <v>13535</v>
      </c>
      <c r="N46" s="433" t="s">
        <v>13535</v>
      </c>
      <c r="O46" s="433" t="s">
        <v>13535</v>
      </c>
      <c r="P46" s="433" t="s">
        <v>13535</v>
      </c>
      <c r="Q46" s="433" t="s">
        <v>13535</v>
      </c>
      <c r="R46" s="433" t="s">
        <v>13535</v>
      </c>
      <c r="S46" s="433" t="s">
        <v>13535</v>
      </c>
      <c r="T46" s="433" t="s">
        <v>13535</v>
      </c>
      <c r="U46" s="433" t="s">
        <v>13535</v>
      </c>
      <c r="V46" s="433" t="s">
        <v>13535</v>
      </c>
      <c r="W46" s="433" t="s">
        <v>13535</v>
      </c>
      <c r="X46" s="433" t="s">
        <v>13535</v>
      </c>
      <c r="Y46" s="433" t="s">
        <v>13535</v>
      </c>
      <c r="Z46" s="433" t="s">
        <v>13535</v>
      </c>
      <c r="AA46" s="433" t="s">
        <v>13535</v>
      </c>
      <c r="AB46" s="433" t="s">
        <v>13535</v>
      </c>
      <c r="AC46" s="433" t="s">
        <v>13535</v>
      </c>
      <c r="AD46" s="433" t="s">
        <v>13535</v>
      </c>
      <c r="AE46" s="433" t="s">
        <v>13535</v>
      </c>
      <c r="AF46" s="433" t="s">
        <v>13535</v>
      </c>
      <c r="AG46" s="433" t="s">
        <v>13535</v>
      </c>
      <c r="AH46" s="433" t="s">
        <v>13535</v>
      </c>
      <c r="AI46" s="433" t="s">
        <v>13535</v>
      </c>
      <c r="AJ46" s="433" t="s">
        <v>13535</v>
      </c>
      <c r="AK46" s="433" t="s">
        <v>13535</v>
      </c>
      <c r="AL46" s="433" t="s">
        <v>13535</v>
      </c>
      <c r="AM46" s="433" t="s">
        <v>13535</v>
      </c>
      <c r="AN46" s="433" t="s">
        <v>13535</v>
      </c>
      <c r="AO46" s="433" t="s">
        <v>13535</v>
      </c>
      <c r="AP46" s="433" t="s">
        <v>13535</v>
      </c>
    </row>
    <row r="47" spans="2:42">
      <c r="B47" s="430" t="s">
        <v>855</v>
      </c>
      <c r="C47" s="430" t="s">
        <v>13523</v>
      </c>
      <c r="D47" s="430" t="s">
        <v>551</v>
      </c>
      <c r="E47" s="430" t="s">
        <v>13503</v>
      </c>
      <c r="F47" s="430" t="s">
        <v>334</v>
      </c>
      <c r="G47" s="430" t="s">
        <v>337</v>
      </c>
      <c r="H47" s="430" t="s">
        <v>338</v>
      </c>
      <c r="I47" s="503">
        <v>3</v>
      </c>
      <c r="J47" s="433">
        <v>1.38214216216408E-2</v>
      </c>
      <c r="K47" s="433" t="s">
        <v>13535</v>
      </c>
      <c r="L47" s="433" t="s">
        <v>13535</v>
      </c>
      <c r="M47" s="433" t="s">
        <v>13535</v>
      </c>
      <c r="N47" s="433" t="s">
        <v>13535</v>
      </c>
      <c r="O47" s="433" t="s">
        <v>13535</v>
      </c>
      <c r="P47" s="433" t="s">
        <v>13535</v>
      </c>
      <c r="Q47" s="433" t="s">
        <v>13535</v>
      </c>
      <c r="R47" s="433" t="s">
        <v>13535</v>
      </c>
      <c r="S47" s="433" t="s">
        <v>13535</v>
      </c>
      <c r="T47" s="433" t="s">
        <v>13535</v>
      </c>
      <c r="U47" s="433" t="s">
        <v>13535</v>
      </c>
      <c r="V47" s="433" t="s">
        <v>13535</v>
      </c>
      <c r="W47" s="433" t="s">
        <v>13535</v>
      </c>
      <c r="X47" s="433" t="s">
        <v>13535</v>
      </c>
      <c r="Y47" s="433" t="s">
        <v>13535</v>
      </c>
      <c r="Z47" s="433" t="s">
        <v>13535</v>
      </c>
      <c r="AA47" s="433" t="s">
        <v>13535</v>
      </c>
      <c r="AB47" s="433" t="s">
        <v>13535</v>
      </c>
      <c r="AC47" s="433" t="s">
        <v>13535</v>
      </c>
      <c r="AD47" s="433" t="s">
        <v>13535</v>
      </c>
      <c r="AE47" s="433" t="s">
        <v>13535</v>
      </c>
      <c r="AF47" s="433" t="s">
        <v>13535</v>
      </c>
      <c r="AG47" s="433" t="s">
        <v>13535</v>
      </c>
      <c r="AH47" s="433" t="s">
        <v>13535</v>
      </c>
      <c r="AI47" s="433" t="s">
        <v>13535</v>
      </c>
      <c r="AJ47" s="433" t="s">
        <v>13535</v>
      </c>
      <c r="AK47" s="433" t="s">
        <v>13535</v>
      </c>
      <c r="AL47" s="433" t="s">
        <v>13535</v>
      </c>
      <c r="AM47" s="433" t="s">
        <v>13535</v>
      </c>
      <c r="AN47" s="433" t="s">
        <v>13535</v>
      </c>
      <c r="AO47" s="433" t="s">
        <v>13535</v>
      </c>
      <c r="AP47" s="433" t="s">
        <v>13535</v>
      </c>
    </row>
    <row r="48" spans="2:42">
      <c r="B48" s="430" t="s">
        <v>855</v>
      </c>
      <c r="C48" s="430" t="s">
        <v>13523</v>
      </c>
      <c r="D48" s="430" t="s">
        <v>594</v>
      </c>
      <c r="E48" s="430" t="s">
        <v>13503</v>
      </c>
      <c r="F48" s="430" t="s">
        <v>334</v>
      </c>
      <c r="G48" s="430" t="s">
        <v>337</v>
      </c>
      <c r="H48" s="430" t="s">
        <v>338</v>
      </c>
      <c r="I48" s="503">
        <v>3</v>
      </c>
      <c r="J48" s="433">
        <v>7.3240260783149005E-2</v>
      </c>
      <c r="K48" s="433" t="s">
        <v>13535</v>
      </c>
      <c r="L48" s="433" t="s">
        <v>13535</v>
      </c>
      <c r="M48" s="433" t="s">
        <v>13535</v>
      </c>
      <c r="N48" s="433" t="s">
        <v>13535</v>
      </c>
      <c r="O48" s="433" t="s">
        <v>13535</v>
      </c>
      <c r="P48" s="433" t="s">
        <v>13535</v>
      </c>
      <c r="Q48" s="433" t="s">
        <v>13535</v>
      </c>
      <c r="R48" s="433" t="s">
        <v>13535</v>
      </c>
      <c r="S48" s="433" t="s">
        <v>13535</v>
      </c>
      <c r="T48" s="433" t="s">
        <v>13535</v>
      </c>
      <c r="U48" s="433" t="s">
        <v>13535</v>
      </c>
      <c r="V48" s="433" t="s">
        <v>13535</v>
      </c>
      <c r="W48" s="433" t="s">
        <v>13535</v>
      </c>
      <c r="X48" s="433" t="s">
        <v>13535</v>
      </c>
      <c r="Y48" s="433" t="s">
        <v>13535</v>
      </c>
      <c r="Z48" s="433" t="s">
        <v>13535</v>
      </c>
      <c r="AA48" s="433" t="s">
        <v>13535</v>
      </c>
      <c r="AB48" s="433" t="s">
        <v>13535</v>
      </c>
      <c r="AC48" s="433" t="s">
        <v>13535</v>
      </c>
      <c r="AD48" s="433" t="s">
        <v>13535</v>
      </c>
      <c r="AE48" s="433" t="s">
        <v>13535</v>
      </c>
      <c r="AF48" s="433" t="s">
        <v>13535</v>
      </c>
      <c r="AG48" s="433" t="s">
        <v>13535</v>
      </c>
      <c r="AH48" s="433" t="s">
        <v>13535</v>
      </c>
      <c r="AI48" s="433" t="s">
        <v>13535</v>
      </c>
      <c r="AJ48" s="433" t="s">
        <v>13535</v>
      </c>
      <c r="AK48" s="433" t="s">
        <v>13535</v>
      </c>
      <c r="AL48" s="433" t="s">
        <v>13535</v>
      </c>
      <c r="AM48" s="433" t="s">
        <v>13535</v>
      </c>
      <c r="AN48" s="433" t="s">
        <v>13535</v>
      </c>
      <c r="AO48" s="433" t="s">
        <v>13535</v>
      </c>
      <c r="AP48" s="433" t="s">
        <v>13535</v>
      </c>
    </row>
    <row r="49" spans="2:42" s="387" customFormat="1">
      <c r="B49" s="387" t="s">
        <v>13540</v>
      </c>
      <c r="C49" s="387" t="s">
        <v>13523</v>
      </c>
      <c r="D49" s="387" t="s">
        <v>334</v>
      </c>
      <c r="E49" s="387" t="s">
        <v>13543</v>
      </c>
      <c r="F49" s="387" t="s">
        <v>334</v>
      </c>
      <c r="G49" s="387" t="s">
        <v>334</v>
      </c>
      <c r="H49" s="387" t="s">
        <v>334</v>
      </c>
      <c r="I49" s="1359">
        <v>0</v>
      </c>
      <c r="J49" s="985">
        <v>3.5000000000000003E-2</v>
      </c>
      <c r="K49" s="985" t="s">
        <v>13535</v>
      </c>
      <c r="L49" s="985" t="s">
        <v>13535</v>
      </c>
      <c r="M49" s="985" t="s">
        <v>13535</v>
      </c>
      <c r="N49" s="985" t="s">
        <v>13535</v>
      </c>
      <c r="O49" s="985" t="s">
        <v>13535</v>
      </c>
      <c r="P49" s="985" t="s">
        <v>13535</v>
      </c>
      <c r="Q49" s="985" t="s">
        <v>13535</v>
      </c>
      <c r="R49" s="985" t="s">
        <v>13535</v>
      </c>
      <c r="S49" s="985" t="s">
        <v>13535</v>
      </c>
      <c r="T49" s="985" t="s">
        <v>13535</v>
      </c>
      <c r="U49" s="985" t="s">
        <v>13535</v>
      </c>
      <c r="V49" s="985" t="s">
        <v>13535</v>
      </c>
      <c r="W49" s="985" t="s">
        <v>13535</v>
      </c>
      <c r="X49" s="985" t="s">
        <v>13535</v>
      </c>
      <c r="Y49" s="985" t="s">
        <v>13535</v>
      </c>
      <c r="Z49" s="985" t="s">
        <v>13535</v>
      </c>
      <c r="AA49" s="985" t="s">
        <v>13535</v>
      </c>
      <c r="AB49" s="985" t="s">
        <v>13535</v>
      </c>
      <c r="AC49" s="985" t="s">
        <v>13535</v>
      </c>
      <c r="AD49" s="985" t="s">
        <v>13535</v>
      </c>
      <c r="AE49" s="985" t="s">
        <v>13535</v>
      </c>
      <c r="AF49" s="985" t="s">
        <v>13535</v>
      </c>
      <c r="AG49" s="985" t="s">
        <v>13535</v>
      </c>
      <c r="AH49" s="985" t="s">
        <v>13535</v>
      </c>
      <c r="AI49" s="985" t="s">
        <v>13535</v>
      </c>
      <c r="AJ49" s="985" t="s">
        <v>13535</v>
      </c>
      <c r="AK49" s="985" t="s">
        <v>13535</v>
      </c>
      <c r="AL49" s="985" t="s">
        <v>13535</v>
      </c>
      <c r="AM49" s="985" t="s">
        <v>13535</v>
      </c>
      <c r="AN49" s="985" t="s">
        <v>13535</v>
      </c>
      <c r="AO49" s="985" t="s">
        <v>13535</v>
      </c>
      <c r="AP49" s="985" t="s">
        <v>13535</v>
      </c>
    </row>
    <row r="50" spans="2:42">
      <c r="B50" s="430" t="s">
        <v>332</v>
      </c>
      <c r="C50" s="430" t="s">
        <v>13521</v>
      </c>
      <c r="D50" s="430" t="s">
        <v>334</v>
      </c>
      <c r="E50" s="430" t="s">
        <v>334</v>
      </c>
      <c r="F50" s="430" t="s">
        <v>334</v>
      </c>
      <c r="G50" s="430" t="s">
        <v>334</v>
      </c>
      <c r="H50" s="430" t="s">
        <v>334</v>
      </c>
      <c r="I50" s="503">
        <v>0</v>
      </c>
      <c r="J50" s="433">
        <v>26.620616731773399</v>
      </c>
      <c r="K50" s="433" t="s">
        <v>13535</v>
      </c>
      <c r="L50" s="433" t="s">
        <v>13535</v>
      </c>
      <c r="M50" s="433" t="s">
        <v>13535</v>
      </c>
      <c r="N50" s="433" t="s">
        <v>13535</v>
      </c>
      <c r="O50" s="433" t="s">
        <v>13535</v>
      </c>
      <c r="P50" s="433" t="s">
        <v>13535</v>
      </c>
      <c r="Q50" s="433" t="s">
        <v>13535</v>
      </c>
      <c r="R50" s="433" t="s">
        <v>13535</v>
      </c>
      <c r="S50" s="433" t="s">
        <v>13535</v>
      </c>
      <c r="T50" s="433" t="s">
        <v>13535</v>
      </c>
      <c r="U50" s="433" t="s">
        <v>13535</v>
      </c>
      <c r="V50" s="433" t="s">
        <v>13535</v>
      </c>
      <c r="W50" s="433" t="s">
        <v>13535</v>
      </c>
      <c r="X50" s="433" t="s">
        <v>13535</v>
      </c>
      <c r="Y50" s="433" t="s">
        <v>13535</v>
      </c>
      <c r="Z50" s="433" t="s">
        <v>13535</v>
      </c>
      <c r="AA50" s="433" t="s">
        <v>13535</v>
      </c>
      <c r="AB50" s="433" t="s">
        <v>13535</v>
      </c>
      <c r="AC50" s="433" t="s">
        <v>13535</v>
      </c>
      <c r="AD50" s="433" t="s">
        <v>13535</v>
      </c>
      <c r="AE50" s="433" t="s">
        <v>13535</v>
      </c>
      <c r="AF50" s="433" t="s">
        <v>13535</v>
      </c>
      <c r="AG50" s="433" t="s">
        <v>13535</v>
      </c>
      <c r="AH50" s="433" t="s">
        <v>13535</v>
      </c>
      <c r="AI50" s="433" t="s">
        <v>13535</v>
      </c>
      <c r="AJ50" s="433" t="s">
        <v>13535</v>
      </c>
      <c r="AK50" s="433" t="s">
        <v>13535</v>
      </c>
      <c r="AL50" s="433" t="s">
        <v>13535</v>
      </c>
      <c r="AM50" s="433" t="s">
        <v>13535</v>
      </c>
      <c r="AN50" s="433" t="s">
        <v>13535</v>
      </c>
      <c r="AO50" s="433" t="s">
        <v>13535</v>
      </c>
      <c r="AP50" s="433" t="s">
        <v>13535</v>
      </c>
    </row>
    <row r="51" spans="2:42">
      <c r="B51" s="430" t="s">
        <v>602</v>
      </c>
      <c r="C51" s="430" t="s">
        <v>13521</v>
      </c>
      <c r="D51" s="430" t="s">
        <v>334</v>
      </c>
      <c r="E51" s="430" t="s">
        <v>334</v>
      </c>
      <c r="F51" s="430" t="s">
        <v>334</v>
      </c>
      <c r="G51" s="430" t="s">
        <v>334</v>
      </c>
      <c r="H51" s="430" t="s">
        <v>338</v>
      </c>
      <c r="I51" s="503">
        <v>0</v>
      </c>
      <c r="J51" s="433">
        <v>0.96</v>
      </c>
      <c r="K51" s="433" t="s">
        <v>13535</v>
      </c>
      <c r="L51" s="433" t="s">
        <v>13535</v>
      </c>
      <c r="M51" s="433" t="s">
        <v>13535</v>
      </c>
      <c r="N51" s="433" t="s">
        <v>13535</v>
      </c>
      <c r="O51" s="433" t="s">
        <v>13535</v>
      </c>
      <c r="P51" s="433" t="s">
        <v>13535</v>
      </c>
      <c r="Q51" s="433" t="s">
        <v>13535</v>
      </c>
      <c r="R51" s="433" t="s">
        <v>13535</v>
      </c>
      <c r="S51" s="433" t="s">
        <v>13535</v>
      </c>
      <c r="T51" s="433" t="s">
        <v>13535</v>
      </c>
      <c r="U51" s="433" t="s">
        <v>13535</v>
      </c>
      <c r="V51" s="433" t="s">
        <v>13535</v>
      </c>
      <c r="W51" s="433" t="s">
        <v>13535</v>
      </c>
      <c r="X51" s="433" t="s">
        <v>13535</v>
      </c>
      <c r="Y51" s="433" t="s">
        <v>13535</v>
      </c>
      <c r="Z51" s="433" t="s">
        <v>13535</v>
      </c>
      <c r="AA51" s="433" t="s">
        <v>13535</v>
      </c>
      <c r="AB51" s="433" t="s">
        <v>13535</v>
      </c>
      <c r="AC51" s="433" t="s">
        <v>13535</v>
      </c>
      <c r="AD51" s="433" t="s">
        <v>13535</v>
      </c>
      <c r="AE51" s="433" t="s">
        <v>13535</v>
      </c>
      <c r="AF51" s="433" t="s">
        <v>13535</v>
      </c>
      <c r="AG51" s="433" t="s">
        <v>13535</v>
      </c>
      <c r="AH51" s="433" t="s">
        <v>13535</v>
      </c>
      <c r="AI51" s="433" t="s">
        <v>13535</v>
      </c>
      <c r="AJ51" s="433" t="s">
        <v>13535</v>
      </c>
      <c r="AK51" s="433" t="s">
        <v>13535</v>
      </c>
      <c r="AL51" s="433" t="s">
        <v>13535</v>
      </c>
      <c r="AM51" s="433" t="s">
        <v>13535</v>
      </c>
      <c r="AN51" s="433" t="s">
        <v>13535</v>
      </c>
      <c r="AO51" s="433" t="s">
        <v>13535</v>
      </c>
      <c r="AP51" s="433" t="s">
        <v>13535</v>
      </c>
    </row>
    <row r="52" spans="2:42">
      <c r="B52" s="430" t="s">
        <v>850</v>
      </c>
      <c r="C52" s="430" t="s">
        <v>13521</v>
      </c>
      <c r="D52" s="430" t="s">
        <v>334</v>
      </c>
      <c r="E52" s="430" t="s">
        <v>334</v>
      </c>
      <c r="F52" s="430" t="s">
        <v>334</v>
      </c>
      <c r="G52" s="430" t="s">
        <v>334</v>
      </c>
      <c r="H52" s="430" t="s">
        <v>338</v>
      </c>
      <c r="I52" s="503">
        <v>3</v>
      </c>
      <c r="J52" s="433">
        <v>246.27843084018701</v>
      </c>
      <c r="K52" s="433" t="s">
        <v>13535</v>
      </c>
      <c r="L52" s="433" t="s">
        <v>13535</v>
      </c>
      <c r="M52" s="433" t="s">
        <v>13535</v>
      </c>
      <c r="N52" s="433" t="s">
        <v>13535</v>
      </c>
      <c r="O52" s="433" t="s">
        <v>13535</v>
      </c>
      <c r="P52" s="433" t="s">
        <v>13535</v>
      </c>
      <c r="Q52" s="433" t="s">
        <v>13535</v>
      </c>
      <c r="R52" s="433" t="s">
        <v>13535</v>
      </c>
      <c r="S52" s="433" t="s">
        <v>13535</v>
      </c>
      <c r="T52" s="433" t="s">
        <v>13535</v>
      </c>
      <c r="U52" s="433" t="s">
        <v>13535</v>
      </c>
      <c r="V52" s="433" t="s">
        <v>13535</v>
      </c>
      <c r="W52" s="433" t="s">
        <v>13535</v>
      </c>
      <c r="X52" s="433" t="s">
        <v>13535</v>
      </c>
      <c r="Y52" s="433" t="s">
        <v>13535</v>
      </c>
      <c r="Z52" s="433" t="s">
        <v>13535</v>
      </c>
      <c r="AA52" s="433" t="s">
        <v>13535</v>
      </c>
      <c r="AB52" s="433" t="s">
        <v>13535</v>
      </c>
      <c r="AC52" s="433" t="s">
        <v>13535</v>
      </c>
      <c r="AD52" s="433" t="s">
        <v>13535</v>
      </c>
      <c r="AE52" s="433" t="s">
        <v>13535</v>
      </c>
      <c r="AF52" s="433" t="s">
        <v>13535</v>
      </c>
      <c r="AG52" s="433" t="s">
        <v>13535</v>
      </c>
      <c r="AH52" s="433" t="s">
        <v>13535</v>
      </c>
      <c r="AI52" s="433" t="s">
        <v>13535</v>
      </c>
      <c r="AJ52" s="433" t="s">
        <v>13535</v>
      </c>
      <c r="AK52" s="433" t="s">
        <v>13535</v>
      </c>
      <c r="AL52" s="433" t="s">
        <v>13535</v>
      </c>
      <c r="AM52" s="433" t="s">
        <v>13535</v>
      </c>
      <c r="AN52" s="433" t="s">
        <v>13535</v>
      </c>
      <c r="AO52" s="433" t="s">
        <v>13535</v>
      </c>
      <c r="AP52" s="433" t="s">
        <v>13535</v>
      </c>
    </row>
    <row r="53" spans="2:42">
      <c r="B53" s="430" t="s">
        <v>839</v>
      </c>
      <c r="C53" s="430" t="s">
        <v>13521</v>
      </c>
      <c r="D53" s="430" t="s">
        <v>334</v>
      </c>
      <c r="E53" s="430" t="s">
        <v>334</v>
      </c>
      <c r="F53" s="430" t="s">
        <v>334</v>
      </c>
      <c r="G53" s="430" t="s">
        <v>334</v>
      </c>
      <c r="H53" s="430" t="s">
        <v>334</v>
      </c>
      <c r="I53" s="503">
        <v>0</v>
      </c>
      <c r="J53" s="433">
        <v>447.68</v>
      </c>
      <c r="K53" s="433" t="s">
        <v>13535</v>
      </c>
      <c r="L53" s="433" t="s">
        <v>13535</v>
      </c>
      <c r="M53" s="433" t="s">
        <v>13535</v>
      </c>
      <c r="N53" s="433" t="s">
        <v>13535</v>
      </c>
      <c r="O53" s="433" t="s">
        <v>13535</v>
      </c>
      <c r="P53" s="433" t="s">
        <v>13535</v>
      </c>
      <c r="Q53" s="433" t="s">
        <v>13535</v>
      </c>
      <c r="R53" s="433" t="s">
        <v>13535</v>
      </c>
      <c r="S53" s="433" t="s">
        <v>13535</v>
      </c>
      <c r="T53" s="433" t="s">
        <v>13535</v>
      </c>
      <c r="U53" s="433" t="s">
        <v>13535</v>
      </c>
      <c r="V53" s="433" t="s">
        <v>13535</v>
      </c>
      <c r="W53" s="433" t="s">
        <v>13535</v>
      </c>
      <c r="X53" s="433" t="s">
        <v>13535</v>
      </c>
      <c r="Y53" s="433" t="s">
        <v>13535</v>
      </c>
      <c r="Z53" s="433" t="s">
        <v>13535</v>
      </c>
      <c r="AA53" s="433" t="s">
        <v>13535</v>
      </c>
      <c r="AB53" s="433" t="s">
        <v>13535</v>
      </c>
      <c r="AC53" s="433" t="s">
        <v>13535</v>
      </c>
      <c r="AD53" s="433" t="s">
        <v>13535</v>
      </c>
      <c r="AE53" s="433" t="s">
        <v>13535</v>
      </c>
      <c r="AF53" s="433" t="s">
        <v>13535</v>
      </c>
      <c r="AG53" s="433" t="s">
        <v>13535</v>
      </c>
      <c r="AH53" s="433" t="s">
        <v>13535</v>
      </c>
      <c r="AI53" s="433" t="s">
        <v>13535</v>
      </c>
      <c r="AJ53" s="433" t="s">
        <v>13535</v>
      </c>
      <c r="AK53" s="433" t="s">
        <v>13535</v>
      </c>
      <c r="AL53" s="433" t="s">
        <v>13535</v>
      </c>
      <c r="AM53" s="433" t="s">
        <v>13535</v>
      </c>
      <c r="AN53" s="433" t="s">
        <v>13535</v>
      </c>
      <c r="AO53" s="433" t="s">
        <v>13535</v>
      </c>
      <c r="AP53" s="433" t="s">
        <v>13535</v>
      </c>
    </row>
    <row r="54" spans="2:42">
      <c r="B54" s="430" t="s">
        <v>849</v>
      </c>
      <c r="C54" s="430" t="s">
        <v>13521</v>
      </c>
      <c r="D54" s="430" t="s">
        <v>334</v>
      </c>
      <c r="E54" s="430" t="s">
        <v>334</v>
      </c>
      <c r="F54" s="430" t="s">
        <v>334</v>
      </c>
      <c r="G54" s="430" t="s">
        <v>334</v>
      </c>
      <c r="H54" s="430" t="s">
        <v>334</v>
      </c>
      <c r="I54" s="503">
        <v>0</v>
      </c>
      <c r="J54" s="433">
        <v>0.20899999999999999</v>
      </c>
      <c r="K54" s="433" t="s">
        <v>13535</v>
      </c>
      <c r="L54" s="433" t="s">
        <v>13535</v>
      </c>
      <c r="M54" s="433" t="s">
        <v>13535</v>
      </c>
      <c r="N54" s="433" t="s">
        <v>13535</v>
      </c>
      <c r="O54" s="433" t="s">
        <v>13535</v>
      </c>
      <c r="P54" s="433" t="s">
        <v>13535</v>
      </c>
      <c r="Q54" s="433" t="s">
        <v>13535</v>
      </c>
      <c r="R54" s="433" t="s">
        <v>13535</v>
      </c>
      <c r="S54" s="433" t="s">
        <v>13535</v>
      </c>
      <c r="T54" s="433" t="s">
        <v>13535</v>
      </c>
      <c r="U54" s="433" t="s">
        <v>13535</v>
      </c>
      <c r="V54" s="433" t="s">
        <v>13535</v>
      </c>
      <c r="W54" s="433" t="s">
        <v>13535</v>
      </c>
      <c r="X54" s="433" t="s">
        <v>13535</v>
      </c>
      <c r="Y54" s="433" t="s">
        <v>13535</v>
      </c>
      <c r="Z54" s="433" t="s">
        <v>13535</v>
      </c>
      <c r="AA54" s="433" t="s">
        <v>13535</v>
      </c>
      <c r="AB54" s="433" t="s">
        <v>13535</v>
      </c>
      <c r="AC54" s="433" t="s">
        <v>13535</v>
      </c>
      <c r="AD54" s="433" t="s">
        <v>13535</v>
      </c>
      <c r="AE54" s="433" t="s">
        <v>13535</v>
      </c>
      <c r="AF54" s="433" t="s">
        <v>13535</v>
      </c>
      <c r="AG54" s="433" t="s">
        <v>13535</v>
      </c>
      <c r="AH54" s="433" t="s">
        <v>13535</v>
      </c>
      <c r="AI54" s="433" t="s">
        <v>13535</v>
      </c>
      <c r="AJ54" s="433" t="s">
        <v>13535</v>
      </c>
      <c r="AK54" s="433" t="s">
        <v>13535</v>
      </c>
      <c r="AL54" s="433" t="s">
        <v>13535</v>
      </c>
      <c r="AM54" s="433" t="s">
        <v>13535</v>
      </c>
      <c r="AN54" s="433" t="s">
        <v>13535</v>
      </c>
      <c r="AO54" s="433" t="s">
        <v>13535</v>
      </c>
      <c r="AP54" s="433" t="s">
        <v>13535</v>
      </c>
    </row>
    <row r="55" spans="2:42">
      <c r="B55" s="430" t="s">
        <v>1136</v>
      </c>
      <c r="C55" s="430" t="s">
        <v>13521</v>
      </c>
      <c r="D55" s="430" t="s">
        <v>334</v>
      </c>
      <c r="E55" s="430" t="s">
        <v>334</v>
      </c>
      <c r="F55" s="430" t="s">
        <v>334</v>
      </c>
      <c r="G55" s="430" t="s">
        <v>334</v>
      </c>
      <c r="H55" s="430" t="s">
        <v>334</v>
      </c>
      <c r="I55" s="503">
        <v>0</v>
      </c>
      <c r="J55" s="433">
        <v>-6</v>
      </c>
      <c r="K55" s="433" t="s">
        <v>13535</v>
      </c>
      <c r="L55" s="433" t="s">
        <v>13535</v>
      </c>
      <c r="M55" s="433" t="s">
        <v>13535</v>
      </c>
      <c r="N55" s="433" t="s">
        <v>13535</v>
      </c>
      <c r="O55" s="433" t="s">
        <v>13535</v>
      </c>
      <c r="P55" s="433" t="s">
        <v>13535</v>
      </c>
      <c r="Q55" s="433" t="s">
        <v>13535</v>
      </c>
      <c r="R55" s="433" t="s">
        <v>13535</v>
      </c>
      <c r="S55" s="433" t="s">
        <v>13535</v>
      </c>
      <c r="T55" s="433" t="s">
        <v>13535</v>
      </c>
      <c r="U55" s="433" t="s">
        <v>13535</v>
      </c>
      <c r="V55" s="433" t="s">
        <v>13535</v>
      </c>
      <c r="W55" s="433" t="s">
        <v>13535</v>
      </c>
      <c r="X55" s="433" t="s">
        <v>13535</v>
      </c>
      <c r="Y55" s="433" t="s">
        <v>13535</v>
      </c>
      <c r="Z55" s="433" t="s">
        <v>13535</v>
      </c>
      <c r="AA55" s="433" t="s">
        <v>13535</v>
      </c>
      <c r="AB55" s="433" t="s">
        <v>13535</v>
      </c>
      <c r="AC55" s="433" t="s">
        <v>13535</v>
      </c>
      <c r="AD55" s="433" t="s">
        <v>13535</v>
      </c>
      <c r="AE55" s="433" t="s">
        <v>13535</v>
      </c>
      <c r="AF55" s="433" t="s">
        <v>13535</v>
      </c>
      <c r="AG55" s="433" t="s">
        <v>13535</v>
      </c>
      <c r="AH55" s="433" t="s">
        <v>13535</v>
      </c>
      <c r="AI55" s="433" t="s">
        <v>13535</v>
      </c>
      <c r="AJ55" s="433" t="s">
        <v>13535</v>
      </c>
      <c r="AK55" s="433" t="s">
        <v>13535</v>
      </c>
      <c r="AL55" s="433" t="s">
        <v>13535</v>
      </c>
      <c r="AM55" s="433" t="s">
        <v>13535</v>
      </c>
      <c r="AN55" s="433" t="s">
        <v>13535</v>
      </c>
      <c r="AO55" s="433" t="s">
        <v>13535</v>
      </c>
      <c r="AP55" s="433" t="s">
        <v>13535</v>
      </c>
    </row>
    <row r="56" spans="2:42">
      <c r="B56" s="430" t="s">
        <v>861</v>
      </c>
      <c r="C56" s="430" t="s">
        <v>13521</v>
      </c>
      <c r="D56" s="430" t="s">
        <v>334</v>
      </c>
      <c r="E56" s="430" t="s">
        <v>334</v>
      </c>
      <c r="F56" s="430" t="s">
        <v>334</v>
      </c>
      <c r="G56" s="430" t="s">
        <v>334</v>
      </c>
      <c r="H56" s="430" t="s">
        <v>334</v>
      </c>
      <c r="I56" s="503">
        <v>0</v>
      </c>
      <c r="J56" s="433">
        <v>50</v>
      </c>
      <c r="K56" s="433" t="s">
        <v>13535</v>
      </c>
      <c r="L56" s="433" t="s">
        <v>13535</v>
      </c>
      <c r="M56" s="433" t="s">
        <v>13535</v>
      </c>
      <c r="N56" s="433" t="s">
        <v>13535</v>
      </c>
      <c r="O56" s="433" t="s">
        <v>13535</v>
      </c>
      <c r="P56" s="433" t="s">
        <v>13535</v>
      </c>
      <c r="Q56" s="433" t="s">
        <v>13535</v>
      </c>
      <c r="R56" s="433" t="s">
        <v>13535</v>
      </c>
      <c r="S56" s="433" t="s">
        <v>13535</v>
      </c>
      <c r="T56" s="433" t="s">
        <v>13535</v>
      </c>
      <c r="U56" s="433" t="s">
        <v>13535</v>
      </c>
      <c r="V56" s="433" t="s">
        <v>13535</v>
      </c>
      <c r="W56" s="433" t="s">
        <v>13535</v>
      </c>
      <c r="X56" s="433" t="s">
        <v>13535</v>
      </c>
      <c r="Y56" s="433" t="s">
        <v>13535</v>
      </c>
      <c r="Z56" s="433" t="s">
        <v>13535</v>
      </c>
      <c r="AA56" s="433" t="s">
        <v>13535</v>
      </c>
      <c r="AB56" s="433" t="s">
        <v>13535</v>
      </c>
      <c r="AC56" s="433" t="s">
        <v>13535</v>
      </c>
      <c r="AD56" s="433" t="s">
        <v>13535</v>
      </c>
      <c r="AE56" s="433" t="s">
        <v>13535</v>
      </c>
      <c r="AF56" s="433" t="s">
        <v>13535</v>
      </c>
      <c r="AG56" s="433" t="s">
        <v>13535</v>
      </c>
      <c r="AH56" s="433" t="s">
        <v>13535</v>
      </c>
      <c r="AI56" s="433" t="s">
        <v>13535</v>
      </c>
      <c r="AJ56" s="433" t="s">
        <v>13535</v>
      </c>
      <c r="AK56" s="433" t="s">
        <v>13535</v>
      </c>
      <c r="AL56" s="433" t="s">
        <v>13535</v>
      </c>
      <c r="AM56" s="433" t="s">
        <v>13535</v>
      </c>
      <c r="AN56" s="433" t="s">
        <v>13535</v>
      </c>
      <c r="AO56" s="433" t="s">
        <v>13535</v>
      </c>
      <c r="AP56" s="433" t="s">
        <v>13535</v>
      </c>
    </row>
    <row r="57" spans="2:42">
      <c r="B57" s="430" t="s">
        <v>851</v>
      </c>
      <c r="C57" s="430" t="s">
        <v>13521</v>
      </c>
      <c r="D57" s="430" t="s">
        <v>334</v>
      </c>
      <c r="E57" s="430" t="s">
        <v>13497</v>
      </c>
      <c r="F57" s="430" t="s">
        <v>13499</v>
      </c>
      <c r="G57" s="430" t="s">
        <v>337</v>
      </c>
      <c r="H57" s="430" t="s">
        <v>334</v>
      </c>
      <c r="I57" s="503">
        <v>0</v>
      </c>
      <c r="J57" s="433">
        <v>0.36937747818587902</v>
      </c>
      <c r="K57" s="433" t="s">
        <v>13535</v>
      </c>
      <c r="L57" s="433" t="s">
        <v>13535</v>
      </c>
      <c r="M57" s="433" t="s">
        <v>13535</v>
      </c>
      <c r="N57" s="433" t="s">
        <v>13535</v>
      </c>
      <c r="O57" s="433" t="s">
        <v>13535</v>
      </c>
      <c r="P57" s="433" t="s">
        <v>13535</v>
      </c>
      <c r="Q57" s="433" t="s">
        <v>13535</v>
      </c>
      <c r="R57" s="433" t="s">
        <v>13535</v>
      </c>
      <c r="S57" s="433" t="s">
        <v>13535</v>
      </c>
      <c r="T57" s="433" t="s">
        <v>13535</v>
      </c>
      <c r="U57" s="433" t="s">
        <v>13535</v>
      </c>
      <c r="V57" s="433" t="s">
        <v>13535</v>
      </c>
      <c r="W57" s="433" t="s">
        <v>13535</v>
      </c>
      <c r="X57" s="433" t="s">
        <v>13535</v>
      </c>
      <c r="Y57" s="433" t="s">
        <v>13535</v>
      </c>
      <c r="Z57" s="433" t="s">
        <v>13535</v>
      </c>
      <c r="AA57" s="433" t="s">
        <v>13535</v>
      </c>
      <c r="AB57" s="433" t="s">
        <v>13535</v>
      </c>
      <c r="AC57" s="433" t="s">
        <v>13535</v>
      </c>
      <c r="AD57" s="433" t="s">
        <v>13535</v>
      </c>
      <c r="AE57" s="433" t="s">
        <v>13535</v>
      </c>
      <c r="AF57" s="433" t="s">
        <v>13535</v>
      </c>
      <c r="AG57" s="433" t="s">
        <v>13535</v>
      </c>
      <c r="AH57" s="433" t="s">
        <v>13535</v>
      </c>
      <c r="AI57" s="433" t="s">
        <v>13535</v>
      </c>
      <c r="AJ57" s="433" t="s">
        <v>13535</v>
      </c>
      <c r="AK57" s="433" t="s">
        <v>13535</v>
      </c>
      <c r="AL57" s="433" t="s">
        <v>13535</v>
      </c>
      <c r="AM57" s="433" t="s">
        <v>13535</v>
      </c>
      <c r="AN57" s="433" t="s">
        <v>13535</v>
      </c>
      <c r="AO57" s="433" t="s">
        <v>13535</v>
      </c>
      <c r="AP57" s="433" t="s">
        <v>13535</v>
      </c>
    </row>
    <row r="58" spans="2:42">
      <c r="B58" s="430" t="s">
        <v>855</v>
      </c>
      <c r="C58" s="430" t="s">
        <v>13521</v>
      </c>
      <c r="D58" s="430" t="s">
        <v>13517</v>
      </c>
      <c r="E58" s="430" t="s">
        <v>13497</v>
      </c>
      <c r="F58" s="430" t="s">
        <v>334</v>
      </c>
      <c r="G58" s="430" t="s">
        <v>337</v>
      </c>
      <c r="H58" s="430" t="s">
        <v>856</v>
      </c>
      <c r="I58" s="503">
        <v>3</v>
      </c>
      <c r="J58" s="433">
        <v>0.75055526301578401</v>
      </c>
      <c r="K58" s="433" t="s">
        <v>13535</v>
      </c>
      <c r="L58" s="433" t="s">
        <v>13535</v>
      </c>
      <c r="M58" s="433" t="s">
        <v>13535</v>
      </c>
      <c r="N58" s="433" t="s">
        <v>13535</v>
      </c>
      <c r="O58" s="433" t="s">
        <v>13535</v>
      </c>
      <c r="P58" s="433" t="s">
        <v>13535</v>
      </c>
      <c r="Q58" s="433" t="s">
        <v>13535</v>
      </c>
      <c r="R58" s="433" t="s">
        <v>13535</v>
      </c>
      <c r="S58" s="433" t="s">
        <v>13535</v>
      </c>
      <c r="T58" s="433" t="s">
        <v>13535</v>
      </c>
      <c r="U58" s="433" t="s">
        <v>13535</v>
      </c>
      <c r="V58" s="433" t="s">
        <v>13535</v>
      </c>
      <c r="W58" s="433" t="s">
        <v>13535</v>
      </c>
      <c r="X58" s="433" t="s">
        <v>13535</v>
      </c>
      <c r="Y58" s="433" t="s">
        <v>13535</v>
      </c>
      <c r="Z58" s="433" t="s">
        <v>13535</v>
      </c>
      <c r="AA58" s="433" t="s">
        <v>13535</v>
      </c>
      <c r="AB58" s="433" t="s">
        <v>13535</v>
      </c>
      <c r="AC58" s="433" t="s">
        <v>13535</v>
      </c>
      <c r="AD58" s="433" t="s">
        <v>13535</v>
      </c>
      <c r="AE58" s="433" t="s">
        <v>13535</v>
      </c>
      <c r="AF58" s="433" t="s">
        <v>13535</v>
      </c>
      <c r="AG58" s="433" t="s">
        <v>13535</v>
      </c>
      <c r="AH58" s="433" t="s">
        <v>13535</v>
      </c>
      <c r="AI58" s="433" t="s">
        <v>13535</v>
      </c>
      <c r="AJ58" s="433" t="s">
        <v>13535</v>
      </c>
      <c r="AK58" s="433" t="s">
        <v>13535</v>
      </c>
      <c r="AL58" s="433" t="s">
        <v>13535</v>
      </c>
      <c r="AM58" s="433" t="s">
        <v>13535</v>
      </c>
      <c r="AN58" s="433" t="s">
        <v>13535</v>
      </c>
      <c r="AO58" s="433" t="s">
        <v>13535</v>
      </c>
      <c r="AP58" s="433" t="s">
        <v>13535</v>
      </c>
    </row>
    <row r="59" spans="2:42">
      <c r="B59" s="430" t="s">
        <v>855</v>
      </c>
      <c r="C59" s="430" t="s">
        <v>13521</v>
      </c>
      <c r="D59" s="430" t="s">
        <v>13536</v>
      </c>
      <c r="E59" s="430" t="s">
        <v>13497</v>
      </c>
      <c r="F59" s="430" t="s">
        <v>334</v>
      </c>
      <c r="G59" s="430" t="s">
        <v>337</v>
      </c>
      <c r="H59" s="430" t="s">
        <v>856</v>
      </c>
      <c r="I59" s="503">
        <v>3</v>
      </c>
      <c r="J59" s="433">
        <v>4.6380305946303199E-2</v>
      </c>
      <c r="K59" s="433" t="s">
        <v>13535</v>
      </c>
      <c r="L59" s="433" t="s">
        <v>13535</v>
      </c>
      <c r="M59" s="433" t="s">
        <v>13535</v>
      </c>
      <c r="N59" s="433" t="s">
        <v>13535</v>
      </c>
      <c r="O59" s="433" t="s">
        <v>13535</v>
      </c>
      <c r="P59" s="433" t="s">
        <v>13535</v>
      </c>
      <c r="Q59" s="433" t="s">
        <v>13535</v>
      </c>
      <c r="R59" s="433" t="s">
        <v>13535</v>
      </c>
      <c r="S59" s="433" t="s">
        <v>13535</v>
      </c>
      <c r="T59" s="433" t="s">
        <v>13535</v>
      </c>
      <c r="U59" s="433" t="s">
        <v>13535</v>
      </c>
      <c r="V59" s="433" t="s">
        <v>13535</v>
      </c>
      <c r="W59" s="433" t="s">
        <v>13535</v>
      </c>
      <c r="X59" s="433" t="s">
        <v>13535</v>
      </c>
      <c r="Y59" s="433" t="s">
        <v>13535</v>
      </c>
      <c r="Z59" s="433" t="s">
        <v>13535</v>
      </c>
      <c r="AA59" s="433" t="s">
        <v>13535</v>
      </c>
      <c r="AB59" s="433" t="s">
        <v>13535</v>
      </c>
      <c r="AC59" s="433" t="s">
        <v>13535</v>
      </c>
      <c r="AD59" s="433" t="s">
        <v>13535</v>
      </c>
      <c r="AE59" s="433" t="s">
        <v>13535</v>
      </c>
      <c r="AF59" s="433" t="s">
        <v>13535</v>
      </c>
      <c r="AG59" s="433" t="s">
        <v>13535</v>
      </c>
      <c r="AH59" s="433" t="s">
        <v>13535</v>
      </c>
      <c r="AI59" s="433" t="s">
        <v>13535</v>
      </c>
      <c r="AJ59" s="433" t="s">
        <v>13535</v>
      </c>
      <c r="AK59" s="433" t="s">
        <v>13535</v>
      </c>
      <c r="AL59" s="433" t="s">
        <v>13535</v>
      </c>
      <c r="AM59" s="433" t="s">
        <v>13535</v>
      </c>
      <c r="AN59" s="433" t="s">
        <v>13535</v>
      </c>
      <c r="AO59" s="433" t="s">
        <v>13535</v>
      </c>
      <c r="AP59" s="433" t="s">
        <v>13535</v>
      </c>
    </row>
    <row r="60" spans="2:42">
      <c r="B60" s="430" t="s">
        <v>855</v>
      </c>
      <c r="C60" s="430" t="s">
        <v>13521</v>
      </c>
      <c r="D60" s="430" t="s">
        <v>1893</v>
      </c>
      <c r="E60" s="430" t="s">
        <v>13497</v>
      </c>
      <c r="F60" s="430" t="s">
        <v>334</v>
      </c>
      <c r="G60" s="430" t="s">
        <v>337</v>
      </c>
      <c r="H60" s="430" t="s">
        <v>856</v>
      </c>
      <c r="I60" s="503">
        <v>3</v>
      </c>
      <c r="J60" s="433">
        <v>2.6746802247811299E-2</v>
      </c>
      <c r="K60" s="433" t="s">
        <v>13535</v>
      </c>
      <c r="L60" s="433" t="s">
        <v>13535</v>
      </c>
      <c r="M60" s="433" t="s">
        <v>13535</v>
      </c>
      <c r="N60" s="433" t="s">
        <v>13535</v>
      </c>
      <c r="O60" s="433" t="s">
        <v>13535</v>
      </c>
      <c r="P60" s="433" t="s">
        <v>13535</v>
      </c>
      <c r="Q60" s="433" t="s">
        <v>13535</v>
      </c>
      <c r="R60" s="433" t="s">
        <v>13535</v>
      </c>
      <c r="S60" s="433" t="s">
        <v>13535</v>
      </c>
      <c r="T60" s="433" t="s">
        <v>13535</v>
      </c>
      <c r="U60" s="433" t="s">
        <v>13535</v>
      </c>
      <c r="V60" s="433" t="s">
        <v>13535</v>
      </c>
      <c r="W60" s="433" t="s">
        <v>13535</v>
      </c>
      <c r="X60" s="433" t="s">
        <v>13535</v>
      </c>
      <c r="Y60" s="433" t="s">
        <v>13535</v>
      </c>
      <c r="Z60" s="433" t="s">
        <v>13535</v>
      </c>
      <c r="AA60" s="433" t="s">
        <v>13535</v>
      </c>
      <c r="AB60" s="433" t="s">
        <v>13535</v>
      </c>
      <c r="AC60" s="433" t="s">
        <v>13535</v>
      </c>
      <c r="AD60" s="433" t="s">
        <v>13535</v>
      </c>
      <c r="AE60" s="433" t="s">
        <v>13535</v>
      </c>
      <c r="AF60" s="433" t="s">
        <v>13535</v>
      </c>
      <c r="AG60" s="433" t="s">
        <v>13535</v>
      </c>
      <c r="AH60" s="433" t="s">
        <v>13535</v>
      </c>
      <c r="AI60" s="433" t="s">
        <v>13535</v>
      </c>
      <c r="AJ60" s="433" t="s">
        <v>13535</v>
      </c>
      <c r="AK60" s="433" t="s">
        <v>13535</v>
      </c>
      <c r="AL60" s="433" t="s">
        <v>13535</v>
      </c>
      <c r="AM60" s="433" t="s">
        <v>13535</v>
      </c>
      <c r="AN60" s="433" t="s">
        <v>13535</v>
      </c>
      <c r="AO60" s="433" t="s">
        <v>13535</v>
      </c>
      <c r="AP60" s="433" t="s">
        <v>13535</v>
      </c>
    </row>
    <row r="61" spans="2:42">
      <c r="B61" s="430" t="s">
        <v>855</v>
      </c>
      <c r="C61" s="430" t="s">
        <v>13521</v>
      </c>
      <c r="D61" s="430" t="s">
        <v>13537</v>
      </c>
      <c r="E61" s="430" t="s">
        <v>13497</v>
      </c>
      <c r="F61" s="430" t="s">
        <v>334</v>
      </c>
      <c r="G61" s="430" t="s">
        <v>337</v>
      </c>
      <c r="H61" s="430" t="s">
        <v>856</v>
      </c>
      <c r="I61" s="503">
        <v>3</v>
      </c>
      <c r="J61" s="433">
        <v>0.17631762879010099</v>
      </c>
      <c r="K61" s="433" t="s">
        <v>13535</v>
      </c>
      <c r="L61" s="433" t="s">
        <v>13535</v>
      </c>
      <c r="M61" s="433" t="s">
        <v>13535</v>
      </c>
      <c r="N61" s="433" t="s">
        <v>13535</v>
      </c>
      <c r="O61" s="433" t="s">
        <v>13535</v>
      </c>
      <c r="P61" s="433" t="s">
        <v>13535</v>
      </c>
      <c r="Q61" s="433" t="s">
        <v>13535</v>
      </c>
      <c r="R61" s="433" t="s">
        <v>13535</v>
      </c>
      <c r="S61" s="433" t="s">
        <v>13535</v>
      </c>
      <c r="T61" s="433" t="s">
        <v>13535</v>
      </c>
      <c r="U61" s="433" t="s">
        <v>13535</v>
      </c>
      <c r="V61" s="433" t="s">
        <v>13535</v>
      </c>
      <c r="W61" s="433" t="s">
        <v>13535</v>
      </c>
      <c r="X61" s="433" t="s">
        <v>13535</v>
      </c>
      <c r="Y61" s="433" t="s">
        <v>13535</v>
      </c>
      <c r="Z61" s="433" t="s">
        <v>13535</v>
      </c>
      <c r="AA61" s="433" t="s">
        <v>13535</v>
      </c>
      <c r="AB61" s="433" t="s">
        <v>13535</v>
      </c>
      <c r="AC61" s="433" t="s">
        <v>13535</v>
      </c>
      <c r="AD61" s="433" t="s">
        <v>13535</v>
      </c>
      <c r="AE61" s="433" t="s">
        <v>13535</v>
      </c>
      <c r="AF61" s="433" t="s">
        <v>13535</v>
      </c>
      <c r="AG61" s="433" t="s">
        <v>13535</v>
      </c>
      <c r="AH61" s="433" t="s">
        <v>13535</v>
      </c>
      <c r="AI61" s="433" t="s">
        <v>13535</v>
      </c>
      <c r="AJ61" s="433" t="s">
        <v>13535</v>
      </c>
      <c r="AK61" s="433" t="s">
        <v>13535</v>
      </c>
      <c r="AL61" s="433" t="s">
        <v>13535</v>
      </c>
      <c r="AM61" s="433" t="s">
        <v>13535</v>
      </c>
      <c r="AN61" s="433" t="s">
        <v>13535</v>
      </c>
      <c r="AO61" s="433" t="s">
        <v>13535</v>
      </c>
      <c r="AP61" s="433" t="s">
        <v>13535</v>
      </c>
    </row>
    <row r="62" spans="2:42">
      <c r="B62" s="430" t="s">
        <v>357</v>
      </c>
      <c r="C62" s="430" t="s">
        <v>13521</v>
      </c>
      <c r="D62" s="430" t="str">
        <f>D40</f>
        <v>CH4SF</v>
      </c>
      <c r="E62" s="430" t="s">
        <v>13499</v>
      </c>
      <c r="F62" s="430" t="s">
        <v>334</v>
      </c>
      <c r="G62" s="430" t="s">
        <v>337</v>
      </c>
      <c r="H62" s="430" t="s">
        <v>334</v>
      </c>
      <c r="I62" s="503">
        <v>0</v>
      </c>
      <c r="J62" s="433">
        <v>1.4934527846330401</v>
      </c>
      <c r="K62" s="433" t="s">
        <v>13535</v>
      </c>
      <c r="L62" s="433" t="s">
        <v>13535</v>
      </c>
      <c r="M62" s="433" t="s">
        <v>13535</v>
      </c>
      <c r="N62" s="433" t="s">
        <v>13535</v>
      </c>
      <c r="O62" s="433" t="s">
        <v>13535</v>
      </c>
      <c r="P62" s="433" t="s">
        <v>13535</v>
      </c>
      <c r="Q62" s="433" t="s">
        <v>13535</v>
      </c>
      <c r="R62" s="433" t="s">
        <v>13535</v>
      </c>
      <c r="S62" s="433" t="s">
        <v>13535</v>
      </c>
      <c r="T62" s="433" t="s">
        <v>13535</v>
      </c>
      <c r="U62" s="433" t="s">
        <v>13535</v>
      </c>
      <c r="V62" s="433" t="s">
        <v>13535</v>
      </c>
      <c r="W62" s="433" t="s">
        <v>13535</v>
      </c>
      <c r="X62" s="433" t="s">
        <v>13535</v>
      </c>
      <c r="Y62" s="433" t="s">
        <v>13535</v>
      </c>
      <c r="Z62" s="433" t="s">
        <v>13535</v>
      </c>
      <c r="AA62" s="433" t="s">
        <v>13535</v>
      </c>
      <c r="AB62" s="433" t="s">
        <v>13535</v>
      </c>
      <c r="AC62" s="433" t="s">
        <v>13535</v>
      </c>
      <c r="AD62" s="433" t="s">
        <v>13535</v>
      </c>
      <c r="AE62" s="433" t="s">
        <v>13535</v>
      </c>
      <c r="AF62" s="433" t="s">
        <v>13535</v>
      </c>
      <c r="AG62" s="433" t="s">
        <v>13535</v>
      </c>
      <c r="AH62" s="433" t="s">
        <v>13535</v>
      </c>
      <c r="AI62" s="433" t="s">
        <v>13535</v>
      </c>
      <c r="AJ62" s="433" t="s">
        <v>13535</v>
      </c>
      <c r="AK62" s="433" t="s">
        <v>13535</v>
      </c>
      <c r="AL62" s="433" t="s">
        <v>13535</v>
      </c>
      <c r="AM62" s="433" t="s">
        <v>13535</v>
      </c>
      <c r="AN62" s="433" t="s">
        <v>13535</v>
      </c>
      <c r="AO62" s="433" t="s">
        <v>13535</v>
      </c>
      <c r="AP62" s="433" t="s">
        <v>13535</v>
      </c>
    </row>
    <row r="63" spans="2:42">
      <c r="B63" s="430" t="s">
        <v>357</v>
      </c>
      <c r="C63" s="430" t="s">
        <v>13521</v>
      </c>
      <c r="D63" s="430" t="str">
        <f>D41</f>
        <v>CO2SF</v>
      </c>
      <c r="E63" s="430" t="s">
        <v>13499</v>
      </c>
      <c r="F63" s="430" t="s">
        <v>334</v>
      </c>
      <c r="G63" s="430" t="s">
        <v>337</v>
      </c>
      <c r="H63" s="430" t="s">
        <v>334</v>
      </c>
      <c r="I63" s="503">
        <v>0</v>
      </c>
      <c r="J63" s="433">
        <v>118.877396901678</v>
      </c>
      <c r="K63" s="433" t="s">
        <v>13535</v>
      </c>
      <c r="L63" s="433" t="s">
        <v>13535</v>
      </c>
      <c r="M63" s="433" t="s">
        <v>13535</v>
      </c>
      <c r="N63" s="433" t="s">
        <v>13535</v>
      </c>
      <c r="O63" s="433" t="s">
        <v>13535</v>
      </c>
      <c r="P63" s="433" t="s">
        <v>13535</v>
      </c>
      <c r="Q63" s="433" t="s">
        <v>13535</v>
      </c>
      <c r="R63" s="433" t="s">
        <v>13535</v>
      </c>
      <c r="S63" s="433" t="s">
        <v>13535</v>
      </c>
      <c r="T63" s="433" t="s">
        <v>13535</v>
      </c>
      <c r="U63" s="433" t="s">
        <v>13535</v>
      </c>
      <c r="V63" s="433" t="s">
        <v>13535</v>
      </c>
      <c r="W63" s="433" t="s">
        <v>13535</v>
      </c>
      <c r="X63" s="433" t="s">
        <v>13535</v>
      </c>
      <c r="Y63" s="433" t="s">
        <v>13535</v>
      </c>
      <c r="Z63" s="433" t="s">
        <v>13535</v>
      </c>
      <c r="AA63" s="433" t="s">
        <v>13535</v>
      </c>
      <c r="AB63" s="433" t="s">
        <v>13535</v>
      </c>
      <c r="AC63" s="433" t="s">
        <v>13535</v>
      </c>
      <c r="AD63" s="433" t="s">
        <v>13535</v>
      </c>
      <c r="AE63" s="433" t="s">
        <v>13535</v>
      </c>
      <c r="AF63" s="433" t="s">
        <v>13535</v>
      </c>
      <c r="AG63" s="433" t="s">
        <v>13535</v>
      </c>
      <c r="AH63" s="433" t="s">
        <v>13535</v>
      </c>
      <c r="AI63" s="433" t="s">
        <v>13535</v>
      </c>
      <c r="AJ63" s="433" t="s">
        <v>13535</v>
      </c>
      <c r="AK63" s="433" t="s">
        <v>13535</v>
      </c>
      <c r="AL63" s="433" t="s">
        <v>13535</v>
      </c>
      <c r="AM63" s="433" t="s">
        <v>13535</v>
      </c>
      <c r="AN63" s="433" t="s">
        <v>13535</v>
      </c>
      <c r="AO63" s="433" t="s">
        <v>13535</v>
      </c>
      <c r="AP63" s="433" t="s">
        <v>13535</v>
      </c>
    </row>
    <row r="64" spans="2:42">
      <c r="B64" s="430" t="s">
        <v>855</v>
      </c>
      <c r="C64" s="430" t="s">
        <v>13521</v>
      </c>
      <c r="D64" s="430" t="s">
        <v>1804</v>
      </c>
      <c r="E64" s="430" t="s">
        <v>13499</v>
      </c>
      <c r="F64" s="430" t="s">
        <v>334</v>
      </c>
      <c r="G64" s="430" t="s">
        <v>337</v>
      </c>
      <c r="H64" s="430" t="s">
        <v>338</v>
      </c>
      <c r="I64" s="503">
        <v>3</v>
      </c>
      <c r="J64" s="433">
        <v>8.2900750167258105E-2</v>
      </c>
      <c r="K64" s="433" t="s">
        <v>13535</v>
      </c>
      <c r="L64" s="433" t="s">
        <v>13535</v>
      </c>
      <c r="M64" s="433" t="s">
        <v>13535</v>
      </c>
      <c r="N64" s="433" t="s">
        <v>13535</v>
      </c>
      <c r="O64" s="433" t="s">
        <v>13535</v>
      </c>
      <c r="P64" s="433" t="s">
        <v>13535</v>
      </c>
      <c r="Q64" s="433" t="s">
        <v>13535</v>
      </c>
      <c r="R64" s="433" t="s">
        <v>13535</v>
      </c>
      <c r="S64" s="433" t="s">
        <v>13535</v>
      </c>
      <c r="T64" s="433" t="s">
        <v>13535</v>
      </c>
      <c r="U64" s="433" t="s">
        <v>13535</v>
      </c>
      <c r="V64" s="433" t="s">
        <v>13535</v>
      </c>
      <c r="W64" s="433" t="s">
        <v>13535</v>
      </c>
      <c r="X64" s="433" t="s">
        <v>13535</v>
      </c>
      <c r="Y64" s="433" t="s">
        <v>13535</v>
      </c>
      <c r="Z64" s="433" t="s">
        <v>13535</v>
      </c>
      <c r="AA64" s="433" t="s">
        <v>13535</v>
      </c>
      <c r="AB64" s="433" t="s">
        <v>13535</v>
      </c>
      <c r="AC64" s="433" t="s">
        <v>13535</v>
      </c>
      <c r="AD64" s="433" t="s">
        <v>13535</v>
      </c>
      <c r="AE64" s="433" t="s">
        <v>13535</v>
      </c>
      <c r="AF64" s="433" t="s">
        <v>13535</v>
      </c>
      <c r="AG64" s="433" t="s">
        <v>13535</v>
      </c>
      <c r="AH64" s="433" t="s">
        <v>13535</v>
      </c>
      <c r="AI64" s="433" t="s">
        <v>13535</v>
      </c>
      <c r="AJ64" s="433" t="s">
        <v>13535</v>
      </c>
      <c r="AK64" s="433" t="s">
        <v>13535</v>
      </c>
      <c r="AL64" s="433" t="s">
        <v>13535</v>
      </c>
      <c r="AM64" s="433" t="s">
        <v>13535</v>
      </c>
      <c r="AN64" s="433" t="s">
        <v>13535</v>
      </c>
      <c r="AO64" s="433" t="s">
        <v>13535</v>
      </c>
      <c r="AP64" s="433" t="s">
        <v>13535</v>
      </c>
    </row>
    <row r="65" spans="2:42">
      <c r="B65" s="430" t="s">
        <v>855</v>
      </c>
      <c r="C65" s="430" t="s">
        <v>13521</v>
      </c>
      <c r="D65" s="430" t="s">
        <v>558</v>
      </c>
      <c r="E65" s="430" t="s">
        <v>13499</v>
      </c>
      <c r="F65" s="430" t="s">
        <v>334</v>
      </c>
      <c r="G65" s="430" t="s">
        <v>337</v>
      </c>
      <c r="H65" s="430" t="s">
        <v>338</v>
      </c>
      <c r="I65" s="503">
        <v>3</v>
      </c>
      <c r="J65" s="433">
        <v>0</v>
      </c>
      <c r="K65" s="433" t="s">
        <v>13535</v>
      </c>
      <c r="L65" s="433" t="s">
        <v>13535</v>
      </c>
      <c r="M65" s="433" t="s">
        <v>13535</v>
      </c>
      <c r="N65" s="433" t="s">
        <v>13535</v>
      </c>
      <c r="O65" s="433" t="s">
        <v>13535</v>
      </c>
      <c r="P65" s="433" t="s">
        <v>13535</v>
      </c>
      <c r="Q65" s="433" t="s">
        <v>13535</v>
      </c>
      <c r="R65" s="433" t="s">
        <v>13535</v>
      </c>
      <c r="S65" s="433" t="s">
        <v>13535</v>
      </c>
      <c r="T65" s="433" t="s">
        <v>13535</v>
      </c>
      <c r="U65" s="433" t="s">
        <v>13535</v>
      </c>
      <c r="V65" s="433" t="s">
        <v>13535</v>
      </c>
      <c r="W65" s="433" t="s">
        <v>13535</v>
      </c>
      <c r="X65" s="433" t="s">
        <v>13535</v>
      </c>
      <c r="Y65" s="433" t="s">
        <v>13535</v>
      </c>
      <c r="Z65" s="433" t="s">
        <v>13535</v>
      </c>
      <c r="AA65" s="433" t="s">
        <v>13535</v>
      </c>
      <c r="AB65" s="433" t="s">
        <v>13535</v>
      </c>
      <c r="AC65" s="433" t="s">
        <v>13535</v>
      </c>
      <c r="AD65" s="433" t="s">
        <v>13535</v>
      </c>
      <c r="AE65" s="433" t="s">
        <v>13535</v>
      </c>
      <c r="AF65" s="433" t="s">
        <v>13535</v>
      </c>
      <c r="AG65" s="433" t="s">
        <v>13535</v>
      </c>
      <c r="AH65" s="433" t="s">
        <v>13535</v>
      </c>
      <c r="AI65" s="433" t="s">
        <v>13535</v>
      </c>
      <c r="AJ65" s="433" t="s">
        <v>13535</v>
      </c>
      <c r="AK65" s="433" t="s">
        <v>13535</v>
      </c>
      <c r="AL65" s="433" t="s">
        <v>13535</v>
      </c>
      <c r="AM65" s="433" t="s">
        <v>13535</v>
      </c>
      <c r="AN65" s="433" t="s">
        <v>13535</v>
      </c>
      <c r="AO65" s="433" t="s">
        <v>13535</v>
      </c>
      <c r="AP65" s="433" t="s">
        <v>13535</v>
      </c>
    </row>
    <row r="66" spans="2:42">
      <c r="B66" s="430" t="s">
        <v>855</v>
      </c>
      <c r="C66" s="430" t="s">
        <v>13521</v>
      </c>
      <c r="D66" s="430" t="s">
        <v>555</v>
      </c>
      <c r="E66" s="430" t="s">
        <v>13499</v>
      </c>
      <c r="F66" s="430" t="s">
        <v>334</v>
      </c>
      <c r="G66" s="430" t="s">
        <v>337</v>
      </c>
      <c r="H66" s="430" t="s">
        <v>338</v>
      </c>
      <c r="I66" s="503">
        <v>3</v>
      </c>
      <c r="J66" s="433">
        <v>0.73</v>
      </c>
      <c r="K66" s="433" t="s">
        <v>13535</v>
      </c>
      <c r="L66" s="433" t="s">
        <v>13535</v>
      </c>
      <c r="M66" s="433" t="s">
        <v>13535</v>
      </c>
      <c r="N66" s="433" t="s">
        <v>13535</v>
      </c>
      <c r="O66" s="433" t="s">
        <v>13535</v>
      </c>
      <c r="P66" s="433" t="s">
        <v>13535</v>
      </c>
      <c r="Q66" s="433" t="s">
        <v>13535</v>
      </c>
      <c r="R66" s="433" t="s">
        <v>13535</v>
      </c>
      <c r="S66" s="433" t="s">
        <v>13535</v>
      </c>
      <c r="T66" s="433" t="s">
        <v>13535</v>
      </c>
      <c r="U66" s="433" t="s">
        <v>13535</v>
      </c>
      <c r="V66" s="433" t="s">
        <v>13535</v>
      </c>
      <c r="W66" s="433" t="s">
        <v>13535</v>
      </c>
      <c r="X66" s="433" t="s">
        <v>13535</v>
      </c>
      <c r="Y66" s="433" t="s">
        <v>13535</v>
      </c>
      <c r="Z66" s="433" t="s">
        <v>13535</v>
      </c>
      <c r="AA66" s="433" t="s">
        <v>13535</v>
      </c>
      <c r="AB66" s="433" t="s">
        <v>13535</v>
      </c>
      <c r="AC66" s="433" t="s">
        <v>13535</v>
      </c>
      <c r="AD66" s="433" t="s">
        <v>13535</v>
      </c>
      <c r="AE66" s="433" t="s">
        <v>13535</v>
      </c>
      <c r="AF66" s="433" t="s">
        <v>13535</v>
      </c>
      <c r="AG66" s="433" t="s">
        <v>13535</v>
      </c>
      <c r="AH66" s="433" t="s">
        <v>13535</v>
      </c>
      <c r="AI66" s="433" t="s">
        <v>13535</v>
      </c>
      <c r="AJ66" s="433" t="s">
        <v>13535</v>
      </c>
      <c r="AK66" s="433" t="s">
        <v>13535</v>
      </c>
      <c r="AL66" s="433" t="s">
        <v>13535</v>
      </c>
      <c r="AM66" s="433" t="s">
        <v>13535</v>
      </c>
      <c r="AN66" s="433" t="s">
        <v>13535</v>
      </c>
      <c r="AO66" s="433" t="s">
        <v>13535</v>
      </c>
      <c r="AP66" s="433" t="s">
        <v>13535</v>
      </c>
    </row>
    <row r="67" spans="2:42">
      <c r="B67" s="430" t="s">
        <v>855</v>
      </c>
      <c r="C67" s="430" t="s">
        <v>13521</v>
      </c>
      <c r="D67" s="430" t="s">
        <v>547</v>
      </c>
      <c r="E67" s="430" t="s">
        <v>13499</v>
      </c>
      <c r="F67" s="430" t="s">
        <v>334</v>
      </c>
      <c r="G67" s="430" t="s">
        <v>337</v>
      </c>
      <c r="H67" s="430" t="s">
        <v>338</v>
      </c>
      <c r="I67" s="503">
        <v>3</v>
      </c>
      <c r="J67" s="433">
        <v>0.23499999999999999</v>
      </c>
      <c r="K67" s="433" t="s">
        <v>13535</v>
      </c>
      <c r="L67" s="433" t="s">
        <v>13535</v>
      </c>
      <c r="M67" s="433" t="s">
        <v>13535</v>
      </c>
      <c r="N67" s="433" t="s">
        <v>13535</v>
      </c>
      <c r="O67" s="433" t="s">
        <v>13535</v>
      </c>
      <c r="P67" s="433" t="s">
        <v>13535</v>
      </c>
      <c r="Q67" s="433" t="s">
        <v>13535</v>
      </c>
      <c r="R67" s="433" t="s">
        <v>13535</v>
      </c>
      <c r="S67" s="433" t="s">
        <v>13535</v>
      </c>
      <c r="T67" s="433" t="s">
        <v>13535</v>
      </c>
      <c r="U67" s="433" t="s">
        <v>13535</v>
      </c>
      <c r="V67" s="433" t="s">
        <v>13535</v>
      </c>
      <c r="W67" s="433" t="s">
        <v>13535</v>
      </c>
      <c r="X67" s="433" t="s">
        <v>13535</v>
      </c>
      <c r="Y67" s="433" t="s">
        <v>13535</v>
      </c>
      <c r="Z67" s="433" t="s">
        <v>13535</v>
      </c>
      <c r="AA67" s="433" t="s">
        <v>13535</v>
      </c>
      <c r="AB67" s="433" t="s">
        <v>13535</v>
      </c>
      <c r="AC67" s="433" t="s">
        <v>13535</v>
      </c>
      <c r="AD67" s="433" t="s">
        <v>13535</v>
      </c>
      <c r="AE67" s="433" t="s">
        <v>13535</v>
      </c>
      <c r="AF67" s="433" t="s">
        <v>13535</v>
      </c>
      <c r="AG67" s="433" t="s">
        <v>13535</v>
      </c>
      <c r="AH67" s="433" t="s">
        <v>13535</v>
      </c>
      <c r="AI67" s="433" t="s">
        <v>13535</v>
      </c>
      <c r="AJ67" s="433" t="s">
        <v>13535</v>
      </c>
      <c r="AK67" s="433" t="s">
        <v>13535</v>
      </c>
      <c r="AL67" s="433" t="s">
        <v>13535</v>
      </c>
      <c r="AM67" s="433" t="s">
        <v>13535</v>
      </c>
      <c r="AN67" s="433" t="s">
        <v>13535</v>
      </c>
      <c r="AO67" s="433" t="s">
        <v>13535</v>
      </c>
      <c r="AP67" s="433" t="s">
        <v>13535</v>
      </c>
    </row>
    <row r="68" spans="2:42">
      <c r="B68" s="430" t="s">
        <v>855</v>
      </c>
      <c r="C68" s="430" t="s">
        <v>13521</v>
      </c>
      <c r="D68" s="430" t="s">
        <v>592</v>
      </c>
      <c r="E68" s="430" t="s">
        <v>13499</v>
      </c>
      <c r="F68" s="430" t="s">
        <v>334</v>
      </c>
      <c r="G68" s="430" t="s">
        <v>337</v>
      </c>
      <c r="H68" s="430" t="s">
        <v>338</v>
      </c>
      <c r="I68" s="503">
        <v>3</v>
      </c>
      <c r="J68" s="433">
        <v>0</v>
      </c>
      <c r="K68" s="433" t="s">
        <v>13535</v>
      </c>
      <c r="L68" s="433" t="s">
        <v>13535</v>
      </c>
      <c r="M68" s="433" t="s">
        <v>13535</v>
      </c>
      <c r="N68" s="433" t="s">
        <v>13535</v>
      </c>
      <c r="O68" s="433" t="s">
        <v>13535</v>
      </c>
      <c r="P68" s="433" t="s">
        <v>13535</v>
      </c>
      <c r="Q68" s="433" t="s">
        <v>13535</v>
      </c>
      <c r="R68" s="433" t="s">
        <v>13535</v>
      </c>
      <c r="S68" s="433" t="s">
        <v>13535</v>
      </c>
      <c r="T68" s="433" t="s">
        <v>13535</v>
      </c>
      <c r="U68" s="433" t="s">
        <v>13535</v>
      </c>
      <c r="V68" s="433" t="s">
        <v>13535</v>
      </c>
      <c r="W68" s="433" t="s">
        <v>13535</v>
      </c>
      <c r="X68" s="433" t="s">
        <v>13535</v>
      </c>
      <c r="Y68" s="433" t="s">
        <v>13535</v>
      </c>
      <c r="Z68" s="433" t="s">
        <v>13535</v>
      </c>
      <c r="AA68" s="433" t="s">
        <v>13535</v>
      </c>
      <c r="AB68" s="433" t="s">
        <v>13535</v>
      </c>
      <c r="AC68" s="433" t="s">
        <v>13535</v>
      </c>
      <c r="AD68" s="433" t="s">
        <v>13535</v>
      </c>
      <c r="AE68" s="433" t="s">
        <v>13535</v>
      </c>
      <c r="AF68" s="433" t="s">
        <v>13535</v>
      </c>
      <c r="AG68" s="433" t="s">
        <v>13535</v>
      </c>
      <c r="AH68" s="433" t="s">
        <v>13535</v>
      </c>
      <c r="AI68" s="433" t="s">
        <v>13535</v>
      </c>
      <c r="AJ68" s="433" t="s">
        <v>13535</v>
      </c>
      <c r="AK68" s="433" t="s">
        <v>13535</v>
      </c>
      <c r="AL68" s="433" t="s">
        <v>13535</v>
      </c>
      <c r="AM68" s="433" t="s">
        <v>13535</v>
      </c>
      <c r="AN68" s="433" t="s">
        <v>13535</v>
      </c>
      <c r="AO68" s="433" t="s">
        <v>13535</v>
      </c>
      <c r="AP68" s="433" t="s">
        <v>13535</v>
      </c>
    </row>
    <row r="69" spans="2:42">
      <c r="B69" s="430" t="s">
        <v>855</v>
      </c>
      <c r="C69" s="430" t="s">
        <v>13521</v>
      </c>
      <c r="D69" s="430" t="s">
        <v>551</v>
      </c>
      <c r="E69" s="430" t="s">
        <v>13499</v>
      </c>
      <c r="F69" s="430" t="s">
        <v>334</v>
      </c>
      <c r="G69" s="430" t="s">
        <v>337</v>
      </c>
      <c r="H69" s="430" t="s">
        <v>338</v>
      </c>
      <c r="I69" s="503">
        <v>3</v>
      </c>
      <c r="J69" s="433">
        <v>3.5000000000000003E-2</v>
      </c>
      <c r="K69" s="433" t="s">
        <v>13535</v>
      </c>
      <c r="L69" s="433" t="s">
        <v>13535</v>
      </c>
      <c r="M69" s="433" t="s">
        <v>13535</v>
      </c>
      <c r="N69" s="433" t="s">
        <v>13535</v>
      </c>
      <c r="O69" s="433" t="s">
        <v>13535</v>
      </c>
      <c r="P69" s="433" t="s">
        <v>13535</v>
      </c>
      <c r="Q69" s="433" t="s">
        <v>13535</v>
      </c>
      <c r="R69" s="433" t="s">
        <v>13535</v>
      </c>
      <c r="S69" s="433" t="s">
        <v>13535</v>
      </c>
      <c r="T69" s="433" t="s">
        <v>13535</v>
      </c>
      <c r="U69" s="433" t="s">
        <v>13535</v>
      </c>
      <c r="V69" s="433" t="s">
        <v>13535</v>
      </c>
      <c r="W69" s="433" t="s">
        <v>13535</v>
      </c>
      <c r="X69" s="433" t="s">
        <v>13535</v>
      </c>
      <c r="Y69" s="433" t="s">
        <v>13535</v>
      </c>
      <c r="Z69" s="433" t="s">
        <v>13535</v>
      </c>
      <c r="AA69" s="433" t="s">
        <v>13535</v>
      </c>
      <c r="AB69" s="433" t="s">
        <v>13535</v>
      </c>
      <c r="AC69" s="433" t="s">
        <v>13535</v>
      </c>
      <c r="AD69" s="433" t="s">
        <v>13535</v>
      </c>
      <c r="AE69" s="433" t="s">
        <v>13535</v>
      </c>
      <c r="AF69" s="433" t="s">
        <v>13535</v>
      </c>
      <c r="AG69" s="433" t="s">
        <v>13535</v>
      </c>
      <c r="AH69" s="433" t="s">
        <v>13535</v>
      </c>
      <c r="AI69" s="433" t="s">
        <v>13535</v>
      </c>
      <c r="AJ69" s="433" t="s">
        <v>13535</v>
      </c>
      <c r="AK69" s="433" t="s">
        <v>13535</v>
      </c>
      <c r="AL69" s="433" t="s">
        <v>13535</v>
      </c>
      <c r="AM69" s="433" t="s">
        <v>13535</v>
      </c>
      <c r="AN69" s="433" t="s">
        <v>13535</v>
      </c>
      <c r="AO69" s="433" t="s">
        <v>13535</v>
      </c>
      <c r="AP69" s="433" t="s">
        <v>13535</v>
      </c>
    </row>
    <row r="70" spans="2:42">
      <c r="B70" s="430" t="s">
        <v>855</v>
      </c>
      <c r="C70" s="430" t="s">
        <v>13521</v>
      </c>
      <c r="D70" s="430" t="s">
        <v>594</v>
      </c>
      <c r="E70" s="430" t="s">
        <v>13499</v>
      </c>
      <c r="F70" s="430" t="s">
        <v>334</v>
      </c>
      <c r="G70" s="430" t="s">
        <v>337</v>
      </c>
      <c r="H70" s="430" t="s">
        <v>856</v>
      </c>
      <c r="I70" s="503">
        <v>3</v>
      </c>
      <c r="J70" s="433">
        <v>7.3240260783149005E-2</v>
      </c>
      <c r="K70" s="433" t="s">
        <v>13535</v>
      </c>
      <c r="L70" s="433" t="s">
        <v>13535</v>
      </c>
      <c r="M70" s="433" t="s">
        <v>13535</v>
      </c>
      <c r="N70" s="433" t="s">
        <v>13535</v>
      </c>
      <c r="O70" s="433" t="s">
        <v>13535</v>
      </c>
      <c r="P70" s="433" t="s">
        <v>13535</v>
      </c>
      <c r="Q70" s="433" t="s">
        <v>13535</v>
      </c>
      <c r="R70" s="433" t="s">
        <v>13535</v>
      </c>
      <c r="S70" s="433" t="s">
        <v>13535</v>
      </c>
      <c r="T70" s="433" t="s">
        <v>13535</v>
      </c>
      <c r="U70" s="433" t="s">
        <v>13535</v>
      </c>
      <c r="V70" s="433" t="s">
        <v>13535</v>
      </c>
      <c r="W70" s="433" t="s">
        <v>13535</v>
      </c>
      <c r="X70" s="433" t="s">
        <v>13535</v>
      </c>
      <c r="Y70" s="433" t="s">
        <v>13535</v>
      </c>
      <c r="Z70" s="433" t="s">
        <v>13535</v>
      </c>
      <c r="AA70" s="433" t="s">
        <v>13535</v>
      </c>
      <c r="AB70" s="433" t="s">
        <v>13535</v>
      </c>
      <c r="AC70" s="433" t="s">
        <v>13535</v>
      </c>
      <c r="AD70" s="433" t="s">
        <v>13535</v>
      </c>
      <c r="AE70" s="433" t="s">
        <v>13535</v>
      </c>
      <c r="AF70" s="433" t="s">
        <v>13535</v>
      </c>
      <c r="AG70" s="433" t="s">
        <v>13535</v>
      </c>
      <c r="AH70" s="433" t="s">
        <v>13535</v>
      </c>
      <c r="AI70" s="433" t="s">
        <v>13535</v>
      </c>
      <c r="AJ70" s="433" t="s">
        <v>13535</v>
      </c>
      <c r="AK70" s="433" t="s">
        <v>13535</v>
      </c>
      <c r="AL70" s="433" t="s">
        <v>13535</v>
      </c>
      <c r="AM70" s="433" t="s">
        <v>13535</v>
      </c>
      <c r="AN70" s="433" t="s">
        <v>13535</v>
      </c>
      <c r="AO70" s="433" t="s">
        <v>13535</v>
      </c>
      <c r="AP70" s="433" t="s">
        <v>13535</v>
      </c>
    </row>
    <row r="71" spans="2:42" s="387" customFormat="1">
      <c r="B71" s="387" t="s">
        <v>13540</v>
      </c>
      <c r="C71" s="387" t="s">
        <v>13521</v>
      </c>
      <c r="D71" s="387" t="s">
        <v>334</v>
      </c>
      <c r="E71" s="387" t="s">
        <v>13541</v>
      </c>
      <c r="F71" s="387" t="s">
        <v>334</v>
      </c>
      <c r="G71" s="387" t="s">
        <v>334</v>
      </c>
      <c r="H71" s="387" t="s">
        <v>334</v>
      </c>
      <c r="I71" s="1359">
        <v>0</v>
      </c>
      <c r="J71" s="985">
        <v>3.5000000000000003E-2</v>
      </c>
      <c r="K71" s="985" t="s">
        <v>13535</v>
      </c>
      <c r="L71" s="985" t="s">
        <v>13535</v>
      </c>
      <c r="M71" s="985" t="s">
        <v>13535</v>
      </c>
      <c r="N71" s="985" t="s">
        <v>13535</v>
      </c>
      <c r="O71" s="985" t="s">
        <v>13535</v>
      </c>
      <c r="P71" s="985" t="s">
        <v>13535</v>
      </c>
      <c r="Q71" s="985" t="s">
        <v>13535</v>
      </c>
      <c r="R71" s="985" t="s">
        <v>13535</v>
      </c>
      <c r="S71" s="985" t="s">
        <v>13535</v>
      </c>
      <c r="T71" s="985" t="s">
        <v>13535</v>
      </c>
      <c r="U71" s="985" t="s">
        <v>13535</v>
      </c>
      <c r="V71" s="985" t="s">
        <v>13535</v>
      </c>
      <c r="W71" s="985" t="s">
        <v>13535</v>
      </c>
      <c r="X71" s="985" t="s">
        <v>13535</v>
      </c>
      <c r="Y71" s="985" t="s">
        <v>13535</v>
      </c>
      <c r="Z71" s="985" t="s">
        <v>13535</v>
      </c>
      <c r="AA71" s="985" t="s">
        <v>13535</v>
      </c>
      <c r="AB71" s="985" t="s">
        <v>13535</v>
      </c>
      <c r="AC71" s="985" t="s">
        <v>13535</v>
      </c>
      <c r="AD71" s="985" t="s">
        <v>13535</v>
      </c>
      <c r="AE71" s="985" t="s">
        <v>13535</v>
      </c>
      <c r="AF71" s="985" t="s">
        <v>13535</v>
      </c>
      <c r="AG71" s="985" t="s">
        <v>13535</v>
      </c>
      <c r="AH71" s="985" t="s">
        <v>13535</v>
      </c>
      <c r="AI71" s="985" t="s">
        <v>13535</v>
      </c>
      <c r="AJ71" s="985" t="s">
        <v>13535</v>
      </c>
      <c r="AK71" s="985" t="s">
        <v>13535</v>
      </c>
      <c r="AL71" s="985" t="s">
        <v>13535</v>
      </c>
      <c r="AM71" s="985" t="s">
        <v>13535</v>
      </c>
      <c r="AN71" s="985" t="s">
        <v>13535</v>
      </c>
      <c r="AO71" s="985" t="s">
        <v>13535</v>
      </c>
      <c r="AP71" s="985" t="s">
        <v>13535</v>
      </c>
    </row>
    <row r="72" spans="2:42">
      <c r="B72" s="430" t="s">
        <v>359</v>
      </c>
      <c r="C72" s="430" t="s">
        <v>13529</v>
      </c>
      <c r="D72" s="430" t="s">
        <v>334</v>
      </c>
      <c r="E72" s="430" t="s">
        <v>360</v>
      </c>
      <c r="F72" s="430" t="s">
        <v>334</v>
      </c>
      <c r="G72" s="430" t="s">
        <v>337</v>
      </c>
      <c r="H72" s="430" t="s">
        <v>334</v>
      </c>
      <c r="I72" s="503">
        <v>0</v>
      </c>
      <c r="J72" s="433">
        <v>0.77242500000000003</v>
      </c>
      <c r="K72" s="433" t="s">
        <v>13535</v>
      </c>
      <c r="L72" s="433" t="s">
        <v>13535</v>
      </c>
      <c r="M72" s="433" t="s">
        <v>13535</v>
      </c>
      <c r="N72" s="433" t="s">
        <v>13535</v>
      </c>
      <c r="O72" s="433" t="s">
        <v>13535</v>
      </c>
      <c r="P72" s="433" t="s">
        <v>13535</v>
      </c>
      <c r="Q72" s="433" t="s">
        <v>13535</v>
      </c>
      <c r="R72" s="433" t="s">
        <v>13535</v>
      </c>
      <c r="S72" s="433" t="s">
        <v>13535</v>
      </c>
      <c r="T72" s="433" t="s">
        <v>13535</v>
      </c>
      <c r="U72" s="433" t="s">
        <v>13535</v>
      </c>
      <c r="V72" s="433" t="s">
        <v>13535</v>
      </c>
      <c r="W72" s="433" t="s">
        <v>13535</v>
      </c>
      <c r="X72" s="433" t="s">
        <v>13535</v>
      </c>
      <c r="Y72" s="433" t="s">
        <v>13535</v>
      </c>
      <c r="Z72" s="433" t="s">
        <v>13535</v>
      </c>
      <c r="AA72" s="433" t="s">
        <v>13535</v>
      </c>
      <c r="AB72" s="433" t="s">
        <v>13535</v>
      </c>
      <c r="AC72" s="433" t="s">
        <v>13535</v>
      </c>
      <c r="AD72" s="433" t="s">
        <v>13535</v>
      </c>
      <c r="AE72" s="433" t="s">
        <v>13535</v>
      </c>
      <c r="AF72" s="433" t="s">
        <v>13535</v>
      </c>
      <c r="AG72" s="433" t="s">
        <v>13535</v>
      </c>
      <c r="AH72" s="433" t="s">
        <v>13535</v>
      </c>
      <c r="AI72" s="433" t="s">
        <v>13535</v>
      </c>
      <c r="AJ72" s="433" t="s">
        <v>13535</v>
      </c>
      <c r="AK72" s="433" t="s">
        <v>13535</v>
      </c>
      <c r="AL72" s="433" t="s">
        <v>13535</v>
      </c>
      <c r="AM72" s="433" t="s">
        <v>13535</v>
      </c>
      <c r="AN72" s="433" t="s">
        <v>13535</v>
      </c>
      <c r="AO72" s="433" t="s">
        <v>13535</v>
      </c>
      <c r="AP72" s="433" t="s">
        <v>13535</v>
      </c>
    </row>
    <row r="73" spans="2:42">
      <c r="B73" s="430" t="s">
        <v>357</v>
      </c>
      <c r="C73" s="430" t="s">
        <v>13529</v>
      </c>
      <c r="D73" s="430" t="s">
        <v>13538</v>
      </c>
      <c r="E73" s="430" t="s">
        <v>360</v>
      </c>
      <c r="F73" s="430" t="s">
        <v>334</v>
      </c>
      <c r="G73" s="430" t="s">
        <v>337</v>
      </c>
      <c r="H73" s="430" t="s">
        <v>334</v>
      </c>
      <c r="I73" s="503">
        <v>0</v>
      </c>
      <c r="J73" s="433">
        <v>1.29462407353465E-3</v>
      </c>
      <c r="K73" s="433" t="s">
        <v>13535</v>
      </c>
      <c r="L73" s="433" t="s">
        <v>13535</v>
      </c>
      <c r="M73" s="433" t="s">
        <v>13535</v>
      </c>
      <c r="N73" s="433" t="s">
        <v>13535</v>
      </c>
      <c r="O73" s="433" t="s">
        <v>13535</v>
      </c>
      <c r="P73" s="433" t="s">
        <v>13535</v>
      </c>
      <c r="Q73" s="433" t="s">
        <v>13535</v>
      </c>
      <c r="R73" s="433" t="s">
        <v>13535</v>
      </c>
      <c r="S73" s="433" t="s">
        <v>13535</v>
      </c>
      <c r="T73" s="433" t="s">
        <v>13535</v>
      </c>
      <c r="U73" s="433" t="s">
        <v>13535</v>
      </c>
      <c r="V73" s="433" t="s">
        <v>13535</v>
      </c>
      <c r="W73" s="433" t="s">
        <v>13535</v>
      </c>
      <c r="X73" s="433" t="s">
        <v>13535</v>
      </c>
      <c r="Y73" s="433" t="s">
        <v>13535</v>
      </c>
      <c r="Z73" s="433" t="s">
        <v>13535</v>
      </c>
      <c r="AA73" s="433" t="s">
        <v>13535</v>
      </c>
      <c r="AB73" s="433" t="s">
        <v>13535</v>
      </c>
      <c r="AC73" s="433" t="s">
        <v>13535</v>
      </c>
      <c r="AD73" s="433" t="s">
        <v>13535</v>
      </c>
      <c r="AE73" s="433" t="s">
        <v>13535</v>
      </c>
      <c r="AF73" s="433" t="s">
        <v>13535</v>
      </c>
      <c r="AG73" s="433" t="s">
        <v>13535</v>
      </c>
      <c r="AH73" s="433" t="s">
        <v>13535</v>
      </c>
      <c r="AI73" s="433" t="s">
        <v>13535</v>
      </c>
      <c r="AJ73" s="433" t="s">
        <v>13535</v>
      </c>
      <c r="AK73" s="433" t="s">
        <v>13535</v>
      </c>
      <c r="AL73" s="433" t="s">
        <v>13535</v>
      </c>
      <c r="AM73" s="433" t="s">
        <v>13535</v>
      </c>
      <c r="AN73" s="433" t="s">
        <v>13535</v>
      </c>
      <c r="AO73" s="433" t="s">
        <v>13535</v>
      </c>
      <c r="AP73" s="433" t="s">
        <v>13535</v>
      </c>
    </row>
    <row r="74" spans="2:42">
      <c r="B74" s="430" t="s">
        <v>357</v>
      </c>
      <c r="C74" s="430" t="s">
        <v>13529</v>
      </c>
      <c r="D74" s="430" t="s">
        <v>13539</v>
      </c>
      <c r="E74" s="430" t="s">
        <v>360</v>
      </c>
      <c r="F74" s="430" t="s">
        <v>334</v>
      </c>
      <c r="G74" s="430" t="s">
        <v>337</v>
      </c>
      <c r="H74" s="430" t="s">
        <v>334</v>
      </c>
      <c r="I74" s="503">
        <v>0</v>
      </c>
      <c r="J74" s="433">
        <v>124.60756707771</v>
      </c>
      <c r="K74" s="433" t="s">
        <v>13535</v>
      </c>
      <c r="L74" s="433" t="s">
        <v>13535</v>
      </c>
      <c r="M74" s="433" t="s">
        <v>13535</v>
      </c>
      <c r="N74" s="433" t="s">
        <v>13535</v>
      </c>
      <c r="O74" s="433" t="s">
        <v>13535</v>
      </c>
      <c r="P74" s="433" t="s">
        <v>13535</v>
      </c>
      <c r="Q74" s="433" t="s">
        <v>13535</v>
      </c>
      <c r="R74" s="433" t="s">
        <v>13535</v>
      </c>
      <c r="S74" s="433" t="s">
        <v>13535</v>
      </c>
      <c r="T74" s="433" t="s">
        <v>13535</v>
      </c>
      <c r="U74" s="433" t="s">
        <v>13535</v>
      </c>
      <c r="V74" s="433" t="s">
        <v>13535</v>
      </c>
      <c r="W74" s="433" t="s">
        <v>13535</v>
      </c>
      <c r="X74" s="433" t="s">
        <v>13535</v>
      </c>
      <c r="Y74" s="433" t="s">
        <v>13535</v>
      </c>
      <c r="Z74" s="433" t="s">
        <v>13535</v>
      </c>
      <c r="AA74" s="433" t="s">
        <v>13535</v>
      </c>
      <c r="AB74" s="433" t="s">
        <v>13535</v>
      </c>
      <c r="AC74" s="433" t="s">
        <v>13535</v>
      </c>
      <c r="AD74" s="433" t="s">
        <v>13535</v>
      </c>
      <c r="AE74" s="433" t="s">
        <v>13535</v>
      </c>
      <c r="AF74" s="433" t="s">
        <v>13535</v>
      </c>
      <c r="AG74" s="433" t="s">
        <v>13535</v>
      </c>
      <c r="AH74" s="433" t="s">
        <v>13535</v>
      </c>
      <c r="AI74" s="433" t="s">
        <v>13535</v>
      </c>
      <c r="AJ74" s="433" t="s">
        <v>13535</v>
      </c>
      <c r="AK74" s="433" t="s">
        <v>13535</v>
      </c>
      <c r="AL74" s="433" t="s">
        <v>13535</v>
      </c>
      <c r="AM74" s="433" t="s">
        <v>13535</v>
      </c>
      <c r="AN74" s="433" t="s">
        <v>13535</v>
      </c>
      <c r="AO74" s="433" t="s">
        <v>13535</v>
      </c>
      <c r="AP74" s="433" t="s">
        <v>13535</v>
      </c>
    </row>
    <row r="75" spans="2:42" s="387" customFormat="1">
      <c r="B75" s="387" t="s">
        <v>13540</v>
      </c>
      <c r="C75" s="387" t="s">
        <v>13529</v>
      </c>
      <c r="D75" s="387" t="s">
        <v>334</v>
      </c>
      <c r="E75" s="387" t="s">
        <v>13551</v>
      </c>
      <c r="F75" s="387" t="s">
        <v>334</v>
      </c>
      <c r="G75" s="387" t="s">
        <v>334</v>
      </c>
      <c r="H75" s="387" t="s">
        <v>334</v>
      </c>
      <c r="I75" s="1359">
        <v>0</v>
      </c>
      <c r="J75" s="985">
        <v>0.108</v>
      </c>
      <c r="K75" s="985" t="s">
        <v>13535</v>
      </c>
      <c r="L75" s="985" t="s">
        <v>13535</v>
      </c>
      <c r="M75" s="985" t="s">
        <v>13535</v>
      </c>
      <c r="N75" s="985" t="s">
        <v>13535</v>
      </c>
      <c r="O75" s="985" t="s">
        <v>13535</v>
      </c>
      <c r="P75" s="985" t="s">
        <v>13535</v>
      </c>
      <c r="Q75" s="985" t="s">
        <v>13535</v>
      </c>
      <c r="R75" s="985" t="s">
        <v>13535</v>
      </c>
      <c r="S75" s="985" t="s">
        <v>13535</v>
      </c>
      <c r="T75" s="985" t="s">
        <v>13535</v>
      </c>
      <c r="U75" s="985" t="s">
        <v>13535</v>
      </c>
      <c r="V75" s="985" t="s">
        <v>13535</v>
      </c>
      <c r="W75" s="985" t="s">
        <v>13535</v>
      </c>
      <c r="X75" s="985" t="s">
        <v>13535</v>
      </c>
      <c r="Y75" s="985" t="s">
        <v>13535</v>
      </c>
      <c r="Z75" s="985" t="s">
        <v>13535</v>
      </c>
      <c r="AA75" s="985" t="s">
        <v>13535</v>
      </c>
      <c r="AB75" s="985" t="s">
        <v>13535</v>
      </c>
      <c r="AC75" s="985" t="s">
        <v>13535</v>
      </c>
      <c r="AD75" s="985" t="s">
        <v>13535</v>
      </c>
      <c r="AE75" s="985" t="s">
        <v>13535</v>
      </c>
      <c r="AF75" s="985" t="s">
        <v>13535</v>
      </c>
      <c r="AG75" s="985" t="s">
        <v>13535</v>
      </c>
      <c r="AH75" s="985" t="s">
        <v>13535</v>
      </c>
      <c r="AI75" s="985" t="s">
        <v>13535</v>
      </c>
      <c r="AJ75" s="985" t="s">
        <v>13535</v>
      </c>
      <c r="AK75" s="985" t="s">
        <v>13535</v>
      </c>
      <c r="AL75" s="985" t="s">
        <v>13535</v>
      </c>
      <c r="AM75" s="985" t="s">
        <v>13535</v>
      </c>
      <c r="AN75" s="985" t="s">
        <v>13535</v>
      </c>
      <c r="AO75" s="985" t="s">
        <v>13535</v>
      </c>
      <c r="AP75" s="985" t="s">
        <v>13535</v>
      </c>
    </row>
    <row r="76" spans="2:42">
      <c r="B76" s="430" t="s">
        <v>359</v>
      </c>
      <c r="C76" s="430" t="s">
        <v>13531</v>
      </c>
      <c r="D76" s="430" t="s">
        <v>334</v>
      </c>
      <c r="E76" s="430" t="s">
        <v>360</v>
      </c>
      <c r="F76" s="430" t="s">
        <v>334</v>
      </c>
      <c r="G76" s="430" t="s">
        <v>337</v>
      </c>
      <c r="H76" s="430" t="s">
        <v>334</v>
      </c>
      <c r="I76" s="503">
        <v>0</v>
      </c>
      <c r="J76" s="433">
        <v>0.72242499999999998</v>
      </c>
      <c r="K76" s="433" t="s">
        <v>13535</v>
      </c>
      <c r="L76" s="433" t="s">
        <v>13535</v>
      </c>
      <c r="M76" s="433" t="s">
        <v>13535</v>
      </c>
      <c r="N76" s="433" t="s">
        <v>13535</v>
      </c>
      <c r="O76" s="433" t="s">
        <v>13535</v>
      </c>
      <c r="P76" s="433" t="s">
        <v>13535</v>
      </c>
      <c r="Q76" s="433" t="s">
        <v>13535</v>
      </c>
      <c r="R76" s="433" t="s">
        <v>13535</v>
      </c>
      <c r="S76" s="433" t="s">
        <v>13535</v>
      </c>
      <c r="T76" s="433" t="s">
        <v>13535</v>
      </c>
      <c r="U76" s="433" t="s">
        <v>13535</v>
      </c>
      <c r="V76" s="433" t="s">
        <v>13535</v>
      </c>
      <c r="W76" s="433" t="s">
        <v>13535</v>
      </c>
      <c r="X76" s="433" t="s">
        <v>13535</v>
      </c>
      <c r="Y76" s="433" t="s">
        <v>13535</v>
      </c>
      <c r="Z76" s="433" t="s">
        <v>13535</v>
      </c>
      <c r="AA76" s="433" t="s">
        <v>13535</v>
      </c>
      <c r="AB76" s="433" t="s">
        <v>13535</v>
      </c>
      <c r="AC76" s="433" t="s">
        <v>13535</v>
      </c>
      <c r="AD76" s="433" t="s">
        <v>13535</v>
      </c>
      <c r="AE76" s="433" t="s">
        <v>13535</v>
      </c>
      <c r="AF76" s="433" t="s">
        <v>13535</v>
      </c>
      <c r="AG76" s="433" t="s">
        <v>13535</v>
      </c>
      <c r="AH76" s="433" t="s">
        <v>13535</v>
      </c>
      <c r="AI76" s="433" t="s">
        <v>13535</v>
      </c>
      <c r="AJ76" s="433" t="s">
        <v>13535</v>
      </c>
      <c r="AK76" s="433" t="s">
        <v>13535</v>
      </c>
      <c r="AL76" s="433" t="s">
        <v>13535</v>
      </c>
      <c r="AM76" s="433" t="s">
        <v>13535</v>
      </c>
      <c r="AN76" s="433" t="s">
        <v>13535</v>
      </c>
      <c r="AO76" s="433" t="s">
        <v>13535</v>
      </c>
      <c r="AP76" s="433" t="s">
        <v>13535</v>
      </c>
    </row>
    <row r="77" spans="2:42">
      <c r="B77" s="430" t="s">
        <v>357</v>
      </c>
      <c r="C77" s="430" t="s">
        <v>13531</v>
      </c>
      <c r="D77" s="430" t="s">
        <v>13538</v>
      </c>
      <c r="E77" s="430" t="s">
        <v>360</v>
      </c>
      <c r="F77" s="430" t="s">
        <v>334</v>
      </c>
      <c r="G77" s="430" t="s">
        <v>337</v>
      </c>
      <c r="H77" s="430" t="s">
        <v>334</v>
      </c>
      <c r="I77" s="503">
        <v>0</v>
      </c>
      <c r="J77" s="433">
        <v>1.3842267363394099E-3</v>
      </c>
      <c r="K77" s="433" t="s">
        <v>13535</v>
      </c>
      <c r="L77" s="433" t="s">
        <v>13535</v>
      </c>
      <c r="M77" s="433" t="s">
        <v>13535</v>
      </c>
      <c r="N77" s="433" t="s">
        <v>13535</v>
      </c>
      <c r="O77" s="433" t="s">
        <v>13535</v>
      </c>
      <c r="P77" s="433" t="s">
        <v>13535</v>
      </c>
      <c r="Q77" s="433" t="s">
        <v>13535</v>
      </c>
      <c r="R77" s="433" t="s">
        <v>13535</v>
      </c>
      <c r="S77" s="433" t="s">
        <v>13535</v>
      </c>
      <c r="T77" s="433" t="s">
        <v>13535</v>
      </c>
      <c r="U77" s="433" t="s">
        <v>13535</v>
      </c>
      <c r="V77" s="433" t="s">
        <v>13535</v>
      </c>
      <c r="W77" s="433" t="s">
        <v>13535</v>
      </c>
      <c r="X77" s="433" t="s">
        <v>13535</v>
      </c>
      <c r="Y77" s="433" t="s">
        <v>13535</v>
      </c>
      <c r="Z77" s="433" t="s">
        <v>13535</v>
      </c>
      <c r="AA77" s="433" t="s">
        <v>13535</v>
      </c>
      <c r="AB77" s="433" t="s">
        <v>13535</v>
      </c>
      <c r="AC77" s="433" t="s">
        <v>13535</v>
      </c>
      <c r="AD77" s="433" t="s">
        <v>13535</v>
      </c>
      <c r="AE77" s="433" t="s">
        <v>13535</v>
      </c>
      <c r="AF77" s="433" t="s">
        <v>13535</v>
      </c>
      <c r="AG77" s="433" t="s">
        <v>13535</v>
      </c>
      <c r="AH77" s="433" t="s">
        <v>13535</v>
      </c>
      <c r="AI77" s="433" t="s">
        <v>13535</v>
      </c>
      <c r="AJ77" s="433" t="s">
        <v>13535</v>
      </c>
      <c r="AK77" s="433" t="s">
        <v>13535</v>
      </c>
      <c r="AL77" s="433" t="s">
        <v>13535</v>
      </c>
      <c r="AM77" s="433" t="s">
        <v>13535</v>
      </c>
      <c r="AN77" s="433" t="s">
        <v>13535</v>
      </c>
      <c r="AO77" s="433" t="s">
        <v>13535</v>
      </c>
      <c r="AP77" s="433" t="s">
        <v>13535</v>
      </c>
    </row>
    <row r="78" spans="2:42">
      <c r="B78" s="430" t="s">
        <v>357</v>
      </c>
      <c r="C78" s="430" t="s">
        <v>13531</v>
      </c>
      <c r="D78" s="430" t="s">
        <v>13539</v>
      </c>
      <c r="E78" s="430" t="s">
        <v>360</v>
      </c>
      <c r="F78" s="430" t="s">
        <v>334</v>
      </c>
      <c r="G78" s="430" t="s">
        <v>337</v>
      </c>
      <c r="H78" s="430" t="s">
        <v>334</v>
      </c>
      <c r="I78" s="503">
        <v>0</v>
      </c>
      <c r="J78" s="433">
        <v>133.231823372668</v>
      </c>
      <c r="K78" s="433" t="s">
        <v>13535</v>
      </c>
      <c r="L78" s="433" t="s">
        <v>13535</v>
      </c>
      <c r="M78" s="433" t="s">
        <v>13535</v>
      </c>
      <c r="N78" s="433" t="s">
        <v>13535</v>
      </c>
      <c r="O78" s="433" t="s">
        <v>13535</v>
      </c>
      <c r="P78" s="433" t="s">
        <v>13535</v>
      </c>
      <c r="Q78" s="433" t="s">
        <v>13535</v>
      </c>
      <c r="R78" s="433" t="s">
        <v>13535</v>
      </c>
      <c r="S78" s="433" t="s">
        <v>13535</v>
      </c>
      <c r="T78" s="433" t="s">
        <v>13535</v>
      </c>
      <c r="U78" s="433" t="s">
        <v>13535</v>
      </c>
      <c r="V78" s="433" t="s">
        <v>13535</v>
      </c>
      <c r="W78" s="433" t="s">
        <v>13535</v>
      </c>
      <c r="X78" s="433" t="s">
        <v>13535</v>
      </c>
      <c r="Y78" s="433" t="s">
        <v>13535</v>
      </c>
      <c r="Z78" s="433" t="s">
        <v>13535</v>
      </c>
      <c r="AA78" s="433" t="s">
        <v>13535</v>
      </c>
      <c r="AB78" s="433" t="s">
        <v>13535</v>
      </c>
      <c r="AC78" s="433" t="s">
        <v>13535</v>
      </c>
      <c r="AD78" s="433" t="s">
        <v>13535</v>
      </c>
      <c r="AE78" s="433" t="s">
        <v>13535</v>
      </c>
      <c r="AF78" s="433" t="s">
        <v>13535</v>
      </c>
      <c r="AG78" s="433" t="s">
        <v>13535</v>
      </c>
      <c r="AH78" s="433" t="s">
        <v>13535</v>
      </c>
      <c r="AI78" s="433" t="s">
        <v>13535</v>
      </c>
      <c r="AJ78" s="433" t="s">
        <v>13535</v>
      </c>
      <c r="AK78" s="433" t="s">
        <v>13535</v>
      </c>
      <c r="AL78" s="433" t="s">
        <v>13535</v>
      </c>
      <c r="AM78" s="433" t="s">
        <v>13535</v>
      </c>
      <c r="AN78" s="433" t="s">
        <v>13535</v>
      </c>
      <c r="AO78" s="433" t="s">
        <v>13535</v>
      </c>
      <c r="AP78" s="433" t="s">
        <v>13535</v>
      </c>
    </row>
    <row r="79" spans="2:42">
      <c r="B79" s="430" t="s">
        <v>13540</v>
      </c>
      <c r="C79" s="430" t="s">
        <v>13531</v>
      </c>
      <c r="D79" s="430" t="s">
        <v>334</v>
      </c>
      <c r="E79" s="430" t="s">
        <v>13542</v>
      </c>
      <c r="F79" s="430" t="s">
        <v>334</v>
      </c>
      <c r="G79" s="430" t="s">
        <v>334</v>
      </c>
      <c r="H79" s="430" t="s">
        <v>334</v>
      </c>
      <c r="I79" s="503">
        <v>0</v>
      </c>
      <c r="J79" s="433">
        <v>0.108</v>
      </c>
      <c r="K79" s="433" t="s">
        <v>13535</v>
      </c>
      <c r="L79" s="433" t="s">
        <v>13535</v>
      </c>
      <c r="M79" s="433" t="s">
        <v>13535</v>
      </c>
      <c r="N79" s="433" t="s">
        <v>13535</v>
      </c>
      <c r="O79" s="433" t="s">
        <v>13535</v>
      </c>
      <c r="P79" s="433" t="s">
        <v>13535</v>
      </c>
      <c r="Q79" s="433" t="s">
        <v>13535</v>
      </c>
      <c r="R79" s="433" t="s">
        <v>13535</v>
      </c>
      <c r="S79" s="433" t="s">
        <v>13535</v>
      </c>
      <c r="T79" s="433" t="s">
        <v>13535</v>
      </c>
      <c r="U79" s="433" t="s">
        <v>13535</v>
      </c>
      <c r="V79" s="433" t="s">
        <v>13535</v>
      </c>
      <c r="W79" s="433" t="s">
        <v>13535</v>
      </c>
      <c r="X79" s="433" t="s">
        <v>13535</v>
      </c>
      <c r="Y79" s="433" t="s">
        <v>13535</v>
      </c>
      <c r="Z79" s="433" t="s">
        <v>13535</v>
      </c>
      <c r="AA79" s="433" t="s">
        <v>13535</v>
      </c>
      <c r="AB79" s="433" t="s">
        <v>13535</v>
      </c>
      <c r="AC79" s="433" t="s">
        <v>13535</v>
      </c>
      <c r="AD79" s="433" t="s">
        <v>13535</v>
      </c>
      <c r="AE79" s="433" t="s">
        <v>13535</v>
      </c>
      <c r="AF79" s="433" t="s">
        <v>13535</v>
      </c>
      <c r="AG79" s="433" t="s">
        <v>13535</v>
      </c>
      <c r="AH79" s="433" t="s">
        <v>13535</v>
      </c>
      <c r="AI79" s="433" t="s">
        <v>13535</v>
      </c>
      <c r="AJ79" s="433" t="s">
        <v>13535</v>
      </c>
      <c r="AK79" s="433" t="s">
        <v>13535</v>
      </c>
      <c r="AL79" s="433" t="s">
        <v>13535</v>
      </c>
      <c r="AM79" s="433" t="s">
        <v>13535</v>
      </c>
      <c r="AN79" s="433" t="s">
        <v>13535</v>
      </c>
      <c r="AO79" s="433" t="s">
        <v>13535</v>
      </c>
      <c r="AP79" s="433" t="s">
        <v>13535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I120"/>
  <sheetViews>
    <sheetView workbookViewId="0"/>
  </sheetViews>
  <sheetFormatPr defaultColWidth="8.7109375" defaultRowHeight="15"/>
  <cols>
    <col min="1" max="1" width="8.7109375" style="430"/>
    <col min="2" max="2" width="11.7109375" style="430" bestFit="1" customWidth="1"/>
    <col min="3" max="3" width="14.28515625" style="430" bestFit="1" customWidth="1"/>
    <col min="4" max="4" width="8.7109375" style="430"/>
    <col min="5" max="5" width="16" style="430" bestFit="1" customWidth="1"/>
    <col min="6" max="6" width="1.42578125" style="430" bestFit="1" customWidth="1"/>
    <col min="7" max="7" width="4.5703125" style="430" bestFit="1" customWidth="1"/>
    <col min="8" max="8" width="4.7109375" style="430" bestFit="1" customWidth="1"/>
    <col min="9" max="9" width="9.5703125" style="430" customWidth="1"/>
    <col min="10" max="16384" width="8.7109375" style="430"/>
  </cols>
  <sheetData>
    <row r="1" spans="1:9">
      <c r="A1" s="430" t="str">
        <f>IF(Index!L2,"TID DATA","")</f>
        <v/>
      </c>
      <c r="B1" s="430" t="s">
        <v>308</v>
      </c>
    </row>
    <row r="2" spans="1:9">
      <c r="B2" s="430" t="s">
        <v>862</v>
      </c>
      <c r="C2" s="430" t="s">
        <v>334</v>
      </c>
      <c r="D2" s="430" t="s">
        <v>1804</v>
      </c>
      <c r="E2" s="430" t="s">
        <v>13495</v>
      </c>
      <c r="F2" s="430" t="s">
        <v>334</v>
      </c>
      <c r="G2" s="430" t="s">
        <v>334</v>
      </c>
      <c r="H2" s="430" t="s">
        <v>334</v>
      </c>
      <c r="I2" s="430">
        <v>1</v>
      </c>
    </row>
    <row r="3" spans="1:9">
      <c r="B3" s="430" t="s">
        <v>862</v>
      </c>
      <c r="C3" s="430" t="s">
        <v>334</v>
      </c>
      <c r="D3" s="430" t="s">
        <v>1804</v>
      </c>
      <c r="E3" s="430" t="s">
        <v>13499</v>
      </c>
      <c r="F3" s="430" t="s">
        <v>334</v>
      </c>
      <c r="G3" s="430" t="s">
        <v>334</v>
      </c>
      <c r="H3" s="430" t="s">
        <v>334</v>
      </c>
      <c r="I3" s="430">
        <v>1</v>
      </c>
    </row>
    <row r="4" spans="1:9">
      <c r="B4" s="430" t="s">
        <v>862</v>
      </c>
      <c r="C4" s="430" t="s">
        <v>334</v>
      </c>
      <c r="D4" s="430" t="s">
        <v>1804</v>
      </c>
      <c r="E4" s="430" t="s">
        <v>13503</v>
      </c>
      <c r="F4" s="430" t="s">
        <v>334</v>
      </c>
      <c r="G4" s="430" t="s">
        <v>334</v>
      </c>
      <c r="H4" s="430" t="s">
        <v>334</v>
      </c>
      <c r="I4" s="430">
        <v>1</v>
      </c>
    </row>
    <row r="5" spans="1:9">
      <c r="B5" s="430" t="s">
        <v>862</v>
      </c>
      <c r="C5" s="430" t="s">
        <v>334</v>
      </c>
      <c r="D5" s="430" t="s">
        <v>1804</v>
      </c>
      <c r="E5" s="430" t="s">
        <v>13505</v>
      </c>
      <c r="F5" s="430" t="s">
        <v>334</v>
      </c>
      <c r="G5" s="430" t="s">
        <v>334</v>
      </c>
      <c r="H5" s="430" t="s">
        <v>334</v>
      </c>
      <c r="I5" s="430">
        <v>1</v>
      </c>
    </row>
    <row r="6" spans="1:9">
      <c r="B6" s="430" t="s">
        <v>862</v>
      </c>
      <c r="C6" s="430" t="s">
        <v>334</v>
      </c>
      <c r="D6" s="430" t="s">
        <v>558</v>
      </c>
      <c r="E6" s="430" t="s">
        <v>13495</v>
      </c>
      <c r="F6" s="430" t="s">
        <v>334</v>
      </c>
      <c r="G6" s="430" t="s">
        <v>334</v>
      </c>
      <c r="H6" s="430" t="s">
        <v>334</v>
      </c>
      <c r="I6" s="430">
        <v>1</v>
      </c>
    </row>
    <row r="7" spans="1:9">
      <c r="B7" s="430" t="s">
        <v>862</v>
      </c>
      <c r="C7" s="430" t="s">
        <v>334</v>
      </c>
      <c r="D7" s="430" t="s">
        <v>558</v>
      </c>
      <c r="E7" s="430" t="s">
        <v>13499</v>
      </c>
      <c r="F7" s="430" t="s">
        <v>334</v>
      </c>
      <c r="G7" s="430" t="s">
        <v>334</v>
      </c>
      <c r="H7" s="430" t="s">
        <v>334</v>
      </c>
      <c r="I7" s="430">
        <v>1</v>
      </c>
    </row>
    <row r="8" spans="1:9">
      <c r="B8" s="430" t="s">
        <v>862</v>
      </c>
      <c r="C8" s="430" t="s">
        <v>334</v>
      </c>
      <c r="D8" s="430" t="s">
        <v>558</v>
      </c>
      <c r="E8" s="430" t="s">
        <v>13503</v>
      </c>
      <c r="F8" s="430" t="s">
        <v>334</v>
      </c>
      <c r="G8" s="430" t="s">
        <v>334</v>
      </c>
      <c r="H8" s="430" t="s">
        <v>334</v>
      </c>
      <c r="I8" s="430">
        <v>1</v>
      </c>
    </row>
    <row r="9" spans="1:9">
      <c r="B9" s="430" t="s">
        <v>862</v>
      </c>
      <c r="C9" s="430" t="s">
        <v>334</v>
      </c>
      <c r="D9" s="430" t="s">
        <v>558</v>
      </c>
      <c r="E9" s="430" t="s">
        <v>13505</v>
      </c>
      <c r="F9" s="430" t="s">
        <v>334</v>
      </c>
      <c r="G9" s="430" t="s">
        <v>334</v>
      </c>
      <c r="H9" s="430" t="s">
        <v>334</v>
      </c>
      <c r="I9" s="430">
        <v>1</v>
      </c>
    </row>
    <row r="10" spans="1:9">
      <c r="B10" s="430" t="s">
        <v>862</v>
      </c>
      <c r="C10" s="430" t="s">
        <v>334</v>
      </c>
      <c r="D10" s="430" t="s">
        <v>558</v>
      </c>
      <c r="E10" s="430" t="s">
        <v>13507</v>
      </c>
      <c r="F10" s="430" t="s">
        <v>334</v>
      </c>
      <c r="G10" s="430" t="s">
        <v>334</v>
      </c>
      <c r="H10" s="430" t="s">
        <v>334</v>
      </c>
      <c r="I10" s="430">
        <v>1</v>
      </c>
    </row>
    <row r="11" spans="1:9">
      <c r="B11" s="430" t="s">
        <v>862</v>
      </c>
      <c r="C11" s="430" t="s">
        <v>334</v>
      </c>
      <c r="D11" s="430" t="s">
        <v>558</v>
      </c>
      <c r="E11" s="430" t="s">
        <v>13510</v>
      </c>
      <c r="F11" s="430" t="s">
        <v>334</v>
      </c>
      <c r="G11" s="430" t="s">
        <v>334</v>
      </c>
      <c r="H11" s="430" t="s">
        <v>334</v>
      </c>
      <c r="I11" s="430">
        <v>1</v>
      </c>
    </row>
    <row r="12" spans="1:9">
      <c r="B12" s="430" t="s">
        <v>862</v>
      </c>
      <c r="C12" s="430" t="s">
        <v>334</v>
      </c>
      <c r="D12" s="430" t="s">
        <v>555</v>
      </c>
      <c r="E12" s="430" t="s">
        <v>13495</v>
      </c>
      <c r="F12" s="430" t="s">
        <v>334</v>
      </c>
      <c r="G12" s="430" t="s">
        <v>334</v>
      </c>
      <c r="H12" s="430" t="s">
        <v>334</v>
      </c>
      <c r="I12" s="430">
        <v>1</v>
      </c>
    </row>
    <row r="13" spans="1:9">
      <c r="B13" s="430" t="s">
        <v>862</v>
      </c>
      <c r="C13" s="430" t="s">
        <v>334</v>
      </c>
      <c r="D13" s="430" t="s">
        <v>555</v>
      </c>
      <c r="E13" s="430" t="s">
        <v>13499</v>
      </c>
      <c r="F13" s="430" t="s">
        <v>334</v>
      </c>
      <c r="G13" s="430" t="s">
        <v>334</v>
      </c>
      <c r="H13" s="430" t="s">
        <v>334</v>
      </c>
      <c r="I13" s="430">
        <v>1</v>
      </c>
    </row>
    <row r="14" spans="1:9">
      <c r="B14" s="430" t="s">
        <v>862</v>
      </c>
      <c r="C14" s="430" t="s">
        <v>334</v>
      </c>
      <c r="D14" s="430" t="s">
        <v>555</v>
      </c>
      <c r="E14" s="430" t="s">
        <v>13503</v>
      </c>
      <c r="F14" s="430" t="s">
        <v>334</v>
      </c>
      <c r="G14" s="430" t="s">
        <v>334</v>
      </c>
      <c r="H14" s="430" t="s">
        <v>334</v>
      </c>
      <c r="I14" s="430">
        <v>1</v>
      </c>
    </row>
    <row r="15" spans="1:9">
      <c r="B15" s="430" t="s">
        <v>862</v>
      </c>
      <c r="C15" s="430" t="s">
        <v>334</v>
      </c>
      <c r="D15" s="430" t="s">
        <v>555</v>
      </c>
      <c r="E15" s="430" t="s">
        <v>13505</v>
      </c>
      <c r="F15" s="430" t="s">
        <v>334</v>
      </c>
      <c r="G15" s="430" t="s">
        <v>334</v>
      </c>
      <c r="H15" s="430" t="s">
        <v>334</v>
      </c>
      <c r="I15" s="430">
        <v>1</v>
      </c>
    </row>
    <row r="16" spans="1:9">
      <c r="B16" s="430" t="s">
        <v>862</v>
      </c>
      <c r="C16" s="430" t="s">
        <v>334</v>
      </c>
      <c r="D16" s="430" t="s">
        <v>555</v>
      </c>
      <c r="E16" s="430" t="s">
        <v>13507</v>
      </c>
      <c r="F16" s="430" t="s">
        <v>334</v>
      </c>
      <c r="G16" s="430" t="s">
        <v>334</v>
      </c>
      <c r="H16" s="430" t="s">
        <v>334</v>
      </c>
      <c r="I16" s="430">
        <v>1</v>
      </c>
    </row>
    <row r="17" spans="2:9">
      <c r="B17" s="430" t="s">
        <v>862</v>
      </c>
      <c r="C17" s="430" t="s">
        <v>334</v>
      </c>
      <c r="D17" s="430" t="s">
        <v>555</v>
      </c>
      <c r="E17" s="430" t="s">
        <v>13510</v>
      </c>
      <c r="F17" s="430" t="s">
        <v>334</v>
      </c>
      <c r="G17" s="430" t="s">
        <v>334</v>
      </c>
      <c r="H17" s="430" t="s">
        <v>334</v>
      </c>
      <c r="I17" s="430">
        <v>1</v>
      </c>
    </row>
    <row r="18" spans="2:9">
      <c r="B18" s="430" t="s">
        <v>862</v>
      </c>
      <c r="C18" s="430" t="s">
        <v>334</v>
      </c>
      <c r="D18" s="430" t="s">
        <v>547</v>
      </c>
      <c r="E18" s="430" t="s">
        <v>13495</v>
      </c>
      <c r="F18" s="430" t="s">
        <v>334</v>
      </c>
      <c r="G18" s="430" t="s">
        <v>334</v>
      </c>
      <c r="H18" s="430" t="s">
        <v>334</v>
      </c>
      <c r="I18" s="430">
        <v>1</v>
      </c>
    </row>
    <row r="19" spans="2:9">
      <c r="B19" s="430" t="s">
        <v>862</v>
      </c>
      <c r="C19" s="430" t="s">
        <v>334</v>
      </c>
      <c r="D19" s="430" t="s">
        <v>547</v>
      </c>
      <c r="E19" s="430" t="s">
        <v>13499</v>
      </c>
      <c r="F19" s="430" t="s">
        <v>334</v>
      </c>
      <c r="G19" s="430" t="s">
        <v>334</v>
      </c>
      <c r="H19" s="430" t="s">
        <v>334</v>
      </c>
      <c r="I19" s="430">
        <v>1</v>
      </c>
    </row>
    <row r="20" spans="2:9">
      <c r="B20" s="430" t="s">
        <v>862</v>
      </c>
      <c r="C20" s="430" t="s">
        <v>334</v>
      </c>
      <c r="D20" s="430" t="s">
        <v>547</v>
      </c>
      <c r="E20" s="430" t="s">
        <v>13503</v>
      </c>
      <c r="F20" s="430" t="s">
        <v>334</v>
      </c>
      <c r="G20" s="430" t="s">
        <v>334</v>
      </c>
      <c r="H20" s="430" t="s">
        <v>334</v>
      </c>
      <c r="I20" s="430">
        <v>1</v>
      </c>
    </row>
    <row r="21" spans="2:9">
      <c r="B21" s="430" t="s">
        <v>862</v>
      </c>
      <c r="C21" s="430" t="s">
        <v>334</v>
      </c>
      <c r="D21" s="430" t="s">
        <v>547</v>
      </c>
      <c r="E21" s="430" t="s">
        <v>13505</v>
      </c>
      <c r="F21" s="430" t="s">
        <v>334</v>
      </c>
      <c r="G21" s="430" t="s">
        <v>334</v>
      </c>
      <c r="H21" s="430" t="s">
        <v>334</v>
      </c>
      <c r="I21" s="430">
        <v>1</v>
      </c>
    </row>
    <row r="22" spans="2:9">
      <c r="B22" s="430" t="s">
        <v>862</v>
      </c>
      <c r="C22" s="430" t="s">
        <v>334</v>
      </c>
      <c r="D22" s="430" t="s">
        <v>547</v>
      </c>
      <c r="E22" s="430" t="s">
        <v>13507</v>
      </c>
      <c r="F22" s="430" t="s">
        <v>334</v>
      </c>
      <c r="G22" s="430" t="s">
        <v>334</v>
      </c>
      <c r="H22" s="430" t="s">
        <v>334</v>
      </c>
      <c r="I22" s="430">
        <v>1</v>
      </c>
    </row>
    <row r="23" spans="2:9">
      <c r="B23" s="430" t="s">
        <v>862</v>
      </c>
      <c r="C23" s="430" t="s">
        <v>334</v>
      </c>
      <c r="D23" s="430" t="s">
        <v>547</v>
      </c>
      <c r="E23" s="430" t="s">
        <v>13510</v>
      </c>
      <c r="F23" s="430" t="s">
        <v>334</v>
      </c>
      <c r="G23" s="430" t="s">
        <v>334</v>
      </c>
      <c r="H23" s="430" t="s">
        <v>334</v>
      </c>
      <c r="I23" s="430">
        <v>1</v>
      </c>
    </row>
    <row r="24" spans="2:9">
      <c r="B24" s="430" t="s">
        <v>862</v>
      </c>
      <c r="C24" s="430" t="s">
        <v>334</v>
      </c>
      <c r="D24" s="430" t="s">
        <v>549</v>
      </c>
      <c r="E24" s="430" t="s">
        <v>13507</v>
      </c>
      <c r="F24" s="430" t="s">
        <v>334</v>
      </c>
      <c r="G24" s="430" t="s">
        <v>334</v>
      </c>
      <c r="H24" s="430" t="s">
        <v>334</v>
      </c>
      <c r="I24" s="430">
        <v>1</v>
      </c>
    </row>
    <row r="25" spans="2:9">
      <c r="B25" s="430" t="s">
        <v>862</v>
      </c>
      <c r="C25" s="430" t="s">
        <v>334</v>
      </c>
      <c r="D25" s="430" t="s">
        <v>549</v>
      </c>
      <c r="E25" s="430" t="s">
        <v>13510</v>
      </c>
      <c r="F25" s="430" t="s">
        <v>334</v>
      </c>
      <c r="G25" s="430" t="s">
        <v>334</v>
      </c>
      <c r="H25" s="430" t="s">
        <v>334</v>
      </c>
      <c r="I25" s="430">
        <v>1</v>
      </c>
    </row>
    <row r="26" spans="2:9">
      <c r="B26" s="430" t="s">
        <v>862</v>
      </c>
      <c r="C26" s="430" t="s">
        <v>334</v>
      </c>
      <c r="D26" s="430" t="s">
        <v>592</v>
      </c>
      <c r="E26" s="430" t="s">
        <v>13495</v>
      </c>
      <c r="F26" s="430" t="s">
        <v>334</v>
      </c>
      <c r="G26" s="430" t="s">
        <v>334</v>
      </c>
      <c r="H26" s="430" t="s">
        <v>334</v>
      </c>
      <c r="I26" s="430">
        <v>1</v>
      </c>
    </row>
    <row r="27" spans="2:9">
      <c r="B27" s="430" t="s">
        <v>862</v>
      </c>
      <c r="C27" s="430" t="s">
        <v>334</v>
      </c>
      <c r="D27" s="430" t="s">
        <v>592</v>
      </c>
      <c r="E27" s="430" t="s">
        <v>13499</v>
      </c>
      <c r="F27" s="430" t="s">
        <v>334</v>
      </c>
      <c r="G27" s="430" t="s">
        <v>334</v>
      </c>
      <c r="H27" s="430" t="s">
        <v>334</v>
      </c>
      <c r="I27" s="430">
        <v>1</v>
      </c>
    </row>
    <row r="28" spans="2:9">
      <c r="B28" s="430" t="s">
        <v>862</v>
      </c>
      <c r="C28" s="430" t="s">
        <v>334</v>
      </c>
      <c r="D28" s="430" t="s">
        <v>592</v>
      </c>
      <c r="E28" s="430" t="s">
        <v>13503</v>
      </c>
      <c r="F28" s="430" t="s">
        <v>334</v>
      </c>
      <c r="G28" s="430" t="s">
        <v>334</v>
      </c>
      <c r="H28" s="430" t="s">
        <v>334</v>
      </c>
      <c r="I28" s="430">
        <v>1</v>
      </c>
    </row>
    <row r="29" spans="2:9">
      <c r="B29" s="430" t="s">
        <v>862</v>
      </c>
      <c r="C29" s="430" t="s">
        <v>334</v>
      </c>
      <c r="D29" s="430" t="s">
        <v>592</v>
      </c>
      <c r="E29" s="430" t="s">
        <v>13505</v>
      </c>
      <c r="F29" s="430" t="s">
        <v>334</v>
      </c>
      <c r="G29" s="430" t="s">
        <v>334</v>
      </c>
      <c r="H29" s="430" t="s">
        <v>334</v>
      </c>
      <c r="I29" s="430">
        <v>1</v>
      </c>
    </row>
    <row r="30" spans="2:9">
      <c r="B30" s="430" t="s">
        <v>862</v>
      </c>
      <c r="C30" s="430" t="s">
        <v>334</v>
      </c>
      <c r="D30" s="430" t="s">
        <v>592</v>
      </c>
      <c r="E30" s="430" t="s">
        <v>13507</v>
      </c>
      <c r="F30" s="430" t="s">
        <v>334</v>
      </c>
      <c r="G30" s="430" t="s">
        <v>334</v>
      </c>
      <c r="H30" s="430" t="s">
        <v>334</v>
      </c>
      <c r="I30" s="430">
        <v>1</v>
      </c>
    </row>
    <row r="31" spans="2:9">
      <c r="B31" s="430" t="s">
        <v>862</v>
      </c>
      <c r="C31" s="430" t="s">
        <v>334</v>
      </c>
      <c r="D31" s="430" t="s">
        <v>592</v>
      </c>
      <c r="E31" s="430" t="s">
        <v>13510</v>
      </c>
      <c r="F31" s="430" t="s">
        <v>334</v>
      </c>
      <c r="G31" s="430" t="s">
        <v>334</v>
      </c>
      <c r="H31" s="430" t="s">
        <v>334</v>
      </c>
      <c r="I31" s="430">
        <v>1</v>
      </c>
    </row>
    <row r="32" spans="2:9">
      <c r="B32" s="430" t="s">
        <v>862</v>
      </c>
      <c r="C32" s="430" t="s">
        <v>334</v>
      </c>
      <c r="D32" s="430" t="s">
        <v>551</v>
      </c>
      <c r="E32" s="430" t="s">
        <v>13495</v>
      </c>
      <c r="F32" s="430" t="s">
        <v>334</v>
      </c>
      <c r="G32" s="430" t="s">
        <v>334</v>
      </c>
      <c r="H32" s="430" t="s">
        <v>334</v>
      </c>
      <c r="I32" s="430">
        <v>1</v>
      </c>
    </row>
    <row r="33" spans="2:9">
      <c r="B33" s="430" t="s">
        <v>862</v>
      </c>
      <c r="C33" s="430" t="s">
        <v>334</v>
      </c>
      <c r="D33" s="430" t="s">
        <v>551</v>
      </c>
      <c r="E33" s="430" t="s">
        <v>13499</v>
      </c>
      <c r="F33" s="430" t="s">
        <v>334</v>
      </c>
      <c r="G33" s="430" t="s">
        <v>334</v>
      </c>
      <c r="H33" s="430" t="s">
        <v>334</v>
      </c>
      <c r="I33" s="430">
        <v>1</v>
      </c>
    </row>
    <row r="34" spans="2:9">
      <c r="B34" s="430" t="s">
        <v>862</v>
      </c>
      <c r="C34" s="430" t="s">
        <v>334</v>
      </c>
      <c r="D34" s="430" t="s">
        <v>551</v>
      </c>
      <c r="E34" s="430" t="s">
        <v>13503</v>
      </c>
      <c r="F34" s="430" t="s">
        <v>334</v>
      </c>
      <c r="G34" s="430" t="s">
        <v>334</v>
      </c>
      <c r="H34" s="430" t="s">
        <v>334</v>
      </c>
      <c r="I34" s="430">
        <v>1</v>
      </c>
    </row>
    <row r="35" spans="2:9">
      <c r="B35" s="430" t="s">
        <v>862</v>
      </c>
      <c r="C35" s="430" t="s">
        <v>334</v>
      </c>
      <c r="D35" s="430" t="s">
        <v>551</v>
      </c>
      <c r="E35" s="430" t="s">
        <v>13505</v>
      </c>
      <c r="F35" s="430" t="s">
        <v>334</v>
      </c>
      <c r="G35" s="430" t="s">
        <v>334</v>
      </c>
      <c r="H35" s="430" t="s">
        <v>334</v>
      </c>
      <c r="I35" s="430">
        <v>1</v>
      </c>
    </row>
    <row r="36" spans="2:9">
      <c r="B36" s="430" t="s">
        <v>862</v>
      </c>
      <c r="C36" s="430" t="s">
        <v>334</v>
      </c>
      <c r="D36" s="430" t="s">
        <v>551</v>
      </c>
      <c r="E36" s="430" t="s">
        <v>13507</v>
      </c>
      <c r="F36" s="430" t="s">
        <v>334</v>
      </c>
      <c r="G36" s="430" t="s">
        <v>334</v>
      </c>
      <c r="H36" s="430" t="s">
        <v>334</v>
      </c>
      <c r="I36" s="430">
        <v>1</v>
      </c>
    </row>
    <row r="37" spans="2:9">
      <c r="B37" s="430" t="s">
        <v>862</v>
      </c>
      <c r="C37" s="430" t="s">
        <v>334</v>
      </c>
      <c r="D37" s="430" t="s">
        <v>551</v>
      </c>
      <c r="E37" s="430" t="s">
        <v>13510</v>
      </c>
      <c r="F37" s="430" t="s">
        <v>334</v>
      </c>
      <c r="G37" s="430" t="s">
        <v>334</v>
      </c>
      <c r="H37" s="430" t="s">
        <v>334</v>
      </c>
      <c r="I37" s="430">
        <v>1</v>
      </c>
    </row>
    <row r="38" spans="2:9">
      <c r="B38" s="430" t="s">
        <v>862</v>
      </c>
      <c r="C38" s="430" t="s">
        <v>334</v>
      </c>
      <c r="D38" s="430" t="s">
        <v>594</v>
      </c>
      <c r="E38" s="430" t="s">
        <v>13495</v>
      </c>
      <c r="F38" s="430" t="s">
        <v>334</v>
      </c>
      <c r="G38" s="430" t="s">
        <v>334</v>
      </c>
      <c r="H38" s="430" t="s">
        <v>334</v>
      </c>
      <c r="I38" s="430">
        <v>1</v>
      </c>
    </row>
    <row r="39" spans="2:9">
      <c r="B39" s="430" t="s">
        <v>862</v>
      </c>
      <c r="C39" s="430" t="s">
        <v>334</v>
      </c>
      <c r="D39" s="430" t="s">
        <v>594</v>
      </c>
      <c r="E39" s="430" t="s">
        <v>13499</v>
      </c>
      <c r="F39" s="430" t="s">
        <v>334</v>
      </c>
      <c r="G39" s="430" t="s">
        <v>334</v>
      </c>
      <c r="H39" s="430" t="s">
        <v>334</v>
      </c>
      <c r="I39" s="430">
        <v>1</v>
      </c>
    </row>
    <row r="40" spans="2:9">
      <c r="B40" s="430" t="s">
        <v>862</v>
      </c>
      <c r="C40" s="430" t="s">
        <v>334</v>
      </c>
      <c r="D40" s="430" t="s">
        <v>594</v>
      </c>
      <c r="E40" s="430" t="s">
        <v>13503</v>
      </c>
      <c r="F40" s="430" t="s">
        <v>334</v>
      </c>
      <c r="G40" s="430" t="s">
        <v>334</v>
      </c>
      <c r="H40" s="430" t="s">
        <v>334</v>
      </c>
      <c r="I40" s="430">
        <v>1</v>
      </c>
    </row>
    <row r="41" spans="2:9">
      <c r="B41" s="430" t="s">
        <v>862</v>
      </c>
      <c r="C41" s="430" t="s">
        <v>334</v>
      </c>
      <c r="D41" s="430" t="s">
        <v>594</v>
      </c>
      <c r="E41" s="430" t="s">
        <v>13505</v>
      </c>
      <c r="F41" s="430" t="s">
        <v>334</v>
      </c>
      <c r="G41" s="430" t="s">
        <v>334</v>
      </c>
      <c r="H41" s="430" t="s">
        <v>334</v>
      </c>
      <c r="I41" s="430">
        <v>1</v>
      </c>
    </row>
    <row r="42" spans="2:9">
      <c r="B42" s="430" t="s">
        <v>862</v>
      </c>
      <c r="C42" s="430" t="s">
        <v>334</v>
      </c>
      <c r="D42" s="430" t="s">
        <v>594</v>
      </c>
      <c r="E42" s="430" t="s">
        <v>13507</v>
      </c>
      <c r="F42" s="430" t="s">
        <v>334</v>
      </c>
      <c r="G42" s="430" t="s">
        <v>334</v>
      </c>
      <c r="H42" s="430" t="s">
        <v>334</v>
      </c>
      <c r="I42" s="430">
        <v>1</v>
      </c>
    </row>
    <row r="43" spans="2:9">
      <c r="B43" s="430" t="s">
        <v>862</v>
      </c>
      <c r="C43" s="430" t="s">
        <v>334</v>
      </c>
      <c r="D43" s="430" t="s">
        <v>594</v>
      </c>
      <c r="E43" s="430" t="s">
        <v>13510</v>
      </c>
      <c r="F43" s="430" t="s">
        <v>334</v>
      </c>
      <c r="G43" s="430" t="s">
        <v>334</v>
      </c>
      <c r="H43" s="430" t="s">
        <v>334</v>
      </c>
      <c r="I43" s="430">
        <v>1</v>
      </c>
    </row>
    <row r="44" spans="2:9">
      <c r="B44" s="430" t="s">
        <v>862</v>
      </c>
      <c r="C44" s="430" t="s">
        <v>334</v>
      </c>
      <c r="D44" s="430" t="s">
        <v>13517</v>
      </c>
      <c r="E44" s="430" t="s">
        <v>13555</v>
      </c>
      <c r="F44" s="430" t="s">
        <v>334</v>
      </c>
      <c r="G44" s="430" t="s">
        <v>334</v>
      </c>
      <c r="H44" s="430" t="s">
        <v>334</v>
      </c>
      <c r="I44" s="430">
        <v>1</v>
      </c>
    </row>
    <row r="45" spans="2:9">
      <c r="B45" s="430" t="s">
        <v>862</v>
      </c>
      <c r="C45" s="430" t="s">
        <v>334</v>
      </c>
      <c r="D45" s="430" t="s">
        <v>13517</v>
      </c>
      <c r="E45" s="430" t="s">
        <v>13497</v>
      </c>
      <c r="F45" s="430" t="s">
        <v>334</v>
      </c>
      <c r="G45" s="430" t="s">
        <v>334</v>
      </c>
      <c r="H45" s="430" t="s">
        <v>334</v>
      </c>
      <c r="I45" s="430">
        <v>1</v>
      </c>
    </row>
    <row r="46" spans="2:9">
      <c r="B46" s="430" t="s">
        <v>862</v>
      </c>
      <c r="C46" s="430" t="s">
        <v>334</v>
      </c>
      <c r="D46" s="430" t="s">
        <v>13519</v>
      </c>
      <c r="E46" s="430" t="s">
        <v>13555</v>
      </c>
      <c r="F46" s="430" t="s">
        <v>334</v>
      </c>
      <c r="G46" s="430" t="s">
        <v>334</v>
      </c>
      <c r="H46" s="430" t="s">
        <v>334</v>
      </c>
      <c r="I46" s="430">
        <v>1</v>
      </c>
    </row>
    <row r="47" spans="2:9">
      <c r="B47" s="430" t="s">
        <v>862</v>
      </c>
      <c r="C47" s="430" t="s">
        <v>334</v>
      </c>
      <c r="D47" s="430" t="s">
        <v>13519</v>
      </c>
      <c r="E47" s="430" t="s">
        <v>13501</v>
      </c>
      <c r="F47" s="430" t="s">
        <v>334</v>
      </c>
      <c r="G47" s="430" t="s">
        <v>334</v>
      </c>
      <c r="H47" s="430" t="s">
        <v>334</v>
      </c>
      <c r="I47" s="430">
        <v>1</v>
      </c>
    </row>
    <row r="48" spans="2:9">
      <c r="B48" s="430" t="s">
        <v>862</v>
      </c>
      <c r="C48" s="430" t="s">
        <v>334</v>
      </c>
      <c r="D48" s="430" t="s">
        <v>13519</v>
      </c>
      <c r="E48" s="430" t="s">
        <v>13556</v>
      </c>
      <c r="F48" s="430" t="s">
        <v>334</v>
      </c>
      <c r="G48" s="430" t="s">
        <v>334</v>
      </c>
      <c r="H48" s="430" t="s">
        <v>334</v>
      </c>
      <c r="I48" s="430">
        <v>1</v>
      </c>
    </row>
    <row r="49" spans="2:9">
      <c r="B49" s="430" t="s">
        <v>862</v>
      </c>
      <c r="C49" s="430" t="s">
        <v>334</v>
      </c>
      <c r="D49" s="430" t="s">
        <v>13536</v>
      </c>
      <c r="E49" s="430" t="s">
        <v>13497</v>
      </c>
      <c r="F49" s="430" t="s">
        <v>334</v>
      </c>
      <c r="G49" s="430" t="s">
        <v>334</v>
      </c>
      <c r="H49" s="430" t="s">
        <v>334</v>
      </c>
      <c r="I49" s="430">
        <v>1</v>
      </c>
    </row>
    <row r="50" spans="2:9">
      <c r="B50" s="430" t="s">
        <v>862</v>
      </c>
      <c r="C50" s="430" t="s">
        <v>334</v>
      </c>
      <c r="D50" s="430" t="s">
        <v>13536</v>
      </c>
      <c r="E50" s="430" t="s">
        <v>13501</v>
      </c>
      <c r="F50" s="430" t="s">
        <v>334</v>
      </c>
      <c r="G50" s="430" t="s">
        <v>334</v>
      </c>
      <c r="H50" s="430" t="s">
        <v>334</v>
      </c>
      <c r="I50" s="430">
        <v>1</v>
      </c>
    </row>
    <row r="51" spans="2:9">
      <c r="B51" s="430" t="s">
        <v>862</v>
      </c>
      <c r="C51" s="430" t="s">
        <v>334</v>
      </c>
      <c r="D51" s="430" t="s">
        <v>13536</v>
      </c>
      <c r="E51" s="430" t="s">
        <v>13509</v>
      </c>
      <c r="F51" s="430" t="s">
        <v>334</v>
      </c>
      <c r="G51" s="430" t="s">
        <v>334</v>
      </c>
      <c r="H51" s="430" t="s">
        <v>334</v>
      </c>
      <c r="I51" s="430">
        <v>1</v>
      </c>
    </row>
    <row r="52" spans="2:9">
      <c r="B52" s="430" t="s">
        <v>862</v>
      </c>
      <c r="C52" s="430" t="s">
        <v>334</v>
      </c>
      <c r="D52" s="430" t="s">
        <v>1893</v>
      </c>
      <c r="E52" s="430" t="s">
        <v>13497</v>
      </c>
      <c r="F52" s="430" t="s">
        <v>334</v>
      </c>
      <c r="G52" s="430" t="s">
        <v>334</v>
      </c>
      <c r="H52" s="430" t="s">
        <v>334</v>
      </c>
      <c r="I52" s="430">
        <v>1</v>
      </c>
    </row>
    <row r="53" spans="2:9">
      <c r="B53" s="430" t="s">
        <v>862</v>
      </c>
      <c r="C53" s="430" t="s">
        <v>334</v>
      </c>
      <c r="D53" s="430" t="s">
        <v>1893</v>
      </c>
      <c r="E53" s="430" t="s">
        <v>13501</v>
      </c>
      <c r="F53" s="430" t="s">
        <v>334</v>
      </c>
      <c r="G53" s="430" t="s">
        <v>334</v>
      </c>
      <c r="H53" s="430" t="s">
        <v>334</v>
      </c>
      <c r="I53" s="430">
        <v>1</v>
      </c>
    </row>
    <row r="54" spans="2:9">
      <c r="B54" s="430" t="s">
        <v>862</v>
      </c>
      <c r="C54" s="430" t="s">
        <v>334</v>
      </c>
      <c r="D54" s="430" t="s">
        <v>1893</v>
      </c>
      <c r="E54" s="430" t="s">
        <v>13509</v>
      </c>
      <c r="F54" s="430" t="s">
        <v>334</v>
      </c>
      <c r="G54" s="430" t="s">
        <v>334</v>
      </c>
      <c r="H54" s="430" t="s">
        <v>334</v>
      </c>
      <c r="I54" s="430">
        <v>1</v>
      </c>
    </row>
    <row r="55" spans="2:9">
      <c r="B55" s="430" t="s">
        <v>862</v>
      </c>
      <c r="C55" s="430" t="s">
        <v>334</v>
      </c>
      <c r="D55" s="430" t="s">
        <v>13542</v>
      </c>
      <c r="E55" s="430" t="s">
        <v>13501</v>
      </c>
      <c r="F55" s="430" t="s">
        <v>334</v>
      </c>
      <c r="G55" s="430" t="s">
        <v>334</v>
      </c>
      <c r="H55" s="430" t="s">
        <v>334</v>
      </c>
      <c r="I55" s="430">
        <v>1</v>
      </c>
    </row>
    <row r="56" spans="2:9">
      <c r="B56" s="430" t="s">
        <v>862</v>
      </c>
      <c r="C56" s="430" t="s">
        <v>334</v>
      </c>
      <c r="D56" s="430" t="s">
        <v>13537</v>
      </c>
      <c r="E56" s="430" t="s">
        <v>13497</v>
      </c>
      <c r="F56" s="430" t="s">
        <v>334</v>
      </c>
      <c r="G56" s="430" t="s">
        <v>334</v>
      </c>
      <c r="H56" s="430" t="s">
        <v>334</v>
      </c>
      <c r="I56" s="430">
        <v>1</v>
      </c>
    </row>
    <row r="57" spans="2:9">
      <c r="B57" s="430" t="s">
        <v>862</v>
      </c>
      <c r="C57" s="430" t="s">
        <v>334</v>
      </c>
      <c r="D57" s="430" t="s">
        <v>13547</v>
      </c>
      <c r="E57" s="430" t="s">
        <v>13509</v>
      </c>
      <c r="F57" s="430" t="s">
        <v>334</v>
      </c>
      <c r="G57" s="430" t="s">
        <v>334</v>
      </c>
      <c r="H57" s="430" t="s">
        <v>334</v>
      </c>
      <c r="I57" s="430">
        <v>1</v>
      </c>
    </row>
    <row r="58" spans="2:9">
      <c r="B58" s="430" t="s">
        <v>340</v>
      </c>
      <c r="C58" s="430" t="s">
        <v>13521</v>
      </c>
      <c r="D58" s="430" t="s">
        <v>334</v>
      </c>
      <c r="E58" s="430" t="s">
        <v>13499</v>
      </c>
      <c r="F58" s="430" t="s">
        <v>334</v>
      </c>
      <c r="G58" s="430" t="s">
        <v>334</v>
      </c>
      <c r="H58" s="430" t="s">
        <v>334</v>
      </c>
      <c r="I58" s="430">
        <v>1</v>
      </c>
    </row>
    <row r="59" spans="2:9">
      <c r="B59" s="430" t="s">
        <v>342</v>
      </c>
      <c r="C59" s="430" t="s">
        <v>13521</v>
      </c>
      <c r="D59" s="430" t="s">
        <v>334</v>
      </c>
      <c r="E59" s="430" t="s">
        <v>334</v>
      </c>
      <c r="F59" s="430" t="s">
        <v>334</v>
      </c>
      <c r="G59" s="430" t="s">
        <v>334</v>
      </c>
      <c r="H59" s="430" t="s">
        <v>334</v>
      </c>
      <c r="I59" s="430">
        <v>1</v>
      </c>
    </row>
    <row r="60" spans="2:9">
      <c r="B60" s="430" t="s">
        <v>13416</v>
      </c>
      <c r="C60" s="430" t="s">
        <v>13521</v>
      </c>
      <c r="D60" s="430" t="s">
        <v>334</v>
      </c>
      <c r="E60" s="430" t="s">
        <v>334</v>
      </c>
      <c r="F60" s="430" t="s">
        <v>334</v>
      </c>
      <c r="G60" s="430" t="s">
        <v>334</v>
      </c>
      <c r="H60" s="430" t="s">
        <v>334</v>
      </c>
      <c r="I60" s="430">
        <v>2020</v>
      </c>
    </row>
    <row r="61" spans="2:9">
      <c r="B61" s="430" t="s">
        <v>361</v>
      </c>
      <c r="C61" s="430" t="s">
        <v>13521</v>
      </c>
      <c r="D61" s="430" t="s">
        <v>13517</v>
      </c>
      <c r="E61" s="430" t="s">
        <v>334</v>
      </c>
      <c r="F61" s="430" t="s">
        <v>334</v>
      </c>
      <c r="G61" s="430" t="s">
        <v>334</v>
      </c>
      <c r="H61" s="430" t="s">
        <v>334</v>
      </c>
      <c r="I61" s="430">
        <v>1</v>
      </c>
    </row>
    <row r="62" spans="2:9">
      <c r="B62" s="430" t="s">
        <v>361</v>
      </c>
      <c r="C62" s="430" t="s">
        <v>13521</v>
      </c>
      <c r="D62" s="430" t="s">
        <v>13536</v>
      </c>
      <c r="E62" s="430" t="s">
        <v>334</v>
      </c>
      <c r="F62" s="430" t="s">
        <v>334</v>
      </c>
      <c r="G62" s="430" t="s">
        <v>334</v>
      </c>
      <c r="H62" s="430" t="s">
        <v>334</v>
      </c>
      <c r="I62" s="430">
        <v>1</v>
      </c>
    </row>
    <row r="63" spans="2:9">
      <c r="B63" s="430" t="s">
        <v>361</v>
      </c>
      <c r="C63" s="430" t="s">
        <v>13521</v>
      </c>
      <c r="D63" s="430" t="s">
        <v>1893</v>
      </c>
      <c r="E63" s="430" t="s">
        <v>334</v>
      </c>
      <c r="F63" s="430" t="s">
        <v>334</v>
      </c>
      <c r="G63" s="430" t="s">
        <v>334</v>
      </c>
      <c r="H63" s="430" t="s">
        <v>334</v>
      </c>
      <c r="I63" s="430">
        <v>1</v>
      </c>
    </row>
    <row r="64" spans="2:9">
      <c r="B64" s="430" t="s">
        <v>361</v>
      </c>
      <c r="C64" s="430" t="s">
        <v>13521</v>
      </c>
      <c r="D64" s="430" t="s">
        <v>13537</v>
      </c>
      <c r="E64" s="430" t="s">
        <v>334</v>
      </c>
      <c r="F64" s="430" t="s">
        <v>334</v>
      </c>
      <c r="G64" s="430" t="s">
        <v>334</v>
      </c>
      <c r="H64" s="430" t="s">
        <v>334</v>
      </c>
      <c r="I64" s="430">
        <v>1</v>
      </c>
    </row>
    <row r="65" spans="2:9">
      <c r="B65" s="430" t="s">
        <v>361</v>
      </c>
      <c r="C65" s="430" t="s">
        <v>13521</v>
      </c>
      <c r="D65" s="430" t="s">
        <v>13541</v>
      </c>
      <c r="E65" s="430" t="s">
        <v>334</v>
      </c>
      <c r="F65" s="430" t="s">
        <v>334</v>
      </c>
      <c r="G65" s="430" t="s">
        <v>334</v>
      </c>
      <c r="H65" s="430" t="s">
        <v>334</v>
      </c>
      <c r="I65" s="430">
        <v>1</v>
      </c>
    </row>
    <row r="66" spans="2:9">
      <c r="B66" s="430" t="s">
        <v>344</v>
      </c>
      <c r="C66" s="430" t="s">
        <v>13521</v>
      </c>
      <c r="D66" s="430" t="s">
        <v>1804</v>
      </c>
      <c r="E66" s="430" t="s">
        <v>334</v>
      </c>
      <c r="F66" s="430" t="s">
        <v>334</v>
      </c>
      <c r="G66" s="430" t="s">
        <v>334</v>
      </c>
      <c r="H66" s="430" t="s">
        <v>334</v>
      </c>
      <c r="I66" s="430">
        <v>1</v>
      </c>
    </row>
    <row r="67" spans="2:9">
      <c r="B67" s="430" t="s">
        <v>344</v>
      </c>
      <c r="C67" s="430" t="s">
        <v>13521</v>
      </c>
      <c r="D67" s="430" t="s">
        <v>558</v>
      </c>
      <c r="E67" s="430" t="s">
        <v>334</v>
      </c>
      <c r="F67" s="430" t="s">
        <v>334</v>
      </c>
      <c r="G67" s="430" t="s">
        <v>334</v>
      </c>
      <c r="H67" s="430" t="s">
        <v>334</v>
      </c>
      <c r="I67" s="430">
        <v>1</v>
      </c>
    </row>
    <row r="68" spans="2:9">
      <c r="B68" s="430" t="s">
        <v>344</v>
      </c>
      <c r="C68" s="430" t="s">
        <v>13521</v>
      </c>
      <c r="D68" s="430" t="s">
        <v>555</v>
      </c>
      <c r="E68" s="430" t="s">
        <v>334</v>
      </c>
      <c r="F68" s="430" t="s">
        <v>334</v>
      </c>
      <c r="G68" s="430" t="s">
        <v>334</v>
      </c>
      <c r="H68" s="430" t="s">
        <v>334</v>
      </c>
      <c r="I68" s="430">
        <v>1</v>
      </c>
    </row>
    <row r="69" spans="2:9">
      <c r="B69" s="430" t="s">
        <v>344</v>
      </c>
      <c r="C69" s="430" t="s">
        <v>13521</v>
      </c>
      <c r="D69" s="430" t="s">
        <v>547</v>
      </c>
      <c r="E69" s="430" t="s">
        <v>334</v>
      </c>
      <c r="F69" s="430" t="s">
        <v>334</v>
      </c>
      <c r="G69" s="430" t="s">
        <v>334</v>
      </c>
      <c r="H69" s="430" t="s">
        <v>334</v>
      </c>
      <c r="I69" s="430">
        <v>1</v>
      </c>
    </row>
    <row r="70" spans="2:9">
      <c r="B70" s="430" t="s">
        <v>344</v>
      </c>
      <c r="C70" s="430" t="s">
        <v>13521</v>
      </c>
      <c r="D70" s="430" t="s">
        <v>592</v>
      </c>
      <c r="E70" s="430" t="s">
        <v>334</v>
      </c>
      <c r="F70" s="430" t="s">
        <v>334</v>
      </c>
      <c r="G70" s="430" t="s">
        <v>334</v>
      </c>
      <c r="H70" s="430" t="s">
        <v>334</v>
      </c>
      <c r="I70" s="430">
        <v>1</v>
      </c>
    </row>
    <row r="71" spans="2:9">
      <c r="B71" s="430" t="s">
        <v>344</v>
      </c>
      <c r="C71" s="430" t="s">
        <v>13521</v>
      </c>
      <c r="D71" s="430" t="s">
        <v>551</v>
      </c>
      <c r="E71" s="430" t="s">
        <v>334</v>
      </c>
      <c r="F71" s="430" t="s">
        <v>334</v>
      </c>
      <c r="G71" s="430" t="s">
        <v>334</v>
      </c>
      <c r="H71" s="430" t="s">
        <v>334</v>
      </c>
      <c r="I71" s="430">
        <v>1</v>
      </c>
    </row>
    <row r="72" spans="2:9">
      <c r="B72" s="430" t="s">
        <v>344</v>
      </c>
      <c r="C72" s="430" t="s">
        <v>13521</v>
      </c>
      <c r="D72" s="430" t="s">
        <v>594</v>
      </c>
      <c r="E72" s="430" t="s">
        <v>334</v>
      </c>
      <c r="F72" s="430" t="s">
        <v>334</v>
      </c>
      <c r="G72" s="430" t="s">
        <v>334</v>
      </c>
      <c r="H72" s="430" t="s">
        <v>334</v>
      </c>
      <c r="I72" s="430">
        <v>1</v>
      </c>
    </row>
    <row r="73" spans="2:9">
      <c r="B73" s="430" t="s">
        <v>344</v>
      </c>
      <c r="C73" s="430" t="s">
        <v>13521</v>
      </c>
      <c r="D73" s="430" t="str">
        <f>'WAT-TSData'!D40</f>
        <v>CH4SF</v>
      </c>
      <c r="E73" s="430" t="s">
        <v>334</v>
      </c>
      <c r="F73" s="430" t="s">
        <v>334</v>
      </c>
      <c r="G73" s="430" t="s">
        <v>334</v>
      </c>
      <c r="H73" s="430" t="s">
        <v>334</v>
      </c>
      <c r="I73" s="430">
        <v>1</v>
      </c>
    </row>
    <row r="74" spans="2:9">
      <c r="B74" s="430" t="s">
        <v>344</v>
      </c>
      <c r="C74" s="430" t="s">
        <v>13521</v>
      </c>
      <c r="D74" s="430" t="str">
        <f>'WAT-TSData'!D41</f>
        <v>CO2SF</v>
      </c>
      <c r="E74" s="430" t="s">
        <v>334</v>
      </c>
      <c r="F74" s="430" t="s">
        <v>334</v>
      </c>
      <c r="G74" s="430" t="s">
        <v>334</v>
      </c>
      <c r="H74" s="430" t="s">
        <v>334</v>
      </c>
      <c r="I74" s="430">
        <v>1</v>
      </c>
    </row>
    <row r="75" spans="2:9">
      <c r="B75" s="430" t="s">
        <v>340</v>
      </c>
      <c r="C75" s="430" t="s">
        <v>13523</v>
      </c>
      <c r="D75" s="430" t="s">
        <v>334</v>
      </c>
      <c r="E75" s="430" t="s">
        <v>13503</v>
      </c>
      <c r="F75" s="430" t="s">
        <v>334</v>
      </c>
      <c r="G75" s="430" t="s">
        <v>334</v>
      </c>
      <c r="H75" s="430" t="s">
        <v>334</v>
      </c>
      <c r="I75" s="430">
        <v>1</v>
      </c>
    </row>
    <row r="76" spans="2:9">
      <c r="B76" s="430" t="s">
        <v>342</v>
      </c>
      <c r="C76" s="430" t="s">
        <v>13523</v>
      </c>
      <c r="D76" s="430" t="s">
        <v>334</v>
      </c>
      <c r="E76" s="430" t="s">
        <v>334</v>
      </c>
      <c r="F76" s="430" t="s">
        <v>334</v>
      </c>
      <c r="G76" s="430" t="s">
        <v>334</v>
      </c>
      <c r="H76" s="430" t="s">
        <v>334</v>
      </c>
      <c r="I76" s="430">
        <v>1</v>
      </c>
    </row>
    <row r="77" spans="2:9">
      <c r="B77" s="430" t="s">
        <v>361</v>
      </c>
      <c r="C77" s="430" t="s">
        <v>13523</v>
      </c>
      <c r="D77" s="430" t="s">
        <v>13519</v>
      </c>
      <c r="E77" s="430" t="s">
        <v>334</v>
      </c>
      <c r="F77" s="430" t="s">
        <v>334</v>
      </c>
      <c r="G77" s="430" t="s">
        <v>334</v>
      </c>
      <c r="H77" s="430" t="s">
        <v>334</v>
      </c>
      <c r="I77" s="430">
        <v>1</v>
      </c>
    </row>
    <row r="78" spans="2:9">
      <c r="B78" s="430" t="s">
        <v>361</v>
      </c>
      <c r="C78" s="430" t="s">
        <v>13523</v>
      </c>
      <c r="D78" s="430" t="s">
        <v>13536</v>
      </c>
      <c r="E78" s="430" t="s">
        <v>334</v>
      </c>
      <c r="F78" s="430" t="s">
        <v>334</v>
      </c>
      <c r="G78" s="430" t="s">
        <v>334</v>
      </c>
      <c r="H78" s="430" t="s">
        <v>334</v>
      </c>
      <c r="I78" s="430">
        <v>1</v>
      </c>
    </row>
    <row r="79" spans="2:9">
      <c r="B79" s="430" t="s">
        <v>361</v>
      </c>
      <c r="C79" s="430" t="s">
        <v>13523</v>
      </c>
      <c r="D79" s="430" t="s">
        <v>1893</v>
      </c>
      <c r="E79" s="430" t="s">
        <v>334</v>
      </c>
      <c r="F79" s="430" t="s">
        <v>334</v>
      </c>
      <c r="G79" s="430" t="s">
        <v>334</v>
      </c>
      <c r="H79" s="430" t="s">
        <v>334</v>
      </c>
      <c r="I79" s="430">
        <v>1</v>
      </c>
    </row>
    <row r="80" spans="2:9">
      <c r="B80" s="430" t="s">
        <v>361</v>
      </c>
      <c r="C80" s="430" t="s">
        <v>13523</v>
      </c>
      <c r="D80" s="430" t="s">
        <v>13542</v>
      </c>
      <c r="E80" s="430" t="s">
        <v>334</v>
      </c>
      <c r="F80" s="430" t="s">
        <v>334</v>
      </c>
      <c r="G80" s="430" t="s">
        <v>334</v>
      </c>
      <c r="H80" s="430" t="s">
        <v>334</v>
      </c>
      <c r="I80" s="430">
        <v>1</v>
      </c>
    </row>
    <row r="81" spans="2:9">
      <c r="B81" s="430" t="s">
        <v>361</v>
      </c>
      <c r="C81" s="430" t="s">
        <v>13523</v>
      </c>
      <c r="D81" s="430" t="s">
        <v>13543</v>
      </c>
      <c r="E81" s="430" t="s">
        <v>334</v>
      </c>
      <c r="F81" s="430" t="s">
        <v>334</v>
      </c>
      <c r="G81" s="430" t="s">
        <v>334</v>
      </c>
      <c r="H81" s="430" t="s">
        <v>334</v>
      </c>
      <c r="I81" s="430">
        <v>1</v>
      </c>
    </row>
    <row r="82" spans="2:9">
      <c r="B82" s="430" t="s">
        <v>344</v>
      </c>
      <c r="C82" s="430" t="s">
        <v>13523</v>
      </c>
      <c r="D82" s="430" t="s">
        <v>1804</v>
      </c>
      <c r="E82" s="430" t="s">
        <v>334</v>
      </c>
      <c r="F82" s="430" t="s">
        <v>334</v>
      </c>
      <c r="G82" s="430" t="s">
        <v>334</v>
      </c>
      <c r="H82" s="430" t="s">
        <v>334</v>
      </c>
      <c r="I82" s="430">
        <v>1</v>
      </c>
    </row>
    <row r="83" spans="2:9">
      <c r="B83" s="430" t="s">
        <v>344</v>
      </c>
      <c r="C83" s="430" t="s">
        <v>13523</v>
      </c>
      <c r="D83" s="430" t="s">
        <v>558</v>
      </c>
      <c r="E83" s="430" t="s">
        <v>334</v>
      </c>
      <c r="F83" s="430" t="s">
        <v>334</v>
      </c>
      <c r="G83" s="430" t="s">
        <v>334</v>
      </c>
      <c r="H83" s="430" t="s">
        <v>334</v>
      </c>
      <c r="I83" s="430">
        <v>1</v>
      </c>
    </row>
    <row r="84" spans="2:9">
      <c r="B84" s="430" t="s">
        <v>344</v>
      </c>
      <c r="C84" s="430" t="s">
        <v>13523</v>
      </c>
      <c r="D84" s="430" t="s">
        <v>555</v>
      </c>
      <c r="E84" s="430" t="s">
        <v>334</v>
      </c>
      <c r="F84" s="430" t="s">
        <v>334</v>
      </c>
      <c r="G84" s="430" t="s">
        <v>334</v>
      </c>
      <c r="H84" s="430" t="s">
        <v>334</v>
      </c>
      <c r="I84" s="430">
        <v>1</v>
      </c>
    </row>
    <row r="85" spans="2:9">
      <c r="B85" s="430" t="s">
        <v>344</v>
      </c>
      <c r="C85" s="430" t="s">
        <v>13523</v>
      </c>
      <c r="D85" s="430" t="s">
        <v>547</v>
      </c>
      <c r="E85" s="430" t="s">
        <v>334</v>
      </c>
      <c r="F85" s="430" t="s">
        <v>334</v>
      </c>
      <c r="G85" s="430" t="s">
        <v>334</v>
      </c>
      <c r="H85" s="430" t="s">
        <v>334</v>
      </c>
      <c r="I85" s="430">
        <v>1</v>
      </c>
    </row>
    <row r="86" spans="2:9">
      <c r="B86" s="430" t="s">
        <v>344</v>
      </c>
      <c r="C86" s="430" t="s">
        <v>13523</v>
      </c>
      <c r="D86" s="430" t="s">
        <v>592</v>
      </c>
      <c r="E86" s="430" t="s">
        <v>334</v>
      </c>
      <c r="F86" s="430" t="s">
        <v>334</v>
      </c>
      <c r="G86" s="430" t="s">
        <v>334</v>
      </c>
      <c r="H86" s="430" t="s">
        <v>334</v>
      </c>
      <c r="I86" s="430">
        <v>1</v>
      </c>
    </row>
    <row r="87" spans="2:9">
      <c r="B87" s="430" t="s">
        <v>344</v>
      </c>
      <c r="C87" s="430" t="s">
        <v>13523</v>
      </c>
      <c r="D87" s="430" t="s">
        <v>551</v>
      </c>
      <c r="E87" s="430" t="s">
        <v>334</v>
      </c>
      <c r="F87" s="430" t="s">
        <v>334</v>
      </c>
      <c r="G87" s="430" t="s">
        <v>334</v>
      </c>
      <c r="H87" s="430" t="s">
        <v>334</v>
      </c>
      <c r="I87" s="430">
        <v>1</v>
      </c>
    </row>
    <row r="88" spans="2:9">
      <c r="B88" s="430" t="s">
        <v>344</v>
      </c>
      <c r="C88" s="430" t="s">
        <v>13523</v>
      </c>
      <c r="D88" s="430" t="s">
        <v>594</v>
      </c>
      <c r="E88" s="430" t="s">
        <v>334</v>
      </c>
      <c r="F88" s="430" t="s">
        <v>334</v>
      </c>
      <c r="G88" s="430" t="s">
        <v>334</v>
      </c>
      <c r="H88" s="430" t="s">
        <v>334</v>
      </c>
      <c r="I88" s="430">
        <v>1</v>
      </c>
    </row>
    <row r="89" spans="2:9">
      <c r="B89" s="430" t="s">
        <v>344</v>
      </c>
      <c r="C89" s="430" t="s">
        <v>13523</v>
      </c>
      <c r="D89" s="430" t="str">
        <f>D73</f>
        <v>CH4SF</v>
      </c>
      <c r="E89" s="430" t="s">
        <v>334</v>
      </c>
      <c r="F89" s="430" t="s">
        <v>334</v>
      </c>
      <c r="G89" s="430" t="s">
        <v>334</v>
      </c>
      <c r="H89" s="430" t="s">
        <v>334</v>
      </c>
      <c r="I89" s="430">
        <v>1</v>
      </c>
    </row>
    <row r="90" spans="2:9">
      <c r="B90" s="430" t="s">
        <v>344</v>
      </c>
      <c r="C90" s="430" t="s">
        <v>13523</v>
      </c>
      <c r="D90" s="430" t="str">
        <f>D74</f>
        <v>CO2SF</v>
      </c>
      <c r="E90" s="430" t="s">
        <v>334</v>
      </c>
      <c r="F90" s="430" t="s">
        <v>334</v>
      </c>
      <c r="G90" s="430" t="s">
        <v>334</v>
      </c>
      <c r="H90" s="430" t="s">
        <v>334</v>
      </c>
      <c r="I90" s="430">
        <v>1</v>
      </c>
    </row>
    <row r="91" spans="2:9">
      <c r="B91" s="430" t="s">
        <v>340</v>
      </c>
      <c r="C91" s="430" t="s">
        <v>13529</v>
      </c>
      <c r="D91" s="430" t="s">
        <v>334</v>
      </c>
      <c r="E91" s="430" t="s">
        <v>13537</v>
      </c>
      <c r="F91" s="430" t="s">
        <v>334</v>
      </c>
      <c r="G91" s="430" t="s">
        <v>334</v>
      </c>
      <c r="H91" s="430" t="s">
        <v>334</v>
      </c>
      <c r="I91" s="430">
        <v>1</v>
      </c>
    </row>
    <row r="92" spans="2:9">
      <c r="B92" s="430" t="s">
        <v>342</v>
      </c>
      <c r="C92" s="430" t="s">
        <v>13529</v>
      </c>
      <c r="D92" s="430" t="s">
        <v>334</v>
      </c>
      <c r="E92" s="430" t="s">
        <v>334</v>
      </c>
      <c r="F92" s="430" t="s">
        <v>334</v>
      </c>
      <c r="G92" s="430" t="s">
        <v>334</v>
      </c>
      <c r="H92" s="430" t="s">
        <v>334</v>
      </c>
      <c r="I92" s="430">
        <v>1</v>
      </c>
    </row>
    <row r="93" spans="2:9">
      <c r="B93" s="430" t="s">
        <v>361</v>
      </c>
      <c r="C93" s="430" t="s">
        <v>13529</v>
      </c>
      <c r="D93" s="430" t="s">
        <v>13517</v>
      </c>
      <c r="E93" s="430" t="s">
        <v>334</v>
      </c>
      <c r="F93" s="430" t="s">
        <v>334</v>
      </c>
      <c r="G93" s="430" t="s">
        <v>334</v>
      </c>
      <c r="H93" s="430" t="s">
        <v>334</v>
      </c>
      <c r="I93" s="430">
        <v>1</v>
      </c>
    </row>
    <row r="94" spans="2:9">
      <c r="B94" s="430" t="s">
        <v>361</v>
      </c>
      <c r="C94" s="430" t="s">
        <v>13529</v>
      </c>
      <c r="D94" s="430" t="s">
        <v>13551</v>
      </c>
      <c r="E94" s="430" t="s">
        <v>334</v>
      </c>
      <c r="F94" s="430" t="s">
        <v>334</v>
      </c>
      <c r="G94" s="430" t="s">
        <v>334</v>
      </c>
      <c r="H94" s="430" t="s">
        <v>334</v>
      </c>
      <c r="I94" s="430">
        <v>1</v>
      </c>
    </row>
    <row r="95" spans="2:9">
      <c r="B95" s="430" t="s">
        <v>344</v>
      </c>
      <c r="C95" s="430" t="s">
        <v>13529</v>
      </c>
      <c r="D95" s="430" t="s">
        <v>13538</v>
      </c>
      <c r="E95" s="430" t="s">
        <v>334</v>
      </c>
      <c r="F95" s="430" t="s">
        <v>334</v>
      </c>
      <c r="G95" s="430" t="s">
        <v>334</v>
      </c>
      <c r="H95" s="430" t="s">
        <v>334</v>
      </c>
      <c r="I95" s="430">
        <v>1</v>
      </c>
    </row>
    <row r="96" spans="2:9">
      <c r="B96" s="430" t="s">
        <v>344</v>
      </c>
      <c r="C96" s="430" t="s">
        <v>13529</v>
      </c>
      <c r="D96" s="430" t="s">
        <v>13539</v>
      </c>
      <c r="E96" s="430" t="s">
        <v>334</v>
      </c>
      <c r="F96" s="430" t="s">
        <v>334</v>
      </c>
      <c r="G96" s="430" t="s">
        <v>334</v>
      </c>
      <c r="H96" s="430" t="s">
        <v>334</v>
      </c>
      <c r="I96" s="430">
        <v>1</v>
      </c>
    </row>
    <row r="97" spans="2:9">
      <c r="B97" s="430" t="s">
        <v>344</v>
      </c>
      <c r="C97" s="430" t="s">
        <v>13529</v>
      </c>
      <c r="D97" s="430" t="s">
        <v>13537</v>
      </c>
      <c r="E97" s="430" t="s">
        <v>334</v>
      </c>
      <c r="F97" s="430" t="s">
        <v>334</v>
      </c>
      <c r="G97" s="430" t="s">
        <v>334</v>
      </c>
      <c r="H97" s="430" t="s">
        <v>334</v>
      </c>
      <c r="I97" s="430">
        <v>1</v>
      </c>
    </row>
    <row r="98" spans="2:9">
      <c r="B98" s="430" t="s">
        <v>340</v>
      </c>
      <c r="C98" s="430" t="s">
        <v>13531</v>
      </c>
      <c r="D98" s="430" t="s">
        <v>334</v>
      </c>
      <c r="E98" s="430" t="s">
        <v>13542</v>
      </c>
      <c r="F98" s="430" t="s">
        <v>334</v>
      </c>
      <c r="G98" s="430" t="s">
        <v>334</v>
      </c>
      <c r="H98" s="430" t="s">
        <v>334</v>
      </c>
      <c r="I98" s="430">
        <v>1</v>
      </c>
    </row>
    <row r="99" spans="2:9">
      <c r="B99" s="430" t="s">
        <v>342</v>
      </c>
      <c r="C99" s="430" t="s">
        <v>13531</v>
      </c>
      <c r="D99" s="430" t="s">
        <v>334</v>
      </c>
      <c r="E99" s="430" t="s">
        <v>334</v>
      </c>
      <c r="F99" s="430" t="s">
        <v>334</v>
      </c>
      <c r="G99" s="430" t="s">
        <v>334</v>
      </c>
      <c r="H99" s="430" t="s">
        <v>334</v>
      </c>
      <c r="I99" s="430">
        <v>1</v>
      </c>
    </row>
    <row r="100" spans="2:9">
      <c r="B100" s="430" t="s">
        <v>361</v>
      </c>
      <c r="C100" s="430" t="s">
        <v>13531</v>
      </c>
      <c r="D100" s="430" t="s">
        <v>13519</v>
      </c>
      <c r="E100" s="430" t="s">
        <v>334</v>
      </c>
      <c r="F100" s="430" t="s">
        <v>334</v>
      </c>
      <c r="G100" s="430" t="s">
        <v>334</v>
      </c>
      <c r="H100" s="430" t="s">
        <v>334</v>
      </c>
      <c r="I100" s="430">
        <v>1</v>
      </c>
    </row>
    <row r="101" spans="2:9">
      <c r="B101" s="430" t="s">
        <v>361</v>
      </c>
      <c r="C101" s="430" t="s">
        <v>13531</v>
      </c>
      <c r="D101" s="430" t="s">
        <v>13548</v>
      </c>
      <c r="E101" s="430" t="s">
        <v>334</v>
      </c>
      <c r="F101" s="430" t="s">
        <v>334</v>
      </c>
      <c r="G101" s="430" t="s">
        <v>334</v>
      </c>
      <c r="H101" s="430" t="s">
        <v>334</v>
      </c>
      <c r="I101" s="430">
        <v>1</v>
      </c>
    </row>
    <row r="102" spans="2:9">
      <c r="B102" s="430" t="s">
        <v>344</v>
      </c>
      <c r="C102" s="430" t="s">
        <v>13531</v>
      </c>
      <c r="D102" s="430" t="s">
        <v>13538</v>
      </c>
      <c r="E102" s="430" t="s">
        <v>334</v>
      </c>
      <c r="F102" s="430" t="s">
        <v>334</v>
      </c>
      <c r="G102" s="430" t="s">
        <v>334</v>
      </c>
      <c r="H102" s="430" t="s">
        <v>334</v>
      </c>
      <c r="I102" s="430">
        <v>1</v>
      </c>
    </row>
    <row r="103" spans="2:9">
      <c r="B103" s="430" t="s">
        <v>344</v>
      </c>
      <c r="C103" s="430" t="s">
        <v>13531</v>
      </c>
      <c r="D103" s="430" t="s">
        <v>13539</v>
      </c>
      <c r="E103" s="430" t="s">
        <v>334</v>
      </c>
      <c r="F103" s="430" t="s">
        <v>334</v>
      </c>
      <c r="G103" s="430" t="s">
        <v>334</v>
      </c>
      <c r="H103" s="430" t="s">
        <v>334</v>
      </c>
      <c r="I103" s="430">
        <v>1</v>
      </c>
    </row>
    <row r="104" spans="2:9">
      <c r="B104" s="430" t="s">
        <v>344</v>
      </c>
      <c r="C104" s="430" t="s">
        <v>13531</v>
      </c>
      <c r="D104" s="430" t="s">
        <v>13542</v>
      </c>
      <c r="E104" s="430" t="s">
        <v>334</v>
      </c>
      <c r="F104" s="430" t="s">
        <v>334</v>
      </c>
      <c r="G104" s="430" t="s">
        <v>334</v>
      </c>
      <c r="H104" s="430" t="s">
        <v>334</v>
      </c>
      <c r="I104" s="430">
        <v>1</v>
      </c>
    </row>
    <row r="105" spans="2:9">
      <c r="B105" s="430" t="s">
        <v>340</v>
      </c>
      <c r="C105" s="430" t="s">
        <v>13533</v>
      </c>
      <c r="D105" s="430" t="s">
        <v>334</v>
      </c>
      <c r="E105" s="430" t="s">
        <v>13510</v>
      </c>
      <c r="F105" s="430" t="s">
        <v>334</v>
      </c>
      <c r="G105" s="430" t="s">
        <v>334</v>
      </c>
      <c r="H105" s="430" t="s">
        <v>334</v>
      </c>
      <c r="I105" s="430">
        <v>1</v>
      </c>
    </row>
    <row r="106" spans="2:9">
      <c r="B106" s="430" t="s">
        <v>342</v>
      </c>
      <c r="C106" s="430" t="s">
        <v>13533</v>
      </c>
      <c r="D106" s="430" t="s">
        <v>334</v>
      </c>
      <c r="E106" s="430" t="s">
        <v>334</v>
      </c>
      <c r="F106" s="430" t="s">
        <v>334</v>
      </c>
      <c r="G106" s="430" t="s">
        <v>334</v>
      </c>
      <c r="H106" s="430" t="s">
        <v>334</v>
      </c>
      <c r="I106" s="430">
        <v>1</v>
      </c>
    </row>
    <row r="107" spans="2:9">
      <c r="B107" s="430" t="s">
        <v>361</v>
      </c>
      <c r="C107" s="430" t="s">
        <v>13533</v>
      </c>
      <c r="D107" s="430" t="s">
        <v>13536</v>
      </c>
      <c r="E107" s="430" t="s">
        <v>334</v>
      </c>
      <c r="F107" s="430" t="s">
        <v>334</v>
      </c>
      <c r="G107" s="430" t="s">
        <v>334</v>
      </c>
      <c r="H107" s="430" t="s">
        <v>334</v>
      </c>
      <c r="I107" s="430">
        <v>1</v>
      </c>
    </row>
    <row r="108" spans="2:9">
      <c r="B108" s="430" t="s">
        <v>361</v>
      </c>
      <c r="C108" s="430" t="s">
        <v>13533</v>
      </c>
      <c r="D108" s="430" t="s">
        <v>1893</v>
      </c>
      <c r="E108" s="430" t="s">
        <v>334</v>
      </c>
      <c r="F108" s="430" t="s">
        <v>334</v>
      </c>
      <c r="G108" s="430" t="s">
        <v>334</v>
      </c>
      <c r="H108" s="430" t="s">
        <v>334</v>
      </c>
      <c r="I108" s="430">
        <v>1</v>
      </c>
    </row>
    <row r="109" spans="2:9">
      <c r="B109" s="430" t="s">
        <v>361</v>
      </c>
      <c r="C109" s="430" t="s">
        <v>13533</v>
      </c>
      <c r="D109" s="430" t="s">
        <v>13547</v>
      </c>
      <c r="E109" s="430" t="s">
        <v>334</v>
      </c>
      <c r="F109" s="430" t="s">
        <v>334</v>
      </c>
      <c r="G109" s="430" t="s">
        <v>334</v>
      </c>
      <c r="H109" s="430" t="s">
        <v>334</v>
      </c>
      <c r="I109" s="430">
        <v>1</v>
      </c>
    </row>
    <row r="110" spans="2:9">
      <c r="B110" s="430" t="s">
        <v>361</v>
      </c>
      <c r="C110" s="430" t="s">
        <v>13533</v>
      </c>
      <c r="D110" s="430" t="s">
        <v>13549</v>
      </c>
      <c r="E110" s="430" t="s">
        <v>334</v>
      </c>
      <c r="F110" s="430" t="s">
        <v>334</v>
      </c>
      <c r="G110" s="430" t="s">
        <v>334</v>
      </c>
      <c r="H110" s="430" t="s">
        <v>334</v>
      </c>
      <c r="I110" s="430">
        <v>1</v>
      </c>
    </row>
    <row r="111" spans="2:9">
      <c r="B111" s="430" t="s">
        <v>361</v>
      </c>
      <c r="C111" s="430" t="s">
        <v>13533</v>
      </c>
      <c r="D111" s="430" t="s">
        <v>13550</v>
      </c>
      <c r="E111" s="430" t="s">
        <v>334</v>
      </c>
      <c r="F111" s="430" t="s">
        <v>334</v>
      </c>
      <c r="G111" s="430" t="s">
        <v>334</v>
      </c>
      <c r="H111" s="430" t="s">
        <v>334</v>
      </c>
      <c r="I111" s="430">
        <v>1</v>
      </c>
    </row>
    <row r="112" spans="2:9">
      <c r="B112" s="430" t="s">
        <v>344</v>
      </c>
      <c r="C112" s="430" t="s">
        <v>13533</v>
      </c>
      <c r="D112" s="430" t="s">
        <v>558</v>
      </c>
      <c r="E112" s="430" t="s">
        <v>334</v>
      </c>
      <c r="F112" s="430" t="s">
        <v>334</v>
      </c>
      <c r="G112" s="430" t="s">
        <v>334</v>
      </c>
      <c r="H112" s="430" t="s">
        <v>334</v>
      </c>
      <c r="I112" s="430">
        <v>1</v>
      </c>
    </row>
    <row r="113" spans="2:9">
      <c r="B113" s="430" t="s">
        <v>344</v>
      </c>
      <c r="C113" s="430" t="s">
        <v>13533</v>
      </c>
      <c r="D113" s="430" t="s">
        <v>555</v>
      </c>
      <c r="E113" s="430" t="s">
        <v>334</v>
      </c>
      <c r="F113" s="430" t="s">
        <v>334</v>
      </c>
      <c r="G113" s="430" t="s">
        <v>334</v>
      </c>
      <c r="H113" s="430" t="s">
        <v>334</v>
      </c>
      <c r="I113" s="430">
        <v>1</v>
      </c>
    </row>
    <row r="114" spans="2:9">
      <c r="B114" s="430" t="s">
        <v>344</v>
      </c>
      <c r="C114" s="430" t="s">
        <v>13533</v>
      </c>
      <c r="D114" s="430" t="s">
        <v>547</v>
      </c>
      <c r="E114" s="430" t="s">
        <v>334</v>
      </c>
      <c r="F114" s="430" t="s">
        <v>334</v>
      </c>
      <c r="G114" s="430" t="s">
        <v>334</v>
      </c>
      <c r="H114" s="430" t="s">
        <v>334</v>
      </c>
      <c r="I114" s="430">
        <v>1</v>
      </c>
    </row>
    <row r="115" spans="2:9">
      <c r="B115" s="430" t="s">
        <v>344</v>
      </c>
      <c r="C115" s="430" t="s">
        <v>13533</v>
      </c>
      <c r="D115" s="430" t="s">
        <v>549</v>
      </c>
      <c r="E115" s="430" t="s">
        <v>334</v>
      </c>
      <c r="F115" s="430" t="s">
        <v>334</v>
      </c>
      <c r="G115" s="430" t="s">
        <v>334</v>
      </c>
      <c r="H115" s="430" t="s">
        <v>334</v>
      </c>
      <c r="I115" s="430">
        <v>1</v>
      </c>
    </row>
    <row r="116" spans="2:9">
      <c r="B116" s="430" t="s">
        <v>344</v>
      </c>
      <c r="C116" s="430" t="s">
        <v>13533</v>
      </c>
      <c r="D116" s="430" t="s">
        <v>592</v>
      </c>
      <c r="E116" s="430" t="s">
        <v>334</v>
      </c>
      <c r="F116" s="430" t="s">
        <v>334</v>
      </c>
      <c r="G116" s="430" t="s">
        <v>334</v>
      </c>
      <c r="H116" s="430" t="s">
        <v>334</v>
      </c>
      <c r="I116" s="430">
        <v>1</v>
      </c>
    </row>
    <row r="117" spans="2:9">
      <c r="B117" s="430" t="s">
        <v>344</v>
      </c>
      <c r="C117" s="430" t="s">
        <v>13533</v>
      </c>
      <c r="D117" s="430" t="s">
        <v>551</v>
      </c>
      <c r="E117" s="430" t="s">
        <v>334</v>
      </c>
      <c r="F117" s="430" t="s">
        <v>334</v>
      </c>
      <c r="G117" s="430" t="s">
        <v>334</v>
      </c>
      <c r="H117" s="430" t="s">
        <v>334</v>
      </c>
      <c r="I117" s="430">
        <v>1</v>
      </c>
    </row>
    <row r="118" spans="2:9">
      <c r="B118" s="430" t="s">
        <v>344</v>
      </c>
      <c r="C118" s="430" t="s">
        <v>13533</v>
      </c>
      <c r="D118" s="430" t="s">
        <v>594</v>
      </c>
      <c r="E118" s="430" t="s">
        <v>334</v>
      </c>
      <c r="F118" s="430" t="s">
        <v>334</v>
      </c>
      <c r="G118" s="430" t="s">
        <v>334</v>
      </c>
      <c r="H118" s="430" t="s">
        <v>334</v>
      </c>
      <c r="I118" s="430">
        <v>1</v>
      </c>
    </row>
    <row r="119" spans="2:9">
      <c r="B119" s="430" t="s">
        <v>344</v>
      </c>
      <c r="C119" s="430" t="s">
        <v>13533</v>
      </c>
      <c r="D119" s="430" t="s">
        <v>13538</v>
      </c>
      <c r="E119" s="430" t="s">
        <v>334</v>
      </c>
      <c r="F119" s="430" t="s">
        <v>334</v>
      </c>
      <c r="G119" s="430" t="s">
        <v>334</v>
      </c>
      <c r="H119" s="430" t="s">
        <v>334</v>
      </c>
      <c r="I119" s="430">
        <v>1</v>
      </c>
    </row>
    <row r="120" spans="2:9">
      <c r="B120" s="430" t="s">
        <v>344</v>
      </c>
      <c r="C120" s="430" t="s">
        <v>13533</v>
      </c>
      <c r="D120" s="430" t="s">
        <v>13539</v>
      </c>
      <c r="E120" s="430" t="s">
        <v>334</v>
      </c>
      <c r="F120" s="430" t="s">
        <v>334</v>
      </c>
      <c r="G120" s="430" t="s">
        <v>334</v>
      </c>
      <c r="H120" s="430" t="s">
        <v>334</v>
      </c>
      <c r="I120" s="430">
        <v>1</v>
      </c>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0408-3E76-455A-8F85-DD58F69D8FBA}">
  <sheetPr codeName="Sheet71">
    <tabColor theme="9" tint="0.79998168889431442"/>
  </sheetPr>
  <dimension ref="A1:AP28"/>
  <sheetViews>
    <sheetView workbookViewId="0"/>
  </sheetViews>
  <sheetFormatPr defaultRowHeight="15"/>
  <cols>
    <col min="1" max="1" width="8.28515625" style="1409" bestFit="1" customWidth="1"/>
    <col min="2" max="2" width="12.85546875" style="1409" bestFit="1" customWidth="1"/>
    <col min="3" max="3" width="13.42578125" style="1409" customWidth="1"/>
    <col min="4" max="4" width="9.42578125" style="1409" bestFit="1" customWidth="1"/>
    <col min="5" max="5" width="8.42578125" style="1409" bestFit="1" customWidth="1"/>
    <col min="6" max="6" width="6.42578125" style="1409" customWidth="1"/>
    <col min="7" max="7" width="8.5703125" style="1409" bestFit="1" customWidth="1"/>
    <col min="8" max="8" width="6.7109375" style="1409" customWidth="1"/>
    <col min="9" max="9" width="4.28515625" style="1409" customWidth="1"/>
    <col min="10" max="10" width="7.5703125" style="1409" bestFit="1" customWidth="1"/>
    <col min="11" max="17" width="5" style="1409" bestFit="1" customWidth="1"/>
    <col min="18" max="19" width="6.5703125" style="1409" bestFit="1" customWidth="1"/>
    <col min="20" max="27" width="4.42578125" style="1409" bestFit="1" customWidth="1"/>
    <col min="28" max="28" width="6.5703125" style="1409" bestFit="1" customWidth="1"/>
    <col min="29" max="32" width="4.42578125" style="1409" bestFit="1" customWidth="1"/>
    <col min="33" max="33" width="6.5703125" style="1409" bestFit="1" customWidth="1"/>
    <col min="34" max="37" width="4.42578125" style="1409" bestFit="1" customWidth="1"/>
    <col min="38" max="38" width="6.5703125" style="1409" bestFit="1" customWidth="1"/>
    <col min="39" max="39" width="4.42578125" style="1409" bestFit="1" customWidth="1"/>
    <col min="40" max="40" width="6.5703125" style="1409" bestFit="1" customWidth="1"/>
    <col min="41" max="42" width="7.5703125" style="1409" bestFit="1" customWidth="1"/>
    <col min="43" max="16384" width="9.140625" style="1409"/>
  </cols>
  <sheetData>
    <row r="1" spans="1:42">
      <c r="A1" s="1409" t="s">
        <v>14551</v>
      </c>
      <c r="B1" s="1409" t="s">
        <v>308</v>
      </c>
    </row>
    <row r="2" spans="1:42">
      <c r="A2" s="1409" t="s">
        <v>310</v>
      </c>
      <c r="B2" s="1409" t="s">
        <v>323</v>
      </c>
      <c r="C2" s="1409" t="s">
        <v>333</v>
      </c>
      <c r="D2" s="1409" t="s">
        <v>14595</v>
      </c>
      <c r="E2" s="1409" t="s">
        <v>14596</v>
      </c>
      <c r="F2" s="1409" t="s">
        <v>14591</v>
      </c>
      <c r="G2" s="1409" t="s">
        <v>14592</v>
      </c>
      <c r="H2" s="1409" t="s">
        <v>14593</v>
      </c>
      <c r="I2" s="1409" t="s">
        <v>14594</v>
      </c>
      <c r="J2" s="1409">
        <v>2012</v>
      </c>
      <c r="K2" s="1409">
        <f>1+J2</f>
        <v>2013</v>
      </c>
      <c r="L2" s="1409">
        <f t="shared" ref="L2:AL2" si="0">1+K2</f>
        <v>2014</v>
      </c>
      <c r="M2" s="1409">
        <f t="shared" si="0"/>
        <v>2015</v>
      </c>
      <c r="N2" s="1409">
        <f t="shared" si="0"/>
        <v>2016</v>
      </c>
      <c r="O2" s="1409">
        <f t="shared" si="0"/>
        <v>2017</v>
      </c>
      <c r="P2" s="1409">
        <f t="shared" si="0"/>
        <v>2018</v>
      </c>
      <c r="Q2" s="1409">
        <f t="shared" si="0"/>
        <v>2019</v>
      </c>
      <c r="R2" s="1409">
        <f t="shared" si="0"/>
        <v>2020</v>
      </c>
      <c r="S2" s="1409">
        <f t="shared" si="0"/>
        <v>2021</v>
      </c>
      <c r="T2" s="1409">
        <f t="shared" si="0"/>
        <v>2022</v>
      </c>
      <c r="U2" s="1409">
        <f t="shared" si="0"/>
        <v>2023</v>
      </c>
      <c r="V2" s="1409">
        <f t="shared" si="0"/>
        <v>2024</v>
      </c>
      <c r="W2" s="1409">
        <f t="shared" si="0"/>
        <v>2025</v>
      </c>
      <c r="X2" s="1409">
        <f t="shared" si="0"/>
        <v>2026</v>
      </c>
      <c r="Y2" s="1409">
        <f t="shared" si="0"/>
        <v>2027</v>
      </c>
      <c r="Z2" s="1409">
        <f t="shared" si="0"/>
        <v>2028</v>
      </c>
      <c r="AA2" s="1409">
        <f t="shared" si="0"/>
        <v>2029</v>
      </c>
      <c r="AB2" s="1409">
        <f t="shared" si="0"/>
        <v>2030</v>
      </c>
      <c r="AC2" s="1409">
        <f t="shared" si="0"/>
        <v>2031</v>
      </c>
      <c r="AD2" s="1409">
        <f t="shared" si="0"/>
        <v>2032</v>
      </c>
      <c r="AE2" s="1409">
        <f t="shared" si="0"/>
        <v>2033</v>
      </c>
      <c r="AF2" s="1409">
        <f t="shared" si="0"/>
        <v>2034</v>
      </c>
      <c r="AG2" s="1409">
        <f t="shared" si="0"/>
        <v>2035</v>
      </c>
      <c r="AH2" s="1409">
        <f t="shared" si="0"/>
        <v>2036</v>
      </c>
      <c r="AI2" s="1409">
        <f t="shared" si="0"/>
        <v>2037</v>
      </c>
      <c r="AJ2" s="1409">
        <f t="shared" si="0"/>
        <v>2038</v>
      </c>
      <c r="AK2" s="1409">
        <f t="shared" si="0"/>
        <v>2039</v>
      </c>
      <c r="AL2" s="1409">
        <f t="shared" si="0"/>
        <v>2040</v>
      </c>
      <c r="AM2" s="1409">
        <f>5+AL2</f>
        <v>2045</v>
      </c>
      <c r="AN2" s="1409">
        <f>5+AM2</f>
        <v>2050</v>
      </c>
      <c r="AO2" s="1409">
        <f>10+AN2</f>
        <v>2060</v>
      </c>
      <c r="AP2" s="1409">
        <f>10+AO2</f>
        <v>2070</v>
      </c>
    </row>
    <row r="3" spans="1:42">
      <c r="B3" s="1409" t="s">
        <v>13540</v>
      </c>
      <c r="C3" s="1409" t="s">
        <v>14564</v>
      </c>
      <c r="D3" s="1409" t="s">
        <v>334</v>
      </c>
      <c r="E3" s="1409" t="s">
        <v>277</v>
      </c>
      <c r="F3" s="1409" t="s">
        <v>334</v>
      </c>
      <c r="G3" s="1409" t="s">
        <v>334</v>
      </c>
      <c r="H3" s="1409" t="s">
        <v>334</v>
      </c>
      <c r="I3" s="1409">
        <v>0</v>
      </c>
      <c r="J3" s="666" t="str">
        <f t="array" ref="J3">_xlfn.IFNA(INDEX(H2Storage!$F$3:$J$16,MATCH('HGN-TSData xtras'!$B3&amp;'HGN-TSData xtras'!$C3,H2Storage!$B$3:$B$16&amp;H2Storage!$A$3:$A$16,0),MATCH(J$2,H2Storage!$F$2:$J$2,0)),"null")</f>
        <v>null</v>
      </c>
      <c r="K3" s="666" t="str">
        <f t="array" ref="K3">_xlfn.IFNA(INDEX(H2Storage!$F$3:$J$16,MATCH('HGN-TSData xtras'!$B3&amp;'HGN-TSData xtras'!$C3,H2Storage!$B$3:$B$16&amp;H2Storage!$A$3:$A$16,0),MATCH(K$2,H2Storage!$F$2:$J$2,0)),"null")</f>
        <v>null</v>
      </c>
      <c r="L3" s="666" t="str">
        <f t="array" ref="L3">_xlfn.IFNA(INDEX(H2Storage!$F$3:$J$16,MATCH('HGN-TSData xtras'!$B3&amp;'HGN-TSData xtras'!$C3,H2Storage!$B$3:$B$16&amp;H2Storage!$A$3:$A$16,0),MATCH(L$2,H2Storage!$F$2:$J$2,0)),"null")</f>
        <v>null</v>
      </c>
      <c r="M3" s="666" t="str">
        <f t="array" ref="M3">_xlfn.IFNA(INDEX(H2Storage!$F$3:$J$16,MATCH('HGN-TSData xtras'!$B3&amp;'HGN-TSData xtras'!$C3,H2Storage!$B$3:$B$16&amp;H2Storage!$A$3:$A$16,0),MATCH(M$2,H2Storage!$F$2:$J$2,0)),"null")</f>
        <v>null</v>
      </c>
      <c r="N3" s="666" t="str">
        <f t="array" ref="N3">_xlfn.IFNA(INDEX(H2Storage!$F$3:$J$16,MATCH('HGN-TSData xtras'!$B3&amp;'HGN-TSData xtras'!$C3,H2Storage!$B$3:$B$16&amp;H2Storage!$A$3:$A$16,0),MATCH(N$2,H2Storage!$F$2:$J$2,0)),"null")</f>
        <v>null</v>
      </c>
      <c r="O3" s="666" t="str">
        <f t="array" ref="O3">_xlfn.IFNA(INDEX(H2Storage!$F$3:$J$16,MATCH('HGN-TSData xtras'!$B3&amp;'HGN-TSData xtras'!$C3,H2Storage!$B$3:$B$16&amp;H2Storage!$A$3:$A$16,0),MATCH(O$2,H2Storage!$F$2:$J$2,0)),"null")</f>
        <v>null</v>
      </c>
      <c r="P3" s="666" t="str">
        <f t="array" ref="P3">_xlfn.IFNA(INDEX(H2Storage!$F$3:$J$16,MATCH('HGN-TSData xtras'!$B3&amp;'HGN-TSData xtras'!$C3,H2Storage!$B$3:$B$16&amp;H2Storage!$A$3:$A$16,0),MATCH(P$2,H2Storage!$F$2:$J$2,0)),"null")</f>
        <v>null</v>
      </c>
      <c r="Q3" s="666" t="str">
        <f t="array" ref="Q3">_xlfn.IFNA(INDEX(H2Storage!$F$3:$J$16,MATCH('HGN-TSData xtras'!$B3&amp;'HGN-TSData xtras'!$C3,H2Storage!$B$3:$B$16&amp;H2Storage!$A$3:$A$16,0),MATCH(Q$2,H2Storage!$F$2:$J$2,0)),"null")</f>
        <v>null</v>
      </c>
      <c r="R3" s="666">
        <f t="array" ref="R3">_xlfn.IFNA(INDEX(H2Storage!$F$3:$J$16,MATCH('HGN-TSData xtras'!$B3&amp;'HGN-TSData xtras'!$C3,H2Storage!$B$3:$B$16&amp;H2Storage!$A$3:$A$16,0),MATCH(R$2,H2Storage!$F$2:$J$2,0)),"null")</f>
        <v>5.0362458304752777E-2</v>
      </c>
      <c r="S3" s="666" t="str" cm="1">
        <f t="array" ref="S3">_xlfn.IFNA(INDEX(H2Storage!$F$3:$J$16,MATCH('HGN-TSData xtras'!$B3&amp;'HGN-TSData xtras'!$C3,H2Storage!$B$3:$B$16&amp;H2Storage!$A$3:$A$16,0),MATCH(S$2,H2Storage!$F$2:$J$2,0)),"null")</f>
        <v>null</v>
      </c>
      <c r="T3" s="666" t="str">
        <f t="array" ref="T3">_xlfn.IFNA(INDEX(H2Storage!$F$3:$J$16,MATCH('HGN-TSData xtras'!$B3&amp;'HGN-TSData xtras'!$C3,H2Storage!$B$3:$B$16&amp;H2Storage!$A$3:$A$16,0),MATCH(T$2,H2Storage!$F$2:$J$2,0)),"null")</f>
        <v>null</v>
      </c>
      <c r="U3" s="666" t="str">
        <f t="array" ref="U3">_xlfn.IFNA(INDEX(H2Storage!$F$3:$J$16,MATCH('HGN-TSData xtras'!$B3&amp;'HGN-TSData xtras'!$C3,H2Storage!$B$3:$B$16&amp;H2Storage!$A$3:$A$16,0),MATCH(U$2,H2Storage!$F$2:$J$2,0)),"null")</f>
        <v>null</v>
      </c>
      <c r="V3" s="666" t="str">
        <f t="array" ref="V3">_xlfn.IFNA(INDEX(H2Storage!$F$3:$J$16,MATCH('HGN-TSData xtras'!$B3&amp;'HGN-TSData xtras'!$C3,H2Storage!$B$3:$B$16&amp;H2Storage!$A$3:$A$16,0),MATCH(V$2,H2Storage!$F$2:$J$2,0)),"null")</f>
        <v>null</v>
      </c>
      <c r="W3" s="666" t="str">
        <f t="array" ref="W3">_xlfn.IFNA(INDEX(H2Storage!$F$3:$J$16,MATCH('HGN-TSData xtras'!$B3&amp;'HGN-TSData xtras'!$C3,H2Storage!$B$3:$B$16&amp;H2Storage!$A$3:$A$16,0),MATCH(W$2,H2Storage!$F$2:$J$2,0)),"null")</f>
        <v>null</v>
      </c>
      <c r="X3" s="666" t="str">
        <f t="array" ref="X3">_xlfn.IFNA(INDEX(H2Storage!$F$3:$J$16,MATCH('HGN-TSData xtras'!$B3&amp;'HGN-TSData xtras'!$C3,H2Storage!$B$3:$B$16&amp;H2Storage!$A$3:$A$16,0),MATCH(X$2,H2Storage!$F$2:$J$2,0)),"null")</f>
        <v>null</v>
      </c>
      <c r="Y3" s="666" t="str">
        <f t="array" ref="Y3">_xlfn.IFNA(INDEX(H2Storage!$F$3:$J$16,MATCH('HGN-TSData xtras'!$B3&amp;'HGN-TSData xtras'!$C3,H2Storage!$B$3:$B$16&amp;H2Storage!$A$3:$A$16,0),MATCH(Y$2,H2Storage!$F$2:$J$2,0)),"null")</f>
        <v>null</v>
      </c>
      <c r="Z3" s="666" t="str">
        <f t="array" ref="Z3">_xlfn.IFNA(INDEX(H2Storage!$F$3:$J$16,MATCH('HGN-TSData xtras'!$B3&amp;'HGN-TSData xtras'!$C3,H2Storage!$B$3:$B$16&amp;H2Storage!$A$3:$A$16,0),MATCH(Z$2,H2Storage!$F$2:$J$2,0)),"null")</f>
        <v>null</v>
      </c>
      <c r="AA3" s="666" t="str">
        <f t="array" ref="AA3">_xlfn.IFNA(INDEX(H2Storage!$F$3:$J$16,MATCH('HGN-TSData xtras'!$B3&amp;'HGN-TSData xtras'!$C3,H2Storage!$B$3:$B$16&amp;H2Storage!$A$3:$A$16,0),MATCH(AA$2,H2Storage!$F$2:$J$2,0)),"null")</f>
        <v>null</v>
      </c>
      <c r="AB3" s="666">
        <f t="array" ref="AB3">_xlfn.IFNA(INDEX(H2Storage!$F$3:$J$16,MATCH('HGN-TSData xtras'!$B3&amp;'HGN-TSData xtras'!$C3,H2Storage!$B$3:$B$16&amp;H2Storage!$A$3:$A$16,0),MATCH(AB$2,H2Storage!$F$2:$J$2,0)),"null")</f>
        <v>5.0362458304752777E-2</v>
      </c>
      <c r="AC3" s="666" t="str">
        <f t="array" ref="AC3">_xlfn.IFNA(INDEX(H2Storage!$F$3:$J$16,MATCH('HGN-TSData xtras'!$B3&amp;'HGN-TSData xtras'!$C3,H2Storage!$B$3:$B$16&amp;H2Storage!$A$3:$A$16,0),MATCH(AC$2,H2Storage!$F$2:$J$2,0)),"null")</f>
        <v>null</v>
      </c>
      <c r="AD3" s="666" t="str">
        <f t="array" ref="AD3">_xlfn.IFNA(INDEX(H2Storage!$F$3:$J$16,MATCH('HGN-TSData xtras'!$B3&amp;'HGN-TSData xtras'!$C3,H2Storage!$B$3:$B$16&amp;H2Storage!$A$3:$A$16,0),MATCH(AD$2,H2Storage!$F$2:$J$2,0)),"null")</f>
        <v>null</v>
      </c>
      <c r="AE3" s="666" t="str">
        <f t="array" ref="AE3">_xlfn.IFNA(INDEX(H2Storage!$F$3:$J$16,MATCH('HGN-TSData xtras'!$B3&amp;'HGN-TSData xtras'!$C3,H2Storage!$B$3:$B$16&amp;H2Storage!$A$3:$A$16,0),MATCH(AE$2,H2Storage!$F$2:$J$2,0)),"null")</f>
        <v>null</v>
      </c>
      <c r="AF3" s="666" t="str">
        <f t="array" ref="AF3">_xlfn.IFNA(INDEX(H2Storage!$F$3:$J$16,MATCH('HGN-TSData xtras'!$B3&amp;'HGN-TSData xtras'!$C3,H2Storage!$B$3:$B$16&amp;H2Storage!$A$3:$A$16,0),MATCH(AF$2,H2Storage!$F$2:$J$2,0)),"null")</f>
        <v>null</v>
      </c>
      <c r="AG3" s="666">
        <f t="array" ref="AG3">_xlfn.IFNA(INDEX(H2Storage!$F$3:$J$16,MATCH('HGN-TSData xtras'!$B3&amp;'HGN-TSData xtras'!$C3,H2Storage!$B$3:$B$16&amp;H2Storage!$A$3:$A$16,0),MATCH(AG$2,H2Storage!$F$2:$J$2,0)),"null")</f>
        <v>5.0362458304752777E-2</v>
      </c>
      <c r="AH3" s="666" t="str">
        <f t="array" ref="AH3">_xlfn.IFNA(INDEX(H2Storage!$F$3:$J$16,MATCH('HGN-TSData xtras'!$B3&amp;'HGN-TSData xtras'!$C3,H2Storage!$B$3:$B$16&amp;H2Storage!$A$3:$A$16,0),MATCH(AH$2,H2Storage!$F$2:$J$2,0)),"null")</f>
        <v>null</v>
      </c>
      <c r="AI3" s="666" t="str">
        <f t="array" ref="AI3">_xlfn.IFNA(INDEX(H2Storage!$F$3:$J$16,MATCH('HGN-TSData xtras'!$B3&amp;'HGN-TSData xtras'!$C3,H2Storage!$B$3:$B$16&amp;H2Storage!$A$3:$A$16,0),MATCH(AI$2,H2Storage!$F$2:$J$2,0)),"null")</f>
        <v>null</v>
      </c>
      <c r="AJ3" s="666" t="str">
        <f t="array" ref="AJ3">_xlfn.IFNA(INDEX(H2Storage!$F$3:$J$16,MATCH('HGN-TSData xtras'!$B3&amp;'HGN-TSData xtras'!$C3,H2Storage!$B$3:$B$16&amp;H2Storage!$A$3:$A$16,0),MATCH(AJ$2,H2Storage!$F$2:$J$2,0)),"null")</f>
        <v>null</v>
      </c>
      <c r="AK3" s="666" t="str">
        <f t="array" ref="AK3">_xlfn.IFNA(INDEX(H2Storage!$F$3:$J$16,MATCH('HGN-TSData xtras'!$B3&amp;'HGN-TSData xtras'!$C3,H2Storage!$B$3:$B$16&amp;H2Storage!$A$3:$A$16,0),MATCH(AK$2,H2Storage!$F$2:$J$2,0)),"null")</f>
        <v>null</v>
      </c>
      <c r="AL3" s="666">
        <f t="array" ref="AL3">_xlfn.IFNA(INDEX(H2Storage!$F$3:$J$16,MATCH('HGN-TSData xtras'!$B3&amp;'HGN-TSData xtras'!$C3,H2Storage!$B$3:$B$16&amp;H2Storage!$A$3:$A$16,0),MATCH(AL$2,H2Storage!$F$2:$J$2,0)),"null")</f>
        <v>5.0362458304752777E-2</v>
      </c>
      <c r="AM3" s="666" t="str">
        <f t="array" ref="AM3">_xlfn.IFNA(INDEX(H2Storage!$F$3:$J$16,MATCH('HGN-TSData xtras'!$B3&amp;'HGN-TSData xtras'!$C3,H2Storage!$B$3:$B$16&amp;H2Storage!$A$3:$A$16,0),MATCH(AM$2,H2Storage!$F$2:$J$2,0)),"null")</f>
        <v>null</v>
      </c>
      <c r="AN3" s="666">
        <f t="array" ref="AN3">_xlfn.IFNA(INDEX(H2Storage!$F$3:$J$16,MATCH('HGN-TSData xtras'!$B3&amp;'HGN-TSData xtras'!$C3,H2Storage!$B$3:$B$16&amp;H2Storage!$A$3:$A$16,0),MATCH(AN$2,H2Storage!$F$2:$J$2,0)),"null")</f>
        <v>5.0362458304752777E-2</v>
      </c>
      <c r="AO3" s="1401">
        <f t="shared" ref="AO3:AP3" si="1">AN3</f>
        <v>5.0362458304752777E-2</v>
      </c>
      <c r="AP3" s="1401">
        <f t="shared" si="1"/>
        <v>5.0362458304752777E-2</v>
      </c>
    </row>
    <row r="4" spans="1:42">
      <c r="B4" s="1409" t="s">
        <v>14552</v>
      </c>
      <c r="C4" s="1409" t="s">
        <v>14564</v>
      </c>
      <c r="D4" s="1409" t="s">
        <v>14600</v>
      </c>
      <c r="E4" s="1409" t="s">
        <v>1199</v>
      </c>
      <c r="F4" s="1409" t="s">
        <v>334</v>
      </c>
      <c r="G4" s="1409" t="s">
        <v>337</v>
      </c>
      <c r="H4" s="1409" t="s">
        <v>334</v>
      </c>
      <c r="I4" s="1409">
        <v>0</v>
      </c>
      <c r="J4" s="1689">
        <v>0.999</v>
      </c>
    </row>
    <row r="5" spans="1:42">
      <c r="A5" s="1409" t="s">
        <v>310</v>
      </c>
      <c r="B5" s="1409" t="s">
        <v>14754</v>
      </c>
      <c r="J5" s="666"/>
      <c r="K5" s="666"/>
      <c r="L5" s="666"/>
      <c r="M5" s="666"/>
      <c r="N5" s="666"/>
      <c r="O5" s="666"/>
      <c r="P5" s="666"/>
      <c r="Q5" s="666"/>
      <c r="R5" s="666"/>
      <c r="S5" s="666"/>
      <c r="T5" s="666"/>
      <c r="U5" s="666"/>
      <c r="V5" s="666"/>
      <c r="W5" s="666"/>
      <c r="X5" s="666"/>
      <c r="Y5" s="666"/>
      <c r="Z5" s="666"/>
      <c r="AA5" s="666"/>
      <c r="AB5" s="666"/>
      <c r="AC5" s="666"/>
      <c r="AD5" s="666"/>
      <c r="AE5" s="666"/>
      <c r="AF5" s="666"/>
      <c r="AG5" s="666"/>
      <c r="AH5" s="666"/>
      <c r="AI5" s="666"/>
      <c r="AJ5" s="666"/>
      <c r="AK5" s="666"/>
      <c r="AL5" s="666"/>
      <c r="AM5" s="666"/>
      <c r="AN5" s="666"/>
      <c r="AO5" s="1401"/>
      <c r="AP5" s="1401"/>
    </row>
    <row r="6" spans="1:42" ht="16.5" customHeight="1">
      <c r="B6" s="1409" t="s">
        <v>14590</v>
      </c>
      <c r="C6" s="1409" t="s">
        <v>14578</v>
      </c>
      <c r="D6" s="1409" t="s">
        <v>334</v>
      </c>
      <c r="E6" s="1409" t="s">
        <v>334</v>
      </c>
      <c r="F6" s="1409" t="s">
        <v>334</v>
      </c>
      <c r="G6" s="1409" t="s">
        <v>337</v>
      </c>
      <c r="H6" s="1409" t="s">
        <v>1194</v>
      </c>
      <c r="I6" s="1409">
        <v>0</v>
      </c>
      <c r="J6" s="1409">
        <v>0.01</v>
      </c>
    </row>
    <row r="7" spans="1:42">
      <c r="B7" s="1409" t="s">
        <v>14590</v>
      </c>
      <c r="C7" s="1409" t="s">
        <v>14578</v>
      </c>
      <c r="D7" s="1409" t="s">
        <v>334</v>
      </c>
      <c r="E7" s="1409" t="s">
        <v>334</v>
      </c>
      <c r="F7" s="1409" t="s">
        <v>334</v>
      </c>
      <c r="G7" s="1409" t="s">
        <v>337</v>
      </c>
      <c r="H7" s="1409" t="s">
        <v>338</v>
      </c>
      <c r="I7" s="1409">
        <v>0</v>
      </c>
      <c r="J7" s="1409">
        <v>0.01</v>
      </c>
    </row>
    <row r="12" spans="1:42">
      <c r="A12" s="1409" t="s">
        <v>310</v>
      </c>
    </row>
    <row r="13" spans="1:42">
      <c r="A13" s="1409" t="s">
        <v>310</v>
      </c>
      <c r="B13" s="1409" t="s">
        <v>14766</v>
      </c>
    </row>
    <row r="14" spans="1:42">
      <c r="A14" s="1409" t="s">
        <v>310</v>
      </c>
      <c r="D14" s="1409">
        <v>2020</v>
      </c>
      <c r="E14" s="1409">
        <v>2030</v>
      </c>
    </row>
    <row r="15" spans="1:42">
      <c r="A15" s="1409" t="s">
        <v>310</v>
      </c>
      <c r="B15" s="1409" t="s">
        <v>14755</v>
      </c>
    </row>
    <row r="16" spans="1:42">
      <c r="A16" s="1409" t="s">
        <v>310</v>
      </c>
      <c r="B16" s="1409" t="s">
        <v>14756</v>
      </c>
      <c r="D16" s="1409">
        <v>120000</v>
      </c>
      <c r="E16" s="1409">
        <v>120000</v>
      </c>
    </row>
    <row r="17" spans="1:5">
      <c r="A17" s="1409" t="s">
        <v>310</v>
      </c>
      <c r="B17" s="1409" t="s">
        <v>14757</v>
      </c>
      <c r="D17" s="1409">
        <v>7.6476644510745446</v>
      </c>
      <c r="E17" s="1409">
        <v>7.6476644510745446</v>
      </c>
    </row>
    <row r="18" spans="1:5">
      <c r="A18" s="1409" t="s">
        <v>310</v>
      </c>
      <c r="B18" s="1409" t="s">
        <v>14758</v>
      </c>
      <c r="D18" s="1409">
        <v>100</v>
      </c>
      <c r="E18" s="1409">
        <v>1000</v>
      </c>
    </row>
    <row r="19" spans="1:5">
      <c r="A19" s="1409" t="s">
        <v>310</v>
      </c>
      <c r="B19" s="1409" t="s">
        <v>1657</v>
      </c>
      <c r="C19" s="1409" t="s">
        <v>1146</v>
      </c>
      <c r="D19" s="1409">
        <v>764766.44510745455</v>
      </c>
      <c r="E19" s="1409">
        <v>7647664.4510745443</v>
      </c>
    </row>
    <row r="20" spans="1:5">
      <c r="A20" s="1409" t="s">
        <v>310</v>
      </c>
      <c r="B20" s="1409" t="s">
        <v>1657</v>
      </c>
      <c r="C20" s="1409" t="s">
        <v>1145</v>
      </c>
      <c r="D20" s="1409">
        <v>91771.973412894542</v>
      </c>
      <c r="E20" s="1409">
        <v>917719.73412894539</v>
      </c>
    </row>
    <row r="21" spans="1:5">
      <c r="A21" s="1409" t="s">
        <v>310</v>
      </c>
      <c r="B21" s="1409" t="s">
        <v>1123</v>
      </c>
      <c r="C21" s="1409" t="s">
        <v>14759</v>
      </c>
      <c r="D21" s="1409">
        <v>25487916</v>
      </c>
      <c r="E21" s="1409">
        <v>136199890</v>
      </c>
    </row>
    <row r="22" spans="1:5">
      <c r="A22" s="1409" t="s">
        <v>310</v>
      </c>
      <c r="B22" s="1409" t="s">
        <v>1123</v>
      </c>
      <c r="C22" s="1409" t="s">
        <v>14760</v>
      </c>
      <c r="D22" s="1409">
        <v>277.73093518787499</v>
      </c>
      <c r="E22" s="1409">
        <v>0</v>
      </c>
    </row>
    <row r="23" spans="1:5">
      <c r="A23" s="1409" t="s">
        <v>310</v>
      </c>
      <c r="B23" s="1409" t="s">
        <v>1123</v>
      </c>
      <c r="C23" s="1409" t="s">
        <v>14761</v>
      </c>
      <c r="D23" s="1409">
        <v>0</v>
      </c>
      <c r="E23" s="1409">
        <v>148.41120326269791</v>
      </c>
    </row>
    <row r="24" spans="1:5">
      <c r="A24" s="1409" t="s">
        <v>310</v>
      </c>
      <c r="B24" s="1409" t="s">
        <v>1123</v>
      </c>
      <c r="C24" s="1409" t="s">
        <v>14762</v>
      </c>
      <c r="D24" s="1409">
        <v>4165.964027818125</v>
      </c>
      <c r="E24" s="1409">
        <v>0</v>
      </c>
    </row>
    <row r="25" spans="1:5">
      <c r="A25" s="1409" t="s">
        <v>310</v>
      </c>
      <c r="B25" s="1409" t="s">
        <v>1123</v>
      </c>
      <c r="C25" s="1409" t="s">
        <v>14763</v>
      </c>
      <c r="D25" s="1409">
        <v>0</v>
      </c>
      <c r="E25" s="1409">
        <v>2226.1680489404685</v>
      </c>
    </row>
    <row r="26" spans="1:5">
      <c r="A26" s="1409" t="s">
        <v>310</v>
      </c>
      <c r="B26" s="1409" t="s">
        <v>1123</v>
      </c>
      <c r="C26" s="1409" t="s">
        <v>14765</v>
      </c>
      <c r="D26" s="1409">
        <v>3500.8101074101892</v>
      </c>
      <c r="E26" s="1409">
        <v>0</v>
      </c>
    </row>
    <row r="27" spans="1:5">
      <c r="A27" s="1409" t="s">
        <v>310</v>
      </c>
      <c r="B27" s="1409" t="s">
        <v>1123</v>
      </c>
      <c r="C27" s="1409" t="s">
        <v>14764</v>
      </c>
      <c r="D27" s="1409">
        <v>0</v>
      </c>
      <c r="E27" s="1409">
        <v>1870.72945289115</v>
      </c>
    </row>
    <row r="28" spans="1:5">
      <c r="A28" s="1409" t="s">
        <v>310</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CFDDF-80BB-4C86-9062-D5615E5AE268}">
  <sheetPr codeName="Sheet72">
    <tabColor theme="9" tint="0.79998168889431442"/>
  </sheetPr>
  <dimension ref="A1:I3"/>
  <sheetViews>
    <sheetView workbookViewId="0"/>
  </sheetViews>
  <sheetFormatPr defaultRowHeight="15"/>
  <cols>
    <col min="1" max="1" width="9.140625" style="1409"/>
    <col min="2" max="2" width="12.5703125" style="1409" bestFit="1" customWidth="1"/>
    <col min="3" max="3" width="11.140625" style="1409" bestFit="1" customWidth="1"/>
    <col min="4" max="4" width="11.28515625" style="1409" bestFit="1" customWidth="1"/>
    <col min="5" max="9" width="6.140625" style="1409" bestFit="1" customWidth="1"/>
    <col min="10" max="16384" width="9.140625" style="1409"/>
  </cols>
  <sheetData>
    <row r="1" spans="1:9">
      <c r="A1" s="1409" t="s">
        <v>14557</v>
      </c>
      <c r="B1" s="1409" t="s">
        <v>308</v>
      </c>
    </row>
    <row r="2" spans="1:9">
      <c r="A2" s="1409" t="s">
        <v>310</v>
      </c>
      <c r="B2" s="1409" t="s">
        <v>323</v>
      </c>
      <c r="C2" s="1409" t="s">
        <v>333</v>
      </c>
      <c r="D2" s="1409" t="s">
        <v>345</v>
      </c>
      <c r="E2" s="1409" t="s">
        <v>14597</v>
      </c>
      <c r="F2" s="1409" t="s">
        <v>14591</v>
      </c>
      <c r="G2" s="1409" t="s">
        <v>14592</v>
      </c>
      <c r="H2" s="1409" t="s">
        <v>14593</v>
      </c>
      <c r="I2" s="1409" t="s">
        <v>339</v>
      </c>
    </row>
    <row r="3" spans="1:9">
      <c r="B3" s="1409" t="s">
        <v>361</v>
      </c>
      <c r="C3" s="1409" t="s">
        <v>14564</v>
      </c>
      <c r="D3" s="1409" t="s">
        <v>277</v>
      </c>
      <c r="E3" s="1409" t="s">
        <v>334</v>
      </c>
      <c r="F3" s="1409" t="s">
        <v>334</v>
      </c>
      <c r="G3" s="1409" t="s">
        <v>334</v>
      </c>
      <c r="H3" s="1409" t="s">
        <v>334</v>
      </c>
      <c r="I3" s="1409">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AP59"/>
  <sheetViews>
    <sheetView workbookViewId="0"/>
  </sheetViews>
  <sheetFormatPr defaultColWidth="8.7109375" defaultRowHeight="15"/>
  <cols>
    <col min="1" max="31" width="8.7109375" style="430"/>
    <col min="32" max="32" width="12" style="430" bestFit="1" customWidth="1"/>
    <col min="33" max="16384" width="8.7109375" style="430"/>
  </cols>
  <sheetData>
    <row r="1" spans="3:42">
      <c r="D1" s="430" t="s">
        <v>13563</v>
      </c>
      <c r="S1" s="430" t="s">
        <v>13564</v>
      </c>
      <c r="U1" s="29">
        <v>2012</v>
      </c>
      <c r="W1" s="1363">
        <f>INDEX($AB$4:$AB$57,MATCH(U2,C4:C57,0),1)/INDEX($AB$4:$AB$57,MATCH(U1,C4:C57,0),1)</f>
        <v>0.89200000000000002</v>
      </c>
      <c r="AG1" s="430">
        <v>2006</v>
      </c>
      <c r="AH1" s="430">
        <v>2007</v>
      </c>
      <c r="AI1" s="430">
        <f>1+AH1</f>
        <v>2008</v>
      </c>
      <c r="AJ1" s="430">
        <f t="shared" ref="AJ1:AP1" si="0">1+AI1</f>
        <v>2009</v>
      </c>
      <c r="AK1" s="430">
        <f t="shared" si="0"/>
        <v>2010</v>
      </c>
      <c r="AL1" s="430">
        <f t="shared" si="0"/>
        <v>2011</v>
      </c>
      <c r="AM1" s="430">
        <f t="shared" si="0"/>
        <v>2012</v>
      </c>
      <c r="AN1" s="430">
        <f t="shared" si="0"/>
        <v>2013</v>
      </c>
      <c r="AO1" s="430">
        <f t="shared" si="0"/>
        <v>2014</v>
      </c>
      <c r="AP1" s="430">
        <f t="shared" si="0"/>
        <v>2015</v>
      </c>
    </row>
    <row r="2" spans="3:42">
      <c r="S2" s="430" t="s">
        <v>13565</v>
      </c>
      <c r="U2" s="29">
        <v>2010</v>
      </c>
      <c r="AF2" s="430">
        <v>2010</v>
      </c>
      <c r="AG2" s="1363">
        <f>INDEX($AB$4:$AB$60,MATCH($AF$2,$C$4:$C$60,0),1)/INDEX($AB$4:$AB$60,MATCH(AG$1,$C$4:$C$60,0),1)</f>
        <v>1.3117647058823529</v>
      </c>
      <c r="AH2" s="1363">
        <f>INDEX($AB$4:$AB$60,MATCH($AF$2,$C$4:$C$60,0),1)/INDEX($AB$4:$AB$60,MATCH(AH$1,$C$4:$C$60,0),1)</f>
        <v>1.2054054054054055</v>
      </c>
      <c r="AI2" s="1363">
        <f t="shared" ref="AI2:AP2" si="1">INDEX($AB$4:$AB$60,MATCH($AF$2,$C$4:$C$60,0),1)/INDEX($AB$4:$AB$60,MATCH(AI$1,$C$4:$C$60,0),1)</f>
        <v>1.0998766954377313</v>
      </c>
      <c r="AJ2" s="1363">
        <f t="shared" si="1"/>
        <v>1.0348027842227379</v>
      </c>
      <c r="AK2" s="1363">
        <f t="shared" si="1"/>
        <v>1</v>
      </c>
      <c r="AL2" s="1363">
        <f t="shared" si="1"/>
        <v>0.94291754756871049</v>
      </c>
      <c r="AM2" s="1363">
        <f t="shared" si="1"/>
        <v>0.89200000000000002</v>
      </c>
      <c r="AN2" s="1363">
        <f t="shared" si="1"/>
        <v>0.84629981024667933</v>
      </c>
      <c r="AO2" s="1363">
        <f>INDEX($AB$4:$AB$60,MATCH($AF$2,$C$4:$C$60,0),1)/INDEX($AB$4:$AB$60,MATCH(AO$1,$C$4:$C$60,0),1)</f>
        <v>0.80294099643897465</v>
      </c>
      <c r="AP2" s="1363">
        <f t="shared" si="1"/>
        <v>0.76180360193451091</v>
      </c>
    </row>
    <row r="3" spans="3:42">
      <c r="D3" s="430" t="s">
        <v>13566</v>
      </c>
      <c r="E3" s="430" t="s">
        <v>13567</v>
      </c>
      <c r="F3" s="430" t="s">
        <v>13568</v>
      </c>
      <c r="G3" s="430" t="s">
        <v>13569</v>
      </c>
      <c r="H3" s="430" t="s">
        <v>13570</v>
      </c>
      <c r="I3" s="430" t="s">
        <v>13571</v>
      </c>
      <c r="J3" s="430" t="s">
        <v>13572</v>
      </c>
      <c r="K3" s="430" t="s">
        <v>13573</v>
      </c>
      <c r="L3" s="430" t="s">
        <v>13574</v>
      </c>
      <c r="M3" s="430" t="s">
        <v>13575</v>
      </c>
      <c r="N3" s="430" t="s">
        <v>13576</v>
      </c>
      <c r="O3" s="430" t="s">
        <v>13577</v>
      </c>
      <c r="P3" s="430" t="s">
        <v>1013</v>
      </c>
      <c r="Q3" s="430" t="s">
        <v>13566</v>
      </c>
      <c r="R3" s="430" t="s">
        <v>13567</v>
      </c>
      <c r="S3" s="430" t="s">
        <v>13568</v>
      </c>
      <c r="T3" s="430" t="s">
        <v>13569</v>
      </c>
      <c r="U3" s="430" t="s">
        <v>13570</v>
      </c>
      <c r="V3" s="430" t="s">
        <v>13571</v>
      </c>
      <c r="W3" s="430" t="s">
        <v>13572</v>
      </c>
      <c r="X3" s="430" t="s">
        <v>13573</v>
      </c>
      <c r="Y3" s="430" t="s">
        <v>13574</v>
      </c>
      <c r="Z3" s="430" t="s">
        <v>13575</v>
      </c>
      <c r="AA3" s="430" t="s">
        <v>13576</v>
      </c>
      <c r="AB3" s="430" t="s">
        <v>13577</v>
      </c>
      <c r="AC3" s="430" t="s">
        <v>1013</v>
      </c>
    </row>
    <row r="4" spans="3:42">
      <c r="C4" s="430">
        <v>1960</v>
      </c>
      <c r="D4" s="430" t="s">
        <v>13578</v>
      </c>
      <c r="E4" s="430" t="s">
        <v>13578</v>
      </c>
      <c r="F4" s="430" t="s">
        <v>13578</v>
      </c>
      <c r="G4" s="430" t="s">
        <v>13578</v>
      </c>
      <c r="H4" s="430" t="s">
        <v>13578</v>
      </c>
      <c r="I4" s="430" t="s">
        <v>13578</v>
      </c>
      <c r="J4" s="430" t="s">
        <v>13578</v>
      </c>
      <c r="K4" s="430" t="s">
        <v>13578</v>
      </c>
      <c r="L4" s="430" t="s">
        <v>13578</v>
      </c>
      <c r="M4" s="430" t="s">
        <v>13578</v>
      </c>
      <c r="N4" s="430" t="s">
        <v>13578</v>
      </c>
      <c r="O4" s="430" t="s">
        <v>13578</v>
      </c>
      <c r="P4" s="430" t="s">
        <v>13578</v>
      </c>
      <c r="Q4" s="430">
        <f>VALUE(LEFT(D4,LEN(D4)-2)&amp;"."&amp;RIGHT(D4,1))</f>
        <v>1.5</v>
      </c>
      <c r="R4" s="430">
        <f t="shared" ref="R4:Z19" si="2">VALUE(LEFT(E4,LEN(E4)-2)&amp;"."&amp;RIGHT(E4,1))</f>
        <v>1.5</v>
      </c>
      <c r="S4" s="430">
        <f t="shared" si="2"/>
        <v>1.5</v>
      </c>
      <c r="T4" s="430">
        <f t="shared" si="2"/>
        <v>1.5</v>
      </c>
      <c r="U4" s="430">
        <f t="shared" si="2"/>
        <v>1.5</v>
      </c>
      <c r="V4" s="430">
        <f t="shared" si="2"/>
        <v>1.5</v>
      </c>
      <c r="W4" s="430">
        <f t="shared" si="2"/>
        <v>1.5</v>
      </c>
      <c r="X4" s="430">
        <f t="shared" si="2"/>
        <v>1.5</v>
      </c>
      <c r="Y4" s="430">
        <f t="shared" si="2"/>
        <v>1.5</v>
      </c>
      <c r="Z4" s="430">
        <f>VALUE(LEFT(M4,LEN(M4)-2)&amp;"."&amp;RIGHT(M4,1))</f>
        <v>1.5</v>
      </c>
      <c r="AA4" s="430">
        <f t="shared" ref="AA4:AC57" si="3">VALUE(LEFT(N4,LEN(N4)-2)&amp;"."&amp;RIGHT(N4,1))</f>
        <v>1.5</v>
      </c>
      <c r="AB4" s="430">
        <f t="shared" si="3"/>
        <v>1.5</v>
      </c>
      <c r="AC4" s="430">
        <f t="shared" si="3"/>
        <v>1.5</v>
      </c>
      <c r="AF4" s="443"/>
      <c r="AJ4" s="779"/>
      <c r="AK4" s="779"/>
      <c r="AL4" s="779"/>
      <c r="AM4" s="779"/>
      <c r="AN4" s="779"/>
      <c r="AO4" s="779"/>
      <c r="AP4" s="779"/>
    </row>
    <row r="5" spans="3:42">
      <c r="C5" s="430">
        <v>1961</v>
      </c>
      <c r="D5" s="430" t="s">
        <v>13578</v>
      </c>
      <c r="E5" s="430" t="s">
        <v>13578</v>
      </c>
      <c r="F5" s="430" t="s">
        <v>13578</v>
      </c>
      <c r="G5" s="430" t="s">
        <v>13578</v>
      </c>
      <c r="H5" s="430" t="s">
        <v>13578</v>
      </c>
      <c r="I5" s="430" t="s">
        <v>13578</v>
      </c>
      <c r="J5" s="430" t="s">
        <v>13578</v>
      </c>
      <c r="K5" s="430" t="s">
        <v>13578</v>
      </c>
      <c r="L5" s="430" t="s">
        <v>13578</v>
      </c>
      <c r="M5" s="430" t="s">
        <v>13578</v>
      </c>
      <c r="N5" s="430" t="s">
        <v>13578</v>
      </c>
      <c r="O5" s="430" t="s">
        <v>13578</v>
      </c>
      <c r="P5" s="430" t="s">
        <v>13578</v>
      </c>
      <c r="Q5" s="430">
        <f t="shared" ref="Q5:Z43" si="4">VALUE(LEFT(D5,LEN(D5)-2)&amp;"."&amp;RIGHT(D5,1))</f>
        <v>1.5</v>
      </c>
      <c r="R5" s="430">
        <f t="shared" si="2"/>
        <v>1.5</v>
      </c>
      <c r="S5" s="430">
        <f t="shared" si="2"/>
        <v>1.5</v>
      </c>
      <c r="T5" s="430">
        <f t="shared" si="2"/>
        <v>1.5</v>
      </c>
      <c r="U5" s="430">
        <f t="shared" si="2"/>
        <v>1.5</v>
      </c>
      <c r="V5" s="430">
        <f t="shared" si="2"/>
        <v>1.5</v>
      </c>
      <c r="W5" s="430">
        <f t="shared" si="2"/>
        <v>1.5</v>
      </c>
      <c r="X5" s="430">
        <f t="shared" si="2"/>
        <v>1.5</v>
      </c>
      <c r="Y5" s="430">
        <f t="shared" si="2"/>
        <v>1.5</v>
      </c>
      <c r="Z5" s="430">
        <f t="shared" si="2"/>
        <v>1.5</v>
      </c>
      <c r="AA5" s="430">
        <f t="shared" si="3"/>
        <v>1.5</v>
      </c>
      <c r="AB5" s="430">
        <f t="shared" si="3"/>
        <v>1.5</v>
      </c>
      <c r="AC5" s="430">
        <f t="shared" si="3"/>
        <v>1.5</v>
      </c>
      <c r="AF5" s="443"/>
      <c r="AJ5" s="779"/>
      <c r="AK5" s="779"/>
      <c r="AL5" s="779"/>
      <c r="AM5" s="779"/>
      <c r="AN5" s="779"/>
      <c r="AO5" s="779"/>
      <c r="AP5" s="779"/>
    </row>
    <row r="6" spans="3:42">
      <c r="C6" s="430">
        <v>1962</v>
      </c>
      <c r="D6" s="430" t="s">
        <v>13578</v>
      </c>
      <c r="E6" s="430" t="s">
        <v>13578</v>
      </c>
      <c r="F6" s="430" t="s">
        <v>13578</v>
      </c>
      <c r="G6" s="430" t="s">
        <v>13578</v>
      </c>
      <c r="H6" s="430" t="s">
        <v>13578</v>
      </c>
      <c r="I6" s="430" t="s">
        <v>13578</v>
      </c>
      <c r="J6" s="430" t="s">
        <v>13578</v>
      </c>
      <c r="K6" s="430" t="s">
        <v>13578</v>
      </c>
      <c r="L6" s="430" t="s">
        <v>13578</v>
      </c>
      <c r="M6" s="430" t="s">
        <v>13578</v>
      </c>
      <c r="N6" s="430" t="s">
        <v>13578</v>
      </c>
      <c r="O6" s="430" t="s">
        <v>13578</v>
      </c>
      <c r="P6" s="430" t="s">
        <v>13578</v>
      </c>
      <c r="Q6" s="430">
        <f t="shared" si="4"/>
        <v>1.5</v>
      </c>
      <c r="R6" s="430">
        <f t="shared" si="2"/>
        <v>1.5</v>
      </c>
      <c r="S6" s="430">
        <f t="shared" si="2"/>
        <v>1.5</v>
      </c>
      <c r="T6" s="430">
        <f t="shared" si="2"/>
        <v>1.5</v>
      </c>
      <c r="U6" s="430">
        <f t="shared" si="2"/>
        <v>1.5</v>
      </c>
      <c r="V6" s="430">
        <f t="shared" si="2"/>
        <v>1.5</v>
      </c>
      <c r="W6" s="430">
        <f t="shared" si="2"/>
        <v>1.5</v>
      </c>
      <c r="X6" s="430">
        <f t="shared" si="2"/>
        <v>1.5</v>
      </c>
      <c r="Y6" s="430">
        <f t="shared" si="2"/>
        <v>1.5</v>
      </c>
      <c r="Z6" s="430">
        <f t="shared" si="2"/>
        <v>1.5</v>
      </c>
      <c r="AA6" s="430">
        <f t="shared" si="3"/>
        <v>1.5</v>
      </c>
      <c r="AB6" s="430">
        <f t="shared" si="3"/>
        <v>1.5</v>
      </c>
      <c r="AC6" s="430">
        <f t="shared" si="3"/>
        <v>1.5</v>
      </c>
      <c r="AJ6" s="779"/>
      <c r="AK6" s="779"/>
      <c r="AL6" s="779"/>
      <c r="AM6" s="779"/>
      <c r="AN6" s="779"/>
      <c r="AO6" s="779"/>
      <c r="AP6" s="779"/>
    </row>
    <row r="7" spans="3:42">
      <c r="C7" s="430">
        <v>1963</v>
      </c>
      <c r="D7" s="430" t="s">
        <v>13578</v>
      </c>
      <c r="E7" s="430" t="s">
        <v>13578</v>
      </c>
      <c r="F7" s="430" t="s">
        <v>13578</v>
      </c>
      <c r="G7" s="430" t="s">
        <v>13578</v>
      </c>
      <c r="H7" s="430" t="s">
        <v>13578</v>
      </c>
      <c r="I7" s="430" t="s">
        <v>13578</v>
      </c>
      <c r="J7" s="430" t="s">
        <v>13578</v>
      </c>
      <c r="K7" s="430" t="s">
        <v>13578</v>
      </c>
      <c r="L7" s="430" t="s">
        <v>13578</v>
      </c>
      <c r="M7" s="430" t="s">
        <v>13578</v>
      </c>
      <c r="N7" s="430" t="s">
        <v>13578</v>
      </c>
      <c r="O7" s="430" t="s">
        <v>13578</v>
      </c>
      <c r="P7" s="430" t="s">
        <v>13578</v>
      </c>
      <c r="Q7" s="430">
        <f t="shared" si="4"/>
        <v>1.5</v>
      </c>
      <c r="R7" s="430">
        <f t="shared" si="2"/>
        <v>1.5</v>
      </c>
      <c r="S7" s="430">
        <f t="shared" si="2"/>
        <v>1.5</v>
      </c>
      <c r="T7" s="430">
        <f t="shared" si="2"/>
        <v>1.5</v>
      </c>
      <c r="U7" s="430">
        <f t="shared" si="2"/>
        <v>1.5</v>
      </c>
      <c r="V7" s="430">
        <f t="shared" si="2"/>
        <v>1.5</v>
      </c>
      <c r="W7" s="430">
        <f t="shared" si="2"/>
        <v>1.5</v>
      </c>
      <c r="X7" s="430">
        <f t="shared" si="2"/>
        <v>1.5</v>
      </c>
      <c r="Y7" s="430">
        <f t="shared" si="2"/>
        <v>1.5</v>
      </c>
      <c r="Z7" s="430">
        <f t="shared" si="2"/>
        <v>1.5</v>
      </c>
      <c r="AA7" s="430">
        <f t="shared" si="3"/>
        <v>1.5</v>
      </c>
      <c r="AB7" s="430">
        <f t="shared" si="3"/>
        <v>1.5</v>
      </c>
      <c r="AC7" s="430">
        <f t="shared" si="3"/>
        <v>1.5</v>
      </c>
      <c r="AJ7" s="779"/>
      <c r="AK7" s="779"/>
      <c r="AL7" s="779"/>
      <c r="AM7" s="779"/>
      <c r="AN7" s="779"/>
      <c r="AO7" s="779"/>
      <c r="AP7" s="779"/>
    </row>
    <row r="8" spans="3:42">
      <c r="C8" s="430">
        <v>1964</v>
      </c>
      <c r="D8" s="430" t="s">
        <v>13578</v>
      </c>
      <c r="E8" s="430" t="s">
        <v>13578</v>
      </c>
      <c r="F8" s="430" t="s">
        <v>13578</v>
      </c>
      <c r="G8" s="430" t="s">
        <v>13579</v>
      </c>
      <c r="H8" s="430" t="s">
        <v>13579</v>
      </c>
      <c r="I8" s="430" t="s">
        <v>13579</v>
      </c>
      <c r="J8" s="430" t="s">
        <v>13579</v>
      </c>
      <c r="K8" s="430" t="s">
        <v>13579</v>
      </c>
      <c r="L8" s="430" t="s">
        <v>13579</v>
      </c>
      <c r="M8" s="430" t="s">
        <v>13579</v>
      </c>
      <c r="N8" s="430" t="s">
        <v>13579</v>
      </c>
      <c r="O8" s="430" t="s">
        <v>13579</v>
      </c>
      <c r="P8" s="430" t="s">
        <v>13579</v>
      </c>
      <c r="Q8" s="430">
        <f t="shared" si="4"/>
        <v>1.5</v>
      </c>
      <c r="R8" s="430">
        <f t="shared" si="2"/>
        <v>1.5</v>
      </c>
      <c r="S8" s="430">
        <f t="shared" si="2"/>
        <v>1.5</v>
      </c>
      <c r="T8" s="430">
        <f t="shared" si="2"/>
        <v>1.6</v>
      </c>
      <c r="U8" s="430">
        <f t="shared" si="2"/>
        <v>1.6</v>
      </c>
      <c r="V8" s="430">
        <f t="shared" si="2"/>
        <v>1.6</v>
      </c>
      <c r="W8" s="430">
        <f t="shared" si="2"/>
        <v>1.6</v>
      </c>
      <c r="X8" s="430">
        <f t="shared" si="2"/>
        <v>1.6</v>
      </c>
      <c r="Y8" s="430">
        <f t="shared" si="2"/>
        <v>1.6</v>
      </c>
      <c r="Z8" s="430">
        <f t="shared" si="2"/>
        <v>1.6</v>
      </c>
      <c r="AA8" s="430">
        <f t="shared" si="3"/>
        <v>1.6</v>
      </c>
      <c r="AB8" s="430">
        <f t="shared" si="3"/>
        <v>1.6</v>
      </c>
      <c r="AC8" s="430">
        <f t="shared" si="3"/>
        <v>1.6</v>
      </c>
    </row>
    <row r="9" spans="3:42">
      <c r="C9" s="430">
        <v>1965</v>
      </c>
      <c r="D9" s="430" t="s">
        <v>13579</v>
      </c>
      <c r="E9" s="430" t="s">
        <v>13579</v>
      </c>
      <c r="F9" s="430" t="s">
        <v>13579</v>
      </c>
      <c r="G9" s="430" t="s">
        <v>13579</v>
      </c>
      <c r="H9" s="430" t="s">
        <v>13579</v>
      </c>
      <c r="I9" s="430" t="s">
        <v>13579</v>
      </c>
      <c r="J9" s="430" t="s">
        <v>13579</v>
      </c>
      <c r="K9" s="430" t="s">
        <v>13579</v>
      </c>
      <c r="L9" s="430" t="s">
        <v>13579</v>
      </c>
      <c r="M9" s="430" t="s">
        <v>13579</v>
      </c>
      <c r="N9" s="430" t="s">
        <v>13579</v>
      </c>
      <c r="O9" s="430" t="s">
        <v>13579</v>
      </c>
      <c r="P9" s="430" t="s">
        <v>13579</v>
      </c>
      <c r="Q9" s="430">
        <f t="shared" si="4"/>
        <v>1.6</v>
      </c>
      <c r="R9" s="430">
        <f t="shared" si="2"/>
        <v>1.6</v>
      </c>
      <c r="S9" s="430">
        <f t="shared" si="2"/>
        <v>1.6</v>
      </c>
      <c r="T9" s="430">
        <f t="shared" si="2"/>
        <v>1.6</v>
      </c>
      <c r="U9" s="430">
        <f t="shared" si="2"/>
        <v>1.6</v>
      </c>
      <c r="V9" s="430">
        <f t="shared" si="2"/>
        <v>1.6</v>
      </c>
      <c r="W9" s="430">
        <f t="shared" si="2"/>
        <v>1.6</v>
      </c>
      <c r="X9" s="430">
        <f t="shared" si="2"/>
        <v>1.6</v>
      </c>
      <c r="Y9" s="430">
        <f t="shared" si="2"/>
        <v>1.6</v>
      </c>
      <c r="Z9" s="430">
        <f t="shared" si="2"/>
        <v>1.6</v>
      </c>
      <c r="AA9" s="430">
        <f t="shared" si="3"/>
        <v>1.6</v>
      </c>
      <c r="AB9" s="430">
        <f t="shared" si="3"/>
        <v>1.6</v>
      </c>
      <c r="AC9" s="430">
        <f t="shared" si="3"/>
        <v>1.6</v>
      </c>
    </row>
    <row r="10" spans="3:42">
      <c r="C10" s="430">
        <v>1966</v>
      </c>
      <c r="D10" s="430" t="s">
        <v>13579</v>
      </c>
      <c r="E10" s="430" t="s">
        <v>13579</v>
      </c>
      <c r="F10" s="430" t="s">
        <v>13580</v>
      </c>
      <c r="G10" s="430" t="s">
        <v>13580</v>
      </c>
      <c r="H10" s="430" t="s">
        <v>13580</v>
      </c>
      <c r="I10" s="430" t="s">
        <v>13580</v>
      </c>
      <c r="J10" s="430" t="s">
        <v>13580</v>
      </c>
      <c r="K10" s="430" t="s">
        <v>13580</v>
      </c>
      <c r="L10" s="430" t="s">
        <v>13580</v>
      </c>
      <c r="M10" s="430" t="s">
        <v>13580</v>
      </c>
      <c r="N10" s="430" t="s">
        <v>13580</v>
      </c>
      <c r="O10" s="430" t="s">
        <v>13580</v>
      </c>
      <c r="P10" s="430" t="s">
        <v>13580</v>
      </c>
      <c r="Q10" s="430">
        <f t="shared" si="4"/>
        <v>1.6</v>
      </c>
      <c r="R10" s="430">
        <f t="shared" si="2"/>
        <v>1.6</v>
      </c>
      <c r="S10" s="430">
        <f t="shared" si="2"/>
        <v>1.7</v>
      </c>
      <c r="T10" s="430">
        <f t="shared" si="2"/>
        <v>1.7</v>
      </c>
      <c r="U10" s="430">
        <f t="shared" si="2"/>
        <v>1.7</v>
      </c>
      <c r="V10" s="430">
        <f t="shared" si="2"/>
        <v>1.7</v>
      </c>
      <c r="W10" s="430">
        <f t="shared" si="2"/>
        <v>1.7</v>
      </c>
      <c r="X10" s="430">
        <f t="shared" si="2"/>
        <v>1.7</v>
      </c>
      <c r="Y10" s="430">
        <f t="shared" si="2"/>
        <v>1.7</v>
      </c>
      <c r="Z10" s="430">
        <f t="shared" si="2"/>
        <v>1.7</v>
      </c>
      <c r="AA10" s="430">
        <f t="shared" si="3"/>
        <v>1.7</v>
      </c>
      <c r="AB10" s="430">
        <f t="shared" si="3"/>
        <v>1.7</v>
      </c>
      <c r="AC10" s="430">
        <f t="shared" si="3"/>
        <v>1.7</v>
      </c>
    </row>
    <row r="11" spans="3:42">
      <c r="C11" s="430">
        <v>1967</v>
      </c>
      <c r="D11" s="430" t="s">
        <v>13580</v>
      </c>
      <c r="E11" s="430" t="s">
        <v>13580</v>
      </c>
      <c r="F11" s="430" t="s">
        <v>13580</v>
      </c>
      <c r="G11" s="430" t="s">
        <v>13580</v>
      </c>
      <c r="H11" s="430" t="s">
        <v>13580</v>
      </c>
      <c r="I11" s="430" t="s">
        <v>13580</v>
      </c>
      <c r="J11" s="430" t="s">
        <v>13580</v>
      </c>
      <c r="K11" s="430" t="s">
        <v>13580</v>
      </c>
      <c r="L11" s="430" t="s">
        <v>13580</v>
      </c>
      <c r="M11" s="430" t="s">
        <v>13580</v>
      </c>
      <c r="N11" s="430" t="s">
        <v>13580</v>
      </c>
      <c r="O11" s="430" t="s">
        <v>13580</v>
      </c>
      <c r="P11" s="430" t="s">
        <v>13580</v>
      </c>
      <c r="Q11" s="430">
        <f t="shared" si="4"/>
        <v>1.7</v>
      </c>
      <c r="R11" s="430">
        <f t="shared" si="2"/>
        <v>1.7</v>
      </c>
      <c r="S11" s="430">
        <f t="shared" si="2"/>
        <v>1.7</v>
      </c>
      <c r="T11" s="430">
        <f t="shared" si="2"/>
        <v>1.7</v>
      </c>
      <c r="U11" s="430">
        <f t="shared" si="2"/>
        <v>1.7</v>
      </c>
      <c r="V11" s="430">
        <f t="shared" si="2"/>
        <v>1.7</v>
      </c>
      <c r="W11" s="430">
        <f t="shared" si="2"/>
        <v>1.7</v>
      </c>
      <c r="X11" s="430">
        <f t="shared" si="2"/>
        <v>1.7</v>
      </c>
      <c r="Y11" s="430">
        <f t="shared" si="2"/>
        <v>1.7</v>
      </c>
      <c r="Z11" s="430">
        <f t="shared" si="2"/>
        <v>1.7</v>
      </c>
      <c r="AA11" s="430">
        <f t="shared" si="3"/>
        <v>1.7</v>
      </c>
      <c r="AB11" s="430">
        <f t="shared" si="3"/>
        <v>1.7</v>
      </c>
      <c r="AC11" s="430">
        <f t="shared" si="3"/>
        <v>1.7</v>
      </c>
    </row>
    <row r="12" spans="3:42">
      <c r="C12" s="430">
        <v>1968</v>
      </c>
      <c r="D12" s="430" t="s">
        <v>13580</v>
      </c>
      <c r="E12" s="430" t="s">
        <v>13580</v>
      </c>
      <c r="F12" s="430" t="s">
        <v>13580</v>
      </c>
      <c r="G12" s="430" t="s">
        <v>13580</v>
      </c>
      <c r="H12" s="430" t="s">
        <v>13580</v>
      </c>
      <c r="I12" s="430" t="s">
        <v>13580</v>
      </c>
      <c r="J12" s="430" t="s">
        <v>13581</v>
      </c>
      <c r="K12" s="430" t="s">
        <v>13581</v>
      </c>
      <c r="L12" s="430" t="s">
        <v>13581</v>
      </c>
      <c r="M12" s="430" t="s">
        <v>13581</v>
      </c>
      <c r="N12" s="430" t="s">
        <v>13581</v>
      </c>
      <c r="O12" s="430" t="s">
        <v>13581</v>
      </c>
      <c r="P12" s="430" t="s">
        <v>13581</v>
      </c>
      <c r="Q12" s="430">
        <f t="shared" si="4"/>
        <v>1.7</v>
      </c>
      <c r="R12" s="430">
        <f t="shared" si="2"/>
        <v>1.7</v>
      </c>
      <c r="S12" s="430">
        <f t="shared" si="2"/>
        <v>1.7</v>
      </c>
      <c r="T12" s="430">
        <f t="shared" si="2"/>
        <v>1.7</v>
      </c>
      <c r="U12" s="430">
        <f t="shared" si="2"/>
        <v>1.7</v>
      </c>
      <c r="V12" s="430">
        <f t="shared" si="2"/>
        <v>1.7</v>
      </c>
      <c r="W12" s="430">
        <f t="shared" si="2"/>
        <v>1.8</v>
      </c>
      <c r="X12" s="430">
        <f t="shared" si="2"/>
        <v>1.8</v>
      </c>
      <c r="Y12" s="430">
        <f t="shared" si="2"/>
        <v>1.8</v>
      </c>
      <c r="Z12" s="430">
        <f t="shared" si="2"/>
        <v>1.8</v>
      </c>
      <c r="AA12" s="430">
        <f t="shared" si="3"/>
        <v>1.8</v>
      </c>
      <c r="AB12" s="430">
        <f t="shared" si="3"/>
        <v>1.8</v>
      </c>
      <c r="AC12" s="430">
        <f t="shared" si="3"/>
        <v>1.8</v>
      </c>
    </row>
    <row r="13" spans="3:42">
      <c r="C13" s="430">
        <v>1969</v>
      </c>
      <c r="D13" s="430" t="s">
        <v>13581</v>
      </c>
      <c r="E13" s="430" t="s">
        <v>13581</v>
      </c>
      <c r="F13" s="430" t="s">
        <v>13581</v>
      </c>
      <c r="G13" s="430" t="s">
        <v>13581</v>
      </c>
      <c r="H13" s="430" t="s">
        <v>13581</v>
      </c>
      <c r="I13" s="430" t="s">
        <v>13581</v>
      </c>
      <c r="J13" s="430" t="s">
        <v>13581</v>
      </c>
      <c r="K13" s="430" t="s">
        <v>13581</v>
      </c>
      <c r="L13" s="430" t="s">
        <v>13581</v>
      </c>
      <c r="M13" s="430" t="s">
        <v>13582</v>
      </c>
      <c r="N13" s="430" t="s">
        <v>13582</v>
      </c>
      <c r="O13" s="430" t="s">
        <v>13582</v>
      </c>
      <c r="P13" s="430" t="s">
        <v>13581</v>
      </c>
      <c r="Q13" s="430">
        <f t="shared" si="4"/>
        <v>1.8</v>
      </c>
      <c r="R13" s="430">
        <f t="shared" si="2"/>
        <v>1.8</v>
      </c>
      <c r="S13" s="430">
        <f t="shared" si="2"/>
        <v>1.8</v>
      </c>
      <c r="T13" s="430">
        <f t="shared" si="2"/>
        <v>1.8</v>
      </c>
      <c r="U13" s="430">
        <f t="shared" si="2"/>
        <v>1.8</v>
      </c>
      <c r="V13" s="430">
        <f t="shared" si="2"/>
        <v>1.8</v>
      </c>
      <c r="W13" s="430">
        <f t="shared" si="2"/>
        <v>1.8</v>
      </c>
      <c r="X13" s="430">
        <f t="shared" si="2"/>
        <v>1.8</v>
      </c>
      <c r="Y13" s="430">
        <f t="shared" si="2"/>
        <v>1.8</v>
      </c>
      <c r="Z13" s="430">
        <f t="shared" si="2"/>
        <v>1.9</v>
      </c>
      <c r="AA13" s="430">
        <f t="shared" si="3"/>
        <v>1.9</v>
      </c>
      <c r="AB13" s="430">
        <f t="shared" si="3"/>
        <v>1.9</v>
      </c>
      <c r="AC13" s="430">
        <f t="shared" si="3"/>
        <v>1.8</v>
      </c>
    </row>
    <row r="14" spans="3:42">
      <c r="C14" s="430">
        <v>1970</v>
      </c>
      <c r="D14" s="430" t="s">
        <v>13582</v>
      </c>
      <c r="E14" s="430" t="s">
        <v>13582</v>
      </c>
      <c r="F14" s="430" t="s">
        <v>13582</v>
      </c>
      <c r="G14" s="430" t="s">
        <v>13582</v>
      </c>
      <c r="H14" s="430" t="s">
        <v>13582</v>
      </c>
      <c r="I14" s="430" t="s">
        <v>13582</v>
      </c>
      <c r="J14" s="430" t="s">
        <v>13582</v>
      </c>
      <c r="K14" s="430" t="s">
        <v>13583</v>
      </c>
      <c r="L14" s="430" t="s">
        <v>13583</v>
      </c>
      <c r="M14" s="430" t="s">
        <v>13583</v>
      </c>
      <c r="N14" s="430" t="s">
        <v>13583</v>
      </c>
      <c r="O14" s="430" t="s">
        <v>13583</v>
      </c>
      <c r="P14" s="430" t="s">
        <v>13582</v>
      </c>
      <c r="Q14" s="430">
        <f t="shared" si="4"/>
        <v>1.9</v>
      </c>
      <c r="R14" s="430">
        <f t="shared" si="2"/>
        <v>1.9</v>
      </c>
      <c r="S14" s="430">
        <f t="shared" si="2"/>
        <v>1.9</v>
      </c>
      <c r="T14" s="430">
        <f t="shared" si="2"/>
        <v>1.9</v>
      </c>
      <c r="U14" s="430">
        <f t="shared" si="2"/>
        <v>1.9</v>
      </c>
      <c r="V14" s="430">
        <f t="shared" si="2"/>
        <v>1.9</v>
      </c>
      <c r="W14" s="430">
        <f t="shared" si="2"/>
        <v>1.9</v>
      </c>
      <c r="X14" s="430">
        <f t="shared" si="2"/>
        <v>2</v>
      </c>
      <c r="Y14" s="430">
        <f t="shared" si="2"/>
        <v>2</v>
      </c>
      <c r="Z14" s="430">
        <f t="shared" si="2"/>
        <v>2</v>
      </c>
      <c r="AA14" s="430">
        <f t="shared" si="3"/>
        <v>2</v>
      </c>
      <c r="AB14" s="430">
        <f t="shared" si="3"/>
        <v>2</v>
      </c>
      <c r="AC14" s="430">
        <f t="shared" si="3"/>
        <v>1.9</v>
      </c>
    </row>
    <row r="15" spans="3:42">
      <c r="C15" s="430">
        <v>1971</v>
      </c>
      <c r="D15" s="430" t="s">
        <v>13583</v>
      </c>
      <c r="E15" s="430" t="s">
        <v>13583</v>
      </c>
      <c r="F15" s="430" t="s">
        <v>13583</v>
      </c>
      <c r="G15" s="430" t="s">
        <v>13583</v>
      </c>
      <c r="H15" s="430" t="s">
        <v>13583</v>
      </c>
      <c r="I15" s="430" t="s">
        <v>13583</v>
      </c>
      <c r="J15" s="430" t="s">
        <v>13583</v>
      </c>
      <c r="K15" s="430" t="s">
        <v>13584</v>
      </c>
      <c r="L15" s="430" t="s">
        <v>13584</v>
      </c>
      <c r="M15" s="430" t="s">
        <v>13584</v>
      </c>
      <c r="N15" s="430" t="s">
        <v>13584</v>
      </c>
      <c r="O15" s="430" t="s">
        <v>13584</v>
      </c>
      <c r="P15" s="430" t="s">
        <v>13583</v>
      </c>
      <c r="Q15" s="430">
        <f t="shared" si="4"/>
        <v>2</v>
      </c>
      <c r="R15" s="430">
        <f t="shared" si="2"/>
        <v>2</v>
      </c>
      <c r="S15" s="430">
        <f t="shared" si="2"/>
        <v>2</v>
      </c>
      <c r="T15" s="430">
        <f t="shared" si="2"/>
        <v>2</v>
      </c>
      <c r="U15" s="430">
        <f t="shared" si="2"/>
        <v>2</v>
      </c>
      <c r="V15" s="430">
        <f t="shared" si="2"/>
        <v>2</v>
      </c>
      <c r="W15" s="430">
        <f t="shared" si="2"/>
        <v>2</v>
      </c>
      <c r="X15" s="430">
        <f t="shared" si="2"/>
        <v>2.1</v>
      </c>
      <c r="Y15" s="430">
        <f t="shared" si="2"/>
        <v>2.1</v>
      </c>
      <c r="Z15" s="430">
        <f t="shared" si="2"/>
        <v>2.1</v>
      </c>
      <c r="AA15" s="430">
        <f t="shared" si="3"/>
        <v>2.1</v>
      </c>
      <c r="AB15" s="430">
        <f t="shared" si="3"/>
        <v>2.1</v>
      </c>
      <c r="AC15" s="430">
        <f t="shared" si="3"/>
        <v>2</v>
      </c>
    </row>
    <row r="16" spans="3:42">
      <c r="C16" s="430">
        <v>1972</v>
      </c>
      <c r="D16" s="430" t="s">
        <v>13584</v>
      </c>
      <c r="E16" s="430" t="s">
        <v>13584</v>
      </c>
      <c r="F16" s="430" t="s">
        <v>13584</v>
      </c>
      <c r="G16" s="430" t="s">
        <v>13584</v>
      </c>
      <c r="H16" s="430" t="s">
        <v>13584</v>
      </c>
      <c r="I16" s="430" t="s">
        <v>13584</v>
      </c>
      <c r="J16" s="430" t="s">
        <v>13585</v>
      </c>
      <c r="K16" s="430" t="s">
        <v>13585</v>
      </c>
      <c r="L16" s="430" t="s">
        <v>13585</v>
      </c>
      <c r="M16" s="430" t="s">
        <v>13586</v>
      </c>
      <c r="N16" s="430" t="s">
        <v>13586</v>
      </c>
      <c r="O16" s="430" t="s">
        <v>13586</v>
      </c>
      <c r="P16" s="430" t="s">
        <v>13585</v>
      </c>
      <c r="Q16" s="430">
        <f t="shared" si="4"/>
        <v>2.1</v>
      </c>
      <c r="R16" s="430">
        <f t="shared" si="2"/>
        <v>2.1</v>
      </c>
      <c r="S16" s="430">
        <f t="shared" si="2"/>
        <v>2.1</v>
      </c>
      <c r="T16" s="430">
        <f t="shared" si="2"/>
        <v>2.1</v>
      </c>
      <c r="U16" s="430">
        <f t="shared" si="2"/>
        <v>2.1</v>
      </c>
      <c r="V16" s="430">
        <f t="shared" si="2"/>
        <v>2.1</v>
      </c>
      <c r="W16" s="430">
        <f t="shared" si="2"/>
        <v>2.2000000000000002</v>
      </c>
      <c r="X16" s="430">
        <f t="shared" si="2"/>
        <v>2.2000000000000002</v>
      </c>
      <c r="Y16" s="430">
        <f t="shared" si="2"/>
        <v>2.2000000000000002</v>
      </c>
      <c r="Z16" s="430">
        <f t="shared" si="2"/>
        <v>2.2999999999999998</v>
      </c>
      <c r="AA16" s="430">
        <f t="shared" si="3"/>
        <v>2.2999999999999998</v>
      </c>
      <c r="AB16" s="430">
        <f t="shared" si="3"/>
        <v>2.2999999999999998</v>
      </c>
      <c r="AC16" s="430">
        <f t="shared" si="3"/>
        <v>2.2000000000000002</v>
      </c>
    </row>
    <row r="17" spans="3:29">
      <c r="C17" s="430">
        <v>1973</v>
      </c>
      <c r="D17" s="430" t="s">
        <v>13586</v>
      </c>
      <c r="E17" s="430" t="s">
        <v>13586</v>
      </c>
      <c r="F17" s="430" t="s">
        <v>13586</v>
      </c>
      <c r="G17" s="430" t="s">
        <v>13587</v>
      </c>
      <c r="H17" s="430" t="s">
        <v>13587</v>
      </c>
      <c r="I17" s="430" t="s">
        <v>13587</v>
      </c>
      <c r="J17" s="430" t="s">
        <v>13587</v>
      </c>
      <c r="K17" s="430" t="s">
        <v>13587</v>
      </c>
      <c r="L17" s="430" t="s">
        <v>13587</v>
      </c>
      <c r="M17" s="430" t="s">
        <v>13588</v>
      </c>
      <c r="N17" s="430" t="s">
        <v>13588</v>
      </c>
      <c r="O17" s="430" t="s">
        <v>13588</v>
      </c>
      <c r="P17" s="430" t="s">
        <v>13587</v>
      </c>
      <c r="Q17" s="430">
        <f t="shared" si="4"/>
        <v>2.2999999999999998</v>
      </c>
      <c r="R17" s="430">
        <f t="shared" si="2"/>
        <v>2.2999999999999998</v>
      </c>
      <c r="S17" s="430">
        <f t="shared" si="2"/>
        <v>2.2999999999999998</v>
      </c>
      <c r="T17" s="430">
        <f t="shared" si="2"/>
        <v>2.4</v>
      </c>
      <c r="U17" s="430">
        <f t="shared" si="2"/>
        <v>2.4</v>
      </c>
      <c r="V17" s="430">
        <f t="shared" si="2"/>
        <v>2.4</v>
      </c>
      <c r="W17" s="430">
        <f t="shared" si="2"/>
        <v>2.4</v>
      </c>
      <c r="X17" s="430">
        <f t="shared" si="2"/>
        <v>2.4</v>
      </c>
      <c r="Y17" s="430">
        <f t="shared" si="2"/>
        <v>2.4</v>
      </c>
      <c r="Z17" s="430">
        <f t="shared" si="2"/>
        <v>2.5</v>
      </c>
      <c r="AA17" s="430">
        <f t="shared" si="3"/>
        <v>2.5</v>
      </c>
      <c r="AB17" s="430">
        <f t="shared" si="3"/>
        <v>2.5</v>
      </c>
      <c r="AC17" s="430">
        <f t="shared" si="3"/>
        <v>2.4</v>
      </c>
    </row>
    <row r="18" spans="3:29">
      <c r="C18" s="430">
        <v>1974</v>
      </c>
      <c r="D18" s="430" t="s">
        <v>13588</v>
      </c>
      <c r="E18" s="430" t="s">
        <v>13588</v>
      </c>
      <c r="F18" s="430" t="s">
        <v>13589</v>
      </c>
      <c r="G18" s="430" t="s">
        <v>13589</v>
      </c>
      <c r="H18" s="430" t="s">
        <v>13589</v>
      </c>
      <c r="I18" s="430" t="s">
        <v>13590</v>
      </c>
      <c r="J18" s="430" t="s">
        <v>13590</v>
      </c>
      <c r="K18" s="430" t="s">
        <v>13590</v>
      </c>
      <c r="L18" s="430" t="s">
        <v>13591</v>
      </c>
      <c r="M18" s="430" t="s">
        <v>13591</v>
      </c>
      <c r="N18" s="430" t="s">
        <v>13591</v>
      </c>
      <c r="O18" s="430" t="s">
        <v>13591</v>
      </c>
      <c r="P18" s="430" t="s">
        <v>13590</v>
      </c>
      <c r="Q18" s="430">
        <f t="shared" si="4"/>
        <v>2.5</v>
      </c>
      <c r="R18" s="430">
        <f t="shared" si="2"/>
        <v>2.5</v>
      </c>
      <c r="S18" s="430">
        <f t="shared" si="2"/>
        <v>2.6</v>
      </c>
      <c r="T18" s="430">
        <f t="shared" si="2"/>
        <v>2.6</v>
      </c>
      <c r="U18" s="430">
        <f t="shared" si="2"/>
        <v>2.6</v>
      </c>
      <c r="V18" s="430">
        <f t="shared" si="2"/>
        <v>2.7</v>
      </c>
      <c r="W18" s="430">
        <f t="shared" si="2"/>
        <v>2.7</v>
      </c>
      <c r="X18" s="430">
        <f t="shared" si="2"/>
        <v>2.7</v>
      </c>
      <c r="Y18" s="430">
        <f t="shared" si="2"/>
        <v>2.8</v>
      </c>
      <c r="Z18" s="430">
        <f t="shared" si="2"/>
        <v>2.8</v>
      </c>
      <c r="AA18" s="430">
        <f t="shared" si="3"/>
        <v>2.8</v>
      </c>
      <c r="AB18" s="430">
        <f t="shared" si="3"/>
        <v>2.8</v>
      </c>
      <c r="AC18" s="430">
        <f t="shared" si="3"/>
        <v>2.7</v>
      </c>
    </row>
    <row r="19" spans="3:29">
      <c r="C19" s="430">
        <v>1975</v>
      </c>
      <c r="D19" s="430" t="s">
        <v>13592</v>
      </c>
      <c r="E19" s="430" t="s">
        <v>13592</v>
      </c>
      <c r="F19" s="430" t="s">
        <v>13592</v>
      </c>
      <c r="G19" s="430" t="s">
        <v>13593</v>
      </c>
      <c r="H19" s="430" t="s">
        <v>13593</v>
      </c>
      <c r="I19" s="430" t="s">
        <v>13593</v>
      </c>
      <c r="J19" s="430" t="s">
        <v>13594</v>
      </c>
      <c r="K19" s="430" t="s">
        <v>13594</v>
      </c>
      <c r="L19" s="430" t="s">
        <v>13594</v>
      </c>
      <c r="M19" s="430" t="s">
        <v>13594</v>
      </c>
      <c r="N19" s="430" t="s">
        <v>13595</v>
      </c>
      <c r="O19" s="430" t="s">
        <v>13595</v>
      </c>
      <c r="P19" s="430" t="s">
        <v>13593</v>
      </c>
      <c r="Q19" s="430">
        <f t="shared" si="4"/>
        <v>2.9</v>
      </c>
      <c r="R19" s="430">
        <f t="shared" si="2"/>
        <v>2.9</v>
      </c>
      <c r="S19" s="430">
        <f t="shared" si="2"/>
        <v>2.9</v>
      </c>
      <c r="T19" s="430">
        <f t="shared" si="2"/>
        <v>3</v>
      </c>
      <c r="U19" s="430">
        <f t="shared" si="2"/>
        <v>3</v>
      </c>
      <c r="V19" s="430">
        <f t="shared" si="2"/>
        <v>3</v>
      </c>
      <c r="W19" s="430">
        <f t="shared" si="2"/>
        <v>3.1</v>
      </c>
      <c r="X19" s="430">
        <f t="shared" si="2"/>
        <v>3.1</v>
      </c>
      <c r="Y19" s="430">
        <f t="shared" si="2"/>
        <v>3.1</v>
      </c>
      <c r="Z19" s="430">
        <f t="shared" si="2"/>
        <v>3.1</v>
      </c>
      <c r="AA19" s="430">
        <f t="shared" si="3"/>
        <v>3.2</v>
      </c>
      <c r="AB19" s="430">
        <f t="shared" si="3"/>
        <v>3.2</v>
      </c>
      <c r="AC19" s="430">
        <f t="shared" si="3"/>
        <v>3</v>
      </c>
    </row>
    <row r="20" spans="3:29">
      <c r="C20" s="430">
        <v>1976</v>
      </c>
      <c r="D20" s="430" t="s">
        <v>13595</v>
      </c>
      <c r="E20" s="430" t="s">
        <v>13595</v>
      </c>
      <c r="F20" s="430" t="s">
        <v>13596</v>
      </c>
      <c r="G20" s="430" t="s">
        <v>13596</v>
      </c>
      <c r="H20" s="430" t="s">
        <v>13596</v>
      </c>
      <c r="I20" s="430" t="s">
        <v>13597</v>
      </c>
      <c r="J20" s="430" t="s">
        <v>13597</v>
      </c>
      <c r="K20" s="430" t="s">
        <v>13598</v>
      </c>
      <c r="L20" s="430" t="s">
        <v>13598</v>
      </c>
      <c r="M20" s="430" t="s">
        <v>13598</v>
      </c>
      <c r="N20" s="430" t="s">
        <v>13598</v>
      </c>
      <c r="O20" s="430" t="s">
        <v>13598</v>
      </c>
      <c r="P20" s="430" t="s">
        <v>13597</v>
      </c>
      <c r="Q20" s="430">
        <f t="shared" si="4"/>
        <v>3.2</v>
      </c>
      <c r="R20" s="430">
        <f t="shared" si="4"/>
        <v>3.2</v>
      </c>
      <c r="S20" s="430">
        <f t="shared" si="4"/>
        <v>3.3</v>
      </c>
      <c r="T20" s="430">
        <f t="shared" si="4"/>
        <v>3.3</v>
      </c>
      <c r="U20" s="430">
        <f t="shared" si="4"/>
        <v>3.3</v>
      </c>
      <c r="V20" s="430">
        <f t="shared" si="4"/>
        <v>3.4</v>
      </c>
      <c r="W20" s="430">
        <f t="shared" si="4"/>
        <v>3.4</v>
      </c>
      <c r="X20" s="430">
        <f t="shared" si="4"/>
        <v>3.5</v>
      </c>
      <c r="Y20" s="430">
        <f t="shared" si="4"/>
        <v>3.5</v>
      </c>
      <c r="Z20" s="430">
        <f t="shared" si="4"/>
        <v>3.5</v>
      </c>
      <c r="AA20" s="430">
        <f t="shared" si="3"/>
        <v>3.5</v>
      </c>
      <c r="AB20" s="430">
        <f t="shared" si="3"/>
        <v>3.5</v>
      </c>
      <c r="AC20" s="430">
        <f t="shared" si="3"/>
        <v>3.4</v>
      </c>
    </row>
    <row r="21" spans="3:29">
      <c r="C21" s="430">
        <v>1977</v>
      </c>
      <c r="D21" s="430" t="s">
        <v>13599</v>
      </c>
      <c r="E21" s="430" t="s">
        <v>13599</v>
      </c>
      <c r="F21" s="430" t="s">
        <v>13599</v>
      </c>
      <c r="G21" s="430" t="s">
        <v>13600</v>
      </c>
      <c r="H21" s="430" t="s">
        <v>13600</v>
      </c>
      <c r="I21" s="430" t="s">
        <v>13600</v>
      </c>
      <c r="J21" s="430" t="s">
        <v>13600</v>
      </c>
      <c r="K21" s="430" t="s">
        <v>13601</v>
      </c>
      <c r="L21" s="430" t="s">
        <v>13601</v>
      </c>
      <c r="M21" s="430" t="s">
        <v>13601</v>
      </c>
      <c r="N21" s="430" t="s">
        <v>13601</v>
      </c>
      <c r="O21" s="430" t="s">
        <v>13602</v>
      </c>
      <c r="P21" s="430" t="s">
        <v>13600</v>
      </c>
      <c r="Q21" s="430">
        <f t="shared" si="4"/>
        <v>3.6</v>
      </c>
      <c r="R21" s="430">
        <f t="shared" si="4"/>
        <v>3.6</v>
      </c>
      <c r="S21" s="430">
        <f t="shared" si="4"/>
        <v>3.6</v>
      </c>
      <c r="T21" s="430">
        <f t="shared" si="4"/>
        <v>3.7</v>
      </c>
      <c r="U21" s="430">
        <f t="shared" si="4"/>
        <v>3.7</v>
      </c>
      <c r="V21" s="430">
        <f t="shared" si="4"/>
        <v>3.7</v>
      </c>
      <c r="W21" s="430">
        <f t="shared" si="4"/>
        <v>3.7</v>
      </c>
      <c r="X21" s="430">
        <f t="shared" si="4"/>
        <v>3.8</v>
      </c>
      <c r="Y21" s="430">
        <f t="shared" si="4"/>
        <v>3.8</v>
      </c>
      <c r="Z21" s="430">
        <f t="shared" si="4"/>
        <v>3.8</v>
      </c>
      <c r="AA21" s="430">
        <f t="shared" si="3"/>
        <v>3.8</v>
      </c>
      <c r="AB21" s="430">
        <f t="shared" si="3"/>
        <v>3.9</v>
      </c>
      <c r="AC21" s="430">
        <f t="shared" si="3"/>
        <v>3.7</v>
      </c>
    </row>
    <row r="22" spans="3:29">
      <c r="C22" s="430">
        <v>1978</v>
      </c>
      <c r="D22" s="430" t="s">
        <v>13602</v>
      </c>
      <c r="E22" s="430" t="s">
        <v>13602</v>
      </c>
      <c r="F22" s="430" t="s">
        <v>13602</v>
      </c>
      <c r="G22" s="430" t="s">
        <v>13603</v>
      </c>
      <c r="H22" s="430" t="s">
        <v>13603</v>
      </c>
      <c r="I22" s="430" t="s">
        <v>13603</v>
      </c>
      <c r="J22" s="430" t="s">
        <v>13604</v>
      </c>
      <c r="K22" s="430" t="s">
        <v>13604</v>
      </c>
      <c r="L22" s="430" t="s">
        <v>13605</v>
      </c>
      <c r="M22" s="430" t="s">
        <v>13605</v>
      </c>
      <c r="N22" s="430" t="s">
        <v>13605</v>
      </c>
      <c r="O22" s="430" t="s">
        <v>13605</v>
      </c>
      <c r="P22" s="430" t="s">
        <v>13606</v>
      </c>
      <c r="Q22" s="430">
        <f t="shared" si="4"/>
        <v>3.9</v>
      </c>
      <c r="R22" s="430">
        <f t="shared" si="4"/>
        <v>3.9</v>
      </c>
      <c r="S22" s="430">
        <f t="shared" si="4"/>
        <v>3.9</v>
      </c>
      <c r="T22" s="430">
        <f t="shared" si="4"/>
        <v>4</v>
      </c>
      <c r="U22" s="430">
        <f t="shared" si="4"/>
        <v>4</v>
      </c>
      <c r="V22" s="430">
        <f t="shared" si="4"/>
        <v>4</v>
      </c>
      <c r="W22" s="430">
        <f t="shared" si="4"/>
        <v>4.2</v>
      </c>
      <c r="X22" s="430">
        <f t="shared" si="4"/>
        <v>4.2</v>
      </c>
      <c r="Y22" s="430">
        <f t="shared" si="4"/>
        <v>4.3</v>
      </c>
      <c r="Z22" s="430">
        <f t="shared" si="4"/>
        <v>4.3</v>
      </c>
      <c r="AA22" s="430">
        <f t="shared" si="3"/>
        <v>4.3</v>
      </c>
      <c r="AB22" s="430">
        <f t="shared" si="3"/>
        <v>4.3</v>
      </c>
      <c r="AC22" s="430">
        <f t="shared" si="3"/>
        <v>4.0999999999999996</v>
      </c>
    </row>
    <row r="23" spans="3:29">
      <c r="C23" s="430">
        <v>1979</v>
      </c>
      <c r="D23" s="430" t="s">
        <v>13607</v>
      </c>
      <c r="E23" s="430" t="s">
        <v>13607</v>
      </c>
      <c r="F23" s="430" t="s">
        <v>13608</v>
      </c>
      <c r="G23" s="430" t="s">
        <v>13608</v>
      </c>
      <c r="H23" s="430" t="s">
        <v>13608</v>
      </c>
      <c r="I23" s="430" t="s">
        <v>13609</v>
      </c>
      <c r="J23" s="430" t="s">
        <v>13610</v>
      </c>
      <c r="K23" s="430" t="s">
        <v>13610</v>
      </c>
      <c r="L23" s="430" t="s">
        <v>13611</v>
      </c>
      <c r="M23" s="430" t="s">
        <v>13611</v>
      </c>
      <c r="N23" s="430" t="s">
        <v>13611</v>
      </c>
      <c r="O23" s="430" t="s">
        <v>13612</v>
      </c>
      <c r="P23" s="430" t="s">
        <v>13613</v>
      </c>
      <c r="Q23" s="430">
        <f t="shared" si="4"/>
        <v>4.4000000000000004</v>
      </c>
      <c r="R23" s="430">
        <f t="shared" si="4"/>
        <v>4.4000000000000004</v>
      </c>
      <c r="S23" s="430">
        <f t="shared" si="4"/>
        <v>4.5</v>
      </c>
      <c r="T23" s="430">
        <f t="shared" si="4"/>
        <v>4.5</v>
      </c>
      <c r="U23" s="430">
        <f t="shared" si="4"/>
        <v>4.5</v>
      </c>
      <c r="V23" s="430">
        <f t="shared" si="4"/>
        <v>4.5999999999999996</v>
      </c>
      <c r="W23" s="430">
        <f t="shared" si="4"/>
        <v>4.8</v>
      </c>
      <c r="X23" s="430">
        <f t="shared" si="4"/>
        <v>4.8</v>
      </c>
      <c r="Y23" s="430">
        <f t="shared" si="4"/>
        <v>4.9000000000000004</v>
      </c>
      <c r="Z23" s="430">
        <f t="shared" si="4"/>
        <v>4.9000000000000004</v>
      </c>
      <c r="AA23" s="430">
        <f t="shared" si="3"/>
        <v>4.9000000000000004</v>
      </c>
      <c r="AB23" s="430">
        <f t="shared" si="3"/>
        <v>5</v>
      </c>
      <c r="AC23" s="430">
        <f t="shared" si="3"/>
        <v>4.7</v>
      </c>
    </row>
    <row r="24" spans="3:29">
      <c r="C24" s="430">
        <v>1980</v>
      </c>
      <c r="D24" s="430" t="s">
        <v>13612</v>
      </c>
      <c r="E24" s="430" t="s">
        <v>13614</v>
      </c>
      <c r="F24" s="430" t="s">
        <v>13614</v>
      </c>
      <c r="G24" s="430" t="s">
        <v>13614</v>
      </c>
      <c r="H24" s="430" t="s">
        <v>13615</v>
      </c>
      <c r="I24" s="430" t="s">
        <v>13616</v>
      </c>
      <c r="J24" s="430" t="s">
        <v>13617</v>
      </c>
      <c r="K24" s="430" t="s">
        <v>13617</v>
      </c>
      <c r="L24" s="430" t="s">
        <v>13618</v>
      </c>
      <c r="M24" s="430" t="s">
        <v>13619</v>
      </c>
      <c r="N24" s="430" t="s">
        <v>13619</v>
      </c>
      <c r="O24" s="430" t="s">
        <v>13620</v>
      </c>
      <c r="P24" s="430" t="s">
        <v>13617</v>
      </c>
      <c r="Q24" s="430">
        <f t="shared" si="4"/>
        <v>5</v>
      </c>
      <c r="R24" s="430">
        <f t="shared" si="4"/>
        <v>5.0999999999999996</v>
      </c>
      <c r="S24" s="430">
        <f t="shared" si="4"/>
        <v>5.0999999999999996</v>
      </c>
      <c r="T24" s="430">
        <f t="shared" si="4"/>
        <v>5.0999999999999996</v>
      </c>
      <c r="U24" s="430">
        <f t="shared" si="4"/>
        <v>5.2</v>
      </c>
      <c r="V24" s="430">
        <f t="shared" si="4"/>
        <v>5.3</v>
      </c>
      <c r="W24" s="430">
        <f t="shared" si="4"/>
        <v>5.4</v>
      </c>
      <c r="X24" s="430">
        <f t="shared" si="4"/>
        <v>5.4</v>
      </c>
      <c r="Y24" s="430">
        <f t="shared" si="4"/>
        <v>5.5</v>
      </c>
      <c r="Z24" s="430">
        <f t="shared" si="4"/>
        <v>5.7</v>
      </c>
      <c r="AA24" s="430">
        <f t="shared" si="3"/>
        <v>5.7</v>
      </c>
      <c r="AB24" s="430">
        <f t="shared" si="3"/>
        <v>5.8</v>
      </c>
      <c r="AC24" s="430">
        <f t="shared" si="3"/>
        <v>5.4</v>
      </c>
    </row>
    <row r="25" spans="3:29">
      <c r="C25" s="430">
        <v>1981</v>
      </c>
      <c r="D25" s="430" t="s">
        <v>13620</v>
      </c>
      <c r="E25" s="430" t="s">
        <v>13621</v>
      </c>
      <c r="F25" s="430" t="s">
        <v>13621</v>
      </c>
      <c r="G25" s="430" t="s">
        <v>13621</v>
      </c>
      <c r="H25" s="430" t="s">
        <v>13622</v>
      </c>
      <c r="I25" s="430" t="s">
        <v>13623</v>
      </c>
      <c r="J25" s="430" t="s">
        <v>13624</v>
      </c>
      <c r="K25" s="430" t="s">
        <v>13625</v>
      </c>
      <c r="L25" s="430" t="s">
        <v>13626</v>
      </c>
      <c r="M25" s="430" t="s">
        <v>13626</v>
      </c>
      <c r="N25" s="430" t="s">
        <v>13627</v>
      </c>
      <c r="O25" s="430" t="s">
        <v>13627</v>
      </c>
      <c r="P25" s="430" t="s">
        <v>13624</v>
      </c>
      <c r="Q25" s="430">
        <f t="shared" si="4"/>
        <v>5.8</v>
      </c>
      <c r="R25" s="430">
        <f t="shared" si="4"/>
        <v>5.9</v>
      </c>
      <c r="S25" s="430">
        <f t="shared" si="4"/>
        <v>5.9</v>
      </c>
      <c r="T25" s="430">
        <f t="shared" si="4"/>
        <v>5.9</v>
      </c>
      <c r="U25" s="430">
        <f t="shared" si="4"/>
        <v>6</v>
      </c>
      <c r="V25" s="430">
        <f t="shared" si="4"/>
        <v>6.1</v>
      </c>
      <c r="W25" s="430">
        <f t="shared" si="4"/>
        <v>6.2</v>
      </c>
      <c r="X25" s="430">
        <f t="shared" si="4"/>
        <v>6.3</v>
      </c>
      <c r="Y25" s="430">
        <f t="shared" si="4"/>
        <v>6.5</v>
      </c>
      <c r="Z25" s="430">
        <f t="shared" si="4"/>
        <v>6.5</v>
      </c>
      <c r="AA25" s="430">
        <f t="shared" si="3"/>
        <v>6.6</v>
      </c>
      <c r="AB25" s="430">
        <f t="shared" si="3"/>
        <v>6.6</v>
      </c>
      <c r="AC25" s="430">
        <f t="shared" si="3"/>
        <v>6.2</v>
      </c>
    </row>
    <row r="26" spans="3:29">
      <c r="C26" s="430">
        <v>1982</v>
      </c>
      <c r="D26" s="430" t="s">
        <v>13627</v>
      </c>
      <c r="E26" s="430" t="s">
        <v>13628</v>
      </c>
      <c r="F26" s="430" t="s">
        <v>13629</v>
      </c>
      <c r="G26" s="430" t="s">
        <v>13629</v>
      </c>
      <c r="H26" s="430" t="s">
        <v>13630</v>
      </c>
      <c r="I26" s="430" t="s">
        <v>13630</v>
      </c>
      <c r="J26" s="430" t="s">
        <v>13631</v>
      </c>
      <c r="K26" s="430" t="s">
        <v>13632</v>
      </c>
      <c r="L26" s="430" t="s">
        <v>13633</v>
      </c>
      <c r="M26" s="430" t="s">
        <v>13634</v>
      </c>
      <c r="N26" s="430" t="s">
        <v>13635</v>
      </c>
      <c r="O26" s="430" t="s">
        <v>13635</v>
      </c>
      <c r="P26" s="430" t="s">
        <v>13631</v>
      </c>
      <c r="Q26" s="430">
        <f t="shared" si="4"/>
        <v>6.6</v>
      </c>
      <c r="R26" s="430">
        <f t="shared" si="4"/>
        <v>6.7</v>
      </c>
      <c r="S26" s="430">
        <f t="shared" si="4"/>
        <v>6.9</v>
      </c>
      <c r="T26" s="430">
        <f t="shared" si="4"/>
        <v>6.9</v>
      </c>
      <c r="U26" s="430">
        <f t="shared" si="4"/>
        <v>7</v>
      </c>
      <c r="V26" s="430">
        <f t="shared" si="4"/>
        <v>7</v>
      </c>
      <c r="W26" s="430">
        <f t="shared" si="4"/>
        <v>7.1</v>
      </c>
      <c r="X26" s="430">
        <f t="shared" si="4"/>
        <v>7.2</v>
      </c>
      <c r="Y26" s="430">
        <f t="shared" si="4"/>
        <v>7.3</v>
      </c>
      <c r="Z26" s="430">
        <f t="shared" si="4"/>
        <v>7.4</v>
      </c>
      <c r="AA26" s="430">
        <f t="shared" si="3"/>
        <v>7.5</v>
      </c>
      <c r="AB26" s="430">
        <f t="shared" si="3"/>
        <v>7.5</v>
      </c>
      <c r="AC26" s="430">
        <f t="shared" si="3"/>
        <v>7.1</v>
      </c>
    </row>
    <row r="27" spans="3:29">
      <c r="C27" s="430">
        <v>1983</v>
      </c>
      <c r="D27" s="430" t="s">
        <v>13635</v>
      </c>
      <c r="E27" s="430" t="s">
        <v>13636</v>
      </c>
      <c r="F27" s="430" t="s">
        <v>13636</v>
      </c>
      <c r="G27" s="430" t="s">
        <v>13637</v>
      </c>
      <c r="H27" s="430" t="s">
        <v>13638</v>
      </c>
      <c r="I27" s="430" t="s">
        <v>13638</v>
      </c>
      <c r="J27" s="430" t="s">
        <v>13639</v>
      </c>
      <c r="K27" s="430" t="s">
        <v>13640</v>
      </c>
      <c r="L27" s="430" t="s">
        <v>13640</v>
      </c>
      <c r="M27" s="430" t="s">
        <v>13641</v>
      </c>
      <c r="N27" s="430" t="s">
        <v>13642</v>
      </c>
      <c r="O27" s="430" t="s">
        <v>13642</v>
      </c>
      <c r="P27" s="430" t="s">
        <v>13639</v>
      </c>
      <c r="Q27" s="430">
        <f t="shared" si="4"/>
        <v>7.5</v>
      </c>
      <c r="R27" s="430">
        <f t="shared" si="4"/>
        <v>7.7</v>
      </c>
      <c r="S27" s="430">
        <f t="shared" si="4"/>
        <v>7.7</v>
      </c>
      <c r="T27" s="430">
        <f t="shared" si="4"/>
        <v>7.8</v>
      </c>
      <c r="U27" s="430">
        <f t="shared" si="4"/>
        <v>7.9</v>
      </c>
      <c r="V27" s="430">
        <f t="shared" si="4"/>
        <v>7.9</v>
      </c>
      <c r="W27" s="430">
        <f t="shared" si="4"/>
        <v>8</v>
      </c>
      <c r="X27" s="430">
        <f t="shared" si="4"/>
        <v>8.1</v>
      </c>
      <c r="Y27" s="430">
        <f t="shared" si="4"/>
        <v>8.1</v>
      </c>
      <c r="Z27" s="430">
        <f t="shared" si="4"/>
        <v>8.1999999999999993</v>
      </c>
      <c r="AA27" s="430">
        <f t="shared" si="3"/>
        <v>8.3000000000000007</v>
      </c>
      <c r="AB27" s="430">
        <f t="shared" si="3"/>
        <v>8.3000000000000007</v>
      </c>
      <c r="AC27" s="430">
        <f t="shared" si="3"/>
        <v>8</v>
      </c>
    </row>
    <row r="28" spans="3:29">
      <c r="C28" s="430">
        <v>1984</v>
      </c>
      <c r="D28" s="430" t="s">
        <v>13643</v>
      </c>
      <c r="E28" s="430" t="s">
        <v>13643</v>
      </c>
      <c r="F28" s="430" t="s">
        <v>13644</v>
      </c>
      <c r="G28" s="430" t="s">
        <v>13645</v>
      </c>
      <c r="H28" s="430" t="s">
        <v>13646</v>
      </c>
      <c r="I28" s="430" t="s">
        <v>13646</v>
      </c>
      <c r="J28" s="430" t="s">
        <v>13647</v>
      </c>
      <c r="K28" s="430" t="s">
        <v>13648</v>
      </c>
      <c r="L28" s="430" t="s">
        <v>13649</v>
      </c>
      <c r="M28" s="430" t="s">
        <v>13650</v>
      </c>
      <c r="N28" s="430" t="s">
        <v>13651</v>
      </c>
      <c r="O28" s="430" t="s">
        <v>13652</v>
      </c>
      <c r="P28" s="430" t="s">
        <v>13647</v>
      </c>
      <c r="Q28" s="430">
        <f t="shared" si="4"/>
        <v>8.4</v>
      </c>
      <c r="R28" s="430">
        <f t="shared" si="4"/>
        <v>8.4</v>
      </c>
      <c r="S28" s="430">
        <f t="shared" si="4"/>
        <v>8.5</v>
      </c>
      <c r="T28" s="430">
        <f t="shared" si="4"/>
        <v>8.6999999999999993</v>
      </c>
      <c r="U28" s="430">
        <f t="shared" si="4"/>
        <v>8.8000000000000007</v>
      </c>
      <c r="V28" s="430">
        <f t="shared" si="4"/>
        <v>8.8000000000000007</v>
      </c>
      <c r="W28" s="430">
        <f t="shared" si="4"/>
        <v>8.9</v>
      </c>
      <c r="X28" s="430">
        <f t="shared" si="4"/>
        <v>9</v>
      </c>
      <c r="Y28" s="430">
        <f t="shared" si="4"/>
        <v>9.1</v>
      </c>
      <c r="Z28" s="430">
        <f t="shared" si="4"/>
        <v>9.1999999999999993</v>
      </c>
      <c r="AA28" s="430">
        <f t="shared" si="3"/>
        <v>9.3000000000000007</v>
      </c>
      <c r="AB28" s="430">
        <f t="shared" si="3"/>
        <v>9.4</v>
      </c>
      <c r="AC28" s="430">
        <f t="shared" si="3"/>
        <v>8.9</v>
      </c>
    </row>
    <row r="29" spans="3:29">
      <c r="C29" s="430">
        <v>1985</v>
      </c>
      <c r="D29" s="430" t="s">
        <v>13653</v>
      </c>
      <c r="E29" s="430" t="s">
        <v>13654</v>
      </c>
      <c r="F29" s="430" t="s">
        <v>13654</v>
      </c>
      <c r="G29" s="430" t="s">
        <v>13655</v>
      </c>
      <c r="H29" s="430" t="s">
        <v>13656</v>
      </c>
      <c r="I29" s="430" t="s">
        <v>13657</v>
      </c>
      <c r="J29" s="430" t="s">
        <v>13657</v>
      </c>
      <c r="K29" s="430" t="s">
        <v>13658</v>
      </c>
      <c r="L29" s="430" t="s">
        <v>13659</v>
      </c>
      <c r="M29" s="430" t="s">
        <v>13660</v>
      </c>
      <c r="N29" s="430" t="s">
        <v>13661</v>
      </c>
      <c r="O29" s="430" t="s">
        <v>13662</v>
      </c>
      <c r="P29" s="430" t="s">
        <v>13657</v>
      </c>
      <c r="Q29" s="430">
        <f t="shared" si="4"/>
        <v>9.5</v>
      </c>
      <c r="R29" s="430">
        <f t="shared" si="4"/>
        <v>9.8000000000000007</v>
      </c>
      <c r="S29" s="430">
        <f t="shared" si="4"/>
        <v>9.8000000000000007</v>
      </c>
      <c r="T29" s="430">
        <f t="shared" si="4"/>
        <v>10.1</v>
      </c>
      <c r="U29" s="430">
        <f t="shared" si="4"/>
        <v>10.199999999999999</v>
      </c>
      <c r="V29" s="430">
        <f t="shared" si="4"/>
        <v>10.3</v>
      </c>
      <c r="W29" s="430">
        <f t="shared" si="4"/>
        <v>10.3</v>
      </c>
      <c r="X29" s="430">
        <f t="shared" si="4"/>
        <v>10.5</v>
      </c>
      <c r="Y29" s="430">
        <f t="shared" si="4"/>
        <v>10.6</v>
      </c>
      <c r="Z29" s="430">
        <f t="shared" si="4"/>
        <v>10.7</v>
      </c>
      <c r="AA29" s="430">
        <f t="shared" si="3"/>
        <v>10.9</v>
      </c>
      <c r="AB29" s="430">
        <f t="shared" si="3"/>
        <v>11.1</v>
      </c>
      <c r="AC29" s="430">
        <f t="shared" si="3"/>
        <v>10.3</v>
      </c>
    </row>
    <row r="30" spans="3:29">
      <c r="C30" s="430">
        <v>1986</v>
      </c>
      <c r="D30" s="430" t="s">
        <v>13663</v>
      </c>
      <c r="E30" s="430" t="s">
        <v>13664</v>
      </c>
      <c r="F30" s="430" t="s">
        <v>13665</v>
      </c>
      <c r="G30" s="430" t="s">
        <v>13666</v>
      </c>
      <c r="H30" s="430" t="s">
        <v>13666</v>
      </c>
      <c r="I30" s="430" t="s">
        <v>13667</v>
      </c>
      <c r="J30" s="430" t="s">
        <v>13668</v>
      </c>
      <c r="K30" s="430" t="s">
        <v>13669</v>
      </c>
      <c r="L30" s="430" t="s">
        <v>13670</v>
      </c>
      <c r="M30" s="430" t="s">
        <v>13671</v>
      </c>
      <c r="N30" s="430" t="s">
        <v>13672</v>
      </c>
      <c r="O30" s="430" t="s">
        <v>13673</v>
      </c>
      <c r="P30" s="430" t="s">
        <v>13668</v>
      </c>
      <c r="Q30" s="430">
        <f t="shared" si="4"/>
        <v>11.4</v>
      </c>
      <c r="R30" s="430">
        <f t="shared" si="4"/>
        <v>11.5</v>
      </c>
      <c r="S30" s="430">
        <f t="shared" si="4"/>
        <v>11.7</v>
      </c>
      <c r="T30" s="430">
        <f t="shared" si="4"/>
        <v>11.9</v>
      </c>
      <c r="U30" s="430">
        <f t="shared" si="4"/>
        <v>11.9</v>
      </c>
      <c r="V30" s="430">
        <f t="shared" si="4"/>
        <v>12.1</v>
      </c>
      <c r="W30" s="430">
        <f t="shared" si="4"/>
        <v>12.3</v>
      </c>
      <c r="X30" s="430">
        <f t="shared" si="4"/>
        <v>12.5</v>
      </c>
      <c r="Y30" s="430">
        <f t="shared" si="4"/>
        <v>12.7</v>
      </c>
      <c r="Z30" s="430">
        <f t="shared" si="4"/>
        <v>12.9</v>
      </c>
      <c r="AA30" s="430">
        <f t="shared" si="3"/>
        <v>13</v>
      </c>
      <c r="AB30" s="430">
        <f t="shared" si="3"/>
        <v>13.1</v>
      </c>
      <c r="AC30" s="430">
        <f t="shared" si="3"/>
        <v>12.3</v>
      </c>
    </row>
    <row r="31" spans="3:29">
      <c r="C31" s="430">
        <v>1987</v>
      </c>
      <c r="D31" s="430" t="s">
        <v>13674</v>
      </c>
      <c r="E31" s="430" t="s">
        <v>13675</v>
      </c>
      <c r="F31" s="430" t="s">
        <v>13676</v>
      </c>
      <c r="G31" s="430" t="s">
        <v>13677</v>
      </c>
      <c r="H31" s="430" t="s">
        <v>13678</v>
      </c>
      <c r="I31" s="430" t="s">
        <v>13679</v>
      </c>
      <c r="J31" s="430" t="s">
        <v>13680</v>
      </c>
      <c r="K31" s="430" t="s">
        <v>13681</v>
      </c>
      <c r="L31" s="430" t="s">
        <v>13682</v>
      </c>
      <c r="M31" s="430" t="s">
        <v>13683</v>
      </c>
      <c r="N31" s="430" t="s">
        <v>13684</v>
      </c>
      <c r="O31" s="430" t="s">
        <v>13685</v>
      </c>
      <c r="P31" s="430" t="s">
        <v>13680</v>
      </c>
      <c r="Q31" s="430">
        <f t="shared" si="4"/>
        <v>13.3</v>
      </c>
      <c r="R31" s="430">
        <f t="shared" si="4"/>
        <v>13.5</v>
      </c>
      <c r="S31" s="430">
        <f t="shared" si="4"/>
        <v>13.7</v>
      </c>
      <c r="T31" s="430">
        <f t="shared" si="4"/>
        <v>13.9</v>
      </c>
      <c r="U31" s="430">
        <f t="shared" si="4"/>
        <v>14</v>
      </c>
      <c r="V31" s="430">
        <f t="shared" si="4"/>
        <v>14.1</v>
      </c>
      <c r="W31" s="430">
        <f t="shared" si="4"/>
        <v>14.2</v>
      </c>
      <c r="X31" s="430">
        <f t="shared" si="4"/>
        <v>14.4</v>
      </c>
      <c r="Y31" s="430">
        <f t="shared" si="4"/>
        <v>14.7</v>
      </c>
      <c r="Z31" s="430">
        <f t="shared" si="4"/>
        <v>14.8</v>
      </c>
      <c r="AA31" s="430">
        <f t="shared" si="3"/>
        <v>15</v>
      </c>
      <c r="AB31" s="430">
        <f t="shared" si="3"/>
        <v>15.1</v>
      </c>
      <c r="AC31" s="430">
        <f t="shared" si="3"/>
        <v>14.2</v>
      </c>
    </row>
    <row r="32" spans="3:29">
      <c r="C32" s="430">
        <v>1988</v>
      </c>
      <c r="D32" s="430" t="s">
        <v>13686</v>
      </c>
      <c r="E32" s="430" t="s">
        <v>13686</v>
      </c>
      <c r="F32" s="430" t="s">
        <v>13687</v>
      </c>
      <c r="G32" s="430" t="s">
        <v>13688</v>
      </c>
      <c r="H32" s="430" t="s">
        <v>13689</v>
      </c>
      <c r="I32" s="430" t="s">
        <v>13690</v>
      </c>
      <c r="J32" s="430" t="s">
        <v>13691</v>
      </c>
      <c r="K32" s="430" t="s">
        <v>13692</v>
      </c>
      <c r="L32" s="430" t="s">
        <v>13693</v>
      </c>
      <c r="M32" s="430" t="s">
        <v>13694</v>
      </c>
      <c r="N32" s="430" t="s">
        <v>13695</v>
      </c>
      <c r="O32" s="430" t="s">
        <v>13696</v>
      </c>
      <c r="P32" s="430" t="s">
        <v>13691</v>
      </c>
      <c r="Q32" s="430">
        <f t="shared" si="4"/>
        <v>15.2</v>
      </c>
      <c r="R32" s="430">
        <f t="shared" si="4"/>
        <v>15.2</v>
      </c>
      <c r="S32" s="430">
        <f t="shared" si="4"/>
        <v>15.5</v>
      </c>
      <c r="T32" s="430">
        <f t="shared" si="4"/>
        <v>15.6</v>
      </c>
      <c r="U32" s="430">
        <f t="shared" si="4"/>
        <v>15.8</v>
      </c>
      <c r="V32" s="430">
        <f t="shared" si="4"/>
        <v>15.9</v>
      </c>
      <c r="W32" s="430">
        <f t="shared" si="4"/>
        <v>16.100000000000001</v>
      </c>
      <c r="X32" s="430">
        <f t="shared" si="4"/>
        <v>16.3</v>
      </c>
      <c r="Y32" s="430">
        <f t="shared" si="4"/>
        <v>16.5</v>
      </c>
      <c r="Z32" s="430">
        <f t="shared" si="4"/>
        <v>16.7</v>
      </c>
      <c r="AA32" s="430">
        <f t="shared" si="3"/>
        <v>16.8</v>
      </c>
      <c r="AB32" s="430">
        <f t="shared" si="3"/>
        <v>17</v>
      </c>
      <c r="AC32" s="430">
        <f t="shared" si="3"/>
        <v>16.100000000000001</v>
      </c>
    </row>
    <row r="33" spans="3:29">
      <c r="C33" s="430">
        <v>1989</v>
      </c>
      <c r="D33" s="430" t="s">
        <v>13697</v>
      </c>
      <c r="E33" s="430" t="s">
        <v>13698</v>
      </c>
      <c r="F33" s="430" t="s">
        <v>13699</v>
      </c>
      <c r="G33" s="430" t="s">
        <v>13700</v>
      </c>
      <c r="H33" s="430" t="s">
        <v>13701</v>
      </c>
      <c r="I33" s="430" t="s">
        <v>13702</v>
      </c>
      <c r="J33" s="430" t="s">
        <v>13703</v>
      </c>
      <c r="K33" s="430" t="s">
        <v>13704</v>
      </c>
      <c r="L33" s="430" t="s">
        <v>13705</v>
      </c>
      <c r="M33" s="430" t="s">
        <v>13706</v>
      </c>
      <c r="N33" s="430" t="s">
        <v>13707</v>
      </c>
      <c r="O33" s="430" t="s">
        <v>13708</v>
      </c>
      <c r="P33" s="430" t="s">
        <v>13709</v>
      </c>
      <c r="Q33" s="430">
        <f t="shared" si="4"/>
        <v>17.2</v>
      </c>
      <c r="R33" s="430">
        <f t="shared" si="4"/>
        <v>17.399999999999999</v>
      </c>
      <c r="S33" s="430">
        <f t="shared" si="4"/>
        <v>17.7</v>
      </c>
      <c r="T33" s="430">
        <f t="shared" si="4"/>
        <v>17.899999999999999</v>
      </c>
      <c r="U33" s="430">
        <f t="shared" si="4"/>
        <v>18.2</v>
      </c>
      <c r="V33" s="430">
        <f t="shared" si="4"/>
        <v>18.3</v>
      </c>
      <c r="W33" s="430">
        <f t="shared" si="4"/>
        <v>18.5</v>
      </c>
      <c r="X33" s="430">
        <f t="shared" si="4"/>
        <v>18.8</v>
      </c>
      <c r="Y33" s="430">
        <f t="shared" si="4"/>
        <v>18.899999999999999</v>
      </c>
      <c r="Z33" s="430">
        <f t="shared" si="4"/>
        <v>19.100000000000001</v>
      </c>
      <c r="AA33" s="430">
        <f t="shared" si="3"/>
        <v>19.3</v>
      </c>
      <c r="AB33" s="430">
        <f t="shared" si="3"/>
        <v>19.600000000000001</v>
      </c>
      <c r="AC33" s="430">
        <f t="shared" si="3"/>
        <v>18.399999999999999</v>
      </c>
    </row>
    <row r="34" spans="3:29">
      <c r="C34" s="430">
        <v>1990</v>
      </c>
      <c r="D34" s="430" t="s">
        <v>13710</v>
      </c>
      <c r="E34" s="430" t="s">
        <v>13711</v>
      </c>
      <c r="F34" s="430" t="s">
        <v>13712</v>
      </c>
      <c r="G34" s="430" t="s">
        <v>13713</v>
      </c>
      <c r="H34" s="430" t="s">
        <v>13714</v>
      </c>
      <c r="I34" s="430" t="s">
        <v>13715</v>
      </c>
      <c r="J34" s="430" t="s">
        <v>13716</v>
      </c>
      <c r="K34" s="430" t="s">
        <v>13717</v>
      </c>
      <c r="L34" s="430" t="s">
        <v>13718</v>
      </c>
      <c r="M34" s="430" t="s">
        <v>13719</v>
      </c>
      <c r="N34" s="430" t="s">
        <v>13720</v>
      </c>
      <c r="O34" s="430" t="s">
        <v>13721</v>
      </c>
      <c r="P34" s="430" t="s">
        <v>13716</v>
      </c>
      <c r="Q34" s="430">
        <f t="shared" si="4"/>
        <v>19.8</v>
      </c>
      <c r="R34" s="430">
        <f t="shared" si="4"/>
        <v>20</v>
      </c>
      <c r="S34" s="430">
        <f t="shared" si="4"/>
        <v>20.3</v>
      </c>
      <c r="T34" s="430">
        <f t="shared" si="4"/>
        <v>20.399999999999999</v>
      </c>
      <c r="U34" s="430">
        <f t="shared" si="4"/>
        <v>20.7</v>
      </c>
      <c r="V34" s="430">
        <f t="shared" si="4"/>
        <v>20.8</v>
      </c>
      <c r="W34" s="430">
        <f t="shared" si="4"/>
        <v>21</v>
      </c>
      <c r="X34" s="430">
        <f t="shared" si="4"/>
        <v>21.3</v>
      </c>
      <c r="Y34" s="430">
        <f t="shared" si="4"/>
        <v>21.6</v>
      </c>
      <c r="Z34" s="430">
        <f t="shared" si="4"/>
        <v>21.8</v>
      </c>
      <c r="AA34" s="430">
        <f t="shared" si="3"/>
        <v>22.3</v>
      </c>
      <c r="AB34" s="430">
        <f t="shared" si="3"/>
        <v>22.4</v>
      </c>
      <c r="AC34" s="430">
        <f t="shared" si="3"/>
        <v>21</v>
      </c>
    </row>
    <row r="35" spans="3:29">
      <c r="C35" s="430">
        <v>1991</v>
      </c>
      <c r="D35" s="430" t="s">
        <v>13722</v>
      </c>
      <c r="E35" s="430" t="s">
        <v>13723</v>
      </c>
      <c r="F35" s="430" t="s">
        <v>13724</v>
      </c>
      <c r="G35" s="430" t="s">
        <v>13725</v>
      </c>
      <c r="H35" s="430" t="s">
        <v>13726</v>
      </c>
      <c r="I35" s="430" t="s">
        <v>13727</v>
      </c>
      <c r="J35" s="430" t="s">
        <v>13728</v>
      </c>
      <c r="K35" s="430" t="s">
        <v>13729</v>
      </c>
      <c r="L35" s="430" t="s">
        <v>13730</v>
      </c>
      <c r="M35" s="430" t="s">
        <v>13731</v>
      </c>
      <c r="N35" s="430" t="s">
        <v>13732</v>
      </c>
      <c r="O35" s="430" t="s">
        <v>13733</v>
      </c>
      <c r="P35" s="430" t="s">
        <v>13728</v>
      </c>
      <c r="Q35" s="430">
        <f t="shared" si="4"/>
        <v>22.7</v>
      </c>
      <c r="R35" s="430">
        <f t="shared" si="4"/>
        <v>23</v>
      </c>
      <c r="S35" s="430">
        <f t="shared" si="4"/>
        <v>23.1</v>
      </c>
      <c r="T35" s="430">
        <f t="shared" si="4"/>
        <v>23.5</v>
      </c>
      <c r="U35" s="430">
        <f t="shared" si="4"/>
        <v>23.8</v>
      </c>
      <c r="V35" s="430">
        <f t="shared" si="4"/>
        <v>24</v>
      </c>
      <c r="W35" s="430">
        <f t="shared" si="4"/>
        <v>24.3</v>
      </c>
      <c r="X35" s="430">
        <f t="shared" si="4"/>
        <v>24.6</v>
      </c>
      <c r="Y35" s="430">
        <f t="shared" si="4"/>
        <v>25</v>
      </c>
      <c r="Z35" s="430">
        <f t="shared" si="4"/>
        <v>25.4</v>
      </c>
      <c r="AA35" s="430">
        <f t="shared" si="3"/>
        <v>25.7</v>
      </c>
      <c r="AB35" s="430">
        <f t="shared" si="3"/>
        <v>26</v>
      </c>
      <c r="AC35" s="430">
        <f t="shared" si="3"/>
        <v>24.3</v>
      </c>
    </row>
    <row r="36" spans="3:29">
      <c r="C36" s="430">
        <v>1992</v>
      </c>
      <c r="D36" s="430" t="s">
        <v>13734</v>
      </c>
      <c r="E36" s="430" t="s">
        <v>13735</v>
      </c>
      <c r="F36" s="430" t="s">
        <v>13736</v>
      </c>
      <c r="G36" s="430" t="s">
        <v>13737</v>
      </c>
      <c r="H36" s="430" t="s">
        <v>13738</v>
      </c>
      <c r="I36" s="430" t="s">
        <v>13739</v>
      </c>
      <c r="J36" s="430" t="s">
        <v>13740</v>
      </c>
      <c r="K36" s="430" t="s">
        <v>13741</v>
      </c>
      <c r="L36" s="430" t="s">
        <v>13742</v>
      </c>
      <c r="M36" s="430" t="s">
        <v>13743</v>
      </c>
      <c r="N36" s="430" t="s">
        <v>13744</v>
      </c>
      <c r="O36" s="430" t="s">
        <v>13744</v>
      </c>
      <c r="P36" s="430" t="s">
        <v>13745</v>
      </c>
      <c r="Q36" s="430">
        <f t="shared" si="4"/>
        <v>26.4</v>
      </c>
      <c r="R36" s="430">
        <f t="shared" si="4"/>
        <v>26.6</v>
      </c>
      <c r="S36" s="430">
        <f t="shared" si="4"/>
        <v>26.8</v>
      </c>
      <c r="T36" s="430">
        <f t="shared" si="4"/>
        <v>27.2</v>
      </c>
      <c r="U36" s="430">
        <f t="shared" si="4"/>
        <v>27.3</v>
      </c>
      <c r="V36" s="430">
        <f t="shared" si="4"/>
        <v>27.6</v>
      </c>
      <c r="W36" s="430">
        <f t="shared" si="4"/>
        <v>27.9</v>
      </c>
      <c r="X36" s="430">
        <f t="shared" si="4"/>
        <v>28.2</v>
      </c>
      <c r="Y36" s="430">
        <f t="shared" si="4"/>
        <v>28.3</v>
      </c>
      <c r="Z36" s="430">
        <f t="shared" si="4"/>
        <v>28.4</v>
      </c>
      <c r="AA36" s="430">
        <f t="shared" si="3"/>
        <v>28.6</v>
      </c>
      <c r="AB36" s="430">
        <f t="shared" si="3"/>
        <v>28.6</v>
      </c>
      <c r="AC36" s="430">
        <f t="shared" si="3"/>
        <v>27.7</v>
      </c>
    </row>
    <row r="37" spans="3:29">
      <c r="C37" s="430">
        <v>1993</v>
      </c>
      <c r="D37" s="430" t="s">
        <v>13746</v>
      </c>
      <c r="E37" s="430" t="s">
        <v>13747</v>
      </c>
      <c r="F37" s="430" t="s">
        <v>13748</v>
      </c>
      <c r="G37" s="430" t="s">
        <v>13749</v>
      </c>
      <c r="H37" s="430" t="s">
        <v>13750</v>
      </c>
      <c r="I37" s="430" t="s">
        <v>13751</v>
      </c>
      <c r="J37" s="430" t="s">
        <v>13752</v>
      </c>
      <c r="K37" s="430" t="s">
        <v>13753</v>
      </c>
      <c r="L37" s="430" t="s">
        <v>13754</v>
      </c>
      <c r="M37" s="430" t="s">
        <v>13755</v>
      </c>
      <c r="N37" s="430" t="s">
        <v>13756</v>
      </c>
      <c r="O37" s="430" t="s">
        <v>13757</v>
      </c>
      <c r="P37" s="430" t="s">
        <v>13758</v>
      </c>
      <c r="Q37" s="430">
        <f t="shared" si="4"/>
        <v>28.9</v>
      </c>
      <c r="R37" s="430">
        <f t="shared" si="4"/>
        <v>29</v>
      </c>
      <c r="S37" s="430">
        <f t="shared" si="4"/>
        <v>29.4</v>
      </c>
      <c r="T37" s="430">
        <f t="shared" si="4"/>
        <v>30.1</v>
      </c>
      <c r="U37" s="430">
        <f t="shared" si="4"/>
        <v>30.2</v>
      </c>
      <c r="V37" s="430">
        <f t="shared" si="4"/>
        <v>30.4</v>
      </c>
      <c r="W37" s="430">
        <f t="shared" si="4"/>
        <v>30.6</v>
      </c>
      <c r="X37" s="430">
        <f t="shared" si="4"/>
        <v>30.8</v>
      </c>
      <c r="Y37" s="430">
        <f t="shared" si="4"/>
        <v>30.9</v>
      </c>
      <c r="Z37" s="430">
        <f t="shared" si="4"/>
        <v>31.1</v>
      </c>
      <c r="AA37" s="430">
        <f t="shared" si="3"/>
        <v>31.2</v>
      </c>
      <c r="AB37" s="430">
        <f t="shared" si="3"/>
        <v>31.3</v>
      </c>
      <c r="AC37" s="430">
        <f t="shared" si="3"/>
        <v>30.3</v>
      </c>
    </row>
    <row r="38" spans="3:29">
      <c r="C38" s="430">
        <v>1994</v>
      </c>
      <c r="D38" s="430" t="s">
        <v>13759</v>
      </c>
      <c r="E38" s="430" t="s">
        <v>13760</v>
      </c>
      <c r="F38" s="430" t="s">
        <v>13761</v>
      </c>
      <c r="G38" s="430" t="s">
        <v>13762</v>
      </c>
      <c r="H38" s="430" t="s">
        <v>13763</v>
      </c>
      <c r="I38" s="430" t="s">
        <v>13764</v>
      </c>
      <c r="J38" s="430" t="s">
        <v>13765</v>
      </c>
      <c r="K38" s="430" t="s">
        <v>13766</v>
      </c>
      <c r="L38" s="430" t="s">
        <v>13767</v>
      </c>
      <c r="M38" s="430" t="s">
        <v>13768</v>
      </c>
      <c r="N38" s="430" t="s">
        <v>13769</v>
      </c>
      <c r="O38" s="430" t="s">
        <v>13769</v>
      </c>
      <c r="P38" s="430" t="s">
        <v>13770</v>
      </c>
      <c r="Q38" s="430">
        <f t="shared" si="4"/>
        <v>31.7</v>
      </c>
      <c r="R38" s="430">
        <f t="shared" si="4"/>
        <v>31.8</v>
      </c>
      <c r="S38" s="430">
        <f t="shared" si="4"/>
        <v>32</v>
      </c>
      <c r="T38" s="430">
        <f t="shared" si="4"/>
        <v>32.200000000000003</v>
      </c>
      <c r="U38" s="430">
        <f t="shared" si="4"/>
        <v>32.4</v>
      </c>
      <c r="V38" s="430">
        <f t="shared" si="4"/>
        <v>32.6</v>
      </c>
      <c r="W38" s="430">
        <f t="shared" si="4"/>
        <v>33.1</v>
      </c>
      <c r="X38" s="430">
        <f t="shared" si="4"/>
        <v>33.6</v>
      </c>
      <c r="Y38" s="430">
        <f t="shared" si="4"/>
        <v>34</v>
      </c>
      <c r="Z38" s="430">
        <f t="shared" si="4"/>
        <v>34.200000000000003</v>
      </c>
      <c r="AA38" s="430">
        <f t="shared" si="3"/>
        <v>34.299999999999997</v>
      </c>
      <c r="AB38" s="430">
        <f t="shared" si="3"/>
        <v>34.299999999999997</v>
      </c>
      <c r="AC38" s="430">
        <f t="shared" si="3"/>
        <v>33</v>
      </c>
    </row>
    <row r="39" spans="3:29">
      <c r="C39" s="430">
        <v>1995</v>
      </c>
      <c r="D39" s="430" t="s">
        <v>13771</v>
      </c>
      <c r="E39" s="430" t="s">
        <v>13772</v>
      </c>
      <c r="F39" s="430" t="s">
        <v>13773</v>
      </c>
      <c r="G39" s="430" t="s">
        <v>13774</v>
      </c>
      <c r="H39" s="430" t="s">
        <v>13775</v>
      </c>
      <c r="I39" s="430" t="s">
        <v>13775</v>
      </c>
      <c r="J39" s="430" t="s">
        <v>13776</v>
      </c>
      <c r="K39" s="430" t="s">
        <v>13777</v>
      </c>
      <c r="L39" s="430" t="s">
        <v>13777</v>
      </c>
      <c r="M39" s="430" t="s">
        <v>13778</v>
      </c>
      <c r="N39" s="430" t="s">
        <v>13779</v>
      </c>
      <c r="O39" s="430" t="s">
        <v>13780</v>
      </c>
      <c r="P39" s="430" t="s">
        <v>13775</v>
      </c>
      <c r="Q39" s="430">
        <f t="shared" si="4"/>
        <v>34.799999999999997</v>
      </c>
      <c r="R39" s="430">
        <f t="shared" si="4"/>
        <v>35</v>
      </c>
      <c r="S39" s="430">
        <f t="shared" si="4"/>
        <v>35.4</v>
      </c>
      <c r="T39" s="430">
        <f t="shared" si="4"/>
        <v>35.799999999999997</v>
      </c>
      <c r="U39" s="430">
        <f t="shared" si="4"/>
        <v>35.9</v>
      </c>
      <c r="V39" s="430">
        <f t="shared" si="4"/>
        <v>35.9</v>
      </c>
      <c r="W39" s="430">
        <f t="shared" si="4"/>
        <v>36.1</v>
      </c>
      <c r="X39" s="430">
        <f t="shared" si="4"/>
        <v>36.200000000000003</v>
      </c>
      <c r="Y39" s="430">
        <f t="shared" si="4"/>
        <v>36.200000000000003</v>
      </c>
      <c r="Z39" s="430">
        <f t="shared" si="4"/>
        <v>36.299999999999997</v>
      </c>
      <c r="AA39" s="430">
        <f t="shared" si="3"/>
        <v>36.5</v>
      </c>
      <c r="AB39" s="430">
        <f t="shared" si="3"/>
        <v>36.700000000000003</v>
      </c>
      <c r="AC39" s="430">
        <f t="shared" si="3"/>
        <v>35.9</v>
      </c>
    </row>
    <row r="40" spans="3:29">
      <c r="C40" s="430">
        <v>1996</v>
      </c>
      <c r="D40" s="430" t="s">
        <v>13781</v>
      </c>
      <c r="E40" s="430" t="s">
        <v>13782</v>
      </c>
      <c r="F40" s="430" t="s">
        <v>13783</v>
      </c>
      <c r="G40" s="430" t="s">
        <v>13784</v>
      </c>
      <c r="H40" s="430" t="s">
        <v>13785</v>
      </c>
      <c r="I40" s="430" t="s">
        <v>13786</v>
      </c>
      <c r="J40" s="430" t="s">
        <v>13787</v>
      </c>
      <c r="K40" s="430" t="s">
        <v>13788</v>
      </c>
      <c r="L40" s="430" t="s">
        <v>13789</v>
      </c>
      <c r="M40" s="430" t="s">
        <v>13790</v>
      </c>
      <c r="N40" s="430" t="s">
        <v>13791</v>
      </c>
      <c r="O40" s="430" t="s">
        <v>13792</v>
      </c>
      <c r="P40" s="430" t="s">
        <v>13793</v>
      </c>
      <c r="Q40" s="430">
        <f t="shared" si="4"/>
        <v>37.200000000000003</v>
      </c>
      <c r="R40" s="430">
        <f t="shared" si="4"/>
        <v>37.299999999999997</v>
      </c>
      <c r="S40" s="430">
        <f t="shared" si="4"/>
        <v>37.5</v>
      </c>
      <c r="T40" s="430">
        <f t="shared" si="4"/>
        <v>37.799999999999997</v>
      </c>
      <c r="U40" s="430">
        <f t="shared" si="4"/>
        <v>38</v>
      </c>
      <c r="V40" s="430">
        <f t="shared" si="4"/>
        <v>38.4</v>
      </c>
      <c r="W40" s="430">
        <f t="shared" si="4"/>
        <v>38.700000000000003</v>
      </c>
      <c r="X40" s="430">
        <f t="shared" si="4"/>
        <v>38.799999999999997</v>
      </c>
      <c r="Y40" s="430">
        <f t="shared" si="4"/>
        <v>39.200000000000003</v>
      </c>
      <c r="Z40" s="430">
        <f t="shared" si="4"/>
        <v>39.6</v>
      </c>
      <c r="AA40" s="430">
        <f t="shared" si="3"/>
        <v>39.799999999999997</v>
      </c>
      <c r="AB40" s="430">
        <f t="shared" si="3"/>
        <v>40.200000000000003</v>
      </c>
      <c r="AC40" s="430">
        <f t="shared" si="3"/>
        <v>38.5</v>
      </c>
    </row>
    <row r="41" spans="3:29">
      <c r="C41" s="430">
        <v>1997</v>
      </c>
      <c r="D41" s="430" t="s">
        <v>13794</v>
      </c>
      <c r="E41" s="430" t="s">
        <v>13795</v>
      </c>
      <c r="F41" s="430" t="s">
        <v>13796</v>
      </c>
      <c r="G41" s="430" t="s">
        <v>13797</v>
      </c>
      <c r="H41" s="430" t="s">
        <v>13798</v>
      </c>
      <c r="I41" s="430" t="s">
        <v>13799</v>
      </c>
      <c r="J41" s="430" t="s">
        <v>13800</v>
      </c>
      <c r="K41" s="430" t="s">
        <v>13800</v>
      </c>
      <c r="L41" s="430" t="s">
        <v>13801</v>
      </c>
      <c r="M41" s="430" t="s">
        <v>13802</v>
      </c>
      <c r="N41" s="430" t="s">
        <v>13801</v>
      </c>
      <c r="O41" s="430" t="s">
        <v>13802</v>
      </c>
      <c r="P41" s="430" t="s">
        <v>13803</v>
      </c>
      <c r="Q41" s="430">
        <f t="shared" si="4"/>
        <v>40.6</v>
      </c>
      <c r="R41" s="430">
        <f t="shared" si="4"/>
        <v>40.9</v>
      </c>
      <c r="S41" s="430">
        <f t="shared" si="4"/>
        <v>41.1</v>
      </c>
      <c r="T41" s="430">
        <f t="shared" si="4"/>
        <v>41.5</v>
      </c>
      <c r="U41" s="430">
        <f t="shared" si="4"/>
        <v>41.7</v>
      </c>
      <c r="V41" s="430">
        <f t="shared" si="4"/>
        <v>41.8</v>
      </c>
      <c r="W41" s="430">
        <f t="shared" si="4"/>
        <v>42.2</v>
      </c>
      <c r="X41" s="430">
        <f t="shared" si="4"/>
        <v>42.2</v>
      </c>
      <c r="Y41" s="430">
        <f t="shared" si="4"/>
        <v>42.5</v>
      </c>
      <c r="Z41" s="430">
        <f t="shared" si="4"/>
        <v>42.6</v>
      </c>
      <c r="AA41" s="430">
        <f t="shared" si="3"/>
        <v>42.5</v>
      </c>
      <c r="AB41" s="430">
        <f t="shared" si="3"/>
        <v>42.6</v>
      </c>
      <c r="AC41" s="430">
        <f t="shared" si="3"/>
        <v>41.9</v>
      </c>
    </row>
    <row r="42" spans="3:29">
      <c r="C42" s="430">
        <v>1998</v>
      </c>
      <c r="D42" s="430" t="s">
        <v>13804</v>
      </c>
      <c r="E42" s="430" t="s">
        <v>13805</v>
      </c>
      <c r="F42" s="430" t="s">
        <v>13806</v>
      </c>
      <c r="G42" s="430" t="s">
        <v>13807</v>
      </c>
      <c r="H42" s="430" t="s">
        <v>13808</v>
      </c>
      <c r="I42" s="430" t="s">
        <v>13809</v>
      </c>
      <c r="J42" s="430" t="s">
        <v>13810</v>
      </c>
      <c r="K42" s="430" t="s">
        <v>13811</v>
      </c>
      <c r="L42" s="430" t="s">
        <v>13812</v>
      </c>
      <c r="M42" s="430" t="s">
        <v>13813</v>
      </c>
      <c r="N42" s="430" t="s">
        <v>13813</v>
      </c>
      <c r="O42" s="430" t="s">
        <v>13813</v>
      </c>
      <c r="P42" s="430" t="s">
        <v>13814</v>
      </c>
      <c r="Q42" s="430">
        <f t="shared" si="4"/>
        <v>43</v>
      </c>
      <c r="R42" s="430">
        <f t="shared" si="4"/>
        <v>43.1</v>
      </c>
      <c r="S42" s="430">
        <f t="shared" si="4"/>
        <v>43.4</v>
      </c>
      <c r="T42" s="430">
        <f t="shared" si="4"/>
        <v>43.6</v>
      </c>
      <c r="U42" s="430">
        <f t="shared" si="4"/>
        <v>43.8</v>
      </c>
      <c r="V42" s="430">
        <f t="shared" si="4"/>
        <v>44</v>
      </c>
      <c r="W42" s="430">
        <f t="shared" si="4"/>
        <v>45</v>
      </c>
      <c r="X42" s="430">
        <f t="shared" si="4"/>
        <v>45.5</v>
      </c>
      <c r="Y42" s="430">
        <f t="shared" si="4"/>
        <v>46.3</v>
      </c>
      <c r="Z42" s="430">
        <f t="shared" si="4"/>
        <v>46.5</v>
      </c>
      <c r="AA42" s="430">
        <f t="shared" si="3"/>
        <v>46.5</v>
      </c>
      <c r="AB42" s="430">
        <f t="shared" si="3"/>
        <v>46.5</v>
      </c>
      <c r="AC42" s="430">
        <f t="shared" si="3"/>
        <v>44.8</v>
      </c>
    </row>
    <row r="43" spans="3:29">
      <c r="C43" s="430">
        <v>1999</v>
      </c>
      <c r="D43" s="430" t="s">
        <v>13815</v>
      </c>
      <c r="E43" s="430" t="s">
        <v>13815</v>
      </c>
      <c r="F43" s="430" t="s">
        <v>13815</v>
      </c>
      <c r="G43" s="430" t="s">
        <v>13816</v>
      </c>
      <c r="H43" s="430" t="s">
        <v>13816</v>
      </c>
      <c r="I43" s="430" t="s">
        <v>13817</v>
      </c>
      <c r="J43" s="430" t="s">
        <v>13817</v>
      </c>
      <c r="K43" s="430" t="s">
        <v>13818</v>
      </c>
      <c r="L43" s="430" t="s">
        <v>13817</v>
      </c>
      <c r="M43" s="430" t="s">
        <v>13819</v>
      </c>
      <c r="N43" s="430" t="s">
        <v>13820</v>
      </c>
      <c r="O43" s="430" t="s">
        <v>13821</v>
      </c>
      <c r="P43" s="430" t="s">
        <v>13817</v>
      </c>
      <c r="Q43" s="430">
        <f t="shared" si="4"/>
        <v>46.8</v>
      </c>
      <c r="R43" s="430">
        <f t="shared" si="4"/>
        <v>46.8</v>
      </c>
      <c r="S43" s="430">
        <f t="shared" si="4"/>
        <v>46.8</v>
      </c>
      <c r="T43" s="430">
        <f t="shared" si="4"/>
        <v>46.9</v>
      </c>
      <c r="U43" s="430">
        <f t="shared" si="4"/>
        <v>46.9</v>
      </c>
      <c r="V43" s="430">
        <f t="shared" si="4"/>
        <v>47.1</v>
      </c>
      <c r="W43" s="430">
        <f t="shared" si="4"/>
        <v>47.1</v>
      </c>
      <c r="X43" s="430">
        <f t="shared" si="4"/>
        <v>47</v>
      </c>
      <c r="Y43" s="430">
        <f t="shared" si="4"/>
        <v>47.1</v>
      </c>
      <c r="Z43" s="430">
        <f t="shared" si="4"/>
        <v>47.3</v>
      </c>
      <c r="AA43" s="430">
        <f t="shared" si="3"/>
        <v>47.4</v>
      </c>
      <c r="AB43" s="430">
        <f t="shared" si="3"/>
        <v>47.5</v>
      </c>
      <c r="AC43" s="430">
        <f t="shared" si="3"/>
        <v>47.1</v>
      </c>
    </row>
    <row r="44" spans="3:29">
      <c r="C44" s="430">
        <v>2000</v>
      </c>
      <c r="D44" s="430" t="s">
        <v>13822</v>
      </c>
      <c r="E44" s="430" t="s">
        <v>13823</v>
      </c>
      <c r="F44" s="430" t="s">
        <v>13824</v>
      </c>
      <c r="G44" s="430" t="s">
        <v>13825</v>
      </c>
      <c r="H44" s="430" t="s">
        <v>13826</v>
      </c>
      <c r="I44" s="430" t="s">
        <v>13827</v>
      </c>
      <c r="J44" s="430" t="s">
        <v>13828</v>
      </c>
      <c r="K44" s="430" t="s">
        <v>13829</v>
      </c>
      <c r="L44" s="430" t="s">
        <v>13830</v>
      </c>
      <c r="M44" s="430" t="s">
        <v>13831</v>
      </c>
      <c r="N44" s="430" t="s">
        <v>13832</v>
      </c>
      <c r="O44" s="430" t="s">
        <v>13833</v>
      </c>
      <c r="P44" s="430" t="s">
        <v>13827</v>
      </c>
      <c r="Q44" s="430">
        <f t="shared" ref="Q44:Z57" si="5">VALUE(LEFT(D44,LEN(D44)-2)&amp;"."&amp;RIGHT(D44,1))</f>
        <v>48.1</v>
      </c>
      <c r="R44" s="430">
        <f t="shared" si="5"/>
        <v>47.9</v>
      </c>
      <c r="S44" s="430">
        <f t="shared" si="5"/>
        <v>48.4</v>
      </c>
      <c r="T44" s="430">
        <f t="shared" si="5"/>
        <v>49</v>
      </c>
      <c r="U44" s="430">
        <f t="shared" si="5"/>
        <v>49.3</v>
      </c>
      <c r="V44" s="430">
        <f t="shared" si="5"/>
        <v>49.6</v>
      </c>
      <c r="W44" s="430">
        <f t="shared" si="5"/>
        <v>50</v>
      </c>
      <c r="X44" s="430">
        <f t="shared" si="5"/>
        <v>50.2</v>
      </c>
      <c r="Y44" s="430">
        <f t="shared" si="5"/>
        <v>50.4</v>
      </c>
      <c r="Z44" s="430">
        <f t="shared" si="5"/>
        <v>50.6</v>
      </c>
      <c r="AA44" s="430">
        <f t="shared" si="3"/>
        <v>50.7</v>
      </c>
      <c r="AB44" s="430">
        <f t="shared" si="3"/>
        <v>50.8</v>
      </c>
      <c r="AC44" s="430">
        <f t="shared" si="3"/>
        <v>49.6</v>
      </c>
    </row>
    <row r="45" spans="3:29">
      <c r="C45" s="430">
        <v>2001</v>
      </c>
      <c r="D45" s="430" t="s">
        <v>13834</v>
      </c>
      <c r="E45" s="430" t="s">
        <v>13835</v>
      </c>
      <c r="F45" s="430" t="s">
        <v>13836</v>
      </c>
      <c r="G45" s="430" t="s">
        <v>13837</v>
      </c>
      <c r="H45" s="430" t="s">
        <v>13838</v>
      </c>
      <c r="I45" s="430" t="s">
        <v>13839</v>
      </c>
      <c r="J45" s="430" t="s">
        <v>13839</v>
      </c>
      <c r="K45" s="430" t="s">
        <v>13840</v>
      </c>
      <c r="L45" s="430" t="s">
        <v>13839</v>
      </c>
      <c r="M45" s="430" t="s">
        <v>13839</v>
      </c>
      <c r="N45" s="430" t="s">
        <v>13841</v>
      </c>
      <c r="O45" s="430" t="s">
        <v>13842</v>
      </c>
      <c r="P45" s="430" t="s">
        <v>13838</v>
      </c>
      <c r="Q45" s="430">
        <f t="shared" si="5"/>
        <v>51.5</v>
      </c>
      <c r="R45" s="430">
        <f t="shared" si="5"/>
        <v>51.6</v>
      </c>
      <c r="S45" s="430">
        <f t="shared" si="5"/>
        <v>51.9</v>
      </c>
      <c r="T45" s="430">
        <f t="shared" si="5"/>
        <v>52.2</v>
      </c>
      <c r="U45" s="430">
        <f t="shared" si="5"/>
        <v>52.4</v>
      </c>
      <c r="V45" s="430">
        <f t="shared" si="5"/>
        <v>52.6</v>
      </c>
      <c r="W45" s="430">
        <f t="shared" si="5"/>
        <v>52.6</v>
      </c>
      <c r="X45" s="430">
        <f t="shared" si="5"/>
        <v>52.5</v>
      </c>
      <c r="Y45" s="430">
        <f t="shared" si="5"/>
        <v>52.6</v>
      </c>
      <c r="Z45" s="430">
        <f t="shared" si="5"/>
        <v>52.6</v>
      </c>
      <c r="AA45" s="430">
        <f t="shared" si="3"/>
        <v>52.9</v>
      </c>
      <c r="AB45" s="430">
        <f t="shared" si="3"/>
        <v>53.1</v>
      </c>
      <c r="AC45" s="430">
        <f t="shared" si="3"/>
        <v>52.4</v>
      </c>
    </row>
    <row r="46" spans="3:29">
      <c r="C46" s="430">
        <v>2002</v>
      </c>
      <c r="D46" s="430" t="s">
        <v>13843</v>
      </c>
      <c r="E46" s="430" t="s">
        <v>13844</v>
      </c>
      <c r="F46" s="430" t="s">
        <v>13845</v>
      </c>
      <c r="G46" s="430" t="s">
        <v>13846</v>
      </c>
      <c r="H46" s="430" t="s">
        <v>13847</v>
      </c>
      <c r="I46" s="430" t="s">
        <v>13848</v>
      </c>
      <c r="J46" s="430" t="s">
        <v>13849</v>
      </c>
      <c r="K46" s="430" t="s">
        <v>13850</v>
      </c>
      <c r="L46" s="430" t="s">
        <v>13851</v>
      </c>
      <c r="M46" s="430" t="s">
        <v>13852</v>
      </c>
      <c r="N46" s="430" t="s">
        <v>13853</v>
      </c>
      <c r="O46" s="430" t="s">
        <v>13853</v>
      </c>
      <c r="P46" s="430" t="s">
        <v>13854</v>
      </c>
      <c r="Q46" s="430">
        <f t="shared" si="5"/>
        <v>54.1</v>
      </c>
      <c r="R46" s="430">
        <f t="shared" si="5"/>
        <v>54.6</v>
      </c>
      <c r="S46" s="430">
        <f t="shared" si="5"/>
        <v>55.2</v>
      </c>
      <c r="T46" s="430">
        <f t="shared" si="5"/>
        <v>56</v>
      </c>
      <c r="U46" s="430">
        <f t="shared" si="5"/>
        <v>56.4</v>
      </c>
      <c r="V46" s="430">
        <f t="shared" si="5"/>
        <v>56.8</v>
      </c>
      <c r="W46" s="430">
        <f t="shared" si="5"/>
        <v>57.7</v>
      </c>
      <c r="X46" s="430">
        <f t="shared" si="5"/>
        <v>57.9</v>
      </c>
      <c r="Y46" s="430">
        <f t="shared" si="5"/>
        <v>58.6</v>
      </c>
      <c r="Z46" s="430">
        <f t="shared" si="5"/>
        <v>59.4</v>
      </c>
      <c r="AA46" s="430">
        <f t="shared" si="3"/>
        <v>59.7</v>
      </c>
      <c r="AB46" s="430">
        <f t="shared" si="3"/>
        <v>59.7</v>
      </c>
      <c r="AC46" s="430">
        <f t="shared" si="3"/>
        <v>57.2</v>
      </c>
    </row>
    <row r="47" spans="3:29">
      <c r="C47" s="430">
        <v>2003</v>
      </c>
      <c r="D47" s="430" t="s">
        <v>13855</v>
      </c>
      <c r="E47" s="430" t="s">
        <v>13856</v>
      </c>
      <c r="F47" s="430" t="s">
        <v>13857</v>
      </c>
      <c r="G47" s="430" t="s">
        <v>13858</v>
      </c>
      <c r="H47" s="430" t="s">
        <v>13857</v>
      </c>
      <c r="I47" s="430" t="s">
        <v>13859</v>
      </c>
      <c r="J47" s="430" t="s">
        <v>13859</v>
      </c>
      <c r="K47" s="430" t="s">
        <v>13857</v>
      </c>
      <c r="L47" s="430" t="s">
        <v>13859</v>
      </c>
      <c r="M47" s="430" t="s">
        <v>13855</v>
      </c>
      <c r="N47" s="430" t="s">
        <v>13860</v>
      </c>
      <c r="O47" s="430" t="s">
        <v>13860</v>
      </c>
      <c r="P47" s="430" t="s">
        <v>13861</v>
      </c>
      <c r="Q47" s="430">
        <f t="shared" si="5"/>
        <v>60.3</v>
      </c>
      <c r="R47" s="430">
        <f t="shared" si="5"/>
        <v>60.2</v>
      </c>
      <c r="S47" s="430">
        <f t="shared" si="5"/>
        <v>60.9</v>
      </c>
      <c r="T47" s="430">
        <f t="shared" si="5"/>
        <v>61</v>
      </c>
      <c r="U47" s="430">
        <f t="shared" si="5"/>
        <v>60.9</v>
      </c>
      <c r="V47" s="430">
        <f t="shared" si="5"/>
        <v>60.7</v>
      </c>
      <c r="W47" s="430">
        <f t="shared" si="5"/>
        <v>60.7</v>
      </c>
      <c r="X47" s="430">
        <f t="shared" si="5"/>
        <v>60.9</v>
      </c>
      <c r="Y47" s="430">
        <f t="shared" si="5"/>
        <v>60.7</v>
      </c>
      <c r="Z47" s="430">
        <f t="shared" si="5"/>
        <v>60.3</v>
      </c>
      <c r="AA47" s="430">
        <f t="shared" si="3"/>
        <v>59.9</v>
      </c>
      <c r="AB47" s="430">
        <f t="shared" si="3"/>
        <v>59.9</v>
      </c>
      <c r="AC47" s="430">
        <f t="shared" si="3"/>
        <v>60.5</v>
      </c>
    </row>
    <row r="48" spans="3:29">
      <c r="C48" s="430">
        <v>2004</v>
      </c>
      <c r="D48" s="430" t="s">
        <v>13862</v>
      </c>
      <c r="E48" s="430" t="s">
        <v>13859</v>
      </c>
      <c r="F48" s="430" t="s">
        <v>13863</v>
      </c>
      <c r="G48" s="430" t="s">
        <v>13864</v>
      </c>
      <c r="H48" s="430" t="s">
        <v>13864</v>
      </c>
      <c r="I48" s="430" t="s">
        <v>13865</v>
      </c>
      <c r="J48" s="430" t="s">
        <v>13866</v>
      </c>
      <c r="K48" s="430" t="s">
        <v>13866</v>
      </c>
      <c r="L48" s="430" t="s">
        <v>13866</v>
      </c>
      <c r="M48" s="430" t="s">
        <v>13867</v>
      </c>
      <c r="N48" s="430" t="s">
        <v>13868</v>
      </c>
      <c r="O48" s="430" t="s">
        <v>13869</v>
      </c>
      <c r="P48" s="430" t="s">
        <v>13865</v>
      </c>
      <c r="Q48" s="430">
        <f t="shared" si="5"/>
        <v>60.4</v>
      </c>
      <c r="R48" s="430">
        <f t="shared" si="5"/>
        <v>60.7</v>
      </c>
      <c r="S48" s="430">
        <f t="shared" si="5"/>
        <v>61.1</v>
      </c>
      <c r="T48" s="430">
        <f t="shared" si="5"/>
        <v>61.2</v>
      </c>
      <c r="U48" s="430">
        <f t="shared" si="5"/>
        <v>61.2</v>
      </c>
      <c r="V48" s="430">
        <f t="shared" si="5"/>
        <v>61.4</v>
      </c>
      <c r="W48" s="430">
        <f t="shared" si="5"/>
        <v>61.6</v>
      </c>
      <c r="X48" s="430">
        <f t="shared" si="5"/>
        <v>61.6</v>
      </c>
      <c r="Y48" s="430">
        <f t="shared" si="5"/>
        <v>61.6</v>
      </c>
      <c r="Z48" s="430">
        <f t="shared" si="5"/>
        <v>61.8</v>
      </c>
      <c r="AA48" s="430">
        <f t="shared" si="3"/>
        <v>62.1</v>
      </c>
      <c r="AB48" s="430">
        <f t="shared" si="3"/>
        <v>62</v>
      </c>
      <c r="AC48" s="430">
        <f t="shared" si="3"/>
        <v>61.4</v>
      </c>
    </row>
    <row r="49" spans="1:29">
      <c r="C49" s="430">
        <v>2005</v>
      </c>
      <c r="D49" s="430" t="s">
        <v>13870</v>
      </c>
      <c r="E49" s="430" t="s">
        <v>13871</v>
      </c>
      <c r="F49" s="430" t="s">
        <v>13872</v>
      </c>
      <c r="G49" s="430" t="s">
        <v>13873</v>
      </c>
      <c r="H49" s="430" t="s">
        <v>13873</v>
      </c>
      <c r="I49" s="430" t="s">
        <v>13874</v>
      </c>
      <c r="J49" s="430" t="s">
        <v>13875</v>
      </c>
      <c r="K49" s="430" t="s">
        <v>13876</v>
      </c>
      <c r="L49" s="430" t="s">
        <v>13877</v>
      </c>
      <c r="M49" s="430" t="s">
        <v>13877</v>
      </c>
      <c r="N49" s="430" t="s">
        <v>13877</v>
      </c>
      <c r="O49" s="430" t="s">
        <v>13877</v>
      </c>
      <c r="P49" s="430" t="s">
        <v>13878</v>
      </c>
      <c r="Q49" s="430">
        <f t="shared" si="5"/>
        <v>62.2</v>
      </c>
      <c r="R49" s="430">
        <f t="shared" si="5"/>
        <v>62.3</v>
      </c>
      <c r="S49" s="430">
        <f t="shared" si="5"/>
        <v>62.9</v>
      </c>
      <c r="T49" s="430">
        <f t="shared" si="5"/>
        <v>63.2</v>
      </c>
      <c r="U49" s="430">
        <f t="shared" si="5"/>
        <v>63.2</v>
      </c>
      <c r="V49" s="430">
        <f t="shared" si="5"/>
        <v>63.1</v>
      </c>
      <c r="W49" s="430">
        <f t="shared" si="5"/>
        <v>63.7</v>
      </c>
      <c r="X49" s="430">
        <f t="shared" si="5"/>
        <v>63.9</v>
      </c>
      <c r="Y49" s="430">
        <f t="shared" si="5"/>
        <v>64.2</v>
      </c>
      <c r="Z49" s="430">
        <f t="shared" si="5"/>
        <v>64.2</v>
      </c>
      <c r="AA49" s="430">
        <f t="shared" si="3"/>
        <v>64.2</v>
      </c>
      <c r="AB49" s="430">
        <f t="shared" si="3"/>
        <v>64.2</v>
      </c>
      <c r="AC49" s="430">
        <f t="shared" si="3"/>
        <v>63.4</v>
      </c>
    </row>
    <row r="50" spans="1:29">
      <c r="C50" s="430">
        <v>2006</v>
      </c>
      <c r="D50" s="430" t="s">
        <v>13879</v>
      </c>
      <c r="E50" s="430" t="s">
        <v>13880</v>
      </c>
      <c r="F50" s="430" t="s">
        <v>13881</v>
      </c>
      <c r="G50" s="430" t="s">
        <v>13882</v>
      </c>
      <c r="H50" s="430" t="s">
        <v>13883</v>
      </c>
      <c r="I50" s="430" t="s">
        <v>13884</v>
      </c>
      <c r="J50" s="430" t="s">
        <v>13885</v>
      </c>
      <c r="K50" s="430" t="s">
        <v>13886</v>
      </c>
      <c r="L50" s="430" t="s">
        <v>13887</v>
      </c>
      <c r="M50" s="430" t="s">
        <v>13888</v>
      </c>
      <c r="N50" s="430" t="s">
        <v>13887</v>
      </c>
      <c r="O50" s="430" t="s">
        <v>13889</v>
      </c>
      <c r="P50" s="430" t="s">
        <v>13890</v>
      </c>
      <c r="Q50" s="430">
        <f t="shared" si="5"/>
        <v>64.599999999999994</v>
      </c>
      <c r="R50" s="430">
        <f t="shared" si="5"/>
        <v>64.7</v>
      </c>
      <c r="S50" s="430">
        <f t="shared" si="5"/>
        <v>65</v>
      </c>
      <c r="T50" s="430">
        <f t="shared" si="5"/>
        <v>65.400000000000006</v>
      </c>
      <c r="U50" s="430">
        <f t="shared" si="5"/>
        <v>65.7</v>
      </c>
      <c r="V50" s="430">
        <f t="shared" si="5"/>
        <v>66.2</v>
      </c>
      <c r="W50" s="430">
        <f t="shared" si="5"/>
        <v>66.900000000000006</v>
      </c>
      <c r="X50" s="430">
        <f t="shared" si="5"/>
        <v>67.400000000000006</v>
      </c>
      <c r="Y50" s="430">
        <f t="shared" si="5"/>
        <v>67.599999999999994</v>
      </c>
      <c r="Z50" s="430">
        <f t="shared" si="5"/>
        <v>67.7</v>
      </c>
      <c r="AA50" s="430">
        <f t="shared" si="3"/>
        <v>67.599999999999994</v>
      </c>
      <c r="AB50" s="430">
        <f t="shared" si="3"/>
        <v>68</v>
      </c>
      <c r="AC50" s="430">
        <f t="shared" si="3"/>
        <v>66.400000000000006</v>
      </c>
    </row>
    <row r="51" spans="1:29">
      <c r="C51" s="430">
        <v>2007</v>
      </c>
      <c r="D51" s="430" t="s">
        <v>13891</v>
      </c>
      <c r="E51" s="430" t="s">
        <v>13892</v>
      </c>
      <c r="F51" s="430" t="s">
        <v>13893</v>
      </c>
      <c r="G51" s="430" t="s">
        <v>13894</v>
      </c>
      <c r="H51" s="430" t="s">
        <v>13895</v>
      </c>
      <c r="I51" s="430" t="s">
        <v>13896</v>
      </c>
      <c r="J51" s="430" t="s">
        <v>13897</v>
      </c>
      <c r="K51" s="430" t="s">
        <v>13898</v>
      </c>
      <c r="L51" s="430" t="s">
        <v>13899</v>
      </c>
      <c r="M51" s="430" t="s">
        <v>13900</v>
      </c>
      <c r="N51" s="430" t="s">
        <v>13901</v>
      </c>
      <c r="O51" s="430" t="s">
        <v>13902</v>
      </c>
      <c r="P51" s="430" t="s">
        <v>13903</v>
      </c>
      <c r="Q51" s="430">
        <f t="shared" si="5"/>
        <v>68.5</v>
      </c>
      <c r="R51" s="430">
        <f t="shared" si="5"/>
        <v>68.400000000000006</v>
      </c>
      <c r="S51" s="430">
        <f t="shared" si="5"/>
        <v>69</v>
      </c>
      <c r="T51" s="430">
        <f t="shared" si="5"/>
        <v>69.900000000000006</v>
      </c>
      <c r="U51" s="430">
        <f t="shared" si="5"/>
        <v>70.3</v>
      </c>
      <c r="V51" s="430">
        <f t="shared" si="5"/>
        <v>70.900000000000006</v>
      </c>
      <c r="W51" s="430">
        <f t="shared" si="5"/>
        <v>71.599999999999994</v>
      </c>
      <c r="X51" s="430">
        <f t="shared" si="5"/>
        <v>71.900000000000006</v>
      </c>
      <c r="Y51" s="430">
        <f t="shared" si="5"/>
        <v>72.5</v>
      </c>
      <c r="Z51" s="430">
        <f t="shared" si="5"/>
        <v>73.099999999999994</v>
      </c>
      <c r="AA51" s="430">
        <f t="shared" si="3"/>
        <v>73.400000000000006</v>
      </c>
      <c r="AB51" s="430">
        <f t="shared" si="3"/>
        <v>74</v>
      </c>
      <c r="AC51" s="430">
        <f t="shared" si="3"/>
        <v>71.099999999999994</v>
      </c>
    </row>
    <row r="52" spans="1:29">
      <c r="C52" s="430">
        <v>2008</v>
      </c>
      <c r="D52" s="430" t="s">
        <v>13904</v>
      </c>
      <c r="E52" s="430" t="s">
        <v>13905</v>
      </c>
      <c r="F52" s="430" t="s">
        <v>13906</v>
      </c>
      <c r="G52" s="430" t="s">
        <v>13907</v>
      </c>
      <c r="H52" s="430" t="s">
        <v>13908</v>
      </c>
      <c r="I52" s="430" t="s">
        <v>13909</v>
      </c>
      <c r="J52" s="430" t="s">
        <v>13910</v>
      </c>
      <c r="K52" s="430" t="s">
        <v>13911</v>
      </c>
      <c r="L52" s="430" t="s">
        <v>13912</v>
      </c>
      <c r="M52" s="430" t="s">
        <v>13912</v>
      </c>
      <c r="N52" s="430" t="s">
        <v>13913</v>
      </c>
      <c r="O52" s="430" t="s">
        <v>13914</v>
      </c>
      <c r="P52" s="430" t="s">
        <v>13915</v>
      </c>
      <c r="Q52" s="430">
        <f t="shared" si="5"/>
        <v>74.8</v>
      </c>
      <c r="R52" s="430">
        <f t="shared" si="5"/>
        <v>75.099999999999994</v>
      </c>
      <c r="S52" s="430">
        <f t="shared" si="5"/>
        <v>76.3</v>
      </c>
      <c r="T52" s="430">
        <f t="shared" si="5"/>
        <v>77.7</v>
      </c>
      <c r="U52" s="430">
        <f t="shared" si="5"/>
        <v>78.5</v>
      </c>
      <c r="V52" s="430">
        <f t="shared" si="5"/>
        <v>79.599999999999994</v>
      </c>
      <c r="W52" s="430">
        <f t="shared" si="5"/>
        <v>81.2</v>
      </c>
      <c r="X52" s="430">
        <f t="shared" si="5"/>
        <v>81.8</v>
      </c>
      <c r="Y52" s="430">
        <f t="shared" si="5"/>
        <v>81.900000000000006</v>
      </c>
      <c r="Z52" s="430">
        <f t="shared" si="5"/>
        <v>81.900000000000006</v>
      </c>
      <c r="AA52" s="430">
        <f t="shared" si="3"/>
        <v>82</v>
      </c>
      <c r="AB52" s="430">
        <f t="shared" si="3"/>
        <v>81.099999999999994</v>
      </c>
      <c r="AC52" s="430">
        <f t="shared" si="3"/>
        <v>79.3</v>
      </c>
    </row>
    <row r="53" spans="1:29">
      <c r="C53" s="430">
        <v>2009</v>
      </c>
      <c r="D53" s="430" t="s">
        <v>13916</v>
      </c>
      <c r="E53" s="430" t="s">
        <v>13917</v>
      </c>
      <c r="F53" s="430" t="s">
        <v>13918</v>
      </c>
      <c r="G53" s="430" t="s">
        <v>13919</v>
      </c>
      <c r="H53" s="430" t="s">
        <v>13920</v>
      </c>
      <c r="I53" s="430" t="s">
        <v>13921</v>
      </c>
      <c r="J53" s="430" t="s">
        <v>13922</v>
      </c>
      <c r="K53" s="430" t="s">
        <v>13923</v>
      </c>
      <c r="L53" s="430" t="s">
        <v>13924</v>
      </c>
      <c r="M53" s="430" t="s">
        <v>13924</v>
      </c>
      <c r="N53" s="430" t="s">
        <v>13924</v>
      </c>
      <c r="O53" s="430" t="s">
        <v>13925</v>
      </c>
      <c r="P53" s="430" t="s">
        <v>13926</v>
      </c>
      <c r="Q53" s="430">
        <f t="shared" si="5"/>
        <v>81.400000000000006</v>
      </c>
      <c r="R53" s="430">
        <f t="shared" si="5"/>
        <v>82.3</v>
      </c>
      <c r="S53" s="430">
        <f t="shared" si="5"/>
        <v>83.4</v>
      </c>
      <c r="T53" s="430">
        <f t="shared" si="5"/>
        <v>83.8</v>
      </c>
      <c r="U53" s="430">
        <f t="shared" si="5"/>
        <v>84.1</v>
      </c>
      <c r="V53" s="430">
        <f t="shared" si="5"/>
        <v>84.5</v>
      </c>
      <c r="W53" s="430">
        <f t="shared" si="5"/>
        <v>85.4</v>
      </c>
      <c r="X53" s="430">
        <f t="shared" si="5"/>
        <v>85.6</v>
      </c>
      <c r="Y53" s="430">
        <f t="shared" si="5"/>
        <v>86</v>
      </c>
      <c r="Z53" s="430">
        <f t="shared" si="5"/>
        <v>86</v>
      </c>
      <c r="AA53" s="430">
        <f t="shared" si="3"/>
        <v>86</v>
      </c>
      <c r="AB53" s="430">
        <f t="shared" si="3"/>
        <v>86.2</v>
      </c>
      <c r="AC53" s="430">
        <f t="shared" si="3"/>
        <v>84.6</v>
      </c>
    </row>
    <row r="54" spans="1:29">
      <c r="C54" s="430">
        <v>2010</v>
      </c>
      <c r="D54" s="430" t="s">
        <v>13927</v>
      </c>
      <c r="E54" s="430" t="s">
        <v>13928</v>
      </c>
      <c r="F54" s="430" t="s">
        <v>13929</v>
      </c>
      <c r="G54" s="430" t="s">
        <v>13930</v>
      </c>
      <c r="H54" s="430" t="s">
        <v>13931</v>
      </c>
      <c r="I54" s="430" t="s">
        <v>13931</v>
      </c>
      <c r="J54" s="430" t="s">
        <v>13932</v>
      </c>
      <c r="K54" s="430" t="s">
        <v>13932</v>
      </c>
      <c r="L54" s="430" t="s">
        <v>13933</v>
      </c>
      <c r="M54" s="430" t="s">
        <v>13934</v>
      </c>
      <c r="N54" s="430" t="s">
        <v>13935</v>
      </c>
      <c r="O54" s="430" t="s">
        <v>13936</v>
      </c>
      <c r="P54" s="430" t="s">
        <v>13937</v>
      </c>
      <c r="Q54" s="430">
        <f t="shared" si="5"/>
        <v>86.4</v>
      </c>
      <c r="R54" s="430">
        <f t="shared" si="5"/>
        <v>87</v>
      </c>
      <c r="S54" s="430">
        <f t="shared" si="5"/>
        <v>87.7</v>
      </c>
      <c r="T54" s="430">
        <f t="shared" si="5"/>
        <v>87.8</v>
      </c>
      <c r="U54" s="430">
        <f t="shared" si="5"/>
        <v>88</v>
      </c>
      <c r="V54" s="430">
        <f t="shared" si="5"/>
        <v>88</v>
      </c>
      <c r="W54" s="430">
        <f t="shared" si="5"/>
        <v>88.6</v>
      </c>
      <c r="X54" s="430">
        <f t="shared" si="5"/>
        <v>88.6</v>
      </c>
      <c r="Y54" s="430">
        <f t="shared" si="5"/>
        <v>88.7</v>
      </c>
      <c r="Z54" s="430">
        <f t="shared" si="5"/>
        <v>88.9</v>
      </c>
      <c r="AA54" s="430">
        <f t="shared" si="3"/>
        <v>89</v>
      </c>
      <c r="AB54" s="430">
        <f t="shared" si="3"/>
        <v>89.2</v>
      </c>
      <c r="AC54" s="430">
        <f t="shared" si="3"/>
        <v>88.2</v>
      </c>
    </row>
    <row r="55" spans="1:29">
      <c r="C55" s="430">
        <v>2011</v>
      </c>
      <c r="D55" s="430" t="s">
        <v>13938</v>
      </c>
      <c r="E55" s="430" t="s">
        <v>13939</v>
      </c>
      <c r="F55" s="430" t="s">
        <v>13940</v>
      </c>
      <c r="G55" s="430" t="s">
        <v>13941</v>
      </c>
      <c r="H55" s="430" t="s">
        <v>13942</v>
      </c>
      <c r="I55" s="430" t="s">
        <v>13943</v>
      </c>
      <c r="J55" s="430" t="s">
        <v>13944</v>
      </c>
      <c r="K55" s="430" t="s">
        <v>13945</v>
      </c>
      <c r="L55" s="430" t="s">
        <v>13946</v>
      </c>
      <c r="M55" s="430" t="s">
        <v>13947</v>
      </c>
      <c r="N55" s="430" t="s">
        <v>13948</v>
      </c>
      <c r="O55" s="430" t="s">
        <v>13949</v>
      </c>
      <c r="P55" s="430" t="s">
        <v>13950</v>
      </c>
      <c r="Q55" s="430">
        <f t="shared" si="5"/>
        <v>89.6</v>
      </c>
      <c r="R55" s="430">
        <f t="shared" si="5"/>
        <v>90.2</v>
      </c>
      <c r="S55" s="430">
        <f t="shared" si="5"/>
        <v>91.3</v>
      </c>
      <c r="T55" s="430">
        <f t="shared" si="5"/>
        <v>91.6</v>
      </c>
      <c r="U55" s="430">
        <f t="shared" si="5"/>
        <v>92</v>
      </c>
      <c r="V55" s="430">
        <f t="shared" si="5"/>
        <v>92.4</v>
      </c>
      <c r="W55" s="430">
        <f t="shared" si="5"/>
        <v>93.2</v>
      </c>
      <c r="X55" s="430">
        <f t="shared" si="5"/>
        <v>93.4</v>
      </c>
      <c r="Y55" s="430">
        <f t="shared" si="5"/>
        <v>93.8</v>
      </c>
      <c r="Z55" s="430">
        <f t="shared" si="5"/>
        <v>94.2</v>
      </c>
      <c r="AA55" s="430">
        <f t="shared" si="3"/>
        <v>94.5</v>
      </c>
      <c r="AB55" s="430">
        <f t="shared" si="3"/>
        <v>94.6</v>
      </c>
      <c r="AC55" s="430">
        <f t="shared" si="3"/>
        <v>92.6</v>
      </c>
    </row>
    <row r="56" spans="1:29">
      <c r="C56" s="430">
        <v>2012</v>
      </c>
      <c r="D56" s="430" t="s">
        <v>13951</v>
      </c>
      <c r="E56" s="430" t="s">
        <v>13952</v>
      </c>
      <c r="F56" s="430" t="s">
        <v>13953</v>
      </c>
      <c r="G56" s="430" t="s">
        <v>13954</v>
      </c>
      <c r="H56" s="430" t="s">
        <v>13954</v>
      </c>
      <c r="I56" s="430" t="s">
        <v>13955</v>
      </c>
      <c r="J56" s="430" t="s">
        <v>13956</v>
      </c>
      <c r="K56" s="430" t="s">
        <v>13957</v>
      </c>
      <c r="L56" s="430" t="s">
        <v>13958</v>
      </c>
      <c r="M56" s="430" t="s">
        <v>13959</v>
      </c>
      <c r="N56" s="430" t="s">
        <v>13960</v>
      </c>
      <c r="O56" s="430" t="s">
        <v>13961</v>
      </c>
      <c r="P56" s="430" t="s">
        <v>13956</v>
      </c>
      <c r="Q56" s="430">
        <f t="shared" si="5"/>
        <v>95.2</v>
      </c>
      <c r="R56" s="430">
        <f t="shared" si="5"/>
        <v>95.7</v>
      </c>
      <c r="S56" s="430">
        <f t="shared" si="5"/>
        <v>96.8</v>
      </c>
      <c r="T56" s="430">
        <f t="shared" si="5"/>
        <v>97.2</v>
      </c>
      <c r="U56" s="430">
        <f t="shared" si="5"/>
        <v>97.2</v>
      </c>
      <c r="V56" s="430">
        <f t="shared" si="5"/>
        <v>97.5</v>
      </c>
      <c r="W56" s="430">
        <f t="shared" si="5"/>
        <v>97.8</v>
      </c>
      <c r="X56" s="430">
        <f t="shared" si="5"/>
        <v>98</v>
      </c>
      <c r="Y56" s="430">
        <f t="shared" si="5"/>
        <v>98.9</v>
      </c>
      <c r="Z56" s="430">
        <f t="shared" si="5"/>
        <v>99.5</v>
      </c>
      <c r="AA56" s="430">
        <f t="shared" si="3"/>
        <v>99.8</v>
      </c>
      <c r="AB56" s="430">
        <f t="shared" si="3"/>
        <v>100</v>
      </c>
      <c r="AC56" s="430">
        <f t="shared" si="3"/>
        <v>97.8</v>
      </c>
    </row>
    <row r="57" spans="1:29">
      <c r="C57" s="430">
        <v>2013</v>
      </c>
      <c r="D57" s="430" t="s">
        <v>13962</v>
      </c>
      <c r="E57" s="430" t="s">
        <v>13963</v>
      </c>
      <c r="F57" s="430" t="s">
        <v>13964</v>
      </c>
      <c r="G57" s="430" t="s">
        <v>13965</v>
      </c>
      <c r="H57" s="430" t="s">
        <v>13966</v>
      </c>
      <c r="I57" s="430" t="s">
        <v>13965</v>
      </c>
      <c r="J57" s="430" t="s">
        <v>13967</v>
      </c>
      <c r="K57" s="430" t="s">
        <v>13968</v>
      </c>
      <c r="L57" s="430" t="s">
        <v>13969</v>
      </c>
      <c r="M57" s="430" t="s">
        <v>13970</v>
      </c>
      <c r="N57" s="430" t="s">
        <v>13971</v>
      </c>
      <c r="O57" s="430" t="s">
        <v>13972</v>
      </c>
      <c r="P57" s="430" t="s">
        <v>13973</v>
      </c>
      <c r="Q57" s="430">
        <f t="shared" si="5"/>
        <v>100.3</v>
      </c>
      <c r="R57" s="430">
        <f t="shared" si="5"/>
        <v>101.3</v>
      </c>
      <c r="S57" s="430">
        <f t="shared" si="5"/>
        <v>102.5</v>
      </c>
      <c r="T57" s="430">
        <f t="shared" si="5"/>
        <v>102.9</v>
      </c>
      <c r="U57" s="430">
        <f t="shared" si="5"/>
        <v>102.6</v>
      </c>
      <c r="V57" s="430">
        <f t="shared" si="5"/>
        <v>102.9</v>
      </c>
      <c r="W57" s="430">
        <f t="shared" si="5"/>
        <v>104</v>
      </c>
      <c r="X57" s="430">
        <f t="shared" si="5"/>
        <v>104.3</v>
      </c>
      <c r="Y57" s="430">
        <f t="shared" si="5"/>
        <v>104.8</v>
      </c>
      <c r="Z57" s="430">
        <f t="shared" si="5"/>
        <v>105</v>
      </c>
      <c r="AA57" s="430">
        <f t="shared" si="3"/>
        <v>105.1</v>
      </c>
      <c r="AB57" s="430">
        <f t="shared" si="3"/>
        <v>105.4</v>
      </c>
      <c r="AC57" s="430">
        <f t="shared" si="3"/>
        <v>103.4</v>
      </c>
    </row>
    <row r="58" spans="1:29">
      <c r="A58" s="650"/>
      <c r="B58" s="1365" t="s">
        <v>13975</v>
      </c>
      <c r="C58" s="650">
        <v>2014</v>
      </c>
      <c r="D58" s="650"/>
      <c r="E58" s="650"/>
      <c r="F58" s="650"/>
      <c r="G58" s="650"/>
      <c r="H58" s="650"/>
      <c r="I58" s="650"/>
      <c r="J58" s="650"/>
      <c r="K58" s="650"/>
      <c r="L58" s="650"/>
      <c r="M58" s="650"/>
      <c r="N58" s="650"/>
      <c r="O58" s="650"/>
      <c r="P58" s="650"/>
      <c r="Q58" s="1364">
        <f>(Q57/Q56) *Q57</f>
        <v>105.67321428571428</v>
      </c>
      <c r="R58" s="1364">
        <f t="shared" ref="R58:AC59" si="6">(R57/R56) *R57</f>
        <v>107.22769070010449</v>
      </c>
      <c r="S58" s="1364">
        <f t="shared" si="6"/>
        <v>108.53564049586777</v>
      </c>
      <c r="T58" s="1364">
        <f t="shared" si="6"/>
        <v>108.93425925925926</v>
      </c>
      <c r="U58" s="1364">
        <f t="shared" si="6"/>
        <v>108.29999999999997</v>
      </c>
      <c r="V58" s="1364">
        <f t="shared" si="6"/>
        <v>108.59907692307692</v>
      </c>
      <c r="W58" s="1364">
        <f>(W57/W56) *W57</f>
        <v>110.59304703476482</v>
      </c>
      <c r="X58" s="1364">
        <f t="shared" si="6"/>
        <v>111.005</v>
      </c>
      <c r="Y58" s="1364">
        <f t="shared" si="6"/>
        <v>111.0519716885743</v>
      </c>
      <c r="Z58" s="1364">
        <f t="shared" si="6"/>
        <v>110.8040201005025</v>
      </c>
      <c r="AA58" s="1364">
        <f t="shared" si="6"/>
        <v>110.68146292585169</v>
      </c>
      <c r="AB58" s="1364">
        <f t="shared" si="6"/>
        <v>111.09160000000001</v>
      </c>
      <c r="AC58" s="1364">
        <f t="shared" si="6"/>
        <v>109.32065439672805</v>
      </c>
    </row>
    <row r="59" spans="1:29">
      <c r="B59" s="1365" t="s">
        <v>13975</v>
      </c>
      <c r="C59" s="650">
        <v>2015</v>
      </c>
      <c r="Q59" s="1364">
        <f>(Q58/Q57) *Q58</f>
        <v>111.3342793367347</v>
      </c>
      <c r="R59" s="1364">
        <f t="shared" si="6"/>
        <v>113.50224731369472</v>
      </c>
      <c r="S59" s="1364">
        <f t="shared" si="6"/>
        <v>114.92668544242197</v>
      </c>
      <c r="T59" s="1364">
        <f t="shared" si="6"/>
        <v>115.32237940100595</v>
      </c>
      <c r="U59" s="1364">
        <f t="shared" si="6"/>
        <v>114.31666666666661</v>
      </c>
      <c r="V59" s="1364">
        <f t="shared" si="6"/>
        <v>114.6137950295858</v>
      </c>
      <c r="W59" s="1364">
        <f>(W58/W57) *W58</f>
        <v>117.60405819647792</v>
      </c>
      <c r="X59" s="1364">
        <f t="shared" si="6"/>
        <v>118.14103571428571</v>
      </c>
      <c r="Y59" s="1364">
        <f t="shared" si="6"/>
        <v>117.67691236564798</v>
      </c>
      <c r="Z59" s="1364">
        <f t="shared" si="6"/>
        <v>116.92886543269107</v>
      </c>
      <c r="AA59" s="1364">
        <f t="shared" si="6"/>
        <v>116.55933620748509</v>
      </c>
      <c r="AB59" s="1364">
        <f t="shared" si="6"/>
        <v>117.09054640000002</v>
      </c>
      <c r="AC59" s="1364">
        <f>(AC58/AC57) *AC58</f>
        <v>115.58032376913785</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48</vt:i4>
      </vt:variant>
    </vt:vector>
  </HeadingPairs>
  <TitlesOfParts>
    <vt:vector size="120" baseType="lpstr">
      <vt:lpstr>Index</vt:lpstr>
      <vt:lpstr>ChangeLog</vt:lpstr>
      <vt:lpstr>NameConv</vt:lpstr>
      <vt:lpstr>REGIONS</vt:lpstr>
      <vt:lpstr>2006EB</vt:lpstr>
      <vt:lpstr>2012EB</vt:lpstr>
      <vt:lpstr>Liq Fuel Prices</vt:lpstr>
      <vt:lpstr>Coal price</vt:lpstr>
      <vt:lpstr>Oil price</vt:lpstr>
      <vt:lpstr>Gas Price</vt:lpstr>
      <vt:lpstr>Fugitive emissions</vt:lpstr>
      <vt:lpstr>Distribution</vt:lpstr>
      <vt:lpstr>SUP</vt:lpstr>
      <vt:lpstr>ITEMS_STech</vt:lpstr>
      <vt:lpstr>TS STech</vt:lpstr>
      <vt:lpstr>TS STechPEX</vt:lpstr>
      <vt:lpstr>TID STech</vt:lpstr>
      <vt:lpstr>ITEMS_Comm</vt:lpstr>
      <vt:lpstr>TS ZTech</vt:lpstr>
      <vt:lpstr>TID ZTech</vt:lpstr>
      <vt:lpstr>Crude refineries</vt:lpstr>
      <vt:lpstr>Cleaner Fuels Phase-2</vt:lpstr>
      <vt:lpstr>GTL and CTL</vt:lpstr>
      <vt:lpstr>SummaryRef</vt:lpstr>
      <vt:lpstr>RefineriesRES</vt:lpstr>
      <vt:lpstr>SasolRES2012</vt:lpstr>
      <vt:lpstr>SasolRES-2017</vt:lpstr>
      <vt:lpstr>GAS 2000-2029 CY</vt:lpstr>
      <vt:lpstr>SASOL CC 2019 report</vt:lpstr>
      <vt:lpstr>Secunda Emissions 2019</vt:lpstr>
      <vt:lpstr>RefineriesData</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UPS</vt:lpstr>
      <vt:lpstr>ITEMS_UPS</vt:lpstr>
      <vt:lpstr>ITEMS_GRP</vt:lpstr>
      <vt:lpstr>TS_TTech</vt:lpstr>
      <vt:lpstr>TID_TTech</vt:lpstr>
      <vt:lpstr>ITEMS_XTech</vt:lpstr>
      <vt:lpstr>ITEMS_CommX</vt:lpstr>
      <vt:lpstr>TS_XTech</vt:lpstr>
      <vt:lpstr>TID_XTech</vt:lpstr>
      <vt:lpstr>ITEMS_XEmiss</vt:lpstr>
      <vt:lpstr>TS XEmiss</vt:lpstr>
      <vt:lpstr>TID XEmiss</vt:lpstr>
      <vt:lpstr>ExchangeRateDetail</vt:lpstr>
      <vt:lpstr>Deflator</vt:lpstr>
      <vt:lpstr>SUPRES</vt:lpstr>
      <vt:lpstr>ITEMS_XFEmiss</vt:lpstr>
      <vt:lpstr>TS XFEmiss</vt:lpstr>
      <vt:lpstr>TID XFEmiss</vt:lpstr>
      <vt:lpstr>Emission Control_Technologies</vt:lpstr>
      <vt:lpstr>Items_TEmiss</vt:lpstr>
      <vt:lpstr>TS TEmiss</vt:lpstr>
      <vt:lpstr>ITEMS UC</vt:lpstr>
      <vt:lpstr>TS UC</vt:lpstr>
      <vt:lpstr>TID UC</vt:lpstr>
      <vt:lpstr>WAT-Items</vt:lpstr>
      <vt:lpstr>WAT-TSData</vt:lpstr>
      <vt:lpstr>WAT-TIDData</vt:lpstr>
      <vt:lpstr>HGN-TSData xtras</vt:lpstr>
      <vt:lpstr>HGN-TIDData xtras</vt:lpstr>
      <vt:lpstr>CPI_1960-2013</vt:lpstr>
      <vt:lpstr>Sheet1</vt:lpstr>
      <vt:lpstr>ACT_EFF</vt:lpstr>
      <vt:lpstr>H2Storage!Demand.Sectors</vt:lpstr>
      <vt:lpstr>Demand.Sectors</vt:lpstr>
      <vt:lpstr>emissions_data</vt:lpstr>
      <vt:lpstr>emissions_data_parameters</vt:lpstr>
      <vt:lpstr>H2Storage!emissions_start</vt:lpstr>
      <vt:lpstr>emissions_start</vt:lpstr>
      <vt:lpstr>H2Storage!emissions_types</vt:lpstr>
      <vt:lpstr>emissions_types</vt:lpstr>
      <vt:lpstr>eps</vt:lpstr>
      <vt:lpstr>Evaluate</vt:lpstr>
      <vt:lpstr>H2Storage!FuelNames</vt:lpstr>
      <vt:lpstr>FuelNames</vt:lpstr>
      <vt:lpstr>H2.LHV.MJ_kg</vt:lpstr>
      <vt:lpstr>H2Storage!inchtocentimetre</vt:lpstr>
      <vt:lpstr>inchtocentimetre</vt:lpstr>
      <vt:lpstr>H2Storage!Model_RUN_code</vt:lpstr>
      <vt:lpstr>Model_RUN_code</vt:lpstr>
      <vt:lpstr>NCAP_COST</vt:lpstr>
      <vt:lpstr>NCAP_TLIFE</vt:lpstr>
      <vt:lpstr>par_TID_Ntech</vt:lpstr>
      <vt:lpstr>par_TS_ETech</vt:lpstr>
      <vt:lpstr>PRC_RESID</vt:lpstr>
      <vt:lpstr>NameConv!Print_Area</vt:lpstr>
      <vt:lpstr>SasolRES2012!Print_Area</vt:lpstr>
      <vt:lpstr>'SasolRES-2017'!Print_Area</vt:lpstr>
      <vt:lpstr>REF.crude.CAP_rel.2020</vt:lpstr>
      <vt:lpstr>REF.crude.CAP_rel.2021</vt:lpstr>
      <vt:lpstr>REF.crude.CAP_rel.2022</vt:lpstr>
      <vt:lpstr>REF.crude.CAP_rel.2025</vt:lpstr>
      <vt:lpstr>REF.crude.CAP_rel.2030</vt:lpstr>
      <vt:lpstr>REF.crude.CAP_rel.2040</vt:lpstr>
      <vt:lpstr>H2Storage!Sector.Agriculture</vt:lpstr>
      <vt:lpstr>Sector.Agriculture</vt:lpstr>
      <vt:lpstr>H2Storage!Sector.Commercial</vt:lpstr>
      <vt:lpstr>Sector.Commercial</vt:lpstr>
      <vt:lpstr>H2Storage!Sector.Industry</vt:lpstr>
      <vt:lpstr>Sector.Industry</vt:lpstr>
      <vt:lpstr>H2Storage!Sector.Power</vt:lpstr>
      <vt:lpstr>Sector.Power</vt:lpstr>
      <vt:lpstr>H2Storage!Sector.Residential</vt:lpstr>
      <vt:lpstr>Sector.Residential</vt:lpstr>
      <vt:lpstr>H2Storage!Sector.Supply</vt:lpstr>
      <vt:lpstr>Sector.Supply</vt:lpstr>
      <vt:lpstr>H2Storage!Sector.Transport</vt:lpstr>
      <vt:lpstr>Sector.Transport</vt:lpstr>
      <vt:lpstr>H2Storage!sector_prefix</vt:lpstr>
      <vt:lpstr>sector_prefix</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 2015ZAR</dc:description>
  <cp:lastModifiedBy>Bruno</cp:lastModifiedBy>
  <cp:lastPrinted>2012-11-21T13:12:17Z</cp:lastPrinted>
  <dcterms:created xsi:type="dcterms:W3CDTF">2011-07-12T10:32:04Z</dcterms:created>
  <dcterms:modified xsi:type="dcterms:W3CDTF">2022-06-24T21:22:16Z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849432647228240</vt:r8>
  </property>
</Properties>
</file>